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orders" sheetId="1" r:id="rId4"/>
    <sheet state="visible" name="2 products" sheetId="2" r:id="rId5"/>
    <sheet state="visible" name="3 customers" sheetId="3" r:id="rId6"/>
    <sheet state="visible" name="analysis-dynamic" sheetId="4" r:id="rId7"/>
    <sheet state="visible" name="analysis-operations" sheetId="5" r:id="rId8"/>
    <sheet state="visible" name="summary" sheetId="6" r:id="rId9"/>
    <sheet state="visible" name="analysis-revenue" sheetId="7" r:id="rId10"/>
    <sheet state="visible" name="visualizations" sheetId="8" r:id="rId11"/>
  </sheets>
  <definedNames>
    <definedName localSheetId="2" name="ExternalData_8">'3 customers'!$A$1:$J$92</definedName>
    <definedName hidden="1" localSheetId="1" name="_xlnm._FilterDatabase">'2 products'!$A$1:$P$78</definedName>
    <definedName hidden="1" localSheetId="2" name="_xlnm._FilterDatabase">'3 customers'!$A$1:$J$1000</definedName>
    <definedName hidden="1" localSheetId="3" name="_xlnm._FilterDatabase">'analysis-dynamic'!$A$1:$T$2097</definedName>
    <definedName hidden="1" localSheetId="4" name="_xlnm._FilterDatabase">'analysis-operations'!$A$1:$R$2156</definedName>
    <definedName hidden="1" localSheetId="5" name="_xlnm._FilterDatabase">summary!$AN$2:$AS$82</definedName>
    <definedName hidden="1" localSheetId="6" name="_xlnm._FilterDatabase">'analysis-revenue'!$A$1:$S$2097</definedName>
  </definedNames>
  <calcPr/>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8">
      <text>
        <t xml:space="preserve">The QUERY function references specific columns. If columns in the source data are added, removed, or reordered, this formula may break or return incorrect results. Update the QUERY parameters as needed.
	-Annelize Krause</t>
      </text>
    </comment>
    <comment authorId="0" ref="K2">
      <text>
        <t xml:space="preserve">The QUERY function references specific columns. If columns in the source data are added, removed, or reordered, this formula may break or return incorrect results. Update the QUERY parameters as needed.
	-Annelize Krause</t>
      </text>
    </comment>
    <comment authorId="0" ref="F2">
      <text>
        <t xml:space="preserve">The QUERY function references specific columns. If columns in the source data are added, removed, or reordered, this formula may break or return incorrect results. Update the QUERY parameters as needed.
	-Annelize Krause</t>
      </text>
    </comment>
    <comment authorId="0" ref="A2">
      <text>
        <t xml:space="preserve">The QUERY function references specific columns. If columns in the source data are added, removed, or reordered, this formula may break or return incorrect results. Update the QUERY parameters as needed.
	-Annelize Krause</t>
      </text>
    </comment>
  </commentList>
</comments>
</file>

<file path=xl/sharedStrings.xml><?xml version="1.0" encoding="utf-8"?>
<sst xmlns="http://schemas.openxmlformats.org/spreadsheetml/2006/main" count="12886" uniqueCount="1041">
  <si>
    <t>orderID</t>
  </si>
  <si>
    <t>customerID</t>
  </si>
  <si>
    <t>orderDate</t>
  </si>
  <si>
    <t>requiredDate</t>
  </si>
  <si>
    <t>shippedDate</t>
  </si>
  <si>
    <t>arrivedDate</t>
  </si>
  <si>
    <t>productID</t>
  </si>
  <si>
    <t>orderPrice</t>
  </si>
  <si>
    <t>orderQuantity</t>
  </si>
  <si>
    <t>discountApllied</t>
  </si>
  <si>
    <t>freightCost</t>
  </si>
  <si>
    <t>shipVia</t>
  </si>
  <si>
    <t>VINET</t>
  </si>
  <si>
    <t>Federal Shipping</t>
  </si>
  <si>
    <t>TOMSP</t>
  </si>
  <si>
    <t>Speedy Express</t>
  </si>
  <si>
    <t>HANAR</t>
  </si>
  <si>
    <t>United Package</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</si>
  <si>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</si>
  <si>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</si>
  <si>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</si>
  <si>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</si>
  <si>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</si>
  <si>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</si>
  <si>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</si>
  <si>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</si>
  <si>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</si>
  <si>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</si>
  <si>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</si>
  <si>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</si>
  <si>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</si>
  <si>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</si>
  <si>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</si>
  <si>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</si>
  <si>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</si>
  <si>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</si>
  <si>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</si>
  <si>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</si>
  <si>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</si>
  <si>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</si>
  <si>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</si>
  <si>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</si>
  <si>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</si>
  <si>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</si>
  <si>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</si>
  <si>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</si>
  <si>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</si>
  <si>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</si>
  <si>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</si>
  <si>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</si>
  <si>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</si>
  <si>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</si>
  <si>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</si>
  <si>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</si>
  <si>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</si>
  <si>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</si>
  <si>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</si>
  <si>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</si>
  <si>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</si>
  <si>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</si>
  <si>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</si>
  <si>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</si>
  <si>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</si>
  <si>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</si>
  <si>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</si>
  <si>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</si>
  <si>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</si>
  <si>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</si>
  <si>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</si>
  <si>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</si>
  <si>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</si>
  <si>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</si>
  <si>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</si>
  <si>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</si>
  <si>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</si>
  <si>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</si>
  <si>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</si>
  <si>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</si>
  <si>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</si>
  <si>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</si>
  <si>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</si>
  <si>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</si>
  <si>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</si>
  <si>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</si>
  <si>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</si>
  <si>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</si>
  <si>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</si>
  <si>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</si>
  <si>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</si>
  <si>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</si>
  <si>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</si>
  <si>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</si>
  <si>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</si>
  <si>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</si>
  <si>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</si>
  <si>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</si>
  <si>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</si>
  <si>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</si>
  <si>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</si>
  <si>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</si>
  <si>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</si>
  <si>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</si>
  <si>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</si>
  <si>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</si>
  <si>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productName</t>
  </si>
  <si>
    <t>quantityPerUnit</t>
  </si>
  <si>
    <t>unitsInStock</t>
  </si>
  <si>
    <t>unitsOnOrder</t>
  </si>
  <si>
    <t>reorderLevel</t>
  </si>
  <si>
    <t>discontinued</t>
  </si>
  <si>
    <t>purchasePrice_2022</t>
  </si>
  <si>
    <t>purchasePrice_2023</t>
  </si>
  <si>
    <t>purchasePrice_2024</t>
  </si>
  <si>
    <t>productRating</t>
  </si>
  <si>
    <t>categoryName</t>
  </si>
  <si>
    <t>categoryDescription</t>
  </si>
  <si>
    <t>supplierName</t>
  </si>
  <si>
    <t>supplierCity</t>
  </si>
  <si>
    <t>supplierCountry</t>
  </si>
  <si>
    <t>Chai</t>
  </si>
  <si>
    <t>10 boxes x 20 bags</t>
  </si>
  <si>
    <t>Beverages</t>
  </si>
  <si>
    <t>Soft drinks coffees teas beers and ales</t>
  </si>
  <si>
    <t>Exotic Liquids</t>
  </si>
  <si>
    <t>London</t>
  </si>
  <si>
    <t>UK</t>
  </si>
  <si>
    <t>Chang</t>
  </si>
  <si>
    <t>24 - 12 oz bottles</t>
  </si>
  <si>
    <t>Aniseed Syrup</t>
  </si>
  <si>
    <t>12 - 550 ml bottles</t>
  </si>
  <si>
    <t>Condiments</t>
  </si>
  <si>
    <t>Sweet and savory sauces relishes spreads and seasonings</t>
  </si>
  <si>
    <t>Chef Anton's Cajun Seasoning</t>
  </si>
  <si>
    <t>48 - 6 oz jars</t>
  </si>
  <si>
    <t>New Orleans Cajun Delights</t>
  </si>
  <si>
    <t>New Orleans</t>
  </si>
  <si>
    <t>USA</t>
  </si>
  <si>
    <t>Chef Anton's Gumbo Mix</t>
  </si>
  <si>
    <t>36 boxes</t>
  </si>
  <si>
    <t>Grandma's Boysenberry Spread</t>
  </si>
  <si>
    <t>12 - 8 oz jars</t>
  </si>
  <si>
    <t>Grandma Kelly's Homestead</t>
  </si>
  <si>
    <t>Ann Arbor</t>
  </si>
  <si>
    <t>Northwoods Cranberry Sauce</t>
  </si>
  <si>
    <t>12 - 12 oz jars</t>
  </si>
  <si>
    <t>Mishi Kobe Niku</t>
  </si>
  <si>
    <t>18 - 500 g pkgs.</t>
  </si>
  <si>
    <t>Meat/Poultry</t>
  </si>
  <si>
    <t>Prepared meats</t>
  </si>
  <si>
    <t>Tokyo Traders</t>
  </si>
  <si>
    <t>Tokyo</t>
  </si>
  <si>
    <t>Japan</t>
  </si>
  <si>
    <t>Uncle Bob's Organic Dried Pears</t>
  </si>
  <si>
    <t>12 - 1 lb pkgs.</t>
  </si>
  <si>
    <t>Produce</t>
  </si>
  <si>
    <t>Dried fruit and bean curd</t>
  </si>
  <si>
    <t>Ikura</t>
  </si>
  <si>
    <t>12 - 200 ml jars</t>
  </si>
  <si>
    <t>Seafood</t>
  </si>
  <si>
    <t>Seaweed and fish</t>
  </si>
  <si>
    <t>Queso Cabrales</t>
  </si>
  <si>
    <t>1 kg pkg.</t>
  </si>
  <si>
    <t>Dairy Products</t>
  </si>
  <si>
    <t>Cheeses</t>
  </si>
  <si>
    <t>Cooperativa de Quesos 'Las Cabras'</t>
  </si>
  <si>
    <t>Oviedo</t>
  </si>
  <si>
    <t>Spain</t>
  </si>
  <si>
    <t>Queso Manchego La Pastora</t>
  </si>
  <si>
    <t>10 - 500 g pkgs.</t>
  </si>
  <si>
    <t>Konbu</t>
  </si>
  <si>
    <t>2 kg box</t>
  </si>
  <si>
    <t>Mayumi's</t>
  </si>
  <si>
    <t>Osaka</t>
  </si>
  <si>
    <t>Tofu</t>
  </si>
  <si>
    <t>40 - 100 g pkgs.</t>
  </si>
  <si>
    <t>Genen Shouyu</t>
  </si>
  <si>
    <t>24 - 250 ml bottles</t>
  </si>
  <si>
    <t>Pavlova</t>
  </si>
  <si>
    <t>32 - 500 g boxes</t>
  </si>
  <si>
    <t>Confections</t>
  </si>
  <si>
    <t>Desserts candies and sweet breads</t>
  </si>
  <si>
    <t>Pavlova Ltd.</t>
  </si>
  <si>
    <t>Melbourne</t>
  </si>
  <si>
    <t>Australia</t>
  </si>
  <si>
    <t>Alice Mutton</t>
  </si>
  <si>
    <t>20 - 1 kg tins</t>
  </si>
  <si>
    <t>Carnarvon Tigers</t>
  </si>
  <si>
    <t>16 kg pkg.</t>
  </si>
  <si>
    <t>Teatime Chocolate Biscuits</t>
  </si>
  <si>
    <t>10 boxes x 12 pieces</t>
  </si>
  <si>
    <t>Specialty Biscuits Ltd.</t>
  </si>
  <si>
    <t>Manchester</t>
  </si>
  <si>
    <t>Sir Rodney's Marmalade</t>
  </si>
  <si>
    <t>30 gift boxes</t>
  </si>
  <si>
    <t>Sir Rodney's Scones</t>
  </si>
  <si>
    <t>24 pkgs. x 4 pieces</t>
  </si>
  <si>
    <t>Gustaf's Knäckebröd</t>
  </si>
  <si>
    <t>24 - 500 g pkgs.</t>
  </si>
  <si>
    <t>Grains/Cereals</t>
  </si>
  <si>
    <t>Breads crackers pasta and cereal</t>
  </si>
  <si>
    <t>PB Knäckebröd AB</t>
  </si>
  <si>
    <t>Göteborg</t>
  </si>
  <si>
    <t>Sweden</t>
  </si>
  <si>
    <t>Tunnbröd</t>
  </si>
  <si>
    <t>12 - 250 g pkgs.</t>
  </si>
  <si>
    <t>Brigadeiros Maravilhosos da Lilian</t>
  </si>
  <si>
    <t>12 - 35g pkgs.</t>
  </si>
  <si>
    <t>Sabores do Sol</t>
  </si>
  <si>
    <t>Sao Paulo</t>
  </si>
  <si>
    <t>Brazil</t>
  </si>
  <si>
    <t>HM Köstliche Kaiserschmarrn Knödelchen</t>
  </si>
  <si>
    <t>6 - 80g pkgs</t>
  </si>
  <si>
    <t>Alpennascherei</t>
  </si>
  <si>
    <t>Graz</t>
  </si>
  <si>
    <t>Austria</t>
  </si>
  <si>
    <t>NuNuCa Nuß-Nougat-Creme</t>
  </si>
  <si>
    <t>20 - 450 g glasses</t>
  </si>
  <si>
    <t>Heli Süßwaren GmbH &amp; Co. KG</t>
  </si>
  <si>
    <t>Berlin</t>
  </si>
  <si>
    <t>Germany</t>
  </si>
  <si>
    <t>Schoggi Schokolade</t>
  </si>
  <si>
    <t>100 - 100 g pieces</t>
  </si>
  <si>
    <t>Rössle Sauerkraut</t>
  </si>
  <si>
    <t>25 - 825 g cans</t>
  </si>
  <si>
    <t>Plutzer Lebensmittelgroßmärkte AG</t>
  </si>
  <si>
    <t>Frankfurt</t>
  </si>
  <si>
    <t>Thüringer Rostbratwurst</t>
  </si>
  <si>
    <t>50 bags x 30 sausgs.</t>
  </si>
  <si>
    <t>Nord-Ost Matjeshering</t>
  </si>
  <si>
    <t>10 - 200 g glasses</t>
  </si>
  <si>
    <t>Nord-Ost-Fisch Handelsgesellschaft mbH</t>
  </si>
  <si>
    <t>Cuxhaven</t>
  </si>
  <si>
    <t>Gorgonzola Telino</t>
  </si>
  <si>
    <t>12 - 100 g pkgs</t>
  </si>
  <si>
    <t>Formaggi Fortini s.r.l.</t>
  </si>
  <si>
    <t>Ravenna</t>
  </si>
  <si>
    <t>Italy</t>
  </si>
  <si>
    <t>Mascarpone Fabioli</t>
  </si>
  <si>
    <t>24 - 200 g pkgs.</t>
  </si>
  <si>
    <t>Geitost</t>
  </si>
  <si>
    <t>500 g</t>
  </si>
  <si>
    <t>Norske Meierier</t>
  </si>
  <si>
    <t>Sandvika</t>
  </si>
  <si>
    <t>Norway</t>
  </si>
  <si>
    <t>Sasquatch Ale</t>
  </si>
  <si>
    <t>Bigfoot Breweries</t>
  </si>
  <si>
    <t>Bend</t>
  </si>
  <si>
    <t>Cold Brew Nitro</t>
  </si>
  <si>
    <t>Inlagd Sill</t>
  </si>
  <si>
    <t>24 - 250 g  jars</t>
  </si>
  <si>
    <t>Svensk Sjöföda AB</t>
  </si>
  <si>
    <t>Stockholm</t>
  </si>
  <si>
    <t>Gravad lax</t>
  </si>
  <si>
    <t>12 - 500 g pkgs.</t>
  </si>
  <si>
    <t>Côte de Blaye</t>
  </si>
  <si>
    <t>12 - 75 cl bottles</t>
  </si>
  <si>
    <t>Aux joyeux ecclésiastiques</t>
  </si>
  <si>
    <t>Paris</t>
  </si>
  <si>
    <t>France</t>
  </si>
  <si>
    <t>Chartreuse verte</t>
  </si>
  <si>
    <t>750 cc per bottle</t>
  </si>
  <si>
    <t>Boston Crab Meat</t>
  </si>
  <si>
    <t>24 - 4 oz tins</t>
  </si>
  <si>
    <t>New England Seafood Cannery</t>
  </si>
  <si>
    <t>Boston</t>
  </si>
  <si>
    <t>Jack's New England Clam Chowder</t>
  </si>
  <si>
    <t>12 - 12 oz cans</t>
  </si>
  <si>
    <t>Singaporean Hokkien Fried Mee</t>
  </si>
  <si>
    <t>32 - 1 kg pkgs.</t>
  </si>
  <si>
    <t>Leka Trading</t>
  </si>
  <si>
    <t>Singapore</t>
  </si>
  <si>
    <t>Ipoh Coffee</t>
  </si>
  <si>
    <t>16 - 500 g tins</t>
  </si>
  <si>
    <t>Gula Malacca</t>
  </si>
  <si>
    <t>20 - 2 kg bags</t>
  </si>
  <si>
    <t>Rogede sild</t>
  </si>
  <si>
    <t>1k pkg.</t>
  </si>
  <si>
    <t>Lyngbysild</t>
  </si>
  <si>
    <t>Lyngby</t>
  </si>
  <si>
    <t>Denmark</t>
  </si>
  <si>
    <t>Spegesild</t>
  </si>
  <si>
    <t>4 - 450 g glasses</t>
  </si>
  <si>
    <t>Zaanse koeken</t>
  </si>
  <si>
    <t>10 - 4 oz boxes</t>
  </si>
  <si>
    <t>Zaanse Snoepfabriek</t>
  </si>
  <si>
    <t>Zaandam</t>
  </si>
  <si>
    <t>Netherlands</t>
  </si>
  <si>
    <t>Chocolade</t>
  </si>
  <si>
    <t>10 pkgs.</t>
  </si>
  <si>
    <t>Maxilaku</t>
  </si>
  <si>
    <t>24 - 50 g pkgs.</t>
  </si>
  <si>
    <t>Karkki Oy</t>
  </si>
  <si>
    <t>Lappeenranta</t>
  </si>
  <si>
    <t>Finland</t>
  </si>
  <si>
    <t>Valkoinen suklaa</t>
  </si>
  <si>
    <t>12 - 100 g bars</t>
  </si>
  <si>
    <t>Manjimup Dried Apples</t>
  </si>
  <si>
    <t>50 - 300 g pkgs.</t>
  </si>
  <si>
    <t>G'day Mate</t>
  </si>
  <si>
    <t>Sydney</t>
  </si>
  <si>
    <t>Filo Mix</t>
  </si>
  <si>
    <t>16 - 2 kg boxes</t>
  </si>
  <si>
    <t>Perth Pasties</t>
  </si>
  <si>
    <t>48 pieces</t>
  </si>
  <si>
    <t>Tourtière</t>
  </si>
  <si>
    <t>16 pies</t>
  </si>
  <si>
    <t>Ma Maison</t>
  </si>
  <si>
    <t>Montréal</t>
  </si>
  <si>
    <t>Canada</t>
  </si>
  <si>
    <t>Pâté chinois</t>
  </si>
  <si>
    <t>24 boxes x 2 pies</t>
  </si>
  <si>
    <t>Gnocchi di nonna Alice</t>
  </si>
  <si>
    <t>24 - 250 g pkgs.</t>
  </si>
  <si>
    <t>Pasta Buttini s.r.l.</t>
  </si>
  <si>
    <t>Salerno</t>
  </si>
  <si>
    <t>Ravioli Angelo</t>
  </si>
  <si>
    <t>Escargots de Bourgogne</t>
  </si>
  <si>
    <t>24 pieces</t>
  </si>
  <si>
    <t>Escargots Nouveaux</t>
  </si>
  <si>
    <t>Montceau</t>
  </si>
  <si>
    <t>Raclette Courdavault</t>
  </si>
  <si>
    <t>5 kg pkg.</t>
  </si>
  <si>
    <t>Gai pâturage</t>
  </si>
  <si>
    <t>Annecy</t>
  </si>
  <si>
    <t>Camembert Pierrot</t>
  </si>
  <si>
    <t>15 - 300 g rounds</t>
  </si>
  <si>
    <t>Sirop d'érable</t>
  </si>
  <si>
    <t>24 - 500 ml bottles</t>
  </si>
  <si>
    <t>Forêts d'érables</t>
  </si>
  <si>
    <t>Ste-Hyacinthe</t>
  </si>
  <si>
    <t>Tarte au sucre</t>
  </si>
  <si>
    <t>48 pies</t>
  </si>
  <si>
    <t>Vegie-spread</t>
  </si>
  <si>
    <t>15 - 625 g jars</t>
  </si>
  <si>
    <t>Lukas' leckere Sauerteigweggla</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</si>
  <si>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</si>
  <si>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</si>
  <si>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</si>
  <si>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</si>
  <si>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</si>
  <si>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</si>
  <si>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</si>
  <si>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</si>
  <si>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</si>
  <si>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</si>
  <si>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</si>
  <si>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</si>
  <si>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</si>
  <si>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</si>
  <si>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</si>
  <si>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</si>
  <si>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</si>
  <si>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</si>
  <si>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</si>
  <si>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</si>
  <si>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</si>
  <si>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</si>
  <si>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</si>
  <si>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companyName</t>
  </si>
  <si>
    <t>contactName</t>
  </si>
  <si>
    <t>contactTitle</t>
  </si>
  <si>
    <t>address</t>
  </si>
  <si>
    <t>city</t>
  </si>
  <si>
    <t>region</t>
  </si>
  <si>
    <t>postalCode</t>
  </si>
  <si>
    <t>country</t>
  </si>
  <si>
    <t>phone</t>
  </si>
  <si>
    <t>Alfreds Futterkiste</t>
  </si>
  <si>
    <t>Maria Anders</t>
  </si>
  <si>
    <t>Sales Representative</t>
  </si>
  <si>
    <t>Obere Str. 57</t>
  </si>
  <si>
    <t>NULL</t>
  </si>
  <si>
    <t>12209</t>
  </si>
  <si>
    <t>030-0074321</t>
  </si>
  <si>
    <t>Ana Trujillo Emparedados y helados</t>
  </si>
  <si>
    <t>Ana Trujillo</t>
  </si>
  <si>
    <t>Owner</t>
  </si>
  <si>
    <t>Avda. de la Constitución 2222</t>
  </si>
  <si>
    <t>México D.F.</t>
  </si>
  <si>
    <t>05021</t>
  </si>
  <si>
    <t>Mexico</t>
  </si>
  <si>
    <t>(5) 555-4729</t>
  </si>
  <si>
    <t>Antonio Moreno Taquería</t>
  </si>
  <si>
    <t>Antonio Moreno</t>
  </si>
  <si>
    <t>Mataderos  2312</t>
  </si>
  <si>
    <t>05023</t>
  </si>
  <si>
    <t>(5) 555-3932</t>
  </si>
  <si>
    <t>Around the Horn</t>
  </si>
  <si>
    <t>Thomas Hardy</t>
  </si>
  <si>
    <t>120 Hanover Sq.</t>
  </si>
  <si>
    <t>WA1 1DP</t>
  </si>
  <si>
    <t>(171) 555-7788</t>
  </si>
  <si>
    <t>Berglunds snabbköp</t>
  </si>
  <si>
    <t>Christina Berglund</t>
  </si>
  <si>
    <t>Order Administrator</t>
  </si>
  <si>
    <t>Berguvsvägen  8</t>
  </si>
  <si>
    <t>Luleå</t>
  </si>
  <si>
    <t>S-958 22</t>
  </si>
  <si>
    <t>0921-12 34 65</t>
  </si>
  <si>
    <t>Blauer See Delikatessen</t>
  </si>
  <si>
    <t>Hanna Moos</t>
  </si>
  <si>
    <t>Forsterstr. 57</t>
  </si>
  <si>
    <t>Mannheim</t>
  </si>
  <si>
    <t>68306</t>
  </si>
  <si>
    <t>0621-08460</t>
  </si>
  <si>
    <t>Blondesddsl père et fils</t>
  </si>
  <si>
    <t>Frédérique Citeaux</t>
  </si>
  <si>
    <t>Marketing Manager</t>
  </si>
  <si>
    <t>24 place Kléber</t>
  </si>
  <si>
    <t>Strasbourg</t>
  </si>
  <si>
    <t>67000</t>
  </si>
  <si>
    <t>88.60.15.31</t>
  </si>
  <si>
    <t>Bólido Comidas preparadas</t>
  </si>
  <si>
    <t>Martín Sommer</t>
  </si>
  <si>
    <t>67C Araquil</t>
  </si>
  <si>
    <t>Madrid</t>
  </si>
  <si>
    <t>28023</t>
  </si>
  <si>
    <t>(91) 555 22 82</t>
  </si>
  <si>
    <t>Bon app'</t>
  </si>
  <si>
    <t>Laurence Lebihan</t>
  </si>
  <si>
    <t>12 rue des Bouchers</t>
  </si>
  <si>
    <t>Marseille</t>
  </si>
  <si>
    <t>13008</t>
  </si>
  <si>
    <t>91.24.45.40</t>
  </si>
  <si>
    <t>Bottom-Dollar Markets</t>
  </si>
  <si>
    <t>Elizabeth Lincoln</t>
  </si>
  <si>
    <t>Accounting Manager</t>
  </si>
  <si>
    <t>23 Tsawassen Blvd.</t>
  </si>
  <si>
    <t>Tsawassen</t>
  </si>
  <si>
    <t>BC</t>
  </si>
  <si>
    <t>T2F 8M4</t>
  </si>
  <si>
    <t>(604) 555-4729</t>
  </si>
  <si>
    <t>B's Beverages</t>
  </si>
  <si>
    <t>Victoria Ashworth</t>
  </si>
  <si>
    <t>Fauntleroy Circus</t>
  </si>
  <si>
    <t>EC2 5NT</t>
  </si>
  <si>
    <t>(171) 555-1212</t>
  </si>
  <si>
    <t>Cactus Comidas para llevar</t>
  </si>
  <si>
    <t>Patricio Simpson</t>
  </si>
  <si>
    <t>Sales Agent</t>
  </si>
  <si>
    <t>Cerrito 333</t>
  </si>
  <si>
    <t>Buenos Aires</t>
  </si>
  <si>
    <t>1010</t>
  </si>
  <si>
    <t>Argentina</t>
  </si>
  <si>
    <t>(1) 135-5555</t>
  </si>
  <si>
    <t>Centro comercial Moctezuma</t>
  </si>
  <si>
    <t>Francisco Chang</t>
  </si>
  <si>
    <t>Sierras de Granada 9993</t>
  </si>
  <si>
    <t>05022</t>
  </si>
  <si>
    <t>(5) 555-3392</t>
  </si>
  <si>
    <t>Chop-suey Chinese</t>
  </si>
  <si>
    <t>Yang Wang</t>
  </si>
  <si>
    <t>Hauptstr. 29</t>
  </si>
  <si>
    <t>Bern</t>
  </si>
  <si>
    <t>3012</t>
  </si>
  <si>
    <t>Switzerland</t>
  </si>
  <si>
    <t>0452-076545</t>
  </si>
  <si>
    <t>Comércio Mineiro</t>
  </si>
  <si>
    <t>Pedro Afonso</t>
  </si>
  <si>
    <t>Sales Associate</t>
  </si>
  <si>
    <t>23 Av. dos Lusíadas</t>
  </si>
  <si>
    <t>SP</t>
  </si>
  <si>
    <t>05432-043</t>
  </si>
  <si>
    <t>(11) 555-7647</t>
  </si>
  <si>
    <t>Consolidated Holdings</t>
  </si>
  <si>
    <t>Elizabeth Brown</t>
  </si>
  <si>
    <t>Berkeley Gardens 12  Brewery</t>
  </si>
  <si>
    <t>WX1 6LT</t>
  </si>
  <si>
    <t>(171) 555-2282</t>
  </si>
  <si>
    <t>Drachenblut Delikatessen</t>
  </si>
  <si>
    <t>Sven Ottlieb</t>
  </si>
  <si>
    <t>Walserweg 21</t>
  </si>
  <si>
    <t>Aachen</t>
  </si>
  <si>
    <t>52066</t>
  </si>
  <si>
    <t>0241-039123</t>
  </si>
  <si>
    <t>Du monde entier</t>
  </si>
  <si>
    <t>Janine Labrune</t>
  </si>
  <si>
    <t>67 rue des Cinquante Otages</t>
  </si>
  <si>
    <t>Nantes</t>
  </si>
  <si>
    <t>44000</t>
  </si>
  <si>
    <t>40.67.88.88</t>
  </si>
  <si>
    <t>Eastern Connection</t>
  </si>
  <si>
    <t>Ann Devon</t>
  </si>
  <si>
    <t>35 King George</t>
  </si>
  <si>
    <t>WX3 6FW</t>
  </si>
  <si>
    <t>(171) 555-0297</t>
  </si>
  <si>
    <t>Ernst Handel</t>
  </si>
  <si>
    <t>Roland Mendel</t>
  </si>
  <si>
    <t>Sales Manager</t>
  </si>
  <si>
    <t>Kirchgasse 6</t>
  </si>
  <si>
    <t>8010</t>
  </si>
  <si>
    <t>7675-3425</t>
  </si>
  <si>
    <t>Familia Arquibaldo</t>
  </si>
  <si>
    <t>Aria Cruz</t>
  </si>
  <si>
    <t>Marketing Assistant</t>
  </si>
  <si>
    <t>Rua Orós 92</t>
  </si>
  <si>
    <t>05442-030</t>
  </si>
  <si>
    <t>(11) 555-9857</t>
  </si>
  <si>
    <t>FISSA</t>
  </si>
  <si>
    <t>FISSA Fabrica Inter. Salchichas S.A.</t>
  </si>
  <si>
    <t>Diego Roel</t>
  </si>
  <si>
    <t>C/ Moralzarzal 86</t>
  </si>
  <si>
    <t>28034</t>
  </si>
  <si>
    <t>(91) 555 94 44</t>
  </si>
  <si>
    <t>Folies gourmandes</t>
  </si>
  <si>
    <t>Martine Rancé</t>
  </si>
  <si>
    <t>Assistant Sales Agent</t>
  </si>
  <si>
    <t>184 chaussée de Tournai</t>
  </si>
  <si>
    <t>Lille</t>
  </si>
  <si>
    <t>59000</t>
  </si>
  <si>
    <t>20.16.10.16</t>
  </si>
  <si>
    <t>Folk och fä HB</t>
  </si>
  <si>
    <t>Maria Larsson</t>
  </si>
  <si>
    <t>Åkergatan 24</t>
  </si>
  <si>
    <t>Bräcke</t>
  </si>
  <si>
    <t>S-844 67</t>
  </si>
  <si>
    <t>0695-34 67 21</t>
  </si>
  <si>
    <t>Frankenversand</t>
  </si>
  <si>
    <t>Peter Franken</t>
  </si>
  <si>
    <t>Berliner Platz 43</t>
  </si>
  <si>
    <t>München</t>
  </si>
  <si>
    <t>80805</t>
  </si>
  <si>
    <t>089-0877310</t>
  </si>
  <si>
    <t>France restauration</t>
  </si>
  <si>
    <t>Carine Schmitt</t>
  </si>
  <si>
    <t>54 rue Royale</t>
  </si>
  <si>
    <t>40.32.21.21</t>
  </si>
  <si>
    <t>Franchi S.p.A.</t>
  </si>
  <si>
    <t>Paolo Accorti</t>
  </si>
  <si>
    <t>Via Monte Bianco 34</t>
  </si>
  <si>
    <t>Torino</t>
  </si>
  <si>
    <t>10100</t>
  </si>
  <si>
    <t>011-4988260</t>
  </si>
  <si>
    <t>Furia Bacalhau e Frutos do Mar</t>
  </si>
  <si>
    <t>Lino Rodriguez</t>
  </si>
  <si>
    <t>Jardim das rosas n. 32</t>
  </si>
  <si>
    <t>Lisboa</t>
  </si>
  <si>
    <t>1675</t>
  </si>
  <si>
    <t>Portugal</t>
  </si>
  <si>
    <t>(1) 354-2534</t>
  </si>
  <si>
    <t>Galería del gastrónomo</t>
  </si>
  <si>
    <t>Eduardo Saavedra</t>
  </si>
  <si>
    <t>Rambla de Cataluña 23</t>
  </si>
  <si>
    <t>Barcelona</t>
  </si>
  <si>
    <t>08022</t>
  </si>
  <si>
    <t>(93) 203 4560</t>
  </si>
  <si>
    <t>Godos Cocina Típica</t>
  </si>
  <si>
    <t>José Pedro Freyre</t>
  </si>
  <si>
    <t>C/ Romero 33</t>
  </si>
  <si>
    <t>Sevilla</t>
  </si>
  <si>
    <t>41101</t>
  </si>
  <si>
    <t>(95) 555 82 82</t>
  </si>
  <si>
    <t>Gourmet Lanchonetes</t>
  </si>
  <si>
    <t>André Fonseca</t>
  </si>
  <si>
    <t>Av. Brasil 442</t>
  </si>
  <si>
    <t>Campinas</t>
  </si>
  <si>
    <t>04876-786</t>
  </si>
  <si>
    <t>(11) 555-9482</t>
  </si>
  <si>
    <t>Great Lakes Food Market</t>
  </si>
  <si>
    <t>Howard Snyder</t>
  </si>
  <si>
    <t>2732 Baker Blvd.</t>
  </si>
  <si>
    <t>Eugene</t>
  </si>
  <si>
    <t>OR</t>
  </si>
  <si>
    <t>97403</t>
  </si>
  <si>
    <t>(503) 555-7555</t>
  </si>
  <si>
    <t>GROSELLA-Restaurante</t>
  </si>
  <si>
    <t>Manuel Pereira</t>
  </si>
  <si>
    <t>5ª Ave. Los Palos Grandes</t>
  </si>
  <si>
    <t>Caracas</t>
  </si>
  <si>
    <t>DF</t>
  </si>
  <si>
    <t>1081</t>
  </si>
  <si>
    <t>Venezuela</t>
  </si>
  <si>
    <t>(2) 283-2951</t>
  </si>
  <si>
    <t>Hanari Carnes</t>
  </si>
  <si>
    <t>Mario Pontes</t>
  </si>
  <si>
    <t>Rua do Paço 67</t>
  </si>
  <si>
    <t>Rio de Janeiro</t>
  </si>
  <si>
    <t>RJ</t>
  </si>
  <si>
    <t>05454-876</t>
  </si>
  <si>
    <t>(21) 555-0091</t>
  </si>
  <si>
    <t>HILARION-Abastos</t>
  </si>
  <si>
    <t>Carlos Hernández</t>
  </si>
  <si>
    <t>Carrera 22 con Ave. Carlos Soublette #8-35</t>
  </si>
  <si>
    <t>San Cristóbal</t>
  </si>
  <si>
    <t>Táchira</t>
  </si>
  <si>
    <t>5022</t>
  </si>
  <si>
    <t>(5) 555-1340</t>
  </si>
  <si>
    <t>Hungry Coyote Import Store</t>
  </si>
  <si>
    <t>Yoshi Latimer</t>
  </si>
  <si>
    <t>City Center Plaza 516 Main St.</t>
  </si>
  <si>
    <t>Elgin</t>
  </si>
  <si>
    <t>97827</t>
  </si>
  <si>
    <t>(503) 555-6874</t>
  </si>
  <si>
    <t>Hungry Owl All-Night Grocers</t>
  </si>
  <si>
    <t>Patricia McKenna</t>
  </si>
  <si>
    <t>8 Johnstown Road</t>
  </si>
  <si>
    <t>Cork</t>
  </si>
  <si>
    <t>Co. Cork</t>
  </si>
  <si>
    <t>Ireland</t>
  </si>
  <si>
    <t>2967 542</t>
  </si>
  <si>
    <t>Island Trading</t>
  </si>
  <si>
    <t>Helen Bennett</t>
  </si>
  <si>
    <t>Garden House Crowther Way</t>
  </si>
  <si>
    <t>Cowes</t>
  </si>
  <si>
    <t>Isle of Wight</t>
  </si>
  <si>
    <t>PO31 7PJ</t>
  </si>
  <si>
    <t>(198) 555-8888</t>
  </si>
  <si>
    <t>Königlich Essen</t>
  </si>
  <si>
    <t>Philip Cramer</t>
  </si>
  <si>
    <t>Maubelstr. 90</t>
  </si>
  <si>
    <t>Brandenburg</t>
  </si>
  <si>
    <t>14776</t>
  </si>
  <si>
    <t>0555-09876</t>
  </si>
  <si>
    <t>La corne d'abondance</t>
  </si>
  <si>
    <t>Daniel Tonini</t>
  </si>
  <si>
    <t>67 avenue de l'Europe</t>
  </si>
  <si>
    <t>Versailles</t>
  </si>
  <si>
    <t>78000</t>
  </si>
  <si>
    <t>30.59.84.10</t>
  </si>
  <si>
    <t>La maison d'Asie</t>
  </si>
  <si>
    <t>Annette Roulet</t>
  </si>
  <si>
    <t>1 rue Alsace-Lorraine</t>
  </si>
  <si>
    <t>Toulouse</t>
  </si>
  <si>
    <t>31000</t>
  </si>
  <si>
    <t>61.77.61.10</t>
  </si>
  <si>
    <t>Laughing Bacchus Wine Cellars</t>
  </si>
  <si>
    <t>Yoshi Tannamuri</t>
  </si>
  <si>
    <t>1900 Oak St.</t>
  </si>
  <si>
    <t>Vancouver</t>
  </si>
  <si>
    <t>V3F 2K1</t>
  </si>
  <si>
    <t>(604) 555-3392</t>
  </si>
  <si>
    <t>Lazy K Kountry Store</t>
  </si>
  <si>
    <t>John Steel</t>
  </si>
  <si>
    <t>12 Orchestra Terrace</t>
  </si>
  <si>
    <t>Walla Walla</t>
  </si>
  <si>
    <t>WA</t>
  </si>
  <si>
    <t>99362</t>
  </si>
  <si>
    <t>(509) 555-7969</t>
  </si>
  <si>
    <t>Lehmanns Marktstand</t>
  </si>
  <si>
    <t>Renate Messner</t>
  </si>
  <si>
    <t>Magazinweg 7</t>
  </si>
  <si>
    <t>Frankfurt a.M.</t>
  </si>
  <si>
    <t>60528</t>
  </si>
  <si>
    <t>069-0245984</t>
  </si>
  <si>
    <t>Let's Stop N Shop</t>
  </si>
  <si>
    <t>Jaime Yorres</t>
  </si>
  <si>
    <t>87 Polk St. Suite 5</t>
  </si>
  <si>
    <t>San Francisco</t>
  </si>
  <si>
    <t>CA</t>
  </si>
  <si>
    <t>94117</t>
  </si>
  <si>
    <t>(415) 555-5938</t>
  </si>
  <si>
    <t>LILA-Supermercado</t>
  </si>
  <si>
    <t>Carlos González</t>
  </si>
  <si>
    <t>Carrera 52 con Ave. Bolívar #65-98 Llano Largo</t>
  </si>
  <si>
    <t>Barquisimeto</t>
  </si>
  <si>
    <t>Lara</t>
  </si>
  <si>
    <t>3508</t>
  </si>
  <si>
    <t>(9) 331-6954</t>
  </si>
  <si>
    <t>LINO-Delicateses</t>
  </si>
  <si>
    <t>Felipe Izquierdo</t>
  </si>
  <si>
    <t>Ave. 5 de Mayo Porlamar</t>
  </si>
  <si>
    <t>I. de Margarita</t>
  </si>
  <si>
    <t>Nueva Esparta</t>
  </si>
  <si>
    <t>4980</t>
  </si>
  <si>
    <t>(8) 34-56-12</t>
  </si>
  <si>
    <t>Lonesome Pine Restaurant</t>
  </si>
  <si>
    <t>Fran Wilson</t>
  </si>
  <si>
    <t>89 Chiaroscuro Rd.</t>
  </si>
  <si>
    <t>Portland</t>
  </si>
  <si>
    <t>97219</t>
  </si>
  <si>
    <t>(503) 555-9573</t>
  </si>
  <si>
    <t>Magazzini Alimentari Riuniti</t>
  </si>
  <si>
    <t>Giovanni Rovelli</t>
  </si>
  <si>
    <t>Via Ludovico il Moro 22</t>
  </si>
  <si>
    <t>Bergamo</t>
  </si>
  <si>
    <t>24100</t>
  </si>
  <si>
    <t>035-640230</t>
  </si>
  <si>
    <t>Maison Dewey</t>
  </si>
  <si>
    <t>Catherine Dewey</t>
  </si>
  <si>
    <t>Rue Joseph-Bens 532</t>
  </si>
  <si>
    <t>Bruxelles</t>
  </si>
  <si>
    <t>B-1180</t>
  </si>
  <si>
    <t>Belgium</t>
  </si>
  <si>
    <t>(02) 201 24 67</t>
  </si>
  <si>
    <t>Mère Paillarde</t>
  </si>
  <si>
    <t>Jean Fresnière</t>
  </si>
  <si>
    <t>43 rue St. Laurent</t>
  </si>
  <si>
    <t>Québec</t>
  </si>
  <si>
    <t>H1J 1C3</t>
  </si>
  <si>
    <t>(514) 555-8054</t>
  </si>
  <si>
    <t>Morgenstern Gesundkost</t>
  </si>
  <si>
    <t>Alexander Feuer</t>
  </si>
  <si>
    <t>Heerstr. 22</t>
  </si>
  <si>
    <t>Leipzig</t>
  </si>
  <si>
    <t>04179</t>
  </si>
  <si>
    <t>0342-023176</t>
  </si>
  <si>
    <t>North/South</t>
  </si>
  <si>
    <t>Simon Crowther</t>
  </si>
  <si>
    <t>South House 300 Queensbridge</t>
  </si>
  <si>
    <t>SW7 1RZ</t>
  </si>
  <si>
    <t>(171) 555-7733</t>
  </si>
  <si>
    <t>Océano Atlántico Ltda.</t>
  </si>
  <si>
    <t>Yvonne Moncada</t>
  </si>
  <si>
    <t>Ing. Gustavo Moncada 8585 Piso 20-A</t>
  </si>
  <si>
    <t>(1) 135-5333</t>
  </si>
  <si>
    <t>Old World Delicatessen</t>
  </si>
  <si>
    <t>Rene Phillips</t>
  </si>
  <si>
    <t>2743 Bering St.</t>
  </si>
  <si>
    <t>Anchorage</t>
  </si>
  <si>
    <t>AK</t>
  </si>
  <si>
    <t>99508</t>
  </si>
  <si>
    <t>(907) 555-7584</t>
  </si>
  <si>
    <t>Ottilies Käseladen</t>
  </si>
  <si>
    <t>Henriette Pfalzheim</t>
  </si>
  <si>
    <t>Mehrheimerstr. 369</t>
  </si>
  <si>
    <t>Köln</t>
  </si>
  <si>
    <t>50739</t>
  </si>
  <si>
    <t>0221-0644327</t>
  </si>
  <si>
    <t>PARIS</t>
  </si>
  <si>
    <t>Paris spécialités</t>
  </si>
  <si>
    <t>Marie Bertrand</t>
  </si>
  <si>
    <t>265 boulevard Charonne</t>
  </si>
  <si>
    <t>75012</t>
  </si>
  <si>
    <t>(1) 42.34.22.66</t>
  </si>
  <si>
    <t>Pericles Comidas clásicas</t>
  </si>
  <si>
    <t>Guillermo Fernández</t>
  </si>
  <si>
    <t>Calle Dr. Jorge Cash 321</t>
  </si>
  <si>
    <t>05033</t>
  </si>
  <si>
    <t>(5) 552-3745</t>
  </si>
  <si>
    <t>Piccolo und mehr</t>
  </si>
  <si>
    <t>Georg Pipps</t>
  </si>
  <si>
    <t>Geislweg 14</t>
  </si>
  <si>
    <t>Salzburg</t>
  </si>
  <si>
    <t>5020</t>
  </si>
  <si>
    <t>6562-9722</t>
  </si>
  <si>
    <t>Princesa Isabel Vinhos</t>
  </si>
  <si>
    <t>Isabel de Castro</t>
  </si>
  <si>
    <t>Estrada da saúde n. 58</t>
  </si>
  <si>
    <t>1756</t>
  </si>
  <si>
    <t>(1) 356-5634</t>
  </si>
  <si>
    <t>Que Delícia</t>
  </si>
  <si>
    <t>Bernardo Batista</t>
  </si>
  <si>
    <t>Rua da Panificadora</t>
  </si>
  <si>
    <t>02389-673</t>
  </si>
  <si>
    <t>(21) 555-4252</t>
  </si>
  <si>
    <t>Queen Cozinha</t>
  </si>
  <si>
    <t>Lúcia Carvalho</t>
  </si>
  <si>
    <t>Alameda dos Canàrios 891</t>
  </si>
  <si>
    <t>05487-020</t>
  </si>
  <si>
    <t>(11) 555-1189</t>
  </si>
  <si>
    <t>QUICK-Stop</t>
  </si>
  <si>
    <t>Horst Kloss</t>
  </si>
  <si>
    <t>Taucherstraße 10</t>
  </si>
  <si>
    <t>Cunewalde</t>
  </si>
  <si>
    <t>01307</t>
  </si>
  <si>
    <t>0372-035188</t>
  </si>
  <si>
    <t>Rancho grande</t>
  </si>
  <si>
    <t>Sergio Gutiérrez</t>
  </si>
  <si>
    <t>Av. del Libertador 900</t>
  </si>
  <si>
    <t>(1) 123-5555</t>
  </si>
  <si>
    <t>Rattlesnake Canyon Grocery</t>
  </si>
  <si>
    <t>Paula Wilson</t>
  </si>
  <si>
    <t>Assistant Sales Representative</t>
  </si>
  <si>
    <t>2817 Milton Dr.</t>
  </si>
  <si>
    <t>Albuquerque</t>
  </si>
  <si>
    <t>NM</t>
  </si>
  <si>
    <t>87110</t>
  </si>
  <si>
    <t>(505) 555-5939</t>
  </si>
  <si>
    <t>Reggiani Caseifici</t>
  </si>
  <si>
    <t>Maurizio Moroni</t>
  </si>
  <si>
    <t>Strada Provinciale 124</t>
  </si>
  <si>
    <t>Reggio Emilia</t>
  </si>
  <si>
    <t>42100</t>
  </si>
  <si>
    <t>0522-556721</t>
  </si>
  <si>
    <t>Ricardo Adocicados</t>
  </si>
  <si>
    <t>Janete Limeira</t>
  </si>
  <si>
    <t>Av. Copacabana 267</t>
  </si>
  <si>
    <t>02389-890</t>
  </si>
  <si>
    <t>(21) 555-3412</t>
  </si>
  <si>
    <t>Richter Supermarkt</t>
  </si>
  <si>
    <t>Michael Holz</t>
  </si>
  <si>
    <t>Grenzacherweg 237</t>
  </si>
  <si>
    <t>Genève</t>
  </si>
  <si>
    <t>1203</t>
  </si>
  <si>
    <t>0897-034214</t>
  </si>
  <si>
    <t>Romero y tomillo</t>
  </si>
  <si>
    <t>Alejandra Camino</t>
  </si>
  <si>
    <t>Gran Vía 1</t>
  </si>
  <si>
    <t>28001</t>
  </si>
  <si>
    <t>(91) 745 6200</t>
  </si>
  <si>
    <t>Santé Gourmet</t>
  </si>
  <si>
    <t>Jonas Bergulfsen</t>
  </si>
  <si>
    <t>Erling Skakkes gate 78</t>
  </si>
  <si>
    <t>Stavern</t>
  </si>
  <si>
    <t>4110</t>
  </si>
  <si>
    <t>07-98 92 35</t>
  </si>
  <si>
    <t>Save-a-lot Markets</t>
  </si>
  <si>
    <t>Jose Pavarotti</t>
  </si>
  <si>
    <t>187 Suffolk Ln.</t>
  </si>
  <si>
    <t>Boise</t>
  </si>
  <si>
    <t>ID</t>
  </si>
  <si>
    <t>83720</t>
  </si>
  <si>
    <t>(208) 555-8097</t>
  </si>
  <si>
    <t>Seven Seas Imports</t>
  </si>
  <si>
    <t>Hari Kumar</t>
  </si>
  <si>
    <t>90 Wadhurst Rd.</t>
  </si>
  <si>
    <t>OX15 4NB</t>
  </si>
  <si>
    <t>(171) 555-1717</t>
  </si>
  <si>
    <t>Simons bistro</t>
  </si>
  <si>
    <t>Jytte Petersen</t>
  </si>
  <si>
    <t>Vinbæltet 34</t>
  </si>
  <si>
    <t>Kobenhavn</t>
  </si>
  <si>
    <t>1734</t>
  </si>
  <si>
    <t>31 12 34 56</t>
  </si>
  <si>
    <t>Spécialités du monde</t>
  </si>
  <si>
    <t>Dominique Perrier</t>
  </si>
  <si>
    <t>25 rue Lauriston</t>
  </si>
  <si>
    <t>75016</t>
  </si>
  <si>
    <t>(1) 47.55.60.10</t>
  </si>
  <si>
    <t>Split Rail Beer &amp; Ale</t>
  </si>
  <si>
    <t>Art Braunschweiger</t>
  </si>
  <si>
    <t>P.O. Box 555</t>
  </si>
  <si>
    <t>Lander</t>
  </si>
  <si>
    <t>WY</t>
  </si>
  <si>
    <t>82520</t>
  </si>
  <si>
    <t>(307) 555-4680</t>
  </si>
  <si>
    <t>Suprêmes délices</t>
  </si>
  <si>
    <t>Pascale Cartrain</t>
  </si>
  <si>
    <t>Boulevard Tirou 255</t>
  </si>
  <si>
    <t>Charleroi</t>
  </si>
  <si>
    <t>B-6000</t>
  </si>
  <si>
    <t>(071) 23 67 22 20</t>
  </si>
  <si>
    <t>The Big Cheese</t>
  </si>
  <si>
    <t>Liz Nixon</t>
  </si>
  <si>
    <t>89 Jefferson Way Suite 2</t>
  </si>
  <si>
    <t>97201</t>
  </si>
  <si>
    <t>(503) 555-3612</t>
  </si>
  <si>
    <t>The Cracker Box</t>
  </si>
  <si>
    <t>Liu Wong</t>
  </si>
  <si>
    <t>55 Grizzly Peak Rd.</t>
  </si>
  <si>
    <t>Butte</t>
  </si>
  <si>
    <t>MT</t>
  </si>
  <si>
    <t>59801</t>
  </si>
  <si>
    <t>(406) 555-5834</t>
  </si>
  <si>
    <t>Toms Spezialitäten</t>
  </si>
  <si>
    <t>Karin Josephs</t>
  </si>
  <si>
    <t>Luisenstr. 48</t>
  </si>
  <si>
    <t>Münster</t>
  </si>
  <si>
    <t>44087</t>
  </si>
  <si>
    <t>0251-031259</t>
  </si>
  <si>
    <t>Tortuga Restaurante</t>
  </si>
  <si>
    <t>Miguel Angel Paolino</t>
  </si>
  <si>
    <t>Avda. Azteca 123</t>
  </si>
  <si>
    <t>(5) 555-2933</t>
  </si>
  <si>
    <t>Tradição Hipermercados</t>
  </si>
  <si>
    <t>Anabela Domingues</t>
  </si>
  <si>
    <t>Av. Inês de Castro 414</t>
  </si>
  <si>
    <t>05634-030</t>
  </si>
  <si>
    <t>(11) 555-2167</t>
  </si>
  <si>
    <t>Trail's Head Gourmet Provisioners</t>
  </si>
  <si>
    <t>Helvetius Nagy</t>
  </si>
  <si>
    <t>722 DaVinci Blvd.</t>
  </si>
  <si>
    <t>Kirkland</t>
  </si>
  <si>
    <t>98034</t>
  </si>
  <si>
    <t>(206) 555-8257</t>
  </si>
  <si>
    <t>Vaffeljernet</t>
  </si>
  <si>
    <t>Palle Ibsen</t>
  </si>
  <si>
    <t>Smagsloget 45</t>
  </si>
  <si>
    <t>Århus</t>
  </si>
  <si>
    <t>8200</t>
  </si>
  <si>
    <t>86 21 32 43</t>
  </si>
  <si>
    <t>Victuailles en stock</t>
  </si>
  <si>
    <t>Mary Saveley</t>
  </si>
  <si>
    <t>2 rue du Commerce</t>
  </si>
  <si>
    <t>Lyon</t>
  </si>
  <si>
    <t>69004</t>
  </si>
  <si>
    <t>78.32.54.86</t>
  </si>
  <si>
    <t>Vins et alcools Chevalier</t>
  </si>
  <si>
    <t>Paul Henriot</t>
  </si>
  <si>
    <t>59 rue de l'Abbaye</t>
  </si>
  <si>
    <t>Reims</t>
  </si>
  <si>
    <t>51100</t>
  </si>
  <si>
    <t>26.47.15.10</t>
  </si>
  <si>
    <t>Die Wandernde Kuh</t>
  </si>
  <si>
    <t>Rita Müller</t>
  </si>
  <si>
    <t>Adenauerallee 900</t>
  </si>
  <si>
    <t>Stuttgart</t>
  </si>
  <si>
    <t>70563</t>
  </si>
  <si>
    <t>0711-020361</t>
  </si>
  <si>
    <t>Wartian Herkku</t>
  </si>
  <si>
    <t>Pirkko Koskitalo</t>
  </si>
  <si>
    <t>Torikatu 38</t>
  </si>
  <si>
    <t>Oulu</t>
  </si>
  <si>
    <t>90110</t>
  </si>
  <si>
    <t>981-443655</t>
  </si>
  <si>
    <t>Wellington Importadora</t>
  </si>
  <si>
    <t>Paula Parente</t>
  </si>
  <si>
    <t>Rua do Mercado 12</t>
  </si>
  <si>
    <t>Resende</t>
  </si>
  <si>
    <t>08737-363</t>
  </si>
  <si>
    <t>(14) 555-8122</t>
  </si>
  <si>
    <t>White Clover Markets</t>
  </si>
  <si>
    <t>Karl Jablonski</t>
  </si>
  <si>
    <t>305 - 14th Ave. S. Suite 3B</t>
  </si>
  <si>
    <t>Seattle</t>
  </si>
  <si>
    <t>98128</t>
  </si>
  <si>
    <t>(206) 555-4112</t>
  </si>
  <si>
    <t>Wilman Kala</t>
  </si>
  <si>
    <t>Matti Karttunen</t>
  </si>
  <si>
    <t>Owner/Marketing Assistant</t>
  </si>
  <si>
    <t>Keskuskatu 45</t>
  </si>
  <si>
    <t>Helsinki</t>
  </si>
  <si>
    <t>21240</t>
  </si>
  <si>
    <t>90-224 8858</t>
  </si>
  <si>
    <t>Wolski  Zajazd</t>
  </si>
  <si>
    <t>Zbyszek Piestrzeniewicz</t>
  </si>
  <si>
    <t>ul. Filtrowa 68</t>
  </si>
  <si>
    <t>Warszawa</t>
  </si>
  <si>
    <t>01-012</t>
  </si>
  <si>
    <t>Poland</t>
  </si>
  <si>
    <t>(26) 642-7012</t>
  </si>
  <si>
    <t>customerName</t>
  </si>
  <si>
    <t>orderCount</t>
  </si>
  <si>
    <t>sinceLastOrder</t>
  </si>
  <si>
    <t>customerStatus</t>
  </si>
  <si>
    <t>productCategory</t>
  </si>
  <si>
    <t>productStatus</t>
  </si>
  <si>
    <t>productCost</t>
  </si>
  <si>
    <t>productMarkup</t>
  </si>
  <si>
    <t>orderTotal</t>
  </si>
  <si>
    <t>revenue</t>
  </si>
  <si>
    <t>profit</t>
  </si>
  <si>
    <t>profitMargin</t>
  </si>
  <si>
    <t>unitsStocked</t>
  </si>
  <si>
    <t>unitsOrdered</t>
  </si>
  <si>
    <t>salesVelocity</t>
  </si>
  <si>
    <t>shipDuration</t>
  </si>
  <si>
    <t>Revenue by Customers</t>
  </si>
  <si>
    <t>Revenue by Products</t>
  </si>
  <si>
    <t>Revenue by Categories</t>
  </si>
  <si>
    <t>Customer Loyalty</t>
  </si>
  <si>
    <t>Product Lifecycle</t>
  </si>
  <si>
    <t>Product revenue: Thüringer Rostbratwurst</t>
  </si>
  <si>
    <t>Price Point Analysis</t>
  </si>
  <si>
    <t>Inventory Management</t>
  </si>
  <si>
    <t>Shipping Performance</t>
  </si>
  <si>
    <t>Profit &amp; Profit Margin</t>
  </si>
  <si>
    <t>Forecast: Sales Volume</t>
  </si>
  <si>
    <t>Forecast: Product Cost</t>
  </si>
  <si>
    <t>% of Total</t>
  </si>
  <si>
    <t>Cumulative</t>
  </si>
  <si>
    <t>Total Revenue</t>
  </si>
  <si>
    <t>Order Count</t>
  </si>
  <si>
    <t>AVG Revenue</t>
  </si>
  <si>
    <t>Frequency</t>
  </si>
  <si>
    <t>Elapsed</t>
  </si>
  <si>
    <t>Last Order</t>
  </si>
  <si>
    <t>Month</t>
  </si>
  <si>
    <t>Grouped orderPrice</t>
  </si>
  <si>
    <t>In Stock</t>
  </si>
  <si>
    <t>Ordered</t>
  </si>
  <si>
    <t>Reorder Level</t>
  </si>
  <si>
    <t>Days-to-Stockout</t>
  </si>
  <si>
    <t>Levels</t>
  </si>
  <si>
    <t>Status</t>
  </si>
  <si>
    <t>Carrier</t>
  </si>
  <si>
    <t>Average Duration</t>
  </si>
  <si>
    <t>Cost Effectiveness</t>
  </si>
  <si>
    <t>orderDate - Year-Month</t>
  </si>
  <si>
    <t>Profit</t>
  </si>
  <si>
    <t>Profit Margin</t>
  </si>
  <si>
    <t>Sales Volume</t>
  </si>
  <si>
    <t>Product Cost</t>
  </si>
  <si>
    <t>Dormant</t>
  </si>
  <si>
    <t>Current</t>
  </si>
  <si>
    <t>2022-Jul</t>
  </si>
  <si>
    <t>0.00 € - 10.00 €</t>
  </si>
  <si>
    <t>Normal</t>
  </si>
  <si>
    <t>On Order</t>
  </si>
  <si>
    <t>2022-Aug</t>
  </si>
  <si>
    <t>10.00 € - 20.00 €</t>
  </si>
  <si>
    <t>2022-Sep</t>
  </si>
  <si>
    <t>20.00 € - 30.00 €</t>
  </si>
  <si>
    <t>2022-Nov</t>
  </si>
  <si>
    <t>30.00 € - 40.00 €</t>
  </si>
  <si>
    <t>Adequate</t>
  </si>
  <si>
    <t>Grand Total</t>
  </si>
  <si>
    <t>2022-Oct</t>
  </si>
  <si>
    <t>Dormant Total</t>
  </si>
  <si>
    <t>2022-Dec</t>
  </si>
  <si>
    <t>40.00 € - 50.00 €</t>
  </si>
  <si>
    <t>New</t>
  </si>
  <si>
    <t>2023-Jan</t>
  </si>
  <si>
    <t>50.00 € - 60.00 €</t>
  </si>
  <si>
    <t>New Total</t>
  </si>
  <si>
    <t>2023-Feb</t>
  </si>
  <si>
    <t>60.00 € - 70.00 €</t>
  </si>
  <si>
    <t>Reorder</t>
  </si>
  <si>
    <t>Non-Returning</t>
  </si>
  <si>
    <t>2023-Mar</t>
  </si>
  <si>
    <t>70.00 € - 80.00 €</t>
  </si>
  <si>
    <t>2023-Apr</t>
  </si>
  <si>
    <t>80.00 € - 90.00 €</t>
  </si>
  <si>
    <t>Non-Returning Total</t>
  </si>
  <si>
    <t>2023-Jun</t>
  </si>
  <si>
    <t>90.00 € - 100.00 €</t>
  </si>
  <si>
    <t>Regular</t>
  </si>
  <si>
    <t>2023-Aug</t>
  </si>
  <si>
    <t>120.00 € - 130.00 €</t>
  </si>
  <si>
    <t>2023-May</t>
  </si>
  <si>
    <t>2023-Sep</t>
  </si>
  <si>
    <t>210.00 € - 220.00 €</t>
  </si>
  <si>
    <t>2023-Oct</t>
  </si>
  <si>
    <t>260.00 € - 270.00 €</t>
  </si>
  <si>
    <t>2023-Jul</t>
  </si>
  <si>
    <t>2023-Dec</t>
  </si>
  <si>
    <t>Revenue by Country</t>
  </si>
  <si>
    <t>2024-Jan</t>
  </si>
  <si>
    <t>2024-Feb</t>
  </si>
  <si>
    <t>2024-Mar</t>
  </si>
  <si>
    <t>2023-Nov</t>
  </si>
  <si>
    <t>2024-Apr</t>
  </si>
  <si>
    <t>Thüringer Rostbratwurst Total</t>
  </si>
  <si>
    <t>Product revenue: Alice Mutton</t>
  </si>
  <si>
    <t>Product Cost vs Sales Price</t>
  </si>
  <si>
    <t>Sale Price</t>
  </si>
  <si>
    <t>Revenue by Country &amp; City</t>
  </si>
  <si>
    <t>Alice Mutton Total</t>
  </si>
  <si>
    <t>CustomerCountry</t>
  </si>
  <si>
    <t>customerCity</t>
  </si>
  <si>
    <t>SUM of revenue</t>
  </si>
  <si>
    <t>Product revenue: Rössle Sauerkraut</t>
  </si>
  <si>
    <t>Excess</t>
  </si>
  <si>
    <t>Rössle Sauerkraut Total</t>
  </si>
  <si>
    <t>Current Total</t>
  </si>
  <si>
    <t>Discontinued</t>
  </si>
  <si>
    <t>Product revenue: Perth Pasties</t>
  </si>
  <si>
    <t>Discontinued Total</t>
  </si>
  <si>
    <t>Perth Pasties Total</t>
  </si>
  <si>
    <t>Regular Total</t>
  </si>
  <si>
    <t>orderCosts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</si>
</sst>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0.00\ [$€-1]"/>
    <numFmt numFmtId="166" formatCode="yyyy&quot;-&quot;mm&quot;-&quot;dd"/>
    <numFmt numFmtId="167" formatCode="#,##0.00[$€]"/>
    <numFmt numFmtId="168" formatCode="yyyy&quot;-&quot;mmm"/>
    <numFmt numFmtId="169" formatCode="m/d/yyyy h:mm:ss"/>
  </numFmts>
  <fonts count="6">
    <font>
      <sz val="12.0"/>
      <color theme="1"/>
      <name val="Calibri"/>
      <scheme val="minor"/>
    </font>
    <font>
      <sz val="12.0"/>
      <color theme="1"/>
      <name val="Roboto"/>
    </font>
    <font>
      <b/>
      <sz val="12.0"/>
      <color theme="1"/>
      <name val="Roboto"/>
    </font>
    <font>
      <color theme="1"/>
      <name val="Calibri"/>
      <scheme val="minor"/>
    </font>
    <font>
      <b/>
      <color theme="1"/>
      <name val="Roboto"/>
    </font>
    <font>
      <color theme="1"/>
      <name val="Roboto"/>
    </font>
  </fonts>
  <fills count="7">
    <fill>
      <patternFill patternType="none"/>
    </fill>
    <fill>
      <patternFill patternType="lightGray"/>
    </fill>
    <fill>
      <patternFill patternType="solid">
        <fgColor rgb="FF6AA84F"/>
        <bgColor rgb="FF6AA84F"/>
      </patternFill>
    </fill>
    <fill>
      <patternFill patternType="solid">
        <fgColor rgb="FF434343"/>
        <bgColor rgb="FF434343"/>
      </patternFill>
    </fill>
    <fill>
      <patternFill patternType="solid">
        <fgColor rgb="FF666666"/>
        <bgColor rgb="FF666666"/>
      </patternFill>
    </fill>
    <fill>
      <patternFill patternType="solid">
        <fgColor rgb="FFB6D7A8"/>
        <bgColor rgb="FFB6D7A8"/>
      </patternFill>
    </fill>
    <fill>
      <patternFill patternType="solid">
        <fgColor rgb="FFEA9999"/>
        <bgColor rgb="FFEA9999"/>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10" xfId="0" applyAlignment="1" applyFont="1" applyNumberFormat="1">
      <alignment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center" vertical="center"/>
    </xf>
    <xf borderId="0" fillId="0" fontId="3" numFmtId="0" xfId="0" applyAlignment="1" applyFont="1">
      <alignment shrinkToFit="0" vertical="center" wrapText="0"/>
    </xf>
    <xf borderId="0" fillId="0" fontId="3" numFmtId="165" xfId="0" applyAlignment="1" applyFont="1" applyNumberFormat="1">
      <alignment shrinkToFit="0" vertical="center" wrapText="0"/>
    </xf>
    <xf borderId="0" fillId="0" fontId="3" numFmtId="0" xfId="0" applyAlignment="1" applyFont="1">
      <alignment horizontal="center"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horizontal="center" readingOrder="0" shrinkToFit="0" vertical="center" wrapText="0"/>
    </xf>
    <xf borderId="0" fillId="0" fontId="3" numFmtId="165" xfId="0" applyFont="1" applyNumberFormat="1"/>
    <xf borderId="0" fillId="0" fontId="3" numFmtId="0" xfId="0" applyAlignment="1" applyFont="1">
      <alignment horizontal="center"/>
    </xf>
    <xf borderId="0" fillId="0" fontId="3" numFmtId="49" xfId="0" applyAlignment="1" applyFont="1" applyNumberFormat="1">
      <alignment shrinkToFit="0" vertical="center" wrapText="0"/>
    </xf>
    <xf borderId="0" fillId="0" fontId="3" numFmtId="49"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1" numFmtId="166" xfId="0" applyAlignment="1" applyFont="1" applyNumberFormat="1">
      <alignment shrinkToFit="0" vertical="center" wrapText="0"/>
    </xf>
    <xf borderId="0" fillId="0" fontId="1" numFmtId="10" xfId="0" applyAlignment="1" applyFont="1" applyNumberFormat="1">
      <alignment shrinkToFit="0" vertical="center" wrapText="0"/>
    </xf>
    <xf borderId="0" fillId="0" fontId="1" numFmtId="4" xfId="0" applyAlignment="1" applyFont="1" applyNumberFormat="1">
      <alignment shrinkToFit="0" vertical="center" wrapText="0"/>
    </xf>
    <xf borderId="0" fillId="2" fontId="4" numFmtId="0" xfId="0" applyAlignment="1" applyFill="1" applyFont="1">
      <alignment readingOrder="0"/>
    </xf>
    <xf borderId="0" fillId="3" fontId="5" numFmtId="0" xfId="0" applyFill="1" applyFont="1"/>
    <xf borderId="0" fillId="4" fontId="5" numFmtId="0" xfId="0" applyFill="1" applyFont="1"/>
    <xf borderId="0" fillId="0" fontId="5" numFmtId="0" xfId="0" applyFont="1"/>
    <xf borderId="0" fillId="5" fontId="4" numFmtId="0" xfId="0" applyAlignment="1" applyFill="1" applyFont="1">
      <alignment readingOrder="0"/>
    </xf>
    <xf borderId="0" fillId="5" fontId="4" numFmtId="167" xfId="0" applyFont="1" applyNumberFormat="1"/>
    <xf borderId="0" fillId="5" fontId="4" numFmtId="10" xfId="0" applyAlignment="1" applyFont="1" applyNumberFormat="1">
      <alignment readingOrder="0"/>
    </xf>
    <xf borderId="0" fillId="0" fontId="3" numFmtId="49" xfId="0" applyFont="1" applyNumberFormat="1"/>
    <xf borderId="0" fillId="0" fontId="5" numFmtId="49" xfId="0" applyFont="1" applyNumberFormat="1"/>
    <xf borderId="0" fillId="0" fontId="5" numFmtId="3" xfId="0" applyFont="1" applyNumberFormat="1"/>
    <xf borderId="0" fillId="0" fontId="5" numFmtId="0" xfId="0" applyAlignment="1" applyFont="1">
      <alignment readingOrder="0"/>
    </xf>
    <xf borderId="0" fillId="0" fontId="5" numFmtId="4" xfId="0" applyFont="1" applyNumberFormat="1"/>
    <xf borderId="0" fillId="0" fontId="5" numFmtId="166" xfId="0" applyFont="1" applyNumberFormat="1"/>
    <xf borderId="0" fillId="0" fontId="4" numFmtId="168" xfId="0" applyAlignment="1" applyFont="1" applyNumberFormat="1">
      <alignment readingOrder="0"/>
    </xf>
    <xf borderId="0" fillId="0" fontId="4" numFmtId="0" xfId="0" applyFont="1"/>
    <xf borderId="0" fillId="0" fontId="5" numFmtId="167" xfId="0" applyFont="1" applyNumberFormat="1"/>
    <xf borderId="0" fillId="0" fontId="5" numFmtId="10" xfId="0" applyFont="1" applyNumberFormat="1"/>
    <xf borderId="0" fillId="0" fontId="5" numFmtId="0" xfId="0" applyFont="1"/>
    <xf borderId="0" fillId="0" fontId="5" numFmtId="166" xfId="0" applyFont="1" applyNumberFormat="1"/>
    <xf borderId="0" fillId="0" fontId="5" numFmtId="165" xfId="0" applyFont="1" applyNumberFormat="1"/>
    <xf borderId="0" fillId="0" fontId="5" numFmtId="169" xfId="0" applyFont="1" applyNumberFormat="1"/>
    <xf borderId="0" fillId="0" fontId="5" numFmtId="168" xfId="0" applyAlignment="1" applyFont="1" applyNumberFormat="1">
      <alignment readingOrder="0"/>
    </xf>
    <xf borderId="0" fillId="6" fontId="5" numFmtId="168" xfId="0" applyAlignment="1" applyFill="1" applyFont="1" applyNumberFormat="1">
      <alignment readingOrder="0"/>
    </xf>
    <xf borderId="0" fillId="6" fontId="5" numFmtId="3" xfId="0" applyFont="1" applyNumberFormat="1"/>
    <xf borderId="0" fillId="6" fontId="5" numFmtId="165" xfId="0" applyFont="1" applyNumberFormat="1"/>
    <xf borderId="0" fillId="0" fontId="5" numFmtId="168" xfId="0" applyFont="1" applyNumberFormat="1"/>
    <xf borderId="0" fillId="4" fontId="3"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1 orders-style">
      <tableStyleElement dxfId="1" type="headerRow"/>
      <tableStyleElement dxfId="2" type="firstRowStripe"/>
      <tableStyleElement dxfId="3" type="secondRowStripe"/>
      <tableStyleElement dxfId="4" size="0" type="wholeTable"/>
    </tableStyle>
    <tableStyle count="4" pivot="0" name="2 products-style">
      <tableStyleElement dxfId="1" type="headerRow"/>
      <tableStyleElement dxfId="2" type="firstRowStripe"/>
      <tableStyleElement dxfId="3" type="secondRowStripe"/>
      <tableStyleElement dxfId="4" size="0" type="wholeTable"/>
    </tableStyle>
    <tableStyle count="4" pivot="0" name="3 customers-style">
      <tableStyleElement dxfId="1" type="headerRow"/>
      <tableStyleElement dxfId="2" type="firstRowStripe"/>
      <tableStyleElement dxfId="3" type="secondRowStripe"/>
      <tableStyleElement dxfId="4" size="0" type="wholeTable"/>
    </tableStyle>
    <tableStyle count="4" pivot="0" name="analysis-dynamic-style">
      <tableStyleElement dxfId="1" type="headerRow"/>
      <tableStyleElement dxfId="2" type="firstRowStripe"/>
      <tableStyleElement dxfId="3" type="secondRowStripe"/>
      <tableStyleElement dxfId="4" size="0" type="wholeTable"/>
    </tableStyle>
    <tableStyle count="4" pivot="0" name="analysis-operations-style">
      <tableStyleElement dxfId="1" type="headerRow"/>
      <tableStyleElement dxfId="2" type="firstRowStripe"/>
      <tableStyleElement dxfId="3" type="secondRowStripe"/>
      <tableStyleElement dxfId="4" size="0" type="wholeTable"/>
    </tableStyle>
    <tableStyle count="4" pivot="0" name="analysis-revenu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9.xml"/><Relationship Id="rId11" Type="http://schemas.openxmlformats.org/officeDocument/2006/relationships/worksheet" Target="worksheets/sheet8.xml"/><Relationship Id="rId22" Type="http://schemas.openxmlformats.org/officeDocument/2006/relationships/pivotCacheDefinition" Target="pivotCache/pivotCacheDefinition11.xml"/><Relationship Id="rId10" Type="http://schemas.openxmlformats.org/officeDocument/2006/relationships/worksheet" Target="worksheets/sheet7.xml"/><Relationship Id="rId21" Type="http://schemas.openxmlformats.org/officeDocument/2006/relationships/pivotCacheDefinition" Target="pivotCache/pivotCacheDefinition10.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 Id="rId17" Type="http://schemas.openxmlformats.org/officeDocument/2006/relationships/pivotCacheDefinition" Target="pivotCache/pivotCacheDefinition6.xml"/><Relationship Id="rId16" Type="http://schemas.openxmlformats.org/officeDocument/2006/relationships/pivotCacheDefinition" Target="pivotCache/pivotCacheDefinition5.xml"/><Relationship Id="rId5" Type="http://schemas.openxmlformats.org/officeDocument/2006/relationships/worksheet" Target="worksheets/sheet2.xml"/><Relationship Id="rId19" Type="http://schemas.openxmlformats.org/officeDocument/2006/relationships/pivotCacheDefinition" Target="pivotCache/pivotCacheDefinition8.xml"/><Relationship Id="rId6" Type="http://schemas.openxmlformats.org/officeDocument/2006/relationships/worksheet" Target="worksheets/sheet3.xml"/><Relationship Id="rId18" Type="http://schemas.openxmlformats.org/officeDocument/2006/relationships/pivotCacheDefinition" Target="pivotCache/pivotCacheDefinition7.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Pareto Chart: Revenue by Customers</a:t>
            </a:r>
          </a:p>
        </c:rich>
      </c:tx>
      <c:overlay val="0"/>
    </c:title>
    <c:plotArea>
      <c:layout/>
      <c:barChart>
        <c:barDir val="col"/>
        <c:ser>
          <c:idx val="0"/>
          <c:order val="0"/>
          <c:tx>
            <c:strRef>
              <c:f>summary!$B$2</c:f>
            </c:strRef>
          </c:tx>
          <c:spPr>
            <a:solidFill>
              <a:schemeClr val="accent1"/>
            </a:solidFill>
            <a:ln cmpd="sng">
              <a:solidFill>
                <a:srgbClr val="000000"/>
              </a:solidFill>
            </a:ln>
          </c:spPr>
          <c:cat>
            <c:strRef>
              <c:f>summary!$A$3:$A$91</c:f>
            </c:strRef>
          </c:cat>
          <c:val>
            <c:numRef>
              <c:f>summary!$B$3:$B$91</c:f>
              <c:numCache/>
            </c:numRef>
          </c:val>
        </c:ser>
        <c:axId val="2004952944"/>
        <c:axId val="984634168"/>
      </c:barChart>
      <c:catAx>
        <c:axId val="2004952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4634168"/>
      </c:catAx>
      <c:valAx>
        <c:axId val="984634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4952944"/>
      </c:valAx>
      <c:lineChart>
        <c:varyColors val="0"/>
        <c:ser>
          <c:idx val="1"/>
          <c:order val="1"/>
          <c:tx>
            <c:strRef>
              <c:f>summary!$D$2</c:f>
            </c:strRef>
          </c:tx>
          <c:spPr>
            <a:ln cmpd="sng">
              <a:solidFill>
                <a:srgbClr val="C0504D"/>
              </a:solidFill>
            </a:ln>
          </c:spPr>
          <c:marker>
            <c:symbol val="none"/>
          </c:marker>
          <c:cat>
            <c:strRef>
              <c:f>summary!$A$3:$A$91</c:f>
            </c:strRef>
          </c:cat>
          <c:val>
            <c:numRef>
              <c:f>summary!$D$3:$D$91</c:f>
              <c:numCache/>
            </c:numRef>
          </c:val>
          <c:smooth val="0"/>
        </c:ser>
        <c:axId val="1438223579"/>
        <c:axId val="628034099"/>
      </c:lineChart>
      <c:catAx>
        <c:axId val="143822357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28034099"/>
      </c:catAx>
      <c:valAx>
        <c:axId val="62803409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822357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Pareto Chart: Revenue by Products</a:t>
            </a:r>
          </a:p>
        </c:rich>
      </c:tx>
      <c:overlay val="0"/>
    </c:title>
    <c:plotArea>
      <c:layout/>
      <c:barChart>
        <c:barDir val="col"/>
        <c:ser>
          <c:idx val="0"/>
          <c:order val="0"/>
          <c:tx>
            <c:strRef>
              <c:f>summary!$G$2</c:f>
            </c:strRef>
          </c:tx>
          <c:spPr>
            <a:solidFill>
              <a:schemeClr val="accent1"/>
            </a:solidFill>
            <a:ln cmpd="sng">
              <a:solidFill>
                <a:srgbClr val="000000"/>
              </a:solidFill>
            </a:ln>
          </c:spPr>
          <c:cat>
            <c:strRef>
              <c:f>summary!$F$3:$F$79</c:f>
            </c:strRef>
          </c:cat>
          <c:val>
            <c:numRef>
              <c:f>summary!$G$3:$G$79</c:f>
              <c:numCache/>
            </c:numRef>
          </c:val>
        </c:ser>
        <c:axId val="677528517"/>
        <c:axId val="966220692"/>
      </c:barChart>
      <c:catAx>
        <c:axId val="677528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6220692"/>
      </c:catAx>
      <c:valAx>
        <c:axId val="966220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7528517"/>
      </c:valAx>
      <c:lineChart>
        <c:varyColors val="0"/>
        <c:ser>
          <c:idx val="1"/>
          <c:order val="1"/>
          <c:tx>
            <c:strRef>
              <c:f>summary!$I$2</c:f>
            </c:strRef>
          </c:tx>
          <c:spPr>
            <a:ln cmpd="sng">
              <a:solidFill>
                <a:schemeClr val="accent3"/>
              </a:solidFill>
            </a:ln>
          </c:spPr>
          <c:marker>
            <c:symbol val="none"/>
          </c:marker>
          <c:cat>
            <c:strRef>
              <c:f>summary!$F$3:$F$79</c:f>
            </c:strRef>
          </c:cat>
          <c:val>
            <c:numRef>
              <c:f>summary!$I$3:$I$79</c:f>
              <c:numCache/>
            </c:numRef>
          </c:val>
          <c:smooth val="0"/>
        </c:ser>
        <c:axId val="292043168"/>
        <c:axId val="304489499"/>
      </c:lineChart>
      <c:catAx>
        <c:axId val="29204316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304489499"/>
      </c:catAx>
      <c:valAx>
        <c:axId val="30448949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204316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Pareto Chart: Revenue by Categories</a:t>
            </a:r>
          </a:p>
        </c:rich>
      </c:tx>
      <c:overlay val="0"/>
    </c:title>
    <c:plotArea>
      <c:layout/>
      <c:barChart>
        <c:barDir val="col"/>
        <c:ser>
          <c:idx val="0"/>
          <c:order val="0"/>
          <c:tx>
            <c:strRef>
              <c:f>summary!$L$2</c:f>
            </c:strRef>
          </c:tx>
          <c:spPr>
            <a:solidFill>
              <a:schemeClr val="accent1"/>
            </a:solidFill>
            <a:ln cmpd="sng">
              <a:solidFill>
                <a:srgbClr val="000000"/>
              </a:solidFill>
            </a:ln>
          </c:spPr>
          <c:cat>
            <c:strRef>
              <c:f>summary!$K$3:$K$10</c:f>
            </c:strRef>
          </c:cat>
          <c:val>
            <c:numRef>
              <c:f>summary!$L$3:$L$10</c:f>
              <c:numCache/>
            </c:numRef>
          </c:val>
        </c:ser>
        <c:axId val="1469215676"/>
        <c:axId val="936389937"/>
      </c:barChart>
      <c:catAx>
        <c:axId val="14692156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6389937"/>
      </c:catAx>
      <c:valAx>
        <c:axId val="936389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9215676"/>
      </c:valAx>
      <c:lineChart>
        <c:varyColors val="0"/>
        <c:ser>
          <c:idx val="1"/>
          <c:order val="1"/>
          <c:tx>
            <c:strRef>
              <c:f>summary!$N$2</c:f>
            </c:strRef>
          </c:tx>
          <c:spPr>
            <a:ln cmpd="sng">
              <a:solidFill>
                <a:schemeClr val="accent4"/>
              </a:solidFill>
            </a:ln>
          </c:spPr>
          <c:marker>
            <c:symbol val="none"/>
          </c:marker>
          <c:cat>
            <c:strRef>
              <c:f>summary!$K$3:$K$10</c:f>
            </c:strRef>
          </c:cat>
          <c:val>
            <c:numRef>
              <c:f>summary!$N$3:$N$10</c:f>
              <c:numCache/>
            </c:numRef>
          </c:val>
          <c:smooth val="0"/>
        </c:ser>
        <c:axId val="2018866164"/>
        <c:axId val="1040495497"/>
      </c:lineChart>
      <c:catAx>
        <c:axId val="201886616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40495497"/>
      </c:catAx>
      <c:valAx>
        <c:axId val="104049549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8866164"/>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Pareto Chart: Revenue by Countries</a:t>
            </a:r>
          </a:p>
        </c:rich>
      </c:tx>
      <c:overlay val="0"/>
    </c:title>
    <c:plotArea>
      <c:layout/>
      <c:barChart>
        <c:barDir val="col"/>
        <c:ser>
          <c:idx val="0"/>
          <c:order val="0"/>
          <c:tx>
            <c:strRef>
              <c:f>summary!$L$18</c:f>
            </c:strRef>
          </c:tx>
          <c:spPr>
            <a:solidFill>
              <a:schemeClr val="accent1"/>
            </a:solidFill>
            <a:ln cmpd="sng">
              <a:solidFill>
                <a:srgbClr val="000000"/>
              </a:solidFill>
            </a:ln>
          </c:spPr>
          <c:cat>
            <c:strRef>
              <c:f>summary!$K$19:$K$39</c:f>
            </c:strRef>
          </c:cat>
          <c:val>
            <c:numRef>
              <c:f>summary!$L$19:$L$39</c:f>
              <c:numCache/>
            </c:numRef>
          </c:val>
        </c:ser>
        <c:axId val="361990426"/>
        <c:axId val="489232560"/>
      </c:barChart>
      <c:catAx>
        <c:axId val="3619904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89232560"/>
      </c:catAx>
      <c:valAx>
        <c:axId val="4892325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1990426"/>
      </c:valAx>
      <c:lineChart>
        <c:varyColors val="0"/>
        <c:ser>
          <c:idx val="1"/>
          <c:order val="1"/>
          <c:tx>
            <c:strRef>
              <c:f>summary!$N$18</c:f>
            </c:strRef>
          </c:tx>
          <c:spPr>
            <a:ln cmpd="sng">
              <a:solidFill>
                <a:srgbClr val="CC0000">
                  <a:alpha val="100000"/>
                </a:srgbClr>
              </a:solidFill>
            </a:ln>
          </c:spPr>
          <c:marker>
            <c:symbol val="none"/>
          </c:marker>
          <c:cat>
            <c:strRef>
              <c:f>summary!$K$19:$K$39</c:f>
            </c:strRef>
          </c:cat>
          <c:val>
            <c:numRef>
              <c:f>summary!$N$19:$N$39</c:f>
              <c:numCache/>
            </c:numRef>
          </c:val>
          <c:smooth val="0"/>
        </c:ser>
        <c:axId val="29971802"/>
        <c:axId val="297206706"/>
      </c:lineChart>
      <c:catAx>
        <c:axId val="29971802"/>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97206706"/>
      </c:catAx>
      <c:valAx>
        <c:axId val="29720670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971802"/>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Product Revenue: Thüringer Rostbratwurst</a:t>
            </a:r>
          </a:p>
        </c:rich>
      </c:tx>
      <c:overlay val="0"/>
    </c:title>
    <c:plotArea>
      <c:layout/>
      <c:areaChart>
        <c:ser>
          <c:idx val="0"/>
          <c:order val="0"/>
          <c:tx>
            <c:strRef>
              <c:f>summary!$AF$2</c:f>
            </c:strRef>
          </c:tx>
          <c:spPr>
            <a:solidFill>
              <a:schemeClr val="accent3">
                <a:alpha val="50000"/>
              </a:schemeClr>
            </a:solidFill>
            <a:ln cmpd="sng">
              <a:solidFill>
                <a:schemeClr val="accent3"/>
              </a:solidFill>
            </a:ln>
          </c:spPr>
          <c:trendline>
            <c:name/>
            <c:spPr>
              <a:ln w="19050">
                <a:solidFill>
                  <a:srgbClr val="C0504D"/>
                </a:solidFill>
              </a:ln>
            </c:spPr>
            <c:trendlineType val="exp"/>
            <c:dispRSqr val="0"/>
            <c:dispEq val="0"/>
          </c:trendline>
          <c:cat>
            <c:strRef>
              <c:f>summary!$AE$3:$AE$20</c:f>
            </c:strRef>
          </c:cat>
          <c:val>
            <c:numRef>
              <c:f>summary!$AF$3:$AF$20</c:f>
              <c:numCache/>
            </c:numRef>
          </c:val>
        </c:ser>
        <c:axId val="1404689468"/>
        <c:axId val="2109072278"/>
      </c:areaChart>
      <c:catAx>
        <c:axId val="14046894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2109072278"/>
      </c:catAx>
      <c:valAx>
        <c:axId val="2109072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468946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Product Revenue: Alice Mutton</a:t>
            </a:r>
          </a:p>
        </c:rich>
      </c:tx>
      <c:overlay val="0"/>
    </c:title>
    <c:plotArea>
      <c:layout/>
      <c:areaChart>
        <c:ser>
          <c:idx val="0"/>
          <c:order val="0"/>
          <c:tx>
            <c:strRef>
              <c:f>summary!$AF$27</c:f>
            </c:strRef>
          </c:tx>
          <c:spPr>
            <a:solidFill>
              <a:schemeClr val="accent4">
                <a:alpha val="50000"/>
              </a:schemeClr>
            </a:solidFill>
            <a:ln cmpd="sng">
              <a:solidFill>
                <a:schemeClr val="accent4"/>
              </a:solidFill>
            </a:ln>
          </c:spPr>
          <c:trendline>
            <c:name/>
            <c:spPr>
              <a:ln w="19050">
                <a:solidFill>
                  <a:srgbClr val="C0504D"/>
                </a:solidFill>
              </a:ln>
            </c:spPr>
            <c:trendlineType val="exp"/>
            <c:dispRSqr val="0"/>
            <c:dispEq val="0"/>
          </c:trendline>
          <c:cat>
            <c:strRef>
              <c:f>summary!$AE$28:$AE$45</c:f>
            </c:strRef>
          </c:cat>
          <c:val>
            <c:numRef>
              <c:f>summary!$AF$28:$AF$45</c:f>
              <c:numCache/>
            </c:numRef>
          </c:val>
        </c:ser>
        <c:axId val="2065708055"/>
        <c:axId val="124944627"/>
      </c:areaChart>
      <c:catAx>
        <c:axId val="2065708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24944627"/>
      </c:catAx>
      <c:valAx>
        <c:axId val="124944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570805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Product Revenue: Rössle Sauerkraut</a:t>
            </a:r>
          </a:p>
        </c:rich>
      </c:tx>
      <c:overlay val="0"/>
    </c:title>
    <c:plotArea>
      <c:layout/>
      <c:areaChart>
        <c:ser>
          <c:idx val="0"/>
          <c:order val="0"/>
          <c:tx>
            <c:strRef>
              <c:f>summary!$AF$52</c:f>
            </c:strRef>
          </c:tx>
          <c:spPr>
            <a:solidFill>
              <a:schemeClr val="accent5">
                <a:alpha val="50000"/>
              </a:schemeClr>
            </a:solidFill>
            <a:ln cmpd="sng">
              <a:solidFill>
                <a:schemeClr val="accent5"/>
              </a:solidFill>
            </a:ln>
          </c:spPr>
          <c:trendline>
            <c:name/>
            <c:spPr>
              <a:ln w="19050">
                <a:solidFill>
                  <a:srgbClr val="C0504D"/>
                </a:solidFill>
              </a:ln>
            </c:spPr>
            <c:trendlineType val="exp"/>
            <c:dispRSqr val="0"/>
            <c:dispEq val="0"/>
          </c:trendline>
          <c:cat>
            <c:strRef>
              <c:f>summary!$AE$53:$AE$69</c:f>
            </c:strRef>
          </c:cat>
          <c:val>
            <c:numRef>
              <c:f>summary!$AF$53:$AF$69</c:f>
              <c:numCache/>
            </c:numRef>
          </c:val>
        </c:ser>
        <c:axId val="169102670"/>
        <c:axId val="1170357742"/>
      </c:areaChart>
      <c:catAx>
        <c:axId val="169102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170357742"/>
      </c:catAx>
      <c:valAx>
        <c:axId val="11703577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10267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Product Revenue: Perth Pasties</a:t>
            </a:r>
          </a:p>
        </c:rich>
      </c:tx>
      <c:overlay val="0"/>
    </c:title>
    <c:plotArea>
      <c:layout/>
      <c:areaChart>
        <c:ser>
          <c:idx val="0"/>
          <c:order val="0"/>
          <c:tx>
            <c:strRef>
              <c:f>summary!$AF$76</c:f>
            </c:strRef>
          </c:tx>
          <c:spPr>
            <a:solidFill>
              <a:schemeClr val="accent1">
                <a:alpha val="50000"/>
              </a:schemeClr>
            </a:solidFill>
            <a:ln cmpd="sng">
              <a:solidFill>
                <a:schemeClr val="accent1"/>
              </a:solidFill>
            </a:ln>
          </c:spPr>
          <c:trendline>
            <c:name/>
            <c:spPr>
              <a:ln w="19050">
                <a:solidFill>
                  <a:srgbClr val="C0504D"/>
                </a:solidFill>
              </a:ln>
            </c:spPr>
            <c:trendlineType val="exp"/>
            <c:dispRSqr val="0"/>
            <c:dispEq val="0"/>
          </c:trendline>
          <c:cat>
            <c:strRef>
              <c:f>summary!$AE$77:$AE$92</c:f>
            </c:strRef>
          </c:cat>
          <c:val>
            <c:numRef>
              <c:f>summary!$AF$77:$AF$92</c:f>
              <c:numCache/>
            </c:numRef>
          </c:val>
        </c:ser>
        <c:axId val="1212997168"/>
        <c:axId val="769866064"/>
      </c:areaChart>
      <c:catAx>
        <c:axId val="1212997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769866064"/>
      </c:catAx>
      <c:valAx>
        <c:axId val="769866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299716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Price Point Analysis</a:t>
            </a:r>
          </a:p>
        </c:rich>
      </c:tx>
      <c:overlay val="0"/>
    </c:title>
    <c:plotArea>
      <c:layout/>
      <c:lineChart>
        <c:varyColors val="0"/>
        <c:ser>
          <c:idx val="0"/>
          <c:order val="0"/>
          <c:tx>
            <c:v>Quantity Ordered</c:v>
          </c:tx>
          <c:spPr>
            <a:ln cmpd="sng">
              <a:solidFill>
                <a:srgbClr val="0000FF">
                  <a:alpha val="100000"/>
                </a:srgbClr>
              </a:solidFill>
            </a:ln>
          </c:spPr>
          <c:marker>
            <c:symbol val="circle"/>
            <c:size val="7"/>
            <c:spPr>
              <a:solidFill>
                <a:srgbClr val="0000FF">
                  <a:alpha val="100000"/>
                </a:srgbClr>
              </a:solidFill>
              <a:ln cmpd="sng">
                <a:solidFill>
                  <a:srgbClr val="0000FF">
                    <a:alpha val="100000"/>
                  </a:srgbClr>
                </a:solidFill>
              </a:ln>
            </c:spPr>
          </c:marker>
          <c:trendline>
            <c:name>Quantity Ordered Trendline</c:name>
            <c:spPr>
              <a:ln w="19050">
                <a:solidFill>
                  <a:srgbClr val="0000FF">
                    <a:alpha val="60000"/>
                  </a:srgbClr>
                </a:solidFill>
              </a:ln>
            </c:spPr>
            <c:trendlineType val="linear"/>
            <c:dispRSqr val="0"/>
            <c:dispEq val="0"/>
          </c:trendline>
          <c:cat>
            <c:strRef>
              <c:f>summary!$AH$3:$AH$15</c:f>
            </c:strRef>
          </c:cat>
          <c:val>
            <c:numRef>
              <c:f>summary!$AI$3:$AI$15</c:f>
              <c:numCache/>
            </c:numRef>
          </c:val>
          <c:smooth val="1"/>
        </c:ser>
        <c:axId val="1137113050"/>
        <c:axId val="810269399"/>
      </c:lineChart>
      <c:catAx>
        <c:axId val="1137113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sz="1000">
                <a:solidFill>
                  <a:srgbClr val="000000"/>
                </a:solidFill>
                <a:latin typeface="Roboto"/>
              </a:defRPr>
            </a:pPr>
          </a:p>
        </c:txPr>
        <c:crossAx val="810269399"/>
      </c:catAx>
      <c:valAx>
        <c:axId val="8102693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000000"/>
                </a:solidFill>
                <a:latin typeface="Roboto"/>
              </a:defRPr>
            </a:pPr>
          </a:p>
        </c:txPr>
        <c:crossAx val="1137113050"/>
      </c:valAx>
      <c:lineChart>
        <c:varyColors val="0"/>
        <c:ser>
          <c:idx val="1"/>
          <c:order val="1"/>
          <c:tx>
            <c:v>Total Revenue</c:v>
          </c:tx>
          <c:spPr>
            <a:ln cmpd="sng">
              <a:solidFill>
                <a:srgbClr val="38761D">
                  <a:alpha val="100000"/>
                </a:srgbClr>
              </a:solidFill>
            </a:ln>
          </c:spPr>
          <c:marker>
            <c:symbol val="circle"/>
            <c:size val="7"/>
            <c:spPr>
              <a:solidFill>
                <a:srgbClr val="38761D">
                  <a:alpha val="100000"/>
                </a:srgbClr>
              </a:solidFill>
              <a:ln cmpd="sng">
                <a:solidFill>
                  <a:srgbClr val="38761D">
                    <a:alpha val="100000"/>
                  </a:srgbClr>
                </a:solidFill>
              </a:ln>
            </c:spPr>
          </c:marker>
          <c:trendline>
            <c:name>Total Revenue Trendline</c:name>
            <c:spPr>
              <a:ln w="19050">
                <a:solidFill>
                  <a:srgbClr val="38761D">
                    <a:alpha val="60000"/>
                  </a:srgbClr>
                </a:solidFill>
              </a:ln>
            </c:spPr>
            <c:trendlineType val="linear"/>
            <c:dispRSqr val="0"/>
            <c:dispEq val="0"/>
          </c:trendline>
          <c:cat>
            <c:strRef>
              <c:f>summary!$AH$3:$AH$15</c:f>
            </c:strRef>
          </c:cat>
          <c:val>
            <c:numRef>
              <c:f>summary!$AJ$3:$AJ$15</c:f>
              <c:numCache/>
            </c:numRef>
          </c:val>
          <c:smooth val="1"/>
        </c:ser>
        <c:axId val="570994457"/>
        <c:axId val="1642533652"/>
      </c:lineChart>
      <c:catAx>
        <c:axId val="570994457"/>
        <c:scaling>
          <c:orientation val="minMax"/>
        </c:scaling>
        <c:delete val="1"/>
        <c:axPos val="b"/>
        <c:numFmt formatCode="General" sourceLinked="1"/>
        <c:majorTickMark val="none"/>
        <c:minorTickMark val="none"/>
        <c:spPr/>
        <c:txPr>
          <a:bodyPr rot="0"/>
          <a:lstStyle/>
          <a:p>
            <a:pPr lvl="0">
              <a:defRPr b="0" sz="1000">
                <a:solidFill>
                  <a:srgbClr val="000000"/>
                </a:solidFill>
                <a:latin typeface="Roboto"/>
              </a:defRPr>
            </a:pPr>
          </a:p>
        </c:txPr>
        <c:crossAx val="1642533652"/>
      </c:catAx>
      <c:valAx>
        <c:axId val="164253365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K" sourceLinked="0"/>
        <c:majorTickMark val="none"/>
        <c:minorTickMark val="none"/>
        <c:tickLblPos val="nextTo"/>
        <c:spPr>
          <a:ln/>
        </c:spPr>
        <c:txPr>
          <a:bodyPr/>
          <a:lstStyle/>
          <a:p>
            <a:pPr lvl="0">
              <a:defRPr b="0">
                <a:solidFill>
                  <a:srgbClr val="000000"/>
                </a:solidFill>
                <a:latin typeface="+mn-lt"/>
              </a:defRPr>
            </a:pPr>
          </a:p>
        </c:txPr>
        <c:crossAx val="570994457"/>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Shipping Carrier Performance vs Cost</a:t>
            </a:r>
          </a:p>
        </c:rich>
      </c:tx>
      <c:overlay val="0"/>
    </c:title>
    <c:plotArea>
      <c:layout/>
      <c:barChart>
        <c:barDir val="col"/>
        <c:ser>
          <c:idx val="0"/>
          <c:order val="0"/>
          <c:tx>
            <c:strRef>
              <c:f>summary!$AV$2</c:f>
            </c:strRef>
          </c:tx>
          <c:spPr>
            <a:solidFill>
              <a:srgbClr val="4A86E8">
                <a:alpha val="70196"/>
              </a:srgbClr>
            </a:solidFill>
            <a:ln cmpd="sng">
              <a:solidFill>
                <a:srgbClr val="000000"/>
              </a:solidFill>
            </a:ln>
          </c:spPr>
          <c:cat>
            <c:strRef>
              <c:f>summary!$AU$3:$AU$5</c:f>
            </c:strRef>
          </c:cat>
          <c:val>
            <c:numRef>
              <c:f>summary!$AV$3:$AV$5</c:f>
              <c:numCache/>
            </c:numRef>
          </c:val>
        </c:ser>
        <c:axId val="677691377"/>
        <c:axId val="27735621"/>
      </c:barChart>
      <c:catAx>
        <c:axId val="677691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7735621"/>
      </c:catAx>
      <c:valAx>
        <c:axId val="277356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7691377"/>
      </c:valAx>
      <c:lineChart>
        <c:varyColors val="0"/>
        <c:ser>
          <c:idx val="1"/>
          <c:order val="1"/>
          <c:tx>
            <c:strRef>
              <c:f>summary!$AW$2</c:f>
            </c:strRef>
          </c:tx>
          <c:spPr>
            <a:ln cmpd="sng">
              <a:solidFill>
                <a:srgbClr val="FF0000">
                  <a:alpha val="100000"/>
                </a:srgbClr>
              </a:solidFill>
            </a:ln>
          </c:spPr>
          <c:marker>
            <c:symbol val="none"/>
          </c:marker>
          <c:cat>
            <c:strRef>
              <c:f>summary!$AU$3:$AU$5</c:f>
            </c:strRef>
          </c:cat>
          <c:val>
            <c:numRef>
              <c:f>summary!$AW$3:$AW$5</c:f>
              <c:numCache/>
            </c:numRef>
          </c:val>
          <c:smooth val="0"/>
        </c:ser>
        <c:axId val="343745180"/>
        <c:axId val="1322626713"/>
      </c:lineChart>
      <c:catAx>
        <c:axId val="34374518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322626713"/>
      </c:catAx>
      <c:valAx>
        <c:axId val="132262671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374518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Roboto"/>
              </a:defRPr>
            </a:pPr>
            <a:r>
              <a:rPr b="1" sz="2000">
                <a:solidFill>
                  <a:srgbClr val="666666"/>
                </a:solidFill>
                <a:latin typeface="Roboto"/>
              </a:rPr>
              <a:t>Profit and Profit Margin</a:t>
            </a:r>
          </a:p>
        </c:rich>
      </c:tx>
      <c:overlay val="0"/>
    </c:title>
    <c:plotArea>
      <c:layout/>
      <c:areaChart>
        <c:ser>
          <c:idx val="0"/>
          <c:order val="0"/>
          <c:tx>
            <c:strRef>
              <c:f>summary!$AZ$2</c:f>
            </c:strRef>
          </c:tx>
          <c:spPr>
            <a:solidFill>
              <a:schemeClr val="accent1">
                <a:alpha val="50000"/>
              </a:schemeClr>
            </a:solidFill>
            <a:ln cmpd="sng">
              <a:solidFill>
                <a:schemeClr val="accent1"/>
              </a:solidFill>
            </a:ln>
          </c:spPr>
          <c:cat>
            <c:strRef>
              <c:f>summary!$AY$3:$AY$24</c:f>
            </c:strRef>
          </c:cat>
          <c:val>
            <c:numRef>
              <c:f>summary!$AZ$3:$AZ$24</c:f>
              <c:numCache/>
            </c:numRef>
          </c:val>
        </c:ser>
        <c:axId val="1509284472"/>
        <c:axId val="1513491035"/>
      </c:areaChart>
      <c:catAx>
        <c:axId val="1509284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513491035"/>
      </c:catAx>
      <c:valAx>
        <c:axId val="1513491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K" sourceLinked="0"/>
        <c:majorTickMark val="none"/>
        <c:minorTickMark val="none"/>
        <c:tickLblPos val="nextTo"/>
        <c:spPr>
          <a:ln/>
        </c:spPr>
        <c:txPr>
          <a:bodyPr/>
          <a:lstStyle/>
          <a:p>
            <a:pPr lvl="0">
              <a:defRPr b="0">
                <a:solidFill>
                  <a:srgbClr val="000000"/>
                </a:solidFill>
                <a:latin typeface="+mn-lt"/>
              </a:defRPr>
            </a:pPr>
          </a:p>
        </c:txPr>
        <c:crossAx val="1509284472"/>
      </c:valAx>
      <c:lineChart>
        <c:varyColors val="0"/>
        <c:ser>
          <c:idx val="1"/>
          <c:order val="1"/>
          <c:tx>
            <c:strRef>
              <c:f>summary!$BA$2</c:f>
            </c:strRef>
          </c:tx>
          <c:spPr>
            <a:ln cmpd="sng">
              <a:solidFill>
                <a:srgbClr val="C0504D"/>
              </a:solidFill>
            </a:ln>
          </c:spPr>
          <c:marker>
            <c:symbol val="none"/>
          </c:marker>
          <c:cat>
            <c:strRef>
              <c:f>summary!$AY$3:$AY$24</c:f>
            </c:strRef>
          </c:cat>
          <c:val>
            <c:numRef>
              <c:f>summary!$BA$3:$BA$24</c:f>
              <c:numCache/>
            </c:numRef>
          </c:val>
          <c:smooth val="1"/>
        </c:ser>
        <c:axId val="1697872433"/>
        <c:axId val="1507857470"/>
      </c:lineChart>
      <c:catAx>
        <c:axId val="1697872433"/>
        <c:scaling>
          <c:orientation val="minMax"/>
        </c:scaling>
        <c:delete val="1"/>
        <c:axPos val="b"/>
        <c:numFmt formatCode="General" sourceLinked="1"/>
        <c:majorTickMark val="none"/>
        <c:minorTickMark val="none"/>
        <c:spPr/>
        <c:txPr>
          <a:bodyPr rot="-5400000"/>
          <a:lstStyle/>
          <a:p>
            <a:pPr lvl="0">
              <a:defRPr b="0">
                <a:solidFill>
                  <a:srgbClr val="000000"/>
                </a:solidFill>
                <a:latin typeface="+mn-lt"/>
              </a:defRPr>
            </a:pPr>
          </a:p>
        </c:txPr>
        <c:crossAx val="1507857470"/>
      </c:catAx>
      <c:valAx>
        <c:axId val="1507857470"/>
        <c:scaling>
          <c:orientation val="minMax"/>
          <c:max val="0.4"/>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1697872433"/>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mn-lt"/>
              </a:defRPr>
            </a:pPr>
            <a:r>
              <a:rPr b="1" sz="2000">
                <a:solidFill>
                  <a:srgbClr val="666666"/>
                </a:solidFill>
                <a:latin typeface="+mn-lt"/>
              </a:rPr>
              <a:t>Sales Volume</a:t>
            </a:r>
          </a:p>
        </c:rich>
      </c:tx>
      <c:overlay val="0"/>
    </c:title>
    <c:plotArea>
      <c:layout/>
      <c:areaChart>
        <c:grouping val="stacked"/>
        <c:ser>
          <c:idx val="0"/>
          <c:order val="0"/>
          <c:tx>
            <c:strRef>
              <c:f>summary!$AZ$32</c:f>
            </c:strRef>
          </c:tx>
          <c:spPr>
            <a:solidFill>
              <a:schemeClr val="accent3">
                <a:alpha val="30000"/>
              </a:schemeClr>
            </a:solidFill>
            <a:ln cmpd="sng">
              <a:solidFill>
                <a:schemeClr val="accent3"/>
              </a:solidFill>
            </a:ln>
          </c:spPr>
          <c:cat>
            <c:strRef>
              <c:f>summary!$AY$33:$AY$54</c:f>
            </c:strRef>
          </c:cat>
          <c:val>
            <c:numRef>
              <c:f>summary!$AZ$33:$AZ$54</c:f>
              <c:numCache/>
            </c:numRef>
          </c:val>
        </c:ser>
        <c:axId val="724464681"/>
        <c:axId val="1515506610"/>
      </c:areaChart>
      <c:catAx>
        <c:axId val="724464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515506610"/>
      </c:catAx>
      <c:valAx>
        <c:axId val="1515506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446468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mn-lt"/>
              </a:defRPr>
            </a:pPr>
            <a:r>
              <a:rPr b="1" sz="2000">
                <a:solidFill>
                  <a:srgbClr val="666666"/>
                </a:solidFill>
                <a:latin typeface="+mn-lt"/>
              </a:rPr>
              <a:t>Product Cost and Sale Price</a:t>
            </a:r>
          </a:p>
        </c:rich>
      </c:tx>
      <c:overlay val="0"/>
    </c:title>
    <c:plotArea>
      <c:layout/>
      <c:areaChart>
        <c:grouping val="stacked"/>
        <c:ser>
          <c:idx val="0"/>
          <c:order val="0"/>
          <c:tx>
            <c:strRef>
              <c:f>summary!$AV$32</c:f>
            </c:strRef>
          </c:tx>
          <c:spPr>
            <a:solidFill>
              <a:schemeClr val="accent4">
                <a:alpha val="50000"/>
              </a:schemeClr>
            </a:solidFill>
            <a:ln cmpd="sng">
              <a:solidFill>
                <a:schemeClr val="accent4"/>
              </a:solidFill>
            </a:ln>
          </c:spPr>
          <c:cat>
            <c:strRef>
              <c:f>summary!$AU$33:$AU$54</c:f>
            </c:strRef>
          </c:cat>
          <c:val>
            <c:numRef>
              <c:f>summary!$AV$33:$AV$54</c:f>
              <c:numCache/>
            </c:numRef>
          </c:val>
        </c:ser>
        <c:ser>
          <c:idx val="1"/>
          <c:order val="1"/>
          <c:tx>
            <c:strRef>
              <c:f>summary!$AW$32</c:f>
            </c:strRef>
          </c:tx>
          <c:spPr>
            <a:solidFill>
              <a:schemeClr val="accent3">
                <a:alpha val="50000"/>
              </a:schemeClr>
            </a:solidFill>
            <a:ln cmpd="sng">
              <a:solidFill>
                <a:schemeClr val="accent3"/>
              </a:solidFill>
            </a:ln>
          </c:spPr>
          <c:cat>
            <c:strRef>
              <c:f>summary!$AU$33:$AU$54</c:f>
            </c:strRef>
          </c:cat>
          <c:val>
            <c:numRef>
              <c:f>summary!$AW$33:$AW$54</c:f>
              <c:numCache/>
            </c:numRef>
          </c:val>
        </c:ser>
        <c:axId val="2078867797"/>
        <c:axId val="2050684786"/>
      </c:areaChart>
      <c:catAx>
        <c:axId val="2078867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2050684786"/>
      </c:catAx>
      <c:valAx>
        <c:axId val="2050684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K" sourceLinked="0"/>
        <c:majorTickMark val="none"/>
        <c:minorTickMark val="none"/>
        <c:tickLblPos val="nextTo"/>
        <c:spPr>
          <a:ln/>
        </c:spPr>
        <c:txPr>
          <a:bodyPr/>
          <a:lstStyle/>
          <a:p>
            <a:pPr lvl="0">
              <a:defRPr b="0">
                <a:solidFill>
                  <a:srgbClr val="000000"/>
                </a:solidFill>
                <a:latin typeface="+mn-lt"/>
              </a:defRPr>
            </a:pPr>
          </a:p>
        </c:txPr>
        <c:crossAx val="207886779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mn-lt"/>
              </a:defRPr>
            </a:pPr>
            <a:r>
              <a:rPr b="1" sz="2000">
                <a:solidFill>
                  <a:srgbClr val="666666"/>
                </a:solidFill>
                <a:latin typeface="+mn-lt"/>
              </a:rPr>
              <a:t>3-Month Sales Volume Forecast</a:t>
            </a:r>
          </a:p>
        </c:rich>
      </c:tx>
      <c:overlay val="0"/>
    </c:title>
    <c:plotArea>
      <c:layout/>
      <c:barChart>
        <c:barDir val="col"/>
        <c:ser>
          <c:idx val="0"/>
          <c:order val="0"/>
          <c:tx>
            <c:strRef>
              <c:f>summary!$BD$2</c:f>
            </c:strRef>
          </c:tx>
          <c:spPr>
            <a:solidFill>
              <a:srgbClr val="4F81BD">
                <a:alpha val="70196"/>
              </a:srgbClr>
            </a:solidFill>
            <a:ln cmpd="sng">
              <a:solidFill>
                <a:srgbClr val="000000"/>
              </a:solidFill>
            </a:ln>
          </c:spPr>
          <c:dPt>
            <c:idx val="22"/>
            <c:spPr>
              <a:solidFill>
                <a:schemeClr val="accent2"/>
              </a:solidFill>
              <a:ln cmpd="sng">
                <a:solidFill>
                  <a:srgbClr val="000000"/>
                </a:solidFill>
              </a:ln>
            </c:spPr>
          </c:dPt>
          <c:dPt>
            <c:idx val="23"/>
            <c:spPr>
              <a:solidFill>
                <a:schemeClr val="accent2"/>
              </a:solidFill>
              <a:ln cmpd="sng">
                <a:solidFill>
                  <a:srgbClr val="000000"/>
                </a:solidFill>
              </a:ln>
            </c:spPr>
          </c:dPt>
          <c:dPt>
            <c:idx val="24"/>
            <c:spPr>
              <a:solidFill>
                <a:schemeClr val="accent2"/>
              </a:solidFill>
              <a:ln cmpd="sng">
                <a:solidFill>
                  <a:srgbClr val="000000"/>
                </a:solidFill>
              </a:ln>
            </c:spPr>
          </c:dPt>
          <c:cat>
            <c:strRef>
              <c:f>summary!$BC$3:$BC$27</c:f>
            </c:strRef>
          </c:cat>
          <c:val>
            <c:numRef>
              <c:f>summary!$BD$3:$BD$27</c:f>
              <c:numCache/>
            </c:numRef>
          </c:val>
        </c:ser>
        <c:axId val="1929437666"/>
        <c:axId val="885857035"/>
      </c:barChart>
      <c:catAx>
        <c:axId val="1929437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885857035"/>
      </c:catAx>
      <c:valAx>
        <c:axId val="885857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943766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666666"/>
                </a:solidFill>
                <a:latin typeface="+mn-lt"/>
              </a:defRPr>
            </a:pPr>
            <a:r>
              <a:rPr b="1" sz="2000">
                <a:solidFill>
                  <a:srgbClr val="666666"/>
                </a:solidFill>
                <a:latin typeface="+mn-lt"/>
              </a:rPr>
              <a:t>3-Month Product Cost Forecast</a:t>
            </a:r>
          </a:p>
        </c:rich>
      </c:tx>
      <c:overlay val="0"/>
    </c:title>
    <c:plotArea>
      <c:layout/>
      <c:barChart>
        <c:barDir val="col"/>
        <c:ser>
          <c:idx val="0"/>
          <c:order val="0"/>
          <c:tx>
            <c:strRef>
              <c:f>summary!$BG$2</c:f>
            </c:strRef>
          </c:tx>
          <c:spPr>
            <a:solidFill>
              <a:srgbClr val="4F81BD">
                <a:alpha val="70196"/>
              </a:srgbClr>
            </a:solidFill>
            <a:ln cmpd="sng">
              <a:solidFill>
                <a:srgbClr val="000000"/>
              </a:solidFill>
            </a:ln>
          </c:spPr>
          <c:dPt>
            <c:idx val="22"/>
            <c:spPr>
              <a:solidFill>
                <a:schemeClr val="accent2"/>
              </a:solidFill>
              <a:ln cmpd="sng">
                <a:solidFill>
                  <a:srgbClr val="000000"/>
                </a:solidFill>
              </a:ln>
            </c:spPr>
          </c:dPt>
          <c:dPt>
            <c:idx val="23"/>
            <c:spPr>
              <a:solidFill>
                <a:schemeClr val="accent2"/>
              </a:solidFill>
              <a:ln cmpd="sng">
                <a:solidFill>
                  <a:srgbClr val="000000"/>
                </a:solidFill>
              </a:ln>
            </c:spPr>
          </c:dPt>
          <c:dPt>
            <c:idx val="24"/>
            <c:spPr>
              <a:solidFill>
                <a:schemeClr val="accent2"/>
              </a:solidFill>
              <a:ln cmpd="sng">
                <a:solidFill>
                  <a:srgbClr val="000000"/>
                </a:solidFill>
              </a:ln>
            </c:spPr>
          </c:dPt>
          <c:cat>
            <c:strRef>
              <c:f>summary!$BF$3:$BF$27</c:f>
            </c:strRef>
          </c:cat>
          <c:val>
            <c:numRef>
              <c:f>summary!$BG$3:$BG$27</c:f>
              <c:numCache/>
            </c:numRef>
          </c:val>
        </c:ser>
        <c:axId val="371406327"/>
        <c:axId val="1000028701"/>
      </c:barChart>
      <c:catAx>
        <c:axId val="371406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a:solidFill>
                  <a:srgbClr val="000000"/>
                </a:solidFill>
                <a:latin typeface="+mn-lt"/>
              </a:defRPr>
            </a:pPr>
          </a:p>
        </c:txPr>
        <c:crossAx val="1000028701"/>
      </c:catAx>
      <c:valAx>
        <c:axId val="1000028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K" sourceLinked="0"/>
        <c:majorTickMark val="none"/>
        <c:minorTickMark val="none"/>
        <c:tickLblPos val="nextTo"/>
        <c:spPr>
          <a:ln/>
        </c:spPr>
        <c:txPr>
          <a:bodyPr/>
          <a:lstStyle/>
          <a:p>
            <a:pPr lvl="0">
              <a:defRPr b="0">
                <a:solidFill>
                  <a:srgbClr val="000000"/>
                </a:solidFill>
                <a:latin typeface="+mn-lt"/>
              </a:defRPr>
            </a:pPr>
          </a:p>
        </c:txPr>
        <c:crossAx val="371406327"/>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28575</xdr:rowOff>
    </xdr:from>
    <xdr:ext cx="7905750" cy="4895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38100</xdr:colOff>
      <xdr:row>26</xdr:row>
      <xdr:rowOff>38100</xdr:rowOff>
    </xdr:from>
    <xdr:ext cx="7905750" cy="48958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38100</xdr:colOff>
      <xdr:row>52</xdr:row>
      <xdr:rowOff>47625</xdr:rowOff>
    </xdr:from>
    <xdr:ext cx="7905750" cy="48958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38100</xdr:colOff>
      <xdr:row>78</xdr:row>
      <xdr:rowOff>57150</xdr:rowOff>
    </xdr:from>
    <xdr:ext cx="7905750" cy="48958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38100</xdr:colOff>
      <xdr:row>106</xdr:row>
      <xdr:rowOff>0</xdr:rowOff>
    </xdr:from>
    <xdr:ext cx="7905750" cy="4895850"/>
    <xdr:pic>
      <xdr:nvPicPr>
        <xdr:cNvPr id="973412128" name="Chart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8</xdr:col>
      <xdr:colOff>409575</xdr:colOff>
      <xdr:row>2</xdr:row>
      <xdr:rowOff>76200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409575</xdr:colOff>
      <xdr:row>20</xdr:row>
      <xdr:rowOff>180975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8</xdr:col>
      <xdr:colOff>409575</xdr:colOff>
      <xdr:row>39</xdr:row>
      <xdr:rowOff>95250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409575</xdr:colOff>
      <xdr:row>58</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14</xdr:col>
      <xdr:colOff>457200</xdr:colOff>
      <xdr:row>0</xdr:row>
      <xdr:rowOff>28575</xdr:rowOff>
    </xdr:from>
    <xdr:ext cx="7629525" cy="473392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14</xdr:col>
      <xdr:colOff>457200</xdr:colOff>
      <xdr:row>25</xdr:row>
      <xdr:rowOff>66675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22</xdr:col>
      <xdr:colOff>447675</xdr:colOff>
      <xdr:row>0</xdr:row>
      <xdr:rowOff>28575</xdr:rowOff>
    </xdr:from>
    <xdr:ext cx="6724650" cy="40671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22</xdr:col>
      <xdr:colOff>447675</xdr:colOff>
      <xdr:row>21</xdr:row>
      <xdr:rowOff>95250</xdr:rowOff>
    </xdr:from>
    <xdr:ext cx="6724650" cy="416242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22</xdr:col>
      <xdr:colOff>447675</xdr:colOff>
      <xdr:row>43</xdr:row>
      <xdr:rowOff>66675</xdr:rowOff>
    </xdr:from>
    <xdr:ext cx="6724650" cy="4210050"/>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29</xdr:col>
      <xdr:colOff>495300</xdr:colOff>
      <xdr:row>0</xdr:row>
      <xdr:rowOff>28575</xdr:rowOff>
    </xdr:from>
    <xdr:ext cx="6524625" cy="406717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29</xdr:col>
      <xdr:colOff>495300</xdr:colOff>
      <xdr:row>21</xdr:row>
      <xdr:rowOff>95250</xdr:rowOff>
    </xdr:from>
    <xdr:ext cx="6524625" cy="4019550"/>
    <xdr:graphicFrame>
      <xdr:nvGraphicFramePr>
        <xdr:cNvPr id="16" name="Chart 1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0</xdr:col>
      <xdr:colOff>38100</xdr:colOff>
      <xdr:row>104</xdr:row>
      <xdr:rowOff>66675</xdr:rowOff>
    </xdr:from>
    <xdr:ext cx="4524375" cy="409575"/>
    <xdr:sp>
      <xdr:nvSpPr>
        <xdr:cNvPr id="3" name="Shape 3"/>
        <xdr:cNvSpPr txBox="1"/>
      </xdr:nvSpPr>
      <xdr:spPr>
        <a:xfrm>
          <a:off x="160275" y="180150"/>
          <a:ext cx="57063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000">
              <a:solidFill>
                <a:srgbClr val="666666"/>
              </a:solidFill>
            </a:rPr>
            <a:t>Revenue by Country</a:t>
          </a:r>
          <a:endParaRPr b="1" sz="2000">
            <a:solidFill>
              <a:srgbClr val="666666"/>
            </a:solidFill>
          </a:endParaRPr>
        </a:p>
      </xdr:txBody>
    </xdr:sp>
    <xdr:clientData fLocksWithSheet="0"/>
  </xdr:oneCellAnchor>
  <xdr:oneCellAnchor>
    <xdr:from>
      <xdr:col>8</xdr:col>
      <xdr:colOff>323850</xdr:colOff>
      <xdr:row>0</xdr:row>
      <xdr:rowOff>28575</xdr:rowOff>
    </xdr:from>
    <xdr:ext cx="6677025" cy="504825"/>
    <xdr:sp>
      <xdr:nvSpPr>
        <xdr:cNvPr id="4" name="Shape 4"/>
        <xdr:cNvSpPr txBox="1"/>
      </xdr:nvSpPr>
      <xdr:spPr>
        <a:xfrm>
          <a:off x="11650" y="120725"/>
          <a:ext cx="6657300" cy="485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2000">
              <a:solidFill>
                <a:srgbClr val="666666"/>
              </a:solidFill>
            </a:rPr>
            <a:t>Top 25 Products that has been discontinued</a:t>
          </a:r>
          <a:endParaRPr b="1" sz="2000">
            <a:solidFill>
              <a:srgbClr val="666666"/>
            </a:solidFill>
          </a:endParaRPr>
        </a:p>
      </xdr:txBody>
    </xdr:sp>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 name="AVG Revenue" formula="SUM(revenue)/MAX(orderCount)" databaseField="0"/>
    <cacheField name="Frequency" formula="ROUND(SUM(sinceLastOrder)/IF(MAX(orderCount)=1,1,MAX(orderCount)-1))" databaseField="0"/>
    <cacheField name="Elapsed" formula="DATE(2024,4,30) - MAX(orderDate)"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fieldGroup base="12">
        <rangePr autoStart="0" autoEnd="0" endNum="270.0" groupInterval="10.0"/>
        <groupItems>
          <s v="&lt;0.0"/>
          <s v="0.00 € - 10.00 €"/>
          <s v="10.00 € - 20.00 €"/>
          <s v="20.00 € - 30.00 €"/>
          <s v="30.00 € - 40.00 €"/>
          <s v="40.00 € - 50.00 €"/>
          <s v="50.00 € - 60.00 €"/>
          <s v="60.00 € - 70.00 €"/>
          <s v="70.00 € - 80.00 €"/>
          <s v="80.00 € - 90.00 €"/>
          <s v="90.00 € - 100.00 €"/>
          <s v="120.00 € - 130.00 €"/>
          <s v="210.00 € - 220.00 €"/>
          <s v="260.00 € - 270.00 €"/>
          <s v="&gt;270.0"/>
        </groupItems>
      </fieldGroup>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2156" sheet="analysis-operations"/>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n v="11064.0"/>
        <n v="11065.0"/>
        <n v="11066.0"/>
        <n v="11067.0"/>
        <n v="11068.0"/>
        <n v="11069.0"/>
        <n v="11070.0"/>
        <n v="11071.0"/>
        <n v="11072.0"/>
        <n v="11073.0"/>
        <n v="11074.0"/>
        <n v="11075.0"/>
        <n v="11076.0"/>
        <n v="11077.0"/>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d v="2024-05-01T00:00:00Z"/>
        <d v="2024-05-04T00:00:00Z"/>
        <d v="2024-05-05T00:00:00Z"/>
        <d v="2024-05-06T00:00:00Z"/>
      </sharedItems>
    </cacheField>
    <cacheField name="requiredDate" numFmtId="166">
      <sharedItems containsSemiMixedTypes="0" containsDate="1" containsString="0">
        <d v="2022-08-01T00:00:00Z"/>
        <d v="2022-08-16T00:00:00Z"/>
        <d v="2022-08-05T00:00:00Z"/>
        <d v="2022-08-06T00:00:00Z"/>
        <d v="2022-07-24T00:00:00Z"/>
        <d v="2022-08-08T00:00:00Z"/>
        <d v="2022-08-09T00:00:00Z"/>
        <d v="2022-08-12T00:00:00Z"/>
        <d v="2022-08-13T00:00:00Z"/>
        <d v="2022-08-14T00:00:00Z"/>
        <d v="2022-08-15T00:00:00Z"/>
        <d v="2022-08-19T00:00:00Z"/>
        <d v="2022-08-20T00:00:00Z"/>
        <d v="2022-08-21T00:00:00Z"/>
        <d v="2022-08-22T00:00:00Z"/>
        <d v="2022-09-06T00:00:00Z"/>
        <d v="2022-08-26T00:00:00Z"/>
        <d v="2022-08-27T00:00:00Z"/>
        <d v="2022-08-29T00:00:00Z"/>
        <d v="2022-08-30T00:00:00Z"/>
        <d v="2022-09-02T00:00:00Z"/>
        <d v="2022-09-03T00:00:00Z"/>
        <d v="2022-09-04T00:00:00Z"/>
        <d v="2022-09-09T00:00:00Z"/>
        <d v="2022-09-10T00:00:00Z"/>
        <d v="2022-09-11T00:00:00Z"/>
        <d v="2022-08-28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16T00:00:00Z"/>
        <d v="2022-10-03T00:00:00Z"/>
        <d v="2022-10-04T00:00:00Z"/>
        <d v="2022-10-07T00:00:00Z"/>
        <d v="2022-10-08T00:00:00Z"/>
        <d v="2022-10-09T00:00:00Z"/>
        <d v="2022-10-10T00:00:00Z"/>
        <d v="2022-10-11T00:00:00Z"/>
        <d v="2022-10-14T00:00:00Z"/>
        <d v="2022-10-15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7T00:00:00Z"/>
        <d v="2022-11-08T00:00:00Z"/>
        <d v="2022-11-11T00:00:00Z"/>
        <d v="2022-11-26T00:00:00Z"/>
        <d v="2022-11-13T00:00:00Z"/>
        <d v="2022-11-27T00:00:00Z"/>
        <d v="2022-11-28T00:00:00Z"/>
        <d v="2022-11-15T00:00:00Z"/>
        <d v="2022-11-18T00:00:00Z"/>
        <d v="2022-11-19T00:00:00Z"/>
        <d v="2022-11-20T00:00:00Z"/>
        <d v="2022-11-21T00:00:00Z"/>
        <d v="2022-11-22T00:00:00Z"/>
        <d v="2022-11-25T00:00:00Z"/>
        <d v="2022-11-29T00:00:00Z"/>
        <d v="2022-12-02T00:00:00Z"/>
        <d v="2022-12-17T00:00:00Z"/>
        <d v="2022-12-04T00:00:00Z"/>
        <d v="2022-12-05T00:00:00Z"/>
        <d v="2022-12-06T00:00:00Z"/>
        <d v="2022-12-09T00:00:00Z"/>
        <d v="2022-12-11T00:00:00Z"/>
        <d v="2022-12-12T00:00:00Z"/>
        <d v="2022-12-13T00:00:00Z"/>
        <d v="2022-12-16T00:00:00Z"/>
        <d v="2022-12-18T00:00:00Z"/>
        <d v="2022-12-19T00:00:00Z"/>
        <d v="2022-12-20T00:00:00Z"/>
        <d v="2022-12-23T00:00:00Z"/>
        <d v="2022-12-24T00:00:00Z"/>
        <d v="2023-01-07T00:00:00Z"/>
        <d v="2022-12-25T00:00:00Z"/>
        <d v="2023-01-09T00:00:00Z"/>
        <d v="2022-12-26T00:00:00Z"/>
        <d v="2022-12-27T00:00:00Z"/>
        <d v="2022-12-30T00:00:00Z"/>
        <d v="2022-12-31T00:00:00Z"/>
        <d v="2023-01-01T00:00:00Z"/>
        <d v="2023-01-02T00:00:00Z"/>
        <d v="2023-01-03T00:00:00Z"/>
        <d v="2023-01-06T00:00:00Z"/>
        <d v="2023-01-08T00:00:00Z"/>
        <d v="2023-01-10T00:00:00Z"/>
        <d v="2023-01-13T00:00:00Z"/>
        <d v="2023-01-14T00:00:00Z"/>
        <d v="2023-01-15T00:00:00Z"/>
        <d v="2023-01-16T00:00:00Z"/>
        <d v="2023-01-17T00:00:00Z"/>
        <d v="2023-01-20T00:00:00Z"/>
        <d v="2023-01-21T00:00:00Z"/>
        <d v="2023-01-22T00:00:00Z"/>
        <d v="2023-01-23T00:00:00Z"/>
        <d v="2023-01-24T00:00:00Z"/>
        <d v="2023-01-27T00:00:00Z"/>
        <d v="2023-01-29T00:00:00Z"/>
        <d v="2023-02-13T00:00:00Z"/>
        <d v="2023-01-31T00:00:00Z"/>
        <d v="2023-02-03T00:00:00Z"/>
        <d v="2023-02-18T00:00:00Z"/>
        <d v="2023-02-04T00:00:00Z"/>
        <d v="2023-02-05T00:00:00Z"/>
        <d v="2023-02-06T00:00:00Z"/>
        <d v="2023-02-07T00:00:00Z"/>
        <d v="2023-02-10T00:00:00Z"/>
        <d v="2023-02-11T00:00:00Z"/>
        <d v="2023-02-12T00:00:00Z"/>
        <d v="2023-02-14T00:00:00Z"/>
        <d v="2023-02-17T00:00:00Z"/>
        <d v="2023-03-04T00:00:00Z"/>
        <d v="2023-02-19T00:00:00Z"/>
        <d v="2023-02-20T00:00:00Z"/>
        <d v="2023-02-21T00:00:00Z"/>
        <d v="2023-02-24T00:00:00Z"/>
        <d v="2023-02-25T00:00:00Z"/>
        <d v="2023-03-12T00:00:00Z"/>
        <d v="2023-03-03T00:00:00Z"/>
        <d v="2023-03-18T00:00:00Z"/>
        <d v="2023-03-05T00:00:00Z"/>
        <d v="2023-03-06T00:00:00Z"/>
        <d v="2023-03-07T00:00:00Z"/>
        <d v="2023-03-10T00:00:00Z"/>
        <d v="2023-03-24T00:00:00Z"/>
        <d v="2023-03-11T00:00:00Z"/>
        <d v="2023-03-13T00:00:00Z"/>
        <d v="2023-03-14T00:00:00Z"/>
        <d v="2023-03-17T00:00:00Z"/>
        <d v="2023-03-19T00:00:00Z"/>
        <d v="2023-03-20T00:00:00Z"/>
        <d v="2023-03-21T00:00:00Z"/>
        <d v="2023-04-07T00:00:00Z"/>
        <d v="2023-04-08T00:00:00Z"/>
        <d v="2023-03-25T00:00:00Z"/>
        <d v="2023-03-26T00:00:00Z"/>
        <d v="2023-03-27T00:00:00Z"/>
        <d v="2023-03-28T00:00:00Z"/>
        <d v="2023-03-31T00:00:00Z"/>
        <d v="2023-04-01T00:00:00Z"/>
        <d v="2023-04-02T00:00:00Z"/>
        <d v="2023-04-03T00:00:00Z"/>
        <d v="2023-04-04T00:00:00Z"/>
        <d v="2023-04-09T00:00:00Z"/>
        <d v="2023-04-10T00:00:00Z"/>
        <d v="2023-04-11T00:00:00Z"/>
        <d v="2023-04-14T00:00:00Z"/>
        <d v="2023-04-16T00:00:00Z"/>
        <d v="2023-04-17T00:00:00Z"/>
        <d v="2023-04-18T00:00:00Z"/>
        <d v="2023-04-21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6-03T00:00:00Z"/>
        <d v="2023-05-20T00:00:00Z"/>
        <d v="2023-05-22T00:00:00Z"/>
        <d v="2023-05-26T00:00:00Z"/>
        <d v="2023-05-27T00:00:00Z"/>
        <d v="2023-05-28T00:00:00Z"/>
        <d v="2023-05-29T00:00:00Z"/>
        <d v="2023-05-30T00:00:00Z"/>
        <d v="2023-06-02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5T00:00:00Z"/>
        <d v="2023-07-09T00:00:00Z"/>
        <d v="2023-06-26T00:00:00Z"/>
        <d v="2023-06-27T00:00:00Z"/>
        <d v="2023-06-30T00:00:00Z"/>
        <d v="2023-07-15T00:00:00Z"/>
        <d v="2023-07-02T00:00:00Z"/>
        <d v="2023-07-03T00:00:00Z"/>
        <d v="2023-07-04T00:00:00Z"/>
        <d v="2023-07-07T00:00:00Z"/>
        <d v="2023-07-22T00:00:00Z"/>
        <d v="2023-07-08T00:00:00Z"/>
        <d v="2023-07-10T00:00:00Z"/>
        <d v="2023-07-11T00:00:00Z"/>
        <d v="2023-07-14T00:00:00Z"/>
        <d v="2023-07-29T00:00:00Z"/>
        <d v="2023-07-16T00:00:00Z"/>
        <d v="2023-07-17T00:00:00Z"/>
        <d v="2023-08-04T00:00:00Z"/>
        <d v="2023-07-23T00:00:00Z"/>
        <d v="2023-07-24T00:00:00Z"/>
        <d v="2023-07-25T00:00:00Z"/>
        <d v="2023-07-28T00:00:00Z"/>
        <d v="2023-07-30T00:00:00Z"/>
        <d v="2023-07-31T00:00:00Z"/>
        <d v="2023-08-01T00:00:00Z"/>
        <d v="2023-07-21T00:00:00Z"/>
        <d v="2023-08-05T00:00:00Z"/>
        <d v="2023-08-06T00:00:00Z"/>
        <d v="2023-08-07T00:00:00Z"/>
        <d v="2023-08-08T00:00:00Z"/>
        <d v="2023-08-11T00:00:00Z"/>
        <d v="2023-08-26T00:00:00Z"/>
        <d v="2023-08-13T00:00:00Z"/>
        <d v="2023-08-27T00:00:00Z"/>
        <d v="2023-08-14T00:00:00Z"/>
        <d v="2023-08-15T00:00:00Z"/>
        <d v="2023-08-18T00:00:00Z"/>
        <d v="2023-08-19T00:00:00Z"/>
        <d v="2023-08-20T00:00:00Z"/>
        <d v="2023-08-21T00:00:00Z"/>
        <d v="2023-08-22T00:00:00Z"/>
        <d v="2023-08-25T00:00:00Z"/>
        <d v="2023-08-28T00:00:00Z"/>
        <d v="2023-09-12T00:00:00Z"/>
        <d v="2023-09-01T00:00:00Z"/>
        <d v="2023-09-02T00:00:00Z"/>
        <d v="2023-09-03T00:00:00Z"/>
        <d v="2023-09-04T00:00:00Z"/>
        <d v="2023-09-05T00:00:00Z"/>
        <d v="2023-09-08T00:00:00Z"/>
        <d v="2023-09-22T00:00:00Z"/>
        <d v="2023-09-09T00:00:00Z"/>
        <d v="2023-09-10T00:00:00Z"/>
        <d v="2023-09-11T00:00:00Z"/>
        <d v="2023-09-15T00:00:00Z"/>
        <d v="2023-09-16T00:00:00Z"/>
        <d v="2023-09-17T00:00:00Z"/>
        <d v="2023-09-18T00:00:00Z"/>
        <d v="2023-09-19T00:00:00Z"/>
        <d v="2023-09-23T00:00:00Z"/>
        <d v="2023-10-08T00:00:00Z"/>
        <d v="2023-10-09T00:00:00Z"/>
        <d v="2023-09-25T00:00:00Z"/>
        <d v="2023-09-26T00:00:00Z"/>
        <d v="2023-09-29T00:00:00Z"/>
        <d v="2023-09-30T00:00:00Z"/>
        <d v="2023-10-01T00:00:00Z"/>
        <d v="2023-10-02T00:00:00Z"/>
        <d v="2023-10-03T00:00:00Z"/>
        <d v="2023-10-06T00:00:00Z"/>
        <d v="2023-10-07T00:00:00Z"/>
        <d v="2023-09-24T00:00:00Z"/>
        <d v="2023-10-10T00:00:00Z"/>
        <d v="2023-10-13T00:00:00Z"/>
        <d v="2023-10-14T00:00:00Z"/>
        <d v="2023-10-15T00:00:00Z"/>
        <d v="2023-10-16T00:00:00Z"/>
        <d v="2023-10-17T00:00:00Z"/>
        <d v="2023-10-20T00:00:00Z"/>
        <d v="2023-10-21T00:00:00Z"/>
        <d v="2023-10-22T00:00:00Z"/>
        <d v="2023-10-23T00:00:00Z"/>
        <d v="2023-10-24T00:00:00Z"/>
        <d v="2023-10-28T00:00:00Z"/>
        <d v="2023-10-29T00:00:00Z"/>
        <d v="2023-10-30T00:00:00Z"/>
        <d v="2023-11-14T00:00:00Z"/>
        <d v="2023-10-31T00:00:00Z"/>
        <d v="2023-11-03T00:00:00Z"/>
        <d v="2023-11-18T00:00:00Z"/>
        <d v="2023-11-19T00:00:00Z"/>
        <d v="2023-11-05T00:00:00Z"/>
        <d v="2023-11-06T00:00:00Z"/>
        <d v="2023-11-07T00:00:00Z"/>
        <d v="2023-10-27T00:00:00Z"/>
        <d v="2023-11-24T00:00:00Z"/>
        <d v="2023-11-11T00:00:00Z"/>
        <d v="2023-11-12T00:00:00Z"/>
        <d v="2023-11-13T00:00:00Z"/>
        <d v="2023-11-28T00:00:00Z"/>
        <d v="2023-11-17T00:00:00Z"/>
        <d v="2023-12-02T00:00:00Z"/>
        <d v="2023-11-21T00:00:00Z"/>
        <d v="2023-11-26T00:00:00Z"/>
        <d v="2023-12-10T00:00:00Z"/>
        <d v="2023-11-27T00:00:00Z"/>
        <d v="2023-12-11T00:00:00Z"/>
        <d v="2023-12-01T00:00:00Z"/>
        <d v="2023-12-16T00:00:00Z"/>
        <d v="2023-12-03T00:00:00Z"/>
        <d v="2023-12-04T00:00:00Z"/>
        <d v="2023-12-05T00:00:00Z"/>
        <d v="2023-12-08T00:00:00Z"/>
        <d v="2023-12-09T00:00:00Z"/>
        <d v="2023-12-12T00:00:00Z"/>
        <d v="2023-12-15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2-06T00:00:00Z"/>
        <d v="2024-01-26T00:00:00Z"/>
        <d v="2024-01-27T00:00:00Z"/>
        <d v="2024-01-28T00:00:00Z"/>
        <d v="2024-01-29T00:00:00Z"/>
        <d v="2024-01-30T00:00:00Z"/>
        <d v="2024-02-02T00:00:00Z"/>
        <d v="2024-02-03T00:00:00Z"/>
        <d v="2024-02-04T00:00:00Z"/>
        <d v="2024-02-05T00:00:00Z"/>
        <d v="2024-02-09T00:00:00Z"/>
        <d v="2024-02-10T00:00:00Z"/>
        <d v="2024-02-24T00:00:00Z"/>
        <d v="2024-02-11T00:00:00Z"/>
        <d v="2024-02-12T00:00:00Z"/>
        <d v="2024-02-13T00:00:00Z"/>
        <d v="2024-02-16T00:00:00Z"/>
        <d v="2024-03-02T00:00:00Z"/>
        <d v="2024-02-17T00:00:00Z"/>
        <d v="2024-02-18T00:00:00Z"/>
        <d v="2024-03-05T00:00:00Z"/>
        <d v="2024-02-20T00:00:00Z"/>
        <d v="2024-03-06T00:00:00Z"/>
        <d v="2024-02-23T00:00:00Z"/>
        <d v="2024-02-25T00:00:00Z"/>
        <d v="2024-02-26T00:00:00Z"/>
        <d v="2024-02-27T00:00:00Z"/>
        <d v="2024-03-13T00:00:00Z"/>
        <d v="2024-03-03T00:00:00Z"/>
        <d v="2024-03-17T00:00:00Z"/>
        <d v="2024-03-04T00:00:00Z"/>
        <d v="2024-03-09T00:00:00Z"/>
        <d v="2024-03-10T00:00:00Z"/>
        <d v="2024-03-24T00:00:00Z"/>
        <d v="2024-03-11T00:00:00Z"/>
        <d v="2024-03-12T00:00:00Z"/>
        <d v="2024-03-16T00:00:00Z"/>
        <d v="2024-03-18T00:00:00Z"/>
        <d v="2024-03-19T00:00:00Z"/>
        <d v="2024-03-20T00:00:00Z"/>
        <d v="2024-03-23T00:00:00Z"/>
        <d v="2024-03-25T00:00:00Z"/>
        <d v="2024-03-26T00:00:00Z"/>
        <d v="2024-03-27T00:00:00Z"/>
        <d v="2024-03-30T00:00:00Z"/>
        <d v="2024-03-31T00:00:00Z"/>
        <d v="2024-04-14T00:00:00Z"/>
        <d v="2024-04-01T00:00:00Z"/>
        <d v="2024-04-02T00:00:00Z"/>
        <d v="2024-04-17T00:00:00Z"/>
        <d v="2024-04-03T00:00:00Z"/>
        <d v="2024-04-06T00:00:00Z"/>
        <d v="2024-04-07T00:00:00Z"/>
        <d v="2024-04-08T00:00:00Z"/>
        <d v="2024-04-09T00:00:00Z"/>
        <d v="2024-04-10T00:00:00Z"/>
        <d v="2024-04-13T00:00:00Z"/>
        <d v="2024-04-27T00:00:00Z"/>
        <d v="2024-04-28T00:00:00Z"/>
        <d v="2024-04-15T00:00:00Z"/>
        <d v="2024-04-29T00:00:00Z"/>
        <d v="2024-04-16T00:00:00Z"/>
        <d v="2024-04-20T00:00:00Z"/>
        <d v="2024-04-21T00:00:00Z"/>
        <d v="2024-04-22T00:00:00Z"/>
        <d v="2024-05-06T00:00:00Z"/>
        <d v="2024-04-23T00:00:00Z"/>
        <d v="2024-05-08T00:00:00Z"/>
        <d v="2024-04-24T00:00:00Z"/>
        <d v="2024-05-13T00:00:00Z"/>
        <d v="2024-04-30T00:00:00Z"/>
        <d v="2024-05-15T00:00:00Z"/>
        <d v="2024-05-01T00:00:00Z"/>
        <d v="2024-05-04T00:00:00Z"/>
        <d v="2024-05-05T00:00:00Z"/>
        <d v="2024-05-07T00:00:00Z"/>
        <d v="2024-05-11T00:00:00Z"/>
        <d v="2024-05-12T00:00:00Z"/>
        <d v="2024-05-14T00:00:00Z"/>
        <d v="2024-06-01T00:00:00Z"/>
        <d v="2024-05-18T00:00:00Z"/>
        <d v="2024-05-19T00:00:00Z"/>
        <d v="2024-05-20T00:00:00Z"/>
        <d v="2024-05-21T00:00:00Z"/>
        <d v="2024-05-22T00:00:00Z"/>
        <d v="2024-05-25T00:00:00Z"/>
        <d v="2024-05-26T00:00:00Z"/>
        <d v="2024-05-27T00:00:00Z"/>
        <d v="2024-06-10T00:00:00Z"/>
        <d v="2024-05-28T00:00:00Z"/>
        <d v="2024-06-11T00:00:00Z"/>
        <d v="2024-05-29T00:00:00Z"/>
        <d v="2024-06-02T00:00:00Z"/>
        <d v="2024-06-03T00:00:00Z"/>
      </sharedItems>
    </cacheField>
    <cacheField name="shippedDate" numFmtId="166">
      <sharedItems containsDate="1" containsString="0" containsBlank="1">
        <d v="2022-07-16T00:00:00Z"/>
        <d v="2022-07-10T00:00:00Z"/>
        <d v="2022-07-12T00:00:00Z"/>
        <d v="2022-07-15T00:00:00Z"/>
        <d v="2022-07-11T00:00:00Z"/>
        <d v="2022-07-23T00:00:00Z"/>
        <d v="2022-07-17T00:00:00Z"/>
        <d v="2022-07-22T00:00:00Z"/>
        <d v="2022-07-25T00:00:00Z"/>
        <d v="2022-07-29T00:00:00Z"/>
        <d v="2022-07-30T00:00:00Z"/>
        <d v="2022-07-31T00:00:00Z"/>
        <d v="2022-08-23T00:00:00Z"/>
        <d v="2022-08-12T00:00:00Z"/>
        <d v="2022-08-06T00:00:00Z"/>
        <d v="2022-08-02T00:00:00Z"/>
        <d v="2022-08-09T00:00:00Z"/>
        <d v="2022-08-30T00:00:00Z"/>
        <d v="2022-08-16T00:00:00Z"/>
        <d v="2022-08-14T00:00:00Z"/>
        <d v="2022-08-13T00:00:00Z"/>
        <d v="2022-09-12T00:00:00Z"/>
        <d v="2022-08-21T00:00:00Z"/>
        <d v="2022-08-27T00:00:00Z"/>
        <d v="2022-08-26T00:00:00Z"/>
        <d v="2022-08-28T00:00:00Z"/>
        <d v="2022-09-03T00:00:00Z"/>
        <d v="2022-09-04T00:00:00Z"/>
        <d v="2022-09-02T00:00:00Z"/>
        <d v="2022-09-11T00:00:00Z"/>
        <d v="2022-09-05T00:00:00Z"/>
        <d v="2022-09-10T00:00:00Z"/>
        <d v="2022-09-13T00:00:00Z"/>
        <d v="2022-09-18T00:00:00Z"/>
        <d v="2022-09-17T00:00:00Z"/>
        <d v="2022-10-09T00:00:00Z"/>
        <d v="2022-09-23T00:00:00Z"/>
        <d v="2022-09-25T00:00:00Z"/>
        <d v="2022-09-24T00:00:00Z"/>
        <d v="2022-10-23T00:00:00Z"/>
        <d v="2022-09-27T00:00:00Z"/>
        <d v="2022-09-26T00:00:00Z"/>
        <d v="2022-10-03T00:00:00Z"/>
        <d v="2022-10-04T00:00:00Z"/>
        <d v="2022-10-08T00:00:00Z"/>
        <d v="2022-10-10T00:00:00Z"/>
        <d v="2022-10-11T00:00:00Z"/>
        <d v="2022-10-18T00:00:00Z"/>
        <d v="2022-10-14T00:00:00Z"/>
        <d v="2022-10-17T00:00:00Z"/>
        <d v="2022-10-28T00:00:00Z"/>
        <d v="2022-10-21T00:00:00Z"/>
        <d v="2022-10-25T00:00:00Z"/>
        <d v="2022-10-24T00:00:00Z"/>
        <d v="2022-10-29T00:00:00Z"/>
        <d v="2022-11-04T00:00:00Z"/>
        <d v="2022-11-08T00:00:00Z"/>
        <d v="2022-11-05T00:00:00Z"/>
        <d v="2022-11-06T00:00:00Z"/>
        <d v="2022-11-11T00:00:00Z"/>
        <d v="2022-11-15T00:00:00Z"/>
        <d v="2022-12-03T00:00:00Z"/>
        <d v="2022-11-20T00:00:00Z"/>
        <d v="2022-11-18T00:00:00Z"/>
        <d v="2022-11-25T00:00:00Z"/>
        <d v="2022-11-27T00:00:00Z"/>
        <d v="2022-12-02T00:00:00Z"/>
        <d v="2022-11-26T00:00:00Z"/>
        <d v="2022-11-28T00:00:00Z"/>
        <d v="2022-12-04T00:00:00Z"/>
        <d v="2022-12-30T00:00:00Z"/>
        <d v="2022-12-09T00:00:00Z"/>
        <d v="2022-12-27T00:00:00Z"/>
        <d v="2022-12-24T00:00:00Z"/>
        <d v="2022-12-11T00:00:00Z"/>
        <d v="2022-12-13T00:00:00Z"/>
        <d v="2022-12-19T00:00:00Z"/>
        <d v="2023-01-16T00:00:00Z"/>
        <d v="2022-12-16T00:00:00Z"/>
        <d v="2022-12-18T00:00:00Z"/>
        <d v="2022-12-20T00:00:00Z"/>
        <d v="2022-12-23T00:00:00Z"/>
        <d v="2022-12-25T00:00:00Z"/>
        <d v="2022-12-26T00:00:00Z"/>
        <d v="2022-12-31T00:00:00Z"/>
        <d v="2023-01-01T00:00:00Z"/>
        <d v="2023-01-03T00:00:00Z"/>
        <d v="2023-01-06T00:00:00Z"/>
        <d v="2023-01-02T00:00:00Z"/>
        <d v="2023-01-09T00:00:00Z"/>
        <d v="2023-01-08T00:00:00Z"/>
        <d v="2023-01-10T00:00:00Z"/>
        <d v="2023-01-22T00:00:00Z"/>
        <d v="2023-01-13T00:00:00Z"/>
        <d v="2023-01-30T00:00:00Z"/>
        <d v="2023-01-14T00:00:00Z"/>
        <d v="2023-01-15T00:00:00Z"/>
        <d v="2023-01-21T00:00:00Z"/>
        <d v="2023-01-17T00:00:00Z"/>
        <d v="2023-01-24T00:00:00Z"/>
        <d v="2023-01-27T00:00:00Z"/>
        <d v="2023-01-28T00:00:00Z"/>
        <d v="2023-01-31T00:00:00Z"/>
        <d v="2023-02-24T00:00:00Z"/>
        <d v="2023-02-14T00:00:00Z"/>
        <d v="2023-02-06T00:00:00Z"/>
        <d v="2023-03-03T00:00:00Z"/>
        <d v="2023-02-04T00:00:00Z"/>
        <d v="2023-02-07T00:00:00Z"/>
        <d v="2023-02-03T00:00:00Z"/>
        <d v="2023-03-04T00:00:00Z"/>
        <d v="2023-02-13T00:00:00Z"/>
        <d v="2023-02-11T00:00:00Z"/>
        <d v="2023-02-12T00:00:00Z"/>
        <d v="2023-02-10T00:00:00Z"/>
        <d v="2023-02-28T00:00:00Z"/>
        <d v="2023-03-14T00:00:00Z"/>
        <d v="2023-02-18T00:00:00Z"/>
        <d v="2023-02-21T00:00:00Z"/>
        <d v="2023-02-20T00:00:00Z"/>
        <d v="2023-02-19T00:00:00Z"/>
        <d v="2023-03-07T00:00:00Z"/>
        <d v="2023-02-27T00:00:00Z"/>
        <d v="2023-03-11T00:00:00Z"/>
        <d v="2023-03-12T00:00:00Z"/>
        <d v="2023-02-26T00:00:00Z"/>
        <d v="2023-02-25T00:00:00Z"/>
        <d v="2023-03-05T00:00:00Z"/>
        <d v="2023-03-18T00:00:00Z"/>
        <d v="2023-03-06T00:00:00Z"/>
        <d v="2023-03-13T00:00:00Z"/>
        <d v="2023-03-19T00:00:00Z"/>
        <d v="2023-03-21T00:00:00Z"/>
        <d v="2023-04-04T00:00:00Z"/>
        <d v="2023-03-24T00:00:00Z"/>
        <d v="2023-03-25T00:00:00Z"/>
        <d v="2023-03-26T00:00:00Z"/>
        <d v="2023-04-10T00:00:00Z"/>
        <d v="2023-04-25T00:00:00Z"/>
        <d v="2023-04-01T00:00:00Z"/>
        <d v="2023-03-31T00:00:00Z"/>
        <d v="2023-04-02T00:00:00Z"/>
        <d v="2023-03-28T00:00:00Z"/>
        <d v="2023-04-09T00:00:00Z"/>
        <d v="2023-04-03T00:00:00Z"/>
        <d v="2023-04-08T00:00:00Z"/>
        <d v="2023-04-11T00:00:00Z"/>
        <d v="2023-04-07T00:00:00Z"/>
        <d v="2023-04-16T00:00:00Z"/>
        <d v="2023-04-17T00:00:00Z"/>
        <d v="2023-04-29T00:00:00Z"/>
        <d v="2023-04-18T00:00:00Z"/>
        <d v="2023-04-21T00:00:00Z"/>
        <d v="2023-05-02T00:00:00Z"/>
        <d v="2023-04-22T00:00:00Z"/>
        <d v="2023-05-13T00:00:00Z"/>
        <d v="2023-04-28T00:00:00Z"/>
        <d v="2023-04-24T00:00:00Z"/>
        <d v="2023-05-16T00:00:00Z"/>
        <d v="2023-05-23T00:00:00Z"/>
        <d v="2023-05-01T00:00:00Z"/>
        <d v="2023-05-05T00:00:00Z"/>
        <d v="2023-05-06T00:00:00Z"/>
        <d v="2023-05-30T00:00:00Z"/>
        <d v="2023-05-07T00:00:00Z"/>
        <d v="2023-05-15T00:00:00Z"/>
        <d v="2023-05-09T00:00:00Z"/>
        <d v="2023-05-12T00:00:00Z"/>
        <d v="2023-05-19T00:00:00Z"/>
        <d v="2023-05-22T00:00:00Z"/>
        <d v="2023-05-14T00:00:00Z"/>
        <d v="2023-05-21T00:00:00Z"/>
        <d v="2023-06-06T00:00:00Z"/>
        <d v="2023-06-13T00:00:00Z"/>
        <d v="2023-05-29T00:00:00Z"/>
        <d v="2023-05-26T00:00:00Z"/>
        <d v="2023-06-26T00:00:00Z"/>
        <d v="2023-05-27T00:00:00Z"/>
        <d v="2023-06-02T00:00:00Z"/>
        <d v="2023-06-05T00:00:00Z"/>
        <d v="2023-06-03T00:00:00Z"/>
        <d v="2023-06-04T00:00:00Z"/>
        <d v="2023-06-10T00:00:00Z"/>
        <d v="2023-06-09T00:00:00Z"/>
        <d v="2023-06-12T00:00:00Z"/>
        <d v="2023-06-24T00:00:00Z"/>
        <d v="2023-06-16T00:00:00Z"/>
        <d v="2023-06-18T00:00:00Z"/>
        <d v="2023-06-17T00:00:00Z"/>
        <d v="2023-07-09T00:00:00Z"/>
        <d v="2023-07-11T00:00:00Z"/>
        <d v="2023-06-19T00:00:00Z"/>
        <d v="2023-07-04T00:00:00Z"/>
        <d v="2023-06-25T00:00:00Z"/>
        <d v="2023-06-20T00:00:00Z"/>
        <d v="2023-06-30T00:00:00Z"/>
        <d v="2023-07-25T00:00:00Z"/>
        <d v="2023-07-01T00:00:00Z"/>
        <d v="2023-07-02T00:00:00Z"/>
        <d v="2023-07-14T00:00:00Z"/>
        <d v="2023-07-10T00:00:00Z"/>
        <d v="2023-07-16T00:00:00Z"/>
        <d v="2023-08-13T00:00:00Z"/>
        <d v="2023-08-12T00:00:00Z"/>
        <d v="2023-07-18T00:00:00Z"/>
        <d v="2023-07-21T00:00:00Z"/>
        <d v="2023-07-22T00:00:00Z"/>
        <d v="2023-08-08T00:00:00Z"/>
        <d v="2023-07-29T00:00:00Z"/>
        <d v="2023-07-31T00:00:00Z"/>
        <d v="2023-08-01T00:00:00Z"/>
        <d v="2023-07-30T00:00:00Z"/>
        <d v="2023-08-06T00:00:00Z"/>
        <d v="2023-08-05T00:00:00Z"/>
        <d v="2023-08-04T00:00:00Z"/>
        <d v="2023-08-07T00:00:00Z"/>
        <d v="2023-08-14T00:00:00Z"/>
        <d v="2023-08-11T00:00:00Z"/>
        <d v="2023-08-19T00:00:00Z"/>
        <d v="2023-08-20T00:00:00Z"/>
        <d v="2023-08-21T00:00:00Z"/>
        <d v="2023-08-15T00:00:00Z"/>
        <d v="2023-08-18T00:00:00Z"/>
        <d v="2023-08-26T00:00:00Z"/>
        <d v="2023-09-01T00:00:00Z"/>
        <d v="2023-08-27T00:00:00Z"/>
        <d v="2023-08-28T00:00:00Z"/>
        <d v="2023-09-05T00:00:00Z"/>
        <d v="2023-09-02T00:00:00Z"/>
        <d v="2023-09-03T00:00:00Z"/>
        <d v="2023-09-09T00:00:00Z"/>
        <d v="2023-08-29T00:00:00Z"/>
        <d v="2023-09-11T00:00:00Z"/>
        <d v="2023-09-08T00:00:00Z"/>
        <d v="2023-09-19T00:00:00Z"/>
        <d v="2023-09-10T00:00:00Z"/>
        <d v="2023-09-15T00:00:00Z"/>
        <d v="2023-10-15T00:00:00Z"/>
        <d v="2023-09-18T00:00:00Z"/>
        <d v="2023-10-03T00:00:00Z"/>
        <d v="2023-09-17T00:00:00Z"/>
        <d v="2023-09-22T00:00:00Z"/>
        <d v="2023-09-23T00:00:00Z"/>
        <d v="2023-09-24T00:00:00Z"/>
        <d v="2023-09-26T00:00:00Z"/>
        <d v="2023-09-30T00:00:00Z"/>
        <d v="2023-09-29T00:00:00Z"/>
        <d v="2023-10-16T00:00:00Z"/>
        <d v="2023-10-01T00:00:00Z"/>
        <d v="2023-10-08T00:00:00Z"/>
        <d v="2023-10-30T00:00:00Z"/>
        <d v="2023-10-07T00:00:00Z"/>
        <d v="2023-10-22T00:00:00Z"/>
        <d v="2023-10-13T00:00:00Z"/>
        <d v="2023-10-10T00:00:00Z"/>
        <d v="2023-10-09T00:00:00Z"/>
        <d v="2023-10-14T00:00:00Z"/>
        <d v="2023-10-17T00:00:00Z"/>
        <d v="2023-10-21T00:00:00Z"/>
        <d v="2023-10-20T00:00:00Z"/>
        <d v="2023-11-07T00:00:00Z"/>
        <d v="2023-11-18T00:00:00Z"/>
        <d v="2023-10-23T00:00:00Z"/>
        <d v="2023-11-05T00:00:00Z"/>
        <d v="2023-11-20T00:00:00Z"/>
        <d v="2023-10-29T00:00:00Z"/>
        <d v="2023-10-31T00:00:00Z"/>
        <d v="2023-10-24T00:00:00Z"/>
        <d v="2023-10-27T00:00:00Z"/>
        <d v="2023-11-04T00:00:00Z"/>
        <d v="2023-11-25T00:00:00Z"/>
        <d v="2023-12-05T00:00:00Z"/>
        <d v="2023-11-11T00:00:00Z"/>
        <d v="2023-11-14T00:00:00Z"/>
        <d v="2023-11-10T00:00:00Z"/>
        <d v="2023-11-12T00:00:00Z"/>
        <d v="2023-11-21T00:00:00Z"/>
        <d v="2023-11-17T00:00:00Z"/>
        <d v="2023-11-24T00:00:00Z"/>
        <d v="2023-11-27T00:00:00Z"/>
        <d v="2023-11-26T00:00:00Z"/>
        <d v="2023-11-28T00:00:00Z"/>
        <d v="2023-12-19T00:00:00Z"/>
        <d v="2023-12-03T00:00:00Z"/>
        <d v="2023-12-02T00:00:00Z"/>
        <d v="2023-12-15T00:00:00Z"/>
        <d v="2023-12-04T00:00:00Z"/>
        <d v="2023-12-12T00:00:00Z"/>
        <d v="2023-12-10T00:00:00Z"/>
        <d v="2023-12-08T00:00:00Z"/>
        <d v="2023-12-09T00:00:00Z"/>
        <d v="2023-12-17T00:00:00Z"/>
        <d v="2024-01-02T00:00:00Z"/>
        <d v="2023-12-16T00:00:00Z"/>
        <d v="2023-12-26T00:00:00Z"/>
        <d v="2023-12-18T00:00:00Z"/>
        <d v="2024-01-21T00:00:00Z"/>
        <d v="2023-12-24T00:00:00Z"/>
        <d v="2024-01-14T00:00:00Z"/>
        <d v="2023-12-25T00:00:00Z"/>
        <d v="2023-12-22T00:00:00Z"/>
        <d v="2023-12-23T00:00:00Z"/>
        <d v="2024-01-19T00:00:00Z"/>
        <d v="2023-12-31T00:00:00Z"/>
        <d v="2024-01-01T00:00:00Z"/>
        <d v="2024-01-08T00:00:00Z"/>
        <d v="2024-01-20T00:00:00Z"/>
        <d v="2024-01-05T00:00:00Z"/>
        <d v="2024-01-06T00:00:00Z"/>
        <d v="2024-01-07T00:00:00Z"/>
        <d v="2024-01-09T00:00:00Z"/>
        <d v="2024-01-30T00:00:00Z"/>
        <d v="2024-01-12T00:00:00Z"/>
        <d v="2024-02-04T00:00:00Z"/>
        <d v="2024-01-13T00:00:00Z"/>
        <d v="2024-01-16T00:00:00Z"/>
        <d v="2024-01-15T00:00:00Z"/>
        <d v="2024-02-06T00:00:00Z"/>
        <d v="2024-01-23T00:00:00Z"/>
        <d v="2024-01-22T00:00:00Z"/>
        <d v="2024-02-16T00:00:00Z"/>
        <d v="2024-01-29T00:00:00Z"/>
        <d v="2024-01-26T00:00:00Z"/>
        <d v="2024-02-10T00:00:00Z"/>
        <d v="2024-02-02T00:00:00Z"/>
        <d v="2024-02-03T00:00:00Z"/>
        <d v="2024-02-05T00:00:00Z"/>
        <d v="2024-02-17T00:00:00Z"/>
        <d v="2024-02-09T00:00:00Z"/>
        <d v="2024-02-12T00:00:00Z"/>
        <d v="2024-02-11T00:00:00Z"/>
        <d v="2024-02-23T00:00:00Z"/>
        <d v="2024-02-13T00:00:00Z"/>
        <d v="2024-03-03T00:00:00Z"/>
        <d v="2024-02-19T00:00:00Z"/>
        <d v="2024-02-18T00:00:00Z"/>
        <d v="2024-02-20T00:00:00Z"/>
        <d v="2024-03-02T00:00:00Z"/>
        <d v="2024-02-27T00:00:00Z"/>
        <d v="2024-02-25T00:00:00Z"/>
        <d v="2024-03-06T00:00:00Z"/>
        <d v="2024-02-26T00:00:00Z"/>
        <d v="2024-03-04T00:00:00Z"/>
        <d v="2024-03-10T00:00:00Z"/>
        <d v="2024-03-05T00:00:00Z"/>
        <d v="2024-03-18T00:00:00Z"/>
        <d v="2024-03-09T00:00:00Z"/>
        <d v="2024-03-11T00:00:00Z"/>
        <d v="2024-03-13T00:00:00Z"/>
        <d v="2024-04-08T00:00:00Z"/>
        <d v="2024-03-12T00:00:00Z"/>
        <d v="2024-03-19T00:00:00Z"/>
        <d v="2024-03-24T00:00:00Z"/>
        <d v="2024-03-16T00:00:00Z"/>
        <d v="2024-03-23T00:00:00Z"/>
        <d v="2024-03-20T00:00:00Z"/>
        <d v="2024-03-17T00:00:00Z"/>
        <d v="2024-04-07T00:00:00Z"/>
        <d v="2024-03-25T00:00:00Z"/>
        <d v="2024-03-27T00:00:00Z"/>
        <d v="2024-03-30T00:00:00Z"/>
        <d v="2024-03-26T00:00:00Z"/>
        <d v="2024-04-02T00:00:00Z"/>
        <d v="2024-04-01T00:00:00Z"/>
        <d v="2024-04-24T00:00:00Z"/>
        <d v="2024-04-03T00:00:00Z"/>
        <d v="2024-04-10T00:00:00Z"/>
        <d v="2024-04-23T00:00:00Z"/>
        <d v="2024-03-31T00:00:00Z"/>
        <d v="2024-04-17T00:00:00Z"/>
        <d v="2024-04-06T00:00:00Z"/>
        <d v="2024-04-21T00:00:00Z"/>
        <d v="2024-04-09T00:00:00Z"/>
        <d v="2024-04-13T00:00:00Z"/>
        <d v="2024-04-14T00:00:00Z"/>
        <d v="2024-04-16T00:00:00Z"/>
        <d v="2024-04-20T00:00:00Z"/>
        <d v="2024-04-15T00:00:00Z"/>
        <m/>
        <d v="2024-05-04T00:00:00Z"/>
        <d v="2024-04-28T00:00:00Z"/>
        <d v="2024-04-22T00:00:00Z"/>
        <d v="2024-04-27T00:00:00Z"/>
        <d v="2024-04-30T00:00:00Z"/>
        <d v="2024-05-01T00:00:00Z"/>
        <d v="2024-04-29T00:00:00Z"/>
        <d v="2024-05-05T00:00:00Z"/>
        <d v="2024-05-06T00:00:00Z"/>
      </sharedItems>
    </cacheField>
    <cacheField name="arrivedDate" numFmtId="166">
      <sharedItems containsDate="1" containsString="0" containsBlank="1">
        <d v="2022-07-24T00:00:00Z"/>
        <d v="2022-07-14T00:00:00Z"/>
        <d v="2022-07-29T00:00:00Z"/>
        <d v="2022-07-19T00:00:00Z"/>
        <d v="2022-08-02T00:00:00Z"/>
        <d v="2022-08-05T00:00:00Z"/>
        <d v="2022-07-26T00:00:00Z"/>
        <d v="2022-08-07T00:00:00Z"/>
        <d v="2022-08-01T00:00:00Z"/>
        <d v="2022-08-08T00:00:00Z"/>
        <d v="2022-08-03T00:00:00Z"/>
        <d v="2022-08-16T00:00:00Z"/>
        <d v="2022-08-11T00:00:00Z"/>
        <d v="2022-09-04T00:00:00Z"/>
        <d v="2022-08-19T00:00:00Z"/>
        <d v="2022-08-13T00:00:00Z"/>
        <d v="2022-08-10T00:00:00Z"/>
        <d v="2022-08-21T00:00:00Z"/>
        <d v="2022-08-14T00:00:00Z"/>
        <d v="2022-09-17T00:00:00Z"/>
        <d v="2022-08-24T00:00:00Z"/>
        <d v="2022-08-18T00:00:00Z"/>
        <d v="2022-08-22T00:00:00Z"/>
        <d v="2022-08-17T00:00:00Z"/>
        <d v="2022-08-28T00:00:00Z"/>
        <d v="2022-08-20T00:00:00Z"/>
        <d v="2022-08-26T00:00:00Z"/>
        <d v="2022-08-23T00:00:00Z"/>
        <d v="2022-09-22T00:00:00Z"/>
        <d v="2022-08-30T00:00:00Z"/>
        <d v="2022-08-27T00:00:00Z"/>
        <d v="2022-08-29T00:00:00Z"/>
        <d v="2022-09-02T00:00:00Z"/>
        <d v="2022-09-03T00:00:00Z"/>
        <d v="2022-09-14T00:00:00Z"/>
        <d v="2022-09-11T00:00:00Z"/>
        <d v="2022-09-21T00:00:00Z"/>
        <d v="2022-09-19T00:00:00Z"/>
        <d v="2022-09-23T00:00:00Z"/>
        <d v="2022-09-24T00:00:00Z"/>
        <d v="2022-09-20T00:00:00Z"/>
        <d v="2022-09-27T00:00:00Z"/>
        <d v="2022-10-03T00:00:00Z"/>
        <d v="2022-09-30T00:00:00Z"/>
        <d v="2022-10-24T00:00:00Z"/>
        <d v="2022-09-29T00:00:00Z"/>
        <d v="2022-10-04T00:00:00Z"/>
        <d v="2022-10-10T00:00:00Z"/>
        <d v="2022-10-07T00:00:00Z"/>
        <d v="2022-11-02T00:00:00Z"/>
        <d v="2022-10-14T00:00:00Z"/>
        <d v="2022-10-02T00:00:00Z"/>
        <d v="2022-10-09T00:00:00Z"/>
        <d v="2022-10-20T00:00:00Z"/>
        <d v="2022-10-11T00:00:00Z"/>
        <d v="2022-10-22T00:00:00Z"/>
        <d v="2022-10-15T00:00:00Z"/>
        <d v="2022-10-25T00:00:00Z"/>
        <d v="2022-10-28T00:00:00Z"/>
        <d v="2022-10-21T00:00:00Z"/>
        <d v="2022-11-04T00:00:00Z"/>
        <d v="2022-10-18T00:00:00Z"/>
        <d v="2022-10-27T00:00:00Z"/>
        <d v="2022-10-23T00:00:00Z"/>
        <d v="2022-11-10T00:00:00Z"/>
        <d v="2022-11-08T00:00:00Z"/>
        <d v="2022-11-07T00:00:00Z"/>
        <d v="2022-11-09T00:00:00Z"/>
        <d v="2022-11-01T00:00:00Z"/>
        <d v="2022-11-11T00:00:00Z"/>
        <d v="2022-11-21T00:00:00Z"/>
        <d v="2022-11-13T00:00:00Z"/>
        <d v="2022-11-18T00:00:00Z"/>
        <d v="2022-11-23T00:00:00Z"/>
        <d v="2022-11-19T00:00:00Z"/>
        <d v="2022-11-30T00:00:00Z"/>
        <d v="2022-12-13T00:00:00Z"/>
        <d v="2022-12-02T00:00:00Z"/>
        <d v="2022-12-05T00:00:00Z"/>
        <d v="2022-12-03T00:00:00Z"/>
        <d v="2022-11-27T00:00:00Z"/>
        <d v="2022-12-14T00:00:00Z"/>
        <d v="2022-12-01T00:00:00Z"/>
        <d v="2022-12-07T00:00:00Z"/>
        <d v="2022-12-12T00:00:00Z"/>
        <d v="2022-12-09T00:00:00Z"/>
        <d v="2022-12-11T00:00:00Z"/>
        <d v="2022-12-20T00:00:00Z"/>
        <d v="2023-01-09T00:00:00Z"/>
        <d v="2022-12-24T00:00:00Z"/>
        <d v="2023-01-11T00:00:00Z"/>
        <d v="2022-12-28T00:00:00Z"/>
        <d v="2022-12-19T00:00:00Z"/>
        <d v="2022-12-26T00:00:00Z"/>
        <d v="2022-12-22T00:00:00Z"/>
        <d v="2022-12-31T00:00:00Z"/>
        <d v="2022-12-27T00:00:00Z"/>
        <d v="2023-01-29T00:00:00Z"/>
        <d v="2022-12-25T00:00:00Z"/>
        <d v="2022-12-30T00:00:00Z"/>
        <d v="2023-01-10T00:00:00Z"/>
        <d v="2023-01-03T00:00:00Z"/>
        <d v="2023-01-08T00:00:00Z"/>
        <d v="2023-01-06T00:00:00Z"/>
        <d v="2023-01-14T00:00:00Z"/>
        <d v="2023-01-20T00:00:00Z"/>
        <d v="2023-01-17T00:00:00Z"/>
        <d v="2023-01-12T00:00:00Z"/>
        <d v="2023-01-26T00:00:00Z"/>
        <d v="2023-01-18T00:00:00Z"/>
        <d v="2023-01-21T00:00:00Z"/>
        <d v="2023-01-25T00:00:00Z"/>
        <d v="2023-01-23T00:00:00Z"/>
        <d v="2023-01-13T00:00:00Z"/>
        <d v="2023-02-02T00:00:00Z"/>
        <d v="2023-01-28T00:00:00Z"/>
        <d v="2023-02-05T00:00:00Z"/>
        <d v="2023-01-19T00:00:00Z"/>
        <d v="2023-01-24T00:00:00Z"/>
        <d v="2023-02-04T00:00:00Z"/>
        <d v="2023-02-06T00:00:00Z"/>
        <d v="2023-02-11T00:00:00Z"/>
        <d v="2023-01-27T00:00:00Z"/>
        <d v="2023-02-12T00:00:00Z"/>
        <d v="2023-02-13T00:00:00Z"/>
        <d v="2023-02-07T00:00:00Z"/>
        <d v="2023-03-12T00:00:00Z"/>
        <d v="2023-02-25T00:00:00Z"/>
        <d v="2023-02-15T00:00:00Z"/>
        <d v="2023-03-19T00:00:00Z"/>
        <d v="2023-02-19T00:00:00Z"/>
        <d v="2023-02-23T00:00:00Z"/>
        <d v="2023-02-24T00:00:00Z"/>
        <d v="2023-03-14T00:00:00Z"/>
        <d v="2023-02-16T00:00:00Z"/>
        <d v="2023-02-22T00:00:00Z"/>
        <d v="2023-02-21T00:00:00Z"/>
        <d v="2023-03-17T00:00:00Z"/>
        <d v="2023-04-01T00:00:00Z"/>
        <d v="2023-03-04T00:00:00Z"/>
        <d v="2023-02-18T00:00:00Z"/>
        <d v="2023-03-02T00:00:00Z"/>
        <d v="2023-02-27T00:00:00Z"/>
        <d v="2023-02-20T00:00:00Z"/>
        <d v="2023-03-24T00:00:00Z"/>
        <d v="2023-03-10T00:00:00Z"/>
        <d v="2023-03-09T00:00:00Z"/>
        <d v="2023-03-16T00:00:00Z"/>
        <d v="2023-03-11T00:00:00Z"/>
        <d v="2023-03-05T00:00:00Z"/>
        <d v="2023-03-06T00:00:00Z"/>
        <d v="2023-03-08T00:00:00Z"/>
        <d v="2023-03-15T00:00:00Z"/>
        <d v="2023-03-21T00:00:00Z"/>
        <d v="2023-03-30T00:00:00Z"/>
        <d v="2023-03-26T00:00:00Z"/>
        <d v="2023-03-29T00:00:00Z"/>
        <d v="2023-03-23T00:00:00Z"/>
        <d v="2023-04-08T00:00:00Z"/>
        <d v="2023-04-16T00:00:00Z"/>
        <d v="2023-04-06T00:00:00Z"/>
        <d v="2023-04-07T00:00:00Z"/>
        <d v="2023-04-02T00:00:00Z"/>
        <d v="2023-04-04T00:00:00Z"/>
        <d v="2023-04-13T00:00:00Z"/>
        <d v="2023-04-24T00:00:00Z"/>
        <d v="2023-05-11T00:00:00Z"/>
        <d v="2023-04-17T00:00:00Z"/>
        <d v="2023-04-11T00:00:00Z"/>
        <d v="2023-04-21T00:00:00Z"/>
        <d v="2023-04-15T00:00:00Z"/>
        <d v="2023-04-22T00:00:00Z"/>
        <d v="2023-04-19T00:00:00Z"/>
        <d v="2023-04-29T00:00:00Z"/>
        <d v="2023-04-28T00:00:00Z"/>
        <d v="2023-04-12T00:00:00Z"/>
        <d v="2023-04-26T00:00:00Z"/>
        <d v="2023-05-10T00:00:00Z"/>
        <d v="2023-05-03T00:00:00Z"/>
        <d v="2023-05-04T00:00:00Z"/>
        <d v="2023-05-09T00:00:00Z"/>
        <d v="2023-05-21T00:00:00Z"/>
        <d v="2023-04-30T00:00:00Z"/>
        <d v="2023-05-31T00:00:00Z"/>
        <d v="2023-05-26T00:00:00Z"/>
        <d v="2023-05-08T00:00:00Z"/>
        <d v="2023-05-20T00:00:00Z"/>
        <d v="2023-05-14T00:00:00Z"/>
        <d v="2023-06-06T00:00:00Z"/>
        <d v="2023-05-17T00:00:00Z"/>
        <d v="2023-06-01T00:00:00Z"/>
        <d v="2023-05-27T00:00:00Z"/>
        <d v="2023-05-23T00:00:00Z"/>
        <d v="2023-05-28T00:00:00Z"/>
        <d v="2023-05-30T00:00:00Z"/>
        <d v="2023-06-13T00:00:00Z"/>
        <d v="2023-05-29T00:00:00Z"/>
        <d v="2023-06-17T00:00:00Z"/>
        <d v="2023-06-11T00:00:00Z"/>
        <d v="2023-06-08T00:00:00Z"/>
        <d v="2023-06-10T00:00:00Z"/>
        <d v="2023-07-13T00:00:00Z"/>
        <d v="2023-06-04T00:00:00Z"/>
        <d v="2023-06-16T00:00:00Z"/>
        <d v="2023-06-18T00:00:00Z"/>
        <d v="2023-06-22T00:00:00Z"/>
        <d v="2023-06-15T00:00:00Z"/>
        <d v="2023-06-20T00:00:00Z"/>
        <d v="2023-06-12T00:00:00Z"/>
        <d v="2023-07-01T00:00:00Z"/>
        <d v="2023-07-05T00:00:00Z"/>
        <d v="2023-06-24T00:00:00Z"/>
        <d v="2023-06-27T00:00:00Z"/>
        <d v="2023-07-19T00:00:00Z"/>
        <d v="2023-07-22T00:00:00Z"/>
        <d v="2023-07-04T00:00:00Z"/>
        <d v="2023-07-16T00:00:00Z"/>
        <d v="2023-07-02T00:00:00Z"/>
        <d v="2023-07-18T00:00:00Z"/>
        <d v="2023-08-02T00:00:00Z"/>
        <d v="2023-07-23T00:00:00Z"/>
        <d v="2023-07-06T00:00:00Z"/>
        <d v="2023-07-20T00:00:00Z"/>
        <d v="2023-07-09T00:00:00Z"/>
        <d v="2023-07-27T00:00:00Z"/>
        <d v="2023-07-31T00:00:00Z"/>
        <d v="2023-07-26T00:00:00Z"/>
        <d v="2023-07-28T00:00:00Z"/>
        <d v="2023-07-17T00:00:00Z"/>
        <d v="2023-08-22T00:00:00Z"/>
        <d v="2023-08-24T00:00:00Z"/>
        <d v="2023-07-30T00:00:00Z"/>
        <d v="2023-07-29T00:00:00Z"/>
        <d v="2023-08-05T00:00:00Z"/>
        <d v="2023-08-01T00:00:00Z"/>
        <d v="2023-08-07T00:00:00Z"/>
        <d v="2023-08-09T00:00:00Z"/>
        <d v="2023-08-15T00:00:00Z"/>
        <d v="2023-08-19T00:00:00Z"/>
        <d v="2023-08-06T00:00:00Z"/>
        <d v="2023-08-08T00:00:00Z"/>
        <d v="2023-08-10T00:00:00Z"/>
        <d v="2023-08-16T00:00:00Z"/>
        <d v="2023-08-20T00:00:00Z"/>
        <d v="2023-08-23T00:00:00Z"/>
        <d v="2023-08-18T00:00:00Z"/>
        <d v="2023-08-25T00:00:00Z"/>
        <d v="2023-08-28T00:00:00Z"/>
        <d v="2023-09-05T00:00:00Z"/>
        <d v="2023-08-27T00:00:00Z"/>
        <d v="2023-09-01T00:00:00Z"/>
        <d v="2023-09-07T00:00:00Z"/>
        <d v="2023-08-31T00:00:00Z"/>
        <d v="2023-08-26T00:00:00Z"/>
        <d v="2023-08-30T00:00:00Z"/>
        <d v="2023-09-09T00:00:00Z"/>
        <d v="2023-09-10T00:00:00Z"/>
        <d v="2023-09-02T00:00:00Z"/>
        <d v="2023-09-19T00:00:00Z"/>
        <d v="2023-09-03T00:00:00Z"/>
        <d v="2023-09-20T00:00:00Z"/>
        <d v="2023-09-15T00:00:00Z"/>
        <d v="2023-09-16T00:00:00Z"/>
        <d v="2023-09-21T00:00:00Z"/>
        <d v="2023-09-26T00:00:00Z"/>
        <d v="2023-09-17T00:00:00Z"/>
        <d v="2023-09-29T00:00:00Z"/>
        <d v="2023-09-24T00:00:00Z"/>
        <d v="2023-09-22T00:00:00Z"/>
        <d v="2023-10-01T00:00:00Z"/>
        <d v="2023-09-11T00:00:00Z"/>
        <d v="2023-09-27T00:00:00Z"/>
        <d v="2023-10-26T00:00:00Z"/>
        <d v="2023-10-07T00:00:00Z"/>
        <d v="2023-10-14T00:00:00Z"/>
        <d v="2023-10-02T00:00:00Z"/>
        <d v="2023-10-04T00:00:00Z"/>
        <d v="2023-10-05T00:00:00Z"/>
        <d v="2023-09-30T00:00:00Z"/>
        <d v="2023-09-23T00:00:00Z"/>
        <d v="2023-10-06T00:00:00Z"/>
        <d v="2023-10-11T00:00:00Z"/>
        <d v="2023-10-16T00:00:00Z"/>
        <d v="2023-11-02T00:00:00Z"/>
        <d v="2023-10-17T00:00:00Z"/>
        <d v="2023-10-23T00:00:00Z"/>
        <d v="2023-10-19T00:00:00Z"/>
        <d v="2023-11-15T00:00:00Z"/>
        <d v="2023-10-18T00:00:00Z"/>
        <d v="2023-10-31T00:00:00Z"/>
        <d v="2023-10-22T00:00:00Z"/>
        <d v="2023-10-15T00:00:00Z"/>
        <d v="2023-10-24T00:00:00Z"/>
        <d v="2023-10-30T00:00:00Z"/>
        <d v="2023-10-25T00:00:00Z"/>
        <d v="2023-10-29T00:00:00Z"/>
        <d v="2023-10-27T00:00:00Z"/>
        <d v="2023-11-20T00:00:00Z"/>
        <d v="2023-11-30T00:00:00Z"/>
        <d v="2023-11-04T00:00:00Z"/>
        <d v="2023-11-01T00:00:00Z"/>
        <d v="2023-11-23T00:00:00Z"/>
        <d v="2023-12-08T00:00:00Z"/>
        <d v="2023-11-16T00:00:00Z"/>
        <d v="2023-11-11T00:00:00Z"/>
        <d v="2023-11-08T00:00:00Z"/>
        <d v="2023-11-13T00:00:00Z"/>
        <d v="2023-11-12T00:00:00Z"/>
        <d v="2023-11-06T00:00:00Z"/>
        <d v="2023-11-03T00:00:00Z"/>
        <d v="2023-11-25T00:00:00Z"/>
        <d v="2023-12-06T00:00:00Z"/>
        <d v="2023-11-18T00:00:00Z"/>
        <d v="2023-11-24T00:00:00Z"/>
        <d v="2023-12-11T00:00:00Z"/>
        <d v="2023-12-10T00:00:00Z"/>
        <d v="2023-11-29T00:00:00Z"/>
        <d v="2023-11-17T00:00:00Z"/>
        <d v="2023-11-22T00:00:00Z"/>
        <d v="2023-11-21T00:00:00Z"/>
        <d v="2023-12-09T00:00:00Z"/>
        <d v="2023-12-04T00:00:00Z"/>
        <d v="2023-11-27T00:00:00Z"/>
        <d v="2023-12-13T00:00:00Z"/>
        <d v="2023-12-05T00:00:00Z"/>
        <d v="2023-12-02T00:00:00Z"/>
        <d v="2023-12-28T00:00:00Z"/>
        <d v="2023-12-14T00:00:00Z"/>
        <d v="2023-12-07T00:00:00Z"/>
        <d v="2023-12-21T00:00:00Z"/>
        <d v="2023-12-27T00:00:00Z"/>
        <d v="2023-12-17T00:00:00Z"/>
        <d v="2023-12-26T00:00:00Z"/>
        <d v="2023-12-25T00:00:00Z"/>
        <d v="2023-12-15T00:00:00Z"/>
        <d v="2023-12-16T00:00:00Z"/>
        <d v="2023-12-22T00:00:00Z"/>
        <d v="2024-01-04T00:00:00Z"/>
        <d v="2024-01-15T00:00:00Z"/>
        <d v="2024-01-07T00:00:00Z"/>
        <d v="2024-01-01T00:00:00Z"/>
        <d v="2024-02-10T00:00:00Z"/>
        <d v="2023-12-30T00:00:00Z"/>
        <d v="2024-01-19T00:00:00Z"/>
        <d v="2024-01-05T00:00:00Z"/>
        <d v="2024-01-08T00:00:00Z"/>
        <d v="2024-01-28T00:00:00Z"/>
        <d v="2024-01-12T00:00:00Z"/>
        <d v="2024-01-10T00:00:00Z"/>
        <d v="2024-02-03T00:00:00Z"/>
        <d v="2024-01-25T00:00:00Z"/>
        <d v="2024-01-11T00:00:00Z"/>
        <d v="2024-01-09T00:00:00Z"/>
        <d v="2024-01-22T00:00:00Z"/>
        <d v="2024-01-18T00:00:00Z"/>
        <d v="2024-01-26T00:00:00Z"/>
        <d v="2024-01-14T00:00:00Z"/>
        <d v="2024-02-04T00:00:00Z"/>
        <d v="2024-01-23T00:00:00Z"/>
        <d v="2024-01-20T00:00:00Z"/>
        <d v="2024-01-21T00:00:00Z"/>
        <d v="2024-01-16T00:00:00Z"/>
        <d v="2024-02-19T00:00:00Z"/>
        <d v="2024-01-31T00:00:00Z"/>
        <d v="2024-01-27T00:00:00Z"/>
        <d v="2024-02-09T00:00:00Z"/>
        <d v="2024-01-17T00:00:00Z"/>
        <d v="2024-02-16T00:00:00Z"/>
        <d v="2024-01-30T00:00:00Z"/>
        <d v="2024-02-07T00:00:00Z"/>
        <d v="2024-01-29T00:00:00Z"/>
        <d v="2024-02-01T00:00:00Z"/>
        <d v="2024-02-05T00:00:00Z"/>
        <d v="2024-03-03T00:00:00Z"/>
        <d v="2024-02-13T00:00:00Z"/>
        <d v="2024-02-14T00:00:00Z"/>
        <d v="2024-02-08T00:00:00Z"/>
        <d v="2024-02-06T00:00:00Z"/>
        <d v="2024-02-23T00:00:00Z"/>
        <d v="2024-02-21T00:00:00Z"/>
        <d v="2024-02-17T00:00:00Z"/>
        <d v="2024-02-24T00:00:00Z"/>
        <d v="2024-02-11T00:00:00Z"/>
        <d v="2024-03-06T00:00:00Z"/>
        <d v="2024-03-02T00:00:00Z"/>
        <d v="2024-02-22T00:00:00Z"/>
        <d v="2024-02-25T00:00:00Z"/>
        <d v="2024-03-12T00:00:00Z"/>
        <d v="2024-02-12T00:00:00Z"/>
        <d v="2024-02-20T00:00:00Z"/>
        <d v="2024-03-14T00:00:00Z"/>
        <d v="2024-02-26T00:00:00Z"/>
        <d v="2024-02-29T00:00:00Z"/>
        <d v="2024-03-04T00:00:00Z"/>
        <d v="2024-02-28T00:00:00Z"/>
        <d v="2024-03-19T00:00:00Z"/>
        <d v="2024-02-27T00:00:00Z"/>
        <d v="2024-03-05T00:00:00Z"/>
        <d v="2024-03-11T00:00:00Z"/>
        <d v="2024-03-08T00:00:00Z"/>
        <d v="2024-03-21T00:00:00Z"/>
        <d v="2024-03-09T00:00:00Z"/>
        <d v="2024-03-25T00:00:00Z"/>
        <d v="2024-03-07T00:00:00Z"/>
        <d v="2024-03-15T00:00:00Z"/>
        <d v="2024-03-24T00:00:00Z"/>
        <d v="2024-03-13T00:00:00Z"/>
        <d v="2024-03-17T00:00:00Z"/>
        <d v="2024-03-22T00:00:00Z"/>
        <d v="2024-03-10T00:00:00Z"/>
        <d v="2024-04-01T00:00:00Z"/>
        <d v="2024-03-23T00:00:00Z"/>
        <d v="2024-03-26T00:00:00Z"/>
        <d v="2024-03-16T00:00:00Z"/>
        <d v="2024-03-18T00:00:00Z"/>
        <d v="2024-04-20T00:00:00Z"/>
        <d v="2024-03-27T00:00:00Z"/>
        <d v="2024-04-11T00:00:00Z"/>
        <d v="2024-03-31T00:00:00Z"/>
        <d v="2024-04-05T00:00:00Z"/>
        <d v="2024-03-29T00:00:00Z"/>
        <d v="2024-04-06T00:00:00Z"/>
        <d v="2024-04-04T00:00:00Z"/>
        <d v="2024-04-22T00:00:00Z"/>
        <d v="2024-03-28T00:00:00Z"/>
        <d v="2024-04-02T00:00:00Z"/>
        <d v="2024-03-30T00:00:00Z"/>
        <d v="2024-04-08T00:00:00Z"/>
        <d v="2024-04-12T00:00:00Z"/>
        <d v="2024-04-10T00:00:00Z"/>
        <d v="2024-04-16T00:00:00Z"/>
        <d v="2024-04-19T00:00:00Z"/>
        <d v="2024-04-30T00:00:00Z"/>
        <d v="2024-04-03T00:00:00Z"/>
        <d v="2024-04-15T00:00:00Z"/>
        <d v="2024-05-05T00:00:00Z"/>
        <d v="2024-04-24T00:00:00Z"/>
        <d v="2024-04-21T00:00:00Z"/>
        <d v="2024-04-18T00:00:00Z"/>
        <d v="2024-05-06T00:00:00Z"/>
        <d v="2024-04-09T00:00:00Z"/>
        <d v="2024-04-29T00:00:00Z"/>
        <d v="2024-04-28T00:00:00Z"/>
        <d v="2024-04-17T00:00:00Z"/>
        <d v="2024-04-27T00:00:00Z"/>
        <d v="2024-04-25T00:00:00Z"/>
        <d v="2024-04-23T00:00:00Z"/>
        <d v="2024-05-01T00:00:00Z"/>
        <m/>
        <d v="2024-05-02T00:00:00Z"/>
        <d v="2024-04-26T00:00:00Z"/>
        <d v="2024-05-25T00:00:00Z"/>
        <d v="2024-05-03T00:00:00Z"/>
        <d v="2024-05-08T00:00:00Z"/>
        <d v="2024-05-09T00:00:00Z"/>
        <d v="2024-05-14T00:00:00Z"/>
        <d v="2024-05-07T00:00:00Z"/>
        <d v="2024-05-12T00:00:00Z"/>
        <d v="2024-05-13T00:00:00Z"/>
        <d v="2024-05-17T00:00:00Z"/>
        <d v="2024-05-11T00:00:00Z"/>
        <d v="2024-05-20T00:00:00Z"/>
        <d v="2024-05-15T00:00:00Z"/>
        <d v="2024-05-16T00:00:00Z"/>
        <d v="2024-05-10T00:00:00Z"/>
        <d v="2024-05-18T00:00:00Z"/>
        <d v="2024-05-21T00:00:00Z"/>
        <d v="2024-05-24T00:00:00Z"/>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Status" numFmtId="165">
      <sharedItems>
        <s v="Current"/>
        <s v="Discontinued"/>
      </sharedItems>
    </cacheField>
    <cacheField name="unitsStocked" numFmtId="0">
      <sharedItems containsSemiMixedTypes="0" containsString="0" containsNumber="1" containsInteger="1">
        <n v="22.0"/>
        <n v="26.0"/>
        <n v="14.0"/>
        <n v="35.0"/>
        <n v="20.0"/>
        <n v="85.0"/>
        <n v="76.0"/>
        <n v="104.0"/>
        <n v="36.0"/>
        <n v="40.0"/>
        <n v="112.0"/>
        <n v="19.0"/>
        <n v="0.0"/>
        <n v="69.0"/>
        <n v="10.0"/>
        <n v="115.0"/>
        <n v="4.0"/>
        <n v="17.0"/>
        <n v="29.0"/>
        <n v="79.0"/>
        <n v="32.0"/>
        <n v="49.0"/>
        <n v="9.0"/>
        <n v="3.0"/>
        <n v="11.0"/>
        <n v="15.0"/>
        <n v="21.0"/>
        <n v="86.0"/>
        <n v="123.0"/>
        <n v="57.0"/>
        <n v="31.0"/>
        <n v="24.0"/>
        <n v="27.0"/>
        <n v="101.0"/>
        <n v="125.0"/>
        <n v="25.0"/>
        <n v="39.0"/>
        <n v="52.0"/>
        <n v="111.0"/>
        <n v="95.0"/>
        <n v="6.0"/>
        <n v="13.0"/>
        <n v="42.0"/>
        <n v="53.0"/>
        <n v="120.0"/>
        <n v="62.0"/>
        <n v="38.0"/>
        <n v="61.0"/>
        <n v="65.0"/>
        <n v="5.0"/>
        <n v="113.0"/>
      </sharedItems>
    </cacheField>
    <cacheField name="unitsOrdered" numFmtId="0">
      <sharedItems containsSemiMixedTypes="0" containsString="0" containsNumber="1" containsInteger="1">
        <n v="30.0"/>
        <n v="0.0"/>
        <n v="70.0"/>
        <n v="60.0"/>
        <n v="20.0"/>
        <n v="40.0"/>
        <n v="50.0"/>
        <n v="10.0"/>
        <n v="80.0"/>
        <n v="100.0"/>
      </sharedItems>
    </cacheField>
    <cacheField name="reorderLevel" numFmtId="0">
      <sharedItems containsSemiMixedTypes="0" containsString="0" containsNumber="1" containsInteger="1">
        <n v="30.0"/>
        <n v="0.0"/>
        <n v="10.0"/>
        <n v="25.0"/>
        <n v="20.0"/>
        <n v="5.0"/>
        <n v="15.0"/>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n v="22.0"/>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sharedItems>
    </cacheField>
    <cacheField name="sinceLastOrder" numFmtId="0">
      <sharedItems containsSemiMixedTypes="0" containsString="0" containsNumber="1" containsInteger="1">
        <n v="0.0"/>
        <n v="3.0"/>
        <n v="6.0"/>
        <n v="1.0"/>
        <n v="5.0"/>
        <n v="11.0"/>
        <n v="12.0"/>
        <n v="7.0"/>
        <n v="17.0"/>
        <n v="26.0"/>
        <n v="22.0"/>
        <n v="20.0"/>
        <n v="24.0"/>
        <n v="23.0"/>
        <n v="2.0"/>
        <n v="4.0"/>
        <n v="15.0"/>
        <n v="9.0"/>
        <n v="21.0"/>
        <n v="19.0"/>
        <n v="34.0"/>
        <n v="27.0"/>
        <n v="38.0"/>
        <n v="10.0"/>
        <n v="36.0"/>
        <n v="30.0"/>
        <n v="28.0"/>
        <n v="48.0"/>
        <n v="42.0"/>
        <n v="8.0"/>
        <n v="50.0"/>
        <n v="29.0"/>
        <n v="61.0"/>
        <n v="43.0"/>
        <n v="35.0"/>
        <n v="32.0"/>
        <n v="65.0"/>
        <n v="16.0"/>
        <n v="37.0"/>
        <n v="77.0"/>
        <n v="13.0"/>
        <n v="70.0"/>
        <n v="31.0"/>
        <n v="57.0"/>
        <n v="14.0"/>
        <n v="52.0"/>
        <n v="18.0"/>
        <n v="47.0"/>
        <n v="40.0"/>
        <n v="96.0"/>
        <n v="56.0"/>
        <n v="25.0"/>
        <n v="33.0"/>
        <n v="39.0"/>
        <n v="91.0"/>
        <n v="98.0"/>
        <n v="85.0"/>
        <n v="66.0"/>
        <n v="76.0"/>
        <n v="75.0"/>
        <n v="62.0"/>
        <n v="103.0"/>
        <n v="81.0"/>
        <n v="55.0"/>
        <n v="44.0"/>
        <n v="51.0"/>
        <n v="71.0"/>
        <n v="93.0"/>
        <n v="133.0"/>
        <n v="41.0"/>
        <n v="49.0"/>
        <n v="64.0"/>
        <n v="80.0"/>
        <n v="108.0"/>
        <n v="45.0"/>
        <n v="68.0"/>
        <n v="148.0"/>
        <n v="59.0"/>
        <n v="53.0"/>
        <n v="60.0"/>
        <n v="92.0"/>
        <n v="162.0"/>
        <n v="211.0"/>
        <n v="196.0"/>
        <n v="175.0"/>
        <n v="155.0"/>
        <n v="58.0"/>
        <n v="120.0"/>
        <n v="72.0"/>
        <n v="123.0"/>
        <n v="88.0"/>
        <n v="46.0"/>
        <n v="78.0"/>
        <n v="184.0"/>
        <n v="234.0"/>
        <n v="165.0"/>
        <n v="182.0"/>
        <n v="127.0"/>
        <n v="54.0"/>
        <n v="113.0"/>
        <n v="115.0"/>
        <n v="160.0"/>
        <n v="67.0"/>
        <n v="63.0"/>
        <n v="142.0"/>
        <n v="73.0"/>
        <n v="69.0"/>
        <n v="82.0"/>
        <n v="94.0"/>
        <n v="105.0"/>
        <n v="296.0"/>
        <n v="74.0"/>
        <n v="86.0"/>
        <n v="248.0"/>
        <n v="167.0"/>
        <n v="126.0"/>
        <n v="109.0"/>
        <n v="84.0"/>
        <n v="118.0"/>
        <n v="139.0"/>
        <n v="104.0"/>
        <n v="119.0"/>
        <n v="97.0"/>
        <n v="244.0"/>
        <n v="230.0"/>
        <n v="140.0"/>
        <n v="87.0"/>
        <n v="83.0"/>
        <n v="102.0"/>
        <n v="89.0"/>
        <n v="266.0"/>
        <n v="79.0"/>
        <n v="100.0"/>
        <n v="134.0"/>
        <n v="147.0"/>
      </sharedItems>
    </cacheField>
    <cacheField name="salesVelocity" numFmtId="4">
      <sharedItems containsSemiMixedTypes="0" containsString="0" containsNumber="1">
        <n v="0.0"/>
        <n v="11.666666666666666"/>
        <n v="1.0"/>
        <n v="15.0"/>
        <n v="10.0"/>
        <n v="1.4545454545454546"/>
        <n v="4.545454545454546"/>
        <n v="20.0"/>
        <n v="2.4"/>
        <n v="5.454545454545454"/>
        <n v="2.3333333333333335"/>
        <n v="3.0"/>
        <n v="5.0"/>
        <n v="3.3333333333333335"/>
        <n v="4.117647058823529"/>
        <n v="0.15384615384615385"/>
        <n v="2.727272727272727"/>
        <n v="1.5"/>
        <n v="24.0"/>
        <n v="0.25"/>
        <n v="1.7391304347826086"/>
        <n v="12.0"/>
        <n v="8.571428571428571"/>
        <n v="4.714285714285714"/>
        <n v="1.75"/>
        <n v="0.8"/>
        <n v="0.6666666666666666"/>
        <n v="0.5714285714285714"/>
        <n v="0.7894736842105263"/>
        <n v="1.7142857142857142"/>
        <n v="0.5882352941176471"/>
        <n v="0.2608695652173913"/>
        <n v="0.07407407407407407"/>
        <n v="9.0"/>
        <n v="0.9210526315789473"/>
        <n v="0.3"/>
        <n v="0.4411764705882353"/>
        <n v="6.666666666666667"/>
        <n v="2.6666666666666665"/>
        <n v="14.285714285714286"/>
        <n v="1.3333333333333333"/>
        <n v="0.5555555555555556"/>
        <n v="0.5357142857142857"/>
        <n v="0.3125"/>
        <n v="0.23809523809523808"/>
        <n v="1.0526315789473684"/>
        <n v="0.04"/>
        <n v="0.7692307692307693"/>
        <n v="0.29411764705882354"/>
        <n v="0.4"/>
        <n v="1.8"/>
        <n v="0.8823529411764706"/>
        <n v="0.5172413793103449"/>
        <n v="1.9090909090909092"/>
        <n v="6.0"/>
        <n v="0.09523809523809523"/>
        <n v="0.19672131147540983"/>
        <n v="2.5"/>
        <n v="1.2"/>
        <n v="0.9302325581395349"/>
        <n v="1.1428571428571428"/>
        <n v="1.25"/>
        <n v="0.7142857142857143"/>
        <n v="0.46511627906976744"/>
        <n v="1.1764705882352942"/>
        <n v="0.5"/>
        <n v="2.857142857142857"/>
        <n v="3.6363636363636362"/>
        <n v="0.875"/>
        <n v="1.0909090909090908"/>
        <n v="0.46153846153846156"/>
        <n v="7.5"/>
        <n v="1.875"/>
        <n v="1.4285714285714286"/>
        <n v="0.05405405405405406"/>
        <n v="1.6666666666666667"/>
        <n v="1.4705882352941178"/>
        <n v="0.37037037037037035"/>
        <n v="0.20833333333333334"/>
        <n v="0.8333333333333334"/>
        <n v="0.06666666666666667"/>
        <n v="0.4166666666666667"/>
        <n v="0.025974025974025976"/>
        <n v="2.2222222222222223"/>
        <n v="0.42857142857142855"/>
        <n v="3.5"/>
        <n v="0.3076923076923077"/>
        <n v="0.631578947368421"/>
        <n v="3.75"/>
        <n v="35.0"/>
        <n v="0.6451612903225806"/>
        <n v="0.10526315789473684"/>
        <n v="0.36363636363636365"/>
        <n v="1.5555555555555556"/>
        <n v="30.0"/>
        <n v="2.142857142857143"/>
        <n v="0.23255813953488372"/>
        <n v="0.09615384615384616"/>
        <n v="0.16666666666666666"/>
        <n v="1.1666666666666667"/>
        <n v="14.0"/>
        <n v="0.6382978723404256"/>
        <n v="1.5384615384615385"/>
        <n v="2.0"/>
        <n v="0.27906976744186046"/>
        <n v="0.09375"/>
        <n v="0.06153846153846154"/>
        <n v="0.2857142857142857"/>
        <n v="2.9411764705882355"/>
        <n v="0.6944444444444444"/>
        <n v="1.3157894736842106"/>
        <n v="1.4"/>
        <n v="1.2121212121212122"/>
        <n v="0.2564102564102564"/>
        <n v="0.3333333333333333"/>
        <n v="3.5714285714285716"/>
        <n v="1.1111111111111112"/>
        <n v="0.10989010989010989"/>
        <n v="0.47058823529411764"/>
        <n v="0.6363636363636364"/>
        <n v="1.9230769230769231"/>
        <n v="0.2222222222222222"/>
        <n v="0.8571428571428571"/>
        <n v="1.3846153846153846"/>
        <n v="3.125"/>
        <n v="0.8695652173913043"/>
        <n v="23.333333333333332"/>
        <n v="0.9032258064516129"/>
        <n v="0.09411764705882353"/>
        <n v="0.6"/>
        <n v="7.0"/>
        <n v="0.5194805194805194"/>
        <n v="0.7575757575757576"/>
        <n v="8.75"/>
        <n v="4.0"/>
        <n v="4.5"/>
        <n v="0.9523809523809523"/>
        <n v="0.07142857142857142"/>
        <n v="0.39473684210526316"/>
        <n v="1.7857142857142858"/>
        <n v="1.0434782608695652"/>
        <n v="0.34615384615384615"/>
        <n v="0.7407407407407407"/>
        <n v="1.013157894736842"/>
        <n v="0.35714285714285715"/>
        <n v="0.13333333333333333"/>
        <n v="25.0"/>
        <n v="0.06451612903225806"/>
        <n v="8.333333333333334"/>
        <n v="1.5789473684210527"/>
        <n v="0.2912621359223301"/>
        <n v="0.6153846153846154"/>
        <n v="0.09876543209876543"/>
        <n v="0.18181818181818182"/>
        <n v="1.2727272727272727"/>
        <n v="40.0"/>
        <n v="4.375"/>
        <n v="0.49295774647887325"/>
        <n v="2.8"/>
        <n v="3.375"/>
        <n v="55.0"/>
        <n v="2.6315789473684212"/>
        <n v="8.0"/>
        <n v="0.1282051282051282"/>
        <n v="0.053763440860215055"/>
        <n v="0.11904761904761904"/>
        <n v="1.8571428571428572"/>
        <n v="1.206896551724138"/>
        <n v="0.15037593984962405"/>
        <n v="0.12244897959183673"/>
        <n v="5.833333333333333"/>
        <n v="1.024390243902439"/>
        <n v="5.555555555555555"/>
        <n v="0.30612244897959184"/>
        <n v="10.5"/>
        <n v="0.26666666666666666"/>
        <n v="0.375"/>
        <n v="0.75"/>
        <n v="0.38961038961038963"/>
        <n v="0.2962962962962963"/>
        <n v="0.2"/>
        <n v="50.0"/>
        <n v="0.06756756756756757"/>
        <n v="0.1702127659574468"/>
        <n v="0.24"/>
        <n v="0.3389830508474576"/>
        <n v="5.714285714285714"/>
        <n v="0.5161290322580645"/>
        <n v="0.46875"/>
        <n v="0.37735849056603776"/>
        <n v="4.285714285714286"/>
        <n v="0.5263157894736842"/>
        <n v="0.5921052631578947"/>
        <n v="1.263157894736842"/>
        <n v="2.5714285714285716"/>
        <n v="0.44642857142857145"/>
        <n v="2.210526315789474"/>
        <n v="0.23333333333333334"/>
        <n v="1.9444444444444444"/>
        <n v="16.0"/>
        <n v="9.333333333333334"/>
        <n v="5.25"/>
        <n v="0.5625"/>
        <n v="0.42424242424242425"/>
        <n v="1.105263157894737"/>
        <n v="17.5"/>
        <n v="0.9"/>
        <n v="60.0"/>
        <n v="2.9545454545454546"/>
        <n v="0.4883720930232558"/>
        <n v="0.37593984962406013"/>
        <n v="2.1"/>
        <n v="0.14285714285714285"/>
        <n v="0.03225806451612903"/>
        <n v="0.7317073170731707"/>
        <n v="0.13157894736842105"/>
        <n v="0.6956521739130435"/>
        <n v="3.4285714285714284"/>
        <n v="0.2535211267605634"/>
        <n v="12.5"/>
        <n v="0.028169014084507043"/>
        <n v="0.47619047619047616"/>
        <n v="1.1627906976744187"/>
        <n v="2.25"/>
        <n v="2.1875"/>
        <n v="2.608695652173913"/>
        <n v="0.5978260869565217"/>
        <n v="1.7647058823529411"/>
        <n v="0.12345679012345678"/>
        <n v="0.4827586206896552"/>
        <n v="0.19230769230769232"/>
        <n v="0.12727272727272726"/>
        <n v="0.9090909090909091"/>
        <n v="1.2962962962962963"/>
        <n v="2.380952380952381"/>
        <n v="2.1739130434782608"/>
        <n v="2.3076923076923075"/>
        <n v="0.05687203791469194"/>
        <n v="0.625"/>
        <n v="0.3380281690140845"/>
        <n v="0.9375"/>
        <n v="0.07653061224489796"/>
        <n v="0.45714285714285713"/>
        <n v="16.333333333333332"/>
        <n v="7.2727272727272725"/>
        <n v="0.3870967741935484"/>
        <n v="0.09090909090909091"/>
        <n v="0.3448275862068966"/>
        <n v="0.13636363636363635"/>
        <n v="0.2631578947368421"/>
        <n v="0.7954545454545454"/>
        <n v="0.05263157894736842"/>
        <n v="4.615384615384615"/>
        <n v="2.9166666666666665"/>
        <n v="5.6"/>
        <n v="1.896551724137931"/>
        <n v="2.4390243902439024"/>
        <n v="0.8064516129032258"/>
        <n v="1.8181818181818181"/>
        <n v="0.5405405405405406"/>
        <n v="0.39622641509433965"/>
        <n v="0.5833333333333334"/>
        <n v="0.17391304347826086"/>
        <n v="13.333333333333334"/>
        <n v="0.024390243902439025"/>
        <n v="0.35"/>
        <n v="0.13008130081300814"/>
        <n v="0.782608695652174"/>
        <n v="0.45454545454545453"/>
        <n v="28.0"/>
        <n v="0.16901408450704225"/>
        <n v="2.0588235294117645"/>
        <n v="0.1111111111111111"/>
        <n v="0.3409090909090909"/>
        <n v="2.625"/>
        <n v="1.935483870967742"/>
        <n v="1.0769230769230769"/>
        <n v="0.11764705882352941"/>
        <n v="0.24193548387096775"/>
        <n v="1.2352941176470589"/>
        <n v="0.5454545454545454"/>
        <n v="1.2173913043478262"/>
        <n v="0.6122448979591837"/>
        <n v="0.7608695652173914"/>
        <n v="0.3404255319148936"/>
        <n v="0.22727272727272727"/>
        <n v="1.0714285714285714"/>
        <n v="0.6857142857142857"/>
        <n v="0.967741935483871"/>
        <n v="0.1388888888888889"/>
        <n v="1.3636363636363635"/>
        <n v="0.43478260869565216"/>
        <n v="0.5384615384615384"/>
        <n v="0.06521739130434782"/>
        <n v="0.2727272727272727"/>
        <n v="2.413793103448276"/>
        <n v="0.7058823529411765"/>
        <n v="0.5434782608695652"/>
        <n v="0.05454545454545454"/>
        <n v="1.2857142857142858"/>
        <n v="0.38461538461538464"/>
        <n v="0.2830188679245283"/>
        <n v="0.8181818181818182"/>
        <n v="0.06060606060606061"/>
        <n v="0.1956521739130435"/>
        <n v="0.1875"/>
        <n v="0.27472527472527475"/>
        <n v="0.30708661417322836"/>
        <n v="3.888888888888889"/>
        <n v="3.5454545454545454"/>
        <n v="0.3902439024390244"/>
        <n v="42.0"/>
        <n v="0.5681818181818182"/>
        <n v="3.8095238095238093"/>
        <n v="0.09230769230769231"/>
        <n v="0.40540540540540543"/>
        <n v="0.36"/>
        <n v="0.2777777777777778"/>
        <n v="0.039473684210526314"/>
        <n v="0.20689655172413793"/>
        <n v="1.0869565217391304"/>
        <n v="0.32051282051282054"/>
        <n v="0.1592920353982301"/>
        <n v="0.6818181818181818"/>
        <n v="1.6"/>
        <n v="0.07692307692307693"/>
        <n v="0.28125"/>
        <n v="0.32558139534883723"/>
        <n v="0.6486486486486487"/>
        <n v="7.142857142857143"/>
        <n v="0.5217391304347826"/>
        <n v="0.052083333333333336"/>
        <n v="0.15625"/>
        <n v="0.125"/>
        <n v="0.7272727272727273"/>
        <n v="0.15789473684210525"/>
        <n v="0.13432835820895522"/>
        <n v="1.4583333333333333"/>
        <n v="0.2413793103448276"/>
        <n v="0.17073170731707318"/>
        <n v="1.0256410256410255"/>
        <n v="0.7741935483870968"/>
        <n v="0.15873015873015872"/>
        <n v="0.56"/>
        <n v="4.230769230769231"/>
        <n v="2.127659574468085"/>
        <n v="3.6923076923076925"/>
        <n v="0.8108108108108109"/>
        <n v="0.20869565217391303"/>
        <n v="0.17857142857142858"/>
        <n v="0.5769230769230769"/>
        <n v="0.6206896551724138"/>
        <n v="1.3888888888888888"/>
        <n v="1.2307692307692308"/>
        <n v="2.7777777777777777"/>
        <n v="2.6923076923076925"/>
        <n v="0.3673469387755102"/>
        <n v="0.11627906976744186"/>
        <n v="0.7333333333333333"/>
        <n v="0.5185185185185185"/>
        <n v="0.04225352112676056"/>
        <n v="0.20408163265306123"/>
        <n v="0.14705882352941177"/>
        <n v="0.12987012987012986"/>
        <n v="0.136986301369863"/>
        <n v="0.5106382978723404"/>
        <n v="1.9047619047619047"/>
        <n v="6.25"/>
        <n v="1.0416666666666667"/>
        <n v="0.30434782608695654"/>
        <n v="2.7906976744186047"/>
        <n v="65.0"/>
        <n v="0.6097560975609756"/>
        <n v="0.16071428571428573"/>
        <n v="0.4444444444444444"/>
        <n v="0.9836065573770492"/>
        <n v="1.3461538461538463"/>
        <n v="0.9795918367346939"/>
        <n v="0.3968253968253968"/>
        <n v="0.06382978723404255"/>
        <n v="0.28169014084507044"/>
        <n v="3.0303030303030303"/>
        <n v="0.17647058823529413"/>
        <n v="0.24390243902439024"/>
        <n v="0.4666666666666667"/>
        <n v="18.333333333333332"/>
        <n v="0.2054794520547945"/>
        <n v="0.19480519480519481"/>
        <n v="0.23648648648648649"/>
        <n v="0.20270270270270271"/>
        <n v="2.3529411764705883"/>
        <n v="0.18518518518518517"/>
        <n v="0.078125"/>
        <n v="0.14925373134328357"/>
        <n v="3.6"/>
        <n v="0.22641509433962265"/>
        <n v="0.4186046511627907"/>
        <n v="0.7647058823529411"/>
        <n v="0.234375"/>
        <n v="0.06048387096774194"/>
        <n v="0.14634146341463414"/>
        <n v="0.1497005988023952"/>
        <n v="0.23529411764705882"/>
        <n v="0.525"/>
        <n v="2.0689655172413794"/>
        <n v="0.7777777777777778"/>
        <n v="0.015873015873015872"/>
        <n v="0.1834862385321101"/>
        <n v="0.8536585365853658"/>
        <n v="0.6976744186046512"/>
        <n v="0.2898550724637681"/>
        <n v="0.8620689655172413"/>
        <n v="2.8125"/>
        <n v="7.777777777777778"/>
        <n v="0.29850746268656714"/>
        <n v="0.3442622950819672"/>
        <n v="0.023809523809523808"/>
        <n v="1.1612903225806452"/>
        <n v="2.0454545454545454"/>
        <n v="0.12121212121212122"/>
        <n v="0.7619047619047619"/>
        <n v="0.211864406779661"/>
        <n v="0.78125"/>
        <n v="0.30303030303030304"/>
        <n v="0.20512820512820512"/>
        <n v="2.5641025641025643"/>
        <n v="6.315789473684211"/>
        <n v="0.02877697841726619"/>
        <n v="0.17307692307692307"/>
        <n v="0.1346153846153846"/>
        <n v="2.1818181818181817"/>
        <n v="1.7307692307692308"/>
        <n v="1.6129032258064515"/>
        <n v="0.0625"/>
        <n v="0.14516129032258066"/>
        <n v="1.2903225806451613"/>
        <n v="1.09375"/>
        <n v="0.061224489795918366"/>
        <n v="0.09433962264150944"/>
        <n v="0.03361344537815126"/>
        <n v="1.8461538461538463"/>
        <n v="0.6774193548387096"/>
        <n v="0.41237113402061853"/>
        <n v="1.746031746031746"/>
        <n v="2.076923076923077"/>
        <n v="18.0"/>
        <n v="21.0"/>
        <n v="0.1724137931034483"/>
        <n v="0.1935483870967742"/>
        <n v="0.05357142857142857"/>
        <n v="1.05"/>
        <n v="2.3684210526315788"/>
        <n v="2.2857142857142856"/>
        <n v="0.11428571428571428"/>
        <n v="0.32653061224489793"/>
        <n v="0.05128205128205128"/>
        <n v="0.045454545454545456"/>
        <n v="0.44871794871794873"/>
        <n v="3.8461538461538463"/>
        <n v="0.391304347826087"/>
        <n v="0.19148936170212766"/>
        <n v="0.6984126984126984"/>
        <n v="0.48"/>
        <n v="0.36585365853658536"/>
        <n v="0.020491803278688523"/>
        <n v="0.34146341463414637"/>
        <n v="0.38095238095238093"/>
        <n v="0.05217391304347826"/>
        <n v="0.6521739130434783"/>
        <n v="0.19047619047619047"/>
        <n v="1.4814814814814814"/>
        <n v="130.0"/>
        <n v="3.4782608695652173"/>
        <n v="0.2926829268292683"/>
        <n v="0.2903225806451613"/>
        <n v="0.868421052631579"/>
        <n v="0.6493506493506493"/>
        <n v="0.13953488372093023"/>
        <n v="0.034482758620689655"/>
        <n v="1.35"/>
        <n v="9.23076923076923"/>
        <n v="0.058823529411764705"/>
        <n v="1.5909090909090908"/>
        <n v="0.05434782608695652"/>
        <n v="1.0588235294117647"/>
        <n v="8.125"/>
        <n v="0.2702702702702703"/>
        <n v="1.5625"/>
        <n v="0.025806451612903226"/>
        <n v="0.027777777777777776"/>
        <n v="1.1904761904761905"/>
        <n v="1.0666666666666667"/>
        <n v="0.0963855421686747"/>
        <n v="0.1568627450980392"/>
        <n v="1.1538461538461537"/>
        <n v="0.84"/>
        <n v="0.03937007874015748"/>
        <n v="0.08955223880597014"/>
        <n v="0.15"/>
        <n v="0.8888888888888888"/>
        <n v="0.8928571428571429"/>
        <n v="0.33707865168539325"/>
        <n v="3.6842105263157894"/>
        <n v="1.135135135135135"/>
        <n v="9.6"/>
        <n v="0.2625"/>
        <n v="26.666666666666668"/>
        <n v="0.22556390977443608"/>
        <n v="0.9473684210526315"/>
        <n v="1.2790697674418605"/>
        <n v="0.027522935779816515"/>
        <n v="0.9607843137254902"/>
        <n v="0.21428571428571427"/>
        <n v="5.909090909090909"/>
        <n v="0.1694915254237288"/>
        <n v="1.0294117647058822"/>
        <n v="0.6896551724137931"/>
        <n v="0.27586206896551724"/>
        <n v="0.28846153846153844"/>
        <n v="3.1578947368421053"/>
        <n v="2.1052631578947367"/>
        <n v="0.07894736842105263"/>
        <n v="4.166666666666667"/>
        <n v="0.12658227848101267"/>
        <n v="2.4615384615384617"/>
        <n v="1.3125"/>
        <n v="0.3684210526315789"/>
        <n v="11.375"/>
        <n v="3.7037037037037037"/>
        <n v="80.0"/>
        <n v="36.0"/>
        <n v="0.08333333333333333"/>
        <n v="49.0"/>
        <n v="0.6756756756756757"/>
        <n v="2.0833333333333335"/>
        <n v="0.6060606060606061"/>
        <n v="0.13793103448275862"/>
        <n v="6.125"/>
        <n v="1.6296296296296295"/>
        <n v="0.42"/>
        <n v="0.4838709677419355"/>
        <n v="0.3103448275862069"/>
        <n v="0.16"/>
        <n v="0.3157894736842105"/>
        <n v="5.333333333333333"/>
        <n v="2.5454545454545454"/>
        <n v="0.21052631578947367"/>
        <n v="45.0"/>
        <n v="11.0"/>
        <n v="0.15151515151515152"/>
        <n v="0.10204081632653061"/>
        <n v="4.444444444444445"/>
        <n v="0.5294117647058824"/>
        <n v="10.833333333333334"/>
        <n v="3.4210526315789473"/>
        <n v="2.5384615384615383"/>
        <n v="2.272727272727273"/>
        <n v="0.4878048780487805"/>
        <n v="0.9615384615384616"/>
        <n v="12.857142857142858"/>
        <n v="0.7241379310344828"/>
        <n v="0.3225806451612903"/>
        <n v="0.06896551724137931"/>
        <n v="0.32894736842105265"/>
        <n v="0.8461538461538461"/>
        <n v="0.4117647058823529"/>
        <n v="33.333333333333336"/>
        <n v="100.0"/>
        <n v="22.5"/>
        <n v="0.35294117647058826"/>
        <n v="0.18867924528301888"/>
        <n v="1.12"/>
        <n v="0.40816326530612246"/>
        <n v="38.5"/>
        <n v="7.857142857142857"/>
        <n v="2.4705882352941178"/>
        <n v="5.142857142857143"/>
        <n v="0.5128205128205128"/>
        <n v="0.41509433962264153"/>
        <n v="16.25"/>
        <n v="1.3043478260869565"/>
        <n v="0.03333333333333333"/>
        <n v="0.006802721088435374"/>
        <n v="0.023529411764705882"/>
      </sharedItems>
    </cacheField>
    <cacheField name="freightCost" numFmtId="165">
      <sharedItems containsSemiMixedTypes="0" containsString="0" containsNumber="1">
        <n v="32.38"/>
        <n v="11.61"/>
        <n v="65.83"/>
        <n v="41.34"/>
        <n v="51.3"/>
        <n v="58.17"/>
        <n v="22.98"/>
        <n v="148.33"/>
        <n v="13.97"/>
        <n v="81.91"/>
        <n v="140.51"/>
        <n v="3.25"/>
        <n v="55.09"/>
        <n v="3.05"/>
        <n v="48.29"/>
        <n v="146.06"/>
        <n v="3.67"/>
        <n v="55.28"/>
        <n v="25.73"/>
        <n v="208.58"/>
        <n v="66.29"/>
        <n v="4.56"/>
        <n v="136.54"/>
        <n v="4.54"/>
        <n v="98.03"/>
        <n v="76.07"/>
        <n v="6.01"/>
        <n v="26.93"/>
        <n v="13.84"/>
        <n v="125.77"/>
        <n v="92.69"/>
        <n v="25.83"/>
        <n v="8.98"/>
        <n v="2.94"/>
        <n v="12.69"/>
        <n v="84.81"/>
        <n v="76.56"/>
        <n v="76.83"/>
        <n v="229.24"/>
        <n v="12.76"/>
        <n v="7.45"/>
        <n v="22.77"/>
        <n v="79.7"/>
        <n v="6.4"/>
        <n v="1.35"/>
        <n v="21.18"/>
        <n v="147.26"/>
        <n v="1.15"/>
        <n v="0.12"/>
        <n v="5.74"/>
        <n v="168.22"/>
        <n v="29.76"/>
        <n v="17.68"/>
        <n v="45.08"/>
        <n v="6.27"/>
        <n v="107.83"/>
        <n v="63.79"/>
        <n v="257.62"/>
        <n v="7.56"/>
        <n v="0.56"/>
        <n v="1.61"/>
        <n v="47.3"/>
        <n v="17.52"/>
        <n v="24.69"/>
        <n v="40.26"/>
        <n v="1.96"/>
        <n v="74.16"/>
        <n v="41.76"/>
        <n v="150.15"/>
        <n v="4.73"/>
        <n v="64.5"/>
        <n v="34.57"/>
        <n v="3.43"/>
        <n v="0.4"/>
        <n v="4.88"/>
        <n v="214.27"/>
        <n v="64.86"/>
        <n v="77.92"/>
        <n v="63.36"/>
        <n v="87.03"/>
        <n v="191.67"/>
        <n v="12.75"/>
        <n v="10.19"/>
        <n v="52.84"/>
        <n v="0.59"/>
        <n v="8.56"/>
        <n v="42.11"/>
        <n v="15.51"/>
        <n v="108.26"/>
        <n v="84.21"/>
        <n v="15.66"/>
        <n v="166.31"/>
        <n v="26.78"/>
        <n v="54.83"/>
        <n v="110.37"/>
        <n v="23.29"/>
        <n v="249.06"/>
        <n v="142.08"/>
        <n v="3.1"/>
        <n v="0.78"/>
        <n v="8.63"/>
        <n v="64.19"/>
        <n v="162.33"/>
        <n v="1.3"/>
        <n v="360.63"/>
        <n v="53.8"/>
        <n v="41.95"/>
        <n v="36.71"/>
        <n v="34.88"/>
        <n v="19.64"/>
        <n v="288.43"/>
        <n v="131.7"/>
        <n v="183.17"/>
        <n v="96.04"/>
        <n v="30.54"/>
        <n v="71.97"/>
        <n v="22.0"/>
        <n v="10.14"/>
        <n v="13.55"/>
        <n v="101.95"/>
        <n v="195.68"/>
        <n v="1.17"/>
        <n v="0.45"/>
        <n v="890.78"/>
        <n v="124.12"/>
        <n v="3.94"/>
        <n v="20.12"/>
        <n v="20.39"/>
        <n v="22.21"/>
        <n v="5.44"/>
        <n v="45.03"/>
        <n v="35.03"/>
        <n v="7.99"/>
        <n v="94.77"/>
        <n v="34.24"/>
        <n v="168.64"/>
        <n v="30.96"/>
        <n v="13.99"/>
        <n v="93.63"/>
        <n v="34.86"/>
        <n v="47.42"/>
        <n v="126.38"/>
        <n v="5.45"/>
        <n v="122.46"/>
        <n v="126.56"/>
        <n v="30.34"/>
        <n v="184.41"/>
        <n v="135.35"/>
        <n v="60.26"/>
        <n v="89.16"/>
        <n v="27.36"/>
        <n v="83.93"/>
        <n v="12.51"/>
        <n v="67.88"/>
        <n v="73.79"/>
        <n v="155.97"/>
        <n v="34.82"/>
        <n v="108.04"/>
        <n v="91.48"/>
        <n v="11.26"/>
        <n v="29.83"/>
        <n v="2.4"/>
        <n v="23.65"/>
        <n v="3.77"/>
        <n v="95.66"/>
        <n v="21.48"/>
        <n v="0.2"/>
        <n v="22.72"/>
        <n v="70.29"/>
        <n v="17.55"/>
        <n v="137.35"/>
        <n v="44.12"/>
        <n v="99.23"/>
        <n v="3.02"/>
        <n v="24.5"/>
        <n v="370.61"/>
        <n v="7.93"/>
        <n v="18.69"/>
        <n v="31.29"/>
        <n v="11.09"/>
        <n v="56.63"/>
        <n v="458.78"/>
        <n v="44.17"/>
        <n v="4.34"/>
        <n v="73.83"/>
        <n v="17.92"/>
        <n v="9.21"/>
        <n v="156.66"/>
        <n v="19.97"/>
        <n v="8.24"/>
        <n v="4.07"/>
        <n v="86.53"/>
        <n v="73.02"/>
        <n v="47.94"/>
        <n v="13.95"/>
        <n v="3.5"/>
        <n v="9.3"/>
        <n v="14.68"/>
        <n v="68.66"/>
        <n v="38.82"/>
        <n v="53.3"/>
        <n v="7.23"/>
        <n v="189.09"/>
        <n v="140.26"/>
        <n v="25.36"/>
        <n v="2.74"/>
        <n v="180.45"/>
        <n v="8.12"/>
        <n v="11.57"/>
        <n v="147.06"/>
        <n v="25.09"/>
        <n v="16.27"/>
        <n v="148.61"/>
        <n v="6.17"/>
        <n v="14.78"/>
        <n v="89.0"/>
        <n v="145.04"/>
        <n v="11.93"/>
        <n v="4.93"/>
        <n v="60.18"/>
        <n v="64.56"/>
        <n v="45.59"/>
        <n v="4.2"/>
        <n v="16.37"/>
        <n v="83.49"/>
        <n v="68.52"/>
        <n v="4.41"/>
        <n v="13.02"/>
        <n v="4.81"/>
        <n v="708.95"/>
        <n v="64.33"/>
        <n v="7.48"/>
        <n v="15.28"/>
        <n v="6.88"/>
        <n v="64.45"/>
        <n v="30.53"/>
        <n v="71.07"/>
        <n v="5.29"/>
        <n v="210.19"/>
        <n v="16.96"/>
        <n v="62.89"/>
        <n v="10.64"/>
        <n v="65.99"/>
        <n v="4.65"/>
        <n v="46.77"/>
        <n v="36.21"/>
        <n v="29.75"/>
        <n v="102.02"/>
        <n v="42.68"/>
        <n v="8.85"/>
        <n v="69.32"/>
        <n v="16.74"/>
        <n v="59.13"/>
        <n v="7.13"/>
        <n v="21.19"/>
        <n v="47.45"/>
        <n v="4.99"/>
        <n v="0.15"/>
        <n v="367.63"/>
        <n v="350.64"/>
        <n v="3.53"/>
        <n v="105.65"/>
        <n v="789.95"/>
        <n v="204.47"/>
        <n v="62.78"/>
        <n v="32.07"/>
        <n v="218.15"/>
        <n v="91.76"/>
        <n v="13.37"/>
        <n v="17.22"/>
        <n v="45.33"/>
        <n v="77.63"/>
        <n v="244.79"/>
        <n v="11.06"/>
        <n v="58.59"/>
        <n v="41.9"/>
        <n v="3.35"/>
        <n v="66.69"/>
        <n v="339.22"/>
        <n v="74.46"/>
        <n v="188.04"/>
        <n v="27.94"/>
        <n v="15.64"/>
        <n v="58.88"/>
        <n v="78.85"/>
        <n v="4.87"/>
        <n v="12.36"/>
        <n v="1007.64"/>
        <n v="68.65"/>
        <n v="10.95"/>
        <n v="48.17"/>
        <n v="24.91"/>
        <n v="11.92"/>
        <n v="194.72"/>
        <n v="178.43"/>
        <n v="1.43"/>
        <n v="171.24"/>
        <n v="4.32"/>
        <n v="72.95"/>
        <n v="83.22"/>
        <n v="149.49"/>
        <n v="120.97"/>
        <n v="252.49"/>
        <n v="9.8"/>
        <n v="96.72"/>
        <n v="72.97"/>
        <n v="8.05"/>
        <n v="36.65"/>
        <n v="242.21"/>
        <n v="22.95"/>
        <n v="60.43"/>
        <n v="13.75"/>
        <n v="7.15"/>
        <n v="88.4"/>
        <n v="33.97"/>
        <n v="6.54"/>
        <n v="58.98"/>
        <n v="188.99"/>
        <n v="26.06"/>
        <n v="116.43"/>
        <n v="84.84"/>
        <n v="37.6"/>
        <n v="127.34"/>
        <n v="18.56"/>
        <n v="25.41"/>
        <n v="29.6"/>
        <n v="13.73"/>
        <n v="75.89"/>
        <n v="3.01"/>
        <n v="27.71"/>
        <n v="7.28"/>
        <n v="59.14"/>
        <n v="13.41"/>
        <n v="0.48"/>
        <n v="62.52"/>
        <n v="194.67"/>
        <n v="4.42"/>
        <n v="44.77"/>
        <n v="55.92"/>
        <n v="32.1"/>
        <n v="174.2"/>
        <n v="5.24"/>
        <n v="96.78"/>
        <n v="16.34"/>
        <n v="35.12"/>
        <n v="44.42"/>
        <n v="29.98"/>
        <n v="45.13"/>
        <n v="58.3"/>
        <n v="2.92"/>
        <n v="48.77"/>
        <n v="7.46"/>
        <n v="379.13"/>
        <n v="79.4"/>
        <n v="200.24"/>
        <n v="27.79"/>
        <n v="1.85"/>
        <n v="80.65"/>
        <n v="544.08"/>
        <n v="8.11"/>
        <n v="1.93"/>
        <n v="0.75"/>
        <n v="116.53"/>
        <n v="18.53"/>
        <n v="154.68"/>
        <n v="91.05"/>
        <n v="0.94"/>
        <n v="23.73"/>
        <n v="50.97"/>
        <n v="97.18"/>
        <n v="94.8"/>
        <n v="43.9"/>
        <n v="138.69"/>
        <n v="107.46"/>
        <n v="30.36"/>
        <n v="85.46"/>
        <n v="32.35"/>
        <n v="0.87"/>
        <n v="41.38"/>
        <n v="477.9"/>
        <n v="487.38"/>
        <n v="47.46"/>
        <n v="201.29"/>
        <n v="158.44"/>
        <n v="38.64"/>
        <n v="23.55"/>
        <n v="179.61"/>
        <n v="41.89"/>
        <n v="29.46"/>
        <n v="0.14"/>
        <n v="12.41"/>
        <n v="142.33"/>
        <n v="45.54"/>
        <n v="14.25"/>
        <n v="6.2"/>
        <n v="176.81"/>
        <n v="20.6"/>
        <n v="7.14"/>
        <n v="93.25"/>
        <n v="55.26"/>
        <n v="57.15"/>
        <n v="352.69"/>
        <n v="364.15"/>
        <n v="105.81"/>
        <n v="111.29"/>
        <n v="1.28"/>
        <n v="113.15"/>
        <n v="1.27"/>
        <n v="26.31"/>
        <n v="232.42"/>
        <n v="78.09"/>
        <n v="47.22"/>
        <n v="24.39"/>
        <n v="203.48"/>
        <n v="95.75"/>
        <n v="22.76"/>
        <n v="0.9"/>
        <n v="31.85"/>
        <n v="2.01"/>
        <n v="4.03"/>
        <n v="388.98"/>
        <n v="26.61"/>
        <n v="76.13"/>
        <n v="36.13"/>
        <n v="4.4"/>
        <n v="145.63"/>
        <n v="33.75"/>
        <n v="96.5"/>
        <n v="296.43"/>
        <n v="299.09"/>
        <n v="13.42"/>
        <n v="15.8"/>
        <n v="810.05"/>
        <n v="61.02"/>
        <n v="139.34"/>
        <n v="398.36"/>
        <n v="16.72"/>
        <n v="102.55"/>
        <n v="45.52"/>
        <n v="272.47"/>
        <n v="0.58"/>
        <n v="65.1"/>
        <n v="220.31"/>
        <n v="23.94"/>
        <n v="152.3"/>
        <n v="4.78"/>
        <n v="3.52"/>
        <n v="135.63"/>
        <n v="21.74"/>
        <n v="2.96"/>
        <n v="210.8"/>
        <n v="4.98"/>
        <n v="52.41"/>
        <n v="89.93"/>
        <n v="167.05"/>
        <n v="24.49"/>
        <n v="63.2"/>
        <n v="22.57"/>
        <n v="59.25"/>
        <n v="170.88"/>
        <n v="51.44"/>
        <n v="9.53"/>
        <n v="48.92"/>
        <n v="74.58"/>
        <n v="21.72"/>
        <n v="57.75"/>
        <n v="10.83"/>
        <n v="16.56"/>
        <n v="89.9"/>
        <n v="58.33"/>
        <n v="141.06"/>
        <n v="96.65"/>
        <n v="16.97"/>
        <n v="110.11"/>
        <n v="1.63"/>
        <n v="45.97"/>
        <n v="44.1"/>
        <n v="7.79"/>
        <n v="2.91"/>
        <n v="11.08"/>
        <n v="81.88"/>
        <n v="10.96"/>
        <n v="243.73"/>
        <n v="23.72"/>
        <n v="69.19"/>
        <n v="31.43"/>
        <n v="117.33"/>
        <n v="232.55"/>
        <n v="61.53"/>
        <n v="79.3"/>
        <n v="130.79"/>
        <n v="1.39"/>
        <n v="7.7"/>
        <n v="2.38"/>
        <n v="16.71"/>
        <n v="73.21"/>
        <n v="8.19"/>
        <n v="138.17"/>
        <n v="11.99"/>
        <n v="155.64"/>
        <n v="18.66"/>
        <n v="328.74"/>
        <n v="37.35"/>
        <n v="145.45"/>
        <n v="42.74"/>
        <n v="157.55"/>
        <n v="1.59"/>
        <n v="146.32"/>
        <n v="65.06"/>
        <n v="5.32"/>
        <n v="11.19"/>
        <n v="91.28"/>
        <n v="96.43"/>
        <n v="48.2"/>
        <n v="20.25"/>
        <n v="351.53"/>
        <n v="6.79"/>
        <n v="58.13"/>
        <n v="42.13"/>
        <n v="73.16"/>
        <n v="1.1"/>
        <n v="124.98"/>
        <n v="70.09"/>
        <n v="1.51"/>
        <n v="110.87"/>
        <n v="249.93"/>
        <n v="42.7"/>
        <n v="100.6"/>
        <n v="28.23"/>
        <n v="16.85"/>
        <n v="23.79"/>
        <n v="4.52"/>
        <n v="21.49"/>
        <n v="126.66"/>
        <n v="26.52"/>
        <n v="33.35"/>
        <n v="2.33"/>
        <n v="30.76"/>
        <n v="137.44"/>
        <n v="97.09"/>
        <n v="257.26"/>
        <n v="55.23"/>
        <n v="27.33"/>
        <n v="237.34"/>
        <n v="22.11"/>
        <n v="1.36"/>
        <n v="45.53"/>
        <n v="4.33"/>
        <n v="31.22"/>
        <n v="59.78"/>
        <n v="47.38"/>
        <n v="130.94"/>
        <n v="14.62"/>
        <n v="719.78"/>
        <n v="306.07"/>
        <n v="65.48"/>
        <n v="19.76"/>
        <n v="37.52"/>
        <n v="36.68"/>
        <n v="7.0"/>
        <n v="163.97"/>
        <n v="1.23"/>
        <n v="79.25"/>
        <n v="7.09"/>
        <n v="63.54"/>
        <n v="90.85"/>
        <n v="154.72"/>
        <n v="81.83"/>
        <n v="72.19"/>
        <n v="43.26"/>
        <n v="71.49"/>
        <n v="29.78"/>
        <n v="69.53"/>
        <n v="411.88"/>
        <n v="13.32"/>
        <n v="59.28"/>
        <n v="35.43"/>
        <n v="2.71"/>
        <n v="424.3"/>
        <n v="54.42"/>
        <n v="9.26"/>
        <n v="25.22"/>
        <n v="212.98"/>
        <n v="56.46"/>
        <n v="487.57"/>
        <n v="38.24"/>
        <n v="49.19"/>
        <n v="160.55"/>
        <n v="174.05"/>
        <n v="53.83"/>
        <n v="100.22"/>
        <n v="170.97"/>
        <n v="58.43"/>
        <n v="188.85"/>
        <n v="52.51"/>
        <n v="76.1"/>
        <n v="19.26"/>
        <n v="14.93"/>
        <n v="53.23"/>
        <n v="30.26"/>
        <n v="3.04"/>
        <n v="348.14"/>
        <n v="109.11"/>
        <n v="191.27"/>
        <n v="143.28"/>
        <n v="12.04"/>
        <n v="112.27"/>
        <n v="175.32"/>
        <n v="0.82"/>
        <n v="19.58"/>
        <n v="32.37"/>
        <n v="60.42"/>
        <n v="38.06"/>
        <n v="46.69"/>
        <n v="8.5"/>
        <n v="88.01"/>
        <n v="2.84"/>
        <n v="23.1"/>
        <n v="0.53"/>
        <n v="90.97"/>
        <n v="5.64"/>
        <n v="1.25"/>
        <n v="51.87"/>
        <n v="280.61"/>
        <n v="32.76"/>
        <n v="20.37"/>
        <n v="120.27"/>
        <n v="77.78"/>
        <n v="116.13"/>
        <n v="162.75"/>
        <n v="32.45"/>
        <n v="603.54"/>
        <n v="1.21"/>
        <n v="1.66"/>
        <n v="62.09"/>
        <n v="44.15"/>
        <n v="162.95"/>
        <n v="13.72"/>
        <n v="26.29"/>
        <n v="9.19"/>
        <n v="32.96"/>
        <n v="53.05"/>
        <n v="38.11"/>
        <n v="38.19"/>
        <n v="580.91"/>
        <n v="33.05"/>
        <n v="3.51"/>
        <n v="63.77"/>
        <n v="8.29"/>
        <n v="48.83"/>
        <n v="19.8"/>
        <n v="29.61"/>
        <n v="176.48"/>
        <n v="62.74"/>
        <n v="68.26"/>
        <n v="151.52"/>
        <n v="2.27"/>
        <n v="39.92"/>
        <n v="19.79"/>
        <n v="33.93"/>
        <n v="15.55"/>
        <n v="13.6"/>
        <n v="134.64"/>
        <n v="54.15"/>
        <n v="32.01"/>
        <n v="47.59"/>
        <n v="33.68"/>
        <n v="31.51"/>
        <n v="31.89"/>
        <n v="76.33"/>
        <n v="19.77"/>
        <n v="400.81"/>
        <n v="17.95"/>
        <n v="2.17"/>
        <n v="52.92"/>
        <n v="10.22"/>
        <n v="27.2"/>
        <n v="3.26"/>
        <n v="23.39"/>
        <n v="74.44"/>
        <n v="2.5"/>
        <n v="30.85"/>
        <n v="40.42"/>
        <n v="27.91"/>
        <n v="44.65"/>
        <n v="105.36"/>
        <n v="49.56"/>
        <n v="2.08"/>
        <n v="104.47"/>
        <n v="275.79"/>
        <n v="2.7"/>
        <n v="87.38"/>
        <n v="144.38"/>
        <n v="27.19"/>
        <n v="62.22"/>
        <n v="74.6"/>
        <n v="0.21"/>
        <n v="16.16"/>
        <n v="121.82"/>
        <n v="0.02"/>
        <n v="15.17"/>
        <n v="12.96"/>
        <n v="32.27"/>
        <n v="37.97"/>
        <n v="208.5"/>
        <n v="32.82"/>
        <n v="353.07"/>
        <n v="1.26"/>
        <n v="193.37"/>
        <n v="14.01"/>
        <n v="657.54"/>
        <n v="211.22"/>
        <n v="91.51"/>
        <n v="217.86"/>
        <n v="185.48"/>
        <n v="61.14"/>
        <n v="34.76"/>
        <n v="117.61"/>
        <n v="38.51"/>
        <n v="4.27"/>
        <n v="8.81"/>
        <n v="65.53"/>
        <n v="46.0"/>
        <n v="1.12"/>
        <n v="73.91"/>
        <n v="20.31"/>
        <n v="96.35"/>
        <n v="55.12"/>
        <n v="197.3"/>
        <n v="141.16"/>
        <n v="14.91"/>
        <n v="44.84"/>
        <n v="25.19"/>
        <n v="202.24"/>
        <n v="79.46"/>
        <n v="59.11"/>
        <n v="28.71"/>
        <n v="242.95"/>
        <n v="32.99"/>
        <n v="23.6"/>
        <n v="4.62"/>
        <n v="33.8"/>
        <n v="754.26"/>
        <n v="11.65"/>
        <n v="3.17"/>
        <n v="43.3"/>
        <n v="297.18"/>
        <n v="123.83"/>
        <n v="74.36"/>
        <n v="29.17"/>
        <n v="47.09"/>
        <n v="52.52"/>
        <n v="29.59"/>
        <n v="47.84"/>
        <n v="830.75"/>
        <n v="227.22"/>
        <n v="606.19"/>
        <n v="84.74"/>
        <n v="40.32"/>
        <n v="0.17"/>
        <n v="149.47"/>
        <n v="3.2"/>
        <n v="65.0"/>
        <n v="18.84"/>
        <n v="48.22"/>
        <n v="29.99"/>
        <n v="8.8"/>
        <n v="8.72"/>
        <n v="70.58"/>
        <n v="71.64"/>
        <n v="46.62"/>
        <n v="24.12"/>
        <n v="8.34"/>
        <n v="59.41"/>
        <n v="2.79"/>
        <n v="67.26"/>
        <n v="0.33"/>
        <n v="120.92"/>
        <n v="278.96"/>
        <n v="4.13"/>
        <n v="31.14"/>
        <n v="85.8"/>
        <n v="10.98"/>
        <n v="29.93"/>
        <n v="81.73"/>
        <n v="30.09"/>
        <n v="12.91"/>
        <n v="44.72"/>
        <n v="7.98"/>
        <n v="81.75"/>
        <n v="15.67"/>
        <n v="136.0"/>
        <n v="0.93"/>
        <n v="258.64"/>
        <n v="24.95"/>
        <n v="18.44"/>
        <n v="6.19"/>
        <n v="38.28"/>
        <n v="8.53"/>
      </sharedItems>
    </cacheField>
    <cacheField name="shipVia" numFmtId="0">
      <sharedItems>
        <s v="Federal Shipping"/>
        <s v="Speedy Express"/>
        <s v="United Package"/>
      </sharedItems>
    </cacheField>
    <cacheField name="shipDuration" numFmtId="0">
      <sharedItems containsSemiMixedTypes="0" containsString="0" containsNumber="1" containsInteger="1">
        <n v="8.0"/>
        <n v="4.0"/>
        <n v="17.0"/>
        <n v="13.0"/>
        <n v="11.0"/>
        <n v="21.0"/>
        <n v="14.0"/>
        <n v="9.0"/>
        <n v="5.0"/>
        <n v="12.0"/>
        <n v="7.0"/>
        <n v="18.0"/>
        <n v="6.0"/>
        <n v="10.0"/>
        <n v="2.0"/>
        <n v="19.0"/>
        <n v="16.0"/>
        <n v="20.0"/>
        <n v="15.0"/>
        <n v="3.0"/>
        <n v="1.0"/>
        <n v="0.0"/>
      </sharedItems>
    </cacheField>
    <cacheField name="Days-to-Stockout" formula="unitsStocked / AVERAGE(salesVelocity)" databaseField="0"/>
    <cacheField name="Levels" formula="IF(unitsStocked &gt; (AVERAGE(salesVelocity) * 30), &quot;Excess&quot;, &quot;Normal&quot;)" databaseField="0"/>
    <cacheField name="Status" formula="IF(unitsStocked &gt; reorderLevel,  &quot;Adequate&quot;,  IF((unitsStocked + unitsOrdered) &gt; reorderLevel, &quot;On Order&quot;, &quot;Reorder&quot;))" databaseField="0"/>
    <cacheField name="Cost Effectiveness" formula="AVERAGE(freightCost) / AVERAGE(shipDuration)" databaseField="0"/>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2097" sheet="analysis-revenue"/>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customerCity" numFmtId="166">
      <sharedItems>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s v="Madrid"/>
        <s v="Barquisimeto"/>
        <s v="Reggio Emilia"/>
        <s v="London"/>
        <s v="Sao Paulo"/>
        <s v="Cork"/>
        <s v="Stuttgart"/>
        <s v="Sevilla"/>
        <s v="Anchorage"/>
        <s v="Portland"/>
        <s v="Nantes"/>
        <s v="Cowes"/>
        <s v="Brandenburg"/>
        <s v="Boise"/>
        <s v="Lisboa"/>
        <s v="Marseille"/>
        <s v="Montréal"/>
        <s v="Kobenhavn"/>
        <s v="Toulouse"/>
        <s v="Salzburg"/>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CustomerCountry" numFmtId="166">
      <sharedItems>
        <s v="France"/>
        <s v="Germany"/>
        <s v="Brazil"/>
        <s v="Belgium"/>
        <s v="Switzerland"/>
        <s v="Venezuela"/>
        <s v="Austria"/>
        <s v="Mexico"/>
        <s v="USA"/>
        <s v="Sweden"/>
        <s v="Finland"/>
        <s v="Italy"/>
        <s v="Spain"/>
        <s v="UK"/>
        <s v="Ireland"/>
        <s v="Portugal"/>
        <s v="Canada"/>
        <s v="Denmark"/>
        <s v="Poland"/>
        <s v="Norway"/>
        <s v="Argentina"/>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 name="orderCosts" numFmtId="165">
      <sharedItems containsSemiMixedTypes="0" containsString="0" containsNumber="1">
        <n v="126.98773165535172"/>
        <n v="78.18425884822629"/>
        <n v="96.04146669282841"/>
        <n v="125.57286741261456"/>
        <n v="1155.0128614943712"/>
        <n v="51.70198742240246"/>
        <n v="1010.6362538075748"/>
        <n v="167.6115306642369"/>
        <n v="70.20295304589402"/>
        <n v="168.44261487902475"/>
        <n v="223.4820408856492"/>
        <n v="1837.6989752900108"/>
        <n v="34.8461858543604"/>
        <n v="706.6253971267604"/>
        <n v="128.80639459874263"/>
        <n v="409.2277235104804"/>
        <n v="502.6654314172748"/>
        <n v="40.21758689624148"/>
        <n v="272.47417098826156"/>
        <n v="119.00973260196268"/>
        <n v="195.37493752909597"/>
        <n v="343.2303028041345"/>
        <n v="244.20596073383695"/>
        <n v="876.1055852579422"/>
        <n v="274.99830084426225"/>
        <n v="89.16327409941796"/>
        <n v="580.1407096732568"/>
        <n v="58.46110335864006"/>
        <n v="111.45409262427245"/>
        <n v="488.43734382273993"/>
        <n v="708.8838837183655"/>
        <n v="87.9295479931038"/>
        <n v="57.738364517847046"/>
        <n v="14.59372953780185"/>
        <n v="82.72317987584394"/>
        <n v="561.4753829300824"/>
        <n v="440.3944978572335"/>
        <n v="168.78793982372164"/>
        <n v="115.47672903569409"/>
        <n v="203.97381780054678"/>
        <n v="130.87087084031364"/>
        <n v="246.44961463166322"/>
        <n v="43.00801119884806"/>
        <n v="588.3948048070878"/>
        <n v="75.07282887298409"/>
        <n v="804.9941205744318"/>
        <n v="204.01668446050746"/>
        <n v="341.906140675918"/>
        <n v="129.25496855600616"/>
        <n v="637.6132219002405"/>
        <n v="160.75041887973492"/>
        <n v="240.14941309838002"/>
        <n v="484.03245542069266"/>
        <n v="2044.246365601865"/>
        <n v="152.94138836939086"/>
        <n v="702.5945266050256"/>
        <n v="76.83317335426273"/>
        <n v="83.63084605046497"/>
        <n v="384.16586677131363"/>
        <n v="293.0471528806043"/>
        <n v="644.8729794607218"/>
        <n v="33.45233842018598"/>
        <n v="275.6548462935016"/>
        <n v="257.61278919748526"/>
        <n v="460.99904012557636"/>
        <n v="385.83137538734763"/>
        <n v="96.60479594905696"/>
        <n v="27.876948683488322"/>
        <n v="580.8389465048311"/>
        <n v="336.4710544126599"/>
        <n v="240.1438057925428"/>
        <n v="134.45805336995977"/>
        <n v="32.174069516993185"/>
        <n v="175.2211170515884"/>
        <n v="241.14460961709224"/>
        <n v="32.367273815423154"/>
        <n v="550.3984544977166"/>
        <n v="352.3155982857868"/>
        <n v="170.42642316815184"/>
        <n v="438.0527926289711"/>
        <n v="190.50978345945416"/>
        <n v="210.4954680545391"/>
        <n v="318.8066109501203"/>
        <n v="259.499210465011"/>
        <n v="128.07101469752254"/>
        <n v="5.581200930000185"/>
        <n v="16.087034758496593"/>
        <n v="40.79476356010936"/>
        <n v="80.49941205744318"/>
        <n v="22.4590153172033"/>
        <n v="175.11833729647435"/>
        <n v="100.46161674000334"/>
        <n v="618.2972224859153"/>
        <n v="57.624880015697045"/>
        <n v="348.0844258039541"/>
        <n v="223.68468040819928"/>
        <n v="353.3126985633802"/>
        <n v="31.667893169396425"/>
        <n v="430.83932474251895"/>
        <n v="387.2259643365541"/>
        <n v="659.9959220262294"/>
        <n v="1019.869089002734"/>
        <n v="1174.3853276192892"/>
        <n v="392.2632032047252"/>
        <n v="164.67343821727442"/>
        <n v="93.99412522842243"/>
        <n v="43.09848919263988"/>
        <n v="21.949969585575257"/>
        <n v="168.6545881860328"/>
        <n v="174.32840308642227"/>
        <n v="218.11811806718939"/>
        <n v="1053.8917899075384"/>
        <n v="188.49953678147807"/>
        <n v="74.30272841618164"/>
        <n v="64.73454763084631"/>
        <n v="255.63963475222778"/>
        <n v="57.75064307471856"/>
        <n v="918.8494876450054"/>
        <n v="389.5655783139414"/>
        <n v="26.81172459749432"/>
        <n v="119.06861466215885"/>
        <n v="25.61420293950451"/>
        <n v="172.33572989700758"/>
        <n v="386.92378767643305"/>
        <n v="370.97833349154917"/>
        <n v="86.01602239769612"/>
        <n v="294.1974024035439"/>
        <n v="310.6824274140565"/>
        <n v="584.6110335864006"/>
        <n v="390.74987505819195"/>
        <n v="390.72953717413907"/>
        <n v="83.71801395000278"/>
        <n v="291.52028314075466"/>
        <n v="146.3331305705017"/>
        <n v="96.80649108413853"/>
        <n v="430.0801119884806"/>
        <n v="850.150962533654"/>
        <n v="770.5578362968033"/>
        <n v="309.53903014114644"/>
        <n v="335.2230613284738"/>
        <n v="109.74984792787629"/>
        <n v="376.99907356295614"/>
        <n v="292.0351950859807"/>
        <n v="24.01438057925428"/>
        <n v="811.5949548207112"/>
        <n v="1756.486316512564"/>
        <n v="292.3055167932003"/>
        <n v="134.1656867624053"/>
        <n v="183.3322005628415"/>
        <n v="21.54924459631994"/>
        <n v="293.5963319048223"/>
        <n v="20.71216182760377"/>
        <n v="40.18760471993373"/>
        <n v="242.40146758397682"/>
        <n v="409.2090771635505"/>
        <n v="15.63685176964526"/>
        <n v="515.8983835685774"/>
        <n v="36.02157086888142"/>
        <n v="98.0658008011813"/>
        <n v="146.79816595241115"/>
        <n v="46.91055530893578"/>
        <n v="144.98513279322637"/>
        <n v="110.07969089954332"/>
        <n v="619.0780602822929"/>
        <n v="366.664401125683"/>
        <n v="42.690338232507514"/>
        <n v="117.21886115224173"/>
        <n v="586.196986620692"/>
        <n v="191.66817950796622"/>
        <n v="733.9908297620558"/>
        <n v="115.2714067520921"/>
        <n v="241.12562831960236"/>
        <n v="2055.174323333756"/>
        <n v="191.4841443300084"/>
        <n v="103.40397484480492"/>
        <n v="61.17655534775635"/>
        <n v="170.0301925067308"/>
        <n v="385.27891814840166"/>
        <n v="305.88277673878173"/>
        <n v="360.2157086888142"/>
        <n v="101.98690890027339"/>
        <n v="77.06999917423305"/>
        <n v="43.77958432411859"/>
        <n v="29.48018613396644"/>
        <n v="38.97406890576004"/>
        <n v="205.93818168248072"/>
        <n v="713.9083623019138"/>
        <n v="187.98825045684487"/>
        <n v="1168.1407803439229"/>
        <n v="1905.0978345945416"/>
        <n v="81.84181543271009"/>
        <n v="38.84072857850778"/>
        <n v="25.761278919748523"/>
        <n v="768.3317335426273"/>
        <n v="290.88176110077217"/>
        <n v="179.6721225376264"/>
        <n v="213.45169116253757"/>
        <n v="244.21867191136997"/>
        <n v="529.1155485639655"/>
        <n v="469.5799036684185"/>
        <n v="262.8316755773826"/>
        <n v="446.9640817712984"/>
        <n v="73.16656528525085"/>
        <n v="55.812009300001854"/>
        <n v="107.33254940992424"/>
        <n v="2667.48153472287"/>
        <n v="258.04806719308834"/>
        <n v="863.3378037017319"/>
        <n v="480.20733346414204"/>
        <n v="64.64773378895983"/>
        <n v="1298.551927713138"/>
        <n v="75.8224060872834"/>
        <n v="139.5254082362384"/>
        <n v="480.2876115850856"/>
        <n v="30.827999669693217"/>
        <n v="68.38122813518359"/>
        <n v="161.00799324842828"/>
        <n v="1386.0154337932454"/>
        <n v="218.16132082557914"/>
        <n v="212.40778864356616"/>
        <n v="414.40214577683133"/>
        <n v="195.36476858706953"/>
        <n v="408.62442705845183"/>
        <n v="425.075481266827"/>
        <n v="201.24853014360795"/>
        <n v="121.20073379198841"/>
        <n v="1487.7641844338946"/>
        <n v="822.0697293335024"/>
        <n v="649.275963856569"/>
        <n v="62.04238490688296"/>
        <n v="1031.7967671371548"/>
        <n v="11.150779473395328"/>
        <n v="234.44992503491517"/>
        <n v="360.65790487647934"/>
        <n v="518.998420930022"/>
        <n v="968.4911282579016"/>
        <n v="29.266626114100344"/>
        <n v="424.2025682719594"/>
        <n v="1342.023799607652"/>
        <n v="446.49607440001483"/>
        <n v="70.36583296340366"/>
        <n v="765.1358662802886"/>
        <n v="73.7004653349161"/>
        <n v="487.1758613220005"/>
        <n v="38.72259643365541"/>
        <n v="143.61310824750632"/>
        <n v="132.75486790222885"/>
        <n v="103.43637406233572"/>
        <n v="145.23417967497338"/>
        <n v="372.81891289686786"/>
        <n v="67.2125836491232"/>
        <n v="820.1771614967307"/>
        <n v="111.7410204428246"/>
        <n v="86.19697838527976"/>
        <n v="6668.703836807175"/>
        <n v="114.89048659800505"/>
        <n v="281.03781064201024"/>
        <n v="67.0293114937358"/>
        <n v="280.7376914650412"/>
        <n v="193.20959189811393"/>
        <n v="155.6995262790066"/>
        <n v="414.24323655207536"/>
        <n v="482.2892192341845"/>
        <n v="276.2680971845542"/>
        <n v="141.32507942535207"/>
        <n v="82.33671910863721"/>
        <n v="549.1684844866153"/>
        <n v="450.82238109559916"/>
        <n v="1413.2507942535208"/>
        <n v="825.597681746575"/>
        <n v="2459.0808431175897"/>
        <n v="1333.740767361435"/>
        <n v="439.8322524901155"/>
        <n v="120.67576973939167"/>
        <n v="526.1499302277606"/>
        <n v="971.6099210492955"/>
        <n v="368.5023266745805"/>
        <n v="577.5064307471856"/>
        <n v="51.22840587900902"/>
        <n v="122.3531106955127"/>
        <n v="621.364854828113"/>
        <n v="60.0359514481357"/>
        <n v="253.97546331070345"/>
        <n v="55.8705102214123"/>
        <n v="37.15136420809082"/>
        <n v="296.41218879109397"/>
        <n v="77.57728054675178"/>
        <n v="52.01190989132714"/>
        <n v="28.869182258923523"/>
        <n v="357.7589954235158"/>
        <n v="677.9437897805311"/>
        <n v="1405.1890532100513"/>
        <n v="387.07210078963254"/>
        <n v="581.094676954741"/>
        <n v="113.3426024780597"/>
        <n v="58.609430576120864"/>
        <n v="551.3096925870032"/>
        <n v="5334.96306944574"/>
        <n v="1236.5944449718306"/>
        <n v="806.7483202197586"/>
        <n v="511.1151453545766"/>
        <n v="600.359514481357"/>
        <n v="95.83408975398311"/>
        <n v="209.2881123543576"/>
        <n v="270.4934286573595"/>
        <n v="194.87034452880022"/>
        <n v="72.04314173776284"/>
        <n v="41.36158993792197"/>
        <n v="381.0195669189083"/>
        <n v="241.49823617232954"/>
        <n v="105.99380956901405"/>
        <n v="79.33982173464179"/>
        <n v="348.988988907503"/>
        <n v="292.17418373545604"/>
        <n v="983.6323372470358"/>
        <n v="283.3565061951492"/>
        <n v="1286.3892827030074"/>
        <n v="264.9845239225351"/>
        <n v="164.29974308777548"/>
        <n v="58.53325222820069"/>
        <n v="165.11953634931498"/>
        <n v="350.4422341031768"/>
        <n v="180.1078543444071"/>
        <n v="63.878478951273024"/>
        <n v="733.328802251366"/>
        <n v="257.2209169248984"/>
        <n v="194.62440784875824"/>
        <n v="587.1926638096446"/>
        <n v="386.41918379622786"/>
        <n v="407.94763560109357"/>
        <n v="281.9823756852673"/>
        <n v="58.261092867761676"/>
        <n v="1035.6080913801884"/>
        <n v="586.0067145922013"/>
        <n v="51.59032573444127"/>
        <n v="1208.6729251824247"/>
        <n v="206.0902313579882"/>
        <n v="175.45570042638855"/>
        <n v="1283.3254039398905"/>
        <n v="165.69729462083015"/>
        <n v="720.4314173776283"/>
        <n v="403.3741601098793"/>
        <n v="519.755787672467"/>
        <n v="305.9607267008202"/>
        <n v="1556.995262790066"/>
        <n v="438.99939171150515"/>
        <n v="356.8632395285787"/>
        <n v="104.02381978265429"/>
        <n v="1697.9800943657403"/>
        <n v="411.60885858407175"/>
        <n v="391.23368560417737"/>
        <n v="288.6993448672454"/>
        <n v="1699.839708573111"/>
        <n v="264.2244486616852"/>
        <n v="804.02198418534"/>
        <n v="359.3435477150158"/>
        <n v="1801.946708639358"/>
        <n v="251.68601624881933"/>
        <n v="565.5770179405827"/>
        <n v="636.2688603792009"/>
        <n v="364.2256648302489"/>
        <n v="319.9901316690084"/>
        <n v="121.5847606791405"/>
        <n v="201.76908334458682"/>
        <n v="1324.1107226813745"/>
        <n v="60.762313434492"/>
        <n v="22.80993045414586"/>
        <n v="387.0564375792513"/>
        <n v="327.3642917329815"/>
        <n v="201.005496046335"/>
        <n v="159.6170586067597"/>
        <n v="29.546686782663436"/>
        <n v="1237.1774733255832"/>
        <n v="184.5666500216856"/>
        <n v="80.70763333783472"/>
        <n v="76.39454258646695"/>
        <n v="563.2756105860982"/>
        <n v="163.74787140001678"/>
        <n v="522.4128411367176"/>
        <n v="316.8425309546802"/>
        <n v="307.611083369476"/>
        <n v="291.8034256299372"/>
        <n v="1413.917112372095"/>
        <n v="169.61634053669255"/>
        <n v="106.23390628350597"/>
        <n v="77.95361488414994"/>
        <n v="49.6626100794222"/>
        <n v="31.181445953659978"/>
        <n v="118.03767364833996"/>
        <n v="218.1491555884456"/>
        <n v="260.374180145894"/>
        <n v="8797.57855526128"/>
        <n v="14.175981506400694"/>
        <n v="306.0000139164523"/>
        <n v="263.8669758239948"/>
        <n v="728.776142636136"/>
        <n v="361.7398581724042"/>
        <n v="275.1912717425136"/>
        <n v="97.65360699943483"/>
        <n v="1366.2589767689196"/>
        <n v="436.485722310642"/>
        <n v="1199.1961918703355"/>
        <n v="7.731549897815098"/>
        <n v="78.34475272899807"/>
        <n v="193.85998724231234"/>
        <n v="23.607534729667993"/>
        <n v="327.2237333826684"/>
        <n v="75.39056452114137"/>
        <n v="42.41792402528006"/>
        <n v="111.1282095594606"/>
        <n v="704.0945132326227"/>
        <n v="705.615186144123"/>
        <n v="8621.626984156055"/>
        <n v="255.0000115970436"/>
        <n v="149.23987764105908"/>
        <n v="242.3090579095608"/>
        <n v="121.4171220409365"/>
        <n v="153.20009098237543"/>
        <n v="538.319395896583"/>
        <n v="141.75981506400694"/>
        <n v="446.4085745050408"/>
        <n v="970.2789969596543"/>
        <n v="1117.4087267869995"/>
        <n v="336.28180557431136"/>
        <n v="728.502732245619"/>
        <n v="2464.3307963141797"/>
        <n v="1241.565251985555"/>
        <n v="570.2482613536465"/>
        <n v="197.31264991222048"/>
        <n v="212.0896201264003"/>
        <n v="196.97791188442292"/>
        <n v="679.9358834292444"/>
        <n v="77.41128751585026"/>
        <n v="218.07815211860472"/>
        <n v="121.46269043935601"/>
        <n v="174.81777867351948"/>
        <n v="235.1933767865576"/>
        <n v="35.439953766001736"/>
        <n v="971.336976327492"/>
        <n v="656.5718184958947"/>
        <n v="128.52697132164633"/>
        <n v="88.52825523625498"/>
        <n v="179.11308121889437"/>
        <n v="195.2806351094205"/>
        <n v="356.88249251003447"/>
        <n v="191.76077428481472"/>
        <n v="131.31436369917895"/>
        <n v="195.30721399886966"/>
        <n v="546.5821069771021"/>
        <n v="587.267371247245"/>
        <n v="1940.5486792751317"/>
        <n v="1547.950903551639"/>
        <n v="1614.5519909355605"/>
        <n v="393.95582376884585"/>
        <n v="610.387889263503"/>
        <n v="378.3173493375355"/>
        <n v="248.313050397111"/>
        <n v="318.13443018960044"/>
        <n v="94.0820248192164"/>
        <n v="196.49744568002012"/>
        <n v="70.39868647930548"/>
        <n v="73.86671695665859"/>
        <n v="70.82260418900398"/>
        <n v="62.6356672586918"/>
        <n v="23.813187762741556"/>
        <n v="75.025600691037"/>
        <n v="236.07534729667992"/>
        <n v="462.3927851579491"/>
        <n v="26.800732806178"/>
        <n v="127.25377207584017"/>
        <n v="228.0993045414586"/>
        <n v="290.18106904337253"/>
        <n v="100.034134254716"/>
        <n v="414.544384347675"/>
        <n v="1790.8785316927092"/>
        <n v="766.0004549118772"/>
        <n v="369.91422812635926"/>
        <n v="414.64810486627755"/>
        <n v="472.89668667191944"/>
        <n v="1306.032102841794"/>
        <n v="121.195075272982"/>
        <n v="244.82735227811898"/>
        <n v="239.7009678560184"/>
        <n v="70.87990753200347"/>
        <n v="234.6622882643516"/>
        <n v="1090.745777942228"/>
        <n v="429.9863620976775"/>
        <n v="402.01099209267"/>
        <n v="269.0254444594491"/>
        <n v="273.86357992292415"/>
        <n v="1267.370123818721"/>
        <n v="945.7933733438389"/>
        <n v="619.251312704183"/>
        <n v="364.2513661228095"/>
        <n v="670.0183201544501"/>
        <n v="342.27914007964034"/>
        <n v="940.7735071462304"/>
        <n v="178.50000811793052"/>
        <n v="21.421161886941057"/>
        <n v="449.08786979349276"/>
        <n v="895.4392658463546"/>
        <n v="3.865774948907549"/>
        <n v="125.77024170025553"/>
        <n v="123.93955733075697"/>
        <n v="455.2820810378111"/>
        <n v="220.96753983501537"/>
        <n v="92.88769690562745"/>
        <n v="455.4196589229732"/>
        <n v="78.29458407336475"/>
        <n v="1455.4115094563488"/>
        <n v="178.97309465129058"/>
        <n v="279.0053590656505"/>
        <n v="129.0188125264171"/>
        <n v="87.68993416216851"/>
        <n v="97.65840403411885"/>
        <n v="128.31081994099793"/>
        <n v="464.4384845281372"/>
        <n v="485.85076175742404"/>
        <n v="419.4766937480322"/>
        <n v="26.12064205683588"/>
        <n v="1185.5899951830768"/>
        <n v="89.83588692875395"/>
        <n v="175.08581826557193"/>
        <n v="641.7733876493256"/>
        <n v="485.668488163746"/>
        <n v="250.5426690347672"/>
        <n v="663.9836447777477"/>
        <n v="18.708867572195988"/>
        <n v="160.804396837068"/>
        <n v="567.4760240063033"/>
        <n v="239.50426976853154"/>
        <n v="53.55290471735265"/>
        <n v="277.8205238986515"/>
        <n v="508.84902161007767"/>
        <n v="29.84797552821182"/>
        <n v="117.51712909349712"/>
        <n v="182.37714101871074"/>
        <n v="141.23835834121076"/>
        <n v="5278.547133156769"/>
        <n v="610.8176356476476"/>
        <n v="2112.283539697868"/>
        <n v="422.4567079395737"/>
        <n v="312.9869484833419"/>
        <n v="910.8393178459464"/>
        <n v="114.0496522707293"/>
        <n v="313.4478921330651"/>
        <n v="226.1716935634241"/>
        <n v="94.15890556080718"/>
        <n v="110.66394079629129"/>
        <n v="242.92538087871202"/>
        <n v="127.99605266760337"/>
        <n v="447.7196329231773"/>
        <n v="587.5856454674855"/>
        <n v="64.50940626320855"/>
        <n v="922.1995066357607"/>
        <n v="104.16384746606381"/>
        <n v="29.50941841208499"/>
        <n v="118.18674713065374"/>
        <n v="1056.141769848934"/>
        <n v="193.52821878962564"/>
        <n v="215.73087107041655"/>
        <n v="192.79045698246952"/>
        <n v="195.9048154262691"/>
        <n v="52.773395164798956"/>
        <n v="488.29202017059424"/>
        <n v="182.11283241512444"/>
        <n v="198.1683364962639"/>
        <n v="101.7313148772505"/>
        <n v="218.242861155321"/>
        <n v="59.89059128583597"/>
        <n v="130.9982971200134"/>
        <n v="37.695282260570686"/>
        <n v="158.75458508494373"/>
        <n v="339.9679417146222"/>
        <n v="587.983441966394"/>
        <n v="188.47641130285342"/>
        <n v="43.844967081084256"/>
        <n v="57.02482613536465"/>
        <n v="273.16924862268667"/>
        <n v="630.5289155625592"/>
        <n v="326.0280713368145"/>
        <n v="129.40736906717387"/>
        <n v="252.2115662250237"/>
        <n v="98.48895594221146"/>
        <n v="125.2811662559034"/>
        <n v="130.88949335306737"/>
        <n v="310.58236168887"/>
        <n v="1076.638791793166"/>
        <n v="145.7552285272272"/>
        <n v="106.04378342790713"/>
        <n v="146.48760605117826"/>
        <n v="137.10331727574663"/>
        <n v="38.65774948907549"/>
        <n v="117.3311441321758"/>
        <n v="94.57933733438388"/>
        <n v="2910.8230189126975"/>
        <n v="690.523561984423"/>
        <n v="1069.622312748876"/>
        <n v="261.0620486301352"/>
        <n v="31.3178336293459"/>
        <n v="63.79191677880312"/>
        <n v="39.462529982444096"/>
        <n v="273.2517953537839"/>
        <n v="1079.0603141783365"/>
        <n v="257.9918172586065"/>
        <n v="2234.443407688069"/>
        <n v="1103.4256022344787"/>
        <n v="515.2376748902861"/>
        <n v="267.76452358676323"/>
        <n v="959.3569534962684"/>
        <n v="599.252419640046"/>
        <n v="3874.9247782453454"/>
        <n v="24.945156762927983"/>
        <n v="1912.7625674764874"/>
        <n v="987.991662652564"/>
        <n v="523.9931884800536"/>
        <n v="30.010240276414798"/>
        <n v="140.81890264652455"/>
        <n v="58.75856454674856"/>
        <n v="15.65891681467295"/>
        <n v="2639.2735665783844"/>
        <n v="117.54288925576147"/>
        <n v="331.63550747814"/>
        <n v="227.7098294614866"/>
        <n v="25.05426690347672"/>
        <n v="109.0745777942228"/>
        <n v="35.280759307206154"/>
        <n v="65.4991485600067"/>
        <n v="51.00000231940872"/>
        <n v="486.339042716562"/>
        <n v="626.5489167123245"/>
        <n v="320.7770498524948"/>
        <n v="285.12413067682326"/>
        <n v="620.7826259927775"/>
        <n v="859.4013106492573"/>
        <n v="287.3107054921675"/>
        <n v="39.29948913600403"/>
        <n v="41.4544384347675"/>
        <n v="160.3885249262474"/>
        <n v="1857.753938112549"/>
        <n v="364.573880606952"/>
        <n v="171.07447840609396"/>
        <n v="97.2678085433124"/>
        <n v="38.70564375792513"/>
        <n v="12.472578381463991"/>
        <n v="211.67403910790182"/>
        <n v="208.93582869748275"/>
        <n v="170.0000077313624"/>
        <n v="993.252201588444"/>
        <n v="774.0641408802287"/>
        <n v="343.989089678142"/>
        <n v="605.772644773902"/>
        <n v="70.40945132326227"/>
        <n v="240.5827873893711"/>
        <n v="244.15515570540117"/>
        <n v="564.4641042877382"/>
        <n v="232.63198469077483"/>
        <n v="49.24447797110573"/>
        <n v="645.0940626320855"/>
        <n v="65.0935450364735"/>
        <n v="528.070884924467"/>
        <n v="46.77216893048997"/>
        <n v="796.9844031152031"/>
        <n v="238.13187762741558"/>
        <n v="221.32788159258257"/>
        <n v="164.1689272978816"/>
        <n v="493.90609125177093"/>
        <n v="87.23699425904056"/>
        <n v="68.55165863787332"/>
        <n v="23.51933767865576"/>
        <n v="30.926199591260392"/>
        <n v="100.88454167229341"/>
        <n v="23.386084465244984"/>
        <n v="78.24673712083548"/>
        <n v="383.9881580028101"/>
        <n v="848.3584805056012"/>
        <n v="297.5000135298842"/>
        <n v="109.61241770271064"/>
        <n v="703.8062844209024"/>
        <n v="475.60400759103334"/>
        <n v="120.603297627801"/>
        <n v="713.7649850200689"/>
        <n v="419.23413900085177"/>
        <n v="220.68512044689572"/>
        <n v="72.46921772740299"/>
        <n v="213.92446254977523"/>
        <n v="352.8075930720615"/>
        <n v="517.9489508056015"/>
        <n v="729.147761213904"/>
        <n v="89.55654060944718"/>
        <n v="91.69880798400939"/>
        <n v="436.5751089835952"/>
        <n v="596.5769821709686"/>
        <n v="1770.6230527406606"/>
        <n v="198.6504403176888"/>
        <n v="59.01883682416998"/>
        <n v="40.35381666891736"/>
        <n v="171.994544839071"/>
        <n v="479.4019357120368"/>
        <n v="235.205062048041"/>
        <n v="392.8371500795778"/>
        <n v="160.65871415205794"/>
        <n v="167.79067749921288"/>
        <n v="349.63555734703897"/>
        <n v="70.56151861441231"/>
        <n v="359.55145178402756"/>
        <n v="119.78118257167193"/>
        <n v="706.9585561860475"/>
        <n v="461.416625054214"/>
        <n v="206.56592888459494"/>
        <n v="56.37210053282262"/>
        <n v="737.7596053086086"/>
        <n v="107.1058094347053"/>
        <n v="164.42720826018373"/>
        <n v="150.051201382074"/>
        <n v="392.6684800592021"/>
        <n v="29.078998086346854"/>
        <n v="78.59897827200805"/>
        <n v="268.63177975390636"/>
        <n v="530.2189171395356"/>
        <n v="130.6032102841794"/>
        <n v="1844.3990132715214"/>
        <n v="353.47927809302377"/>
        <n v="303.81156717246"/>
        <n v="350.11946989150596"/>
        <n v="397.3008806353776"/>
        <n v="47.62637552548311"/>
        <n v="373.09969410264773"/>
        <n v="393.94309109753686"/>
        <n v="451.56584384245986"/>
        <n v="711.3539971098461"/>
        <n v="121.1545289547804"/>
        <n v="476.26375525483115"/>
        <n v="1408.1890264652454"/>
        <n v="103.63609608691876"/>
        <n v="363.4635868643412"/>
        <n v="1457.005464491238"/>
        <n v="169.1860958532118"/>
        <n v="254.9579653811742"/>
        <n v="143.82058071361104"/>
        <n v="215.8120628356673"/>
        <n v="80.32935707602897"/>
        <n v="446.96349071479983"/>
        <n v="358.22616243778873"/>
        <n v="545.372888971114"/>
        <n v="21.827012167561985"/>
        <n v="166.3335423359407"/>
        <n v="705.5801303596728"/>
        <n v="274.26674159677674"/>
        <n v="135.70301613805447"/>
        <n v="78.11225404376819"/>
        <n v="107.8394742226449"/>
        <n v="112.46109990644055"/>
        <n v="230.708312527107"/>
        <n v="58.94923370400603"/>
        <n v="396.3366729925278"/>
        <n v="52.0748360291788"/>
        <n v="808.5619496979716"/>
        <n v="546.5035907075678"/>
        <n v="396.8864627123593"/>
        <n v="98.65632495611024"/>
        <n v="20.0068268509432"/>
        <n v="150.78112904228274"/>
        <n v="1580.7866602441024"/>
        <n v="910.5641620756222"/>
        <n v="47.0410124096082"/>
        <n v="243.169521358281"/>
        <n v="452.3433871268482"/>
        <n v="89.59723686732235"/>
        <n v="246.22238985552863"/>
        <n v="269.5986855566122"/>
        <n v="106.04481006320015"/>
        <n v="1203.1618349089604"/>
        <n v="48.46181158191216"/>
        <n v="120.04096110565919"/>
        <n v="246.25339094682238"/>
        <n v="2063.934538068852"/>
        <n v="1418.5785975095864"/>
        <n v="665.3341693437628"/>
        <n v="158.5346691970111"/>
        <n v="19.69779118844229"/>
        <n v="290.78998086346854"/>
        <n v="231.94649693445294"/>
        <n v="1232.1653981570898"/>
        <n v="699.2711146940779"/>
        <n v="48.4780301091928"/>
        <n v="1593.9688062304062"/>
        <n v="276.20942479376924"/>
        <n v="298.47975528211816"/>
        <n v="962.6600814739885"/>
        <n v="2483.13050397111"/>
        <n v="479.0085395370631"/>
        <n v="282.2320521438691"/>
        <n v="36.47542820374215"/>
        <n v="207.2721921738375"/>
        <n v="255.2017164248664"/>
        <n v="72.9508564074843"/>
        <n v="341.5647441922299"/>
        <n v="1450.9053452168625"/>
        <n v="668.385447779412"/>
        <n v="234.74021136250644"/>
        <n v="969.2362316382432"/>
        <n v="214.2116188694106"/>
        <n v="180.62633753698393"/>
        <n v="53.80508889188982"/>
        <n v="58.6655720660879"/>
        <n v="74.61993882052954"/>
        <n v="146.89641136687138"/>
        <n v="1249.5772589182932"/>
        <n v="127.5000057985218"/>
        <n v="282.4767166824215"/>
        <n v="582.7259289117317"/>
        <n v="25.008533563679"/>
        <n v="195.86188182249518"/>
        <n v="153.00000695822615"/>
        <n v="322.9916375379498"/>
        <n v="168.14090278715568"/>
        <n v="9.39535008880377"/>
        <n v="315.2644577812796"/>
        <n v="485.1371698187829"/>
        <n v="46.1416625054214"/>
        <n v="45.52820810378111"/>
        <n v="261.77898670613473"/>
        <n v="268.00732806178"/>
        <n v="339.25497767404664"/>
        <n v="303.96190169785126"/>
        <n v="1617.1238993959432"/>
        <n v="196.97154554876843"/>
        <n v="179.08785316927091"/>
        <n v="424.0408513417314"/>
        <n v="42.842323773882114"/>
        <n v="364.388071318068"/>
        <n v="856.5179820240827"/>
        <n v="50.255074335798135"/>
        <n v="742.313670442401"/>
        <n v="2827.83422474419"/>
        <n v="748.7356189242132"/>
        <n v="1975.983325305128"/>
        <n v="553.3197039814564"/>
        <n v="10.710580943470529"/>
        <n v="138.10471239688462"/>
        <n v="219.7887384066495"/>
        <n v="345.2617809922115"/>
        <n v="49.25067818936448"/>
        <n v="119.31539643419372"/>
        <n v="277.4356710947694"/>
        <n v="1411.1602607193456"/>
        <n v="316.1573320488205"/>
        <n v="607.31345219678"/>
        <n v="684.2979136243758"/>
        <n v="246.39540267756917"/>
        <n v="158.07866602441024"/>
        <n v="148.84780581720727"/>
        <n v="790.3933301220512"/>
        <n v="182.286940303476"/>
        <n v="373.0899459129075"/>
        <n v="177.05651047250996"/>
        <n v="218.52222334189935"/>
        <n v="46.97675044401885"/>
        <n v="352.7900651798364"/>
        <n v="481.1655747787422"/>
        <n v="147.73343391331719"/>
        <n v="291.36296445586584"/>
        <n v="32.07770498524948"/>
        <n v="165.72565487626153"/>
        <n v="365.6889887957023"/>
        <n v="539.1973711132244"/>
        <n v="157.1979565440161"/>
        <n v="318.9595838940156"/>
        <n v="65.7708833040735"/>
        <n v="1092.7540983684285"/>
        <n v="683.1294883844598"/>
        <n v="403.53816668917364"/>
        <n v="798.347565895105"/>
        <n v="1252.4040620381763"/>
        <n v="527.7339516479896"/>
        <n v="273.71916544975034"/>
        <n v="391.72376364499036"/>
        <n v="35.19934323965274"/>
        <n v="402.2138718798099"/>
        <n v="85.0000038656812"/>
        <n v="342.1489568121879"/>
        <n v="497.45326121721007"/>
        <n v="291.4010928982476"/>
        <n v="35.20472566163114"/>
        <n v="132.1122243308426"/>
        <n v="982.0928751989445"/>
        <n v="187.60512964324602"/>
        <n v="63.50183403397749"/>
        <n v="59.69595105642364"/>
        <n v="328.28590924794736"/>
        <n v="191.64989211467508"/>
        <n v="425.27944519202083"/>
        <n v="258.818634740725"/>
        <n v="484.6499681057809"/>
        <n v="133.88226179338162"/>
        <n v="119.8504839280092"/>
        <n v="35.95514517840276"/>
        <n v="54.63384972453733"/>
        <n v="185.7753938112549"/>
        <n v="29.945295642917984"/>
        <n v="41.313185776918985"/>
        <n v="2379.216616733563"/>
        <n v="785.9897827200805"/>
        <n v="612.8003639295017"/>
        <n v="40.6925259509002"/>
        <n v="45.015360414622194"/>
        <n v="263.083533216294"/>
        <n v="26.199659424002682"/>
        <n v="744.939151191333"/>
        <n v="2997.9904796758387"/>
        <n v="72.91477612139039"/>
        <n v="1891.5867466876778"/>
        <n v="125.37915685322606"/>
        <n v="425.5466623769917"/>
        <n v="364.7542820374215"/>
        <n v="3234.2477987918865"/>
        <n v="1238.502625408366"/>
        <n v="313.4477046820306"/>
        <n v="1696.700534846514"/>
        <n v="554.4451411198024"/>
        <n v="359.7588575611006"/>
        <n v="295.46686782663437"/>
        <n v="654.728583465963"/>
        <n v="145.39499043173427"/>
        <n v="1925.320162947977"/>
        <n v="880.1181415407784"/>
        <n v="489.65470455623796"/>
        <n v="95.16866466934252"/>
        <n v="496.626100794222"/>
        <n v="127.58383355760624"/>
        <n v="105.84227792161845"/>
        <n v="293.79282273374275"/>
        <n v="970.2743396375658"/>
        <n v="858.7294581504768"/>
        <n v="78.92505996488819"/>
        <n v="60.79238033957025"/>
        <n v="107.46784873133663"/>
        <n v="340.0000154627248"/>
        <n v="1478.5984777885078"/>
        <n v="38.39881580028101"/>
        <n v="181.7317934321706"/>
        <n v="60.731345219678005"/>
        <n v="82.86282743813076"/>
        <n v="193.9121204367712"/>
        <n v="86.32482513426692"/>
        <n v="743.1015752450196"/>
        <n v="281.6378052930491"/>
        <n v="313.4037430462241"/>
        <n v="520.748360291788"/>
        <n v="274.20663455149327"/>
        <n v="58.6103302417732"/>
        <n v="1044.248194520541"/>
        <n v="1032.863447432052"/>
        <n v="32.88544165203675"/>
        <n v="275.09642395202815"/>
        <n v="2617.789867061347"/>
        <n v="65.44474667653368"/>
        <n v="656.2346803880655"/>
        <n v="170.11177807680832"/>
        <n v="670.4452360721997"/>
        <n v="328.85441652036747"/>
        <n v="437.1016393473714"/>
        <n v="98.50135637872896"/>
        <n v="435.2716035650588"/>
        <n v="33.628180557431136"/>
        <n v="258.215861858013"/>
        <n v="215.22035556755927"/>
        <n v="545.6071528883025"/>
        <n v="486.098507475936"/>
        <n v="474.2359980732307"/>
        <n v="48.116557477874224"/>
        <n v="246.96531515044305"/>
        <n v="107.202931224712"/>
        <n v="653.016051420897"/>
        <n v="36.4388071318068"/>
        <n v="382.5000173955654"/>
        <n v="224.9221998128811"/>
        <n v="85.9972724195355"/>
        <n v="89.54392658463546"/>
        <n v="242.834244081873"/>
        <n v="352.04725661631136"/>
        <n v="68.42979136243758"/>
        <n v="607.9238033957025"/>
        <n v="179.77572589201378"/>
        <n v="1106.6394079629129"/>
        <n v="246.0888666955808"/>
        <n v="125.04266781839499"/>
        <n v="535.5331109649828"/>
        <n v="15.078112904228274"/>
        <n v="528.4488973233704"/>
        <n v="15.463099795630196"/>
        <n v="90.03072082924439"/>
        <n v="157.6322288906398"/>
        <n v="238.63079286838743"/>
        <n v="182.194035659034"/>
        <n v="1138.549147307433"/>
        <n v="823.1768187529516"/>
        <n v="198.46374108960973"/>
        <n v="948.4719961464614"/>
        <n v="208.96513645468704"/>
        <n v="1584.2126547734013"/>
        <n v="164.63536375059033"/>
        <n v="23.194649693445292"/>
        <n v="318.1313502837214"/>
        <n v="872.971444621284"/>
        <n v="229.24701996002347"/>
        <n v="249.5003135039111"/>
        <n v="263.51860165767823"/>
        <n v="456.1986090829172"/>
        <n v="211.22835396978684"/>
        <n v="76.902770842369"/>
        <n v="254.50754415168035"/>
        <n v="223.2042872525204"/>
        <n v="65.4728583465963"/>
        <n v="23.863079286838744"/>
        <n v="32.55120233314494"/>
        <n v="34.21489568121879"/>
        <n v="182.26192610212578"/>
        <n v="829.9129966281538"/>
        <n v="243.049253737968"/>
        <n v="268.6696218283416"/>
        <n v="246.43307963141797"/>
        <n v="1060.4378342790712"/>
        <n v="525.2574547967158"/>
        <n v="424.1792402528006"/>
        <n v="300.102402764148"/>
        <n v="1291.6415927484486"/>
        <n v="928.8769690562744"/>
        <n v="284.83701176617996"/>
        <n v="96.39522849123476"/>
        <n v="187.72983061148128"/>
        <n v="87.40888933675974"/>
        <n v="1525.3048737182853"/>
        <n v="1056.8977946467407"/>
        <n v="18.211283241512444"/>
        <n v="58.27259289117316"/>
        <n v="214.405862449424"/>
        <n v="819.4330663104663"/>
        <n v="555.641047797303"/>
        <n v="37.48703330214685"/>
        <n v="15.875458508494372"/>
        <n v="508.6565743862525"/>
        <n v="124.36331530430252"/>
        <n v="31.058236168887"/>
        <n v="127.00366806795498"/>
        <n v="109.26769944907466"/>
        <n v="161.0757851861615"/>
        <n v="4426.557631851651"/>
        <n v="342.75829318936655"/>
        <n v="113.08584678171205"/>
        <n v="14.773343391331718"/>
        <n v="227.8584163320146"/>
        <n v="7.937729254247186"/>
        <n v="79.37729254247186"/>
        <n v="879.7578555261281"/>
        <n v="23.46622882643516"/>
        <n v="783.1861458904056"/>
        <n v="295.0941841208499"/>
        <n v="176.40379653603074"/>
        <n v="831.6677116797036"/>
        <n v="64.17733876493256"/>
        <n v="1131.9867295771603"/>
        <n v="40.0136537018864"/>
        <n v="779.0281455320597"/>
        <n v="869.0956763898885"/>
        <n v="445.3882022654406"/>
        <n v="523.7828667727704"/>
        <n v="258.0376250528342"/>
        <n v="70.69585561860475"/>
        <n v="77.31549897815098"/>
        <n v="368.8798026543043"/>
        <n v="34.47113457977401"/>
        <n v="400.97131231561855"/>
        <n v="176.73963904651188"/>
        <n v="141.64520837800796"/>
        <n v="122.07300504264856"/>
        <n v="746.179891825815"/>
        <n v="756.634698675071"/>
        <n v="52.16449141389032"/>
        <n v="1759.5157110522562"/>
        <n v="26.42244486616852"/>
        <n v="11.40496522707293"/>
        <n v="550.7831702801362"/>
        <n v="607.9161245679945"/>
        <n v="104.44446884171475"/>
        <n v="27.764709325908374"/>
        <n v="43.91135407515429"/>
        <n v="50.1640406045988"/>
        <n v="101.5448547603982"/>
        <n v="112.04794118961092"/>
        <n v="373.2920999186052"/>
        <n v="131.24887027297396"/>
        <n v="974.0231593900612"/>
        <n v="185.98050302687437"/>
        <n v="143.26124558005716"/>
        <n v="288.67935447909593"/>
        <n v="132.23575763870113"/>
        <n v="619.5969475073182"/>
        <n v="65.65692781143696"/>
        <n v="562.3462136303676"/>
        <n v="26.72261499203419"/>
        <n v="5765.395240138422"/>
        <n v="697.6290028669843"/>
        <n v="911.9908779133161"/>
        <n v="746.5841998372103"/>
        <n v="872.0362535837303"/>
        <n v="428.55667085472277"/>
        <n v="216.85893162756136"/>
        <n v="107.48103050568318"/>
        <n v="826.1747554202043"/>
        <n v="258.52338391987"/>
        <n v="237.0849877104148"/>
        <n v="104.64435043004764"/>
        <n v="60.196848725518564"/>
        <n v="277.3672522266366"/>
        <n v="214.4302142938731"/>
        <n v="1469.9454844065506"/>
        <n v="139.48537727015577"/>
        <n v="79.34145458322067"/>
        <n v="90.29527308827784"/>
        <n v="273.5972633739948"/>
        <n v="458.52741130580165"/>
        <n v="287.10690372213054"/>
        <n v="313.5591939832155"/>
        <n v="258.3361703646572"/>
        <n v="314.1268798772993"/>
        <n v="384.3596826758948"/>
        <n v="119.3843713167143"/>
        <n v="548.3541733343794"/>
        <n v="39.66387046558339"/>
        <n v="472.3091423791507"/>
        <n v="103.44995580034654"/>
        <n v="344.44822715287626"/>
        <n v="674.7273462559297"/>
        <n v="229.32076098223268"/>
        <n v="13.539313968053092"/>
        <n v="103.409353567948"/>
        <n v="1537.4387307035793"/>
        <n v="278.8186263782932"/>
        <n v="11.899161139675018"/>
        <n v="87.82270815030859"/>
        <n v="196.4530419442752"/>
        <n v="68.1730282680576"/>
        <n v="470.44444925875956"/>
        <n v="73.82748952854786"/>
        <n v="206.33733508761074"/>
        <n v="641.1676778755387"/>
        <n v="340.65570193929216"/>
        <n v="551.2295566524565"/>
        <n v="18.598050302687437"/>
        <n v="852.3645934357617"/>
        <n v="77.557015175961"/>
        <n v="343.088342870197"/>
        <n v="1349.4546925118593"/>
        <n v="681.730282680576"/>
        <n v="23.798322279350035"/>
        <n v="311.07674993217097"/>
        <n v="265.4052309694963"/>
        <n v="255.32477231855768"/>
        <n v="48.71029816741912"/>
        <n v="1031.7512461439615"/>
        <n v="584.2626827697825"/>
        <n v="260.49306578304993"/>
        <n v="365.25868477127295"/>
        <n v="52.693624890185156"/>
        <n v="123.0172239831701"/>
        <n v="334.4631402487632"/>
        <n v="1837.4318555081882"/>
        <n v="208.02543916997746"/>
        <n v="154.89923687682955"/>
        <n v="191.1006341518606"/>
        <n v="120.39369745103713"/>
        <n v="158.05665847360987"/>
        <n v="573.7069378894549"/>
        <n v="435.7419935151536"/>
        <n v="323.1542298998375"/>
        <n v="405.18941986991223"/>
        <n v="520.9861315660999"/>
        <n v="1090.7684522889217"/>
        <n v="301.82883286691185"/>
        <n v="300.98424362759283"/>
        <n v="154.354380658863"/>
        <n v="974.2059633483824"/>
        <n v="81.23588380831855"/>
        <n v="994.5895382088024"/>
        <n v="234.3813181469803"/>
        <n v="1012.0910193838945"/>
        <n v="781.5376669368301"/>
        <n v="418.9012133416791"/>
        <n v="218.00589882895213"/>
        <n v="353.08996695570147"/>
        <n v="410.39589506099225"/>
        <n v="175.64541630061717"/>
        <n v="6.680653748008548"/>
        <n v="59.69218565835715"/>
        <n v="142.9534761959154"/>
        <n v="1543.442758626878"/>
        <n v="179.07655697507144"/>
        <n v="171.1149757712709"/>
        <n v="1744.0725071674606"/>
        <n v="412.70049845758456"/>
        <n v="2090.3946265547697"/>
        <n v="257.81515802629207"/>
        <n v="634.14198697991"/>
        <n v="114.84276148885222"/>
        <n v="660.9398043361634"/>
        <n v="217.61072515749782"/>
        <n v="238.7687426334286"/>
        <n v="192.9473427951963"/>
        <n v="216.17753078920498"/>
        <n v="797.9920181741516"/>
        <n v="801.4595973444234"/>
        <n v="117.61111231468989"/>
        <n v="336.929798603733"/>
        <n v="40.13123248367904"/>
        <n v="127.09305258734511"/>
        <n v="170.96507592303985"/>
        <n v="118.5424938552074"/>
        <n v="243.1664498271978"/>
        <n v="1197.8048303988962"/>
        <n v="825.4009969151691"/>
        <n v="298.39590373983197"/>
        <n v="58.4557202950748"/>
        <n v="346.7090652832958"/>
        <n v="41.7777875366859"/>
        <n v="243.5514908370956"/>
        <n v="104.19722631321997"/>
        <n v="51.704676783974"/>
        <n v="141.64789131170085"/>
        <n v="11530.790480276844"/>
        <n v="984.1377918653608"/>
        <n v="250.70717976510002"/>
        <n v="19.06395788810177"/>
        <n v="681.3114038785843"/>
        <n v="68.77911169587024"/>
        <n v="455.99543895665806"/>
        <n v="387.785075879805"/>
        <n v="633.1331574319845"/>
        <n v="487.1029816741912"/>
        <n v="138.6836261133183"/>
        <n v="311.2442810822526"/>
        <n v="38.7785075879805"/>
        <n v="79.02832923680494"/>
        <n v="862.0829650028879"/>
        <n v="152.1940768751784"/>
        <n v="456.3066020567224"/>
        <n v="169.59985221054862"/>
        <n v="340.865141340288"/>
        <n v="304.6550152204969"/>
        <n v="149.19795186991598"/>
        <n v="102.55508282914596"/>
        <n v="209.039462655477"/>
        <n v="169.24142460066363"/>
        <n v="139.33774625898556"/>
        <n v="226.1189847971373"/>
        <n v="173.20761268745756"/>
        <n v="454.486855120384"/>
        <n v="380.48519218794604"/>
        <n v="1256.5075195091972"/>
        <n v="149.31683996744206"/>
        <n v="145.0738167716652"/>
        <n v="121.5832249135989"/>
        <n v="186.74656864935153"/>
        <n v="501.640406045988"/>
        <n v="103.801775746751"/>
        <n v="241.18417849399538"/>
        <n v="301.4919797295164"/>
        <n v="156.31092655820785"/>
        <n v="25.418610517469023"/>
        <n v="578.322328794143"/>
        <n v="174.08858012599825"/>
        <n v="38.12791577620354"/>
        <n v="232.47562878359295"/>
        <n v="1463.2762385883389"/>
        <n v="371.96100605374875"/>
        <n v="171.99057073667453"/>
        <n v="554.7345044532732"/>
        <n v="7687.193653517897"/>
        <n v="427.78743942817727"/>
        <n v="100.72315607524641"/>
        <n v="92.56503034709078"/>
        <n v="255.49177645446915"/>
        <n v="822.5312600015691"/>
        <n v="31.77326314683628"/>
        <n v="1923.5030336266163"/>
        <n v="596.1474783937613"/>
        <n v="233.705073107913"/>
        <n v="111.0588373036335"/>
        <n v="1234.1460728036789"/>
        <n v="644.8861830340991"/>
        <n v="349.50589461519905"/>
        <n v="553.5775079242654"/>
        <n v="1132.3193697531024"/>
        <n v="2249.091154186432"/>
        <n v="97.6588825612418"/>
        <n v="440.626536224109"/>
        <n v="6411.676778755387"/>
        <n v="613.1802634907259"/>
        <n v="19.831935232791697"/>
        <n v="98.41377918653608"/>
        <n v="30.098424362759282"/>
        <n v="198.35363645805168"/>
        <n v="426.29327287463457"/>
        <n v="508.7995566316458"/>
        <n v="209.28870086009528"/>
        <n v="158.65548186233357"/>
        <n v="130.24653289152496"/>
        <n v="1220.8507550172224"/>
        <n v="281.1731068151838"/>
        <n v="75.23672135397823"/>
        <n v="73.11112818920033"/>
        <n v="282.26666955525576"/>
        <n v="190.24259609397302"/>
        <n v="33.05893940967528"/>
        <n v="150.7459898647582"/>
        <n v="93.7243689383946"/>
        <n v="121.7757454185478"/>
        <n v="342.2299515425418"/>
        <n v="4808.75758406654"/>
        <n v="431.1840469527312"/>
        <n v="66.80653748008548"/>
        <n v="355.24439406219545"/>
        <n v="285.1916262854515"/>
        <n v="50.10490311006411"/>
        <n v="48.84716454943995"/>
        <n v="76.0970384375892"/>
        <n v="128.56700125641683"/>
        <n v="285.9069523918308"/>
        <n v="17.03278509696461"/>
        <n v="224.9091154186432"/>
        <n v="730.6544725112868"/>
        <n v="562.272788546608"/>
        <n v="304.3881537503568"/>
        <n v="210.77449956074062"/>
        <n v="248.8613999457368"/>
        <n v="303.43012879964954"/>
        <n v="129.261691959935"/>
        <n v="1303.6794308705312"/>
        <n v="111.20642101392697"/>
        <n v="96.47367139759815"/>
        <n v="309.7984737536591"/>
        <n v="226.63662609872136"/>
        <n v="418.078925310954"/>
        <n v="1025.5508282914595"/>
        <n v="32.244309151704954"/>
        <n v="292.13134138489124"/>
        <n v="62.666681305028845"/>
        <n v="27.73672522266366"/>
        <n v="47.38759888818582"/>
        <n v="243.5057898475153"/>
        <n v="26.111117210428688"/>
        <n v="33.17565387118704"/>
        <n v="60.79161245679945"/>
        <n v="447.593855609748"/>
        <n v="263.32852473892376"/>
        <n v="268.5563133658488"/>
        <n v="842.3244965093324"/>
        <n v="423.9996305263715"/>
        <n v="166.58825595545025"/>
        <n v="428.8604285877462"/>
        <n v="488.340302006889"/>
        <n v="389.60926375602446"/>
        <n v="45.85274113058016"/>
        <n v="344.8331860011552"/>
        <n v="255.72906537895037"/>
        <n v="165.08019938303383"/>
        <n v="49.79908497316041"/>
        <n v="350.5576096618695"/>
        <n v="273.48022087772256"/>
        <n v="201.44631215049282"/>
        <n v="79.32774093116679"/>
        <n v="743.5163370087819"/>
        <n v="1102.0546655513517"/>
        <n v="497.3421516870737"/>
        <n v="377.7277101645356"/>
        <n v="188.17777970350383"/>
        <n v="360.9343932506784"/>
        <n v="1046.4435043004764"/>
        <n v="764.4025366074424"/>
        <n v="1217.5289492375764"/>
        <n v="422.08877162132296"/>
        <n v="59.49580569837509"/>
        <n v="344.224162733673"/>
        <n v="123.71972334818398"/>
        <n v="69.34181305665915"/>
        <n v="221.0096721873096"/>
        <n v="495.7048532521226"/>
        <n v="82.03054392060872"/>
        <n v="522.5986566386924"/>
        <n v="79.4331578670907"/>
        <n v="146.99454844065505"/>
        <n v="113.78629829986856"/>
        <n v="1580.5665847360988"/>
        <n v="67.83994088421944"/>
        <n v="206.8999116006931"/>
        <n v="627.118387966431"/>
        <n v="2092.887008600953"/>
        <n v="71.8640078254552"/>
        <n v="25.052451555032054"/>
        <n v="39.67072729161033"/>
        <n v="268.70257626420795"/>
        <n v="275.86654880092414"/>
        <n v="68.37005521943064"/>
        <n v="3141.2687987729933"/>
        <n v="410.15271960304364"/>
        <n v="355.11951270874965"/>
        <n v="205.07635980152182"/>
        <n v="195.3177651224836"/>
        <n v="539.7818770047437"/>
        <n v="64.48861830340991"/>
        <n v="89.5187711219496"/>
        <n v="92.8918308393237"/>
        <n v="316.11331694721974"/>
        <n v="510.9835529089383"/>
        <n v="517.04676783974"/>
        <n v="181.7947420481536"/>
        <n v="279.2674755611194"/>
        <n v="141.13333477762788"/>
        <n v="121.75289492375765"/>
        <n v="158.68290916644133"/>
        <n v="31.333340652514423"/>
        <n v="729.4993494815934"/>
        <n v="1058.500010832209"/>
        <n v="305.41180258499213"/>
        <n v="222.14629310466222"/>
        <n v="534.9661896198352"/>
        <n v="44.98182308372864"/>
        <n v="247.62029907455076"/>
        <n v="960.8992066897371"/>
        <n v="246.8292145607358"/>
        <n v="632.2266338944395"/>
        <n v="132.61193842784033"/>
        <n v="330.4699021680817"/>
        <n v="418.57740172019055"/>
        <n v="602.9839594590328"/>
        <n v="750.753286596795"/>
        <n v="95.31978944050884"/>
        <n v="90.8973710240768"/>
        <n v="74.23183400891038"/>
        <n v="208.8889376834295"/>
        <n v="1122.0434362821927"/>
        <n v="11.69114405901496"/>
        <n v="113.99885973916452"/>
        <n v="53.74051525284159"/>
        <n v="325.9198577176328"/>
        <n v="438.6833386675035"/>
        <n v="683.7005521943064"/>
        <n v="369.0516719495103"/>
        <n v="199.05392322712223"/>
        <n v="395.1416461840247"/>
        <n v="651.8397154352656"/>
        <n v="124.4306999728684"/>
        <n v="73.6698907291032"/>
        <n v="423.4000043328836"/>
        <n v="500.50219106453"/>
        <n v="254.18610517469023"/>
        <n v="1010.789395811199"/>
        <n v="196.87330540946095"/>
        <n v="1140.7195020117147"/>
        <n v="214.96206101136636"/>
        <n v="333.1765119109005"/>
        <n v="697.556185677901"/>
        <n v="63.54652629367256"/>
        <n v="467.410146215826"/>
        <n v="456.5822306255352"/>
        <n v="330.16039876606766"/>
        <n v="749.9741739957649"/>
        <n v="416.0508783399549"/>
        <n v="942.3806396318979"/>
        <n v="1411.3333477762787"/>
        <n v="185.87908425219547"/>
        <n v="487.0115796950306"/>
        <n v="1395.2580057339685"/>
        <n v="689.6663720023104"/>
        <n v="26.447151527740225"/>
        <n v="484.893343577227"/>
        <n v="604.3389364514784"/>
        <n v="1102.399039368566"/>
        <n v="1237.1616699868086"/>
        <n v="596.9218565835715"/>
        <n v="200.6561624183952"/>
        <n v="1094.24902422239"/>
        <n v="48.70115796950306"/>
        <n v="4007.297986722117"/>
        <n v="231.41257586772696"/>
        <n v="661.4754679829477"/>
        <n v="790.2832923680494"/>
        <n v="89.96364616745728"/>
        <n v="385.8946855903926"/>
        <n v="1071.391677136807"/>
        <n v="164.95963113091196"/>
        <n v="131.21411651375243"/>
        <n v="161.22154575852477"/>
        <n v="592.712469276037"/>
        <n v="195.27952817821807"/>
        <n v="359.320039127276"/>
        <n v="278.97075454031153"/>
        <n v="409.7906699210393"/>
        <n v="206.19953891363997"/>
        <n v="101.75991132632916"/>
        <n v="222.117674607267"/>
        <n v="193.8925379399025"/>
        <n v="231.53681135423557"/>
        <n v="678.3994088421945"/>
        <n v="52.222234420857376"/>
        <n v="136.7986316869974"/>
        <n v="72.94993494815934"/>
        <n v="24.35514908370956"/>
        <n v="367.48637110163764"/>
        <n v="97.42059633483824"/>
        <n v="160.29191946888469"/>
        <n v="135.06313995663743"/>
        <n v="2392.9519326800723"/>
        <n v="906.5084046772176"/>
        <n v="298.4052910122442"/>
        <n v="210.3345657971217"/>
        <n v="202.41820387677888"/>
        <n v="347.32408771073324"/>
        <n v="284.1955152497564"/>
        <n v="338.48284920132727"/>
        <n v="809.6728155071155"/>
        <n v="852.5865457492691"/>
        <n v="62.24885621645051"/>
        <n v="38.58946855903926"/>
        <n v="130.21184341498906"/>
        <n v="19.110063415186058"/>
        <n v="185.13006069418157"/>
        <n v="167.38245272418692"/>
        <n v="123.04581588091308"/>
        <n v="186.9640584863304"/>
        <n v="180.1479423243375"/>
        <n v="4042.350082118014"/>
        <n v="137.69579257003406"/>
        <n v="24.743944669636797"/>
        <n v="30.14919797295164"/>
        <n v="501.69471037314474"/>
        <n v="131.32280844838573"/>
        <n v="1436.385632713473"/>
        <n v="1738.6232432097086"/>
        <n v="852.2702644663035"/>
        <n v="236.93799444092912"/>
        <n v="740.4876436822074"/>
        <n v="94.08888985175192"/>
        <n v="929.3954212609773"/>
        <n v="710.4887881243909"/>
        <n v="732.5104530103334"/>
        <n v="593.5994827369201"/>
        <n v="881.9672906439303"/>
        <n v="391.1038292611593"/>
        <n v="1193.843713167143"/>
        <n v="977.436164463918"/>
        <n v="3674.8637110163763"/>
        <n v="547.990854383465"/>
        <n v="317.31096372466715"/>
        <n v="66.72385260835618"/>
        <n v="227.3564121998051"/>
        <n v="408.98387793884774"/>
        <n v="4804.496033448685"/>
        <n v="1102.459113304913"/>
        <n v="1604.8459395703057"/>
        <n v="888.5851724186489"/>
        <n v="111.898463902437"/>
        <n v="147.3397814582064"/>
        <n v="112.46924272607352"/>
        <n v="775.57015175961"/>
        <n v="289.4210141927945"/>
        <n v="62.2153499864342"/>
        <n v="10.444446884171475"/>
        <n v="310.228060703844"/>
        <n v="904.4759391885492"/>
        <n v="400.26973334856314"/>
        <n v="358.1531139501429"/>
        <n v="977.7595731528983"/>
        <n v="184.174726822758"/>
        <n v="74.97949515071568"/>
        <n v="948.3399508416592"/>
        <n v="321.41750314104206"/>
        <n v="232.671045527883"/>
        <n v="304.43936354636946"/>
        <n v="401.31133171890724"/>
        <n v="100.100438212906"/>
        <n v="187.4487378767892"/>
        <n v="1444.451744601546"/>
        <n v="568.10856890048"/>
        <n v="16.70163437002137"/>
        <n v="188.8638550822678"/>
        <n v="47.65989472025442"/>
        <n v="131.73406222546288"/>
        <n v="940.8888985175191"/>
        <n v="1124.545577093216"/>
        <n v="22.3796927804874"/>
        <n v="118.99161139675017"/>
        <n v="787.1819039652512"/>
        <n v="92.99025151343719"/>
        <n v="337.36367312796483"/>
        <n v="229.26370565290082"/>
        <n v="302.1694682257392"/>
        <n v="497.7227998914736"/>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2097" sheet="analysis-revenue"/>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customerCity" numFmtId="166">
      <sharedItems>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s v="Madrid"/>
        <s v="Barquisimeto"/>
        <s v="Reggio Emilia"/>
        <s v="London"/>
        <s v="Sao Paulo"/>
        <s v="Cork"/>
        <s v="Stuttgart"/>
        <s v="Sevilla"/>
        <s v="Anchorage"/>
        <s v="Portland"/>
        <s v="Nantes"/>
        <s v="Cowes"/>
        <s v="Brandenburg"/>
        <s v="Boise"/>
        <s v="Lisboa"/>
        <s v="Marseille"/>
        <s v="Montréal"/>
        <s v="Kobenhavn"/>
        <s v="Toulouse"/>
        <s v="Salzburg"/>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CustomerCountry" numFmtId="166">
      <sharedItems>
        <s v="France"/>
        <s v="Germany"/>
        <s v="Brazil"/>
        <s v="Belgium"/>
        <s v="Switzerland"/>
        <s v="Venezuela"/>
        <s v="Austria"/>
        <s v="Mexico"/>
        <s v="USA"/>
        <s v="Sweden"/>
        <s v="Finland"/>
        <s v="Italy"/>
        <s v="Spain"/>
        <s v="UK"/>
        <s v="Ireland"/>
        <s v="Portugal"/>
        <s v="Canada"/>
        <s v="Denmark"/>
        <s v="Poland"/>
        <s v="Norway"/>
        <s v="Argentina"/>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 name="orderCosts" numFmtId="165">
      <sharedItems containsSemiMixedTypes="0" containsString="0" containsNumber="1">
        <n v="126.98773165535172"/>
        <n v="78.18425884822629"/>
        <n v="96.04146669282841"/>
        <n v="125.57286741261456"/>
        <n v="1155.0128614943712"/>
        <n v="51.70198742240246"/>
        <n v="1010.6362538075748"/>
        <n v="167.6115306642369"/>
        <n v="70.20295304589402"/>
        <n v="168.44261487902475"/>
        <n v="223.4820408856492"/>
        <n v="1837.6989752900108"/>
        <n v="34.8461858543604"/>
        <n v="706.6253971267604"/>
        <n v="128.80639459874263"/>
        <n v="409.2277235104804"/>
        <n v="502.6654314172748"/>
        <n v="40.21758689624148"/>
        <n v="272.47417098826156"/>
        <n v="119.00973260196268"/>
        <n v="195.37493752909597"/>
        <n v="343.2303028041345"/>
        <n v="244.20596073383695"/>
        <n v="876.1055852579422"/>
        <n v="274.99830084426225"/>
        <n v="89.16327409941796"/>
        <n v="580.1407096732568"/>
        <n v="58.46110335864006"/>
        <n v="111.45409262427245"/>
        <n v="488.43734382273993"/>
        <n v="708.8838837183655"/>
        <n v="87.9295479931038"/>
        <n v="57.738364517847046"/>
        <n v="14.59372953780185"/>
        <n v="82.72317987584394"/>
        <n v="561.4753829300824"/>
        <n v="440.3944978572335"/>
        <n v="168.78793982372164"/>
        <n v="115.47672903569409"/>
        <n v="203.97381780054678"/>
        <n v="130.87087084031364"/>
        <n v="246.44961463166322"/>
        <n v="43.00801119884806"/>
        <n v="588.3948048070878"/>
        <n v="75.07282887298409"/>
        <n v="804.9941205744318"/>
        <n v="204.01668446050746"/>
        <n v="341.906140675918"/>
        <n v="129.25496855600616"/>
        <n v="637.6132219002405"/>
        <n v="160.75041887973492"/>
        <n v="240.14941309838002"/>
        <n v="484.03245542069266"/>
        <n v="2044.246365601865"/>
        <n v="152.94138836939086"/>
        <n v="702.5945266050256"/>
        <n v="76.83317335426273"/>
        <n v="83.63084605046497"/>
        <n v="384.16586677131363"/>
        <n v="293.0471528806043"/>
        <n v="644.8729794607218"/>
        <n v="33.45233842018598"/>
        <n v="275.6548462935016"/>
        <n v="257.61278919748526"/>
        <n v="460.99904012557636"/>
        <n v="385.83137538734763"/>
        <n v="96.60479594905696"/>
        <n v="27.876948683488322"/>
        <n v="580.8389465048311"/>
        <n v="336.4710544126599"/>
        <n v="240.1438057925428"/>
        <n v="134.45805336995977"/>
        <n v="32.174069516993185"/>
        <n v="175.2211170515884"/>
        <n v="241.14460961709224"/>
        <n v="32.367273815423154"/>
        <n v="550.3984544977166"/>
        <n v="352.3155982857868"/>
        <n v="170.42642316815184"/>
        <n v="438.0527926289711"/>
        <n v="190.50978345945416"/>
        <n v="210.4954680545391"/>
        <n v="318.8066109501203"/>
        <n v="259.499210465011"/>
        <n v="128.07101469752254"/>
        <n v="5.581200930000185"/>
        <n v="16.087034758496593"/>
        <n v="40.79476356010936"/>
        <n v="80.49941205744318"/>
        <n v="22.4590153172033"/>
        <n v="175.11833729647435"/>
        <n v="100.46161674000334"/>
        <n v="618.2972224859153"/>
        <n v="57.624880015697045"/>
        <n v="348.0844258039541"/>
        <n v="223.68468040819928"/>
        <n v="353.3126985633802"/>
        <n v="31.667893169396425"/>
        <n v="430.83932474251895"/>
        <n v="387.2259643365541"/>
        <n v="659.9959220262294"/>
        <n v="1019.869089002734"/>
        <n v="1174.3853276192892"/>
        <n v="392.2632032047252"/>
        <n v="164.67343821727442"/>
        <n v="93.99412522842243"/>
        <n v="43.09848919263988"/>
        <n v="21.949969585575257"/>
        <n v="168.6545881860328"/>
        <n v="174.32840308642227"/>
        <n v="218.11811806718939"/>
        <n v="1053.8917899075384"/>
        <n v="188.49953678147807"/>
        <n v="74.30272841618164"/>
        <n v="64.73454763084631"/>
        <n v="255.63963475222778"/>
        <n v="57.75064307471856"/>
        <n v="918.8494876450054"/>
        <n v="389.5655783139414"/>
        <n v="26.81172459749432"/>
        <n v="119.06861466215885"/>
        <n v="25.61420293950451"/>
        <n v="172.33572989700758"/>
        <n v="386.92378767643305"/>
        <n v="370.97833349154917"/>
        <n v="86.01602239769612"/>
        <n v="294.1974024035439"/>
        <n v="310.6824274140565"/>
        <n v="584.6110335864006"/>
        <n v="390.74987505819195"/>
        <n v="390.72953717413907"/>
        <n v="83.71801395000278"/>
        <n v="291.52028314075466"/>
        <n v="146.3331305705017"/>
        <n v="96.80649108413853"/>
        <n v="430.0801119884806"/>
        <n v="850.150962533654"/>
        <n v="770.5578362968033"/>
        <n v="309.53903014114644"/>
        <n v="335.2230613284738"/>
        <n v="109.74984792787629"/>
        <n v="376.99907356295614"/>
        <n v="292.0351950859807"/>
        <n v="24.01438057925428"/>
        <n v="811.5949548207112"/>
        <n v="1756.486316512564"/>
        <n v="292.3055167932003"/>
        <n v="134.1656867624053"/>
        <n v="183.3322005628415"/>
        <n v="21.54924459631994"/>
        <n v="293.5963319048223"/>
        <n v="20.71216182760377"/>
        <n v="40.18760471993373"/>
        <n v="242.40146758397682"/>
        <n v="409.2090771635505"/>
        <n v="15.63685176964526"/>
        <n v="515.8983835685774"/>
        <n v="36.02157086888142"/>
        <n v="98.0658008011813"/>
        <n v="146.79816595241115"/>
        <n v="46.91055530893578"/>
        <n v="144.98513279322637"/>
        <n v="110.07969089954332"/>
        <n v="619.0780602822929"/>
        <n v="366.664401125683"/>
        <n v="42.690338232507514"/>
        <n v="117.21886115224173"/>
        <n v="586.196986620692"/>
        <n v="191.66817950796622"/>
        <n v="733.9908297620558"/>
        <n v="115.2714067520921"/>
        <n v="241.12562831960236"/>
        <n v="2055.174323333756"/>
        <n v="191.4841443300084"/>
        <n v="103.40397484480492"/>
        <n v="61.17655534775635"/>
        <n v="170.0301925067308"/>
        <n v="385.27891814840166"/>
        <n v="305.88277673878173"/>
        <n v="360.2157086888142"/>
        <n v="101.98690890027339"/>
        <n v="77.06999917423305"/>
        <n v="43.77958432411859"/>
        <n v="29.48018613396644"/>
        <n v="38.97406890576004"/>
        <n v="205.93818168248072"/>
        <n v="713.9083623019138"/>
        <n v="187.98825045684487"/>
        <n v="1168.1407803439229"/>
        <n v="1905.0978345945416"/>
        <n v="81.84181543271009"/>
        <n v="38.84072857850778"/>
        <n v="25.761278919748523"/>
        <n v="768.3317335426273"/>
        <n v="290.88176110077217"/>
        <n v="179.6721225376264"/>
        <n v="213.45169116253757"/>
        <n v="244.21867191136997"/>
        <n v="529.1155485639655"/>
        <n v="469.5799036684185"/>
        <n v="262.8316755773826"/>
        <n v="446.9640817712984"/>
        <n v="73.16656528525085"/>
        <n v="55.812009300001854"/>
        <n v="107.33254940992424"/>
        <n v="2667.48153472287"/>
        <n v="258.04806719308834"/>
        <n v="863.3378037017319"/>
        <n v="480.20733346414204"/>
        <n v="64.64773378895983"/>
        <n v="1298.551927713138"/>
        <n v="75.8224060872834"/>
        <n v="139.5254082362384"/>
        <n v="480.2876115850856"/>
        <n v="30.827999669693217"/>
        <n v="68.38122813518359"/>
        <n v="161.00799324842828"/>
        <n v="1386.0154337932454"/>
        <n v="218.16132082557914"/>
        <n v="212.40778864356616"/>
        <n v="414.40214577683133"/>
        <n v="195.36476858706953"/>
        <n v="408.62442705845183"/>
        <n v="425.075481266827"/>
        <n v="201.24853014360795"/>
        <n v="121.20073379198841"/>
        <n v="1487.7641844338946"/>
        <n v="822.0697293335024"/>
        <n v="649.275963856569"/>
        <n v="62.04238490688296"/>
        <n v="1031.7967671371548"/>
        <n v="11.150779473395328"/>
        <n v="234.44992503491517"/>
        <n v="360.65790487647934"/>
        <n v="518.998420930022"/>
        <n v="968.4911282579016"/>
        <n v="29.266626114100344"/>
        <n v="424.2025682719594"/>
        <n v="1342.023799607652"/>
        <n v="446.49607440001483"/>
        <n v="70.36583296340366"/>
        <n v="765.1358662802886"/>
        <n v="73.7004653349161"/>
        <n v="487.1758613220005"/>
        <n v="38.72259643365541"/>
        <n v="143.61310824750632"/>
        <n v="132.75486790222885"/>
        <n v="103.43637406233572"/>
        <n v="145.23417967497338"/>
        <n v="372.81891289686786"/>
        <n v="67.2125836491232"/>
        <n v="820.1771614967307"/>
        <n v="111.7410204428246"/>
        <n v="86.19697838527976"/>
        <n v="6668.703836807175"/>
        <n v="114.89048659800505"/>
        <n v="281.03781064201024"/>
        <n v="67.0293114937358"/>
        <n v="280.7376914650412"/>
        <n v="193.20959189811393"/>
        <n v="155.6995262790066"/>
        <n v="414.24323655207536"/>
        <n v="482.2892192341845"/>
        <n v="276.2680971845542"/>
        <n v="141.32507942535207"/>
        <n v="82.33671910863721"/>
        <n v="549.1684844866153"/>
        <n v="450.82238109559916"/>
        <n v="1413.2507942535208"/>
        <n v="825.597681746575"/>
        <n v="2459.0808431175897"/>
        <n v="1333.740767361435"/>
        <n v="439.8322524901155"/>
        <n v="120.67576973939167"/>
        <n v="526.1499302277606"/>
        <n v="971.6099210492955"/>
        <n v="368.5023266745805"/>
        <n v="577.5064307471856"/>
        <n v="51.22840587900902"/>
        <n v="122.3531106955127"/>
        <n v="621.364854828113"/>
        <n v="60.0359514481357"/>
        <n v="253.97546331070345"/>
        <n v="55.8705102214123"/>
        <n v="37.15136420809082"/>
        <n v="296.41218879109397"/>
        <n v="77.57728054675178"/>
        <n v="52.01190989132714"/>
        <n v="28.869182258923523"/>
        <n v="357.7589954235158"/>
        <n v="677.9437897805311"/>
        <n v="1405.1890532100513"/>
        <n v="387.07210078963254"/>
        <n v="581.094676954741"/>
        <n v="113.3426024780597"/>
        <n v="58.609430576120864"/>
        <n v="551.3096925870032"/>
        <n v="5334.96306944574"/>
        <n v="1236.5944449718306"/>
        <n v="806.7483202197586"/>
        <n v="511.1151453545766"/>
        <n v="600.359514481357"/>
        <n v="95.83408975398311"/>
        <n v="209.2881123543576"/>
        <n v="270.4934286573595"/>
        <n v="194.87034452880022"/>
        <n v="72.04314173776284"/>
        <n v="41.36158993792197"/>
        <n v="381.0195669189083"/>
        <n v="241.49823617232954"/>
        <n v="105.99380956901405"/>
        <n v="79.33982173464179"/>
        <n v="348.988988907503"/>
        <n v="292.17418373545604"/>
        <n v="983.6323372470358"/>
        <n v="283.3565061951492"/>
        <n v="1286.3892827030074"/>
        <n v="264.9845239225351"/>
        <n v="164.29974308777548"/>
        <n v="58.53325222820069"/>
        <n v="165.11953634931498"/>
        <n v="350.4422341031768"/>
        <n v="180.1078543444071"/>
        <n v="63.878478951273024"/>
        <n v="733.328802251366"/>
        <n v="257.2209169248984"/>
        <n v="194.62440784875824"/>
        <n v="587.1926638096446"/>
        <n v="386.41918379622786"/>
        <n v="407.94763560109357"/>
        <n v="281.9823756852673"/>
        <n v="58.261092867761676"/>
        <n v="1035.6080913801884"/>
        <n v="586.0067145922013"/>
        <n v="51.59032573444127"/>
        <n v="1208.6729251824247"/>
        <n v="206.0902313579882"/>
        <n v="175.45570042638855"/>
        <n v="1283.3254039398905"/>
        <n v="165.69729462083015"/>
        <n v="720.4314173776283"/>
        <n v="403.3741601098793"/>
        <n v="519.755787672467"/>
        <n v="305.9607267008202"/>
        <n v="1556.995262790066"/>
        <n v="438.99939171150515"/>
        <n v="356.8632395285787"/>
        <n v="104.02381978265429"/>
        <n v="1697.9800943657403"/>
        <n v="411.60885858407175"/>
        <n v="391.23368560417737"/>
        <n v="288.6993448672454"/>
        <n v="1699.839708573111"/>
        <n v="264.2244486616852"/>
        <n v="804.02198418534"/>
        <n v="359.3435477150158"/>
        <n v="1801.946708639358"/>
        <n v="251.68601624881933"/>
        <n v="565.5770179405827"/>
        <n v="636.2688603792009"/>
        <n v="364.2256648302489"/>
        <n v="319.9901316690084"/>
        <n v="121.5847606791405"/>
        <n v="201.76908334458682"/>
        <n v="1324.1107226813745"/>
        <n v="60.762313434492"/>
        <n v="22.80993045414586"/>
        <n v="387.0564375792513"/>
        <n v="327.3642917329815"/>
        <n v="201.005496046335"/>
        <n v="159.6170586067597"/>
        <n v="29.546686782663436"/>
        <n v="1237.1774733255832"/>
        <n v="184.5666500216856"/>
        <n v="80.70763333783472"/>
        <n v="76.39454258646695"/>
        <n v="563.2756105860982"/>
        <n v="163.74787140001678"/>
        <n v="522.4128411367176"/>
        <n v="316.8425309546802"/>
        <n v="307.611083369476"/>
        <n v="291.8034256299372"/>
        <n v="1413.917112372095"/>
        <n v="169.61634053669255"/>
        <n v="106.23390628350597"/>
        <n v="77.95361488414994"/>
        <n v="49.6626100794222"/>
        <n v="31.181445953659978"/>
        <n v="118.03767364833996"/>
        <n v="218.1491555884456"/>
        <n v="260.374180145894"/>
        <n v="8797.57855526128"/>
        <n v="14.175981506400694"/>
        <n v="306.0000139164523"/>
        <n v="263.8669758239948"/>
        <n v="728.776142636136"/>
        <n v="361.7398581724042"/>
        <n v="275.1912717425136"/>
        <n v="97.65360699943483"/>
        <n v="1366.2589767689196"/>
        <n v="436.485722310642"/>
        <n v="1199.1961918703355"/>
        <n v="7.731549897815098"/>
        <n v="78.34475272899807"/>
        <n v="193.85998724231234"/>
        <n v="23.607534729667993"/>
        <n v="327.2237333826684"/>
        <n v="75.39056452114137"/>
        <n v="42.41792402528006"/>
        <n v="111.1282095594606"/>
        <n v="704.0945132326227"/>
        <n v="705.615186144123"/>
        <n v="8621.626984156055"/>
        <n v="255.0000115970436"/>
        <n v="149.23987764105908"/>
        <n v="242.3090579095608"/>
        <n v="121.4171220409365"/>
        <n v="153.20009098237543"/>
        <n v="538.319395896583"/>
        <n v="141.75981506400694"/>
        <n v="446.4085745050408"/>
        <n v="970.2789969596543"/>
        <n v="1117.4087267869995"/>
        <n v="336.28180557431136"/>
        <n v="728.502732245619"/>
        <n v="2464.3307963141797"/>
        <n v="1241.565251985555"/>
        <n v="570.2482613536465"/>
        <n v="197.31264991222048"/>
        <n v="212.0896201264003"/>
        <n v="196.97791188442292"/>
        <n v="679.9358834292444"/>
        <n v="77.41128751585026"/>
        <n v="218.07815211860472"/>
        <n v="121.46269043935601"/>
        <n v="174.81777867351948"/>
        <n v="235.1933767865576"/>
        <n v="35.439953766001736"/>
        <n v="971.336976327492"/>
        <n v="656.5718184958947"/>
        <n v="128.52697132164633"/>
        <n v="88.52825523625498"/>
        <n v="179.11308121889437"/>
        <n v="195.2806351094205"/>
        <n v="356.88249251003447"/>
        <n v="191.76077428481472"/>
        <n v="131.31436369917895"/>
        <n v="195.30721399886966"/>
        <n v="546.5821069771021"/>
        <n v="587.267371247245"/>
        <n v="1940.5486792751317"/>
        <n v="1547.950903551639"/>
        <n v="1614.5519909355605"/>
        <n v="393.95582376884585"/>
        <n v="610.387889263503"/>
        <n v="378.3173493375355"/>
        <n v="248.313050397111"/>
        <n v="318.13443018960044"/>
        <n v="94.0820248192164"/>
        <n v="196.49744568002012"/>
        <n v="70.39868647930548"/>
        <n v="73.86671695665859"/>
        <n v="70.82260418900398"/>
        <n v="62.6356672586918"/>
        <n v="23.813187762741556"/>
        <n v="75.025600691037"/>
        <n v="236.07534729667992"/>
        <n v="462.3927851579491"/>
        <n v="26.800732806178"/>
        <n v="127.25377207584017"/>
        <n v="228.0993045414586"/>
        <n v="290.18106904337253"/>
        <n v="100.034134254716"/>
        <n v="414.544384347675"/>
        <n v="1790.8785316927092"/>
        <n v="766.0004549118772"/>
        <n v="369.91422812635926"/>
        <n v="414.64810486627755"/>
        <n v="472.89668667191944"/>
        <n v="1306.032102841794"/>
        <n v="121.195075272982"/>
        <n v="244.82735227811898"/>
        <n v="239.7009678560184"/>
        <n v="70.87990753200347"/>
        <n v="234.6622882643516"/>
        <n v="1090.745777942228"/>
        <n v="429.9863620976775"/>
        <n v="402.01099209267"/>
        <n v="269.0254444594491"/>
        <n v="273.86357992292415"/>
        <n v="1267.370123818721"/>
        <n v="945.7933733438389"/>
        <n v="619.251312704183"/>
        <n v="364.2513661228095"/>
        <n v="670.0183201544501"/>
        <n v="342.27914007964034"/>
        <n v="940.7735071462304"/>
        <n v="178.50000811793052"/>
        <n v="21.421161886941057"/>
        <n v="449.08786979349276"/>
        <n v="895.4392658463546"/>
        <n v="3.865774948907549"/>
        <n v="125.77024170025553"/>
        <n v="123.93955733075697"/>
        <n v="455.2820810378111"/>
        <n v="220.96753983501537"/>
        <n v="92.88769690562745"/>
        <n v="455.4196589229732"/>
        <n v="78.29458407336475"/>
        <n v="1455.4115094563488"/>
        <n v="178.97309465129058"/>
        <n v="279.0053590656505"/>
        <n v="129.0188125264171"/>
        <n v="87.68993416216851"/>
        <n v="97.65840403411885"/>
        <n v="128.31081994099793"/>
        <n v="464.4384845281372"/>
        <n v="485.85076175742404"/>
        <n v="419.4766937480322"/>
        <n v="26.12064205683588"/>
        <n v="1185.5899951830768"/>
        <n v="89.83588692875395"/>
        <n v="175.08581826557193"/>
        <n v="641.7733876493256"/>
        <n v="485.668488163746"/>
        <n v="250.5426690347672"/>
        <n v="663.9836447777477"/>
        <n v="18.708867572195988"/>
        <n v="160.804396837068"/>
        <n v="567.4760240063033"/>
        <n v="239.50426976853154"/>
        <n v="53.55290471735265"/>
        <n v="277.8205238986515"/>
        <n v="508.84902161007767"/>
        <n v="29.84797552821182"/>
        <n v="117.51712909349712"/>
        <n v="182.37714101871074"/>
        <n v="141.23835834121076"/>
        <n v="5278.547133156769"/>
        <n v="610.8176356476476"/>
        <n v="2112.283539697868"/>
        <n v="422.4567079395737"/>
        <n v="312.9869484833419"/>
        <n v="910.8393178459464"/>
        <n v="114.0496522707293"/>
        <n v="313.4478921330651"/>
        <n v="226.1716935634241"/>
        <n v="94.15890556080718"/>
        <n v="110.66394079629129"/>
        <n v="242.92538087871202"/>
        <n v="127.99605266760337"/>
        <n v="447.7196329231773"/>
        <n v="587.5856454674855"/>
        <n v="64.50940626320855"/>
        <n v="922.1995066357607"/>
        <n v="104.16384746606381"/>
        <n v="29.50941841208499"/>
        <n v="118.18674713065374"/>
        <n v="1056.141769848934"/>
        <n v="193.52821878962564"/>
        <n v="215.73087107041655"/>
        <n v="192.79045698246952"/>
        <n v="195.9048154262691"/>
        <n v="52.773395164798956"/>
        <n v="488.29202017059424"/>
        <n v="182.11283241512444"/>
        <n v="198.1683364962639"/>
        <n v="101.7313148772505"/>
        <n v="218.242861155321"/>
        <n v="59.89059128583597"/>
        <n v="130.9982971200134"/>
        <n v="37.695282260570686"/>
        <n v="158.75458508494373"/>
        <n v="339.9679417146222"/>
        <n v="587.983441966394"/>
        <n v="188.47641130285342"/>
        <n v="43.844967081084256"/>
        <n v="57.02482613536465"/>
        <n v="273.16924862268667"/>
        <n v="630.5289155625592"/>
        <n v="326.0280713368145"/>
        <n v="129.40736906717387"/>
        <n v="252.2115662250237"/>
        <n v="98.48895594221146"/>
        <n v="125.2811662559034"/>
        <n v="130.88949335306737"/>
        <n v="310.58236168887"/>
        <n v="1076.638791793166"/>
        <n v="145.7552285272272"/>
        <n v="106.04378342790713"/>
        <n v="146.48760605117826"/>
        <n v="137.10331727574663"/>
        <n v="38.65774948907549"/>
        <n v="117.3311441321758"/>
        <n v="94.57933733438388"/>
        <n v="2910.8230189126975"/>
        <n v="690.523561984423"/>
        <n v="1069.622312748876"/>
        <n v="261.0620486301352"/>
        <n v="31.3178336293459"/>
        <n v="63.79191677880312"/>
        <n v="39.462529982444096"/>
        <n v="273.2517953537839"/>
        <n v="1079.0603141783365"/>
        <n v="257.9918172586065"/>
        <n v="2234.443407688069"/>
        <n v="1103.4256022344787"/>
        <n v="515.2376748902861"/>
        <n v="267.76452358676323"/>
        <n v="959.3569534962684"/>
        <n v="599.252419640046"/>
        <n v="3874.9247782453454"/>
        <n v="24.945156762927983"/>
        <n v="1912.7625674764874"/>
        <n v="987.991662652564"/>
        <n v="523.9931884800536"/>
        <n v="30.010240276414798"/>
        <n v="140.81890264652455"/>
        <n v="58.75856454674856"/>
        <n v="15.65891681467295"/>
        <n v="2639.2735665783844"/>
        <n v="117.54288925576147"/>
        <n v="331.63550747814"/>
        <n v="227.7098294614866"/>
        <n v="25.05426690347672"/>
        <n v="109.0745777942228"/>
        <n v="35.280759307206154"/>
        <n v="65.4991485600067"/>
        <n v="51.00000231940872"/>
        <n v="486.339042716562"/>
        <n v="626.5489167123245"/>
        <n v="320.7770498524948"/>
        <n v="285.12413067682326"/>
        <n v="620.7826259927775"/>
        <n v="859.4013106492573"/>
        <n v="287.3107054921675"/>
        <n v="39.29948913600403"/>
        <n v="41.4544384347675"/>
        <n v="160.3885249262474"/>
        <n v="1857.753938112549"/>
        <n v="364.573880606952"/>
        <n v="171.07447840609396"/>
        <n v="97.2678085433124"/>
        <n v="38.70564375792513"/>
        <n v="12.472578381463991"/>
        <n v="211.67403910790182"/>
        <n v="208.93582869748275"/>
        <n v="170.0000077313624"/>
        <n v="993.252201588444"/>
        <n v="774.0641408802287"/>
        <n v="343.989089678142"/>
        <n v="605.772644773902"/>
        <n v="70.40945132326227"/>
        <n v="240.5827873893711"/>
        <n v="244.15515570540117"/>
        <n v="564.4641042877382"/>
        <n v="232.63198469077483"/>
        <n v="49.24447797110573"/>
        <n v="645.0940626320855"/>
        <n v="65.0935450364735"/>
        <n v="528.070884924467"/>
        <n v="46.77216893048997"/>
        <n v="796.9844031152031"/>
        <n v="238.13187762741558"/>
        <n v="221.32788159258257"/>
        <n v="164.1689272978816"/>
        <n v="493.90609125177093"/>
        <n v="87.23699425904056"/>
        <n v="68.55165863787332"/>
        <n v="23.51933767865576"/>
        <n v="30.926199591260392"/>
        <n v="100.88454167229341"/>
        <n v="23.386084465244984"/>
        <n v="78.24673712083548"/>
        <n v="383.9881580028101"/>
        <n v="848.3584805056012"/>
        <n v="297.5000135298842"/>
        <n v="109.61241770271064"/>
        <n v="703.8062844209024"/>
        <n v="475.60400759103334"/>
        <n v="120.603297627801"/>
        <n v="713.7649850200689"/>
        <n v="419.23413900085177"/>
        <n v="220.68512044689572"/>
        <n v="72.46921772740299"/>
        <n v="213.92446254977523"/>
        <n v="352.8075930720615"/>
        <n v="517.9489508056015"/>
        <n v="729.147761213904"/>
        <n v="89.55654060944718"/>
        <n v="91.69880798400939"/>
        <n v="436.5751089835952"/>
        <n v="596.5769821709686"/>
        <n v="1770.6230527406606"/>
        <n v="198.6504403176888"/>
        <n v="59.01883682416998"/>
        <n v="40.35381666891736"/>
        <n v="171.994544839071"/>
        <n v="479.4019357120368"/>
        <n v="235.205062048041"/>
        <n v="392.8371500795778"/>
        <n v="160.65871415205794"/>
        <n v="167.79067749921288"/>
        <n v="349.63555734703897"/>
        <n v="70.56151861441231"/>
        <n v="359.55145178402756"/>
        <n v="119.78118257167193"/>
        <n v="706.9585561860475"/>
        <n v="461.416625054214"/>
        <n v="206.56592888459494"/>
        <n v="56.37210053282262"/>
        <n v="737.7596053086086"/>
        <n v="107.1058094347053"/>
        <n v="164.42720826018373"/>
        <n v="150.051201382074"/>
        <n v="392.6684800592021"/>
        <n v="29.078998086346854"/>
        <n v="78.59897827200805"/>
        <n v="268.63177975390636"/>
        <n v="530.2189171395356"/>
        <n v="130.6032102841794"/>
        <n v="1844.3990132715214"/>
        <n v="353.47927809302377"/>
        <n v="303.81156717246"/>
        <n v="350.11946989150596"/>
        <n v="397.3008806353776"/>
        <n v="47.62637552548311"/>
        <n v="373.09969410264773"/>
        <n v="393.94309109753686"/>
        <n v="451.56584384245986"/>
        <n v="711.3539971098461"/>
        <n v="121.1545289547804"/>
        <n v="476.26375525483115"/>
        <n v="1408.1890264652454"/>
        <n v="103.63609608691876"/>
        <n v="363.4635868643412"/>
        <n v="1457.005464491238"/>
        <n v="169.1860958532118"/>
        <n v="254.9579653811742"/>
        <n v="143.82058071361104"/>
        <n v="215.8120628356673"/>
        <n v="80.32935707602897"/>
        <n v="446.96349071479983"/>
        <n v="358.22616243778873"/>
        <n v="545.372888971114"/>
        <n v="21.827012167561985"/>
        <n v="166.3335423359407"/>
        <n v="705.5801303596728"/>
        <n v="274.26674159677674"/>
        <n v="135.70301613805447"/>
        <n v="78.11225404376819"/>
        <n v="107.8394742226449"/>
        <n v="112.46109990644055"/>
        <n v="230.708312527107"/>
        <n v="58.94923370400603"/>
        <n v="396.3366729925278"/>
        <n v="52.0748360291788"/>
        <n v="808.5619496979716"/>
        <n v="546.5035907075678"/>
        <n v="396.8864627123593"/>
        <n v="98.65632495611024"/>
        <n v="20.0068268509432"/>
        <n v="150.78112904228274"/>
        <n v="1580.7866602441024"/>
        <n v="910.5641620756222"/>
        <n v="47.0410124096082"/>
        <n v="243.169521358281"/>
        <n v="452.3433871268482"/>
        <n v="89.59723686732235"/>
        <n v="246.22238985552863"/>
        <n v="269.5986855566122"/>
        <n v="106.04481006320015"/>
        <n v="1203.1618349089604"/>
        <n v="48.46181158191216"/>
        <n v="120.04096110565919"/>
        <n v="246.25339094682238"/>
        <n v="2063.934538068852"/>
        <n v="1418.5785975095864"/>
        <n v="665.3341693437628"/>
        <n v="158.5346691970111"/>
        <n v="19.69779118844229"/>
        <n v="290.78998086346854"/>
        <n v="231.94649693445294"/>
        <n v="1232.1653981570898"/>
        <n v="699.2711146940779"/>
        <n v="48.4780301091928"/>
        <n v="1593.9688062304062"/>
        <n v="276.20942479376924"/>
        <n v="298.47975528211816"/>
        <n v="962.6600814739885"/>
        <n v="2483.13050397111"/>
        <n v="479.0085395370631"/>
        <n v="282.2320521438691"/>
        <n v="36.47542820374215"/>
        <n v="207.2721921738375"/>
        <n v="255.2017164248664"/>
        <n v="72.9508564074843"/>
        <n v="341.5647441922299"/>
        <n v="1450.9053452168625"/>
        <n v="668.385447779412"/>
        <n v="234.74021136250644"/>
        <n v="969.2362316382432"/>
        <n v="214.2116188694106"/>
        <n v="180.62633753698393"/>
        <n v="53.80508889188982"/>
        <n v="58.6655720660879"/>
        <n v="74.61993882052954"/>
        <n v="146.89641136687138"/>
        <n v="1249.5772589182932"/>
        <n v="127.5000057985218"/>
        <n v="282.4767166824215"/>
        <n v="582.7259289117317"/>
        <n v="25.008533563679"/>
        <n v="195.86188182249518"/>
        <n v="153.00000695822615"/>
        <n v="322.9916375379498"/>
        <n v="168.14090278715568"/>
        <n v="9.39535008880377"/>
        <n v="315.2644577812796"/>
        <n v="485.1371698187829"/>
        <n v="46.1416625054214"/>
        <n v="45.52820810378111"/>
        <n v="261.77898670613473"/>
        <n v="268.00732806178"/>
        <n v="339.25497767404664"/>
        <n v="303.96190169785126"/>
        <n v="1617.1238993959432"/>
        <n v="196.97154554876843"/>
        <n v="179.08785316927091"/>
        <n v="424.0408513417314"/>
        <n v="42.842323773882114"/>
        <n v="364.388071318068"/>
        <n v="856.5179820240827"/>
        <n v="50.255074335798135"/>
        <n v="742.313670442401"/>
        <n v="2827.83422474419"/>
        <n v="748.7356189242132"/>
        <n v="1975.983325305128"/>
        <n v="553.3197039814564"/>
        <n v="10.710580943470529"/>
        <n v="138.10471239688462"/>
        <n v="219.7887384066495"/>
        <n v="345.2617809922115"/>
        <n v="49.25067818936448"/>
        <n v="119.31539643419372"/>
        <n v="277.4356710947694"/>
        <n v="1411.1602607193456"/>
        <n v="316.1573320488205"/>
        <n v="607.31345219678"/>
        <n v="684.2979136243758"/>
        <n v="246.39540267756917"/>
        <n v="158.07866602441024"/>
        <n v="148.84780581720727"/>
        <n v="790.3933301220512"/>
        <n v="182.286940303476"/>
        <n v="373.0899459129075"/>
        <n v="177.05651047250996"/>
        <n v="218.52222334189935"/>
        <n v="46.97675044401885"/>
        <n v="352.7900651798364"/>
        <n v="481.1655747787422"/>
        <n v="147.73343391331719"/>
        <n v="291.36296445586584"/>
        <n v="32.07770498524948"/>
        <n v="165.72565487626153"/>
        <n v="365.6889887957023"/>
        <n v="539.1973711132244"/>
        <n v="157.1979565440161"/>
        <n v="318.9595838940156"/>
        <n v="65.7708833040735"/>
        <n v="1092.7540983684285"/>
        <n v="683.1294883844598"/>
        <n v="403.53816668917364"/>
        <n v="798.347565895105"/>
        <n v="1252.4040620381763"/>
        <n v="527.7339516479896"/>
        <n v="273.71916544975034"/>
        <n v="391.72376364499036"/>
        <n v="35.19934323965274"/>
        <n v="402.2138718798099"/>
        <n v="85.0000038656812"/>
        <n v="342.1489568121879"/>
        <n v="497.45326121721007"/>
        <n v="291.4010928982476"/>
        <n v="35.20472566163114"/>
        <n v="132.1122243308426"/>
        <n v="982.0928751989445"/>
        <n v="187.60512964324602"/>
        <n v="63.50183403397749"/>
        <n v="59.69595105642364"/>
        <n v="328.28590924794736"/>
        <n v="191.64989211467508"/>
        <n v="425.27944519202083"/>
        <n v="258.818634740725"/>
        <n v="484.6499681057809"/>
        <n v="133.88226179338162"/>
        <n v="119.8504839280092"/>
        <n v="35.95514517840276"/>
        <n v="54.63384972453733"/>
        <n v="185.7753938112549"/>
        <n v="29.945295642917984"/>
        <n v="41.313185776918985"/>
        <n v="2379.216616733563"/>
        <n v="785.9897827200805"/>
        <n v="612.8003639295017"/>
        <n v="40.6925259509002"/>
        <n v="45.015360414622194"/>
        <n v="263.083533216294"/>
        <n v="26.199659424002682"/>
        <n v="744.939151191333"/>
        <n v="2997.9904796758387"/>
        <n v="72.91477612139039"/>
        <n v="1891.5867466876778"/>
        <n v="125.37915685322606"/>
        <n v="425.5466623769917"/>
        <n v="364.7542820374215"/>
        <n v="3234.2477987918865"/>
        <n v="1238.502625408366"/>
        <n v="313.4477046820306"/>
        <n v="1696.700534846514"/>
        <n v="554.4451411198024"/>
        <n v="359.7588575611006"/>
        <n v="295.46686782663437"/>
        <n v="654.728583465963"/>
        <n v="145.39499043173427"/>
        <n v="1925.320162947977"/>
        <n v="880.1181415407784"/>
        <n v="489.65470455623796"/>
        <n v="95.16866466934252"/>
        <n v="496.626100794222"/>
        <n v="127.58383355760624"/>
        <n v="105.84227792161845"/>
        <n v="293.79282273374275"/>
        <n v="970.2743396375658"/>
        <n v="858.7294581504768"/>
        <n v="78.92505996488819"/>
        <n v="60.79238033957025"/>
        <n v="107.46784873133663"/>
        <n v="340.0000154627248"/>
        <n v="1478.5984777885078"/>
        <n v="38.39881580028101"/>
        <n v="181.7317934321706"/>
        <n v="60.731345219678005"/>
        <n v="82.86282743813076"/>
        <n v="193.9121204367712"/>
        <n v="86.32482513426692"/>
        <n v="743.1015752450196"/>
        <n v="281.6378052930491"/>
        <n v="313.4037430462241"/>
        <n v="520.748360291788"/>
        <n v="274.20663455149327"/>
        <n v="58.6103302417732"/>
        <n v="1044.248194520541"/>
        <n v="1032.863447432052"/>
        <n v="32.88544165203675"/>
        <n v="275.09642395202815"/>
        <n v="2617.789867061347"/>
        <n v="65.44474667653368"/>
        <n v="656.2346803880655"/>
        <n v="170.11177807680832"/>
        <n v="670.4452360721997"/>
        <n v="328.85441652036747"/>
        <n v="437.1016393473714"/>
        <n v="98.50135637872896"/>
        <n v="435.2716035650588"/>
        <n v="33.628180557431136"/>
        <n v="258.215861858013"/>
        <n v="215.22035556755927"/>
        <n v="545.6071528883025"/>
        <n v="486.098507475936"/>
        <n v="474.2359980732307"/>
        <n v="48.116557477874224"/>
        <n v="246.96531515044305"/>
        <n v="107.202931224712"/>
        <n v="653.016051420897"/>
        <n v="36.4388071318068"/>
        <n v="382.5000173955654"/>
        <n v="224.9221998128811"/>
        <n v="85.9972724195355"/>
        <n v="89.54392658463546"/>
        <n v="242.834244081873"/>
        <n v="352.04725661631136"/>
        <n v="68.42979136243758"/>
        <n v="607.9238033957025"/>
        <n v="179.77572589201378"/>
        <n v="1106.6394079629129"/>
        <n v="246.0888666955808"/>
        <n v="125.04266781839499"/>
        <n v="535.5331109649828"/>
        <n v="15.078112904228274"/>
        <n v="528.4488973233704"/>
        <n v="15.463099795630196"/>
        <n v="90.03072082924439"/>
        <n v="157.6322288906398"/>
        <n v="238.63079286838743"/>
        <n v="182.194035659034"/>
        <n v="1138.549147307433"/>
        <n v="823.1768187529516"/>
        <n v="198.46374108960973"/>
        <n v="948.4719961464614"/>
        <n v="208.96513645468704"/>
        <n v="1584.2126547734013"/>
        <n v="164.63536375059033"/>
        <n v="23.194649693445292"/>
        <n v="318.1313502837214"/>
        <n v="872.971444621284"/>
        <n v="229.24701996002347"/>
        <n v="249.5003135039111"/>
        <n v="263.51860165767823"/>
        <n v="456.1986090829172"/>
        <n v="211.22835396978684"/>
        <n v="76.902770842369"/>
        <n v="254.50754415168035"/>
        <n v="223.2042872525204"/>
        <n v="65.4728583465963"/>
        <n v="23.863079286838744"/>
        <n v="32.55120233314494"/>
        <n v="34.21489568121879"/>
        <n v="182.26192610212578"/>
        <n v="829.9129966281538"/>
        <n v="243.049253737968"/>
        <n v="268.6696218283416"/>
        <n v="246.43307963141797"/>
        <n v="1060.4378342790712"/>
        <n v="525.2574547967158"/>
        <n v="424.1792402528006"/>
        <n v="300.102402764148"/>
        <n v="1291.6415927484486"/>
        <n v="928.8769690562744"/>
        <n v="284.83701176617996"/>
        <n v="96.39522849123476"/>
        <n v="187.72983061148128"/>
        <n v="87.40888933675974"/>
        <n v="1525.3048737182853"/>
        <n v="1056.8977946467407"/>
        <n v="18.211283241512444"/>
        <n v="58.27259289117316"/>
        <n v="214.405862449424"/>
        <n v="819.4330663104663"/>
        <n v="555.641047797303"/>
        <n v="37.48703330214685"/>
        <n v="15.875458508494372"/>
        <n v="508.6565743862525"/>
        <n v="124.36331530430252"/>
        <n v="31.058236168887"/>
        <n v="127.00366806795498"/>
        <n v="109.26769944907466"/>
        <n v="161.0757851861615"/>
        <n v="4426.557631851651"/>
        <n v="342.75829318936655"/>
        <n v="113.08584678171205"/>
        <n v="14.773343391331718"/>
        <n v="227.8584163320146"/>
        <n v="7.937729254247186"/>
        <n v="79.37729254247186"/>
        <n v="879.7578555261281"/>
        <n v="23.46622882643516"/>
        <n v="783.1861458904056"/>
        <n v="295.0941841208499"/>
        <n v="176.40379653603074"/>
        <n v="831.6677116797036"/>
        <n v="64.17733876493256"/>
        <n v="1131.9867295771603"/>
        <n v="40.0136537018864"/>
        <n v="779.0281455320597"/>
        <n v="869.0956763898885"/>
        <n v="445.3882022654406"/>
        <n v="523.7828667727704"/>
        <n v="258.0376250528342"/>
        <n v="70.69585561860475"/>
        <n v="77.31549897815098"/>
        <n v="368.8798026543043"/>
        <n v="34.47113457977401"/>
        <n v="400.97131231561855"/>
        <n v="176.73963904651188"/>
        <n v="141.64520837800796"/>
        <n v="122.07300504264856"/>
        <n v="746.179891825815"/>
        <n v="756.634698675071"/>
        <n v="52.16449141389032"/>
        <n v="1759.5157110522562"/>
        <n v="26.42244486616852"/>
        <n v="11.40496522707293"/>
        <n v="550.7831702801362"/>
        <n v="607.9161245679945"/>
        <n v="104.44446884171475"/>
        <n v="27.764709325908374"/>
        <n v="43.91135407515429"/>
        <n v="50.1640406045988"/>
        <n v="101.5448547603982"/>
        <n v="112.04794118961092"/>
        <n v="373.2920999186052"/>
        <n v="131.24887027297396"/>
        <n v="974.0231593900612"/>
        <n v="185.98050302687437"/>
        <n v="143.26124558005716"/>
        <n v="288.67935447909593"/>
        <n v="132.23575763870113"/>
        <n v="619.5969475073182"/>
        <n v="65.65692781143696"/>
        <n v="562.3462136303676"/>
        <n v="26.72261499203419"/>
        <n v="5765.395240138422"/>
        <n v="697.6290028669843"/>
        <n v="911.9908779133161"/>
        <n v="746.5841998372103"/>
        <n v="872.0362535837303"/>
        <n v="428.55667085472277"/>
        <n v="216.85893162756136"/>
        <n v="107.48103050568318"/>
        <n v="826.1747554202043"/>
        <n v="258.52338391987"/>
        <n v="237.0849877104148"/>
        <n v="104.64435043004764"/>
        <n v="60.196848725518564"/>
        <n v="277.3672522266366"/>
        <n v="214.4302142938731"/>
        <n v="1469.9454844065506"/>
        <n v="139.48537727015577"/>
        <n v="79.34145458322067"/>
        <n v="90.29527308827784"/>
        <n v="273.5972633739948"/>
        <n v="458.52741130580165"/>
        <n v="287.10690372213054"/>
        <n v="313.5591939832155"/>
        <n v="258.3361703646572"/>
        <n v="314.1268798772993"/>
        <n v="384.3596826758948"/>
        <n v="119.3843713167143"/>
        <n v="548.3541733343794"/>
        <n v="39.66387046558339"/>
        <n v="472.3091423791507"/>
        <n v="103.44995580034654"/>
        <n v="344.44822715287626"/>
        <n v="674.7273462559297"/>
        <n v="229.32076098223268"/>
        <n v="13.539313968053092"/>
        <n v="103.409353567948"/>
        <n v="1537.4387307035793"/>
        <n v="278.8186263782932"/>
        <n v="11.899161139675018"/>
        <n v="87.82270815030859"/>
        <n v="196.4530419442752"/>
        <n v="68.1730282680576"/>
        <n v="470.44444925875956"/>
        <n v="73.82748952854786"/>
        <n v="206.33733508761074"/>
        <n v="641.1676778755387"/>
        <n v="340.65570193929216"/>
        <n v="551.2295566524565"/>
        <n v="18.598050302687437"/>
        <n v="852.3645934357617"/>
        <n v="77.557015175961"/>
        <n v="343.088342870197"/>
        <n v="1349.4546925118593"/>
        <n v="681.730282680576"/>
        <n v="23.798322279350035"/>
        <n v="311.07674993217097"/>
        <n v="265.4052309694963"/>
        <n v="255.32477231855768"/>
        <n v="48.71029816741912"/>
        <n v="1031.7512461439615"/>
        <n v="584.2626827697825"/>
        <n v="260.49306578304993"/>
        <n v="365.25868477127295"/>
        <n v="52.693624890185156"/>
        <n v="123.0172239831701"/>
        <n v="334.4631402487632"/>
        <n v="1837.4318555081882"/>
        <n v="208.02543916997746"/>
        <n v="154.89923687682955"/>
        <n v="191.1006341518606"/>
        <n v="120.39369745103713"/>
        <n v="158.05665847360987"/>
        <n v="573.7069378894549"/>
        <n v="435.7419935151536"/>
        <n v="323.1542298998375"/>
        <n v="405.18941986991223"/>
        <n v="520.9861315660999"/>
        <n v="1090.7684522889217"/>
        <n v="301.82883286691185"/>
        <n v="300.98424362759283"/>
        <n v="154.354380658863"/>
        <n v="974.2059633483824"/>
        <n v="81.23588380831855"/>
        <n v="994.5895382088024"/>
        <n v="234.3813181469803"/>
        <n v="1012.0910193838945"/>
        <n v="781.5376669368301"/>
        <n v="418.9012133416791"/>
        <n v="218.00589882895213"/>
        <n v="353.08996695570147"/>
        <n v="410.39589506099225"/>
        <n v="175.64541630061717"/>
        <n v="6.680653748008548"/>
        <n v="59.69218565835715"/>
        <n v="142.9534761959154"/>
        <n v="1543.442758626878"/>
        <n v="179.07655697507144"/>
        <n v="171.1149757712709"/>
        <n v="1744.0725071674606"/>
        <n v="412.70049845758456"/>
        <n v="2090.3946265547697"/>
        <n v="257.81515802629207"/>
        <n v="634.14198697991"/>
        <n v="114.84276148885222"/>
        <n v="660.9398043361634"/>
        <n v="217.61072515749782"/>
        <n v="238.7687426334286"/>
        <n v="192.9473427951963"/>
        <n v="216.17753078920498"/>
        <n v="797.9920181741516"/>
        <n v="801.4595973444234"/>
        <n v="117.61111231468989"/>
        <n v="336.929798603733"/>
        <n v="40.13123248367904"/>
        <n v="127.09305258734511"/>
        <n v="170.96507592303985"/>
        <n v="118.5424938552074"/>
        <n v="243.1664498271978"/>
        <n v="1197.8048303988962"/>
        <n v="825.4009969151691"/>
        <n v="298.39590373983197"/>
        <n v="58.4557202950748"/>
        <n v="346.7090652832958"/>
        <n v="41.7777875366859"/>
        <n v="243.5514908370956"/>
        <n v="104.19722631321997"/>
        <n v="51.704676783974"/>
        <n v="141.64789131170085"/>
        <n v="11530.790480276844"/>
        <n v="984.1377918653608"/>
        <n v="250.70717976510002"/>
        <n v="19.06395788810177"/>
        <n v="681.3114038785843"/>
        <n v="68.77911169587024"/>
        <n v="455.99543895665806"/>
        <n v="387.785075879805"/>
        <n v="633.1331574319845"/>
        <n v="487.1029816741912"/>
        <n v="138.6836261133183"/>
        <n v="311.2442810822526"/>
        <n v="38.7785075879805"/>
        <n v="79.02832923680494"/>
        <n v="862.0829650028879"/>
        <n v="152.1940768751784"/>
        <n v="456.3066020567224"/>
        <n v="169.59985221054862"/>
        <n v="340.865141340288"/>
        <n v="304.6550152204969"/>
        <n v="149.19795186991598"/>
        <n v="102.55508282914596"/>
        <n v="209.039462655477"/>
        <n v="169.24142460066363"/>
        <n v="139.33774625898556"/>
        <n v="226.1189847971373"/>
        <n v="173.20761268745756"/>
        <n v="454.486855120384"/>
        <n v="380.48519218794604"/>
        <n v="1256.5075195091972"/>
        <n v="149.31683996744206"/>
        <n v="145.0738167716652"/>
        <n v="121.5832249135989"/>
        <n v="186.74656864935153"/>
        <n v="501.640406045988"/>
        <n v="103.801775746751"/>
        <n v="241.18417849399538"/>
        <n v="301.4919797295164"/>
        <n v="156.31092655820785"/>
        <n v="25.418610517469023"/>
        <n v="578.322328794143"/>
        <n v="174.08858012599825"/>
        <n v="38.12791577620354"/>
        <n v="232.47562878359295"/>
        <n v="1463.2762385883389"/>
        <n v="371.96100605374875"/>
        <n v="171.99057073667453"/>
        <n v="554.7345044532732"/>
        <n v="7687.193653517897"/>
        <n v="427.78743942817727"/>
        <n v="100.72315607524641"/>
        <n v="92.56503034709078"/>
        <n v="255.49177645446915"/>
        <n v="822.5312600015691"/>
        <n v="31.77326314683628"/>
        <n v="1923.5030336266163"/>
        <n v="596.1474783937613"/>
        <n v="233.705073107913"/>
        <n v="111.0588373036335"/>
        <n v="1234.1460728036789"/>
        <n v="644.8861830340991"/>
        <n v="349.50589461519905"/>
        <n v="553.5775079242654"/>
        <n v="1132.3193697531024"/>
        <n v="2249.091154186432"/>
        <n v="97.6588825612418"/>
        <n v="440.626536224109"/>
        <n v="6411.676778755387"/>
        <n v="613.1802634907259"/>
        <n v="19.831935232791697"/>
        <n v="98.41377918653608"/>
        <n v="30.098424362759282"/>
        <n v="198.35363645805168"/>
        <n v="426.29327287463457"/>
        <n v="508.7995566316458"/>
        <n v="209.28870086009528"/>
        <n v="158.65548186233357"/>
        <n v="130.24653289152496"/>
        <n v="1220.8507550172224"/>
        <n v="281.1731068151838"/>
        <n v="75.23672135397823"/>
        <n v="73.11112818920033"/>
        <n v="282.26666955525576"/>
        <n v="190.24259609397302"/>
        <n v="33.05893940967528"/>
        <n v="150.7459898647582"/>
        <n v="93.7243689383946"/>
        <n v="121.7757454185478"/>
        <n v="342.2299515425418"/>
        <n v="4808.75758406654"/>
        <n v="431.1840469527312"/>
        <n v="66.80653748008548"/>
        <n v="355.24439406219545"/>
        <n v="285.1916262854515"/>
        <n v="50.10490311006411"/>
        <n v="48.84716454943995"/>
        <n v="76.0970384375892"/>
        <n v="128.56700125641683"/>
        <n v="285.9069523918308"/>
        <n v="17.03278509696461"/>
        <n v="224.9091154186432"/>
        <n v="730.6544725112868"/>
        <n v="562.272788546608"/>
        <n v="304.3881537503568"/>
        <n v="210.77449956074062"/>
        <n v="248.8613999457368"/>
        <n v="303.43012879964954"/>
        <n v="129.261691959935"/>
        <n v="1303.6794308705312"/>
        <n v="111.20642101392697"/>
        <n v="96.47367139759815"/>
        <n v="309.7984737536591"/>
        <n v="226.63662609872136"/>
        <n v="418.078925310954"/>
        <n v="1025.5508282914595"/>
        <n v="32.244309151704954"/>
        <n v="292.13134138489124"/>
        <n v="62.666681305028845"/>
        <n v="27.73672522266366"/>
        <n v="47.38759888818582"/>
        <n v="243.5057898475153"/>
        <n v="26.111117210428688"/>
        <n v="33.17565387118704"/>
        <n v="60.79161245679945"/>
        <n v="447.593855609748"/>
        <n v="263.32852473892376"/>
        <n v="268.5563133658488"/>
        <n v="842.3244965093324"/>
        <n v="423.9996305263715"/>
        <n v="166.58825595545025"/>
        <n v="428.8604285877462"/>
        <n v="488.340302006889"/>
        <n v="389.60926375602446"/>
        <n v="45.85274113058016"/>
        <n v="344.8331860011552"/>
        <n v="255.72906537895037"/>
        <n v="165.08019938303383"/>
        <n v="49.79908497316041"/>
        <n v="350.5576096618695"/>
        <n v="273.48022087772256"/>
        <n v="201.44631215049282"/>
        <n v="79.32774093116679"/>
        <n v="743.5163370087819"/>
        <n v="1102.0546655513517"/>
        <n v="497.3421516870737"/>
        <n v="377.7277101645356"/>
        <n v="188.17777970350383"/>
        <n v="360.9343932506784"/>
        <n v="1046.4435043004764"/>
        <n v="764.4025366074424"/>
        <n v="1217.5289492375764"/>
        <n v="422.08877162132296"/>
        <n v="59.49580569837509"/>
        <n v="344.224162733673"/>
        <n v="123.71972334818398"/>
        <n v="69.34181305665915"/>
        <n v="221.0096721873096"/>
        <n v="495.7048532521226"/>
        <n v="82.03054392060872"/>
        <n v="522.5986566386924"/>
        <n v="79.4331578670907"/>
        <n v="146.99454844065505"/>
        <n v="113.78629829986856"/>
        <n v="1580.5665847360988"/>
        <n v="67.83994088421944"/>
        <n v="206.8999116006931"/>
        <n v="627.118387966431"/>
        <n v="2092.887008600953"/>
        <n v="71.8640078254552"/>
        <n v="25.052451555032054"/>
        <n v="39.67072729161033"/>
        <n v="268.70257626420795"/>
        <n v="275.86654880092414"/>
        <n v="68.37005521943064"/>
        <n v="3141.2687987729933"/>
        <n v="410.15271960304364"/>
        <n v="355.11951270874965"/>
        <n v="205.07635980152182"/>
        <n v="195.3177651224836"/>
        <n v="539.7818770047437"/>
        <n v="64.48861830340991"/>
        <n v="89.5187711219496"/>
        <n v="92.8918308393237"/>
        <n v="316.11331694721974"/>
        <n v="510.9835529089383"/>
        <n v="517.04676783974"/>
        <n v="181.7947420481536"/>
        <n v="279.2674755611194"/>
        <n v="141.13333477762788"/>
        <n v="121.75289492375765"/>
        <n v="158.68290916644133"/>
        <n v="31.333340652514423"/>
        <n v="729.4993494815934"/>
        <n v="1058.500010832209"/>
        <n v="305.41180258499213"/>
        <n v="222.14629310466222"/>
        <n v="534.9661896198352"/>
        <n v="44.98182308372864"/>
        <n v="247.62029907455076"/>
        <n v="960.8992066897371"/>
        <n v="246.8292145607358"/>
        <n v="632.2266338944395"/>
        <n v="132.61193842784033"/>
        <n v="330.4699021680817"/>
        <n v="418.57740172019055"/>
        <n v="602.9839594590328"/>
        <n v="750.753286596795"/>
        <n v="95.31978944050884"/>
        <n v="90.8973710240768"/>
        <n v="74.23183400891038"/>
        <n v="208.8889376834295"/>
        <n v="1122.0434362821927"/>
        <n v="11.69114405901496"/>
        <n v="113.99885973916452"/>
        <n v="53.74051525284159"/>
        <n v="325.9198577176328"/>
        <n v="438.6833386675035"/>
        <n v="683.7005521943064"/>
        <n v="369.0516719495103"/>
        <n v="199.05392322712223"/>
        <n v="395.1416461840247"/>
        <n v="651.8397154352656"/>
        <n v="124.4306999728684"/>
        <n v="73.6698907291032"/>
        <n v="423.4000043328836"/>
        <n v="500.50219106453"/>
        <n v="254.18610517469023"/>
        <n v="1010.789395811199"/>
        <n v="196.87330540946095"/>
        <n v="1140.7195020117147"/>
        <n v="214.96206101136636"/>
        <n v="333.1765119109005"/>
        <n v="697.556185677901"/>
        <n v="63.54652629367256"/>
        <n v="467.410146215826"/>
        <n v="456.5822306255352"/>
        <n v="330.16039876606766"/>
        <n v="749.9741739957649"/>
        <n v="416.0508783399549"/>
        <n v="942.3806396318979"/>
        <n v="1411.3333477762787"/>
        <n v="185.87908425219547"/>
        <n v="487.0115796950306"/>
        <n v="1395.2580057339685"/>
        <n v="689.6663720023104"/>
        <n v="26.447151527740225"/>
        <n v="484.893343577227"/>
        <n v="604.3389364514784"/>
        <n v="1102.399039368566"/>
        <n v="1237.1616699868086"/>
        <n v="596.9218565835715"/>
        <n v="200.6561624183952"/>
        <n v="1094.24902422239"/>
        <n v="48.70115796950306"/>
        <n v="4007.297986722117"/>
        <n v="231.41257586772696"/>
        <n v="661.4754679829477"/>
        <n v="790.2832923680494"/>
        <n v="89.96364616745728"/>
        <n v="385.8946855903926"/>
        <n v="1071.391677136807"/>
        <n v="164.95963113091196"/>
        <n v="131.21411651375243"/>
        <n v="161.22154575852477"/>
        <n v="592.712469276037"/>
        <n v="195.27952817821807"/>
        <n v="359.320039127276"/>
        <n v="278.97075454031153"/>
        <n v="409.7906699210393"/>
        <n v="206.19953891363997"/>
        <n v="101.75991132632916"/>
        <n v="222.117674607267"/>
        <n v="193.8925379399025"/>
        <n v="231.53681135423557"/>
        <n v="678.3994088421945"/>
        <n v="52.222234420857376"/>
        <n v="136.7986316869974"/>
        <n v="72.94993494815934"/>
        <n v="24.35514908370956"/>
        <n v="367.48637110163764"/>
        <n v="97.42059633483824"/>
        <n v="160.29191946888469"/>
        <n v="135.06313995663743"/>
        <n v="2392.9519326800723"/>
        <n v="906.5084046772176"/>
        <n v="298.4052910122442"/>
        <n v="210.3345657971217"/>
        <n v="202.41820387677888"/>
        <n v="347.32408771073324"/>
        <n v="284.1955152497564"/>
        <n v="338.48284920132727"/>
        <n v="809.6728155071155"/>
        <n v="852.5865457492691"/>
        <n v="62.24885621645051"/>
        <n v="38.58946855903926"/>
        <n v="130.21184341498906"/>
        <n v="19.110063415186058"/>
        <n v="185.13006069418157"/>
        <n v="167.38245272418692"/>
        <n v="123.04581588091308"/>
        <n v="186.9640584863304"/>
        <n v="180.1479423243375"/>
        <n v="4042.350082118014"/>
        <n v="137.69579257003406"/>
        <n v="24.743944669636797"/>
        <n v="30.14919797295164"/>
        <n v="501.69471037314474"/>
        <n v="131.32280844838573"/>
        <n v="1436.385632713473"/>
        <n v="1738.6232432097086"/>
        <n v="852.2702644663035"/>
        <n v="236.93799444092912"/>
        <n v="740.4876436822074"/>
        <n v="94.08888985175192"/>
        <n v="929.3954212609773"/>
        <n v="710.4887881243909"/>
        <n v="732.5104530103334"/>
        <n v="593.5994827369201"/>
        <n v="881.9672906439303"/>
        <n v="391.1038292611593"/>
        <n v="1193.843713167143"/>
        <n v="977.436164463918"/>
        <n v="3674.8637110163763"/>
        <n v="547.990854383465"/>
        <n v="317.31096372466715"/>
        <n v="66.72385260835618"/>
        <n v="227.3564121998051"/>
        <n v="408.98387793884774"/>
        <n v="4804.496033448685"/>
        <n v="1102.459113304913"/>
        <n v="1604.8459395703057"/>
        <n v="888.5851724186489"/>
        <n v="111.898463902437"/>
        <n v="147.3397814582064"/>
        <n v="112.46924272607352"/>
        <n v="775.57015175961"/>
        <n v="289.4210141927945"/>
        <n v="62.2153499864342"/>
        <n v="10.444446884171475"/>
        <n v="310.228060703844"/>
        <n v="904.4759391885492"/>
        <n v="400.26973334856314"/>
        <n v="358.1531139501429"/>
        <n v="977.7595731528983"/>
        <n v="184.174726822758"/>
        <n v="74.97949515071568"/>
        <n v="948.3399508416592"/>
        <n v="321.41750314104206"/>
        <n v="232.671045527883"/>
        <n v="304.43936354636946"/>
        <n v="401.31133171890724"/>
        <n v="100.100438212906"/>
        <n v="187.4487378767892"/>
        <n v="1444.451744601546"/>
        <n v="568.10856890048"/>
        <n v="16.70163437002137"/>
        <n v="188.8638550822678"/>
        <n v="47.65989472025442"/>
        <n v="131.73406222546288"/>
        <n v="940.8888985175191"/>
        <n v="1124.545577093216"/>
        <n v="22.3796927804874"/>
        <n v="118.99161139675017"/>
        <n v="787.1819039652512"/>
        <n v="92.99025151343719"/>
        <n v="337.36367312796483"/>
        <n v="229.26370565290082"/>
        <n v="302.1694682257392"/>
        <n v="497.7227998914736"/>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2097" sheet="analysis-revenue"/>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customerCity" numFmtId="166">
      <sharedItems>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s v="Madrid"/>
        <s v="Barquisimeto"/>
        <s v="Reggio Emilia"/>
        <s v="London"/>
        <s v="Sao Paulo"/>
        <s v="Cork"/>
        <s v="Stuttgart"/>
        <s v="Sevilla"/>
        <s v="Anchorage"/>
        <s v="Portland"/>
        <s v="Nantes"/>
        <s v="Cowes"/>
        <s v="Brandenburg"/>
        <s v="Boise"/>
        <s v="Lisboa"/>
        <s v="Marseille"/>
        <s v="Montréal"/>
        <s v="Kobenhavn"/>
        <s v="Toulouse"/>
        <s v="Salzburg"/>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CustomerCountry" numFmtId="166">
      <sharedItems>
        <s v="France"/>
        <s v="Germany"/>
        <s v="Brazil"/>
        <s v="Belgium"/>
        <s v="Switzerland"/>
        <s v="Venezuela"/>
        <s v="Austria"/>
        <s v="Mexico"/>
        <s v="USA"/>
        <s v="Sweden"/>
        <s v="Finland"/>
        <s v="Italy"/>
        <s v="Spain"/>
        <s v="UK"/>
        <s v="Ireland"/>
        <s v="Portugal"/>
        <s v="Canada"/>
        <s v="Denmark"/>
        <s v="Poland"/>
        <s v="Norway"/>
        <s v="Argentina"/>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 name="orderCosts" numFmtId="165">
      <sharedItems containsSemiMixedTypes="0" containsString="0" containsNumber="1">
        <n v="126.98773165535172"/>
        <n v="78.18425884822629"/>
        <n v="96.04146669282841"/>
        <n v="125.57286741261456"/>
        <n v="1155.0128614943712"/>
        <n v="51.70198742240246"/>
        <n v="1010.6362538075748"/>
        <n v="167.6115306642369"/>
        <n v="70.20295304589402"/>
        <n v="168.44261487902475"/>
        <n v="223.4820408856492"/>
        <n v="1837.6989752900108"/>
        <n v="34.8461858543604"/>
        <n v="706.6253971267604"/>
        <n v="128.80639459874263"/>
        <n v="409.2277235104804"/>
        <n v="502.6654314172748"/>
        <n v="40.21758689624148"/>
        <n v="272.47417098826156"/>
        <n v="119.00973260196268"/>
        <n v="195.37493752909597"/>
        <n v="343.2303028041345"/>
        <n v="244.20596073383695"/>
        <n v="876.1055852579422"/>
        <n v="274.99830084426225"/>
        <n v="89.16327409941796"/>
        <n v="580.1407096732568"/>
        <n v="58.46110335864006"/>
        <n v="111.45409262427245"/>
        <n v="488.43734382273993"/>
        <n v="708.8838837183655"/>
        <n v="87.9295479931038"/>
        <n v="57.738364517847046"/>
        <n v="14.59372953780185"/>
        <n v="82.72317987584394"/>
        <n v="561.4753829300824"/>
        <n v="440.3944978572335"/>
        <n v="168.78793982372164"/>
        <n v="115.47672903569409"/>
        <n v="203.97381780054678"/>
        <n v="130.87087084031364"/>
        <n v="246.44961463166322"/>
        <n v="43.00801119884806"/>
        <n v="588.3948048070878"/>
        <n v="75.07282887298409"/>
        <n v="804.9941205744318"/>
        <n v="204.01668446050746"/>
        <n v="341.906140675918"/>
        <n v="129.25496855600616"/>
        <n v="637.6132219002405"/>
        <n v="160.75041887973492"/>
        <n v="240.14941309838002"/>
        <n v="484.03245542069266"/>
        <n v="2044.246365601865"/>
        <n v="152.94138836939086"/>
        <n v="702.5945266050256"/>
        <n v="76.83317335426273"/>
        <n v="83.63084605046497"/>
        <n v="384.16586677131363"/>
        <n v="293.0471528806043"/>
        <n v="644.8729794607218"/>
        <n v="33.45233842018598"/>
        <n v="275.6548462935016"/>
        <n v="257.61278919748526"/>
        <n v="460.99904012557636"/>
        <n v="385.83137538734763"/>
        <n v="96.60479594905696"/>
        <n v="27.876948683488322"/>
        <n v="580.8389465048311"/>
        <n v="336.4710544126599"/>
        <n v="240.1438057925428"/>
        <n v="134.45805336995977"/>
        <n v="32.174069516993185"/>
        <n v="175.2211170515884"/>
        <n v="241.14460961709224"/>
        <n v="32.367273815423154"/>
        <n v="550.3984544977166"/>
        <n v="352.3155982857868"/>
        <n v="170.42642316815184"/>
        <n v="438.0527926289711"/>
        <n v="190.50978345945416"/>
        <n v="210.4954680545391"/>
        <n v="318.8066109501203"/>
        <n v="259.499210465011"/>
        <n v="128.07101469752254"/>
        <n v="5.581200930000185"/>
        <n v="16.087034758496593"/>
        <n v="40.79476356010936"/>
        <n v="80.49941205744318"/>
        <n v="22.4590153172033"/>
        <n v="175.11833729647435"/>
        <n v="100.46161674000334"/>
        <n v="618.2972224859153"/>
        <n v="57.624880015697045"/>
        <n v="348.0844258039541"/>
        <n v="223.68468040819928"/>
        <n v="353.3126985633802"/>
        <n v="31.667893169396425"/>
        <n v="430.83932474251895"/>
        <n v="387.2259643365541"/>
        <n v="659.9959220262294"/>
        <n v="1019.869089002734"/>
        <n v="1174.3853276192892"/>
        <n v="392.2632032047252"/>
        <n v="164.67343821727442"/>
        <n v="93.99412522842243"/>
        <n v="43.09848919263988"/>
        <n v="21.949969585575257"/>
        <n v="168.6545881860328"/>
        <n v="174.32840308642227"/>
        <n v="218.11811806718939"/>
        <n v="1053.8917899075384"/>
        <n v="188.49953678147807"/>
        <n v="74.30272841618164"/>
        <n v="64.73454763084631"/>
        <n v="255.63963475222778"/>
        <n v="57.75064307471856"/>
        <n v="918.8494876450054"/>
        <n v="389.5655783139414"/>
        <n v="26.81172459749432"/>
        <n v="119.06861466215885"/>
        <n v="25.61420293950451"/>
        <n v="172.33572989700758"/>
        <n v="386.92378767643305"/>
        <n v="370.97833349154917"/>
        <n v="86.01602239769612"/>
        <n v="294.1974024035439"/>
        <n v="310.6824274140565"/>
        <n v="584.6110335864006"/>
        <n v="390.74987505819195"/>
        <n v="390.72953717413907"/>
        <n v="83.71801395000278"/>
        <n v="291.52028314075466"/>
        <n v="146.3331305705017"/>
        <n v="96.80649108413853"/>
        <n v="430.0801119884806"/>
        <n v="850.150962533654"/>
        <n v="770.5578362968033"/>
        <n v="309.53903014114644"/>
        <n v="335.2230613284738"/>
        <n v="109.74984792787629"/>
        <n v="376.99907356295614"/>
        <n v="292.0351950859807"/>
        <n v="24.01438057925428"/>
        <n v="811.5949548207112"/>
        <n v="1756.486316512564"/>
        <n v="292.3055167932003"/>
        <n v="134.1656867624053"/>
        <n v="183.3322005628415"/>
        <n v="21.54924459631994"/>
        <n v="293.5963319048223"/>
        <n v="20.71216182760377"/>
        <n v="40.18760471993373"/>
        <n v="242.40146758397682"/>
        <n v="409.2090771635505"/>
        <n v="15.63685176964526"/>
        <n v="515.8983835685774"/>
        <n v="36.02157086888142"/>
        <n v="98.0658008011813"/>
        <n v="146.79816595241115"/>
        <n v="46.91055530893578"/>
        <n v="144.98513279322637"/>
        <n v="110.07969089954332"/>
        <n v="619.0780602822929"/>
        <n v="366.664401125683"/>
        <n v="42.690338232507514"/>
        <n v="117.21886115224173"/>
        <n v="586.196986620692"/>
        <n v="191.66817950796622"/>
        <n v="733.9908297620558"/>
        <n v="115.2714067520921"/>
        <n v="241.12562831960236"/>
        <n v="2055.174323333756"/>
        <n v="191.4841443300084"/>
        <n v="103.40397484480492"/>
        <n v="61.17655534775635"/>
        <n v="170.0301925067308"/>
        <n v="385.27891814840166"/>
        <n v="305.88277673878173"/>
        <n v="360.2157086888142"/>
        <n v="101.98690890027339"/>
        <n v="77.06999917423305"/>
        <n v="43.77958432411859"/>
        <n v="29.48018613396644"/>
        <n v="38.97406890576004"/>
        <n v="205.93818168248072"/>
        <n v="713.9083623019138"/>
        <n v="187.98825045684487"/>
        <n v="1168.1407803439229"/>
        <n v="1905.0978345945416"/>
        <n v="81.84181543271009"/>
        <n v="38.84072857850778"/>
        <n v="25.761278919748523"/>
        <n v="768.3317335426273"/>
        <n v="290.88176110077217"/>
        <n v="179.6721225376264"/>
        <n v="213.45169116253757"/>
        <n v="244.21867191136997"/>
        <n v="529.1155485639655"/>
        <n v="469.5799036684185"/>
        <n v="262.8316755773826"/>
        <n v="446.9640817712984"/>
        <n v="73.16656528525085"/>
        <n v="55.812009300001854"/>
        <n v="107.33254940992424"/>
        <n v="2667.48153472287"/>
        <n v="258.04806719308834"/>
        <n v="863.3378037017319"/>
        <n v="480.20733346414204"/>
        <n v="64.64773378895983"/>
        <n v="1298.551927713138"/>
        <n v="75.8224060872834"/>
        <n v="139.5254082362384"/>
        <n v="480.2876115850856"/>
        <n v="30.827999669693217"/>
        <n v="68.38122813518359"/>
        <n v="161.00799324842828"/>
        <n v="1386.0154337932454"/>
        <n v="218.16132082557914"/>
        <n v="212.40778864356616"/>
        <n v="414.40214577683133"/>
        <n v="195.36476858706953"/>
        <n v="408.62442705845183"/>
        <n v="425.075481266827"/>
        <n v="201.24853014360795"/>
        <n v="121.20073379198841"/>
        <n v="1487.7641844338946"/>
        <n v="822.0697293335024"/>
        <n v="649.275963856569"/>
        <n v="62.04238490688296"/>
        <n v="1031.7967671371548"/>
        <n v="11.150779473395328"/>
        <n v="234.44992503491517"/>
        <n v="360.65790487647934"/>
        <n v="518.998420930022"/>
        <n v="968.4911282579016"/>
        <n v="29.266626114100344"/>
        <n v="424.2025682719594"/>
        <n v="1342.023799607652"/>
        <n v="446.49607440001483"/>
        <n v="70.36583296340366"/>
        <n v="765.1358662802886"/>
        <n v="73.7004653349161"/>
        <n v="487.1758613220005"/>
        <n v="38.72259643365541"/>
        <n v="143.61310824750632"/>
        <n v="132.75486790222885"/>
        <n v="103.43637406233572"/>
        <n v="145.23417967497338"/>
        <n v="372.81891289686786"/>
        <n v="67.2125836491232"/>
        <n v="820.1771614967307"/>
        <n v="111.7410204428246"/>
        <n v="86.19697838527976"/>
        <n v="6668.703836807175"/>
        <n v="114.89048659800505"/>
        <n v="281.03781064201024"/>
        <n v="67.0293114937358"/>
        <n v="280.7376914650412"/>
        <n v="193.20959189811393"/>
        <n v="155.6995262790066"/>
        <n v="414.24323655207536"/>
        <n v="482.2892192341845"/>
        <n v="276.2680971845542"/>
        <n v="141.32507942535207"/>
        <n v="82.33671910863721"/>
        <n v="549.1684844866153"/>
        <n v="450.82238109559916"/>
        <n v="1413.2507942535208"/>
        <n v="825.597681746575"/>
        <n v="2459.0808431175897"/>
        <n v="1333.740767361435"/>
        <n v="439.8322524901155"/>
        <n v="120.67576973939167"/>
        <n v="526.1499302277606"/>
        <n v="971.6099210492955"/>
        <n v="368.5023266745805"/>
        <n v="577.5064307471856"/>
        <n v="51.22840587900902"/>
        <n v="122.3531106955127"/>
        <n v="621.364854828113"/>
        <n v="60.0359514481357"/>
        <n v="253.97546331070345"/>
        <n v="55.8705102214123"/>
        <n v="37.15136420809082"/>
        <n v="296.41218879109397"/>
        <n v="77.57728054675178"/>
        <n v="52.01190989132714"/>
        <n v="28.869182258923523"/>
        <n v="357.7589954235158"/>
        <n v="677.9437897805311"/>
        <n v="1405.1890532100513"/>
        <n v="387.07210078963254"/>
        <n v="581.094676954741"/>
        <n v="113.3426024780597"/>
        <n v="58.609430576120864"/>
        <n v="551.3096925870032"/>
        <n v="5334.96306944574"/>
        <n v="1236.5944449718306"/>
        <n v="806.7483202197586"/>
        <n v="511.1151453545766"/>
        <n v="600.359514481357"/>
        <n v="95.83408975398311"/>
        <n v="209.2881123543576"/>
        <n v="270.4934286573595"/>
        <n v="194.87034452880022"/>
        <n v="72.04314173776284"/>
        <n v="41.36158993792197"/>
        <n v="381.0195669189083"/>
        <n v="241.49823617232954"/>
        <n v="105.99380956901405"/>
        <n v="79.33982173464179"/>
        <n v="348.988988907503"/>
        <n v="292.17418373545604"/>
        <n v="983.6323372470358"/>
        <n v="283.3565061951492"/>
        <n v="1286.3892827030074"/>
        <n v="264.9845239225351"/>
        <n v="164.29974308777548"/>
        <n v="58.53325222820069"/>
        <n v="165.11953634931498"/>
        <n v="350.4422341031768"/>
        <n v="180.1078543444071"/>
        <n v="63.878478951273024"/>
        <n v="733.328802251366"/>
        <n v="257.2209169248984"/>
        <n v="194.62440784875824"/>
        <n v="587.1926638096446"/>
        <n v="386.41918379622786"/>
        <n v="407.94763560109357"/>
        <n v="281.9823756852673"/>
        <n v="58.261092867761676"/>
        <n v="1035.6080913801884"/>
        <n v="586.0067145922013"/>
        <n v="51.59032573444127"/>
        <n v="1208.6729251824247"/>
        <n v="206.0902313579882"/>
        <n v="175.45570042638855"/>
        <n v="1283.3254039398905"/>
        <n v="165.69729462083015"/>
        <n v="720.4314173776283"/>
        <n v="403.3741601098793"/>
        <n v="519.755787672467"/>
        <n v="305.9607267008202"/>
        <n v="1556.995262790066"/>
        <n v="438.99939171150515"/>
        <n v="356.8632395285787"/>
        <n v="104.02381978265429"/>
        <n v="1697.9800943657403"/>
        <n v="411.60885858407175"/>
        <n v="391.23368560417737"/>
        <n v="288.6993448672454"/>
        <n v="1699.839708573111"/>
        <n v="264.2244486616852"/>
        <n v="804.02198418534"/>
        <n v="359.3435477150158"/>
        <n v="1801.946708639358"/>
        <n v="251.68601624881933"/>
        <n v="565.5770179405827"/>
        <n v="636.2688603792009"/>
        <n v="364.2256648302489"/>
        <n v="319.9901316690084"/>
        <n v="121.5847606791405"/>
        <n v="201.76908334458682"/>
        <n v="1324.1107226813745"/>
        <n v="60.762313434492"/>
        <n v="22.80993045414586"/>
        <n v="387.0564375792513"/>
        <n v="327.3642917329815"/>
        <n v="201.005496046335"/>
        <n v="159.6170586067597"/>
        <n v="29.546686782663436"/>
        <n v="1237.1774733255832"/>
        <n v="184.5666500216856"/>
        <n v="80.70763333783472"/>
        <n v="76.39454258646695"/>
        <n v="563.2756105860982"/>
        <n v="163.74787140001678"/>
        <n v="522.4128411367176"/>
        <n v="316.8425309546802"/>
        <n v="307.611083369476"/>
        <n v="291.8034256299372"/>
        <n v="1413.917112372095"/>
        <n v="169.61634053669255"/>
        <n v="106.23390628350597"/>
        <n v="77.95361488414994"/>
        <n v="49.6626100794222"/>
        <n v="31.181445953659978"/>
        <n v="118.03767364833996"/>
        <n v="218.1491555884456"/>
        <n v="260.374180145894"/>
        <n v="8797.57855526128"/>
        <n v="14.175981506400694"/>
        <n v="306.0000139164523"/>
        <n v="263.8669758239948"/>
        <n v="728.776142636136"/>
        <n v="361.7398581724042"/>
        <n v="275.1912717425136"/>
        <n v="97.65360699943483"/>
        <n v="1366.2589767689196"/>
        <n v="436.485722310642"/>
        <n v="1199.1961918703355"/>
        <n v="7.731549897815098"/>
        <n v="78.34475272899807"/>
        <n v="193.85998724231234"/>
        <n v="23.607534729667993"/>
        <n v="327.2237333826684"/>
        <n v="75.39056452114137"/>
        <n v="42.41792402528006"/>
        <n v="111.1282095594606"/>
        <n v="704.0945132326227"/>
        <n v="705.615186144123"/>
        <n v="8621.626984156055"/>
        <n v="255.0000115970436"/>
        <n v="149.23987764105908"/>
        <n v="242.3090579095608"/>
        <n v="121.4171220409365"/>
        <n v="153.20009098237543"/>
        <n v="538.319395896583"/>
        <n v="141.75981506400694"/>
        <n v="446.4085745050408"/>
        <n v="970.2789969596543"/>
        <n v="1117.4087267869995"/>
        <n v="336.28180557431136"/>
        <n v="728.502732245619"/>
        <n v="2464.3307963141797"/>
        <n v="1241.565251985555"/>
        <n v="570.2482613536465"/>
        <n v="197.31264991222048"/>
        <n v="212.0896201264003"/>
        <n v="196.97791188442292"/>
        <n v="679.9358834292444"/>
        <n v="77.41128751585026"/>
        <n v="218.07815211860472"/>
        <n v="121.46269043935601"/>
        <n v="174.81777867351948"/>
        <n v="235.1933767865576"/>
        <n v="35.439953766001736"/>
        <n v="971.336976327492"/>
        <n v="656.5718184958947"/>
        <n v="128.52697132164633"/>
        <n v="88.52825523625498"/>
        <n v="179.11308121889437"/>
        <n v="195.2806351094205"/>
        <n v="356.88249251003447"/>
        <n v="191.76077428481472"/>
        <n v="131.31436369917895"/>
        <n v="195.30721399886966"/>
        <n v="546.5821069771021"/>
        <n v="587.267371247245"/>
        <n v="1940.5486792751317"/>
        <n v="1547.950903551639"/>
        <n v="1614.5519909355605"/>
        <n v="393.95582376884585"/>
        <n v="610.387889263503"/>
        <n v="378.3173493375355"/>
        <n v="248.313050397111"/>
        <n v="318.13443018960044"/>
        <n v="94.0820248192164"/>
        <n v="196.49744568002012"/>
        <n v="70.39868647930548"/>
        <n v="73.86671695665859"/>
        <n v="70.82260418900398"/>
        <n v="62.6356672586918"/>
        <n v="23.813187762741556"/>
        <n v="75.025600691037"/>
        <n v="236.07534729667992"/>
        <n v="462.3927851579491"/>
        <n v="26.800732806178"/>
        <n v="127.25377207584017"/>
        <n v="228.0993045414586"/>
        <n v="290.18106904337253"/>
        <n v="100.034134254716"/>
        <n v="414.544384347675"/>
        <n v="1790.8785316927092"/>
        <n v="766.0004549118772"/>
        <n v="369.91422812635926"/>
        <n v="414.64810486627755"/>
        <n v="472.89668667191944"/>
        <n v="1306.032102841794"/>
        <n v="121.195075272982"/>
        <n v="244.82735227811898"/>
        <n v="239.7009678560184"/>
        <n v="70.87990753200347"/>
        <n v="234.6622882643516"/>
        <n v="1090.745777942228"/>
        <n v="429.9863620976775"/>
        <n v="402.01099209267"/>
        <n v="269.0254444594491"/>
        <n v="273.86357992292415"/>
        <n v="1267.370123818721"/>
        <n v="945.7933733438389"/>
        <n v="619.251312704183"/>
        <n v="364.2513661228095"/>
        <n v="670.0183201544501"/>
        <n v="342.27914007964034"/>
        <n v="940.7735071462304"/>
        <n v="178.50000811793052"/>
        <n v="21.421161886941057"/>
        <n v="449.08786979349276"/>
        <n v="895.4392658463546"/>
        <n v="3.865774948907549"/>
        <n v="125.77024170025553"/>
        <n v="123.93955733075697"/>
        <n v="455.2820810378111"/>
        <n v="220.96753983501537"/>
        <n v="92.88769690562745"/>
        <n v="455.4196589229732"/>
        <n v="78.29458407336475"/>
        <n v="1455.4115094563488"/>
        <n v="178.97309465129058"/>
        <n v="279.0053590656505"/>
        <n v="129.0188125264171"/>
        <n v="87.68993416216851"/>
        <n v="97.65840403411885"/>
        <n v="128.31081994099793"/>
        <n v="464.4384845281372"/>
        <n v="485.85076175742404"/>
        <n v="419.4766937480322"/>
        <n v="26.12064205683588"/>
        <n v="1185.5899951830768"/>
        <n v="89.83588692875395"/>
        <n v="175.08581826557193"/>
        <n v="641.7733876493256"/>
        <n v="485.668488163746"/>
        <n v="250.5426690347672"/>
        <n v="663.9836447777477"/>
        <n v="18.708867572195988"/>
        <n v="160.804396837068"/>
        <n v="567.4760240063033"/>
        <n v="239.50426976853154"/>
        <n v="53.55290471735265"/>
        <n v="277.8205238986515"/>
        <n v="508.84902161007767"/>
        <n v="29.84797552821182"/>
        <n v="117.51712909349712"/>
        <n v="182.37714101871074"/>
        <n v="141.23835834121076"/>
        <n v="5278.547133156769"/>
        <n v="610.8176356476476"/>
        <n v="2112.283539697868"/>
        <n v="422.4567079395737"/>
        <n v="312.9869484833419"/>
        <n v="910.8393178459464"/>
        <n v="114.0496522707293"/>
        <n v="313.4478921330651"/>
        <n v="226.1716935634241"/>
        <n v="94.15890556080718"/>
        <n v="110.66394079629129"/>
        <n v="242.92538087871202"/>
        <n v="127.99605266760337"/>
        <n v="447.7196329231773"/>
        <n v="587.5856454674855"/>
        <n v="64.50940626320855"/>
        <n v="922.1995066357607"/>
        <n v="104.16384746606381"/>
        <n v="29.50941841208499"/>
        <n v="118.18674713065374"/>
        <n v="1056.141769848934"/>
        <n v="193.52821878962564"/>
        <n v="215.73087107041655"/>
        <n v="192.79045698246952"/>
        <n v="195.9048154262691"/>
        <n v="52.773395164798956"/>
        <n v="488.29202017059424"/>
        <n v="182.11283241512444"/>
        <n v="198.1683364962639"/>
        <n v="101.7313148772505"/>
        <n v="218.242861155321"/>
        <n v="59.89059128583597"/>
        <n v="130.9982971200134"/>
        <n v="37.695282260570686"/>
        <n v="158.75458508494373"/>
        <n v="339.9679417146222"/>
        <n v="587.983441966394"/>
        <n v="188.47641130285342"/>
        <n v="43.844967081084256"/>
        <n v="57.02482613536465"/>
        <n v="273.16924862268667"/>
        <n v="630.5289155625592"/>
        <n v="326.0280713368145"/>
        <n v="129.40736906717387"/>
        <n v="252.2115662250237"/>
        <n v="98.48895594221146"/>
        <n v="125.2811662559034"/>
        <n v="130.88949335306737"/>
        <n v="310.58236168887"/>
        <n v="1076.638791793166"/>
        <n v="145.7552285272272"/>
        <n v="106.04378342790713"/>
        <n v="146.48760605117826"/>
        <n v="137.10331727574663"/>
        <n v="38.65774948907549"/>
        <n v="117.3311441321758"/>
        <n v="94.57933733438388"/>
        <n v="2910.8230189126975"/>
        <n v="690.523561984423"/>
        <n v="1069.622312748876"/>
        <n v="261.0620486301352"/>
        <n v="31.3178336293459"/>
        <n v="63.79191677880312"/>
        <n v="39.462529982444096"/>
        <n v="273.2517953537839"/>
        <n v="1079.0603141783365"/>
        <n v="257.9918172586065"/>
        <n v="2234.443407688069"/>
        <n v="1103.4256022344787"/>
        <n v="515.2376748902861"/>
        <n v="267.76452358676323"/>
        <n v="959.3569534962684"/>
        <n v="599.252419640046"/>
        <n v="3874.9247782453454"/>
        <n v="24.945156762927983"/>
        <n v="1912.7625674764874"/>
        <n v="987.991662652564"/>
        <n v="523.9931884800536"/>
        <n v="30.010240276414798"/>
        <n v="140.81890264652455"/>
        <n v="58.75856454674856"/>
        <n v="15.65891681467295"/>
        <n v="2639.2735665783844"/>
        <n v="117.54288925576147"/>
        <n v="331.63550747814"/>
        <n v="227.7098294614866"/>
        <n v="25.05426690347672"/>
        <n v="109.0745777942228"/>
        <n v="35.280759307206154"/>
        <n v="65.4991485600067"/>
        <n v="51.00000231940872"/>
        <n v="486.339042716562"/>
        <n v="626.5489167123245"/>
        <n v="320.7770498524948"/>
        <n v="285.12413067682326"/>
        <n v="620.7826259927775"/>
        <n v="859.4013106492573"/>
        <n v="287.3107054921675"/>
        <n v="39.29948913600403"/>
        <n v="41.4544384347675"/>
        <n v="160.3885249262474"/>
        <n v="1857.753938112549"/>
        <n v="364.573880606952"/>
        <n v="171.07447840609396"/>
        <n v="97.2678085433124"/>
        <n v="38.70564375792513"/>
        <n v="12.472578381463991"/>
        <n v="211.67403910790182"/>
        <n v="208.93582869748275"/>
        <n v="170.0000077313624"/>
        <n v="993.252201588444"/>
        <n v="774.0641408802287"/>
        <n v="343.989089678142"/>
        <n v="605.772644773902"/>
        <n v="70.40945132326227"/>
        <n v="240.5827873893711"/>
        <n v="244.15515570540117"/>
        <n v="564.4641042877382"/>
        <n v="232.63198469077483"/>
        <n v="49.24447797110573"/>
        <n v="645.0940626320855"/>
        <n v="65.0935450364735"/>
        <n v="528.070884924467"/>
        <n v="46.77216893048997"/>
        <n v="796.9844031152031"/>
        <n v="238.13187762741558"/>
        <n v="221.32788159258257"/>
        <n v="164.1689272978816"/>
        <n v="493.90609125177093"/>
        <n v="87.23699425904056"/>
        <n v="68.55165863787332"/>
        <n v="23.51933767865576"/>
        <n v="30.926199591260392"/>
        <n v="100.88454167229341"/>
        <n v="23.386084465244984"/>
        <n v="78.24673712083548"/>
        <n v="383.9881580028101"/>
        <n v="848.3584805056012"/>
        <n v="297.5000135298842"/>
        <n v="109.61241770271064"/>
        <n v="703.8062844209024"/>
        <n v="475.60400759103334"/>
        <n v="120.603297627801"/>
        <n v="713.7649850200689"/>
        <n v="419.23413900085177"/>
        <n v="220.68512044689572"/>
        <n v="72.46921772740299"/>
        <n v="213.92446254977523"/>
        <n v="352.8075930720615"/>
        <n v="517.9489508056015"/>
        <n v="729.147761213904"/>
        <n v="89.55654060944718"/>
        <n v="91.69880798400939"/>
        <n v="436.5751089835952"/>
        <n v="596.5769821709686"/>
        <n v="1770.6230527406606"/>
        <n v="198.6504403176888"/>
        <n v="59.01883682416998"/>
        <n v="40.35381666891736"/>
        <n v="171.994544839071"/>
        <n v="479.4019357120368"/>
        <n v="235.205062048041"/>
        <n v="392.8371500795778"/>
        <n v="160.65871415205794"/>
        <n v="167.79067749921288"/>
        <n v="349.63555734703897"/>
        <n v="70.56151861441231"/>
        <n v="359.55145178402756"/>
        <n v="119.78118257167193"/>
        <n v="706.9585561860475"/>
        <n v="461.416625054214"/>
        <n v="206.56592888459494"/>
        <n v="56.37210053282262"/>
        <n v="737.7596053086086"/>
        <n v="107.1058094347053"/>
        <n v="164.42720826018373"/>
        <n v="150.051201382074"/>
        <n v="392.6684800592021"/>
        <n v="29.078998086346854"/>
        <n v="78.59897827200805"/>
        <n v="268.63177975390636"/>
        <n v="530.2189171395356"/>
        <n v="130.6032102841794"/>
        <n v="1844.3990132715214"/>
        <n v="353.47927809302377"/>
        <n v="303.81156717246"/>
        <n v="350.11946989150596"/>
        <n v="397.3008806353776"/>
        <n v="47.62637552548311"/>
        <n v="373.09969410264773"/>
        <n v="393.94309109753686"/>
        <n v="451.56584384245986"/>
        <n v="711.3539971098461"/>
        <n v="121.1545289547804"/>
        <n v="476.26375525483115"/>
        <n v="1408.1890264652454"/>
        <n v="103.63609608691876"/>
        <n v="363.4635868643412"/>
        <n v="1457.005464491238"/>
        <n v="169.1860958532118"/>
        <n v="254.9579653811742"/>
        <n v="143.82058071361104"/>
        <n v="215.8120628356673"/>
        <n v="80.32935707602897"/>
        <n v="446.96349071479983"/>
        <n v="358.22616243778873"/>
        <n v="545.372888971114"/>
        <n v="21.827012167561985"/>
        <n v="166.3335423359407"/>
        <n v="705.5801303596728"/>
        <n v="274.26674159677674"/>
        <n v="135.70301613805447"/>
        <n v="78.11225404376819"/>
        <n v="107.8394742226449"/>
        <n v="112.46109990644055"/>
        <n v="230.708312527107"/>
        <n v="58.94923370400603"/>
        <n v="396.3366729925278"/>
        <n v="52.0748360291788"/>
        <n v="808.5619496979716"/>
        <n v="546.5035907075678"/>
        <n v="396.8864627123593"/>
        <n v="98.65632495611024"/>
        <n v="20.0068268509432"/>
        <n v="150.78112904228274"/>
        <n v="1580.7866602441024"/>
        <n v="910.5641620756222"/>
        <n v="47.0410124096082"/>
        <n v="243.169521358281"/>
        <n v="452.3433871268482"/>
        <n v="89.59723686732235"/>
        <n v="246.22238985552863"/>
        <n v="269.5986855566122"/>
        <n v="106.04481006320015"/>
        <n v="1203.1618349089604"/>
        <n v="48.46181158191216"/>
        <n v="120.04096110565919"/>
        <n v="246.25339094682238"/>
        <n v="2063.934538068852"/>
        <n v="1418.5785975095864"/>
        <n v="665.3341693437628"/>
        <n v="158.5346691970111"/>
        <n v="19.69779118844229"/>
        <n v="290.78998086346854"/>
        <n v="231.94649693445294"/>
        <n v="1232.1653981570898"/>
        <n v="699.2711146940779"/>
        <n v="48.4780301091928"/>
        <n v="1593.9688062304062"/>
        <n v="276.20942479376924"/>
        <n v="298.47975528211816"/>
        <n v="962.6600814739885"/>
        <n v="2483.13050397111"/>
        <n v="479.0085395370631"/>
        <n v="282.2320521438691"/>
        <n v="36.47542820374215"/>
        <n v="207.2721921738375"/>
        <n v="255.2017164248664"/>
        <n v="72.9508564074843"/>
        <n v="341.5647441922299"/>
        <n v="1450.9053452168625"/>
        <n v="668.385447779412"/>
        <n v="234.74021136250644"/>
        <n v="969.2362316382432"/>
        <n v="214.2116188694106"/>
        <n v="180.62633753698393"/>
        <n v="53.80508889188982"/>
        <n v="58.6655720660879"/>
        <n v="74.61993882052954"/>
        <n v="146.89641136687138"/>
        <n v="1249.5772589182932"/>
        <n v="127.5000057985218"/>
        <n v="282.4767166824215"/>
        <n v="582.7259289117317"/>
        <n v="25.008533563679"/>
        <n v="195.86188182249518"/>
        <n v="153.00000695822615"/>
        <n v="322.9916375379498"/>
        <n v="168.14090278715568"/>
        <n v="9.39535008880377"/>
        <n v="315.2644577812796"/>
        <n v="485.1371698187829"/>
        <n v="46.1416625054214"/>
        <n v="45.52820810378111"/>
        <n v="261.77898670613473"/>
        <n v="268.00732806178"/>
        <n v="339.25497767404664"/>
        <n v="303.96190169785126"/>
        <n v="1617.1238993959432"/>
        <n v="196.97154554876843"/>
        <n v="179.08785316927091"/>
        <n v="424.0408513417314"/>
        <n v="42.842323773882114"/>
        <n v="364.388071318068"/>
        <n v="856.5179820240827"/>
        <n v="50.255074335798135"/>
        <n v="742.313670442401"/>
        <n v="2827.83422474419"/>
        <n v="748.7356189242132"/>
        <n v="1975.983325305128"/>
        <n v="553.3197039814564"/>
        <n v="10.710580943470529"/>
        <n v="138.10471239688462"/>
        <n v="219.7887384066495"/>
        <n v="345.2617809922115"/>
        <n v="49.25067818936448"/>
        <n v="119.31539643419372"/>
        <n v="277.4356710947694"/>
        <n v="1411.1602607193456"/>
        <n v="316.1573320488205"/>
        <n v="607.31345219678"/>
        <n v="684.2979136243758"/>
        <n v="246.39540267756917"/>
        <n v="158.07866602441024"/>
        <n v="148.84780581720727"/>
        <n v="790.3933301220512"/>
        <n v="182.286940303476"/>
        <n v="373.0899459129075"/>
        <n v="177.05651047250996"/>
        <n v="218.52222334189935"/>
        <n v="46.97675044401885"/>
        <n v="352.7900651798364"/>
        <n v="481.1655747787422"/>
        <n v="147.73343391331719"/>
        <n v="291.36296445586584"/>
        <n v="32.07770498524948"/>
        <n v="165.72565487626153"/>
        <n v="365.6889887957023"/>
        <n v="539.1973711132244"/>
        <n v="157.1979565440161"/>
        <n v="318.9595838940156"/>
        <n v="65.7708833040735"/>
        <n v="1092.7540983684285"/>
        <n v="683.1294883844598"/>
        <n v="403.53816668917364"/>
        <n v="798.347565895105"/>
        <n v="1252.4040620381763"/>
        <n v="527.7339516479896"/>
        <n v="273.71916544975034"/>
        <n v="391.72376364499036"/>
        <n v="35.19934323965274"/>
        <n v="402.2138718798099"/>
        <n v="85.0000038656812"/>
        <n v="342.1489568121879"/>
        <n v="497.45326121721007"/>
        <n v="291.4010928982476"/>
        <n v="35.20472566163114"/>
        <n v="132.1122243308426"/>
        <n v="982.0928751989445"/>
        <n v="187.60512964324602"/>
        <n v="63.50183403397749"/>
        <n v="59.69595105642364"/>
        <n v="328.28590924794736"/>
        <n v="191.64989211467508"/>
        <n v="425.27944519202083"/>
        <n v="258.818634740725"/>
        <n v="484.6499681057809"/>
        <n v="133.88226179338162"/>
        <n v="119.8504839280092"/>
        <n v="35.95514517840276"/>
        <n v="54.63384972453733"/>
        <n v="185.7753938112549"/>
        <n v="29.945295642917984"/>
        <n v="41.313185776918985"/>
        <n v="2379.216616733563"/>
        <n v="785.9897827200805"/>
        <n v="612.8003639295017"/>
        <n v="40.6925259509002"/>
        <n v="45.015360414622194"/>
        <n v="263.083533216294"/>
        <n v="26.199659424002682"/>
        <n v="744.939151191333"/>
        <n v="2997.9904796758387"/>
        <n v="72.91477612139039"/>
        <n v="1891.5867466876778"/>
        <n v="125.37915685322606"/>
        <n v="425.5466623769917"/>
        <n v="364.7542820374215"/>
        <n v="3234.2477987918865"/>
        <n v="1238.502625408366"/>
        <n v="313.4477046820306"/>
        <n v="1696.700534846514"/>
        <n v="554.4451411198024"/>
        <n v="359.7588575611006"/>
        <n v="295.46686782663437"/>
        <n v="654.728583465963"/>
        <n v="145.39499043173427"/>
        <n v="1925.320162947977"/>
        <n v="880.1181415407784"/>
        <n v="489.65470455623796"/>
        <n v="95.16866466934252"/>
        <n v="496.626100794222"/>
        <n v="127.58383355760624"/>
        <n v="105.84227792161845"/>
        <n v="293.79282273374275"/>
        <n v="970.2743396375658"/>
        <n v="858.7294581504768"/>
        <n v="78.92505996488819"/>
        <n v="60.79238033957025"/>
        <n v="107.46784873133663"/>
        <n v="340.0000154627248"/>
        <n v="1478.5984777885078"/>
        <n v="38.39881580028101"/>
        <n v="181.7317934321706"/>
        <n v="60.731345219678005"/>
        <n v="82.86282743813076"/>
        <n v="193.9121204367712"/>
        <n v="86.32482513426692"/>
        <n v="743.1015752450196"/>
        <n v="281.6378052930491"/>
        <n v="313.4037430462241"/>
        <n v="520.748360291788"/>
        <n v="274.20663455149327"/>
        <n v="58.6103302417732"/>
        <n v="1044.248194520541"/>
        <n v="1032.863447432052"/>
        <n v="32.88544165203675"/>
        <n v="275.09642395202815"/>
        <n v="2617.789867061347"/>
        <n v="65.44474667653368"/>
        <n v="656.2346803880655"/>
        <n v="170.11177807680832"/>
        <n v="670.4452360721997"/>
        <n v="328.85441652036747"/>
        <n v="437.1016393473714"/>
        <n v="98.50135637872896"/>
        <n v="435.2716035650588"/>
        <n v="33.628180557431136"/>
        <n v="258.215861858013"/>
        <n v="215.22035556755927"/>
        <n v="545.6071528883025"/>
        <n v="486.098507475936"/>
        <n v="474.2359980732307"/>
        <n v="48.116557477874224"/>
        <n v="246.96531515044305"/>
        <n v="107.202931224712"/>
        <n v="653.016051420897"/>
        <n v="36.4388071318068"/>
        <n v="382.5000173955654"/>
        <n v="224.9221998128811"/>
        <n v="85.9972724195355"/>
        <n v="89.54392658463546"/>
        <n v="242.834244081873"/>
        <n v="352.04725661631136"/>
        <n v="68.42979136243758"/>
        <n v="607.9238033957025"/>
        <n v="179.77572589201378"/>
        <n v="1106.6394079629129"/>
        <n v="246.0888666955808"/>
        <n v="125.04266781839499"/>
        <n v="535.5331109649828"/>
        <n v="15.078112904228274"/>
        <n v="528.4488973233704"/>
        <n v="15.463099795630196"/>
        <n v="90.03072082924439"/>
        <n v="157.6322288906398"/>
        <n v="238.63079286838743"/>
        <n v="182.194035659034"/>
        <n v="1138.549147307433"/>
        <n v="823.1768187529516"/>
        <n v="198.46374108960973"/>
        <n v="948.4719961464614"/>
        <n v="208.96513645468704"/>
        <n v="1584.2126547734013"/>
        <n v="164.63536375059033"/>
        <n v="23.194649693445292"/>
        <n v="318.1313502837214"/>
        <n v="872.971444621284"/>
        <n v="229.24701996002347"/>
        <n v="249.5003135039111"/>
        <n v="263.51860165767823"/>
        <n v="456.1986090829172"/>
        <n v="211.22835396978684"/>
        <n v="76.902770842369"/>
        <n v="254.50754415168035"/>
        <n v="223.2042872525204"/>
        <n v="65.4728583465963"/>
        <n v="23.863079286838744"/>
        <n v="32.55120233314494"/>
        <n v="34.21489568121879"/>
        <n v="182.26192610212578"/>
        <n v="829.9129966281538"/>
        <n v="243.049253737968"/>
        <n v="268.6696218283416"/>
        <n v="246.43307963141797"/>
        <n v="1060.4378342790712"/>
        <n v="525.2574547967158"/>
        <n v="424.1792402528006"/>
        <n v="300.102402764148"/>
        <n v="1291.6415927484486"/>
        <n v="928.8769690562744"/>
        <n v="284.83701176617996"/>
        <n v="96.39522849123476"/>
        <n v="187.72983061148128"/>
        <n v="87.40888933675974"/>
        <n v="1525.3048737182853"/>
        <n v="1056.8977946467407"/>
        <n v="18.211283241512444"/>
        <n v="58.27259289117316"/>
        <n v="214.405862449424"/>
        <n v="819.4330663104663"/>
        <n v="555.641047797303"/>
        <n v="37.48703330214685"/>
        <n v="15.875458508494372"/>
        <n v="508.6565743862525"/>
        <n v="124.36331530430252"/>
        <n v="31.058236168887"/>
        <n v="127.00366806795498"/>
        <n v="109.26769944907466"/>
        <n v="161.0757851861615"/>
        <n v="4426.557631851651"/>
        <n v="342.75829318936655"/>
        <n v="113.08584678171205"/>
        <n v="14.773343391331718"/>
        <n v="227.8584163320146"/>
        <n v="7.937729254247186"/>
        <n v="79.37729254247186"/>
        <n v="879.7578555261281"/>
        <n v="23.46622882643516"/>
        <n v="783.1861458904056"/>
        <n v="295.0941841208499"/>
        <n v="176.40379653603074"/>
        <n v="831.6677116797036"/>
        <n v="64.17733876493256"/>
        <n v="1131.9867295771603"/>
        <n v="40.0136537018864"/>
        <n v="779.0281455320597"/>
        <n v="869.0956763898885"/>
        <n v="445.3882022654406"/>
        <n v="523.7828667727704"/>
        <n v="258.0376250528342"/>
        <n v="70.69585561860475"/>
        <n v="77.31549897815098"/>
        <n v="368.8798026543043"/>
        <n v="34.47113457977401"/>
        <n v="400.97131231561855"/>
        <n v="176.73963904651188"/>
        <n v="141.64520837800796"/>
        <n v="122.07300504264856"/>
        <n v="746.179891825815"/>
        <n v="756.634698675071"/>
        <n v="52.16449141389032"/>
        <n v="1759.5157110522562"/>
        <n v="26.42244486616852"/>
        <n v="11.40496522707293"/>
        <n v="550.7831702801362"/>
        <n v="607.9161245679945"/>
        <n v="104.44446884171475"/>
        <n v="27.764709325908374"/>
        <n v="43.91135407515429"/>
        <n v="50.1640406045988"/>
        <n v="101.5448547603982"/>
        <n v="112.04794118961092"/>
        <n v="373.2920999186052"/>
        <n v="131.24887027297396"/>
        <n v="974.0231593900612"/>
        <n v="185.98050302687437"/>
        <n v="143.26124558005716"/>
        <n v="288.67935447909593"/>
        <n v="132.23575763870113"/>
        <n v="619.5969475073182"/>
        <n v="65.65692781143696"/>
        <n v="562.3462136303676"/>
        <n v="26.72261499203419"/>
        <n v="5765.395240138422"/>
        <n v="697.6290028669843"/>
        <n v="911.9908779133161"/>
        <n v="746.5841998372103"/>
        <n v="872.0362535837303"/>
        <n v="428.55667085472277"/>
        <n v="216.85893162756136"/>
        <n v="107.48103050568318"/>
        <n v="826.1747554202043"/>
        <n v="258.52338391987"/>
        <n v="237.0849877104148"/>
        <n v="104.64435043004764"/>
        <n v="60.196848725518564"/>
        <n v="277.3672522266366"/>
        <n v="214.4302142938731"/>
        <n v="1469.9454844065506"/>
        <n v="139.48537727015577"/>
        <n v="79.34145458322067"/>
        <n v="90.29527308827784"/>
        <n v="273.5972633739948"/>
        <n v="458.52741130580165"/>
        <n v="287.10690372213054"/>
        <n v="313.5591939832155"/>
        <n v="258.3361703646572"/>
        <n v="314.1268798772993"/>
        <n v="384.3596826758948"/>
        <n v="119.3843713167143"/>
        <n v="548.3541733343794"/>
        <n v="39.66387046558339"/>
        <n v="472.3091423791507"/>
        <n v="103.44995580034654"/>
        <n v="344.44822715287626"/>
        <n v="674.7273462559297"/>
        <n v="229.32076098223268"/>
        <n v="13.539313968053092"/>
        <n v="103.409353567948"/>
        <n v="1537.4387307035793"/>
        <n v="278.8186263782932"/>
        <n v="11.899161139675018"/>
        <n v="87.82270815030859"/>
        <n v="196.4530419442752"/>
        <n v="68.1730282680576"/>
        <n v="470.44444925875956"/>
        <n v="73.82748952854786"/>
        <n v="206.33733508761074"/>
        <n v="641.1676778755387"/>
        <n v="340.65570193929216"/>
        <n v="551.2295566524565"/>
        <n v="18.598050302687437"/>
        <n v="852.3645934357617"/>
        <n v="77.557015175961"/>
        <n v="343.088342870197"/>
        <n v="1349.4546925118593"/>
        <n v="681.730282680576"/>
        <n v="23.798322279350035"/>
        <n v="311.07674993217097"/>
        <n v="265.4052309694963"/>
        <n v="255.32477231855768"/>
        <n v="48.71029816741912"/>
        <n v="1031.7512461439615"/>
        <n v="584.2626827697825"/>
        <n v="260.49306578304993"/>
        <n v="365.25868477127295"/>
        <n v="52.693624890185156"/>
        <n v="123.0172239831701"/>
        <n v="334.4631402487632"/>
        <n v="1837.4318555081882"/>
        <n v="208.02543916997746"/>
        <n v="154.89923687682955"/>
        <n v="191.1006341518606"/>
        <n v="120.39369745103713"/>
        <n v="158.05665847360987"/>
        <n v="573.7069378894549"/>
        <n v="435.7419935151536"/>
        <n v="323.1542298998375"/>
        <n v="405.18941986991223"/>
        <n v="520.9861315660999"/>
        <n v="1090.7684522889217"/>
        <n v="301.82883286691185"/>
        <n v="300.98424362759283"/>
        <n v="154.354380658863"/>
        <n v="974.2059633483824"/>
        <n v="81.23588380831855"/>
        <n v="994.5895382088024"/>
        <n v="234.3813181469803"/>
        <n v="1012.0910193838945"/>
        <n v="781.5376669368301"/>
        <n v="418.9012133416791"/>
        <n v="218.00589882895213"/>
        <n v="353.08996695570147"/>
        <n v="410.39589506099225"/>
        <n v="175.64541630061717"/>
        <n v="6.680653748008548"/>
        <n v="59.69218565835715"/>
        <n v="142.9534761959154"/>
        <n v="1543.442758626878"/>
        <n v="179.07655697507144"/>
        <n v="171.1149757712709"/>
        <n v="1744.0725071674606"/>
        <n v="412.70049845758456"/>
        <n v="2090.3946265547697"/>
        <n v="257.81515802629207"/>
        <n v="634.14198697991"/>
        <n v="114.84276148885222"/>
        <n v="660.9398043361634"/>
        <n v="217.61072515749782"/>
        <n v="238.7687426334286"/>
        <n v="192.9473427951963"/>
        <n v="216.17753078920498"/>
        <n v="797.9920181741516"/>
        <n v="801.4595973444234"/>
        <n v="117.61111231468989"/>
        <n v="336.929798603733"/>
        <n v="40.13123248367904"/>
        <n v="127.09305258734511"/>
        <n v="170.96507592303985"/>
        <n v="118.5424938552074"/>
        <n v="243.1664498271978"/>
        <n v="1197.8048303988962"/>
        <n v="825.4009969151691"/>
        <n v="298.39590373983197"/>
        <n v="58.4557202950748"/>
        <n v="346.7090652832958"/>
        <n v="41.7777875366859"/>
        <n v="243.5514908370956"/>
        <n v="104.19722631321997"/>
        <n v="51.704676783974"/>
        <n v="141.64789131170085"/>
        <n v="11530.790480276844"/>
        <n v="984.1377918653608"/>
        <n v="250.70717976510002"/>
        <n v="19.06395788810177"/>
        <n v="681.3114038785843"/>
        <n v="68.77911169587024"/>
        <n v="455.99543895665806"/>
        <n v="387.785075879805"/>
        <n v="633.1331574319845"/>
        <n v="487.1029816741912"/>
        <n v="138.6836261133183"/>
        <n v="311.2442810822526"/>
        <n v="38.7785075879805"/>
        <n v="79.02832923680494"/>
        <n v="862.0829650028879"/>
        <n v="152.1940768751784"/>
        <n v="456.3066020567224"/>
        <n v="169.59985221054862"/>
        <n v="340.865141340288"/>
        <n v="304.6550152204969"/>
        <n v="149.19795186991598"/>
        <n v="102.55508282914596"/>
        <n v="209.039462655477"/>
        <n v="169.24142460066363"/>
        <n v="139.33774625898556"/>
        <n v="226.1189847971373"/>
        <n v="173.20761268745756"/>
        <n v="454.486855120384"/>
        <n v="380.48519218794604"/>
        <n v="1256.5075195091972"/>
        <n v="149.31683996744206"/>
        <n v="145.0738167716652"/>
        <n v="121.5832249135989"/>
        <n v="186.74656864935153"/>
        <n v="501.640406045988"/>
        <n v="103.801775746751"/>
        <n v="241.18417849399538"/>
        <n v="301.4919797295164"/>
        <n v="156.31092655820785"/>
        <n v="25.418610517469023"/>
        <n v="578.322328794143"/>
        <n v="174.08858012599825"/>
        <n v="38.12791577620354"/>
        <n v="232.47562878359295"/>
        <n v="1463.2762385883389"/>
        <n v="371.96100605374875"/>
        <n v="171.99057073667453"/>
        <n v="554.7345044532732"/>
        <n v="7687.193653517897"/>
        <n v="427.78743942817727"/>
        <n v="100.72315607524641"/>
        <n v="92.56503034709078"/>
        <n v="255.49177645446915"/>
        <n v="822.5312600015691"/>
        <n v="31.77326314683628"/>
        <n v="1923.5030336266163"/>
        <n v="596.1474783937613"/>
        <n v="233.705073107913"/>
        <n v="111.0588373036335"/>
        <n v="1234.1460728036789"/>
        <n v="644.8861830340991"/>
        <n v="349.50589461519905"/>
        <n v="553.5775079242654"/>
        <n v="1132.3193697531024"/>
        <n v="2249.091154186432"/>
        <n v="97.6588825612418"/>
        <n v="440.626536224109"/>
        <n v="6411.676778755387"/>
        <n v="613.1802634907259"/>
        <n v="19.831935232791697"/>
        <n v="98.41377918653608"/>
        <n v="30.098424362759282"/>
        <n v="198.35363645805168"/>
        <n v="426.29327287463457"/>
        <n v="508.7995566316458"/>
        <n v="209.28870086009528"/>
        <n v="158.65548186233357"/>
        <n v="130.24653289152496"/>
        <n v="1220.8507550172224"/>
        <n v="281.1731068151838"/>
        <n v="75.23672135397823"/>
        <n v="73.11112818920033"/>
        <n v="282.26666955525576"/>
        <n v="190.24259609397302"/>
        <n v="33.05893940967528"/>
        <n v="150.7459898647582"/>
        <n v="93.7243689383946"/>
        <n v="121.7757454185478"/>
        <n v="342.2299515425418"/>
        <n v="4808.75758406654"/>
        <n v="431.1840469527312"/>
        <n v="66.80653748008548"/>
        <n v="355.24439406219545"/>
        <n v="285.1916262854515"/>
        <n v="50.10490311006411"/>
        <n v="48.84716454943995"/>
        <n v="76.0970384375892"/>
        <n v="128.56700125641683"/>
        <n v="285.9069523918308"/>
        <n v="17.03278509696461"/>
        <n v="224.9091154186432"/>
        <n v="730.6544725112868"/>
        <n v="562.272788546608"/>
        <n v="304.3881537503568"/>
        <n v="210.77449956074062"/>
        <n v="248.8613999457368"/>
        <n v="303.43012879964954"/>
        <n v="129.261691959935"/>
        <n v="1303.6794308705312"/>
        <n v="111.20642101392697"/>
        <n v="96.47367139759815"/>
        <n v="309.7984737536591"/>
        <n v="226.63662609872136"/>
        <n v="418.078925310954"/>
        <n v="1025.5508282914595"/>
        <n v="32.244309151704954"/>
        <n v="292.13134138489124"/>
        <n v="62.666681305028845"/>
        <n v="27.73672522266366"/>
        <n v="47.38759888818582"/>
        <n v="243.5057898475153"/>
        <n v="26.111117210428688"/>
        <n v="33.17565387118704"/>
        <n v="60.79161245679945"/>
        <n v="447.593855609748"/>
        <n v="263.32852473892376"/>
        <n v="268.5563133658488"/>
        <n v="842.3244965093324"/>
        <n v="423.9996305263715"/>
        <n v="166.58825595545025"/>
        <n v="428.8604285877462"/>
        <n v="488.340302006889"/>
        <n v="389.60926375602446"/>
        <n v="45.85274113058016"/>
        <n v="344.8331860011552"/>
        <n v="255.72906537895037"/>
        <n v="165.08019938303383"/>
        <n v="49.79908497316041"/>
        <n v="350.5576096618695"/>
        <n v="273.48022087772256"/>
        <n v="201.44631215049282"/>
        <n v="79.32774093116679"/>
        <n v="743.5163370087819"/>
        <n v="1102.0546655513517"/>
        <n v="497.3421516870737"/>
        <n v="377.7277101645356"/>
        <n v="188.17777970350383"/>
        <n v="360.9343932506784"/>
        <n v="1046.4435043004764"/>
        <n v="764.4025366074424"/>
        <n v="1217.5289492375764"/>
        <n v="422.08877162132296"/>
        <n v="59.49580569837509"/>
        <n v="344.224162733673"/>
        <n v="123.71972334818398"/>
        <n v="69.34181305665915"/>
        <n v="221.0096721873096"/>
        <n v="495.7048532521226"/>
        <n v="82.03054392060872"/>
        <n v="522.5986566386924"/>
        <n v="79.4331578670907"/>
        <n v="146.99454844065505"/>
        <n v="113.78629829986856"/>
        <n v="1580.5665847360988"/>
        <n v="67.83994088421944"/>
        <n v="206.8999116006931"/>
        <n v="627.118387966431"/>
        <n v="2092.887008600953"/>
        <n v="71.8640078254552"/>
        <n v="25.052451555032054"/>
        <n v="39.67072729161033"/>
        <n v="268.70257626420795"/>
        <n v="275.86654880092414"/>
        <n v="68.37005521943064"/>
        <n v="3141.2687987729933"/>
        <n v="410.15271960304364"/>
        <n v="355.11951270874965"/>
        <n v="205.07635980152182"/>
        <n v="195.3177651224836"/>
        <n v="539.7818770047437"/>
        <n v="64.48861830340991"/>
        <n v="89.5187711219496"/>
        <n v="92.8918308393237"/>
        <n v="316.11331694721974"/>
        <n v="510.9835529089383"/>
        <n v="517.04676783974"/>
        <n v="181.7947420481536"/>
        <n v="279.2674755611194"/>
        <n v="141.13333477762788"/>
        <n v="121.75289492375765"/>
        <n v="158.68290916644133"/>
        <n v="31.333340652514423"/>
        <n v="729.4993494815934"/>
        <n v="1058.500010832209"/>
        <n v="305.41180258499213"/>
        <n v="222.14629310466222"/>
        <n v="534.9661896198352"/>
        <n v="44.98182308372864"/>
        <n v="247.62029907455076"/>
        <n v="960.8992066897371"/>
        <n v="246.8292145607358"/>
        <n v="632.2266338944395"/>
        <n v="132.61193842784033"/>
        <n v="330.4699021680817"/>
        <n v="418.57740172019055"/>
        <n v="602.9839594590328"/>
        <n v="750.753286596795"/>
        <n v="95.31978944050884"/>
        <n v="90.8973710240768"/>
        <n v="74.23183400891038"/>
        <n v="208.8889376834295"/>
        <n v="1122.0434362821927"/>
        <n v="11.69114405901496"/>
        <n v="113.99885973916452"/>
        <n v="53.74051525284159"/>
        <n v="325.9198577176328"/>
        <n v="438.6833386675035"/>
        <n v="683.7005521943064"/>
        <n v="369.0516719495103"/>
        <n v="199.05392322712223"/>
        <n v="395.1416461840247"/>
        <n v="651.8397154352656"/>
        <n v="124.4306999728684"/>
        <n v="73.6698907291032"/>
        <n v="423.4000043328836"/>
        <n v="500.50219106453"/>
        <n v="254.18610517469023"/>
        <n v="1010.789395811199"/>
        <n v="196.87330540946095"/>
        <n v="1140.7195020117147"/>
        <n v="214.96206101136636"/>
        <n v="333.1765119109005"/>
        <n v="697.556185677901"/>
        <n v="63.54652629367256"/>
        <n v="467.410146215826"/>
        <n v="456.5822306255352"/>
        <n v="330.16039876606766"/>
        <n v="749.9741739957649"/>
        <n v="416.0508783399549"/>
        <n v="942.3806396318979"/>
        <n v="1411.3333477762787"/>
        <n v="185.87908425219547"/>
        <n v="487.0115796950306"/>
        <n v="1395.2580057339685"/>
        <n v="689.6663720023104"/>
        <n v="26.447151527740225"/>
        <n v="484.893343577227"/>
        <n v="604.3389364514784"/>
        <n v="1102.399039368566"/>
        <n v="1237.1616699868086"/>
        <n v="596.9218565835715"/>
        <n v="200.6561624183952"/>
        <n v="1094.24902422239"/>
        <n v="48.70115796950306"/>
        <n v="4007.297986722117"/>
        <n v="231.41257586772696"/>
        <n v="661.4754679829477"/>
        <n v="790.2832923680494"/>
        <n v="89.96364616745728"/>
        <n v="385.8946855903926"/>
        <n v="1071.391677136807"/>
        <n v="164.95963113091196"/>
        <n v="131.21411651375243"/>
        <n v="161.22154575852477"/>
        <n v="592.712469276037"/>
        <n v="195.27952817821807"/>
        <n v="359.320039127276"/>
        <n v="278.97075454031153"/>
        <n v="409.7906699210393"/>
        <n v="206.19953891363997"/>
        <n v="101.75991132632916"/>
        <n v="222.117674607267"/>
        <n v="193.8925379399025"/>
        <n v="231.53681135423557"/>
        <n v="678.3994088421945"/>
        <n v="52.222234420857376"/>
        <n v="136.7986316869974"/>
        <n v="72.94993494815934"/>
        <n v="24.35514908370956"/>
        <n v="367.48637110163764"/>
        <n v="97.42059633483824"/>
        <n v="160.29191946888469"/>
        <n v="135.06313995663743"/>
        <n v="2392.9519326800723"/>
        <n v="906.5084046772176"/>
        <n v="298.4052910122442"/>
        <n v="210.3345657971217"/>
        <n v="202.41820387677888"/>
        <n v="347.32408771073324"/>
        <n v="284.1955152497564"/>
        <n v="338.48284920132727"/>
        <n v="809.6728155071155"/>
        <n v="852.5865457492691"/>
        <n v="62.24885621645051"/>
        <n v="38.58946855903926"/>
        <n v="130.21184341498906"/>
        <n v="19.110063415186058"/>
        <n v="185.13006069418157"/>
        <n v="167.38245272418692"/>
        <n v="123.04581588091308"/>
        <n v="186.9640584863304"/>
        <n v="180.1479423243375"/>
        <n v="4042.350082118014"/>
        <n v="137.69579257003406"/>
        <n v="24.743944669636797"/>
        <n v="30.14919797295164"/>
        <n v="501.69471037314474"/>
        <n v="131.32280844838573"/>
        <n v="1436.385632713473"/>
        <n v="1738.6232432097086"/>
        <n v="852.2702644663035"/>
        <n v="236.93799444092912"/>
        <n v="740.4876436822074"/>
        <n v="94.08888985175192"/>
        <n v="929.3954212609773"/>
        <n v="710.4887881243909"/>
        <n v="732.5104530103334"/>
        <n v="593.5994827369201"/>
        <n v="881.9672906439303"/>
        <n v="391.1038292611593"/>
        <n v="1193.843713167143"/>
        <n v="977.436164463918"/>
        <n v="3674.8637110163763"/>
        <n v="547.990854383465"/>
        <n v="317.31096372466715"/>
        <n v="66.72385260835618"/>
        <n v="227.3564121998051"/>
        <n v="408.98387793884774"/>
        <n v="4804.496033448685"/>
        <n v="1102.459113304913"/>
        <n v="1604.8459395703057"/>
        <n v="888.5851724186489"/>
        <n v="111.898463902437"/>
        <n v="147.3397814582064"/>
        <n v="112.46924272607352"/>
        <n v="775.57015175961"/>
        <n v="289.4210141927945"/>
        <n v="62.2153499864342"/>
        <n v="10.444446884171475"/>
        <n v="310.228060703844"/>
        <n v="904.4759391885492"/>
        <n v="400.26973334856314"/>
        <n v="358.1531139501429"/>
        <n v="977.7595731528983"/>
        <n v="184.174726822758"/>
        <n v="74.97949515071568"/>
        <n v="948.3399508416592"/>
        <n v="321.41750314104206"/>
        <n v="232.671045527883"/>
        <n v="304.43936354636946"/>
        <n v="401.31133171890724"/>
        <n v="100.100438212906"/>
        <n v="187.4487378767892"/>
        <n v="1444.451744601546"/>
        <n v="568.10856890048"/>
        <n v="16.70163437002137"/>
        <n v="188.8638550822678"/>
        <n v="47.65989472025442"/>
        <n v="131.73406222546288"/>
        <n v="940.8888985175191"/>
        <n v="1124.545577093216"/>
        <n v="22.3796927804874"/>
        <n v="118.99161139675017"/>
        <n v="787.1819039652512"/>
        <n v="92.99025151343719"/>
        <n v="337.36367312796483"/>
        <n v="229.26370565290082"/>
        <n v="302.1694682257392"/>
        <n v="497.7227998914736"/>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2097" sheet="analysis-revenue"/>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customerCity" numFmtId="166">
      <sharedItems>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s v="Madrid"/>
        <s v="Barquisimeto"/>
        <s v="Reggio Emilia"/>
        <s v="London"/>
        <s v="Sao Paulo"/>
        <s v="Cork"/>
        <s v="Stuttgart"/>
        <s v="Sevilla"/>
        <s v="Anchorage"/>
        <s v="Portland"/>
        <s v="Nantes"/>
        <s v="Cowes"/>
        <s v="Brandenburg"/>
        <s v="Boise"/>
        <s v="Lisboa"/>
        <s v="Marseille"/>
        <s v="Montréal"/>
        <s v="Kobenhavn"/>
        <s v="Toulouse"/>
        <s v="Salzburg"/>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CustomerCountry" numFmtId="166">
      <sharedItems>
        <s v="France"/>
        <s v="Germany"/>
        <s v="Brazil"/>
        <s v="Belgium"/>
        <s v="Switzerland"/>
        <s v="Venezuela"/>
        <s v="Austria"/>
        <s v="Mexico"/>
        <s v="USA"/>
        <s v="Sweden"/>
        <s v="Finland"/>
        <s v="Italy"/>
        <s v="Spain"/>
        <s v="UK"/>
        <s v="Ireland"/>
        <s v="Portugal"/>
        <s v="Canada"/>
        <s v="Denmark"/>
        <s v="Poland"/>
        <s v="Norway"/>
        <s v="Argentina"/>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 name="orderCosts" numFmtId="165">
      <sharedItems containsSemiMixedTypes="0" containsString="0" containsNumber="1">
        <n v="126.98773165535172"/>
        <n v="78.18425884822629"/>
        <n v="96.04146669282841"/>
        <n v="125.57286741261456"/>
        <n v="1155.0128614943712"/>
        <n v="51.70198742240246"/>
        <n v="1010.6362538075748"/>
        <n v="167.6115306642369"/>
        <n v="70.20295304589402"/>
        <n v="168.44261487902475"/>
        <n v="223.4820408856492"/>
        <n v="1837.6989752900108"/>
        <n v="34.8461858543604"/>
        <n v="706.6253971267604"/>
        <n v="128.80639459874263"/>
        <n v="409.2277235104804"/>
        <n v="502.6654314172748"/>
        <n v="40.21758689624148"/>
        <n v="272.47417098826156"/>
        <n v="119.00973260196268"/>
        <n v="195.37493752909597"/>
        <n v="343.2303028041345"/>
        <n v="244.20596073383695"/>
        <n v="876.1055852579422"/>
        <n v="274.99830084426225"/>
        <n v="89.16327409941796"/>
        <n v="580.1407096732568"/>
        <n v="58.46110335864006"/>
        <n v="111.45409262427245"/>
        <n v="488.43734382273993"/>
        <n v="708.8838837183655"/>
        <n v="87.9295479931038"/>
        <n v="57.738364517847046"/>
        <n v="14.59372953780185"/>
        <n v="82.72317987584394"/>
        <n v="561.4753829300824"/>
        <n v="440.3944978572335"/>
        <n v="168.78793982372164"/>
        <n v="115.47672903569409"/>
        <n v="203.97381780054678"/>
        <n v="130.87087084031364"/>
        <n v="246.44961463166322"/>
        <n v="43.00801119884806"/>
        <n v="588.3948048070878"/>
        <n v="75.07282887298409"/>
        <n v="804.9941205744318"/>
        <n v="204.01668446050746"/>
        <n v="341.906140675918"/>
        <n v="129.25496855600616"/>
        <n v="637.6132219002405"/>
        <n v="160.75041887973492"/>
        <n v="240.14941309838002"/>
        <n v="484.03245542069266"/>
        <n v="2044.246365601865"/>
        <n v="152.94138836939086"/>
        <n v="702.5945266050256"/>
        <n v="76.83317335426273"/>
        <n v="83.63084605046497"/>
        <n v="384.16586677131363"/>
        <n v="293.0471528806043"/>
        <n v="644.8729794607218"/>
        <n v="33.45233842018598"/>
        <n v="275.6548462935016"/>
        <n v="257.61278919748526"/>
        <n v="460.99904012557636"/>
        <n v="385.83137538734763"/>
        <n v="96.60479594905696"/>
        <n v="27.876948683488322"/>
        <n v="580.8389465048311"/>
        <n v="336.4710544126599"/>
        <n v="240.1438057925428"/>
        <n v="134.45805336995977"/>
        <n v="32.174069516993185"/>
        <n v="175.2211170515884"/>
        <n v="241.14460961709224"/>
        <n v="32.367273815423154"/>
        <n v="550.3984544977166"/>
        <n v="352.3155982857868"/>
        <n v="170.42642316815184"/>
        <n v="438.0527926289711"/>
        <n v="190.50978345945416"/>
        <n v="210.4954680545391"/>
        <n v="318.8066109501203"/>
        <n v="259.499210465011"/>
        <n v="128.07101469752254"/>
        <n v="5.581200930000185"/>
        <n v="16.087034758496593"/>
        <n v="40.79476356010936"/>
        <n v="80.49941205744318"/>
        <n v="22.4590153172033"/>
        <n v="175.11833729647435"/>
        <n v="100.46161674000334"/>
        <n v="618.2972224859153"/>
        <n v="57.624880015697045"/>
        <n v="348.0844258039541"/>
        <n v="223.68468040819928"/>
        <n v="353.3126985633802"/>
        <n v="31.667893169396425"/>
        <n v="430.83932474251895"/>
        <n v="387.2259643365541"/>
        <n v="659.9959220262294"/>
        <n v="1019.869089002734"/>
        <n v="1174.3853276192892"/>
        <n v="392.2632032047252"/>
        <n v="164.67343821727442"/>
        <n v="93.99412522842243"/>
        <n v="43.09848919263988"/>
        <n v="21.949969585575257"/>
        <n v="168.6545881860328"/>
        <n v="174.32840308642227"/>
        <n v="218.11811806718939"/>
        <n v="1053.8917899075384"/>
        <n v="188.49953678147807"/>
        <n v="74.30272841618164"/>
        <n v="64.73454763084631"/>
        <n v="255.63963475222778"/>
        <n v="57.75064307471856"/>
        <n v="918.8494876450054"/>
        <n v="389.5655783139414"/>
        <n v="26.81172459749432"/>
        <n v="119.06861466215885"/>
        <n v="25.61420293950451"/>
        <n v="172.33572989700758"/>
        <n v="386.92378767643305"/>
        <n v="370.97833349154917"/>
        <n v="86.01602239769612"/>
        <n v="294.1974024035439"/>
        <n v="310.6824274140565"/>
        <n v="584.6110335864006"/>
        <n v="390.74987505819195"/>
        <n v="390.72953717413907"/>
        <n v="83.71801395000278"/>
        <n v="291.52028314075466"/>
        <n v="146.3331305705017"/>
        <n v="96.80649108413853"/>
        <n v="430.0801119884806"/>
        <n v="850.150962533654"/>
        <n v="770.5578362968033"/>
        <n v="309.53903014114644"/>
        <n v="335.2230613284738"/>
        <n v="109.74984792787629"/>
        <n v="376.99907356295614"/>
        <n v="292.0351950859807"/>
        <n v="24.01438057925428"/>
        <n v="811.5949548207112"/>
        <n v="1756.486316512564"/>
        <n v="292.3055167932003"/>
        <n v="134.1656867624053"/>
        <n v="183.3322005628415"/>
        <n v="21.54924459631994"/>
        <n v="293.5963319048223"/>
        <n v="20.71216182760377"/>
        <n v="40.18760471993373"/>
        <n v="242.40146758397682"/>
        <n v="409.2090771635505"/>
        <n v="15.63685176964526"/>
        <n v="515.8983835685774"/>
        <n v="36.02157086888142"/>
        <n v="98.0658008011813"/>
        <n v="146.79816595241115"/>
        <n v="46.91055530893578"/>
        <n v="144.98513279322637"/>
        <n v="110.07969089954332"/>
        <n v="619.0780602822929"/>
        <n v="366.664401125683"/>
        <n v="42.690338232507514"/>
        <n v="117.21886115224173"/>
        <n v="586.196986620692"/>
        <n v="191.66817950796622"/>
        <n v="733.9908297620558"/>
        <n v="115.2714067520921"/>
        <n v="241.12562831960236"/>
        <n v="2055.174323333756"/>
        <n v="191.4841443300084"/>
        <n v="103.40397484480492"/>
        <n v="61.17655534775635"/>
        <n v="170.0301925067308"/>
        <n v="385.27891814840166"/>
        <n v="305.88277673878173"/>
        <n v="360.2157086888142"/>
        <n v="101.98690890027339"/>
        <n v="77.06999917423305"/>
        <n v="43.77958432411859"/>
        <n v="29.48018613396644"/>
        <n v="38.97406890576004"/>
        <n v="205.93818168248072"/>
        <n v="713.9083623019138"/>
        <n v="187.98825045684487"/>
        <n v="1168.1407803439229"/>
        <n v="1905.0978345945416"/>
        <n v="81.84181543271009"/>
        <n v="38.84072857850778"/>
        <n v="25.761278919748523"/>
        <n v="768.3317335426273"/>
        <n v="290.88176110077217"/>
        <n v="179.6721225376264"/>
        <n v="213.45169116253757"/>
        <n v="244.21867191136997"/>
        <n v="529.1155485639655"/>
        <n v="469.5799036684185"/>
        <n v="262.8316755773826"/>
        <n v="446.9640817712984"/>
        <n v="73.16656528525085"/>
        <n v="55.812009300001854"/>
        <n v="107.33254940992424"/>
        <n v="2667.48153472287"/>
        <n v="258.04806719308834"/>
        <n v="863.3378037017319"/>
        <n v="480.20733346414204"/>
        <n v="64.64773378895983"/>
        <n v="1298.551927713138"/>
        <n v="75.8224060872834"/>
        <n v="139.5254082362384"/>
        <n v="480.2876115850856"/>
        <n v="30.827999669693217"/>
        <n v="68.38122813518359"/>
        <n v="161.00799324842828"/>
        <n v="1386.0154337932454"/>
        <n v="218.16132082557914"/>
        <n v="212.40778864356616"/>
        <n v="414.40214577683133"/>
        <n v="195.36476858706953"/>
        <n v="408.62442705845183"/>
        <n v="425.075481266827"/>
        <n v="201.24853014360795"/>
        <n v="121.20073379198841"/>
        <n v="1487.7641844338946"/>
        <n v="822.0697293335024"/>
        <n v="649.275963856569"/>
        <n v="62.04238490688296"/>
        <n v="1031.7967671371548"/>
        <n v="11.150779473395328"/>
        <n v="234.44992503491517"/>
        <n v="360.65790487647934"/>
        <n v="518.998420930022"/>
        <n v="968.4911282579016"/>
        <n v="29.266626114100344"/>
        <n v="424.2025682719594"/>
        <n v="1342.023799607652"/>
        <n v="446.49607440001483"/>
        <n v="70.36583296340366"/>
        <n v="765.1358662802886"/>
        <n v="73.7004653349161"/>
        <n v="487.1758613220005"/>
        <n v="38.72259643365541"/>
        <n v="143.61310824750632"/>
        <n v="132.75486790222885"/>
        <n v="103.43637406233572"/>
        <n v="145.23417967497338"/>
        <n v="372.81891289686786"/>
        <n v="67.2125836491232"/>
        <n v="820.1771614967307"/>
        <n v="111.7410204428246"/>
        <n v="86.19697838527976"/>
        <n v="6668.703836807175"/>
        <n v="114.89048659800505"/>
        <n v="281.03781064201024"/>
        <n v="67.0293114937358"/>
        <n v="280.7376914650412"/>
        <n v="193.20959189811393"/>
        <n v="155.6995262790066"/>
        <n v="414.24323655207536"/>
        <n v="482.2892192341845"/>
        <n v="276.2680971845542"/>
        <n v="141.32507942535207"/>
        <n v="82.33671910863721"/>
        <n v="549.1684844866153"/>
        <n v="450.82238109559916"/>
        <n v="1413.2507942535208"/>
        <n v="825.597681746575"/>
        <n v="2459.0808431175897"/>
        <n v="1333.740767361435"/>
        <n v="439.8322524901155"/>
        <n v="120.67576973939167"/>
        <n v="526.1499302277606"/>
        <n v="971.6099210492955"/>
        <n v="368.5023266745805"/>
        <n v="577.5064307471856"/>
        <n v="51.22840587900902"/>
        <n v="122.3531106955127"/>
        <n v="621.364854828113"/>
        <n v="60.0359514481357"/>
        <n v="253.97546331070345"/>
        <n v="55.8705102214123"/>
        <n v="37.15136420809082"/>
        <n v="296.41218879109397"/>
        <n v="77.57728054675178"/>
        <n v="52.01190989132714"/>
        <n v="28.869182258923523"/>
        <n v="357.7589954235158"/>
        <n v="677.9437897805311"/>
        <n v="1405.1890532100513"/>
        <n v="387.07210078963254"/>
        <n v="581.094676954741"/>
        <n v="113.3426024780597"/>
        <n v="58.609430576120864"/>
        <n v="551.3096925870032"/>
        <n v="5334.96306944574"/>
        <n v="1236.5944449718306"/>
        <n v="806.7483202197586"/>
        <n v="511.1151453545766"/>
        <n v="600.359514481357"/>
        <n v="95.83408975398311"/>
        <n v="209.2881123543576"/>
        <n v="270.4934286573595"/>
        <n v="194.87034452880022"/>
        <n v="72.04314173776284"/>
        <n v="41.36158993792197"/>
        <n v="381.0195669189083"/>
        <n v="241.49823617232954"/>
        <n v="105.99380956901405"/>
        <n v="79.33982173464179"/>
        <n v="348.988988907503"/>
        <n v="292.17418373545604"/>
        <n v="983.6323372470358"/>
        <n v="283.3565061951492"/>
        <n v="1286.3892827030074"/>
        <n v="264.9845239225351"/>
        <n v="164.29974308777548"/>
        <n v="58.53325222820069"/>
        <n v="165.11953634931498"/>
        <n v="350.4422341031768"/>
        <n v="180.1078543444071"/>
        <n v="63.878478951273024"/>
        <n v="733.328802251366"/>
        <n v="257.2209169248984"/>
        <n v="194.62440784875824"/>
        <n v="587.1926638096446"/>
        <n v="386.41918379622786"/>
        <n v="407.94763560109357"/>
        <n v="281.9823756852673"/>
        <n v="58.261092867761676"/>
        <n v="1035.6080913801884"/>
        <n v="586.0067145922013"/>
        <n v="51.59032573444127"/>
        <n v="1208.6729251824247"/>
        <n v="206.0902313579882"/>
        <n v="175.45570042638855"/>
        <n v="1283.3254039398905"/>
        <n v="165.69729462083015"/>
        <n v="720.4314173776283"/>
        <n v="403.3741601098793"/>
        <n v="519.755787672467"/>
        <n v="305.9607267008202"/>
        <n v="1556.995262790066"/>
        <n v="438.99939171150515"/>
        <n v="356.8632395285787"/>
        <n v="104.02381978265429"/>
        <n v="1697.9800943657403"/>
        <n v="411.60885858407175"/>
        <n v="391.23368560417737"/>
        <n v="288.6993448672454"/>
        <n v="1699.839708573111"/>
        <n v="264.2244486616852"/>
        <n v="804.02198418534"/>
        <n v="359.3435477150158"/>
        <n v="1801.946708639358"/>
        <n v="251.68601624881933"/>
        <n v="565.5770179405827"/>
        <n v="636.2688603792009"/>
        <n v="364.2256648302489"/>
        <n v="319.9901316690084"/>
        <n v="121.5847606791405"/>
        <n v="201.76908334458682"/>
        <n v="1324.1107226813745"/>
        <n v="60.762313434492"/>
        <n v="22.80993045414586"/>
        <n v="387.0564375792513"/>
        <n v="327.3642917329815"/>
        <n v="201.005496046335"/>
        <n v="159.6170586067597"/>
        <n v="29.546686782663436"/>
        <n v="1237.1774733255832"/>
        <n v="184.5666500216856"/>
        <n v="80.70763333783472"/>
        <n v="76.39454258646695"/>
        <n v="563.2756105860982"/>
        <n v="163.74787140001678"/>
        <n v="522.4128411367176"/>
        <n v="316.8425309546802"/>
        <n v="307.611083369476"/>
        <n v="291.8034256299372"/>
        <n v="1413.917112372095"/>
        <n v="169.61634053669255"/>
        <n v="106.23390628350597"/>
        <n v="77.95361488414994"/>
        <n v="49.6626100794222"/>
        <n v="31.181445953659978"/>
        <n v="118.03767364833996"/>
        <n v="218.1491555884456"/>
        <n v="260.374180145894"/>
        <n v="8797.57855526128"/>
        <n v="14.175981506400694"/>
        <n v="306.0000139164523"/>
        <n v="263.8669758239948"/>
        <n v="728.776142636136"/>
        <n v="361.7398581724042"/>
        <n v="275.1912717425136"/>
        <n v="97.65360699943483"/>
        <n v="1366.2589767689196"/>
        <n v="436.485722310642"/>
        <n v="1199.1961918703355"/>
        <n v="7.731549897815098"/>
        <n v="78.34475272899807"/>
        <n v="193.85998724231234"/>
        <n v="23.607534729667993"/>
        <n v="327.2237333826684"/>
        <n v="75.39056452114137"/>
        <n v="42.41792402528006"/>
        <n v="111.1282095594606"/>
        <n v="704.0945132326227"/>
        <n v="705.615186144123"/>
        <n v="8621.626984156055"/>
        <n v="255.0000115970436"/>
        <n v="149.23987764105908"/>
        <n v="242.3090579095608"/>
        <n v="121.4171220409365"/>
        <n v="153.20009098237543"/>
        <n v="538.319395896583"/>
        <n v="141.75981506400694"/>
        <n v="446.4085745050408"/>
        <n v="970.2789969596543"/>
        <n v="1117.4087267869995"/>
        <n v="336.28180557431136"/>
        <n v="728.502732245619"/>
        <n v="2464.3307963141797"/>
        <n v="1241.565251985555"/>
        <n v="570.2482613536465"/>
        <n v="197.31264991222048"/>
        <n v="212.0896201264003"/>
        <n v="196.97791188442292"/>
        <n v="679.9358834292444"/>
        <n v="77.41128751585026"/>
        <n v="218.07815211860472"/>
        <n v="121.46269043935601"/>
        <n v="174.81777867351948"/>
        <n v="235.1933767865576"/>
        <n v="35.439953766001736"/>
        <n v="971.336976327492"/>
        <n v="656.5718184958947"/>
        <n v="128.52697132164633"/>
        <n v="88.52825523625498"/>
        <n v="179.11308121889437"/>
        <n v="195.2806351094205"/>
        <n v="356.88249251003447"/>
        <n v="191.76077428481472"/>
        <n v="131.31436369917895"/>
        <n v="195.30721399886966"/>
        <n v="546.5821069771021"/>
        <n v="587.267371247245"/>
        <n v="1940.5486792751317"/>
        <n v="1547.950903551639"/>
        <n v="1614.5519909355605"/>
        <n v="393.95582376884585"/>
        <n v="610.387889263503"/>
        <n v="378.3173493375355"/>
        <n v="248.313050397111"/>
        <n v="318.13443018960044"/>
        <n v="94.0820248192164"/>
        <n v="196.49744568002012"/>
        <n v="70.39868647930548"/>
        <n v="73.86671695665859"/>
        <n v="70.82260418900398"/>
        <n v="62.6356672586918"/>
        <n v="23.813187762741556"/>
        <n v="75.025600691037"/>
        <n v="236.07534729667992"/>
        <n v="462.3927851579491"/>
        <n v="26.800732806178"/>
        <n v="127.25377207584017"/>
        <n v="228.0993045414586"/>
        <n v="290.18106904337253"/>
        <n v="100.034134254716"/>
        <n v="414.544384347675"/>
        <n v="1790.8785316927092"/>
        <n v="766.0004549118772"/>
        <n v="369.91422812635926"/>
        <n v="414.64810486627755"/>
        <n v="472.89668667191944"/>
        <n v="1306.032102841794"/>
        <n v="121.195075272982"/>
        <n v="244.82735227811898"/>
        <n v="239.7009678560184"/>
        <n v="70.87990753200347"/>
        <n v="234.6622882643516"/>
        <n v="1090.745777942228"/>
        <n v="429.9863620976775"/>
        <n v="402.01099209267"/>
        <n v="269.0254444594491"/>
        <n v="273.86357992292415"/>
        <n v="1267.370123818721"/>
        <n v="945.7933733438389"/>
        <n v="619.251312704183"/>
        <n v="364.2513661228095"/>
        <n v="670.0183201544501"/>
        <n v="342.27914007964034"/>
        <n v="940.7735071462304"/>
        <n v="178.50000811793052"/>
        <n v="21.421161886941057"/>
        <n v="449.08786979349276"/>
        <n v="895.4392658463546"/>
        <n v="3.865774948907549"/>
        <n v="125.77024170025553"/>
        <n v="123.93955733075697"/>
        <n v="455.2820810378111"/>
        <n v="220.96753983501537"/>
        <n v="92.88769690562745"/>
        <n v="455.4196589229732"/>
        <n v="78.29458407336475"/>
        <n v="1455.4115094563488"/>
        <n v="178.97309465129058"/>
        <n v="279.0053590656505"/>
        <n v="129.0188125264171"/>
        <n v="87.68993416216851"/>
        <n v="97.65840403411885"/>
        <n v="128.31081994099793"/>
        <n v="464.4384845281372"/>
        <n v="485.85076175742404"/>
        <n v="419.4766937480322"/>
        <n v="26.12064205683588"/>
        <n v="1185.5899951830768"/>
        <n v="89.83588692875395"/>
        <n v="175.08581826557193"/>
        <n v="641.7733876493256"/>
        <n v="485.668488163746"/>
        <n v="250.5426690347672"/>
        <n v="663.9836447777477"/>
        <n v="18.708867572195988"/>
        <n v="160.804396837068"/>
        <n v="567.4760240063033"/>
        <n v="239.50426976853154"/>
        <n v="53.55290471735265"/>
        <n v="277.8205238986515"/>
        <n v="508.84902161007767"/>
        <n v="29.84797552821182"/>
        <n v="117.51712909349712"/>
        <n v="182.37714101871074"/>
        <n v="141.23835834121076"/>
        <n v="5278.547133156769"/>
        <n v="610.8176356476476"/>
        <n v="2112.283539697868"/>
        <n v="422.4567079395737"/>
        <n v="312.9869484833419"/>
        <n v="910.8393178459464"/>
        <n v="114.0496522707293"/>
        <n v="313.4478921330651"/>
        <n v="226.1716935634241"/>
        <n v="94.15890556080718"/>
        <n v="110.66394079629129"/>
        <n v="242.92538087871202"/>
        <n v="127.99605266760337"/>
        <n v="447.7196329231773"/>
        <n v="587.5856454674855"/>
        <n v="64.50940626320855"/>
        <n v="922.1995066357607"/>
        <n v="104.16384746606381"/>
        <n v="29.50941841208499"/>
        <n v="118.18674713065374"/>
        <n v="1056.141769848934"/>
        <n v="193.52821878962564"/>
        <n v="215.73087107041655"/>
        <n v="192.79045698246952"/>
        <n v="195.9048154262691"/>
        <n v="52.773395164798956"/>
        <n v="488.29202017059424"/>
        <n v="182.11283241512444"/>
        <n v="198.1683364962639"/>
        <n v="101.7313148772505"/>
        <n v="218.242861155321"/>
        <n v="59.89059128583597"/>
        <n v="130.9982971200134"/>
        <n v="37.695282260570686"/>
        <n v="158.75458508494373"/>
        <n v="339.9679417146222"/>
        <n v="587.983441966394"/>
        <n v="188.47641130285342"/>
        <n v="43.844967081084256"/>
        <n v="57.02482613536465"/>
        <n v="273.16924862268667"/>
        <n v="630.5289155625592"/>
        <n v="326.0280713368145"/>
        <n v="129.40736906717387"/>
        <n v="252.2115662250237"/>
        <n v="98.48895594221146"/>
        <n v="125.2811662559034"/>
        <n v="130.88949335306737"/>
        <n v="310.58236168887"/>
        <n v="1076.638791793166"/>
        <n v="145.7552285272272"/>
        <n v="106.04378342790713"/>
        <n v="146.48760605117826"/>
        <n v="137.10331727574663"/>
        <n v="38.65774948907549"/>
        <n v="117.3311441321758"/>
        <n v="94.57933733438388"/>
        <n v="2910.8230189126975"/>
        <n v="690.523561984423"/>
        <n v="1069.622312748876"/>
        <n v="261.0620486301352"/>
        <n v="31.3178336293459"/>
        <n v="63.79191677880312"/>
        <n v="39.462529982444096"/>
        <n v="273.2517953537839"/>
        <n v="1079.0603141783365"/>
        <n v="257.9918172586065"/>
        <n v="2234.443407688069"/>
        <n v="1103.4256022344787"/>
        <n v="515.2376748902861"/>
        <n v="267.76452358676323"/>
        <n v="959.3569534962684"/>
        <n v="599.252419640046"/>
        <n v="3874.9247782453454"/>
        <n v="24.945156762927983"/>
        <n v="1912.7625674764874"/>
        <n v="987.991662652564"/>
        <n v="523.9931884800536"/>
        <n v="30.010240276414798"/>
        <n v="140.81890264652455"/>
        <n v="58.75856454674856"/>
        <n v="15.65891681467295"/>
        <n v="2639.2735665783844"/>
        <n v="117.54288925576147"/>
        <n v="331.63550747814"/>
        <n v="227.7098294614866"/>
        <n v="25.05426690347672"/>
        <n v="109.0745777942228"/>
        <n v="35.280759307206154"/>
        <n v="65.4991485600067"/>
        <n v="51.00000231940872"/>
        <n v="486.339042716562"/>
        <n v="626.5489167123245"/>
        <n v="320.7770498524948"/>
        <n v="285.12413067682326"/>
        <n v="620.7826259927775"/>
        <n v="859.4013106492573"/>
        <n v="287.3107054921675"/>
        <n v="39.29948913600403"/>
        <n v="41.4544384347675"/>
        <n v="160.3885249262474"/>
        <n v="1857.753938112549"/>
        <n v="364.573880606952"/>
        <n v="171.07447840609396"/>
        <n v="97.2678085433124"/>
        <n v="38.70564375792513"/>
        <n v="12.472578381463991"/>
        <n v="211.67403910790182"/>
        <n v="208.93582869748275"/>
        <n v="170.0000077313624"/>
        <n v="993.252201588444"/>
        <n v="774.0641408802287"/>
        <n v="343.989089678142"/>
        <n v="605.772644773902"/>
        <n v="70.40945132326227"/>
        <n v="240.5827873893711"/>
        <n v="244.15515570540117"/>
        <n v="564.4641042877382"/>
        <n v="232.63198469077483"/>
        <n v="49.24447797110573"/>
        <n v="645.0940626320855"/>
        <n v="65.0935450364735"/>
        <n v="528.070884924467"/>
        <n v="46.77216893048997"/>
        <n v="796.9844031152031"/>
        <n v="238.13187762741558"/>
        <n v="221.32788159258257"/>
        <n v="164.1689272978816"/>
        <n v="493.90609125177093"/>
        <n v="87.23699425904056"/>
        <n v="68.55165863787332"/>
        <n v="23.51933767865576"/>
        <n v="30.926199591260392"/>
        <n v="100.88454167229341"/>
        <n v="23.386084465244984"/>
        <n v="78.24673712083548"/>
        <n v="383.9881580028101"/>
        <n v="848.3584805056012"/>
        <n v="297.5000135298842"/>
        <n v="109.61241770271064"/>
        <n v="703.8062844209024"/>
        <n v="475.60400759103334"/>
        <n v="120.603297627801"/>
        <n v="713.7649850200689"/>
        <n v="419.23413900085177"/>
        <n v="220.68512044689572"/>
        <n v="72.46921772740299"/>
        <n v="213.92446254977523"/>
        <n v="352.8075930720615"/>
        <n v="517.9489508056015"/>
        <n v="729.147761213904"/>
        <n v="89.55654060944718"/>
        <n v="91.69880798400939"/>
        <n v="436.5751089835952"/>
        <n v="596.5769821709686"/>
        <n v="1770.6230527406606"/>
        <n v="198.6504403176888"/>
        <n v="59.01883682416998"/>
        <n v="40.35381666891736"/>
        <n v="171.994544839071"/>
        <n v="479.4019357120368"/>
        <n v="235.205062048041"/>
        <n v="392.8371500795778"/>
        <n v="160.65871415205794"/>
        <n v="167.79067749921288"/>
        <n v="349.63555734703897"/>
        <n v="70.56151861441231"/>
        <n v="359.55145178402756"/>
        <n v="119.78118257167193"/>
        <n v="706.9585561860475"/>
        <n v="461.416625054214"/>
        <n v="206.56592888459494"/>
        <n v="56.37210053282262"/>
        <n v="737.7596053086086"/>
        <n v="107.1058094347053"/>
        <n v="164.42720826018373"/>
        <n v="150.051201382074"/>
        <n v="392.6684800592021"/>
        <n v="29.078998086346854"/>
        <n v="78.59897827200805"/>
        <n v="268.63177975390636"/>
        <n v="530.2189171395356"/>
        <n v="130.6032102841794"/>
        <n v="1844.3990132715214"/>
        <n v="353.47927809302377"/>
        <n v="303.81156717246"/>
        <n v="350.11946989150596"/>
        <n v="397.3008806353776"/>
        <n v="47.62637552548311"/>
        <n v="373.09969410264773"/>
        <n v="393.94309109753686"/>
        <n v="451.56584384245986"/>
        <n v="711.3539971098461"/>
        <n v="121.1545289547804"/>
        <n v="476.26375525483115"/>
        <n v="1408.1890264652454"/>
        <n v="103.63609608691876"/>
        <n v="363.4635868643412"/>
        <n v="1457.005464491238"/>
        <n v="169.1860958532118"/>
        <n v="254.9579653811742"/>
        <n v="143.82058071361104"/>
        <n v="215.8120628356673"/>
        <n v="80.32935707602897"/>
        <n v="446.96349071479983"/>
        <n v="358.22616243778873"/>
        <n v="545.372888971114"/>
        <n v="21.827012167561985"/>
        <n v="166.3335423359407"/>
        <n v="705.5801303596728"/>
        <n v="274.26674159677674"/>
        <n v="135.70301613805447"/>
        <n v="78.11225404376819"/>
        <n v="107.8394742226449"/>
        <n v="112.46109990644055"/>
        <n v="230.708312527107"/>
        <n v="58.94923370400603"/>
        <n v="396.3366729925278"/>
        <n v="52.0748360291788"/>
        <n v="808.5619496979716"/>
        <n v="546.5035907075678"/>
        <n v="396.8864627123593"/>
        <n v="98.65632495611024"/>
        <n v="20.0068268509432"/>
        <n v="150.78112904228274"/>
        <n v="1580.7866602441024"/>
        <n v="910.5641620756222"/>
        <n v="47.0410124096082"/>
        <n v="243.169521358281"/>
        <n v="452.3433871268482"/>
        <n v="89.59723686732235"/>
        <n v="246.22238985552863"/>
        <n v="269.5986855566122"/>
        <n v="106.04481006320015"/>
        <n v="1203.1618349089604"/>
        <n v="48.46181158191216"/>
        <n v="120.04096110565919"/>
        <n v="246.25339094682238"/>
        <n v="2063.934538068852"/>
        <n v="1418.5785975095864"/>
        <n v="665.3341693437628"/>
        <n v="158.5346691970111"/>
        <n v="19.69779118844229"/>
        <n v="290.78998086346854"/>
        <n v="231.94649693445294"/>
        <n v="1232.1653981570898"/>
        <n v="699.2711146940779"/>
        <n v="48.4780301091928"/>
        <n v="1593.9688062304062"/>
        <n v="276.20942479376924"/>
        <n v="298.47975528211816"/>
        <n v="962.6600814739885"/>
        <n v="2483.13050397111"/>
        <n v="479.0085395370631"/>
        <n v="282.2320521438691"/>
        <n v="36.47542820374215"/>
        <n v="207.2721921738375"/>
        <n v="255.2017164248664"/>
        <n v="72.9508564074843"/>
        <n v="341.5647441922299"/>
        <n v="1450.9053452168625"/>
        <n v="668.385447779412"/>
        <n v="234.74021136250644"/>
        <n v="969.2362316382432"/>
        <n v="214.2116188694106"/>
        <n v="180.62633753698393"/>
        <n v="53.80508889188982"/>
        <n v="58.6655720660879"/>
        <n v="74.61993882052954"/>
        <n v="146.89641136687138"/>
        <n v="1249.5772589182932"/>
        <n v="127.5000057985218"/>
        <n v="282.4767166824215"/>
        <n v="582.7259289117317"/>
        <n v="25.008533563679"/>
        <n v="195.86188182249518"/>
        <n v="153.00000695822615"/>
        <n v="322.9916375379498"/>
        <n v="168.14090278715568"/>
        <n v="9.39535008880377"/>
        <n v="315.2644577812796"/>
        <n v="485.1371698187829"/>
        <n v="46.1416625054214"/>
        <n v="45.52820810378111"/>
        <n v="261.77898670613473"/>
        <n v="268.00732806178"/>
        <n v="339.25497767404664"/>
        <n v="303.96190169785126"/>
        <n v="1617.1238993959432"/>
        <n v="196.97154554876843"/>
        <n v="179.08785316927091"/>
        <n v="424.0408513417314"/>
        <n v="42.842323773882114"/>
        <n v="364.388071318068"/>
        <n v="856.5179820240827"/>
        <n v="50.255074335798135"/>
        <n v="742.313670442401"/>
        <n v="2827.83422474419"/>
        <n v="748.7356189242132"/>
        <n v="1975.983325305128"/>
        <n v="553.3197039814564"/>
        <n v="10.710580943470529"/>
        <n v="138.10471239688462"/>
        <n v="219.7887384066495"/>
        <n v="345.2617809922115"/>
        <n v="49.25067818936448"/>
        <n v="119.31539643419372"/>
        <n v="277.4356710947694"/>
        <n v="1411.1602607193456"/>
        <n v="316.1573320488205"/>
        <n v="607.31345219678"/>
        <n v="684.2979136243758"/>
        <n v="246.39540267756917"/>
        <n v="158.07866602441024"/>
        <n v="148.84780581720727"/>
        <n v="790.3933301220512"/>
        <n v="182.286940303476"/>
        <n v="373.0899459129075"/>
        <n v="177.05651047250996"/>
        <n v="218.52222334189935"/>
        <n v="46.97675044401885"/>
        <n v="352.7900651798364"/>
        <n v="481.1655747787422"/>
        <n v="147.73343391331719"/>
        <n v="291.36296445586584"/>
        <n v="32.07770498524948"/>
        <n v="165.72565487626153"/>
        <n v="365.6889887957023"/>
        <n v="539.1973711132244"/>
        <n v="157.1979565440161"/>
        <n v="318.9595838940156"/>
        <n v="65.7708833040735"/>
        <n v="1092.7540983684285"/>
        <n v="683.1294883844598"/>
        <n v="403.53816668917364"/>
        <n v="798.347565895105"/>
        <n v="1252.4040620381763"/>
        <n v="527.7339516479896"/>
        <n v="273.71916544975034"/>
        <n v="391.72376364499036"/>
        <n v="35.19934323965274"/>
        <n v="402.2138718798099"/>
        <n v="85.0000038656812"/>
        <n v="342.1489568121879"/>
        <n v="497.45326121721007"/>
        <n v="291.4010928982476"/>
        <n v="35.20472566163114"/>
        <n v="132.1122243308426"/>
        <n v="982.0928751989445"/>
        <n v="187.60512964324602"/>
        <n v="63.50183403397749"/>
        <n v="59.69595105642364"/>
        <n v="328.28590924794736"/>
        <n v="191.64989211467508"/>
        <n v="425.27944519202083"/>
        <n v="258.818634740725"/>
        <n v="484.6499681057809"/>
        <n v="133.88226179338162"/>
        <n v="119.8504839280092"/>
        <n v="35.95514517840276"/>
        <n v="54.63384972453733"/>
        <n v="185.7753938112549"/>
        <n v="29.945295642917984"/>
        <n v="41.313185776918985"/>
        <n v="2379.216616733563"/>
        <n v="785.9897827200805"/>
        <n v="612.8003639295017"/>
        <n v="40.6925259509002"/>
        <n v="45.015360414622194"/>
        <n v="263.083533216294"/>
        <n v="26.199659424002682"/>
        <n v="744.939151191333"/>
        <n v="2997.9904796758387"/>
        <n v="72.91477612139039"/>
        <n v="1891.5867466876778"/>
        <n v="125.37915685322606"/>
        <n v="425.5466623769917"/>
        <n v="364.7542820374215"/>
        <n v="3234.2477987918865"/>
        <n v="1238.502625408366"/>
        <n v="313.4477046820306"/>
        <n v="1696.700534846514"/>
        <n v="554.4451411198024"/>
        <n v="359.7588575611006"/>
        <n v="295.46686782663437"/>
        <n v="654.728583465963"/>
        <n v="145.39499043173427"/>
        <n v="1925.320162947977"/>
        <n v="880.1181415407784"/>
        <n v="489.65470455623796"/>
        <n v="95.16866466934252"/>
        <n v="496.626100794222"/>
        <n v="127.58383355760624"/>
        <n v="105.84227792161845"/>
        <n v="293.79282273374275"/>
        <n v="970.2743396375658"/>
        <n v="858.7294581504768"/>
        <n v="78.92505996488819"/>
        <n v="60.79238033957025"/>
        <n v="107.46784873133663"/>
        <n v="340.0000154627248"/>
        <n v="1478.5984777885078"/>
        <n v="38.39881580028101"/>
        <n v="181.7317934321706"/>
        <n v="60.731345219678005"/>
        <n v="82.86282743813076"/>
        <n v="193.9121204367712"/>
        <n v="86.32482513426692"/>
        <n v="743.1015752450196"/>
        <n v="281.6378052930491"/>
        <n v="313.4037430462241"/>
        <n v="520.748360291788"/>
        <n v="274.20663455149327"/>
        <n v="58.6103302417732"/>
        <n v="1044.248194520541"/>
        <n v="1032.863447432052"/>
        <n v="32.88544165203675"/>
        <n v="275.09642395202815"/>
        <n v="2617.789867061347"/>
        <n v="65.44474667653368"/>
        <n v="656.2346803880655"/>
        <n v="170.11177807680832"/>
        <n v="670.4452360721997"/>
        <n v="328.85441652036747"/>
        <n v="437.1016393473714"/>
        <n v="98.50135637872896"/>
        <n v="435.2716035650588"/>
        <n v="33.628180557431136"/>
        <n v="258.215861858013"/>
        <n v="215.22035556755927"/>
        <n v="545.6071528883025"/>
        <n v="486.098507475936"/>
        <n v="474.2359980732307"/>
        <n v="48.116557477874224"/>
        <n v="246.96531515044305"/>
        <n v="107.202931224712"/>
        <n v="653.016051420897"/>
        <n v="36.4388071318068"/>
        <n v="382.5000173955654"/>
        <n v="224.9221998128811"/>
        <n v="85.9972724195355"/>
        <n v="89.54392658463546"/>
        <n v="242.834244081873"/>
        <n v="352.04725661631136"/>
        <n v="68.42979136243758"/>
        <n v="607.9238033957025"/>
        <n v="179.77572589201378"/>
        <n v="1106.6394079629129"/>
        <n v="246.0888666955808"/>
        <n v="125.04266781839499"/>
        <n v="535.5331109649828"/>
        <n v="15.078112904228274"/>
        <n v="528.4488973233704"/>
        <n v="15.463099795630196"/>
        <n v="90.03072082924439"/>
        <n v="157.6322288906398"/>
        <n v="238.63079286838743"/>
        <n v="182.194035659034"/>
        <n v="1138.549147307433"/>
        <n v="823.1768187529516"/>
        <n v="198.46374108960973"/>
        <n v="948.4719961464614"/>
        <n v="208.96513645468704"/>
        <n v="1584.2126547734013"/>
        <n v="164.63536375059033"/>
        <n v="23.194649693445292"/>
        <n v="318.1313502837214"/>
        <n v="872.971444621284"/>
        <n v="229.24701996002347"/>
        <n v="249.5003135039111"/>
        <n v="263.51860165767823"/>
        <n v="456.1986090829172"/>
        <n v="211.22835396978684"/>
        <n v="76.902770842369"/>
        <n v="254.50754415168035"/>
        <n v="223.2042872525204"/>
        <n v="65.4728583465963"/>
        <n v="23.863079286838744"/>
        <n v="32.55120233314494"/>
        <n v="34.21489568121879"/>
        <n v="182.26192610212578"/>
        <n v="829.9129966281538"/>
        <n v="243.049253737968"/>
        <n v="268.6696218283416"/>
        <n v="246.43307963141797"/>
        <n v="1060.4378342790712"/>
        <n v="525.2574547967158"/>
        <n v="424.1792402528006"/>
        <n v="300.102402764148"/>
        <n v="1291.6415927484486"/>
        <n v="928.8769690562744"/>
        <n v="284.83701176617996"/>
        <n v="96.39522849123476"/>
        <n v="187.72983061148128"/>
        <n v="87.40888933675974"/>
        <n v="1525.3048737182853"/>
        <n v="1056.8977946467407"/>
        <n v="18.211283241512444"/>
        <n v="58.27259289117316"/>
        <n v="214.405862449424"/>
        <n v="819.4330663104663"/>
        <n v="555.641047797303"/>
        <n v="37.48703330214685"/>
        <n v="15.875458508494372"/>
        <n v="508.6565743862525"/>
        <n v="124.36331530430252"/>
        <n v="31.058236168887"/>
        <n v="127.00366806795498"/>
        <n v="109.26769944907466"/>
        <n v="161.0757851861615"/>
        <n v="4426.557631851651"/>
        <n v="342.75829318936655"/>
        <n v="113.08584678171205"/>
        <n v="14.773343391331718"/>
        <n v="227.8584163320146"/>
        <n v="7.937729254247186"/>
        <n v="79.37729254247186"/>
        <n v="879.7578555261281"/>
        <n v="23.46622882643516"/>
        <n v="783.1861458904056"/>
        <n v="295.0941841208499"/>
        <n v="176.40379653603074"/>
        <n v="831.6677116797036"/>
        <n v="64.17733876493256"/>
        <n v="1131.9867295771603"/>
        <n v="40.0136537018864"/>
        <n v="779.0281455320597"/>
        <n v="869.0956763898885"/>
        <n v="445.3882022654406"/>
        <n v="523.7828667727704"/>
        <n v="258.0376250528342"/>
        <n v="70.69585561860475"/>
        <n v="77.31549897815098"/>
        <n v="368.8798026543043"/>
        <n v="34.47113457977401"/>
        <n v="400.97131231561855"/>
        <n v="176.73963904651188"/>
        <n v="141.64520837800796"/>
        <n v="122.07300504264856"/>
        <n v="746.179891825815"/>
        <n v="756.634698675071"/>
        <n v="52.16449141389032"/>
        <n v="1759.5157110522562"/>
        <n v="26.42244486616852"/>
        <n v="11.40496522707293"/>
        <n v="550.7831702801362"/>
        <n v="607.9161245679945"/>
        <n v="104.44446884171475"/>
        <n v="27.764709325908374"/>
        <n v="43.91135407515429"/>
        <n v="50.1640406045988"/>
        <n v="101.5448547603982"/>
        <n v="112.04794118961092"/>
        <n v="373.2920999186052"/>
        <n v="131.24887027297396"/>
        <n v="974.0231593900612"/>
        <n v="185.98050302687437"/>
        <n v="143.26124558005716"/>
        <n v="288.67935447909593"/>
        <n v="132.23575763870113"/>
        <n v="619.5969475073182"/>
        <n v="65.65692781143696"/>
        <n v="562.3462136303676"/>
        <n v="26.72261499203419"/>
        <n v="5765.395240138422"/>
        <n v="697.6290028669843"/>
        <n v="911.9908779133161"/>
        <n v="746.5841998372103"/>
        <n v="872.0362535837303"/>
        <n v="428.55667085472277"/>
        <n v="216.85893162756136"/>
        <n v="107.48103050568318"/>
        <n v="826.1747554202043"/>
        <n v="258.52338391987"/>
        <n v="237.0849877104148"/>
        <n v="104.64435043004764"/>
        <n v="60.196848725518564"/>
        <n v="277.3672522266366"/>
        <n v="214.4302142938731"/>
        <n v="1469.9454844065506"/>
        <n v="139.48537727015577"/>
        <n v="79.34145458322067"/>
        <n v="90.29527308827784"/>
        <n v="273.5972633739948"/>
        <n v="458.52741130580165"/>
        <n v="287.10690372213054"/>
        <n v="313.5591939832155"/>
        <n v="258.3361703646572"/>
        <n v="314.1268798772993"/>
        <n v="384.3596826758948"/>
        <n v="119.3843713167143"/>
        <n v="548.3541733343794"/>
        <n v="39.66387046558339"/>
        <n v="472.3091423791507"/>
        <n v="103.44995580034654"/>
        <n v="344.44822715287626"/>
        <n v="674.7273462559297"/>
        <n v="229.32076098223268"/>
        <n v="13.539313968053092"/>
        <n v="103.409353567948"/>
        <n v="1537.4387307035793"/>
        <n v="278.8186263782932"/>
        <n v="11.899161139675018"/>
        <n v="87.82270815030859"/>
        <n v="196.4530419442752"/>
        <n v="68.1730282680576"/>
        <n v="470.44444925875956"/>
        <n v="73.82748952854786"/>
        <n v="206.33733508761074"/>
        <n v="641.1676778755387"/>
        <n v="340.65570193929216"/>
        <n v="551.2295566524565"/>
        <n v="18.598050302687437"/>
        <n v="852.3645934357617"/>
        <n v="77.557015175961"/>
        <n v="343.088342870197"/>
        <n v="1349.4546925118593"/>
        <n v="681.730282680576"/>
        <n v="23.798322279350035"/>
        <n v="311.07674993217097"/>
        <n v="265.4052309694963"/>
        <n v="255.32477231855768"/>
        <n v="48.71029816741912"/>
        <n v="1031.7512461439615"/>
        <n v="584.2626827697825"/>
        <n v="260.49306578304993"/>
        <n v="365.25868477127295"/>
        <n v="52.693624890185156"/>
        <n v="123.0172239831701"/>
        <n v="334.4631402487632"/>
        <n v="1837.4318555081882"/>
        <n v="208.02543916997746"/>
        <n v="154.89923687682955"/>
        <n v="191.1006341518606"/>
        <n v="120.39369745103713"/>
        <n v="158.05665847360987"/>
        <n v="573.7069378894549"/>
        <n v="435.7419935151536"/>
        <n v="323.1542298998375"/>
        <n v="405.18941986991223"/>
        <n v="520.9861315660999"/>
        <n v="1090.7684522889217"/>
        <n v="301.82883286691185"/>
        <n v="300.98424362759283"/>
        <n v="154.354380658863"/>
        <n v="974.2059633483824"/>
        <n v="81.23588380831855"/>
        <n v="994.5895382088024"/>
        <n v="234.3813181469803"/>
        <n v="1012.0910193838945"/>
        <n v="781.5376669368301"/>
        <n v="418.9012133416791"/>
        <n v="218.00589882895213"/>
        <n v="353.08996695570147"/>
        <n v="410.39589506099225"/>
        <n v="175.64541630061717"/>
        <n v="6.680653748008548"/>
        <n v="59.69218565835715"/>
        <n v="142.9534761959154"/>
        <n v="1543.442758626878"/>
        <n v="179.07655697507144"/>
        <n v="171.1149757712709"/>
        <n v="1744.0725071674606"/>
        <n v="412.70049845758456"/>
        <n v="2090.3946265547697"/>
        <n v="257.81515802629207"/>
        <n v="634.14198697991"/>
        <n v="114.84276148885222"/>
        <n v="660.9398043361634"/>
        <n v="217.61072515749782"/>
        <n v="238.7687426334286"/>
        <n v="192.9473427951963"/>
        <n v="216.17753078920498"/>
        <n v="797.9920181741516"/>
        <n v="801.4595973444234"/>
        <n v="117.61111231468989"/>
        <n v="336.929798603733"/>
        <n v="40.13123248367904"/>
        <n v="127.09305258734511"/>
        <n v="170.96507592303985"/>
        <n v="118.5424938552074"/>
        <n v="243.1664498271978"/>
        <n v="1197.8048303988962"/>
        <n v="825.4009969151691"/>
        <n v="298.39590373983197"/>
        <n v="58.4557202950748"/>
        <n v="346.7090652832958"/>
        <n v="41.7777875366859"/>
        <n v="243.5514908370956"/>
        <n v="104.19722631321997"/>
        <n v="51.704676783974"/>
        <n v="141.64789131170085"/>
        <n v="11530.790480276844"/>
        <n v="984.1377918653608"/>
        <n v="250.70717976510002"/>
        <n v="19.06395788810177"/>
        <n v="681.3114038785843"/>
        <n v="68.77911169587024"/>
        <n v="455.99543895665806"/>
        <n v="387.785075879805"/>
        <n v="633.1331574319845"/>
        <n v="487.1029816741912"/>
        <n v="138.6836261133183"/>
        <n v="311.2442810822526"/>
        <n v="38.7785075879805"/>
        <n v="79.02832923680494"/>
        <n v="862.0829650028879"/>
        <n v="152.1940768751784"/>
        <n v="456.3066020567224"/>
        <n v="169.59985221054862"/>
        <n v="340.865141340288"/>
        <n v="304.6550152204969"/>
        <n v="149.19795186991598"/>
        <n v="102.55508282914596"/>
        <n v="209.039462655477"/>
        <n v="169.24142460066363"/>
        <n v="139.33774625898556"/>
        <n v="226.1189847971373"/>
        <n v="173.20761268745756"/>
        <n v="454.486855120384"/>
        <n v="380.48519218794604"/>
        <n v="1256.5075195091972"/>
        <n v="149.31683996744206"/>
        <n v="145.0738167716652"/>
        <n v="121.5832249135989"/>
        <n v="186.74656864935153"/>
        <n v="501.640406045988"/>
        <n v="103.801775746751"/>
        <n v="241.18417849399538"/>
        <n v="301.4919797295164"/>
        <n v="156.31092655820785"/>
        <n v="25.418610517469023"/>
        <n v="578.322328794143"/>
        <n v="174.08858012599825"/>
        <n v="38.12791577620354"/>
        <n v="232.47562878359295"/>
        <n v="1463.2762385883389"/>
        <n v="371.96100605374875"/>
        <n v="171.99057073667453"/>
        <n v="554.7345044532732"/>
        <n v="7687.193653517897"/>
        <n v="427.78743942817727"/>
        <n v="100.72315607524641"/>
        <n v="92.56503034709078"/>
        <n v="255.49177645446915"/>
        <n v="822.5312600015691"/>
        <n v="31.77326314683628"/>
        <n v="1923.5030336266163"/>
        <n v="596.1474783937613"/>
        <n v="233.705073107913"/>
        <n v="111.0588373036335"/>
        <n v="1234.1460728036789"/>
        <n v="644.8861830340991"/>
        <n v="349.50589461519905"/>
        <n v="553.5775079242654"/>
        <n v="1132.3193697531024"/>
        <n v="2249.091154186432"/>
        <n v="97.6588825612418"/>
        <n v="440.626536224109"/>
        <n v="6411.676778755387"/>
        <n v="613.1802634907259"/>
        <n v="19.831935232791697"/>
        <n v="98.41377918653608"/>
        <n v="30.098424362759282"/>
        <n v="198.35363645805168"/>
        <n v="426.29327287463457"/>
        <n v="508.7995566316458"/>
        <n v="209.28870086009528"/>
        <n v="158.65548186233357"/>
        <n v="130.24653289152496"/>
        <n v="1220.8507550172224"/>
        <n v="281.1731068151838"/>
        <n v="75.23672135397823"/>
        <n v="73.11112818920033"/>
        <n v="282.26666955525576"/>
        <n v="190.24259609397302"/>
        <n v="33.05893940967528"/>
        <n v="150.7459898647582"/>
        <n v="93.7243689383946"/>
        <n v="121.7757454185478"/>
        <n v="342.2299515425418"/>
        <n v="4808.75758406654"/>
        <n v="431.1840469527312"/>
        <n v="66.80653748008548"/>
        <n v="355.24439406219545"/>
        <n v="285.1916262854515"/>
        <n v="50.10490311006411"/>
        <n v="48.84716454943995"/>
        <n v="76.0970384375892"/>
        <n v="128.56700125641683"/>
        <n v="285.9069523918308"/>
        <n v="17.03278509696461"/>
        <n v="224.9091154186432"/>
        <n v="730.6544725112868"/>
        <n v="562.272788546608"/>
        <n v="304.3881537503568"/>
        <n v="210.77449956074062"/>
        <n v="248.8613999457368"/>
        <n v="303.43012879964954"/>
        <n v="129.261691959935"/>
        <n v="1303.6794308705312"/>
        <n v="111.20642101392697"/>
        <n v="96.47367139759815"/>
        <n v="309.7984737536591"/>
        <n v="226.63662609872136"/>
        <n v="418.078925310954"/>
        <n v="1025.5508282914595"/>
        <n v="32.244309151704954"/>
        <n v="292.13134138489124"/>
        <n v="62.666681305028845"/>
        <n v="27.73672522266366"/>
        <n v="47.38759888818582"/>
        <n v="243.5057898475153"/>
        <n v="26.111117210428688"/>
        <n v="33.17565387118704"/>
        <n v="60.79161245679945"/>
        <n v="447.593855609748"/>
        <n v="263.32852473892376"/>
        <n v="268.5563133658488"/>
        <n v="842.3244965093324"/>
        <n v="423.9996305263715"/>
        <n v="166.58825595545025"/>
        <n v="428.8604285877462"/>
        <n v="488.340302006889"/>
        <n v="389.60926375602446"/>
        <n v="45.85274113058016"/>
        <n v="344.8331860011552"/>
        <n v="255.72906537895037"/>
        <n v="165.08019938303383"/>
        <n v="49.79908497316041"/>
        <n v="350.5576096618695"/>
        <n v="273.48022087772256"/>
        <n v="201.44631215049282"/>
        <n v="79.32774093116679"/>
        <n v="743.5163370087819"/>
        <n v="1102.0546655513517"/>
        <n v="497.3421516870737"/>
        <n v="377.7277101645356"/>
        <n v="188.17777970350383"/>
        <n v="360.9343932506784"/>
        <n v="1046.4435043004764"/>
        <n v="764.4025366074424"/>
        <n v="1217.5289492375764"/>
        <n v="422.08877162132296"/>
        <n v="59.49580569837509"/>
        <n v="344.224162733673"/>
        <n v="123.71972334818398"/>
        <n v="69.34181305665915"/>
        <n v="221.0096721873096"/>
        <n v="495.7048532521226"/>
        <n v="82.03054392060872"/>
        <n v="522.5986566386924"/>
        <n v="79.4331578670907"/>
        <n v="146.99454844065505"/>
        <n v="113.78629829986856"/>
        <n v="1580.5665847360988"/>
        <n v="67.83994088421944"/>
        <n v="206.8999116006931"/>
        <n v="627.118387966431"/>
        <n v="2092.887008600953"/>
        <n v="71.8640078254552"/>
        <n v="25.052451555032054"/>
        <n v="39.67072729161033"/>
        <n v="268.70257626420795"/>
        <n v="275.86654880092414"/>
        <n v="68.37005521943064"/>
        <n v="3141.2687987729933"/>
        <n v="410.15271960304364"/>
        <n v="355.11951270874965"/>
        <n v="205.07635980152182"/>
        <n v="195.3177651224836"/>
        <n v="539.7818770047437"/>
        <n v="64.48861830340991"/>
        <n v="89.5187711219496"/>
        <n v="92.8918308393237"/>
        <n v="316.11331694721974"/>
        <n v="510.9835529089383"/>
        <n v="517.04676783974"/>
        <n v="181.7947420481536"/>
        <n v="279.2674755611194"/>
        <n v="141.13333477762788"/>
        <n v="121.75289492375765"/>
        <n v="158.68290916644133"/>
        <n v="31.333340652514423"/>
        <n v="729.4993494815934"/>
        <n v="1058.500010832209"/>
        <n v="305.41180258499213"/>
        <n v="222.14629310466222"/>
        <n v="534.9661896198352"/>
        <n v="44.98182308372864"/>
        <n v="247.62029907455076"/>
        <n v="960.8992066897371"/>
        <n v="246.8292145607358"/>
        <n v="632.2266338944395"/>
        <n v="132.61193842784033"/>
        <n v="330.4699021680817"/>
        <n v="418.57740172019055"/>
        <n v="602.9839594590328"/>
        <n v="750.753286596795"/>
        <n v="95.31978944050884"/>
        <n v="90.8973710240768"/>
        <n v="74.23183400891038"/>
        <n v="208.8889376834295"/>
        <n v="1122.0434362821927"/>
        <n v="11.69114405901496"/>
        <n v="113.99885973916452"/>
        <n v="53.74051525284159"/>
        <n v="325.9198577176328"/>
        <n v="438.6833386675035"/>
        <n v="683.7005521943064"/>
        <n v="369.0516719495103"/>
        <n v="199.05392322712223"/>
        <n v="395.1416461840247"/>
        <n v="651.8397154352656"/>
        <n v="124.4306999728684"/>
        <n v="73.6698907291032"/>
        <n v="423.4000043328836"/>
        <n v="500.50219106453"/>
        <n v="254.18610517469023"/>
        <n v="1010.789395811199"/>
        <n v="196.87330540946095"/>
        <n v="1140.7195020117147"/>
        <n v="214.96206101136636"/>
        <n v="333.1765119109005"/>
        <n v="697.556185677901"/>
        <n v="63.54652629367256"/>
        <n v="467.410146215826"/>
        <n v="456.5822306255352"/>
        <n v="330.16039876606766"/>
        <n v="749.9741739957649"/>
        <n v="416.0508783399549"/>
        <n v="942.3806396318979"/>
        <n v="1411.3333477762787"/>
        <n v="185.87908425219547"/>
        <n v="487.0115796950306"/>
        <n v="1395.2580057339685"/>
        <n v="689.6663720023104"/>
        <n v="26.447151527740225"/>
        <n v="484.893343577227"/>
        <n v="604.3389364514784"/>
        <n v="1102.399039368566"/>
        <n v="1237.1616699868086"/>
        <n v="596.9218565835715"/>
        <n v="200.6561624183952"/>
        <n v="1094.24902422239"/>
        <n v="48.70115796950306"/>
        <n v="4007.297986722117"/>
        <n v="231.41257586772696"/>
        <n v="661.4754679829477"/>
        <n v="790.2832923680494"/>
        <n v="89.96364616745728"/>
        <n v="385.8946855903926"/>
        <n v="1071.391677136807"/>
        <n v="164.95963113091196"/>
        <n v="131.21411651375243"/>
        <n v="161.22154575852477"/>
        <n v="592.712469276037"/>
        <n v="195.27952817821807"/>
        <n v="359.320039127276"/>
        <n v="278.97075454031153"/>
        <n v="409.7906699210393"/>
        <n v="206.19953891363997"/>
        <n v="101.75991132632916"/>
        <n v="222.117674607267"/>
        <n v="193.8925379399025"/>
        <n v="231.53681135423557"/>
        <n v="678.3994088421945"/>
        <n v="52.222234420857376"/>
        <n v="136.7986316869974"/>
        <n v="72.94993494815934"/>
        <n v="24.35514908370956"/>
        <n v="367.48637110163764"/>
        <n v="97.42059633483824"/>
        <n v="160.29191946888469"/>
        <n v="135.06313995663743"/>
        <n v="2392.9519326800723"/>
        <n v="906.5084046772176"/>
        <n v="298.4052910122442"/>
        <n v="210.3345657971217"/>
        <n v="202.41820387677888"/>
        <n v="347.32408771073324"/>
        <n v="284.1955152497564"/>
        <n v="338.48284920132727"/>
        <n v="809.6728155071155"/>
        <n v="852.5865457492691"/>
        <n v="62.24885621645051"/>
        <n v="38.58946855903926"/>
        <n v="130.21184341498906"/>
        <n v="19.110063415186058"/>
        <n v="185.13006069418157"/>
        <n v="167.38245272418692"/>
        <n v="123.04581588091308"/>
        <n v="186.9640584863304"/>
        <n v="180.1479423243375"/>
        <n v="4042.350082118014"/>
        <n v="137.69579257003406"/>
        <n v="24.743944669636797"/>
        <n v="30.14919797295164"/>
        <n v="501.69471037314474"/>
        <n v="131.32280844838573"/>
        <n v="1436.385632713473"/>
        <n v="1738.6232432097086"/>
        <n v="852.2702644663035"/>
        <n v="236.93799444092912"/>
        <n v="740.4876436822074"/>
        <n v="94.08888985175192"/>
        <n v="929.3954212609773"/>
        <n v="710.4887881243909"/>
        <n v="732.5104530103334"/>
        <n v="593.5994827369201"/>
        <n v="881.9672906439303"/>
        <n v="391.1038292611593"/>
        <n v="1193.843713167143"/>
        <n v="977.436164463918"/>
        <n v="3674.8637110163763"/>
        <n v="547.990854383465"/>
        <n v="317.31096372466715"/>
        <n v="66.72385260835618"/>
        <n v="227.3564121998051"/>
        <n v="408.98387793884774"/>
        <n v="4804.496033448685"/>
        <n v="1102.459113304913"/>
        <n v="1604.8459395703057"/>
        <n v="888.5851724186489"/>
        <n v="111.898463902437"/>
        <n v="147.3397814582064"/>
        <n v="112.46924272607352"/>
        <n v="775.57015175961"/>
        <n v="289.4210141927945"/>
        <n v="62.2153499864342"/>
        <n v="10.444446884171475"/>
        <n v="310.228060703844"/>
        <n v="904.4759391885492"/>
        <n v="400.26973334856314"/>
        <n v="358.1531139501429"/>
        <n v="977.7595731528983"/>
        <n v="184.174726822758"/>
        <n v="74.97949515071568"/>
        <n v="948.3399508416592"/>
        <n v="321.41750314104206"/>
        <n v="232.671045527883"/>
        <n v="304.43936354636946"/>
        <n v="401.31133171890724"/>
        <n v="100.100438212906"/>
        <n v="187.4487378767892"/>
        <n v="1444.451744601546"/>
        <n v="568.10856890048"/>
        <n v="16.70163437002137"/>
        <n v="188.8638550822678"/>
        <n v="47.65989472025442"/>
        <n v="131.73406222546288"/>
        <n v="940.8888985175191"/>
        <n v="1124.545577093216"/>
        <n v="22.3796927804874"/>
        <n v="118.99161139675017"/>
        <n v="787.1819039652512"/>
        <n v="92.99025151343719"/>
        <n v="337.36367312796483"/>
        <n v="229.26370565290082"/>
        <n v="302.1694682257392"/>
        <n v="497.7227998914736"/>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97" sheet="analysis-dynamic"/>
  </cacheSource>
  <cacheFields>
    <cacheField name="orderID" numFmtId="0">
      <sharedItems containsSemiMixedTypes="0" containsString="0" containsNumber="1" containsInteger="1">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sharedItems>
    </cacheField>
    <cacheField name="customerID" numFmtId="0">
      <sharedItems>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customerName" numFmtId="166">
      <sharedItems>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orderDate" numFmtId="166">
      <sharedItems containsSemiMixedTypes="0" containsDate="1" containsString="0">
        <d v="2022-07-04T00:00:00Z"/>
        <d v="2022-07-05T00:00:00Z"/>
        <d v="2022-07-08T00:00:00Z"/>
        <d v="2022-07-09T00:00:00Z"/>
        <d v="2022-07-10T00:00:00Z"/>
        <d v="2022-07-11T00:00:00Z"/>
        <d v="2022-07-12T00:00:00Z"/>
        <d v="2022-07-15T00:00:00Z"/>
        <d v="2022-07-16T00:00:00Z"/>
        <d v="2022-07-17T00:00:00Z"/>
        <d v="2022-07-18T00:00:00Z"/>
        <d v="2022-07-19T00:00:00Z"/>
        <d v="2022-07-22T00:00:00Z"/>
        <d v="2022-07-23T00:00:00Z"/>
        <d v="2022-07-24T00:00:00Z"/>
        <d v="2022-07-25T00:00:00Z"/>
        <d v="2022-07-26T00:00:00Z"/>
        <d v="2022-07-29T00:00:00Z"/>
        <d v="2022-07-30T00:00:00Z"/>
        <d v="2022-07-31T00:00:00Z"/>
        <d v="2022-08-01T00:00:00Z"/>
        <d v="2022-08-02T00:00:00Z"/>
        <d v="2022-08-05T00:00:00Z"/>
        <d v="2022-08-06T00:00:00Z"/>
        <d v="2022-08-07T00:00:00Z"/>
        <d v="2022-08-08T00:00:00Z"/>
        <d v="2022-08-09T00:00:00Z"/>
        <d v="2022-08-12T00:00:00Z"/>
        <d v="2022-08-13T00:00:00Z"/>
        <d v="2022-08-14T00:00:00Z"/>
        <d v="2022-08-15T00:00:00Z"/>
        <d v="2022-08-16T00:00:00Z"/>
        <d v="2022-08-19T00:00:00Z"/>
        <d v="2022-08-20T00:00:00Z"/>
        <d v="2022-08-21T00:00:00Z"/>
        <d v="2022-08-22T00:00:00Z"/>
        <d v="2022-08-23T00:00:00Z"/>
        <d v="2022-08-26T00:00:00Z"/>
        <d v="2022-08-27T00:00:00Z"/>
        <d v="2022-08-28T00:00:00Z"/>
        <d v="2022-08-29T00:00:00Z"/>
        <d v="2022-08-30T00:00:00Z"/>
        <d v="2022-09-02T00:00:00Z"/>
        <d v="2022-09-03T00:00:00Z"/>
        <d v="2022-09-04T00:00:00Z"/>
        <d v="2022-09-05T00:00:00Z"/>
        <d v="2022-09-06T00:00:00Z"/>
        <d v="2022-09-09T00:00:00Z"/>
        <d v="2022-09-10T00:00:00Z"/>
        <d v="2022-09-11T00:00:00Z"/>
        <d v="2022-09-12T00:00:00Z"/>
        <d v="2022-09-13T00:00:00Z"/>
        <d v="2022-09-16T00:00:00Z"/>
        <d v="2022-09-17T00:00:00Z"/>
        <d v="2022-09-18T00:00:00Z"/>
        <d v="2022-09-19T00:00:00Z"/>
        <d v="2022-09-20T00:00:00Z"/>
        <d v="2022-09-23T00:00:00Z"/>
        <d v="2022-09-24T00:00:00Z"/>
        <d v="2022-09-25T00:00:00Z"/>
        <d v="2022-09-26T00:00:00Z"/>
        <d v="2022-09-27T00:00:00Z"/>
        <d v="2022-09-30T00:00:00Z"/>
        <d v="2022-10-01T00:00:00Z"/>
        <d v="2022-10-02T00:00:00Z"/>
        <d v="2022-10-03T00:00:00Z"/>
        <d v="2022-10-04T00:00:00Z"/>
        <d v="2022-10-07T00:00:00Z"/>
        <d v="2022-10-08T00:00:00Z"/>
        <d v="2022-10-09T00:00:00Z"/>
        <d v="2022-10-10T00:00:00Z"/>
        <d v="2022-10-11T00:00:00Z"/>
        <d v="2022-10-14T00:00:00Z"/>
        <d v="2022-10-15T00:00:00Z"/>
        <d v="2022-10-16T00:00:00Z"/>
        <d v="2022-10-17T00:00:00Z"/>
        <d v="2022-10-18T00:00:00Z"/>
        <d v="2022-10-21T00:00:00Z"/>
        <d v="2022-10-22T00:00:00Z"/>
        <d v="2022-10-23T00:00:00Z"/>
        <d v="2022-10-24T00:00:00Z"/>
        <d v="2022-10-25T00:00:00Z"/>
        <d v="2022-10-28T00:00:00Z"/>
        <d v="2022-10-29T00:00:00Z"/>
        <d v="2022-10-30T00:00:00Z"/>
        <d v="2022-10-31T00:00:00Z"/>
        <d v="2022-11-01T00:00:00Z"/>
        <d v="2022-11-04T00:00:00Z"/>
        <d v="2022-11-05T00:00:00Z"/>
        <d v="2022-11-06T00:00:00Z"/>
        <d v="2022-11-07T00:00:00Z"/>
        <d v="2022-11-08T00:00:00Z"/>
        <d v="2022-11-11T00:00:00Z"/>
        <d v="2022-11-12T00:00:00Z"/>
        <d v="2022-11-13T00:00:00Z"/>
        <d v="2022-11-14T00:00:00Z"/>
        <d v="2022-11-15T00:00:00Z"/>
        <d v="2022-11-18T00:00:00Z"/>
        <d v="2022-11-19T00:00:00Z"/>
        <d v="2022-11-20T00:00:00Z"/>
        <d v="2022-11-21T00:00:00Z"/>
        <d v="2022-11-22T00:00:00Z"/>
        <d v="2022-11-25T00:00:00Z"/>
        <d v="2022-11-26T00:00:00Z"/>
        <d v="2022-11-27T00:00:00Z"/>
        <d v="2022-11-28T00:00:00Z"/>
        <d v="2022-11-29T00:00:00Z"/>
        <d v="2022-12-02T00:00:00Z"/>
        <d v="2022-12-03T00:00:00Z"/>
        <d v="2022-12-04T00:00:00Z"/>
        <d v="2022-12-05T00:00:00Z"/>
        <d v="2022-12-06T00:00:00Z"/>
        <d v="2022-12-09T00:00:00Z"/>
        <d v="2022-12-10T00:00:00Z"/>
        <d v="2022-12-11T00:00:00Z"/>
        <d v="2022-12-12T00:00:00Z"/>
        <d v="2022-12-13T00:00:00Z"/>
        <d v="2022-12-16T00:00:00Z"/>
        <d v="2022-12-17T00:00:00Z"/>
        <d v="2022-12-18T00:00:00Z"/>
        <d v="2022-12-19T00:00:00Z"/>
        <d v="2022-12-20T00:00:00Z"/>
        <d v="2022-12-23T00:00:00Z"/>
        <d v="2022-12-24T00:00:00Z"/>
        <d v="2022-12-25T00:00:00Z"/>
        <d v="2022-12-26T00:00:00Z"/>
        <d v="2022-12-27T00:00:00Z"/>
        <d v="2022-12-30T00:00:00Z"/>
        <d v="2022-12-31T00:00:00Z"/>
        <d v="2023-01-01T00:00:00Z"/>
        <d v="2023-01-02T00:00:00Z"/>
        <d v="2023-01-03T00:00:00Z"/>
        <d v="2023-01-06T00:00:00Z"/>
        <d v="2023-01-07T00:00:00Z"/>
        <d v="2023-01-08T00:00:00Z"/>
        <d v="2023-01-09T00:00:00Z"/>
        <d v="2023-01-10T00:00:00Z"/>
        <d v="2023-01-13T00:00:00Z"/>
        <d v="2023-01-14T00:00:00Z"/>
        <d v="2023-01-15T00:00:00Z"/>
        <d v="2023-01-16T00:00:00Z"/>
        <d v="2023-01-17T00:00:00Z"/>
        <d v="2023-01-20T00:00:00Z"/>
        <d v="2023-01-21T00:00:00Z"/>
        <d v="2023-01-22T00:00:00Z"/>
        <d v="2023-01-23T00:00:00Z"/>
        <d v="2023-01-24T00:00:00Z"/>
        <d v="2023-01-27T00:00:00Z"/>
        <d v="2023-01-28T00:00:00Z"/>
        <d v="2023-01-29T00:00:00Z"/>
        <d v="2023-01-30T00:00:00Z"/>
        <d v="2023-01-31T00:00:00Z"/>
        <d v="2023-02-03T00:00:00Z"/>
        <d v="2023-02-04T00:00:00Z"/>
        <d v="2023-02-05T00:00:00Z"/>
        <d v="2023-02-06T00:00:00Z"/>
        <d v="2023-02-07T00:00:00Z"/>
        <d v="2023-02-10T00:00:00Z"/>
        <d v="2023-02-11T00:00:00Z"/>
        <d v="2023-02-12T00:00:00Z"/>
        <d v="2023-02-13T00:00:00Z"/>
        <d v="2023-02-14T00:00:00Z"/>
        <d v="2023-02-17T00:00:00Z"/>
        <d v="2023-02-18T00:00:00Z"/>
        <d v="2023-02-19T00:00:00Z"/>
        <d v="2023-02-20T00:00:00Z"/>
        <d v="2023-02-21T00:00:00Z"/>
        <d v="2023-02-24T00:00:00Z"/>
        <d v="2023-02-25T00:00:00Z"/>
        <d v="2023-02-26T00:00:00Z"/>
        <d v="2023-02-27T00:00:00Z"/>
        <d v="2023-02-28T00:00:00Z"/>
        <d v="2023-03-03T00:00:00Z"/>
        <d v="2023-03-04T00:00:00Z"/>
        <d v="2023-03-05T00:00:00Z"/>
        <d v="2023-03-06T00:00:00Z"/>
        <d v="2023-03-07T00:00:00Z"/>
        <d v="2023-03-10T00:00:00Z"/>
        <d v="2023-03-11T00:00:00Z"/>
        <d v="2023-03-12T00:00:00Z"/>
        <d v="2023-03-13T00:00:00Z"/>
        <d v="2023-03-14T00:00:00Z"/>
        <d v="2023-03-17T00:00:00Z"/>
        <d v="2023-03-18T00:00:00Z"/>
        <d v="2023-03-19T00:00:00Z"/>
        <d v="2023-03-20T00:00:00Z"/>
        <d v="2023-03-21T00:00:00Z"/>
        <d v="2023-03-24T00:00:00Z"/>
        <d v="2023-03-25T00:00:00Z"/>
        <d v="2023-03-26T00:00:00Z"/>
        <d v="2023-03-27T00:00:00Z"/>
        <d v="2023-03-28T00:00:00Z"/>
        <d v="2023-03-31T00:00:00Z"/>
        <d v="2023-04-01T00:00:00Z"/>
        <d v="2023-04-02T00:00:00Z"/>
        <d v="2023-04-03T00:00:00Z"/>
        <d v="2023-04-04T00:00:00Z"/>
        <d v="2023-04-07T00:00:00Z"/>
        <d v="2023-04-08T00:00:00Z"/>
        <d v="2023-04-09T00:00:00Z"/>
        <d v="2023-04-10T00:00:00Z"/>
        <d v="2023-04-11T00:00:00Z"/>
        <d v="2023-04-14T00:00:00Z"/>
        <d v="2023-04-15T00:00:00Z"/>
        <d v="2023-04-16T00:00:00Z"/>
        <d v="2023-04-17T00:00:00Z"/>
        <d v="2023-04-18T00:00:00Z"/>
        <d v="2023-04-21T00:00:00Z"/>
        <d v="2023-04-22T00:00:00Z"/>
        <d v="2023-04-23T00:00:00Z"/>
        <d v="2023-04-24T00:00:00Z"/>
        <d v="2023-04-25T00:00:00Z"/>
        <d v="2023-04-28T00:00:00Z"/>
        <d v="2023-04-29T00:00:00Z"/>
        <d v="2023-04-30T00:00:00Z"/>
        <d v="2023-05-01T00:00:00Z"/>
        <d v="2023-05-02T00:00:00Z"/>
        <d v="2023-05-05T00:00:00Z"/>
        <d v="2023-05-06T00:00:00Z"/>
        <d v="2023-05-07T00:00:00Z"/>
        <d v="2023-05-08T00:00:00Z"/>
        <d v="2023-05-09T00:00:00Z"/>
        <d v="2023-05-12T00:00:00Z"/>
        <d v="2023-05-13T00:00:00Z"/>
        <d v="2023-05-14T00:00:00Z"/>
        <d v="2023-05-15T00:00:00Z"/>
        <d v="2023-05-16T00:00:00Z"/>
        <d v="2023-05-19T00:00:00Z"/>
        <d v="2023-05-20T00:00:00Z"/>
        <d v="2023-05-21T00:00:00Z"/>
        <d v="2023-05-22T00:00:00Z"/>
        <d v="2023-05-23T00:00:00Z"/>
        <d v="2023-05-26T00:00:00Z"/>
        <d v="2023-05-27T00:00:00Z"/>
        <d v="2023-05-28T00:00:00Z"/>
        <d v="2023-05-29T00:00:00Z"/>
        <d v="2023-05-30T00:00:00Z"/>
        <d v="2023-06-02T00:00:00Z"/>
        <d v="2023-06-03T00:00:00Z"/>
        <d v="2023-06-04T00:00:00Z"/>
        <d v="2023-06-05T00:00:00Z"/>
        <d v="2023-06-06T00:00:00Z"/>
        <d v="2023-06-09T00:00:00Z"/>
        <d v="2023-06-10T00:00:00Z"/>
        <d v="2023-06-11T00:00:00Z"/>
        <d v="2023-06-12T00:00:00Z"/>
        <d v="2023-06-13T00:00:00Z"/>
        <d v="2023-06-16T00:00:00Z"/>
        <d v="2023-06-17T00:00:00Z"/>
        <d v="2023-06-18T00:00:00Z"/>
        <d v="2023-06-19T00:00:00Z"/>
        <d v="2023-06-20T00:00:00Z"/>
        <d v="2023-06-23T00:00:00Z"/>
        <d v="2023-06-24T00:00:00Z"/>
        <d v="2023-06-25T00:00:00Z"/>
        <d v="2023-06-26T00:00:00Z"/>
        <d v="2023-06-27T00:00:00Z"/>
        <d v="2023-06-30T00:00:00Z"/>
        <d v="2023-07-01T00:00:00Z"/>
        <d v="2023-07-02T00:00:00Z"/>
        <d v="2023-07-03T00:00:00Z"/>
        <d v="2023-07-04T00:00:00Z"/>
        <d v="2023-07-07T00:00:00Z"/>
        <d v="2023-07-08T00:00:00Z"/>
        <d v="2023-07-09T00:00:00Z"/>
        <d v="2023-07-10T00:00:00Z"/>
        <d v="2023-07-11T00:00:00Z"/>
        <d v="2023-07-14T00:00:00Z"/>
        <d v="2023-07-15T00:00:00Z"/>
        <d v="2023-07-16T00:00:00Z"/>
        <d v="2023-07-17T00:00:00Z"/>
        <d v="2023-07-18T00:00:00Z"/>
        <d v="2023-07-21T00:00:00Z"/>
        <d v="2023-07-22T00:00:00Z"/>
        <d v="2023-07-23T00:00:00Z"/>
        <d v="2023-07-24T00:00:00Z"/>
        <d v="2023-07-25T00:00:00Z"/>
        <d v="2023-07-28T00:00:00Z"/>
        <d v="2023-07-29T00:00:00Z"/>
        <d v="2023-07-30T00:00:00Z"/>
        <d v="2023-07-31T00:00:00Z"/>
        <d v="2023-08-01T00:00:00Z"/>
        <d v="2023-08-04T00:00:00Z"/>
        <d v="2023-08-05T00:00:00Z"/>
        <d v="2023-08-06T00:00:00Z"/>
        <d v="2023-08-07T00:00:00Z"/>
        <d v="2023-08-08T00:00:00Z"/>
        <d v="2023-08-11T00:00:00Z"/>
        <d v="2023-08-12T00:00:00Z"/>
        <d v="2023-08-13T00:00:00Z"/>
        <d v="2023-08-14T00:00:00Z"/>
        <d v="2023-08-15T00:00:00Z"/>
        <d v="2023-08-18T00:00:00Z"/>
        <d v="2023-08-19T00:00:00Z"/>
        <d v="2023-08-20T00:00:00Z"/>
        <d v="2023-08-21T00:00:00Z"/>
        <d v="2023-08-22T00:00:00Z"/>
        <d v="2023-08-25T00:00:00Z"/>
        <d v="2023-08-26T00:00:00Z"/>
        <d v="2023-08-27T00:00:00Z"/>
        <d v="2023-08-28T00:00:00Z"/>
        <d v="2023-08-29T00:00:00Z"/>
        <d v="2023-09-01T00:00:00Z"/>
        <d v="2023-09-02T00:00:00Z"/>
        <d v="2023-09-03T00:00:00Z"/>
        <d v="2023-09-04T00:00:00Z"/>
        <d v="2023-09-05T00:00:00Z"/>
        <d v="2023-09-08T00:00:00Z"/>
        <d v="2023-09-09T00:00:00Z"/>
        <d v="2023-09-10T00:00:00Z"/>
        <d v="2023-09-11T00:00:00Z"/>
        <d v="2023-09-12T00:00:00Z"/>
        <d v="2023-09-15T00:00:00Z"/>
        <d v="2023-09-16T00:00:00Z"/>
        <d v="2023-09-17T00:00:00Z"/>
        <d v="2023-09-18T00:00:00Z"/>
        <d v="2023-09-19T00:00:00Z"/>
        <d v="2023-09-22T00:00:00Z"/>
        <d v="2023-09-23T00:00:00Z"/>
        <d v="2023-09-24T00:00:00Z"/>
        <d v="2023-09-25T00:00:00Z"/>
        <d v="2023-09-26T00:00:00Z"/>
        <d v="2023-09-29T00:00:00Z"/>
        <d v="2023-09-30T00:00:00Z"/>
        <d v="2023-10-01T00:00:00Z"/>
        <d v="2023-10-02T00:00:00Z"/>
        <d v="2023-10-03T00:00:00Z"/>
        <d v="2023-10-06T00:00:00Z"/>
        <d v="2023-10-07T00:00:00Z"/>
        <d v="2023-10-08T00:00:00Z"/>
        <d v="2023-10-09T00:00:00Z"/>
        <d v="2023-10-10T00:00:00Z"/>
        <d v="2023-10-13T00:00:00Z"/>
        <d v="2023-10-14T00:00:00Z"/>
        <d v="2023-10-15T00:00:00Z"/>
        <d v="2023-10-16T00:00:00Z"/>
        <d v="2023-10-17T00:00:00Z"/>
        <d v="2023-10-20T00:00:00Z"/>
        <d v="2023-10-21T00:00:00Z"/>
        <d v="2023-10-22T00:00:00Z"/>
        <d v="2023-10-23T00:00:00Z"/>
        <d v="2023-10-24T00:00:00Z"/>
        <d v="2023-10-27T00:00:00Z"/>
        <d v="2023-10-28T00:00:00Z"/>
        <d v="2023-10-29T00:00:00Z"/>
        <d v="2023-10-30T00:00:00Z"/>
        <d v="2023-10-31T00:00:00Z"/>
        <d v="2023-11-03T00:00:00Z"/>
        <d v="2023-11-04T00:00:00Z"/>
        <d v="2023-11-05T00:00:00Z"/>
        <d v="2023-11-06T00:00:00Z"/>
        <d v="2023-11-07T00:00:00Z"/>
        <d v="2023-11-10T00:00:00Z"/>
        <d v="2023-11-11T00:00:00Z"/>
        <d v="2023-11-12T00:00:00Z"/>
        <d v="2023-11-13T00:00:00Z"/>
        <d v="2023-11-14T00:00:00Z"/>
        <d v="2023-11-17T00:00:00Z"/>
        <d v="2023-11-18T00:00:00Z"/>
        <d v="2023-11-19T00:00:00Z"/>
        <d v="2023-11-20T00:00:00Z"/>
        <d v="2023-11-21T00:00:00Z"/>
        <d v="2023-11-24T00:00:00Z"/>
        <d v="2023-11-25T00:00:00Z"/>
        <d v="2023-11-26T00:00:00Z"/>
        <d v="2023-11-27T00:00:00Z"/>
        <d v="2023-11-28T00:00:00Z"/>
        <d v="2023-12-01T00:00:00Z"/>
        <d v="2023-12-02T00:00:00Z"/>
        <d v="2023-12-03T00:00:00Z"/>
        <d v="2023-12-04T00:00:00Z"/>
        <d v="2023-12-05T00:00:00Z"/>
        <d v="2023-12-08T00:00:00Z"/>
        <d v="2023-12-09T00:00:00Z"/>
        <d v="2023-12-10T00:00:00Z"/>
        <d v="2023-12-11T00:00:00Z"/>
        <d v="2023-12-12T00:00:00Z"/>
        <d v="2023-12-15T00:00:00Z"/>
        <d v="2023-12-16T00:00:00Z"/>
        <d v="2023-12-17T00:00:00Z"/>
        <d v="2023-12-18T00:00:00Z"/>
        <d v="2023-12-19T00:00:00Z"/>
        <d v="2023-12-22T00:00:00Z"/>
        <d v="2023-12-23T00:00:00Z"/>
        <d v="2023-12-24T00:00:00Z"/>
        <d v="2023-12-25T00:00:00Z"/>
        <d v="2023-12-26T00:00:00Z"/>
        <d v="2023-12-29T00:00:00Z"/>
        <d v="2023-12-30T00:00:00Z"/>
        <d v="2023-12-31T00:00:00Z"/>
        <d v="2024-01-01T00:00:00Z"/>
        <d v="2024-01-02T00:00:00Z"/>
        <d v="2024-01-05T00:00:00Z"/>
        <d v="2024-01-06T00:00:00Z"/>
        <d v="2024-01-07T00:00:00Z"/>
        <d v="2024-01-08T00:00:00Z"/>
        <d v="2024-01-09T00:00:00Z"/>
        <d v="2024-01-12T00:00:00Z"/>
        <d v="2024-01-13T00:00:00Z"/>
        <d v="2024-01-14T00:00:00Z"/>
        <d v="2024-01-15T00:00:00Z"/>
        <d v="2024-01-16T00:00:00Z"/>
        <d v="2024-01-19T00:00:00Z"/>
        <d v="2024-01-20T00:00:00Z"/>
        <d v="2024-01-21T00:00:00Z"/>
        <d v="2024-01-22T00:00:00Z"/>
        <d v="2024-01-23T00:00:00Z"/>
        <d v="2024-01-26T00:00:00Z"/>
        <d v="2024-01-27T00:00:00Z"/>
        <d v="2024-01-28T00:00:00Z"/>
        <d v="2024-01-29T00:00:00Z"/>
        <d v="2024-01-30T00:00:00Z"/>
        <d v="2024-02-02T00:00:00Z"/>
        <d v="2024-02-03T00:00:00Z"/>
        <d v="2024-02-04T00:00:00Z"/>
        <d v="2024-02-05T00:00:00Z"/>
        <d v="2024-02-06T00:00:00Z"/>
        <d v="2024-02-09T00:00:00Z"/>
        <d v="2024-02-10T00:00:00Z"/>
        <d v="2024-02-11T00:00:00Z"/>
        <d v="2024-02-12T00:00:00Z"/>
        <d v="2024-02-13T00:00:00Z"/>
        <d v="2024-02-16T00:00:00Z"/>
        <d v="2024-02-17T00:00:00Z"/>
        <d v="2024-02-18T00:00:00Z"/>
        <d v="2024-02-19T00:00:00Z"/>
        <d v="2024-02-20T00:00:00Z"/>
        <d v="2024-02-23T00:00:00Z"/>
        <d v="2024-02-24T00:00:00Z"/>
        <d v="2024-02-25T00:00:00Z"/>
        <d v="2024-02-26T00:00:00Z"/>
        <d v="2024-02-27T00:00:00Z"/>
        <d v="2024-03-02T00:00:00Z"/>
        <d v="2024-03-03T00:00:00Z"/>
        <d v="2024-03-04T00:00:00Z"/>
        <d v="2024-03-05T00:00:00Z"/>
        <d v="2024-03-06T00:00:00Z"/>
        <d v="2024-03-09T00:00:00Z"/>
        <d v="2024-03-10T00:00:00Z"/>
        <d v="2024-03-11T00:00:00Z"/>
        <d v="2024-03-12T00:00:00Z"/>
        <d v="2024-03-13T00:00:00Z"/>
        <d v="2024-03-16T00:00:00Z"/>
        <d v="2024-03-17T00:00:00Z"/>
        <d v="2024-03-18T00:00:00Z"/>
        <d v="2024-03-19T00:00:00Z"/>
        <d v="2024-03-20T00:00:00Z"/>
        <d v="2024-03-23T00:00:00Z"/>
        <d v="2024-03-24T00:00:00Z"/>
        <d v="2024-03-25T00:00:00Z"/>
        <d v="2024-03-26T00:00:00Z"/>
        <d v="2024-03-27T00:00:00Z"/>
        <d v="2024-03-30T00:00:00Z"/>
        <d v="2024-03-31T00:00:00Z"/>
        <d v="2024-04-01T00:00:00Z"/>
        <d v="2024-04-02T00:00:00Z"/>
        <d v="2024-04-03T00:00:00Z"/>
        <d v="2024-04-06T00:00:00Z"/>
        <d v="2024-04-07T00:00:00Z"/>
        <d v="2024-04-08T00:00:00Z"/>
        <d v="2024-04-09T00:00:00Z"/>
        <d v="2024-04-10T00:00:00Z"/>
        <d v="2024-04-13T00:00:00Z"/>
        <d v="2024-04-14T00:00:00Z"/>
        <d v="2024-04-15T00:00:00Z"/>
        <d v="2024-04-16T00:00:00Z"/>
        <d v="2024-04-17T00:00:00Z"/>
        <d v="2024-04-20T00:00:00Z"/>
        <d v="2024-04-21T00:00:00Z"/>
        <d v="2024-04-22T00:00:00Z"/>
        <d v="2024-04-23T00:00:00Z"/>
        <d v="2024-04-24T00:00:00Z"/>
        <d v="2024-04-27T00:00:00Z"/>
        <d v="2024-04-28T00:00:00Z"/>
        <d v="2024-04-29T00:00:00Z"/>
        <d v="2024-04-30T00:00:00Z"/>
      </sharedItems>
    </cacheField>
    <cacheField name="order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sharedItems>
    </cacheField>
    <cacheField name="sinceLastOrder" numFmtId="0">
      <sharedItems containsSemiMixedTypes="0" containsString="0" containsNumber="1" containsInteger="1">
        <n v="0.0"/>
        <n v="2.0"/>
        <n v="6.0"/>
        <n v="11.0"/>
        <n v="33.0"/>
        <n v="1.0"/>
        <n v="15.0"/>
        <n v="39.0"/>
        <n v="21.0"/>
        <n v="28.0"/>
        <n v="27.0"/>
        <n v="18.0"/>
        <n v="41.0"/>
        <n v="63.0"/>
        <n v="14.0"/>
        <n v="32.0"/>
        <n v="34.0"/>
        <n v="26.0"/>
        <n v="13.0"/>
        <n v="5.0"/>
        <n v="20.0"/>
        <n v="79.0"/>
        <n v="75.0"/>
        <n v="43.0"/>
        <n v="105.0"/>
        <n v="87.0"/>
        <n v="42.0"/>
        <n v="73.0"/>
        <n v="93.0"/>
        <n v="45.0"/>
        <n v="24.0"/>
        <n v="111.0"/>
        <n v="29.0"/>
        <n v="9.0"/>
        <n v="145.0"/>
        <n v="44.0"/>
        <n v="60.0"/>
        <n v="106.0"/>
        <n v="7.0"/>
        <n v="23.0"/>
        <n v="31.0"/>
        <n v="124.0"/>
        <n v="10.0"/>
        <n v="78.0"/>
        <n v="19.0"/>
        <n v="163.0"/>
        <n v="58.0"/>
        <n v="65.0"/>
        <n v="36.0"/>
        <n v="57.0"/>
        <n v="116.0"/>
        <n v="172.0"/>
        <n v="3.0"/>
        <n v="56.0"/>
        <n v="192.0"/>
        <n v="190.0"/>
        <n v="158.0"/>
        <n v="48.0"/>
        <n v="38.0"/>
        <n v="55.0"/>
        <n v="216.0"/>
        <n v="108.0"/>
        <n v="12.0"/>
        <n v="8.0"/>
        <n v="161.0"/>
        <n v="121.0"/>
        <n v="67.0"/>
        <n v="139.0"/>
        <n v="169.0"/>
        <n v="25.0"/>
        <n v="112.0"/>
        <n v="64.0"/>
        <n v="191.0"/>
        <n v="62.0"/>
        <n v="129.0"/>
        <n v="197.0"/>
        <n v="83.0"/>
        <n v="119.0"/>
        <n v="81.0"/>
        <n v="77.0"/>
        <n v="71.0"/>
        <n v="90.0"/>
        <n v="61.0"/>
        <n v="40.0"/>
        <n v="219.0"/>
        <n v="155.0"/>
        <n v="72.0"/>
        <n v="66.0"/>
        <n v="99.0"/>
        <n v="97.0"/>
        <n v="70.0"/>
        <n v="205.0"/>
        <n v="146.0"/>
        <n v="132.0"/>
        <n v="50.0"/>
        <n v="128.0"/>
        <n v="114.0"/>
        <n v="52.0"/>
        <n v="313.0"/>
        <n v="35.0"/>
        <n v="233.0"/>
        <n v="22.0"/>
        <n v="101.0"/>
        <n v="259.0"/>
        <n v="138.0"/>
        <n v="103.0"/>
        <n v="107.0"/>
        <n v="117.0"/>
        <n v="82.0"/>
        <n v="49.0"/>
        <n v="137.0"/>
        <n v="37.0"/>
        <n v="315.0"/>
        <n v="59.0"/>
        <n v="4.0"/>
        <n v="162.0"/>
        <n v="149.0"/>
        <n v="91.0"/>
        <n v="182.0"/>
        <n v="46.0"/>
        <n v="51.0"/>
        <n v="109.0"/>
        <n v="307.0"/>
        <n v="232.0"/>
        <n v="324.0"/>
        <n v="54.0"/>
        <n v="76.0"/>
        <n v="85.0"/>
        <n v="148.0"/>
        <n v="165.0"/>
        <n v="113.0"/>
        <n v="80.0"/>
        <n v="221.0"/>
        <n v="17.0"/>
        <n v="131.0"/>
        <n v="95.0"/>
        <n v="92.0"/>
        <n v="130.0"/>
        <n v="134.0"/>
        <n v="392.0"/>
        <n v="271.0"/>
        <n v="249.0"/>
        <n v="178.0"/>
        <n v="435.0"/>
        <n v="227.0"/>
        <n v="47.0"/>
        <n v="94.0"/>
        <n v="214.0"/>
        <n v="300.0"/>
        <n v="141.0"/>
        <n v="110.0"/>
        <n v="16.0"/>
        <n v="266.0"/>
        <n v="68.0"/>
        <n v="154.0"/>
        <n v="127.0"/>
        <n v="209.0"/>
        <n v="506.0"/>
        <n v="151.0"/>
        <n v="367.0"/>
        <n v="217.0"/>
        <n v="445.0"/>
        <n v="74.0"/>
        <n v="222.0"/>
        <n v="199.0"/>
        <n v="175.0"/>
        <n v="147.0"/>
        <n v="120.0"/>
        <n v="30.0"/>
        <n v="326.0"/>
        <n v="125.0"/>
        <n v="177.0"/>
        <n v="122.0"/>
        <n v="245.0"/>
        <n v="143.0"/>
        <n v="100.0"/>
        <n v="288.0"/>
        <n v="533.0"/>
        <n v="86.0"/>
        <n v="53.0"/>
        <n v="240.0"/>
        <n v="244.0"/>
        <n v="356.0"/>
        <n v="98.0"/>
        <n v="358.0"/>
        <n v="388.0"/>
        <n v="102.0"/>
        <n v="157.0"/>
      </sharedItems>
    </cacheField>
    <cacheField name="customerStatus" numFmtId="0">
      <sharedItems>
        <s v="Regular"/>
        <s v="Non-Returning"/>
        <s v="Dormant"/>
        <s v="New"/>
      </sharedItems>
    </cacheField>
    <cacheField name="productID" numFmtId="0">
      <sharedItems containsSemiMixedTypes="0" containsString="0" containsNumber="1" containsInteger="1">
        <n v="11.0"/>
        <n v="42.0"/>
        <n v="72.0"/>
        <n v="14.0"/>
        <n v="51.0"/>
        <n v="41.0"/>
        <n v="65.0"/>
        <n v="22.0"/>
        <n v="57.0"/>
        <n v="20.0"/>
        <n v="33.0"/>
        <n v="60.0"/>
        <n v="31.0"/>
        <n v="39.0"/>
        <n v="49.0"/>
        <n v="24.0"/>
        <n v="55.0"/>
        <n v="74.0"/>
        <n v="2.0"/>
        <n v="16.0"/>
        <n v="36.0"/>
        <n v="59.0"/>
        <n v="53.0"/>
        <n v="77.0"/>
        <n v="27.0"/>
        <n v="5.0"/>
        <n v="32.0"/>
        <n v="21.0"/>
        <n v="37.0"/>
        <n v="62.0"/>
        <n v="70.0"/>
        <n v="35.0"/>
        <n v="7.0"/>
        <n v="56.0"/>
        <n v="30.0"/>
        <n v="17.0"/>
        <n v="12.0"/>
        <n v="40.0"/>
        <n v="76.0"/>
        <n v="29.0"/>
        <n v="43.0"/>
        <n v="10.0"/>
        <n v="71.0"/>
        <n v="13.0"/>
        <n v="28.0"/>
        <n v="44.0"/>
        <n v="63.0"/>
        <n v="73.0"/>
        <n v="75.0"/>
        <n v="19.0"/>
        <n v="15.0"/>
        <n v="67.0"/>
        <n v="1.0"/>
        <n v="34.0"/>
        <n v="46.0"/>
        <n v="54.0"/>
        <n v="68.0"/>
        <n v="3.0"/>
        <n v="64.0"/>
        <n v="18.0"/>
        <n v="69.0"/>
        <n v="66.0"/>
        <n v="4.0"/>
        <n v="6.0"/>
        <n v="58.0"/>
        <n v="52.0"/>
        <n v="25.0"/>
        <n v="38.0"/>
        <n v="26.0"/>
        <n v="47.0"/>
        <n v="23.0"/>
        <n v="8.0"/>
        <n v="50.0"/>
        <n v="45.0"/>
        <n v="48.0"/>
        <n v="61.0"/>
        <n v="9.0"/>
      </sharedItems>
    </cacheField>
    <cacheField name="productName" numFmtId="165">
      <sharedItems>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Brigadeiros Maravilhosos da Lilian"/>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Cold Brew Nitro"/>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Lukas' leckere Sauerteigweggla"/>
        <s v="Carnarvon Tigers"/>
        <s v="Gudbrandsdalsost"/>
        <s v="Louisiana Hot Spiced Okra"/>
        <s v="Chef Anton's Cajun Seasoning"/>
        <s v="Grandma's Boysenberry Spread"/>
        <s v="Escargots de Bourgogne"/>
        <s v="Filo Mix"/>
        <s v="HM Köstliche Kaiserschmarrn Knödelchen"/>
        <s v="Côte de Blaye"/>
        <s v="NuNuCa Nuß-Nougat-Creme"/>
        <s v="Zaanse koeken"/>
        <s v="Tunnbröd"/>
        <s v="Northwoods Cranberry Sauce"/>
        <s v="Valkoinen suklaa"/>
        <s v="Rogede sild"/>
        <s v="Chocolade"/>
        <s v="Sirop d'érable"/>
        <s v="Mishi Kobe Niku"/>
      </sharedItems>
    </cacheField>
    <cacheField name="productCategory" numFmtId="165">
      <sharedItems>
        <s v="Dairy Products"/>
        <s v="Grains/Cereals"/>
        <s v="Produce"/>
        <s v="Seafood"/>
        <s v="Condiments"/>
        <s v="Confections"/>
        <s v="Beverages"/>
        <s v="Meat/Poultry"/>
      </sharedItems>
    </cacheField>
    <cacheField name="productStatus" numFmtId="49">
      <sharedItems>
        <s v="Current"/>
        <s v="Discontinued"/>
      </sharedItems>
    </cacheField>
    <cacheField name="productCost" numFmtId="165">
      <sharedItems containsSemiMixedTypes="0" containsString="0" containsNumber="1">
        <n v="10.58231097127931"/>
        <n v="7.81842588482263"/>
        <n v="19.20829333856568"/>
        <n v="13.95254082362384"/>
        <n v="28.87532153735928"/>
        <n v="5.170198742240246"/>
        <n v="11.17410204428246"/>
        <n v="11.70049217431567"/>
        <n v="11.22950765860165"/>
        <n v="45.94247438225027"/>
        <n v="1.393847434174416"/>
        <n v="17.66563492816901"/>
        <n v="6.440319729937131"/>
        <n v="9.74351722644001"/>
        <n v="12.56663578543187"/>
        <n v="2.681172459749432"/>
        <n v="12.97496052325055"/>
        <n v="5.667130123902985"/>
        <n v="9.768746876454799"/>
        <n v="9.80658008011813"/>
        <n v="9.768238429353477"/>
        <n v="29.20351950859807"/>
        <n v="18.33322005628415"/>
        <n v="7.430272841618163"/>
        <n v="23.20562838693027"/>
        <n v="10.90590590335947"/>
        <n v="14.6549246655173"/>
        <n v="5.773836451784705"/>
        <n v="14.59372953780185"/>
        <n v="29.35963319048223"/>
        <n v="8.037520943986745"/>
        <n v="10.19869089002734"/>
        <n v="16.42997430877755"/>
        <n v="21.50400559942403"/>
        <n v="13.41656867624053"/>
        <n v="21.25377406334135"/>
        <n v="20.01245109153167"/>
        <n v="9.680649108413853"/>
        <n v="10.19609255795939"/>
        <n v="70.25945266050256"/>
        <n v="25.79491917842887"/>
        <n v="16.07630730780615"/>
        <n v="12.00719028962714"/>
        <n v="3.236727381542315"/>
        <n v="27.51992272488583"/>
        <n v="10.65165144800949"/>
        <n v="23.81372293243177"/>
        <n v="8.419818722181564"/>
        <n v="4.269033823250751"/>
        <n v="5.581200930000185"/>
        <n v="8.755916864823718"/>
        <n v="6.333578633879285"/>
        <n v="9.57420721650042"/>
        <n v="8.233671910863722"/>
        <n v="6.266275015228162"/>
        <n v="4.309848919263988"/>
        <n v="7.316656528525086"/>
        <n v="5.621819606201094"/>
        <n v="19.36982256515803"/>
        <n v="32.46379819282845"/>
        <n v="20.71216182760377"/>
        <n v="9.717342771358489"/>
        <n v="12.12007337919884"/>
        <n v="13.64030257211835"/>
        <n v="6.388939316932207"/>
        <n v="3.853499958711652"/>
        <n v="7.37004653349161"/>
        <n v="133.3740767361435"/>
        <n v="17.26675607403464"/>
        <n v="4.738900380455212"/>
        <n v="5.310194716089154"/>
        <n v="19.1717685658236"/>
        <n v="9.682278644998226"/>
        <n v="4.258565263418202"/>
        <n v="80.85619496979716"/>
        <n v="11.76025310240205"/>
        <n v="13.04112285347258"/>
        <n v="16.03885249262474"/>
        <n v="24.2834244081873"/>
        <n v="13.21122243308426"/>
        <n v="13.400366403089"/>
        <n v="5.989059128583596"/>
        <n v="27.72225705599012"/>
        <n v="11.98504839280092"/>
        <n v="8.079671684865467"/>
        <n v="21.20896201264003"/>
        <n v="9.105641620756222"/>
        <n v="6.399802633380168"/>
        <n v="12.15847606791405"/>
        <n v="6.725636111486227"/>
        <n v="31.52644577812796"/>
        <n v="12.1524626868984"/>
        <n v="11.40496522707293"/>
        <n v="12.90188125264171"/>
        <n v="21.8242861155321"/>
        <n v="15.96170586067597"/>
        <n v="4.924447797110573"/>
        <n v="35.34792780930238"/>
        <n v="15.3805541684738"/>
        <n v="1.559072297682999"/>
        <n v="35.20472566163114"/>
        <n v="6.549914856000671"/>
        <n v="13.06032102841794"/>
        <n v="12.11545289547804"/>
        <n v="5.901883682416998"/>
        <n v="24.8313050397111"/>
        <n v="21.81491555884456"/>
        <n v="13.0187090072947"/>
        <n v="175.9515711052256"/>
        <n v="7.087990753200347"/>
        <n v="8.50000038656812"/>
        <n v="7.539056452114137"/>
        <n v="12.1462690439356"/>
        <n v="6.577088330407349"/>
        <n v="17.1994544839071"/>
        <n v="6.510240466628988"/>
        <n v="22.77098294614866"/>
        <n v="59.95980959351677"/>
        <n v="3.865774948907549"/>
        <n v="9.79309409112476"/>
        <n v="9.692999362115618"/>
        <n v="7.937729254247186"/>
        <n v="14.92398776410591"/>
        <n v="21.88572728319649"/>
        <n v="11.16021436262602"/>
        <n v="14.56814822279329"/>
        <n v="23.51933767865576"/>
        <n v="5.355290471735264"/>
        <n v="8.955654060944719"/>
        <n v="23.79216616733563"/>
        <n v="32.29103981871121"/>
        <n v="10.17313148772505"/>
        <n v="11.73311441321758"/>
        <n v="3.13178336293459"/>
        <n v="5.0017067127358"/>
        <n v="20.72721921738375"/>
        <n v="30.96256563520915"/>
        <n v="21.39244625497752"/>
        <n v="13.81047123968846"/>
        <n v="5.965769821709686"/>
        <n v="8.13820033617657"/>
        <n v="39.51966650610256"/>
        <n v="36.88798026543043"/>
        <n v="10.78394742226449"/>
        <n v="10.352745389629"/>
        <n v="26.10620486301352"/>
        <n v="21.58120628356673"/>
        <n v="57.29342070995049"/>
        <n v="8.20844636489408"/>
        <n v="17.85110369883276"/>
        <n v="14.6525825604433"/>
        <n v="27.53915851400681"/>
        <n v="12.15832249135989"/>
        <n v="5.222223442085737"/>
        <n v="3.966387046558339"/>
        <n v="8.78227081503086"/>
        <n v="10.03280812091976"/>
        <n v="6.769656984026546"/>
        <n v="6.224885621645051"/>
        <n v="12.44306999728684"/>
        <n v="8.203054392060873"/>
        <n v="24.35057898475153"/>
        <n v="9.299025151343718"/>
        <n v="11.93843713167143"/>
        <n v="8.247981556545598"/>
        <n v="6.611787881935056"/>
        <n v="30.97984737536591"/>
        <n v="8.20711597642962"/>
        <n v="18.74487378767892"/>
        <n v="1.670163437002137"/>
        <n v="192.1798413379474"/>
        <n v="34.88145014334921"/>
        <n v="22.7997719478329"/>
        <n v="21.42783354273614"/>
        <n v="5.374051525284159"/>
        <n v="12.9261691959935"/>
        <n v="39.51416461840247"/>
        <n v="13.86836261133183"/>
        <n v="14.29534761959154"/>
        <n v="36.74863711016376"/>
        <n v="22.92637056529008"/>
        <n v="20.9039462655477"/>
        <n v="12.30172239831701"/>
        <n v="62.82537597545986"/>
        <n v="27.41770866671897"/>
        <n v="22.49091154186432"/>
        <n v="17.24165930005776"/>
        <n v="9.555031707593029"/>
        <n v="12.2783151215172"/>
        <n v="22.7243427560192"/>
        <n v="23.52222246293798"/>
        <n v="80.14595973444234"/>
        <n v="17.03278509696461"/>
        <n v="16.39162679684157"/>
        <n v="6.635130774237408"/>
        <n v="12.17757454185478"/>
        <n v="41.27004984575846"/>
        <n v="11.68525365539565"/>
        <n v="8.683102192768331"/>
        <n v="9.647367139759815"/>
        <n v="14.37280156509104"/>
        <n v="7.717719032943149"/>
        <n v="16.57649230348004"/>
        <n v="6.510592170749453"/>
        <n v="14.20977576248782"/>
        <n v="13.96337377805597"/>
        <n v="72.66863294298405"/>
        <n v="7.205917692973499"/>
        <n v="28.51916262854515"/>
        <n v="12.6828397395982"/>
        <n v="14.50738167716652"/>
        <n v="33.6929798603733"/>
        <n v="3.177326314683628"/>
        <n v="4.884716454943995"/>
        <n v="7.4598975934958"/>
        <n v="9.44319275411339"/>
        <n v="15.07459898647582"/>
        <n v="16.95998522105486"/>
        <n v="34.18502760971532"/>
        <n v="10.3801775746751"/>
        <n v="10.07231560752464"/>
        <n v="24.68292145607358"/>
        <n v="12.64292203331873"/>
        <n v="32.59198577176328"/>
        <n v="25.0251095532265"/>
      </sharedItems>
    </cacheField>
    <cacheField name="orderPrice" numFmtId="165">
      <sharedItems containsSemiMixedTypes="0" containsString="0" containsNumber="1">
        <n v="14.0"/>
        <n v="9.8"/>
        <n v="34.8"/>
        <n v="18.6"/>
        <n v="42.4"/>
        <n v="7.7"/>
        <n v="16.8"/>
        <n v="15.6"/>
        <n v="64.8"/>
        <n v="2.0"/>
        <n v="27.2"/>
        <n v="10.0"/>
        <n v="14.4"/>
        <n v="16.0"/>
        <n v="3.6"/>
        <n v="19.2"/>
        <n v="8.0"/>
        <n v="15.2"/>
        <n v="13.9"/>
        <n v="44.0"/>
        <n v="26.2"/>
        <n v="10.4"/>
        <n v="35.1"/>
        <n v="17.0"/>
        <n v="25.6"/>
        <n v="20.8"/>
        <n v="39.4"/>
        <n v="12.0"/>
        <n v="24.0"/>
        <n v="30.4"/>
        <n v="20.7"/>
        <n v="31.2"/>
        <n v="14.7"/>
        <n v="99.0"/>
        <n v="27.8"/>
        <n v="36.8"/>
        <n v="24.8"/>
        <n v="17.2"/>
        <n v="4.8"/>
        <n v="36.4"/>
        <n v="15.5"/>
        <n v="6.2"/>
        <n v="7.3"/>
        <n v="12.4"/>
        <n v="11.2"/>
        <n v="9.6"/>
        <n v="5.9"/>
        <n v="26.6"/>
        <n v="50.0"/>
        <n v="28.8"/>
        <n v="13.6"/>
        <n v="17.6"/>
        <n v="20.0"/>
        <n v="10.6"/>
        <n v="5.6"/>
        <n v="210.8"/>
        <n v="24.9"/>
        <n v="7.6"/>
        <n v="7.2"/>
        <n v="32.0"/>
        <n v="13.0"/>
        <n v="10.2"/>
        <n v="22.8"/>
        <n v="77.6"/>
        <n v="4.5"/>
        <n v="18.4"/>
        <n v="45.6"/>
        <n v="7.45"/>
        <n v="9.5"/>
        <n v="32.8"/>
        <n v="23.25"/>
        <n v="21.05"/>
        <n v="19.0"/>
        <n v="28.5"/>
        <n v="49.3"/>
        <n v="15.0"/>
        <n v="46.0"/>
        <n v="12.75"/>
        <n v="6.0"/>
        <n v="18.0"/>
        <n v="123.79"/>
        <n v="7.75"/>
        <n v="22.0"/>
        <n v="30.0"/>
        <n v="40.0"/>
        <n v="34.0"/>
        <n v="81.0"/>
        <n v="38.0"/>
        <n v="97.0"/>
        <n v="17.45"/>
        <n v="43.9"/>
        <n v="2.5"/>
        <n v="62.5"/>
        <n v="9.65"/>
        <n v="7.0"/>
        <n v="55.0"/>
        <n v="263.5"/>
        <n v="19.45"/>
        <n v="31.0"/>
        <n v="12.5"/>
        <n v="25.89"/>
        <n v="39.0"/>
        <n v="26.0"/>
        <n v="21.0"/>
        <n v="36.0"/>
        <n v="19.5"/>
        <n v="53.0"/>
        <n v="13.25"/>
        <n v="31.23"/>
        <n v="21.5"/>
        <n v="9.0"/>
        <n v="9.2"/>
        <n v="33.25"/>
        <n v="25.0"/>
        <n v="21.35"/>
        <n v="16.25"/>
      </sharedItems>
    </cacheField>
    <cacheField name="productMarkup" numFmtId="10">
      <sharedItems containsSemiMixedTypes="0" containsString="0" containsNumber="1">
        <n v="0.3229624453483169"/>
        <n v="0.2534492421324942"/>
        <n v="0.81171743822393"/>
        <n v="0.3330905270319857"/>
        <n v="0.46838191724176326"/>
        <n v="0.4893044511212719"/>
        <n v="0.5034765150185995"/>
        <n v="0.4358370357170541"/>
        <n v="0.38919714686249957"/>
        <n v="0.41045951205961334"/>
        <n v="0.43487726917875463"/>
        <n v="0.5397125611730956"/>
        <n v="0.5527179424828987"/>
        <n v="0.4779057362288186"/>
        <n v="0.2732126778551446"/>
        <n v="0.34269617267978236"/>
        <n v="0.4797732883729748"/>
        <n v="0.4116492519304205"/>
        <n v="0.5559825832559878"/>
        <n v="0.4174156419913273"/>
        <n v="0.5560635737887112"/>
        <n v="0.506667714726835"/>
        <n v="0.4290997391382601"/>
        <n v="0.39967942250356053"/>
        <n v="0.5125640820728131"/>
        <n v="0.5587884354259188"/>
        <n v="0.74685306027101"/>
        <n v="0.38556054831223757"/>
        <n v="0.4252696643529106"/>
        <n v="0.3419786188872632"/>
        <n v="0.49299766478092666"/>
        <n v="0.411945920831943"/>
        <n v="0.460744828260519"/>
        <n v="0.4136901080798752"/>
        <n v="0.5428684114037097"/>
        <n v="0.46797457745699694"/>
        <n v="0.5190543057898516"/>
        <n v="0.5184932162476192"/>
        <n v="0.4123057355691526"/>
        <n v="0.4090630691128965"/>
        <n v="0.4472915167421052"/>
        <n v="0.4266375384022983"/>
        <n v="0.5426428174807221"/>
        <n v="0.43247500748437895"/>
        <n v="0.48297939065624307"/>
        <n v="0.3226781326345824"/>
        <n v="0.45517341378050225"/>
        <n v="0.47394005127176136"/>
        <n v="0.4252088312051944"/>
        <n v="0.45231924990438965"/>
        <n v="0.30796222740537627"/>
        <n v="0.41618521411688264"/>
        <n v="0.7683525613923033"/>
        <n v="0.5040409795165799"/>
        <n v="0.3602679486442042"/>
        <n v="0.5320106405592306"/>
        <n v="0.36895749956069673"/>
        <n v="0.36674449060352854"/>
        <n v="0.42302680633431866"/>
        <n v="0.37327019442333137"/>
        <n v="0.5401771444921518"/>
        <n v="0.5875549344179803"/>
        <n v="0.3904873976803961"/>
        <n v="0.39955956273205684"/>
        <n v="0.45213642272216953"/>
        <n v="0.46624313458275324"/>
        <n v="0.4325134195799932"/>
        <n v="0.6591173392283569"/>
        <n v="0.4532243570783009"/>
        <n v="0.5196647604738965"/>
        <n v="0.5805170326841677"/>
        <n v="0.4420774749603408"/>
        <n v="0.6037475764092669"/>
        <n v="0.35588248359047886"/>
        <n v="0.6691209206981844"/>
        <n v="0.3426591483933049"/>
        <n v="0.7846386118078991"/>
        <n v="0.2243959790215238"/>
        <n v="0.22446344263277615"/>
        <n v="0.22688821965506853"/>
        <n v="0.2906160219079654"/>
        <n v="0.2518827447479136"/>
        <n v="0.27164613911340485"/>
        <n v="0.2835469928669355"/>
        <n v="0.20219217166132564"/>
        <n v="0.26613067359952663"/>
        <n v="0.1597783792303532"/>
        <n v="0.2624275339190144"/>
        <n v="0.17403199577424863"/>
        <n v="0.2300066778896402"/>
        <n v="0.2500385493567416"/>
        <n v="0.18435895416213244"/>
        <n v="0.1894785663972184"/>
        <n v="0.15458622440887876"/>
        <n v="0.2507752865916764"/>
        <n v="0.2889123033102606"/>
        <n v="0.30213568634110133"/>
        <n v="0.3196307933070655"/>
        <n v="0.30311886345706235"/>
        <n v="0.1981038774462863"/>
        <n v="0.11463393872925286"/>
        <n v="0.20931923494182292"/>
        <n v="0.2828141472158037"/>
        <n v="0.24983220783778584"/>
        <n v="0.17558780064838325"/>
        <n v="0.18680084251172424"/>
        <n v="0.18856473003783814"/>
        <n v="0.2368932349087624"/>
        <n v="0.25647846337934543"/>
        <n v="0.20101312926593318"/>
        <n v="0.19827549653801618"/>
        <n v="0.19805693507524147"/>
        <n v="0.3544035727847752"/>
        <n v="0.17647053473105853"/>
        <n v="0.3794829719153495"/>
        <n v="0.25141308372294524"/>
        <n v="0.15552652149485374"/>
        <n v="0.3256234388906419"/>
        <n v="0.22883325754362055"/>
        <n v="0.19450267317513562"/>
        <n v="0.2942002405623147"/>
        <n v="0.24166565913425941"/>
        <n v="0.22535328348119368"/>
        <n v="0.23800689050915716"/>
        <n v="0.2598061334290747"/>
        <n v="0.2865194144810574"/>
        <n v="0.21540397793511082"/>
        <n v="0.16485217735020954"/>
        <n v="0.1532007872980562"/>
        <n v="0.1820060743134371"/>
        <n v="0.157733652865897"/>
        <n v="0.2506065915210807"/>
        <n v="0.2777314930548986"/>
        <n v="0.0869888426343311"/>
        <n v="0.336854833382408"/>
        <n v="0.22729562611084084"/>
        <n v="0.14950479736461558"/>
        <n v="0.11961782679915463"/>
        <n v="0.19649431696078365"/>
        <n v="0.18853199807682594"/>
        <n v="0.12189133089048954"/>
        <n v="0.2743953261653529"/>
        <n v="0.27393450084904075"/>
        <n v="0.37622564416519405"/>
        <n v="0.2651928627049291"/>
        <n v="0.14942590228327463"/>
        <n v="0.4368809967057694"/>
        <n v="0.6133324068645438"/>
        <n v="0.5375083473620503"/>
        <n v="0.44640472068804604"/>
        <n v="0.5336102745688357"/>
        <n v="0.43732154776633736"/>
        <n v="0.512859980843192"/>
        <n v="0.5924181260613011"/>
        <n v="0.5035584213710919"/>
        <n v="0.3522983008955949"/>
        <n v="0.5116490436772785"/>
        <n v="0.5933423350200697"/>
        <n v="0.5642663546536816"/>
        <n v="0.486848207996523"/>
        <n v="0.6570292986133023"/>
        <n v="0.39470693348609553"/>
        <n v="0.7202820552064927"/>
        <n v="0.5316916043514921"/>
        <n v="0.48566499759603254"/>
        <n v="0.5780344173987682"/>
        <n v="0.5520820739178243"/>
        <n v="0.534119532638551"/>
        <n v="0.5309896792229741"/>
        <n v="0.44716706608237117"/>
        <n v="0.592994157706691"/>
        <n v="0.4023641636131119"/>
        <n v="0.5322027927801481"/>
        <n v="0.693004465980969"/>
        <n v="0.44440815186856725"/>
        <n v="0.49312834146891954"/>
        <n v="0.48277161061042206"/>
        <n v="0.4137748976460093"/>
        <n v="0.5648534309348922"/>
        <n v="0.6177503007028935"/>
        <n v="0.45598077104817714"/>
        <n v="0.35951026187028867"/>
        <n v="0.6035176840197547"/>
        <n v="0.5814910783811613"/>
        <n v="0.4733015943190777"/>
        <n v="0.39952228349894336"/>
        <n v="0.5622902597972322"/>
        <n v="0.4975711688440517"/>
        <n v="0.48924363786148617"/>
        <n v="0.4956178962009795"/>
        <n v="0.5305793032909701"/>
        <n v="0.47058816841382317"/>
        <n v="0.4804486927026655"/>
        <n v="0.6142052563863395"/>
        <n v="0.5705980792241818"/>
        <n v="0.6288985793213279"/>
        <n v="0.5634691082395956"/>
        <n v="0.6276696079263766"/>
        <n v="0.47963350309739594"/>
        <n v="0.6081492681013217"/>
        <n v="0.6495384916338318"/>
        <n v="0.4857059125472976"/>
        <n v="0.6710685417280101"/>
        <n v="0.5475086131364465"/>
        <n v="0.49784437067252024"/>
        <n v="0.5971643663186234"/>
        <n v="0.5747576667863433"/>
        <n v="0.43678237785409335"/>
        <n v="0.6141909700071453"/>
        <n v="0.562548186695927"/>
        <n v="0.4724907320493891"/>
        <n v="0.6044337410836694"/>
        <n v="0.502740214576657"/>
        <n v="0.563258239401351"/>
        <n v="0.5588243508439197"/>
        <n v="0.4415009841225702"/>
        <n v="0.7243537148941869"/>
        <n v="0.5192549724188884"/>
        <n v="0.583565144473482"/>
        <n v="0.4004736301898627"/>
        <n v="0.45708102390341204"/>
        <n v="0.4560652216877619"/>
        <n v="0.5360415719295256"/>
        <n v="0.3798533452165089"/>
        <n v="0.4804673928324735"/>
        <n v="0.3404252188037793"/>
        <n v="0.5127116767906553"/>
        <n v="0.5941207342455206"/>
        <n v="0.49509487465657526"/>
        <n v="0.3590053412910002"/>
        <n v="0.4458096978851105"/>
        <n v="0.4787347498657521"/>
        <n v="0.5238226400275758"/>
        <n v="0.4291241297298087"/>
        <n v="0.39799600371244154"/>
        <n v="0.5914980989927886"/>
        <n v="0.45490141045196686"/>
        <n v="0.459514456954381"/>
        <n v="0.4848362370105667"/>
        <n v="0.5535298924271681"/>
        <n v="0.5204156785911871"/>
        <n v="0.4968594956715013"/>
        <n v="0.37111154929426965"/>
        <n v="0.41335867050813957"/>
        <n v="0.3697505427447218"/>
        <n v="0.4933847575480975"/>
        <n v="0.4421149413133344"/>
        <n v="0.3925239355198249"/>
        <n v="0.3412911676567985"/>
        <n v="0.5142378800249218"/>
        <n v="0.3640801552300532"/>
        <n v="0.4966541435298117"/>
        <n v="0.4306669215954456"/>
        <n v="0.48297357858653955"/>
        <n v="0.46320973739925786"/>
        <n v="0.2892879468264432"/>
        <n v="0.4589111178555218"/>
        <n v="0.5117217431011097"/>
        <n v="0.4499764532475277"/>
        <n v="0.30821125272318184"/>
        <n v="0.5840935671959372"/>
        <n v="0.46318863242778596"/>
        <n v="0.2753896893573097"/>
        <n v="0.544556960951855"/>
        <n v="0.5200097842257062"/>
        <n v="0.28114190618629725"/>
        <n v="0.43177283511670633"/>
        <n v="0.4781268583602856"/>
        <n v="0.5144154231358036"/>
        <n v="0.6259809637274563"/>
        <n v="0.5259523273876913"/>
        <n v="0.4511731332688298"/>
        <n v="0.5306688748444186"/>
        <n v="0.29571962354614295"/>
        <n v="0.5684862348436408"/>
        <n v="0.45916066478272866"/>
        <n v="0.5130428769155906"/>
        <n v="0.5290001069478226"/>
        <n v="0.3348262664595107"/>
        <n v="0.38774829606380523"/>
        <n v="0.3675015815844629"/>
        <n v="0.3758748323151819"/>
        <n v="0.45098546853089605"/>
        <n v="0.30294204258351437"/>
        <n v="0.4162851260205149"/>
        <n v="0.525165292339454"/>
        <n v="0.34050097533763557"/>
        <n v="0.4825494262945862"/>
        <n v="0.3267351269471914"/>
        <n v="0.41509557273701864"/>
        <n v="0.333917307910571"/>
        <n v="0.44506198396798624"/>
        <n v="0.3899485029580624"/>
        <n v="0.45849834121405003"/>
        <n v="0.28530413753840284"/>
        <n v="0.34695689631877685"/>
        <n v="0.5184748709761648"/>
      </sharedItems>
    </cacheField>
    <cacheField name="orderQuantity" numFmtId="0">
      <sharedItems containsSemiMixedTypes="0" containsString="0" containsNumber="1" containsInteger="1">
        <n v="12.0"/>
        <n v="10.0"/>
        <n v="5.0"/>
        <n v="9.0"/>
        <n v="40.0"/>
        <n v="35.0"/>
        <n v="15.0"/>
        <n v="6.0"/>
        <n v="20.0"/>
        <n v="25.0"/>
        <n v="42.0"/>
        <n v="21.0"/>
        <n v="30.0"/>
        <n v="50.0"/>
        <n v="65.0"/>
        <n v="1.0"/>
        <n v="16.0"/>
        <n v="2.0"/>
        <n v="60.0"/>
        <n v="28.0"/>
        <n v="36.0"/>
        <n v="70.0"/>
        <n v="4.0"/>
        <n v="24.0"/>
        <n v="33.0"/>
        <n v="7.0"/>
        <n v="8.0"/>
        <n v="18.0"/>
        <n v="3.0"/>
        <n v="45.0"/>
        <n v="100.0"/>
        <n v="14.0"/>
        <n v="80.0"/>
        <n v="48.0"/>
        <n v="56.0"/>
        <n v="13.0"/>
        <n v="77.0"/>
        <n v="54.0"/>
        <n v="55.0"/>
        <n v="32.0"/>
        <n v="120.0"/>
        <n v="49.0"/>
        <n v="90.0"/>
        <n v="39.0"/>
        <n v="84.0"/>
        <n v="11.0"/>
        <n v="110.0"/>
        <n v="27.0"/>
        <n v="44.0"/>
        <n v="130.0"/>
        <n v="52.0"/>
        <n v="91.0"/>
        <n v="66.0"/>
        <n v="63.0"/>
      </sharedItems>
    </cacheField>
    <cacheField name="discountApllied" numFmtId="10">
      <sharedItems containsSemiMixedTypes="0" containsString="0" containsNumber="1">
        <n v="0.0"/>
        <n v="0.15"/>
        <n v="0.05"/>
        <n v="0.2"/>
        <n v="0.25"/>
        <n v="0.1"/>
      </sharedItems>
    </cacheField>
    <cacheField name="orderTotal" numFmtId="165">
      <sharedItems containsSemiMixedTypes="0" containsString="0" containsNumber="1">
        <n v="168.0"/>
        <n v="98.0"/>
        <n v="174.0"/>
        <n v="167.4"/>
        <n v="1696.0"/>
        <n v="77.0"/>
        <n v="1484.0"/>
        <n v="252.0"/>
        <n v="100.80000000000001"/>
        <n v="234.0"/>
        <n v="336.0"/>
        <n v="2592.0"/>
        <n v="50.0"/>
        <n v="1088.0"/>
        <n v="200.0"/>
        <n v="604.8000000000001"/>
        <n v="640.0"/>
        <n v="54.0"/>
        <n v="403.2"/>
        <n v="304.0"/>
        <n v="486.5"/>
        <n v="380.0"/>
        <n v="1320.0"/>
        <n v="393.0"/>
        <n v="124.80000000000001"/>
        <n v="877.5"/>
        <n v="86.4"/>
        <n v="156.0"/>
        <n v="760.0"/>
        <n v="1105.0"/>
        <n v="153.60000000000002"/>
        <n v="80.0"/>
        <n v="20.8"/>
        <n v="123.2"/>
        <n v="780.0"/>
        <n v="591.0"/>
        <n v="160.0"/>
        <n v="288.0"/>
        <n v="204.0"/>
        <n v="360.0"/>
        <n v="60.8"/>
        <n v="834.0"/>
        <n v="100.8"/>
        <n v="1242.0"/>
        <n v="532.0"/>
        <n v="192.5"/>
        <n v="936.0"/>
        <n v="240.0"/>
        <n v="364.79999999999995"/>
        <n v="735.0"/>
        <n v="3080.0"/>
        <n v="216.0"/>
        <n v="990.0"/>
        <n v="111.2"/>
        <n v="120.0"/>
        <n v="556.0"/>
        <n v="456.0"/>
        <n v="919.9999999999999"/>
        <n v="48.0"/>
        <n v="388.79999999999995"/>
        <n v="400.0"/>
        <n v="667.2"/>
        <n v="595.2"/>
        <n v="150.0"/>
        <n v="40.0"/>
        <n v="882.0"/>
        <n v="475.2"/>
        <n v="344.0"/>
        <n v="194.6"/>
        <n v="43.2"/>
        <n v="264.0"/>
        <n v="372.0"/>
        <n v="728.0"/>
        <n v="472.79999999999995"/>
        <n v="248.0"/>
        <n v="660.0"/>
        <n v="280.8"/>
        <n v="300.0"/>
        <n v="468.0"/>
        <n v="384.0"/>
        <n v="186.0"/>
        <n v="7.3"/>
        <n v="21.6"/>
        <n v="57.6"/>
        <n v="124.19999999999999"/>
        <n v="31.2"/>
        <n v="131.4"/>
        <n v="952.0"/>
        <n v="83.4"/>
        <n v="526.5"/>
        <n v="325.5"/>
        <n v="544.0"/>
        <n v="56.0"/>
        <n v="648.0"/>
        <n v="588.0"/>
        <n v="943.1999999999999"/>
        <n v="1440.0"/>
        <n v="1576.0"/>
        <n v="224.0"/>
        <n v="144.0"/>
        <n v="59.0"/>
        <n v="30.0"/>
        <n v="239.4"/>
        <n v="340.0"/>
        <n v="1485.0"/>
        <n v="104.0"/>
        <n v="96.0"/>
        <n v="84.8"/>
        <n v="1296.0"/>
        <n v="600.0"/>
        <n v="36.0"/>
        <n v="175.5"/>
        <n v="37.2"/>
        <n v="259.2"/>
        <n v="552.0"/>
        <n v="571.1999999999999"/>
        <n v="121.6"/>
        <n v="201.60000000000002"/>
        <n v="417.0"/>
        <n v="432.0"/>
        <n v="864.0"/>
        <n v="608.0"/>
        <n v="109.5"/>
        <n v="408.0"/>
        <n v="147.0"/>
        <n v="1248.0"/>
        <n v="1019.1999999999999"/>
        <n v="441.59999999999997"/>
        <n v="504.0"/>
        <n v="480.0"/>
        <n v="440.0"/>
        <n v="34.4"/>
        <n v="1250.0"/>
        <n v="2475.0"/>
        <n v="207.0"/>
        <n v="262.0"/>
        <n v="29.5"/>
        <n v="394.0"/>
        <n v="28.8"/>
        <n v="60.0"/>
        <n v="352.0"/>
        <n v="22.4"/>
        <n v="736.0"/>
        <n v="51.599999999999994"/>
        <n v="139.0"/>
        <n v="197.0"/>
        <n v="67.19999999999999"/>
        <n v="201.6"/>
        <n v="145.6"/>
        <n v="883.1999999999999"/>
        <n v="524.0"/>
        <n v="62.0"/>
        <n v="182.39999999999998"/>
        <n v="1024.0"/>
        <n v="318.0"/>
        <n v="985.0"/>
        <n v="156.79999999999998"/>
        <n v="2758.0"/>
        <n v="154.0"/>
        <n v="249.6"/>
        <n v="509.59999999999997"/>
        <n v="516.0"/>
        <n v="112.0"/>
        <n v="44.8"/>
        <n v="291.90000000000003"/>
        <n v="1008.0"/>
        <n v="1760.0"/>
        <n v="2808.0"/>
        <n v="57.599999999999994"/>
        <n v="1112.0"/>
        <n v="422.40000000000003"/>
        <n v="310.0"/>
        <n v="840.0"/>
        <n v="724.5"/>
        <n v="396.0"/>
        <n v="672.0"/>
        <n v="100.0"/>
        <n v="73.0"/>
        <n v="165.6"/>
        <n v="4216.0"/>
        <n v="1245.0"/>
        <n v="695.0"/>
        <n v="88.5"/>
        <n v="2000.0"/>
        <n v="688.0"/>
        <n v="106.39999999999999"/>
        <n v="250.0"/>
        <n v="2035.1999999999998"/>
        <n v="316.8"/>
        <n v="597.5999999999999"/>
        <n v="582.4"/>
        <n v="624.0"/>
        <n v="310.5"/>
        <n v="176.0"/>
        <n v="2184.0"/>
        <n v="1103.2"/>
        <n v="1000.0"/>
        <n v="92.4"/>
        <n v="1472.0"/>
        <n v="16.0"/>
        <n v="560.0"/>
        <n v="768.0"/>
        <n v="1330.0"/>
        <n v="616.0"/>
        <n v="2240.0"/>
        <n v="584.0"/>
        <n v="1123.2"/>
        <n v="720.0"/>
        <n v="58.8"/>
        <n v="180.0"/>
        <n v="141.60000000000002"/>
        <n v="195.0"/>
        <n v="518.4"/>
        <n v="100.10000000000001"/>
        <n v="1193.5"/>
        <n v="118.0"/>
        <n v="10540.0"/>
        <n v="172.8"/>
        <n v="90.0"/>
        <n v="390.0"/>
        <n v="230.39999999999998"/>
        <n v="576.0"/>
        <n v="744.0"/>
        <n v="398.4"/>
        <n v="217.6"/>
        <n v="778.4"/>
        <n v="700.0"/>
        <n v="2176.0"/>
        <n v="1092.0"/>
        <n v="3465.0"/>
        <n v="2108.0"/>
        <n v="165.20000000000002"/>
        <n v="777.6"/>
        <n v="1496.0"/>
        <n v="848.0"/>
        <n v="74.4"/>
        <n v="86.0"/>
        <n v="403.20000000000005"/>
        <n v="84.0"/>
        <n v="52.0"/>
        <n v="106.2"/>
        <n v="72.8"/>
        <n v="473.2"/>
        <n v="931.0"/>
        <n v="1980.0"/>
        <n v="547.1999999999999"/>
        <n v="798.0"/>
        <n v="91.19999999999999"/>
        <n v="777.5999999999999"/>
        <n v="8432.0"/>
        <n v="1904.0"/>
        <n v="1167.6000000000001"/>
        <n v="860.0"/>
        <n v="159.0"/>
        <n v="279.0"/>
        <n v="420.0"/>
        <n v="103.19999999999999"/>
        <n v="61.6"/>
        <n v="561.6"/>
        <n v="372.59999999999997"/>
        <n v="163.2"/>
        <n v="450.0"/>
        <n v="1386.0"/>
        <n v="1814.3999999999999"/>
        <n v="218.39999999999998"/>
        <n v="528.0"/>
        <n v="258.0"/>
        <n v="114.0"/>
        <n v="1048.0"/>
        <n v="396.8"/>
        <n v="788.0"/>
        <n v="86.39999999999999"/>
        <n v="781.2"/>
        <n v="78.39999999999999"/>
        <n v="1743.0"/>
        <n v="320.0"/>
        <n v="268.8"/>
        <n v="1834.0"/>
        <n v="230.4"/>
        <n v="1032.0"/>
        <n v="583.8000000000001"/>
        <n v="763.1999999999999"/>
        <n v="2304.0"/>
        <n v="2079.0"/>
        <n v="2128.0"/>
        <n v="2281.5"/>
        <n v="714.0"/>
        <n v="747.0"/>
        <n v="448.0"/>
        <n v="1528.8"/>
        <n v="76.0"/>
        <n v="29.4"/>
        <n v="208.0"/>
        <n v="35.400000000000006"/>
        <n v="1379.0"/>
        <n v="223.20000000000002"/>
        <n v="704.0"/>
        <n v="620.0"/>
        <n v="345.6"/>
        <n v="62.4"/>
        <n v="146.0"/>
        <n v="312.0"/>
        <n v="19.2"/>
        <n v="364.0"/>
        <n v="912.0"/>
        <n v="418.0"/>
        <n v="364.8"/>
        <n v="1632.0"/>
        <n v="1552.0"/>
        <n v="9.6"/>
        <n v="29.2"/>
        <n v="49.8"/>
        <n v="140.0"/>
        <n v="880.0"/>
        <n v="10329.2"/>
        <n v="192.0"/>
        <n v="152.0"/>
        <n v="186.20000000000002"/>
        <n v="651.0"/>
        <n v="520.0"/>
        <n v="1228.5"/>
        <n v="1404.0"/>
        <n v="1560.0"/>
        <n v="228.0"/>
        <n v="249.0"/>
        <n v="236.0"/>
        <n v="851.1999999999999"/>
        <n v="278.0"/>
        <n v="1216.0"/>
        <n v="148.8"/>
        <n v="222.4"/>
        <n v="159.60000000000002"/>
        <n v="684.0"/>
        <n v="681.1"/>
        <n v="2376.0"/>
        <n v="2052.0"/>
        <n v="1755.0"/>
        <n v="472.0"/>
        <n v="816.0"/>
        <n v="436.79999999999995"/>
        <n v="373.5"/>
        <n v="115.2"/>
        <n v="231.0"/>
        <n v="87.6"/>
        <n v="72.0"/>
        <n v="292.0"/>
        <n v="149.39999999999998"/>
        <n v="294.0"/>
        <n v="347.2"/>
        <n v="496.0"/>
        <n v="470.40000000000003"/>
        <n v="572.0"/>
        <n v="546.0"/>
        <n v="1550.0"/>
        <n v="153.0"/>
        <n v="1310.0"/>
        <n v="570.0"/>
        <n v="1584.0"/>
        <n v="210.0"/>
        <n v="24.8"/>
        <n v="579.6"/>
        <n v="1152.0"/>
        <n v="4.8"/>
        <n v="151.20000000000002"/>
        <n v="153.29999999999998"/>
        <n v="281.6"/>
        <n v="110.39999999999999"/>
        <n v="1782.0"/>
        <n v="325.0"/>
        <n v="134.39999999999998"/>
        <n v="31.0"/>
        <n v="1500.0"/>
        <n v="108.0"/>
        <n v="212.8"/>
        <n v="24.0"/>
        <n v="206.39999999999998"/>
        <n v="655.1999999999999"/>
        <n v="308.7"/>
        <n v="350.0"/>
        <n v="38.4"/>
        <n v="6324.0"/>
        <n v="733.6"/>
        <n v="2640.0"/>
        <n v="392.0"/>
        <n v="127.19999999999999"/>
        <n v="1060.0"/>
        <n v="128.0"/>
        <n v="36.5"/>
        <n v="250.20000000000002"/>
        <n v="232.5"/>
        <n v="136.0"/>
        <n v="425.59999999999997"/>
        <n v="260.0"/>
        <n v="63.0"/>
        <n v="92.0"/>
        <n v="500.0"/>
        <n v="149.0"/>
        <n v="199.5"/>
        <n v="196.79999999999998"/>
        <n v="1627.5"/>
        <n v="421.0"/>
        <n v="328.0"/>
        <n v="712.5"/>
        <n v="147.89999999999998"/>
        <n v="690.0"/>
        <n v="191.25"/>
        <n v="136.8"/>
        <n v="4456.4400000000005"/>
        <n v="1100.0"/>
        <n v="45.0"/>
        <n v="57.0"/>
        <n v="1600.0"/>
        <n v="427.5"/>
        <n v="3159.0"/>
        <n v="1596.0"/>
        <n v="2660.0"/>
        <n v="820.95"/>
        <n v="387.5"/>
        <n v="872.5"/>
        <n v="5268.0"/>
        <n v="2856.0"/>
        <n v="1562.5"/>
        <n v="772.0"/>
        <n v="280.0"/>
        <n v="42.0"/>
        <n v="220.0"/>
        <n v="22.5"/>
        <n v="3952.5"/>
        <n v="175.04999999999998"/>
        <n v="1520.0"/>
        <n v="164.0"/>
        <n v="96.5"/>
        <n v="75.0"/>
        <n v="960.0"/>
        <n v="517.8"/>
        <n v="459.99999999999994"/>
        <n v="975.0"/>
        <n v="1215.0"/>
        <n v="57.900000000000006"/>
        <n v="258.9"/>
        <n v="2760.0"/>
        <n v="111.75"/>
        <n v="276.0"/>
        <n v="1140.0"/>
        <n v="20.0"/>
        <n v="313.2"/>
        <n v="1150.0"/>
        <n v="900.0"/>
        <n v="110.0"/>
        <n v="388.35"/>
        <n v="835.1999999999999"/>
        <n v="184.0"/>
        <n v="74.5"/>
        <n v="1050.0"/>
        <n v="97.5"/>
        <n v="825.0"/>
        <n v="1190.0"/>
        <n v="375.0"/>
        <n v="265.0"/>
        <n v="730.8"/>
        <n v="135.0"/>
        <n v="105.0"/>
        <n v="34.8"/>
        <n v="37.5"/>
        <n v="1249.2"/>
        <n v="7905.0"/>
        <n v="437.5"/>
        <n v="157.5"/>
        <n v="1054.0"/>
        <n v="757.8000000000001"/>
        <n v="193.5"/>
        <n v="315.0"/>
        <n v="178.8"/>
        <n v="630.0"/>
        <n v="319.2"/>
        <n v="540.0"/>
        <n v="1972.0"/>
        <n v="135.1"/>
        <n v="687.5"/>
        <n v="950.0"/>
        <n v="2544.0"/>
        <n v="285.0"/>
        <n v="698.0"/>
        <n v="778.0"/>
        <n v="244.29999999999998"/>
        <n v="523.5"/>
        <n v="986.0"/>
        <n v="130.0"/>
        <n v="697.5"/>
        <n v="322.0"/>
        <n v="81.0"/>
        <n v="997.5"/>
        <n v="155.0"/>
        <n v="237.5"/>
        <n v="590.4"/>
        <n v="115.80000000000001"/>
        <n v="739.5"/>
        <n v="194.5"/>
        <n v="2650.0"/>
        <n v="493.0"/>
        <n v="475.0"/>
        <n v="490.0"/>
        <n v="112.5"/>
        <n v="598.5"/>
        <n v="1125.0"/>
        <n v="750.0"/>
        <n v="2200.0"/>
        <n v="2280.0"/>
        <n v="255.75"/>
        <n v="209.39999999999998"/>
        <n v="116.25"/>
        <n v="702.0"/>
        <n v="819.9999999999999"/>
        <n v="35.0"/>
        <n v="36.8"/>
        <n v="263.4"/>
        <n v="1044.0"/>
        <n v="408.45"/>
        <n v="117.0"/>
        <n v="162.75"/>
        <n v="348.75"/>
        <n v="86.85000000000001"/>
        <n v="631.5"/>
        <n v="78.0"/>
        <n v="1237.9"/>
        <n v="625.0"/>
        <n v="142.5"/>
        <n v="28.0"/>
        <n v="187.38"/>
        <n v="2500.0"/>
        <n v="1400.0"/>
        <n v="372.5"/>
        <n v="156.15"/>
        <n v="1701.0"/>
        <n v="397.5"/>
        <n v="3420.0"/>
        <n v="2340.0"/>
        <n v="190.0"/>
        <n v="1053.6"/>
        <n v="252.60000000000002"/>
        <n v="2195.0"/>
        <n v="29.8"/>
        <n v="1925.0"/>
        <n v="65.0"/>
        <n v="76.5"/>
        <n v="2380.0"/>
        <n v="322.5"/>
        <n v="1350.0"/>
        <n v="3900.0"/>
        <n v="772.8"/>
        <n v="417.59999999999997"/>
        <n v="1064.0"/>
        <n v="399.0"/>
        <n v="510.0"/>
        <n v="2170.0"/>
        <n v="1045.0"/>
        <n v="1360.0"/>
        <n v="225.0"/>
        <n v="1650.0"/>
        <n v="1750.0"/>
        <n v="187.5"/>
        <n v="46.0"/>
        <n v="488.25"/>
        <n v="138.0"/>
        <n v="13.5"/>
        <n v="742.74"/>
        <n v="69.75"/>
        <n v="70.0"/>
        <n v="393.59999999999997"/>
        <n v="680.0"/>
        <n v="430.0"/>
        <n v="525.0"/>
        <n v="2475.8"/>
        <n v="299.25"/>
        <n v="1368.0"/>
        <n v="1093.05"/>
        <n v="3944.0"/>
        <n v="3125.0"/>
        <n v="795.0"/>
        <n v="15.5"/>
        <n v="320.25"/>
        <n v="550.0"/>
        <n v="79.5"/>
        <n v="406.25"/>
        <n v="442.05"/>
        <n v="2088.0"/>
        <n v="1104.0"/>
        <n v="378.0"/>
        <n v="920.0"/>
        <n v="270.0"/>
        <n v="558.0"/>
        <n v="645.0"/>
        <n v="455.0"/>
        <n v="67.5"/>
        <n v="522.0"/>
        <n v="776.7"/>
        <n v="223.5"/>
        <n v="51.78"/>
        <n v="44.7"/>
        <n v="193.0"/>
        <n v="544.6"/>
        <n v="775.0"/>
        <n v="231.60000000000002"/>
        <n v="95.0"/>
        <n v="1710.0"/>
        <n v="1020.0"/>
        <n v="1288.0"/>
        <n v="1870.0"/>
        <n v="910.0"/>
        <n v="649.25"/>
        <n v="125.0"/>
        <n v="315.75"/>
        <n v="55.0"/>
        <n v="210.5"/>
        <n v="1620.0"/>
        <n v="301.0"/>
        <n v="498.75"/>
        <n v="193.75"/>
        <n v="174.5"/>
        <n v="52.349999999999994"/>
        <n v="64.39999999999999"/>
        <n v="936.9"/>
        <n v="3800.0"/>
        <n v="1158.0"/>
        <n v="68.0"/>
        <n v="368.0"/>
        <n v="38.6"/>
        <n v="1170.0"/>
        <n v="468.45"/>
        <n v="4850.0"/>
        <n v="2736.0"/>
        <n v="196.0"/>
        <n v="4951.6"/>
        <n v="1840.0"/>
        <n v="466.79999999999995"/>
        <n v="2366.3999999999996"/>
        <n v="878.0"/>
        <n v="582.0"/>
        <n v="447.0"/>
        <n v="1080.0"/>
        <n v="2700.0"/>
        <n v="1375.0"/>
        <n v="162.0"/>
        <n v="1485.48"/>
        <n v="1368.25"/>
        <n v="1290.0"/>
        <n v="2310.0"/>
        <n v="132.0"/>
        <n v="306.0"/>
        <n v="349.0"/>
        <n v="85.4"/>
        <n v="47.5"/>
        <n v="405.3"/>
        <n v="3935.9999999999995"/>
        <n v="98.39999999999999"/>
        <n v="1053.0"/>
        <n v="371.0"/>
        <n v="77.67"/>
        <n v="298.0"/>
        <n v="172.0"/>
        <n v="972.5"/>
        <n v="562.5"/>
        <n v="650.0"/>
        <n v="261.75"/>
        <n v="1590.0"/>
        <n v="175.0"/>
        <n v="26.0"/>
        <n v="842.0"/>
        <n v="126.0"/>
        <n v="1700.0"/>
        <n v="1218.0"/>
        <n v="311.2"/>
        <n v="243.59999999999997"/>
        <n v="443.7"/>
        <n v="337.75"/>
        <n v="395.09999999999997"/>
        <n v="330.0"/>
        <n v="374.76"/>
        <n v="38.0"/>
        <n v="55.199999999999996"/>
        <n v="273.0"/>
        <n v="1312.5"/>
        <n v="385.0"/>
        <n v="1479.0"/>
        <n v="624.6"/>
        <n v="1756.0"/>
        <n v="1380.0"/>
        <n v="139.5"/>
        <n v="1684.0"/>
        <n v="289.5"/>
        <n v="2228.2200000000003"/>
        <n v="1287.0"/>
        <n v="875.0"/>
        <n v="54.25"/>
        <n v="25.0"/>
        <n v="850.0"/>
        <n v="256.5"/>
        <n v="6360.0"/>
        <n v="22.35"/>
        <n v="12.5"/>
        <n v="1317.5"/>
        <n v="77.5"/>
        <n v="1200.0"/>
        <n v="1875.0"/>
        <n v="1317.0"/>
        <n v="1733.0600000000002"/>
        <n v="1134.25"/>
        <n v="1365.0"/>
        <n v="655.83"/>
        <n v="1163.75"/>
        <n v="98.6"/>
        <n v="348.0"/>
        <n v="530.0"/>
        <n v="52.15"/>
        <n v="647.25"/>
        <n v="246.5"/>
        <n v="220.79999999999998"/>
        <n v="1116.0"/>
        <n v="1094.4"/>
        <n v="2635.0"/>
        <n v="42.1"/>
        <n v="18.4"/>
        <n v="1392.0"/>
        <n v="102.0"/>
        <n v="855.0"/>
        <n v="1232.5"/>
        <n v="292.5"/>
        <n v="656.0"/>
        <n v="465.0"/>
        <n v="405.0"/>
        <n v="527.0"/>
        <n v="800.0"/>
        <n v="414.0"/>
        <n v="18.0"/>
        <n v="99.75"/>
        <n v="295.2"/>
        <n v="990.32"/>
        <n v="2040.0"/>
        <n v="2750.0"/>
        <n v="230.0"/>
        <n v="212.0"/>
        <n v="462.0"/>
        <n v="342.0"/>
        <n v="1530.0"/>
        <n v="1182.5"/>
        <n v="640.5"/>
        <n v="291.0"/>
        <n v="562.14"/>
        <n v="10.0"/>
        <n v="2465.0"/>
        <n v="3100.0"/>
        <n v="439.0"/>
        <n v="260.75"/>
        <n v="1638.0"/>
        <n v="87.5"/>
        <n v="15810.0"/>
        <n v="27.0"/>
        <n v="1035.6"/>
        <n v="106.0"/>
        <n v="229.99999999999997"/>
        <n v="665.0"/>
        <n v="238.4"/>
        <n v="585.0"/>
        <n v="2970.96"/>
        <n v="906.15"/>
        <n v="1800.0"/>
        <n v="930.0"/>
        <n v="495.0"/>
        <n v="810.0"/>
        <n v="1674.3999999999999"/>
        <n v="3400.0"/>
        <n v="9903.2"/>
        <n v="932.04"/>
        <n v="295.79999999999995"/>
        <n v="198.75"/>
        <n v="1725.5"/>
        <n v="108.5"/>
        <n v="48.25"/>
        <n v="7427.400000000001"/>
        <n v="537.5"/>
        <n v="104.69999999999999"/>
        <n v="25.89"/>
        <n v="418.79999999999995"/>
        <n v="460.0"/>
        <n v="46.5"/>
        <n v="379.75"/>
        <n v="1097.5"/>
        <n v="690.1999999999999"/>
        <n v="556.8"/>
        <n v="65.6"/>
        <n v="1666.0"/>
        <n v="752.5"/>
        <n v="1739.9999999999998"/>
        <n v="441.0"/>
        <n v="350.09999999999997"/>
        <n v="146.25"/>
        <n v="2120.0"/>
        <n v="2958.0"/>
        <n v="91.2"/>
        <n v="4050.0"/>
        <n v="488.59999999999997"/>
        <n v="312.5"/>
        <n v="93.0"/>
        <n v="133.0"/>
        <n v="424.0"/>
        <n v="266.0"/>
        <n v="427.0"/>
        <n v="324.0"/>
        <n v="792.0"/>
        <n v="591.5999999999999"/>
        <n v="17.5"/>
        <n v="116.69999999999999"/>
        <n v="1536.5"/>
        <n v="959.75"/>
        <n v="628.1999999999999"/>
        <n v="1120.0"/>
        <n v="696.0"/>
        <n v="1881.0"/>
        <n v="69.6"/>
        <n v="6189.5"/>
        <n v="247.58"/>
        <n v="3192.0"/>
        <n v="1260.0"/>
        <n v="451.5"/>
        <n v="1224.0"/>
        <n v="270.2"/>
        <n v="6050.0"/>
        <n v="209.0"/>
        <n v="1967.49"/>
        <n v="2332.0"/>
        <n v="1075.0"/>
        <n v="1035.3"/>
        <n v="526.8"/>
        <n v="1900.0"/>
        <n v="1494.5"/>
        <n v="5500.0"/>
        <n v="94.5"/>
        <n v="6587.5"/>
        <n v="2296.0"/>
        <n v="233.39999999999998"/>
        <n v="171.0"/>
        <n v="14.0"/>
        <n v="291.75"/>
        <n v="1272.0"/>
        <n v="2187.5"/>
        <n v="831.25"/>
      </sharedItems>
    </cacheField>
    <cacheField name="revenue" numFmtId="165">
      <sharedItems containsSemiMixedTypes="0" containsString="0" containsNumber="1">
        <n v="168.0"/>
        <n v="98.0"/>
        <n v="174.0"/>
        <n v="167.4"/>
        <n v="1696.0"/>
        <n v="77.0"/>
        <n v="1261.3999999999999"/>
        <n v="214.2"/>
        <n v="95.76"/>
        <n v="222.29999999999998"/>
        <n v="336.0"/>
        <n v="2462.4"/>
        <n v="47.5"/>
        <n v="1088.0"/>
        <n v="200.0"/>
        <n v="604.8000000000001"/>
        <n v="640.0"/>
        <n v="45.9"/>
        <n v="342.71999999999997"/>
        <n v="304.0"/>
        <n v="486.5"/>
        <n v="380.0"/>
        <n v="1320.0"/>
        <n v="393.0"/>
        <n v="124.80000000000001"/>
        <n v="877.5"/>
        <n v="86.4"/>
        <n v="156.0"/>
        <n v="608.0"/>
        <n v="884.0"/>
        <n v="122.88000000000002"/>
        <n v="80.0"/>
        <n v="20.8"/>
        <n v="92.4"/>
        <n v="780.0"/>
        <n v="443.25"/>
        <n v="189.0"/>
        <n v="160.0"/>
        <n v="288.0"/>
        <n v="163.20000000000002"/>
        <n v="360.0"/>
        <n v="60.8"/>
        <n v="625.5"/>
        <n v="100.8"/>
        <n v="931.5"/>
        <n v="216.0"/>
        <n v="532.0"/>
        <n v="163.625"/>
        <n v="936.0"/>
        <n v="240.0"/>
        <n v="346.55999999999995"/>
        <n v="735.0"/>
        <n v="2618.0"/>
        <n v="183.6"/>
        <n v="990.0"/>
        <n v="111.2"/>
        <n v="114.0"/>
        <n v="528.1999999999999"/>
        <n v="456.0"/>
        <n v="919.9999999999999"/>
        <n v="48.0"/>
        <n v="388.79999999999995"/>
        <n v="400.0"/>
        <n v="667.2"/>
        <n v="565.44"/>
        <n v="142.5"/>
        <n v="40.0"/>
        <n v="837.9"/>
        <n v="451.43999999999994"/>
        <n v="344.0"/>
        <n v="194.6"/>
        <n v="41.04"/>
        <n v="250.79999999999998"/>
        <n v="372.0"/>
        <n v="728.0"/>
        <n v="472.79999999999995"/>
        <n v="248.0"/>
        <n v="660.0"/>
        <n v="280.8"/>
        <n v="300.0"/>
        <n v="351.0"/>
        <n v="43.2"/>
        <n v="384.0"/>
        <n v="186.0"/>
        <n v="7.3"/>
        <n v="21.6"/>
        <n v="57.6"/>
        <n v="124.19999999999999"/>
        <n v="31.2"/>
        <n v="131.4"/>
        <n v="952.0"/>
        <n v="83.4"/>
        <n v="394.875"/>
        <n v="325.5"/>
        <n v="408.0"/>
        <n v="42.0"/>
        <n v="518.4"/>
        <n v="470.40000000000003"/>
        <n v="754.56"/>
        <n v="1440.0"/>
        <n v="1576.0"/>
        <n v="472.59999999999997"/>
        <n v="224.0"/>
        <n v="122.39999999999999"/>
        <n v="53.1"/>
        <n v="27.0"/>
        <n v="239.4"/>
        <n v="340.0"/>
        <n v="1485.0"/>
        <n v="104.0"/>
        <n v="334.8"/>
        <n v="76.32"/>
        <n v="1296.0"/>
        <n v="600.0"/>
        <n v="36.0"/>
        <n v="175.5"/>
        <n v="37.2"/>
        <n v="259.2"/>
        <n v="468.0"/>
        <n v="552.0"/>
        <n v="571.1999999999999"/>
        <n v="121.6"/>
        <n v="201.60000000000002"/>
        <n v="417.0"/>
        <n v="432.0"/>
        <n v="864.0"/>
        <n v="556.0"/>
        <n v="591.0"/>
        <n v="109.5"/>
        <n v="147.0"/>
        <n v="1248.0"/>
        <n v="1019.1999999999999"/>
        <n v="441.59999999999997"/>
        <n v="529.2"/>
        <n v="453.6"/>
        <n v="135.0"/>
        <n v="480.0"/>
        <n v="440.0"/>
        <n v="34.4"/>
        <n v="1125.0"/>
        <n v="2227.5"/>
        <n v="388.8"/>
        <n v="207.0"/>
        <n v="262.0"/>
        <n v="29.5"/>
        <n v="394.0"/>
        <n v="30.0"/>
        <n v="28.8"/>
        <n v="60.0"/>
        <n v="352.0"/>
        <n v="22.4"/>
        <n v="736.0"/>
        <n v="51.599999999999994"/>
        <n v="139.0"/>
        <n v="197.0"/>
        <n v="67.19999999999999"/>
        <n v="201.6"/>
        <n v="145.6"/>
        <n v="883.1999999999999"/>
        <n v="524.0"/>
        <n v="62.0"/>
        <n v="182.39999999999998"/>
        <n v="921.6"/>
        <n v="286.2"/>
        <n v="886.5"/>
        <n v="156.79999999999998"/>
        <n v="2758.0"/>
        <n v="154.0"/>
        <n v="249.6"/>
        <n v="509.59999999999997"/>
        <n v="516.0"/>
        <n v="144.0"/>
        <n v="112.0"/>
        <n v="44.8"/>
        <n v="248.115"/>
        <n v="856.8"/>
        <n v="1496.0"/>
        <n v="2386.7999999999997"/>
        <n v="120.0"/>
        <n v="57.599999999999994"/>
        <n v="1112.0"/>
        <n v="422.40000000000003"/>
        <n v="310.0"/>
        <n v="672.0"/>
        <n v="579.6"/>
        <n v="254.4"/>
        <n v="396.0"/>
        <n v="100.0"/>
        <n v="69.35"/>
        <n v="157.32"/>
        <n v="4005.2"/>
        <n v="1058.25"/>
        <n v="590.75"/>
        <n v="88.5"/>
        <n v="1600.0"/>
        <n v="89.60000000000001"/>
        <n v="97.28"/>
        <n v="72.0"/>
        <n v="619.2"/>
        <n v="85.12"/>
        <n v="1628.1599999999999"/>
        <n v="285.12"/>
        <n v="597.5999999999999"/>
        <n v="582.4"/>
        <n v="695.0"/>
        <n v="624.0"/>
        <n v="310.5"/>
        <n v="176.0"/>
        <n v="2074.7999999999997"/>
        <n v="1103.2"/>
        <n v="950.0"/>
        <n v="87.78"/>
        <n v="1398.3999999999999"/>
        <n v="16.0"/>
        <n v="336.59999999999997"/>
        <n v="291.84"/>
        <n v="448.0"/>
        <n v="486.40000000000003"/>
        <n v="614.4000000000001"/>
        <n v="1330.0"/>
        <n v="38.0"/>
        <n v="616.0"/>
        <n v="1680.0"/>
        <n v="2240.0"/>
        <n v="584.0"/>
        <n v="1010.8800000000001"/>
        <n v="612.0"/>
        <n v="58.8"/>
        <n v="31.62"/>
        <n v="180.0"/>
        <n v="141.60000000000002"/>
        <n v="466.56"/>
        <n v="100.10000000000001"/>
        <n v="1133.825"/>
        <n v="159.6"/>
        <n v="100.3"/>
        <n v="161.28000000000003"/>
        <n v="8432.0"/>
        <n v="172.8"/>
        <n v="90.0"/>
        <n v="390.0"/>
        <n v="230.39999999999998"/>
        <n v="576.0"/>
        <n v="595.2"/>
        <n v="398.4"/>
        <n v="174.08"/>
        <n v="34.199999999999996"/>
        <n v="106.39999999999999"/>
        <n v="288.8"/>
        <n v="739.4799999999999"/>
        <n v="665.0"/>
        <n v="2067.2"/>
        <n v="1092.0"/>
        <n v="3465.0"/>
        <n v="2108.0"/>
        <n v="560.0"/>
        <n v="165.20000000000002"/>
        <n v="699.84"/>
        <n v="1346.4"/>
        <n v="848.0"/>
        <n v="74.4"/>
        <n v="86.0"/>
        <n v="403.20000000000005"/>
        <n v="84.0"/>
        <n v="52.0"/>
        <n v="403.2"/>
        <n v="106.2"/>
        <n v="252.0"/>
        <n v="72.8"/>
        <n v="425.88"/>
        <n v="1980.0"/>
        <n v="410.4"/>
        <n v="798.0"/>
        <n v="136.0"/>
        <n v="72.96"/>
        <n v="583.1999999999999"/>
        <n v="6324.0"/>
        <n v="1428.0"/>
        <n v="875.7"/>
        <n v="678.4000000000001"/>
        <n v="688.0"/>
        <n v="159.0"/>
        <n v="279.0"/>
        <n v="59.0"/>
        <n v="399.0"/>
        <n v="618.8"/>
        <n v="244.79999999999998"/>
        <n v="103.19999999999999"/>
        <n v="55.440000000000005"/>
        <n v="505.44000000000005"/>
        <n v="302.40000000000003"/>
        <n v="335.34"/>
        <n v="471.6"/>
        <n v="146.88"/>
        <n v="544.0"/>
        <n v="450.0"/>
        <n v="1386.0"/>
        <n v="96.0"/>
        <n v="195.0"/>
        <n v="1814.3999999999999"/>
        <n v="192.0"/>
        <n v="435.20000000000005"/>
        <n v="64.0"/>
        <n v="54.0"/>
        <n v="218.39999999999998"/>
        <n v="528.0"/>
        <n v="258.0"/>
        <n v="91.2"/>
        <n v="1048.0"/>
        <n v="396.8"/>
        <n v="788.0"/>
        <n v="540.0"/>
        <n v="600.48"/>
        <n v="86.39999999999999"/>
        <n v="285.0"/>
        <n v="585.9000000000001"/>
        <n v="1307.25"/>
        <n v="320.0"/>
        <n v="241.92000000000002"/>
        <n v="1650.6000000000001"/>
        <n v="230.4"/>
        <n v="1032.0"/>
        <n v="583.8000000000001"/>
        <n v="68.0"/>
        <n v="648.7199999999999"/>
        <n v="2073.6"/>
        <n v="504.0"/>
        <n v="2079.0"/>
        <n v="372.59999999999997"/>
        <n v="2128.0"/>
        <n v="2281.5"/>
        <n v="606.9"/>
        <n v="709.65"/>
        <n v="425.59999999999997"/>
        <n v="1375.92"/>
        <n v="68.4"/>
        <n v="26.46"/>
        <n v="208.0"/>
        <n v="35.400000000000006"/>
        <n v="1379.0"/>
        <n v="223.20000000000002"/>
        <n v="704.0"/>
        <n v="496.0"/>
        <n v="316.8"/>
        <n v="345.6"/>
        <n v="124.83"/>
        <n v="62.4"/>
        <n v="146.0"/>
        <n v="312.0"/>
        <n v="10540.0"/>
        <n v="14.399999999999999"/>
        <n v="270.0"/>
        <n v="364.0"/>
        <n v="912.0"/>
        <n v="418.0"/>
        <n v="364.8"/>
        <n v="1550.3999999999999"/>
        <n v="547.1999999999999"/>
        <n v="1396.8"/>
        <n v="8.64"/>
        <n v="24.82"/>
        <n v="747.0"/>
        <n v="334.05"/>
        <n v="88.39999999999999"/>
        <n v="49.8"/>
        <n v="140.0"/>
        <n v="880.0"/>
        <n v="691.2"/>
        <n v="8263.36"/>
        <n v="152.0"/>
        <n v="186.20000000000002"/>
        <n v="651.0"/>
        <n v="520.0"/>
        <n v="921.375"/>
        <n v="1123.2"/>
        <n v="2464.0"/>
        <n v="1170.0"/>
        <n v="551.25"/>
        <n v="171.0"/>
        <n v="249.0"/>
        <n v="236.0"/>
        <n v="851.1999999999999"/>
        <n v="100.80000000000001"/>
        <n v="220.32"/>
        <n v="278.0"/>
        <n v="1094.4"/>
        <n v="718.2"/>
        <n v="133.92000000000002"/>
        <n v="87.60000000000001"/>
        <n v="179.20000000000002"/>
        <n v="187.20000000000002"/>
        <n v="222.4"/>
        <n v="159.60000000000002"/>
        <n v="581.4"/>
        <n v="578.9350000000001"/>
        <n v="2019.6"/>
        <n v="1744.2"/>
        <n v="1755.0"/>
        <n v="472.0"/>
        <n v="816.0"/>
        <n v="80.64000000000001"/>
        <n v="436.79999999999995"/>
        <n v="373.5"/>
        <n v="115.2"/>
        <n v="231.0"/>
        <n v="78.84"/>
        <n v="64.8"/>
        <n v="75.60000000000001"/>
        <n v="292.0"/>
        <n v="588.0"/>
        <n v="149.39999999999998"/>
        <n v="294.0"/>
        <n v="347.2"/>
        <n v="28.320000000000007"/>
        <n v="423.36"/>
        <n v="514.8000000000001"/>
        <n v="546.0"/>
        <n v="1472.5"/>
        <n v="137.70000000000002"/>
        <n v="32.0"/>
        <n v="76.80000000000001"/>
        <n v="1310.0"/>
        <n v="570.0"/>
        <n v="272.0"/>
        <n v="285.59999999999997"/>
        <n v="1584.0"/>
        <n v="860.0"/>
        <n v="364.79999999999995"/>
        <n v="157.5"/>
        <n v="18.6"/>
        <n v="434.70000000000005"/>
        <n v="4.8"/>
        <n v="151.20000000000002"/>
        <n v="153.29999999999998"/>
        <n v="225.28000000000003"/>
        <n v="110.39999999999999"/>
        <n v="729.6"/>
        <n v="1603.8"/>
        <n v="205.20000000000002"/>
        <n v="325.0"/>
        <n v="134.39999999999998"/>
        <n v="165.6"/>
        <n v="516.8"/>
        <n v="413.525"/>
        <n v="26.349999999999998"/>
        <n v="1500.0"/>
        <n v="108.0"/>
        <n v="212.8"/>
        <n v="720.0"/>
        <n v="273.59999999999997"/>
        <n v="763.1999999999999"/>
        <n v="24.0"/>
        <n v="206.39999999999998"/>
        <n v="655.1999999999999"/>
        <n v="308.7"/>
        <n v="297.5"/>
        <n v="693.6"/>
        <n v="514.08"/>
        <n v="36.48"/>
        <n v="126.0"/>
        <n v="471.2"/>
        <n v="733.6"/>
        <n v="2640.0"/>
        <n v="228.0"/>
        <n v="372.4"/>
        <n v="296.4"/>
        <n v="127.19999999999999"/>
        <n v="273.6"/>
        <n v="648.0"/>
        <n v="1060.0"/>
        <n v="128.0"/>
        <n v="36.5"/>
        <n v="106.20000000000002"/>
        <n v="250.20000000000002"/>
        <n v="197.625"/>
        <n v="61.879999999999995"/>
        <n v="638.4"/>
        <n v="212.79999999999998"/>
        <n v="226.8"/>
        <n v="122.4"/>
        <n v="190.0"/>
        <n v="260.0"/>
        <n v="63.0"/>
        <n v="92.0"/>
        <n v="420.0"/>
        <n v="500.0"/>
        <n v="176.7"/>
        <n v="346.56"/>
        <n v="149.0"/>
        <n v="199.5"/>
        <n v="196.79999999999998"/>
        <n v="1627.5"/>
        <n v="421.0"/>
        <n v="328.0"/>
        <n v="712.5"/>
        <n v="147.89999999999998"/>
        <n v="586.5"/>
        <n v="162.5625"/>
        <n v="136.8"/>
        <n v="4456.4400000000005"/>
        <n v="251.1"/>
        <n v="935.0"/>
        <n v="1275.0"/>
        <n v="38.25"/>
        <n v="91.8"/>
        <n v="48.449999999999996"/>
        <n v="346.8"/>
        <n v="1280.0"/>
        <n v="342.0"/>
        <n v="3159.0"/>
        <n v="1596.0"/>
        <n v="2660.0"/>
        <n v="820.95"/>
        <n v="387.5"/>
        <n v="1319.2"/>
        <n v="872.5"/>
        <n v="5268.0"/>
        <n v="34.0"/>
        <n v="2427.6"/>
        <n v="1406.25"/>
        <n v="694.8000000000001"/>
        <n v="280.0"/>
        <n v="220.0"/>
        <n v="22.5"/>
        <n v="3952.5"/>
        <n v="175.04999999999998"/>
        <n v="1520.0"/>
        <n v="323.0"/>
        <n v="164.0"/>
        <n v="96.5"/>
        <n v="75.0"/>
        <n v="960.0"/>
        <n v="414.24"/>
        <n v="368.0"/>
        <n v="1093.5"/>
        <n v="421.2"/>
        <n v="52.11000000000001"/>
        <n v="258.9"/>
        <n v="2760.0"/>
        <n v="111.75"/>
        <n v="248.4"/>
        <n v="969.0"/>
        <n v="513.0"/>
        <n v="313.2"/>
        <n v="250.0"/>
        <n v="1560.0"/>
        <n v="1150.0"/>
        <n v="900.0"/>
        <n v="110.0"/>
        <n v="388.35"/>
        <n v="1045.0"/>
        <n v="835.1999999999999"/>
        <n v="147.20000000000002"/>
        <n v="59.6"/>
        <n v="945.0"/>
        <n v="87.75"/>
        <n v="742.5"/>
        <n v="427.5"/>
        <n v="892.5"/>
        <n v="375.0"/>
        <n v="318.0"/>
        <n v="265.0"/>
        <n v="730.8"/>
        <n v="105.0"/>
        <n v="34.8"/>
        <n v="150.0"/>
        <n v="37.5"/>
        <n v="1249.2"/>
        <n v="7905.0"/>
        <n v="437.5"/>
        <n v="141.75"/>
        <n v="948.6"/>
        <n v="682.0200000000001"/>
        <n v="174.15"/>
        <n v="299.25"/>
        <n v="169.86"/>
        <n v="535.5"/>
        <n v="319.2"/>
        <n v="210.0"/>
        <n v="1972.0"/>
        <n v="652.8"/>
        <n v="1140.0"/>
        <n v="135.1"/>
        <n v="584.375"/>
        <n v="807.5"/>
        <n v="2162.4"/>
        <n v="256.5"/>
        <n v="593.3"/>
        <n v="306.0"/>
        <n v="778.0"/>
        <n v="232.5"/>
        <n v="315.0"/>
        <n v="244.29999999999998"/>
        <n v="497.325"/>
        <n v="936.6999999999999"/>
        <n v="123.5"/>
        <n v="558.0"/>
        <n v="257.6"/>
        <n v="1216.0"/>
        <n v="997.5"/>
        <n v="155.0"/>
        <n v="237.5"/>
        <n v="590.4"/>
        <n v="45.0"/>
        <n v="110.01"/>
        <n v="517.8"/>
        <n v="554.625"/>
        <n v="194.5"/>
        <n v="2650.0"/>
        <n v="443.7"/>
        <n v="475.0"/>
        <n v="490.0"/>
        <n v="592.8"/>
        <n v="71.25"/>
        <n v="101.25"/>
        <n v="538.65"/>
        <n v="624.75"/>
        <n v="956.25"/>
        <n v="1760.0"/>
        <n v="350.0"/>
        <n v="2166.0"/>
        <n v="217.3875"/>
        <n v="333.2"/>
        <n v="188.45999999999998"/>
        <n v="104.625"/>
        <n v="702.0"/>
        <n v="819.9999999999999"/>
        <n v="35.0"/>
        <n v="36.8"/>
        <n v="493.0"/>
        <n v="263.4"/>
        <n v="1044.0"/>
        <n v="408.45"/>
        <n v="234.0"/>
        <n v="117.0"/>
        <n v="162.75"/>
        <n v="331.3125"/>
        <n v="82.50750000000001"/>
        <n v="599.925"/>
        <n v="78.0"/>
        <n v="1237.9"/>
        <n v="593.75"/>
        <n v="23.8"/>
        <n v="187.38"/>
        <n v="2000.0"/>
        <n v="1120.0"/>
        <n v="741.0"/>
        <n v="372.5"/>
        <n v="368.125"/>
        <n v="148.3425"/>
        <n v="1360.8000000000002"/>
        <n v="397.5"/>
        <n v="405.0"/>
        <n v="2565.0"/>
        <n v="842.88"/>
        <n v="202.08000000000004"/>
        <n v="2195.0"/>
        <n v="193.5"/>
        <n v="29.8"/>
        <n v="1925.0"/>
        <n v="48.75"/>
        <n v="1008.0"/>
        <n v="68.85000000000001"/>
        <n v="162.0"/>
        <n v="2261.0"/>
        <n v="306.375"/>
        <n v="394.40000000000003"/>
        <n v="1350.0"/>
        <n v="3900.0"/>
        <n v="772.8"/>
        <n v="417.59999999999997"/>
        <n v="1064.0"/>
        <n v="510.0"/>
        <n v="2170.0"/>
        <n v="1360.0"/>
        <n v="3754.875"/>
        <n v="213.75"/>
        <n v="1402.5"/>
        <n v="1750.0"/>
        <n v="760.0"/>
        <n v="187.5"/>
        <n v="840.0"/>
        <n v="46.0"/>
        <n v="322.5"/>
        <n v="488.25"/>
        <n v="124.2"/>
        <n v="225.0"/>
        <n v="13.5"/>
        <n v="486.0"/>
        <n v="742.74"/>
        <n v="69.75"/>
        <n v="70.0"/>
        <n v="393.59999999999997"/>
        <n v="680.0"/>
        <n v="430.0"/>
        <n v="739.5"/>
        <n v="446.25"/>
        <n v="2475.8"/>
        <n v="630.0"/>
        <n v="55.800000000000004"/>
        <n v="541.5"/>
        <n v="1162.8"/>
        <n v="66.3"/>
        <n v="929.0925"/>
        <n v="3352.4"/>
        <n v="1050.0"/>
        <n v="3125.0"/>
        <n v="795.0"/>
        <n v="15.5"/>
        <n v="198.0"/>
        <n v="288.225"/>
        <n v="550.0"/>
        <n v="79.5"/>
        <n v="385.9375"/>
        <n v="442.05"/>
        <n v="2088.0"/>
        <n v="168.75"/>
        <n v="1104.0"/>
        <n v="283.5"/>
        <n v="18.0"/>
        <n v="920.0"/>
        <n v="1250.0"/>
        <n v="202.5"/>
        <n v="418.5"/>
        <n v="483.75"/>
        <n v="341.25"/>
        <n v="276.0"/>
        <n v="57.375"/>
        <n v="522.0"/>
        <n v="776.7"/>
        <n v="778.9999999999999"/>
        <n v="223.5"/>
        <n v="82.8"/>
        <n v="38.835"/>
        <n v="471.15000000000003"/>
        <n v="237.6"/>
        <n v="324.0"/>
        <n v="40.230000000000004"/>
        <n v="154.4"/>
        <n v="62.775"/>
        <n v="490.14000000000004"/>
        <n v="51.300000000000004"/>
        <n v="775.0"/>
        <n v="231.60000000000002"/>
        <n v="95.0"/>
        <n v="1710.0"/>
        <n v="1020.0"/>
        <n v="1223.6"/>
        <n v="1776.5"/>
        <n v="864.5"/>
        <n v="419.5199999999999"/>
        <n v="1701.0"/>
        <n v="519.4"/>
        <n v="125.0"/>
        <n v="524.4"/>
        <n v="1007.0"/>
        <n v="632.4"/>
        <n v="387.59999999999997"/>
        <n v="268.3875"/>
        <n v="55.0"/>
        <n v="210.5"/>
        <n v="240.8"/>
        <n v="448.875"/>
        <n v="750.0"/>
        <n v="193.75"/>
        <n v="174.5"/>
        <n v="252.60000000000002"/>
        <n v="3557.25"/>
        <n v="52.349999999999994"/>
        <n v="697.5"/>
        <n v="64.39999999999999"/>
        <n v="796.365"/>
        <n v="17.0"/>
        <n v="3800.0"/>
        <n v="1158.0"/>
        <n v="654.375"/>
        <n v="931.0"/>
        <n v="620.0"/>
        <n v="38.6"/>
        <n v="468.45"/>
        <n v="3637.5"/>
        <n v="85.5"/>
        <n v="502.2"/>
        <n v="196.0"/>
        <n v="472.5"/>
        <n v="292.5"/>
        <n v="4951.6"/>
        <n v="1840.0"/>
        <n v="466.79999999999995"/>
        <n v="2366.3999999999996"/>
        <n v="878.0"/>
        <n v="582.0"/>
        <n v="379.95"/>
        <n v="918.0"/>
        <n v="191.25"/>
        <n v="2700.0"/>
        <n v="1375.0"/>
        <n v="48.3"/>
        <n v="121.5"/>
        <n v="298.125"/>
        <n v="337.5"/>
        <n v="1411.206"/>
        <n v="1299.8374999999999"/>
        <n v="134.4"/>
        <n v="1963.5"/>
        <n v="365.5"/>
        <n v="525.0"/>
        <n v="132.0"/>
        <n v="349.0"/>
        <n v="357.0"/>
        <n v="85.4"/>
        <n v="1484.0"/>
        <n v="405.3"/>
        <n v="3935.9999999999995"/>
        <n v="93.47999999999999"/>
        <n v="936.9"/>
        <n v="789.75"/>
        <n v="356.25"/>
        <n v="119.25"/>
        <n v="645.0"/>
        <n v="50.0"/>
        <n v="371.0"/>
        <n v="855.0"/>
        <n v="1368.0"/>
        <n v="986.0"/>
        <n v="562.5"/>
        <n v="58.2525"/>
        <n v="378.0"/>
        <n v="172.0"/>
        <n v="923.875"/>
        <n v="57.0"/>
        <n v="625.0"/>
        <n v="115.80000000000001"/>
        <n v="28.0"/>
        <n v="361.0"/>
        <n v="522.5"/>
        <n v="650.0"/>
        <n v="248.6625"/>
        <n v="35.625"/>
        <n v="199.975"/>
        <n v="1510.5"/>
        <n v="175.0"/>
        <n v="23.400000000000002"/>
        <n v="842.0"/>
        <n v="182.4"/>
        <n v="425.6"/>
        <n v="1700.0"/>
        <n v="1218.0"/>
        <n v="311.2"/>
        <n v="2475.0"/>
        <n v="243.59999999999997"/>
        <n v="392.0"/>
        <n v="337.75"/>
        <n v="395.09999999999997"/>
        <n v="1080.0"/>
        <n v="330.0"/>
        <n v="98.8125"/>
        <n v="1168.75"/>
        <n v="337.284"/>
        <n v="55.199999999999996"/>
        <n v="204.75"/>
        <n v="675.0"/>
        <n v="385.0"/>
        <n v="1479.0"/>
        <n v="624.6"/>
        <n v="1756.0"/>
        <n v="1035.0"/>
        <n v="367.5"/>
        <n v="139.5"/>
        <n v="2280.0"/>
        <n v="2106.0"/>
        <n v="1515.6000000000001"/>
        <n v="275.025"/>
        <n v="99.75"/>
        <n v="236.25"/>
        <n v="2228.2200000000003"/>
        <n v="1287.0"/>
        <n v="700.0"/>
        <n v="43.400000000000006"/>
        <n v="18.75"/>
        <n v="850.0"/>
        <n v="243.67499999999998"/>
        <n v="6042.0"/>
        <n v="17.880000000000003"/>
        <n v="12.5"/>
        <n v="1317.5"/>
        <n v="30.599999999999998"/>
        <n v="887.4"/>
        <n v="77.5"/>
        <n v="310.68000000000006"/>
        <n v="260.40000000000003"/>
        <n v="270.75"/>
        <n v="2352.01"/>
        <n v="436.99999999999994"/>
        <n v="294.5"/>
        <n v="1875.0"/>
        <n v="1317.0"/>
        <n v="76.5"/>
        <n v="646.0"/>
        <n v="1646.4070000000002"/>
        <n v="183.35"/>
        <n v="22.35"/>
        <n v="56.0"/>
        <n v="35.760000000000005"/>
        <n v="1134.25"/>
        <n v="1023.75"/>
        <n v="524.6640000000001"/>
        <n v="98.6"/>
        <n v="348.0"/>
        <n v="102.0"/>
        <n v="477.0"/>
        <n v="46.935"/>
        <n v="1856.8500000000001"/>
        <n v="485.4375"/>
        <n v="1192.5"/>
        <n v="184.875"/>
        <n v="209.75999999999996"/>
        <n v="783.75"/>
        <n v="1116.0"/>
        <n v="2635.0"/>
        <n v="42.1"/>
        <n v="112.5"/>
        <n v="18.4"/>
        <n v="765.0"/>
        <n v="138.0"/>
        <n v="1252.8"/>
        <n v="193.0"/>
        <n v="782.0"/>
        <n v="86.7"/>
        <n v="726.75"/>
        <n v="7509.75"/>
        <n v="1061.82"/>
        <n v="938.4"/>
        <n v="1047.625"/>
        <n v="322.0"/>
        <n v="374.76"/>
        <n v="656.0"/>
        <n v="465.0"/>
        <n v="527.0"/>
        <n v="800.0"/>
        <n v="714.0"/>
        <n v="414.0"/>
        <n v="14.4"/>
        <n v="248.96"/>
        <n v="265.68"/>
        <n v="940.804"/>
        <n v="491.9099999999999"/>
        <n v="825.0"/>
        <n v="2040.0"/>
        <n v="459.99999999999994"/>
        <n v="1171.875"/>
        <n v="357.75"/>
        <n v="469.8"/>
        <n v="67.2"/>
        <n v="2750.0"/>
        <n v="230.0"/>
        <n v="567.0"/>
        <n v="715.5"/>
        <n v="462.0"/>
        <n v="1152.0"/>
        <n v="88.32"/>
        <n v="1224.0"/>
        <n v="946.0"/>
        <n v="640.5"/>
        <n v="291.0"/>
        <n v="477.81899999999996"/>
        <n v="238.0"/>
        <n v="8.5"/>
        <n v="382.5"/>
        <n v="90.25"/>
        <n v="133.0"/>
        <n v="185.25"/>
        <n v="2194.5"/>
        <n v="2465.0"/>
        <n v="331.5"/>
        <n v="819.7874999999999"/>
        <n v="928.4250000000001"/>
        <n v="439.0"/>
        <n v="195.5625"/>
        <n v="748.125"/>
        <n v="1638.0"/>
        <n v="87.5"/>
        <n v="135.15"/>
        <n v="15019.5"/>
        <n v="20.25"/>
        <n v="776.6999999999999"/>
        <n v="98.39999999999999"/>
        <n v="756.0"/>
        <n v="106.0"/>
        <n v="1187.5"/>
        <n v="198.92999999999998"/>
        <n v="473.8125"/>
        <n v="419.9475"/>
        <n v="229.99999999999997"/>
        <n v="179.55"/>
        <n v="392.625"/>
        <n v="1562.5"/>
        <n v="1539.0"/>
        <n v="220.79999999999998"/>
        <n v="684.0"/>
        <n v="202.64"/>
        <n v="758.0999999999999"/>
        <n v="239.97"/>
        <n v="585.0"/>
        <n v="368.9325"/>
        <n v="2090.0"/>
        <n v="1200.0"/>
        <n v="2970.96"/>
        <n v="906.15"/>
        <n v="883.5"/>
        <n v="495.0"/>
        <n v="810.0"/>
        <n v="1674.3999999999999"/>
        <n v="3400.0"/>
        <n v="9903.2"/>
        <n v="932.04"/>
        <n v="33.75"/>
        <n v="289.5"/>
        <n v="251.42999999999995"/>
        <n v="198.75"/>
        <n v="1725.5"/>
        <n v="108.5"/>
        <n v="93.1"/>
        <n v="261.75"/>
        <n v="48.25"/>
        <n v="5570.55"/>
        <n v="537.5"/>
        <n v="74.5"/>
        <n v="104.69999999999999"/>
        <n v="25.89"/>
        <n v="637.5"/>
        <n v="418.79999999999995"/>
        <n v="268.8"/>
        <n v="1231.2"/>
        <n v="46.5"/>
        <n v="403.75"/>
        <n v="71.39999999999999"/>
        <n v="379.75"/>
        <n v="1097.5"/>
        <n v="621.18"/>
        <n v="556.8"/>
        <n v="65.6"/>
        <n v="828.0"/>
        <n v="1249.5"/>
        <n v="564.375"/>
        <n v="161.5"/>
        <n v="476.0"/>
        <n v="412.5"/>
        <n v="1109.25"/>
        <n v="1739.9999999999998"/>
        <n v="441.0"/>
        <n v="78.75"/>
        <n v="262.575"/>
        <n v="146.25"/>
        <n v="2120.0"/>
        <n v="930.0"/>
        <n v="2958.0"/>
        <n v="55.005"/>
        <n v="3847.5"/>
        <n v="415.30999999999995"/>
        <n v="265.625"/>
        <n v="424.0"/>
        <n v="266.0"/>
        <n v="427.0"/>
        <n v="131.75"/>
        <n v="39.9"/>
        <n v="792.0"/>
        <n v="57.8"/>
        <n v="502.8599999999999"/>
        <n v="1733.0600000000002"/>
        <n v="17.5"/>
        <n v="156.15"/>
        <n v="57.900000000000006"/>
        <n v="530.0"/>
        <n v="184.0"/>
        <n v="99.195"/>
        <n v="1536.5"/>
        <n v="15810.0"/>
        <n v="428.4"/>
        <n v="959.75"/>
        <n v="565.38"/>
        <n v="1215.0"/>
        <n v="1800.0"/>
        <n v="696.0"/>
        <n v="1774.8"/>
        <n v="1000.0"/>
        <n v="1326.0"/>
        <n v="1598.85"/>
        <n v="69.6"/>
        <n v="4642.125"/>
        <n v="253.3125"/>
        <n v="940.5"/>
        <n v="755.25"/>
        <n v="259.34999999999997"/>
        <n v="229.5"/>
        <n v="185.685"/>
        <n v="3032.3999999999996"/>
        <n v="1197.0"/>
        <n v="451.5"/>
        <n v="503.5"/>
        <n v="1225.5"/>
        <n v="25.0"/>
        <n v="243.18"/>
        <n v="6050.0"/>
        <n v="156.75"/>
        <n v="1967.49"/>
        <n v="1749.0"/>
        <n v="1380.0"/>
        <n v="1075.0"/>
        <n v="776.4749999999999"/>
        <n v="526.8"/>
        <n v="1425.0"/>
        <n v="1494.5"/>
        <n v="4125.0"/>
        <n v="94.5"/>
        <n v="6587.5"/>
        <n v="1650.0"/>
        <n v="2066.4"/>
        <n v="1166.4"/>
        <n v="233.39999999999998"/>
        <n v="73.60000000000001"/>
        <n v="14.0"/>
        <n v="291.75"/>
        <n v="591.5999999999999"/>
        <n v="1272.0"/>
        <n v="722.0"/>
        <n v="307.8"/>
        <n v="480.375"/>
        <n v="121.60000000000001"/>
        <n v="67.5"/>
        <n v="1190.0"/>
        <n v="130.0"/>
        <n v="262.40000000000003"/>
        <n v="662.4"/>
        <n v="260.55"/>
      </sharedItems>
    </cacheField>
    <cacheField name="profit" numFmtId="165">
      <sharedItems containsSemiMixedTypes="0" containsString="0" containsNumber="1">
        <n v="41.01226834464828"/>
        <n v="19.815741151773707"/>
        <n v="77.95853330717159"/>
        <n v="41.82713258738545"/>
        <n v="540.9871385056288"/>
        <n v="25.29801257759754"/>
        <n v="250.76374619242506"/>
        <n v="46.58846933576308"/>
        <n v="25.557046954105985"/>
        <n v="53.85738512097524"/>
        <n v="112.51795911435079"/>
        <n v="624.7010247099893"/>
        <n v="12.6538141456396"/>
        <n v="381.3746028732396"/>
        <n v="71.19360540125737"/>
        <n v="195.57227648951965"/>
        <n v="137.33456858272518"/>
        <n v="5.68241310375852"/>
        <n v="70.24582901173841"/>
        <n v="48.99026739803732"/>
        <n v="108.62506247090403"/>
        <n v="143.2696971958655"/>
        <n v="135.79403926616305"/>
        <n v="443.89441474205785"/>
        <n v="118.00169915573775"/>
        <n v="35.63672590058205"/>
        <n v="297.35929032674323"/>
        <n v="27.938896641359946"/>
        <n v="44.54590737572755"/>
        <n v="119.56265617726007"/>
        <n v="175.1161162816345"/>
        <n v="34.95045200689623"/>
        <n v="22.261635482152954"/>
        <n v="6.20627046219815"/>
        <n v="9.676820124156066"/>
        <n v="218.52461706991755"/>
        <n v="2.855502142766511"/>
        <n v="20.212060176278356"/>
        <n v="44.52327096430591"/>
        <n v="84.02618219945322"/>
        <n v="32.329129159686374"/>
        <n v="113.55038536833678"/>
        <n v="17.791988801151938"/>
        <n v="37.10519519291222"/>
        <n v="25.727171127015907"/>
        <n v="126.5058794255682"/>
        <n v="11.983315539492537"/>
        <n v="190.09385932408202"/>
        <n v="34.37003144399384"/>
        <n v="298.38677809975945"/>
        <n v="79.24958112026508"/>
        <n v="106.41058690161992"/>
        <n v="250.96754457930734"/>
        <n v="573.7536343981351"/>
        <n v="30.65861163060913"/>
        <n v="287.40547339497436"/>
        <n v="34.36682664573728"/>
        <n v="30.369153949535033"/>
        <n v="144.0341332286863"/>
        <n v="162.9528471193957"/>
        <n v="275.1270205392781"/>
        <n v="14.547661579814019"/>
        <n v="113.14515370649838"/>
        <n v="142.38721080251474"/>
        <n v="206.2009598744237"/>
        <n v="179.60862461265242"/>
        <n v="45.895204050943036"/>
        <n v="12.123051316511678"/>
        <n v="257.06105349516884"/>
        <n v="114.96894558734004"/>
        <n v="103.85619420745721"/>
        <n v="60.14194663004022"/>
        <n v="8.865930483006814"/>
        <n v="75.57888294841158"/>
        <n v="130.85539038290776"/>
        <n v="15.632726184576846"/>
        <n v="177.60154550228344"/>
        <n v="120.48440171421316"/>
        <n v="77.57357683184816"/>
        <n v="221.94720737102892"/>
        <n v="90.29021654054586"/>
        <n v="89.50453194546091"/>
        <n v="32.19338904987973"/>
        <n v="11.025930483006817"/>
        <n v="124.500789534989"/>
        <n v="57.92898530247746"/>
        <n v="1.7187990699998146"/>
        <n v="5.512965241503409"/>
        <n v="16.805236439890642"/>
        <n v="43.70058794255681"/>
        <n v="8.7409846827967"/>
        <n v="72.88166270352565"/>
        <n v="30.93838325999667"/>
        <n v="333.7027775140847"/>
        <n v="25.77511998430296"/>
        <n v="46.790574196045895"/>
        <n v="101.81531959180072"/>
        <n v="54.687301436619805"/>
        <n v="10.332106830603575"/>
        <n v="87.56067525748102"/>
        <n v="83.17403566344592"/>
        <n v="94.56407797377051"/>
        <n v="420.130910997266"/>
        <n v="401.6146723807108"/>
        <n v="80.33679679527478"/>
        <n v="59.32656178272558"/>
        <n v="28.405874771577558"/>
        <n v="10.00151080736012"/>
        <n v="5.050030414424743"/>
        <n v="71.34541181396719"/>
        <n v="65.07159691357774"/>
        <n v="121.88188193281061"/>
        <n v="431.1082100924616"/>
        <n v="51.50046321852193"/>
        <n v="29.697271583818363"/>
        <n v="21.665452369153698"/>
        <n v="79.16036524777223"/>
        <n v="18.569356925281433"/>
        <n v="377.1505123549946"/>
        <n v="210.4344216860586"/>
        <n v="9.188275402505681"/>
        <n v="56.43138533784115"/>
        <n v="11.585797060495494"/>
        <n v="86.8642701029924"/>
        <n v="149.19338904987973"/>
        <n v="165.07621232356695"/>
        <n v="200.22166650845077"/>
        <n v="35.583977602303875"/>
        <n v="74.6122683446483"/>
        <n v="122.80259759645611"/>
        <n v="121.31757258594348"/>
        <n v="279.3889664135994"/>
        <n v="171.83413322868637"/>
        <n v="217.25012494180805"/>
        <n v="65.27046282586093"/>
        <n v="113.89441474205785"/>
        <n v="150.6055021427665"/>
        <n v="25.781986049997215"/>
        <n v="116.47971685924534"/>
        <n v="53.66686942949829"/>
        <n v="50.19350891586147"/>
        <n v="177.9198880115194"/>
        <n v="397.849037466346"/>
        <n v="248.64216370319662"/>
        <n v="132.06096985885353"/>
        <n v="141.97403566344593"/>
        <n v="118.3769386715262"/>
        <n v="25.25015207212371"/>
        <n v="103.00092643704386"/>
        <n v="147.96480491401928"/>
        <n v="10.38561942074572"/>
        <n v="313.4050451792888"/>
        <n v="471.0136834874361"/>
        <n v="96.49448320679971"/>
        <n v="72.8343132375947"/>
        <n v="78.6677994371585"/>
        <n v="7.950755403680059"/>
        <n v="100.4036680951777"/>
        <n v="8.050030414424743"/>
        <n v="8.087838172396232"/>
        <n v="19.81239528006627"/>
        <n v="109.59853241602318"/>
        <n v="190.7909228364495"/>
        <n v="6.763148230354739"/>
        <n v="220.1016164314226"/>
        <n v="15.578429131118575"/>
        <n v="40.9341991988187"/>
        <n v="50.20183404758885"/>
        <n v="20.28944469106421"/>
        <n v="56.614867206773624"/>
        <n v="35.52030910045667"/>
        <n v="264.12193971770705"/>
        <n v="157.335598874317"/>
        <n v="19.309661767492486"/>
        <n v="65.18113884775825"/>
        <n v="335.40301337930805"/>
        <n v="94.53182049203377"/>
        <n v="152.5091702379442"/>
        <n v="41.52859324790788"/>
        <n v="118.87437168039764"/>
        <n v="702.8256766662439"/>
        <n v="96.5158556699916"/>
        <n v="50.59602515519508"/>
        <n v="25.223444652243657"/>
        <n v="79.5698074932692"/>
        <n v="124.32108185159831"/>
        <n v="126.11722326121827"/>
        <n v="155.78429131118583"/>
        <n v="42.01309109972661"/>
        <n v="34.93000082576695"/>
        <n v="18.220415675881412"/>
        <n v="15.319813866033556"/>
        <n v="18.62593109423996"/>
        <n v="42.17681831751929"/>
        <n v="142.89163769808613"/>
        <n v="100.01174954315513"/>
        <n v="327.85921965607713"/>
        <n v="481.7021654054581"/>
        <n v="38.15818456728991"/>
        <n v="18.759271421492215"/>
        <n v="14.238721080251477"/>
        <n v="343.66826645737274"/>
        <n v="131.51823889922787"/>
        <n v="69.9278774623736"/>
        <n v="96.54830883746243"/>
        <n v="59.78132808863003"/>
        <n v="142.8844514360345"/>
        <n v="110.0200963315815"/>
        <n v="62.73182049203379"/>
        <n v="133.1683244226174"/>
        <n v="225.03591822870158"/>
        <n v="26.833434714749146"/>
        <n v="13.53799069999814"/>
        <n v="49.98745059007575"/>
        <n v="1337.7184652771298"/>
        <n v="88.5119328069116"/>
        <n v="194.9121962982681"/>
        <n v="110.54266653585796"/>
        <n v="23.852266211040174"/>
        <n v="301.44807228686204"/>
        <n v="11.415741151773716"/>
        <n v="21.457593912716604"/>
        <n v="46.474591763761595"/>
        <n v="14.261635482152954"/>
        <n v="138.91238841491446"/>
        <n v="13.97200033030678"/>
        <n v="16.738771864816414"/>
        <n v="38.99200675157172"/>
        <n v="242.14456620675446"/>
        <n v="66.95867917442087"/>
        <n v="75.59221135643384"/>
        <n v="183.19785422316858"/>
        <n v="108.63523141293047"/>
        <n v="173.77557294154815"/>
        <n v="214.79266653585796"/>
        <n v="198.924518733173"/>
        <n v="109.25146985639205"/>
        <n v="54.79926620801159"/>
        <n v="587.0358155661052"/>
        <n v="281.1302706664976"/>
        <n v="300.724036143431"/>
        <n v="25.737615093117043"/>
        <n v="366.60323286284506"/>
        <n v="4.849220526604672"/>
        <n v="73.76832442261735"/>
        <n v="57.39007496508481"/>
        <n v="87.34209512352066"/>
        <n v="95.67046282586097"/>
        <n v="95.40157906997808"/>
        <n v="361.50887174209845"/>
        <n v="8.733373885899656"/>
        <n v="63.058611630609136"/>
        <n v="191.79743172804058"/>
        <n v="337.9762003923479"/>
        <n v="897.9762003923479"/>
        <n v="137.50392559998517"/>
        <n v="30.434167036596335"/>
        <n v="245.7441337197115"/>
        <n v="38.2995346650839"/>
        <n v="124.82413867799949"/>
        <n v="20.077403566344586"/>
        <n v="6.0057970604954924"/>
        <n v="39.986891752493676"/>
        <n v="47.24513209777115"/>
        <n v="38.16362593766431"/>
        <n v="30.265820325026624"/>
        <n v="93.74108710313214"/>
        <n v="32.887416350876805"/>
        <n v="313.6478385032693"/>
        <n v="47.85897955717539"/>
        <n v="14.103021614720234"/>
        <n v="34.292268344648306"/>
        <n v="1763.2961631928247"/>
        <n v="57.90951340199496"/>
        <n v="114.96218935798976"/>
        <n v="22.970688506264196"/>
        <n v="109.26230853495878"/>
        <n v="106.79040810188607"/>
        <n v="74.70047372099339"/>
        <n v="161.75676344792464"/>
        <n v="112.91078076581556"/>
        <n v="122.13190281544576"/>
        <n v="32.75492057464794"/>
        <n v="7.388275402505677"/>
        <n v="24.06328089136278"/>
        <n v="93.43523141293048"/>
        <n v="190.31151551338462"/>
        <n v="214.17761890440084"/>
        <n v="653.949205746479"/>
        <n v="266.40231825342505"/>
        <n v="1005.9191568824103"/>
        <n v="774.259232638565"/>
        <n v="120.16774750988452"/>
        <n v="44.52423026060835"/>
        <n v="173.69006977223944"/>
        <n v="374.7900789507046"/>
        <n v="191.4976733254195"/>
        <n v="270.4935692528144"/>
        <n v="23.17159412099099"/>
        <n v="50.446889304487314"/>
        <n v="242.63514517188696"/>
        <n v="25.964048551864302"/>
        <n v="149.2245366892966"/>
        <n v="28.129489778587697"/>
        <n v="14.848635791909182"/>
        <n v="106.78781120890602"/>
        <n v="28.622719453248223"/>
        <n v="84.38846933576309"/>
        <n v="20.788090108672854"/>
        <n v="7.130817741076477"/>
        <n v="68.12100457648421"/>
        <n v="159.95621021946886"/>
        <n v="574.8109467899487"/>
        <n v="23.327899210367434"/>
        <n v="216.90532304525902"/>
        <n v="22.657397521940297"/>
        <n v="14.35056942387913"/>
        <n v="31.890307412996776"/>
        <n v="989.0369305542599"/>
        <n v="191.40555502816937"/>
        <n v="68.95167978024142"/>
        <n v="167.28485464542348"/>
        <n v="87.640485518643"/>
        <n v="63.16591024601689"/>
        <n v="69.7118876456424"/>
        <n v="15.901510807360118"/>
        <n v="128.50657134264048"/>
        <n v="68.4015455022834"/>
        <n v="49.929655471199766"/>
        <n v="31.15685826223715"/>
        <n v="14.078410062078035"/>
        <n v="124.42043308109174"/>
        <n v="78.91795911435082"/>
        <n v="93.84176382767043"/>
        <n v="104.93559887431701"/>
        <n v="40.88619043098595"/>
        <n v="32.66017826535821"/>
        <n v="195.01101109249697"/>
        <n v="157.82581626454396"/>
        <n v="402.3676627529642"/>
        <n v="36.36915394953503"/>
        <n v="116.64349380485078"/>
        <n v="31.265452369153692"/>
        <n v="49.765820325026624"/>
        <n v="528.0107172969924"/>
        <n v="143.01547607746488"/>
        <n v="27.700256912224518"/>
        <n v="81.88730143661985"/>
        <n v="5.466747771799312"/>
        <n v="13.782413103758522"/>
        <n v="29.66328089136279"/>
        <n v="53.28046365068499"/>
        <n v="177.55776589682318"/>
        <n v="77.89214565559291"/>
        <n v="27.32152104872698"/>
        <n v="12.530000825766962"/>
        <n v="314.671197748634"/>
        <n v="139.5790830751016"/>
        <n v="93.37559215124176"/>
        <n v="200.8073361903554"/>
        <n v="153.58081620377214"/>
        <n v="110.45236439890641"/>
        <n v="150.0176243147327"/>
        <n v="139.48095987442366"/>
        <n v="28.138907132238316"/>
        <n v="404.3919086198116"/>
        <n v="40.78132808863003"/>
        <n v="-0.1067145922012287"/>
        <n v="7.209674265558725"/>
        <n v="98.5770748175753"/>
        <n v="113.90976864201181"/>
        <n v="66.46429957361147"/>
        <n v="367.2745960601096"/>
        <n v="64.70270537916986"/>
        <n v="311.56858262237165"/>
        <n v="180.42583989012076"/>
        <n v="10.261635482152954"/>
        <n v="128.9642123275329"/>
        <n v="126.0392732991798"/>
        <n v="516.604737209934"/>
        <n v="161.00060828849485"/>
        <n v="147.13676047142133"/>
        <n v="41.57618021734571"/>
        <n v="381.01990563425966"/>
        <n v="92.39114141592825"/>
        <n v="88.76631439582263"/>
        <n v="83.9006551327546"/>
        <n v="428.160291426889"/>
        <n v="71.77555133831481"/>
        <n v="227.97801581466"/>
        <n v="72.6564522849842"/>
        <n v="479.5532913606421"/>
        <n v="-3.571016248819319"/>
        <n v="41.32298205941731"/>
        <n v="73.3811396207991"/>
        <n v="61.37433516975108"/>
        <n v="64.76631439582263"/>
        <n v="80.0098683309916"/>
        <n v="22.4152393208595"/>
        <n v="14.230916655413182"/>
        <n v="51.80927731862562"/>
        <n v="7.637686565508005"/>
        <n v="3.650069545854141"/>
        <n v="116.94356242074872"/>
        <n v="104.63570826701852"/>
        <n v="56.994503953665"/>
        <n v="48.38294139324029"/>
        <n v="5.85331321733657"/>
        <n v="141.82252667441685"/>
        <n v="38.63334997831441"/>
        <n v="15.292366662165279"/>
        <n v="21.605457413533045"/>
        <n v="140.7243894139018"/>
        <n v="-9.747871400016777"/>
        <n v="-26.41284113671759"/>
        <n v="-0.04253095468021684"/>
        <n v="27.188916630524034"/>
        <n v="53.79657437006284"/>
        <n v="162.08288762790494"/>
        <n v="31.983659463307447"/>
        <n v="18.596093716494025"/>
        <n v="22.046385115850057"/>
        <n v="12.737389920577797"/>
        <n v="8.818554046340022"/>
        <n v="27.96232635166004"/>
        <n v="43.85084441155439"/>
        <n v="51.625819854106"/>
        <n v="1742.4214447387203"/>
        <n v="0.2240184935993046"/>
        <n v="-36.0000139164523"/>
        <n v="100.13302417600522"/>
        <n v="183.223857363864"/>
        <n v="56.26014182759582"/>
        <n v="89.6087282574864"/>
        <n v="22.346393000565172"/>
        <n v="184.14102323108023"/>
        <n v="110.71427768935791"/>
        <n v="197.60380812966446"/>
        <n v="0.9084501021849025"/>
        <n v="8.055247271001932"/>
        <n v="22.140012757687657"/>
        <n v="1.2124652703320073"/>
        <n v="110.73113962079913"/>
        <n v="6.826266617331612"/>
        <n v="13.00943547885862"/>
        <n v="7.382075974719939"/>
        <n v="28.8717904405394"/>
        <n v="175.90548676737728"/>
        <n v="-14.415186144122913"/>
        <n v="-358.2669841560546"/>
        <n v="-15.000011597043596"/>
        <n v="-5.239877641059081"/>
        <n v="-26.309057909560806"/>
        <n v="30.582877959063495"/>
        <n v="32.99990901762459"/>
        <n v="112.68060410341695"/>
        <n v="50.24018493599306"/>
        <n v="73.5914254949592"/>
        <n v="-48.90399695965425"/>
        <n v="5.7912732130005224"/>
        <n v="63.71819442568864"/>
        <n v="183.49726775438103"/>
        <n v="-0.33079631417967903"/>
        <n v="-71.56525198555505"/>
        <n v="-18.998261353646512"/>
        <n v="-26.31264991222048"/>
        <n v="36.91037987359971"/>
        <n v="39.02208811557708"/>
        <n v="171.2641165707555"/>
        <n v="23.38871248414975"/>
        <n v="2.241847881395273"/>
        <n v="30.53730956064399"/>
        <n v="26.78222132648054"/>
        <n v="42.80662321344241"/>
        <n v="12.560046233998264"/>
        <n v="123.06302367250805"/>
        <n v="61.62818150410533"/>
        <n v="5.393028678353687"/>
        <n v="65.7762666173316"/>
        <n v="-0.9282552362549694"/>
        <n v="0.08691878110565199"/>
        <n v="-8.080635109420484"/>
        <n v="99.11750748996553"/>
        <n v="30.63922571518529"/>
        <n v="28.285636300821068"/>
        <n v="44.692786001130344"/>
        <n v="34.81789302289792"/>
        <n v="-8.332371247244964"/>
        <n v="79.05132072486822"/>
        <n v="196.24909644836112"/>
        <n v="140.44800906443947"/>
        <n v="78.04417623115415"/>
        <n v="205.61211073649702"/>
        <n v="3.228712484149753"/>
        <n v="58.48265066246444"/>
        <n v="63.686949602889"/>
        <n v="55.36556981039956"/>
        <n v="21.117975180783603"/>
        <n v="34.50255431997988"/>
        <n v="16.001313520694524"/>
        <n v="14.633283043341407"/>
        <n v="8.017395810996021"/>
        <n v="2.1643327413082005"/>
        <n v="3.1868122372584438"/>
        <n v="0.5743993089630095"/>
        <n v="55.92465270332008"/>
        <n v="125.6072148420509"/>
        <n v="7.599267193821998"/>
        <n v="22.146227924159803"/>
        <n v="65.9006954585414"/>
        <n v="57.01893095662746"/>
        <n v="11.965865745284006"/>
        <n v="-17.74438434767501"/>
        <n v="-1.2266867826634282"/>
        <n v="282.7214683072907"/>
        <n v="71.89954508812275"/>
        <n v="53.44577187364075"/>
        <n v="100.15189513372252"/>
        <n v="73.10331332808056"/>
        <n v="166.46789715820591"/>
        <n v="16.50492472701802"/>
        <n v="25.17264772188102"/>
        <n v="-17.30096785601839"/>
        <n v="0.8185540463400223"/>
        <n v="5.92009246799654"/>
        <n v="53.33771173564841"/>
        <n v="219.25422205777204"/>
        <n v="140.0136379023225"/>
        <n v="113.98900790733"/>
        <n v="2.9745555405509094"/>
        <n v="11.73642007707582"/>
        <n v="316.6298761812791"/>
        <n v="146.20662665616112"/>
        <n v="116.74868729581704"/>
        <n v="91.74863387719051"/>
        <n v="189.98167984554993"/>
        <n v="22.520859920359612"/>
        <n v="40.640184935993034"/>
        <n v="171.22649285376963"/>
        <n v="-21.00000811793052"/>
        <n v="-2.8211618869410557"/>
        <n v="-29.02544445944909"/>
        <n v="-14.387869793492712"/>
        <n v="-31.4392658463546"/>
        <n v="0.9342250510924508"/>
        <n v="25.429758299744492"/>
        <n v="29.360442669243014"/>
        <n v="104.71791896218889"/>
        <n v="4.312460164984657"/>
        <n v="17.51230309437254"/>
        <n v="1.0972677543810505"/>
        <n v="88.58034107702679"/>
        <n v="11.705415926635254"/>
        <n v="148.3884905436512"/>
        <n v="26.226905348709437"/>
        <n v="45.99464093434949"/>
        <n v="38.98118747358291"/>
        <n v="13.110065837831485"/>
        <n v="36.74159596588113"/>
        <n v="37.289180059002064"/>
        <n v="87.56151547186278"/>
        <n v="30.949238242575916"/>
        <n v="-5.9516937480321985"/>
        <n v="0.22935794316411773"/>
        <n v="314.4100048169232"/>
        <n v="18.16411307124605"/>
        <n v="37.71418173442808"/>
        <n v="78.22661235067437"/>
        <n v="122.33151183625398"/>
        <n v="23.05733096523278"/>
        <n v="99.21635522225222"/>
        <n v="5.291132427804012"/>
        <n v="45.59560316293198"/>
        <n v="87.72397599369663"/>
        <n v="69.19573023146845"/>
        <n v="8.447095282647354"/>
        <n v="19.679476101348484"/>
        <n v="83.21211073649704"/>
        <n v="5.23097838992237"/>
        <n v="6.632024471788178"/>
        <n v="26.482870906502882"/>
        <n v="33.622858981289255"/>
        <n v="-15.238358341210755"/>
        <n v="-18.662288264351588"/>
        <n v="56.65561565232497"/>
        <n v="1045.4528668432313"/>
        <n v="122.78236435235237"/>
        <n v="527.716460302132"/>
        <n v="141.42818150410528"/>
        <n v="30.68735008777952"/>
        <n v="105.54329206042632"/>
        <n v="71.0130515166581"/>
        <n v="177.16068215405357"/>
        <n v="32.9503477292707"/>
        <n v="58.95210786693485"/>
        <n v="70.22830643657588"/>
        <n v="17.841094439192815"/>
        <n v="16.536059203708703"/>
        <n v="30.674619121288003"/>
        <n v="16.003947332396635"/>
        <n v="70.68036707682268"/>
        <n v="60.414354532514494"/>
        <n v="19.490593736791453"/>
        <n v="137.8004933642393"/>
        <n v="23.836152533936186"/>
        <n v="6.99058158791501"/>
        <n v="-11.986747130653725"/>
        <n v="263.858230151066"/>
        <n v="-1.859987242312343"/>
        <n v="-4.52821878962564"/>
        <n v="34.46912892958346"/>
        <n v="44.999988402956404"/>
        <n v="30.409543017530495"/>
        <n v="1.7201845737309043"/>
        <n v="9.10660483520104"/>
        <n v="150.10797982940574"/>
        <n v="30.68716758487554"/>
        <n v="28.63166350373612"/>
        <n v="20.66868512274951"/>
        <n v="40.95713884467898"/>
        <n v="12.109408714164033"/>
        <n v="23.001702879986595"/>
        <n v="14.304717739429314"/>
        <n v="31.245414915056273"/>
        <n v="85.63205828537775"/>
        <n v="107.01655803360597"/>
        <n v="71.52358869714658"/>
        <n v="19.155032918915744"/>
        <n v="34.97517386463535"/>
        <n v="146.83075137731333"/>
        <n v="281.4710844374408"/>
        <n v="173.9719286631855"/>
        <n v="47.292630932826114"/>
        <n v="94.34843377497631"/>
        <n v="50.51104405778854"/>
        <n v="74.2188337440966"/>
        <n v="65.91050664693262"/>
        <n v="109.41763831113002"/>
        <n v="550.8612082068339"/>
        <n v="156.7755513383148"/>
        <n v="82.24477147277281"/>
        <n v="39.29236666216528"/>
        <n v="109.85084441155439"/>
        <n v="282.5136379023225"/>
        <n v="41.85621657209285"/>
        <n v="80.31239394882175"/>
        <n v="51.89668272425337"/>
        <n v="122.06151547186278"/>
        <n v="41.367424727018005"/>
        <n v="21.342250510924508"/>
        <n v="62.668855867824206"/>
        <n v="42.22066266561613"/>
        <n v="1545.616981087303"/>
        <n v="58.30954301753047"/>
        <n v="244.47643801557695"/>
        <n v="205.37768725112392"/>
        <n v="78.93795136986478"/>
        <n v="6.932166370654102"/>
        <n v="28.008083221196877"/>
        <n v="8.9874700175559"/>
        <n v="73.5482046462161"/>
        <n v="50.97455554055091"/>
        <n v="200.9396858216635"/>
        <n v="84.00818274139351"/>
        <n v="924.5565923119311"/>
        <n v="492.5743977655213"/>
        <n v="960.160291426889"/>
        <n v="305.7123251097139"/>
        <n v="119.73547641323677"/>
        <n v="359.84304650373167"/>
        <n v="273.247580359954"/>
        <n v="1393.0752217546546"/>
        <n v="9.054843237072017"/>
        <n v="514.8374325235125"/>
        <n v="418.25833734743605"/>
        <n v="170.80681151994645"/>
        <n v="97.88716758487556"/>
        <n v="11.989759723585202"/>
        <n v="79.18109735347545"/>
        <n v="31.24143545325144"/>
        <n v="6.841083185327051"/>
        <n v="1313.2264334216156"/>
        <n v="57.50711074423852"/>
        <n v="139.56449252185996"/>
        <n v="548.663023672508"/>
        <n v="95.2901705385134"/>
        <n v="10.94573309652328"/>
        <n v="54.925422205777195"/>
        <n v="18.719240692793846"/>
        <n v="31.000851439993298"/>
        <n v="23.999997680591278"/>
        <n v="89.660957283438"/>
        <n v="333.4510832876755"/>
        <n v="93.46295014750518"/>
        <n v="82.87586932317674"/>
        <n v="256.7173740072225"/>
        <n v="234.0986893507427"/>
        <n v="133.88929450783252"/>
        <n v="12.81051086399598"/>
        <n v="20.545561565232497"/>
        <n v="98.51147507375256"/>
        <n v="902.2460618874511"/>
        <n v="37.88328304334141"/>
        <n v="205.426119393048"/>
        <n v="77.32552159390605"/>
        <n v="25.132191456687593"/>
        <n v="240.49726775438103"/>
        <n v="299.47643801557695"/>
        <n v="148.426119393048"/>
        <n v="24.29435624207487"/>
        <n v="3.5274216185360086"/>
        <n v="101.52596089209817"/>
        <n v="127.06417130251725"/>
        <n v="79.99999226863761"/>
        <n v="141.757138844679"/>
        <n v="566.747798411556"/>
        <n v="375.9358591197713"/>
        <n v="226.01091032185798"/>
        <n v="294.227355226098"/>
        <n v="39.590548676737725"/>
        <n v="147.76721261062892"/>
        <n v="163.84484429459883"/>
        <n v="354.47643801557695"/>
        <n v="270.7358957122617"/>
        <n v="109.36801530922517"/>
        <n v="33.15034772927072"/>
        <n v="10.35552202889427"/>
        <n v="299.9059373679145"/>
        <n v="51.5503477292707"/>
        <n v="22.6564549635265"/>
        <n v="214.429115075533"/>
        <n v="70.61750748996553"/>
        <n v="91.24541491505627"/>
        <n v="28.22783106951003"/>
        <n v="95.51559688479688"/>
        <n v="136.86812237258442"/>
        <n v="96.67211840741743"/>
        <n v="100.8310727021184"/>
        <n v="236.89390874822902"/>
        <n v="47.76300574095944"/>
        <n v="36.44834136212668"/>
        <n v="11.280662321344238"/>
        <n v="17.073800408739608"/>
        <n v="49.11545832770659"/>
        <n v="14.113915534755016"/>
        <n v="41.753262879164524"/>
        <n v="216.0118419971899"/>
        <n v="400.8415194943989"/>
        <n v="2626.4528668432313"/>
        <n v="139.9999864701158"/>
        <n v="32.137582297289356"/>
        <n v="244.79371557909758"/>
        <n v="206.41599240896676"/>
        <n v="53.54670237219901"/>
        <n v="105.72178121037436"/>
        <n v="51.67325286934627"/>
        <n v="255.23501497993107"/>
        <n v="116.26586099914823"/>
        <n v="98.51487955310427"/>
        <n v="25.53078227259701"/>
        <n v="80.9811874735829"/>
        <n v="86.07553745022477"/>
        <n v="187.19240692793852"/>
        <n v="558.0828876279049"/>
        <n v="134.85104919439846"/>
        <n v="410.852238786096"/>
        <n v="15.443459390552817"/>
        <n v="43.4011920159906"/>
        <n v="147.79989101640479"/>
        <n v="210.92301782903144"/>
        <n v="391.7769472593395"/>
        <n v="82.1495596823112"/>
        <n v="32.98116317583002"/>
        <n v="13.64618333108264"/>
        <n v="84.50545516092899"/>
        <n v="113.89806428796317"/>
        <n v="70.79493795195901"/>
        <n v="255.5871588632824"/>
        <n v="255.16284992042222"/>
        <n v="71.84128584794206"/>
        <n v="121.47178121037436"/>
        <n v="76.5093225007871"/>
        <n v="154.36444265296103"/>
        <n v="37.43848138558769"/>
        <n v="137.77354821597243"/>
        <n v="51.218817428328066"/>
        <n v="229.7414438139524"/>
        <n v="48.10943547885863"/>
        <n v="96.58337494578598"/>
        <n v="51.034071115405084"/>
        <n v="8.427899467177376"/>
        <n v="110.24039469139143"/>
        <n v="244.66302367250796"/>
        <n v="340.9281815041053"/>
        <n v="47.89419056529471"/>
        <n v="73.07279173981627"/>
        <n v="322.24039469139143"/>
        <n v="59.948798617926"/>
        <n v="197.73151994079785"/>
        <n v="15.921001913653146"/>
        <n v="31.41102172799195"/>
        <n v="141.76822024609362"/>
        <n v="197.02295014750513"/>
        <n v="24.40608286046438"/>
        <n v="63.8967897158206"/>
        <n v="805.6009867284786"/>
        <n v="13.818554046340022"/>
        <n v="90.22072190697622"/>
        <n v="171.18843282754"/>
        <n v="139.88053010849404"/>
        <n v="195.49911936462235"/>
        <n v="23.623624474516888"/>
        <n v="196.90030589735227"/>
        <n v="22.955415926635254"/>
        <n v="144.7069089024631"/>
        <n v="173.18415615754014"/>
        <n v="244.8960028901539"/>
        <n v="58.8454710452196"/>
        <n v="123.73624474516885"/>
        <n v="48.336059203708714"/>
        <n v="351.81097353475457"/>
        <n v="51.363903913081245"/>
        <n v="72.17947610134848"/>
        <n v="176.5364131356588"/>
        <n v="708.994535508762"/>
        <n v="48.20140414678818"/>
        <n v="78.24203461882578"/>
        <n v="44.63941928638894"/>
        <n v="72.18793716433271"/>
        <n v="349.7517386463534"/>
        <n v="24.29564292397103"/>
        <n v="255.03650928520017"/>
        <n v="201.77383756221127"/>
        <n v="274.6271110288859"/>
        <n v="13.172987832438015"/>
        <n v="13.990069545854137"/>
        <n v="139.52072190697623"/>
        <n v="68.18563630082105"/>
        <n v="237.54329206042632"/>
        <n v="97.06645766405927"/>
        <n v="338.4198696403272"/>
        <n v="58.4152393208595"/>
        <n v="134.18325840322325"/>
        <n v="98.29698386194553"/>
        <n v="124.79493795195901"/>
        <n v="38.88774595623181"/>
        <n v="47.160525777355105"/>
        <n v="50.28890009355945"/>
        <n v="100.60418747289299"/>
        <n v="23.558266295993974"/>
        <n v="203.58832700747217"/>
        <n v="42.23547641323677"/>
        <n v="25.925163970821202"/>
        <n v="82.38365946330745"/>
        <n v="429.3380503020285"/>
        <n v="147.0964092924322"/>
        <n v="87.75713884467899"/>
        <n v="196.86353728764072"/>
        <n v="43.84367504388976"/>
        <n v="3.793173149056802"/>
        <n v="60.12622792415982"/>
        <n v="109.21887095771726"/>
        <n v="419.21333975589755"/>
        <n v="209.43583792437778"/>
        <n v="24.9589875903918"/>
        <n v="116.830478641719"/>
        <n v="288.6566128731518"/>
        <n v="50.40276313267765"/>
        <n v="126.27761014447137"/>
        <n v="98.52631444338778"/>
        <n v="42.297689936799856"/>
        <n v="157.6381650910398"/>
        <n v="139.51427768935798"/>
        <n v="9.138188418087843"/>
        <n v="47.95903889434081"/>
        <n v="151.24660905317762"/>
        <n v="52.19240692793852"/>
        <n v="501.0654619311481"/>
        <n v="336.4214024904136"/>
        <n v="177.54583065623717"/>
        <n v="25.34128584794206"/>
        <n v="16.387582297289356"/>
        <n v="129.625819854106"/>
        <n v="43.54533080298893"/>
        <n v="580.4480090644395"/>
        <n v="72.896702372199"/>
        <n v="10.102208811557709"/>
        <n v="159.21001913653146"/>
        <n v="128.05350306554706"/>
        <n v="692.8346018429102"/>
        <n v="11.054717739429314"/>
        <n v="308.72888530592206"/>
        <n v="148.9719286631855"/>
        <n v="20.371969890807208"/>
        <n v="40.8454710452196"/>
        <n v="340.9054867673773"/>
        <n v="667.0311937695938"/>
        <n v="105.369503953665"/>
        <n v="75.79057520623076"/>
        <n v="85.52024471788184"/>
        <n v="40.92072190697627"/>
        <n v="387.3399185260115"/>
        <n v="1416.86949602889"/>
        <n v="293.79146046293687"/>
        <n v="135.36794785613085"/>
        <n v="384.0641165707556"/>
        <n v="17.524571796257852"/>
        <n v="102.72780782616249"/>
        <n v="19.64618333108264"/>
        <n v="44.04828357513361"/>
        <n v="35.049143592515705"/>
        <n v="68.53730956064399"/>
        <n v="168.4352558077701"/>
        <n v="719.0946547831375"/>
        <n v="376.61455222058805"/>
        <n v="125.25978863749356"/>
        <n v="449.1606821540536"/>
        <n v="470.7637683617568"/>
        <n v="12.27380040873961"/>
        <n v="95.78838113058941"/>
        <n v="113.37366246301607"/>
        <n v="26.194911108110183"/>
        <n v="31.334427933912103"/>
        <n v="45.38006117947046"/>
        <n v="1115.6014334216156"/>
        <n v="192.0320582853778"/>
        <n v="66.85358863312862"/>
        <n v="346.358230151066"/>
        <n v="500.4227410817068"/>
        <n v="274.331511836254"/>
        <n v="59.9999942014782"/>
        <n v="137.5232833175785"/>
        <n v="257.27407108826833"/>
        <n v="9.991466436321002"/>
        <n v="16.49058158791501"/>
        <n v="30.109408714164033"/>
        <n v="104.13811817750482"/>
        <n v="121.494503953665"/>
        <n v="137.07461912128798"/>
        <n v="26.99999304177385"/>
        <n v="165.25836246205017"/>
        <n v="35.671744763745025"/>
        <n v="56.85909721284432"/>
        <n v="4.10464991119623"/>
        <n v="133.19240692793852"/>
        <n v="140.7355422187204"/>
        <n v="257.6028301812171"/>
        <n v="23.6083374945786"/>
        <n v="24.47179189621889"/>
        <n v="112.2901705385134"/>
        <n v="131.82101329386524"/>
        <n v="224.5803410770268"/>
        <n v="161.99267193821998"/>
        <n v="209.28108286046438"/>
        <n v="106.99502232595336"/>
        <n v="146.03809830214874"/>
        <n v="858.676100604057"/>
        <n v="102.27845445123157"/>
        <n v="94.51214683072905"/>
        <n v="205.9591486582686"/>
        <n v="12.95767622611789"/>
        <n v="177.111928681932"/>
        <n v="16.318554046340022"/>
        <n v="306.28201797591726"/>
        <n v="16.044925664201863"/>
        <n v="186.778829557599"/>
        <n v="524.56577525581"/>
        <n v="301.2643810757868"/>
        <n v="1149.016674694872"/>
        <n v="241.68029601854357"/>
        <n v="4.789419056529471"/>
        <n v="59.89528760311538"/>
        <n v="68.43626159335054"/>
        <n v="204.73821900778847"/>
        <n v="30.24932181063552"/>
        <n v="106.93214093434949"/>
        <n v="70.68460356580628"/>
        <n v="164.6143289052306"/>
        <n v="676.8397392806544"/>
        <n v="183.84266795117952"/>
        <n v="103.51427768935798"/>
        <n v="21.853588633128624"/>
        <n v="342.68654780322004"/>
        <n v="419.70208637562416"/>
        <n v="38.23091665541318"/>
        <n v="112.01091032185798"/>
        <n v="40.10331332808056"/>
        <n v="37.104597322430834"/>
        <n v="3.824018493599306"/>
        <n v="66.92133397558976"/>
        <n v="300.74868729581704"/>
        <n v="77.95219418279274"/>
        <n v="459.6066698779488"/>
        <n v="102.713059696524"/>
        <n v="20.122858981289255"/>
        <n v="45.410054087092476"/>
        <n v="81.73900790733"/>
        <n v="77.38302417600522"/>
        <n v="98.94348952749004"/>
        <n v="125.33771173564841"/>
        <n v="96.47777665810065"/>
        <n v="10.398249555981153"/>
        <n v="169.2099348201636"/>
        <n v="295.53442522125783"/>
        <n v="233.6271110288859"/>
        <n v="75.76656608668281"/>
        <n v="11.977395810996015"/>
        <n v="23.637035544134164"/>
        <n v="6.757295014750518"/>
        <n v="111.59854821597247"/>
        <n v="156.5803410770268"/>
        <n v="71.87434512373846"/>
        <n v="89.33771173564841"/>
        <n v="10.683313217336568"/>
        <n v="23.4017028799866"/>
        <n v="16.633337494578598"/>
        <n v="124.45101120429774"/>
        <n v="11.837470017555908"/>
        <n v="235.80262888677555"/>
        <n v="74.40204345598391"/>
        <n v="221.04041610598438"/>
        <n v="29.229116695926507"/>
        <n v="617.2459016315715"/>
        <n v="336.8705116155402"/>
        <n v="196.46183331082636"/>
        <n v="425.25243410489486"/>
        <n v="524.0959379618237"/>
        <n v="336.76604835201044"/>
        <n v="78.74541491505627"/>
        <n v="145.8008345502496"/>
        <n v="178.27623635500964"/>
        <n v="497.8381650910396"/>
        <n v="8.000656760347262"/>
        <n v="117.18612812019006"/>
        <n v="39.999996134318806"/>
        <n v="182.25104318781206"/>
        <n v="125.83075137731333"/>
        <n v="269.24039469139143"/>
        <n v="134.9467387827899"/>
        <n v="96.19890710175235"/>
        <n v="70.2191635037361"/>
        <n v="19.795274338368863"/>
        <n v="78.3877756691574"/>
        <n v="313.9071248010555"/>
        <n v="53.194870356753995"/>
        <n v="26.498165966022512"/>
        <n v="26.704048943576367"/>
        <n v="120.58909075205264"/>
        <n v="96.35010788532492"/>
        <n v="294.72055480797917"/>
        <n v="91.18136525927503"/>
        <n v="265.3500318942191"/>
        <n v="59.867738206618384"/>
        <n v="54.6495160719908"/>
        <n v="94.06533080298891"/>
        <n v="917.9764334216156"/>
        <n v="97.195603162932"/>
        <n v="16.394854821597235"/>
        <n v="29.366150275462672"/>
        <n v="90.2246061887451"/>
        <n v="15.054704357082016"/>
        <n v="236.08337494578598"/>
        <n v="23.086814223081007"/>
        <n v="160.09613962079914"/>
        <n v="4.5274216185360086"/>
        <n v="1420.7833832664369"/>
        <n v="372.0102172799195"/>
        <n v="55.122580359953986"/>
        <n v="28.745414915056273"/>
        <n v="55.77433516975111"/>
        <n v="71.34348952749005"/>
        <n v="27.29236666216528"/>
        <n v="318.1996360704983"/>
        <n v="27.307474049099802"/>
        <n v="17.984639585377806"/>
        <n v="139.9006954585414"/>
        <n v="116.91646678370603"/>
        <n v="205.45561565232498"/>
        <n v="12.400340575997319"/>
        <n v="191.06084880866695"/>
        <n v="150.31556981039955"/>
        <n v="639.5095203241613"/>
        <n v="12.585223878609611"/>
        <n v="129.11005408709246"/>
        <n v="570.8132533123223"/>
        <n v="70.62084314677394"/>
        <n v="46.95333762300828"/>
        <n v="84.33151183625398"/>
        <n v="66.3283064365759"/>
        <n v="175.2457179625785"/>
        <n v="1717.352201208114"/>
        <n v="601.4973745916341"/>
        <n v="153.35229531796938"/>
        <n v="669.6994651534856"/>
        <n v="323.55485888019757"/>
        <n v="222.24114243889937"/>
        <n v="84.48313217336562"/>
        <n v="263.27141653403703"/>
        <n v="45.85500956826573"/>
        <n v="774.679837052023"/>
        <n v="494.8818584592216"/>
        <n v="260.34529544376204"/>
        <n v="138.93795136986478"/>
        <n v="56.83133533065748"/>
        <n v="27.364332741308203"/>
        <n v="283.373899205778"/>
        <n v="88.41616644239376"/>
        <n v="6.986814223081012"/>
        <n v="15.657722078381553"/>
        <n v="51.87160905317762"/>
        <n v="43.70717726625725"/>
        <n v="97.74955968231117"/>
        <n v="440.93166036243406"/>
        <n v="441.10804184952303"/>
        <n v="35.655247271001926"/>
        <n v="35.07494003511181"/>
        <n v="11.20761966042975"/>
        <n v="26.932151268663375"/>
        <n v="59.999984537275225"/>
        <n v="484.9015222114922"/>
        <n v="97.49267193821998"/>
        <n v="111.45914865826859"/>
        <n v="21.601184199718993"/>
        <n v="88.2682065678294"/>
        <n v="34.268654780321995"/>
        <n v="185.74502232595336"/>
        <n v="49.137172561869235"/>
        <n v="47.887582297289356"/>
        <n v="112.0878795632288"/>
        <n v="41.675174865733084"/>
        <n v="109.2990321439816"/>
        <n v="360.8984247549804"/>
        <n v="158.3621947069509"/>
        <n v="190.59625695377588"/>
        <n v="259.251639708212"/>
        <n v="82.79336544850673"/>
        <n v="26.789669758226808"/>
        <n v="34.237686565508"/>
        <n v="555.7518054794591"/>
        <n v="451.136552567948"/>
        <n v="14.614558347963253"/>
        <n v="39.57739581099601"/>
        <n v="130.20357604797186"/>
        <n v="1318.2101329386524"/>
        <n v="28.035253323466307"/>
        <n v="411.497267754381"/>
        <n v="184.91005408709248"/>
        <n v="300.6311396207991"/>
        <n v="388.7653196119345"/>
        <n v="117.88822192319168"/>
        <n v="63.111928681932"/>
        <n v="119.30476392780031"/>
        <n v="27.395583479632535"/>
        <n v="75.89836065262858"/>
        <n v="20.748643621271043"/>
        <n v="215.7283964349412"/>
        <n v="242.98900790733"/>
        <n v="16.371819442568864"/>
        <n v="112.784138141987"/>
        <n v="113.00545516092899"/>
        <n v="88.77964443244073"/>
        <n v="309.3928471116975"/>
        <n v="511.4820179759173"/>
        <n v="273.901492524064"/>
        <n v="279.04144381395247"/>
        <n v="88.26400192676931"/>
        <n v="10.135942522125774"/>
        <n v="26.522088115577077"/>
        <n v="131.03468484955695"/>
        <n v="64.797068775288"/>
        <n v="270.85894857910296"/>
        <n v="20.561192868193203"/>
        <n v="228.11353728764072"/>
        <n v="179.9999826044346"/>
        <n v="100.5778001871189"/>
        <n v="164.36449252185997"/>
        <n v="56.502727580464494"/>
        <n v="37.20102172799196"/>
        <n v="7.993173149056801"/>
        <n v="54.45607341536454"/>
        <n v="40.49059373679145"/>
        <n v="244.373899205778"/>
        <n v="118.16575591812699"/>
        <n v="170.45274338368864"/>
        <n v="41.97020863756241"/>
        <n v="108.91214683072909"/>
        <n v="292.0761966042975"/>
        <n v="98.23091665541318"/>
        <n v="203.5914254949592"/>
        <n v="68.88677410798621"/>
        <n v="11.811812237258444"/>
        <n v="67.8627756691574"/>
        <n v="110.97455554055091"/>
        <n v="403.86059203708714"/>
        <n v="117.6909420904392"/>
        <n v="125.9111333044192"/>
        <n v="49.95733218160501"/>
        <n v="214.46688903501718"/>
        <n v="169.01091032185798"/>
        <n v="8.321887095771729"/>
        <n v="313.5511026766296"/>
        <n v="8.536900204369804"/>
        <n v="41.08522387860961"/>
        <n v="35.96927917075561"/>
        <n v="24.76777110936021"/>
        <n v="65.36920713161257"/>
        <n v="85.63205828537781"/>
        <n v="45.805964340966"/>
        <n v="72.00394733239663"/>
        <n v="561.450852692567"/>
        <n v="394.8231812470484"/>
        <n v="120.73625891039026"/>
        <n v="165.7517386463535"/>
        <n v="551.5280038535386"/>
        <n v="102.23486354531295"/>
        <n v="890.7873452265987"/>
        <n v="78.96463624940964"/>
        <n v="12.805350306554708"/>
        <n v="137.0420346188258"/>
        <n v="125.56864971627857"/>
        <n v="567.028555378716"/>
        <n v="36.49816596602251"/>
        <n v="108.50298003997653"/>
        <n v="145.59968649608888"/>
        <n v="425.27141653403703"/>
        <n v="132.48139834232177"/>
        <n v="279.8013909170828"/>
        <n v="205.7486338771905"/>
        <n v="118.77164603021316"/>
        <n v="21.909729157631006"/>
        <n v="84.36920713161257"/>
        <n v="288.6318584592216"/>
        <n v="82.77645584831964"/>
        <n v="69.2957127474796"/>
        <n v="79.60500956826573"/>
        <n v="46.7321914566876"/>
        <n v="42.5271416534037"/>
        <n v="14.136920713161256"/>
        <n v="17.448797666855057"/>
        <n v="20.985104318781204"/>
        <n v="16.43735008777952"/>
        <n v="126.49726775438103"/>
        <n v="22.488073897874216"/>
        <n v="129.3928471116975"/>
        <n v="220.0870033718462"/>
        <n v="60.950746262032"/>
        <n v="8.999997680591278"/>
        <n v="151.33037817165842"/>
        <n v="138.56692036858203"/>
        <n v="418.56216572092876"/>
        <n v="272.7425452032842"/>
        <n v="200.42075974719944"/>
        <n v="119.897597235852"/>
        <n v="208.27623635500964"/>
        <n v="104.18793716433271"/>
        <n v="28.341595965881154"/>
        <n v="464.3584072515514"/>
        <n v="106.12303094372555"/>
        <n v="82.66298823382004"/>
        <n v="43.10477150876524"/>
        <n v="100.27016938851872"/>
        <n v="87.68735008777952"/>
        <n v="822.994535508762"/>
        <n v="130.9745555405509"/>
        <n v="38.59111066324026"/>
        <n v="52.003947332396635"/>
        <n v="580.6951262817147"/>
        <n v="458.7022053532594"/>
        <n v="274.14923824257596"/>
        <n v="159.99998453727522"/>
        <n v="9.788716758487556"/>
        <n v="25.72740710882684"/>
        <n v="78.52755431997986"/>
        <n v="24.724399308963"/>
        <n v="42.72178121037436"/>
        <n v="129.594137550576"/>
        <n v="772.8084905436515"/>
        <n v="467.5669336895337"/>
        <n v="144.35895220269697"/>
        <n v="5.912966697853157"/>
        <n v="2.874541491505628"/>
        <n v="341.3434256137475"/>
        <n v="61.63668469569748"/>
        <n v="10.941763831113"/>
        <n v="62.996331932045024"/>
        <n v="50.33230055092534"/>
        <n v="82.59921481383847"/>
        <n v="1615.4423681483486"/>
        <n v="41.887167584875556"/>
        <n v="182.24170681063345"/>
        <n v="81.91415321828795"/>
        <n v="3.1066566086682847"/>
        <n v="122.1415836679854"/>
        <n v="4.562270745752814"/>
        <n v="45.622707457528136"/>
        <n v="437.7421444738719"/>
        <n v="7.133771173564838"/>
        <n v="181.81986964032717"/>
        <n v="23.947095282647354"/>
        <n v="176.81385410959444"/>
        <n v="70.09721261062896"/>
        <n v="35.47780018711893"/>
        <n v="88.555964340966"/>
        <n v="734.886100604057"/>
        <n v="141.90581587915005"/>
        <n v="80.28838113058941"/>
        <n v="689.4100048169232"/>
        <n v="93.59620346396926"/>
        <n v="485.33228832029636"/>
        <n v="71.99999304177385"/>
        <n v="12.322661235067443"/>
        <n v="160.33151183625398"/>
        <n v="514.4202704228398"/>
        <n v="52.35170287998659"/>
        <n v="7.576656608668284"/>
        <n v="15.986346298113602"/>
        <n v="48.29168747289299"/>
        <n v="6.2133132173365695"/>
        <n v="355.22185446794026"/>
        <n v="154.65432361011153"/>
        <n v="79.27579773455949"/>
        <n v="164.99954508812277"/>
        <n v="167.41713322722967"/>
        <n v="161.9623749471658"/>
        <n v="27.90414438139524"/>
        <n v="112.8066232134424"/>
        <n v="24.684501021849016"/>
        <n v="13.864332741308203"/>
        <n v="108.12019734569571"/>
        <n v="12.463865420225993"/>
        <n v="176.747798411556"/>
        <n v="239.7261006040569"/>
        <n v="84.46618768438145"/>
        <n v="85.86059203708714"/>
        <n v="184.5607341536454"/>
        <n v="8.135360953488117"/>
        <n v="68.114791621992"/>
        <n v="77.42699495735144"/>
        <n v="255.679115075533"/>
        <n v="369.82010817418495"/>
        <n v="337.76530132492906"/>
        <n v="15.835508586109682"/>
        <n v="50.44345939055282"/>
        <n v="875.4842889477438"/>
        <n v="42.07461912128798"/>
        <n v="15.677555133831483"/>
        <n v="14.846393000565172"/>
        <n v="6.9950347729270685"/>
        <n v="95.21682971986377"/>
        <n v="157.08387543200547"/>
        <n v="35.55553115828525"/>
        <n v="14.235290674091626"/>
        <n v="26.088645924845707"/>
        <n v="24.835959395401197"/>
        <n v="36.455145239601805"/>
        <n v="49.952058810389076"/>
        <n v="178.70790008139483"/>
        <n v="48.75112972702604"/>
        <n v="278.77684060993874"/>
        <n v="74.01949697312563"/>
        <n v="39.13875441994284"/>
        <n v="131.32064552090407"/>
        <n v="60.76424236129887"/>
        <n v="162.4030524926818"/>
        <n v="21.043072188563045"/>
        <n v="164.40378636963237"/>
        <n v="13.277385007965808"/>
        <n v="1744.3547598615778"/>
        <n v="239.07099713301568"/>
        <n v="149.8291220866838"/>
        <n v="2139.604759861578"/>
        <n v="191.81580016278963"/>
        <n v="175.58874641626971"/>
        <n v="211.44332914527723"/>
        <n v="105.14106837243864"/>
        <n v="47.51896949431682"/>
        <n v="313.8252445797957"/>
        <n v="101.47661608012999"/>
        <n v="80.9150122895852"/>
        <n v="43.25564956995234"/>
        <n v="29.803151274481436"/>
        <n v="100.6327477733634"/>
        <n v="78.06978570612691"/>
        <n v="510.0545155934494"/>
        <n v="36.014622729844234"/>
        <n v="36.458545416779344"/>
        <n v="44.70472691172216"/>
        <n v="101.1627366260052"/>
        <n v="197.47258869419835"/>
        <n v="150.39309627786946"/>
        <n v="151.4408060167845"/>
        <n v="119.66382963534278"/>
        <n v="90.8731201227007"/>
        <n v="142.64031732410518"/>
        <n v="70.6156286832857"/>
        <n v="251.64582666562058"/>
        <n v="20.336129534416607"/>
        <n v="241.69085762084927"/>
        <n v="46.550044199653456"/>
        <n v="159.55177284712374"/>
        <n v="345.27265374407034"/>
        <n v="70.67923901776732"/>
        <n v="4.860686031946907"/>
        <n v="40.590646432052"/>
        <n v="570.5612692964207"/>
        <n v="135.18137362170683"/>
        <n v="2.5008388603249827"/>
        <n v="24.177291849691414"/>
        <n v="52.506958055724795"/>
        <n v="31.576971731942393"/>
        <n v="69.55555074124044"/>
        <n v="27.422510471452142"/>
        <n v="59.34266491238927"/>
        <n v="299.63632212446123"/>
        <n v="151.25429806070775"/>
        <n v="273.7704433475435"/>
        <n v="2.201949697312564"/>
        <n v="239.63540656423834"/>
        <n v="30.442984824039"/>
        <n v="124.91165712980302"/>
        <n v="690.5453074881407"/>
        <n v="315.769717319424"/>
        <n v="12.201677720649965"/>
        <n v="148.92325006782897"/>
        <n v="19.5947690305037"/>
        <n v="28.175227681442323"/>
        <n v="5.289701832580882"/>
        <n v="140.12375385603855"/>
        <n v="128.2373172302175"/>
        <n v="97.25693421695007"/>
        <n v="104.54131522872706"/>
        <n v="14.506375109814847"/>
        <n v="20.982776016829902"/>
        <n v="161.53685975123682"/>
        <n v="912.5681444918118"/>
        <n v="55.514622729844234"/>
        <n v="106.97456083002254"/>
        <n v="75.10076312317045"/>
        <n v="58.89936584813941"/>
        <n v="59.60630254896287"/>
        <n v="0.9433415263901281"/>
        <n v="161.29306211054507"/>
        <n v="131.25800648484642"/>
        <n v="81.8457701001625"/>
        <n v="124.01058013008782"/>
        <n v="194.51386843390014"/>
        <n v="505.2315477110783"/>
        <n v="160.17116713308815"/>
        <n v="149.01575637240717"/>
        <n v="45.64561934113701"/>
        <n v="177.7940366516176"/>
        <n v="7.084116191681446"/>
        <n v="253.41046179119758"/>
        <n v="39.21868185301972"/>
        <n v="211.9089806161055"/>
        <n v="164.46233306316992"/>
        <n v="221.59878665832088"/>
        <n v="72.99410117104787"/>
        <n v="136.91003304429853"/>
        <n v="67.42310493900771"/>
        <n v="62.35458369938283"/>
        <n v="1.819346251991452"/>
        <n v="81.51575637240717"/>
        <n v="30.557814341642853"/>
        <n v="45.177291849691414"/>
        <n v="42.296523804084586"/>
        <n v="651.057241373122"/>
        <n v="105.92344302492856"/>
        <n v="62.885024228729094"/>
        <n v="720.9274928325394"/>
        <n v="212.29950154241544"/>
        <n v="544.6053734452303"/>
        <n v="73.68484197370793"/>
        <n v="238.35801302008997"/>
        <n v="60.15723851114778"/>
        <n v="251.06019566383657"/>
        <n v="50.776774842502164"/>
        <n v="141.2312573665714"/>
        <n v="87.0526572048037"/>
        <n v="83.82246921079502"/>
        <n v="21.795481825848356"/>
        <n v="126.96540265557667"/>
        <n v="32.38888768531011"/>
        <n v="102.07020139626701"/>
        <n v="19.868767516320958"/>
        <n v="7.906947412654887"/>
        <n v="24.597424076960152"/>
        <n v="66.39471731942399"/>
        <n v="40.4575061447926"/>
        <n v="116.8335501728022"/>
        <n v="440.19516960110377"/>
        <n v="424.5990030848309"/>
        <n v="101.60409626016803"/>
        <n v="29.044279704925202"/>
        <n v="178.29093471670421"/>
        <n v="14.2222124633141"/>
        <n v="62.4485091629044"/>
        <n v="30.952773686780034"/>
        <n v="20.295323216026"/>
        <n v="68.35210868829915"/>
        <n v="3488.7095197231556"/>
        <n v="383.8622081346392"/>
        <n v="48.54282023489998"/>
        <n v="1.1860421118982316"/>
        <n v="95.38859612141562"/>
        <n v="29.62088830412975"/>
        <n v="168.60456104334196"/>
        <n v="152.214924120195"/>
        <n v="122.8668425680155"/>
        <n v="232.8970183258088"/>
        <n v="71.3163738866817"/>
        <n v="138.7557189177474"/>
        <n v="15.2214924120195"/>
        <n v="26.971670763195064"/>
        <n v="325.41703499711207"/>
        <n v="46.73592312482157"/>
        <n v="136.49339794327756"/>
        <n v="58.40014778945138"/>
        <n v="132.947358659712"/>
        <n v="115.29248477950307"/>
        <n v="50.80204813008402"/>
        <n v="34.24491717085405"/>
        <n v="100.960537344523"/>
        <n v="60.75857539933634"/>
        <n v="40.21225374101445"/>
        <n v="73.8810152028627"/>
        <n v="78.79238731254244"/>
        <n v="210.513144879616"/>
        <n v="12.13980781205396"/>
        <n v="530.7487538560385"/>
        <n v="282.4924804908028"/>
        <n v="71.48316003255792"/>
        <n v="65.42618322833479"/>
        <n v="58.4167750864011"/>
        <n v="29.25343135064847"/>
        <n v="121.65378636963237"/>
        <n v="98.35959395401198"/>
        <n v="46.198224253248995"/>
        <n v="108.81582150600462"/>
        <n v="38.5080202704836"/>
        <n v="46.32907344179213"/>
        <n v="10.581389482530977"/>
        <n v="81.60409626016803"/>
        <n v="179.7776712058569"/>
        <n v="65.88141987400175"/>
        <n v="15.872084223796463"/>
        <n v="92.52437121640705"/>
        <n v="706.7237614116611"/>
        <n v="148.03899394625125"/>
        <n v="53.00942926332547"/>
        <n v="285.2654955467268"/>
        <n v="2852.8063464821034"/>
        <n v="157.21256057182273"/>
        <n v="39.27684392475359"/>
        <n v="42.53496965290921"/>
        <n v="113.44072354553086"/>
        <n v="620.0545155934494"/>
        <n v="377.4687399984309"/>
        <n v="13.226736853163722"/>
        <n v="1047.4569663733837"/>
        <n v="310.0025216062387"/>
        <n v="146.294926892087"/>
        <n v="48.5411626963665"/>
        <n v="475.85392719632114"/>
        <n v="238.61381696590092"/>
        <n v="145.49410538480095"/>
        <n v="256.42249207573457"/>
        <n v="542.0806302468975"/>
        <n v="1150.908845813568"/>
        <n v="44.841117438758204"/>
        <n v="167.37346377589103"/>
        <n v="3491.5232212446135"/>
        <n v="318.85973650927406"/>
        <n v="10.168064767208303"/>
        <n v="23.986220813463916"/>
        <n v="3.651575637240718"/>
        <n v="91.14636354194832"/>
        <n v="218.70672712536543"/>
        <n v="103.20044336835417"/>
        <n v="42.141299139904675"/>
        <n v="81.34451813766643"/>
        <n v="137.3949847795031"/>
        <n v="68.50346710847504"/>
        <n v="504.64924498277765"/>
        <n v="98.4485091629044"/>
        <n v="146.32689318481619"/>
        <n v="33.263278646021774"/>
        <n v="99.55555074124044"/>
        <n v="19.988871810799665"/>
        <n v="77.73333044474424"/>
        <n v="71.50740390602698"/>
        <n v="15.191060590324717"/>
        <n v="29.164116191681444"/>
        <n v="49.2540101352418"/>
        <n v="48.775631061605395"/>
        <n v="58.2242545814522"/>
        <n v="125.77004845745819"/>
        <n v="75.26549554672681"/>
        <n v="761.7924159334598"/>
        <n v="63.815953047268806"/>
        <n v="8.193462519914519"/>
        <n v="182.25560593780455"/>
        <n v="104.80837371454851"/>
        <n v="24.895096889935893"/>
        <n v="25.652835450560048"/>
        <n v="28.602961562410783"/>
        <n v="63.43299874358317"/>
        <n v="104.09304760816917"/>
        <n v="8.857214903035391"/>
        <n v="115.09088458135679"/>
        <n v="79.34552748871317"/>
        <n v="75.22721145339199"/>
        <n v="114.41184624964313"/>
        <n v="125.22550043925938"/>
        <n v="119.13860005426321"/>
        <n v="86.56987120035046"/>
        <n v="50.73830804006499"/>
        <n v="452.3205691294688"/>
        <n v="46.29357898607303"/>
        <n v="15.526328602401847"/>
        <n v="58.201526246340904"/>
        <n v="42.163373901278646"/>
        <n v="139.921074689046"/>
        <n v="205.6491717085405"/>
        <n v="14.255690848295046"/>
        <n v="111.61865861510876"/>
        <n v="8.733318694971146"/>
        <n v="14.263274777336338"/>
        <n v="17.01240111181417"/>
        <n v="104.4942101524847"/>
        <n v="8.888882789571312"/>
        <n v="14.324346128812962"/>
        <n v="29.20838754320055"/>
        <n v="152.406144390252"/>
        <n v="116.42147526107624"/>
        <n v="91.44368663415122"/>
        <n v="255.17550349066755"/>
        <n v="56.000369473628496"/>
        <n v="57.50693421695007"/>
        <n v="47.61174404454974"/>
        <n v="156.13957141225382"/>
        <n v="90.664807812054"/>
        <n v="132.83969799311097"/>
        <n v="167.1907362439755"/>
        <n v="32.01896949431682"/>
        <n v="19.74725886941983"/>
        <n v="292.65378636963237"/>
        <n v="155.16681399884482"/>
        <n v="122.27093462104963"/>
        <n v="22.41980061696617"/>
        <n v="4.2009150268395885"/>
        <n v="105.44239033813051"/>
        <n v="91.31977912227745"/>
        <n v="78.55368784950718"/>
        <n v="10.672259068833213"/>
        <n v="84.48366299121813"/>
        <n v="147.44533444864828"/>
        <n v="67.03284831292632"/>
        <n v="42.115628683285706"/>
        <n v="98.27228983546439"/>
        <n v="51.82222029649617"/>
        <n v="40.67225906883321"/>
        <n v="51.5656067493216"/>
        <n v="62.806495699523566"/>
        <n v="-14.402536607442357"/>
        <n v="522.4710507624234"/>
        <n v="137.91122837867704"/>
        <n v="30.504194301624914"/>
        <n v="96.77583726632702"/>
        <n v="56.280276651816024"/>
        <n v="9.408186943340851"/>
        <n v="41.565327812690384"/>
        <n v="188.29514674787742"/>
        <n v="42.96945607939128"/>
        <n v="252.40134336130757"/>
        <n v="33.0668421329093"/>
        <n v="73.00545155934495"/>
        <n v="32.46370170013144"/>
        <n v="539.4334152639012"/>
        <n v="28.160059115780555"/>
        <n v="93.10008839930691"/>
        <n v="302.881612033569"/>
        <n v="865.1129913990471"/>
        <n v="38.135992174544796"/>
        <n v="10.572548444967946"/>
        <n v="15.334272708389669"/>
        <n v="99.42242373579205"/>
        <n v="104.13345119907586"/>
        <n v="22.829944780569363"/>
        <n v="706.2312012270067"/>
        <n v="183.59728039695636"/>
        <n v="60.19048729125029"/>
        <n v="60.54864019847818"/>
        <n v="89.68223487751641"/>
        <n v="153.81812299525632"/>
        <n v="9.911381696590098"/>
        <n v="30.481228878050402"/>
        <n v="40.1081691606763"/>
        <n v="107.88668305278026"/>
        <n v="265.71644709106175"/>
        <n v="202.95323216025997"/>
        <n v="84.20525795184639"/>
        <n v="147.7325244388806"/>
        <n v="38.86666522237212"/>
        <n v="52.24710507624235"/>
        <n v="24.26896949431682"/>
        <n v="1.9767368531637217"/>
        <n v="72.91709083355869"/>
        <n v="8.566659347485576"/>
        <n v="350.5006505184066"/>
        <n v="291.499989167791"/>
        <n v="156.58819741500787"/>
        <n v="101.85370689533778"/>
        <n v="257.0338103801648"/>
        <n v="12.818176916271355"/>
        <n v="127.37970092544924"/>
        <n v="356.60079331026293"/>
        <n v="113.1707854392642"/>
        <n v="215.7733661055605"/>
        <n v="75.38806157215967"/>
        <n v="57.13009783191825"/>
        <n v="84.28259827980935"/>
        <n v="197.0160405409672"/>
        <n v="389.24671340320504"/>
        <n v="39.68021055949116"/>
        <n v="42.102628975923196"/>
        <n v="33.76816599108962"/>
        <n v="15.111062316570496"/>
        <n v="611.0165637178075"/>
        <n v="5.80885594098504"/>
        <n v="42.15114026083549"/>
        <n v="18.229272708389672"/>
        <n v="23.75948474715841"/>
        <n v="113.0801422823672"/>
        <n v="201.3166613324965"/>
        <n v="228.2994478056936"/>
        <n v="170.9483280504897"/>
        <n v="85.94607677287777"/>
        <n v="134.8583538159753"/>
        <n v="226.1602845647344"/>
        <n v="131.64582666562058"/>
        <n v="41.604096260168035"/>
        <n v="59.569300027131604"/>
        <n v="25.52510927089679"/>
        <n v="116.59999566711639"/>
        <n v="259.49780893547"/>
        <n v="105.81389482530977"/>
        <n v="306.21060418880097"/>
        <n v="103.12669459053905"/>
        <n v="395.78049798828533"/>
        <n v="33.03793898863364"/>
        <n v="4279.209519723156"/>
        <n v="129.55555074124044"/>
        <n v="95.22348808909948"/>
        <n v="262.193814322099"/>
        <n v="26.453473706327443"/>
        <n v="292.589853784174"/>
        <n v="108.79776937446479"/>
        <n v="119.83960123393234"/>
        <n v="258.0258260042351"/>
        <n v="213.94912166004508"/>
        <n v="272.6193603681021"/>
        <n v="388.66665222372126"/>
        <n v="90.12091574780453"/>
        <n v="208.9884203049694"/>
        <n v="379.54199426603145"/>
        <n v="310.33362799768963"/>
        <n v="12.152848472259777"/>
        <n v="165.10665642277303"/>
        <n v="109.66106354852161"/>
        <n v="223.60096063143396"/>
        <n v="361.68833001319126"/>
        <n v="163.07814341642847"/>
        <n v="39.34383758160479"/>
        <n v="201.75097577760994"/>
        <n v="20.898842030496937"/>
        <n v="634.827013277883"/>
        <n v="21.899924132273043"/>
        <n v="279.02453201705225"/>
        <n v="269.7167076319506"/>
        <n v="46.036353832542716"/>
        <n v="174.1053144096074"/>
        <n v="528.608322863193"/>
        <n v="15.040368869088041"/>
        <n v="0.5555311582852482"/>
        <n v="68.28588348624757"/>
        <n v="71.27845424147523"/>
        <n v="51.114242361298864"/>
        <n v="162.53753072396296"/>
        <n v="64.0704718217819"/>
        <n v="53.179960872723996"/>
        <n v="5.930210559491158"/>
        <n v="111.02924545968847"/>
        <n v="115.2093300789607"/>
        <n v="93.80046108636003"/>
        <n v="42.24008867367084"/>
        <n v="113.88232539273301"/>
        <n v="35.607462060097504"/>
        <n v="54.0631886457644"/>
        <n v="281.6005911578055"/>
        <n v="23.28970183258088"/>
        <n v="17.777765579142624"/>
        <n v="50.5813683130026"/>
        <n v="35.05006505184066"/>
        <n v="11.64485091629044"/>
        <n v="182.51362889836236"/>
        <n v="46.57940366516176"/>
        <n v="25.393080531115316"/>
        <n v="436.4404026555767"/>
        <n v="60.93686004336257"/>
        <n v="639.4480673199273"/>
        <n v="290.49159532278236"/>
        <n v="153.09470898775578"/>
        <n v="46.16543420287829"/>
        <n v="103.58179612322112"/>
        <n v="156.17591228926676"/>
        <n v="145.8044847502436"/>
        <n v="98.51715079867267"/>
        <n v="353.12718449288445"/>
        <n v="372.91345425073087"/>
        <n v="27.751143783549487"/>
        <n v="17.41053144096074"/>
        <n v="59.78815658501094"/>
        <n v="5.889936584813942"/>
        <n v="58.04993930581844"/>
        <n v="132.85822354553088"/>
        <n v="66.61754727581308"/>
        <n v="64.45418411908692"/>
        <n v="117.0359415136696"/>
        <n v="69.85205767566251"/>
        <n v="2007.6499178819859"/>
        <n v="52.30420742996594"/>
        <n v="11.256055330363203"/>
        <n v="9.85080202704836"/>
        <n v="130.70528962685523"/>
        <n v="25.42719155161427"/>
        <n v="531.1043672865271"/>
        <n v="10.376756790291438"/>
        <n v="365.7297355336965"/>
        <n v="85.06200555907088"/>
        <n v="339.51235631779264"/>
        <n v="25.911110148248085"/>
        <n v="450.6045787390227"/>
        <n v="364.5112118756091"/>
        <n v="40.2242545814522"/>
        <n v="28.672259068833213"/>
        <n v="169.83960123393234"/>
        <n v="43.964546989666474"/>
        <n v="246.4005172630799"/>
        <n v="438.03270935606974"/>
        <n v="209.21682971986377"/>
        <n v="135.69617073884064"/>
        <n v="231.15628683285695"/>
        <n v="517.063835536082"/>
        <n v="450.1362889836237"/>
        <n v="262.00914561653497"/>
        <n v="162.68903627533285"/>
        <n v="27.776147391643818"/>
        <n v="116.6435878001949"/>
        <n v="256.01612206115226"/>
        <n v="1783.003966551315"/>
        <n v="547.540886695087"/>
        <n v="461.55406042969435"/>
        <n v="277.8148275813512"/>
        <n v="23.101536097563"/>
        <n v="86.06021854179357"/>
        <n v="58.53075727392648"/>
        <n v="304.42984824039"/>
        <n v="130.57898580720553"/>
        <n v="11.38465001356581"/>
        <n v="3.555553115828525"/>
        <n v="121.771939296156"/>
        <n v="295.5240608114508"/>
        <n v="145.73026665143686"/>
        <n v="97.84688604985712"/>
        <n v="339.24042684710173"/>
        <n v="107.575273177242"/>
        <n v="39.02050484928432"/>
        <n v="173.02259827980936"/>
        <n v="12.447548444967946"/>
        <n v="323.6600491583408"/>
        <n v="221.49780893547"/>
        <n v="134.58249685895794"/>
        <n v="75.12895447211702"/>
        <n v="33.060636453630536"/>
        <n v="61.473786658320876"/>
        <n v="123.68866828109276"/>
        <n v="32.615628683285706"/>
        <n v="21.49956178709401"/>
        <n v="202.08387543200547"/>
        <n v="4.226736853163722"/>
        <n v="174.6045787390227"/>
        <n v="40.55126212321079"/>
        <n v="305.5482553984541"/>
        <n v="96.89143109951999"/>
        <n v="8.29836562997863"/>
        <n v="91.1361449177322"/>
        <n v="19.84010527974558"/>
        <n v="78.26593777453712"/>
        <n v="259.1111014824809"/>
        <n v="575.454422906784"/>
        <n v="14.901575637240718"/>
        <n v="7.6203072195126005"/>
        <n v="61.00838860324983"/>
        <n v="402.8180960347488"/>
        <n v="37.00974848656281"/>
        <n v="172.63632687203517"/>
        <n v="33.13629434709921"/>
        <n v="23.606302548962873"/>
        <n v="117.8305317742608"/>
        <n v="164.6772001085264"/>
        <n v="62.19636354194833"/>
      </sharedItems>
    </cacheField>
    <cacheField name="profitMargin" numFmtId="10">
      <sharedItems containsSemiMixedTypes="0" containsString="0" containsNumber="1">
        <n v="0.2441206449086207"/>
        <n v="0.2022014403242215"/>
        <n v="0.4480375477423655"/>
        <n v="0.2498633965793635"/>
        <n v="0.3189782656283188"/>
        <n v="0.32854561789087716"/>
        <n v="0.198797959562728"/>
        <n v="0.2174998568429649"/>
        <n v="0.2668864552433791"/>
        <n v="0.24227343734131912"/>
        <n v="0.3348748783165202"/>
        <n v="0.2536959976892419"/>
        <n v="0.2663960872766232"/>
        <n v="0.35052812764084523"/>
        <n v="0.3559680270062869"/>
        <n v="0.32336685927499936"/>
        <n v="0.2145852634105081"/>
        <n v="0.1237998497550876"/>
        <n v="0.20496565421258875"/>
        <n v="0.2916087345121269"/>
        <n v="0.35731928444376326"/>
        <n v="0.2944906417181202"/>
        <n v="0.3573527349109554"/>
        <n v="0.336283647531862"/>
        <n v="0.3002587764777042"/>
        <n v="0.2855506883059459"/>
        <n v="0.33887098612734273"/>
        <n v="0.2855506883059458"/>
        <n v="0.19664910555470405"/>
        <n v="0.1980951541647449"/>
        <n v="0.28442750656653826"/>
        <n v="0.27827044352691194"/>
        <n v="0.29837838760568025"/>
        <n v="0.10472749052116954"/>
        <n v="0.28015976547425325"/>
        <n v="0.0064421932154912825"/>
        <n v="0.10694211733480612"/>
        <n v="0.2917575770814348"/>
        <n v="0.31541773713426885"/>
        <n v="0.2926313947557885"/>
        <n v="0.05932085562416022"/>
        <n v="0.2552298722918245"/>
        <n v="0.13580878091848436"/>
        <n v="0.05547831268283582"/>
        <n v="0.3573192844437632"/>
        <n v="0.21005366810691423"/>
        <n v="0.31878929284162333"/>
        <n v="0.3302065880011045"/>
        <n v="0.3070480923984878"/>
        <n v="0.3414524416044998"/>
        <n v="0.21915723239042592"/>
        <n v="0.16698590212750072"/>
        <n v="0.2903085589848226"/>
        <n v="0.3090541964544719"/>
        <n v="0.2663960872766231"/>
        <n v="0.2726886278468124"/>
        <n v="0.3573527349109555"/>
        <n v="0.29905110928182405"/>
        <n v="0.30307628291279204"/>
        <n v="0.2910111978047798"/>
        <n v="0.31764400221535866"/>
        <n v="0.32207160737503887"/>
        <n v="0.30307628291279193"/>
        <n v="0.3067920437942103"/>
        <n v="0.2546715966403953"/>
        <n v="0.3019075413007477"/>
        <n v="0.30905419645447185"/>
        <n v="0.2160314445177099"/>
        <n v="0.30135120792827585"/>
        <n v="0.35176180210459074"/>
        <n v="0.32568179551201765"/>
        <n v="0.243958166898741"/>
        <n v="0.2548316449116184"/>
        <n v="0.3127966807735813"/>
        <n v="0.32154635520137415"/>
        <n v="0.298348439818203"/>
        <n v="0.09171905712216447"/>
        <n v="0.32422080608070053"/>
        <n v="0.3114461575402014"/>
        <n v="0.2354519273972349"/>
        <n v="0.29175757708143474"/>
        <n v="0.35185658568886324"/>
        <n v="0.2801597654742532"/>
        <n v="0.2938776721916357"/>
        <n v="0.23545192739723492"/>
        <n v="0.11849464816979018"/>
        <n v="0.13403750352112698"/>
        <n v="0.2460025435857994"/>
        <n v="0.16890562356767175"/>
        <n v="0.17681555200562482"/>
        <n v="0.12532347059713014"/>
        <n v="0.2548316449116185"/>
        <n v="0.1699889902566119"/>
        <n v="0.2648507222443106"/>
        <n v="0.23207414029066634"/>
        <n v="0.18835236925348625"/>
        <n v="0.1870381634972127"/>
        <n v="0.2972725492248633"/>
        <n v="0.27181118176097635"/>
        <n v="0.3584761233317959"/>
        <n v="0.21458526341050804"/>
        <n v="0.2507575505689085"/>
        <n v="0.2364407564150903"/>
        <n v="0.24330918403146534"/>
        <n v="0.350724036143431"/>
        <n v="0.3215463552013741"/>
        <n v="0.31144615754020144"/>
        <n v="0.33512449885413736"/>
        <n v="0.29905110928182416"/>
        <n v="0.37010053742385063"/>
        <n v="0.29449064171812017"/>
        <n v="0.28082771431931364"/>
        <n v="0.3233668592749993"/>
        <n v="0.14313697988127397"/>
        <n v="0.11504486337581601"/>
        <n v="0.25483164491161847"/>
        <n v="0.23545192739723483"/>
        <n v="0.2854895021059935"/>
        <n v="0.26833434714749144"/>
        <n v="0.3187892928416234"/>
        <n v="0.2439581668987408"/>
        <n v="0.26828049067166654"/>
        <n v="0.26097208701835584"/>
        <n v="0.18703816349721267"/>
        <n v="0.30190754130074765"/>
        <n v="0.27858226238159"/>
        <n v="0.21145395442758072"/>
        <n v="0.2481853991944437"/>
        <n v="0.3518565856888633"/>
        <n v="0.30025877647770416"/>
        <n v="0.2695171323281376"/>
        <n v="0.2808277143193136"/>
        <n v="0.31135946709097495"/>
        <n v="0.3179848713940825"/>
        <n v="0.30192626028369374"/>
        <n v="0.3019075413007476"/>
        <n v="0.3019262602836937"/>
        <n v="0.2439581668987409"/>
        <n v="0.35735273491095537"/>
        <n v="0.36393556139247835"/>
        <n v="0.3302998619567917"/>
        <n v="0.17203516101290942"/>
        <n v="0.2648507222443105"/>
        <n v="0.3302065880011046"/>
        <n v="0.3351244988541375"/>
        <n v="0.29193801680837567"/>
        <n v="0.2919380168083756"/>
        <n v="0.31187500737291923"/>
        <n v="0.34196013093824906"/>
        <n v="0.16998899025661202"/>
        <n v="0.16677362009580549"/>
        <n v="0.34726301924706643"/>
        <n v="0.2191572323904259"/>
        <n v="0.20181924141338117"/>
        <n v="0.31798487139408255"/>
        <n v="0.35596802700628694"/>
        <n v="0.31135946709097506"/>
        <n v="0.21262567177981326"/>
        <n v="0.1898207321110792"/>
        <n v="0.24658734470139068"/>
        <n v="0.3362836475318621"/>
        <n v="0.195212555154984"/>
        <n v="0.3177437744093297"/>
        <n v="0.333995422270331"/>
        <n v="0.2554014681639878"/>
        <n v="0.18418350701466393"/>
        <n v="0.18712258406408458"/>
        <n v="0.26951713232813757"/>
        <n v="0.18840504517928877"/>
        <n v="0.12740782535461737"/>
        <n v="0.2205755953198664"/>
        <n v="0.2498633965793634"/>
        <n v="0.19807827058545768"/>
        <n v="0.22434171255638638"/>
        <n v="0.1966491055547041"/>
        <n v="0.19496003375785861"/>
        <n v="0.14872283203539854"/>
        <n v="0.2348438523233055"/>
        <n v="0.2624729560987286"/>
        <n v="0.3065559809624642"/>
        <n v="0.2983783876056802"/>
        <n v="0.2829360977280245"/>
        <n v="0.2548316449116186"/>
        <n v="0.31655161699308526"/>
        <n v="0.2932059135693443"/>
        <n v="0.2621590624019201"/>
        <n v="0.303076282912792"/>
        <n v="0.196649105554704"/>
        <n v="0.1966909186386944"/>
        <n v="0.15527600760087576"/>
        <n v="0.2718111817609763"/>
        <n v="0.22982562857630673"/>
        <n v="0.20117630975734993"/>
        <n v="0.40088223231801245"/>
        <n v="0.23545192739723486"/>
        <n v="0.3019262602836938"/>
        <n v="0.2430992142684705"/>
        <n v="0.20396101091176386"/>
        <n v="0.1899366559296487"/>
        <n v="0.21779352806369107"/>
        <n v="0.26951713232813773"/>
        <n v="0.17245481666681836"/>
        <n v="0.20091968257701506"/>
        <n v="0.27662808502482245"/>
        <n v="0.2998682929647581"/>
        <n v="0.1406083909742795"/>
        <n v="0.21262567177981337"/>
        <n v="0.2091195639460181"/>
        <n v="0.2552298722918244"/>
        <n v="0.3242208060807005"/>
        <n v="0.1897022526307385"/>
        <n v="0.3065559809624643"/>
        <n v="0.18816015955105664"/>
        <n v="0.2261586549940111"/>
        <n v="0.3235291946431111"/>
        <n v="0.25735857022960007"/>
        <n v="0.3163453975166791"/>
        <n v="0.3672956511568145"/>
        <n v="0.21458526341050807"/>
        <n v="0.2695171323281377"/>
        <n v="0.24818539919444363"/>
        <n v="0.2783645862676059"/>
        <n v="0.3419601309382491"/>
        <n v="0.26485072224431055"/>
        <n v="0.1599535187763788"/>
        <n v="0.19090131306775135"/>
        <n v="0.05684185967438459"/>
        <n v="0.27181118176097624"/>
        <n v="0.16659851119073749"/>
        <n v="0.19669091863869423"/>
        <n v="0.054681597073039746"/>
        <n v="0.15639420154241934"/>
        <n v="0.134037503521127"/>
        <n v="0.07873892860596256"/>
        <n v="0.2465873447013907"/>
        <n v="0.1273844266259346"/>
        <n v="0.39726987576111256"/>
        <n v="0.24986339657936346"/>
        <n v="0.3220716073750388"/>
        <n v="0.1105390198808717"/>
        <n v="0.20396101091176377"/>
        <n v="0.25393957543430795"/>
        <n v="0.24616261689041574"/>
        <n v="0.2798406507654036"/>
        <n v="0.22250975164189357"/>
        <n v="0.27836458626760585"/>
        <n v="0.29030855898482266"/>
        <n v="0.29160873451212693"/>
        <n v="0.25520933500013654"/>
        <n v="0.3505281276408453"/>
        <n v="0.14427217141783602"/>
        <n v="0.1881601595510566"/>
        <n v="0.08541793393436425"/>
        <n v="0.24395816689874084"/>
        <n v="0.2995780816746379"/>
        <n v="0.1398437592161491"/>
        <n v="0.3242208060807006"/>
        <n v="0.28440891889587433"/>
        <n v="0.2130639745349275"/>
        <n v="0.2322824405049688"/>
        <n v="0.3256817955120176"/>
        <n v="0.143092379258351"/>
        <n v="-1.8213789418199125E-4"/>
        <n v="0.1226135079176654"/>
        <n v="0.07540797461661908"/>
        <n v="0.27473668805229606"/>
        <n v="0.2225097516418936"/>
        <n v="0.30905419645447196"/>
        <n v="0.15090640414930814"/>
        <n v="0.24913422897855614"/>
        <n v="0.18327075788083677"/>
        <n v="0.1833157567776354"/>
        <n v="0.18492982165796382"/>
        <n v="0.22517620808576114"/>
        <n v="0.20120314446752302"/>
        <n v="0.21361771231641313"/>
        <n v="0.22090893005296514"/>
        <n v="0.16818623214116712"/>
        <n v="0.2101921066669481"/>
        <n v="-0.014392585086831989"/>
        <n v="0.0680886176625759"/>
        <n v="0.10340469191967745"/>
        <n v="0.14420661459058054"/>
        <n v="0.1420313912189093"/>
        <n v="0.200024670827479"/>
        <n v="0.15566138417263542"/>
        <n v="0.06588387340469065"/>
        <n v="0.03765428027692425"/>
        <n v="0.1116620842910527"/>
        <n v="0.13794669485465383"/>
        <n v="0.23203087781894588"/>
        <n v="0.24221228765513544"/>
        <n v="0.23261029515980908"/>
        <n v="0.16534783099820816"/>
        <n v="0.10284447184511737"/>
        <n v="0.17308848556592477"/>
        <n v="0.15929548606422164"/>
        <n v="0.22046385115850045"/>
        <n v="0.19989259859929234"/>
        <n v="-0.06329786623387518"/>
        <n v="-0.053251695840156425"/>
        <n v="-1.3425175088452283E-4"/>
        <n v="0.08120942840658313"/>
        <n v="0.15566138417263553"/>
        <n v="0.10284447184511734"/>
        <n v="0.1586491044806917"/>
        <n v="0.14897135076899803"/>
        <n v="0.22046385115850056"/>
        <n v="0.20412483847079804"/>
        <n v="0.19152278323054822"/>
        <n v="0.16736963515860453"/>
        <n v="0.1654673713272628"/>
        <n v="0.16531512758431882"/>
        <n v="0.015556839833285043"/>
        <n v="-0.13333338487574928"/>
        <n v="0.2750907257582561"/>
        <n v="0.20090335237265788"/>
        <n v="0.13459364073587515"/>
        <n v="0.24563796123214474"/>
        <n v="0.18621994167137643"/>
        <n v="0.11877000982396817"/>
        <n v="0.20232872384751083"/>
        <n v="0.14146893480073344"/>
        <n v="0.10514468775288223"/>
        <n v="0.09323202859955938"/>
        <n v="0.10250005906336879"/>
        <n v="0.04885033321240964"/>
        <n v="0.1482344573236936"/>
        <n v="0.02043486489247601"/>
        <n v="0.14716555971559528"/>
        <n v="0.14823445732369356"/>
        <n v="0.20622707457528142"/>
        <n v="0.19989259859929237"/>
        <n v="-0.0208553040279556"/>
        <n v="-0.04335609051960154"/>
        <n v="-0.06250004832101498"/>
        <n v="-0.0363880391740214"/>
        <n v="-0.12180119402574448"/>
        <n v="0.201203144467523"/>
        <n v="0.17722829762419218"/>
        <n v="0.17308848556592465"/>
        <n v="0.26166762987496384"/>
        <n v="0.14152197210569076"/>
        <n v="-0.05307719111073586"/>
        <n v="0.005156048088497616"/>
        <n v="0.1592954860642216"/>
        <n v="0.20120314446752305"/>
        <n v="-1.3425175088461E-4"/>
        <n v="-0.061166882038935944"/>
        <n v="-0.03446396617441544"/>
        <n v="-0.15387514568549987"/>
        <n v="0.16534783099820796"/>
        <n v="0.20120314446752294"/>
        <n v="0.2320308778189459"/>
        <n v="0.010175417036107812"/>
        <n v="0.20090335237265783"/>
        <n v="0.13284832007182806"/>
        <n v="0.15398065904115973"/>
        <n v="0.11244793829724785"/>
        <n v="0.0858092195824357"/>
        <n v="0.04027052477862669"/>
        <n v="0.1673696351586046"/>
        <n v="-0.010596520961814718"/>
        <n v="4.8503784099136147E-4"/>
        <n v="-0.043165785840921386"/>
        <n v="0.21736295502185424"/>
        <n v="0.13776630267619286"/>
        <n v="0.17722829762419212"/>
        <n v="0.05988629690900915"/>
        <n v="-0.014392585086831791"/>
        <n v="0.03914206809510211"/>
        <n v="0.11251524850840564"/>
        <n v="0.08002735559227321"/>
        <n v="0.2519756259025699"/>
        <n v="0.04003859727368245"/>
        <n v="0.13388885224923178"/>
        <n v="0.20412483847079807"/>
        <n v="0.18331575677763542"/>
        <n v="0.1493617070128999"/>
        <n v="0.1852003879710014"/>
        <n v="0.165347830998208"/>
        <n v="0.10169198136727575"/>
        <n v="0.033400196625126555"/>
        <n v="0.11803008286142384"/>
        <n v="0.007597874457182664"/>
        <n v="0.21361771231641308"/>
        <n v="0.22090893005296505"/>
        <n v="0.14823445732369347"/>
        <n v="0.22415202536918846"/>
        <n v="0.16422503155710674"/>
        <n v="0.10683808701146434"/>
        <n v="-0.04471871055361645"/>
        <n v="-0.04331521125223969"/>
        <n v="0.13634330068831535"/>
        <n v="0.08580921958243555"/>
        <n v="0.1262419025737924"/>
        <n v="0.19454525084250682"/>
        <n v="0.1338888522492318"/>
        <n v="0.11305120350302608"/>
        <n v="0.11986147223687742"/>
        <n v="0.09323202859955934"/>
        <n v="-0.07779212165475893"/>
        <n v="0.025579813948125696"/>
        <n v="0.07708453734370493"/>
        <n v="0.18520038797100144"/>
        <n v="0.16736963515860462"/>
        <n v="0.010935865957907756"/>
        <n v="0.041093907832898534"/>
        <n v="0.15862593382583837"/>
        <n v="0.06173481337817877"/>
        <n v="0.22280803144733025"/>
        <n v="-0.13333338487574933"/>
        <n v="-0.15167537026564815"/>
        <n v="-0.1209393519143712"/>
        <n v="-0.03309838921898484"/>
        <n v="-0.03638803917402153"/>
        <n v="0.19463021897759392"/>
        <n v="0.16818623214116726"/>
        <n v="0.19152278323054805"/>
        <n v="0.18699628386105158"/>
        <n v="0.019142667635762858"/>
        <n v="0.15862593382583826"/>
        <n v="0.001503930584403852"/>
        <n v="0.16283150933276982"/>
        <n v="0.13006017696261393"/>
        <n v="0.0925230643120409"/>
        <n v="0.1278114295746074"/>
        <n v="0.14152197210569073"/>
        <n v="0.27337496998423466"/>
        <n v="0.22517620808576125"/>
        <n v="0.05988629690900913"/>
        <n v="-0.01439258508683199"/>
        <n v="0.00870428626808796"/>
        <n v="0.20960666987794882"/>
        <n v="0.1772282976241921"/>
        <n v="0.10864807270926996"/>
        <n v="0.08427387048696193"/>
        <n v="0.1300004654379615"/>
        <n v="0.2204638511585005"/>
        <n v="0.13388885224923175"/>
        <n v="0.22415202536918835"/>
        <n v="0.13624347230076378"/>
        <n v="0.06614949950033104"/>
        <n v="0.1199713245912587"/>
        <n v="0.01017541703610794"/>
        <n v="0.1817989164415619"/>
        <n v="0.18390882573960335"/>
        <n v="0.15566138417263545"/>
        <n v="-0.12093935191437108"/>
        <n v="-0.08639948270533143"/>
        <n v="0.1202368753232703"/>
        <n v="0.16531512758431868"/>
        <n v="0.16736963515860465"/>
        <n v="0.1998925985992924"/>
        <n v="0.1345936407358751"/>
        <n v="0.1998925985992923"/>
        <n v="0.1849298216579638"/>
        <n v="0.15830318976083474"/>
        <n v="0.23693760606132214"/>
        <n v="0.15929548606422156"/>
        <n v="0.11211483596961988"/>
        <n v="0.1111385231416433"/>
        <n v="0.09323202859955941"/>
        <n v="0.1300004654379616"/>
        <n v="0.18621994167137645"/>
        <n v="-0.11286955866905578"/>
        <n v="-0.00968743355371012"/>
        <n v="-0.023958829574738837"/>
        <n v="0.1377663026761929"/>
        <n v="0.14999996134318802"/>
        <n v="0.13624347230076386"/>
        <n v="0.008704286268088068"/>
        <n v="0.14716555971559536"/>
        <n v="0.23513154735182604"/>
        <n v="0.12624190257379242"/>
        <n v="0.16886180655841102"/>
        <n v="0.15801365295015038"/>
        <n v="0.14936170701289997"/>
        <n v="0.27509072575825605"/>
        <n v="0.1644495521845067"/>
        <n v="0.15398065904115968"/>
        <n v="0.3040481415700912"/>
        <n v="0.38016493331125384"/>
        <n v="0.3495970270888413"/>
        <n v="0.3086305750410535"/>
        <n v="0.347943857326371"/>
        <n v="0.267643638555892"/>
        <n v="0.27224271056953"/>
        <n v="0.33900029568985596"/>
        <n v="0.3720242292937173"/>
        <n v="0.3349111110108365"/>
        <n v="0.26051818645507147"/>
        <n v="0.3384707884527397"/>
        <n v="0.3723884829888713"/>
        <n v="0.36072268189812634"/>
        <n v="0.3274363888513773"/>
        <n v="0.33491111101083654"/>
        <n v="0.3965103689857158"/>
        <n v="0.2830034927119192"/>
        <n v="0.354111084430431"/>
        <n v="0.27458562287964744"/>
        <n v="0.20811852595373023"/>
        <n v="0.2544708941300608"/>
        <n v="0.35570417518207514"/>
        <n v="0.3481603103768011"/>
        <n v="0.30863057504105357"/>
        <n v="0.3468277326941018"/>
        <n v="0.23221641982290114"/>
        <n v="0.2614721262198684"/>
        <n v="0.16108053902048936"/>
        <n v="0.23217044520548463"/>
        <n v="0.181233107729519"/>
        <n v="0.3050989457646719"/>
        <n v="0.1854998971631765"/>
        <n v="0.2120767146661364"/>
        <n v="0.1569841295481746"/>
        <n v="0.24563796123214476"/>
        <n v="0.292673818395673"/>
        <n v="0.30863057504105346"/>
        <n v="0.3609625155740184"/>
        <n v="0.308994777840611"/>
        <n v="0.27277368594885665"/>
        <n v="0.31317774253289854"/>
        <n v="0.2644410064074895"/>
        <n v="0.26631891873741226"/>
        <n v="0.2120767146661363"/>
        <n v="0.2974281510026212"/>
        <n v="0.24583594058714225"/>
        <n v="0.2854704696091715"/>
        <n v="0.3599140788794339"/>
        <n v="0.3471270605916827"/>
        <n v="0.30404814157009113"/>
        <n v="0.3322521020674549"/>
        <n v="0.3285181990530621"/>
        <n v="0.29618950025861623"/>
        <n v="0.36096251557401837"/>
        <n v="0.2950160078591746"/>
        <n v="0.34665260542210824"/>
        <n v="0.32125234652842793"/>
        <n v="0.31999996907455036"/>
        <n v="0.34734487842466194"/>
        <n v="0.2256251210590604"/>
        <n v="0.22520616663906723"/>
        <n v="0.2925554119740427"/>
        <n v="0.21408202043963667"/>
        <n v="0.3178758179198303"/>
        <n v="0.24583594058714217"/>
        <n v="0.33138002524568544"/>
        <n v="0.3805000968472482"/>
        <n v="0.3269007470606707"/>
        <n v="0.339000295689856"/>
        <n v="0.36039670068955787"/>
        <n v="0.3112943703458375"/>
        <n v="0.20532836157424506"/>
        <n v="0.24819119479296287"/>
        <n v="0.3025014525409868"/>
        <n v="0.2893296674328421"/>
        <n v="0.38562470225515666"/>
        <n v="0.22046385115850053"/>
        <n v="0.3241569632570184"/>
        <n v="0.37816717649558707"/>
        <n v="0.31999996907455047"/>
        <n v="0.3937698301241083"/>
        <n v="0.36329987077663844"/>
        <n v="0.39651036898571573"/>
        <n v="0.3269192835845533"/>
        <n v="0.3805000968472484"/>
        <n v="0.401580500722056"/>
        <n v="0.3392119024072507"/>
        <n v="0.32415696325701837"/>
        <n v="0.31978951844802683"/>
        <n v="0.22520616663906737"/>
        <n v="0.17375036961231996"/>
        <n v="0.3173607802835074"/>
        <n v="0.31129437034583757"/>
        <n v="0.258193218957567"/>
        <n v="0.28879342097714883"/>
        <n v="0.1651871520233112"/>
        <n v="0.3649816596602251"/>
        <n v="0.37637108092680044"/>
        <n v="0.10702027662162115"/>
        <n v="0.30400037235036925"/>
        <n v="0.38049461397025813"/>
        <n v="0.3538000425256255"/>
        <n v="0.32743638885137727"/>
        <n v="0.36001973666198317"/>
        <n v="0.3208785778853657"/>
        <n v="0.3199999690745504"/>
        <n v="0.22672015730010128"/>
        <n v="0.2580578911860611"/>
        <n v="0.3026538699876349"/>
        <n v="0.3074746044915246"/>
        <n v="0.353289160268586"/>
        <n v="0.30421083756826955"/>
        <n v="0.2634004282558628"/>
        <n v="0.217116453779922"/>
        <n v="0.2605181864550715"/>
        <n v="0.3856247022551567"/>
        <n v="0.2869184581674159"/>
        <n v="0.34665260542210835"/>
        <n v="0.2830034927119193"/>
        <n v="0.20657329839828195"/>
        <n v="0.14708056562431254"/>
        <n v="0.3212523465284279"/>
        <n v="0.2529195996002649"/>
        <n v="0.26120497563966744"/>
        <n v="0.1811769086474933"/>
        <n v="0.3584909040851089"/>
        <n v="0.2527070987237526"/>
        <n v="0.32945596553968415"/>
        <n v="0.1919738147445865"/>
        <n v="0.231356006378951"/>
        <n v="0.32851819905306223"/>
        <n v="0.3937698301241084"/>
        <n v="0.30627865605746235"/>
        <n v="0.27702920266620906"/>
        <n v="0.2995252481188776"/>
        <n v="0.24526683443359926"/>
        <n v="0.38955008484905773"/>
        <n v="0.17308848556592468"/>
        <n v="0.1981136301063862"/>
        <n v="0.13006017696261382"/>
        <n v="0.34178263809935366"/>
        <n v="0.30767491258870006"/>
        <n v="0.28547046960917144"/>
        <n v="0.35380004252562547"/>
        <n v="0.2855287858193978"/>
        <n v="0.3454391331532496"/>
        <n v="0.04400465694922584"/>
        <n v="0.307078978807556"/>
        <n v="0.2033372141243548"/>
        <n v="0.3297893376596194"/>
        <n v="0.33155964174760544"/>
        <n v="0.26864737566594843"/>
        <n v="0.2772055320648902"/>
        <n v="0.25610039517924593"/>
        <n v="0.2062270745752814"/>
        <n v="0.32732896376212467"/>
        <n v="0.22173033935616437"/>
        <n v="0.23482003186922504"/>
        <n v="0.23686415836988722"/>
        <n v="0.25065255959837746"/>
        <n v="0.3801649333112537"/>
        <n v="0.23221641982290112"/>
        <n v="0.3632998707766384"/>
        <n v="0.3603104242182344"/>
        <n v="0.3417826380993536"/>
        <n v="0.35991407887943383"/>
        <n v="0.3685135066972638"/>
        <n v="0.3245291073381083"/>
        <n v="0.3285181990530622"/>
        <n v="0.42007258060660485"/>
        <n v="0.33237389706181036"/>
        <n v="0.30426145662809745"/>
        <n v="0.30365346152919975"/>
        <n v="0.2855287858193979"/>
        <n v="0.33935629788302235"/>
        <n v="0.3323738970618103"/>
        <n v="0.3269192835845534"/>
        <n v="0.34682773269410166"/>
        <n v="0.28678803544012743"/>
        <n v="0.15937702306961352"/>
        <n v="0.32087857788536567"/>
        <n v="0.20960666987794876"/>
        <n v="0.3895500848490578"/>
        <n v="0.3600197366619832"/>
        <n v="0.26764363855589207"/>
        <n v="0.2851353451424902"/>
        <n v="0.11584227299459127"/>
        <n v="0.2422122876551354"/>
        <n v="0.15864910448069172"/>
        <n v="0.3804946139702582"/>
        <n v="0.12887014056281115"/>
        <n v="0.1953471586476211"/>
        <n v="0.1916931068321445"/>
        <n v="0.2106418833715798"/>
        <n v="0.33237389706181025"/>
        <n v="0.21548560373608927"/>
        <n v="0.3767271440423721"/>
        <n v="0.3557041751820752"/>
        <n v="0.22676344080880645"/>
        <n v="0.3136251129751274"/>
        <n v="0.2958891777895019"/>
        <n v="0.25213253731617036"/>
        <n v="0.3262253461888778"/>
        <n v="0.3439233095182864"/>
        <n v="0.2153141341086101"/>
        <n v="0.22270897061948394"/>
        <n v="0.10375436588989925"/>
        <n v="0.32452910733810836"/>
        <n v="0.14719560091941056"/>
        <n v="0.3607226818981263"/>
        <n v="0.33026520746621585"/>
        <n v="0.3603967006895579"/>
        <n v="0.2841157502023058"/>
        <n v="0.3781671764955872"/>
        <n v="0.29710747586047886"/>
        <n v="0.3127653269386134"/>
        <n v="0.24695773985815755"/>
        <n v="0.2859558520466896"/>
        <n v="0.3274363888513774"/>
        <n v="0.3062786560574623"/>
        <n v="0.3345489857129337"/>
        <n v="0.34712706059168275"/>
        <n v="0.14999996134318805"/>
        <n v="0.28721211565012095"/>
        <n v="0.2527070987237525"/>
        <n v="0.3040481415700911"/>
        <n v="0.2740584504690093"/>
        <n v="0.33847078845273976"/>
        <n v="0.37672714404237206"/>
        <n v="0.2830034927119194"/>
        <n v="0.23976475591250052"/>
        <n v="0.3454391331532495"/>
        <n v="0.23221641982290123"/>
        <n v="0.3270765072611856"/>
        <n v="0.3435485062387373"/>
        <n v="0.24200491197891197"/>
        <n v="0.20103362104160674"/>
        <n v="0.15647469730814043"/>
        <n v="0.286918458167416"/>
        <n v="0.3676853359023591"/>
        <n v="0.3089947778406111"/>
        <n v="0.30250145254098676"/>
        <n v="0.23744040799150154"/>
        <n v="0.37225130728688816"/>
        <n v="0.2770711344047922"/>
        <n v="0.3723884829888714"/>
        <n v="0.367685335902359"/>
        <n v="0.1916931068321444"/>
        <n v="0.12950274745557702"/>
        <n v="0.3801649333112538"/>
        <n v="0.24563796123214468"/>
        <n v="0.07817410005473793"/>
        <n v="0.13088041383573487"/>
        <n v="0.2124454718666281"/>
        <n v="0.29742815100262116"/>
        <n v="0.34370455988885684"/>
        <n v="0.0993721431174778"/>
        <n v="0.10850670032758059"/>
        <n v="0.16896952538982946"/>
        <n v="0.2267634408088065"/>
        <n v="0.35849090408510886"/>
        <n v="0.3062786560574624"/>
        <n v="0.2999064326429858"/>
        <n v="0.14465453878014511"/>
        <n v="0.07503820807661639"/>
        <n v="0.17400012912966442"/>
        <n v="0.23686415836988742"/>
        <n v="0.25585023051801764"/>
        <n v="0.27573367819644573"/>
        <n v="0.2655558840998401"/>
        <n v="0.15156543316053497"/>
        <n v="0.2649675427252664"/>
        <n v="0.2539091100589581"/>
        <n v="0.23074990287633348"/>
        <n v="0.3042614566280975"/>
        <n v="0.40933410389997105"/>
        <n v="0.3475420350644777"/>
        <n v="0.3315596417476054"/>
        <n v="0.34754203506447756"/>
        <n v="0.2926738183956729"/>
        <n v="0.22561826746282262"/>
        <n v="0.3475420350644776"/>
        <n v="0.3153652916724645"/>
        <n v="0.2673688130003887"/>
        <n v="0.21338826499492397"/>
        <n v="0.24819119479296275"/>
        <n v="0.2616335093986721"/>
        <n v="0.24221228765513542"/>
        <n v="0.22090893005296508"/>
        <n v="0.29442406628913903"/>
        <n v="0.30907464055065237"/>
        <n v="0.26864737566594854"/>
        <n v="0.33454898571293373"/>
        <n v="0.3131777425328986"/>
        <n v="0.37238848298887134"/>
        <n v="0.25805789118606104"/>
        <n v="0.3131777425328985"/>
        <n v="0.34959702708884133"/>
        <n v="0.3269007470606706"/>
        <n v="0.2010336210416067"/>
        <n v="0.3738903640174834"/>
        <n v="0.08423699004386473"/>
        <n v="0.1533088795469668"/>
        <n v="0.13279603611845503"/>
        <n v="0.4015805007220559"/>
        <n v="0.28547046960917155"/>
        <n v="0.20412483847079801"/>
        <n v="0.17581017740870414"/>
        <n v="0.14719560091941064"/>
        <n v="0.25708891693965047"/>
        <n v="0.23181175004561497"/>
        <n v="0.09937214311747784"/>
        <n v="0.14795002076535785"/>
        <n v="0.36851350669726374"/>
        <n v="0.38185763305652815"/>
        <n v="0.2223532890468894"/>
        <n v="0.2867880354401275"/>
        <n v="0.23976475591250054"/>
        <n v="0.37389036401748343"/>
        <n v="0.4093341038999711"/>
        <n v="0.1446545387801452"/>
        <n v="0.12887014056281113"/>
        <n v="0.17399281862701088"/>
        <n v="0.3124502449411596"/>
        <n v="0.31276532693861336"/>
        <n v="0.20038803027279295"/>
        <n v="0.24695773985815747"/>
        <n v="0.2667378165204377"/>
        <n v="0.20814033362888626"/>
        <n v="0.3663002600105516"/>
        <n v="0.3255873036385397"/>
        <n v="0.2319141889313914"/>
        <n v="0.31369636719235133"/>
        <n v="0.3584909040851088"/>
        <n v="0.321252346528428"/>
        <n v="0.3720242292937172"/>
        <n v="0.1476302425308351"/>
        <n v="0.1510664943688513"/>
        <n v="0.07689988345160009"/>
        <n v="0.17399281862701085"/>
        <n v="0.2920383040540814"/>
        <n v="0.3618629790780088"/>
        <n v="0.15691378120314545"/>
        <n v="0.17400012912966437"/>
        <n v="0.11866706091980796"/>
        <n v="0.2931770516348023"/>
        <n v="0.36498165966022517"/>
        <n v="0.3781671764955871"/>
        <n v="0.32978933765961943"/>
        <n v="0.3273289637621246"/>
        <n v="0.3132175776845526"/>
        <n v="0.3393562978830224"/>
        <n v="0.2920383040540813"/>
        <n v="0.28595585204668955"/>
        <n v="0.3556362006740055"/>
        <n v="0.360396700689558"/>
        <n v="0.13578821880131695"/>
        <n v="0.2150302866171466"/>
        <n v="0.3782464251578642"/>
        <n v="0.32415696325701826"/>
        <n v="0.28300349271191927"/>
        <n v="0.3685135066972637"/>
        <n v="0.2217303393561645"/>
        <n v="0.2612049756396674"/>
        <n v="0.2469577398581575"/>
        <n v="0.24542064209485076"/>
        <n v="0.2369084196495029"/>
        <n v="0.37202422929371726"/>
        <n v="0.34897595333710113"/>
        <n v="0.14795002076535793"/>
        <n v="0.10983186274908043"/>
        <n v="0.19169310683214447"/>
        <n v="0.20049587586194736"/>
        <n v="0.14999996134318797"/>
        <n v="0.36031042421823434"/>
        <n v="0.2249333013165171"/>
        <n v="0.2644410064074894"/>
        <n v="0.10253432941422759"/>
        <n v="0.22493330131651712"/>
        <n v="0.2889108185133146"/>
        <n v="0.3026538699876348"/>
        <n v="0.2855287858193977"/>
        <n v="0.24786365222018045"/>
        <n v="0.18083293634020892"/>
        <n v="0.13624347230076397"/>
        <n v="0.15330887954696681"/>
        <n v="0.3313800252456854"/>
        <n v="0.338972872940755"/>
        <n v="0.17375036961232015"/>
        <n v="0.332252102067455"/>
        <n v="0.23312977691388362"/>
        <n v="0.2048905450082569"/>
        <n v="0.18418109803082755"/>
        <n v="0.2256251210590606"/>
        <n v="0.13624347230076392"/>
        <n v="0.31245024494115964"/>
        <n v="0.32472726745800934"/>
        <n v="0.2726260819374853"/>
        <n v="0.16108053902048944"/>
        <n v="0.2481911947929628"/>
        <n v="0.28552878581939783"/>
        <n v="0.33900029568985607"/>
        <n v="0.15109822235670728"/>
        <n v="0.177228297624192"/>
        <n v="0.2422122876551355"/>
        <n v="0.2420049119789119"/>
        <n v="0.2266670803892992"/>
        <n v="0.26555588409984004"/>
        <n v="0.15106649436885128"/>
        <n v="0.12910364359213555"/>
        <n v="0.1740001291296644"/>
        <n v="0.07200049646715903"/>
        <n v="0.17088956866078278"/>
        <n v="0.044004656949225784"/>
        <n v="0.32472726745800923"/>
        <n v="0.38810523788146084"/>
        <n v="0.32622534618887783"/>
        <n v="0.23287512626631887"/>
        <n v="0.147630242530835"/>
        <n v="0.13196793778280153"/>
        <n v="0.1473944732505631"/>
        <n v="0.20533839925752348"/>
        <n v="0.2539680797020375"/>
        <n v="0.3389354922402768"/>
        <n v="0.3726949417835101"/>
        <n v="0.331146125272016"/>
        <n v="0.2641677191275493"/>
        <n v="0.3083460420394387"/>
        <n v="0.3237461957996283"/>
        <n v="0.27083960959458914"/>
        <n v="0.22252302092108778"/>
        <n v="0.2846903729735601"/>
        <n v="0.21457650449530066"/>
        <n v="0.3126682036212002"/>
        <n v="0.3148406339963672"/>
        <n v="0.20767653771442687"/>
        <n v="0.24271132858780906"/>
        <n v="0.22621780030221172"/>
        <n v="0.3319346251991452"/>
        <n v="0.232278672374124"/>
        <n v="0.2552268571933551"/>
        <n v="0.1411059521262397"/>
        <n v="0.2706647387554178"/>
        <n v="0.2044072891760333"/>
        <n v="0.16760648745139695"/>
        <n v="0.3303802017894957"/>
        <n v="0.32652505705726287"/>
        <n v="0.3065739967375279"/>
        <n v="0.2752853022629787"/>
        <n v="0.2818794891114722"/>
        <n v="0.2544497241810856"/>
        <n v="0.2924655143336873"/>
        <n v="0.2662242004586334"/>
        <n v="0.26690525027735695"/>
        <n v="0.2576032907037623"/>
        <n v="0.20521152552617797"/>
        <n v="0.31484063399636736"/>
        <n v="0.33114612527201603"/>
        <n v="0.26994005930730386"/>
        <n v="0.30102528764359504"/>
        <n v="0.3437556486351302"/>
        <n v="0.32567915272426773"/>
        <n v="0.3165709778712772"/>
        <n v="0.22437807437703877"/>
        <n v="0.37166120359624055"/>
        <n v="0.3145572833320257"/>
        <n v="0.33850260170987295"/>
        <n v="0.3103336279976897"/>
        <n v="0.31657097787127725"/>
        <n v="0.3385026017098729"/>
        <n v="0.23559746339255772"/>
        <n v="0.26416771912754927"/>
        <n v="0.17366936530034602"/>
        <n v="0.21586867722938763"/>
        <n v="0.21090519784593828"/>
        <n v="0.31656112011972326"/>
        <n v="0.12880657544674154"/>
        <n v="0.2708396095945891"/>
        <n v="0.22336143071510564"/>
        <n v="0.31848963453010537"/>
        <n v="0.3074836820977573"/>
        <n v="0.33184296163338606"/>
        <n v="0.1058629662169502"/>
        <n v="0.21944634300754426"/>
        <n v="0.28187948911147226"/>
        <n v="0.2669052502773569"/>
        <n v="0.3165611201197233"/>
        <n v="0.32374619579962827"/>
        <n v="0.06875357554562701"/>
        <n v="0.09938351915852671"/>
        <n v="0.0979574413440904"/>
        <n v="0.1195722699571529"/>
        <n v="0.17998219962135792"/>
        <n v="0.27185725846806447"/>
        <n v="0.2225230209210878"/>
        <n v="0.2158686772293876"/>
        <n v="0.14571372233909655"/>
        <n v="0.3256791527242678"/>
        <n v="0.3318429616333861"/>
        <n v="0.2846903729735602"/>
        <n v="0.33960178041276995"/>
        <n v="0.3265250570572628"/>
        <n v="0.23559746339255763"/>
        <n v="0.00593296557478068"/>
        <n v="0.21944634300754431"/>
        <n v="0.23149560226604307"/>
        <n v="0.20208832123496911"/>
        <n v="0.23433594128890364"/>
        <n v="0.3466908379504072"/>
        <n v="0.3311461252720159"/>
        <n v="0.22822809670568503"/>
        <n v="0.15433510126008473"/>
        <n v="0.08020964890943666"/>
        <n v="0.20305325464038268"/>
        <n v="0.14334313542770363"/>
        <n v="0.1731282521373411"/>
        <n v="0.17385024636698723"/>
        <n v="0.34597780899035263"/>
        <n v="0.2508388356393398"/>
        <n v="0.2794082307026501"/>
        <n v="0.2619940491570707"/>
        <n v="0.21404073552840613"/>
        <n v="0.21311308855531286"/>
        <n v="0.3385907406276216"/>
        <n v="0.33967888608790536"/>
        <n v="0.22832131608142828"/>
        <n v="0.29667680171935384"/>
        <n v="0.26873941978089355"/>
        <n v="0.2924655143336874"/>
        <n v="0.3396792024678647"/>
        <n v="0.20668135614619745"/>
        <n v="0.22227704969444323"/>
        <n v="0.2731896997364928"/>
        <n v="0.18919202586745718"/>
        <n v="0.3109023471600132"/>
        <n v="0.026586745743071658"/>
        <n v="0.1367535370714669"/>
        <n v="0.2159259179020674"/>
        <n v="0.23250615352224832"/>
        <n v="0.058569980834480645"/>
        <n v="0.1257778156699784"/>
        <n v="0.08874816015963106"/>
        <n v="0.324537639368895"/>
        <n v="0.2687394197808936"/>
        <n v="0.2540102406504201"/>
        <n v="0.20408009530360915"/>
        <n v="0.22902533249559773"/>
        <n v="0.3254862318490436"/>
        <n v="0.28060102933818654"/>
        <n v="0.16221493812832072"/>
        <n v="0.058569980834480576"/>
        <n v="0.12281266399049263"/>
        <n v="0.2699400593073038"/>
        <n v="0.16252227852912104"/>
        <n v="0.3234680810080678"/>
        <n v="0.33960178041277"/>
        <n v="0.30834604203943866"/>
        <n v="0.2544497241810855"/>
        <n v="0.2740353978923049"/>
        <n v="0.23493652603841336"/>
        <n v="0.2302520208219932"/>
        <n v="0.25614099907654114"/>
        <n v="0.2805906527576035"/>
        <n v="0.2745402336708828"/>
        <n v="0.250328341892208"/>
        <n v="0.2239613129546892"/>
        <n v="0.246270050676209"/>
        <n v="0.030919599648657013"/>
        <n v="0.33967920246786465"/>
        <n v="0.18355586776530397"/>
        <n v="0.3108132219873387"/>
        <n v="0.13543255254929848"/>
        <n v="0.17785641282109996"/>
        <n v="0.16393265659002"/>
        <n v="0.30798816168832666"/>
        <n v="0.11325888314848118"/>
        <n v="0.2286274844146868"/>
        <n v="0.29392748562586046"/>
        <n v="0.2147476217372843"/>
        <n v="0.2371424234347143"/>
        <n v="0.2939274856258604"/>
        <n v="0.28469037297356015"/>
        <n v="0.23559746339255766"/>
        <n v="0.28054888517681137"/>
        <n v="0.31484063399636725"/>
        <n v="0.30748368209775734"/>
        <n v="0.2966768017193538"/>
        <n v="0.31455728333202576"/>
        <n v="0.35256515280360007"/>
        <n v="0.3421094979928695"/>
        <n v="0.3849866497160184"/>
        <n v="0.30414262341081766"/>
        <n v="0.27827715040720535"/>
        <n v="0.2700778913026609"/>
        <n v="0.2939274856258605"/>
        <n v="0.3146745083421628"/>
        <n v="0.27528530226297865"/>
        <n v="0.3525651528036002"/>
        <n v="0.19596585631914964"/>
        <n v="0.10819483369602129"/>
        <n v="0.33908019709358983"/>
        <n v="0.1686281754384872"/>
        <n v="0.16760648745139675"/>
        <n v="0.31081322198733874"/>
        <n v="0.34467153262125805"/>
        <n v="0.29246551433368745"/>
        <n v="0.28786113790322926"/>
        <n v="0.34228513025687995"/>
        <n v="0.17465886094954464"/>
        <n v="0.21470324179161832"/>
        <n v="0.21592591790206733"/>
        <n v="0.27318969973649276"/>
        <n v="0.11946904055036002"/>
        <n v="0.13675353707146687"/>
        <n v="0.1289211172672097"/>
        <n v="0.10924616693219358"/>
        <n v="0.33193462519914524"/>
        <n v="0.34433336175248386"/>
        <n v="0.2731896997364927"/>
        <n v="0.26690525027735684"/>
        <n v="0.09795744134409033"/>
        <n v="0.11800346894649724"/>
        <n v="0.37269494178351004"/>
        <n v="0.22197402871884733"/>
        <n v="0.25758574551792074"/>
        <n v="0.1386279339500165"/>
        <n v="0.15815632132157856"/>
        <n v="0.1568577898113045"/>
        <n v="0.25075461413807526"/>
        <n v="0.16703149099134218"/>
        <n v="0.2764548820188452"/>
        <n v="0.12231538788474997"/>
        <n v="0.300270718828979"/>
        <n v="0.30156518165922025"/>
        <n v="0.25401024065042"/>
        <n v="0.30657399673752794"/>
        <n v="0.25401024065042005"/>
        <n v="0.23250615352224835"/>
        <n v="0.1166674364033927"/>
        <n v="0.18083941577657256"/>
        <n v="0.19243299970721423"/>
        <n v="0.2138505714818748"/>
        <n v="0.22952666304169764"/>
        <n v="0.301025287643595"/>
        <n v="0.31033362799768965"/>
        <n v="0.11957226995715291"/>
        <n v="0.07779472271925164"/>
        <n v="0.23123331214502305"/>
        <n v="0.25032834189220793"/>
        <n v="0.11858065632036904"/>
        <n v="0.10203340940968372"/>
        <n v="0.11800346894649723"/>
        <n v="0.11877359612478638"/>
        <n v="0.2607778865838124"/>
        <n v="0.20645439041063948"/>
        <n v="0.21592591790206736"/>
        <n v="0.1250075315135069"/>
        <n v="0.05662068577824978"/>
        <n v="-0.019203382143256478"/>
        <n v="0.3126682036212001"/>
        <n v="0.15829887770233414"/>
        <n v="0.34375564863513025"/>
        <n v="0.32567915272426784"/>
        <n v="0.22197402871884744"/>
        <n v="0.25444972418108547"/>
        <n v="0.2933339491227141"/>
        <n v="0.29246551433368734"/>
        <n v="0.2967732896833108"/>
        <n v="0.27877961473301827"/>
        <n v="0.1835558677653039"/>
        <n v="0.3092164722475055"/>
        <n v="0.14492905851352075"/>
        <n v="0.22794782192368257"/>
        <n v="0.22176776671749757"/>
        <n v="0.1332174959219099"/>
        <n v="0.3015651816592203"/>
        <n v="0.3459778089903527"/>
        <n v="0.18420470204415043"/>
        <n v="0.21470324179161845"/>
        <n v="0.21592591790206742"/>
        <n v="0.33893549224027675"/>
        <n v="0.314363292886845"/>
        <n v="0.32453763936889496"/>
        <n v="0.2217677667174975"/>
        <n v="0.36244260371230613"/>
        <n v="0.34144448544140793"/>
        <n v="0.06746009962754686"/>
        <n v="0.35256515280360023"/>
        <n v="0.2503283418922079"/>
        <n v="0.19359680392003026"/>
        <n v="0.12236498900049422"/>
        <n v="0.25732253914911835"/>
        <n v="0.3414444854414079"/>
        <n v="0.23250615352224827"/>
        <n v="0.34375564863513014"/>
        <n v="0.2575857455179208"/>
        <n v="0.13321749592190985"/>
        <n v="0.19243299970721425"/>
        <n v="0.2663102249642941"/>
        <n v="0.2559780019883285"/>
        <n v="0.21385057148187483"/>
        <n v="0.15358692373742522"/>
        <n v="0.16862817543848715"/>
        <n v="0.22621780030221178"/>
        <n v="0.21457650449530064"/>
        <n v="0.16393265659001996"/>
        <n v="0.15567204921111877"/>
        <n v="0.13675353707146684"/>
        <n v="0.08645417866182302"/>
        <n v="0.0835576048282669"/>
        <n v="0.005290772936049983"/>
        <n v="0.34228513025688007"/>
        <n v="0.2787796147330181"/>
        <n v="0.21521023598008998"/>
        <n v="0.24704249786690535"/>
        <n v="0.12892111726720967"/>
        <n v="0.2194463430075442"/>
        <n v="0.29333394912271415"/>
        <n v="0.15515234013114382"/>
        <n v="0.18929687901178013"/>
        <n v="0.1367535370714668"/>
        <n v="0.31090234716001314"/>
        <n v="0.21087193883390298"/>
        <n v="0.24268303702822253"/>
        <n v="0.3390801970935898"/>
        <n v="0.17998219962135784"/>
        <n v="0.31018056065395583"/>
        <n v="0.22543970434478874"/>
        <n v="0.3036869491682873"/>
        <n v="0.3042949443090419"/>
        <n v="0.3083460420394388"/>
        <n v="0.2387118155515192"/>
        <n v="0.27940823070265003"/>
        <n v="0.31266820362120007"/>
        <n v="0.2066813561461974"/>
        <n v="0.005932965574780696"/>
        <n v="0.30027071882897904"/>
        <n v="0.31436329288684506"/>
        <n v="0.24829786778674198"/>
        <n v="0.26548388026697417"/>
        <n v="0.05662068577824975"/>
        <n v="0.33184296163338617"/>
        <n v="0.16221493812832066"/>
        <n v="0.10912394884451483"/>
        <n v="0.32346808100806784"/>
        <n v="0.27066473875541786"/>
        <n v="0.23818143654093896"/>
        <n v="0.17112248961157778"/>
        <n v="0.3687241582767506"/>
        <n v="0.34228513025688"/>
        <n v="0.15468274474953544"/>
        <n v="0.2145765044953007"/>
        <n v="0.25758574551792085"/>
        <n v="0.36872415827675065"/>
        <n v="0.30678366888569253"/>
        <n v="0.2951370545152586"/>
        <n v="0.24408367274891818"/>
        <n v="0.09795744134409048"/>
        <n v="0.12797041198713688"/>
        <n v="0.17680560680175994"/>
        <n v="0.24948626596543885"/>
        <n v="0.1174093570323256"/>
        <n v="0.17459900308483092"/>
        <n v="0.14570140014965413"/>
        <n v="0.1262816095544939"/>
        <n v="0.2805488851768114"/>
        <n v="0.24860688422180918"/>
        <n v="0.2387118155515191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summary" cacheId="0" dataCaption="" compact="0" compactData="0">
  <location ref="P2:V96" firstHeaderRow="0" firstDataRow="3"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axis="axisRow" compact="0" numFmtId="166"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autoSortScope>
        <pivotArea>
          <references>
            <reference field="4294967294">
              <x v="0"/>
            </reference>
          </references>
        </pivotArea>
      </autoSortScope>
    </pivotField>
    <pivotField name="order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axis="axisRow" compact="0" outline="0" multipleItemSelectionAllowed="1" showAll="0" sortType="ascending">
      <items>
        <item x="2"/>
        <item x="3"/>
        <item x="1"/>
        <item x="0"/>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6"/>
    <field x="2"/>
  </rowFields>
  <colFields>
    <field x="-2"/>
  </colFields>
  <dataFields>
    <dataField name="Total Revenue" fld="17" baseField="0"/>
    <dataField name="Order Count" fld="4" subtotal="max" baseField="0"/>
    <dataField name="SUM of AVG Revenue" fld="20" baseField="0"/>
    <dataField name="SUM of Frequency" fld="21" baseField="0"/>
    <dataField name="SUM of Elapsed" fld="22" baseField="0"/>
  </dataFields>
</pivotTableDefinition>
</file>

<file path=xl/pivotTables/pivotTable2.xml><?xml version="1.0" encoding="utf-8"?>
<pivotTableDefinition xmlns="http://schemas.openxmlformats.org/spreadsheetml/2006/main" name="summary 2" cacheId="1" dataCaption="" compact="0" compactData="0">
  <location ref="AD2:AF22"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Month"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compact="0" outline="0" multipleItemSelectionAllowed="1" showAll="0">
      <items>
        <item x="0"/>
        <item x="1"/>
        <item x="2"/>
        <item x="3"/>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axis="axisRow" compact="0" numFmtId="165" outline="0" multipleItemSelectionAllowed="1" showAll="0" sortType="ascending">
      <items>
        <item h="1" x="35"/>
        <item h="1" x="57"/>
        <item h="1" x="37"/>
        <item h="1" x="15"/>
        <item h="1" x="11"/>
        <item h="1" x="59"/>
        <item h="1" x="52"/>
        <item h="1" x="18"/>
        <item h="1" x="13"/>
        <item h="1" x="62"/>
        <item h="1" x="25"/>
        <item h="1" x="74"/>
        <item h="1" x="31"/>
        <item h="1" x="67"/>
        <item h="1" x="64"/>
        <item h="1" x="65"/>
        <item h="1" x="42"/>
        <item h="1" x="10"/>
        <item h="1" x="50"/>
        <item h="1" x="33"/>
        <item h="1" x="12"/>
        <item h="1" x="63"/>
        <item h="1" x="28"/>
        <item h="1" x="60"/>
        <item h="1" x="45"/>
        <item h="1" x="7"/>
        <item h="1" x="66"/>
        <item h="1" x="41"/>
        <item h="1" x="20"/>
        <item h="1" x="40"/>
        <item h="1" x="5"/>
        <item h="1" x="43"/>
        <item h="1" x="38"/>
        <item h="1" x="51"/>
        <item h="1" x="17"/>
        <item h="1" x="6"/>
        <item h="1" x="61"/>
        <item h="1" x="58"/>
        <item h="1" x="4"/>
        <item h="1" x="26"/>
        <item h="1" x="14"/>
        <item h="1" x="76"/>
        <item h="1" x="2"/>
        <item h="1" x="34"/>
        <item h="1" x="71"/>
        <item h="1" x="68"/>
        <item h="1" x="23"/>
        <item h="1" x="30"/>
        <item h="1" x="16"/>
        <item h="1" x="19"/>
        <item h="1" x="22"/>
        <item h="1" x="0"/>
        <item h="1" x="36"/>
        <item h="1" x="21"/>
        <item h="1" x="8"/>
        <item h="1" x="48"/>
        <item h="1" x="47"/>
        <item h="1" x="73"/>
        <item h="1" x="44"/>
        <item h="1" x="53"/>
        <item h="1" x="24"/>
        <item h="1" x="56"/>
        <item h="1" x="1"/>
        <item h="1" x="9"/>
        <item h="1" x="27"/>
        <item h="1" x="75"/>
        <item h="1" x="54"/>
        <item h="1" x="29"/>
        <item h="1" x="49"/>
        <item x="39"/>
        <item h="1" x="3"/>
        <item h="1" x="55"/>
        <item h="1" x="70"/>
        <item h="1" x="32"/>
        <item h="1" x="72"/>
        <item h="1" x="46"/>
        <item h="1" x="69"/>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s>
  <rowFields>
    <field x="8"/>
    <field x="3"/>
  </rowFields>
  <dataFields>
    <dataField name="Total Revenue" fld="17" baseField="0"/>
  </dataFields>
</pivotTableDefinition>
</file>

<file path=xl/pivotTables/pivotTable3.xml><?xml version="1.0" encoding="utf-8"?>
<pivotTableDefinition xmlns="http://schemas.openxmlformats.org/spreadsheetml/2006/main" name="summary 3" cacheId="2" dataCaption="" compact="0" compactData="0">
  <location ref="AH2:AJ16"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order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compact="0" outline="0" multipleItemSelectionAllowed="1" showAll="0">
      <items>
        <item x="0"/>
        <item x="1"/>
        <item x="2"/>
        <item x="3"/>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axis="axisRow" compact="0" numFmtId="165" outline="0" multipleItemSelectionAllowed="1" showAll="0" sortType="ascending">
      <items>
        <item x="0"/>
        <item x="1"/>
        <item x="2"/>
        <item x="3"/>
        <item x="4"/>
        <item x="5"/>
        <item x="6"/>
        <item x="7"/>
        <item x="8"/>
        <item x="9"/>
        <item x="10"/>
        <item x="11"/>
        <item x="12"/>
        <item x="13"/>
        <item x="14"/>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s>
  <rowFields>
    <field x="12"/>
  </rowFields>
  <colFields>
    <field x="-2"/>
  </colFields>
  <dataFields>
    <dataField name="Order Count" fld="14" baseField="0"/>
    <dataField name="Total Revenue" fld="17" baseField="0"/>
  </dataFields>
</pivotTableDefinition>
</file>

<file path=xl/pivotTables/pivotTable4.xml><?xml version="1.0" encoding="utf-8"?>
<pivotTableDefinition xmlns="http://schemas.openxmlformats.org/spreadsheetml/2006/main" name="summary 4" cacheId="3" dataCaption="" compact="0" compactData="0">
  <location ref="AL2:AS82" firstHeaderRow="0" firstDataRow="3"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order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ame="requir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shipp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arriv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axis="axisRow" compact="0" numFmtId="165"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references>
            <reference field="4294967294">
              <x v="3"/>
            </reference>
          </references>
        </pivotArea>
      </autoSortScope>
    </pivotField>
    <pivotField name="productStatus" axis="axisRow" compact="0" numFmtId="165" outline="0" multipleItemSelectionAllowed="1" showAll="0" sortType="ascending">
      <items>
        <item x="0"/>
        <item x="1"/>
        <item t="default"/>
      </items>
    </pivotField>
    <pivotField name="unitsStock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unitsOrdered" dataField="1" compact="0" outline="0" multipleItemSelectionAllowed="1" showAll="0">
      <items>
        <item x="0"/>
        <item x="1"/>
        <item x="2"/>
        <item x="3"/>
        <item x="4"/>
        <item x="5"/>
        <item x="6"/>
        <item x="7"/>
        <item x="8"/>
        <item x="9"/>
        <item t="default"/>
      </items>
    </pivotField>
    <pivotField name="reorderLevel" dataField="1" compact="0" outline="0" multipleItemSelectionAllowed="1" showAll="0">
      <items>
        <item x="0"/>
        <item x="1"/>
        <item x="2"/>
        <item x="3"/>
        <item x="4"/>
        <item x="5"/>
        <item x="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salesVeloci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t="default"/>
      </items>
    </pivotField>
    <pivotField name="freigh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t="default"/>
      </items>
    </pivotField>
    <pivotField name="shipVia" compact="0" outline="0" multipleItemSelectionAllowed="1" showAll="0">
      <items>
        <item x="0"/>
        <item x="1"/>
        <item x="2"/>
        <item t="default"/>
      </items>
    </pivotField>
    <pivotField name="shipDurat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7"/>
    <field x="6"/>
  </rowFields>
  <colFields>
    <field x="-2"/>
  </colFields>
  <dataFields>
    <dataField name="In Stock" fld="8" subtotal="max" baseField="0"/>
    <dataField name="Ordered" fld="9" subtotal="max" baseField="0"/>
    <dataField name="Reorder Level" fld="10" subtotal="max" baseField="0"/>
    <dataField name="SUM of Days-to-Stockout" fld="18" baseField="0"/>
    <dataField name="SUM of Levels" fld="19" baseField="0"/>
    <dataField name="SUM of Status" fld="20" baseField="0"/>
  </dataFields>
</pivotTableDefinition>
</file>

<file path=xl/pivotTables/pivotTable5.xml><?xml version="1.0" encoding="utf-8"?>
<pivotTableDefinition xmlns="http://schemas.openxmlformats.org/spreadsheetml/2006/main" name="summary 5" cacheId="3" dataCaption="" compact="0" compactData="0">
  <location ref="AU2:AW6"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order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ame="requir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t="default"/>
      </items>
    </pivotField>
    <pivotField name="shipp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arrived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Status" compact="0" numFmtId="165" outline="0" multipleItemSelectionAllowed="1" showAll="0">
      <items>
        <item x="0"/>
        <item x="1"/>
        <item t="default"/>
      </items>
    </pivotField>
    <pivotField name="unitsStock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unitsOrdered" compact="0" outline="0" multipleItemSelectionAllowed="1" showAll="0">
      <items>
        <item x="0"/>
        <item x="1"/>
        <item x="2"/>
        <item x="3"/>
        <item x="4"/>
        <item x="5"/>
        <item x="6"/>
        <item x="7"/>
        <item x="8"/>
        <item x="9"/>
        <item t="default"/>
      </items>
    </pivotField>
    <pivotField name="reorderLevel" compact="0" outline="0" multipleItemSelectionAllowed="1" showAll="0">
      <items>
        <item x="0"/>
        <item x="1"/>
        <item x="2"/>
        <item x="3"/>
        <item x="4"/>
        <item x="5"/>
        <item x="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salesVeloci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t="default"/>
      </items>
    </pivotField>
    <pivotField name="freigh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t="default"/>
      </items>
    </pivotField>
    <pivotField name="Carrier" axis="axisRow" compact="0" outline="0" multipleItemSelectionAllowed="1" showAll="0" sortType="ascending">
      <items>
        <item x="0"/>
        <item x="1"/>
        <item x="2"/>
        <item t="default"/>
      </items>
      <autoSortScope>
        <pivotArea>
          <references>
            <reference field="4294967294">
              <x v="0"/>
            </reference>
          </references>
        </pivotArea>
      </autoSortScope>
    </pivotField>
    <pivotField name="shipDuration"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16"/>
  </rowFields>
  <colFields>
    <field x="-2"/>
  </colFields>
  <dataFields>
    <dataField name="Average Duration" fld="17" subtotal="average" baseField="0"/>
    <dataField name="SUM of Cost Effectiveness" fld="21" baseField="0"/>
  </dataFields>
</pivotTableDefinition>
</file>

<file path=xl/pivotTables/pivotTable6.xml><?xml version="1.0" encoding="utf-8"?>
<pivotTableDefinition xmlns="http://schemas.openxmlformats.org/spreadsheetml/2006/main" name="summary 6" cacheId="4" dataCaption="" compact="0" compactData="0">
  <location ref="AY2:BA25"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City"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ustomerCountry" compact="0" numFmtId="166"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rderDate"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name="orderCost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t="default"/>
      </items>
    </pivotField>
  </pivotFields>
  <rowFields>
    <field x="5"/>
  </rowFields>
  <colFields>
    <field x="-2"/>
  </colFields>
  <dataFields>
    <dataField name="Profit" fld="16" baseField="0"/>
    <dataField name="Profit Margin" fld="17" subtotal="average" baseField="0"/>
  </dataFields>
</pivotTableDefinition>
</file>

<file path=xl/pivotTables/pivotTable7.xml><?xml version="1.0" encoding="utf-8"?>
<pivotTableDefinition xmlns="http://schemas.openxmlformats.org/spreadsheetml/2006/main" name="summary 7" cacheId="5" dataCaption="" compact="0" compactData="0">
  <location ref="AD27:AF47"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Month"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compact="0" outline="0" multipleItemSelectionAllowed="1" showAll="0">
      <items>
        <item x="0"/>
        <item x="1"/>
        <item x="2"/>
        <item x="3"/>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axis="axisRow" compact="0" numFmtId="165" outline="0" multipleItemSelectionAllowed="1" showAll="0" sortType="ascending">
      <items>
        <item x="35"/>
        <item h="1" x="57"/>
        <item h="1" x="37"/>
        <item h="1" x="15"/>
        <item h="1" x="11"/>
        <item h="1" x="59"/>
        <item h="1" x="52"/>
        <item h="1" x="18"/>
        <item h="1" x="13"/>
        <item h="1" x="62"/>
        <item h="1" x="25"/>
        <item h="1" x="74"/>
        <item h="1" x="31"/>
        <item h="1" x="67"/>
        <item h="1" x="64"/>
        <item h="1" x="65"/>
        <item h="1" x="42"/>
        <item h="1" x="10"/>
        <item h="1" x="50"/>
        <item h="1" x="33"/>
        <item h="1" x="12"/>
        <item h="1" x="63"/>
        <item h="1" x="28"/>
        <item h="1" x="60"/>
        <item h="1" x="45"/>
        <item h="1" x="7"/>
        <item h="1" x="66"/>
        <item h="1" x="41"/>
        <item h="1" x="20"/>
        <item h="1" x="40"/>
        <item h="1" x="5"/>
        <item h="1" x="43"/>
        <item h="1" x="38"/>
        <item h="1" x="51"/>
        <item h="1" x="17"/>
        <item h="1" x="6"/>
        <item h="1" x="61"/>
        <item h="1" x="58"/>
        <item h="1" x="4"/>
        <item h="1" x="26"/>
        <item h="1" x="14"/>
        <item h="1" x="76"/>
        <item h="1" x="2"/>
        <item h="1" x="34"/>
        <item h="1" x="71"/>
        <item h="1" x="68"/>
        <item h="1" x="23"/>
        <item h="1" x="30"/>
        <item h="1" x="16"/>
        <item h="1" x="19"/>
        <item h="1" x="22"/>
        <item h="1" x="0"/>
        <item h="1" x="36"/>
        <item h="1" x="21"/>
        <item h="1" x="8"/>
        <item h="1" x="48"/>
        <item h="1" x="47"/>
        <item h="1" x="73"/>
        <item h="1" x="44"/>
        <item h="1" x="53"/>
        <item h="1" x="24"/>
        <item h="1" x="56"/>
        <item h="1" x="1"/>
        <item h="1" x="9"/>
        <item h="1" x="27"/>
        <item h="1" x="75"/>
        <item h="1" x="54"/>
        <item h="1" x="29"/>
        <item h="1" x="49"/>
        <item h="1" x="39"/>
        <item h="1" x="3"/>
        <item h="1" x="55"/>
        <item h="1" x="70"/>
        <item h="1" x="32"/>
        <item h="1" x="72"/>
        <item h="1" x="46"/>
        <item h="1" x="69"/>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s>
  <rowFields>
    <field x="8"/>
    <field x="3"/>
  </rowFields>
  <dataFields>
    <dataField name="Total Revenue" fld="17" baseField="0"/>
  </dataFields>
</pivotTableDefinition>
</file>

<file path=xl/pivotTables/pivotTable8.xml><?xml version="1.0" encoding="utf-8"?>
<pivotTableDefinition xmlns="http://schemas.openxmlformats.org/spreadsheetml/2006/main" name="summary 8" cacheId="6" dataCaption="" compact="0" compactData="0">
  <location ref="AU32:AW55"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City"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ustomerCountry" compact="0" numFmtId="166"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rderDate"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name="orderCost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t="default"/>
      </items>
    </pivotField>
  </pivotFields>
  <rowFields>
    <field x="5"/>
  </rowFields>
  <colFields>
    <field x="-2"/>
  </colFields>
  <dataFields>
    <dataField name="Product Cost" fld="18" baseField="0"/>
    <dataField name="Sale Price" fld="14" baseField="0"/>
  </dataFields>
</pivotTableDefinition>
</file>

<file path=xl/pivotTables/pivotTable9.xml><?xml version="1.0" encoding="utf-8"?>
<pivotTableDefinition xmlns="http://schemas.openxmlformats.org/spreadsheetml/2006/main" name="summary 9" cacheId="7" dataCaption="" compact="0" compactData="0">
  <location ref="AY32:AZ55"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City"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ustomerCountry" compact="0" numFmtId="166"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rderDate"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name="orderCost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t="default"/>
      </items>
    </pivotField>
  </pivotFields>
  <rowFields>
    <field x="5"/>
  </rowFields>
  <dataFields>
    <dataField name="Sales Volume" fld="12" baseField="0"/>
  </dataFields>
</pivotTableDefinition>
</file>

<file path=xl/pivotTables/pivotTable10.xml><?xml version="1.0" encoding="utf-8"?>
<pivotTableDefinition xmlns="http://schemas.openxmlformats.org/spreadsheetml/2006/main" name="summary 10" cacheId="8" dataCaption="" compact="0" compactData="0">
  <location ref="K47:N60" firstHeaderRow="0" firstDataRow="3"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City" axis="axisRow" compact="0" numFmtId="166"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autoSortScope>
        <pivotArea>
          <references>
            <reference field="4294967294">
              <x v="1"/>
            </reference>
          </references>
        </pivotArea>
      </autoSortScope>
    </pivotField>
    <pivotField name="CustomerCountry" axis="axisRow" compact="0" numFmtId="166" outline="0" multipleItemSelectionAllowed="1" showAll="0" sortType="descending" defaultSubtotal="0">
      <items>
        <item h="1" x="0"/>
        <item h="1" x="1"/>
        <item h="1" x="2"/>
        <item h="1" x="3"/>
        <item h="1" x="4"/>
        <item h="1" x="5"/>
        <item h="1" x="6"/>
        <item h="1" x="7"/>
        <item x="8"/>
        <item h="1" x="9"/>
        <item h="1" x="10"/>
        <item h="1" x="11"/>
        <item h="1" x="12"/>
        <item h="1" x="13"/>
        <item h="1" x="14"/>
        <item h="1" x="15"/>
        <item h="1" x="16"/>
        <item h="1" x="17"/>
        <item h="1" x="18"/>
        <item h="1" x="19"/>
        <item h="1" x="20"/>
      </items>
      <autoSortScope>
        <pivotArea>
          <references>
            <reference field="4294967294">
              <x v="1"/>
            </reference>
          </references>
        </pivotArea>
      </autoSortScope>
    </pivotField>
    <pivotField name="order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Category" compact="0" numFmtId="165" outline="0" multipleItemSelectionAllowed="1" showAll="0">
      <items>
        <item x="0"/>
        <item x="1"/>
        <item x="2"/>
        <item x="3"/>
        <item x="4"/>
        <item x="5"/>
        <item x="6"/>
        <item x="7"/>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name="orderCost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t="default"/>
      </items>
    </pivotField>
  </pivotFields>
  <rowFields>
    <field x="4"/>
    <field x="3"/>
  </rowFields>
  <colFields>
    <field x="-2"/>
  </colFields>
  <dataFields>
    <dataField name="SUM of revenue" fld="15" baseField="0"/>
    <dataField name="SUM of revenue" fld="15" showDataAs="percentOfTotal" baseField="0" numFmtId="10"/>
  </dataFields>
</pivotTableDefinition>
</file>

<file path=xl/pivotTables/pivotTable11.xml><?xml version="1.0" encoding="utf-8"?>
<pivotTableDefinition xmlns="http://schemas.openxmlformats.org/spreadsheetml/2006/main" name="summary 11" cacheId="9" dataCaption="" compact="0" compactData="0">
  <location ref="AD52:AF71"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Month"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compact="0" outline="0" multipleItemSelectionAllowed="1" showAll="0">
      <items>
        <item x="0"/>
        <item x="1"/>
        <item x="2"/>
        <item x="3"/>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axis="axisRow" compact="0" numFmtId="165" outline="0" multipleItemSelectionAllowed="1" showAll="0" sortType="ascending">
      <items>
        <item h="1" x="35"/>
        <item h="1" x="57"/>
        <item h="1" x="37"/>
        <item h="1" x="15"/>
        <item h="1" x="11"/>
        <item h="1" x="59"/>
        <item h="1" x="52"/>
        <item h="1" x="18"/>
        <item h="1" x="13"/>
        <item h="1" x="62"/>
        <item h="1" x="25"/>
        <item h="1" x="74"/>
        <item h="1" x="31"/>
        <item h="1" x="67"/>
        <item h="1" x="64"/>
        <item h="1" x="65"/>
        <item h="1" x="42"/>
        <item h="1" x="10"/>
        <item h="1" x="50"/>
        <item h="1" x="33"/>
        <item h="1" x="12"/>
        <item h="1" x="63"/>
        <item h="1" x="28"/>
        <item h="1" x="60"/>
        <item h="1" x="45"/>
        <item h="1" x="7"/>
        <item h="1" x="66"/>
        <item h="1" x="41"/>
        <item h="1" x="20"/>
        <item h="1" x="40"/>
        <item h="1" x="5"/>
        <item h="1" x="43"/>
        <item h="1" x="38"/>
        <item h="1" x="51"/>
        <item h="1" x="17"/>
        <item h="1" x="6"/>
        <item h="1" x="61"/>
        <item h="1" x="58"/>
        <item h="1" x="4"/>
        <item h="1" x="26"/>
        <item h="1" x="14"/>
        <item h="1" x="76"/>
        <item h="1" x="2"/>
        <item h="1" x="34"/>
        <item h="1" x="71"/>
        <item h="1" x="68"/>
        <item h="1" x="23"/>
        <item h="1" x="30"/>
        <item h="1" x="16"/>
        <item h="1" x="19"/>
        <item h="1" x="22"/>
        <item h="1" x="0"/>
        <item h="1" x="36"/>
        <item h="1" x="21"/>
        <item h="1" x="8"/>
        <item h="1" x="48"/>
        <item h="1" x="47"/>
        <item h="1" x="73"/>
        <item x="44"/>
        <item h="1" x="53"/>
        <item h="1" x="24"/>
        <item h="1" x="56"/>
        <item h="1" x="1"/>
        <item h="1" x="9"/>
        <item h="1" x="27"/>
        <item h="1" x="75"/>
        <item h="1" x="54"/>
        <item h="1" x="29"/>
        <item h="1" x="49"/>
        <item h="1" x="39"/>
        <item h="1" x="3"/>
        <item h="1" x="55"/>
        <item h="1" x="70"/>
        <item h="1" x="32"/>
        <item h="1" x="72"/>
        <item h="1" x="46"/>
        <item h="1" x="69"/>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s>
  <rowFields>
    <field x="8"/>
    <field x="3"/>
  </rowFields>
  <dataFields>
    <dataField name="Total Revenue" fld="17" baseField="0"/>
  </dataFields>
</pivotTableDefinition>
</file>

<file path=xl/pivotTables/pivotTable12.xml><?xml version="1.0" encoding="utf-8"?>
<pivotTableDefinition xmlns="http://schemas.openxmlformats.org/spreadsheetml/2006/main" name="summary 12" cacheId="10" dataCaption="" compact="0" compactData="0">
  <location ref="AD76:AF94"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ustomerNa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Month" axis="axisRow" compact="0" numFmtId="166"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order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ince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customerStatus" compact="0" outline="0" multipleItemSelectionAllowed="1" showAll="0">
      <items>
        <item x="0"/>
        <item x="1"/>
        <item x="2"/>
        <item x="3"/>
        <item t="default"/>
      </items>
    </pivotField>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oductName" axis="axisRow" compact="0" numFmtId="165" outline="0" multipleItemSelectionAllowed="1" showAll="0" sortType="ascending">
      <items>
        <item h="1" x="35"/>
        <item h="1" x="57"/>
        <item h="1" x="37"/>
        <item h="1" x="15"/>
        <item h="1" x="11"/>
        <item h="1" x="59"/>
        <item h="1" x="52"/>
        <item h="1" x="18"/>
        <item h="1" x="13"/>
        <item h="1" x="62"/>
        <item h="1" x="25"/>
        <item h="1" x="74"/>
        <item h="1" x="31"/>
        <item h="1" x="67"/>
        <item h="1" x="64"/>
        <item h="1" x="65"/>
        <item h="1" x="42"/>
        <item h="1" x="10"/>
        <item h="1" x="50"/>
        <item h="1" x="33"/>
        <item h="1" x="12"/>
        <item h="1" x="63"/>
        <item h="1" x="28"/>
        <item h="1" x="60"/>
        <item h="1" x="45"/>
        <item h="1" x="7"/>
        <item h="1" x="66"/>
        <item h="1" x="41"/>
        <item h="1" x="20"/>
        <item h="1" x="40"/>
        <item h="1" x="5"/>
        <item h="1" x="43"/>
        <item h="1" x="38"/>
        <item h="1" x="51"/>
        <item h="1" x="17"/>
        <item h="1" x="6"/>
        <item h="1" x="61"/>
        <item h="1" x="58"/>
        <item h="1" x="4"/>
        <item h="1" x="26"/>
        <item h="1" x="14"/>
        <item h="1" x="76"/>
        <item h="1" x="2"/>
        <item h="1" x="34"/>
        <item h="1" x="71"/>
        <item h="1" x="68"/>
        <item h="1" x="23"/>
        <item h="1" x="30"/>
        <item h="1" x="16"/>
        <item h="1" x="19"/>
        <item x="22"/>
        <item h="1" x="0"/>
        <item h="1" x="36"/>
        <item h="1" x="21"/>
        <item h="1" x="8"/>
        <item h="1" x="48"/>
        <item h="1" x="47"/>
        <item h="1" x="73"/>
        <item h="1" x="44"/>
        <item h="1" x="53"/>
        <item h="1" x="24"/>
        <item h="1" x="56"/>
        <item h="1" x="1"/>
        <item h="1" x="9"/>
        <item h="1" x="27"/>
        <item h="1" x="75"/>
        <item h="1" x="54"/>
        <item h="1" x="29"/>
        <item h="1" x="49"/>
        <item h="1" x="39"/>
        <item h="1" x="3"/>
        <item h="1" x="55"/>
        <item h="1" x="70"/>
        <item h="1" x="32"/>
        <item h="1" x="72"/>
        <item h="1" x="46"/>
        <item h="1" x="69"/>
        <item t="default"/>
      </items>
    </pivotField>
    <pivotField name="productCategory" compact="0" numFmtId="165" outline="0" multipleItemSelectionAllowed="1" showAll="0">
      <items>
        <item x="0"/>
        <item x="1"/>
        <item x="2"/>
        <item x="3"/>
        <item x="4"/>
        <item x="5"/>
        <item x="6"/>
        <item x="7"/>
        <item t="default"/>
      </items>
    </pivotField>
    <pivotField name="productStatus" compact="0" numFmtId="49" outline="0" multipleItemSelectionAllowed="1" showAll="0">
      <items>
        <item x="0"/>
        <item x="1"/>
        <item t="default"/>
      </items>
    </pivotField>
    <pivotField name="product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order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ductMarku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order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iscountApllied" compact="0" numFmtId="10" outline="0" multipleItemSelectionAllowed="1" showAll="0">
      <items>
        <item x="0"/>
        <item x="1"/>
        <item x="2"/>
        <item x="3"/>
        <item x="4"/>
        <item x="5"/>
        <item t="default"/>
      </items>
    </pivotField>
    <pivotField name="orderTot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t="default"/>
      </items>
    </pivotField>
    <pivotField name="profit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s>
  <rowFields>
    <field x="8"/>
    <field x="3"/>
  </rowFields>
  <dataFields>
    <dataField name="Total Revenue" fld="17" baseField="0"/>
  </dataFields>
</pivotTableDefinition>
</file>

<file path=xl/tables/table1.xml><?xml version="1.0" encoding="utf-8"?>
<table xmlns="http://schemas.openxmlformats.org/spreadsheetml/2006/main" ref="A1:L2156" displayName="orders" name="orders" id="1">
  <tableColumns count="12">
    <tableColumn name="orderID" id="1"/>
    <tableColumn name="customerID" id="2"/>
    <tableColumn name="orderDate" id="3"/>
    <tableColumn name="requiredDate" id="4"/>
    <tableColumn name="shippedDate" id="5"/>
    <tableColumn name="arrivedDate" id="6"/>
    <tableColumn name="productID" id="7"/>
    <tableColumn name="orderPrice" id="8"/>
    <tableColumn name="orderQuantity" id="9"/>
    <tableColumn name="discountApllied" id="10"/>
    <tableColumn name="freightCost" id="11"/>
    <tableColumn name="shipVia" id="12"/>
  </tableColumns>
  <tableStyleInfo name="1 orders-style" showColumnStripes="0" showFirstColumn="1" showLastColumn="1" showRowStripes="1"/>
</table>
</file>

<file path=xl/tables/table2.xml><?xml version="1.0" encoding="utf-8"?>
<table xmlns="http://schemas.openxmlformats.org/spreadsheetml/2006/main" ref="A1:P78" displayName="products" name="products" id="2">
  <autoFilter ref="$A$1:$P$78"/>
  <tableColumns count="16">
    <tableColumn name="productID" id="1"/>
    <tableColumn name="productName" id="2"/>
    <tableColumn name="quantityPerUnit" id="3"/>
    <tableColumn name="unitsInStock" id="4"/>
    <tableColumn name="unitsOnOrder" id="5"/>
    <tableColumn name="reorderLevel" id="6"/>
    <tableColumn name="discontinued" id="7"/>
    <tableColumn name="purchasePrice_2022" id="8"/>
    <tableColumn name="purchasePrice_2023" id="9"/>
    <tableColumn name="purchasePrice_2024" id="10"/>
    <tableColumn name="productRating" id="11"/>
    <tableColumn name="categoryName" id="12"/>
    <tableColumn name="categoryDescription" id="13"/>
    <tableColumn name="supplierName" id="14"/>
    <tableColumn name="supplierCity" id="15"/>
    <tableColumn name="supplierCountry" id="16"/>
  </tableColumns>
  <tableStyleInfo name="2 products-style" showColumnStripes="0" showFirstColumn="1" showLastColumn="1" showRowStripes="1"/>
</table>
</file>

<file path=xl/tables/table3.xml><?xml version="1.0" encoding="utf-8"?>
<table xmlns="http://schemas.openxmlformats.org/spreadsheetml/2006/main" ref="A1:J1000" displayName="customers" name="customers" id="3">
  <autoFilter ref="$A$1:$J$1000"/>
  <tableColumns count="10">
    <tableColumn name="customerID" id="1"/>
    <tableColumn name="companyName" id="2"/>
    <tableColumn name="contactName" id="3"/>
    <tableColumn name="contactTitle" id="4"/>
    <tableColumn name="address" id="5"/>
    <tableColumn name="city" id="6"/>
    <tableColumn name="region" id="7"/>
    <tableColumn name="postalCode" id="8"/>
    <tableColumn name="country" id="9"/>
    <tableColumn name="phone" id="10"/>
  </tableColumns>
  <tableStyleInfo name="3 customers-style" showColumnStripes="0" showFirstColumn="1" showLastColumn="1" showRowStripes="1"/>
</table>
</file>

<file path=xl/tables/table4.xml><?xml version="1.0" encoding="utf-8"?>
<table xmlns="http://schemas.openxmlformats.org/spreadsheetml/2006/main" ref="A1:T2097" displayName="dynamic" name="dynamic" id="4">
  <autoFilter ref="$A$1:$T$2097"/>
  <tableColumns count="20">
    <tableColumn name="orderID" id="1"/>
    <tableColumn name="customerID" id="2"/>
    <tableColumn name="customerName" id="3"/>
    <tableColumn name="orderDate" id="4"/>
    <tableColumn name="orderCount" id="5"/>
    <tableColumn name="sinceLastOrder" id="6"/>
    <tableColumn name="customerStatus" id="7"/>
    <tableColumn name="productID" id="8"/>
    <tableColumn name="productName" id="9"/>
    <tableColumn name="productCategory" id="10"/>
    <tableColumn name="productStatus" id="11"/>
    <tableColumn name="productCost" id="12"/>
    <tableColumn name="orderPrice" id="13"/>
    <tableColumn name="productMarkup" id="14"/>
    <tableColumn name="orderQuantity" id="15"/>
    <tableColumn name="discountApllied" id="16"/>
    <tableColumn name="orderTotal" id="17"/>
    <tableColumn name="revenue" id="18"/>
    <tableColumn name="profit" id="19"/>
    <tableColumn name="profitMargin" id="20"/>
  </tableColumns>
  <tableStyleInfo name="analysis-dynamic-style" showColumnStripes="0" showFirstColumn="1" showLastColumn="1" showRowStripes="1"/>
</table>
</file>

<file path=xl/tables/table5.xml><?xml version="1.0" encoding="utf-8"?>
<table xmlns="http://schemas.openxmlformats.org/spreadsheetml/2006/main" ref="A1:R2156" displayName="operations" name="operations" id="5">
  <autoFilter ref="$A$1:$R$2156"/>
  <tableColumns count="18">
    <tableColumn name="orderID" id="1"/>
    <tableColumn name="orderDate" id="2"/>
    <tableColumn name="requiredDate" id="3"/>
    <tableColumn name="shippedDate" id="4"/>
    <tableColumn name="arrivedDate" id="5"/>
    <tableColumn name="productID" id="6"/>
    <tableColumn name="productName" id="7"/>
    <tableColumn name="productStatus" id="8"/>
    <tableColumn name="unitsStocked" id="9"/>
    <tableColumn name="unitsOrdered" id="10"/>
    <tableColumn name="reorderLevel" id="11"/>
    <tableColumn name="orderQuantity" id="12"/>
    <tableColumn name="orderCount" id="13"/>
    <tableColumn name="sinceLastOrder" id="14"/>
    <tableColumn name="salesVelocity" id="15"/>
    <tableColumn name="freightCost" id="16"/>
    <tableColumn name="shipVia" id="17"/>
    <tableColumn name="shipDuration" id="18"/>
  </tableColumns>
  <tableStyleInfo name="analysis-operations-style" showColumnStripes="0" showFirstColumn="1" showLastColumn="1" showRowStripes="1"/>
</table>
</file>

<file path=xl/tables/table6.xml><?xml version="1.0" encoding="utf-8"?>
<table xmlns="http://schemas.openxmlformats.org/spreadsheetml/2006/main" ref="A1:S2097" displayName="revenue" name="revenue" id="6">
  <autoFilter ref="$A$1:$S$2097"/>
  <tableColumns count="19">
    <tableColumn name="orderID" id="1"/>
    <tableColumn name="customerID" id="2"/>
    <tableColumn name="customerName" id="3"/>
    <tableColumn name="customerCity" id="4"/>
    <tableColumn name="CustomerCountry" id="5"/>
    <tableColumn name="orderDate" id="6"/>
    <tableColumn name="productID" id="7"/>
    <tableColumn name="productName" id="8"/>
    <tableColumn name="productCategory" id="9"/>
    <tableColumn name="productCost" id="10"/>
    <tableColumn name="orderPrice" id="11"/>
    <tableColumn name="productMarkup" id="12"/>
    <tableColumn name="orderQuantity" id="13"/>
    <tableColumn name="discountApllied" id="14"/>
    <tableColumn name="orderTotal" id="15"/>
    <tableColumn name="revenue" id="16"/>
    <tableColumn name="profit" id="17"/>
    <tableColumn name="profitMargin" id="18"/>
    <tableColumn name="orderCosts" id="19"/>
  </tableColumns>
  <tableStyleInfo name="analysis-revenu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1" Type="http://schemas.openxmlformats.org/officeDocument/2006/relationships/pivotTable" Target="../pivotTables/pivotTable10.xml"/><Relationship Id="rId10" Type="http://schemas.openxmlformats.org/officeDocument/2006/relationships/pivotTable" Target="../pivotTables/pivotTable9.xml"/><Relationship Id="rId13" Type="http://schemas.openxmlformats.org/officeDocument/2006/relationships/pivotTable" Target="../pivotTables/pivotTable12.xml"/><Relationship Id="rId12" Type="http://schemas.openxmlformats.org/officeDocument/2006/relationships/pivotTable" Target="../pivotTables/pivotTable11.xml"/><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9" Type="http://schemas.openxmlformats.org/officeDocument/2006/relationships/pivotTable" Target="../pivotTables/pivotTable8.xml"/><Relationship Id="rId15" Type="http://schemas.openxmlformats.org/officeDocument/2006/relationships/vmlDrawing" Target="../drawings/vmlDrawing1.vml"/><Relationship Id="rId14" Type="http://schemas.openxmlformats.org/officeDocument/2006/relationships/drawing" Target="../drawings/drawing6.xml"/><Relationship Id="rId5" Type="http://schemas.openxmlformats.org/officeDocument/2006/relationships/pivotTable" Target="../pivotTables/pivotTable4.xml"/><Relationship Id="rId6" Type="http://schemas.openxmlformats.org/officeDocument/2006/relationships/pivotTable" Target="../pivotTables/pivotTable5.xml"/><Relationship Id="rId7" Type="http://schemas.openxmlformats.org/officeDocument/2006/relationships/pivotTable" Target="../pivotTables/pivotTable6.xml"/><Relationship Id="rId8"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7.0"/>
    <col customWidth="1" min="3" max="3" width="14.67"/>
    <col customWidth="1" min="4" max="4" width="16.78"/>
    <col customWidth="1" min="5" max="6" width="16.33"/>
    <col customWidth="1" min="7" max="7" width="15.56"/>
    <col customWidth="1" min="8" max="8" width="14.89"/>
    <col customWidth="1" min="9" max="9" width="14.56"/>
    <col customWidth="1" min="10" max="10" width="20.22"/>
    <col customWidth="1" min="11" max="11" width="15.22"/>
    <col customWidth="1" min="12" max="12" width="18.0"/>
  </cols>
  <sheetData>
    <row r="1" ht="22.5" customHeight="1">
      <c r="A1" s="1" t="s">
        <v>0</v>
      </c>
      <c r="B1" s="2" t="s">
        <v>1</v>
      </c>
      <c r="C1" s="3" t="s">
        <v>2</v>
      </c>
      <c r="D1" s="3" t="s">
        <v>3</v>
      </c>
      <c r="E1" s="3" t="s">
        <v>4</v>
      </c>
      <c r="F1" s="4" t="s">
        <v>5</v>
      </c>
      <c r="G1" s="2" t="s">
        <v>6</v>
      </c>
      <c r="H1" s="5" t="s">
        <v>7</v>
      </c>
      <c r="I1" s="2" t="s">
        <v>8</v>
      </c>
      <c r="J1" s="2" t="s">
        <v>9</v>
      </c>
      <c r="K1" s="5" t="s">
        <v>10</v>
      </c>
      <c r="L1" s="2" t="s">
        <v>11</v>
      </c>
    </row>
    <row r="2" ht="22.5" customHeight="1">
      <c r="A2" s="6">
        <v>10248.0</v>
      </c>
      <c r="B2" s="7" t="s">
        <v>12</v>
      </c>
      <c r="C2" s="8">
        <v>44746.0</v>
      </c>
      <c r="D2" s="8">
        <v>44774.0</v>
      </c>
      <c r="E2" s="8">
        <v>44758.0</v>
      </c>
      <c r="F2" s="8">
        <v>44766.0</v>
      </c>
      <c r="G2" s="6">
        <v>11.0</v>
      </c>
      <c r="H2" s="9">
        <v>14.0</v>
      </c>
      <c r="I2" s="10">
        <v>12.0</v>
      </c>
      <c r="J2" s="11">
        <v>0.0</v>
      </c>
      <c r="K2" s="9">
        <v>32.38</v>
      </c>
      <c r="L2" s="7" t="s">
        <v>13</v>
      </c>
    </row>
    <row r="3" ht="22.5" customHeight="1">
      <c r="A3" s="6">
        <v>10248.0</v>
      </c>
      <c r="B3" s="7" t="s">
        <v>12</v>
      </c>
      <c r="C3" s="8">
        <v>44746.0</v>
      </c>
      <c r="D3" s="8">
        <v>44774.0</v>
      </c>
      <c r="E3" s="8">
        <v>44758.0</v>
      </c>
      <c r="F3" s="8">
        <v>44766.0</v>
      </c>
      <c r="G3" s="6">
        <v>42.0</v>
      </c>
      <c r="H3" s="9">
        <v>9.8</v>
      </c>
      <c r="I3" s="10">
        <v>10.0</v>
      </c>
      <c r="J3" s="11">
        <v>0.0</v>
      </c>
      <c r="K3" s="9">
        <v>32.38</v>
      </c>
      <c r="L3" s="7" t="s">
        <v>13</v>
      </c>
    </row>
    <row r="4" ht="22.5" customHeight="1">
      <c r="A4" s="6">
        <v>10248.0</v>
      </c>
      <c r="B4" s="7" t="s">
        <v>12</v>
      </c>
      <c r="C4" s="8">
        <v>44746.0</v>
      </c>
      <c r="D4" s="8">
        <v>44774.0</v>
      </c>
      <c r="E4" s="8">
        <v>44758.0</v>
      </c>
      <c r="F4" s="8">
        <v>44766.0</v>
      </c>
      <c r="G4" s="6">
        <v>72.0</v>
      </c>
      <c r="H4" s="9">
        <v>34.8</v>
      </c>
      <c r="I4" s="10">
        <v>5.0</v>
      </c>
      <c r="J4" s="11">
        <v>0.0</v>
      </c>
      <c r="K4" s="9">
        <v>32.38</v>
      </c>
      <c r="L4" s="7" t="s">
        <v>13</v>
      </c>
    </row>
    <row r="5" ht="22.5" customHeight="1">
      <c r="A5" s="6">
        <v>10249.0</v>
      </c>
      <c r="B5" s="7" t="s">
        <v>14</v>
      </c>
      <c r="C5" s="8">
        <v>44747.0</v>
      </c>
      <c r="D5" s="8">
        <v>44789.0</v>
      </c>
      <c r="E5" s="8">
        <v>44752.0</v>
      </c>
      <c r="F5" s="8">
        <v>44756.0</v>
      </c>
      <c r="G5" s="6">
        <v>14.0</v>
      </c>
      <c r="H5" s="9">
        <v>18.6</v>
      </c>
      <c r="I5" s="10">
        <v>9.0</v>
      </c>
      <c r="J5" s="11">
        <v>0.0</v>
      </c>
      <c r="K5" s="9">
        <v>11.61</v>
      </c>
      <c r="L5" s="7" t="s">
        <v>15</v>
      </c>
    </row>
    <row r="6" ht="22.5" customHeight="1">
      <c r="A6" s="6">
        <v>10249.0</v>
      </c>
      <c r="B6" s="7" t="s">
        <v>14</v>
      </c>
      <c r="C6" s="8">
        <v>44747.0</v>
      </c>
      <c r="D6" s="8">
        <v>44789.0</v>
      </c>
      <c r="E6" s="8">
        <v>44752.0</v>
      </c>
      <c r="F6" s="8">
        <v>44756.0</v>
      </c>
      <c r="G6" s="6">
        <v>51.0</v>
      </c>
      <c r="H6" s="9">
        <v>42.4</v>
      </c>
      <c r="I6" s="10">
        <v>40.0</v>
      </c>
      <c r="J6" s="11">
        <v>0.0</v>
      </c>
      <c r="K6" s="9">
        <v>11.61</v>
      </c>
      <c r="L6" s="7" t="s">
        <v>15</v>
      </c>
    </row>
    <row r="7" ht="22.5" customHeight="1">
      <c r="A7" s="6">
        <v>10250.0</v>
      </c>
      <c r="B7" s="7" t="s">
        <v>16</v>
      </c>
      <c r="C7" s="8">
        <v>44750.0</v>
      </c>
      <c r="D7" s="8">
        <v>44778.0</v>
      </c>
      <c r="E7" s="8">
        <v>44754.0</v>
      </c>
      <c r="F7" s="8">
        <v>44771.0</v>
      </c>
      <c r="G7" s="6">
        <v>41.0</v>
      </c>
      <c r="H7" s="9">
        <v>7.7</v>
      </c>
      <c r="I7" s="10">
        <v>10.0</v>
      </c>
      <c r="J7" s="11">
        <v>0.0</v>
      </c>
      <c r="K7" s="9">
        <v>65.83</v>
      </c>
      <c r="L7" s="7" t="s">
        <v>17</v>
      </c>
    </row>
    <row r="8" ht="22.5" customHeight="1">
      <c r="A8" s="6">
        <v>10250.0</v>
      </c>
      <c r="B8" s="7" t="s">
        <v>16</v>
      </c>
      <c r="C8" s="8">
        <v>44750.0</v>
      </c>
      <c r="D8" s="8">
        <v>44778.0</v>
      </c>
      <c r="E8" s="8">
        <v>44754.0</v>
      </c>
      <c r="F8" s="8">
        <v>44771.0</v>
      </c>
      <c r="G8" s="6">
        <v>51.0</v>
      </c>
      <c r="H8" s="9">
        <v>42.4</v>
      </c>
      <c r="I8" s="10">
        <v>35.0</v>
      </c>
      <c r="J8" s="11">
        <v>0.15</v>
      </c>
      <c r="K8" s="9">
        <v>65.83</v>
      </c>
      <c r="L8" s="7" t="s">
        <v>17</v>
      </c>
    </row>
    <row r="9" ht="22.5" customHeight="1">
      <c r="A9" s="6">
        <v>10250.0</v>
      </c>
      <c r="B9" s="7" t="s">
        <v>16</v>
      </c>
      <c r="C9" s="8">
        <v>44750.0</v>
      </c>
      <c r="D9" s="8">
        <v>44778.0</v>
      </c>
      <c r="E9" s="8">
        <v>44754.0</v>
      </c>
      <c r="F9" s="8">
        <v>44771.0</v>
      </c>
      <c r="G9" s="6">
        <v>65.0</v>
      </c>
      <c r="H9" s="9">
        <v>16.8</v>
      </c>
      <c r="I9" s="10">
        <v>15.0</v>
      </c>
      <c r="J9" s="11">
        <v>0.15</v>
      </c>
      <c r="K9" s="9">
        <v>65.83</v>
      </c>
      <c r="L9" s="7" t="s">
        <v>17</v>
      </c>
    </row>
    <row r="10" ht="22.5" customHeight="1">
      <c r="A10" s="6">
        <v>10251.0</v>
      </c>
      <c r="B10" s="7" t="s">
        <v>18</v>
      </c>
      <c r="C10" s="8">
        <v>44750.0</v>
      </c>
      <c r="D10" s="8">
        <v>44778.0</v>
      </c>
      <c r="E10" s="8">
        <v>44757.0</v>
      </c>
      <c r="F10" s="8">
        <v>44761.0</v>
      </c>
      <c r="G10" s="6">
        <v>22.0</v>
      </c>
      <c r="H10" s="9">
        <v>16.8</v>
      </c>
      <c r="I10" s="10">
        <v>6.0</v>
      </c>
      <c r="J10" s="11">
        <v>0.05</v>
      </c>
      <c r="K10" s="9">
        <v>41.34</v>
      </c>
      <c r="L10" s="7" t="s">
        <v>15</v>
      </c>
    </row>
    <row r="11" ht="22.5" customHeight="1">
      <c r="A11" s="6">
        <v>10251.0</v>
      </c>
      <c r="B11" s="7" t="s">
        <v>18</v>
      </c>
      <c r="C11" s="8">
        <v>44750.0</v>
      </c>
      <c r="D11" s="8">
        <v>44778.0</v>
      </c>
      <c r="E11" s="8">
        <v>44757.0</v>
      </c>
      <c r="F11" s="8">
        <v>44761.0</v>
      </c>
      <c r="G11" s="6">
        <v>57.0</v>
      </c>
      <c r="H11" s="9">
        <v>15.6</v>
      </c>
      <c r="I11" s="10">
        <v>15.0</v>
      </c>
      <c r="J11" s="11">
        <v>0.05</v>
      </c>
      <c r="K11" s="9">
        <v>41.34</v>
      </c>
      <c r="L11" s="7" t="s">
        <v>15</v>
      </c>
    </row>
    <row r="12" ht="22.5" customHeight="1">
      <c r="A12" s="6">
        <v>10251.0</v>
      </c>
      <c r="B12" s="7" t="s">
        <v>18</v>
      </c>
      <c r="C12" s="8">
        <v>44750.0</v>
      </c>
      <c r="D12" s="8">
        <v>44778.0</v>
      </c>
      <c r="E12" s="8">
        <v>44757.0</v>
      </c>
      <c r="F12" s="8">
        <v>44761.0</v>
      </c>
      <c r="G12" s="6">
        <v>65.0</v>
      </c>
      <c r="H12" s="9">
        <v>16.8</v>
      </c>
      <c r="I12" s="10">
        <v>20.0</v>
      </c>
      <c r="J12" s="11">
        <v>0.0</v>
      </c>
      <c r="K12" s="9">
        <v>41.34</v>
      </c>
      <c r="L12" s="7" t="s">
        <v>15</v>
      </c>
    </row>
    <row r="13" ht="22.5" customHeight="1">
      <c r="A13" s="6">
        <v>10252.0</v>
      </c>
      <c r="B13" s="7" t="s">
        <v>19</v>
      </c>
      <c r="C13" s="8">
        <v>44751.0</v>
      </c>
      <c r="D13" s="8">
        <v>44779.0</v>
      </c>
      <c r="E13" s="8">
        <v>44753.0</v>
      </c>
      <c r="F13" s="8">
        <v>44766.0</v>
      </c>
      <c r="G13" s="6">
        <v>20.0</v>
      </c>
      <c r="H13" s="9">
        <v>64.8</v>
      </c>
      <c r="I13" s="10">
        <v>40.0</v>
      </c>
      <c r="J13" s="11">
        <v>0.05</v>
      </c>
      <c r="K13" s="9">
        <v>51.3</v>
      </c>
      <c r="L13" s="7" t="s">
        <v>17</v>
      </c>
    </row>
    <row r="14" ht="22.5" customHeight="1">
      <c r="A14" s="6">
        <v>10252.0</v>
      </c>
      <c r="B14" s="7" t="s">
        <v>19</v>
      </c>
      <c r="C14" s="8">
        <v>44751.0</v>
      </c>
      <c r="D14" s="8">
        <v>44779.0</v>
      </c>
      <c r="E14" s="8">
        <v>44753.0</v>
      </c>
      <c r="F14" s="8">
        <v>44766.0</v>
      </c>
      <c r="G14" s="6">
        <v>33.0</v>
      </c>
      <c r="H14" s="9">
        <v>2.0</v>
      </c>
      <c r="I14" s="10">
        <v>25.0</v>
      </c>
      <c r="J14" s="11">
        <v>0.05</v>
      </c>
      <c r="K14" s="9">
        <v>51.3</v>
      </c>
      <c r="L14" s="7" t="s">
        <v>17</v>
      </c>
    </row>
    <row r="15" ht="22.5" customHeight="1">
      <c r="A15" s="6">
        <v>10252.0</v>
      </c>
      <c r="B15" s="7" t="s">
        <v>19</v>
      </c>
      <c r="C15" s="8">
        <v>44751.0</v>
      </c>
      <c r="D15" s="8">
        <v>44779.0</v>
      </c>
      <c r="E15" s="8">
        <v>44753.0</v>
      </c>
      <c r="F15" s="8">
        <v>44766.0</v>
      </c>
      <c r="G15" s="6">
        <v>60.0</v>
      </c>
      <c r="H15" s="9">
        <v>27.2</v>
      </c>
      <c r="I15" s="10">
        <v>40.0</v>
      </c>
      <c r="J15" s="11">
        <v>0.0</v>
      </c>
      <c r="K15" s="9">
        <v>51.3</v>
      </c>
      <c r="L15" s="7" t="s">
        <v>17</v>
      </c>
    </row>
    <row r="16" ht="22.5" customHeight="1">
      <c r="A16" s="6">
        <v>10253.0</v>
      </c>
      <c r="B16" s="7" t="s">
        <v>16</v>
      </c>
      <c r="C16" s="8">
        <v>44752.0</v>
      </c>
      <c r="D16" s="8">
        <v>44766.0</v>
      </c>
      <c r="E16" s="8">
        <v>44758.0</v>
      </c>
      <c r="F16" s="8">
        <v>44775.0</v>
      </c>
      <c r="G16" s="6">
        <v>31.0</v>
      </c>
      <c r="H16" s="9">
        <v>10.0</v>
      </c>
      <c r="I16" s="10">
        <v>20.0</v>
      </c>
      <c r="J16" s="11">
        <v>0.0</v>
      </c>
      <c r="K16" s="9">
        <v>58.17</v>
      </c>
      <c r="L16" s="7" t="s">
        <v>17</v>
      </c>
    </row>
    <row r="17" ht="22.5" customHeight="1">
      <c r="A17" s="6">
        <v>10253.0</v>
      </c>
      <c r="B17" s="7" t="s">
        <v>16</v>
      </c>
      <c r="C17" s="8">
        <v>44752.0</v>
      </c>
      <c r="D17" s="8">
        <v>44766.0</v>
      </c>
      <c r="E17" s="8">
        <v>44758.0</v>
      </c>
      <c r="F17" s="8">
        <v>44775.0</v>
      </c>
      <c r="G17" s="6">
        <v>39.0</v>
      </c>
      <c r="H17" s="9">
        <v>14.4</v>
      </c>
      <c r="I17" s="10">
        <v>42.0</v>
      </c>
      <c r="J17" s="11">
        <v>0.0</v>
      </c>
      <c r="K17" s="9">
        <v>58.17</v>
      </c>
      <c r="L17" s="7" t="s">
        <v>17</v>
      </c>
    </row>
    <row r="18" ht="22.5" customHeight="1">
      <c r="A18" s="6">
        <v>10253.0</v>
      </c>
      <c r="B18" s="7" t="s">
        <v>16</v>
      </c>
      <c r="C18" s="8">
        <v>44752.0</v>
      </c>
      <c r="D18" s="8">
        <v>44766.0</v>
      </c>
      <c r="E18" s="8">
        <v>44758.0</v>
      </c>
      <c r="F18" s="8">
        <v>44775.0</v>
      </c>
      <c r="G18" s="6">
        <v>49.0</v>
      </c>
      <c r="H18" s="9">
        <v>16.0</v>
      </c>
      <c r="I18" s="10">
        <v>40.0</v>
      </c>
      <c r="J18" s="11">
        <v>0.0</v>
      </c>
      <c r="K18" s="9">
        <v>58.17</v>
      </c>
      <c r="L18" s="7" t="s">
        <v>17</v>
      </c>
    </row>
    <row r="19" ht="22.5" customHeight="1">
      <c r="A19" s="6">
        <v>10254.0</v>
      </c>
      <c r="B19" s="7" t="s">
        <v>20</v>
      </c>
      <c r="C19" s="8">
        <v>44753.0</v>
      </c>
      <c r="D19" s="8">
        <v>44781.0</v>
      </c>
      <c r="E19" s="8">
        <v>44765.0</v>
      </c>
      <c r="F19" s="8">
        <v>44778.0</v>
      </c>
      <c r="G19" s="6">
        <v>24.0</v>
      </c>
      <c r="H19" s="9">
        <v>3.6</v>
      </c>
      <c r="I19" s="10">
        <v>15.0</v>
      </c>
      <c r="J19" s="11">
        <v>0.15</v>
      </c>
      <c r="K19" s="9">
        <v>22.98</v>
      </c>
      <c r="L19" s="7" t="s">
        <v>17</v>
      </c>
    </row>
    <row r="20" ht="22.5" customHeight="1">
      <c r="A20" s="6">
        <v>10254.0</v>
      </c>
      <c r="B20" s="7" t="s">
        <v>20</v>
      </c>
      <c r="C20" s="8">
        <v>44753.0</v>
      </c>
      <c r="D20" s="8">
        <v>44781.0</v>
      </c>
      <c r="E20" s="8">
        <v>44765.0</v>
      </c>
      <c r="F20" s="8">
        <v>44778.0</v>
      </c>
      <c r="G20" s="6">
        <v>55.0</v>
      </c>
      <c r="H20" s="9">
        <v>19.2</v>
      </c>
      <c r="I20" s="10">
        <v>21.0</v>
      </c>
      <c r="J20" s="11">
        <v>0.15</v>
      </c>
      <c r="K20" s="9">
        <v>22.98</v>
      </c>
      <c r="L20" s="7" t="s">
        <v>17</v>
      </c>
    </row>
    <row r="21" ht="15.75" customHeight="1">
      <c r="A21" s="6">
        <v>10254.0</v>
      </c>
      <c r="B21" s="7" t="s">
        <v>20</v>
      </c>
      <c r="C21" s="8">
        <v>44753.0</v>
      </c>
      <c r="D21" s="8">
        <v>44781.0</v>
      </c>
      <c r="E21" s="8">
        <v>44765.0</v>
      </c>
      <c r="F21" s="8">
        <v>44778.0</v>
      </c>
      <c r="G21" s="6">
        <v>74.0</v>
      </c>
      <c r="H21" s="9">
        <v>8.0</v>
      </c>
      <c r="I21" s="10">
        <v>21.0</v>
      </c>
      <c r="J21" s="11">
        <v>0.0</v>
      </c>
      <c r="K21" s="9">
        <v>22.98</v>
      </c>
      <c r="L21" s="7" t="s">
        <v>17</v>
      </c>
    </row>
    <row r="22" ht="15.75" customHeight="1">
      <c r="A22" s="6">
        <v>10255.0</v>
      </c>
      <c r="B22" s="7" t="s">
        <v>21</v>
      </c>
      <c r="C22" s="8">
        <v>44754.0</v>
      </c>
      <c r="D22" s="8">
        <v>44782.0</v>
      </c>
      <c r="E22" s="8">
        <v>44757.0</v>
      </c>
      <c r="F22" s="8">
        <v>44768.0</v>
      </c>
      <c r="G22" s="6">
        <v>2.0</v>
      </c>
      <c r="H22" s="9">
        <v>15.2</v>
      </c>
      <c r="I22" s="10">
        <v>20.0</v>
      </c>
      <c r="J22" s="11">
        <v>0.0</v>
      </c>
      <c r="K22" s="9">
        <v>148.33</v>
      </c>
      <c r="L22" s="7" t="s">
        <v>13</v>
      </c>
    </row>
    <row r="23" ht="15.75" customHeight="1">
      <c r="A23" s="6">
        <v>10255.0</v>
      </c>
      <c r="B23" s="7" t="s">
        <v>21</v>
      </c>
      <c r="C23" s="8">
        <v>44754.0</v>
      </c>
      <c r="D23" s="8">
        <v>44782.0</v>
      </c>
      <c r="E23" s="8">
        <v>44757.0</v>
      </c>
      <c r="F23" s="8">
        <v>44768.0</v>
      </c>
      <c r="G23" s="6">
        <v>16.0</v>
      </c>
      <c r="H23" s="9">
        <v>13.9</v>
      </c>
      <c r="I23" s="10">
        <v>35.0</v>
      </c>
      <c r="J23" s="11">
        <v>0.0</v>
      </c>
      <c r="K23" s="9">
        <v>148.33</v>
      </c>
      <c r="L23" s="7" t="s">
        <v>13</v>
      </c>
    </row>
    <row r="24" ht="15.75" customHeight="1">
      <c r="A24" s="6">
        <v>10255.0</v>
      </c>
      <c r="B24" s="7" t="s">
        <v>21</v>
      </c>
      <c r="C24" s="8">
        <v>44754.0</v>
      </c>
      <c r="D24" s="8">
        <v>44782.0</v>
      </c>
      <c r="E24" s="8">
        <v>44757.0</v>
      </c>
      <c r="F24" s="8">
        <v>44768.0</v>
      </c>
      <c r="G24" s="6">
        <v>36.0</v>
      </c>
      <c r="H24" s="9">
        <v>15.2</v>
      </c>
      <c r="I24" s="10">
        <v>25.0</v>
      </c>
      <c r="J24" s="11">
        <v>0.0</v>
      </c>
      <c r="K24" s="9">
        <v>148.33</v>
      </c>
      <c r="L24" s="7" t="s">
        <v>13</v>
      </c>
    </row>
    <row r="25" ht="15.75" customHeight="1">
      <c r="A25" s="6">
        <v>10255.0</v>
      </c>
      <c r="B25" s="7" t="s">
        <v>21</v>
      </c>
      <c r="C25" s="8">
        <v>44754.0</v>
      </c>
      <c r="D25" s="8">
        <v>44782.0</v>
      </c>
      <c r="E25" s="8">
        <v>44757.0</v>
      </c>
      <c r="F25" s="8">
        <v>44768.0</v>
      </c>
      <c r="G25" s="6">
        <v>59.0</v>
      </c>
      <c r="H25" s="9">
        <v>44.0</v>
      </c>
      <c r="I25" s="10">
        <v>30.0</v>
      </c>
      <c r="J25" s="11">
        <v>0.0</v>
      </c>
      <c r="K25" s="9">
        <v>148.33</v>
      </c>
      <c r="L25" s="7" t="s">
        <v>13</v>
      </c>
    </row>
    <row r="26" ht="15.75" customHeight="1">
      <c r="A26" s="6">
        <v>10256.0</v>
      </c>
      <c r="B26" s="7" t="s">
        <v>22</v>
      </c>
      <c r="C26" s="8">
        <v>44757.0</v>
      </c>
      <c r="D26" s="8">
        <v>44785.0</v>
      </c>
      <c r="E26" s="8">
        <v>44759.0</v>
      </c>
      <c r="F26" s="8">
        <v>44780.0</v>
      </c>
      <c r="G26" s="6">
        <v>53.0</v>
      </c>
      <c r="H26" s="9">
        <v>26.2</v>
      </c>
      <c r="I26" s="10">
        <v>15.0</v>
      </c>
      <c r="J26" s="11">
        <v>0.0</v>
      </c>
      <c r="K26" s="9">
        <v>13.97</v>
      </c>
      <c r="L26" s="7" t="s">
        <v>17</v>
      </c>
    </row>
    <row r="27" ht="15.75" customHeight="1">
      <c r="A27" s="6">
        <v>10256.0</v>
      </c>
      <c r="B27" s="7" t="s">
        <v>22</v>
      </c>
      <c r="C27" s="8">
        <v>44757.0</v>
      </c>
      <c r="D27" s="8">
        <v>44785.0</v>
      </c>
      <c r="E27" s="8">
        <v>44759.0</v>
      </c>
      <c r="F27" s="8">
        <v>44780.0</v>
      </c>
      <c r="G27" s="6">
        <v>77.0</v>
      </c>
      <c r="H27" s="9">
        <v>10.4</v>
      </c>
      <c r="I27" s="10">
        <v>12.0</v>
      </c>
      <c r="J27" s="11">
        <v>0.0</v>
      </c>
      <c r="K27" s="9">
        <v>13.97</v>
      </c>
      <c r="L27" s="7" t="s">
        <v>17</v>
      </c>
    </row>
    <row r="28" ht="15.75" customHeight="1">
      <c r="A28" s="6">
        <v>10257.0</v>
      </c>
      <c r="B28" s="7" t="s">
        <v>23</v>
      </c>
      <c r="C28" s="8">
        <v>44758.0</v>
      </c>
      <c r="D28" s="8">
        <v>44786.0</v>
      </c>
      <c r="E28" s="8">
        <v>44764.0</v>
      </c>
      <c r="F28" s="8">
        <v>44778.0</v>
      </c>
      <c r="G28" s="6">
        <v>27.0</v>
      </c>
      <c r="H28" s="9">
        <v>35.1</v>
      </c>
      <c r="I28" s="10">
        <v>25.0</v>
      </c>
      <c r="J28" s="11">
        <v>0.0</v>
      </c>
      <c r="K28" s="9">
        <v>81.91</v>
      </c>
      <c r="L28" s="7" t="s">
        <v>13</v>
      </c>
    </row>
    <row r="29" ht="15.75" customHeight="1">
      <c r="A29" s="6">
        <v>10257.0</v>
      </c>
      <c r="B29" s="7" t="s">
        <v>23</v>
      </c>
      <c r="C29" s="8">
        <v>44758.0</v>
      </c>
      <c r="D29" s="8">
        <v>44786.0</v>
      </c>
      <c r="E29" s="8">
        <v>44764.0</v>
      </c>
      <c r="F29" s="8">
        <v>44778.0</v>
      </c>
      <c r="G29" s="6">
        <v>39.0</v>
      </c>
      <c r="H29" s="9">
        <v>14.4</v>
      </c>
      <c r="I29" s="10">
        <v>6.0</v>
      </c>
      <c r="J29" s="11">
        <v>0.0</v>
      </c>
      <c r="K29" s="9">
        <v>81.91</v>
      </c>
      <c r="L29" s="7" t="s">
        <v>13</v>
      </c>
    </row>
    <row r="30" ht="15.75" customHeight="1">
      <c r="A30" s="6">
        <v>10257.0</v>
      </c>
      <c r="B30" s="7" t="s">
        <v>23</v>
      </c>
      <c r="C30" s="8">
        <v>44758.0</v>
      </c>
      <c r="D30" s="8">
        <v>44786.0</v>
      </c>
      <c r="E30" s="8">
        <v>44764.0</v>
      </c>
      <c r="F30" s="8">
        <v>44778.0</v>
      </c>
      <c r="G30" s="6">
        <v>77.0</v>
      </c>
      <c r="H30" s="9">
        <v>10.4</v>
      </c>
      <c r="I30" s="10">
        <v>15.0</v>
      </c>
      <c r="J30" s="11">
        <v>0.0</v>
      </c>
      <c r="K30" s="9">
        <v>81.91</v>
      </c>
      <c r="L30" s="7" t="s">
        <v>13</v>
      </c>
    </row>
    <row r="31" ht="15.75" customHeight="1">
      <c r="A31" s="6">
        <v>10258.0</v>
      </c>
      <c r="B31" s="7" t="s">
        <v>24</v>
      </c>
      <c r="C31" s="8">
        <v>44759.0</v>
      </c>
      <c r="D31" s="8">
        <v>44787.0</v>
      </c>
      <c r="E31" s="8">
        <v>44765.0</v>
      </c>
      <c r="F31" s="8">
        <v>44774.0</v>
      </c>
      <c r="G31" s="6">
        <v>2.0</v>
      </c>
      <c r="H31" s="9">
        <v>15.2</v>
      </c>
      <c r="I31" s="10">
        <v>50.0</v>
      </c>
      <c r="J31" s="11">
        <v>0.2</v>
      </c>
      <c r="K31" s="9">
        <v>140.51</v>
      </c>
      <c r="L31" s="7" t="s">
        <v>15</v>
      </c>
    </row>
    <row r="32" ht="15.75" customHeight="1">
      <c r="A32" s="6">
        <v>10258.0</v>
      </c>
      <c r="B32" s="7" t="s">
        <v>24</v>
      </c>
      <c r="C32" s="8">
        <v>44759.0</v>
      </c>
      <c r="D32" s="8">
        <v>44787.0</v>
      </c>
      <c r="E32" s="8">
        <v>44765.0</v>
      </c>
      <c r="F32" s="8">
        <v>44774.0</v>
      </c>
      <c r="G32" s="6">
        <v>5.0</v>
      </c>
      <c r="H32" s="9">
        <v>17.0</v>
      </c>
      <c r="I32" s="10">
        <v>65.0</v>
      </c>
      <c r="J32" s="11">
        <v>0.2</v>
      </c>
      <c r="K32" s="9">
        <v>140.51</v>
      </c>
      <c r="L32" s="7" t="s">
        <v>15</v>
      </c>
    </row>
    <row r="33" ht="15.75" customHeight="1">
      <c r="A33" s="6">
        <v>10258.0</v>
      </c>
      <c r="B33" s="7" t="s">
        <v>24</v>
      </c>
      <c r="C33" s="8">
        <v>44759.0</v>
      </c>
      <c r="D33" s="8">
        <v>44787.0</v>
      </c>
      <c r="E33" s="8">
        <v>44765.0</v>
      </c>
      <c r="F33" s="8">
        <v>44774.0</v>
      </c>
      <c r="G33" s="6">
        <v>32.0</v>
      </c>
      <c r="H33" s="9">
        <v>25.6</v>
      </c>
      <c r="I33" s="10">
        <v>6.0</v>
      </c>
      <c r="J33" s="11">
        <v>0.2</v>
      </c>
      <c r="K33" s="9">
        <v>140.51</v>
      </c>
      <c r="L33" s="7" t="s">
        <v>15</v>
      </c>
    </row>
    <row r="34" ht="15.75" customHeight="1">
      <c r="A34" s="6">
        <v>10259.0</v>
      </c>
      <c r="B34" s="7" t="s">
        <v>25</v>
      </c>
      <c r="C34" s="8">
        <v>44760.0</v>
      </c>
      <c r="D34" s="8">
        <v>44788.0</v>
      </c>
      <c r="E34" s="8">
        <v>44767.0</v>
      </c>
      <c r="F34" s="8">
        <v>44781.0</v>
      </c>
      <c r="G34" s="6">
        <v>21.0</v>
      </c>
      <c r="H34" s="9">
        <v>8.0</v>
      </c>
      <c r="I34" s="10">
        <v>10.0</v>
      </c>
      <c r="J34" s="11">
        <v>0.0</v>
      </c>
      <c r="K34" s="9">
        <v>3.25</v>
      </c>
      <c r="L34" s="7" t="s">
        <v>13</v>
      </c>
    </row>
    <row r="35" ht="15.75" customHeight="1">
      <c r="A35" s="6">
        <v>10259.0</v>
      </c>
      <c r="B35" s="7" t="s">
        <v>25</v>
      </c>
      <c r="C35" s="8">
        <v>44760.0</v>
      </c>
      <c r="D35" s="8">
        <v>44788.0</v>
      </c>
      <c r="E35" s="8">
        <v>44767.0</v>
      </c>
      <c r="F35" s="8">
        <v>44781.0</v>
      </c>
      <c r="G35" s="6">
        <v>37.0</v>
      </c>
      <c r="H35" s="9">
        <v>20.8</v>
      </c>
      <c r="I35" s="10">
        <v>1.0</v>
      </c>
      <c r="J35" s="11">
        <v>0.0</v>
      </c>
      <c r="K35" s="9">
        <v>3.25</v>
      </c>
      <c r="L35" s="7" t="s">
        <v>13</v>
      </c>
    </row>
    <row r="36" ht="15.75" customHeight="1">
      <c r="A36" s="6">
        <v>10260.0</v>
      </c>
      <c r="B36" s="7" t="s">
        <v>26</v>
      </c>
      <c r="C36" s="8">
        <v>44761.0</v>
      </c>
      <c r="D36" s="8">
        <v>44789.0</v>
      </c>
      <c r="E36" s="8">
        <v>44771.0</v>
      </c>
      <c r="F36" s="8">
        <v>44776.0</v>
      </c>
      <c r="G36" s="6">
        <v>41.0</v>
      </c>
      <c r="H36" s="9">
        <v>7.7</v>
      </c>
      <c r="I36" s="10">
        <v>16.0</v>
      </c>
      <c r="J36" s="11">
        <v>0.25</v>
      </c>
      <c r="K36" s="9">
        <v>55.09</v>
      </c>
      <c r="L36" s="7" t="s">
        <v>15</v>
      </c>
    </row>
    <row r="37" ht="15.75" customHeight="1">
      <c r="A37" s="6">
        <v>10260.0</v>
      </c>
      <c r="B37" s="7" t="s">
        <v>26</v>
      </c>
      <c r="C37" s="8">
        <v>44761.0</v>
      </c>
      <c r="D37" s="8">
        <v>44789.0</v>
      </c>
      <c r="E37" s="8">
        <v>44771.0</v>
      </c>
      <c r="F37" s="8">
        <v>44776.0</v>
      </c>
      <c r="G37" s="6">
        <v>57.0</v>
      </c>
      <c r="H37" s="9">
        <v>15.6</v>
      </c>
      <c r="I37" s="10">
        <v>50.0</v>
      </c>
      <c r="J37" s="11">
        <v>0.0</v>
      </c>
      <c r="K37" s="9">
        <v>55.09</v>
      </c>
      <c r="L37" s="7" t="s">
        <v>15</v>
      </c>
    </row>
    <row r="38" ht="15.75" customHeight="1">
      <c r="A38" s="6">
        <v>10260.0</v>
      </c>
      <c r="B38" s="7" t="s">
        <v>26</v>
      </c>
      <c r="C38" s="8">
        <v>44761.0</v>
      </c>
      <c r="D38" s="8">
        <v>44789.0</v>
      </c>
      <c r="E38" s="8">
        <v>44771.0</v>
      </c>
      <c r="F38" s="8">
        <v>44776.0</v>
      </c>
      <c r="G38" s="6">
        <v>62.0</v>
      </c>
      <c r="H38" s="9">
        <v>39.4</v>
      </c>
      <c r="I38" s="10">
        <v>15.0</v>
      </c>
      <c r="J38" s="11">
        <v>0.25</v>
      </c>
      <c r="K38" s="9">
        <v>55.09</v>
      </c>
      <c r="L38" s="7" t="s">
        <v>15</v>
      </c>
    </row>
    <row r="39" ht="15.75" customHeight="1">
      <c r="A39" s="6">
        <v>10260.0</v>
      </c>
      <c r="B39" s="7" t="s">
        <v>26</v>
      </c>
      <c r="C39" s="8">
        <v>44761.0</v>
      </c>
      <c r="D39" s="8">
        <v>44789.0</v>
      </c>
      <c r="E39" s="8">
        <v>44771.0</v>
      </c>
      <c r="F39" s="8">
        <v>44776.0</v>
      </c>
      <c r="G39" s="6">
        <v>70.0</v>
      </c>
      <c r="H39" s="9">
        <v>12.0</v>
      </c>
      <c r="I39" s="10">
        <v>21.0</v>
      </c>
      <c r="J39" s="11">
        <v>0.25</v>
      </c>
      <c r="K39" s="9">
        <v>55.09</v>
      </c>
      <c r="L39" s="7" t="s">
        <v>15</v>
      </c>
    </row>
    <row r="40" ht="15.75" customHeight="1">
      <c r="A40" s="6">
        <v>10261.0</v>
      </c>
      <c r="B40" s="7" t="s">
        <v>27</v>
      </c>
      <c r="C40" s="8">
        <v>44761.0</v>
      </c>
      <c r="D40" s="8">
        <v>44789.0</v>
      </c>
      <c r="E40" s="8">
        <v>44772.0</v>
      </c>
      <c r="F40" s="8">
        <v>44789.0</v>
      </c>
      <c r="G40" s="6">
        <v>21.0</v>
      </c>
      <c r="H40" s="9">
        <v>8.0</v>
      </c>
      <c r="I40" s="10">
        <v>20.0</v>
      </c>
      <c r="J40" s="11">
        <v>0.0</v>
      </c>
      <c r="K40" s="9">
        <v>3.05</v>
      </c>
      <c r="L40" s="7" t="s">
        <v>17</v>
      </c>
    </row>
    <row r="41" ht="15.75" customHeight="1">
      <c r="A41" s="6">
        <v>10261.0</v>
      </c>
      <c r="B41" s="7" t="s">
        <v>27</v>
      </c>
      <c r="C41" s="8">
        <v>44761.0</v>
      </c>
      <c r="D41" s="8">
        <v>44789.0</v>
      </c>
      <c r="E41" s="8">
        <v>44772.0</v>
      </c>
      <c r="F41" s="8">
        <v>44789.0</v>
      </c>
      <c r="G41" s="6">
        <v>35.0</v>
      </c>
      <c r="H41" s="9">
        <v>14.4</v>
      </c>
      <c r="I41" s="10">
        <v>20.0</v>
      </c>
      <c r="J41" s="11">
        <v>0.0</v>
      </c>
      <c r="K41" s="9">
        <v>3.05</v>
      </c>
      <c r="L41" s="7" t="s">
        <v>17</v>
      </c>
    </row>
    <row r="42" ht="15.75" customHeight="1">
      <c r="A42" s="6">
        <v>10262.0</v>
      </c>
      <c r="B42" s="7" t="s">
        <v>28</v>
      </c>
      <c r="C42" s="8">
        <v>44764.0</v>
      </c>
      <c r="D42" s="8">
        <v>44792.0</v>
      </c>
      <c r="E42" s="8">
        <v>44767.0</v>
      </c>
      <c r="F42" s="8">
        <v>44784.0</v>
      </c>
      <c r="G42" s="6">
        <v>5.0</v>
      </c>
      <c r="H42" s="9">
        <v>17.0</v>
      </c>
      <c r="I42" s="10">
        <v>12.0</v>
      </c>
      <c r="J42" s="11">
        <v>0.2</v>
      </c>
      <c r="K42" s="9">
        <v>48.29</v>
      </c>
      <c r="L42" s="7" t="s">
        <v>13</v>
      </c>
    </row>
    <row r="43" ht="15.75" customHeight="1">
      <c r="A43" s="6">
        <v>10262.0</v>
      </c>
      <c r="B43" s="7" t="s">
        <v>28</v>
      </c>
      <c r="C43" s="8">
        <v>44764.0</v>
      </c>
      <c r="D43" s="8">
        <v>44792.0</v>
      </c>
      <c r="E43" s="8">
        <v>44767.0</v>
      </c>
      <c r="F43" s="8">
        <v>44784.0</v>
      </c>
      <c r="G43" s="6">
        <v>7.0</v>
      </c>
      <c r="H43" s="9">
        <v>24.0</v>
      </c>
      <c r="I43" s="10">
        <v>15.0</v>
      </c>
      <c r="J43" s="11">
        <v>0.0</v>
      </c>
      <c r="K43" s="9">
        <v>48.29</v>
      </c>
      <c r="L43" s="7" t="s">
        <v>13</v>
      </c>
    </row>
    <row r="44" ht="15.75" customHeight="1">
      <c r="A44" s="6">
        <v>10262.0</v>
      </c>
      <c r="B44" s="7" t="s">
        <v>28</v>
      </c>
      <c r="C44" s="8">
        <v>44764.0</v>
      </c>
      <c r="D44" s="8">
        <v>44792.0</v>
      </c>
      <c r="E44" s="8">
        <v>44767.0</v>
      </c>
      <c r="F44" s="8">
        <v>44784.0</v>
      </c>
      <c r="G44" s="6">
        <v>56.0</v>
      </c>
      <c r="H44" s="9">
        <v>30.4</v>
      </c>
      <c r="I44" s="10">
        <v>2.0</v>
      </c>
      <c r="J44" s="11">
        <v>0.0</v>
      </c>
      <c r="K44" s="9">
        <v>48.29</v>
      </c>
      <c r="L44" s="7" t="s">
        <v>13</v>
      </c>
    </row>
    <row r="45" ht="15.75" customHeight="1">
      <c r="A45" s="6">
        <v>10263.0</v>
      </c>
      <c r="B45" s="7" t="s">
        <v>24</v>
      </c>
      <c r="C45" s="8">
        <v>44765.0</v>
      </c>
      <c r="D45" s="8">
        <v>44793.0</v>
      </c>
      <c r="E45" s="8">
        <v>44773.0</v>
      </c>
      <c r="F45" s="8">
        <v>44784.0</v>
      </c>
      <c r="G45" s="6">
        <v>16.0</v>
      </c>
      <c r="H45" s="9">
        <v>13.9</v>
      </c>
      <c r="I45" s="10">
        <v>60.0</v>
      </c>
      <c r="J45" s="11">
        <v>0.25</v>
      </c>
      <c r="K45" s="9">
        <v>146.06</v>
      </c>
      <c r="L45" s="7" t="s">
        <v>13</v>
      </c>
    </row>
    <row r="46" ht="15.75" customHeight="1">
      <c r="A46" s="6">
        <v>10263.0</v>
      </c>
      <c r="B46" s="7" t="s">
        <v>24</v>
      </c>
      <c r="C46" s="8">
        <v>44765.0</v>
      </c>
      <c r="D46" s="8">
        <v>44793.0</v>
      </c>
      <c r="E46" s="8">
        <v>44773.0</v>
      </c>
      <c r="F46" s="8">
        <v>44784.0</v>
      </c>
      <c r="G46" s="6">
        <v>24.0</v>
      </c>
      <c r="H46" s="9">
        <v>3.6</v>
      </c>
      <c r="I46" s="10">
        <v>28.0</v>
      </c>
      <c r="J46" s="11">
        <v>0.0</v>
      </c>
      <c r="K46" s="9">
        <v>146.06</v>
      </c>
      <c r="L46" s="7" t="s">
        <v>13</v>
      </c>
    </row>
    <row r="47" ht="15.75" customHeight="1">
      <c r="A47" s="6">
        <v>10263.0</v>
      </c>
      <c r="B47" s="7" t="s">
        <v>24</v>
      </c>
      <c r="C47" s="8">
        <v>44765.0</v>
      </c>
      <c r="D47" s="8">
        <v>44793.0</v>
      </c>
      <c r="E47" s="8">
        <v>44773.0</v>
      </c>
      <c r="F47" s="8">
        <v>44784.0</v>
      </c>
      <c r="G47" s="6">
        <v>30.0</v>
      </c>
      <c r="H47" s="9">
        <v>20.7</v>
      </c>
      <c r="I47" s="10">
        <v>60.0</v>
      </c>
      <c r="J47" s="11">
        <v>0.25</v>
      </c>
      <c r="K47" s="9">
        <v>146.06</v>
      </c>
      <c r="L47" s="7" t="s">
        <v>13</v>
      </c>
    </row>
    <row r="48" ht="15.75" customHeight="1">
      <c r="A48" s="6">
        <v>10263.0</v>
      </c>
      <c r="B48" s="7" t="s">
        <v>24</v>
      </c>
      <c r="C48" s="8">
        <v>44765.0</v>
      </c>
      <c r="D48" s="8">
        <v>44793.0</v>
      </c>
      <c r="E48" s="8">
        <v>44773.0</v>
      </c>
      <c r="F48" s="8">
        <v>44784.0</v>
      </c>
      <c r="G48" s="6">
        <v>74.0</v>
      </c>
      <c r="H48" s="9">
        <v>8.0</v>
      </c>
      <c r="I48" s="10">
        <v>36.0</v>
      </c>
      <c r="J48" s="11">
        <v>0.25</v>
      </c>
      <c r="K48" s="9">
        <v>146.06</v>
      </c>
      <c r="L48" s="7" t="s">
        <v>13</v>
      </c>
    </row>
    <row r="49" ht="15.75" customHeight="1">
      <c r="A49" s="6">
        <v>10264.0</v>
      </c>
      <c r="B49" s="7" t="s">
        <v>29</v>
      </c>
      <c r="C49" s="8">
        <v>44766.0</v>
      </c>
      <c r="D49" s="8">
        <v>44794.0</v>
      </c>
      <c r="E49" s="8">
        <v>44796.0</v>
      </c>
      <c r="F49" s="8">
        <v>44808.0</v>
      </c>
      <c r="G49" s="6">
        <v>2.0</v>
      </c>
      <c r="H49" s="9">
        <v>15.2</v>
      </c>
      <c r="I49" s="10">
        <v>35.0</v>
      </c>
      <c r="J49" s="11">
        <v>0.0</v>
      </c>
      <c r="K49" s="9">
        <v>3.67</v>
      </c>
      <c r="L49" s="7" t="s">
        <v>13</v>
      </c>
    </row>
    <row r="50" ht="15.75" customHeight="1">
      <c r="A50" s="6">
        <v>10264.0</v>
      </c>
      <c r="B50" s="7" t="s">
        <v>29</v>
      </c>
      <c r="C50" s="8">
        <v>44766.0</v>
      </c>
      <c r="D50" s="8">
        <v>44794.0</v>
      </c>
      <c r="E50" s="8">
        <v>44796.0</v>
      </c>
      <c r="F50" s="8">
        <v>44808.0</v>
      </c>
      <c r="G50" s="6">
        <v>41.0</v>
      </c>
      <c r="H50" s="9">
        <v>7.7</v>
      </c>
      <c r="I50" s="10">
        <v>25.0</v>
      </c>
      <c r="J50" s="11">
        <v>0.15</v>
      </c>
      <c r="K50" s="9">
        <v>3.67</v>
      </c>
      <c r="L50" s="7" t="s">
        <v>13</v>
      </c>
    </row>
    <row r="51" ht="15.75" customHeight="1">
      <c r="A51" s="6">
        <v>10265.0</v>
      </c>
      <c r="B51" s="7" t="s">
        <v>30</v>
      </c>
      <c r="C51" s="8">
        <v>44767.0</v>
      </c>
      <c r="D51" s="8">
        <v>44795.0</v>
      </c>
      <c r="E51" s="8">
        <v>44785.0</v>
      </c>
      <c r="F51" s="8">
        <v>44792.0</v>
      </c>
      <c r="G51" s="6">
        <v>17.0</v>
      </c>
      <c r="H51" s="9">
        <v>31.2</v>
      </c>
      <c r="I51" s="10">
        <v>30.0</v>
      </c>
      <c r="J51" s="11">
        <v>0.0</v>
      </c>
      <c r="K51" s="9">
        <v>55.28</v>
      </c>
      <c r="L51" s="7" t="s">
        <v>15</v>
      </c>
    </row>
    <row r="52" ht="15.75" customHeight="1">
      <c r="A52" s="6">
        <v>10265.0</v>
      </c>
      <c r="B52" s="7" t="s">
        <v>30</v>
      </c>
      <c r="C52" s="8">
        <v>44767.0</v>
      </c>
      <c r="D52" s="8">
        <v>44795.0</v>
      </c>
      <c r="E52" s="8">
        <v>44785.0</v>
      </c>
      <c r="F52" s="8">
        <v>44792.0</v>
      </c>
      <c r="G52" s="6">
        <v>70.0</v>
      </c>
      <c r="H52" s="9">
        <v>12.0</v>
      </c>
      <c r="I52" s="10">
        <v>20.0</v>
      </c>
      <c r="J52" s="11">
        <v>0.0</v>
      </c>
      <c r="K52" s="9">
        <v>55.28</v>
      </c>
      <c r="L52" s="7" t="s">
        <v>15</v>
      </c>
    </row>
    <row r="53" ht="15.75" customHeight="1">
      <c r="A53" s="6">
        <v>10266.0</v>
      </c>
      <c r="B53" s="7" t="s">
        <v>31</v>
      </c>
      <c r="C53" s="8">
        <v>44768.0</v>
      </c>
      <c r="D53" s="8">
        <v>44810.0</v>
      </c>
      <c r="E53" s="8">
        <v>44773.0</v>
      </c>
      <c r="F53" s="8">
        <v>44786.0</v>
      </c>
      <c r="G53" s="6">
        <v>12.0</v>
      </c>
      <c r="H53" s="9">
        <v>30.4</v>
      </c>
      <c r="I53" s="10">
        <v>12.0</v>
      </c>
      <c r="J53" s="11">
        <v>0.05</v>
      </c>
      <c r="K53" s="9">
        <v>25.73</v>
      </c>
      <c r="L53" s="7" t="s">
        <v>13</v>
      </c>
    </row>
    <row r="54" ht="15.75" customHeight="1">
      <c r="A54" s="6">
        <v>10267.0</v>
      </c>
      <c r="B54" s="7" t="s">
        <v>32</v>
      </c>
      <c r="C54" s="8">
        <v>44771.0</v>
      </c>
      <c r="D54" s="8">
        <v>44799.0</v>
      </c>
      <c r="E54" s="8">
        <v>44779.0</v>
      </c>
      <c r="F54" s="8">
        <v>44783.0</v>
      </c>
      <c r="G54" s="6">
        <v>40.0</v>
      </c>
      <c r="H54" s="9">
        <v>14.7</v>
      </c>
      <c r="I54" s="10">
        <v>50.0</v>
      </c>
      <c r="J54" s="11">
        <v>0.0</v>
      </c>
      <c r="K54" s="9">
        <v>208.58</v>
      </c>
      <c r="L54" s="7" t="s">
        <v>15</v>
      </c>
    </row>
    <row r="55" ht="15.75" customHeight="1">
      <c r="A55" s="6">
        <v>10267.0</v>
      </c>
      <c r="B55" s="7" t="s">
        <v>32</v>
      </c>
      <c r="C55" s="8">
        <v>44771.0</v>
      </c>
      <c r="D55" s="8">
        <v>44799.0</v>
      </c>
      <c r="E55" s="8">
        <v>44779.0</v>
      </c>
      <c r="F55" s="8">
        <v>44783.0</v>
      </c>
      <c r="G55" s="6">
        <v>59.0</v>
      </c>
      <c r="H55" s="9">
        <v>44.0</v>
      </c>
      <c r="I55" s="10">
        <v>70.0</v>
      </c>
      <c r="J55" s="11">
        <v>0.15</v>
      </c>
      <c r="K55" s="9">
        <v>208.58</v>
      </c>
      <c r="L55" s="7" t="s">
        <v>15</v>
      </c>
    </row>
    <row r="56" ht="15.75" customHeight="1">
      <c r="A56" s="6">
        <v>10267.0</v>
      </c>
      <c r="B56" s="7" t="s">
        <v>32</v>
      </c>
      <c r="C56" s="8">
        <v>44771.0</v>
      </c>
      <c r="D56" s="8">
        <v>44799.0</v>
      </c>
      <c r="E56" s="8">
        <v>44779.0</v>
      </c>
      <c r="F56" s="8">
        <v>44783.0</v>
      </c>
      <c r="G56" s="6">
        <v>76.0</v>
      </c>
      <c r="H56" s="9">
        <v>14.4</v>
      </c>
      <c r="I56" s="10">
        <v>15.0</v>
      </c>
      <c r="J56" s="11">
        <v>0.15</v>
      </c>
      <c r="K56" s="9">
        <v>208.58</v>
      </c>
      <c r="L56" s="7" t="s">
        <v>15</v>
      </c>
    </row>
    <row r="57" ht="15.75" customHeight="1">
      <c r="A57" s="6">
        <v>10268.0</v>
      </c>
      <c r="B57" s="7" t="s">
        <v>33</v>
      </c>
      <c r="C57" s="8">
        <v>44772.0</v>
      </c>
      <c r="D57" s="8">
        <v>44800.0</v>
      </c>
      <c r="E57" s="8">
        <v>44775.0</v>
      </c>
      <c r="F57" s="8">
        <v>44786.0</v>
      </c>
      <c r="G57" s="6">
        <v>29.0</v>
      </c>
      <c r="H57" s="9">
        <v>99.0</v>
      </c>
      <c r="I57" s="10">
        <v>10.0</v>
      </c>
      <c r="J57" s="11">
        <v>0.0</v>
      </c>
      <c r="K57" s="9">
        <v>66.29</v>
      </c>
      <c r="L57" s="7" t="s">
        <v>13</v>
      </c>
    </row>
    <row r="58" ht="15.75" customHeight="1">
      <c r="A58" s="6">
        <v>10268.0</v>
      </c>
      <c r="B58" s="7" t="s">
        <v>33</v>
      </c>
      <c r="C58" s="8">
        <v>44772.0</v>
      </c>
      <c r="D58" s="8">
        <v>44800.0</v>
      </c>
      <c r="E58" s="8">
        <v>44775.0</v>
      </c>
      <c r="F58" s="8">
        <v>44786.0</v>
      </c>
      <c r="G58" s="6">
        <v>72.0</v>
      </c>
      <c r="H58" s="9">
        <v>27.8</v>
      </c>
      <c r="I58" s="10">
        <v>4.0</v>
      </c>
      <c r="J58" s="11">
        <v>0.0</v>
      </c>
      <c r="K58" s="9">
        <v>66.29</v>
      </c>
      <c r="L58" s="7" t="s">
        <v>13</v>
      </c>
    </row>
    <row r="59" ht="15.75" customHeight="1">
      <c r="A59" s="6">
        <v>10269.0</v>
      </c>
      <c r="B59" s="7" t="s">
        <v>34</v>
      </c>
      <c r="C59" s="8">
        <v>44773.0</v>
      </c>
      <c r="D59" s="8">
        <v>44787.0</v>
      </c>
      <c r="E59" s="8">
        <v>44782.0</v>
      </c>
      <c r="F59" s="8">
        <v>44794.0</v>
      </c>
      <c r="G59" s="6">
        <v>33.0</v>
      </c>
      <c r="H59" s="9">
        <v>2.0</v>
      </c>
      <c r="I59" s="10">
        <v>60.0</v>
      </c>
      <c r="J59" s="11">
        <v>0.05</v>
      </c>
      <c r="K59" s="9">
        <v>4.56</v>
      </c>
      <c r="L59" s="7" t="s">
        <v>15</v>
      </c>
    </row>
    <row r="60" ht="15.75" customHeight="1">
      <c r="A60" s="6">
        <v>10269.0</v>
      </c>
      <c r="B60" s="7" t="s">
        <v>34</v>
      </c>
      <c r="C60" s="8">
        <v>44773.0</v>
      </c>
      <c r="D60" s="8">
        <v>44787.0</v>
      </c>
      <c r="E60" s="8">
        <v>44782.0</v>
      </c>
      <c r="F60" s="8">
        <v>44794.0</v>
      </c>
      <c r="G60" s="6">
        <v>72.0</v>
      </c>
      <c r="H60" s="9">
        <v>27.8</v>
      </c>
      <c r="I60" s="10">
        <v>20.0</v>
      </c>
      <c r="J60" s="11">
        <v>0.05</v>
      </c>
      <c r="K60" s="9">
        <v>4.56</v>
      </c>
      <c r="L60" s="7" t="s">
        <v>15</v>
      </c>
    </row>
    <row r="61" ht="15.75" customHeight="1">
      <c r="A61" s="6">
        <v>10270.0</v>
      </c>
      <c r="B61" s="7" t="s">
        <v>31</v>
      </c>
      <c r="C61" s="8">
        <v>44774.0</v>
      </c>
      <c r="D61" s="8">
        <v>44802.0</v>
      </c>
      <c r="E61" s="8">
        <v>44775.0</v>
      </c>
      <c r="F61" s="8">
        <v>44787.0</v>
      </c>
      <c r="G61" s="6">
        <v>36.0</v>
      </c>
      <c r="H61" s="9">
        <v>15.2</v>
      </c>
      <c r="I61" s="10">
        <v>30.0</v>
      </c>
      <c r="J61" s="11">
        <v>0.0</v>
      </c>
      <c r="K61" s="9">
        <v>136.54</v>
      </c>
      <c r="L61" s="7" t="s">
        <v>15</v>
      </c>
    </row>
    <row r="62" ht="15.75" customHeight="1">
      <c r="A62" s="6">
        <v>10270.0</v>
      </c>
      <c r="B62" s="7" t="s">
        <v>31</v>
      </c>
      <c r="C62" s="8">
        <v>44774.0</v>
      </c>
      <c r="D62" s="8">
        <v>44802.0</v>
      </c>
      <c r="E62" s="8">
        <v>44775.0</v>
      </c>
      <c r="F62" s="8">
        <v>44787.0</v>
      </c>
      <c r="G62" s="6">
        <v>43.0</v>
      </c>
      <c r="H62" s="9">
        <v>36.8</v>
      </c>
      <c r="I62" s="10">
        <v>25.0</v>
      </c>
      <c r="J62" s="11">
        <v>0.0</v>
      </c>
      <c r="K62" s="9">
        <v>136.54</v>
      </c>
      <c r="L62" s="7" t="s">
        <v>15</v>
      </c>
    </row>
    <row r="63" ht="15.75" customHeight="1">
      <c r="A63" s="6">
        <v>10271.0</v>
      </c>
      <c r="B63" s="7" t="s">
        <v>35</v>
      </c>
      <c r="C63" s="8">
        <v>44774.0</v>
      </c>
      <c r="D63" s="8">
        <v>44802.0</v>
      </c>
      <c r="E63" s="8">
        <v>44803.0</v>
      </c>
      <c r="F63" s="8">
        <v>44821.0</v>
      </c>
      <c r="G63" s="6">
        <v>33.0</v>
      </c>
      <c r="H63" s="9">
        <v>2.0</v>
      </c>
      <c r="I63" s="10">
        <v>24.0</v>
      </c>
      <c r="J63" s="11">
        <v>0.0</v>
      </c>
      <c r="K63" s="9">
        <v>4.54</v>
      </c>
      <c r="L63" s="7" t="s">
        <v>17</v>
      </c>
    </row>
    <row r="64" ht="15.75" customHeight="1">
      <c r="A64" s="6">
        <v>10272.0</v>
      </c>
      <c r="B64" s="7" t="s">
        <v>28</v>
      </c>
      <c r="C64" s="8">
        <v>44775.0</v>
      </c>
      <c r="D64" s="8">
        <v>44803.0</v>
      </c>
      <c r="E64" s="8">
        <v>44779.0</v>
      </c>
      <c r="F64" s="8">
        <v>44797.0</v>
      </c>
      <c r="G64" s="6">
        <v>20.0</v>
      </c>
      <c r="H64" s="9">
        <v>64.8</v>
      </c>
      <c r="I64" s="10">
        <v>6.0</v>
      </c>
      <c r="J64" s="11">
        <v>0.0</v>
      </c>
      <c r="K64" s="9">
        <v>98.03</v>
      </c>
      <c r="L64" s="7" t="s">
        <v>17</v>
      </c>
    </row>
    <row r="65" ht="15.75" customHeight="1">
      <c r="A65" s="6">
        <v>10272.0</v>
      </c>
      <c r="B65" s="7" t="s">
        <v>28</v>
      </c>
      <c r="C65" s="8">
        <v>44775.0</v>
      </c>
      <c r="D65" s="8">
        <v>44803.0</v>
      </c>
      <c r="E65" s="8">
        <v>44779.0</v>
      </c>
      <c r="F65" s="8">
        <v>44797.0</v>
      </c>
      <c r="G65" s="6">
        <v>31.0</v>
      </c>
      <c r="H65" s="9">
        <v>10.0</v>
      </c>
      <c r="I65" s="10">
        <v>40.0</v>
      </c>
      <c r="J65" s="11">
        <v>0.0</v>
      </c>
      <c r="K65" s="9">
        <v>98.03</v>
      </c>
      <c r="L65" s="7" t="s">
        <v>17</v>
      </c>
    </row>
    <row r="66" ht="15.75" customHeight="1">
      <c r="A66" s="6">
        <v>10272.0</v>
      </c>
      <c r="B66" s="7" t="s">
        <v>28</v>
      </c>
      <c r="C66" s="8">
        <v>44775.0</v>
      </c>
      <c r="D66" s="8">
        <v>44803.0</v>
      </c>
      <c r="E66" s="8">
        <v>44779.0</v>
      </c>
      <c r="F66" s="8">
        <v>44797.0</v>
      </c>
      <c r="G66" s="6">
        <v>72.0</v>
      </c>
      <c r="H66" s="9">
        <v>27.8</v>
      </c>
      <c r="I66" s="10">
        <v>24.0</v>
      </c>
      <c r="J66" s="11">
        <v>0.0</v>
      </c>
      <c r="K66" s="9">
        <v>98.03</v>
      </c>
      <c r="L66" s="7" t="s">
        <v>17</v>
      </c>
    </row>
    <row r="67" ht="15.75" customHeight="1">
      <c r="A67" s="6">
        <v>10273.0</v>
      </c>
      <c r="B67" s="7" t="s">
        <v>36</v>
      </c>
      <c r="C67" s="8">
        <v>44778.0</v>
      </c>
      <c r="D67" s="8">
        <v>44806.0</v>
      </c>
      <c r="E67" s="8">
        <v>44785.0</v>
      </c>
      <c r="F67" s="8">
        <v>44791.0</v>
      </c>
      <c r="G67" s="6">
        <v>10.0</v>
      </c>
      <c r="H67" s="9">
        <v>24.8</v>
      </c>
      <c r="I67" s="10">
        <v>24.0</v>
      </c>
      <c r="J67" s="11">
        <v>0.05</v>
      </c>
      <c r="K67" s="9">
        <v>76.07</v>
      </c>
      <c r="L67" s="7" t="s">
        <v>13</v>
      </c>
    </row>
    <row r="68" ht="15.75" customHeight="1">
      <c r="A68" s="6">
        <v>10273.0</v>
      </c>
      <c r="B68" s="7" t="s">
        <v>36</v>
      </c>
      <c r="C68" s="8">
        <v>44778.0</v>
      </c>
      <c r="D68" s="8">
        <v>44806.0</v>
      </c>
      <c r="E68" s="8">
        <v>44785.0</v>
      </c>
      <c r="F68" s="8">
        <v>44791.0</v>
      </c>
      <c r="G68" s="6">
        <v>31.0</v>
      </c>
      <c r="H68" s="9">
        <v>10.0</v>
      </c>
      <c r="I68" s="10">
        <v>15.0</v>
      </c>
      <c r="J68" s="11">
        <v>0.05</v>
      </c>
      <c r="K68" s="9">
        <v>76.07</v>
      </c>
      <c r="L68" s="7" t="s">
        <v>13</v>
      </c>
    </row>
    <row r="69" ht="15.75" customHeight="1">
      <c r="A69" s="6">
        <v>10273.0</v>
      </c>
      <c r="B69" s="7" t="s">
        <v>36</v>
      </c>
      <c r="C69" s="8">
        <v>44778.0</v>
      </c>
      <c r="D69" s="8">
        <v>44806.0</v>
      </c>
      <c r="E69" s="8">
        <v>44785.0</v>
      </c>
      <c r="F69" s="8">
        <v>44791.0</v>
      </c>
      <c r="G69" s="6">
        <v>33.0</v>
      </c>
      <c r="H69" s="9">
        <v>2.0</v>
      </c>
      <c r="I69" s="10">
        <v>20.0</v>
      </c>
      <c r="J69" s="11">
        <v>0.0</v>
      </c>
      <c r="K69" s="9">
        <v>76.07</v>
      </c>
      <c r="L69" s="7" t="s">
        <v>13</v>
      </c>
    </row>
    <row r="70" ht="15.75" customHeight="1">
      <c r="A70" s="6">
        <v>10273.0</v>
      </c>
      <c r="B70" s="7" t="s">
        <v>36</v>
      </c>
      <c r="C70" s="8">
        <v>44778.0</v>
      </c>
      <c r="D70" s="8">
        <v>44806.0</v>
      </c>
      <c r="E70" s="8">
        <v>44785.0</v>
      </c>
      <c r="F70" s="8">
        <v>44791.0</v>
      </c>
      <c r="G70" s="6">
        <v>40.0</v>
      </c>
      <c r="H70" s="9">
        <v>14.7</v>
      </c>
      <c r="I70" s="10">
        <v>60.0</v>
      </c>
      <c r="J70" s="11">
        <v>0.05</v>
      </c>
      <c r="K70" s="9">
        <v>76.07</v>
      </c>
      <c r="L70" s="7" t="s">
        <v>13</v>
      </c>
    </row>
    <row r="71" ht="15.75" customHeight="1">
      <c r="A71" s="6">
        <v>10273.0</v>
      </c>
      <c r="B71" s="7" t="s">
        <v>36</v>
      </c>
      <c r="C71" s="8">
        <v>44778.0</v>
      </c>
      <c r="D71" s="8">
        <v>44806.0</v>
      </c>
      <c r="E71" s="8">
        <v>44785.0</v>
      </c>
      <c r="F71" s="8">
        <v>44791.0</v>
      </c>
      <c r="G71" s="6">
        <v>76.0</v>
      </c>
      <c r="H71" s="9">
        <v>14.4</v>
      </c>
      <c r="I71" s="10">
        <v>33.0</v>
      </c>
      <c r="J71" s="11">
        <v>0.05</v>
      </c>
      <c r="K71" s="9">
        <v>76.07</v>
      </c>
      <c r="L71" s="7" t="s">
        <v>13</v>
      </c>
    </row>
    <row r="72" ht="15.75" customHeight="1">
      <c r="A72" s="6">
        <v>10274.0</v>
      </c>
      <c r="B72" s="7" t="s">
        <v>12</v>
      </c>
      <c r="C72" s="8">
        <v>44779.0</v>
      </c>
      <c r="D72" s="8">
        <v>44807.0</v>
      </c>
      <c r="E72" s="8">
        <v>44789.0</v>
      </c>
      <c r="F72" s="8">
        <v>44795.0</v>
      </c>
      <c r="G72" s="6">
        <v>71.0</v>
      </c>
      <c r="H72" s="9">
        <v>17.2</v>
      </c>
      <c r="I72" s="10">
        <v>20.0</v>
      </c>
      <c r="J72" s="11">
        <v>0.0</v>
      </c>
      <c r="K72" s="9">
        <v>6.01</v>
      </c>
      <c r="L72" s="7" t="s">
        <v>15</v>
      </c>
    </row>
    <row r="73" ht="15.75" customHeight="1">
      <c r="A73" s="6">
        <v>10274.0</v>
      </c>
      <c r="B73" s="7" t="s">
        <v>12</v>
      </c>
      <c r="C73" s="8">
        <v>44779.0</v>
      </c>
      <c r="D73" s="8">
        <v>44807.0</v>
      </c>
      <c r="E73" s="8">
        <v>44789.0</v>
      </c>
      <c r="F73" s="8">
        <v>44795.0</v>
      </c>
      <c r="G73" s="6">
        <v>72.0</v>
      </c>
      <c r="H73" s="9">
        <v>27.8</v>
      </c>
      <c r="I73" s="10">
        <v>7.0</v>
      </c>
      <c r="J73" s="11">
        <v>0.0</v>
      </c>
      <c r="K73" s="9">
        <v>6.01</v>
      </c>
      <c r="L73" s="7" t="s">
        <v>15</v>
      </c>
    </row>
    <row r="74" ht="15.75" customHeight="1">
      <c r="A74" s="6">
        <v>10275.0</v>
      </c>
      <c r="B74" s="7" t="s">
        <v>37</v>
      </c>
      <c r="C74" s="8">
        <v>44780.0</v>
      </c>
      <c r="D74" s="8">
        <v>44808.0</v>
      </c>
      <c r="E74" s="8">
        <v>44782.0</v>
      </c>
      <c r="F74" s="8">
        <v>44790.0</v>
      </c>
      <c r="G74" s="6">
        <v>24.0</v>
      </c>
      <c r="H74" s="9">
        <v>3.6</v>
      </c>
      <c r="I74" s="10">
        <v>12.0</v>
      </c>
      <c r="J74" s="11">
        <v>0.05</v>
      </c>
      <c r="K74" s="9">
        <v>26.93</v>
      </c>
      <c r="L74" s="7" t="s">
        <v>15</v>
      </c>
    </row>
    <row r="75" ht="15.75" customHeight="1">
      <c r="A75" s="6">
        <v>10275.0</v>
      </c>
      <c r="B75" s="7" t="s">
        <v>37</v>
      </c>
      <c r="C75" s="8">
        <v>44780.0</v>
      </c>
      <c r="D75" s="8">
        <v>44808.0</v>
      </c>
      <c r="E75" s="8">
        <v>44782.0</v>
      </c>
      <c r="F75" s="8">
        <v>44790.0</v>
      </c>
      <c r="G75" s="6">
        <v>59.0</v>
      </c>
      <c r="H75" s="9">
        <v>44.0</v>
      </c>
      <c r="I75" s="10">
        <v>6.0</v>
      </c>
      <c r="J75" s="11">
        <v>0.05</v>
      </c>
      <c r="K75" s="9">
        <v>26.93</v>
      </c>
      <c r="L75" s="7" t="s">
        <v>15</v>
      </c>
    </row>
    <row r="76" ht="15.75" customHeight="1">
      <c r="A76" s="6">
        <v>10276.0</v>
      </c>
      <c r="B76" s="7" t="s">
        <v>38</v>
      </c>
      <c r="C76" s="8">
        <v>44781.0</v>
      </c>
      <c r="D76" s="8">
        <v>44795.0</v>
      </c>
      <c r="E76" s="8">
        <v>44787.0</v>
      </c>
      <c r="F76" s="8">
        <v>44801.0</v>
      </c>
      <c r="G76" s="6">
        <v>10.0</v>
      </c>
      <c r="H76" s="9">
        <v>24.8</v>
      </c>
      <c r="I76" s="10">
        <v>15.0</v>
      </c>
      <c r="J76" s="11">
        <v>0.0</v>
      </c>
      <c r="K76" s="9">
        <v>13.84</v>
      </c>
      <c r="L76" s="7" t="s">
        <v>13</v>
      </c>
    </row>
    <row r="77" ht="15.75" customHeight="1">
      <c r="A77" s="6">
        <v>10276.0</v>
      </c>
      <c r="B77" s="7" t="s">
        <v>38</v>
      </c>
      <c r="C77" s="8">
        <v>44781.0</v>
      </c>
      <c r="D77" s="8">
        <v>44795.0</v>
      </c>
      <c r="E77" s="8">
        <v>44787.0</v>
      </c>
      <c r="F77" s="8">
        <v>44801.0</v>
      </c>
      <c r="G77" s="6">
        <v>13.0</v>
      </c>
      <c r="H77" s="9">
        <v>4.8</v>
      </c>
      <c r="I77" s="10">
        <v>10.0</v>
      </c>
      <c r="J77" s="11">
        <v>0.0</v>
      </c>
      <c r="K77" s="9">
        <v>13.84</v>
      </c>
      <c r="L77" s="7" t="s">
        <v>13</v>
      </c>
    </row>
    <row r="78" ht="15.75" customHeight="1">
      <c r="A78" s="6">
        <v>10277.0</v>
      </c>
      <c r="B78" s="7" t="s">
        <v>39</v>
      </c>
      <c r="C78" s="8">
        <v>44782.0</v>
      </c>
      <c r="D78" s="8">
        <v>44810.0</v>
      </c>
      <c r="E78" s="8">
        <v>44786.0</v>
      </c>
      <c r="F78" s="8">
        <v>44793.0</v>
      </c>
      <c r="G78" s="6">
        <v>28.0</v>
      </c>
      <c r="H78" s="9">
        <v>36.4</v>
      </c>
      <c r="I78" s="10">
        <v>20.0</v>
      </c>
      <c r="J78" s="11">
        <v>0.0</v>
      </c>
      <c r="K78" s="9">
        <v>125.77</v>
      </c>
      <c r="L78" s="7" t="s">
        <v>13</v>
      </c>
    </row>
    <row r="79" ht="15.75" customHeight="1">
      <c r="A79" s="6">
        <v>10277.0</v>
      </c>
      <c r="B79" s="7" t="s">
        <v>39</v>
      </c>
      <c r="C79" s="8">
        <v>44782.0</v>
      </c>
      <c r="D79" s="8">
        <v>44810.0</v>
      </c>
      <c r="E79" s="8">
        <v>44786.0</v>
      </c>
      <c r="F79" s="8">
        <v>44793.0</v>
      </c>
      <c r="G79" s="6">
        <v>62.0</v>
      </c>
      <c r="H79" s="9">
        <v>39.4</v>
      </c>
      <c r="I79" s="10">
        <v>12.0</v>
      </c>
      <c r="J79" s="11">
        <v>0.0</v>
      </c>
      <c r="K79" s="9">
        <v>125.77</v>
      </c>
      <c r="L79" s="7" t="s">
        <v>13</v>
      </c>
    </row>
    <row r="80" ht="15.75" customHeight="1">
      <c r="A80" s="6">
        <v>10278.0</v>
      </c>
      <c r="B80" s="7" t="s">
        <v>40</v>
      </c>
      <c r="C80" s="8">
        <v>44785.0</v>
      </c>
      <c r="D80" s="8">
        <v>44813.0</v>
      </c>
      <c r="E80" s="8">
        <v>44789.0</v>
      </c>
      <c r="F80" s="8">
        <v>44799.0</v>
      </c>
      <c r="G80" s="6">
        <v>44.0</v>
      </c>
      <c r="H80" s="9">
        <v>15.5</v>
      </c>
      <c r="I80" s="10">
        <v>16.0</v>
      </c>
      <c r="J80" s="11">
        <v>0.0</v>
      </c>
      <c r="K80" s="9">
        <v>92.69</v>
      </c>
      <c r="L80" s="7" t="s">
        <v>17</v>
      </c>
    </row>
    <row r="81" ht="15.75" customHeight="1">
      <c r="A81" s="6">
        <v>10278.0</v>
      </c>
      <c r="B81" s="7" t="s">
        <v>40</v>
      </c>
      <c r="C81" s="8">
        <v>44785.0</v>
      </c>
      <c r="D81" s="8">
        <v>44813.0</v>
      </c>
      <c r="E81" s="8">
        <v>44789.0</v>
      </c>
      <c r="F81" s="8">
        <v>44799.0</v>
      </c>
      <c r="G81" s="6">
        <v>59.0</v>
      </c>
      <c r="H81" s="9">
        <v>44.0</v>
      </c>
      <c r="I81" s="10">
        <v>15.0</v>
      </c>
      <c r="J81" s="11">
        <v>0.0</v>
      </c>
      <c r="K81" s="9">
        <v>92.69</v>
      </c>
      <c r="L81" s="7" t="s">
        <v>17</v>
      </c>
    </row>
    <row r="82" ht="15.75" customHeight="1">
      <c r="A82" s="6">
        <v>10278.0</v>
      </c>
      <c r="B82" s="7" t="s">
        <v>40</v>
      </c>
      <c r="C82" s="8">
        <v>44785.0</v>
      </c>
      <c r="D82" s="8">
        <v>44813.0</v>
      </c>
      <c r="E82" s="8">
        <v>44789.0</v>
      </c>
      <c r="F82" s="8">
        <v>44799.0</v>
      </c>
      <c r="G82" s="6">
        <v>63.0</v>
      </c>
      <c r="H82" s="9">
        <v>35.1</v>
      </c>
      <c r="I82" s="10">
        <v>8.0</v>
      </c>
      <c r="J82" s="11">
        <v>0.0</v>
      </c>
      <c r="K82" s="9">
        <v>92.69</v>
      </c>
      <c r="L82" s="7" t="s">
        <v>17</v>
      </c>
    </row>
    <row r="83" ht="15.75" customHeight="1">
      <c r="A83" s="6">
        <v>10278.0</v>
      </c>
      <c r="B83" s="7" t="s">
        <v>40</v>
      </c>
      <c r="C83" s="8">
        <v>44785.0</v>
      </c>
      <c r="D83" s="8">
        <v>44813.0</v>
      </c>
      <c r="E83" s="8">
        <v>44789.0</v>
      </c>
      <c r="F83" s="8">
        <v>44799.0</v>
      </c>
      <c r="G83" s="6">
        <v>73.0</v>
      </c>
      <c r="H83" s="9">
        <v>12.0</v>
      </c>
      <c r="I83" s="10">
        <v>25.0</v>
      </c>
      <c r="J83" s="11">
        <v>0.0</v>
      </c>
      <c r="K83" s="9">
        <v>92.69</v>
      </c>
      <c r="L83" s="7" t="s">
        <v>17</v>
      </c>
    </row>
    <row r="84" ht="15.75" customHeight="1">
      <c r="A84" s="6">
        <v>10279.0</v>
      </c>
      <c r="B84" s="7" t="s">
        <v>41</v>
      </c>
      <c r="C84" s="8">
        <v>44786.0</v>
      </c>
      <c r="D84" s="8">
        <v>44814.0</v>
      </c>
      <c r="E84" s="8">
        <v>44789.0</v>
      </c>
      <c r="F84" s="8">
        <v>44796.0</v>
      </c>
      <c r="G84" s="6">
        <v>17.0</v>
      </c>
      <c r="H84" s="9">
        <v>31.2</v>
      </c>
      <c r="I84" s="10">
        <v>15.0</v>
      </c>
      <c r="J84" s="11">
        <v>0.25</v>
      </c>
      <c r="K84" s="9">
        <v>25.83</v>
      </c>
      <c r="L84" s="7" t="s">
        <v>17</v>
      </c>
    </row>
    <row r="85" ht="15.75" customHeight="1">
      <c r="A85" s="6">
        <v>10280.0</v>
      </c>
      <c r="B85" s="7" t="s">
        <v>40</v>
      </c>
      <c r="C85" s="8">
        <v>44787.0</v>
      </c>
      <c r="D85" s="8">
        <v>44815.0</v>
      </c>
      <c r="E85" s="8">
        <v>44816.0</v>
      </c>
      <c r="F85" s="8">
        <v>44826.0</v>
      </c>
      <c r="G85" s="6">
        <v>24.0</v>
      </c>
      <c r="H85" s="9">
        <v>3.6</v>
      </c>
      <c r="I85" s="10">
        <v>12.0</v>
      </c>
      <c r="J85" s="11">
        <v>0.0</v>
      </c>
      <c r="K85" s="9">
        <v>8.98</v>
      </c>
      <c r="L85" s="7" t="s">
        <v>15</v>
      </c>
    </row>
    <row r="86" ht="15.75" customHeight="1">
      <c r="A86" s="6">
        <v>10280.0</v>
      </c>
      <c r="B86" s="7" t="s">
        <v>40</v>
      </c>
      <c r="C86" s="8">
        <v>44787.0</v>
      </c>
      <c r="D86" s="8">
        <v>44815.0</v>
      </c>
      <c r="E86" s="8">
        <v>44816.0</v>
      </c>
      <c r="F86" s="8">
        <v>44826.0</v>
      </c>
      <c r="G86" s="6">
        <v>55.0</v>
      </c>
      <c r="H86" s="9">
        <v>19.2</v>
      </c>
      <c r="I86" s="10">
        <v>20.0</v>
      </c>
      <c r="J86" s="11">
        <v>0.0</v>
      </c>
      <c r="K86" s="9">
        <v>8.98</v>
      </c>
      <c r="L86" s="7" t="s">
        <v>15</v>
      </c>
    </row>
    <row r="87" ht="15.75" customHeight="1">
      <c r="A87" s="6">
        <v>10280.0</v>
      </c>
      <c r="B87" s="7" t="s">
        <v>40</v>
      </c>
      <c r="C87" s="8">
        <v>44787.0</v>
      </c>
      <c r="D87" s="8">
        <v>44815.0</v>
      </c>
      <c r="E87" s="8">
        <v>44816.0</v>
      </c>
      <c r="F87" s="8">
        <v>44826.0</v>
      </c>
      <c r="G87" s="6">
        <v>75.0</v>
      </c>
      <c r="H87" s="9">
        <v>6.2</v>
      </c>
      <c r="I87" s="10">
        <v>30.0</v>
      </c>
      <c r="J87" s="11">
        <v>0.0</v>
      </c>
      <c r="K87" s="9">
        <v>8.98</v>
      </c>
      <c r="L87" s="7" t="s">
        <v>15</v>
      </c>
    </row>
    <row r="88" ht="15.75" customHeight="1">
      <c r="A88" s="6">
        <v>10281.0</v>
      </c>
      <c r="B88" s="7" t="s">
        <v>42</v>
      </c>
      <c r="C88" s="8">
        <v>44787.0</v>
      </c>
      <c r="D88" s="8">
        <v>44801.0</v>
      </c>
      <c r="E88" s="8">
        <v>44794.0</v>
      </c>
      <c r="F88" s="8">
        <v>44803.0</v>
      </c>
      <c r="G88" s="6">
        <v>19.0</v>
      </c>
      <c r="H88" s="9">
        <v>7.3</v>
      </c>
      <c r="I88" s="10">
        <v>1.0</v>
      </c>
      <c r="J88" s="11">
        <v>0.0</v>
      </c>
      <c r="K88" s="9">
        <v>2.94</v>
      </c>
      <c r="L88" s="7" t="s">
        <v>15</v>
      </c>
    </row>
    <row r="89" ht="15.75" customHeight="1">
      <c r="A89" s="6">
        <v>10281.0</v>
      </c>
      <c r="B89" s="7" t="s">
        <v>42</v>
      </c>
      <c r="C89" s="8">
        <v>44787.0</v>
      </c>
      <c r="D89" s="8">
        <v>44801.0</v>
      </c>
      <c r="E89" s="8">
        <v>44794.0</v>
      </c>
      <c r="F89" s="8">
        <v>44803.0</v>
      </c>
      <c r="G89" s="6">
        <v>24.0</v>
      </c>
      <c r="H89" s="9">
        <v>3.6</v>
      </c>
      <c r="I89" s="10">
        <v>6.0</v>
      </c>
      <c r="J89" s="11">
        <v>0.0</v>
      </c>
      <c r="K89" s="9">
        <v>2.94</v>
      </c>
      <c r="L89" s="7" t="s">
        <v>15</v>
      </c>
    </row>
    <row r="90" ht="15.75" customHeight="1">
      <c r="A90" s="6">
        <v>10281.0</v>
      </c>
      <c r="B90" s="7" t="s">
        <v>42</v>
      </c>
      <c r="C90" s="8">
        <v>44787.0</v>
      </c>
      <c r="D90" s="8">
        <v>44801.0</v>
      </c>
      <c r="E90" s="8">
        <v>44794.0</v>
      </c>
      <c r="F90" s="8">
        <v>44803.0</v>
      </c>
      <c r="G90" s="6">
        <v>35.0</v>
      </c>
      <c r="H90" s="9">
        <v>14.4</v>
      </c>
      <c r="I90" s="10">
        <v>4.0</v>
      </c>
      <c r="J90" s="11">
        <v>0.0</v>
      </c>
      <c r="K90" s="9">
        <v>2.94</v>
      </c>
      <c r="L90" s="7" t="s">
        <v>15</v>
      </c>
    </row>
    <row r="91" ht="15.75" customHeight="1">
      <c r="A91" s="6">
        <v>10282.0</v>
      </c>
      <c r="B91" s="7" t="s">
        <v>42</v>
      </c>
      <c r="C91" s="8">
        <v>44788.0</v>
      </c>
      <c r="D91" s="8">
        <v>44816.0</v>
      </c>
      <c r="E91" s="8">
        <v>44794.0</v>
      </c>
      <c r="F91" s="8">
        <v>44800.0</v>
      </c>
      <c r="G91" s="6">
        <v>30.0</v>
      </c>
      <c r="H91" s="9">
        <v>20.7</v>
      </c>
      <c r="I91" s="10">
        <v>6.0</v>
      </c>
      <c r="J91" s="11">
        <v>0.0</v>
      </c>
      <c r="K91" s="9">
        <v>12.69</v>
      </c>
      <c r="L91" s="7" t="s">
        <v>15</v>
      </c>
    </row>
    <row r="92" ht="15.75" customHeight="1">
      <c r="A92" s="6">
        <v>10282.0</v>
      </c>
      <c r="B92" s="7" t="s">
        <v>42</v>
      </c>
      <c r="C92" s="8">
        <v>44788.0</v>
      </c>
      <c r="D92" s="8">
        <v>44816.0</v>
      </c>
      <c r="E92" s="8">
        <v>44794.0</v>
      </c>
      <c r="F92" s="8">
        <v>44800.0</v>
      </c>
      <c r="G92" s="6">
        <v>57.0</v>
      </c>
      <c r="H92" s="9">
        <v>15.6</v>
      </c>
      <c r="I92" s="10">
        <v>2.0</v>
      </c>
      <c r="J92" s="11">
        <v>0.0</v>
      </c>
      <c r="K92" s="9">
        <v>12.69</v>
      </c>
      <c r="L92" s="7" t="s">
        <v>15</v>
      </c>
    </row>
    <row r="93" ht="15.75" customHeight="1">
      <c r="A93" s="6">
        <v>10283.0</v>
      </c>
      <c r="B93" s="7" t="s">
        <v>43</v>
      </c>
      <c r="C93" s="8">
        <v>44789.0</v>
      </c>
      <c r="D93" s="8">
        <v>44817.0</v>
      </c>
      <c r="E93" s="8">
        <v>44796.0</v>
      </c>
      <c r="F93" s="8">
        <v>44808.0</v>
      </c>
      <c r="G93" s="6">
        <v>15.0</v>
      </c>
      <c r="H93" s="9">
        <v>12.4</v>
      </c>
      <c r="I93" s="10">
        <v>20.0</v>
      </c>
      <c r="J93" s="11">
        <v>0.0</v>
      </c>
      <c r="K93" s="9">
        <v>84.81</v>
      </c>
      <c r="L93" s="7" t="s">
        <v>13</v>
      </c>
    </row>
    <row r="94" ht="15.75" customHeight="1">
      <c r="A94" s="6">
        <v>10283.0</v>
      </c>
      <c r="B94" s="7" t="s">
        <v>43</v>
      </c>
      <c r="C94" s="8">
        <v>44789.0</v>
      </c>
      <c r="D94" s="8">
        <v>44817.0</v>
      </c>
      <c r="E94" s="8">
        <v>44796.0</v>
      </c>
      <c r="F94" s="8">
        <v>44808.0</v>
      </c>
      <c r="G94" s="6">
        <v>19.0</v>
      </c>
      <c r="H94" s="9">
        <v>7.3</v>
      </c>
      <c r="I94" s="10">
        <v>18.0</v>
      </c>
      <c r="J94" s="11">
        <v>0.0</v>
      </c>
      <c r="K94" s="9">
        <v>84.81</v>
      </c>
      <c r="L94" s="7" t="s">
        <v>13</v>
      </c>
    </row>
    <row r="95" ht="15.75" customHeight="1">
      <c r="A95" s="6">
        <v>10283.0</v>
      </c>
      <c r="B95" s="7" t="s">
        <v>43</v>
      </c>
      <c r="C95" s="8">
        <v>44789.0</v>
      </c>
      <c r="D95" s="8">
        <v>44817.0</v>
      </c>
      <c r="E95" s="8">
        <v>44796.0</v>
      </c>
      <c r="F95" s="8">
        <v>44808.0</v>
      </c>
      <c r="G95" s="6">
        <v>60.0</v>
      </c>
      <c r="H95" s="9">
        <v>27.2</v>
      </c>
      <c r="I95" s="10">
        <v>35.0</v>
      </c>
      <c r="J95" s="11">
        <v>0.0</v>
      </c>
      <c r="K95" s="9">
        <v>84.81</v>
      </c>
      <c r="L95" s="7" t="s">
        <v>13</v>
      </c>
    </row>
    <row r="96" ht="15.75" customHeight="1">
      <c r="A96" s="6">
        <v>10283.0</v>
      </c>
      <c r="B96" s="7" t="s">
        <v>43</v>
      </c>
      <c r="C96" s="8">
        <v>44789.0</v>
      </c>
      <c r="D96" s="8">
        <v>44817.0</v>
      </c>
      <c r="E96" s="8">
        <v>44796.0</v>
      </c>
      <c r="F96" s="8">
        <v>44808.0</v>
      </c>
      <c r="G96" s="6">
        <v>72.0</v>
      </c>
      <c r="H96" s="9">
        <v>27.8</v>
      </c>
      <c r="I96" s="10">
        <v>3.0</v>
      </c>
      <c r="J96" s="11">
        <v>0.0</v>
      </c>
      <c r="K96" s="9">
        <v>84.81</v>
      </c>
      <c r="L96" s="7" t="s">
        <v>13</v>
      </c>
    </row>
    <row r="97" ht="15.75" customHeight="1">
      <c r="A97" s="6">
        <v>10284.0</v>
      </c>
      <c r="B97" s="7" t="s">
        <v>41</v>
      </c>
      <c r="C97" s="8">
        <v>44792.0</v>
      </c>
      <c r="D97" s="8">
        <v>44820.0</v>
      </c>
      <c r="E97" s="8">
        <v>44800.0</v>
      </c>
      <c r="F97" s="8">
        <v>44802.0</v>
      </c>
      <c r="G97" s="6">
        <v>27.0</v>
      </c>
      <c r="H97" s="9">
        <v>35.1</v>
      </c>
      <c r="I97" s="10">
        <v>15.0</v>
      </c>
      <c r="J97" s="11">
        <v>0.25</v>
      </c>
      <c r="K97" s="9">
        <v>76.56</v>
      </c>
      <c r="L97" s="7" t="s">
        <v>15</v>
      </c>
    </row>
    <row r="98" ht="15.75" customHeight="1">
      <c r="A98" s="6">
        <v>10284.0</v>
      </c>
      <c r="B98" s="7" t="s">
        <v>41</v>
      </c>
      <c r="C98" s="8">
        <v>44792.0</v>
      </c>
      <c r="D98" s="8">
        <v>44820.0</v>
      </c>
      <c r="E98" s="8">
        <v>44800.0</v>
      </c>
      <c r="F98" s="8">
        <v>44802.0</v>
      </c>
      <c r="G98" s="6">
        <v>44.0</v>
      </c>
      <c r="H98" s="9">
        <v>15.5</v>
      </c>
      <c r="I98" s="10">
        <v>21.0</v>
      </c>
      <c r="J98" s="11">
        <v>0.0</v>
      </c>
      <c r="K98" s="9">
        <v>76.56</v>
      </c>
      <c r="L98" s="7" t="s">
        <v>15</v>
      </c>
    </row>
    <row r="99" ht="15.75" customHeight="1">
      <c r="A99" s="6">
        <v>10284.0</v>
      </c>
      <c r="B99" s="7" t="s">
        <v>41</v>
      </c>
      <c r="C99" s="8">
        <v>44792.0</v>
      </c>
      <c r="D99" s="8">
        <v>44820.0</v>
      </c>
      <c r="E99" s="8">
        <v>44800.0</v>
      </c>
      <c r="F99" s="8">
        <v>44802.0</v>
      </c>
      <c r="G99" s="6">
        <v>60.0</v>
      </c>
      <c r="H99" s="9">
        <v>27.2</v>
      </c>
      <c r="I99" s="10">
        <v>20.0</v>
      </c>
      <c r="J99" s="11">
        <v>0.25</v>
      </c>
      <c r="K99" s="9">
        <v>76.56</v>
      </c>
      <c r="L99" s="7" t="s">
        <v>15</v>
      </c>
    </row>
    <row r="100" ht="15.75" customHeight="1">
      <c r="A100" s="6">
        <v>10284.0</v>
      </c>
      <c r="B100" s="7" t="s">
        <v>41</v>
      </c>
      <c r="C100" s="8">
        <v>44792.0</v>
      </c>
      <c r="D100" s="8">
        <v>44820.0</v>
      </c>
      <c r="E100" s="8">
        <v>44800.0</v>
      </c>
      <c r="F100" s="8">
        <v>44802.0</v>
      </c>
      <c r="G100" s="6">
        <v>67.0</v>
      </c>
      <c r="H100" s="9">
        <v>11.2</v>
      </c>
      <c r="I100" s="10">
        <v>5.0</v>
      </c>
      <c r="J100" s="11">
        <v>0.25</v>
      </c>
      <c r="K100" s="9">
        <v>76.56</v>
      </c>
      <c r="L100" s="7" t="s">
        <v>15</v>
      </c>
    </row>
    <row r="101" ht="15.75" customHeight="1">
      <c r="A101" s="6">
        <v>10285.0</v>
      </c>
      <c r="B101" s="7" t="s">
        <v>36</v>
      </c>
      <c r="C101" s="8">
        <v>44793.0</v>
      </c>
      <c r="D101" s="8">
        <v>44821.0</v>
      </c>
      <c r="E101" s="8">
        <v>44799.0</v>
      </c>
      <c r="F101" s="8">
        <v>44806.0</v>
      </c>
      <c r="G101" s="6">
        <v>1.0</v>
      </c>
      <c r="H101" s="9">
        <v>14.4</v>
      </c>
      <c r="I101" s="10">
        <v>45.0</v>
      </c>
      <c r="J101" s="11">
        <v>0.2</v>
      </c>
      <c r="K101" s="9">
        <v>76.83</v>
      </c>
      <c r="L101" s="7" t="s">
        <v>17</v>
      </c>
    </row>
    <row r="102" ht="15.75" customHeight="1">
      <c r="A102" s="6">
        <v>10285.0</v>
      </c>
      <c r="B102" s="7" t="s">
        <v>36</v>
      </c>
      <c r="C102" s="8">
        <v>44793.0</v>
      </c>
      <c r="D102" s="8">
        <v>44821.0</v>
      </c>
      <c r="E102" s="8">
        <v>44799.0</v>
      </c>
      <c r="F102" s="8">
        <v>44806.0</v>
      </c>
      <c r="G102" s="6">
        <v>40.0</v>
      </c>
      <c r="H102" s="9">
        <v>14.7</v>
      </c>
      <c r="I102" s="10">
        <v>40.0</v>
      </c>
      <c r="J102" s="11">
        <v>0.2</v>
      </c>
      <c r="K102" s="9">
        <v>76.83</v>
      </c>
      <c r="L102" s="7" t="s">
        <v>17</v>
      </c>
    </row>
    <row r="103" ht="15.75" customHeight="1">
      <c r="A103" s="6">
        <v>10285.0</v>
      </c>
      <c r="B103" s="7" t="s">
        <v>36</v>
      </c>
      <c r="C103" s="8">
        <v>44793.0</v>
      </c>
      <c r="D103" s="8">
        <v>44821.0</v>
      </c>
      <c r="E103" s="8">
        <v>44799.0</v>
      </c>
      <c r="F103" s="8">
        <v>44806.0</v>
      </c>
      <c r="G103" s="6">
        <v>53.0</v>
      </c>
      <c r="H103" s="9">
        <v>26.2</v>
      </c>
      <c r="I103" s="10">
        <v>36.0</v>
      </c>
      <c r="J103" s="11">
        <v>0.2</v>
      </c>
      <c r="K103" s="9">
        <v>76.83</v>
      </c>
      <c r="L103" s="7" t="s">
        <v>17</v>
      </c>
    </row>
    <row r="104" ht="15.75" customHeight="1">
      <c r="A104" s="6">
        <v>10286.0</v>
      </c>
      <c r="B104" s="7" t="s">
        <v>36</v>
      </c>
      <c r="C104" s="8">
        <v>44794.0</v>
      </c>
      <c r="D104" s="8">
        <v>44822.0</v>
      </c>
      <c r="E104" s="8">
        <v>44803.0</v>
      </c>
      <c r="F104" s="8">
        <v>44807.0</v>
      </c>
      <c r="G104" s="6">
        <v>35.0</v>
      </c>
      <c r="H104" s="9">
        <v>14.4</v>
      </c>
      <c r="I104" s="10">
        <v>100.0</v>
      </c>
      <c r="J104" s="11">
        <v>0.0</v>
      </c>
      <c r="K104" s="9">
        <v>229.24</v>
      </c>
      <c r="L104" s="7" t="s">
        <v>13</v>
      </c>
    </row>
    <row r="105" ht="15.75" customHeight="1">
      <c r="A105" s="6">
        <v>10286.0</v>
      </c>
      <c r="B105" s="7" t="s">
        <v>36</v>
      </c>
      <c r="C105" s="8">
        <v>44794.0</v>
      </c>
      <c r="D105" s="8">
        <v>44822.0</v>
      </c>
      <c r="E105" s="8">
        <v>44803.0</v>
      </c>
      <c r="F105" s="8">
        <v>44807.0</v>
      </c>
      <c r="G105" s="6">
        <v>62.0</v>
      </c>
      <c r="H105" s="9">
        <v>39.4</v>
      </c>
      <c r="I105" s="10">
        <v>40.0</v>
      </c>
      <c r="J105" s="11">
        <v>0.0</v>
      </c>
      <c r="K105" s="9">
        <v>229.24</v>
      </c>
      <c r="L105" s="7" t="s">
        <v>13</v>
      </c>
    </row>
    <row r="106" ht="15.75" customHeight="1">
      <c r="A106" s="6">
        <v>10287.0</v>
      </c>
      <c r="B106" s="7" t="s">
        <v>44</v>
      </c>
      <c r="C106" s="8">
        <v>44795.0</v>
      </c>
      <c r="D106" s="8">
        <v>44823.0</v>
      </c>
      <c r="E106" s="8">
        <v>44801.0</v>
      </c>
      <c r="F106" s="8">
        <v>44818.0</v>
      </c>
      <c r="G106" s="6">
        <v>16.0</v>
      </c>
      <c r="H106" s="9">
        <v>13.9</v>
      </c>
      <c r="I106" s="10">
        <v>40.0</v>
      </c>
      <c r="J106" s="11">
        <v>0.15</v>
      </c>
      <c r="K106" s="9">
        <v>12.76</v>
      </c>
      <c r="L106" s="7" t="s">
        <v>13</v>
      </c>
    </row>
    <row r="107" ht="15.75" customHeight="1">
      <c r="A107" s="6">
        <v>10287.0</v>
      </c>
      <c r="B107" s="7" t="s">
        <v>44</v>
      </c>
      <c r="C107" s="8">
        <v>44795.0</v>
      </c>
      <c r="D107" s="8">
        <v>44823.0</v>
      </c>
      <c r="E107" s="8">
        <v>44801.0</v>
      </c>
      <c r="F107" s="8">
        <v>44818.0</v>
      </c>
      <c r="G107" s="6">
        <v>34.0</v>
      </c>
      <c r="H107" s="9">
        <v>11.2</v>
      </c>
      <c r="I107" s="10">
        <v>20.0</v>
      </c>
      <c r="J107" s="11">
        <v>0.0</v>
      </c>
      <c r="K107" s="9">
        <v>12.76</v>
      </c>
      <c r="L107" s="7" t="s">
        <v>13</v>
      </c>
    </row>
    <row r="108" ht="15.75" customHeight="1">
      <c r="A108" s="6">
        <v>10287.0</v>
      </c>
      <c r="B108" s="7" t="s">
        <v>44</v>
      </c>
      <c r="C108" s="8">
        <v>44795.0</v>
      </c>
      <c r="D108" s="8">
        <v>44823.0</v>
      </c>
      <c r="E108" s="8">
        <v>44801.0</v>
      </c>
      <c r="F108" s="8">
        <v>44818.0</v>
      </c>
      <c r="G108" s="6">
        <v>46.0</v>
      </c>
      <c r="H108" s="9">
        <v>9.6</v>
      </c>
      <c r="I108" s="10">
        <v>15.0</v>
      </c>
      <c r="J108" s="11">
        <v>0.15</v>
      </c>
      <c r="K108" s="9">
        <v>12.76</v>
      </c>
      <c r="L108" s="7" t="s">
        <v>13</v>
      </c>
    </row>
    <row r="109" ht="15.75" customHeight="1">
      <c r="A109" s="6">
        <v>10288.0</v>
      </c>
      <c r="B109" s="7" t="s">
        <v>45</v>
      </c>
      <c r="C109" s="8">
        <v>44796.0</v>
      </c>
      <c r="D109" s="8">
        <v>44824.0</v>
      </c>
      <c r="E109" s="8">
        <v>44807.0</v>
      </c>
      <c r="F109" s="8">
        <v>44815.0</v>
      </c>
      <c r="G109" s="6">
        <v>54.0</v>
      </c>
      <c r="H109" s="9">
        <v>5.9</v>
      </c>
      <c r="I109" s="10">
        <v>10.0</v>
      </c>
      <c r="J109" s="11">
        <v>0.1</v>
      </c>
      <c r="K109" s="9">
        <v>7.45</v>
      </c>
      <c r="L109" s="7" t="s">
        <v>15</v>
      </c>
    </row>
    <row r="110" ht="15.75" customHeight="1">
      <c r="A110" s="6">
        <v>10288.0</v>
      </c>
      <c r="B110" s="7" t="s">
        <v>45</v>
      </c>
      <c r="C110" s="8">
        <v>44796.0</v>
      </c>
      <c r="D110" s="8">
        <v>44824.0</v>
      </c>
      <c r="E110" s="8">
        <v>44807.0</v>
      </c>
      <c r="F110" s="8">
        <v>44815.0</v>
      </c>
      <c r="G110" s="6">
        <v>68.0</v>
      </c>
      <c r="H110" s="9">
        <v>10.0</v>
      </c>
      <c r="I110" s="10">
        <v>3.0</v>
      </c>
      <c r="J110" s="11">
        <v>0.1</v>
      </c>
      <c r="K110" s="9">
        <v>7.45</v>
      </c>
      <c r="L110" s="7" t="s">
        <v>15</v>
      </c>
    </row>
    <row r="111" ht="15.75" customHeight="1">
      <c r="A111" s="6">
        <v>10289.0</v>
      </c>
      <c r="B111" s="7" t="s">
        <v>46</v>
      </c>
      <c r="C111" s="8">
        <v>44799.0</v>
      </c>
      <c r="D111" s="8">
        <v>44827.0</v>
      </c>
      <c r="E111" s="8">
        <v>44801.0</v>
      </c>
      <c r="F111" s="8">
        <v>44806.0</v>
      </c>
      <c r="G111" s="6">
        <v>3.0</v>
      </c>
      <c r="H111" s="9">
        <v>8.0</v>
      </c>
      <c r="I111" s="10">
        <v>30.0</v>
      </c>
      <c r="J111" s="11">
        <v>0.0</v>
      </c>
      <c r="K111" s="9">
        <v>22.77</v>
      </c>
      <c r="L111" s="7" t="s">
        <v>13</v>
      </c>
    </row>
    <row r="112" ht="15.75" customHeight="1">
      <c r="A112" s="6">
        <v>10289.0</v>
      </c>
      <c r="B112" s="7" t="s">
        <v>46</v>
      </c>
      <c r="C112" s="8">
        <v>44799.0</v>
      </c>
      <c r="D112" s="8">
        <v>44827.0</v>
      </c>
      <c r="E112" s="8">
        <v>44801.0</v>
      </c>
      <c r="F112" s="8">
        <v>44806.0</v>
      </c>
      <c r="G112" s="6">
        <v>64.0</v>
      </c>
      <c r="H112" s="9">
        <v>26.6</v>
      </c>
      <c r="I112" s="10">
        <v>9.0</v>
      </c>
      <c r="J112" s="11">
        <v>0.0</v>
      </c>
      <c r="K112" s="9">
        <v>22.77</v>
      </c>
      <c r="L112" s="7" t="s">
        <v>13</v>
      </c>
    </row>
    <row r="113" ht="15.75" customHeight="1">
      <c r="A113" s="6">
        <v>10290.0</v>
      </c>
      <c r="B113" s="7" t="s">
        <v>47</v>
      </c>
      <c r="C113" s="8">
        <v>44800.0</v>
      </c>
      <c r="D113" s="8">
        <v>44828.0</v>
      </c>
      <c r="E113" s="8">
        <v>44807.0</v>
      </c>
      <c r="F113" s="8">
        <v>44821.0</v>
      </c>
      <c r="G113" s="6">
        <v>5.0</v>
      </c>
      <c r="H113" s="9">
        <v>17.0</v>
      </c>
      <c r="I113" s="10">
        <v>20.0</v>
      </c>
      <c r="J113" s="11">
        <v>0.0</v>
      </c>
      <c r="K113" s="9">
        <v>79.7</v>
      </c>
      <c r="L113" s="7" t="s">
        <v>15</v>
      </c>
    </row>
    <row r="114" ht="15.75" customHeight="1">
      <c r="A114" s="6">
        <v>10290.0</v>
      </c>
      <c r="B114" s="7" t="s">
        <v>47</v>
      </c>
      <c r="C114" s="8">
        <v>44800.0</v>
      </c>
      <c r="D114" s="8">
        <v>44828.0</v>
      </c>
      <c r="E114" s="8">
        <v>44807.0</v>
      </c>
      <c r="F114" s="8">
        <v>44821.0</v>
      </c>
      <c r="G114" s="6">
        <v>29.0</v>
      </c>
      <c r="H114" s="9">
        <v>99.0</v>
      </c>
      <c r="I114" s="10">
        <v>15.0</v>
      </c>
      <c r="J114" s="11">
        <v>0.0</v>
      </c>
      <c r="K114" s="9">
        <v>79.7</v>
      </c>
      <c r="L114" s="7" t="s">
        <v>15</v>
      </c>
    </row>
    <row r="115" ht="15.75" customHeight="1">
      <c r="A115" s="6">
        <v>10290.0</v>
      </c>
      <c r="B115" s="7" t="s">
        <v>47</v>
      </c>
      <c r="C115" s="8">
        <v>44800.0</v>
      </c>
      <c r="D115" s="8">
        <v>44828.0</v>
      </c>
      <c r="E115" s="8">
        <v>44807.0</v>
      </c>
      <c r="F115" s="8">
        <v>44821.0</v>
      </c>
      <c r="G115" s="6">
        <v>49.0</v>
      </c>
      <c r="H115" s="9">
        <v>16.0</v>
      </c>
      <c r="I115" s="10">
        <v>15.0</v>
      </c>
      <c r="J115" s="11">
        <v>0.0</v>
      </c>
      <c r="K115" s="9">
        <v>79.7</v>
      </c>
      <c r="L115" s="7" t="s">
        <v>15</v>
      </c>
    </row>
    <row r="116" ht="15.75" customHeight="1">
      <c r="A116" s="6">
        <v>10290.0</v>
      </c>
      <c r="B116" s="7" t="s">
        <v>47</v>
      </c>
      <c r="C116" s="8">
        <v>44800.0</v>
      </c>
      <c r="D116" s="8">
        <v>44828.0</v>
      </c>
      <c r="E116" s="8">
        <v>44807.0</v>
      </c>
      <c r="F116" s="8">
        <v>44821.0</v>
      </c>
      <c r="G116" s="6">
        <v>77.0</v>
      </c>
      <c r="H116" s="9">
        <v>10.4</v>
      </c>
      <c r="I116" s="10">
        <v>10.0</v>
      </c>
      <c r="J116" s="11">
        <v>0.0</v>
      </c>
      <c r="K116" s="9">
        <v>79.7</v>
      </c>
      <c r="L116" s="7" t="s">
        <v>15</v>
      </c>
    </row>
    <row r="117" ht="15.75" customHeight="1">
      <c r="A117" s="6">
        <v>10291.0</v>
      </c>
      <c r="B117" s="7" t="s">
        <v>27</v>
      </c>
      <c r="C117" s="8">
        <v>44800.0</v>
      </c>
      <c r="D117" s="8">
        <v>44828.0</v>
      </c>
      <c r="E117" s="8">
        <v>44808.0</v>
      </c>
      <c r="F117" s="8">
        <v>44825.0</v>
      </c>
      <c r="G117" s="6">
        <v>13.0</v>
      </c>
      <c r="H117" s="9">
        <v>4.8</v>
      </c>
      <c r="I117" s="10">
        <v>20.0</v>
      </c>
      <c r="J117" s="11">
        <v>0.1</v>
      </c>
      <c r="K117" s="9">
        <v>6.4</v>
      </c>
      <c r="L117" s="7" t="s">
        <v>17</v>
      </c>
    </row>
    <row r="118" ht="15.75" customHeight="1">
      <c r="A118" s="6">
        <v>10291.0</v>
      </c>
      <c r="B118" s="7" t="s">
        <v>27</v>
      </c>
      <c r="C118" s="8">
        <v>44800.0</v>
      </c>
      <c r="D118" s="8">
        <v>44828.0</v>
      </c>
      <c r="E118" s="8">
        <v>44808.0</v>
      </c>
      <c r="F118" s="8">
        <v>44825.0</v>
      </c>
      <c r="G118" s="6">
        <v>44.0</v>
      </c>
      <c r="H118" s="9">
        <v>15.5</v>
      </c>
      <c r="I118" s="10">
        <v>24.0</v>
      </c>
      <c r="J118" s="11">
        <v>0.1</v>
      </c>
      <c r="K118" s="9">
        <v>6.4</v>
      </c>
      <c r="L118" s="7" t="s">
        <v>17</v>
      </c>
    </row>
    <row r="119" ht="15.75" customHeight="1">
      <c r="A119" s="6">
        <v>10291.0</v>
      </c>
      <c r="B119" s="7" t="s">
        <v>27</v>
      </c>
      <c r="C119" s="8">
        <v>44800.0</v>
      </c>
      <c r="D119" s="8">
        <v>44828.0</v>
      </c>
      <c r="E119" s="8">
        <v>44808.0</v>
      </c>
      <c r="F119" s="8">
        <v>44825.0</v>
      </c>
      <c r="G119" s="6">
        <v>51.0</v>
      </c>
      <c r="H119" s="9">
        <v>42.4</v>
      </c>
      <c r="I119" s="10">
        <v>2.0</v>
      </c>
      <c r="J119" s="11">
        <v>0.1</v>
      </c>
      <c r="K119" s="9">
        <v>6.4</v>
      </c>
      <c r="L119" s="7" t="s">
        <v>17</v>
      </c>
    </row>
    <row r="120" ht="15.75" customHeight="1">
      <c r="A120" s="6">
        <v>10292.0</v>
      </c>
      <c r="B120" s="7" t="s">
        <v>48</v>
      </c>
      <c r="C120" s="8">
        <v>44801.0</v>
      </c>
      <c r="D120" s="8">
        <v>44829.0</v>
      </c>
      <c r="E120" s="8">
        <v>44806.0</v>
      </c>
      <c r="F120" s="8">
        <v>44823.0</v>
      </c>
      <c r="G120" s="6">
        <v>20.0</v>
      </c>
      <c r="H120" s="9">
        <v>64.8</v>
      </c>
      <c r="I120" s="10">
        <v>20.0</v>
      </c>
      <c r="J120" s="11">
        <v>0.0</v>
      </c>
      <c r="K120" s="9">
        <v>1.35</v>
      </c>
      <c r="L120" s="7" t="s">
        <v>17</v>
      </c>
    </row>
    <row r="121" ht="15.75" customHeight="1">
      <c r="A121" s="6">
        <v>10293.0</v>
      </c>
      <c r="B121" s="7" t="s">
        <v>38</v>
      </c>
      <c r="C121" s="8">
        <v>44802.0</v>
      </c>
      <c r="D121" s="8">
        <v>44830.0</v>
      </c>
      <c r="E121" s="8">
        <v>44815.0</v>
      </c>
      <c r="F121" s="8">
        <v>44827.0</v>
      </c>
      <c r="G121" s="6">
        <v>18.0</v>
      </c>
      <c r="H121" s="9">
        <v>50.0</v>
      </c>
      <c r="I121" s="10">
        <v>12.0</v>
      </c>
      <c r="J121" s="11">
        <v>0.0</v>
      </c>
      <c r="K121" s="9">
        <v>21.18</v>
      </c>
      <c r="L121" s="7" t="s">
        <v>13</v>
      </c>
    </row>
    <row r="122" ht="15.75" customHeight="1">
      <c r="A122" s="6">
        <v>10293.0</v>
      </c>
      <c r="B122" s="7" t="s">
        <v>38</v>
      </c>
      <c r="C122" s="8">
        <v>44802.0</v>
      </c>
      <c r="D122" s="8">
        <v>44830.0</v>
      </c>
      <c r="E122" s="8">
        <v>44815.0</v>
      </c>
      <c r="F122" s="8">
        <v>44827.0</v>
      </c>
      <c r="G122" s="6">
        <v>24.0</v>
      </c>
      <c r="H122" s="9">
        <v>3.6</v>
      </c>
      <c r="I122" s="10">
        <v>10.0</v>
      </c>
      <c r="J122" s="11">
        <v>0.0</v>
      </c>
      <c r="K122" s="9">
        <v>21.18</v>
      </c>
      <c r="L122" s="7" t="s">
        <v>13</v>
      </c>
    </row>
    <row r="123" ht="15.75" customHeight="1">
      <c r="A123" s="6">
        <v>10293.0</v>
      </c>
      <c r="B123" s="7" t="s">
        <v>38</v>
      </c>
      <c r="C123" s="8">
        <v>44802.0</v>
      </c>
      <c r="D123" s="8">
        <v>44830.0</v>
      </c>
      <c r="E123" s="8">
        <v>44815.0</v>
      </c>
      <c r="F123" s="8">
        <v>44827.0</v>
      </c>
      <c r="G123" s="6">
        <v>63.0</v>
      </c>
      <c r="H123" s="9">
        <v>35.1</v>
      </c>
      <c r="I123" s="10">
        <v>5.0</v>
      </c>
      <c r="J123" s="11">
        <v>0.0</v>
      </c>
      <c r="K123" s="9">
        <v>21.18</v>
      </c>
      <c r="L123" s="7" t="s">
        <v>13</v>
      </c>
    </row>
    <row r="124" ht="15.75" customHeight="1">
      <c r="A124" s="6">
        <v>10293.0</v>
      </c>
      <c r="B124" s="7" t="s">
        <v>38</v>
      </c>
      <c r="C124" s="8">
        <v>44802.0</v>
      </c>
      <c r="D124" s="8">
        <v>44830.0</v>
      </c>
      <c r="E124" s="8">
        <v>44815.0</v>
      </c>
      <c r="F124" s="8">
        <v>44827.0</v>
      </c>
      <c r="G124" s="6">
        <v>75.0</v>
      </c>
      <c r="H124" s="9">
        <v>6.2</v>
      </c>
      <c r="I124" s="10">
        <v>6.0</v>
      </c>
      <c r="J124" s="11">
        <v>0.0</v>
      </c>
      <c r="K124" s="9">
        <v>21.18</v>
      </c>
      <c r="L124" s="7" t="s">
        <v>13</v>
      </c>
    </row>
    <row r="125" ht="15.75" customHeight="1">
      <c r="A125" s="6">
        <v>10294.0</v>
      </c>
      <c r="B125" s="7" t="s">
        <v>28</v>
      </c>
      <c r="C125" s="8">
        <v>44803.0</v>
      </c>
      <c r="D125" s="8">
        <v>44831.0</v>
      </c>
      <c r="E125" s="8">
        <v>44809.0</v>
      </c>
      <c r="F125" s="8">
        <v>44828.0</v>
      </c>
      <c r="G125" s="6">
        <v>1.0</v>
      </c>
      <c r="H125" s="9">
        <v>14.4</v>
      </c>
      <c r="I125" s="10">
        <v>18.0</v>
      </c>
      <c r="J125" s="11">
        <v>0.0</v>
      </c>
      <c r="K125" s="9">
        <v>147.26</v>
      </c>
      <c r="L125" s="7" t="s">
        <v>17</v>
      </c>
    </row>
    <row r="126" ht="15.75" customHeight="1">
      <c r="A126" s="6">
        <v>10294.0</v>
      </c>
      <c r="B126" s="7" t="s">
        <v>28</v>
      </c>
      <c r="C126" s="8">
        <v>44803.0</v>
      </c>
      <c r="D126" s="8">
        <v>44831.0</v>
      </c>
      <c r="E126" s="8">
        <v>44809.0</v>
      </c>
      <c r="F126" s="8">
        <v>44828.0</v>
      </c>
      <c r="G126" s="6">
        <v>17.0</v>
      </c>
      <c r="H126" s="9">
        <v>31.2</v>
      </c>
      <c r="I126" s="10">
        <v>15.0</v>
      </c>
      <c r="J126" s="11">
        <v>0.0</v>
      </c>
      <c r="K126" s="9">
        <v>147.26</v>
      </c>
      <c r="L126" s="7" t="s">
        <v>17</v>
      </c>
    </row>
    <row r="127" ht="15.75" customHeight="1">
      <c r="A127" s="6">
        <v>10294.0</v>
      </c>
      <c r="B127" s="7" t="s">
        <v>28</v>
      </c>
      <c r="C127" s="8">
        <v>44803.0</v>
      </c>
      <c r="D127" s="8">
        <v>44831.0</v>
      </c>
      <c r="E127" s="8">
        <v>44809.0</v>
      </c>
      <c r="F127" s="8">
        <v>44828.0</v>
      </c>
      <c r="G127" s="6">
        <v>43.0</v>
      </c>
      <c r="H127" s="9">
        <v>36.8</v>
      </c>
      <c r="I127" s="10">
        <v>15.0</v>
      </c>
      <c r="J127" s="11">
        <v>0.0</v>
      </c>
      <c r="K127" s="9">
        <v>147.26</v>
      </c>
      <c r="L127" s="7" t="s">
        <v>17</v>
      </c>
    </row>
    <row r="128" ht="15.75" customHeight="1">
      <c r="A128" s="6">
        <v>10294.0</v>
      </c>
      <c r="B128" s="7" t="s">
        <v>28</v>
      </c>
      <c r="C128" s="8">
        <v>44803.0</v>
      </c>
      <c r="D128" s="8">
        <v>44831.0</v>
      </c>
      <c r="E128" s="8">
        <v>44809.0</v>
      </c>
      <c r="F128" s="8">
        <v>44828.0</v>
      </c>
      <c r="G128" s="6">
        <v>60.0</v>
      </c>
      <c r="H128" s="9">
        <v>27.2</v>
      </c>
      <c r="I128" s="10">
        <v>21.0</v>
      </c>
      <c r="J128" s="11">
        <v>0.0</v>
      </c>
      <c r="K128" s="9">
        <v>147.26</v>
      </c>
      <c r="L128" s="7" t="s">
        <v>17</v>
      </c>
    </row>
    <row r="129" ht="15.75" customHeight="1">
      <c r="A129" s="6">
        <v>10294.0</v>
      </c>
      <c r="B129" s="7" t="s">
        <v>28</v>
      </c>
      <c r="C129" s="8">
        <v>44803.0</v>
      </c>
      <c r="D129" s="8">
        <v>44831.0</v>
      </c>
      <c r="E129" s="8">
        <v>44809.0</v>
      </c>
      <c r="F129" s="8">
        <v>44828.0</v>
      </c>
      <c r="G129" s="6">
        <v>75.0</v>
      </c>
      <c r="H129" s="9">
        <v>6.2</v>
      </c>
      <c r="I129" s="10">
        <v>6.0</v>
      </c>
      <c r="J129" s="11">
        <v>0.0</v>
      </c>
      <c r="K129" s="9">
        <v>147.26</v>
      </c>
      <c r="L129" s="7" t="s">
        <v>17</v>
      </c>
    </row>
    <row r="130" ht="15.75" customHeight="1">
      <c r="A130" s="6">
        <v>10295.0</v>
      </c>
      <c r="B130" s="7" t="s">
        <v>12</v>
      </c>
      <c r="C130" s="8">
        <v>44806.0</v>
      </c>
      <c r="D130" s="8">
        <v>44834.0</v>
      </c>
      <c r="E130" s="8">
        <v>44814.0</v>
      </c>
      <c r="F130" s="8">
        <v>44823.0</v>
      </c>
      <c r="G130" s="6">
        <v>56.0</v>
      </c>
      <c r="H130" s="9">
        <v>30.4</v>
      </c>
      <c r="I130" s="10">
        <v>4.0</v>
      </c>
      <c r="J130" s="11">
        <v>0.0</v>
      </c>
      <c r="K130" s="9">
        <v>1.15</v>
      </c>
      <c r="L130" s="7" t="s">
        <v>17</v>
      </c>
    </row>
    <row r="131" ht="15.75" customHeight="1">
      <c r="A131" s="6">
        <v>10296.0</v>
      </c>
      <c r="B131" s="7" t="s">
        <v>43</v>
      </c>
      <c r="C131" s="8">
        <v>44807.0</v>
      </c>
      <c r="D131" s="8">
        <v>44835.0</v>
      </c>
      <c r="E131" s="8">
        <v>44815.0</v>
      </c>
      <c r="F131" s="8">
        <v>44823.0</v>
      </c>
      <c r="G131" s="6">
        <v>11.0</v>
      </c>
      <c r="H131" s="9">
        <v>16.8</v>
      </c>
      <c r="I131" s="10">
        <v>12.0</v>
      </c>
      <c r="J131" s="11">
        <v>0.0</v>
      </c>
      <c r="K131" s="9">
        <v>0.12</v>
      </c>
      <c r="L131" s="7" t="s">
        <v>15</v>
      </c>
    </row>
    <row r="132" ht="15.75" customHeight="1">
      <c r="A132" s="6">
        <v>10296.0</v>
      </c>
      <c r="B132" s="7" t="s">
        <v>43</v>
      </c>
      <c r="C132" s="8">
        <v>44807.0</v>
      </c>
      <c r="D132" s="8">
        <v>44835.0</v>
      </c>
      <c r="E132" s="8">
        <v>44815.0</v>
      </c>
      <c r="F132" s="8">
        <v>44823.0</v>
      </c>
      <c r="G132" s="6">
        <v>16.0</v>
      </c>
      <c r="H132" s="9">
        <v>13.9</v>
      </c>
      <c r="I132" s="10">
        <v>30.0</v>
      </c>
      <c r="J132" s="11">
        <v>0.0</v>
      </c>
      <c r="K132" s="9">
        <v>0.12</v>
      </c>
      <c r="L132" s="7" t="s">
        <v>15</v>
      </c>
    </row>
    <row r="133" ht="15.75" customHeight="1">
      <c r="A133" s="6">
        <v>10296.0</v>
      </c>
      <c r="B133" s="7" t="s">
        <v>43</v>
      </c>
      <c r="C133" s="8">
        <v>44807.0</v>
      </c>
      <c r="D133" s="8">
        <v>44835.0</v>
      </c>
      <c r="E133" s="8">
        <v>44815.0</v>
      </c>
      <c r="F133" s="8">
        <v>44823.0</v>
      </c>
      <c r="G133" s="6">
        <v>69.0</v>
      </c>
      <c r="H133" s="9">
        <v>28.8</v>
      </c>
      <c r="I133" s="10">
        <v>15.0</v>
      </c>
      <c r="J133" s="11">
        <v>0.0</v>
      </c>
      <c r="K133" s="9">
        <v>0.12</v>
      </c>
      <c r="L133" s="7" t="s">
        <v>15</v>
      </c>
    </row>
    <row r="134" ht="15.75" customHeight="1">
      <c r="A134" s="6">
        <v>10297.0</v>
      </c>
      <c r="B134" s="7" t="s">
        <v>30</v>
      </c>
      <c r="C134" s="8">
        <v>44808.0</v>
      </c>
      <c r="D134" s="8">
        <v>44850.0</v>
      </c>
      <c r="E134" s="8">
        <v>44814.0</v>
      </c>
      <c r="F134" s="8">
        <v>44824.0</v>
      </c>
      <c r="G134" s="6">
        <v>39.0</v>
      </c>
      <c r="H134" s="9">
        <v>14.4</v>
      </c>
      <c r="I134" s="10">
        <v>60.0</v>
      </c>
      <c r="J134" s="11">
        <v>0.0</v>
      </c>
      <c r="K134" s="9">
        <v>5.74</v>
      </c>
      <c r="L134" s="7" t="s">
        <v>17</v>
      </c>
    </row>
    <row r="135" ht="15.75" customHeight="1">
      <c r="A135" s="6">
        <v>10297.0</v>
      </c>
      <c r="B135" s="7" t="s">
        <v>30</v>
      </c>
      <c r="C135" s="8">
        <v>44808.0</v>
      </c>
      <c r="D135" s="8">
        <v>44850.0</v>
      </c>
      <c r="E135" s="8">
        <v>44814.0</v>
      </c>
      <c r="F135" s="8">
        <v>44824.0</v>
      </c>
      <c r="G135" s="6">
        <v>72.0</v>
      </c>
      <c r="H135" s="9">
        <v>27.8</v>
      </c>
      <c r="I135" s="10">
        <v>20.0</v>
      </c>
      <c r="J135" s="11">
        <v>0.0</v>
      </c>
      <c r="K135" s="9">
        <v>5.74</v>
      </c>
      <c r="L135" s="7" t="s">
        <v>17</v>
      </c>
    </row>
    <row r="136" ht="15.75" customHeight="1">
      <c r="A136" s="6">
        <v>10298.0</v>
      </c>
      <c r="B136" s="7" t="s">
        <v>49</v>
      </c>
      <c r="C136" s="8">
        <v>44809.0</v>
      </c>
      <c r="D136" s="8">
        <v>44837.0</v>
      </c>
      <c r="E136" s="8">
        <v>44815.0</v>
      </c>
      <c r="F136" s="8">
        <v>44831.0</v>
      </c>
      <c r="G136" s="6">
        <v>2.0</v>
      </c>
      <c r="H136" s="9">
        <v>15.2</v>
      </c>
      <c r="I136" s="10">
        <v>40.0</v>
      </c>
      <c r="J136" s="11">
        <v>0.0</v>
      </c>
      <c r="K136" s="9">
        <v>168.22</v>
      </c>
      <c r="L136" s="7" t="s">
        <v>17</v>
      </c>
    </row>
    <row r="137" ht="15.75" customHeight="1">
      <c r="A137" s="6">
        <v>10298.0</v>
      </c>
      <c r="B137" s="7" t="s">
        <v>49</v>
      </c>
      <c r="C137" s="8">
        <v>44809.0</v>
      </c>
      <c r="D137" s="8">
        <v>44837.0</v>
      </c>
      <c r="E137" s="8">
        <v>44815.0</v>
      </c>
      <c r="F137" s="8">
        <v>44831.0</v>
      </c>
      <c r="G137" s="6">
        <v>36.0</v>
      </c>
      <c r="H137" s="9">
        <v>15.2</v>
      </c>
      <c r="I137" s="10">
        <v>40.0</v>
      </c>
      <c r="J137" s="11">
        <v>0.25</v>
      </c>
      <c r="K137" s="9">
        <v>168.22</v>
      </c>
      <c r="L137" s="7" t="s">
        <v>17</v>
      </c>
    </row>
    <row r="138" ht="15.75" customHeight="1">
      <c r="A138" s="6">
        <v>10298.0</v>
      </c>
      <c r="B138" s="7" t="s">
        <v>49</v>
      </c>
      <c r="C138" s="8">
        <v>44809.0</v>
      </c>
      <c r="D138" s="8">
        <v>44837.0</v>
      </c>
      <c r="E138" s="8">
        <v>44815.0</v>
      </c>
      <c r="F138" s="8">
        <v>44831.0</v>
      </c>
      <c r="G138" s="6">
        <v>59.0</v>
      </c>
      <c r="H138" s="9">
        <v>44.0</v>
      </c>
      <c r="I138" s="10">
        <v>30.0</v>
      </c>
      <c r="J138" s="11">
        <v>0.25</v>
      </c>
      <c r="K138" s="9">
        <v>168.22</v>
      </c>
      <c r="L138" s="7" t="s">
        <v>17</v>
      </c>
    </row>
    <row r="139" ht="15.75" customHeight="1">
      <c r="A139" s="6">
        <v>10298.0</v>
      </c>
      <c r="B139" s="7" t="s">
        <v>49</v>
      </c>
      <c r="C139" s="8">
        <v>44809.0</v>
      </c>
      <c r="D139" s="8">
        <v>44837.0</v>
      </c>
      <c r="E139" s="8">
        <v>44815.0</v>
      </c>
      <c r="F139" s="8">
        <v>44831.0</v>
      </c>
      <c r="G139" s="6">
        <v>62.0</v>
      </c>
      <c r="H139" s="9">
        <v>39.4</v>
      </c>
      <c r="I139" s="10">
        <v>15.0</v>
      </c>
      <c r="J139" s="11">
        <v>0.0</v>
      </c>
      <c r="K139" s="9">
        <v>168.22</v>
      </c>
      <c r="L139" s="7" t="s">
        <v>17</v>
      </c>
    </row>
    <row r="140" ht="15.75" customHeight="1">
      <c r="A140" s="6">
        <v>10299.0</v>
      </c>
      <c r="B140" s="7" t="s">
        <v>44</v>
      </c>
      <c r="C140" s="8">
        <v>44810.0</v>
      </c>
      <c r="D140" s="8">
        <v>44838.0</v>
      </c>
      <c r="E140" s="8">
        <v>44817.0</v>
      </c>
      <c r="F140" s="8">
        <v>44837.0</v>
      </c>
      <c r="G140" s="6">
        <v>19.0</v>
      </c>
      <c r="H140" s="9">
        <v>7.3</v>
      </c>
      <c r="I140" s="10">
        <v>15.0</v>
      </c>
      <c r="J140" s="11">
        <v>0.0</v>
      </c>
      <c r="K140" s="9">
        <v>29.76</v>
      </c>
      <c r="L140" s="7" t="s">
        <v>17</v>
      </c>
    </row>
    <row r="141" ht="15.75" customHeight="1">
      <c r="A141" s="6">
        <v>10299.0</v>
      </c>
      <c r="B141" s="7" t="s">
        <v>44</v>
      </c>
      <c r="C141" s="8">
        <v>44810.0</v>
      </c>
      <c r="D141" s="8">
        <v>44838.0</v>
      </c>
      <c r="E141" s="8">
        <v>44817.0</v>
      </c>
      <c r="F141" s="8">
        <v>44837.0</v>
      </c>
      <c r="G141" s="6">
        <v>70.0</v>
      </c>
      <c r="H141" s="9">
        <v>12.0</v>
      </c>
      <c r="I141" s="10">
        <v>20.0</v>
      </c>
      <c r="J141" s="11">
        <v>0.0</v>
      </c>
      <c r="K141" s="9">
        <v>29.76</v>
      </c>
      <c r="L141" s="7" t="s">
        <v>17</v>
      </c>
    </row>
    <row r="142" ht="15.75" customHeight="1">
      <c r="A142" s="6">
        <v>10300.0</v>
      </c>
      <c r="B142" s="7" t="s">
        <v>37</v>
      </c>
      <c r="C142" s="8">
        <v>44813.0</v>
      </c>
      <c r="D142" s="8">
        <v>44841.0</v>
      </c>
      <c r="E142" s="8">
        <v>44822.0</v>
      </c>
      <c r="F142" s="8">
        <v>44834.0</v>
      </c>
      <c r="G142" s="6">
        <v>66.0</v>
      </c>
      <c r="H142" s="9">
        <v>13.6</v>
      </c>
      <c r="I142" s="10">
        <v>30.0</v>
      </c>
      <c r="J142" s="11">
        <v>0.0</v>
      </c>
      <c r="K142" s="9">
        <v>17.68</v>
      </c>
      <c r="L142" s="7" t="s">
        <v>17</v>
      </c>
    </row>
    <row r="143" ht="15.75" customHeight="1">
      <c r="A143" s="6">
        <v>10300.0</v>
      </c>
      <c r="B143" s="7" t="s">
        <v>37</v>
      </c>
      <c r="C143" s="8">
        <v>44813.0</v>
      </c>
      <c r="D143" s="8">
        <v>44841.0</v>
      </c>
      <c r="E143" s="8">
        <v>44822.0</v>
      </c>
      <c r="F143" s="8">
        <v>44834.0</v>
      </c>
      <c r="G143" s="6">
        <v>68.0</v>
      </c>
      <c r="H143" s="9">
        <v>10.0</v>
      </c>
      <c r="I143" s="10">
        <v>20.0</v>
      </c>
      <c r="J143" s="11">
        <v>0.0</v>
      </c>
      <c r="K143" s="9">
        <v>17.68</v>
      </c>
      <c r="L143" s="7" t="s">
        <v>17</v>
      </c>
    </row>
    <row r="144" ht="15.75" customHeight="1">
      <c r="A144" s="6">
        <v>10301.0</v>
      </c>
      <c r="B144" s="7" t="s">
        <v>50</v>
      </c>
      <c r="C144" s="8">
        <v>44813.0</v>
      </c>
      <c r="D144" s="8">
        <v>44841.0</v>
      </c>
      <c r="E144" s="8">
        <v>44821.0</v>
      </c>
      <c r="F144" s="8">
        <v>44828.0</v>
      </c>
      <c r="G144" s="6">
        <v>40.0</v>
      </c>
      <c r="H144" s="9">
        <v>14.7</v>
      </c>
      <c r="I144" s="10">
        <v>10.0</v>
      </c>
      <c r="J144" s="11">
        <v>0.0</v>
      </c>
      <c r="K144" s="9">
        <v>45.08</v>
      </c>
      <c r="L144" s="7" t="s">
        <v>17</v>
      </c>
    </row>
    <row r="145" ht="15.75" customHeight="1">
      <c r="A145" s="6">
        <v>10301.0</v>
      </c>
      <c r="B145" s="7" t="s">
        <v>50</v>
      </c>
      <c r="C145" s="8">
        <v>44813.0</v>
      </c>
      <c r="D145" s="8">
        <v>44841.0</v>
      </c>
      <c r="E145" s="8">
        <v>44821.0</v>
      </c>
      <c r="F145" s="8">
        <v>44828.0</v>
      </c>
      <c r="G145" s="6">
        <v>56.0</v>
      </c>
      <c r="H145" s="9">
        <v>30.4</v>
      </c>
      <c r="I145" s="10">
        <v>20.0</v>
      </c>
      <c r="J145" s="11">
        <v>0.0</v>
      </c>
      <c r="K145" s="9">
        <v>45.08</v>
      </c>
      <c r="L145" s="7" t="s">
        <v>17</v>
      </c>
    </row>
    <row r="146" ht="15.75" customHeight="1">
      <c r="A146" s="6">
        <v>10302.0</v>
      </c>
      <c r="B146" s="7" t="s">
        <v>19</v>
      </c>
      <c r="C146" s="8">
        <v>44814.0</v>
      </c>
      <c r="D146" s="8">
        <v>44842.0</v>
      </c>
      <c r="E146" s="8">
        <v>44843.0</v>
      </c>
      <c r="F146" s="8">
        <v>44858.0</v>
      </c>
      <c r="G146" s="6">
        <v>17.0</v>
      </c>
      <c r="H146" s="9">
        <v>31.2</v>
      </c>
      <c r="I146" s="10">
        <v>40.0</v>
      </c>
      <c r="J146" s="11">
        <v>0.0</v>
      </c>
      <c r="K146" s="9">
        <v>6.27</v>
      </c>
      <c r="L146" s="7" t="s">
        <v>17</v>
      </c>
    </row>
    <row r="147" ht="15.75" customHeight="1">
      <c r="A147" s="6">
        <v>10302.0</v>
      </c>
      <c r="B147" s="7" t="s">
        <v>19</v>
      </c>
      <c r="C147" s="8">
        <v>44814.0</v>
      </c>
      <c r="D147" s="8">
        <v>44842.0</v>
      </c>
      <c r="E147" s="8">
        <v>44843.0</v>
      </c>
      <c r="F147" s="8">
        <v>44858.0</v>
      </c>
      <c r="G147" s="6">
        <v>28.0</v>
      </c>
      <c r="H147" s="9">
        <v>36.4</v>
      </c>
      <c r="I147" s="10">
        <v>28.0</v>
      </c>
      <c r="J147" s="11">
        <v>0.0</v>
      </c>
      <c r="K147" s="9">
        <v>6.27</v>
      </c>
      <c r="L147" s="7" t="s">
        <v>17</v>
      </c>
    </row>
    <row r="148" ht="15.75" customHeight="1">
      <c r="A148" s="6">
        <v>10302.0</v>
      </c>
      <c r="B148" s="7" t="s">
        <v>19</v>
      </c>
      <c r="C148" s="8">
        <v>44814.0</v>
      </c>
      <c r="D148" s="8">
        <v>44842.0</v>
      </c>
      <c r="E148" s="8">
        <v>44843.0</v>
      </c>
      <c r="F148" s="8">
        <v>44858.0</v>
      </c>
      <c r="G148" s="6">
        <v>43.0</v>
      </c>
      <c r="H148" s="9">
        <v>36.8</v>
      </c>
      <c r="I148" s="10">
        <v>12.0</v>
      </c>
      <c r="J148" s="11">
        <v>0.0</v>
      </c>
      <c r="K148" s="9">
        <v>6.27</v>
      </c>
      <c r="L148" s="7" t="s">
        <v>17</v>
      </c>
    </row>
    <row r="149" ht="15.75" customHeight="1">
      <c r="A149" s="6">
        <v>10303.0</v>
      </c>
      <c r="B149" s="7" t="s">
        <v>51</v>
      </c>
      <c r="C149" s="8">
        <v>44815.0</v>
      </c>
      <c r="D149" s="8">
        <v>44843.0</v>
      </c>
      <c r="E149" s="8">
        <v>44822.0</v>
      </c>
      <c r="F149" s="8">
        <v>44833.0</v>
      </c>
      <c r="G149" s="6">
        <v>40.0</v>
      </c>
      <c r="H149" s="9">
        <v>14.7</v>
      </c>
      <c r="I149" s="10">
        <v>40.0</v>
      </c>
      <c r="J149" s="11">
        <v>0.1</v>
      </c>
      <c r="K149" s="9">
        <v>107.83</v>
      </c>
      <c r="L149" s="7" t="s">
        <v>17</v>
      </c>
    </row>
    <row r="150" ht="15.75" customHeight="1">
      <c r="A150" s="6">
        <v>10303.0</v>
      </c>
      <c r="B150" s="7" t="s">
        <v>51</v>
      </c>
      <c r="C150" s="8">
        <v>44815.0</v>
      </c>
      <c r="D150" s="8">
        <v>44843.0</v>
      </c>
      <c r="E150" s="8">
        <v>44822.0</v>
      </c>
      <c r="F150" s="8">
        <v>44833.0</v>
      </c>
      <c r="G150" s="6">
        <v>65.0</v>
      </c>
      <c r="H150" s="9">
        <v>16.8</v>
      </c>
      <c r="I150" s="10">
        <v>30.0</v>
      </c>
      <c r="J150" s="11">
        <v>0.1</v>
      </c>
      <c r="K150" s="9">
        <v>107.83</v>
      </c>
      <c r="L150" s="7" t="s">
        <v>17</v>
      </c>
    </row>
    <row r="151" ht="15.75" customHeight="1">
      <c r="A151" s="6">
        <v>10303.0</v>
      </c>
      <c r="B151" s="7" t="s">
        <v>51</v>
      </c>
      <c r="C151" s="8">
        <v>44815.0</v>
      </c>
      <c r="D151" s="8">
        <v>44843.0</v>
      </c>
      <c r="E151" s="8">
        <v>44822.0</v>
      </c>
      <c r="F151" s="8">
        <v>44833.0</v>
      </c>
      <c r="G151" s="6">
        <v>68.0</v>
      </c>
      <c r="H151" s="9">
        <v>10.0</v>
      </c>
      <c r="I151" s="10">
        <v>15.0</v>
      </c>
      <c r="J151" s="11">
        <v>0.1</v>
      </c>
      <c r="K151" s="9">
        <v>107.83</v>
      </c>
      <c r="L151" s="7" t="s">
        <v>17</v>
      </c>
    </row>
    <row r="152" ht="15.75" customHeight="1">
      <c r="A152" s="6">
        <v>10304.0</v>
      </c>
      <c r="B152" s="7" t="s">
        <v>38</v>
      </c>
      <c r="C152" s="8">
        <v>44816.0</v>
      </c>
      <c r="D152" s="8">
        <v>44844.0</v>
      </c>
      <c r="E152" s="8">
        <v>44821.0</v>
      </c>
      <c r="F152" s="8">
        <v>44838.0</v>
      </c>
      <c r="G152" s="6">
        <v>49.0</v>
      </c>
      <c r="H152" s="9">
        <v>16.0</v>
      </c>
      <c r="I152" s="10">
        <v>30.0</v>
      </c>
      <c r="J152" s="11">
        <v>0.0</v>
      </c>
      <c r="K152" s="9">
        <v>63.79</v>
      </c>
      <c r="L152" s="7" t="s">
        <v>17</v>
      </c>
    </row>
    <row r="153" ht="15.75" customHeight="1">
      <c r="A153" s="6">
        <v>10304.0</v>
      </c>
      <c r="B153" s="7" t="s">
        <v>38</v>
      </c>
      <c r="C153" s="8">
        <v>44816.0</v>
      </c>
      <c r="D153" s="8">
        <v>44844.0</v>
      </c>
      <c r="E153" s="8">
        <v>44821.0</v>
      </c>
      <c r="F153" s="8">
        <v>44838.0</v>
      </c>
      <c r="G153" s="6">
        <v>59.0</v>
      </c>
      <c r="H153" s="9">
        <v>44.0</v>
      </c>
      <c r="I153" s="10">
        <v>10.0</v>
      </c>
      <c r="J153" s="11">
        <v>0.0</v>
      </c>
      <c r="K153" s="9">
        <v>63.79</v>
      </c>
      <c r="L153" s="7" t="s">
        <v>17</v>
      </c>
    </row>
    <row r="154" ht="15.75" customHeight="1">
      <c r="A154" s="6">
        <v>10304.0</v>
      </c>
      <c r="B154" s="7" t="s">
        <v>38</v>
      </c>
      <c r="C154" s="8">
        <v>44816.0</v>
      </c>
      <c r="D154" s="8">
        <v>44844.0</v>
      </c>
      <c r="E154" s="8">
        <v>44821.0</v>
      </c>
      <c r="F154" s="8">
        <v>44838.0</v>
      </c>
      <c r="G154" s="6">
        <v>71.0</v>
      </c>
      <c r="H154" s="9">
        <v>17.2</v>
      </c>
      <c r="I154" s="10">
        <v>2.0</v>
      </c>
      <c r="J154" s="11">
        <v>0.0</v>
      </c>
      <c r="K154" s="9">
        <v>63.79</v>
      </c>
      <c r="L154" s="7" t="s">
        <v>17</v>
      </c>
    </row>
    <row r="155" ht="15.75" customHeight="1">
      <c r="A155" s="6">
        <v>10305.0</v>
      </c>
      <c r="B155" s="7" t="s">
        <v>52</v>
      </c>
      <c r="C155" s="8">
        <v>44817.0</v>
      </c>
      <c r="D155" s="8">
        <v>44845.0</v>
      </c>
      <c r="E155" s="8">
        <v>44843.0</v>
      </c>
      <c r="F155" s="8">
        <v>44858.0</v>
      </c>
      <c r="G155" s="6">
        <v>18.0</v>
      </c>
      <c r="H155" s="9">
        <v>50.0</v>
      </c>
      <c r="I155" s="10">
        <v>25.0</v>
      </c>
      <c r="J155" s="11">
        <v>0.1</v>
      </c>
      <c r="K155" s="9">
        <v>257.62</v>
      </c>
      <c r="L155" s="7" t="s">
        <v>13</v>
      </c>
    </row>
    <row r="156" ht="15.75" customHeight="1">
      <c r="A156" s="6">
        <v>10305.0</v>
      </c>
      <c r="B156" s="7" t="s">
        <v>52</v>
      </c>
      <c r="C156" s="8">
        <v>44817.0</v>
      </c>
      <c r="D156" s="8">
        <v>44845.0</v>
      </c>
      <c r="E156" s="8">
        <v>44843.0</v>
      </c>
      <c r="F156" s="8">
        <v>44858.0</v>
      </c>
      <c r="G156" s="6">
        <v>29.0</v>
      </c>
      <c r="H156" s="9">
        <v>99.0</v>
      </c>
      <c r="I156" s="10">
        <v>25.0</v>
      </c>
      <c r="J156" s="11">
        <v>0.1</v>
      </c>
      <c r="K156" s="9">
        <v>257.62</v>
      </c>
      <c r="L156" s="7" t="s">
        <v>13</v>
      </c>
    </row>
    <row r="157" ht="15.75" customHeight="1">
      <c r="A157" s="6">
        <v>10305.0</v>
      </c>
      <c r="B157" s="7" t="s">
        <v>52</v>
      </c>
      <c r="C157" s="8">
        <v>44817.0</v>
      </c>
      <c r="D157" s="8">
        <v>44845.0</v>
      </c>
      <c r="E157" s="8">
        <v>44843.0</v>
      </c>
      <c r="F157" s="8">
        <v>44858.0</v>
      </c>
      <c r="G157" s="6">
        <v>39.0</v>
      </c>
      <c r="H157" s="9">
        <v>14.4</v>
      </c>
      <c r="I157" s="10">
        <v>30.0</v>
      </c>
      <c r="J157" s="11">
        <v>0.1</v>
      </c>
      <c r="K157" s="9">
        <v>257.62</v>
      </c>
      <c r="L157" s="7" t="s">
        <v>13</v>
      </c>
    </row>
    <row r="158" ht="15.75" customHeight="1">
      <c r="A158" s="6">
        <v>10306.0</v>
      </c>
      <c r="B158" s="7" t="s">
        <v>42</v>
      </c>
      <c r="C158" s="8">
        <v>44820.0</v>
      </c>
      <c r="D158" s="8">
        <v>44848.0</v>
      </c>
      <c r="E158" s="8">
        <v>44827.0</v>
      </c>
      <c r="F158" s="8">
        <v>44838.0</v>
      </c>
      <c r="G158" s="6">
        <v>30.0</v>
      </c>
      <c r="H158" s="9">
        <v>20.7</v>
      </c>
      <c r="I158" s="10">
        <v>10.0</v>
      </c>
      <c r="J158" s="11">
        <v>0.0</v>
      </c>
      <c r="K158" s="9">
        <v>7.56</v>
      </c>
      <c r="L158" s="7" t="s">
        <v>13</v>
      </c>
    </row>
    <row r="159" ht="15.75" customHeight="1">
      <c r="A159" s="6">
        <v>10306.0</v>
      </c>
      <c r="B159" s="7" t="s">
        <v>42</v>
      </c>
      <c r="C159" s="8">
        <v>44820.0</v>
      </c>
      <c r="D159" s="8">
        <v>44848.0</v>
      </c>
      <c r="E159" s="8">
        <v>44827.0</v>
      </c>
      <c r="F159" s="8">
        <v>44838.0</v>
      </c>
      <c r="G159" s="6">
        <v>53.0</v>
      </c>
      <c r="H159" s="9">
        <v>26.2</v>
      </c>
      <c r="I159" s="10">
        <v>10.0</v>
      </c>
      <c r="J159" s="11">
        <v>0.0</v>
      </c>
      <c r="K159" s="9">
        <v>7.56</v>
      </c>
      <c r="L159" s="7" t="s">
        <v>13</v>
      </c>
    </row>
    <row r="160" ht="15.75" customHeight="1">
      <c r="A160" s="6">
        <v>10306.0</v>
      </c>
      <c r="B160" s="7" t="s">
        <v>42</v>
      </c>
      <c r="C160" s="8">
        <v>44820.0</v>
      </c>
      <c r="D160" s="8">
        <v>44848.0</v>
      </c>
      <c r="E160" s="8">
        <v>44827.0</v>
      </c>
      <c r="F160" s="8">
        <v>44838.0</v>
      </c>
      <c r="G160" s="6">
        <v>54.0</v>
      </c>
      <c r="H160" s="9">
        <v>5.9</v>
      </c>
      <c r="I160" s="10">
        <v>5.0</v>
      </c>
      <c r="J160" s="11">
        <v>0.0</v>
      </c>
      <c r="K160" s="9">
        <v>7.56</v>
      </c>
      <c r="L160" s="7" t="s">
        <v>13</v>
      </c>
    </row>
    <row r="161" ht="15.75" customHeight="1">
      <c r="A161" s="6">
        <v>10307.0</v>
      </c>
      <c r="B161" s="7" t="s">
        <v>53</v>
      </c>
      <c r="C161" s="8">
        <v>44821.0</v>
      </c>
      <c r="D161" s="8">
        <v>44849.0</v>
      </c>
      <c r="E161" s="8">
        <v>44829.0</v>
      </c>
      <c r="F161" s="8">
        <v>44844.0</v>
      </c>
      <c r="G161" s="6">
        <v>62.0</v>
      </c>
      <c r="H161" s="9">
        <v>39.4</v>
      </c>
      <c r="I161" s="10">
        <v>10.0</v>
      </c>
      <c r="J161" s="11">
        <v>0.0</v>
      </c>
      <c r="K161" s="9">
        <v>0.56</v>
      </c>
      <c r="L161" s="7" t="s">
        <v>17</v>
      </c>
    </row>
    <row r="162" ht="15.75" customHeight="1">
      <c r="A162" s="6">
        <v>10307.0</v>
      </c>
      <c r="B162" s="7" t="s">
        <v>53</v>
      </c>
      <c r="C162" s="8">
        <v>44821.0</v>
      </c>
      <c r="D162" s="8">
        <v>44849.0</v>
      </c>
      <c r="E162" s="8">
        <v>44829.0</v>
      </c>
      <c r="F162" s="8">
        <v>44844.0</v>
      </c>
      <c r="G162" s="6">
        <v>68.0</v>
      </c>
      <c r="H162" s="9">
        <v>10.0</v>
      </c>
      <c r="I162" s="10">
        <v>3.0</v>
      </c>
      <c r="J162" s="11">
        <v>0.0</v>
      </c>
      <c r="K162" s="9">
        <v>0.56</v>
      </c>
      <c r="L162" s="7" t="s">
        <v>17</v>
      </c>
    </row>
    <row r="163" ht="15.75" customHeight="1">
      <c r="A163" s="6">
        <v>10308.0</v>
      </c>
      <c r="B163" s="7" t="s">
        <v>54</v>
      </c>
      <c r="C163" s="8">
        <v>44822.0</v>
      </c>
      <c r="D163" s="8">
        <v>44850.0</v>
      </c>
      <c r="E163" s="8">
        <v>44828.0</v>
      </c>
      <c r="F163" s="8">
        <v>44841.0</v>
      </c>
      <c r="G163" s="6">
        <v>69.0</v>
      </c>
      <c r="H163" s="9">
        <v>28.8</v>
      </c>
      <c r="I163" s="10">
        <v>1.0</v>
      </c>
      <c r="J163" s="11">
        <v>0.0</v>
      </c>
      <c r="K163" s="9">
        <v>1.61</v>
      </c>
      <c r="L163" s="7" t="s">
        <v>13</v>
      </c>
    </row>
    <row r="164" ht="15.75" customHeight="1">
      <c r="A164" s="6">
        <v>10308.0</v>
      </c>
      <c r="B164" s="7" t="s">
        <v>54</v>
      </c>
      <c r="C164" s="8">
        <v>44822.0</v>
      </c>
      <c r="D164" s="8">
        <v>44850.0</v>
      </c>
      <c r="E164" s="8">
        <v>44828.0</v>
      </c>
      <c r="F164" s="8">
        <v>44841.0</v>
      </c>
      <c r="G164" s="6">
        <v>70.0</v>
      </c>
      <c r="H164" s="9">
        <v>12.0</v>
      </c>
      <c r="I164" s="10">
        <v>5.0</v>
      </c>
      <c r="J164" s="11">
        <v>0.0</v>
      </c>
      <c r="K164" s="9">
        <v>1.61</v>
      </c>
      <c r="L164" s="7" t="s">
        <v>13</v>
      </c>
    </row>
    <row r="165" ht="15.75" customHeight="1">
      <c r="A165" s="6">
        <v>10309.0</v>
      </c>
      <c r="B165" s="7" t="s">
        <v>49</v>
      </c>
      <c r="C165" s="8">
        <v>44823.0</v>
      </c>
      <c r="D165" s="8">
        <v>44851.0</v>
      </c>
      <c r="E165" s="8">
        <v>44857.0</v>
      </c>
      <c r="F165" s="8">
        <v>44867.0</v>
      </c>
      <c r="G165" s="6">
        <v>4.0</v>
      </c>
      <c r="H165" s="9">
        <v>17.6</v>
      </c>
      <c r="I165" s="10">
        <v>20.0</v>
      </c>
      <c r="J165" s="11">
        <v>0.0</v>
      </c>
      <c r="K165" s="9">
        <v>47.3</v>
      </c>
      <c r="L165" s="7" t="s">
        <v>15</v>
      </c>
    </row>
    <row r="166" ht="15.75" customHeight="1">
      <c r="A166" s="6">
        <v>10309.0</v>
      </c>
      <c r="B166" s="7" t="s">
        <v>49</v>
      </c>
      <c r="C166" s="8">
        <v>44823.0</v>
      </c>
      <c r="D166" s="8">
        <v>44851.0</v>
      </c>
      <c r="E166" s="8">
        <v>44857.0</v>
      </c>
      <c r="F166" s="8">
        <v>44867.0</v>
      </c>
      <c r="G166" s="6">
        <v>6.0</v>
      </c>
      <c r="H166" s="9">
        <v>20.0</v>
      </c>
      <c r="I166" s="10">
        <v>30.0</v>
      </c>
      <c r="J166" s="11">
        <v>0.0</v>
      </c>
      <c r="K166" s="9">
        <v>47.3</v>
      </c>
      <c r="L166" s="7" t="s">
        <v>15</v>
      </c>
    </row>
    <row r="167" ht="15.75" customHeight="1">
      <c r="A167" s="6">
        <v>10309.0</v>
      </c>
      <c r="B167" s="7" t="s">
        <v>49</v>
      </c>
      <c r="C167" s="8">
        <v>44823.0</v>
      </c>
      <c r="D167" s="8">
        <v>44851.0</v>
      </c>
      <c r="E167" s="8">
        <v>44857.0</v>
      </c>
      <c r="F167" s="8">
        <v>44867.0</v>
      </c>
      <c r="G167" s="6">
        <v>42.0</v>
      </c>
      <c r="H167" s="9">
        <v>11.2</v>
      </c>
      <c r="I167" s="10">
        <v>2.0</v>
      </c>
      <c r="J167" s="11">
        <v>0.0</v>
      </c>
      <c r="K167" s="9">
        <v>47.3</v>
      </c>
      <c r="L167" s="7" t="s">
        <v>15</v>
      </c>
    </row>
    <row r="168" ht="15.75" customHeight="1">
      <c r="A168" s="6">
        <v>10309.0</v>
      </c>
      <c r="B168" s="7" t="s">
        <v>49</v>
      </c>
      <c r="C168" s="8">
        <v>44823.0</v>
      </c>
      <c r="D168" s="8">
        <v>44851.0</v>
      </c>
      <c r="E168" s="8">
        <v>44857.0</v>
      </c>
      <c r="F168" s="8">
        <v>44867.0</v>
      </c>
      <c r="G168" s="6">
        <v>43.0</v>
      </c>
      <c r="H168" s="9">
        <v>36.8</v>
      </c>
      <c r="I168" s="10">
        <v>20.0</v>
      </c>
      <c r="J168" s="11">
        <v>0.0</v>
      </c>
      <c r="K168" s="9">
        <v>47.3</v>
      </c>
      <c r="L168" s="7" t="s">
        <v>15</v>
      </c>
    </row>
    <row r="169" ht="15.75" customHeight="1">
      <c r="A169" s="6">
        <v>10309.0</v>
      </c>
      <c r="B169" s="7" t="s">
        <v>49</v>
      </c>
      <c r="C169" s="8">
        <v>44823.0</v>
      </c>
      <c r="D169" s="8">
        <v>44851.0</v>
      </c>
      <c r="E169" s="8">
        <v>44857.0</v>
      </c>
      <c r="F169" s="8">
        <v>44867.0</v>
      </c>
      <c r="G169" s="6">
        <v>71.0</v>
      </c>
      <c r="H169" s="9">
        <v>17.2</v>
      </c>
      <c r="I169" s="10">
        <v>3.0</v>
      </c>
      <c r="J169" s="11">
        <v>0.0</v>
      </c>
      <c r="K169" s="9">
        <v>47.3</v>
      </c>
      <c r="L169" s="7" t="s">
        <v>15</v>
      </c>
    </row>
    <row r="170" ht="15.75" customHeight="1">
      <c r="A170" s="6">
        <v>10310.0</v>
      </c>
      <c r="B170" s="7" t="s">
        <v>55</v>
      </c>
      <c r="C170" s="8">
        <v>44824.0</v>
      </c>
      <c r="D170" s="8">
        <v>44852.0</v>
      </c>
      <c r="E170" s="8">
        <v>44831.0</v>
      </c>
      <c r="F170" s="8">
        <v>44848.0</v>
      </c>
      <c r="G170" s="6">
        <v>16.0</v>
      </c>
      <c r="H170" s="9">
        <v>13.9</v>
      </c>
      <c r="I170" s="10">
        <v>10.0</v>
      </c>
      <c r="J170" s="11">
        <v>0.0</v>
      </c>
      <c r="K170" s="9">
        <v>17.52</v>
      </c>
      <c r="L170" s="7" t="s">
        <v>17</v>
      </c>
    </row>
    <row r="171" ht="15.75" customHeight="1">
      <c r="A171" s="6">
        <v>10310.0</v>
      </c>
      <c r="B171" s="7" t="s">
        <v>55</v>
      </c>
      <c r="C171" s="8">
        <v>44824.0</v>
      </c>
      <c r="D171" s="8">
        <v>44852.0</v>
      </c>
      <c r="E171" s="8">
        <v>44831.0</v>
      </c>
      <c r="F171" s="8">
        <v>44848.0</v>
      </c>
      <c r="G171" s="6">
        <v>62.0</v>
      </c>
      <c r="H171" s="9">
        <v>39.4</v>
      </c>
      <c r="I171" s="10">
        <v>5.0</v>
      </c>
      <c r="J171" s="11">
        <v>0.0</v>
      </c>
      <c r="K171" s="9">
        <v>17.52</v>
      </c>
      <c r="L171" s="7" t="s">
        <v>17</v>
      </c>
    </row>
    <row r="172" ht="15.75" customHeight="1">
      <c r="A172" s="6">
        <v>10311.0</v>
      </c>
      <c r="B172" s="7" t="s">
        <v>56</v>
      </c>
      <c r="C172" s="8">
        <v>44824.0</v>
      </c>
      <c r="D172" s="8">
        <v>44838.0</v>
      </c>
      <c r="E172" s="8">
        <v>44830.0</v>
      </c>
      <c r="F172" s="8">
        <v>44836.0</v>
      </c>
      <c r="G172" s="6">
        <v>42.0</v>
      </c>
      <c r="H172" s="9">
        <v>11.2</v>
      </c>
      <c r="I172" s="10">
        <v>6.0</v>
      </c>
      <c r="J172" s="11">
        <v>0.0</v>
      </c>
      <c r="K172" s="9">
        <v>24.69</v>
      </c>
      <c r="L172" s="7" t="s">
        <v>13</v>
      </c>
    </row>
    <row r="173" ht="15.75" customHeight="1">
      <c r="A173" s="6">
        <v>10311.0</v>
      </c>
      <c r="B173" s="7" t="s">
        <v>56</v>
      </c>
      <c r="C173" s="8">
        <v>44824.0</v>
      </c>
      <c r="D173" s="8">
        <v>44838.0</v>
      </c>
      <c r="E173" s="8">
        <v>44830.0</v>
      </c>
      <c r="F173" s="8">
        <v>44836.0</v>
      </c>
      <c r="G173" s="6">
        <v>69.0</v>
      </c>
      <c r="H173" s="9">
        <v>28.8</v>
      </c>
      <c r="I173" s="10">
        <v>7.0</v>
      </c>
      <c r="J173" s="11">
        <v>0.0</v>
      </c>
      <c r="K173" s="9">
        <v>24.69</v>
      </c>
      <c r="L173" s="7" t="s">
        <v>13</v>
      </c>
    </row>
    <row r="174" ht="15.75" customHeight="1">
      <c r="A174" s="6">
        <v>10312.0</v>
      </c>
      <c r="B174" s="7" t="s">
        <v>50</v>
      </c>
      <c r="C174" s="8">
        <v>44827.0</v>
      </c>
      <c r="D174" s="8">
        <v>44855.0</v>
      </c>
      <c r="E174" s="8">
        <v>44837.0</v>
      </c>
      <c r="F174" s="8">
        <v>44843.0</v>
      </c>
      <c r="G174" s="6">
        <v>28.0</v>
      </c>
      <c r="H174" s="9">
        <v>36.4</v>
      </c>
      <c r="I174" s="10">
        <v>4.0</v>
      </c>
      <c r="J174" s="11">
        <v>0.0</v>
      </c>
      <c r="K174" s="9">
        <v>40.26</v>
      </c>
      <c r="L174" s="7" t="s">
        <v>17</v>
      </c>
    </row>
    <row r="175" ht="15.75" customHeight="1">
      <c r="A175" s="6">
        <v>10312.0</v>
      </c>
      <c r="B175" s="7" t="s">
        <v>50</v>
      </c>
      <c r="C175" s="8">
        <v>44827.0</v>
      </c>
      <c r="D175" s="8">
        <v>44855.0</v>
      </c>
      <c r="E175" s="8">
        <v>44837.0</v>
      </c>
      <c r="F175" s="8">
        <v>44843.0</v>
      </c>
      <c r="G175" s="6">
        <v>43.0</v>
      </c>
      <c r="H175" s="9">
        <v>36.8</v>
      </c>
      <c r="I175" s="10">
        <v>24.0</v>
      </c>
      <c r="J175" s="11">
        <v>0.0</v>
      </c>
      <c r="K175" s="9">
        <v>40.26</v>
      </c>
      <c r="L175" s="7" t="s">
        <v>17</v>
      </c>
    </row>
    <row r="176" ht="15.75" customHeight="1">
      <c r="A176" s="6">
        <v>10312.0</v>
      </c>
      <c r="B176" s="7" t="s">
        <v>50</v>
      </c>
      <c r="C176" s="8">
        <v>44827.0</v>
      </c>
      <c r="D176" s="8">
        <v>44855.0</v>
      </c>
      <c r="E176" s="8">
        <v>44837.0</v>
      </c>
      <c r="F176" s="8">
        <v>44843.0</v>
      </c>
      <c r="G176" s="6">
        <v>53.0</v>
      </c>
      <c r="H176" s="9">
        <v>26.2</v>
      </c>
      <c r="I176" s="10">
        <v>20.0</v>
      </c>
      <c r="J176" s="11">
        <v>0.0</v>
      </c>
      <c r="K176" s="9">
        <v>40.26</v>
      </c>
      <c r="L176" s="7" t="s">
        <v>17</v>
      </c>
    </row>
    <row r="177" ht="15.75" customHeight="1">
      <c r="A177" s="6">
        <v>10312.0</v>
      </c>
      <c r="B177" s="7" t="s">
        <v>50</v>
      </c>
      <c r="C177" s="8">
        <v>44827.0</v>
      </c>
      <c r="D177" s="8">
        <v>44855.0</v>
      </c>
      <c r="E177" s="8">
        <v>44837.0</v>
      </c>
      <c r="F177" s="8">
        <v>44843.0</v>
      </c>
      <c r="G177" s="6">
        <v>75.0</v>
      </c>
      <c r="H177" s="9">
        <v>6.2</v>
      </c>
      <c r="I177" s="10">
        <v>10.0</v>
      </c>
      <c r="J177" s="11">
        <v>0.0</v>
      </c>
      <c r="K177" s="9">
        <v>40.26</v>
      </c>
      <c r="L177" s="7" t="s">
        <v>17</v>
      </c>
    </row>
    <row r="178" ht="15.75" customHeight="1">
      <c r="A178" s="6">
        <v>10313.0</v>
      </c>
      <c r="B178" s="7" t="s">
        <v>36</v>
      </c>
      <c r="C178" s="8">
        <v>44828.0</v>
      </c>
      <c r="D178" s="8">
        <v>44856.0</v>
      </c>
      <c r="E178" s="8">
        <v>44838.0</v>
      </c>
      <c r="F178" s="8">
        <v>44843.0</v>
      </c>
      <c r="G178" s="6">
        <v>36.0</v>
      </c>
      <c r="H178" s="9">
        <v>15.2</v>
      </c>
      <c r="I178" s="10">
        <v>12.0</v>
      </c>
      <c r="J178" s="11">
        <v>0.0</v>
      </c>
      <c r="K178" s="9">
        <v>1.96</v>
      </c>
      <c r="L178" s="7" t="s">
        <v>17</v>
      </c>
    </row>
    <row r="179" ht="15.75" customHeight="1">
      <c r="A179" s="6">
        <v>10314.0</v>
      </c>
      <c r="B179" s="7" t="s">
        <v>28</v>
      </c>
      <c r="C179" s="8">
        <v>44829.0</v>
      </c>
      <c r="D179" s="8">
        <v>44857.0</v>
      </c>
      <c r="E179" s="8">
        <v>44838.0</v>
      </c>
      <c r="F179" s="8">
        <v>44854.0</v>
      </c>
      <c r="G179" s="6">
        <v>32.0</v>
      </c>
      <c r="H179" s="9">
        <v>25.6</v>
      </c>
      <c r="I179" s="10">
        <v>40.0</v>
      </c>
      <c r="J179" s="11">
        <v>0.1</v>
      </c>
      <c r="K179" s="9">
        <v>74.16</v>
      </c>
      <c r="L179" s="7" t="s">
        <v>17</v>
      </c>
    </row>
    <row r="180" ht="15.75" customHeight="1">
      <c r="A180" s="6">
        <v>10314.0</v>
      </c>
      <c r="B180" s="7" t="s">
        <v>28</v>
      </c>
      <c r="C180" s="8">
        <v>44829.0</v>
      </c>
      <c r="D180" s="8">
        <v>44857.0</v>
      </c>
      <c r="E180" s="8">
        <v>44838.0</v>
      </c>
      <c r="F180" s="8">
        <v>44854.0</v>
      </c>
      <c r="G180" s="6">
        <v>58.0</v>
      </c>
      <c r="H180" s="9">
        <v>10.6</v>
      </c>
      <c r="I180" s="10">
        <v>30.0</v>
      </c>
      <c r="J180" s="11">
        <v>0.1</v>
      </c>
      <c r="K180" s="9">
        <v>74.16</v>
      </c>
      <c r="L180" s="7" t="s">
        <v>17</v>
      </c>
    </row>
    <row r="181" ht="15.75" customHeight="1">
      <c r="A181" s="6">
        <v>10314.0</v>
      </c>
      <c r="B181" s="7" t="s">
        <v>28</v>
      </c>
      <c r="C181" s="8">
        <v>44829.0</v>
      </c>
      <c r="D181" s="8">
        <v>44857.0</v>
      </c>
      <c r="E181" s="8">
        <v>44838.0</v>
      </c>
      <c r="F181" s="8">
        <v>44854.0</v>
      </c>
      <c r="G181" s="6">
        <v>62.0</v>
      </c>
      <c r="H181" s="9">
        <v>39.4</v>
      </c>
      <c r="I181" s="10">
        <v>25.0</v>
      </c>
      <c r="J181" s="11">
        <v>0.1</v>
      </c>
      <c r="K181" s="9">
        <v>74.16</v>
      </c>
      <c r="L181" s="7" t="s">
        <v>17</v>
      </c>
    </row>
    <row r="182" ht="15.75" customHeight="1">
      <c r="A182" s="6">
        <v>10315.0</v>
      </c>
      <c r="B182" s="7" t="s">
        <v>57</v>
      </c>
      <c r="C182" s="8">
        <v>44830.0</v>
      </c>
      <c r="D182" s="8">
        <v>44858.0</v>
      </c>
      <c r="E182" s="8">
        <v>44837.0</v>
      </c>
      <c r="F182" s="8">
        <v>44845.0</v>
      </c>
      <c r="G182" s="6">
        <v>34.0</v>
      </c>
      <c r="H182" s="9">
        <v>11.2</v>
      </c>
      <c r="I182" s="10">
        <v>14.0</v>
      </c>
      <c r="J182" s="11">
        <v>0.0</v>
      </c>
      <c r="K182" s="9">
        <v>41.76</v>
      </c>
      <c r="L182" s="7" t="s">
        <v>17</v>
      </c>
    </row>
    <row r="183" ht="15.75" customHeight="1">
      <c r="A183" s="6">
        <v>10315.0</v>
      </c>
      <c r="B183" s="7" t="s">
        <v>57</v>
      </c>
      <c r="C183" s="8">
        <v>44830.0</v>
      </c>
      <c r="D183" s="8">
        <v>44858.0</v>
      </c>
      <c r="E183" s="8">
        <v>44837.0</v>
      </c>
      <c r="F183" s="8">
        <v>44845.0</v>
      </c>
      <c r="G183" s="6">
        <v>70.0</v>
      </c>
      <c r="H183" s="9">
        <v>12.0</v>
      </c>
      <c r="I183" s="10">
        <v>30.0</v>
      </c>
      <c r="J183" s="11">
        <v>0.0</v>
      </c>
      <c r="K183" s="9">
        <v>41.76</v>
      </c>
      <c r="L183" s="7" t="s">
        <v>17</v>
      </c>
    </row>
    <row r="184" ht="15.75" customHeight="1">
      <c r="A184" s="6">
        <v>10316.0</v>
      </c>
      <c r="B184" s="7" t="s">
        <v>28</v>
      </c>
      <c r="C184" s="8">
        <v>44831.0</v>
      </c>
      <c r="D184" s="8">
        <v>44859.0</v>
      </c>
      <c r="E184" s="8">
        <v>44842.0</v>
      </c>
      <c r="F184" s="8">
        <v>44856.0</v>
      </c>
      <c r="G184" s="6">
        <v>41.0</v>
      </c>
      <c r="H184" s="9">
        <v>7.7</v>
      </c>
      <c r="I184" s="10">
        <v>10.0</v>
      </c>
      <c r="J184" s="11">
        <v>0.0</v>
      </c>
      <c r="K184" s="9">
        <v>150.15</v>
      </c>
      <c r="L184" s="7" t="s">
        <v>13</v>
      </c>
    </row>
    <row r="185" ht="15.75" customHeight="1">
      <c r="A185" s="6">
        <v>10316.0</v>
      </c>
      <c r="B185" s="7" t="s">
        <v>28</v>
      </c>
      <c r="C185" s="8">
        <v>44831.0</v>
      </c>
      <c r="D185" s="8">
        <v>44859.0</v>
      </c>
      <c r="E185" s="8">
        <v>44842.0</v>
      </c>
      <c r="F185" s="8">
        <v>44856.0</v>
      </c>
      <c r="G185" s="6">
        <v>62.0</v>
      </c>
      <c r="H185" s="9">
        <v>39.4</v>
      </c>
      <c r="I185" s="10">
        <v>70.0</v>
      </c>
      <c r="J185" s="11">
        <v>0.0</v>
      </c>
      <c r="K185" s="9">
        <v>150.15</v>
      </c>
      <c r="L185" s="7" t="s">
        <v>13</v>
      </c>
    </row>
    <row r="186" ht="15.75" customHeight="1">
      <c r="A186" s="6">
        <v>10317.0</v>
      </c>
      <c r="B186" s="7" t="s">
        <v>53</v>
      </c>
      <c r="C186" s="8">
        <v>44834.0</v>
      </c>
      <c r="D186" s="8">
        <v>44862.0</v>
      </c>
      <c r="E186" s="8">
        <v>44844.0</v>
      </c>
      <c r="F186" s="8">
        <v>44856.0</v>
      </c>
      <c r="G186" s="6">
        <v>1.0</v>
      </c>
      <c r="H186" s="9">
        <v>14.4</v>
      </c>
      <c r="I186" s="10">
        <v>20.0</v>
      </c>
      <c r="J186" s="11">
        <v>0.0</v>
      </c>
      <c r="K186" s="9">
        <v>12.69</v>
      </c>
      <c r="L186" s="7" t="s">
        <v>15</v>
      </c>
    </row>
    <row r="187" ht="15.75" customHeight="1">
      <c r="A187" s="6">
        <v>10318.0</v>
      </c>
      <c r="B187" s="7" t="s">
        <v>57</v>
      </c>
      <c r="C187" s="8">
        <v>44835.0</v>
      </c>
      <c r="D187" s="8">
        <v>44863.0</v>
      </c>
      <c r="E187" s="8">
        <v>44838.0</v>
      </c>
      <c r="F187" s="8">
        <v>44849.0</v>
      </c>
      <c r="G187" s="6">
        <v>41.0</v>
      </c>
      <c r="H187" s="9">
        <v>7.7</v>
      </c>
      <c r="I187" s="10">
        <v>20.0</v>
      </c>
      <c r="J187" s="11">
        <v>0.0</v>
      </c>
      <c r="K187" s="9">
        <v>4.73</v>
      </c>
      <c r="L187" s="7" t="s">
        <v>17</v>
      </c>
    </row>
    <row r="188" ht="15.75" customHeight="1">
      <c r="A188" s="6">
        <v>10318.0</v>
      </c>
      <c r="B188" s="7" t="s">
        <v>57</v>
      </c>
      <c r="C188" s="8">
        <v>44835.0</v>
      </c>
      <c r="D188" s="8">
        <v>44863.0</v>
      </c>
      <c r="E188" s="8">
        <v>44838.0</v>
      </c>
      <c r="F188" s="8">
        <v>44849.0</v>
      </c>
      <c r="G188" s="6">
        <v>76.0</v>
      </c>
      <c r="H188" s="9">
        <v>14.4</v>
      </c>
      <c r="I188" s="10">
        <v>6.0</v>
      </c>
      <c r="J188" s="11">
        <v>0.0</v>
      </c>
      <c r="K188" s="9">
        <v>4.73</v>
      </c>
      <c r="L188" s="7" t="s">
        <v>17</v>
      </c>
    </row>
    <row r="189" ht="15.75" customHeight="1">
      <c r="A189" s="6">
        <v>10319.0</v>
      </c>
      <c r="B189" s="7" t="s">
        <v>38</v>
      </c>
      <c r="C189" s="8">
        <v>44836.0</v>
      </c>
      <c r="D189" s="8">
        <v>44864.0</v>
      </c>
      <c r="E189" s="8">
        <v>44845.0</v>
      </c>
      <c r="F189" s="8">
        <v>44859.0</v>
      </c>
      <c r="G189" s="6">
        <v>17.0</v>
      </c>
      <c r="H189" s="9">
        <v>31.2</v>
      </c>
      <c r="I189" s="10">
        <v>8.0</v>
      </c>
      <c r="J189" s="11">
        <v>0.0</v>
      </c>
      <c r="K189" s="9">
        <v>64.5</v>
      </c>
      <c r="L189" s="7" t="s">
        <v>13</v>
      </c>
    </row>
    <row r="190" ht="15.75" customHeight="1">
      <c r="A190" s="6">
        <v>10319.0</v>
      </c>
      <c r="B190" s="7" t="s">
        <v>38</v>
      </c>
      <c r="C190" s="8">
        <v>44836.0</v>
      </c>
      <c r="D190" s="8">
        <v>44864.0</v>
      </c>
      <c r="E190" s="8">
        <v>44845.0</v>
      </c>
      <c r="F190" s="8">
        <v>44859.0</v>
      </c>
      <c r="G190" s="6">
        <v>28.0</v>
      </c>
      <c r="H190" s="9">
        <v>36.4</v>
      </c>
      <c r="I190" s="10">
        <v>14.0</v>
      </c>
      <c r="J190" s="11">
        <v>0.0</v>
      </c>
      <c r="K190" s="9">
        <v>64.5</v>
      </c>
      <c r="L190" s="7" t="s">
        <v>13</v>
      </c>
    </row>
    <row r="191" ht="15.75" customHeight="1">
      <c r="A191" s="6">
        <v>10319.0</v>
      </c>
      <c r="B191" s="7" t="s">
        <v>38</v>
      </c>
      <c r="C191" s="8">
        <v>44836.0</v>
      </c>
      <c r="D191" s="8">
        <v>44864.0</v>
      </c>
      <c r="E191" s="8">
        <v>44845.0</v>
      </c>
      <c r="F191" s="8">
        <v>44859.0</v>
      </c>
      <c r="G191" s="6">
        <v>76.0</v>
      </c>
      <c r="H191" s="9">
        <v>14.4</v>
      </c>
      <c r="I191" s="10">
        <v>30.0</v>
      </c>
      <c r="J191" s="11">
        <v>0.0</v>
      </c>
      <c r="K191" s="9">
        <v>64.5</v>
      </c>
      <c r="L191" s="7" t="s">
        <v>13</v>
      </c>
    </row>
    <row r="192" ht="15.75" customHeight="1">
      <c r="A192" s="6">
        <v>10320.0</v>
      </c>
      <c r="B192" s="7" t="s">
        <v>31</v>
      </c>
      <c r="C192" s="8">
        <v>44837.0</v>
      </c>
      <c r="D192" s="8">
        <v>44851.0</v>
      </c>
      <c r="E192" s="8">
        <v>44852.0</v>
      </c>
      <c r="F192" s="8">
        <v>44862.0</v>
      </c>
      <c r="G192" s="6">
        <v>71.0</v>
      </c>
      <c r="H192" s="9">
        <v>17.2</v>
      </c>
      <c r="I192" s="10">
        <v>30.0</v>
      </c>
      <c r="J192" s="11">
        <v>0.0</v>
      </c>
      <c r="K192" s="9">
        <v>34.57</v>
      </c>
      <c r="L192" s="7" t="s">
        <v>13</v>
      </c>
    </row>
    <row r="193" ht="15.75" customHeight="1">
      <c r="A193" s="6">
        <v>10321.0</v>
      </c>
      <c r="B193" s="7" t="s">
        <v>57</v>
      </c>
      <c r="C193" s="8">
        <v>44837.0</v>
      </c>
      <c r="D193" s="8">
        <v>44865.0</v>
      </c>
      <c r="E193" s="8">
        <v>44845.0</v>
      </c>
      <c r="F193" s="8">
        <v>44855.0</v>
      </c>
      <c r="G193" s="6">
        <v>35.0</v>
      </c>
      <c r="H193" s="9">
        <v>14.4</v>
      </c>
      <c r="I193" s="10">
        <v>10.0</v>
      </c>
      <c r="J193" s="11">
        <v>0.0</v>
      </c>
      <c r="K193" s="9">
        <v>3.43</v>
      </c>
      <c r="L193" s="7" t="s">
        <v>17</v>
      </c>
    </row>
    <row r="194" ht="15.75" customHeight="1">
      <c r="A194" s="6">
        <v>10322.0</v>
      </c>
      <c r="B194" s="7" t="s">
        <v>58</v>
      </c>
      <c r="C194" s="8">
        <v>44838.0</v>
      </c>
      <c r="D194" s="8">
        <v>44866.0</v>
      </c>
      <c r="E194" s="8">
        <v>44857.0</v>
      </c>
      <c r="F194" s="8">
        <v>44869.0</v>
      </c>
      <c r="G194" s="6">
        <v>52.0</v>
      </c>
      <c r="H194" s="9">
        <v>5.6</v>
      </c>
      <c r="I194" s="10">
        <v>20.0</v>
      </c>
      <c r="J194" s="11">
        <v>0.0</v>
      </c>
      <c r="K194" s="9">
        <v>0.4</v>
      </c>
      <c r="L194" s="7" t="s">
        <v>13</v>
      </c>
    </row>
    <row r="195" ht="15.75" customHeight="1">
      <c r="A195" s="6">
        <v>10323.0</v>
      </c>
      <c r="B195" s="7" t="s">
        <v>59</v>
      </c>
      <c r="C195" s="8">
        <v>44841.0</v>
      </c>
      <c r="D195" s="8">
        <v>44869.0</v>
      </c>
      <c r="E195" s="8">
        <v>44848.0</v>
      </c>
      <c r="F195" s="8">
        <v>44852.0</v>
      </c>
      <c r="G195" s="6">
        <v>15.0</v>
      </c>
      <c r="H195" s="9">
        <v>12.4</v>
      </c>
      <c r="I195" s="10">
        <v>5.0</v>
      </c>
      <c r="J195" s="11">
        <v>0.0</v>
      </c>
      <c r="K195" s="9">
        <v>4.88</v>
      </c>
      <c r="L195" s="7" t="s">
        <v>15</v>
      </c>
    </row>
    <row r="196" ht="15.75" customHeight="1">
      <c r="A196" s="6">
        <v>10323.0</v>
      </c>
      <c r="B196" s="7" t="s">
        <v>59</v>
      </c>
      <c r="C196" s="8">
        <v>44841.0</v>
      </c>
      <c r="D196" s="8">
        <v>44869.0</v>
      </c>
      <c r="E196" s="8">
        <v>44848.0</v>
      </c>
      <c r="F196" s="8">
        <v>44852.0</v>
      </c>
      <c r="G196" s="6">
        <v>25.0</v>
      </c>
      <c r="H196" s="9">
        <v>11.2</v>
      </c>
      <c r="I196" s="10">
        <v>4.0</v>
      </c>
      <c r="J196" s="11">
        <v>0.0</v>
      </c>
      <c r="K196" s="9">
        <v>4.88</v>
      </c>
      <c r="L196" s="7" t="s">
        <v>15</v>
      </c>
    </row>
    <row r="197" ht="15.75" customHeight="1">
      <c r="A197" s="6">
        <v>10323.0</v>
      </c>
      <c r="B197" s="7" t="s">
        <v>59</v>
      </c>
      <c r="C197" s="8">
        <v>44841.0</v>
      </c>
      <c r="D197" s="8">
        <v>44869.0</v>
      </c>
      <c r="E197" s="8">
        <v>44848.0</v>
      </c>
      <c r="F197" s="8">
        <v>44852.0</v>
      </c>
      <c r="G197" s="6">
        <v>39.0</v>
      </c>
      <c r="H197" s="9">
        <v>14.4</v>
      </c>
      <c r="I197" s="10">
        <v>4.0</v>
      </c>
      <c r="J197" s="11">
        <v>0.0</v>
      </c>
      <c r="K197" s="9">
        <v>4.88</v>
      </c>
      <c r="L197" s="7" t="s">
        <v>15</v>
      </c>
    </row>
    <row r="198" ht="15.75" customHeight="1">
      <c r="A198" s="6">
        <v>10324.0</v>
      </c>
      <c r="B198" s="7" t="s">
        <v>60</v>
      </c>
      <c r="C198" s="8">
        <v>44842.0</v>
      </c>
      <c r="D198" s="8">
        <v>44870.0</v>
      </c>
      <c r="E198" s="8">
        <v>44844.0</v>
      </c>
      <c r="F198" s="8">
        <v>44859.0</v>
      </c>
      <c r="G198" s="6">
        <v>16.0</v>
      </c>
      <c r="H198" s="9">
        <v>13.9</v>
      </c>
      <c r="I198" s="10">
        <v>21.0</v>
      </c>
      <c r="J198" s="11">
        <v>0.15</v>
      </c>
      <c r="K198" s="9">
        <v>214.27</v>
      </c>
      <c r="L198" s="7" t="s">
        <v>15</v>
      </c>
    </row>
    <row r="199" ht="15.75" customHeight="1">
      <c r="A199" s="6">
        <v>10324.0</v>
      </c>
      <c r="B199" s="7" t="s">
        <v>60</v>
      </c>
      <c r="C199" s="8">
        <v>44842.0</v>
      </c>
      <c r="D199" s="8">
        <v>44870.0</v>
      </c>
      <c r="E199" s="8">
        <v>44844.0</v>
      </c>
      <c r="F199" s="8">
        <v>44859.0</v>
      </c>
      <c r="G199" s="6">
        <v>35.0</v>
      </c>
      <c r="H199" s="9">
        <v>14.4</v>
      </c>
      <c r="I199" s="10">
        <v>70.0</v>
      </c>
      <c r="J199" s="11">
        <v>0.15</v>
      </c>
      <c r="K199" s="9">
        <v>214.27</v>
      </c>
      <c r="L199" s="7" t="s">
        <v>15</v>
      </c>
    </row>
    <row r="200" ht="15.75" customHeight="1">
      <c r="A200" s="6">
        <v>10324.0</v>
      </c>
      <c r="B200" s="7" t="s">
        <v>60</v>
      </c>
      <c r="C200" s="8">
        <v>44842.0</v>
      </c>
      <c r="D200" s="8">
        <v>44870.0</v>
      </c>
      <c r="E200" s="8">
        <v>44844.0</v>
      </c>
      <c r="F200" s="8">
        <v>44859.0</v>
      </c>
      <c r="G200" s="6">
        <v>46.0</v>
      </c>
      <c r="H200" s="9">
        <v>9.6</v>
      </c>
      <c r="I200" s="10">
        <v>30.0</v>
      </c>
      <c r="J200" s="11">
        <v>0.0</v>
      </c>
      <c r="K200" s="9">
        <v>214.27</v>
      </c>
      <c r="L200" s="7" t="s">
        <v>15</v>
      </c>
    </row>
    <row r="201" ht="15.75" customHeight="1">
      <c r="A201" s="6">
        <v>10324.0</v>
      </c>
      <c r="B201" s="7" t="s">
        <v>60</v>
      </c>
      <c r="C201" s="8">
        <v>44842.0</v>
      </c>
      <c r="D201" s="8">
        <v>44870.0</v>
      </c>
      <c r="E201" s="8">
        <v>44844.0</v>
      </c>
      <c r="F201" s="8">
        <v>44859.0</v>
      </c>
      <c r="G201" s="6">
        <v>59.0</v>
      </c>
      <c r="H201" s="9">
        <v>44.0</v>
      </c>
      <c r="I201" s="10">
        <v>40.0</v>
      </c>
      <c r="J201" s="11">
        <v>0.15</v>
      </c>
      <c r="K201" s="9">
        <v>214.27</v>
      </c>
      <c r="L201" s="7" t="s">
        <v>15</v>
      </c>
    </row>
    <row r="202" ht="15.75" customHeight="1">
      <c r="A202" s="6">
        <v>10324.0</v>
      </c>
      <c r="B202" s="7" t="s">
        <v>60</v>
      </c>
      <c r="C202" s="8">
        <v>44842.0</v>
      </c>
      <c r="D202" s="8">
        <v>44870.0</v>
      </c>
      <c r="E202" s="8">
        <v>44844.0</v>
      </c>
      <c r="F202" s="8">
        <v>44859.0</v>
      </c>
      <c r="G202" s="6">
        <v>63.0</v>
      </c>
      <c r="H202" s="9">
        <v>35.1</v>
      </c>
      <c r="I202" s="10">
        <v>80.0</v>
      </c>
      <c r="J202" s="11">
        <v>0.15</v>
      </c>
      <c r="K202" s="9">
        <v>214.27</v>
      </c>
      <c r="L202" s="7" t="s">
        <v>15</v>
      </c>
    </row>
    <row r="203" ht="15.75" customHeight="1">
      <c r="A203" s="6">
        <v>10325.0</v>
      </c>
      <c r="B203" s="7" t="s">
        <v>59</v>
      </c>
      <c r="C203" s="8">
        <v>44843.0</v>
      </c>
      <c r="D203" s="8">
        <v>44857.0</v>
      </c>
      <c r="E203" s="8">
        <v>44848.0</v>
      </c>
      <c r="F203" s="8">
        <v>44852.0</v>
      </c>
      <c r="G203" s="6">
        <v>6.0</v>
      </c>
      <c r="H203" s="9">
        <v>20.0</v>
      </c>
      <c r="I203" s="10">
        <v>6.0</v>
      </c>
      <c r="J203" s="11">
        <v>0.0</v>
      </c>
      <c r="K203" s="9">
        <v>64.86</v>
      </c>
      <c r="L203" s="7" t="s">
        <v>13</v>
      </c>
    </row>
    <row r="204" ht="15.75" customHeight="1">
      <c r="A204" s="6">
        <v>10325.0</v>
      </c>
      <c r="B204" s="7" t="s">
        <v>59</v>
      </c>
      <c r="C204" s="8">
        <v>44843.0</v>
      </c>
      <c r="D204" s="8">
        <v>44857.0</v>
      </c>
      <c r="E204" s="8">
        <v>44848.0</v>
      </c>
      <c r="F204" s="8">
        <v>44852.0</v>
      </c>
      <c r="G204" s="6">
        <v>13.0</v>
      </c>
      <c r="H204" s="9">
        <v>4.8</v>
      </c>
      <c r="I204" s="10">
        <v>12.0</v>
      </c>
      <c r="J204" s="11">
        <v>0.0</v>
      </c>
      <c r="K204" s="9">
        <v>64.86</v>
      </c>
      <c r="L204" s="7" t="s">
        <v>13</v>
      </c>
    </row>
    <row r="205" ht="15.75" customHeight="1">
      <c r="A205" s="6">
        <v>10325.0</v>
      </c>
      <c r="B205" s="7" t="s">
        <v>59</v>
      </c>
      <c r="C205" s="8">
        <v>44843.0</v>
      </c>
      <c r="D205" s="8">
        <v>44857.0</v>
      </c>
      <c r="E205" s="8">
        <v>44848.0</v>
      </c>
      <c r="F205" s="8">
        <v>44852.0</v>
      </c>
      <c r="G205" s="6">
        <v>14.0</v>
      </c>
      <c r="H205" s="9">
        <v>18.6</v>
      </c>
      <c r="I205" s="10">
        <v>9.0</v>
      </c>
      <c r="J205" s="11">
        <v>0.0</v>
      </c>
      <c r="K205" s="9">
        <v>64.86</v>
      </c>
      <c r="L205" s="7" t="s">
        <v>13</v>
      </c>
    </row>
    <row r="206" ht="15.75" customHeight="1">
      <c r="A206" s="6">
        <v>10325.0</v>
      </c>
      <c r="B206" s="7" t="s">
        <v>59</v>
      </c>
      <c r="C206" s="8">
        <v>44843.0</v>
      </c>
      <c r="D206" s="8">
        <v>44857.0</v>
      </c>
      <c r="E206" s="8">
        <v>44848.0</v>
      </c>
      <c r="F206" s="8">
        <v>44852.0</v>
      </c>
      <c r="G206" s="6">
        <v>31.0</v>
      </c>
      <c r="H206" s="9">
        <v>10.0</v>
      </c>
      <c r="I206" s="10">
        <v>4.0</v>
      </c>
      <c r="J206" s="11">
        <v>0.0</v>
      </c>
      <c r="K206" s="9">
        <v>64.86</v>
      </c>
      <c r="L206" s="7" t="s">
        <v>13</v>
      </c>
    </row>
    <row r="207" ht="15.75" customHeight="1">
      <c r="A207" s="6">
        <v>10325.0</v>
      </c>
      <c r="B207" s="7" t="s">
        <v>59</v>
      </c>
      <c r="C207" s="8">
        <v>44843.0</v>
      </c>
      <c r="D207" s="8">
        <v>44857.0</v>
      </c>
      <c r="E207" s="8">
        <v>44848.0</v>
      </c>
      <c r="F207" s="8">
        <v>44852.0</v>
      </c>
      <c r="G207" s="6">
        <v>72.0</v>
      </c>
      <c r="H207" s="9">
        <v>27.8</v>
      </c>
      <c r="I207" s="10">
        <v>40.0</v>
      </c>
      <c r="J207" s="11">
        <v>0.0</v>
      </c>
      <c r="K207" s="9">
        <v>64.86</v>
      </c>
      <c r="L207" s="7" t="s">
        <v>13</v>
      </c>
    </row>
    <row r="208" ht="15.75" customHeight="1">
      <c r="A208" s="6">
        <v>10326.0</v>
      </c>
      <c r="B208" s="7" t="s">
        <v>61</v>
      </c>
      <c r="C208" s="8">
        <v>44844.0</v>
      </c>
      <c r="D208" s="8">
        <v>44872.0</v>
      </c>
      <c r="E208" s="8">
        <v>44848.0</v>
      </c>
      <c r="F208" s="8">
        <v>44861.0</v>
      </c>
      <c r="G208" s="6">
        <v>4.0</v>
      </c>
      <c r="H208" s="9">
        <v>17.6</v>
      </c>
      <c r="I208" s="10">
        <v>24.0</v>
      </c>
      <c r="J208" s="11">
        <v>0.0</v>
      </c>
      <c r="K208" s="9">
        <v>77.92</v>
      </c>
      <c r="L208" s="7" t="s">
        <v>17</v>
      </c>
    </row>
    <row r="209" ht="15.75" customHeight="1">
      <c r="A209" s="6">
        <v>10326.0</v>
      </c>
      <c r="B209" s="7" t="s">
        <v>61</v>
      </c>
      <c r="C209" s="8">
        <v>44844.0</v>
      </c>
      <c r="D209" s="8">
        <v>44872.0</v>
      </c>
      <c r="E209" s="8">
        <v>44848.0</v>
      </c>
      <c r="F209" s="8">
        <v>44861.0</v>
      </c>
      <c r="G209" s="6">
        <v>57.0</v>
      </c>
      <c r="H209" s="9">
        <v>15.6</v>
      </c>
      <c r="I209" s="10">
        <v>16.0</v>
      </c>
      <c r="J209" s="11">
        <v>0.0</v>
      </c>
      <c r="K209" s="9">
        <v>77.92</v>
      </c>
      <c r="L209" s="7" t="s">
        <v>17</v>
      </c>
    </row>
    <row r="210" ht="15.75" customHeight="1">
      <c r="A210" s="6">
        <v>10326.0</v>
      </c>
      <c r="B210" s="7" t="s">
        <v>61</v>
      </c>
      <c r="C210" s="8">
        <v>44844.0</v>
      </c>
      <c r="D210" s="8">
        <v>44872.0</v>
      </c>
      <c r="E210" s="8">
        <v>44848.0</v>
      </c>
      <c r="F210" s="8">
        <v>44861.0</v>
      </c>
      <c r="G210" s="6">
        <v>75.0</v>
      </c>
      <c r="H210" s="9">
        <v>6.2</v>
      </c>
      <c r="I210" s="10">
        <v>50.0</v>
      </c>
      <c r="J210" s="11">
        <v>0.0</v>
      </c>
      <c r="K210" s="9">
        <v>77.92</v>
      </c>
      <c r="L210" s="7" t="s">
        <v>17</v>
      </c>
    </row>
    <row r="211" ht="15.75" customHeight="1">
      <c r="A211" s="6">
        <v>10327.0</v>
      </c>
      <c r="B211" s="7" t="s">
        <v>29</v>
      </c>
      <c r="C211" s="8">
        <v>44845.0</v>
      </c>
      <c r="D211" s="8">
        <v>44873.0</v>
      </c>
      <c r="E211" s="8">
        <v>44848.0</v>
      </c>
      <c r="F211" s="8">
        <v>44857.0</v>
      </c>
      <c r="G211" s="6">
        <v>2.0</v>
      </c>
      <c r="H211" s="9">
        <v>15.2</v>
      </c>
      <c r="I211" s="10">
        <v>25.0</v>
      </c>
      <c r="J211" s="11">
        <v>0.2</v>
      </c>
      <c r="K211" s="9">
        <v>63.36</v>
      </c>
      <c r="L211" s="7" t="s">
        <v>15</v>
      </c>
    </row>
    <row r="212" ht="15.75" customHeight="1">
      <c r="A212" s="6">
        <v>10327.0</v>
      </c>
      <c r="B212" s="7" t="s">
        <v>29</v>
      </c>
      <c r="C212" s="8">
        <v>44845.0</v>
      </c>
      <c r="D212" s="8">
        <v>44873.0</v>
      </c>
      <c r="E212" s="8">
        <v>44848.0</v>
      </c>
      <c r="F212" s="8">
        <v>44857.0</v>
      </c>
      <c r="G212" s="6">
        <v>11.0</v>
      </c>
      <c r="H212" s="9">
        <v>16.8</v>
      </c>
      <c r="I212" s="10">
        <v>50.0</v>
      </c>
      <c r="J212" s="11">
        <v>0.2</v>
      </c>
      <c r="K212" s="9">
        <v>63.36</v>
      </c>
      <c r="L212" s="7" t="s">
        <v>15</v>
      </c>
    </row>
    <row r="213" ht="15.75" customHeight="1">
      <c r="A213" s="6">
        <v>10327.0</v>
      </c>
      <c r="B213" s="7" t="s">
        <v>29</v>
      </c>
      <c r="C213" s="8">
        <v>44845.0</v>
      </c>
      <c r="D213" s="8">
        <v>44873.0</v>
      </c>
      <c r="E213" s="8">
        <v>44848.0</v>
      </c>
      <c r="F213" s="8">
        <v>44857.0</v>
      </c>
      <c r="G213" s="6">
        <v>30.0</v>
      </c>
      <c r="H213" s="9">
        <v>20.7</v>
      </c>
      <c r="I213" s="10">
        <v>35.0</v>
      </c>
      <c r="J213" s="11">
        <v>0.2</v>
      </c>
      <c r="K213" s="9">
        <v>63.36</v>
      </c>
      <c r="L213" s="7" t="s">
        <v>15</v>
      </c>
    </row>
    <row r="214" ht="15.75" customHeight="1">
      <c r="A214" s="6">
        <v>10327.0</v>
      </c>
      <c r="B214" s="7" t="s">
        <v>29</v>
      </c>
      <c r="C214" s="8">
        <v>44845.0</v>
      </c>
      <c r="D214" s="8">
        <v>44873.0</v>
      </c>
      <c r="E214" s="8">
        <v>44848.0</v>
      </c>
      <c r="F214" s="8">
        <v>44857.0</v>
      </c>
      <c r="G214" s="6">
        <v>58.0</v>
      </c>
      <c r="H214" s="9">
        <v>10.6</v>
      </c>
      <c r="I214" s="10">
        <v>30.0</v>
      </c>
      <c r="J214" s="11">
        <v>0.2</v>
      </c>
      <c r="K214" s="9">
        <v>63.36</v>
      </c>
      <c r="L214" s="7" t="s">
        <v>15</v>
      </c>
    </row>
    <row r="215" ht="15.75" customHeight="1">
      <c r="A215" s="6">
        <v>10328.0</v>
      </c>
      <c r="B215" s="7" t="s">
        <v>62</v>
      </c>
      <c r="C215" s="8">
        <v>44848.0</v>
      </c>
      <c r="D215" s="8">
        <v>44876.0</v>
      </c>
      <c r="E215" s="8">
        <v>44851.0</v>
      </c>
      <c r="F215" s="8">
        <v>44861.0</v>
      </c>
      <c r="G215" s="6">
        <v>59.0</v>
      </c>
      <c r="H215" s="9">
        <v>44.0</v>
      </c>
      <c r="I215" s="10">
        <v>9.0</v>
      </c>
      <c r="J215" s="11">
        <v>0.0</v>
      </c>
      <c r="K215" s="9">
        <v>87.03</v>
      </c>
      <c r="L215" s="7" t="s">
        <v>13</v>
      </c>
    </row>
    <row r="216" ht="15.75" customHeight="1">
      <c r="A216" s="6">
        <v>10328.0</v>
      </c>
      <c r="B216" s="7" t="s">
        <v>62</v>
      </c>
      <c r="C216" s="8">
        <v>44848.0</v>
      </c>
      <c r="D216" s="8">
        <v>44876.0</v>
      </c>
      <c r="E216" s="8">
        <v>44851.0</v>
      </c>
      <c r="F216" s="8">
        <v>44861.0</v>
      </c>
      <c r="G216" s="6">
        <v>65.0</v>
      </c>
      <c r="H216" s="9">
        <v>16.8</v>
      </c>
      <c r="I216" s="10">
        <v>40.0</v>
      </c>
      <c r="J216" s="11">
        <v>0.0</v>
      </c>
      <c r="K216" s="9">
        <v>87.03</v>
      </c>
      <c r="L216" s="7" t="s">
        <v>13</v>
      </c>
    </row>
    <row r="217" ht="15.75" customHeight="1">
      <c r="A217" s="6">
        <v>10328.0</v>
      </c>
      <c r="B217" s="7" t="s">
        <v>62</v>
      </c>
      <c r="C217" s="8">
        <v>44848.0</v>
      </c>
      <c r="D217" s="8">
        <v>44876.0</v>
      </c>
      <c r="E217" s="8">
        <v>44851.0</v>
      </c>
      <c r="F217" s="8">
        <v>44861.0</v>
      </c>
      <c r="G217" s="6">
        <v>68.0</v>
      </c>
      <c r="H217" s="9">
        <v>10.0</v>
      </c>
      <c r="I217" s="10">
        <v>10.0</v>
      </c>
      <c r="J217" s="11">
        <v>0.0</v>
      </c>
      <c r="K217" s="9">
        <v>87.03</v>
      </c>
      <c r="L217" s="7" t="s">
        <v>13</v>
      </c>
    </row>
    <row r="218" ht="15.75" customHeight="1">
      <c r="A218" s="6">
        <v>10329.0</v>
      </c>
      <c r="B218" s="7" t="s">
        <v>35</v>
      </c>
      <c r="C218" s="8">
        <v>44849.0</v>
      </c>
      <c r="D218" s="8">
        <v>44891.0</v>
      </c>
      <c r="E218" s="8">
        <v>44857.0</v>
      </c>
      <c r="F218" s="8">
        <v>44875.0</v>
      </c>
      <c r="G218" s="6">
        <v>19.0</v>
      </c>
      <c r="H218" s="9">
        <v>7.3</v>
      </c>
      <c r="I218" s="10">
        <v>10.0</v>
      </c>
      <c r="J218" s="11">
        <v>0.05</v>
      </c>
      <c r="K218" s="9">
        <v>191.67</v>
      </c>
      <c r="L218" s="7" t="s">
        <v>17</v>
      </c>
    </row>
    <row r="219" ht="15.75" customHeight="1">
      <c r="A219" s="6">
        <v>10329.0</v>
      </c>
      <c r="B219" s="7" t="s">
        <v>35</v>
      </c>
      <c r="C219" s="8">
        <v>44849.0</v>
      </c>
      <c r="D219" s="8">
        <v>44891.0</v>
      </c>
      <c r="E219" s="8">
        <v>44857.0</v>
      </c>
      <c r="F219" s="8">
        <v>44875.0</v>
      </c>
      <c r="G219" s="6">
        <v>30.0</v>
      </c>
      <c r="H219" s="9">
        <v>20.7</v>
      </c>
      <c r="I219" s="10">
        <v>8.0</v>
      </c>
      <c r="J219" s="11">
        <v>0.05</v>
      </c>
      <c r="K219" s="9">
        <v>191.67</v>
      </c>
      <c r="L219" s="7" t="s">
        <v>17</v>
      </c>
    </row>
    <row r="220" ht="15.75" customHeight="1">
      <c r="A220" s="6">
        <v>10329.0</v>
      </c>
      <c r="B220" s="7" t="s">
        <v>35</v>
      </c>
      <c r="C220" s="8">
        <v>44849.0</v>
      </c>
      <c r="D220" s="8">
        <v>44891.0</v>
      </c>
      <c r="E220" s="8">
        <v>44857.0</v>
      </c>
      <c r="F220" s="8">
        <v>44875.0</v>
      </c>
      <c r="G220" s="6">
        <v>38.0</v>
      </c>
      <c r="H220" s="9">
        <v>210.8</v>
      </c>
      <c r="I220" s="10">
        <v>20.0</v>
      </c>
      <c r="J220" s="11">
        <v>0.05</v>
      </c>
      <c r="K220" s="9">
        <v>191.67</v>
      </c>
      <c r="L220" s="7" t="s">
        <v>17</v>
      </c>
    </row>
    <row r="221" ht="15.75" customHeight="1">
      <c r="A221" s="6">
        <v>10329.0</v>
      </c>
      <c r="B221" s="7" t="s">
        <v>35</v>
      </c>
      <c r="C221" s="8">
        <v>44849.0</v>
      </c>
      <c r="D221" s="8">
        <v>44891.0</v>
      </c>
      <c r="E221" s="8">
        <v>44857.0</v>
      </c>
      <c r="F221" s="8">
        <v>44875.0</v>
      </c>
      <c r="G221" s="6">
        <v>56.0</v>
      </c>
      <c r="H221" s="9">
        <v>30.4</v>
      </c>
      <c r="I221" s="10">
        <v>12.0</v>
      </c>
      <c r="J221" s="11">
        <v>0.05</v>
      </c>
      <c r="K221" s="9">
        <v>191.67</v>
      </c>
      <c r="L221" s="7" t="s">
        <v>17</v>
      </c>
    </row>
    <row r="222" ht="15.75" customHeight="1">
      <c r="A222" s="6">
        <v>10330.0</v>
      </c>
      <c r="B222" s="7" t="s">
        <v>43</v>
      </c>
      <c r="C222" s="8">
        <v>44850.0</v>
      </c>
      <c r="D222" s="8">
        <v>44878.0</v>
      </c>
      <c r="E222" s="8">
        <v>44862.0</v>
      </c>
      <c r="F222" s="8">
        <v>44873.0</v>
      </c>
      <c r="G222" s="6">
        <v>26.0</v>
      </c>
      <c r="H222" s="9">
        <v>24.9</v>
      </c>
      <c r="I222" s="10">
        <v>50.0</v>
      </c>
      <c r="J222" s="11">
        <v>0.15</v>
      </c>
      <c r="K222" s="9">
        <v>12.75</v>
      </c>
      <c r="L222" s="7" t="s">
        <v>15</v>
      </c>
    </row>
    <row r="223" ht="15.75" customHeight="1">
      <c r="A223" s="6">
        <v>10330.0</v>
      </c>
      <c r="B223" s="7" t="s">
        <v>43</v>
      </c>
      <c r="C223" s="8">
        <v>44850.0</v>
      </c>
      <c r="D223" s="8">
        <v>44878.0</v>
      </c>
      <c r="E223" s="8">
        <v>44862.0</v>
      </c>
      <c r="F223" s="8">
        <v>44873.0</v>
      </c>
      <c r="G223" s="6">
        <v>72.0</v>
      </c>
      <c r="H223" s="9">
        <v>27.8</v>
      </c>
      <c r="I223" s="10">
        <v>25.0</v>
      </c>
      <c r="J223" s="11">
        <v>0.15</v>
      </c>
      <c r="K223" s="9">
        <v>12.75</v>
      </c>
      <c r="L223" s="7" t="s">
        <v>15</v>
      </c>
    </row>
    <row r="224" ht="15.75" customHeight="1">
      <c r="A224" s="6">
        <v>10331.0</v>
      </c>
      <c r="B224" s="7" t="s">
        <v>63</v>
      </c>
      <c r="C224" s="8">
        <v>44850.0</v>
      </c>
      <c r="D224" s="8">
        <v>44892.0</v>
      </c>
      <c r="E224" s="8">
        <v>44855.0</v>
      </c>
      <c r="F224" s="8">
        <v>44858.0</v>
      </c>
      <c r="G224" s="6">
        <v>54.0</v>
      </c>
      <c r="H224" s="9">
        <v>5.9</v>
      </c>
      <c r="I224" s="10">
        <v>15.0</v>
      </c>
      <c r="J224" s="11">
        <v>0.0</v>
      </c>
      <c r="K224" s="9">
        <v>10.19</v>
      </c>
      <c r="L224" s="7" t="s">
        <v>15</v>
      </c>
    </row>
    <row r="225" ht="15.75" customHeight="1">
      <c r="A225" s="6">
        <v>10332.0</v>
      </c>
      <c r="B225" s="7" t="s">
        <v>64</v>
      </c>
      <c r="C225" s="8">
        <v>44851.0</v>
      </c>
      <c r="D225" s="8">
        <v>44893.0</v>
      </c>
      <c r="E225" s="8">
        <v>44855.0</v>
      </c>
      <c r="F225" s="8">
        <v>44872.0</v>
      </c>
      <c r="G225" s="6">
        <v>18.0</v>
      </c>
      <c r="H225" s="9">
        <v>50.0</v>
      </c>
      <c r="I225" s="10">
        <v>40.0</v>
      </c>
      <c r="J225" s="11">
        <v>0.2</v>
      </c>
      <c r="K225" s="9">
        <v>52.84</v>
      </c>
      <c r="L225" s="7" t="s">
        <v>17</v>
      </c>
    </row>
    <row r="226" ht="15.75" customHeight="1">
      <c r="A226" s="6">
        <v>10332.0</v>
      </c>
      <c r="B226" s="7" t="s">
        <v>64</v>
      </c>
      <c r="C226" s="8">
        <v>44851.0</v>
      </c>
      <c r="D226" s="8">
        <v>44893.0</v>
      </c>
      <c r="E226" s="8">
        <v>44855.0</v>
      </c>
      <c r="F226" s="8">
        <v>44872.0</v>
      </c>
      <c r="G226" s="6">
        <v>42.0</v>
      </c>
      <c r="H226" s="9">
        <v>11.2</v>
      </c>
      <c r="I226" s="10">
        <v>10.0</v>
      </c>
      <c r="J226" s="11">
        <v>0.2</v>
      </c>
      <c r="K226" s="9">
        <v>52.84</v>
      </c>
      <c r="L226" s="7" t="s">
        <v>17</v>
      </c>
    </row>
    <row r="227" ht="15.75" customHeight="1">
      <c r="A227" s="6">
        <v>10332.0</v>
      </c>
      <c r="B227" s="7" t="s">
        <v>64</v>
      </c>
      <c r="C227" s="8">
        <v>44851.0</v>
      </c>
      <c r="D227" s="8">
        <v>44893.0</v>
      </c>
      <c r="E227" s="8">
        <v>44855.0</v>
      </c>
      <c r="F227" s="8">
        <v>44872.0</v>
      </c>
      <c r="G227" s="6">
        <v>47.0</v>
      </c>
      <c r="H227" s="9">
        <v>7.6</v>
      </c>
      <c r="I227" s="10">
        <v>16.0</v>
      </c>
      <c r="J227" s="11">
        <v>0.2</v>
      </c>
      <c r="K227" s="9">
        <v>52.84</v>
      </c>
      <c r="L227" s="7" t="s">
        <v>17</v>
      </c>
    </row>
    <row r="228" ht="15.75" customHeight="1">
      <c r="A228" s="6">
        <v>10333.0</v>
      </c>
      <c r="B228" s="7" t="s">
        <v>31</v>
      </c>
      <c r="C228" s="8">
        <v>44852.0</v>
      </c>
      <c r="D228" s="8">
        <v>44880.0</v>
      </c>
      <c r="E228" s="8">
        <v>44859.0</v>
      </c>
      <c r="F228" s="8">
        <v>44873.0</v>
      </c>
      <c r="G228" s="6">
        <v>14.0</v>
      </c>
      <c r="H228" s="9">
        <v>18.6</v>
      </c>
      <c r="I228" s="10">
        <v>10.0</v>
      </c>
      <c r="J228" s="11">
        <v>0.0</v>
      </c>
      <c r="K228" s="9">
        <v>0.59</v>
      </c>
      <c r="L228" s="7" t="s">
        <v>13</v>
      </c>
    </row>
    <row r="229" ht="15.75" customHeight="1">
      <c r="A229" s="6">
        <v>10333.0</v>
      </c>
      <c r="B229" s="7" t="s">
        <v>31</v>
      </c>
      <c r="C229" s="8">
        <v>44852.0</v>
      </c>
      <c r="D229" s="8">
        <v>44880.0</v>
      </c>
      <c r="E229" s="8">
        <v>44859.0</v>
      </c>
      <c r="F229" s="8">
        <v>44873.0</v>
      </c>
      <c r="G229" s="6">
        <v>21.0</v>
      </c>
      <c r="H229" s="9">
        <v>8.0</v>
      </c>
      <c r="I229" s="10">
        <v>10.0</v>
      </c>
      <c r="J229" s="11">
        <v>0.1</v>
      </c>
      <c r="K229" s="9">
        <v>0.59</v>
      </c>
      <c r="L229" s="7" t="s">
        <v>13</v>
      </c>
    </row>
    <row r="230" ht="15.75" customHeight="1">
      <c r="A230" s="6">
        <v>10333.0</v>
      </c>
      <c r="B230" s="7" t="s">
        <v>31</v>
      </c>
      <c r="C230" s="8">
        <v>44852.0</v>
      </c>
      <c r="D230" s="8">
        <v>44880.0</v>
      </c>
      <c r="E230" s="8">
        <v>44859.0</v>
      </c>
      <c r="F230" s="8">
        <v>44873.0</v>
      </c>
      <c r="G230" s="6">
        <v>71.0</v>
      </c>
      <c r="H230" s="9">
        <v>17.2</v>
      </c>
      <c r="I230" s="10">
        <v>40.0</v>
      </c>
      <c r="J230" s="11">
        <v>0.1</v>
      </c>
      <c r="K230" s="9">
        <v>0.59</v>
      </c>
      <c r="L230" s="7" t="s">
        <v>13</v>
      </c>
    </row>
    <row r="231" ht="15.75" customHeight="1">
      <c r="A231" s="6">
        <v>10334.0</v>
      </c>
      <c r="B231" s="7" t="s">
        <v>18</v>
      </c>
      <c r="C231" s="8">
        <v>44855.0</v>
      </c>
      <c r="D231" s="8">
        <v>44883.0</v>
      </c>
      <c r="E231" s="8">
        <v>44862.0</v>
      </c>
      <c r="F231" s="8">
        <v>44873.0</v>
      </c>
      <c r="G231" s="6">
        <v>52.0</v>
      </c>
      <c r="H231" s="9">
        <v>5.6</v>
      </c>
      <c r="I231" s="10">
        <v>8.0</v>
      </c>
      <c r="J231" s="11">
        <v>0.0</v>
      </c>
      <c r="K231" s="9">
        <v>8.56</v>
      </c>
      <c r="L231" s="7" t="s">
        <v>17</v>
      </c>
    </row>
    <row r="232" ht="15.75" customHeight="1">
      <c r="A232" s="6">
        <v>10334.0</v>
      </c>
      <c r="B232" s="7" t="s">
        <v>18</v>
      </c>
      <c r="C232" s="8">
        <v>44855.0</v>
      </c>
      <c r="D232" s="8">
        <v>44883.0</v>
      </c>
      <c r="E232" s="8">
        <v>44862.0</v>
      </c>
      <c r="F232" s="8">
        <v>44873.0</v>
      </c>
      <c r="G232" s="6">
        <v>68.0</v>
      </c>
      <c r="H232" s="9">
        <v>10.0</v>
      </c>
      <c r="I232" s="10">
        <v>10.0</v>
      </c>
      <c r="J232" s="11">
        <v>0.0</v>
      </c>
      <c r="K232" s="9">
        <v>8.56</v>
      </c>
      <c r="L232" s="7" t="s">
        <v>17</v>
      </c>
    </row>
    <row r="233" ht="15.75" customHeight="1">
      <c r="A233" s="6">
        <v>10335.0</v>
      </c>
      <c r="B233" s="7" t="s">
        <v>49</v>
      </c>
      <c r="C233" s="8">
        <v>44856.0</v>
      </c>
      <c r="D233" s="8">
        <v>44884.0</v>
      </c>
      <c r="E233" s="8">
        <v>44858.0</v>
      </c>
      <c r="F233" s="8">
        <v>44872.0</v>
      </c>
      <c r="G233" s="6">
        <v>2.0</v>
      </c>
      <c r="H233" s="9">
        <v>15.2</v>
      </c>
      <c r="I233" s="10">
        <v>7.0</v>
      </c>
      <c r="J233" s="11">
        <v>0.2</v>
      </c>
      <c r="K233" s="9">
        <v>42.11</v>
      </c>
      <c r="L233" s="7" t="s">
        <v>17</v>
      </c>
    </row>
    <row r="234" ht="15.75" customHeight="1">
      <c r="A234" s="6">
        <v>10335.0</v>
      </c>
      <c r="B234" s="7" t="s">
        <v>49</v>
      </c>
      <c r="C234" s="8">
        <v>44856.0</v>
      </c>
      <c r="D234" s="8">
        <v>44884.0</v>
      </c>
      <c r="E234" s="8">
        <v>44858.0</v>
      </c>
      <c r="F234" s="8">
        <v>44872.0</v>
      </c>
      <c r="G234" s="6">
        <v>31.0</v>
      </c>
      <c r="H234" s="9">
        <v>10.0</v>
      </c>
      <c r="I234" s="10">
        <v>25.0</v>
      </c>
      <c r="J234" s="11">
        <v>0.2</v>
      </c>
      <c r="K234" s="9">
        <v>42.11</v>
      </c>
      <c r="L234" s="7" t="s">
        <v>17</v>
      </c>
    </row>
    <row r="235" ht="15.75" customHeight="1">
      <c r="A235" s="6">
        <v>10335.0</v>
      </c>
      <c r="B235" s="7" t="s">
        <v>49</v>
      </c>
      <c r="C235" s="8">
        <v>44856.0</v>
      </c>
      <c r="D235" s="8">
        <v>44884.0</v>
      </c>
      <c r="E235" s="8">
        <v>44858.0</v>
      </c>
      <c r="F235" s="8">
        <v>44872.0</v>
      </c>
      <c r="G235" s="6">
        <v>32.0</v>
      </c>
      <c r="H235" s="9">
        <v>25.6</v>
      </c>
      <c r="I235" s="10">
        <v>6.0</v>
      </c>
      <c r="J235" s="11">
        <v>0.2</v>
      </c>
      <c r="K235" s="9">
        <v>42.11</v>
      </c>
      <c r="L235" s="7" t="s">
        <v>17</v>
      </c>
    </row>
    <row r="236" ht="15.75" customHeight="1">
      <c r="A236" s="6">
        <v>10335.0</v>
      </c>
      <c r="B236" s="7" t="s">
        <v>49</v>
      </c>
      <c r="C236" s="8">
        <v>44856.0</v>
      </c>
      <c r="D236" s="8">
        <v>44884.0</v>
      </c>
      <c r="E236" s="8">
        <v>44858.0</v>
      </c>
      <c r="F236" s="8">
        <v>44872.0</v>
      </c>
      <c r="G236" s="6">
        <v>51.0</v>
      </c>
      <c r="H236" s="9">
        <v>42.4</v>
      </c>
      <c r="I236" s="10">
        <v>48.0</v>
      </c>
      <c r="J236" s="11">
        <v>0.2</v>
      </c>
      <c r="K236" s="9">
        <v>42.11</v>
      </c>
      <c r="L236" s="7" t="s">
        <v>17</v>
      </c>
    </row>
    <row r="237" ht="15.75" customHeight="1">
      <c r="A237" s="6">
        <v>10336.0</v>
      </c>
      <c r="B237" s="7" t="s">
        <v>65</v>
      </c>
      <c r="C237" s="8">
        <v>44857.0</v>
      </c>
      <c r="D237" s="8">
        <v>44885.0</v>
      </c>
      <c r="E237" s="8">
        <v>44859.0</v>
      </c>
      <c r="F237" s="8">
        <v>44874.0</v>
      </c>
      <c r="G237" s="6">
        <v>4.0</v>
      </c>
      <c r="H237" s="9">
        <v>17.6</v>
      </c>
      <c r="I237" s="10">
        <v>18.0</v>
      </c>
      <c r="J237" s="11">
        <v>0.1</v>
      </c>
      <c r="K237" s="9">
        <v>15.51</v>
      </c>
      <c r="L237" s="7" t="s">
        <v>17</v>
      </c>
    </row>
    <row r="238" ht="15.75" customHeight="1">
      <c r="A238" s="6">
        <v>10337.0</v>
      </c>
      <c r="B238" s="7" t="s">
        <v>32</v>
      </c>
      <c r="C238" s="8">
        <v>44858.0</v>
      </c>
      <c r="D238" s="8">
        <v>44886.0</v>
      </c>
      <c r="E238" s="8">
        <v>44863.0</v>
      </c>
      <c r="F238" s="8">
        <v>44866.0</v>
      </c>
      <c r="G238" s="6">
        <v>23.0</v>
      </c>
      <c r="H238" s="9">
        <v>7.2</v>
      </c>
      <c r="I238" s="10">
        <v>40.0</v>
      </c>
      <c r="J238" s="11">
        <v>0.0</v>
      </c>
      <c r="K238" s="9">
        <v>108.26</v>
      </c>
      <c r="L238" s="7" t="s">
        <v>13</v>
      </c>
    </row>
    <row r="239" ht="15.75" customHeight="1">
      <c r="A239" s="6">
        <v>10337.0</v>
      </c>
      <c r="B239" s="7" t="s">
        <v>32</v>
      </c>
      <c r="C239" s="8">
        <v>44858.0</v>
      </c>
      <c r="D239" s="8">
        <v>44886.0</v>
      </c>
      <c r="E239" s="8">
        <v>44863.0</v>
      </c>
      <c r="F239" s="8">
        <v>44866.0</v>
      </c>
      <c r="G239" s="6">
        <v>26.0</v>
      </c>
      <c r="H239" s="9">
        <v>24.9</v>
      </c>
      <c r="I239" s="10">
        <v>24.0</v>
      </c>
      <c r="J239" s="11">
        <v>0.0</v>
      </c>
      <c r="K239" s="9">
        <v>108.26</v>
      </c>
      <c r="L239" s="7" t="s">
        <v>13</v>
      </c>
    </row>
    <row r="240" ht="15.75" customHeight="1">
      <c r="A240" s="6">
        <v>10337.0</v>
      </c>
      <c r="B240" s="7" t="s">
        <v>32</v>
      </c>
      <c r="C240" s="8">
        <v>44858.0</v>
      </c>
      <c r="D240" s="8">
        <v>44886.0</v>
      </c>
      <c r="E240" s="8">
        <v>44863.0</v>
      </c>
      <c r="F240" s="8">
        <v>44866.0</v>
      </c>
      <c r="G240" s="6">
        <v>36.0</v>
      </c>
      <c r="H240" s="9">
        <v>15.2</v>
      </c>
      <c r="I240" s="10">
        <v>20.0</v>
      </c>
      <c r="J240" s="11">
        <v>0.0</v>
      </c>
      <c r="K240" s="9">
        <v>108.26</v>
      </c>
      <c r="L240" s="7" t="s">
        <v>13</v>
      </c>
    </row>
    <row r="241" ht="15.75" customHeight="1">
      <c r="A241" s="6">
        <v>10337.0</v>
      </c>
      <c r="B241" s="7" t="s">
        <v>32</v>
      </c>
      <c r="C241" s="8">
        <v>44858.0</v>
      </c>
      <c r="D241" s="8">
        <v>44886.0</v>
      </c>
      <c r="E241" s="8">
        <v>44863.0</v>
      </c>
      <c r="F241" s="8">
        <v>44866.0</v>
      </c>
      <c r="G241" s="6">
        <v>37.0</v>
      </c>
      <c r="H241" s="9">
        <v>20.8</v>
      </c>
      <c r="I241" s="10">
        <v>28.0</v>
      </c>
      <c r="J241" s="11">
        <v>0.0</v>
      </c>
      <c r="K241" s="9">
        <v>108.26</v>
      </c>
      <c r="L241" s="7" t="s">
        <v>13</v>
      </c>
    </row>
    <row r="242" ht="15.75" customHeight="1">
      <c r="A242" s="6">
        <v>10337.0</v>
      </c>
      <c r="B242" s="7" t="s">
        <v>32</v>
      </c>
      <c r="C242" s="8">
        <v>44858.0</v>
      </c>
      <c r="D242" s="8">
        <v>44886.0</v>
      </c>
      <c r="E242" s="8">
        <v>44863.0</v>
      </c>
      <c r="F242" s="8">
        <v>44866.0</v>
      </c>
      <c r="G242" s="6">
        <v>72.0</v>
      </c>
      <c r="H242" s="9">
        <v>27.8</v>
      </c>
      <c r="I242" s="10">
        <v>25.0</v>
      </c>
      <c r="J242" s="11">
        <v>0.0</v>
      </c>
      <c r="K242" s="9">
        <v>108.26</v>
      </c>
      <c r="L242" s="7" t="s">
        <v>13</v>
      </c>
    </row>
    <row r="243" ht="15.75" customHeight="1">
      <c r="A243" s="6">
        <v>10338.0</v>
      </c>
      <c r="B243" s="7" t="s">
        <v>52</v>
      </c>
      <c r="C243" s="8">
        <v>44859.0</v>
      </c>
      <c r="D243" s="8">
        <v>44887.0</v>
      </c>
      <c r="E243" s="8">
        <v>44863.0</v>
      </c>
      <c r="F243" s="8">
        <v>44876.0</v>
      </c>
      <c r="G243" s="6">
        <v>17.0</v>
      </c>
      <c r="H243" s="9">
        <v>31.2</v>
      </c>
      <c r="I243" s="10">
        <v>20.0</v>
      </c>
      <c r="J243" s="11">
        <v>0.0</v>
      </c>
      <c r="K243" s="9">
        <v>84.21</v>
      </c>
      <c r="L243" s="7" t="s">
        <v>13</v>
      </c>
    </row>
    <row r="244" ht="15.75" customHeight="1">
      <c r="A244" s="6">
        <v>10338.0</v>
      </c>
      <c r="B244" s="7" t="s">
        <v>52</v>
      </c>
      <c r="C244" s="8">
        <v>44859.0</v>
      </c>
      <c r="D244" s="8">
        <v>44887.0</v>
      </c>
      <c r="E244" s="8">
        <v>44863.0</v>
      </c>
      <c r="F244" s="8">
        <v>44876.0</v>
      </c>
      <c r="G244" s="6">
        <v>30.0</v>
      </c>
      <c r="H244" s="9">
        <v>20.7</v>
      </c>
      <c r="I244" s="10">
        <v>15.0</v>
      </c>
      <c r="J244" s="11">
        <v>0.0</v>
      </c>
      <c r="K244" s="9">
        <v>84.21</v>
      </c>
      <c r="L244" s="7" t="s">
        <v>13</v>
      </c>
    </row>
    <row r="245" ht="15.75" customHeight="1">
      <c r="A245" s="6">
        <v>10339.0</v>
      </c>
      <c r="B245" s="7" t="s">
        <v>64</v>
      </c>
      <c r="C245" s="8">
        <v>44862.0</v>
      </c>
      <c r="D245" s="8">
        <v>44890.0</v>
      </c>
      <c r="E245" s="8">
        <v>44869.0</v>
      </c>
      <c r="F245" s="8">
        <v>44886.0</v>
      </c>
      <c r="G245" s="6">
        <v>4.0</v>
      </c>
      <c r="H245" s="9">
        <v>17.6</v>
      </c>
      <c r="I245" s="10">
        <v>10.0</v>
      </c>
      <c r="J245" s="11">
        <v>0.0</v>
      </c>
      <c r="K245" s="9">
        <v>15.66</v>
      </c>
      <c r="L245" s="7" t="s">
        <v>17</v>
      </c>
    </row>
    <row r="246" ht="15.75" customHeight="1">
      <c r="A246" s="6">
        <v>10339.0</v>
      </c>
      <c r="B246" s="7" t="s">
        <v>64</v>
      </c>
      <c r="C246" s="8">
        <v>44862.0</v>
      </c>
      <c r="D246" s="8">
        <v>44890.0</v>
      </c>
      <c r="E246" s="8">
        <v>44869.0</v>
      </c>
      <c r="F246" s="8">
        <v>44886.0</v>
      </c>
      <c r="G246" s="6">
        <v>17.0</v>
      </c>
      <c r="H246" s="9">
        <v>31.2</v>
      </c>
      <c r="I246" s="10">
        <v>70.0</v>
      </c>
      <c r="J246" s="11">
        <v>0.05</v>
      </c>
      <c r="K246" s="9">
        <v>15.66</v>
      </c>
      <c r="L246" s="7" t="s">
        <v>17</v>
      </c>
    </row>
    <row r="247" ht="15.75" customHeight="1">
      <c r="A247" s="6">
        <v>10339.0</v>
      </c>
      <c r="B247" s="7" t="s">
        <v>64</v>
      </c>
      <c r="C247" s="8">
        <v>44862.0</v>
      </c>
      <c r="D247" s="8">
        <v>44890.0</v>
      </c>
      <c r="E247" s="8">
        <v>44869.0</v>
      </c>
      <c r="F247" s="8">
        <v>44886.0</v>
      </c>
      <c r="G247" s="6">
        <v>62.0</v>
      </c>
      <c r="H247" s="9">
        <v>39.4</v>
      </c>
      <c r="I247" s="10">
        <v>28.0</v>
      </c>
      <c r="J247" s="11">
        <v>0.0</v>
      </c>
      <c r="K247" s="9">
        <v>15.66</v>
      </c>
      <c r="L247" s="7" t="s">
        <v>17</v>
      </c>
    </row>
    <row r="248" ht="15.75" customHeight="1">
      <c r="A248" s="6">
        <v>10340.0</v>
      </c>
      <c r="B248" s="7" t="s">
        <v>63</v>
      </c>
      <c r="C248" s="8">
        <v>44863.0</v>
      </c>
      <c r="D248" s="8">
        <v>44891.0</v>
      </c>
      <c r="E248" s="8">
        <v>44873.0</v>
      </c>
      <c r="F248" s="8">
        <v>44878.0</v>
      </c>
      <c r="G248" s="6">
        <v>18.0</v>
      </c>
      <c r="H248" s="9">
        <v>50.0</v>
      </c>
      <c r="I248" s="10">
        <v>20.0</v>
      </c>
      <c r="J248" s="11">
        <v>0.05</v>
      </c>
      <c r="K248" s="9">
        <v>166.31</v>
      </c>
      <c r="L248" s="7" t="s">
        <v>13</v>
      </c>
    </row>
    <row r="249" ht="15.75" customHeight="1">
      <c r="A249" s="6">
        <v>10340.0</v>
      </c>
      <c r="B249" s="7" t="s">
        <v>63</v>
      </c>
      <c r="C249" s="8">
        <v>44863.0</v>
      </c>
      <c r="D249" s="8">
        <v>44891.0</v>
      </c>
      <c r="E249" s="8">
        <v>44873.0</v>
      </c>
      <c r="F249" s="8">
        <v>44878.0</v>
      </c>
      <c r="G249" s="6">
        <v>41.0</v>
      </c>
      <c r="H249" s="9">
        <v>7.7</v>
      </c>
      <c r="I249" s="10">
        <v>12.0</v>
      </c>
      <c r="J249" s="11">
        <v>0.05</v>
      </c>
      <c r="K249" s="9">
        <v>166.31</v>
      </c>
      <c r="L249" s="7" t="s">
        <v>13</v>
      </c>
    </row>
    <row r="250" ht="15.75" customHeight="1">
      <c r="A250" s="6">
        <v>10340.0</v>
      </c>
      <c r="B250" s="7" t="s">
        <v>63</v>
      </c>
      <c r="C250" s="8">
        <v>44863.0</v>
      </c>
      <c r="D250" s="8">
        <v>44891.0</v>
      </c>
      <c r="E250" s="8">
        <v>44873.0</v>
      </c>
      <c r="F250" s="8">
        <v>44878.0</v>
      </c>
      <c r="G250" s="6">
        <v>43.0</v>
      </c>
      <c r="H250" s="9">
        <v>36.8</v>
      </c>
      <c r="I250" s="10">
        <v>40.0</v>
      </c>
      <c r="J250" s="11">
        <v>0.05</v>
      </c>
      <c r="K250" s="9">
        <v>166.31</v>
      </c>
      <c r="L250" s="7" t="s">
        <v>13</v>
      </c>
    </row>
    <row r="251" ht="15.75" customHeight="1">
      <c r="A251" s="6">
        <v>10341.0</v>
      </c>
      <c r="B251" s="7" t="s">
        <v>66</v>
      </c>
      <c r="C251" s="8">
        <v>44863.0</v>
      </c>
      <c r="D251" s="8">
        <v>44891.0</v>
      </c>
      <c r="E251" s="8">
        <v>44870.0</v>
      </c>
      <c r="F251" s="8">
        <v>44883.0</v>
      </c>
      <c r="G251" s="6">
        <v>33.0</v>
      </c>
      <c r="H251" s="9">
        <v>2.0</v>
      </c>
      <c r="I251" s="10">
        <v>8.0</v>
      </c>
      <c r="J251" s="11">
        <v>0.0</v>
      </c>
      <c r="K251" s="9">
        <v>26.78</v>
      </c>
      <c r="L251" s="7" t="s">
        <v>13</v>
      </c>
    </row>
    <row r="252" ht="15.75" customHeight="1">
      <c r="A252" s="6">
        <v>10341.0</v>
      </c>
      <c r="B252" s="7" t="s">
        <v>66</v>
      </c>
      <c r="C252" s="8">
        <v>44863.0</v>
      </c>
      <c r="D252" s="8">
        <v>44891.0</v>
      </c>
      <c r="E252" s="8">
        <v>44870.0</v>
      </c>
      <c r="F252" s="8">
        <v>44883.0</v>
      </c>
      <c r="G252" s="6">
        <v>59.0</v>
      </c>
      <c r="H252" s="9">
        <v>44.0</v>
      </c>
      <c r="I252" s="10">
        <v>9.0</v>
      </c>
      <c r="J252" s="11">
        <v>0.15</v>
      </c>
      <c r="K252" s="9">
        <v>26.78</v>
      </c>
      <c r="L252" s="7" t="s">
        <v>13</v>
      </c>
    </row>
    <row r="253" ht="15.75" customHeight="1">
      <c r="A253" s="6">
        <v>10342.0</v>
      </c>
      <c r="B253" s="7" t="s">
        <v>32</v>
      </c>
      <c r="C253" s="8">
        <v>44864.0</v>
      </c>
      <c r="D253" s="8">
        <v>44878.0</v>
      </c>
      <c r="E253" s="8">
        <v>44869.0</v>
      </c>
      <c r="F253" s="8">
        <v>44878.0</v>
      </c>
      <c r="G253" s="6">
        <v>2.0</v>
      </c>
      <c r="H253" s="9">
        <v>15.2</v>
      </c>
      <c r="I253" s="10">
        <v>24.0</v>
      </c>
      <c r="J253" s="11">
        <v>0.2</v>
      </c>
      <c r="K253" s="9">
        <v>54.83</v>
      </c>
      <c r="L253" s="7" t="s">
        <v>17</v>
      </c>
    </row>
    <row r="254" ht="15.75" customHeight="1">
      <c r="A254" s="6">
        <v>10342.0</v>
      </c>
      <c r="B254" s="7" t="s">
        <v>32</v>
      </c>
      <c r="C254" s="8">
        <v>44864.0</v>
      </c>
      <c r="D254" s="8">
        <v>44878.0</v>
      </c>
      <c r="E254" s="8">
        <v>44869.0</v>
      </c>
      <c r="F254" s="8">
        <v>44878.0</v>
      </c>
      <c r="G254" s="6">
        <v>31.0</v>
      </c>
      <c r="H254" s="9">
        <v>10.0</v>
      </c>
      <c r="I254" s="10">
        <v>56.0</v>
      </c>
      <c r="J254" s="11">
        <v>0.2</v>
      </c>
      <c r="K254" s="9">
        <v>54.83</v>
      </c>
      <c r="L254" s="7" t="s">
        <v>17</v>
      </c>
    </row>
    <row r="255" ht="15.75" customHeight="1">
      <c r="A255" s="6">
        <v>10342.0</v>
      </c>
      <c r="B255" s="7" t="s">
        <v>32</v>
      </c>
      <c r="C255" s="8">
        <v>44864.0</v>
      </c>
      <c r="D255" s="8">
        <v>44878.0</v>
      </c>
      <c r="E255" s="8">
        <v>44869.0</v>
      </c>
      <c r="F255" s="8">
        <v>44878.0</v>
      </c>
      <c r="G255" s="6">
        <v>36.0</v>
      </c>
      <c r="H255" s="9">
        <v>15.2</v>
      </c>
      <c r="I255" s="10">
        <v>40.0</v>
      </c>
      <c r="J255" s="11">
        <v>0.2</v>
      </c>
      <c r="K255" s="9">
        <v>54.83</v>
      </c>
      <c r="L255" s="7" t="s">
        <v>17</v>
      </c>
    </row>
    <row r="256" ht="15.75" customHeight="1">
      <c r="A256" s="6">
        <v>10342.0</v>
      </c>
      <c r="B256" s="7" t="s">
        <v>32</v>
      </c>
      <c r="C256" s="8">
        <v>44864.0</v>
      </c>
      <c r="D256" s="8">
        <v>44878.0</v>
      </c>
      <c r="E256" s="8">
        <v>44869.0</v>
      </c>
      <c r="F256" s="8">
        <v>44878.0</v>
      </c>
      <c r="G256" s="6">
        <v>55.0</v>
      </c>
      <c r="H256" s="9">
        <v>19.2</v>
      </c>
      <c r="I256" s="10">
        <v>40.0</v>
      </c>
      <c r="J256" s="11">
        <v>0.2</v>
      </c>
      <c r="K256" s="9">
        <v>54.83</v>
      </c>
      <c r="L256" s="7" t="s">
        <v>17</v>
      </c>
    </row>
    <row r="257" ht="15.75" customHeight="1">
      <c r="A257" s="6">
        <v>10343.0</v>
      </c>
      <c r="B257" s="7" t="s">
        <v>41</v>
      </c>
      <c r="C257" s="8">
        <v>44865.0</v>
      </c>
      <c r="D257" s="8">
        <v>44893.0</v>
      </c>
      <c r="E257" s="8">
        <v>44871.0</v>
      </c>
      <c r="F257" s="8">
        <v>44875.0</v>
      </c>
      <c r="G257" s="6">
        <v>64.0</v>
      </c>
      <c r="H257" s="9">
        <v>26.6</v>
      </c>
      <c r="I257" s="10">
        <v>50.0</v>
      </c>
      <c r="J257" s="11">
        <v>0.0</v>
      </c>
      <c r="K257" s="9">
        <v>110.37</v>
      </c>
      <c r="L257" s="7" t="s">
        <v>15</v>
      </c>
    </row>
    <row r="258" ht="15.75" customHeight="1">
      <c r="A258" s="6">
        <v>10343.0</v>
      </c>
      <c r="B258" s="7" t="s">
        <v>41</v>
      </c>
      <c r="C258" s="8">
        <v>44865.0</v>
      </c>
      <c r="D258" s="8">
        <v>44893.0</v>
      </c>
      <c r="E258" s="8">
        <v>44871.0</v>
      </c>
      <c r="F258" s="8">
        <v>44875.0</v>
      </c>
      <c r="G258" s="6">
        <v>68.0</v>
      </c>
      <c r="H258" s="9">
        <v>10.0</v>
      </c>
      <c r="I258" s="10">
        <v>4.0</v>
      </c>
      <c r="J258" s="11">
        <v>0.05</v>
      </c>
      <c r="K258" s="9">
        <v>110.37</v>
      </c>
      <c r="L258" s="7" t="s">
        <v>15</v>
      </c>
    </row>
    <row r="259" ht="15.75" customHeight="1">
      <c r="A259" s="6">
        <v>10343.0</v>
      </c>
      <c r="B259" s="7" t="s">
        <v>41</v>
      </c>
      <c r="C259" s="8">
        <v>44865.0</v>
      </c>
      <c r="D259" s="8">
        <v>44893.0</v>
      </c>
      <c r="E259" s="8">
        <v>44871.0</v>
      </c>
      <c r="F259" s="8">
        <v>44875.0</v>
      </c>
      <c r="G259" s="6">
        <v>76.0</v>
      </c>
      <c r="H259" s="9">
        <v>14.4</v>
      </c>
      <c r="I259" s="10">
        <v>15.0</v>
      </c>
      <c r="J259" s="11">
        <v>0.0</v>
      </c>
      <c r="K259" s="9">
        <v>110.37</v>
      </c>
      <c r="L259" s="7" t="s">
        <v>15</v>
      </c>
    </row>
    <row r="260" ht="15.75" customHeight="1">
      <c r="A260" s="6">
        <v>10344.0</v>
      </c>
      <c r="B260" s="7" t="s">
        <v>34</v>
      </c>
      <c r="C260" s="8">
        <v>44866.0</v>
      </c>
      <c r="D260" s="8">
        <v>44894.0</v>
      </c>
      <c r="E260" s="8">
        <v>44870.0</v>
      </c>
      <c r="F260" s="8">
        <v>44888.0</v>
      </c>
      <c r="G260" s="6">
        <v>4.0</v>
      </c>
      <c r="H260" s="9">
        <v>17.6</v>
      </c>
      <c r="I260" s="10">
        <v>35.0</v>
      </c>
      <c r="J260" s="11">
        <v>0.0</v>
      </c>
      <c r="K260" s="9">
        <v>23.29</v>
      </c>
      <c r="L260" s="7" t="s">
        <v>17</v>
      </c>
    </row>
    <row r="261" ht="15.75" customHeight="1">
      <c r="A261" s="6">
        <v>10344.0</v>
      </c>
      <c r="B261" s="7" t="s">
        <v>34</v>
      </c>
      <c r="C261" s="8">
        <v>44866.0</v>
      </c>
      <c r="D261" s="8">
        <v>44894.0</v>
      </c>
      <c r="E261" s="8">
        <v>44870.0</v>
      </c>
      <c r="F261" s="8">
        <v>44888.0</v>
      </c>
      <c r="G261" s="6">
        <v>8.0</v>
      </c>
      <c r="H261" s="9">
        <v>32.0</v>
      </c>
      <c r="I261" s="10">
        <v>70.0</v>
      </c>
      <c r="J261" s="11">
        <v>0.25</v>
      </c>
      <c r="K261" s="9">
        <v>23.29</v>
      </c>
      <c r="L261" s="7" t="s">
        <v>17</v>
      </c>
    </row>
    <row r="262" ht="15.75" customHeight="1">
      <c r="A262" s="6">
        <v>10345.0</v>
      </c>
      <c r="B262" s="7" t="s">
        <v>36</v>
      </c>
      <c r="C262" s="8">
        <v>44869.0</v>
      </c>
      <c r="D262" s="8">
        <v>44897.0</v>
      </c>
      <c r="E262" s="8">
        <v>44876.0</v>
      </c>
      <c r="F262" s="8">
        <v>44884.0</v>
      </c>
      <c r="G262" s="6">
        <v>8.0</v>
      </c>
      <c r="H262" s="9">
        <v>32.0</v>
      </c>
      <c r="I262" s="10">
        <v>70.0</v>
      </c>
      <c r="J262" s="11">
        <v>0.0</v>
      </c>
      <c r="K262" s="9">
        <v>249.06</v>
      </c>
      <c r="L262" s="7" t="s">
        <v>17</v>
      </c>
    </row>
    <row r="263" ht="15.75" customHeight="1">
      <c r="A263" s="6">
        <v>10345.0</v>
      </c>
      <c r="B263" s="7" t="s">
        <v>36</v>
      </c>
      <c r="C263" s="8">
        <v>44869.0</v>
      </c>
      <c r="D263" s="8">
        <v>44897.0</v>
      </c>
      <c r="E263" s="8">
        <v>44876.0</v>
      </c>
      <c r="F263" s="8">
        <v>44884.0</v>
      </c>
      <c r="G263" s="6">
        <v>19.0</v>
      </c>
      <c r="H263" s="9">
        <v>7.3</v>
      </c>
      <c r="I263" s="10">
        <v>80.0</v>
      </c>
      <c r="J263" s="11">
        <v>0.0</v>
      </c>
      <c r="K263" s="9">
        <v>249.06</v>
      </c>
      <c r="L263" s="7" t="s">
        <v>17</v>
      </c>
    </row>
    <row r="264" ht="15.75" customHeight="1">
      <c r="A264" s="6">
        <v>10345.0</v>
      </c>
      <c r="B264" s="7" t="s">
        <v>36</v>
      </c>
      <c r="C264" s="8">
        <v>44869.0</v>
      </c>
      <c r="D264" s="8">
        <v>44897.0</v>
      </c>
      <c r="E264" s="8">
        <v>44876.0</v>
      </c>
      <c r="F264" s="8">
        <v>44884.0</v>
      </c>
      <c r="G264" s="6">
        <v>42.0</v>
      </c>
      <c r="H264" s="9">
        <v>11.2</v>
      </c>
      <c r="I264" s="10">
        <v>9.0</v>
      </c>
      <c r="J264" s="11">
        <v>0.0</v>
      </c>
      <c r="K264" s="9">
        <v>249.06</v>
      </c>
      <c r="L264" s="7" t="s">
        <v>17</v>
      </c>
    </row>
    <row r="265" ht="15.75" customHeight="1">
      <c r="A265" s="6">
        <v>10346.0</v>
      </c>
      <c r="B265" s="7" t="s">
        <v>28</v>
      </c>
      <c r="C265" s="8">
        <v>44870.0</v>
      </c>
      <c r="D265" s="8">
        <v>44912.0</v>
      </c>
      <c r="E265" s="8">
        <v>44873.0</v>
      </c>
      <c r="F265" s="8">
        <v>44886.0</v>
      </c>
      <c r="G265" s="6">
        <v>17.0</v>
      </c>
      <c r="H265" s="9">
        <v>31.2</v>
      </c>
      <c r="I265" s="10">
        <v>36.0</v>
      </c>
      <c r="J265" s="11">
        <v>0.1</v>
      </c>
      <c r="K265" s="9">
        <v>142.08</v>
      </c>
      <c r="L265" s="7" t="s">
        <v>13</v>
      </c>
    </row>
    <row r="266" ht="15.75" customHeight="1">
      <c r="A266" s="6">
        <v>10346.0</v>
      </c>
      <c r="B266" s="7" t="s">
        <v>28</v>
      </c>
      <c r="C266" s="8">
        <v>44870.0</v>
      </c>
      <c r="D266" s="8">
        <v>44912.0</v>
      </c>
      <c r="E266" s="8">
        <v>44873.0</v>
      </c>
      <c r="F266" s="8">
        <v>44886.0</v>
      </c>
      <c r="G266" s="6">
        <v>56.0</v>
      </c>
      <c r="H266" s="9">
        <v>30.4</v>
      </c>
      <c r="I266" s="10">
        <v>20.0</v>
      </c>
      <c r="J266" s="11">
        <v>0.0</v>
      </c>
      <c r="K266" s="9">
        <v>142.08</v>
      </c>
      <c r="L266" s="7" t="s">
        <v>13</v>
      </c>
    </row>
    <row r="267" ht="15.75" customHeight="1">
      <c r="A267" s="6">
        <v>10347.0</v>
      </c>
      <c r="B267" s="7" t="s">
        <v>67</v>
      </c>
      <c r="C267" s="8">
        <v>44871.0</v>
      </c>
      <c r="D267" s="8">
        <v>44899.0</v>
      </c>
      <c r="E267" s="8">
        <v>44873.0</v>
      </c>
      <c r="F267" s="8">
        <v>44888.0</v>
      </c>
      <c r="G267" s="6">
        <v>25.0</v>
      </c>
      <c r="H267" s="9">
        <v>11.2</v>
      </c>
      <c r="I267" s="10">
        <v>10.0</v>
      </c>
      <c r="J267" s="11">
        <v>0.0</v>
      </c>
      <c r="K267" s="9">
        <v>3.1</v>
      </c>
      <c r="L267" s="7" t="s">
        <v>13</v>
      </c>
    </row>
    <row r="268" ht="15.75" customHeight="1">
      <c r="A268" s="6">
        <v>10347.0</v>
      </c>
      <c r="B268" s="7" t="s">
        <v>67</v>
      </c>
      <c r="C268" s="8">
        <v>44871.0</v>
      </c>
      <c r="D268" s="8">
        <v>44899.0</v>
      </c>
      <c r="E268" s="8">
        <v>44873.0</v>
      </c>
      <c r="F268" s="8">
        <v>44888.0</v>
      </c>
      <c r="G268" s="6">
        <v>39.0</v>
      </c>
      <c r="H268" s="9">
        <v>14.4</v>
      </c>
      <c r="I268" s="10">
        <v>50.0</v>
      </c>
      <c r="J268" s="11">
        <v>0.15</v>
      </c>
      <c r="K268" s="9">
        <v>3.1</v>
      </c>
      <c r="L268" s="7" t="s">
        <v>13</v>
      </c>
    </row>
    <row r="269" ht="15.75" customHeight="1">
      <c r="A269" s="6">
        <v>10347.0</v>
      </c>
      <c r="B269" s="7" t="s">
        <v>67</v>
      </c>
      <c r="C269" s="8">
        <v>44871.0</v>
      </c>
      <c r="D269" s="8">
        <v>44899.0</v>
      </c>
      <c r="E269" s="8">
        <v>44873.0</v>
      </c>
      <c r="F269" s="8">
        <v>44888.0</v>
      </c>
      <c r="G269" s="6">
        <v>40.0</v>
      </c>
      <c r="H269" s="9">
        <v>14.7</v>
      </c>
      <c r="I269" s="10">
        <v>4.0</v>
      </c>
      <c r="J269" s="11">
        <v>0.0</v>
      </c>
      <c r="K269" s="9">
        <v>3.1</v>
      </c>
      <c r="L269" s="7" t="s">
        <v>13</v>
      </c>
    </row>
    <row r="270" ht="15.75" customHeight="1">
      <c r="A270" s="6">
        <v>10347.0</v>
      </c>
      <c r="B270" s="7" t="s">
        <v>67</v>
      </c>
      <c r="C270" s="8">
        <v>44871.0</v>
      </c>
      <c r="D270" s="8">
        <v>44899.0</v>
      </c>
      <c r="E270" s="8">
        <v>44873.0</v>
      </c>
      <c r="F270" s="8">
        <v>44888.0</v>
      </c>
      <c r="G270" s="6">
        <v>75.0</v>
      </c>
      <c r="H270" s="9">
        <v>6.2</v>
      </c>
      <c r="I270" s="10">
        <v>6.0</v>
      </c>
      <c r="J270" s="11">
        <v>0.15</v>
      </c>
      <c r="K270" s="9">
        <v>3.1</v>
      </c>
      <c r="L270" s="7" t="s">
        <v>13</v>
      </c>
    </row>
    <row r="271" ht="15.75" customHeight="1">
      <c r="A271" s="6">
        <v>10348.0</v>
      </c>
      <c r="B271" s="7" t="s">
        <v>50</v>
      </c>
      <c r="C271" s="8">
        <v>44872.0</v>
      </c>
      <c r="D271" s="8">
        <v>44900.0</v>
      </c>
      <c r="E271" s="8">
        <v>44880.0</v>
      </c>
      <c r="F271" s="8">
        <v>44888.0</v>
      </c>
      <c r="G271" s="6">
        <v>1.0</v>
      </c>
      <c r="H271" s="9">
        <v>14.4</v>
      </c>
      <c r="I271" s="10">
        <v>15.0</v>
      </c>
      <c r="J271" s="11">
        <v>0.15</v>
      </c>
      <c r="K271" s="9">
        <v>0.78</v>
      </c>
      <c r="L271" s="7" t="s">
        <v>17</v>
      </c>
    </row>
    <row r="272" ht="15.75" customHeight="1">
      <c r="A272" s="6">
        <v>10348.0</v>
      </c>
      <c r="B272" s="7" t="s">
        <v>50</v>
      </c>
      <c r="C272" s="8">
        <v>44872.0</v>
      </c>
      <c r="D272" s="8">
        <v>44900.0</v>
      </c>
      <c r="E272" s="8">
        <v>44880.0</v>
      </c>
      <c r="F272" s="8">
        <v>44888.0</v>
      </c>
      <c r="G272" s="6">
        <v>23.0</v>
      </c>
      <c r="H272" s="9">
        <v>7.2</v>
      </c>
      <c r="I272" s="10">
        <v>25.0</v>
      </c>
      <c r="J272" s="11">
        <v>0.0</v>
      </c>
      <c r="K272" s="9">
        <v>0.78</v>
      </c>
      <c r="L272" s="7" t="s">
        <v>17</v>
      </c>
    </row>
    <row r="273" ht="15.75" customHeight="1">
      <c r="A273" s="6">
        <v>10349.0</v>
      </c>
      <c r="B273" s="7" t="s">
        <v>35</v>
      </c>
      <c r="C273" s="8">
        <v>44873.0</v>
      </c>
      <c r="D273" s="8">
        <v>44901.0</v>
      </c>
      <c r="E273" s="8">
        <v>44880.0</v>
      </c>
      <c r="F273" s="8">
        <v>44895.0</v>
      </c>
      <c r="G273" s="6">
        <v>54.0</v>
      </c>
      <c r="H273" s="9">
        <v>5.9</v>
      </c>
      <c r="I273" s="10">
        <v>24.0</v>
      </c>
      <c r="J273" s="11">
        <v>0.0</v>
      </c>
      <c r="K273" s="9">
        <v>8.63</v>
      </c>
      <c r="L273" s="7" t="s">
        <v>15</v>
      </c>
    </row>
    <row r="274" ht="15.75" customHeight="1">
      <c r="A274" s="6">
        <v>10350.0</v>
      </c>
      <c r="B274" s="7" t="s">
        <v>68</v>
      </c>
      <c r="C274" s="8">
        <v>44876.0</v>
      </c>
      <c r="D274" s="8">
        <v>44904.0</v>
      </c>
      <c r="E274" s="8">
        <v>44898.0</v>
      </c>
      <c r="F274" s="8">
        <v>44908.0</v>
      </c>
      <c r="G274" s="6">
        <v>50.0</v>
      </c>
      <c r="H274" s="9">
        <v>13.0</v>
      </c>
      <c r="I274" s="10">
        <v>15.0</v>
      </c>
      <c r="J274" s="11">
        <v>0.1</v>
      </c>
      <c r="K274" s="9">
        <v>64.19</v>
      </c>
      <c r="L274" s="7" t="s">
        <v>17</v>
      </c>
    </row>
    <row r="275" ht="15.75" customHeight="1">
      <c r="A275" s="6">
        <v>10350.0</v>
      </c>
      <c r="B275" s="7" t="s">
        <v>68</v>
      </c>
      <c r="C275" s="8">
        <v>44876.0</v>
      </c>
      <c r="D275" s="8">
        <v>44904.0</v>
      </c>
      <c r="E275" s="8">
        <v>44898.0</v>
      </c>
      <c r="F275" s="8">
        <v>44908.0</v>
      </c>
      <c r="G275" s="6">
        <v>69.0</v>
      </c>
      <c r="H275" s="9">
        <v>28.8</v>
      </c>
      <c r="I275" s="10">
        <v>18.0</v>
      </c>
      <c r="J275" s="11">
        <v>0.1</v>
      </c>
      <c r="K275" s="9">
        <v>64.19</v>
      </c>
      <c r="L275" s="7" t="s">
        <v>17</v>
      </c>
    </row>
    <row r="276" ht="15.75" customHeight="1">
      <c r="A276" s="6">
        <v>10351.0</v>
      </c>
      <c r="B276" s="7" t="s">
        <v>24</v>
      </c>
      <c r="C276" s="8">
        <v>44876.0</v>
      </c>
      <c r="D276" s="8">
        <v>44904.0</v>
      </c>
      <c r="E276" s="8">
        <v>44885.0</v>
      </c>
      <c r="F276" s="8">
        <v>44897.0</v>
      </c>
      <c r="G276" s="6">
        <v>38.0</v>
      </c>
      <c r="H276" s="9">
        <v>210.8</v>
      </c>
      <c r="I276" s="10">
        <v>20.0</v>
      </c>
      <c r="J276" s="11">
        <v>0.05</v>
      </c>
      <c r="K276" s="9">
        <v>162.33</v>
      </c>
      <c r="L276" s="7" t="s">
        <v>15</v>
      </c>
    </row>
    <row r="277" ht="15.75" customHeight="1">
      <c r="A277" s="6">
        <v>10351.0</v>
      </c>
      <c r="B277" s="7" t="s">
        <v>24</v>
      </c>
      <c r="C277" s="8">
        <v>44876.0</v>
      </c>
      <c r="D277" s="8">
        <v>44904.0</v>
      </c>
      <c r="E277" s="8">
        <v>44885.0</v>
      </c>
      <c r="F277" s="8">
        <v>44897.0</v>
      </c>
      <c r="G277" s="6">
        <v>41.0</v>
      </c>
      <c r="H277" s="9">
        <v>7.7</v>
      </c>
      <c r="I277" s="10">
        <v>13.0</v>
      </c>
      <c r="J277" s="11">
        <v>0.0</v>
      </c>
      <c r="K277" s="9">
        <v>162.33</v>
      </c>
      <c r="L277" s="7" t="s">
        <v>15</v>
      </c>
    </row>
    <row r="278" ht="15.75" customHeight="1">
      <c r="A278" s="6">
        <v>10351.0</v>
      </c>
      <c r="B278" s="7" t="s">
        <v>24</v>
      </c>
      <c r="C278" s="8">
        <v>44876.0</v>
      </c>
      <c r="D278" s="8">
        <v>44904.0</v>
      </c>
      <c r="E278" s="8">
        <v>44885.0</v>
      </c>
      <c r="F278" s="8">
        <v>44897.0</v>
      </c>
      <c r="G278" s="6">
        <v>44.0</v>
      </c>
      <c r="H278" s="9">
        <v>15.5</v>
      </c>
      <c r="I278" s="10">
        <v>77.0</v>
      </c>
      <c r="J278" s="11">
        <v>0.05</v>
      </c>
      <c r="K278" s="9">
        <v>162.33</v>
      </c>
      <c r="L278" s="7" t="s">
        <v>15</v>
      </c>
    </row>
    <row r="279" ht="15.75" customHeight="1">
      <c r="A279" s="6">
        <v>10351.0</v>
      </c>
      <c r="B279" s="7" t="s">
        <v>24</v>
      </c>
      <c r="C279" s="8">
        <v>44876.0</v>
      </c>
      <c r="D279" s="8">
        <v>44904.0</v>
      </c>
      <c r="E279" s="8">
        <v>44885.0</v>
      </c>
      <c r="F279" s="8">
        <v>44897.0</v>
      </c>
      <c r="G279" s="6">
        <v>65.0</v>
      </c>
      <c r="H279" s="9">
        <v>16.8</v>
      </c>
      <c r="I279" s="10">
        <v>10.0</v>
      </c>
      <c r="J279" s="11">
        <v>0.05</v>
      </c>
      <c r="K279" s="9">
        <v>162.33</v>
      </c>
      <c r="L279" s="7" t="s">
        <v>15</v>
      </c>
    </row>
    <row r="280" ht="15.75" customHeight="1">
      <c r="A280" s="6">
        <v>10352.0</v>
      </c>
      <c r="B280" s="7" t="s">
        <v>62</v>
      </c>
      <c r="C280" s="8">
        <v>44877.0</v>
      </c>
      <c r="D280" s="8">
        <v>44891.0</v>
      </c>
      <c r="E280" s="8">
        <v>44883.0</v>
      </c>
      <c r="F280" s="8">
        <v>44897.0</v>
      </c>
      <c r="G280" s="6">
        <v>24.0</v>
      </c>
      <c r="H280" s="9">
        <v>3.6</v>
      </c>
      <c r="I280" s="10">
        <v>10.0</v>
      </c>
      <c r="J280" s="11">
        <v>0.0</v>
      </c>
      <c r="K280" s="9">
        <v>1.3</v>
      </c>
      <c r="L280" s="7" t="s">
        <v>13</v>
      </c>
    </row>
    <row r="281" ht="15.75" customHeight="1">
      <c r="A281" s="6">
        <v>10352.0</v>
      </c>
      <c r="B281" s="7" t="s">
        <v>62</v>
      </c>
      <c r="C281" s="8">
        <v>44877.0</v>
      </c>
      <c r="D281" s="8">
        <v>44891.0</v>
      </c>
      <c r="E281" s="8">
        <v>44883.0</v>
      </c>
      <c r="F281" s="8">
        <v>44897.0</v>
      </c>
      <c r="G281" s="6">
        <v>54.0</v>
      </c>
      <c r="H281" s="9">
        <v>5.9</v>
      </c>
      <c r="I281" s="10">
        <v>20.0</v>
      </c>
      <c r="J281" s="11">
        <v>0.15</v>
      </c>
      <c r="K281" s="9">
        <v>1.3</v>
      </c>
      <c r="L281" s="7" t="s">
        <v>13</v>
      </c>
    </row>
    <row r="282" ht="15.75" customHeight="1">
      <c r="A282" s="6">
        <v>10353.0</v>
      </c>
      <c r="B282" s="7" t="s">
        <v>69</v>
      </c>
      <c r="C282" s="8">
        <v>44878.0</v>
      </c>
      <c r="D282" s="8">
        <v>44906.0</v>
      </c>
      <c r="E282" s="8">
        <v>44890.0</v>
      </c>
      <c r="F282" s="8">
        <v>44900.0</v>
      </c>
      <c r="G282" s="6">
        <v>11.0</v>
      </c>
      <c r="H282" s="9">
        <v>16.8</v>
      </c>
      <c r="I282" s="10">
        <v>12.0</v>
      </c>
      <c r="J282" s="11">
        <v>0.2</v>
      </c>
      <c r="K282" s="9">
        <v>360.63</v>
      </c>
      <c r="L282" s="7" t="s">
        <v>13</v>
      </c>
    </row>
    <row r="283" ht="15.75" customHeight="1">
      <c r="A283" s="6">
        <v>10353.0</v>
      </c>
      <c r="B283" s="7" t="s">
        <v>69</v>
      </c>
      <c r="C283" s="8">
        <v>44878.0</v>
      </c>
      <c r="D283" s="8">
        <v>44906.0</v>
      </c>
      <c r="E283" s="8">
        <v>44890.0</v>
      </c>
      <c r="F283" s="8">
        <v>44900.0</v>
      </c>
      <c r="G283" s="6">
        <v>38.0</v>
      </c>
      <c r="H283" s="9">
        <v>210.8</v>
      </c>
      <c r="I283" s="10">
        <v>50.0</v>
      </c>
      <c r="J283" s="11">
        <v>0.2</v>
      </c>
      <c r="K283" s="9">
        <v>360.63</v>
      </c>
      <c r="L283" s="7" t="s">
        <v>13</v>
      </c>
    </row>
    <row r="284" ht="15.75" customHeight="1">
      <c r="A284" s="6">
        <v>10354.0</v>
      </c>
      <c r="B284" s="7" t="s">
        <v>58</v>
      </c>
      <c r="C284" s="8">
        <v>44879.0</v>
      </c>
      <c r="D284" s="8">
        <v>44907.0</v>
      </c>
      <c r="E284" s="8">
        <v>44885.0</v>
      </c>
      <c r="F284" s="8">
        <v>44898.0</v>
      </c>
      <c r="G284" s="6">
        <v>1.0</v>
      </c>
      <c r="H284" s="9">
        <v>14.4</v>
      </c>
      <c r="I284" s="10">
        <v>12.0</v>
      </c>
      <c r="J284" s="11">
        <v>0.0</v>
      </c>
      <c r="K284" s="9">
        <v>53.8</v>
      </c>
      <c r="L284" s="7" t="s">
        <v>13</v>
      </c>
    </row>
    <row r="285" ht="15.75" customHeight="1">
      <c r="A285" s="6">
        <v>10354.0</v>
      </c>
      <c r="B285" s="7" t="s">
        <v>58</v>
      </c>
      <c r="C285" s="8">
        <v>44879.0</v>
      </c>
      <c r="D285" s="8">
        <v>44907.0</v>
      </c>
      <c r="E285" s="8">
        <v>44885.0</v>
      </c>
      <c r="F285" s="8">
        <v>44898.0</v>
      </c>
      <c r="G285" s="6">
        <v>29.0</v>
      </c>
      <c r="H285" s="9">
        <v>99.0</v>
      </c>
      <c r="I285" s="10">
        <v>4.0</v>
      </c>
      <c r="J285" s="11">
        <v>0.0</v>
      </c>
      <c r="K285" s="9">
        <v>53.8</v>
      </c>
      <c r="L285" s="7" t="s">
        <v>13</v>
      </c>
    </row>
    <row r="286" ht="15.75" customHeight="1">
      <c r="A286" s="6">
        <v>10355.0</v>
      </c>
      <c r="B286" s="7" t="s">
        <v>70</v>
      </c>
      <c r="C286" s="8">
        <v>44880.0</v>
      </c>
      <c r="D286" s="8">
        <v>44908.0</v>
      </c>
      <c r="E286" s="8">
        <v>44885.0</v>
      </c>
      <c r="F286" s="8">
        <v>44892.0</v>
      </c>
      <c r="G286" s="6">
        <v>24.0</v>
      </c>
      <c r="H286" s="9">
        <v>3.6</v>
      </c>
      <c r="I286" s="10">
        <v>25.0</v>
      </c>
      <c r="J286" s="11">
        <v>0.0</v>
      </c>
      <c r="K286" s="9">
        <v>41.95</v>
      </c>
      <c r="L286" s="7" t="s">
        <v>15</v>
      </c>
    </row>
    <row r="287" ht="15.75" customHeight="1">
      <c r="A287" s="6">
        <v>10355.0</v>
      </c>
      <c r="B287" s="7" t="s">
        <v>70</v>
      </c>
      <c r="C287" s="8">
        <v>44880.0</v>
      </c>
      <c r="D287" s="8">
        <v>44908.0</v>
      </c>
      <c r="E287" s="8">
        <v>44885.0</v>
      </c>
      <c r="F287" s="8">
        <v>44892.0</v>
      </c>
      <c r="G287" s="6">
        <v>57.0</v>
      </c>
      <c r="H287" s="9">
        <v>15.6</v>
      </c>
      <c r="I287" s="10">
        <v>25.0</v>
      </c>
      <c r="J287" s="11">
        <v>0.0</v>
      </c>
      <c r="K287" s="9">
        <v>41.95</v>
      </c>
      <c r="L287" s="7" t="s">
        <v>15</v>
      </c>
    </row>
    <row r="288" ht="15.75" customHeight="1">
      <c r="A288" s="6">
        <v>10356.0</v>
      </c>
      <c r="B288" s="7" t="s">
        <v>50</v>
      </c>
      <c r="C288" s="8">
        <v>44883.0</v>
      </c>
      <c r="D288" s="8">
        <v>44911.0</v>
      </c>
      <c r="E288" s="8">
        <v>44892.0</v>
      </c>
      <c r="F288" s="8">
        <v>44897.0</v>
      </c>
      <c r="G288" s="6">
        <v>31.0</v>
      </c>
      <c r="H288" s="9">
        <v>10.0</v>
      </c>
      <c r="I288" s="10">
        <v>30.0</v>
      </c>
      <c r="J288" s="11">
        <v>0.0</v>
      </c>
      <c r="K288" s="9">
        <v>36.71</v>
      </c>
      <c r="L288" s="7" t="s">
        <v>17</v>
      </c>
    </row>
    <row r="289" ht="15.75" customHeight="1">
      <c r="A289" s="6">
        <v>10356.0</v>
      </c>
      <c r="B289" s="7" t="s">
        <v>50</v>
      </c>
      <c r="C289" s="8">
        <v>44883.0</v>
      </c>
      <c r="D289" s="8">
        <v>44911.0</v>
      </c>
      <c r="E289" s="8">
        <v>44892.0</v>
      </c>
      <c r="F289" s="8">
        <v>44897.0</v>
      </c>
      <c r="G289" s="6">
        <v>55.0</v>
      </c>
      <c r="H289" s="9">
        <v>19.2</v>
      </c>
      <c r="I289" s="10">
        <v>12.0</v>
      </c>
      <c r="J289" s="11">
        <v>0.0</v>
      </c>
      <c r="K289" s="9">
        <v>36.71</v>
      </c>
      <c r="L289" s="7" t="s">
        <v>17</v>
      </c>
    </row>
    <row r="290" ht="15.75" customHeight="1">
      <c r="A290" s="6">
        <v>10356.0</v>
      </c>
      <c r="B290" s="7" t="s">
        <v>50</v>
      </c>
      <c r="C290" s="8">
        <v>44883.0</v>
      </c>
      <c r="D290" s="8">
        <v>44911.0</v>
      </c>
      <c r="E290" s="8">
        <v>44892.0</v>
      </c>
      <c r="F290" s="8">
        <v>44897.0</v>
      </c>
      <c r="G290" s="6">
        <v>69.0</v>
      </c>
      <c r="H290" s="9">
        <v>28.8</v>
      </c>
      <c r="I290" s="10">
        <v>20.0</v>
      </c>
      <c r="J290" s="11">
        <v>0.0</v>
      </c>
      <c r="K290" s="9">
        <v>36.71</v>
      </c>
      <c r="L290" s="7" t="s">
        <v>17</v>
      </c>
    </row>
    <row r="291" ht="15.75" customHeight="1">
      <c r="A291" s="6">
        <v>10357.0</v>
      </c>
      <c r="B291" s="7" t="s">
        <v>43</v>
      </c>
      <c r="C291" s="8">
        <v>44884.0</v>
      </c>
      <c r="D291" s="8">
        <v>44912.0</v>
      </c>
      <c r="E291" s="8">
        <v>44897.0</v>
      </c>
      <c r="F291" s="8">
        <v>44909.0</v>
      </c>
      <c r="G291" s="6">
        <v>10.0</v>
      </c>
      <c r="H291" s="9">
        <v>24.8</v>
      </c>
      <c r="I291" s="10">
        <v>30.0</v>
      </c>
      <c r="J291" s="11">
        <v>0.2</v>
      </c>
      <c r="K291" s="9">
        <v>34.88</v>
      </c>
      <c r="L291" s="7" t="s">
        <v>13</v>
      </c>
    </row>
    <row r="292" ht="15.75" customHeight="1">
      <c r="A292" s="6">
        <v>10357.0</v>
      </c>
      <c r="B292" s="7" t="s">
        <v>43</v>
      </c>
      <c r="C292" s="8">
        <v>44884.0</v>
      </c>
      <c r="D292" s="8">
        <v>44912.0</v>
      </c>
      <c r="E292" s="8">
        <v>44897.0</v>
      </c>
      <c r="F292" s="8">
        <v>44909.0</v>
      </c>
      <c r="G292" s="6">
        <v>26.0</v>
      </c>
      <c r="H292" s="9">
        <v>24.9</v>
      </c>
      <c r="I292" s="10">
        <v>16.0</v>
      </c>
      <c r="J292" s="11">
        <v>0.0</v>
      </c>
      <c r="K292" s="9">
        <v>34.88</v>
      </c>
      <c r="L292" s="7" t="s">
        <v>13</v>
      </c>
    </row>
    <row r="293" ht="15.75" customHeight="1">
      <c r="A293" s="6">
        <v>10357.0</v>
      </c>
      <c r="B293" s="7" t="s">
        <v>43</v>
      </c>
      <c r="C293" s="8">
        <v>44884.0</v>
      </c>
      <c r="D293" s="8">
        <v>44912.0</v>
      </c>
      <c r="E293" s="8">
        <v>44897.0</v>
      </c>
      <c r="F293" s="8">
        <v>44909.0</v>
      </c>
      <c r="G293" s="6">
        <v>60.0</v>
      </c>
      <c r="H293" s="9">
        <v>27.2</v>
      </c>
      <c r="I293" s="10">
        <v>8.0</v>
      </c>
      <c r="J293" s="11">
        <v>0.2</v>
      </c>
      <c r="K293" s="9">
        <v>34.88</v>
      </c>
      <c r="L293" s="7" t="s">
        <v>13</v>
      </c>
    </row>
    <row r="294" ht="15.75" customHeight="1">
      <c r="A294" s="6">
        <v>10358.0</v>
      </c>
      <c r="B294" s="7" t="s">
        <v>68</v>
      </c>
      <c r="C294" s="8">
        <v>44885.0</v>
      </c>
      <c r="D294" s="8">
        <v>44913.0</v>
      </c>
      <c r="E294" s="8">
        <v>44892.0</v>
      </c>
      <c r="F294" s="8">
        <v>44895.0</v>
      </c>
      <c r="G294" s="6">
        <v>24.0</v>
      </c>
      <c r="H294" s="9">
        <v>3.6</v>
      </c>
      <c r="I294" s="10">
        <v>10.0</v>
      </c>
      <c r="J294" s="11">
        <v>0.05</v>
      </c>
      <c r="K294" s="9">
        <v>19.64</v>
      </c>
      <c r="L294" s="7" t="s">
        <v>15</v>
      </c>
    </row>
    <row r="295" ht="15.75" customHeight="1">
      <c r="A295" s="6">
        <v>10358.0</v>
      </c>
      <c r="B295" s="7" t="s">
        <v>68</v>
      </c>
      <c r="C295" s="8">
        <v>44885.0</v>
      </c>
      <c r="D295" s="8">
        <v>44913.0</v>
      </c>
      <c r="E295" s="8">
        <v>44892.0</v>
      </c>
      <c r="F295" s="8">
        <v>44895.0</v>
      </c>
      <c r="G295" s="6">
        <v>34.0</v>
      </c>
      <c r="H295" s="9">
        <v>11.2</v>
      </c>
      <c r="I295" s="10">
        <v>10.0</v>
      </c>
      <c r="J295" s="11">
        <v>0.05</v>
      </c>
      <c r="K295" s="9">
        <v>19.64</v>
      </c>
      <c r="L295" s="7" t="s">
        <v>15</v>
      </c>
    </row>
    <row r="296" ht="15.75" customHeight="1">
      <c r="A296" s="6">
        <v>10358.0</v>
      </c>
      <c r="B296" s="7" t="s">
        <v>68</v>
      </c>
      <c r="C296" s="8">
        <v>44885.0</v>
      </c>
      <c r="D296" s="8">
        <v>44913.0</v>
      </c>
      <c r="E296" s="8">
        <v>44892.0</v>
      </c>
      <c r="F296" s="8">
        <v>44895.0</v>
      </c>
      <c r="G296" s="6">
        <v>36.0</v>
      </c>
      <c r="H296" s="9">
        <v>15.2</v>
      </c>
      <c r="I296" s="10">
        <v>20.0</v>
      </c>
      <c r="J296" s="11">
        <v>0.05</v>
      </c>
      <c r="K296" s="9">
        <v>19.64</v>
      </c>
      <c r="L296" s="7" t="s">
        <v>15</v>
      </c>
    </row>
    <row r="297" ht="15.75" customHeight="1">
      <c r="A297" s="6">
        <v>10359.0</v>
      </c>
      <c r="B297" s="7" t="s">
        <v>71</v>
      </c>
      <c r="C297" s="8">
        <v>44886.0</v>
      </c>
      <c r="D297" s="8">
        <v>44914.0</v>
      </c>
      <c r="E297" s="8">
        <v>44891.0</v>
      </c>
      <c r="F297" s="8">
        <v>44896.0</v>
      </c>
      <c r="G297" s="6">
        <v>16.0</v>
      </c>
      <c r="H297" s="9">
        <v>13.9</v>
      </c>
      <c r="I297" s="10">
        <v>56.0</v>
      </c>
      <c r="J297" s="11">
        <v>0.05</v>
      </c>
      <c r="K297" s="9">
        <v>288.43</v>
      </c>
      <c r="L297" s="7" t="s">
        <v>13</v>
      </c>
    </row>
    <row r="298" ht="15.75" customHeight="1">
      <c r="A298" s="6">
        <v>10359.0</v>
      </c>
      <c r="B298" s="7" t="s">
        <v>71</v>
      </c>
      <c r="C298" s="8">
        <v>44886.0</v>
      </c>
      <c r="D298" s="8">
        <v>44914.0</v>
      </c>
      <c r="E298" s="8">
        <v>44891.0</v>
      </c>
      <c r="F298" s="8">
        <v>44896.0</v>
      </c>
      <c r="G298" s="6">
        <v>31.0</v>
      </c>
      <c r="H298" s="9">
        <v>10.0</v>
      </c>
      <c r="I298" s="10">
        <v>70.0</v>
      </c>
      <c r="J298" s="11">
        <v>0.05</v>
      </c>
      <c r="K298" s="9">
        <v>288.43</v>
      </c>
      <c r="L298" s="7" t="s">
        <v>13</v>
      </c>
    </row>
    <row r="299" ht="15.75" customHeight="1">
      <c r="A299" s="6">
        <v>10359.0</v>
      </c>
      <c r="B299" s="7" t="s">
        <v>71</v>
      </c>
      <c r="C299" s="8">
        <v>44886.0</v>
      </c>
      <c r="D299" s="8">
        <v>44914.0</v>
      </c>
      <c r="E299" s="8">
        <v>44891.0</v>
      </c>
      <c r="F299" s="8">
        <v>44896.0</v>
      </c>
      <c r="G299" s="6">
        <v>60.0</v>
      </c>
      <c r="H299" s="9">
        <v>27.2</v>
      </c>
      <c r="I299" s="10">
        <v>80.0</v>
      </c>
      <c r="J299" s="11">
        <v>0.05</v>
      </c>
      <c r="K299" s="9">
        <v>288.43</v>
      </c>
      <c r="L299" s="7" t="s">
        <v>13</v>
      </c>
    </row>
    <row r="300" ht="15.75" customHeight="1">
      <c r="A300" s="6">
        <v>10360.0</v>
      </c>
      <c r="B300" s="7" t="s">
        <v>30</v>
      </c>
      <c r="C300" s="8">
        <v>44887.0</v>
      </c>
      <c r="D300" s="8">
        <v>44915.0</v>
      </c>
      <c r="E300" s="8">
        <v>44897.0</v>
      </c>
      <c r="F300" s="8">
        <v>44902.0</v>
      </c>
      <c r="G300" s="6">
        <v>28.0</v>
      </c>
      <c r="H300" s="9">
        <v>36.4</v>
      </c>
      <c r="I300" s="10">
        <v>30.0</v>
      </c>
      <c r="J300" s="11">
        <v>0.0</v>
      </c>
      <c r="K300" s="9">
        <v>131.7</v>
      </c>
      <c r="L300" s="7" t="s">
        <v>13</v>
      </c>
    </row>
    <row r="301" ht="15.75" customHeight="1">
      <c r="A301" s="6">
        <v>10360.0</v>
      </c>
      <c r="B301" s="7" t="s">
        <v>30</v>
      </c>
      <c r="C301" s="8">
        <v>44887.0</v>
      </c>
      <c r="D301" s="8">
        <v>44915.0</v>
      </c>
      <c r="E301" s="8">
        <v>44897.0</v>
      </c>
      <c r="F301" s="8">
        <v>44902.0</v>
      </c>
      <c r="G301" s="6">
        <v>29.0</v>
      </c>
      <c r="H301" s="9">
        <v>99.0</v>
      </c>
      <c r="I301" s="10">
        <v>35.0</v>
      </c>
      <c r="J301" s="11">
        <v>0.0</v>
      </c>
      <c r="K301" s="9">
        <v>131.7</v>
      </c>
      <c r="L301" s="7" t="s">
        <v>13</v>
      </c>
    </row>
    <row r="302" ht="15.75" customHeight="1">
      <c r="A302" s="6">
        <v>10360.0</v>
      </c>
      <c r="B302" s="7" t="s">
        <v>30</v>
      </c>
      <c r="C302" s="8">
        <v>44887.0</v>
      </c>
      <c r="D302" s="8">
        <v>44915.0</v>
      </c>
      <c r="E302" s="8">
        <v>44897.0</v>
      </c>
      <c r="F302" s="8">
        <v>44902.0</v>
      </c>
      <c r="G302" s="6">
        <v>38.0</v>
      </c>
      <c r="H302" s="9">
        <v>210.8</v>
      </c>
      <c r="I302" s="10">
        <v>10.0</v>
      </c>
      <c r="J302" s="11">
        <v>0.0</v>
      </c>
      <c r="K302" s="9">
        <v>131.7</v>
      </c>
      <c r="L302" s="7" t="s">
        <v>13</v>
      </c>
    </row>
    <row r="303" ht="15.75" customHeight="1">
      <c r="A303" s="6">
        <v>10360.0</v>
      </c>
      <c r="B303" s="7" t="s">
        <v>30</v>
      </c>
      <c r="C303" s="8">
        <v>44887.0</v>
      </c>
      <c r="D303" s="8">
        <v>44915.0</v>
      </c>
      <c r="E303" s="8">
        <v>44897.0</v>
      </c>
      <c r="F303" s="8">
        <v>44902.0</v>
      </c>
      <c r="G303" s="6">
        <v>49.0</v>
      </c>
      <c r="H303" s="9">
        <v>16.0</v>
      </c>
      <c r="I303" s="10">
        <v>35.0</v>
      </c>
      <c r="J303" s="11">
        <v>0.0</v>
      </c>
      <c r="K303" s="9">
        <v>131.7</v>
      </c>
      <c r="L303" s="7" t="s">
        <v>13</v>
      </c>
    </row>
    <row r="304" ht="15.75" customHeight="1">
      <c r="A304" s="6">
        <v>10360.0</v>
      </c>
      <c r="B304" s="7" t="s">
        <v>30</v>
      </c>
      <c r="C304" s="8">
        <v>44887.0</v>
      </c>
      <c r="D304" s="8">
        <v>44915.0</v>
      </c>
      <c r="E304" s="8">
        <v>44897.0</v>
      </c>
      <c r="F304" s="8">
        <v>44902.0</v>
      </c>
      <c r="G304" s="6">
        <v>54.0</v>
      </c>
      <c r="H304" s="9">
        <v>5.9</v>
      </c>
      <c r="I304" s="10">
        <v>28.0</v>
      </c>
      <c r="J304" s="11">
        <v>0.0</v>
      </c>
      <c r="K304" s="9">
        <v>131.7</v>
      </c>
      <c r="L304" s="7" t="s">
        <v>13</v>
      </c>
    </row>
    <row r="305" ht="15.75" customHeight="1">
      <c r="A305" s="6">
        <v>10361.0</v>
      </c>
      <c r="B305" s="7" t="s">
        <v>36</v>
      </c>
      <c r="C305" s="8">
        <v>44887.0</v>
      </c>
      <c r="D305" s="8">
        <v>44915.0</v>
      </c>
      <c r="E305" s="8">
        <v>44898.0</v>
      </c>
      <c r="F305" s="8">
        <v>44907.0</v>
      </c>
      <c r="G305" s="6">
        <v>39.0</v>
      </c>
      <c r="H305" s="9">
        <v>14.4</v>
      </c>
      <c r="I305" s="10">
        <v>54.0</v>
      </c>
      <c r="J305" s="11">
        <v>0.1</v>
      </c>
      <c r="K305" s="9">
        <v>183.17</v>
      </c>
      <c r="L305" s="7" t="s">
        <v>17</v>
      </c>
    </row>
    <row r="306" ht="15.75" customHeight="1">
      <c r="A306" s="6">
        <v>10361.0</v>
      </c>
      <c r="B306" s="7" t="s">
        <v>36</v>
      </c>
      <c r="C306" s="8">
        <v>44887.0</v>
      </c>
      <c r="D306" s="8">
        <v>44915.0</v>
      </c>
      <c r="E306" s="8">
        <v>44898.0</v>
      </c>
      <c r="F306" s="8">
        <v>44907.0</v>
      </c>
      <c r="G306" s="6">
        <v>60.0</v>
      </c>
      <c r="H306" s="9">
        <v>27.2</v>
      </c>
      <c r="I306" s="10">
        <v>55.0</v>
      </c>
      <c r="J306" s="11">
        <v>0.1</v>
      </c>
      <c r="K306" s="9">
        <v>183.17</v>
      </c>
      <c r="L306" s="7" t="s">
        <v>17</v>
      </c>
    </row>
    <row r="307" ht="15.75" customHeight="1">
      <c r="A307" s="6">
        <v>10362.0</v>
      </c>
      <c r="B307" s="7" t="s">
        <v>63</v>
      </c>
      <c r="C307" s="8">
        <v>44890.0</v>
      </c>
      <c r="D307" s="8">
        <v>44918.0</v>
      </c>
      <c r="E307" s="8">
        <v>44893.0</v>
      </c>
      <c r="F307" s="8">
        <v>44900.0</v>
      </c>
      <c r="G307" s="6">
        <v>25.0</v>
      </c>
      <c r="H307" s="9">
        <v>11.2</v>
      </c>
      <c r="I307" s="10">
        <v>50.0</v>
      </c>
      <c r="J307" s="11">
        <v>0.0</v>
      </c>
      <c r="K307" s="9">
        <v>96.04</v>
      </c>
      <c r="L307" s="7" t="s">
        <v>15</v>
      </c>
    </row>
    <row r="308" ht="15.75" customHeight="1">
      <c r="A308" s="6">
        <v>10362.0</v>
      </c>
      <c r="B308" s="7" t="s">
        <v>63</v>
      </c>
      <c r="C308" s="8">
        <v>44890.0</v>
      </c>
      <c r="D308" s="8">
        <v>44918.0</v>
      </c>
      <c r="E308" s="8">
        <v>44893.0</v>
      </c>
      <c r="F308" s="8">
        <v>44900.0</v>
      </c>
      <c r="G308" s="6">
        <v>51.0</v>
      </c>
      <c r="H308" s="9">
        <v>42.4</v>
      </c>
      <c r="I308" s="10">
        <v>20.0</v>
      </c>
      <c r="J308" s="11">
        <v>0.0</v>
      </c>
      <c r="K308" s="9">
        <v>96.04</v>
      </c>
      <c r="L308" s="7" t="s">
        <v>15</v>
      </c>
    </row>
    <row r="309" ht="15.75" customHeight="1">
      <c r="A309" s="6">
        <v>10362.0</v>
      </c>
      <c r="B309" s="7" t="s">
        <v>63</v>
      </c>
      <c r="C309" s="8">
        <v>44890.0</v>
      </c>
      <c r="D309" s="8">
        <v>44918.0</v>
      </c>
      <c r="E309" s="8">
        <v>44893.0</v>
      </c>
      <c r="F309" s="8">
        <v>44900.0</v>
      </c>
      <c r="G309" s="6">
        <v>54.0</v>
      </c>
      <c r="H309" s="9">
        <v>5.9</v>
      </c>
      <c r="I309" s="10">
        <v>24.0</v>
      </c>
      <c r="J309" s="11">
        <v>0.0</v>
      </c>
      <c r="K309" s="9">
        <v>96.04</v>
      </c>
      <c r="L309" s="7" t="s">
        <v>15</v>
      </c>
    </row>
    <row r="310" ht="15.75" customHeight="1">
      <c r="A310" s="6">
        <v>10363.0</v>
      </c>
      <c r="B310" s="7" t="s">
        <v>72</v>
      </c>
      <c r="C310" s="8">
        <v>44891.0</v>
      </c>
      <c r="D310" s="8">
        <v>44919.0</v>
      </c>
      <c r="E310" s="8">
        <v>44899.0</v>
      </c>
      <c r="F310" s="8">
        <v>44904.0</v>
      </c>
      <c r="G310" s="6">
        <v>31.0</v>
      </c>
      <c r="H310" s="9">
        <v>10.0</v>
      </c>
      <c r="I310" s="10">
        <v>20.0</v>
      </c>
      <c r="J310" s="11">
        <v>0.0</v>
      </c>
      <c r="K310" s="9">
        <v>30.54</v>
      </c>
      <c r="L310" s="7" t="s">
        <v>13</v>
      </c>
    </row>
    <row r="311" ht="15.75" customHeight="1">
      <c r="A311" s="6">
        <v>10363.0</v>
      </c>
      <c r="B311" s="7" t="s">
        <v>72</v>
      </c>
      <c r="C311" s="8">
        <v>44891.0</v>
      </c>
      <c r="D311" s="8">
        <v>44919.0</v>
      </c>
      <c r="E311" s="8">
        <v>44899.0</v>
      </c>
      <c r="F311" s="8">
        <v>44904.0</v>
      </c>
      <c r="G311" s="6">
        <v>75.0</v>
      </c>
      <c r="H311" s="9">
        <v>6.2</v>
      </c>
      <c r="I311" s="10">
        <v>12.0</v>
      </c>
      <c r="J311" s="11">
        <v>0.0</v>
      </c>
      <c r="K311" s="9">
        <v>30.54</v>
      </c>
      <c r="L311" s="7" t="s">
        <v>13</v>
      </c>
    </row>
    <row r="312" ht="15.75" customHeight="1">
      <c r="A312" s="6">
        <v>10363.0</v>
      </c>
      <c r="B312" s="7" t="s">
        <v>72</v>
      </c>
      <c r="C312" s="8">
        <v>44891.0</v>
      </c>
      <c r="D312" s="8">
        <v>44919.0</v>
      </c>
      <c r="E312" s="8">
        <v>44899.0</v>
      </c>
      <c r="F312" s="8">
        <v>44904.0</v>
      </c>
      <c r="G312" s="6">
        <v>76.0</v>
      </c>
      <c r="H312" s="9">
        <v>14.4</v>
      </c>
      <c r="I312" s="10">
        <v>12.0</v>
      </c>
      <c r="J312" s="11">
        <v>0.0</v>
      </c>
      <c r="K312" s="9">
        <v>30.54</v>
      </c>
      <c r="L312" s="7" t="s">
        <v>13</v>
      </c>
    </row>
    <row r="313" ht="15.75" customHeight="1">
      <c r="A313" s="6">
        <v>10364.0</v>
      </c>
      <c r="B313" s="7" t="s">
        <v>73</v>
      </c>
      <c r="C313" s="8">
        <v>44891.0</v>
      </c>
      <c r="D313" s="8">
        <v>44933.0</v>
      </c>
      <c r="E313" s="8">
        <v>44899.0</v>
      </c>
      <c r="F313" s="8">
        <v>44906.0</v>
      </c>
      <c r="G313" s="6">
        <v>69.0</v>
      </c>
      <c r="H313" s="9">
        <v>28.8</v>
      </c>
      <c r="I313" s="10">
        <v>30.0</v>
      </c>
      <c r="J313" s="11">
        <v>0.0</v>
      </c>
      <c r="K313" s="9">
        <v>71.97</v>
      </c>
      <c r="L313" s="7" t="s">
        <v>15</v>
      </c>
    </row>
    <row r="314" ht="15.75" customHeight="1">
      <c r="A314" s="6">
        <v>10364.0</v>
      </c>
      <c r="B314" s="7" t="s">
        <v>73</v>
      </c>
      <c r="C314" s="8">
        <v>44891.0</v>
      </c>
      <c r="D314" s="8">
        <v>44933.0</v>
      </c>
      <c r="E314" s="8">
        <v>44899.0</v>
      </c>
      <c r="F314" s="8">
        <v>44906.0</v>
      </c>
      <c r="G314" s="6">
        <v>71.0</v>
      </c>
      <c r="H314" s="9">
        <v>17.2</v>
      </c>
      <c r="I314" s="10">
        <v>5.0</v>
      </c>
      <c r="J314" s="11">
        <v>0.0</v>
      </c>
      <c r="K314" s="9">
        <v>71.97</v>
      </c>
      <c r="L314" s="7" t="s">
        <v>15</v>
      </c>
    </row>
    <row r="315" ht="15.75" customHeight="1">
      <c r="A315" s="6">
        <v>10365.0</v>
      </c>
      <c r="B315" s="7" t="s">
        <v>74</v>
      </c>
      <c r="C315" s="8">
        <v>44892.0</v>
      </c>
      <c r="D315" s="8">
        <v>44920.0</v>
      </c>
      <c r="E315" s="8">
        <v>44897.0</v>
      </c>
      <c r="F315" s="8">
        <v>44915.0</v>
      </c>
      <c r="G315" s="6">
        <v>11.0</v>
      </c>
      <c r="H315" s="9">
        <v>16.8</v>
      </c>
      <c r="I315" s="10">
        <v>24.0</v>
      </c>
      <c r="J315" s="11">
        <v>0.0</v>
      </c>
      <c r="K315" s="9">
        <v>22.0</v>
      </c>
      <c r="L315" s="7" t="s">
        <v>17</v>
      </c>
    </row>
    <row r="316" ht="15.75" customHeight="1">
      <c r="A316" s="6">
        <v>10366.0</v>
      </c>
      <c r="B316" s="7" t="s">
        <v>75</v>
      </c>
      <c r="C316" s="8">
        <v>44893.0</v>
      </c>
      <c r="D316" s="8">
        <v>44935.0</v>
      </c>
      <c r="E316" s="8">
        <v>44925.0</v>
      </c>
      <c r="F316" s="8">
        <v>44935.0</v>
      </c>
      <c r="G316" s="6">
        <v>65.0</v>
      </c>
      <c r="H316" s="9">
        <v>16.8</v>
      </c>
      <c r="I316" s="10">
        <v>5.0</v>
      </c>
      <c r="J316" s="11">
        <v>0.0</v>
      </c>
      <c r="K316" s="9">
        <v>10.14</v>
      </c>
      <c r="L316" s="7" t="s">
        <v>17</v>
      </c>
    </row>
    <row r="317" ht="15.75" customHeight="1">
      <c r="A317" s="6">
        <v>10366.0</v>
      </c>
      <c r="B317" s="7" t="s">
        <v>75</v>
      </c>
      <c r="C317" s="8">
        <v>44893.0</v>
      </c>
      <c r="D317" s="8">
        <v>44935.0</v>
      </c>
      <c r="E317" s="8">
        <v>44925.0</v>
      </c>
      <c r="F317" s="8">
        <v>44935.0</v>
      </c>
      <c r="G317" s="6">
        <v>77.0</v>
      </c>
      <c r="H317" s="9">
        <v>10.4</v>
      </c>
      <c r="I317" s="10">
        <v>5.0</v>
      </c>
      <c r="J317" s="11">
        <v>0.0</v>
      </c>
      <c r="K317" s="9">
        <v>10.14</v>
      </c>
      <c r="L317" s="7" t="s">
        <v>17</v>
      </c>
    </row>
    <row r="318" ht="15.75" customHeight="1">
      <c r="A318" s="6">
        <v>10367.0</v>
      </c>
      <c r="B318" s="7" t="s">
        <v>76</v>
      </c>
      <c r="C318" s="8">
        <v>44893.0</v>
      </c>
      <c r="D318" s="8">
        <v>44921.0</v>
      </c>
      <c r="E318" s="8">
        <v>44897.0</v>
      </c>
      <c r="F318" s="8">
        <v>44909.0</v>
      </c>
      <c r="G318" s="6">
        <v>34.0</v>
      </c>
      <c r="H318" s="9">
        <v>11.2</v>
      </c>
      <c r="I318" s="10">
        <v>36.0</v>
      </c>
      <c r="J318" s="11">
        <v>0.0</v>
      </c>
      <c r="K318" s="9">
        <v>13.55</v>
      </c>
      <c r="L318" s="7" t="s">
        <v>13</v>
      </c>
    </row>
    <row r="319" ht="15.75" customHeight="1">
      <c r="A319" s="6">
        <v>10367.0</v>
      </c>
      <c r="B319" s="7" t="s">
        <v>76</v>
      </c>
      <c r="C319" s="8">
        <v>44893.0</v>
      </c>
      <c r="D319" s="8">
        <v>44921.0</v>
      </c>
      <c r="E319" s="8">
        <v>44897.0</v>
      </c>
      <c r="F319" s="8">
        <v>44909.0</v>
      </c>
      <c r="G319" s="6">
        <v>54.0</v>
      </c>
      <c r="H319" s="9">
        <v>5.9</v>
      </c>
      <c r="I319" s="10">
        <v>18.0</v>
      </c>
      <c r="J319" s="11">
        <v>0.0</v>
      </c>
      <c r="K319" s="9">
        <v>13.55</v>
      </c>
      <c r="L319" s="7" t="s">
        <v>13</v>
      </c>
    </row>
    <row r="320" ht="15.75" customHeight="1">
      <c r="A320" s="6">
        <v>10367.0</v>
      </c>
      <c r="B320" s="7" t="s">
        <v>76</v>
      </c>
      <c r="C320" s="8">
        <v>44893.0</v>
      </c>
      <c r="D320" s="8">
        <v>44921.0</v>
      </c>
      <c r="E320" s="8">
        <v>44897.0</v>
      </c>
      <c r="F320" s="8">
        <v>44909.0</v>
      </c>
      <c r="G320" s="6">
        <v>65.0</v>
      </c>
      <c r="H320" s="9">
        <v>16.8</v>
      </c>
      <c r="I320" s="10">
        <v>15.0</v>
      </c>
      <c r="J320" s="11">
        <v>0.0</v>
      </c>
      <c r="K320" s="9">
        <v>13.55</v>
      </c>
      <c r="L320" s="7" t="s">
        <v>13</v>
      </c>
    </row>
    <row r="321" ht="15.75" customHeight="1">
      <c r="A321" s="6">
        <v>10367.0</v>
      </c>
      <c r="B321" s="7" t="s">
        <v>76</v>
      </c>
      <c r="C321" s="8">
        <v>44893.0</v>
      </c>
      <c r="D321" s="8">
        <v>44921.0</v>
      </c>
      <c r="E321" s="8">
        <v>44897.0</v>
      </c>
      <c r="F321" s="8">
        <v>44909.0</v>
      </c>
      <c r="G321" s="6">
        <v>77.0</v>
      </c>
      <c r="H321" s="9">
        <v>10.4</v>
      </c>
      <c r="I321" s="10">
        <v>7.0</v>
      </c>
      <c r="J321" s="11">
        <v>0.0</v>
      </c>
      <c r="K321" s="9">
        <v>13.55</v>
      </c>
      <c r="L321" s="7" t="s">
        <v>13</v>
      </c>
    </row>
    <row r="322" ht="15.75" customHeight="1">
      <c r="A322" s="6">
        <v>10368.0</v>
      </c>
      <c r="B322" s="7" t="s">
        <v>24</v>
      </c>
      <c r="C322" s="8">
        <v>44894.0</v>
      </c>
      <c r="D322" s="8">
        <v>44922.0</v>
      </c>
      <c r="E322" s="8">
        <v>44897.0</v>
      </c>
      <c r="F322" s="8">
        <v>44909.0</v>
      </c>
      <c r="G322" s="6">
        <v>21.0</v>
      </c>
      <c r="H322" s="9">
        <v>8.0</v>
      </c>
      <c r="I322" s="10">
        <v>5.0</v>
      </c>
      <c r="J322" s="11">
        <v>0.1</v>
      </c>
      <c r="K322" s="9">
        <v>101.95</v>
      </c>
      <c r="L322" s="7" t="s">
        <v>17</v>
      </c>
    </row>
    <row r="323" ht="15.75" customHeight="1">
      <c r="A323" s="6">
        <v>10368.0</v>
      </c>
      <c r="B323" s="7" t="s">
        <v>24</v>
      </c>
      <c r="C323" s="8">
        <v>44894.0</v>
      </c>
      <c r="D323" s="8">
        <v>44922.0</v>
      </c>
      <c r="E323" s="8">
        <v>44897.0</v>
      </c>
      <c r="F323" s="8">
        <v>44909.0</v>
      </c>
      <c r="G323" s="6">
        <v>28.0</v>
      </c>
      <c r="H323" s="9">
        <v>36.4</v>
      </c>
      <c r="I323" s="10">
        <v>13.0</v>
      </c>
      <c r="J323" s="11">
        <v>0.1</v>
      </c>
      <c r="K323" s="9">
        <v>101.95</v>
      </c>
      <c r="L323" s="7" t="s">
        <v>17</v>
      </c>
    </row>
    <row r="324" ht="15.75" customHeight="1">
      <c r="A324" s="6">
        <v>10368.0</v>
      </c>
      <c r="B324" s="7" t="s">
        <v>24</v>
      </c>
      <c r="C324" s="8">
        <v>44894.0</v>
      </c>
      <c r="D324" s="8">
        <v>44922.0</v>
      </c>
      <c r="E324" s="8">
        <v>44897.0</v>
      </c>
      <c r="F324" s="8">
        <v>44909.0</v>
      </c>
      <c r="G324" s="6">
        <v>57.0</v>
      </c>
      <c r="H324" s="9">
        <v>15.6</v>
      </c>
      <c r="I324" s="10">
        <v>25.0</v>
      </c>
      <c r="J324" s="11">
        <v>0.0</v>
      </c>
      <c r="K324" s="9">
        <v>101.95</v>
      </c>
      <c r="L324" s="7" t="s">
        <v>17</v>
      </c>
    </row>
    <row r="325" ht="15.75" customHeight="1">
      <c r="A325" s="6">
        <v>10368.0</v>
      </c>
      <c r="B325" s="7" t="s">
        <v>24</v>
      </c>
      <c r="C325" s="8">
        <v>44894.0</v>
      </c>
      <c r="D325" s="8">
        <v>44922.0</v>
      </c>
      <c r="E325" s="8">
        <v>44897.0</v>
      </c>
      <c r="F325" s="8">
        <v>44909.0</v>
      </c>
      <c r="G325" s="6">
        <v>64.0</v>
      </c>
      <c r="H325" s="9">
        <v>26.6</v>
      </c>
      <c r="I325" s="10">
        <v>35.0</v>
      </c>
      <c r="J325" s="11">
        <v>0.1</v>
      </c>
      <c r="K325" s="9">
        <v>101.95</v>
      </c>
      <c r="L325" s="7" t="s">
        <v>17</v>
      </c>
    </row>
    <row r="326" ht="15.75" customHeight="1">
      <c r="A326" s="6">
        <v>10369.0</v>
      </c>
      <c r="B326" s="7" t="s">
        <v>35</v>
      </c>
      <c r="C326" s="8">
        <v>44897.0</v>
      </c>
      <c r="D326" s="8">
        <v>44925.0</v>
      </c>
      <c r="E326" s="8">
        <v>44904.0</v>
      </c>
      <c r="F326" s="8">
        <v>44919.0</v>
      </c>
      <c r="G326" s="6">
        <v>29.0</v>
      </c>
      <c r="H326" s="9">
        <v>99.0</v>
      </c>
      <c r="I326" s="10">
        <v>20.0</v>
      </c>
      <c r="J326" s="11">
        <v>0.0</v>
      </c>
      <c r="K326" s="9">
        <v>195.68</v>
      </c>
      <c r="L326" s="7" t="s">
        <v>17</v>
      </c>
    </row>
    <row r="327" ht="15.75" customHeight="1">
      <c r="A327" s="6">
        <v>10369.0</v>
      </c>
      <c r="B327" s="7" t="s">
        <v>35</v>
      </c>
      <c r="C327" s="8">
        <v>44897.0</v>
      </c>
      <c r="D327" s="8">
        <v>44925.0</v>
      </c>
      <c r="E327" s="8">
        <v>44904.0</v>
      </c>
      <c r="F327" s="8">
        <v>44919.0</v>
      </c>
      <c r="G327" s="6">
        <v>56.0</v>
      </c>
      <c r="H327" s="9">
        <v>30.4</v>
      </c>
      <c r="I327" s="10">
        <v>18.0</v>
      </c>
      <c r="J327" s="11">
        <v>0.25</v>
      </c>
      <c r="K327" s="9">
        <v>195.68</v>
      </c>
      <c r="L327" s="7" t="s">
        <v>17</v>
      </c>
    </row>
    <row r="328" ht="15.75" customHeight="1">
      <c r="A328" s="6">
        <v>10370.0</v>
      </c>
      <c r="B328" s="7" t="s">
        <v>20</v>
      </c>
      <c r="C328" s="8">
        <v>44898.0</v>
      </c>
      <c r="D328" s="8">
        <v>44926.0</v>
      </c>
      <c r="E328" s="8">
        <v>44922.0</v>
      </c>
      <c r="F328" s="8">
        <v>44937.0</v>
      </c>
      <c r="G328" s="6">
        <v>1.0</v>
      </c>
      <c r="H328" s="9">
        <v>14.4</v>
      </c>
      <c r="I328" s="10">
        <v>15.0</v>
      </c>
      <c r="J328" s="11">
        <v>0.15</v>
      </c>
      <c r="K328" s="9">
        <v>1.17</v>
      </c>
      <c r="L328" s="7" t="s">
        <v>17</v>
      </c>
    </row>
    <row r="329" ht="15.75" customHeight="1">
      <c r="A329" s="6">
        <v>10370.0</v>
      </c>
      <c r="B329" s="7" t="s">
        <v>20</v>
      </c>
      <c r="C329" s="8">
        <v>44898.0</v>
      </c>
      <c r="D329" s="8">
        <v>44926.0</v>
      </c>
      <c r="E329" s="8">
        <v>44922.0</v>
      </c>
      <c r="F329" s="8">
        <v>44937.0</v>
      </c>
      <c r="G329" s="6">
        <v>64.0</v>
      </c>
      <c r="H329" s="9">
        <v>26.6</v>
      </c>
      <c r="I329" s="10">
        <v>30.0</v>
      </c>
      <c r="J329" s="11">
        <v>0.0</v>
      </c>
      <c r="K329" s="9">
        <v>1.17</v>
      </c>
      <c r="L329" s="7" t="s">
        <v>17</v>
      </c>
    </row>
    <row r="330" ht="15.75" customHeight="1">
      <c r="A330" s="6">
        <v>10370.0</v>
      </c>
      <c r="B330" s="7" t="s">
        <v>20</v>
      </c>
      <c r="C330" s="8">
        <v>44898.0</v>
      </c>
      <c r="D330" s="8">
        <v>44926.0</v>
      </c>
      <c r="E330" s="8">
        <v>44922.0</v>
      </c>
      <c r="F330" s="8">
        <v>44937.0</v>
      </c>
      <c r="G330" s="6">
        <v>74.0</v>
      </c>
      <c r="H330" s="9">
        <v>8.0</v>
      </c>
      <c r="I330" s="10">
        <v>20.0</v>
      </c>
      <c r="J330" s="11">
        <v>0.15</v>
      </c>
      <c r="K330" s="9">
        <v>1.17</v>
      </c>
      <c r="L330" s="7" t="s">
        <v>17</v>
      </c>
    </row>
    <row r="331" ht="15.75" customHeight="1">
      <c r="A331" s="6">
        <v>10371.0</v>
      </c>
      <c r="B331" s="7" t="s">
        <v>68</v>
      </c>
      <c r="C331" s="8">
        <v>44898.0</v>
      </c>
      <c r="D331" s="8">
        <v>44926.0</v>
      </c>
      <c r="E331" s="8">
        <v>44919.0</v>
      </c>
      <c r="F331" s="8">
        <v>44923.0</v>
      </c>
      <c r="G331" s="6">
        <v>36.0</v>
      </c>
      <c r="H331" s="9">
        <v>15.2</v>
      </c>
      <c r="I331" s="10">
        <v>6.0</v>
      </c>
      <c r="J331" s="11">
        <v>0.2</v>
      </c>
      <c r="K331" s="9">
        <v>0.45</v>
      </c>
      <c r="L331" s="7" t="s">
        <v>15</v>
      </c>
    </row>
    <row r="332" ht="15.75" customHeight="1">
      <c r="A332" s="6">
        <v>10372.0</v>
      </c>
      <c r="B332" s="7" t="s">
        <v>77</v>
      </c>
      <c r="C332" s="8">
        <v>44899.0</v>
      </c>
      <c r="D332" s="8">
        <v>44927.0</v>
      </c>
      <c r="E332" s="8">
        <v>44904.0</v>
      </c>
      <c r="F332" s="8">
        <v>44923.0</v>
      </c>
      <c r="G332" s="6">
        <v>20.0</v>
      </c>
      <c r="H332" s="9">
        <v>64.8</v>
      </c>
      <c r="I332" s="10">
        <v>12.0</v>
      </c>
      <c r="J332" s="11">
        <v>0.25</v>
      </c>
      <c r="K332" s="9">
        <v>890.78</v>
      </c>
      <c r="L332" s="7" t="s">
        <v>17</v>
      </c>
    </row>
    <row r="333" ht="15.75" customHeight="1">
      <c r="A333" s="6">
        <v>10372.0</v>
      </c>
      <c r="B333" s="7" t="s">
        <v>77</v>
      </c>
      <c r="C333" s="8">
        <v>44899.0</v>
      </c>
      <c r="D333" s="8">
        <v>44927.0</v>
      </c>
      <c r="E333" s="8">
        <v>44904.0</v>
      </c>
      <c r="F333" s="8">
        <v>44923.0</v>
      </c>
      <c r="G333" s="6">
        <v>38.0</v>
      </c>
      <c r="H333" s="9">
        <v>210.8</v>
      </c>
      <c r="I333" s="10">
        <v>40.0</v>
      </c>
      <c r="J333" s="11">
        <v>0.25</v>
      </c>
      <c r="K333" s="9">
        <v>890.78</v>
      </c>
      <c r="L333" s="7" t="s">
        <v>17</v>
      </c>
    </row>
    <row r="334" ht="15.75" customHeight="1">
      <c r="A334" s="6">
        <v>10372.0</v>
      </c>
      <c r="B334" s="7" t="s">
        <v>77</v>
      </c>
      <c r="C334" s="8">
        <v>44899.0</v>
      </c>
      <c r="D334" s="8">
        <v>44927.0</v>
      </c>
      <c r="E334" s="8">
        <v>44904.0</v>
      </c>
      <c r="F334" s="8">
        <v>44923.0</v>
      </c>
      <c r="G334" s="6">
        <v>60.0</v>
      </c>
      <c r="H334" s="9">
        <v>27.2</v>
      </c>
      <c r="I334" s="10">
        <v>70.0</v>
      </c>
      <c r="J334" s="11">
        <v>0.25</v>
      </c>
      <c r="K334" s="9">
        <v>890.78</v>
      </c>
      <c r="L334" s="7" t="s">
        <v>17</v>
      </c>
    </row>
    <row r="335" ht="15.75" customHeight="1">
      <c r="A335" s="6">
        <v>10372.0</v>
      </c>
      <c r="B335" s="7" t="s">
        <v>77</v>
      </c>
      <c r="C335" s="8">
        <v>44899.0</v>
      </c>
      <c r="D335" s="8">
        <v>44927.0</v>
      </c>
      <c r="E335" s="8">
        <v>44904.0</v>
      </c>
      <c r="F335" s="8">
        <v>44923.0</v>
      </c>
      <c r="G335" s="6">
        <v>72.0</v>
      </c>
      <c r="H335" s="9">
        <v>27.8</v>
      </c>
      <c r="I335" s="10">
        <v>42.0</v>
      </c>
      <c r="J335" s="11">
        <v>0.25</v>
      </c>
      <c r="K335" s="9">
        <v>890.78</v>
      </c>
      <c r="L335" s="7" t="s">
        <v>17</v>
      </c>
    </row>
    <row r="336" ht="15.75" customHeight="1">
      <c r="A336" s="6">
        <v>10373.0</v>
      </c>
      <c r="B336" s="7" t="s">
        <v>49</v>
      </c>
      <c r="C336" s="8">
        <v>44900.0</v>
      </c>
      <c r="D336" s="8">
        <v>44928.0</v>
      </c>
      <c r="E336" s="8">
        <v>44906.0</v>
      </c>
      <c r="F336" s="8">
        <v>44919.0</v>
      </c>
      <c r="G336" s="6">
        <v>58.0</v>
      </c>
      <c r="H336" s="9">
        <v>10.6</v>
      </c>
      <c r="I336" s="10">
        <v>80.0</v>
      </c>
      <c r="J336" s="11">
        <v>0.2</v>
      </c>
      <c r="K336" s="9">
        <v>124.12</v>
      </c>
      <c r="L336" s="7" t="s">
        <v>13</v>
      </c>
    </row>
    <row r="337" ht="15.75" customHeight="1">
      <c r="A337" s="6">
        <v>10373.0</v>
      </c>
      <c r="B337" s="7" t="s">
        <v>49</v>
      </c>
      <c r="C337" s="8">
        <v>44900.0</v>
      </c>
      <c r="D337" s="8">
        <v>44928.0</v>
      </c>
      <c r="E337" s="8">
        <v>44906.0</v>
      </c>
      <c r="F337" s="8">
        <v>44919.0</v>
      </c>
      <c r="G337" s="6">
        <v>71.0</v>
      </c>
      <c r="H337" s="9">
        <v>17.2</v>
      </c>
      <c r="I337" s="10">
        <v>50.0</v>
      </c>
      <c r="J337" s="11">
        <v>0.2</v>
      </c>
      <c r="K337" s="9">
        <v>124.12</v>
      </c>
      <c r="L337" s="7" t="s">
        <v>13</v>
      </c>
    </row>
    <row r="338" ht="15.75" customHeight="1">
      <c r="A338" s="6">
        <v>10374.0</v>
      </c>
      <c r="B338" s="7" t="s">
        <v>78</v>
      </c>
      <c r="C338" s="8">
        <v>44900.0</v>
      </c>
      <c r="D338" s="8">
        <v>44928.0</v>
      </c>
      <c r="E338" s="8">
        <v>44904.0</v>
      </c>
      <c r="F338" s="8">
        <v>44914.0</v>
      </c>
      <c r="G338" s="6">
        <v>31.0</v>
      </c>
      <c r="H338" s="9">
        <v>10.0</v>
      </c>
      <c r="I338" s="10">
        <v>30.0</v>
      </c>
      <c r="J338" s="11">
        <v>0.0</v>
      </c>
      <c r="K338" s="9">
        <v>3.94</v>
      </c>
      <c r="L338" s="7" t="s">
        <v>13</v>
      </c>
    </row>
    <row r="339" ht="15.75" customHeight="1">
      <c r="A339" s="6">
        <v>10374.0</v>
      </c>
      <c r="B339" s="7" t="s">
        <v>78</v>
      </c>
      <c r="C339" s="8">
        <v>44900.0</v>
      </c>
      <c r="D339" s="8">
        <v>44928.0</v>
      </c>
      <c r="E339" s="8">
        <v>44904.0</v>
      </c>
      <c r="F339" s="8">
        <v>44914.0</v>
      </c>
      <c r="G339" s="6">
        <v>58.0</v>
      </c>
      <c r="H339" s="9">
        <v>10.6</v>
      </c>
      <c r="I339" s="10">
        <v>15.0</v>
      </c>
      <c r="J339" s="11">
        <v>0.0</v>
      </c>
      <c r="K339" s="9">
        <v>3.94</v>
      </c>
      <c r="L339" s="7" t="s">
        <v>13</v>
      </c>
    </row>
    <row r="340" ht="15.75" customHeight="1">
      <c r="A340" s="6">
        <v>10375.0</v>
      </c>
      <c r="B340" s="7" t="s">
        <v>79</v>
      </c>
      <c r="C340" s="8">
        <v>44901.0</v>
      </c>
      <c r="D340" s="8">
        <v>44929.0</v>
      </c>
      <c r="E340" s="8">
        <v>44904.0</v>
      </c>
      <c r="F340" s="8">
        <v>44921.0</v>
      </c>
      <c r="G340" s="6">
        <v>14.0</v>
      </c>
      <c r="H340" s="9">
        <v>18.6</v>
      </c>
      <c r="I340" s="10">
        <v>15.0</v>
      </c>
      <c r="J340" s="11">
        <v>0.0</v>
      </c>
      <c r="K340" s="9">
        <v>20.12</v>
      </c>
      <c r="L340" s="7" t="s">
        <v>17</v>
      </c>
    </row>
    <row r="341" ht="15.75" customHeight="1">
      <c r="A341" s="6">
        <v>10375.0</v>
      </c>
      <c r="B341" s="7" t="s">
        <v>79</v>
      </c>
      <c r="C341" s="8">
        <v>44901.0</v>
      </c>
      <c r="D341" s="8">
        <v>44929.0</v>
      </c>
      <c r="E341" s="8">
        <v>44904.0</v>
      </c>
      <c r="F341" s="8">
        <v>44921.0</v>
      </c>
      <c r="G341" s="6">
        <v>54.0</v>
      </c>
      <c r="H341" s="9">
        <v>5.9</v>
      </c>
      <c r="I341" s="10">
        <v>10.0</v>
      </c>
      <c r="J341" s="11">
        <v>0.0</v>
      </c>
      <c r="K341" s="9">
        <v>20.12</v>
      </c>
      <c r="L341" s="7" t="s">
        <v>17</v>
      </c>
    </row>
    <row r="342" ht="15.75" customHeight="1">
      <c r="A342" s="6">
        <v>10376.0</v>
      </c>
      <c r="B342" s="7" t="s">
        <v>64</v>
      </c>
      <c r="C342" s="8">
        <v>44904.0</v>
      </c>
      <c r="D342" s="8">
        <v>44932.0</v>
      </c>
      <c r="E342" s="8">
        <v>44908.0</v>
      </c>
      <c r="F342" s="8">
        <v>44921.0</v>
      </c>
      <c r="G342" s="6">
        <v>31.0</v>
      </c>
      <c r="H342" s="9">
        <v>10.0</v>
      </c>
      <c r="I342" s="10">
        <v>42.0</v>
      </c>
      <c r="J342" s="11">
        <v>0.05</v>
      </c>
      <c r="K342" s="9">
        <v>20.39</v>
      </c>
      <c r="L342" s="7" t="s">
        <v>17</v>
      </c>
    </row>
    <row r="343" ht="15.75" customHeight="1">
      <c r="A343" s="6">
        <v>10377.0</v>
      </c>
      <c r="B343" s="7" t="s">
        <v>71</v>
      </c>
      <c r="C343" s="8">
        <v>44904.0</v>
      </c>
      <c r="D343" s="8">
        <v>44932.0</v>
      </c>
      <c r="E343" s="8">
        <v>44908.0</v>
      </c>
      <c r="F343" s="8">
        <v>44917.0</v>
      </c>
      <c r="G343" s="6">
        <v>28.0</v>
      </c>
      <c r="H343" s="9">
        <v>36.4</v>
      </c>
      <c r="I343" s="10">
        <v>20.0</v>
      </c>
      <c r="J343" s="11">
        <v>0.15</v>
      </c>
      <c r="K343" s="9">
        <v>22.21</v>
      </c>
      <c r="L343" s="7" t="s">
        <v>13</v>
      </c>
    </row>
    <row r="344" ht="15.75" customHeight="1">
      <c r="A344" s="6">
        <v>10377.0</v>
      </c>
      <c r="B344" s="7" t="s">
        <v>71</v>
      </c>
      <c r="C344" s="8">
        <v>44904.0</v>
      </c>
      <c r="D344" s="8">
        <v>44932.0</v>
      </c>
      <c r="E344" s="8">
        <v>44908.0</v>
      </c>
      <c r="F344" s="8">
        <v>44917.0</v>
      </c>
      <c r="G344" s="6">
        <v>39.0</v>
      </c>
      <c r="H344" s="9">
        <v>14.4</v>
      </c>
      <c r="I344" s="10">
        <v>20.0</v>
      </c>
      <c r="J344" s="11">
        <v>0.15</v>
      </c>
      <c r="K344" s="9">
        <v>22.21</v>
      </c>
      <c r="L344" s="7" t="s">
        <v>13</v>
      </c>
    </row>
    <row r="345" ht="15.75" customHeight="1">
      <c r="A345" s="6">
        <v>10378.0</v>
      </c>
      <c r="B345" s="7" t="s">
        <v>29</v>
      </c>
      <c r="C345" s="8">
        <v>44905.0</v>
      </c>
      <c r="D345" s="8">
        <v>44933.0</v>
      </c>
      <c r="E345" s="8">
        <v>44914.0</v>
      </c>
      <c r="F345" s="8">
        <v>44926.0</v>
      </c>
      <c r="G345" s="6">
        <v>71.0</v>
      </c>
      <c r="H345" s="9">
        <v>17.2</v>
      </c>
      <c r="I345" s="10">
        <v>6.0</v>
      </c>
      <c r="J345" s="11">
        <v>0.0</v>
      </c>
      <c r="K345" s="9">
        <v>5.44</v>
      </c>
      <c r="L345" s="7" t="s">
        <v>13</v>
      </c>
    </row>
    <row r="346" ht="15.75" customHeight="1">
      <c r="A346" s="6">
        <v>10379.0</v>
      </c>
      <c r="B346" s="7" t="s">
        <v>27</v>
      </c>
      <c r="C346" s="8">
        <v>44906.0</v>
      </c>
      <c r="D346" s="8">
        <v>44934.0</v>
      </c>
      <c r="E346" s="8">
        <v>44908.0</v>
      </c>
      <c r="F346" s="8">
        <v>44922.0</v>
      </c>
      <c r="G346" s="6">
        <v>41.0</v>
      </c>
      <c r="H346" s="9">
        <v>7.7</v>
      </c>
      <c r="I346" s="10">
        <v>8.0</v>
      </c>
      <c r="J346" s="11">
        <v>0.1</v>
      </c>
      <c r="K346" s="9">
        <v>45.03</v>
      </c>
      <c r="L346" s="7" t="s">
        <v>15</v>
      </c>
    </row>
    <row r="347" ht="15.75" customHeight="1">
      <c r="A347" s="6">
        <v>10379.0</v>
      </c>
      <c r="B347" s="7" t="s">
        <v>27</v>
      </c>
      <c r="C347" s="8">
        <v>44906.0</v>
      </c>
      <c r="D347" s="8">
        <v>44934.0</v>
      </c>
      <c r="E347" s="8">
        <v>44908.0</v>
      </c>
      <c r="F347" s="8">
        <v>44922.0</v>
      </c>
      <c r="G347" s="6">
        <v>63.0</v>
      </c>
      <c r="H347" s="9">
        <v>35.1</v>
      </c>
      <c r="I347" s="10">
        <v>16.0</v>
      </c>
      <c r="J347" s="11">
        <v>0.1</v>
      </c>
      <c r="K347" s="9">
        <v>45.03</v>
      </c>
      <c r="L347" s="7" t="s">
        <v>15</v>
      </c>
    </row>
    <row r="348" ht="15.75" customHeight="1">
      <c r="A348" s="6">
        <v>10379.0</v>
      </c>
      <c r="B348" s="7" t="s">
        <v>27</v>
      </c>
      <c r="C348" s="8">
        <v>44906.0</v>
      </c>
      <c r="D348" s="8">
        <v>44934.0</v>
      </c>
      <c r="E348" s="8">
        <v>44908.0</v>
      </c>
      <c r="F348" s="8">
        <v>44922.0</v>
      </c>
      <c r="G348" s="6">
        <v>65.0</v>
      </c>
      <c r="H348" s="9">
        <v>16.8</v>
      </c>
      <c r="I348" s="10">
        <v>20.0</v>
      </c>
      <c r="J348" s="11">
        <v>0.1</v>
      </c>
      <c r="K348" s="9">
        <v>45.03</v>
      </c>
      <c r="L348" s="7" t="s">
        <v>15</v>
      </c>
    </row>
    <row r="349" ht="15.75" customHeight="1">
      <c r="A349" s="6">
        <v>10380.0</v>
      </c>
      <c r="B349" s="7" t="s">
        <v>49</v>
      </c>
      <c r="C349" s="8">
        <v>44907.0</v>
      </c>
      <c r="D349" s="8">
        <v>44935.0</v>
      </c>
      <c r="E349" s="8">
        <v>44942.0</v>
      </c>
      <c r="F349" s="8">
        <v>44955.0</v>
      </c>
      <c r="G349" s="6">
        <v>30.0</v>
      </c>
      <c r="H349" s="9">
        <v>20.7</v>
      </c>
      <c r="I349" s="10">
        <v>18.0</v>
      </c>
      <c r="J349" s="11">
        <v>0.1</v>
      </c>
      <c r="K349" s="9">
        <v>35.03</v>
      </c>
      <c r="L349" s="7" t="s">
        <v>13</v>
      </c>
    </row>
    <row r="350" ht="15.75" customHeight="1">
      <c r="A350" s="6">
        <v>10380.0</v>
      </c>
      <c r="B350" s="7" t="s">
        <v>49</v>
      </c>
      <c r="C350" s="8">
        <v>44907.0</v>
      </c>
      <c r="D350" s="8">
        <v>44935.0</v>
      </c>
      <c r="E350" s="8">
        <v>44942.0</v>
      </c>
      <c r="F350" s="8">
        <v>44955.0</v>
      </c>
      <c r="G350" s="6">
        <v>53.0</v>
      </c>
      <c r="H350" s="9">
        <v>26.2</v>
      </c>
      <c r="I350" s="10">
        <v>20.0</v>
      </c>
      <c r="J350" s="11">
        <v>0.1</v>
      </c>
      <c r="K350" s="9">
        <v>35.03</v>
      </c>
      <c r="L350" s="7" t="s">
        <v>13</v>
      </c>
    </row>
    <row r="351" ht="15.75" customHeight="1">
      <c r="A351" s="6">
        <v>10380.0</v>
      </c>
      <c r="B351" s="7" t="s">
        <v>49</v>
      </c>
      <c r="C351" s="8">
        <v>44907.0</v>
      </c>
      <c r="D351" s="8">
        <v>44935.0</v>
      </c>
      <c r="E351" s="8">
        <v>44942.0</v>
      </c>
      <c r="F351" s="8">
        <v>44955.0</v>
      </c>
      <c r="G351" s="6">
        <v>60.0</v>
      </c>
      <c r="H351" s="9">
        <v>27.2</v>
      </c>
      <c r="I351" s="10">
        <v>6.0</v>
      </c>
      <c r="J351" s="11">
        <v>0.1</v>
      </c>
      <c r="K351" s="9">
        <v>35.03</v>
      </c>
      <c r="L351" s="7" t="s">
        <v>13</v>
      </c>
    </row>
    <row r="352" ht="15.75" customHeight="1">
      <c r="A352" s="6">
        <v>10380.0</v>
      </c>
      <c r="B352" s="7" t="s">
        <v>49</v>
      </c>
      <c r="C352" s="8">
        <v>44907.0</v>
      </c>
      <c r="D352" s="8">
        <v>44935.0</v>
      </c>
      <c r="E352" s="8">
        <v>44942.0</v>
      </c>
      <c r="F352" s="8">
        <v>44955.0</v>
      </c>
      <c r="G352" s="6">
        <v>70.0</v>
      </c>
      <c r="H352" s="9">
        <v>12.0</v>
      </c>
      <c r="I352" s="10">
        <v>30.0</v>
      </c>
      <c r="J352" s="11">
        <v>0.0</v>
      </c>
      <c r="K352" s="9">
        <v>35.03</v>
      </c>
      <c r="L352" s="7" t="s">
        <v>13</v>
      </c>
    </row>
    <row r="353" ht="15.75" customHeight="1">
      <c r="A353" s="6">
        <v>10381.0</v>
      </c>
      <c r="B353" s="7" t="s">
        <v>43</v>
      </c>
      <c r="C353" s="8">
        <v>44907.0</v>
      </c>
      <c r="D353" s="8">
        <v>44935.0</v>
      </c>
      <c r="E353" s="8">
        <v>44908.0</v>
      </c>
      <c r="F353" s="8">
        <v>44919.0</v>
      </c>
      <c r="G353" s="6">
        <v>74.0</v>
      </c>
      <c r="H353" s="9">
        <v>8.0</v>
      </c>
      <c r="I353" s="10">
        <v>14.0</v>
      </c>
      <c r="J353" s="11">
        <v>0.0</v>
      </c>
      <c r="K353" s="9">
        <v>7.99</v>
      </c>
      <c r="L353" s="7" t="s">
        <v>13</v>
      </c>
    </row>
    <row r="354" ht="15.75" customHeight="1">
      <c r="A354" s="6">
        <v>10382.0</v>
      </c>
      <c r="B354" s="7" t="s">
        <v>24</v>
      </c>
      <c r="C354" s="8">
        <v>44908.0</v>
      </c>
      <c r="D354" s="8">
        <v>44936.0</v>
      </c>
      <c r="E354" s="8">
        <v>44911.0</v>
      </c>
      <c r="F354" s="8">
        <v>44920.0</v>
      </c>
      <c r="G354" s="6">
        <v>5.0</v>
      </c>
      <c r="H354" s="9">
        <v>17.0</v>
      </c>
      <c r="I354" s="10">
        <v>32.0</v>
      </c>
      <c r="J354" s="11">
        <v>0.0</v>
      </c>
      <c r="K354" s="9">
        <v>94.77</v>
      </c>
      <c r="L354" s="7" t="s">
        <v>15</v>
      </c>
    </row>
    <row r="355" ht="15.75" customHeight="1">
      <c r="A355" s="6">
        <v>10382.0</v>
      </c>
      <c r="B355" s="7" t="s">
        <v>24</v>
      </c>
      <c r="C355" s="8">
        <v>44908.0</v>
      </c>
      <c r="D355" s="8">
        <v>44936.0</v>
      </c>
      <c r="E355" s="8">
        <v>44911.0</v>
      </c>
      <c r="F355" s="8">
        <v>44920.0</v>
      </c>
      <c r="G355" s="6">
        <v>18.0</v>
      </c>
      <c r="H355" s="9">
        <v>50.0</v>
      </c>
      <c r="I355" s="10">
        <v>9.0</v>
      </c>
      <c r="J355" s="11">
        <v>0.0</v>
      </c>
      <c r="K355" s="9">
        <v>94.77</v>
      </c>
      <c r="L355" s="7" t="s">
        <v>15</v>
      </c>
    </row>
    <row r="356" ht="15.75" customHeight="1">
      <c r="A356" s="6">
        <v>10382.0</v>
      </c>
      <c r="B356" s="7" t="s">
        <v>24</v>
      </c>
      <c r="C356" s="8">
        <v>44908.0</v>
      </c>
      <c r="D356" s="8">
        <v>44936.0</v>
      </c>
      <c r="E356" s="8">
        <v>44911.0</v>
      </c>
      <c r="F356" s="8">
        <v>44920.0</v>
      </c>
      <c r="G356" s="6">
        <v>29.0</v>
      </c>
      <c r="H356" s="9">
        <v>99.0</v>
      </c>
      <c r="I356" s="10">
        <v>14.0</v>
      </c>
      <c r="J356" s="11">
        <v>0.0</v>
      </c>
      <c r="K356" s="9">
        <v>94.77</v>
      </c>
      <c r="L356" s="7" t="s">
        <v>15</v>
      </c>
    </row>
    <row r="357" ht="15.75" customHeight="1">
      <c r="A357" s="6">
        <v>10382.0</v>
      </c>
      <c r="B357" s="7" t="s">
        <v>24</v>
      </c>
      <c r="C357" s="8">
        <v>44908.0</v>
      </c>
      <c r="D357" s="8">
        <v>44936.0</v>
      </c>
      <c r="E357" s="8">
        <v>44911.0</v>
      </c>
      <c r="F357" s="8">
        <v>44920.0</v>
      </c>
      <c r="G357" s="6">
        <v>33.0</v>
      </c>
      <c r="H357" s="9">
        <v>2.0</v>
      </c>
      <c r="I357" s="10">
        <v>60.0</v>
      </c>
      <c r="J357" s="11">
        <v>0.0</v>
      </c>
      <c r="K357" s="9">
        <v>94.77</v>
      </c>
      <c r="L357" s="7" t="s">
        <v>15</v>
      </c>
    </row>
    <row r="358" ht="15.75" customHeight="1">
      <c r="A358" s="6">
        <v>10382.0</v>
      </c>
      <c r="B358" s="7" t="s">
        <v>24</v>
      </c>
      <c r="C358" s="8">
        <v>44908.0</v>
      </c>
      <c r="D358" s="8">
        <v>44936.0</v>
      </c>
      <c r="E358" s="8">
        <v>44911.0</v>
      </c>
      <c r="F358" s="8">
        <v>44920.0</v>
      </c>
      <c r="G358" s="6">
        <v>74.0</v>
      </c>
      <c r="H358" s="9">
        <v>8.0</v>
      </c>
      <c r="I358" s="10">
        <v>50.0</v>
      </c>
      <c r="J358" s="11">
        <v>0.0</v>
      </c>
      <c r="K358" s="9">
        <v>94.77</v>
      </c>
      <c r="L358" s="7" t="s">
        <v>15</v>
      </c>
    </row>
    <row r="359" ht="15.75" customHeight="1">
      <c r="A359" s="6">
        <v>10383.0</v>
      </c>
      <c r="B359" s="7" t="s">
        <v>70</v>
      </c>
      <c r="C359" s="8">
        <v>44911.0</v>
      </c>
      <c r="D359" s="8">
        <v>44939.0</v>
      </c>
      <c r="E359" s="8">
        <v>44913.0</v>
      </c>
      <c r="F359" s="8">
        <v>44921.0</v>
      </c>
      <c r="G359" s="6">
        <v>13.0</v>
      </c>
      <c r="H359" s="9">
        <v>4.8</v>
      </c>
      <c r="I359" s="10">
        <v>20.0</v>
      </c>
      <c r="J359" s="11">
        <v>0.0</v>
      </c>
      <c r="K359" s="9">
        <v>34.24</v>
      </c>
      <c r="L359" s="7" t="s">
        <v>13</v>
      </c>
    </row>
    <row r="360" ht="15.75" customHeight="1">
      <c r="A360" s="6">
        <v>10383.0</v>
      </c>
      <c r="B360" s="7" t="s">
        <v>70</v>
      </c>
      <c r="C360" s="8">
        <v>44911.0</v>
      </c>
      <c r="D360" s="8">
        <v>44939.0</v>
      </c>
      <c r="E360" s="8">
        <v>44913.0</v>
      </c>
      <c r="F360" s="8">
        <v>44921.0</v>
      </c>
      <c r="G360" s="6">
        <v>50.0</v>
      </c>
      <c r="H360" s="9">
        <v>13.0</v>
      </c>
      <c r="I360" s="10">
        <v>15.0</v>
      </c>
      <c r="J360" s="11">
        <v>0.0</v>
      </c>
      <c r="K360" s="9">
        <v>34.24</v>
      </c>
      <c r="L360" s="7" t="s">
        <v>13</v>
      </c>
    </row>
    <row r="361" ht="15.75" customHeight="1">
      <c r="A361" s="6">
        <v>10383.0</v>
      </c>
      <c r="B361" s="7" t="s">
        <v>70</v>
      </c>
      <c r="C361" s="8">
        <v>44911.0</v>
      </c>
      <c r="D361" s="8">
        <v>44939.0</v>
      </c>
      <c r="E361" s="8">
        <v>44913.0</v>
      </c>
      <c r="F361" s="8">
        <v>44921.0</v>
      </c>
      <c r="G361" s="6">
        <v>56.0</v>
      </c>
      <c r="H361" s="9">
        <v>30.4</v>
      </c>
      <c r="I361" s="10">
        <v>20.0</v>
      </c>
      <c r="J361" s="11">
        <v>0.0</v>
      </c>
      <c r="K361" s="9">
        <v>34.24</v>
      </c>
      <c r="L361" s="7" t="s">
        <v>13</v>
      </c>
    </row>
    <row r="362" ht="15.75" customHeight="1">
      <c r="A362" s="6">
        <v>10384.0</v>
      </c>
      <c r="B362" s="7" t="s">
        <v>40</v>
      </c>
      <c r="C362" s="8">
        <v>44911.0</v>
      </c>
      <c r="D362" s="8">
        <v>44939.0</v>
      </c>
      <c r="E362" s="8">
        <v>44915.0</v>
      </c>
      <c r="F362" s="8">
        <v>44925.0</v>
      </c>
      <c r="G362" s="6">
        <v>20.0</v>
      </c>
      <c r="H362" s="9">
        <v>64.8</v>
      </c>
      <c r="I362" s="10">
        <v>28.0</v>
      </c>
      <c r="J362" s="11">
        <v>0.0</v>
      </c>
      <c r="K362" s="9">
        <v>168.64</v>
      </c>
      <c r="L362" s="7" t="s">
        <v>13</v>
      </c>
    </row>
    <row r="363" ht="15.75" customHeight="1">
      <c r="A363" s="6">
        <v>10384.0</v>
      </c>
      <c r="B363" s="7" t="s">
        <v>40</v>
      </c>
      <c r="C363" s="8">
        <v>44911.0</v>
      </c>
      <c r="D363" s="8">
        <v>44939.0</v>
      </c>
      <c r="E363" s="8">
        <v>44915.0</v>
      </c>
      <c r="F363" s="8">
        <v>44925.0</v>
      </c>
      <c r="G363" s="6">
        <v>60.0</v>
      </c>
      <c r="H363" s="9">
        <v>27.2</v>
      </c>
      <c r="I363" s="10">
        <v>15.0</v>
      </c>
      <c r="J363" s="11">
        <v>0.0</v>
      </c>
      <c r="K363" s="9">
        <v>168.64</v>
      </c>
      <c r="L363" s="7" t="s">
        <v>13</v>
      </c>
    </row>
    <row r="364" ht="15.75" customHeight="1">
      <c r="A364" s="6">
        <v>10385.0</v>
      </c>
      <c r="B364" s="7" t="s">
        <v>35</v>
      </c>
      <c r="C364" s="8">
        <v>44912.0</v>
      </c>
      <c r="D364" s="8">
        <v>44940.0</v>
      </c>
      <c r="E364" s="8">
        <v>44918.0</v>
      </c>
      <c r="F364" s="8">
        <v>44936.0</v>
      </c>
      <c r="G364" s="6">
        <v>7.0</v>
      </c>
      <c r="H364" s="9">
        <v>24.0</v>
      </c>
      <c r="I364" s="10">
        <v>10.0</v>
      </c>
      <c r="J364" s="11">
        <v>0.2</v>
      </c>
      <c r="K364" s="9">
        <v>30.96</v>
      </c>
      <c r="L364" s="7" t="s">
        <v>17</v>
      </c>
    </row>
    <row r="365" ht="15.75" customHeight="1">
      <c r="A365" s="6">
        <v>10385.0</v>
      </c>
      <c r="B365" s="7" t="s">
        <v>35</v>
      </c>
      <c r="C365" s="8">
        <v>44912.0</v>
      </c>
      <c r="D365" s="8">
        <v>44940.0</v>
      </c>
      <c r="E365" s="8">
        <v>44918.0</v>
      </c>
      <c r="F365" s="8">
        <v>44936.0</v>
      </c>
      <c r="G365" s="6">
        <v>60.0</v>
      </c>
      <c r="H365" s="9">
        <v>27.2</v>
      </c>
      <c r="I365" s="10">
        <v>20.0</v>
      </c>
      <c r="J365" s="11">
        <v>0.2</v>
      </c>
      <c r="K365" s="9">
        <v>30.96</v>
      </c>
      <c r="L365" s="7" t="s">
        <v>17</v>
      </c>
    </row>
    <row r="366" ht="15.75" customHeight="1">
      <c r="A366" s="6">
        <v>10385.0</v>
      </c>
      <c r="B366" s="7" t="s">
        <v>35</v>
      </c>
      <c r="C366" s="8">
        <v>44912.0</v>
      </c>
      <c r="D366" s="8">
        <v>44940.0</v>
      </c>
      <c r="E366" s="8">
        <v>44918.0</v>
      </c>
      <c r="F366" s="8">
        <v>44936.0</v>
      </c>
      <c r="G366" s="6">
        <v>68.0</v>
      </c>
      <c r="H366" s="9">
        <v>10.0</v>
      </c>
      <c r="I366" s="10">
        <v>8.0</v>
      </c>
      <c r="J366" s="11">
        <v>0.2</v>
      </c>
      <c r="K366" s="9">
        <v>30.96</v>
      </c>
      <c r="L366" s="7" t="s">
        <v>17</v>
      </c>
    </row>
    <row r="367" ht="15.75" customHeight="1">
      <c r="A367" s="6">
        <v>10386.0</v>
      </c>
      <c r="B367" s="7" t="s">
        <v>67</v>
      </c>
      <c r="C367" s="8">
        <v>44913.0</v>
      </c>
      <c r="D367" s="8">
        <v>44927.0</v>
      </c>
      <c r="E367" s="8">
        <v>44920.0</v>
      </c>
      <c r="F367" s="8">
        <v>44936.0</v>
      </c>
      <c r="G367" s="6">
        <v>24.0</v>
      </c>
      <c r="H367" s="9">
        <v>3.6</v>
      </c>
      <c r="I367" s="10">
        <v>15.0</v>
      </c>
      <c r="J367" s="11">
        <v>0.0</v>
      </c>
      <c r="K367" s="9">
        <v>13.99</v>
      </c>
      <c r="L367" s="7" t="s">
        <v>13</v>
      </c>
    </row>
    <row r="368" ht="15.75" customHeight="1">
      <c r="A368" s="6">
        <v>10386.0</v>
      </c>
      <c r="B368" s="7" t="s">
        <v>67</v>
      </c>
      <c r="C368" s="8">
        <v>44913.0</v>
      </c>
      <c r="D368" s="8">
        <v>44927.0</v>
      </c>
      <c r="E368" s="8">
        <v>44920.0</v>
      </c>
      <c r="F368" s="8">
        <v>44936.0</v>
      </c>
      <c r="G368" s="6">
        <v>34.0</v>
      </c>
      <c r="H368" s="9">
        <v>11.2</v>
      </c>
      <c r="I368" s="10">
        <v>10.0</v>
      </c>
      <c r="J368" s="11">
        <v>0.0</v>
      </c>
      <c r="K368" s="9">
        <v>13.99</v>
      </c>
      <c r="L368" s="7" t="s">
        <v>13</v>
      </c>
    </row>
    <row r="369" ht="15.75" customHeight="1">
      <c r="A369" s="6">
        <v>10387.0</v>
      </c>
      <c r="B369" s="7" t="s">
        <v>80</v>
      </c>
      <c r="C369" s="8">
        <v>44913.0</v>
      </c>
      <c r="D369" s="8">
        <v>44941.0</v>
      </c>
      <c r="E369" s="8">
        <v>44915.0</v>
      </c>
      <c r="F369" s="8">
        <v>44929.0</v>
      </c>
      <c r="G369" s="6">
        <v>24.0</v>
      </c>
      <c r="H369" s="9">
        <v>3.6</v>
      </c>
      <c r="I369" s="10">
        <v>15.0</v>
      </c>
      <c r="J369" s="11">
        <v>0.0</v>
      </c>
      <c r="K369" s="9">
        <v>93.63</v>
      </c>
      <c r="L369" s="7" t="s">
        <v>17</v>
      </c>
    </row>
    <row r="370" ht="15.75" customHeight="1">
      <c r="A370" s="6">
        <v>10387.0</v>
      </c>
      <c r="B370" s="7" t="s">
        <v>80</v>
      </c>
      <c r="C370" s="8">
        <v>44913.0</v>
      </c>
      <c r="D370" s="8">
        <v>44941.0</v>
      </c>
      <c r="E370" s="8">
        <v>44915.0</v>
      </c>
      <c r="F370" s="8">
        <v>44929.0</v>
      </c>
      <c r="G370" s="6">
        <v>28.0</v>
      </c>
      <c r="H370" s="9">
        <v>36.4</v>
      </c>
      <c r="I370" s="10">
        <v>6.0</v>
      </c>
      <c r="J370" s="11">
        <v>0.0</v>
      </c>
      <c r="K370" s="9">
        <v>93.63</v>
      </c>
      <c r="L370" s="7" t="s">
        <v>17</v>
      </c>
    </row>
    <row r="371" ht="15.75" customHeight="1">
      <c r="A371" s="6">
        <v>10387.0</v>
      </c>
      <c r="B371" s="7" t="s">
        <v>80</v>
      </c>
      <c r="C371" s="8">
        <v>44913.0</v>
      </c>
      <c r="D371" s="8">
        <v>44941.0</v>
      </c>
      <c r="E371" s="8">
        <v>44915.0</v>
      </c>
      <c r="F371" s="8">
        <v>44929.0</v>
      </c>
      <c r="G371" s="6">
        <v>59.0</v>
      </c>
      <c r="H371" s="9">
        <v>44.0</v>
      </c>
      <c r="I371" s="10">
        <v>12.0</v>
      </c>
      <c r="J371" s="11">
        <v>0.0</v>
      </c>
      <c r="K371" s="9">
        <v>93.63</v>
      </c>
      <c r="L371" s="7" t="s">
        <v>17</v>
      </c>
    </row>
    <row r="372" ht="15.75" customHeight="1">
      <c r="A372" s="6">
        <v>10387.0</v>
      </c>
      <c r="B372" s="7" t="s">
        <v>80</v>
      </c>
      <c r="C372" s="8">
        <v>44913.0</v>
      </c>
      <c r="D372" s="8">
        <v>44941.0</v>
      </c>
      <c r="E372" s="8">
        <v>44915.0</v>
      </c>
      <c r="F372" s="8">
        <v>44929.0</v>
      </c>
      <c r="G372" s="6">
        <v>71.0</v>
      </c>
      <c r="H372" s="9">
        <v>17.2</v>
      </c>
      <c r="I372" s="10">
        <v>15.0</v>
      </c>
      <c r="J372" s="11">
        <v>0.0</v>
      </c>
      <c r="K372" s="9">
        <v>93.63</v>
      </c>
      <c r="L372" s="7" t="s">
        <v>17</v>
      </c>
    </row>
    <row r="373" ht="15.75" customHeight="1">
      <c r="A373" s="6">
        <v>10388.0</v>
      </c>
      <c r="B373" s="7" t="s">
        <v>71</v>
      </c>
      <c r="C373" s="8">
        <v>44914.0</v>
      </c>
      <c r="D373" s="8">
        <v>44942.0</v>
      </c>
      <c r="E373" s="8">
        <v>44915.0</v>
      </c>
      <c r="F373" s="8">
        <v>44919.0</v>
      </c>
      <c r="G373" s="6">
        <v>45.0</v>
      </c>
      <c r="H373" s="9">
        <v>7.6</v>
      </c>
      <c r="I373" s="10">
        <v>15.0</v>
      </c>
      <c r="J373" s="11">
        <v>0.2</v>
      </c>
      <c r="K373" s="9">
        <v>34.86</v>
      </c>
      <c r="L373" s="7" t="s">
        <v>15</v>
      </c>
    </row>
    <row r="374" ht="15.75" customHeight="1">
      <c r="A374" s="6">
        <v>10388.0</v>
      </c>
      <c r="B374" s="7" t="s">
        <v>71</v>
      </c>
      <c r="C374" s="8">
        <v>44914.0</v>
      </c>
      <c r="D374" s="8">
        <v>44942.0</v>
      </c>
      <c r="E374" s="8">
        <v>44915.0</v>
      </c>
      <c r="F374" s="8">
        <v>44919.0</v>
      </c>
      <c r="G374" s="6">
        <v>52.0</v>
      </c>
      <c r="H374" s="9">
        <v>5.6</v>
      </c>
      <c r="I374" s="10">
        <v>20.0</v>
      </c>
      <c r="J374" s="11">
        <v>0.2</v>
      </c>
      <c r="K374" s="9">
        <v>34.86</v>
      </c>
      <c r="L374" s="7" t="s">
        <v>15</v>
      </c>
    </row>
    <row r="375" ht="15.75" customHeight="1">
      <c r="A375" s="6">
        <v>10388.0</v>
      </c>
      <c r="B375" s="7" t="s">
        <v>71</v>
      </c>
      <c r="C375" s="8">
        <v>44914.0</v>
      </c>
      <c r="D375" s="8">
        <v>44942.0</v>
      </c>
      <c r="E375" s="8">
        <v>44915.0</v>
      </c>
      <c r="F375" s="8">
        <v>44919.0</v>
      </c>
      <c r="G375" s="6">
        <v>53.0</v>
      </c>
      <c r="H375" s="9">
        <v>26.2</v>
      </c>
      <c r="I375" s="10">
        <v>40.0</v>
      </c>
      <c r="J375" s="11">
        <v>0.0</v>
      </c>
      <c r="K375" s="9">
        <v>34.86</v>
      </c>
      <c r="L375" s="7" t="s">
        <v>15</v>
      </c>
    </row>
    <row r="376" ht="15.75" customHeight="1">
      <c r="A376" s="6">
        <v>10389.0</v>
      </c>
      <c r="B376" s="7" t="s">
        <v>81</v>
      </c>
      <c r="C376" s="8">
        <v>44915.0</v>
      </c>
      <c r="D376" s="8">
        <v>44943.0</v>
      </c>
      <c r="E376" s="8">
        <v>44919.0</v>
      </c>
      <c r="F376" s="8">
        <v>44934.0</v>
      </c>
      <c r="G376" s="6">
        <v>10.0</v>
      </c>
      <c r="H376" s="9">
        <v>24.8</v>
      </c>
      <c r="I376" s="10">
        <v>16.0</v>
      </c>
      <c r="J376" s="11">
        <v>0.0</v>
      </c>
      <c r="K376" s="9">
        <v>47.42</v>
      </c>
      <c r="L376" s="7" t="s">
        <v>17</v>
      </c>
    </row>
    <row r="377" ht="15.75" customHeight="1">
      <c r="A377" s="6">
        <v>10389.0</v>
      </c>
      <c r="B377" s="7" t="s">
        <v>81</v>
      </c>
      <c r="C377" s="8">
        <v>44915.0</v>
      </c>
      <c r="D377" s="8">
        <v>44943.0</v>
      </c>
      <c r="E377" s="8">
        <v>44919.0</v>
      </c>
      <c r="F377" s="8">
        <v>44934.0</v>
      </c>
      <c r="G377" s="6">
        <v>55.0</v>
      </c>
      <c r="H377" s="9">
        <v>19.2</v>
      </c>
      <c r="I377" s="10">
        <v>15.0</v>
      </c>
      <c r="J377" s="11">
        <v>0.0</v>
      </c>
      <c r="K377" s="9">
        <v>47.42</v>
      </c>
      <c r="L377" s="7" t="s">
        <v>17</v>
      </c>
    </row>
    <row r="378" ht="15.75" customHeight="1">
      <c r="A378" s="6">
        <v>10389.0</v>
      </c>
      <c r="B378" s="7" t="s">
        <v>81</v>
      </c>
      <c r="C378" s="8">
        <v>44915.0</v>
      </c>
      <c r="D378" s="8">
        <v>44943.0</v>
      </c>
      <c r="E378" s="8">
        <v>44919.0</v>
      </c>
      <c r="F378" s="8">
        <v>44934.0</v>
      </c>
      <c r="G378" s="6">
        <v>62.0</v>
      </c>
      <c r="H378" s="9">
        <v>39.4</v>
      </c>
      <c r="I378" s="10">
        <v>20.0</v>
      </c>
      <c r="J378" s="11">
        <v>0.0</v>
      </c>
      <c r="K378" s="9">
        <v>47.42</v>
      </c>
      <c r="L378" s="7" t="s">
        <v>17</v>
      </c>
    </row>
    <row r="379" ht="15.75" customHeight="1">
      <c r="A379" s="6">
        <v>10389.0</v>
      </c>
      <c r="B379" s="7" t="s">
        <v>81</v>
      </c>
      <c r="C379" s="8">
        <v>44915.0</v>
      </c>
      <c r="D379" s="8">
        <v>44943.0</v>
      </c>
      <c r="E379" s="8">
        <v>44919.0</v>
      </c>
      <c r="F379" s="8">
        <v>44934.0</v>
      </c>
      <c r="G379" s="6">
        <v>70.0</v>
      </c>
      <c r="H379" s="9">
        <v>12.0</v>
      </c>
      <c r="I379" s="10">
        <v>30.0</v>
      </c>
      <c r="J379" s="11">
        <v>0.0</v>
      </c>
      <c r="K379" s="9">
        <v>47.42</v>
      </c>
      <c r="L379" s="7" t="s">
        <v>17</v>
      </c>
    </row>
    <row r="380" ht="15.75" customHeight="1">
      <c r="A380" s="6">
        <v>10390.0</v>
      </c>
      <c r="B380" s="7" t="s">
        <v>24</v>
      </c>
      <c r="C380" s="8">
        <v>44918.0</v>
      </c>
      <c r="D380" s="8">
        <v>44946.0</v>
      </c>
      <c r="E380" s="8">
        <v>44921.0</v>
      </c>
      <c r="F380" s="8">
        <v>44929.0</v>
      </c>
      <c r="G380" s="6">
        <v>31.0</v>
      </c>
      <c r="H380" s="9">
        <v>10.0</v>
      </c>
      <c r="I380" s="10">
        <v>60.0</v>
      </c>
      <c r="J380" s="11">
        <v>0.1</v>
      </c>
      <c r="K380" s="9">
        <v>126.38</v>
      </c>
      <c r="L380" s="7" t="s">
        <v>15</v>
      </c>
    </row>
    <row r="381" ht="15.75" customHeight="1">
      <c r="A381" s="6">
        <v>10390.0</v>
      </c>
      <c r="B381" s="7" t="s">
        <v>24</v>
      </c>
      <c r="C381" s="8">
        <v>44918.0</v>
      </c>
      <c r="D381" s="8">
        <v>44946.0</v>
      </c>
      <c r="E381" s="8">
        <v>44921.0</v>
      </c>
      <c r="F381" s="8">
        <v>44929.0</v>
      </c>
      <c r="G381" s="6">
        <v>35.0</v>
      </c>
      <c r="H381" s="9">
        <v>14.4</v>
      </c>
      <c r="I381" s="10">
        <v>40.0</v>
      </c>
      <c r="J381" s="11">
        <v>0.1</v>
      </c>
      <c r="K381" s="9">
        <v>126.38</v>
      </c>
      <c r="L381" s="7" t="s">
        <v>15</v>
      </c>
    </row>
    <row r="382" ht="15.75" customHeight="1">
      <c r="A382" s="6">
        <v>10390.0</v>
      </c>
      <c r="B382" s="7" t="s">
        <v>24</v>
      </c>
      <c r="C382" s="8">
        <v>44918.0</v>
      </c>
      <c r="D382" s="8">
        <v>44946.0</v>
      </c>
      <c r="E382" s="8">
        <v>44921.0</v>
      </c>
      <c r="F382" s="8">
        <v>44929.0</v>
      </c>
      <c r="G382" s="6">
        <v>46.0</v>
      </c>
      <c r="H382" s="9">
        <v>9.6</v>
      </c>
      <c r="I382" s="10">
        <v>45.0</v>
      </c>
      <c r="J382" s="11">
        <v>0.0</v>
      </c>
      <c r="K382" s="9">
        <v>126.38</v>
      </c>
      <c r="L382" s="7" t="s">
        <v>15</v>
      </c>
    </row>
    <row r="383" ht="15.75" customHeight="1">
      <c r="A383" s="6">
        <v>10390.0</v>
      </c>
      <c r="B383" s="7" t="s">
        <v>24</v>
      </c>
      <c r="C383" s="8">
        <v>44918.0</v>
      </c>
      <c r="D383" s="8">
        <v>44946.0</v>
      </c>
      <c r="E383" s="8">
        <v>44921.0</v>
      </c>
      <c r="F383" s="8">
        <v>44929.0</v>
      </c>
      <c r="G383" s="6">
        <v>72.0</v>
      </c>
      <c r="H383" s="9">
        <v>27.8</v>
      </c>
      <c r="I383" s="10">
        <v>24.0</v>
      </c>
      <c r="J383" s="11">
        <v>0.1</v>
      </c>
      <c r="K383" s="9">
        <v>126.38</v>
      </c>
      <c r="L383" s="7" t="s">
        <v>15</v>
      </c>
    </row>
    <row r="384" ht="15.75" customHeight="1">
      <c r="A384" s="6">
        <v>10391.0</v>
      </c>
      <c r="B384" s="7" t="s">
        <v>72</v>
      </c>
      <c r="C384" s="8">
        <v>44918.0</v>
      </c>
      <c r="D384" s="8">
        <v>44946.0</v>
      </c>
      <c r="E384" s="8">
        <v>44926.0</v>
      </c>
      <c r="F384" s="8">
        <v>44932.0</v>
      </c>
      <c r="G384" s="6">
        <v>13.0</v>
      </c>
      <c r="H384" s="9">
        <v>4.8</v>
      </c>
      <c r="I384" s="10">
        <v>18.0</v>
      </c>
      <c r="J384" s="11">
        <v>0.0</v>
      </c>
      <c r="K384" s="9">
        <v>5.45</v>
      </c>
      <c r="L384" s="7" t="s">
        <v>13</v>
      </c>
    </row>
    <row r="385" ht="15.75" customHeight="1">
      <c r="A385" s="6">
        <v>10392.0</v>
      </c>
      <c r="B385" s="7" t="s">
        <v>69</v>
      </c>
      <c r="C385" s="8">
        <v>44919.0</v>
      </c>
      <c r="D385" s="8">
        <v>44947.0</v>
      </c>
      <c r="E385" s="8">
        <v>44927.0</v>
      </c>
      <c r="F385" s="8">
        <v>44940.0</v>
      </c>
      <c r="G385" s="6">
        <v>69.0</v>
      </c>
      <c r="H385" s="9">
        <v>28.8</v>
      </c>
      <c r="I385" s="10">
        <v>50.0</v>
      </c>
      <c r="J385" s="11">
        <v>0.0</v>
      </c>
      <c r="K385" s="9">
        <v>122.46</v>
      </c>
      <c r="L385" s="7" t="s">
        <v>13</v>
      </c>
    </row>
    <row r="386" ht="15.75" customHeight="1">
      <c r="A386" s="6">
        <v>10393.0</v>
      </c>
      <c r="B386" s="7" t="s">
        <v>60</v>
      </c>
      <c r="C386" s="8">
        <v>44920.0</v>
      </c>
      <c r="D386" s="8">
        <v>44948.0</v>
      </c>
      <c r="E386" s="8">
        <v>44929.0</v>
      </c>
      <c r="F386" s="8">
        <v>44946.0</v>
      </c>
      <c r="G386" s="6">
        <v>2.0</v>
      </c>
      <c r="H386" s="9">
        <v>15.2</v>
      </c>
      <c r="I386" s="10">
        <v>25.0</v>
      </c>
      <c r="J386" s="11">
        <v>0.25</v>
      </c>
      <c r="K386" s="9">
        <v>126.56</v>
      </c>
      <c r="L386" s="7" t="s">
        <v>13</v>
      </c>
    </row>
    <row r="387" ht="15.75" customHeight="1">
      <c r="A387" s="6">
        <v>10393.0</v>
      </c>
      <c r="B387" s="7" t="s">
        <v>60</v>
      </c>
      <c r="C387" s="8">
        <v>44920.0</v>
      </c>
      <c r="D387" s="8">
        <v>44948.0</v>
      </c>
      <c r="E387" s="8">
        <v>44929.0</v>
      </c>
      <c r="F387" s="8">
        <v>44946.0</v>
      </c>
      <c r="G387" s="6">
        <v>14.0</v>
      </c>
      <c r="H387" s="9">
        <v>18.6</v>
      </c>
      <c r="I387" s="10">
        <v>42.0</v>
      </c>
      <c r="J387" s="11">
        <v>0.25</v>
      </c>
      <c r="K387" s="9">
        <v>126.56</v>
      </c>
      <c r="L387" s="7" t="s">
        <v>13</v>
      </c>
    </row>
    <row r="388" ht="15.75" customHeight="1">
      <c r="A388" s="6">
        <v>10393.0</v>
      </c>
      <c r="B388" s="7" t="s">
        <v>60</v>
      </c>
      <c r="C388" s="8">
        <v>44920.0</v>
      </c>
      <c r="D388" s="8">
        <v>44948.0</v>
      </c>
      <c r="E388" s="8">
        <v>44929.0</v>
      </c>
      <c r="F388" s="8">
        <v>44946.0</v>
      </c>
      <c r="G388" s="6">
        <v>25.0</v>
      </c>
      <c r="H388" s="9">
        <v>11.2</v>
      </c>
      <c r="I388" s="10">
        <v>7.0</v>
      </c>
      <c r="J388" s="11">
        <v>0.25</v>
      </c>
      <c r="K388" s="9">
        <v>126.56</v>
      </c>
      <c r="L388" s="7" t="s">
        <v>13</v>
      </c>
    </row>
    <row r="389" ht="15.75" customHeight="1">
      <c r="A389" s="6">
        <v>10393.0</v>
      </c>
      <c r="B389" s="7" t="s">
        <v>60</v>
      </c>
      <c r="C389" s="8">
        <v>44920.0</v>
      </c>
      <c r="D389" s="8">
        <v>44948.0</v>
      </c>
      <c r="E389" s="8">
        <v>44929.0</v>
      </c>
      <c r="F389" s="8">
        <v>44946.0</v>
      </c>
      <c r="G389" s="6">
        <v>26.0</v>
      </c>
      <c r="H389" s="9">
        <v>24.9</v>
      </c>
      <c r="I389" s="10">
        <v>70.0</v>
      </c>
      <c r="J389" s="11">
        <v>0.25</v>
      </c>
      <c r="K389" s="9">
        <v>126.56</v>
      </c>
      <c r="L389" s="7" t="s">
        <v>13</v>
      </c>
    </row>
    <row r="390" ht="15.75" customHeight="1">
      <c r="A390" s="6">
        <v>10393.0</v>
      </c>
      <c r="B390" s="7" t="s">
        <v>60</v>
      </c>
      <c r="C390" s="8">
        <v>44920.0</v>
      </c>
      <c r="D390" s="8">
        <v>44948.0</v>
      </c>
      <c r="E390" s="8">
        <v>44929.0</v>
      </c>
      <c r="F390" s="8">
        <v>44946.0</v>
      </c>
      <c r="G390" s="6">
        <v>31.0</v>
      </c>
      <c r="H390" s="9">
        <v>10.0</v>
      </c>
      <c r="I390" s="10">
        <v>32.0</v>
      </c>
      <c r="J390" s="11">
        <v>0.0</v>
      </c>
      <c r="K390" s="9">
        <v>126.56</v>
      </c>
      <c r="L390" s="7" t="s">
        <v>13</v>
      </c>
    </row>
    <row r="391" ht="15.75" customHeight="1">
      <c r="A391" s="6">
        <v>10394.0</v>
      </c>
      <c r="B391" s="7" t="s">
        <v>79</v>
      </c>
      <c r="C391" s="8">
        <v>44920.0</v>
      </c>
      <c r="D391" s="8">
        <v>44948.0</v>
      </c>
      <c r="E391" s="8">
        <v>44929.0</v>
      </c>
      <c r="F391" s="8">
        <v>44943.0</v>
      </c>
      <c r="G391" s="6">
        <v>13.0</v>
      </c>
      <c r="H391" s="9">
        <v>4.8</v>
      </c>
      <c r="I391" s="10">
        <v>10.0</v>
      </c>
      <c r="J391" s="11">
        <v>0.0</v>
      </c>
      <c r="K391" s="9">
        <v>30.34</v>
      </c>
      <c r="L391" s="7" t="s">
        <v>13</v>
      </c>
    </row>
    <row r="392" ht="15.75" customHeight="1">
      <c r="A392" s="6">
        <v>10394.0</v>
      </c>
      <c r="B392" s="7" t="s">
        <v>79</v>
      </c>
      <c r="C392" s="8">
        <v>44920.0</v>
      </c>
      <c r="D392" s="8">
        <v>44948.0</v>
      </c>
      <c r="E392" s="8">
        <v>44929.0</v>
      </c>
      <c r="F392" s="8">
        <v>44943.0</v>
      </c>
      <c r="G392" s="6">
        <v>62.0</v>
      </c>
      <c r="H392" s="9">
        <v>39.4</v>
      </c>
      <c r="I392" s="10">
        <v>10.0</v>
      </c>
      <c r="J392" s="11">
        <v>0.0</v>
      </c>
      <c r="K392" s="9">
        <v>30.34</v>
      </c>
      <c r="L392" s="7" t="s">
        <v>13</v>
      </c>
    </row>
    <row r="393" ht="15.75" customHeight="1">
      <c r="A393" s="6">
        <v>10395.0</v>
      </c>
      <c r="B393" s="7" t="s">
        <v>23</v>
      </c>
      <c r="C393" s="8">
        <v>44921.0</v>
      </c>
      <c r="D393" s="8">
        <v>44949.0</v>
      </c>
      <c r="E393" s="8">
        <v>44929.0</v>
      </c>
      <c r="F393" s="8">
        <v>44938.0</v>
      </c>
      <c r="G393" s="6">
        <v>46.0</v>
      </c>
      <c r="H393" s="9">
        <v>9.6</v>
      </c>
      <c r="I393" s="10">
        <v>28.0</v>
      </c>
      <c r="J393" s="11">
        <v>0.1</v>
      </c>
      <c r="K393" s="9">
        <v>184.41</v>
      </c>
      <c r="L393" s="7" t="s">
        <v>15</v>
      </c>
    </row>
    <row r="394" ht="15.75" customHeight="1">
      <c r="A394" s="6">
        <v>10395.0</v>
      </c>
      <c r="B394" s="7" t="s">
        <v>23</v>
      </c>
      <c r="C394" s="8">
        <v>44921.0</v>
      </c>
      <c r="D394" s="8">
        <v>44949.0</v>
      </c>
      <c r="E394" s="8">
        <v>44929.0</v>
      </c>
      <c r="F394" s="8">
        <v>44938.0</v>
      </c>
      <c r="G394" s="6">
        <v>53.0</v>
      </c>
      <c r="H394" s="9">
        <v>26.2</v>
      </c>
      <c r="I394" s="10">
        <v>70.0</v>
      </c>
      <c r="J394" s="11">
        <v>0.1</v>
      </c>
      <c r="K394" s="9">
        <v>184.41</v>
      </c>
      <c r="L394" s="7" t="s">
        <v>15</v>
      </c>
    </row>
    <row r="395" ht="15.75" customHeight="1">
      <c r="A395" s="6">
        <v>10395.0</v>
      </c>
      <c r="B395" s="7" t="s">
        <v>23</v>
      </c>
      <c r="C395" s="8">
        <v>44921.0</v>
      </c>
      <c r="D395" s="8">
        <v>44949.0</v>
      </c>
      <c r="E395" s="8">
        <v>44929.0</v>
      </c>
      <c r="F395" s="8">
        <v>44938.0</v>
      </c>
      <c r="G395" s="6">
        <v>69.0</v>
      </c>
      <c r="H395" s="9">
        <v>28.8</v>
      </c>
      <c r="I395" s="10">
        <v>8.0</v>
      </c>
      <c r="J395" s="11">
        <v>0.0</v>
      </c>
      <c r="K395" s="9">
        <v>184.41</v>
      </c>
      <c r="L395" s="7" t="s">
        <v>15</v>
      </c>
    </row>
    <row r="396" ht="15.75" customHeight="1">
      <c r="A396" s="6">
        <v>10396.0</v>
      </c>
      <c r="B396" s="7" t="s">
        <v>32</v>
      </c>
      <c r="C396" s="8">
        <v>44922.0</v>
      </c>
      <c r="D396" s="8">
        <v>44936.0</v>
      </c>
      <c r="E396" s="8">
        <v>44932.0</v>
      </c>
      <c r="F396" s="8">
        <v>44936.0</v>
      </c>
      <c r="G396" s="6">
        <v>23.0</v>
      </c>
      <c r="H396" s="9">
        <v>7.2</v>
      </c>
      <c r="I396" s="10">
        <v>40.0</v>
      </c>
      <c r="J396" s="11">
        <v>0.0</v>
      </c>
      <c r="K396" s="9">
        <v>135.35</v>
      </c>
      <c r="L396" s="7" t="s">
        <v>13</v>
      </c>
    </row>
    <row r="397" ht="15.75" customHeight="1">
      <c r="A397" s="6">
        <v>10396.0</v>
      </c>
      <c r="B397" s="7" t="s">
        <v>32</v>
      </c>
      <c r="C397" s="8">
        <v>44922.0</v>
      </c>
      <c r="D397" s="8">
        <v>44936.0</v>
      </c>
      <c r="E397" s="8">
        <v>44932.0</v>
      </c>
      <c r="F397" s="8">
        <v>44936.0</v>
      </c>
      <c r="G397" s="6">
        <v>71.0</v>
      </c>
      <c r="H397" s="9">
        <v>17.2</v>
      </c>
      <c r="I397" s="10">
        <v>60.0</v>
      </c>
      <c r="J397" s="11">
        <v>0.0</v>
      </c>
      <c r="K397" s="9">
        <v>135.35</v>
      </c>
      <c r="L397" s="7" t="s">
        <v>13</v>
      </c>
    </row>
    <row r="398" ht="15.75" customHeight="1">
      <c r="A398" s="6">
        <v>10396.0</v>
      </c>
      <c r="B398" s="7" t="s">
        <v>32</v>
      </c>
      <c r="C398" s="8">
        <v>44922.0</v>
      </c>
      <c r="D398" s="8">
        <v>44936.0</v>
      </c>
      <c r="E398" s="8">
        <v>44932.0</v>
      </c>
      <c r="F398" s="8">
        <v>44936.0</v>
      </c>
      <c r="G398" s="6">
        <v>72.0</v>
      </c>
      <c r="H398" s="9">
        <v>27.8</v>
      </c>
      <c r="I398" s="10">
        <v>21.0</v>
      </c>
      <c r="J398" s="11">
        <v>0.0</v>
      </c>
      <c r="K398" s="9">
        <v>135.35</v>
      </c>
      <c r="L398" s="7" t="s">
        <v>13</v>
      </c>
    </row>
    <row r="399" ht="15.75" customHeight="1">
      <c r="A399" s="6">
        <v>10397.0</v>
      </c>
      <c r="B399" s="7" t="s">
        <v>65</v>
      </c>
      <c r="C399" s="8">
        <v>44922.0</v>
      </c>
      <c r="D399" s="8">
        <v>44950.0</v>
      </c>
      <c r="E399" s="8">
        <v>44928.0</v>
      </c>
      <c r="F399" s="8">
        <v>44937.0</v>
      </c>
      <c r="G399" s="6">
        <v>21.0</v>
      </c>
      <c r="H399" s="9">
        <v>8.0</v>
      </c>
      <c r="I399" s="10">
        <v>10.0</v>
      </c>
      <c r="J399" s="11">
        <v>0.15</v>
      </c>
      <c r="K399" s="9">
        <v>60.26</v>
      </c>
      <c r="L399" s="7" t="s">
        <v>15</v>
      </c>
    </row>
    <row r="400" ht="15.75" customHeight="1">
      <c r="A400" s="6">
        <v>10397.0</v>
      </c>
      <c r="B400" s="7" t="s">
        <v>65</v>
      </c>
      <c r="C400" s="8">
        <v>44922.0</v>
      </c>
      <c r="D400" s="8">
        <v>44950.0</v>
      </c>
      <c r="E400" s="8">
        <v>44928.0</v>
      </c>
      <c r="F400" s="8">
        <v>44937.0</v>
      </c>
      <c r="G400" s="6">
        <v>51.0</v>
      </c>
      <c r="H400" s="9">
        <v>42.4</v>
      </c>
      <c r="I400" s="10">
        <v>18.0</v>
      </c>
      <c r="J400" s="11">
        <v>0.15</v>
      </c>
      <c r="K400" s="9">
        <v>60.26</v>
      </c>
      <c r="L400" s="7" t="s">
        <v>15</v>
      </c>
    </row>
    <row r="401" ht="15.75" customHeight="1">
      <c r="A401" s="6">
        <v>10398.0</v>
      </c>
      <c r="B401" s="7" t="s">
        <v>60</v>
      </c>
      <c r="C401" s="8">
        <v>44925.0</v>
      </c>
      <c r="D401" s="8">
        <v>44953.0</v>
      </c>
      <c r="E401" s="8">
        <v>44935.0</v>
      </c>
      <c r="F401" s="8">
        <v>44952.0</v>
      </c>
      <c r="G401" s="6">
        <v>35.0</v>
      </c>
      <c r="H401" s="9">
        <v>14.4</v>
      </c>
      <c r="I401" s="10">
        <v>30.0</v>
      </c>
      <c r="J401" s="11">
        <v>0.0</v>
      </c>
      <c r="K401" s="9">
        <v>89.16</v>
      </c>
      <c r="L401" s="7" t="s">
        <v>13</v>
      </c>
    </row>
    <row r="402" ht="15.75" customHeight="1">
      <c r="A402" s="6">
        <v>10398.0</v>
      </c>
      <c r="B402" s="7" t="s">
        <v>60</v>
      </c>
      <c r="C402" s="8">
        <v>44925.0</v>
      </c>
      <c r="D402" s="8">
        <v>44953.0</v>
      </c>
      <c r="E402" s="8">
        <v>44935.0</v>
      </c>
      <c r="F402" s="8">
        <v>44952.0</v>
      </c>
      <c r="G402" s="6">
        <v>55.0</v>
      </c>
      <c r="H402" s="9">
        <v>19.2</v>
      </c>
      <c r="I402" s="10">
        <v>120.0</v>
      </c>
      <c r="J402" s="11">
        <v>0.1</v>
      </c>
      <c r="K402" s="9">
        <v>89.16</v>
      </c>
      <c r="L402" s="7" t="s">
        <v>13</v>
      </c>
    </row>
    <row r="403" ht="15.75" customHeight="1">
      <c r="A403" s="6">
        <v>10399.0</v>
      </c>
      <c r="B403" s="7" t="s">
        <v>76</v>
      </c>
      <c r="C403" s="8">
        <v>44926.0</v>
      </c>
      <c r="D403" s="8">
        <v>44940.0</v>
      </c>
      <c r="E403" s="8">
        <v>44934.0</v>
      </c>
      <c r="F403" s="8">
        <v>44944.0</v>
      </c>
      <c r="G403" s="6">
        <v>68.0</v>
      </c>
      <c r="H403" s="9">
        <v>10.0</v>
      </c>
      <c r="I403" s="10">
        <v>60.0</v>
      </c>
      <c r="J403" s="11">
        <v>0.0</v>
      </c>
      <c r="K403" s="9">
        <v>27.36</v>
      </c>
      <c r="L403" s="7" t="s">
        <v>13</v>
      </c>
    </row>
    <row r="404" ht="15.75" customHeight="1">
      <c r="A404" s="6">
        <v>10399.0</v>
      </c>
      <c r="B404" s="7" t="s">
        <v>76</v>
      </c>
      <c r="C404" s="8">
        <v>44926.0</v>
      </c>
      <c r="D404" s="8">
        <v>44940.0</v>
      </c>
      <c r="E404" s="8">
        <v>44934.0</v>
      </c>
      <c r="F404" s="8">
        <v>44944.0</v>
      </c>
      <c r="G404" s="6">
        <v>71.0</v>
      </c>
      <c r="H404" s="9">
        <v>17.2</v>
      </c>
      <c r="I404" s="10">
        <v>30.0</v>
      </c>
      <c r="J404" s="11">
        <v>0.0</v>
      </c>
      <c r="K404" s="9">
        <v>27.36</v>
      </c>
      <c r="L404" s="7" t="s">
        <v>13</v>
      </c>
    </row>
    <row r="405" ht="15.75" customHeight="1">
      <c r="A405" s="6">
        <v>10399.0</v>
      </c>
      <c r="B405" s="7" t="s">
        <v>76</v>
      </c>
      <c r="C405" s="8">
        <v>44926.0</v>
      </c>
      <c r="D405" s="8">
        <v>44940.0</v>
      </c>
      <c r="E405" s="8">
        <v>44934.0</v>
      </c>
      <c r="F405" s="8">
        <v>44944.0</v>
      </c>
      <c r="G405" s="6">
        <v>76.0</v>
      </c>
      <c r="H405" s="9">
        <v>14.4</v>
      </c>
      <c r="I405" s="10">
        <v>35.0</v>
      </c>
      <c r="J405" s="11">
        <v>0.0</v>
      </c>
      <c r="K405" s="9">
        <v>27.36</v>
      </c>
      <c r="L405" s="7" t="s">
        <v>13</v>
      </c>
    </row>
    <row r="406" ht="15.75" customHeight="1">
      <c r="A406" s="6">
        <v>10399.0</v>
      </c>
      <c r="B406" s="7" t="s">
        <v>76</v>
      </c>
      <c r="C406" s="8">
        <v>44926.0</v>
      </c>
      <c r="D406" s="8">
        <v>44940.0</v>
      </c>
      <c r="E406" s="8">
        <v>44934.0</v>
      </c>
      <c r="F406" s="8">
        <v>44944.0</v>
      </c>
      <c r="G406" s="6">
        <v>77.0</v>
      </c>
      <c r="H406" s="9">
        <v>10.4</v>
      </c>
      <c r="I406" s="10">
        <v>14.0</v>
      </c>
      <c r="J406" s="11">
        <v>0.0</v>
      </c>
      <c r="K406" s="9">
        <v>27.36</v>
      </c>
      <c r="L406" s="7" t="s">
        <v>13</v>
      </c>
    </row>
    <row r="407" ht="15.75" customHeight="1">
      <c r="A407" s="6">
        <v>10400.0</v>
      </c>
      <c r="B407" s="7" t="s">
        <v>73</v>
      </c>
      <c r="C407" s="8">
        <v>44927.0</v>
      </c>
      <c r="D407" s="8">
        <v>44955.0</v>
      </c>
      <c r="E407" s="8">
        <v>44942.0</v>
      </c>
      <c r="F407" s="8">
        <v>44947.0</v>
      </c>
      <c r="G407" s="6">
        <v>29.0</v>
      </c>
      <c r="H407" s="9">
        <v>99.0</v>
      </c>
      <c r="I407" s="10">
        <v>21.0</v>
      </c>
      <c r="J407" s="11">
        <v>0.0</v>
      </c>
      <c r="K407" s="9">
        <v>83.93</v>
      </c>
      <c r="L407" s="7" t="s">
        <v>13</v>
      </c>
    </row>
    <row r="408" ht="15.75" customHeight="1">
      <c r="A408" s="6">
        <v>10400.0</v>
      </c>
      <c r="B408" s="7" t="s">
        <v>73</v>
      </c>
      <c r="C408" s="8">
        <v>44927.0</v>
      </c>
      <c r="D408" s="8">
        <v>44955.0</v>
      </c>
      <c r="E408" s="8">
        <v>44942.0</v>
      </c>
      <c r="F408" s="8">
        <v>44947.0</v>
      </c>
      <c r="G408" s="6">
        <v>35.0</v>
      </c>
      <c r="H408" s="9">
        <v>14.4</v>
      </c>
      <c r="I408" s="10">
        <v>35.0</v>
      </c>
      <c r="J408" s="11">
        <v>0.0</v>
      </c>
      <c r="K408" s="9">
        <v>83.93</v>
      </c>
      <c r="L408" s="7" t="s">
        <v>13</v>
      </c>
    </row>
    <row r="409" ht="15.75" customHeight="1">
      <c r="A409" s="6">
        <v>10400.0</v>
      </c>
      <c r="B409" s="7" t="s">
        <v>73</v>
      </c>
      <c r="C409" s="8">
        <v>44927.0</v>
      </c>
      <c r="D409" s="8">
        <v>44955.0</v>
      </c>
      <c r="E409" s="8">
        <v>44942.0</v>
      </c>
      <c r="F409" s="8">
        <v>44947.0</v>
      </c>
      <c r="G409" s="6">
        <v>49.0</v>
      </c>
      <c r="H409" s="9">
        <v>16.0</v>
      </c>
      <c r="I409" s="10">
        <v>30.0</v>
      </c>
      <c r="J409" s="11">
        <v>0.0</v>
      </c>
      <c r="K409" s="9">
        <v>83.93</v>
      </c>
      <c r="L409" s="7" t="s">
        <v>13</v>
      </c>
    </row>
    <row r="410" ht="15.75" customHeight="1">
      <c r="A410" s="6">
        <v>10401.0</v>
      </c>
      <c r="B410" s="7" t="s">
        <v>28</v>
      </c>
      <c r="C410" s="8">
        <v>44927.0</v>
      </c>
      <c r="D410" s="8">
        <v>44955.0</v>
      </c>
      <c r="E410" s="8">
        <v>44936.0</v>
      </c>
      <c r="F410" s="8">
        <v>44951.0</v>
      </c>
      <c r="G410" s="6">
        <v>30.0</v>
      </c>
      <c r="H410" s="9">
        <v>20.7</v>
      </c>
      <c r="I410" s="10">
        <v>18.0</v>
      </c>
      <c r="J410" s="11">
        <v>0.0</v>
      </c>
      <c r="K410" s="9">
        <v>12.51</v>
      </c>
      <c r="L410" s="7" t="s">
        <v>15</v>
      </c>
    </row>
    <row r="411" ht="15.75" customHeight="1">
      <c r="A411" s="6">
        <v>10401.0</v>
      </c>
      <c r="B411" s="7" t="s">
        <v>28</v>
      </c>
      <c r="C411" s="8">
        <v>44927.0</v>
      </c>
      <c r="D411" s="8">
        <v>44955.0</v>
      </c>
      <c r="E411" s="8">
        <v>44936.0</v>
      </c>
      <c r="F411" s="8">
        <v>44951.0</v>
      </c>
      <c r="G411" s="6">
        <v>56.0</v>
      </c>
      <c r="H411" s="9">
        <v>30.4</v>
      </c>
      <c r="I411" s="10">
        <v>70.0</v>
      </c>
      <c r="J411" s="11">
        <v>0.0</v>
      </c>
      <c r="K411" s="9">
        <v>12.51</v>
      </c>
      <c r="L411" s="7" t="s">
        <v>15</v>
      </c>
    </row>
    <row r="412" ht="15.75" customHeight="1">
      <c r="A412" s="6">
        <v>10401.0</v>
      </c>
      <c r="B412" s="7" t="s">
        <v>28</v>
      </c>
      <c r="C412" s="8">
        <v>44927.0</v>
      </c>
      <c r="D412" s="8">
        <v>44955.0</v>
      </c>
      <c r="E412" s="8">
        <v>44936.0</v>
      </c>
      <c r="F412" s="8">
        <v>44951.0</v>
      </c>
      <c r="G412" s="6">
        <v>65.0</v>
      </c>
      <c r="H412" s="9">
        <v>16.8</v>
      </c>
      <c r="I412" s="10">
        <v>20.0</v>
      </c>
      <c r="J412" s="11">
        <v>0.0</v>
      </c>
      <c r="K412" s="9">
        <v>12.51</v>
      </c>
      <c r="L412" s="7" t="s">
        <v>15</v>
      </c>
    </row>
    <row r="413" ht="15.75" customHeight="1">
      <c r="A413" s="6">
        <v>10401.0</v>
      </c>
      <c r="B413" s="7" t="s">
        <v>28</v>
      </c>
      <c r="C413" s="8">
        <v>44927.0</v>
      </c>
      <c r="D413" s="8">
        <v>44955.0</v>
      </c>
      <c r="E413" s="8">
        <v>44936.0</v>
      </c>
      <c r="F413" s="8">
        <v>44951.0</v>
      </c>
      <c r="G413" s="6">
        <v>71.0</v>
      </c>
      <c r="H413" s="9">
        <v>17.2</v>
      </c>
      <c r="I413" s="10">
        <v>60.0</v>
      </c>
      <c r="J413" s="11">
        <v>0.0</v>
      </c>
      <c r="K413" s="9">
        <v>12.51</v>
      </c>
      <c r="L413" s="7" t="s">
        <v>15</v>
      </c>
    </row>
    <row r="414" ht="15.75" customHeight="1">
      <c r="A414" s="6">
        <v>10402.0</v>
      </c>
      <c r="B414" s="7" t="s">
        <v>24</v>
      </c>
      <c r="C414" s="8">
        <v>44928.0</v>
      </c>
      <c r="D414" s="8">
        <v>44970.0</v>
      </c>
      <c r="E414" s="8">
        <v>44936.0</v>
      </c>
      <c r="F414" s="8">
        <v>44949.0</v>
      </c>
      <c r="G414" s="6">
        <v>23.0</v>
      </c>
      <c r="H414" s="9">
        <v>7.2</v>
      </c>
      <c r="I414" s="10">
        <v>60.0</v>
      </c>
      <c r="J414" s="11">
        <v>0.0</v>
      </c>
      <c r="K414" s="9">
        <v>67.88</v>
      </c>
      <c r="L414" s="7" t="s">
        <v>17</v>
      </c>
    </row>
    <row r="415" ht="15.75" customHeight="1">
      <c r="A415" s="6">
        <v>10402.0</v>
      </c>
      <c r="B415" s="7" t="s">
        <v>24</v>
      </c>
      <c r="C415" s="8">
        <v>44928.0</v>
      </c>
      <c r="D415" s="8">
        <v>44970.0</v>
      </c>
      <c r="E415" s="8">
        <v>44936.0</v>
      </c>
      <c r="F415" s="8">
        <v>44949.0</v>
      </c>
      <c r="G415" s="6">
        <v>63.0</v>
      </c>
      <c r="H415" s="9">
        <v>35.1</v>
      </c>
      <c r="I415" s="10">
        <v>65.0</v>
      </c>
      <c r="J415" s="11">
        <v>0.0</v>
      </c>
      <c r="K415" s="9">
        <v>67.88</v>
      </c>
      <c r="L415" s="7" t="s">
        <v>17</v>
      </c>
    </row>
    <row r="416" ht="15.75" customHeight="1">
      <c r="A416" s="6">
        <v>10403.0</v>
      </c>
      <c r="B416" s="7" t="s">
        <v>24</v>
      </c>
      <c r="C416" s="8">
        <v>44929.0</v>
      </c>
      <c r="D416" s="8">
        <v>44957.0</v>
      </c>
      <c r="E416" s="8">
        <v>44935.0</v>
      </c>
      <c r="F416" s="8">
        <v>44947.0</v>
      </c>
      <c r="G416" s="6">
        <v>16.0</v>
      </c>
      <c r="H416" s="9">
        <v>13.9</v>
      </c>
      <c r="I416" s="10">
        <v>21.0</v>
      </c>
      <c r="J416" s="11">
        <v>0.15</v>
      </c>
      <c r="K416" s="9">
        <v>73.79</v>
      </c>
      <c r="L416" s="7" t="s">
        <v>13</v>
      </c>
    </row>
    <row r="417" ht="15.75" customHeight="1">
      <c r="A417" s="6">
        <v>10403.0</v>
      </c>
      <c r="B417" s="7" t="s">
        <v>24</v>
      </c>
      <c r="C417" s="8">
        <v>44929.0</v>
      </c>
      <c r="D417" s="8">
        <v>44957.0</v>
      </c>
      <c r="E417" s="8">
        <v>44935.0</v>
      </c>
      <c r="F417" s="8">
        <v>44947.0</v>
      </c>
      <c r="G417" s="6">
        <v>48.0</v>
      </c>
      <c r="H417" s="9">
        <v>10.2</v>
      </c>
      <c r="I417" s="10">
        <v>70.0</v>
      </c>
      <c r="J417" s="11">
        <v>0.15</v>
      </c>
      <c r="K417" s="9">
        <v>73.79</v>
      </c>
      <c r="L417" s="7" t="s">
        <v>13</v>
      </c>
    </row>
    <row r="418" ht="15.75" customHeight="1">
      <c r="A418" s="6">
        <v>10404.0</v>
      </c>
      <c r="B418" s="7" t="s">
        <v>37</v>
      </c>
      <c r="C418" s="8">
        <v>44929.0</v>
      </c>
      <c r="D418" s="8">
        <v>44957.0</v>
      </c>
      <c r="E418" s="8">
        <v>44934.0</v>
      </c>
      <c r="F418" s="8">
        <v>44939.0</v>
      </c>
      <c r="G418" s="6">
        <v>26.0</v>
      </c>
      <c r="H418" s="9">
        <v>24.9</v>
      </c>
      <c r="I418" s="10">
        <v>30.0</v>
      </c>
      <c r="J418" s="11">
        <v>0.05</v>
      </c>
      <c r="K418" s="9">
        <v>155.97</v>
      </c>
      <c r="L418" s="7" t="s">
        <v>15</v>
      </c>
    </row>
    <row r="419" ht="15.75" customHeight="1">
      <c r="A419" s="6">
        <v>10404.0</v>
      </c>
      <c r="B419" s="7" t="s">
        <v>37</v>
      </c>
      <c r="C419" s="8">
        <v>44929.0</v>
      </c>
      <c r="D419" s="8">
        <v>44957.0</v>
      </c>
      <c r="E419" s="8">
        <v>44934.0</v>
      </c>
      <c r="F419" s="8">
        <v>44939.0</v>
      </c>
      <c r="G419" s="6">
        <v>42.0</v>
      </c>
      <c r="H419" s="9">
        <v>11.2</v>
      </c>
      <c r="I419" s="10">
        <v>40.0</v>
      </c>
      <c r="J419" s="11">
        <v>0.05</v>
      </c>
      <c r="K419" s="9">
        <v>155.97</v>
      </c>
      <c r="L419" s="7" t="s">
        <v>15</v>
      </c>
    </row>
    <row r="420" ht="15.75" customHeight="1">
      <c r="A420" s="6">
        <v>10404.0</v>
      </c>
      <c r="B420" s="7" t="s">
        <v>37</v>
      </c>
      <c r="C420" s="8">
        <v>44929.0</v>
      </c>
      <c r="D420" s="8">
        <v>44957.0</v>
      </c>
      <c r="E420" s="8">
        <v>44934.0</v>
      </c>
      <c r="F420" s="8">
        <v>44939.0</v>
      </c>
      <c r="G420" s="6">
        <v>49.0</v>
      </c>
      <c r="H420" s="9">
        <v>16.0</v>
      </c>
      <c r="I420" s="10">
        <v>30.0</v>
      </c>
      <c r="J420" s="11">
        <v>0.05</v>
      </c>
      <c r="K420" s="9">
        <v>155.97</v>
      </c>
      <c r="L420" s="7" t="s">
        <v>15</v>
      </c>
    </row>
    <row r="421" ht="15.75" customHeight="1">
      <c r="A421" s="6">
        <v>10405.0</v>
      </c>
      <c r="B421" s="7" t="s">
        <v>82</v>
      </c>
      <c r="C421" s="8">
        <v>44932.0</v>
      </c>
      <c r="D421" s="8">
        <v>44960.0</v>
      </c>
      <c r="E421" s="8">
        <v>44948.0</v>
      </c>
      <c r="F421" s="8">
        <v>44959.0</v>
      </c>
      <c r="G421" s="6">
        <v>3.0</v>
      </c>
      <c r="H421" s="9">
        <v>8.0</v>
      </c>
      <c r="I421" s="10">
        <v>50.0</v>
      </c>
      <c r="J421" s="11">
        <v>0.0</v>
      </c>
      <c r="K421" s="9">
        <v>34.82</v>
      </c>
      <c r="L421" s="7" t="s">
        <v>15</v>
      </c>
    </row>
    <row r="422" ht="15.75" customHeight="1">
      <c r="A422" s="6">
        <v>10406.0</v>
      </c>
      <c r="B422" s="7" t="s">
        <v>77</v>
      </c>
      <c r="C422" s="8">
        <v>44933.0</v>
      </c>
      <c r="D422" s="8">
        <v>44975.0</v>
      </c>
      <c r="E422" s="8">
        <v>44939.0</v>
      </c>
      <c r="F422" s="8">
        <v>44954.0</v>
      </c>
      <c r="G422" s="6">
        <v>1.0</v>
      </c>
      <c r="H422" s="9">
        <v>14.4</v>
      </c>
      <c r="I422" s="10">
        <v>10.0</v>
      </c>
      <c r="J422" s="11">
        <v>0.0</v>
      </c>
      <c r="K422" s="9">
        <v>108.04</v>
      </c>
      <c r="L422" s="7" t="s">
        <v>15</v>
      </c>
    </row>
    <row r="423" ht="15.75" customHeight="1">
      <c r="A423" s="6">
        <v>10406.0</v>
      </c>
      <c r="B423" s="7" t="s">
        <v>77</v>
      </c>
      <c r="C423" s="8">
        <v>44933.0</v>
      </c>
      <c r="D423" s="8">
        <v>44975.0</v>
      </c>
      <c r="E423" s="8">
        <v>44939.0</v>
      </c>
      <c r="F423" s="8">
        <v>44954.0</v>
      </c>
      <c r="G423" s="6">
        <v>21.0</v>
      </c>
      <c r="H423" s="9">
        <v>8.0</v>
      </c>
      <c r="I423" s="10">
        <v>30.0</v>
      </c>
      <c r="J423" s="11">
        <v>0.1</v>
      </c>
      <c r="K423" s="9">
        <v>108.04</v>
      </c>
      <c r="L423" s="7" t="s">
        <v>15</v>
      </c>
    </row>
    <row r="424" ht="15.75" customHeight="1">
      <c r="A424" s="6">
        <v>10406.0</v>
      </c>
      <c r="B424" s="7" t="s">
        <v>77</v>
      </c>
      <c r="C424" s="8">
        <v>44933.0</v>
      </c>
      <c r="D424" s="8">
        <v>44975.0</v>
      </c>
      <c r="E424" s="8">
        <v>44939.0</v>
      </c>
      <c r="F424" s="8">
        <v>44954.0</v>
      </c>
      <c r="G424" s="6">
        <v>28.0</v>
      </c>
      <c r="H424" s="9">
        <v>36.4</v>
      </c>
      <c r="I424" s="10">
        <v>42.0</v>
      </c>
      <c r="J424" s="11">
        <v>0.1</v>
      </c>
      <c r="K424" s="9">
        <v>108.04</v>
      </c>
      <c r="L424" s="7" t="s">
        <v>15</v>
      </c>
    </row>
    <row r="425" ht="15.75" customHeight="1">
      <c r="A425" s="6">
        <v>10406.0</v>
      </c>
      <c r="B425" s="7" t="s">
        <v>77</v>
      </c>
      <c r="C425" s="8">
        <v>44933.0</v>
      </c>
      <c r="D425" s="8">
        <v>44975.0</v>
      </c>
      <c r="E425" s="8">
        <v>44939.0</v>
      </c>
      <c r="F425" s="8">
        <v>44954.0</v>
      </c>
      <c r="G425" s="6">
        <v>36.0</v>
      </c>
      <c r="H425" s="9">
        <v>15.2</v>
      </c>
      <c r="I425" s="10">
        <v>5.0</v>
      </c>
      <c r="J425" s="11">
        <v>0.1</v>
      </c>
      <c r="K425" s="9">
        <v>108.04</v>
      </c>
      <c r="L425" s="7" t="s">
        <v>15</v>
      </c>
    </row>
    <row r="426" ht="15.75" customHeight="1">
      <c r="A426" s="6">
        <v>10406.0</v>
      </c>
      <c r="B426" s="7" t="s">
        <v>77</v>
      </c>
      <c r="C426" s="8">
        <v>44933.0</v>
      </c>
      <c r="D426" s="8">
        <v>44975.0</v>
      </c>
      <c r="E426" s="8">
        <v>44939.0</v>
      </c>
      <c r="F426" s="8">
        <v>44954.0</v>
      </c>
      <c r="G426" s="6">
        <v>40.0</v>
      </c>
      <c r="H426" s="9">
        <v>14.7</v>
      </c>
      <c r="I426" s="10">
        <v>2.0</v>
      </c>
      <c r="J426" s="11">
        <v>0.1</v>
      </c>
      <c r="K426" s="9">
        <v>108.04</v>
      </c>
      <c r="L426" s="7" t="s">
        <v>15</v>
      </c>
    </row>
    <row r="427" ht="15.75" customHeight="1">
      <c r="A427" s="6">
        <v>10407.0</v>
      </c>
      <c r="B427" s="7" t="s">
        <v>26</v>
      </c>
      <c r="C427" s="8">
        <v>44933.0</v>
      </c>
      <c r="D427" s="8">
        <v>44961.0</v>
      </c>
      <c r="E427" s="8">
        <v>44956.0</v>
      </c>
      <c r="F427" s="8">
        <v>44962.0</v>
      </c>
      <c r="G427" s="6">
        <v>11.0</v>
      </c>
      <c r="H427" s="9">
        <v>16.8</v>
      </c>
      <c r="I427" s="10">
        <v>30.0</v>
      </c>
      <c r="J427" s="11">
        <v>0.0</v>
      </c>
      <c r="K427" s="9">
        <v>91.48</v>
      </c>
      <c r="L427" s="7" t="s">
        <v>17</v>
      </c>
    </row>
    <row r="428" ht="15.75" customHeight="1">
      <c r="A428" s="6">
        <v>10407.0</v>
      </c>
      <c r="B428" s="7" t="s">
        <v>26</v>
      </c>
      <c r="C428" s="8">
        <v>44933.0</v>
      </c>
      <c r="D428" s="8">
        <v>44961.0</v>
      </c>
      <c r="E428" s="8">
        <v>44956.0</v>
      </c>
      <c r="F428" s="8">
        <v>44962.0</v>
      </c>
      <c r="G428" s="6">
        <v>69.0</v>
      </c>
      <c r="H428" s="9">
        <v>28.8</v>
      </c>
      <c r="I428" s="10">
        <v>15.0</v>
      </c>
      <c r="J428" s="11">
        <v>0.0</v>
      </c>
      <c r="K428" s="9">
        <v>91.48</v>
      </c>
      <c r="L428" s="7" t="s">
        <v>17</v>
      </c>
    </row>
    <row r="429" ht="15.75" customHeight="1">
      <c r="A429" s="6">
        <v>10407.0</v>
      </c>
      <c r="B429" s="7" t="s">
        <v>26</v>
      </c>
      <c r="C429" s="8">
        <v>44933.0</v>
      </c>
      <c r="D429" s="8">
        <v>44961.0</v>
      </c>
      <c r="E429" s="8">
        <v>44956.0</v>
      </c>
      <c r="F429" s="8">
        <v>44962.0</v>
      </c>
      <c r="G429" s="6">
        <v>71.0</v>
      </c>
      <c r="H429" s="9">
        <v>17.2</v>
      </c>
      <c r="I429" s="10">
        <v>15.0</v>
      </c>
      <c r="J429" s="11">
        <v>0.0</v>
      </c>
      <c r="K429" s="9">
        <v>91.48</v>
      </c>
      <c r="L429" s="7" t="s">
        <v>17</v>
      </c>
    </row>
    <row r="430" ht="15.75" customHeight="1">
      <c r="A430" s="6">
        <v>10408.0</v>
      </c>
      <c r="B430" s="7" t="s">
        <v>83</v>
      </c>
      <c r="C430" s="8">
        <v>44934.0</v>
      </c>
      <c r="D430" s="8">
        <v>44962.0</v>
      </c>
      <c r="E430" s="8">
        <v>44940.0</v>
      </c>
      <c r="F430" s="8">
        <v>44945.0</v>
      </c>
      <c r="G430" s="6">
        <v>37.0</v>
      </c>
      <c r="H430" s="9">
        <v>20.8</v>
      </c>
      <c r="I430" s="10">
        <v>10.0</v>
      </c>
      <c r="J430" s="11">
        <v>0.0</v>
      </c>
      <c r="K430" s="9">
        <v>11.26</v>
      </c>
      <c r="L430" s="7" t="s">
        <v>15</v>
      </c>
    </row>
    <row r="431" ht="15.75" customHeight="1">
      <c r="A431" s="6">
        <v>10408.0</v>
      </c>
      <c r="B431" s="7" t="s">
        <v>83</v>
      </c>
      <c r="C431" s="8">
        <v>44934.0</v>
      </c>
      <c r="D431" s="8">
        <v>44962.0</v>
      </c>
      <c r="E431" s="8">
        <v>44940.0</v>
      </c>
      <c r="F431" s="8">
        <v>44945.0</v>
      </c>
      <c r="G431" s="6">
        <v>54.0</v>
      </c>
      <c r="H431" s="9">
        <v>5.9</v>
      </c>
      <c r="I431" s="10">
        <v>6.0</v>
      </c>
      <c r="J431" s="11">
        <v>0.0</v>
      </c>
      <c r="K431" s="9">
        <v>11.26</v>
      </c>
      <c r="L431" s="7" t="s">
        <v>15</v>
      </c>
    </row>
    <row r="432" ht="15.75" customHeight="1">
      <c r="A432" s="6">
        <v>10408.0</v>
      </c>
      <c r="B432" s="7" t="s">
        <v>83</v>
      </c>
      <c r="C432" s="8">
        <v>44934.0</v>
      </c>
      <c r="D432" s="8">
        <v>44962.0</v>
      </c>
      <c r="E432" s="8">
        <v>44940.0</v>
      </c>
      <c r="F432" s="8">
        <v>44945.0</v>
      </c>
      <c r="G432" s="6">
        <v>62.0</v>
      </c>
      <c r="H432" s="9">
        <v>39.4</v>
      </c>
      <c r="I432" s="10">
        <v>35.0</v>
      </c>
      <c r="J432" s="11">
        <v>0.0</v>
      </c>
      <c r="K432" s="9">
        <v>11.26</v>
      </c>
      <c r="L432" s="7" t="s">
        <v>15</v>
      </c>
    </row>
    <row r="433" ht="15.75" customHeight="1">
      <c r="A433" s="6">
        <v>10409.0</v>
      </c>
      <c r="B433" s="7" t="s">
        <v>84</v>
      </c>
      <c r="C433" s="8">
        <v>44935.0</v>
      </c>
      <c r="D433" s="8">
        <v>44963.0</v>
      </c>
      <c r="E433" s="8">
        <v>44940.0</v>
      </c>
      <c r="F433" s="8">
        <v>44950.0</v>
      </c>
      <c r="G433" s="6">
        <v>14.0</v>
      </c>
      <c r="H433" s="9">
        <v>18.6</v>
      </c>
      <c r="I433" s="10">
        <v>12.0</v>
      </c>
      <c r="J433" s="11">
        <v>0.0</v>
      </c>
      <c r="K433" s="9">
        <v>29.83</v>
      </c>
      <c r="L433" s="7" t="s">
        <v>15</v>
      </c>
    </row>
    <row r="434" ht="15.75" customHeight="1">
      <c r="A434" s="6">
        <v>10409.0</v>
      </c>
      <c r="B434" s="7" t="s">
        <v>84</v>
      </c>
      <c r="C434" s="8">
        <v>44935.0</v>
      </c>
      <c r="D434" s="8">
        <v>44963.0</v>
      </c>
      <c r="E434" s="8">
        <v>44940.0</v>
      </c>
      <c r="F434" s="8">
        <v>44950.0</v>
      </c>
      <c r="G434" s="6">
        <v>21.0</v>
      </c>
      <c r="H434" s="9">
        <v>8.0</v>
      </c>
      <c r="I434" s="10">
        <v>12.0</v>
      </c>
      <c r="J434" s="11">
        <v>0.0</v>
      </c>
      <c r="K434" s="9">
        <v>29.83</v>
      </c>
      <c r="L434" s="7" t="s">
        <v>15</v>
      </c>
    </row>
    <row r="435" ht="15.75" customHeight="1">
      <c r="A435" s="6">
        <v>10410.0</v>
      </c>
      <c r="B435" s="7" t="s">
        <v>81</v>
      </c>
      <c r="C435" s="8">
        <v>44936.0</v>
      </c>
      <c r="D435" s="8">
        <v>44964.0</v>
      </c>
      <c r="E435" s="8">
        <v>44941.0</v>
      </c>
      <c r="F435" s="8">
        <v>44955.0</v>
      </c>
      <c r="G435" s="6">
        <v>33.0</v>
      </c>
      <c r="H435" s="9">
        <v>2.0</v>
      </c>
      <c r="I435" s="10">
        <v>49.0</v>
      </c>
      <c r="J435" s="11">
        <v>0.0</v>
      </c>
      <c r="K435" s="9">
        <v>2.4</v>
      </c>
      <c r="L435" s="7" t="s">
        <v>13</v>
      </c>
    </row>
    <row r="436" ht="15.75" customHeight="1">
      <c r="A436" s="6">
        <v>10410.0</v>
      </c>
      <c r="B436" s="7" t="s">
        <v>81</v>
      </c>
      <c r="C436" s="8">
        <v>44936.0</v>
      </c>
      <c r="D436" s="8">
        <v>44964.0</v>
      </c>
      <c r="E436" s="8">
        <v>44941.0</v>
      </c>
      <c r="F436" s="8">
        <v>44955.0</v>
      </c>
      <c r="G436" s="6">
        <v>59.0</v>
      </c>
      <c r="H436" s="9">
        <v>44.0</v>
      </c>
      <c r="I436" s="10">
        <v>16.0</v>
      </c>
      <c r="J436" s="11">
        <v>0.0</v>
      </c>
      <c r="K436" s="9">
        <v>2.4</v>
      </c>
      <c r="L436" s="7" t="s">
        <v>13</v>
      </c>
    </row>
    <row r="437" ht="15.75" customHeight="1">
      <c r="A437" s="6">
        <v>10411.0</v>
      </c>
      <c r="B437" s="7" t="s">
        <v>81</v>
      </c>
      <c r="C437" s="8">
        <v>44936.0</v>
      </c>
      <c r="D437" s="8">
        <v>44964.0</v>
      </c>
      <c r="E437" s="8">
        <v>44947.0</v>
      </c>
      <c r="F437" s="8">
        <v>44959.0</v>
      </c>
      <c r="G437" s="6">
        <v>41.0</v>
      </c>
      <c r="H437" s="9">
        <v>7.7</v>
      </c>
      <c r="I437" s="10">
        <v>25.0</v>
      </c>
      <c r="J437" s="11">
        <v>0.2</v>
      </c>
      <c r="K437" s="9">
        <v>23.65</v>
      </c>
      <c r="L437" s="7" t="s">
        <v>13</v>
      </c>
    </row>
    <row r="438" ht="15.75" customHeight="1">
      <c r="A438" s="6">
        <v>10411.0</v>
      </c>
      <c r="B438" s="7" t="s">
        <v>81</v>
      </c>
      <c r="C438" s="8">
        <v>44936.0</v>
      </c>
      <c r="D438" s="8">
        <v>44964.0</v>
      </c>
      <c r="E438" s="8">
        <v>44947.0</v>
      </c>
      <c r="F438" s="8">
        <v>44959.0</v>
      </c>
      <c r="G438" s="6">
        <v>44.0</v>
      </c>
      <c r="H438" s="9">
        <v>15.5</v>
      </c>
      <c r="I438" s="10">
        <v>40.0</v>
      </c>
      <c r="J438" s="11">
        <v>0.2</v>
      </c>
      <c r="K438" s="9">
        <v>23.65</v>
      </c>
      <c r="L438" s="7" t="s">
        <v>13</v>
      </c>
    </row>
    <row r="439" ht="15.75" customHeight="1">
      <c r="A439" s="6">
        <v>10411.0</v>
      </c>
      <c r="B439" s="7" t="s">
        <v>81</v>
      </c>
      <c r="C439" s="8">
        <v>44936.0</v>
      </c>
      <c r="D439" s="8">
        <v>44964.0</v>
      </c>
      <c r="E439" s="8">
        <v>44947.0</v>
      </c>
      <c r="F439" s="8">
        <v>44959.0</v>
      </c>
      <c r="G439" s="6">
        <v>59.0</v>
      </c>
      <c r="H439" s="9">
        <v>44.0</v>
      </c>
      <c r="I439" s="10">
        <v>9.0</v>
      </c>
      <c r="J439" s="11">
        <v>0.2</v>
      </c>
      <c r="K439" s="9">
        <v>23.65</v>
      </c>
      <c r="L439" s="7" t="s">
        <v>13</v>
      </c>
    </row>
    <row r="440" ht="15.75" customHeight="1">
      <c r="A440" s="6">
        <v>10412.0</v>
      </c>
      <c r="B440" s="7" t="s">
        <v>31</v>
      </c>
      <c r="C440" s="8">
        <v>44939.0</v>
      </c>
      <c r="D440" s="8">
        <v>44967.0</v>
      </c>
      <c r="E440" s="8">
        <v>44941.0</v>
      </c>
      <c r="F440" s="8">
        <v>44955.0</v>
      </c>
      <c r="G440" s="6">
        <v>14.0</v>
      </c>
      <c r="H440" s="9">
        <v>18.6</v>
      </c>
      <c r="I440" s="10">
        <v>20.0</v>
      </c>
      <c r="J440" s="11">
        <v>0.1</v>
      </c>
      <c r="K440" s="9">
        <v>3.77</v>
      </c>
      <c r="L440" s="7" t="s">
        <v>17</v>
      </c>
    </row>
    <row r="441" ht="15.75" customHeight="1">
      <c r="A441" s="6">
        <v>10413.0</v>
      </c>
      <c r="B441" s="7" t="s">
        <v>68</v>
      </c>
      <c r="C441" s="8">
        <v>44940.0</v>
      </c>
      <c r="D441" s="8">
        <v>44968.0</v>
      </c>
      <c r="E441" s="8">
        <v>44942.0</v>
      </c>
      <c r="F441" s="8">
        <v>44949.0</v>
      </c>
      <c r="G441" s="6">
        <v>1.0</v>
      </c>
      <c r="H441" s="9">
        <v>14.4</v>
      </c>
      <c r="I441" s="10">
        <v>24.0</v>
      </c>
      <c r="J441" s="11">
        <v>0.0</v>
      </c>
      <c r="K441" s="9">
        <v>95.66</v>
      </c>
      <c r="L441" s="7" t="s">
        <v>17</v>
      </c>
    </row>
    <row r="442" ht="15.75" customHeight="1">
      <c r="A442" s="6">
        <v>10413.0</v>
      </c>
      <c r="B442" s="7" t="s">
        <v>68</v>
      </c>
      <c r="C442" s="8">
        <v>44940.0</v>
      </c>
      <c r="D442" s="8">
        <v>44968.0</v>
      </c>
      <c r="E442" s="8">
        <v>44942.0</v>
      </c>
      <c r="F442" s="8">
        <v>44949.0</v>
      </c>
      <c r="G442" s="6">
        <v>62.0</v>
      </c>
      <c r="H442" s="9">
        <v>39.4</v>
      </c>
      <c r="I442" s="10">
        <v>40.0</v>
      </c>
      <c r="J442" s="11">
        <v>0.0</v>
      </c>
      <c r="K442" s="9">
        <v>95.66</v>
      </c>
      <c r="L442" s="7" t="s">
        <v>17</v>
      </c>
    </row>
    <row r="443" ht="15.75" customHeight="1">
      <c r="A443" s="6">
        <v>10413.0</v>
      </c>
      <c r="B443" s="7" t="s">
        <v>68</v>
      </c>
      <c r="C443" s="8">
        <v>44940.0</v>
      </c>
      <c r="D443" s="8">
        <v>44968.0</v>
      </c>
      <c r="E443" s="8">
        <v>44942.0</v>
      </c>
      <c r="F443" s="8">
        <v>44949.0</v>
      </c>
      <c r="G443" s="6">
        <v>76.0</v>
      </c>
      <c r="H443" s="9">
        <v>14.4</v>
      </c>
      <c r="I443" s="10">
        <v>14.0</v>
      </c>
      <c r="J443" s="11">
        <v>0.0</v>
      </c>
      <c r="K443" s="9">
        <v>95.66</v>
      </c>
      <c r="L443" s="7" t="s">
        <v>17</v>
      </c>
    </row>
    <row r="444" ht="15.75" customHeight="1">
      <c r="A444" s="6">
        <v>10414.0</v>
      </c>
      <c r="B444" s="7" t="s">
        <v>67</v>
      </c>
      <c r="C444" s="8">
        <v>44940.0</v>
      </c>
      <c r="D444" s="8">
        <v>44968.0</v>
      </c>
      <c r="E444" s="8">
        <v>44943.0</v>
      </c>
      <c r="F444" s="8">
        <v>44961.0</v>
      </c>
      <c r="G444" s="6">
        <v>19.0</v>
      </c>
      <c r="H444" s="9">
        <v>7.3</v>
      </c>
      <c r="I444" s="10">
        <v>18.0</v>
      </c>
      <c r="J444" s="11">
        <v>0.05</v>
      </c>
      <c r="K444" s="9">
        <v>21.48</v>
      </c>
      <c r="L444" s="7" t="s">
        <v>13</v>
      </c>
    </row>
    <row r="445" ht="15.75" customHeight="1">
      <c r="A445" s="6">
        <v>10414.0</v>
      </c>
      <c r="B445" s="7" t="s">
        <v>67</v>
      </c>
      <c r="C445" s="8">
        <v>44940.0</v>
      </c>
      <c r="D445" s="8">
        <v>44968.0</v>
      </c>
      <c r="E445" s="8">
        <v>44943.0</v>
      </c>
      <c r="F445" s="8">
        <v>44961.0</v>
      </c>
      <c r="G445" s="6">
        <v>33.0</v>
      </c>
      <c r="H445" s="9">
        <v>2.0</v>
      </c>
      <c r="I445" s="10">
        <v>50.0</v>
      </c>
      <c r="J445" s="11">
        <v>0.0</v>
      </c>
      <c r="K445" s="9">
        <v>21.48</v>
      </c>
      <c r="L445" s="7" t="s">
        <v>13</v>
      </c>
    </row>
    <row r="446" ht="15.75" customHeight="1">
      <c r="A446" s="6">
        <v>10415.0</v>
      </c>
      <c r="B446" s="7" t="s">
        <v>79</v>
      </c>
      <c r="C446" s="8">
        <v>44941.0</v>
      </c>
      <c r="D446" s="8">
        <v>44969.0</v>
      </c>
      <c r="E446" s="8">
        <v>44950.0</v>
      </c>
      <c r="F446" s="8">
        <v>44961.0</v>
      </c>
      <c r="G446" s="6">
        <v>17.0</v>
      </c>
      <c r="H446" s="9">
        <v>31.2</v>
      </c>
      <c r="I446" s="10">
        <v>2.0</v>
      </c>
      <c r="J446" s="11">
        <v>0.0</v>
      </c>
      <c r="K446" s="9">
        <v>0.2</v>
      </c>
      <c r="L446" s="7" t="s">
        <v>15</v>
      </c>
    </row>
    <row r="447" ht="15.75" customHeight="1">
      <c r="A447" s="6">
        <v>10415.0</v>
      </c>
      <c r="B447" s="7" t="s">
        <v>79</v>
      </c>
      <c r="C447" s="8">
        <v>44941.0</v>
      </c>
      <c r="D447" s="8">
        <v>44969.0</v>
      </c>
      <c r="E447" s="8">
        <v>44950.0</v>
      </c>
      <c r="F447" s="8">
        <v>44961.0</v>
      </c>
      <c r="G447" s="6">
        <v>33.0</v>
      </c>
      <c r="H447" s="9">
        <v>2.0</v>
      </c>
      <c r="I447" s="10">
        <v>20.0</v>
      </c>
      <c r="J447" s="11">
        <v>0.0</v>
      </c>
      <c r="K447" s="9">
        <v>0.2</v>
      </c>
      <c r="L447" s="7" t="s">
        <v>15</v>
      </c>
    </row>
    <row r="448" ht="15.75" customHeight="1">
      <c r="A448" s="6">
        <v>10416.0</v>
      </c>
      <c r="B448" s="7" t="s">
        <v>31</v>
      </c>
      <c r="C448" s="8">
        <v>44942.0</v>
      </c>
      <c r="D448" s="8">
        <v>44970.0</v>
      </c>
      <c r="E448" s="8">
        <v>44953.0</v>
      </c>
      <c r="F448" s="8">
        <v>44963.0</v>
      </c>
      <c r="G448" s="6">
        <v>19.0</v>
      </c>
      <c r="H448" s="9">
        <v>7.3</v>
      </c>
      <c r="I448" s="10">
        <v>20.0</v>
      </c>
      <c r="J448" s="11">
        <v>0.0</v>
      </c>
      <c r="K448" s="9">
        <v>22.72</v>
      </c>
      <c r="L448" s="7" t="s">
        <v>13</v>
      </c>
    </row>
    <row r="449" ht="15.75" customHeight="1">
      <c r="A449" s="6">
        <v>10416.0</v>
      </c>
      <c r="B449" s="7" t="s">
        <v>31</v>
      </c>
      <c r="C449" s="8">
        <v>44942.0</v>
      </c>
      <c r="D449" s="8">
        <v>44970.0</v>
      </c>
      <c r="E449" s="8">
        <v>44953.0</v>
      </c>
      <c r="F449" s="8">
        <v>44963.0</v>
      </c>
      <c r="G449" s="6">
        <v>53.0</v>
      </c>
      <c r="H449" s="9">
        <v>26.2</v>
      </c>
      <c r="I449" s="10">
        <v>10.0</v>
      </c>
      <c r="J449" s="11">
        <v>0.0</v>
      </c>
      <c r="K449" s="9">
        <v>22.72</v>
      </c>
      <c r="L449" s="7" t="s">
        <v>13</v>
      </c>
    </row>
    <row r="450" ht="15.75" customHeight="1">
      <c r="A450" s="6">
        <v>10416.0</v>
      </c>
      <c r="B450" s="7" t="s">
        <v>31</v>
      </c>
      <c r="C450" s="8">
        <v>44942.0</v>
      </c>
      <c r="D450" s="8">
        <v>44970.0</v>
      </c>
      <c r="E450" s="8">
        <v>44953.0</v>
      </c>
      <c r="F450" s="8">
        <v>44963.0</v>
      </c>
      <c r="G450" s="6">
        <v>57.0</v>
      </c>
      <c r="H450" s="9">
        <v>15.6</v>
      </c>
      <c r="I450" s="10">
        <v>20.0</v>
      </c>
      <c r="J450" s="11">
        <v>0.0</v>
      </c>
      <c r="K450" s="9">
        <v>22.72</v>
      </c>
      <c r="L450" s="7" t="s">
        <v>13</v>
      </c>
    </row>
    <row r="451" ht="15.75" customHeight="1">
      <c r="A451" s="6">
        <v>10417.0</v>
      </c>
      <c r="B451" s="7" t="s">
        <v>66</v>
      </c>
      <c r="C451" s="8">
        <v>44942.0</v>
      </c>
      <c r="D451" s="8">
        <v>44970.0</v>
      </c>
      <c r="E451" s="8">
        <v>44954.0</v>
      </c>
      <c r="F451" s="8">
        <v>44968.0</v>
      </c>
      <c r="G451" s="6">
        <v>38.0</v>
      </c>
      <c r="H451" s="9">
        <v>210.8</v>
      </c>
      <c r="I451" s="10">
        <v>50.0</v>
      </c>
      <c r="J451" s="11">
        <v>0.0</v>
      </c>
      <c r="K451" s="9">
        <v>70.29</v>
      </c>
      <c r="L451" s="7" t="s">
        <v>13</v>
      </c>
    </row>
    <row r="452" ht="15.75" customHeight="1">
      <c r="A452" s="6">
        <v>10417.0</v>
      </c>
      <c r="B452" s="7" t="s">
        <v>66</v>
      </c>
      <c r="C452" s="8">
        <v>44942.0</v>
      </c>
      <c r="D452" s="8">
        <v>44970.0</v>
      </c>
      <c r="E452" s="8">
        <v>44954.0</v>
      </c>
      <c r="F452" s="8">
        <v>44968.0</v>
      </c>
      <c r="G452" s="6">
        <v>46.0</v>
      </c>
      <c r="H452" s="9">
        <v>9.6</v>
      </c>
      <c r="I452" s="10">
        <v>2.0</v>
      </c>
      <c r="J452" s="11">
        <v>0.25</v>
      </c>
      <c r="K452" s="9">
        <v>70.29</v>
      </c>
      <c r="L452" s="7" t="s">
        <v>13</v>
      </c>
    </row>
    <row r="453" ht="15.75" customHeight="1">
      <c r="A453" s="6">
        <v>10417.0</v>
      </c>
      <c r="B453" s="7" t="s">
        <v>66</v>
      </c>
      <c r="C453" s="8">
        <v>44942.0</v>
      </c>
      <c r="D453" s="8">
        <v>44970.0</v>
      </c>
      <c r="E453" s="8">
        <v>44954.0</v>
      </c>
      <c r="F453" s="8">
        <v>44968.0</v>
      </c>
      <c r="G453" s="6">
        <v>68.0</v>
      </c>
      <c r="H453" s="9">
        <v>10.0</v>
      </c>
      <c r="I453" s="10">
        <v>36.0</v>
      </c>
      <c r="J453" s="11">
        <v>0.25</v>
      </c>
      <c r="K453" s="9">
        <v>70.29</v>
      </c>
      <c r="L453" s="7" t="s">
        <v>13</v>
      </c>
    </row>
    <row r="454" ht="15.75" customHeight="1">
      <c r="A454" s="6">
        <v>10417.0</v>
      </c>
      <c r="B454" s="7" t="s">
        <v>66</v>
      </c>
      <c r="C454" s="8">
        <v>44942.0</v>
      </c>
      <c r="D454" s="8">
        <v>44970.0</v>
      </c>
      <c r="E454" s="8">
        <v>44954.0</v>
      </c>
      <c r="F454" s="8">
        <v>44968.0</v>
      </c>
      <c r="G454" s="6">
        <v>77.0</v>
      </c>
      <c r="H454" s="9">
        <v>10.4</v>
      </c>
      <c r="I454" s="10">
        <v>35.0</v>
      </c>
      <c r="J454" s="11">
        <v>0.0</v>
      </c>
      <c r="K454" s="9">
        <v>70.29</v>
      </c>
      <c r="L454" s="7" t="s">
        <v>13</v>
      </c>
    </row>
    <row r="455" ht="15.75" customHeight="1">
      <c r="A455" s="6">
        <v>10418.0</v>
      </c>
      <c r="B455" s="7" t="s">
        <v>36</v>
      </c>
      <c r="C455" s="8">
        <v>44943.0</v>
      </c>
      <c r="D455" s="8">
        <v>44971.0</v>
      </c>
      <c r="E455" s="8">
        <v>44950.0</v>
      </c>
      <c r="F455" s="8">
        <v>44953.0</v>
      </c>
      <c r="G455" s="6">
        <v>2.0</v>
      </c>
      <c r="H455" s="9">
        <v>15.2</v>
      </c>
      <c r="I455" s="10">
        <v>60.0</v>
      </c>
      <c r="J455" s="11">
        <v>0.0</v>
      </c>
      <c r="K455" s="9">
        <v>17.55</v>
      </c>
      <c r="L455" s="7" t="s">
        <v>15</v>
      </c>
    </row>
    <row r="456" ht="15.75" customHeight="1">
      <c r="A456" s="6">
        <v>10418.0</v>
      </c>
      <c r="B456" s="7" t="s">
        <v>36</v>
      </c>
      <c r="C456" s="8">
        <v>44943.0</v>
      </c>
      <c r="D456" s="8">
        <v>44971.0</v>
      </c>
      <c r="E456" s="8">
        <v>44950.0</v>
      </c>
      <c r="F456" s="8">
        <v>44953.0</v>
      </c>
      <c r="G456" s="6">
        <v>47.0</v>
      </c>
      <c r="H456" s="9">
        <v>7.6</v>
      </c>
      <c r="I456" s="10">
        <v>55.0</v>
      </c>
      <c r="J456" s="11">
        <v>0.0</v>
      </c>
      <c r="K456" s="9">
        <v>17.55</v>
      </c>
      <c r="L456" s="7" t="s">
        <v>15</v>
      </c>
    </row>
    <row r="457" ht="15.75" customHeight="1">
      <c r="A457" s="6">
        <v>10418.0</v>
      </c>
      <c r="B457" s="7" t="s">
        <v>36</v>
      </c>
      <c r="C457" s="8">
        <v>44943.0</v>
      </c>
      <c r="D457" s="8">
        <v>44971.0</v>
      </c>
      <c r="E457" s="8">
        <v>44950.0</v>
      </c>
      <c r="F457" s="8">
        <v>44953.0</v>
      </c>
      <c r="G457" s="6">
        <v>61.0</v>
      </c>
      <c r="H457" s="9">
        <v>22.8</v>
      </c>
      <c r="I457" s="10">
        <v>16.0</v>
      </c>
      <c r="J457" s="11">
        <v>0.0</v>
      </c>
      <c r="K457" s="9">
        <v>17.55</v>
      </c>
      <c r="L457" s="7" t="s">
        <v>15</v>
      </c>
    </row>
    <row r="458" ht="15.75" customHeight="1">
      <c r="A458" s="6">
        <v>10418.0</v>
      </c>
      <c r="B458" s="7" t="s">
        <v>36</v>
      </c>
      <c r="C458" s="8">
        <v>44943.0</v>
      </c>
      <c r="D458" s="8">
        <v>44971.0</v>
      </c>
      <c r="E458" s="8">
        <v>44950.0</v>
      </c>
      <c r="F458" s="8">
        <v>44953.0</v>
      </c>
      <c r="G458" s="6">
        <v>74.0</v>
      </c>
      <c r="H458" s="9">
        <v>8.0</v>
      </c>
      <c r="I458" s="10">
        <v>15.0</v>
      </c>
      <c r="J458" s="11">
        <v>0.0</v>
      </c>
      <c r="K458" s="9">
        <v>17.55</v>
      </c>
      <c r="L458" s="7" t="s">
        <v>15</v>
      </c>
    </row>
    <row r="459" ht="15.75" customHeight="1">
      <c r="A459" s="6">
        <v>10419.0</v>
      </c>
      <c r="B459" s="7" t="s">
        <v>21</v>
      </c>
      <c r="C459" s="8">
        <v>44946.0</v>
      </c>
      <c r="D459" s="8">
        <v>44974.0</v>
      </c>
      <c r="E459" s="8">
        <v>44956.0</v>
      </c>
      <c r="F459" s="8">
        <v>44969.0</v>
      </c>
      <c r="G459" s="6">
        <v>60.0</v>
      </c>
      <c r="H459" s="9">
        <v>27.2</v>
      </c>
      <c r="I459" s="10">
        <v>60.0</v>
      </c>
      <c r="J459" s="11">
        <v>0.05</v>
      </c>
      <c r="K459" s="9">
        <v>137.35</v>
      </c>
      <c r="L459" s="7" t="s">
        <v>17</v>
      </c>
    </row>
    <row r="460" ht="15.75" customHeight="1">
      <c r="A460" s="6">
        <v>10419.0</v>
      </c>
      <c r="B460" s="7" t="s">
        <v>21</v>
      </c>
      <c r="C460" s="8">
        <v>44946.0</v>
      </c>
      <c r="D460" s="8">
        <v>44974.0</v>
      </c>
      <c r="E460" s="8">
        <v>44956.0</v>
      </c>
      <c r="F460" s="8">
        <v>44969.0</v>
      </c>
      <c r="G460" s="6">
        <v>69.0</v>
      </c>
      <c r="H460" s="9">
        <v>28.8</v>
      </c>
      <c r="I460" s="10">
        <v>20.0</v>
      </c>
      <c r="J460" s="11">
        <v>0.05</v>
      </c>
      <c r="K460" s="9">
        <v>137.35</v>
      </c>
      <c r="L460" s="7" t="s">
        <v>17</v>
      </c>
    </row>
    <row r="461" ht="15.75" customHeight="1">
      <c r="A461" s="6">
        <v>10420.0</v>
      </c>
      <c r="B461" s="7" t="s">
        <v>22</v>
      </c>
      <c r="C461" s="8">
        <v>44947.0</v>
      </c>
      <c r="D461" s="8">
        <v>44975.0</v>
      </c>
      <c r="E461" s="8">
        <v>44953.0</v>
      </c>
      <c r="F461" s="8">
        <v>44969.0</v>
      </c>
      <c r="G461" s="6">
        <v>9.0</v>
      </c>
      <c r="H461" s="9">
        <v>77.6</v>
      </c>
      <c r="I461" s="10">
        <v>20.0</v>
      </c>
      <c r="J461" s="11">
        <v>0.1</v>
      </c>
      <c r="K461" s="9">
        <v>44.12</v>
      </c>
      <c r="L461" s="7" t="s">
        <v>15</v>
      </c>
    </row>
    <row r="462" ht="15.75" customHeight="1">
      <c r="A462" s="6">
        <v>10420.0</v>
      </c>
      <c r="B462" s="7" t="s">
        <v>22</v>
      </c>
      <c r="C462" s="8">
        <v>44947.0</v>
      </c>
      <c r="D462" s="8">
        <v>44975.0</v>
      </c>
      <c r="E462" s="8">
        <v>44953.0</v>
      </c>
      <c r="F462" s="8">
        <v>44969.0</v>
      </c>
      <c r="G462" s="6">
        <v>13.0</v>
      </c>
      <c r="H462" s="9">
        <v>4.8</v>
      </c>
      <c r="I462" s="10">
        <v>2.0</v>
      </c>
      <c r="J462" s="11">
        <v>0.1</v>
      </c>
      <c r="K462" s="9">
        <v>44.12</v>
      </c>
      <c r="L462" s="7" t="s">
        <v>15</v>
      </c>
    </row>
    <row r="463" ht="15.75" customHeight="1">
      <c r="A463" s="6">
        <v>10420.0</v>
      </c>
      <c r="B463" s="7" t="s">
        <v>22</v>
      </c>
      <c r="C463" s="8">
        <v>44947.0</v>
      </c>
      <c r="D463" s="8">
        <v>44975.0</v>
      </c>
      <c r="E463" s="8">
        <v>44953.0</v>
      </c>
      <c r="F463" s="8">
        <v>44969.0</v>
      </c>
      <c r="G463" s="6">
        <v>70.0</v>
      </c>
      <c r="H463" s="9">
        <v>12.0</v>
      </c>
      <c r="I463" s="10">
        <v>8.0</v>
      </c>
      <c r="J463" s="11">
        <v>0.1</v>
      </c>
      <c r="K463" s="9">
        <v>44.12</v>
      </c>
      <c r="L463" s="7" t="s">
        <v>15</v>
      </c>
    </row>
    <row r="464" ht="15.75" customHeight="1">
      <c r="A464" s="6">
        <v>10420.0</v>
      </c>
      <c r="B464" s="7" t="s">
        <v>22</v>
      </c>
      <c r="C464" s="8">
        <v>44947.0</v>
      </c>
      <c r="D464" s="8">
        <v>44975.0</v>
      </c>
      <c r="E464" s="8">
        <v>44953.0</v>
      </c>
      <c r="F464" s="8">
        <v>44969.0</v>
      </c>
      <c r="G464" s="6">
        <v>73.0</v>
      </c>
      <c r="H464" s="9">
        <v>12.0</v>
      </c>
      <c r="I464" s="10">
        <v>20.0</v>
      </c>
      <c r="J464" s="11">
        <v>0.1</v>
      </c>
      <c r="K464" s="9">
        <v>44.12</v>
      </c>
      <c r="L464" s="7" t="s">
        <v>15</v>
      </c>
    </row>
    <row r="465" ht="15.75" customHeight="1">
      <c r="A465" s="6">
        <v>10421.0</v>
      </c>
      <c r="B465" s="7" t="s">
        <v>27</v>
      </c>
      <c r="C465" s="8">
        <v>44947.0</v>
      </c>
      <c r="D465" s="8">
        <v>44989.0</v>
      </c>
      <c r="E465" s="8">
        <v>44953.0</v>
      </c>
      <c r="F465" s="8">
        <v>44970.0</v>
      </c>
      <c r="G465" s="6">
        <v>19.0</v>
      </c>
      <c r="H465" s="9">
        <v>7.3</v>
      </c>
      <c r="I465" s="10">
        <v>4.0</v>
      </c>
      <c r="J465" s="11">
        <v>0.15</v>
      </c>
      <c r="K465" s="9">
        <v>99.23</v>
      </c>
      <c r="L465" s="7" t="s">
        <v>15</v>
      </c>
    </row>
    <row r="466" ht="15.75" customHeight="1">
      <c r="A466" s="6">
        <v>10421.0</v>
      </c>
      <c r="B466" s="7" t="s">
        <v>27</v>
      </c>
      <c r="C466" s="8">
        <v>44947.0</v>
      </c>
      <c r="D466" s="8">
        <v>44989.0</v>
      </c>
      <c r="E466" s="8">
        <v>44953.0</v>
      </c>
      <c r="F466" s="8">
        <v>44970.0</v>
      </c>
      <c r="G466" s="6">
        <v>26.0</v>
      </c>
      <c r="H466" s="9">
        <v>24.9</v>
      </c>
      <c r="I466" s="10">
        <v>30.0</v>
      </c>
      <c r="J466" s="11">
        <v>0.0</v>
      </c>
      <c r="K466" s="9">
        <v>99.23</v>
      </c>
      <c r="L466" s="7" t="s">
        <v>15</v>
      </c>
    </row>
    <row r="467" ht="15.75" customHeight="1">
      <c r="A467" s="6">
        <v>10421.0</v>
      </c>
      <c r="B467" s="7" t="s">
        <v>27</v>
      </c>
      <c r="C467" s="8">
        <v>44947.0</v>
      </c>
      <c r="D467" s="8">
        <v>44989.0</v>
      </c>
      <c r="E467" s="8">
        <v>44953.0</v>
      </c>
      <c r="F467" s="8">
        <v>44970.0</v>
      </c>
      <c r="G467" s="6">
        <v>53.0</v>
      </c>
      <c r="H467" s="9">
        <v>26.2</v>
      </c>
      <c r="I467" s="10">
        <v>15.0</v>
      </c>
      <c r="J467" s="11">
        <v>0.15</v>
      </c>
      <c r="K467" s="9">
        <v>99.23</v>
      </c>
      <c r="L467" s="7" t="s">
        <v>15</v>
      </c>
    </row>
    <row r="468" ht="15.75" customHeight="1">
      <c r="A468" s="6">
        <v>10421.0</v>
      </c>
      <c r="B468" s="7" t="s">
        <v>27</v>
      </c>
      <c r="C468" s="8">
        <v>44947.0</v>
      </c>
      <c r="D468" s="8">
        <v>44989.0</v>
      </c>
      <c r="E468" s="8">
        <v>44953.0</v>
      </c>
      <c r="F468" s="8">
        <v>44970.0</v>
      </c>
      <c r="G468" s="6">
        <v>77.0</v>
      </c>
      <c r="H468" s="9">
        <v>10.4</v>
      </c>
      <c r="I468" s="10">
        <v>10.0</v>
      </c>
      <c r="J468" s="11">
        <v>0.15</v>
      </c>
      <c r="K468" s="9">
        <v>99.23</v>
      </c>
      <c r="L468" s="7" t="s">
        <v>15</v>
      </c>
    </row>
    <row r="469" ht="15.75" customHeight="1">
      <c r="A469" s="6">
        <v>10422.0</v>
      </c>
      <c r="B469" s="7" t="s">
        <v>85</v>
      </c>
      <c r="C469" s="8">
        <v>44948.0</v>
      </c>
      <c r="D469" s="8">
        <v>44976.0</v>
      </c>
      <c r="E469" s="8">
        <v>44957.0</v>
      </c>
      <c r="F469" s="8">
        <v>44964.0</v>
      </c>
      <c r="G469" s="6">
        <v>26.0</v>
      </c>
      <c r="H469" s="9">
        <v>24.9</v>
      </c>
      <c r="I469" s="10">
        <v>2.0</v>
      </c>
      <c r="J469" s="11">
        <v>0.0</v>
      </c>
      <c r="K469" s="9">
        <v>3.02</v>
      </c>
      <c r="L469" s="7" t="s">
        <v>15</v>
      </c>
    </row>
    <row r="470" ht="15.75" customHeight="1">
      <c r="A470" s="6">
        <v>10423.0</v>
      </c>
      <c r="B470" s="7" t="s">
        <v>86</v>
      </c>
      <c r="C470" s="8">
        <v>44949.0</v>
      </c>
      <c r="D470" s="8">
        <v>44963.0</v>
      </c>
      <c r="E470" s="8">
        <v>44981.0</v>
      </c>
      <c r="F470" s="8">
        <v>44997.0</v>
      </c>
      <c r="G470" s="6">
        <v>31.0</v>
      </c>
      <c r="H470" s="9">
        <v>10.0</v>
      </c>
      <c r="I470" s="10">
        <v>14.0</v>
      </c>
      <c r="J470" s="11">
        <v>0.0</v>
      </c>
      <c r="K470" s="9">
        <v>24.5</v>
      </c>
      <c r="L470" s="7" t="s">
        <v>13</v>
      </c>
    </row>
    <row r="471" ht="15.75" customHeight="1">
      <c r="A471" s="6">
        <v>10423.0</v>
      </c>
      <c r="B471" s="7" t="s">
        <v>86</v>
      </c>
      <c r="C471" s="8">
        <v>44949.0</v>
      </c>
      <c r="D471" s="8">
        <v>44963.0</v>
      </c>
      <c r="E471" s="8">
        <v>44981.0</v>
      </c>
      <c r="F471" s="8">
        <v>44997.0</v>
      </c>
      <c r="G471" s="6">
        <v>59.0</v>
      </c>
      <c r="H471" s="9">
        <v>44.0</v>
      </c>
      <c r="I471" s="10">
        <v>20.0</v>
      </c>
      <c r="J471" s="11">
        <v>0.0</v>
      </c>
      <c r="K471" s="9">
        <v>24.5</v>
      </c>
      <c r="L471" s="7" t="s">
        <v>13</v>
      </c>
    </row>
    <row r="472" ht="15.75" customHeight="1">
      <c r="A472" s="6">
        <v>10424.0</v>
      </c>
      <c r="B472" s="7" t="s">
        <v>64</v>
      </c>
      <c r="C472" s="8">
        <v>44949.0</v>
      </c>
      <c r="D472" s="8">
        <v>44977.0</v>
      </c>
      <c r="E472" s="8">
        <v>44953.0</v>
      </c>
      <c r="F472" s="8">
        <v>44970.0</v>
      </c>
      <c r="G472" s="6">
        <v>35.0</v>
      </c>
      <c r="H472" s="9">
        <v>14.4</v>
      </c>
      <c r="I472" s="10">
        <v>60.0</v>
      </c>
      <c r="J472" s="11">
        <v>0.2</v>
      </c>
      <c r="K472" s="9">
        <v>370.61</v>
      </c>
      <c r="L472" s="7" t="s">
        <v>17</v>
      </c>
    </row>
    <row r="473" ht="15.75" customHeight="1">
      <c r="A473" s="6">
        <v>10424.0</v>
      </c>
      <c r="B473" s="7" t="s">
        <v>64</v>
      </c>
      <c r="C473" s="8">
        <v>44949.0</v>
      </c>
      <c r="D473" s="8">
        <v>44977.0</v>
      </c>
      <c r="E473" s="8">
        <v>44953.0</v>
      </c>
      <c r="F473" s="8">
        <v>44970.0</v>
      </c>
      <c r="G473" s="6">
        <v>38.0</v>
      </c>
      <c r="H473" s="9">
        <v>210.8</v>
      </c>
      <c r="I473" s="10">
        <v>49.0</v>
      </c>
      <c r="J473" s="11">
        <v>0.2</v>
      </c>
      <c r="K473" s="9">
        <v>370.61</v>
      </c>
      <c r="L473" s="7" t="s">
        <v>17</v>
      </c>
    </row>
    <row r="474" ht="15.75" customHeight="1">
      <c r="A474" s="6">
        <v>10424.0</v>
      </c>
      <c r="B474" s="7" t="s">
        <v>64</v>
      </c>
      <c r="C474" s="8">
        <v>44949.0</v>
      </c>
      <c r="D474" s="8">
        <v>44977.0</v>
      </c>
      <c r="E474" s="8">
        <v>44953.0</v>
      </c>
      <c r="F474" s="8">
        <v>44970.0</v>
      </c>
      <c r="G474" s="6">
        <v>68.0</v>
      </c>
      <c r="H474" s="9">
        <v>10.0</v>
      </c>
      <c r="I474" s="10">
        <v>30.0</v>
      </c>
      <c r="J474" s="11">
        <v>0.2</v>
      </c>
      <c r="K474" s="9">
        <v>370.61</v>
      </c>
      <c r="L474" s="7" t="s">
        <v>17</v>
      </c>
    </row>
    <row r="475" ht="15.75" customHeight="1">
      <c r="A475" s="6">
        <v>10425.0</v>
      </c>
      <c r="B475" s="7" t="s">
        <v>68</v>
      </c>
      <c r="C475" s="8">
        <v>44950.0</v>
      </c>
      <c r="D475" s="8">
        <v>44978.0</v>
      </c>
      <c r="E475" s="8">
        <v>44971.0</v>
      </c>
      <c r="F475" s="8">
        <v>44982.0</v>
      </c>
      <c r="G475" s="6">
        <v>55.0</v>
      </c>
      <c r="H475" s="9">
        <v>19.2</v>
      </c>
      <c r="I475" s="10">
        <v>10.0</v>
      </c>
      <c r="J475" s="11">
        <v>0.25</v>
      </c>
      <c r="K475" s="9">
        <v>7.93</v>
      </c>
      <c r="L475" s="7" t="s">
        <v>17</v>
      </c>
    </row>
    <row r="476" ht="15.75" customHeight="1">
      <c r="A476" s="6">
        <v>10425.0</v>
      </c>
      <c r="B476" s="7" t="s">
        <v>68</v>
      </c>
      <c r="C476" s="8">
        <v>44950.0</v>
      </c>
      <c r="D476" s="8">
        <v>44978.0</v>
      </c>
      <c r="E476" s="8">
        <v>44971.0</v>
      </c>
      <c r="F476" s="8">
        <v>44982.0</v>
      </c>
      <c r="G476" s="6">
        <v>76.0</v>
      </c>
      <c r="H476" s="9">
        <v>14.4</v>
      </c>
      <c r="I476" s="10">
        <v>20.0</v>
      </c>
      <c r="J476" s="11">
        <v>0.25</v>
      </c>
      <c r="K476" s="9">
        <v>7.93</v>
      </c>
      <c r="L476" s="7" t="s">
        <v>17</v>
      </c>
    </row>
    <row r="477" ht="15.75" customHeight="1">
      <c r="A477" s="6">
        <v>10426.0</v>
      </c>
      <c r="B477" s="7" t="s">
        <v>75</v>
      </c>
      <c r="C477" s="8">
        <v>44953.0</v>
      </c>
      <c r="D477" s="8">
        <v>44981.0</v>
      </c>
      <c r="E477" s="8">
        <v>44963.0</v>
      </c>
      <c r="F477" s="8">
        <v>44972.0</v>
      </c>
      <c r="G477" s="6">
        <v>56.0</v>
      </c>
      <c r="H477" s="9">
        <v>30.4</v>
      </c>
      <c r="I477" s="10">
        <v>5.0</v>
      </c>
      <c r="J477" s="11">
        <v>0.0</v>
      </c>
      <c r="K477" s="9">
        <v>18.69</v>
      </c>
      <c r="L477" s="7" t="s">
        <v>15</v>
      </c>
    </row>
    <row r="478" ht="15.75" customHeight="1">
      <c r="A478" s="6">
        <v>10426.0</v>
      </c>
      <c r="B478" s="7" t="s">
        <v>75</v>
      </c>
      <c r="C478" s="8">
        <v>44953.0</v>
      </c>
      <c r="D478" s="8">
        <v>44981.0</v>
      </c>
      <c r="E478" s="8">
        <v>44963.0</v>
      </c>
      <c r="F478" s="8">
        <v>44972.0</v>
      </c>
      <c r="G478" s="6">
        <v>64.0</v>
      </c>
      <c r="H478" s="9">
        <v>26.6</v>
      </c>
      <c r="I478" s="10">
        <v>7.0</v>
      </c>
      <c r="J478" s="11">
        <v>0.0</v>
      </c>
      <c r="K478" s="9">
        <v>18.69</v>
      </c>
      <c r="L478" s="7" t="s">
        <v>15</v>
      </c>
    </row>
    <row r="479" ht="15.75" customHeight="1">
      <c r="A479" s="6">
        <v>10427.0</v>
      </c>
      <c r="B479" s="7" t="s">
        <v>69</v>
      </c>
      <c r="C479" s="8">
        <v>44953.0</v>
      </c>
      <c r="D479" s="8">
        <v>44981.0</v>
      </c>
      <c r="E479" s="8">
        <v>44988.0</v>
      </c>
      <c r="F479" s="8">
        <v>45004.0</v>
      </c>
      <c r="G479" s="6">
        <v>14.0</v>
      </c>
      <c r="H479" s="9">
        <v>18.6</v>
      </c>
      <c r="I479" s="10">
        <v>35.0</v>
      </c>
      <c r="J479" s="11">
        <v>0.0</v>
      </c>
      <c r="K479" s="9">
        <v>31.29</v>
      </c>
      <c r="L479" s="7" t="s">
        <v>17</v>
      </c>
    </row>
    <row r="480" ht="15.75" customHeight="1">
      <c r="A480" s="6">
        <v>10428.0</v>
      </c>
      <c r="B480" s="7" t="s">
        <v>45</v>
      </c>
      <c r="C480" s="8">
        <v>44954.0</v>
      </c>
      <c r="D480" s="8">
        <v>44982.0</v>
      </c>
      <c r="E480" s="8">
        <v>44961.0</v>
      </c>
      <c r="F480" s="8">
        <v>44968.0</v>
      </c>
      <c r="G480" s="6">
        <v>46.0</v>
      </c>
      <c r="H480" s="9">
        <v>9.6</v>
      </c>
      <c r="I480" s="10">
        <v>20.0</v>
      </c>
      <c r="J480" s="11">
        <v>0.0</v>
      </c>
      <c r="K480" s="9">
        <v>11.09</v>
      </c>
      <c r="L480" s="7" t="s">
        <v>15</v>
      </c>
    </row>
    <row r="481" ht="15.75" customHeight="1">
      <c r="A481" s="6">
        <v>10429.0</v>
      </c>
      <c r="B481" s="7" t="s">
        <v>49</v>
      </c>
      <c r="C481" s="8">
        <v>44955.0</v>
      </c>
      <c r="D481" s="8">
        <v>44997.0</v>
      </c>
      <c r="E481" s="8">
        <v>44964.0</v>
      </c>
      <c r="F481" s="8">
        <v>44976.0</v>
      </c>
      <c r="G481" s="6">
        <v>50.0</v>
      </c>
      <c r="H481" s="9">
        <v>13.0</v>
      </c>
      <c r="I481" s="10">
        <v>40.0</v>
      </c>
      <c r="J481" s="11">
        <v>0.0</v>
      </c>
      <c r="K481" s="9">
        <v>56.63</v>
      </c>
      <c r="L481" s="7" t="s">
        <v>17</v>
      </c>
    </row>
    <row r="482" ht="15.75" customHeight="1">
      <c r="A482" s="6">
        <v>10429.0</v>
      </c>
      <c r="B482" s="7" t="s">
        <v>49</v>
      </c>
      <c r="C482" s="8">
        <v>44955.0</v>
      </c>
      <c r="D482" s="8">
        <v>44997.0</v>
      </c>
      <c r="E482" s="8">
        <v>44964.0</v>
      </c>
      <c r="F482" s="8">
        <v>44976.0</v>
      </c>
      <c r="G482" s="6">
        <v>63.0</v>
      </c>
      <c r="H482" s="9">
        <v>35.1</v>
      </c>
      <c r="I482" s="10">
        <v>35.0</v>
      </c>
      <c r="J482" s="11">
        <v>0.25</v>
      </c>
      <c r="K482" s="9">
        <v>56.63</v>
      </c>
      <c r="L482" s="7" t="s">
        <v>17</v>
      </c>
    </row>
    <row r="483" ht="15.75" customHeight="1">
      <c r="A483" s="6">
        <v>10430.0</v>
      </c>
      <c r="B483" s="7" t="s">
        <v>24</v>
      </c>
      <c r="C483" s="8">
        <v>44956.0</v>
      </c>
      <c r="D483" s="8">
        <v>44970.0</v>
      </c>
      <c r="E483" s="8">
        <v>44960.0</v>
      </c>
      <c r="F483" s="8">
        <v>44970.0</v>
      </c>
      <c r="G483" s="6">
        <v>17.0</v>
      </c>
      <c r="H483" s="9">
        <v>31.2</v>
      </c>
      <c r="I483" s="10">
        <v>45.0</v>
      </c>
      <c r="J483" s="11">
        <v>0.2</v>
      </c>
      <c r="K483" s="9">
        <v>458.78</v>
      </c>
      <c r="L483" s="7" t="s">
        <v>15</v>
      </c>
    </row>
    <row r="484" ht="15.75" customHeight="1">
      <c r="A484" s="6">
        <v>10430.0</v>
      </c>
      <c r="B484" s="7" t="s">
        <v>24</v>
      </c>
      <c r="C484" s="8">
        <v>44956.0</v>
      </c>
      <c r="D484" s="8">
        <v>44970.0</v>
      </c>
      <c r="E484" s="8">
        <v>44960.0</v>
      </c>
      <c r="F484" s="8">
        <v>44970.0</v>
      </c>
      <c r="G484" s="6">
        <v>21.0</v>
      </c>
      <c r="H484" s="9">
        <v>8.0</v>
      </c>
      <c r="I484" s="10">
        <v>50.0</v>
      </c>
      <c r="J484" s="11">
        <v>0.0</v>
      </c>
      <c r="K484" s="9">
        <v>458.78</v>
      </c>
      <c r="L484" s="7" t="s">
        <v>15</v>
      </c>
    </row>
    <row r="485" ht="15.75" customHeight="1">
      <c r="A485" s="6">
        <v>10430.0</v>
      </c>
      <c r="B485" s="7" t="s">
        <v>24</v>
      </c>
      <c r="C485" s="8">
        <v>44956.0</v>
      </c>
      <c r="D485" s="8">
        <v>44970.0</v>
      </c>
      <c r="E485" s="8">
        <v>44960.0</v>
      </c>
      <c r="F485" s="8">
        <v>44970.0</v>
      </c>
      <c r="G485" s="6">
        <v>56.0</v>
      </c>
      <c r="H485" s="9">
        <v>30.4</v>
      </c>
      <c r="I485" s="10">
        <v>30.0</v>
      </c>
      <c r="J485" s="11">
        <v>0.0</v>
      </c>
      <c r="K485" s="9">
        <v>458.78</v>
      </c>
      <c r="L485" s="7" t="s">
        <v>15</v>
      </c>
    </row>
    <row r="486" ht="15.75" customHeight="1">
      <c r="A486" s="6">
        <v>10430.0</v>
      </c>
      <c r="B486" s="7" t="s">
        <v>24</v>
      </c>
      <c r="C486" s="8">
        <v>44956.0</v>
      </c>
      <c r="D486" s="8">
        <v>44970.0</v>
      </c>
      <c r="E486" s="8">
        <v>44960.0</v>
      </c>
      <c r="F486" s="8">
        <v>44970.0</v>
      </c>
      <c r="G486" s="6">
        <v>59.0</v>
      </c>
      <c r="H486" s="9">
        <v>44.0</v>
      </c>
      <c r="I486" s="10">
        <v>70.0</v>
      </c>
      <c r="J486" s="11">
        <v>0.2</v>
      </c>
      <c r="K486" s="9">
        <v>458.78</v>
      </c>
      <c r="L486" s="7" t="s">
        <v>15</v>
      </c>
    </row>
    <row r="487" ht="15.75" customHeight="1">
      <c r="A487" s="6">
        <v>10431.0</v>
      </c>
      <c r="B487" s="7" t="s">
        <v>81</v>
      </c>
      <c r="C487" s="8">
        <v>44956.0</v>
      </c>
      <c r="D487" s="8">
        <v>44970.0</v>
      </c>
      <c r="E487" s="8">
        <v>44964.0</v>
      </c>
      <c r="F487" s="8">
        <v>44980.0</v>
      </c>
      <c r="G487" s="6">
        <v>17.0</v>
      </c>
      <c r="H487" s="9">
        <v>31.2</v>
      </c>
      <c r="I487" s="10">
        <v>50.0</v>
      </c>
      <c r="J487" s="11">
        <v>0.25</v>
      </c>
      <c r="K487" s="9">
        <v>44.17</v>
      </c>
      <c r="L487" s="7" t="s">
        <v>17</v>
      </c>
    </row>
    <row r="488" ht="15.75" customHeight="1">
      <c r="A488" s="6">
        <v>10431.0</v>
      </c>
      <c r="B488" s="7" t="s">
        <v>81</v>
      </c>
      <c r="C488" s="8">
        <v>44956.0</v>
      </c>
      <c r="D488" s="8">
        <v>44970.0</v>
      </c>
      <c r="E488" s="8">
        <v>44964.0</v>
      </c>
      <c r="F488" s="8">
        <v>44980.0</v>
      </c>
      <c r="G488" s="6">
        <v>40.0</v>
      </c>
      <c r="H488" s="9">
        <v>14.7</v>
      </c>
      <c r="I488" s="10">
        <v>50.0</v>
      </c>
      <c r="J488" s="11">
        <v>0.25</v>
      </c>
      <c r="K488" s="9">
        <v>44.17</v>
      </c>
      <c r="L488" s="7" t="s">
        <v>17</v>
      </c>
    </row>
    <row r="489" ht="15.75" customHeight="1">
      <c r="A489" s="6">
        <v>10431.0</v>
      </c>
      <c r="B489" s="7" t="s">
        <v>81</v>
      </c>
      <c r="C489" s="8">
        <v>44956.0</v>
      </c>
      <c r="D489" s="8">
        <v>44970.0</v>
      </c>
      <c r="E489" s="8">
        <v>44964.0</v>
      </c>
      <c r="F489" s="8">
        <v>44980.0</v>
      </c>
      <c r="G489" s="6">
        <v>47.0</v>
      </c>
      <c r="H489" s="9">
        <v>7.6</v>
      </c>
      <c r="I489" s="10">
        <v>30.0</v>
      </c>
      <c r="J489" s="11">
        <v>0.25</v>
      </c>
      <c r="K489" s="9">
        <v>44.17</v>
      </c>
      <c r="L489" s="7" t="s">
        <v>17</v>
      </c>
    </row>
    <row r="490" ht="15.75" customHeight="1">
      <c r="A490" s="6">
        <v>10432.0</v>
      </c>
      <c r="B490" s="7" t="s">
        <v>35</v>
      </c>
      <c r="C490" s="8">
        <v>44957.0</v>
      </c>
      <c r="D490" s="8">
        <v>44971.0</v>
      </c>
      <c r="E490" s="8">
        <v>44964.0</v>
      </c>
      <c r="F490" s="8">
        <v>44981.0</v>
      </c>
      <c r="G490" s="6">
        <v>26.0</v>
      </c>
      <c r="H490" s="9">
        <v>24.9</v>
      </c>
      <c r="I490" s="10">
        <v>10.0</v>
      </c>
      <c r="J490" s="11">
        <v>0.0</v>
      </c>
      <c r="K490" s="9">
        <v>4.34</v>
      </c>
      <c r="L490" s="7" t="s">
        <v>17</v>
      </c>
    </row>
    <row r="491" ht="15.75" customHeight="1">
      <c r="A491" s="6">
        <v>10432.0</v>
      </c>
      <c r="B491" s="7" t="s">
        <v>35</v>
      </c>
      <c r="C491" s="8">
        <v>44957.0</v>
      </c>
      <c r="D491" s="8">
        <v>44971.0</v>
      </c>
      <c r="E491" s="8">
        <v>44964.0</v>
      </c>
      <c r="F491" s="8">
        <v>44981.0</v>
      </c>
      <c r="G491" s="6">
        <v>54.0</v>
      </c>
      <c r="H491" s="9">
        <v>5.9</v>
      </c>
      <c r="I491" s="10">
        <v>40.0</v>
      </c>
      <c r="J491" s="11">
        <v>0.0</v>
      </c>
      <c r="K491" s="9">
        <v>4.34</v>
      </c>
      <c r="L491" s="7" t="s">
        <v>17</v>
      </c>
    </row>
    <row r="492" ht="15.75" customHeight="1">
      <c r="A492" s="6">
        <v>10433.0</v>
      </c>
      <c r="B492" s="7" t="s">
        <v>65</v>
      </c>
      <c r="C492" s="8">
        <v>44960.0</v>
      </c>
      <c r="D492" s="8">
        <v>44988.0</v>
      </c>
      <c r="E492" s="8">
        <v>44989.0</v>
      </c>
      <c r="F492" s="8">
        <v>44999.0</v>
      </c>
      <c r="G492" s="6">
        <v>56.0</v>
      </c>
      <c r="H492" s="9">
        <v>30.4</v>
      </c>
      <c r="I492" s="10">
        <v>28.0</v>
      </c>
      <c r="J492" s="11">
        <v>0.0</v>
      </c>
      <c r="K492" s="9">
        <v>73.83</v>
      </c>
      <c r="L492" s="7" t="s">
        <v>13</v>
      </c>
    </row>
    <row r="493" ht="15.75" customHeight="1">
      <c r="A493" s="6">
        <v>10434.0</v>
      </c>
      <c r="B493" s="7" t="s">
        <v>29</v>
      </c>
      <c r="C493" s="8">
        <v>44960.0</v>
      </c>
      <c r="D493" s="8">
        <v>44988.0</v>
      </c>
      <c r="E493" s="8">
        <v>44970.0</v>
      </c>
      <c r="F493" s="8">
        <v>44980.0</v>
      </c>
      <c r="G493" s="6">
        <v>11.0</v>
      </c>
      <c r="H493" s="9">
        <v>16.8</v>
      </c>
      <c r="I493" s="10">
        <v>6.0</v>
      </c>
      <c r="J493" s="11">
        <v>0.0</v>
      </c>
      <c r="K493" s="9">
        <v>17.92</v>
      </c>
      <c r="L493" s="7" t="s">
        <v>17</v>
      </c>
    </row>
    <row r="494" ht="15.75" customHeight="1">
      <c r="A494" s="6">
        <v>10434.0</v>
      </c>
      <c r="B494" s="7" t="s">
        <v>29</v>
      </c>
      <c r="C494" s="8">
        <v>44960.0</v>
      </c>
      <c r="D494" s="8">
        <v>44988.0</v>
      </c>
      <c r="E494" s="8">
        <v>44970.0</v>
      </c>
      <c r="F494" s="8">
        <v>44980.0</v>
      </c>
      <c r="G494" s="6">
        <v>76.0</v>
      </c>
      <c r="H494" s="9">
        <v>14.4</v>
      </c>
      <c r="I494" s="10">
        <v>18.0</v>
      </c>
      <c r="J494" s="11">
        <v>0.15</v>
      </c>
      <c r="K494" s="9">
        <v>17.92</v>
      </c>
      <c r="L494" s="7" t="s">
        <v>17</v>
      </c>
    </row>
    <row r="495" ht="15.75" customHeight="1">
      <c r="A495" s="6">
        <v>10435.0</v>
      </c>
      <c r="B495" s="7" t="s">
        <v>87</v>
      </c>
      <c r="C495" s="8">
        <v>44961.0</v>
      </c>
      <c r="D495" s="8">
        <v>45003.0</v>
      </c>
      <c r="E495" s="8">
        <v>44964.0</v>
      </c>
      <c r="F495" s="8">
        <v>44973.0</v>
      </c>
      <c r="G495" s="6">
        <v>2.0</v>
      </c>
      <c r="H495" s="9">
        <v>15.2</v>
      </c>
      <c r="I495" s="10">
        <v>10.0</v>
      </c>
      <c r="J495" s="11">
        <v>0.0</v>
      </c>
      <c r="K495" s="9">
        <v>9.21</v>
      </c>
      <c r="L495" s="7" t="s">
        <v>17</v>
      </c>
    </row>
    <row r="496" ht="15.75" customHeight="1">
      <c r="A496" s="6">
        <v>10435.0</v>
      </c>
      <c r="B496" s="7" t="s">
        <v>87</v>
      </c>
      <c r="C496" s="8">
        <v>44961.0</v>
      </c>
      <c r="D496" s="8">
        <v>45003.0</v>
      </c>
      <c r="E496" s="8">
        <v>44964.0</v>
      </c>
      <c r="F496" s="8">
        <v>44973.0</v>
      </c>
      <c r="G496" s="6">
        <v>22.0</v>
      </c>
      <c r="H496" s="9">
        <v>16.8</v>
      </c>
      <c r="I496" s="10">
        <v>12.0</v>
      </c>
      <c r="J496" s="11">
        <v>0.0</v>
      </c>
      <c r="K496" s="9">
        <v>9.21</v>
      </c>
      <c r="L496" s="7" t="s">
        <v>17</v>
      </c>
    </row>
    <row r="497" ht="15.75" customHeight="1">
      <c r="A497" s="6">
        <v>10435.0</v>
      </c>
      <c r="B497" s="7" t="s">
        <v>87</v>
      </c>
      <c r="C497" s="8">
        <v>44961.0</v>
      </c>
      <c r="D497" s="8">
        <v>45003.0</v>
      </c>
      <c r="E497" s="8">
        <v>44964.0</v>
      </c>
      <c r="F497" s="8">
        <v>44973.0</v>
      </c>
      <c r="G497" s="6">
        <v>72.0</v>
      </c>
      <c r="H497" s="9">
        <v>27.8</v>
      </c>
      <c r="I497" s="10">
        <v>10.0</v>
      </c>
      <c r="J497" s="11">
        <v>0.0</v>
      </c>
      <c r="K497" s="9">
        <v>9.21</v>
      </c>
      <c r="L497" s="7" t="s">
        <v>17</v>
      </c>
    </row>
    <row r="498" ht="15.75" customHeight="1">
      <c r="A498" s="6">
        <v>10436.0</v>
      </c>
      <c r="B498" s="7" t="s">
        <v>30</v>
      </c>
      <c r="C498" s="8">
        <v>44962.0</v>
      </c>
      <c r="D498" s="8">
        <v>44990.0</v>
      </c>
      <c r="E498" s="8">
        <v>44968.0</v>
      </c>
      <c r="F498" s="8">
        <v>44979.0</v>
      </c>
      <c r="G498" s="6">
        <v>46.0</v>
      </c>
      <c r="H498" s="9">
        <v>9.6</v>
      </c>
      <c r="I498" s="10">
        <v>5.0</v>
      </c>
      <c r="J498" s="11">
        <v>0.0</v>
      </c>
      <c r="K498" s="9">
        <v>156.66</v>
      </c>
      <c r="L498" s="7" t="s">
        <v>17</v>
      </c>
    </row>
    <row r="499" ht="15.75" customHeight="1">
      <c r="A499" s="6">
        <v>10436.0</v>
      </c>
      <c r="B499" s="7" t="s">
        <v>30</v>
      </c>
      <c r="C499" s="8">
        <v>44962.0</v>
      </c>
      <c r="D499" s="8">
        <v>44990.0</v>
      </c>
      <c r="E499" s="8">
        <v>44968.0</v>
      </c>
      <c r="F499" s="8">
        <v>44979.0</v>
      </c>
      <c r="G499" s="6">
        <v>56.0</v>
      </c>
      <c r="H499" s="9">
        <v>30.4</v>
      </c>
      <c r="I499" s="10">
        <v>40.0</v>
      </c>
      <c r="J499" s="11">
        <v>0.1</v>
      </c>
      <c r="K499" s="9">
        <v>156.66</v>
      </c>
      <c r="L499" s="7" t="s">
        <v>17</v>
      </c>
    </row>
    <row r="500" ht="15.75" customHeight="1">
      <c r="A500" s="6">
        <v>10436.0</v>
      </c>
      <c r="B500" s="7" t="s">
        <v>30</v>
      </c>
      <c r="C500" s="8">
        <v>44962.0</v>
      </c>
      <c r="D500" s="8">
        <v>44990.0</v>
      </c>
      <c r="E500" s="8">
        <v>44968.0</v>
      </c>
      <c r="F500" s="8">
        <v>44979.0</v>
      </c>
      <c r="G500" s="6">
        <v>64.0</v>
      </c>
      <c r="H500" s="9">
        <v>26.6</v>
      </c>
      <c r="I500" s="10">
        <v>30.0</v>
      </c>
      <c r="J500" s="11">
        <v>0.1</v>
      </c>
      <c r="K500" s="9">
        <v>156.66</v>
      </c>
      <c r="L500" s="7" t="s">
        <v>17</v>
      </c>
    </row>
    <row r="501" ht="15.75" customHeight="1">
      <c r="A501" s="6">
        <v>10436.0</v>
      </c>
      <c r="B501" s="7" t="s">
        <v>30</v>
      </c>
      <c r="C501" s="8">
        <v>44962.0</v>
      </c>
      <c r="D501" s="8">
        <v>44990.0</v>
      </c>
      <c r="E501" s="8">
        <v>44968.0</v>
      </c>
      <c r="F501" s="8">
        <v>44979.0</v>
      </c>
      <c r="G501" s="6">
        <v>75.0</v>
      </c>
      <c r="H501" s="9">
        <v>6.2</v>
      </c>
      <c r="I501" s="10">
        <v>24.0</v>
      </c>
      <c r="J501" s="11">
        <v>0.1</v>
      </c>
      <c r="K501" s="9">
        <v>156.66</v>
      </c>
      <c r="L501" s="7" t="s">
        <v>17</v>
      </c>
    </row>
    <row r="502" ht="15.75" customHeight="1">
      <c r="A502" s="6">
        <v>10437.0</v>
      </c>
      <c r="B502" s="7" t="s">
        <v>31</v>
      </c>
      <c r="C502" s="8">
        <v>44962.0</v>
      </c>
      <c r="D502" s="8">
        <v>44990.0</v>
      </c>
      <c r="E502" s="8">
        <v>44969.0</v>
      </c>
      <c r="F502" s="8">
        <v>44978.0</v>
      </c>
      <c r="G502" s="6">
        <v>53.0</v>
      </c>
      <c r="H502" s="9">
        <v>26.2</v>
      </c>
      <c r="I502" s="10">
        <v>15.0</v>
      </c>
      <c r="J502" s="11">
        <v>0.0</v>
      </c>
      <c r="K502" s="9">
        <v>19.97</v>
      </c>
      <c r="L502" s="7" t="s">
        <v>15</v>
      </c>
    </row>
    <row r="503" ht="15.75" customHeight="1">
      <c r="A503" s="6">
        <v>10438.0</v>
      </c>
      <c r="B503" s="7" t="s">
        <v>14</v>
      </c>
      <c r="C503" s="8">
        <v>44963.0</v>
      </c>
      <c r="D503" s="8">
        <v>44991.0</v>
      </c>
      <c r="E503" s="8">
        <v>44971.0</v>
      </c>
      <c r="F503" s="8">
        <v>44979.0</v>
      </c>
      <c r="G503" s="6">
        <v>19.0</v>
      </c>
      <c r="H503" s="9">
        <v>7.3</v>
      </c>
      <c r="I503" s="10">
        <v>15.0</v>
      </c>
      <c r="J503" s="11">
        <v>0.2</v>
      </c>
      <c r="K503" s="9">
        <v>8.24</v>
      </c>
      <c r="L503" s="7" t="s">
        <v>17</v>
      </c>
    </row>
    <row r="504" ht="15.75" customHeight="1">
      <c r="A504" s="6">
        <v>10438.0</v>
      </c>
      <c r="B504" s="7" t="s">
        <v>14</v>
      </c>
      <c r="C504" s="8">
        <v>44963.0</v>
      </c>
      <c r="D504" s="8">
        <v>44991.0</v>
      </c>
      <c r="E504" s="8">
        <v>44971.0</v>
      </c>
      <c r="F504" s="8">
        <v>44979.0</v>
      </c>
      <c r="G504" s="6">
        <v>34.0</v>
      </c>
      <c r="H504" s="9">
        <v>11.2</v>
      </c>
      <c r="I504" s="10">
        <v>20.0</v>
      </c>
      <c r="J504" s="11">
        <v>0.2</v>
      </c>
      <c r="K504" s="9">
        <v>8.24</v>
      </c>
      <c r="L504" s="7" t="s">
        <v>17</v>
      </c>
    </row>
    <row r="505" ht="15.75" customHeight="1">
      <c r="A505" s="6">
        <v>10438.0</v>
      </c>
      <c r="B505" s="7" t="s">
        <v>14</v>
      </c>
      <c r="C505" s="8">
        <v>44963.0</v>
      </c>
      <c r="D505" s="8">
        <v>44991.0</v>
      </c>
      <c r="E505" s="8">
        <v>44971.0</v>
      </c>
      <c r="F505" s="8">
        <v>44979.0</v>
      </c>
      <c r="G505" s="6">
        <v>57.0</v>
      </c>
      <c r="H505" s="9">
        <v>15.6</v>
      </c>
      <c r="I505" s="10">
        <v>15.0</v>
      </c>
      <c r="J505" s="11">
        <v>0.2</v>
      </c>
      <c r="K505" s="9">
        <v>8.24</v>
      </c>
      <c r="L505" s="7" t="s">
        <v>17</v>
      </c>
    </row>
    <row r="506" ht="15.75" customHeight="1">
      <c r="A506" s="6">
        <v>10439.0</v>
      </c>
      <c r="B506" s="7" t="s">
        <v>64</v>
      </c>
      <c r="C506" s="8">
        <v>44964.0</v>
      </c>
      <c r="D506" s="8">
        <v>44992.0</v>
      </c>
      <c r="E506" s="8">
        <v>44967.0</v>
      </c>
      <c r="F506" s="8">
        <v>44978.0</v>
      </c>
      <c r="G506" s="6">
        <v>12.0</v>
      </c>
      <c r="H506" s="9">
        <v>30.4</v>
      </c>
      <c r="I506" s="10">
        <v>15.0</v>
      </c>
      <c r="J506" s="11">
        <v>0.0</v>
      </c>
      <c r="K506" s="9">
        <v>4.07</v>
      </c>
      <c r="L506" s="7" t="s">
        <v>13</v>
      </c>
    </row>
    <row r="507" ht="15.75" customHeight="1">
      <c r="A507" s="6">
        <v>10439.0</v>
      </c>
      <c r="B507" s="7" t="s">
        <v>64</v>
      </c>
      <c r="C507" s="8">
        <v>44964.0</v>
      </c>
      <c r="D507" s="8">
        <v>44992.0</v>
      </c>
      <c r="E507" s="8">
        <v>44967.0</v>
      </c>
      <c r="F507" s="8">
        <v>44978.0</v>
      </c>
      <c r="G507" s="6">
        <v>16.0</v>
      </c>
      <c r="H507" s="9">
        <v>13.9</v>
      </c>
      <c r="I507" s="10">
        <v>16.0</v>
      </c>
      <c r="J507" s="11">
        <v>0.0</v>
      </c>
      <c r="K507" s="9">
        <v>4.07</v>
      </c>
      <c r="L507" s="7" t="s">
        <v>13</v>
      </c>
    </row>
    <row r="508" ht="15.75" customHeight="1">
      <c r="A508" s="6">
        <v>10439.0</v>
      </c>
      <c r="B508" s="7" t="s">
        <v>64</v>
      </c>
      <c r="C508" s="8">
        <v>44964.0</v>
      </c>
      <c r="D508" s="8">
        <v>44992.0</v>
      </c>
      <c r="E508" s="8">
        <v>44967.0</v>
      </c>
      <c r="F508" s="8">
        <v>44978.0</v>
      </c>
      <c r="G508" s="6">
        <v>64.0</v>
      </c>
      <c r="H508" s="9">
        <v>26.6</v>
      </c>
      <c r="I508" s="10">
        <v>6.0</v>
      </c>
      <c r="J508" s="11">
        <v>0.0</v>
      </c>
      <c r="K508" s="9">
        <v>4.07</v>
      </c>
      <c r="L508" s="7" t="s">
        <v>13</v>
      </c>
    </row>
    <row r="509" ht="15.75" customHeight="1">
      <c r="A509" s="6">
        <v>10439.0</v>
      </c>
      <c r="B509" s="7" t="s">
        <v>64</v>
      </c>
      <c r="C509" s="8">
        <v>44964.0</v>
      </c>
      <c r="D509" s="8">
        <v>44992.0</v>
      </c>
      <c r="E509" s="8">
        <v>44967.0</v>
      </c>
      <c r="F509" s="8">
        <v>44978.0</v>
      </c>
      <c r="G509" s="6">
        <v>74.0</v>
      </c>
      <c r="H509" s="9">
        <v>8.0</v>
      </c>
      <c r="I509" s="10">
        <v>30.0</v>
      </c>
      <c r="J509" s="11">
        <v>0.0</v>
      </c>
      <c r="K509" s="9">
        <v>4.07</v>
      </c>
      <c r="L509" s="7" t="s">
        <v>13</v>
      </c>
    </row>
    <row r="510" ht="15.75" customHeight="1">
      <c r="A510" s="6">
        <v>10440.0</v>
      </c>
      <c r="B510" s="7" t="s">
        <v>60</v>
      </c>
      <c r="C510" s="8">
        <v>44967.0</v>
      </c>
      <c r="D510" s="8">
        <v>44995.0</v>
      </c>
      <c r="E510" s="8">
        <v>44985.0</v>
      </c>
      <c r="F510" s="8">
        <v>45002.0</v>
      </c>
      <c r="G510" s="6">
        <v>2.0</v>
      </c>
      <c r="H510" s="9">
        <v>15.2</v>
      </c>
      <c r="I510" s="10">
        <v>45.0</v>
      </c>
      <c r="J510" s="11">
        <v>0.15</v>
      </c>
      <c r="K510" s="9">
        <v>86.53</v>
      </c>
      <c r="L510" s="7" t="s">
        <v>17</v>
      </c>
    </row>
    <row r="511" ht="15.75" customHeight="1">
      <c r="A511" s="6">
        <v>10440.0</v>
      </c>
      <c r="B511" s="7" t="s">
        <v>60</v>
      </c>
      <c r="C511" s="8">
        <v>44967.0</v>
      </c>
      <c r="D511" s="8">
        <v>44995.0</v>
      </c>
      <c r="E511" s="8">
        <v>44985.0</v>
      </c>
      <c r="F511" s="8">
        <v>45002.0</v>
      </c>
      <c r="G511" s="6">
        <v>16.0</v>
      </c>
      <c r="H511" s="9">
        <v>13.9</v>
      </c>
      <c r="I511" s="10">
        <v>49.0</v>
      </c>
      <c r="J511" s="11">
        <v>0.15</v>
      </c>
      <c r="K511" s="9">
        <v>86.53</v>
      </c>
      <c r="L511" s="7" t="s">
        <v>17</v>
      </c>
    </row>
    <row r="512" ht="15.75" customHeight="1">
      <c r="A512" s="6">
        <v>10440.0</v>
      </c>
      <c r="B512" s="7" t="s">
        <v>60</v>
      </c>
      <c r="C512" s="8">
        <v>44967.0</v>
      </c>
      <c r="D512" s="8">
        <v>44995.0</v>
      </c>
      <c r="E512" s="8">
        <v>44985.0</v>
      </c>
      <c r="F512" s="8">
        <v>45002.0</v>
      </c>
      <c r="G512" s="6">
        <v>29.0</v>
      </c>
      <c r="H512" s="9">
        <v>99.0</v>
      </c>
      <c r="I512" s="10">
        <v>24.0</v>
      </c>
      <c r="J512" s="11">
        <v>0.15</v>
      </c>
      <c r="K512" s="9">
        <v>86.53</v>
      </c>
      <c r="L512" s="7" t="s">
        <v>17</v>
      </c>
    </row>
    <row r="513" ht="15.75" customHeight="1">
      <c r="A513" s="6">
        <v>10440.0</v>
      </c>
      <c r="B513" s="7" t="s">
        <v>60</v>
      </c>
      <c r="C513" s="8">
        <v>44967.0</v>
      </c>
      <c r="D513" s="8">
        <v>44995.0</v>
      </c>
      <c r="E513" s="8">
        <v>44985.0</v>
      </c>
      <c r="F513" s="8">
        <v>45002.0</v>
      </c>
      <c r="G513" s="6">
        <v>61.0</v>
      </c>
      <c r="H513" s="9">
        <v>22.8</v>
      </c>
      <c r="I513" s="10">
        <v>90.0</v>
      </c>
      <c r="J513" s="11">
        <v>0.15</v>
      </c>
      <c r="K513" s="9">
        <v>86.53</v>
      </c>
      <c r="L513" s="7" t="s">
        <v>17</v>
      </c>
    </row>
    <row r="514" ht="15.75" customHeight="1">
      <c r="A514" s="6">
        <v>10441.0</v>
      </c>
      <c r="B514" s="7" t="s">
        <v>52</v>
      </c>
      <c r="C514" s="8">
        <v>44967.0</v>
      </c>
      <c r="D514" s="8">
        <v>45009.0</v>
      </c>
      <c r="E514" s="8">
        <v>44999.0</v>
      </c>
      <c r="F514" s="8">
        <v>45017.0</v>
      </c>
      <c r="G514" s="6">
        <v>27.0</v>
      </c>
      <c r="H514" s="9">
        <v>35.1</v>
      </c>
      <c r="I514" s="10">
        <v>50.0</v>
      </c>
      <c r="J514" s="11">
        <v>0.0</v>
      </c>
      <c r="K514" s="9">
        <v>73.02</v>
      </c>
      <c r="L514" s="7" t="s">
        <v>17</v>
      </c>
    </row>
    <row r="515" ht="15.75" customHeight="1">
      <c r="A515" s="6">
        <v>10442.0</v>
      </c>
      <c r="B515" s="7" t="s">
        <v>24</v>
      </c>
      <c r="C515" s="8">
        <v>44968.0</v>
      </c>
      <c r="D515" s="8">
        <v>44996.0</v>
      </c>
      <c r="E515" s="8">
        <v>44975.0</v>
      </c>
      <c r="F515" s="8">
        <v>44989.0</v>
      </c>
      <c r="G515" s="6">
        <v>11.0</v>
      </c>
      <c r="H515" s="9">
        <v>16.8</v>
      </c>
      <c r="I515" s="10">
        <v>30.0</v>
      </c>
      <c r="J515" s="11">
        <v>0.0</v>
      </c>
      <c r="K515" s="9">
        <v>47.94</v>
      </c>
      <c r="L515" s="7" t="s">
        <v>17</v>
      </c>
    </row>
    <row r="516" ht="15.75" customHeight="1">
      <c r="A516" s="6">
        <v>10442.0</v>
      </c>
      <c r="B516" s="7" t="s">
        <v>24</v>
      </c>
      <c r="C516" s="8">
        <v>44968.0</v>
      </c>
      <c r="D516" s="8">
        <v>44996.0</v>
      </c>
      <c r="E516" s="8">
        <v>44975.0</v>
      </c>
      <c r="F516" s="8">
        <v>44989.0</v>
      </c>
      <c r="G516" s="6">
        <v>54.0</v>
      </c>
      <c r="H516" s="9">
        <v>5.9</v>
      </c>
      <c r="I516" s="10">
        <v>80.0</v>
      </c>
      <c r="J516" s="11">
        <v>0.0</v>
      </c>
      <c r="K516" s="9">
        <v>47.94</v>
      </c>
      <c r="L516" s="7" t="s">
        <v>17</v>
      </c>
    </row>
    <row r="517" ht="15.75" customHeight="1">
      <c r="A517" s="6">
        <v>10442.0</v>
      </c>
      <c r="B517" s="7" t="s">
        <v>24</v>
      </c>
      <c r="C517" s="8">
        <v>44968.0</v>
      </c>
      <c r="D517" s="8">
        <v>44996.0</v>
      </c>
      <c r="E517" s="8">
        <v>44975.0</v>
      </c>
      <c r="F517" s="8">
        <v>44989.0</v>
      </c>
      <c r="G517" s="6">
        <v>66.0</v>
      </c>
      <c r="H517" s="9">
        <v>13.6</v>
      </c>
      <c r="I517" s="10">
        <v>60.0</v>
      </c>
      <c r="J517" s="11">
        <v>0.0</v>
      </c>
      <c r="K517" s="9">
        <v>47.94</v>
      </c>
      <c r="L517" s="7" t="s">
        <v>17</v>
      </c>
    </row>
    <row r="518" ht="15.75" customHeight="1">
      <c r="A518" s="6">
        <v>10443.0</v>
      </c>
      <c r="B518" s="7" t="s">
        <v>45</v>
      </c>
      <c r="C518" s="8">
        <v>44969.0</v>
      </c>
      <c r="D518" s="8">
        <v>44997.0</v>
      </c>
      <c r="E518" s="8">
        <v>44971.0</v>
      </c>
      <c r="F518" s="8">
        <v>44975.0</v>
      </c>
      <c r="G518" s="6">
        <v>11.0</v>
      </c>
      <c r="H518" s="9">
        <v>16.8</v>
      </c>
      <c r="I518" s="10">
        <v>6.0</v>
      </c>
      <c r="J518" s="11">
        <v>0.2</v>
      </c>
      <c r="K518" s="9">
        <v>13.95</v>
      </c>
      <c r="L518" s="7" t="s">
        <v>15</v>
      </c>
    </row>
    <row r="519" ht="15.75" customHeight="1">
      <c r="A519" s="6">
        <v>10443.0</v>
      </c>
      <c r="B519" s="7" t="s">
        <v>45</v>
      </c>
      <c r="C519" s="8">
        <v>44969.0</v>
      </c>
      <c r="D519" s="8">
        <v>44997.0</v>
      </c>
      <c r="E519" s="8">
        <v>44971.0</v>
      </c>
      <c r="F519" s="8">
        <v>44975.0</v>
      </c>
      <c r="G519" s="6">
        <v>28.0</v>
      </c>
      <c r="H519" s="9">
        <v>36.4</v>
      </c>
      <c r="I519" s="10">
        <v>12.0</v>
      </c>
      <c r="J519" s="11">
        <v>0.0</v>
      </c>
      <c r="K519" s="9">
        <v>13.95</v>
      </c>
      <c r="L519" s="7" t="s">
        <v>15</v>
      </c>
    </row>
    <row r="520" ht="15.75" customHeight="1">
      <c r="A520" s="6">
        <v>10444.0</v>
      </c>
      <c r="B520" s="7" t="s">
        <v>40</v>
      </c>
      <c r="C520" s="8">
        <v>44969.0</v>
      </c>
      <c r="D520" s="8">
        <v>44997.0</v>
      </c>
      <c r="E520" s="8">
        <v>44978.0</v>
      </c>
      <c r="F520" s="8">
        <v>44987.0</v>
      </c>
      <c r="G520" s="6">
        <v>17.0</v>
      </c>
      <c r="H520" s="9">
        <v>31.2</v>
      </c>
      <c r="I520" s="10">
        <v>10.0</v>
      </c>
      <c r="J520" s="11">
        <v>0.0</v>
      </c>
      <c r="K520" s="9">
        <v>3.5</v>
      </c>
      <c r="L520" s="7" t="s">
        <v>13</v>
      </c>
    </row>
    <row r="521" ht="15.75" customHeight="1">
      <c r="A521" s="6">
        <v>10444.0</v>
      </c>
      <c r="B521" s="7" t="s">
        <v>40</v>
      </c>
      <c r="C521" s="8">
        <v>44969.0</v>
      </c>
      <c r="D521" s="8">
        <v>44997.0</v>
      </c>
      <c r="E521" s="8">
        <v>44978.0</v>
      </c>
      <c r="F521" s="8">
        <v>44987.0</v>
      </c>
      <c r="G521" s="6">
        <v>26.0</v>
      </c>
      <c r="H521" s="9">
        <v>24.9</v>
      </c>
      <c r="I521" s="10">
        <v>15.0</v>
      </c>
      <c r="J521" s="11">
        <v>0.0</v>
      </c>
      <c r="K521" s="9">
        <v>3.5</v>
      </c>
      <c r="L521" s="7" t="s">
        <v>13</v>
      </c>
    </row>
    <row r="522" ht="15.75" customHeight="1">
      <c r="A522" s="6">
        <v>10444.0</v>
      </c>
      <c r="B522" s="7" t="s">
        <v>40</v>
      </c>
      <c r="C522" s="8">
        <v>44969.0</v>
      </c>
      <c r="D522" s="8">
        <v>44997.0</v>
      </c>
      <c r="E522" s="8">
        <v>44978.0</v>
      </c>
      <c r="F522" s="8">
        <v>44987.0</v>
      </c>
      <c r="G522" s="6">
        <v>35.0</v>
      </c>
      <c r="H522" s="9">
        <v>14.4</v>
      </c>
      <c r="I522" s="10">
        <v>8.0</v>
      </c>
      <c r="J522" s="11">
        <v>0.0</v>
      </c>
      <c r="K522" s="9">
        <v>3.5</v>
      </c>
      <c r="L522" s="7" t="s">
        <v>13</v>
      </c>
    </row>
    <row r="523" ht="15.75" customHeight="1">
      <c r="A523" s="6">
        <v>10444.0</v>
      </c>
      <c r="B523" s="7" t="s">
        <v>40</v>
      </c>
      <c r="C523" s="8">
        <v>44969.0</v>
      </c>
      <c r="D523" s="8">
        <v>44997.0</v>
      </c>
      <c r="E523" s="8">
        <v>44978.0</v>
      </c>
      <c r="F523" s="8">
        <v>44987.0</v>
      </c>
      <c r="G523" s="6">
        <v>41.0</v>
      </c>
      <c r="H523" s="9">
        <v>7.7</v>
      </c>
      <c r="I523" s="10">
        <v>30.0</v>
      </c>
      <c r="J523" s="11">
        <v>0.0</v>
      </c>
      <c r="K523" s="9">
        <v>3.5</v>
      </c>
      <c r="L523" s="7" t="s">
        <v>13</v>
      </c>
    </row>
    <row r="524" ht="15.75" customHeight="1">
      <c r="A524" s="6">
        <v>10445.0</v>
      </c>
      <c r="B524" s="7" t="s">
        <v>40</v>
      </c>
      <c r="C524" s="8">
        <v>44970.0</v>
      </c>
      <c r="D524" s="8">
        <v>44998.0</v>
      </c>
      <c r="E524" s="8">
        <v>44977.0</v>
      </c>
      <c r="F524" s="8">
        <v>44984.0</v>
      </c>
      <c r="G524" s="6">
        <v>39.0</v>
      </c>
      <c r="H524" s="9">
        <v>14.4</v>
      </c>
      <c r="I524" s="10">
        <v>6.0</v>
      </c>
      <c r="J524" s="11">
        <v>0.0</v>
      </c>
      <c r="K524" s="9">
        <v>9.3</v>
      </c>
      <c r="L524" s="7" t="s">
        <v>15</v>
      </c>
    </row>
    <row r="525" ht="15.75" customHeight="1">
      <c r="A525" s="6">
        <v>10445.0</v>
      </c>
      <c r="B525" s="7" t="s">
        <v>40</v>
      </c>
      <c r="C525" s="8">
        <v>44970.0</v>
      </c>
      <c r="D525" s="8">
        <v>44998.0</v>
      </c>
      <c r="E525" s="8">
        <v>44977.0</v>
      </c>
      <c r="F525" s="8">
        <v>44984.0</v>
      </c>
      <c r="G525" s="6">
        <v>54.0</v>
      </c>
      <c r="H525" s="9">
        <v>5.9</v>
      </c>
      <c r="I525" s="10">
        <v>15.0</v>
      </c>
      <c r="J525" s="11">
        <v>0.0</v>
      </c>
      <c r="K525" s="9">
        <v>9.3</v>
      </c>
      <c r="L525" s="7" t="s">
        <v>15</v>
      </c>
    </row>
    <row r="526" ht="15.75" customHeight="1">
      <c r="A526" s="6">
        <v>10446.0</v>
      </c>
      <c r="B526" s="7" t="s">
        <v>14</v>
      </c>
      <c r="C526" s="8">
        <v>44971.0</v>
      </c>
      <c r="D526" s="8">
        <v>44999.0</v>
      </c>
      <c r="E526" s="8">
        <v>44976.0</v>
      </c>
      <c r="F526" s="8">
        <v>44977.0</v>
      </c>
      <c r="G526" s="6">
        <v>19.0</v>
      </c>
      <c r="H526" s="9">
        <v>7.3</v>
      </c>
      <c r="I526" s="10">
        <v>12.0</v>
      </c>
      <c r="J526" s="11">
        <v>0.1</v>
      </c>
      <c r="K526" s="9">
        <v>14.68</v>
      </c>
      <c r="L526" s="7" t="s">
        <v>15</v>
      </c>
    </row>
    <row r="527" ht="15.75" customHeight="1">
      <c r="A527" s="6">
        <v>10446.0</v>
      </c>
      <c r="B527" s="7" t="s">
        <v>14</v>
      </c>
      <c r="C527" s="8">
        <v>44971.0</v>
      </c>
      <c r="D527" s="8">
        <v>44999.0</v>
      </c>
      <c r="E527" s="8">
        <v>44976.0</v>
      </c>
      <c r="F527" s="8">
        <v>44977.0</v>
      </c>
      <c r="G527" s="6">
        <v>24.0</v>
      </c>
      <c r="H527" s="9">
        <v>3.6</v>
      </c>
      <c r="I527" s="10">
        <v>20.0</v>
      </c>
      <c r="J527" s="11">
        <v>0.1</v>
      </c>
      <c r="K527" s="9">
        <v>14.68</v>
      </c>
      <c r="L527" s="7" t="s">
        <v>15</v>
      </c>
    </row>
    <row r="528" ht="15.75" customHeight="1">
      <c r="A528" s="6">
        <v>10446.0</v>
      </c>
      <c r="B528" s="7" t="s">
        <v>14</v>
      </c>
      <c r="C528" s="8">
        <v>44971.0</v>
      </c>
      <c r="D528" s="8">
        <v>44999.0</v>
      </c>
      <c r="E528" s="8">
        <v>44976.0</v>
      </c>
      <c r="F528" s="8">
        <v>44977.0</v>
      </c>
      <c r="G528" s="6">
        <v>31.0</v>
      </c>
      <c r="H528" s="9">
        <v>10.0</v>
      </c>
      <c r="I528" s="10">
        <v>3.0</v>
      </c>
      <c r="J528" s="11">
        <v>0.1</v>
      </c>
      <c r="K528" s="9">
        <v>14.68</v>
      </c>
      <c r="L528" s="7" t="s">
        <v>15</v>
      </c>
    </row>
    <row r="529" ht="15.75" customHeight="1">
      <c r="A529" s="6">
        <v>10446.0</v>
      </c>
      <c r="B529" s="7" t="s">
        <v>14</v>
      </c>
      <c r="C529" s="8">
        <v>44971.0</v>
      </c>
      <c r="D529" s="8">
        <v>44999.0</v>
      </c>
      <c r="E529" s="8">
        <v>44976.0</v>
      </c>
      <c r="F529" s="8">
        <v>44977.0</v>
      </c>
      <c r="G529" s="6">
        <v>52.0</v>
      </c>
      <c r="H529" s="9">
        <v>5.6</v>
      </c>
      <c r="I529" s="10">
        <v>15.0</v>
      </c>
      <c r="J529" s="11">
        <v>0.1</v>
      </c>
      <c r="K529" s="9">
        <v>14.68</v>
      </c>
      <c r="L529" s="7" t="s">
        <v>15</v>
      </c>
    </row>
    <row r="530" ht="15.75" customHeight="1">
      <c r="A530" s="6">
        <v>10447.0</v>
      </c>
      <c r="B530" s="7" t="s">
        <v>44</v>
      </c>
      <c r="C530" s="8">
        <v>44971.0</v>
      </c>
      <c r="D530" s="8">
        <v>44999.0</v>
      </c>
      <c r="E530" s="8">
        <v>44992.0</v>
      </c>
      <c r="F530" s="8">
        <v>45009.0</v>
      </c>
      <c r="G530" s="6">
        <v>19.0</v>
      </c>
      <c r="H530" s="9">
        <v>7.3</v>
      </c>
      <c r="I530" s="10">
        <v>40.0</v>
      </c>
      <c r="J530" s="11">
        <v>0.0</v>
      </c>
      <c r="K530" s="9">
        <v>68.66</v>
      </c>
      <c r="L530" s="7" t="s">
        <v>17</v>
      </c>
    </row>
    <row r="531" ht="15.75" customHeight="1">
      <c r="A531" s="6">
        <v>10447.0</v>
      </c>
      <c r="B531" s="7" t="s">
        <v>44</v>
      </c>
      <c r="C531" s="8">
        <v>44971.0</v>
      </c>
      <c r="D531" s="8">
        <v>44999.0</v>
      </c>
      <c r="E531" s="8">
        <v>44992.0</v>
      </c>
      <c r="F531" s="8">
        <v>45009.0</v>
      </c>
      <c r="G531" s="6">
        <v>65.0</v>
      </c>
      <c r="H531" s="9">
        <v>16.8</v>
      </c>
      <c r="I531" s="10">
        <v>35.0</v>
      </c>
      <c r="J531" s="11">
        <v>0.0</v>
      </c>
      <c r="K531" s="9">
        <v>68.66</v>
      </c>
      <c r="L531" s="7" t="s">
        <v>17</v>
      </c>
    </row>
    <row r="532" ht="15.75" customHeight="1">
      <c r="A532" s="6">
        <v>10447.0</v>
      </c>
      <c r="B532" s="7" t="s">
        <v>44</v>
      </c>
      <c r="C532" s="8">
        <v>44971.0</v>
      </c>
      <c r="D532" s="8">
        <v>44999.0</v>
      </c>
      <c r="E532" s="8">
        <v>44992.0</v>
      </c>
      <c r="F532" s="8">
        <v>45009.0</v>
      </c>
      <c r="G532" s="6">
        <v>71.0</v>
      </c>
      <c r="H532" s="9">
        <v>17.2</v>
      </c>
      <c r="I532" s="10">
        <v>2.0</v>
      </c>
      <c r="J532" s="11">
        <v>0.0</v>
      </c>
      <c r="K532" s="9">
        <v>68.66</v>
      </c>
      <c r="L532" s="7" t="s">
        <v>17</v>
      </c>
    </row>
    <row r="533" ht="15.75" customHeight="1">
      <c r="A533" s="6">
        <v>10448.0</v>
      </c>
      <c r="B533" s="7" t="s">
        <v>88</v>
      </c>
      <c r="C533" s="8">
        <v>44974.0</v>
      </c>
      <c r="D533" s="8">
        <v>45002.0</v>
      </c>
      <c r="E533" s="8">
        <v>44981.0</v>
      </c>
      <c r="F533" s="8">
        <v>44995.0</v>
      </c>
      <c r="G533" s="6">
        <v>26.0</v>
      </c>
      <c r="H533" s="9">
        <v>24.9</v>
      </c>
      <c r="I533" s="10">
        <v>6.0</v>
      </c>
      <c r="J533" s="11">
        <v>0.0</v>
      </c>
      <c r="K533" s="9">
        <v>38.82</v>
      </c>
      <c r="L533" s="7" t="s">
        <v>17</v>
      </c>
    </row>
    <row r="534" ht="15.75" customHeight="1">
      <c r="A534" s="6">
        <v>10448.0</v>
      </c>
      <c r="B534" s="7" t="s">
        <v>88</v>
      </c>
      <c r="C534" s="8">
        <v>44974.0</v>
      </c>
      <c r="D534" s="8">
        <v>45002.0</v>
      </c>
      <c r="E534" s="8">
        <v>44981.0</v>
      </c>
      <c r="F534" s="8">
        <v>44995.0</v>
      </c>
      <c r="G534" s="6">
        <v>40.0</v>
      </c>
      <c r="H534" s="9">
        <v>14.7</v>
      </c>
      <c r="I534" s="10">
        <v>20.0</v>
      </c>
      <c r="J534" s="11">
        <v>0.0</v>
      </c>
      <c r="K534" s="9">
        <v>38.82</v>
      </c>
      <c r="L534" s="7" t="s">
        <v>17</v>
      </c>
    </row>
    <row r="535" ht="15.75" customHeight="1">
      <c r="A535" s="6">
        <v>10449.0</v>
      </c>
      <c r="B535" s="7" t="s">
        <v>30</v>
      </c>
      <c r="C535" s="8">
        <v>44975.0</v>
      </c>
      <c r="D535" s="8">
        <v>45003.0</v>
      </c>
      <c r="E535" s="8">
        <v>44984.0</v>
      </c>
      <c r="F535" s="8">
        <v>44994.0</v>
      </c>
      <c r="G535" s="6">
        <v>10.0</v>
      </c>
      <c r="H535" s="9">
        <v>24.8</v>
      </c>
      <c r="I535" s="10">
        <v>14.0</v>
      </c>
      <c r="J535" s="11">
        <v>0.0</v>
      </c>
      <c r="K535" s="9">
        <v>53.3</v>
      </c>
      <c r="L535" s="7" t="s">
        <v>17</v>
      </c>
    </row>
    <row r="536" ht="15.75" customHeight="1">
      <c r="A536" s="6">
        <v>10449.0</v>
      </c>
      <c r="B536" s="7" t="s">
        <v>30</v>
      </c>
      <c r="C536" s="8">
        <v>44975.0</v>
      </c>
      <c r="D536" s="8">
        <v>45003.0</v>
      </c>
      <c r="E536" s="8">
        <v>44984.0</v>
      </c>
      <c r="F536" s="8">
        <v>44994.0</v>
      </c>
      <c r="G536" s="6">
        <v>52.0</v>
      </c>
      <c r="H536" s="9">
        <v>5.6</v>
      </c>
      <c r="I536" s="10">
        <v>20.0</v>
      </c>
      <c r="J536" s="11">
        <v>0.0</v>
      </c>
      <c r="K536" s="9">
        <v>53.3</v>
      </c>
      <c r="L536" s="7" t="s">
        <v>17</v>
      </c>
    </row>
    <row r="537" ht="15.75" customHeight="1">
      <c r="A537" s="6">
        <v>10449.0</v>
      </c>
      <c r="B537" s="7" t="s">
        <v>30</v>
      </c>
      <c r="C537" s="8">
        <v>44975.0</v>
      </c>
      <c r="D537" s="8">
        <v>45003.0</v>
      </c>
      <c r="E537" s="8">
        <v>44984.0</v>
      </c>
      <c r="F537" s="8">
        <v>44994.0</v>
      </c>
      <c r="G537" s="6">
        <v>62.0</v>
      </c>
      <c r="H537" s="9">
        <v>39.4</v>
      </c>
      <c r="I537" s="10">
        <v>35.0</v>
      </c>
      <c r="J537" s="11">
        <v>0.0</v>
      </c>
      <c r="K537" s="9">
        <v>53.3</v>
      </c>
      <c r="L537" s="7" t="s">
        <v>17</v>
      </c>
    </row>
    <row r="538" ht="15.75" customHeight="1">
      <c r="A538" s="6">
        <v>10450.0</v>
      </c>
      <c r="B538" s="7" t="s">
        <v>18</v>
      </c>
      <c r="C538" s="8">
        <v>44976.0</v>
      </c>
      <c r="D538" s="8">
        <v>45004.0</v>
      </c>
      <c r="E538" s="8">
        <v>44996.0</v>
      </c>
      <c r="F538" s="8">
        <v>45004.0</v>
      </c>
      <c r="G538" s="6">
        <v>10.0</v>
      </c>
      <c r="H538" s="9">
        <v>24.8</v>
      </c>
      <c r="I538" s="10">
        <v>20.0</v>
      </c>
      <c r="J538" s="11">
        <v>0.2</v>
      </c>
      <c r="K538" s="9">
        <v>7.23</v>
      </c>
      <c r="L538" s="7" t="s">
        <v>17</v>
      </c>
    </row>
    <row r="539" ht="15.75" customHeight="1">
      <c r="A539" s="6">
        <v>10450.0</v>
      </c>
      <c r="B539" s="7" t="s">
        <v>18</v>
      </c>
      <c r="C539" s="8">
        <v>44976.0</v>
      </c>
      <c r="D539" s="8">
        <v>45004.0</v>
      </c>
      <c r="E539" s="8">
        <v>44996.0</v>
      </c>
      <c r="F539" s="8">
        <v>45004.0</v>
      </c>
      <c r="G539" s="6">
        <v>54.0</v>
      </c>
      <c r="H539" s="9">
        <v>5.9</v>
      </c>
      <c r="I539" s="10">
        <v>6.0</v>
      </c>
      <c r="J539" s="11">
        <v>0.2</v>
      </c>
      <c r="K539" s="9">
        <v>7.23</v>
      </c>
      <c r="L539" s="7" t="s">
        <v>17</v>
      </c>
    </row>
    <row r="540" ht="15.75" customHeight="1">
      <c r="A540" s="6">
        <v>10451.0</v>
      </c>
      <c r="B540" s="7" t="s">
        <v>36</v>
      </c>
      <c r="C540" s="8">
        <v>44976.0</v>
      </c>
      <c r="D540" s="8">
        <v>44990.0</v>
      </c>
      <c r="E540" s="8">
        <v>44997.0</v>
      </c>
      <c r="F540" s="8">
        <v>45001.0</v>
      </c>
      <c r="G540" s="6">
        <v>55.0</v>
      </c>
      <c r="H540" s="9">
        <v>19.2</v>
      </c>
      <c r="I540" s="10">
        <v>120.0</v>
      </c>
      <c r="J540" s="11">
        <v>0.1</v>
      </c>
      <c r="K540" s="9">
        <v>189.09</v>
      </c>
      <c r="L540" s="7" t="s">
        <v>13</v>
      </c>
    </row>
    <row r="541" ht="15.75" customHeight="1">
      <c r="A541" s="6">
        <v>10451.0</v>
      </c>
      <c r="B541" s="7" t="s">
        <v>36</v>
      </c>
      <c r="C541" s="8">
        <v>44976.0</v>
      </c>
      <c r="D541" s="8">
        <v>44990.0</v>
      </c>
      <c r="E541" s="8">
        <v>44997.0</v>
      </c>
      <c r="F541" s="8">
        <v>45001.0</v>
      </c>
      <c r="G541" s="6">
        <v>64.0</v>
      </c>
      <c r="H541" s="9">
        <v>26.6</v>
      </c>
      <c r="I541" s="10">
        <v>35.0</v>
      </c>
      <c r="J541" s="11">
        <v>0.1</v>
      </c>
      <c r="K541" s="9">
        <v>189.09</v>
      </c>
      <c r="L541" s="7" t="s">
        <v>13</v>
      </c>
    </row>
    <row r="542" ht="15.75" customHeight="1">
      <c r="A542" s="6">
        <v>10451.0</v>
      </c>
      <c r="B542" s="7" t="s">
        <v>36</v>
      </c>
      <c r="C542" s="8">
        <v>44976.0</v>
      </c>
      <c r="D542" s="8">
        <v>44990.0</v>
      </c>
      <c r="E542" s="8">
        <v>44997.0</v>
      </c>
      <c r="F542" s="8">
        <v>45001.0</v>
      </c>
      <c r="G542" s="6">
        <v>65.0</v>
      </c>
      <c r="H542" s="9">
        <v>16.8</v>
      </c>
      <c r="I542" s="10">
        <v>28.0</v>
      </c>
      <c r="J542" s="11">
        <v>0.1</v>
      </c>
      <c r="K542" s="9">
        <v>189.09</v>
      </c>
      <c r="L542" s="7" t="s">
        <v>13</v>
      </c>
    </row>
    <row r="543" ht="15.75" customHeight="1">
      <c r="A543" s="6">
        <v>10451.0</v>
      </c>
      <c r="B543" s="7" t="s">
        <v>36</v>
      </c>
      <c r="C543" s="8">
        <v>44976.0</v>
      </c>
      <c r="D543" s="8">
        <v>44990.0</v>
      </c>
      <c r="E543" s="8">
        <v>44997.0</v>
      </c>
      <c r="F543" s="8">
        <v>45001.0</v>
      </c>
      <c r="G543" s="6">
        <v>77.0</v>
      </c>
      <c r="H543" s="9">
        <v>10.4</v>
      </c>
      <c r="I543" s="10">
        <v>55.0</v>
      </c>
      <c r="J543" s="11">
        <v>0.1</v>
      </c>
      <c r="K543" s="9">
        <v>189.09</v>
      </c>
      <c r="L543" s="7" t="s">
        <v>13</v>
      </c>
    </row>
    <row r="544" ht="15.75" customHeight="1">
      <c r="A544" s="6">
        <v>10452.0</v>
      </c>
      <c r="B544" s="7" t="s">
        <v>60</v>
      </c>
      <c r="C544" s="8">
        <v>44977.0</v>
      </c>
      <c r="D544" s="8">
        <v>45005.0</v>
      </c>
      <c r="E544" s="8">
        <v>44983.0</v>
      </c>
      <c r="F544" s="8">
        <v>44996.0</v>
      </c>
      <c r="G544" s="6">
        <v>28.0</v>
      </c>
      <c r="H544" s="9">
        <v>36.4</v>
      </c>
      <c r="I544" s="10">
        <v>15.0</v>
      </c>
      <c r="J544" s="11">
        <v>0.0</v>
      </c>
      <c r="K544" s="9">
        <v>140.26</v>
      </c>
      <c r="L544" s="7" t="s">
        <v>15</v>
      </c>
    </row>
    <row r="545" ht="15.75" customHeight="1">
      <c r="A545" s="6">
        <v>10452.0</v>
      </c>
      <c r="B545" s="7" t="s">
        <v>60</v>
      </c>
      <c r="C545" s="8">
        <v>44977.0</v>
      </c>
      <c r="D545" s="8">
        <v>45005.0</v>
      </c>
      <c r="E545" s="8">
        <v>44983.0</v>
      </c>
      <c r="F545" s="8">
        <v>44996.0</v>
      </c>
      <c r="G545" s="6">
        <v>44.0</v>
      </c>
      <c r="H545" s="9">
        <v>15.5</v>
      </c>
      <c r="I545" s="10">
        <v>100.0</v>
      </c>
      <c r="J545" s="11">
        <v>0.05</v>
      </c>
      <c r="K545" s="9">
        <v>140.26</v>
      </c>
      <c r="L545" s="7" t="s">
        <v>15</v>
      </c>
    </row>
    <row r="546" ht="15.75" customHeight="1">
      <c r="A546" s="6">
        <v>10453.0</v>
      </c>
      <c r="B546" s="7" t="s">
        <v>70</v>
      </c>
      <c r="C546" s="8">
        <v>44978.0</v>
      </c>
      <c r="D546" s="8">
        <v>45006.0</v>
      </c>
      <c r="E546" s="8">
        <v>44983.0</v>
      </c>
      <c r="F546" s="8">
        <v>44990.0</v>
      </c>
      <c r="G546" s="6">
        <v>48.0</v>
      </c>
      <c r="H546" s="9">
        <v>10.2</v>
      </c>
      <c r="I546" s="10">
        <v>15.0</v>
      </c>
      <c r="J546" s="11">
        <v>0.1</v>
      </c>
      <c r="K546" s="9">
        <v>25.36</v>
      </c>
      <c r="L546" s="7" t="s">
        <v>17</v>
      </c>
    </row>
    <row r="547" ht="15.75" customHeight="1">
      <c r="A547" s="6">
        <v>10453.0</v>
      </c>
      <c r="B547" s="7" t="s">
        <v>70</v>
      </c>
      <c r="C547" s="8">
        <v>44978.0</v>
      </c>
      <c r="D547" s="8">
        <v>45006.0</v>
      </c>
      <c r="E547" s="8">
        <v>44983.0</v>
      </c>
      <c r="F547" s="8">
        <v>44990.0</v>
      </c>
      <c r="G547" s="6">
        <v>70.0</v>
      </c>
      <c r="H547" s="9">
        <v>12.0</v>
      </c>
      <c r="I547" s="10">
        <v>25.0</v>
      </c>
      <c r="J547" s="11">
        <v>0.1</v>
      </c>
      <c r="K547" s="9">
        <v>25.36</v>
      </c>
      <c r="L547" s="7" t="s">
        <v>17</v>
      </c>
    </row>
    <row r="548" ht="15.75" customHeight="1">
      <c r="A548" s="6">
        <v>10454.0</v>
      </c>
      <c r="B548" s="7" t="s">
        <v>68</v>
      </c>
      <c r="C548" s="8">
        <v>44978.0</v>
      </c>
      <c r="D548" s="8">
        <v>45006.0</v>
      </c>
      <c r="E548" s="8">
        <v>44982.0</v>
      </c>
      <c r="F548" s="8">
        <v>44991.0</v>
      </c>
      <c r="G548" s="6">
        <v>16.0</v>
      </c>
      <c r="H548" s="9">
        <v>13.9</v>
      </c>
      <c r="I548" s="10">
        <v>20.0</v>
      </c>
      <c r="J548" s="11">
        <v>0.2</v>
      </c>
      <c r="K548" s="9">
        <v>2.74</v>
      </c>
      <c r="L548" s="7" t="s">
        <v>13</v>
      </c>
    </row>
    <row r="549" ht="15.75" customHeight="1">
      <c r="A549" s="6">
        <v>10454.0</v>
      </c>
      <c r="B549" s="7" t="s">
        <v>68</v>
      </c>
      <c r="C549" s="8">
        <v>44978.0</v>
      </c>
      <c r="D549" s="8">
        <v>45006.0</v>
      </c>
      <c r="E549" s="8">
        <v>44982.0</v>
      </c>
      <c r="F549" s="8">
        <v>44991.0</v>
      </c>
      <c r="G549" s="6">
        <v>33.0</v>
      </c>
      <c r="H549" s="9">
        <v>2.0</v>
      </c>
      <c r="I549" s="10">
        <v>20.0</v>
      </c>
      <c r="J549" s="11">
        <v>0.2</v>
      </c>
      <c r="K549" s="9">
        <v>2.74</v>
      </c>
      <c r="L549" s="7" t="s">
        <v>13</v>
      </c>
    </row>
    <row r="550" ht="15.75" customHeight="1">
      <c r="A550" s="6">
        <v>10454.0</v>
      </c>
      <c r="B550" s="7" t="s">
        <v>68</v>
      </c>
      <c r="C550" s="8">
        <v>44978.0</v>
      </c>
      <c r="D550" s="8">
        <v>45006.0</v>
      </c>
      <c r="E550" s="8">
        <v>44982.0</v>
      </c>
      <c r="F550" s="8">
        <v>44991.0</v>
      </c>
      <c r="G550" s="6">
        <v>46.0</v>
      </c>
      <c r="H550" s="9">
        <v>9.6</v>
      </c>
      <c r="I550" s="10">
        <v>10.0</v>
      </c>
      <c r="J550" s="11">
        <v>0.2</v>
      </c>
      <c r="K550" s="9">
        <v>2.74</v>
      </c>
      <c r="L550" s="7" t="s">
        <v>13</v>
      </c>
    </row>
    <row r="551" ht="15.75" customHeight="1">
      <c r="A551" s="6">
        <v>10455.0</v>
      </c>
      <c r="B551" s="7" t="s">
        <v>31</v>
      </c>
      <c r="C551" s="8">
        <v>44981.0</v>
      </c>
      <c r="D551" s="8">
        <v>45023.0</v>
      </c>
      <c r="E551" s="8">
        <v>44988.0</v>
      </c>
      <c r="F551" s="8">
        <v>45002.0</v>
      </c>
      <c r="G551" s="6">
        <v>39.0</v>
      </c>
      <c r="H551" s="9">
        <v>14.4</v>
      </c>
      <c r="I551" s="10">
        <v>20.0</v>
      </c>
      <c r="J551" s="11">
        <v>0.0</v>
      </c>
      <c r="K551" s="9">
        <v>180.45</v>
      </c>
      <c r="L551" s="7" t="s">
        <v>17</v>
      </c>
    </row>
    <row r="552" ht="15.75" customHeight="1">
      <c r="A552" s="6">
        <v>10455.0</v>
      </c>
      <c r="B552" s="7" t="s">
        <v>31</v>
      </c>
      <c r="C552" s="8">
        <v>44981.0</v>
      </c>
      <c r="D552" s="8">
        <v>45023.0</v>
      </c>
      <c r="E552" s="8">
        <v>44988.0</v>
      </c>
      <c r="F552" s="8">
        <v>45002.0</v>
      </c>
      <c r="G552" s="6">
        <v>53.0</v>
      </c>
      <c r="H552" s="9">
        <v>26.2</v>
      </c>
      <c r="I552" s="10">
        <v>50.0</v>
      </c>
      <c r="J552" s="11">
        <v>0.0</v>
      </c>
      <c r="K552" s="9">
        <v>180.45</v>
      </c>
      <c r="L552" s="7" t="s">
        <v>17</v>
      </c>
    </row>
    <row r="553" ht="15.75" customHeight="1">
      <c r="A553" s="6">
        <v>10455.0</v>
      </c>
      <c r="B553" s="7" t="s">
        <v>31</v>
      </c>
      <c r="C553" s="8">
        <v>44981.0</v>
      </c>
      <c r="D553" s="8">
        <v>45023.0</v>
      </c>
      <c r="E553" s="8">
        <v>44988.0</v>
      </c>
      <c r="F553" s="8">
        <v>45002.0</v>
      </c>
      <c r="G553" s="6">
        <v>61.0</v>
      </c>
      <c r="H553" s="9">
        <v>22.8</v>
      </c>
      <c r="I553" s="10">
        <v>25.0</v>
      </c>
      <c r="J553" s="11">
        <v>0.0</v>
      </c>
      <c r="K553" s="9">
        <v>180.45</v>
      </c>
      <c r="L553" s="7" t="s">
        <v>17</v>
      </c>
    </row>
    <row r="554" ht="15.75" customHeight="1">
      <c r="A554" s="6">
        <v>10455.0</v>
      </c>
      <c r="B554" s="7" t="s">
        <v>31</v>
      </c>
      <c r="C554" s="8">
        <v>44981.0</v>
      </c>
      <c r="D554" s="8">
        <v>45023.0</v>
      </c>
      <c r="E554" s="8">
        <v>44988.0</v>
      </c>
      <c r="F554" s="8">
        <v>45002.0</v>
      </c>
      <c r="G554" s="6">
        <v>71.0</v>
      </c>
      <c r="H554" s="9">
        <v>17.2</v>
      </c>
      <c r="I554" s="10">
        <v>30.0</v>
      </c>
      <c r="J554" s="11">
        <v>0.0</v>
      </c>
      <c r="K554" s="9">
        <v>180.45</v>
      </c>
      <c r="L554" s="7" t="s">
        <v>17</v>
      </c>
    </row>
    <row r="555" ht="15.75" customHeight="1">
      <c r="A555" s="6">
        <v>10456.0</v>
      </c>
      <c r="B555" s="7" t="s">
        <v>59</v>
      </c>
      <c r="C555" s="8">
        <v>44982.0</v>
      </c>
      <c r="D555" s="8">
        <v>45024.0</v>
      </c>
      <c r="E555" s="8">
        <v>44985.0</v>
      </c>
      <c r="F555" s="8">
        <v>44994.0</v>
      </c>
      <c r="G555" s="6">
        <v>21.0</v>
      </c>
      <c r="H555" s="9">
        <v>8.0</v>
      </c>
      <c r="I555" s="10">
        <v>40.0</v>
      </c>
      <c r="J555" s="11">
        <v>0.15</v>
      </c>
      <c r="K555" s="9">
        <v>8.12</v>
      </c>
      <c r="L555" s="7" t="s">
        <v>17</v>
      </c>
    </row>
    <row r="556" ht="15.75" customHeight="1">
      <c r="A556" s="6">
        <v>10456.0</v>
      </c>
      <c r="B556" s="7" t="s">
        <v>59</v>
      </c>
      <c r="C556" s="8">
        <v>44982.0</v>
      </c>
      <c r="D556" s="8">
        <v>45024.0</v>
      </c>
      <c r="E556" s="8">
        <v>44985.0</v>
      </c>
      <c r="F556" s="8">
        <v>44994.0</v>
      </c>
      <c r="G556" s="6">
        <v>49.0</v>
      </c>
      <c r="H556" s="9">
        <v>16.0</v>
      </c>
      <c r="I556" s="10">
        <v>21.0</v>
      </c>
      <c r="J556" s="11">
        <v>0.15</v>
      </c>
      <c r="K556" s="9">
        <v>8.12</v>
      </c>
      <c r="L556" s="7" t="s">
        <v>17</v>
      </c>
    </row>
    <row r="557" ht="15.75" customHeight="1">
      <c r="A557" s="6">
        <v>10457.0</v>
      </c>
      <c r="B557" s="7" t="s">
        <v>59</v>
      </c>
      <c r="C557" s="8">
        <v>44982.0</v>
      </c>
      <c r="D557" s="8">
        <v>45010.0</v>
      </c>
      <c r="E557" s="8">
        <v>44988.0</v>
      </c>
      <c r="F557" s="8">
        <v>44993.0</v>
      </c>
      <c r="G557" s="6">
        <v>59.0</v>
      </c>
      <c r="H557" s="9">
        <v>44.0</v>
      </c>
      <c r="I557" s="10">
        <v>36.0</v>
      </c>
      <c r="J557" s="11">
        <v>0.0</v>
      </c>
      <c r="K557" s="9">
        <v>11.57</v>
      </c>
      <c r="L557" s="7" t="s">
        <v>15</v>
      </c>
    </row>
    <row r="558" ht="15.75" customHeight="1">
      <c r="A558" s="6">
        <v>10458.0</v>
      </c>
      <c r="B558" s="7" t="s">
        <v>19</v>
      </c>
      <c r="C558" s="8">
        <v>44983.0</v>
      </c>
      <c r="D558" s="8">
        <v>45011.0</v>
      </c>
      <c r="E558" s="8">
        <v>44989.0</v>
      </c>
      <c r="F558" s="8">
        <v>45000.0</v>
      </c>
      <c r="G558" s="6">
        <v>26.0</v>
      </c>
      <c r="H558" s="9">
        <v>24.9</v>
      </c>
      <c r="I558" s="10">
        <v>30.0</v>
      </c>
      <c r="J558" s="11">
        <v>0.0</v>
      </c>
      <c r="K558" s="9">
        <v>147.06</v>
      </c>
      <c r="L558" s="7" t="s">
        <v>13</v>
      </c>
    </row>
    <row r="559" ht="15.75" customHeight="1">
      <c r="A559" s="6">
        <v>10458.0</v>
      </c>
      <c r="B559" s="7" t="s">
        <v>19</v>
      </c>
      <c r="C559" s="8">
        <v>44983.0</v>
      </c>
      <c r="D559" s="8">
        <v>45011.0</v>
      </c>
      <c r="E559" s="8">
        <v>44989.0</v>
      </c>
      <c r="F559" s="8">
        <v>45000.0</v>
      </c>
      <c r="G559" s="6">
        <v>28.0</v>
      </c>
      <c r="H559" s="9">
        <v>36.4</v>
      </c>
      <c r="I559" s="10">
        <v>30.0</v>
      </c>
      <c r="J559" s="11">
        <v>0.0</v>
      </c>
      <c r="K559" s="9">
        <v>147.06</v>
      </c>
      <c r="L559" s="7" t="s">
        <v>13</v>
      </c>
    </row>
    <row r="560" ht="15.75" customHeight="1">
      <c r="A560" s="6">
        <v>10458.0</v>
      </c>
      <c r="B560" s="7" t="s">
        <v>19</v>
      </c>
      <c r="C560" s="8">
        <v>44983.0</v>
      </c>
      <c r="D560" s="8">
        <v>45011.0</v>
      </c>
      <c r="E560" s="8">
        <v>44989.0</v>
      </c>
      <c r="F560" s="8">
        <v>45000.0</v>
      </c>
      <c r="G560" s="6">
        <v>43.0</v>
      </c>
      <c r="H560" s="9">
        <v>36.8</v>
      </c>
      <c r="I560" s="10">
        <v>20.0</v>
      </c>
      <c r="J560" s="11">
        <v>0.0</v>
      </c>
      <c r="K560" s="9">
        <v>147.06</v>
      </c>
      <c r="L560" s="7" t="s">
        <v>13</v>
      </c>
    </row>
    <row r="561" ht="15.75" customHeight="1">
      <c r="A561" s="6">
        <v>10458.0</v>
      </c>
      <c r="B561" s="7" t="s">
        <v>19</v>
      </c>
      <c r="C561" s="8">
        <v>44983.0</v>
      </c>
      <c r="D561" s="8">
        <v>45011.0</v>
      </c>
      <c r="E561" s="8">
        <v>44989.0</v>
      </c>
      <c r="F561" s="8">
        <v>45000.0</v>
      </c>
      <c r="G561" s="6">
        <v>56.0</v>
      </c>
      <c r="H561" s="9">
        <v>30.4</v>
      </c>
      <c r="I561" s="10">
        <v>15.0</v>
      </c>
      <c r="J561" s="11">
        <v>0.0</v>
      </c>
      <c r="K561" s="9">
        <v>147.06</v>
      </c>
      <c r="L561" s="7" t="s">
        <v>13</v>
      </c>
    </row>
    <row r="562" ht="15.75" customHeight="1">
      <c r="A562" s="6">
        <v>10458.0</v>
      </c>
      <c r="B562" s="7" t="s">
        <v>19</v>
      </c>
      <c r="C562" s="8">
        <v>44983.0</v>
      </c>
      <c r="D562" s="8">
        <v>45011.0</v>
      </c>
      <c r="E562" s="8">
        <v>44989.0</v>
      </c>
      <c r="F562" s="8">
        <v>45000.0</v>
      </c>
      <c r="G562" s="6">
        <v>71.0</v>
      </c>
      <c r="H562" s="9">
        <v>17.2</v>
      </c>
      <c r="I562" s="10">
        <v>50.0</v>
      </c>
      <c r="J562" s="11">
        <v>0.0</v>
      </c>
      <c r="K562" s="9">
        <v>147.06</v>
      </c>
      <c r="L562" s="7" t="s">
        <v>13</v>
      </c>
    </row>
    <row r="563" ht="15.75" customHeight="1">
      <c r="A563" s="6">
        <v>10459.0</v>
      </c>
      <c r="B563" s="7" t="s">
        <v>18</v>
      </c>
      <c r="C563" s="8">
        <v>44984.0</v>
      </c>
      <c r="D563" s="8">
        <v>45012.0</v>
      </c>
      <c r="E563" s="8">
        <v>44985.0</v>
      </c>
      <c r="F563" s="8">
        <v>44993.0</v>
      </c>
      <c r="G563" s="6">
        <v>7.0</v>
      </c>
      <c r="H563" s="9">
        <v>24.0</v>
      </c>
      <c r="I563" s="10">
        <v>16.0</v>
      </c>
      <c r="J563" s="11">
        <v>0.05</v>
      </c>
      <c r="K563" s="9">
        <v>25.09</v>
      </c>
      <c r="L563" s="7" t="s">
        <v>17</v>
      </c>
    </row>
    <row r="564" ht="15.75" customHeight="1">
      <c r="A564" s="6">
        <v>10459.0</v>
      </c>
      <c r="B564" s="7" t="s">
        <v>18</v>
      </c>
      <c r="C564" s="8">
        <v>44984.0</v>
      </c>
      <c r="D564" s="8">
        <v>45012.0</v>
      </c>
      <c r="E564" s="8">
        <v>44985.0</v>
      </c>
      <c r="F564" s="8">
        <v>44993.0</v>
      </c>
      <c r="G564" s="6">
        <v>46.0</v>
      </c>
      <c r="H564" s="9">
        <v>9.6</v>
      </c>
      <c r="I564" s="10">
        <v>20.0</v>
      </c>
      <c r="J564" s="11">
        <v>0.05</v>
      </c>
      <c r="K564" s="9">
        <v>25.09</v>
      </c>
      <c r="L564" s="7" t="s">
        <v>17</v>
      </c>
    </row>
    <row r="565" ht="15.75" customHeight="1">
      <c r="A565" s="6">
        <v>10459.0</v>
      </c>
      <c r="B565" s="7" t="s">
        <v>18</v>
      </c>
      <c r="C565" s="8">
        <v>44984.0</v>
      </c>
      <c r="D565" s="8">
        <v>45012.0</v>
      </c>
      <c r="E565" s="8">
        <v>44985.0</v>
      </c>
      <c r="F565" s="8">
        <v>44993.0</v>
      </c>
      <c r="G565" s="6">
        <v>72.0</v>
      </c>
      <c r="H565" s="9">
        <v>27.8</v>
      </c>
      <c r="I565" s="10">
        <v>40.0</v>
      </c>
      <c r="J565" s="11">
        <v>0.0</v>
      </c>
      <c r="K565" s="9">
        <v>25.09</v>
      </c>
      <c r="L565" s="7" t="s">
        <v>17</v>
      </c>
    </row>
    <row r="566" ht="15.75" customHeight="1">
      <c r="A566" s="6">
        <v>10460.0</v>
      </c>
      <c r="B566" s="7" t="s">
        <v>29</v>
      </c>
      <c r="C566" s="8">
        <v>44985.0</v>
      </c>
      <c r="D566" s="8">
        <v>45013.0</v>
      </c>
      <c r="E566" s="8">
        <v>44988.0</v>
      </c>
      <c r="F566" s="8">
        <v>44995.0</v>
      </c>
      <c r="G566" s="6">
        <v>68.0</v>
      </c>
      <c r="H566" s="9">
        <v>10.0</v>
      </c>
      <c r="I566" s="10">
        <v>21.0</v>
      </c>
      <c r="J566" s="11">
        <v>0.25</v>
      </c>
      <c r="K566" s="9">
        <v>16.27</v>
      </c>
      <c r="L566" s="7" t="s">
        <v>15</v>
      </c>
    </row>
    <row r="567" ht="15.75" customHeight="1">
      <c r="A567" s="6">
        <v>10460.0</v>
      </c>
      <c r="B567" s="7" t="s">
        <v>29</v>
      </c>
      <c r="C567" s="8">
        <v>44985.0</v>
      </c>
      <c r="D567" s="8">
        <v>45013.0</v>
      </c>
      <c r="E567" s="8">
        <v>44988.0</v>
      </c>
      <c r="F567" s="8">
        <v>44995.0</v>
      </c>
      <c r="G567" s="6">
        <v>75.0</v>
      </c>
      <c r="H567" s="9">
        <v>6.2</v>
      </c>
      <c r="I567" s="10">
        <v>4.0</v>
      </c>
      <c r="J567" s="11">
        <v>0.25</v>
      </c>
      <c r="K567" s="9">
        <v>16.27</v>
      </c>
      <c r="L567" s="7" t="s">
        <v>15</v>
      </c>
    </row>
    <row r="568" ht="15.75" customHeight="1">
      <c r="A568" s="6">
        <v>10461.0</v>
      </c>
      <c r="B568" s="7" t="s">
        <v>43</v>
      </c>
      <c r="C568" s="8">
        <v>44985.0</v>
      </c>
      <c r="D568" s="8">
        <v>45013.0</v>
      </c>
      <c r="E568" s="8">
        <v>44990.0</v>
      </c>
      <c r="F568" s="8">
        <v>45004.0</v>
      </c>
      <c r="G568" s="6">
        <v>21.0</v>
      </c>
      <c r="H568" s="9">
        <v>8.0</v>
      </c>
      <c r="I568" s="10">
        <v>40.0</v>
      </c>
      <c r="J568" s="11">
        <v>0.25</v>
      </c>
      <c r="K568" s="9">
        <v>148.61</v>
      </c>
      <c r="L568" s="7" t="s">
        <v>13</v>
      </c>
    </row>
    <row r="569" ht="15.75" customHeight="1">
      <c r="A569" s="6">
        <v>10461.0</v>
      </c>
      <c r="B569" s="7" t="s">
        <v>43</v>
      </c>
      <c r="C569" s="8">
        <v>44985.0</v>
      </c>
      <c r="D569" s="8">
        <v>45013.0</v>
      </c>
      <c r="E569" s="8">
        <v>44990.0</v>
      </c>
      <c r="F569" s="8">
        <v>45004.0</v>
      </c>
      <c r="G569" s="6">
        <v>30.0</v>
      </c>
      <c r="H569" s="9">
        <v>20.7</v>
      </c>
      <c r="I569" s="10">
        <v>28.0</v>
      </c>
      <c r="J569" s="11">
        <v>0.25</v>
      </c>
      <c r="K569" s="9">
        <v>148.61</v>
      </c>
      <c r="L569" s="7" t="s">
        <v>13</v>
      </c>
    </row>
    <row r="570" ht="15.75" customHeight="1">
      <c r="A570" s="6">
        <v>10461.0</v>
      </c>
      <c r="B570" s="7" t="s">
        <v>43</v>
      </c>
      <c r="C570" s="8">
        <v>44985.0</v>
      </c>
      <c r="D570" s="8">
        <v>45013.0</v>
      </c>
      <c r="E570" s="8">
        <v>44990.0</v>
      </c>
      <c r="F570" s="8">
        <v>45004.0</v>
      </c>
      <c r="G570" s="6">
        <v>55.0</v>
      </c>
      <c r="H570" s="9">
        <v>19.2</v>
      </c>
      <c r="I570" s="10">
        <v>60.0</v>
      </c>
      <c r="J570" s="11">
        <v>0.25</v>
      </c>
      <c r="K570" s="9">
        <v>148.61</v>
      </c>
      <c r="L570" s="7" t="s">
        <v>13</v>
      </c>
    </row>
    <row r="571" ht="15.75" customHeight="1">
      <c r="A571" s="6">
        <v>10462.0</v>
      </c>
      <c r="B571" s="7" t="s">
        <v>87</v>
      </c>
      <c r="C571" s="8">
        <v>44988.0</v>
      </c>
      <c r="D571" s="8">
        <v>45016.0</v>
      </c>
      <c r="E571" s="8">
        <v>45003.0</v>
      </c>
      <c r="F571" s="8">
        <v>45006.0</v>
      </c>
      <c r="G571" s="6">
        <v>13.0</v>
      </c>
      <c r="H571" s="9">
        <v>4.8</v>
      </c>
      <c r="I571" s="10">
        <v>1.0</v>
      </c>
      <c r="J571" s="11">
        <v>0.0</v>
      </c>
      <c r="K571" s="9">
        <v>6.17</v>
      </c>
      <c r="L571" s="7" t="s">
        <v>15</v>
      </c>
    </row>
    <row r="572" ht="15.75" customHeight="1">
      <c r="A572" s="6">
        <v>10462.0</v>
      </c>
      <c r="B572" s="7" t="s">
        <v>87</v>
      </c>
      <c r="C572" s="8">
        <v>44988.0</v>
      </c>
      <c r="D572" s="8">
        <v>45016.0</v>
      </c>
      <c r="E572" s="8">
        <v>45003.0</v>
      </c>
      <c r="F572" s="8">
        <v>45006.0</v>
      </c>
      <c r="G572" s="6">
        <v>23.0</v>
      </c>
      <c r="H572" s="9">
        <v>7.2</v>
      </c>
      <c r="I572" s="10">
        <v>21.0</v>
      </c>
      <c r="J572" s="11">
        <v>0.0</v>
      </c>
      <c r="K572" s="9">
        <v>6.17</v>
      </c>
      <c r="L572" s="7" t="s">
        <v>15</v>
      </c>
    </row>
    <row r="573" ht="15.75" customHeight="1">
      <c r="A573" s="6">
        <v>10463.0</v>
      </c>
      <c r="B573" s="7" t="s">
        <v>19</v>
      </c>
      <c r="C573" s="8">
        <v>44989.0</v>
      </c>
      <c r="D573" s="8">
        <v>45017.0</v>
      </c>
      <c r="E573" s="8">
        <v>44991.0</v>
      </c>
      <c r="F573" s="8">
        <v>45001.0</v>
      </c>
      <c r="G573" s="6">
        <v>19.0</v>
      </c>
      <c r="H573" s="9">
        <v>7.3</v>
      </c>
      <c r="I573" s="10">
        <v>21.0</v>
      </c>
      <c r="J573" s="11">
        <v>0.0</v>
      </c>
      <c r="K573" s="9">
        <v>14.78</v>
      </c>
      <c r="L573" s="7" t="s">
        <v>13</v>
      </c>
    </row>
    <row r="574" ht="15.75" customHeight="1">
      <c r="A574" s="6">
        <v>10463.0</v>
      </c>
      <c r="B574" s="7" t="s">
        <v>19</v>
      </c>
      <c r="C574" s="8">
        <v>44989.0</v>
      </c>
      <c r="D574" s="8">
        <v>45017.0</v>
      </c>
      <c r="E574" s="8">
        <v>44991.0</v>
      </c>
      <c r="F574" s="8">
        <v>45001.0</v>
      </c>
      <c r="G574" s="6">
        <v>42.0</v>
      </c>
      <c r="H574" s="9">
        <v>11.2</v>
      </c>
      <c r="I574" s="10">
        <v>50.0</v>
      </c>
      <c r="J574" s="11">
        <v>0.0</v>
      </c>
      <c r="K574" s="9">
        <v>14.78</v>
      </c>
      <c r="L574" s="7" t="s">
        <v>13</v>
      </c>
    </row>
    <row r="575" ht="15.75" customHeight="1">
      <c r="A575" s="6">
        <v>10464.0</v>
      </c>
      <c r="B575" s="7" t="s">
        <v>62</v>
      </c>
      <c r="C575" s="8">
        <v>44989.0</v>
      </c>
      <c r="D575" s="8">
        <v>45017.0</v>
      </c>
      <c r="E575" s="8">
        <v>44999.0</v>
      </c>
      <c r="F575" s="8">
        <v>45015.0</v>
      </c>
      <c r="G575" s="6">
        <v>4.0</v>
      </c>
      <c r="H575" s="9">
        <v>17.6</v>
      </c>
      <c r="I575" s="10">
        <v>16.0</v>
      </c>
      <c r="J575" s="11">
        <v>0.2</v>
      </c>
      <c r="K575" s="9">
        <v>89.0</v>
      </c>
      <c r="L575" s="7" t="s">
        <v>17</v>
      </c>
    </row>
    <row r="576" ht="15.75" customHeight="1">
      <c r="A576" s="6">
        <v>10464.0</v>
      </c>
      <c r="B576" s="7" t="s">
        <v>62</v>
      </c>
      <c r="C576" s="8">
        <v>44989.0</v>
      </c>
      <c r="D576" s="8">
        <v>45017.0</v>
      </c>
      <c r="E576" s="8">
        <v>44999.0</v>
      </c>
      <c r="F576" s="8">
        <v>45015.0</v>
      </c>
      <c r="G576" s="6">
        <v>43.0</v>
      </c>
      <c r="H576" s="9">
        <v>36.8</v>
      </c>
      <c r="I576" s="10">
        <v>3.0</v>
      </c>
      <c r="J576" s="11">
        <v>0.0</v>
      </c>
      <c r="K576" s="9">
        <v>89.0</v>
      </c>
      <c r="L576" s="7" t="s">
        <v>17</v>
      </c>
    </row>
    <row r="577" ht="15.75" customHeight="1">
      <c r="A577" s="6">
        <v>10464.0</v>
      </c>
      <c r="B577" s="7" t="s">
        <v>62</v>
      </c>
      <c r="C577" s="8">
        <v>44989.0</v>
      </c>
      <c r="D577" s="8">
        <v>45017.0</v>
      </c>
      <c r="E577" s="8">
        <v>44999.0</v>
      </c>
      <c r="F577" s="8">
        <v>45015.0</v>
      </c>
      <c r="G577" s="6">
        <v>56.0</v>
      </c>
      <c r="H577" s="9">
        <v>30.4</v>
      </c>
      <c r="I577" s="10">
        <v>30.0</v>
      </c>
      <c r="J577" s="11">
        <v>0.2</v>
      </c>
      <c r="K577" s="9">
        <v>89.0</v>
      </c>
      <c r="L577" s="7" t="s">
        <v>17</v>
      </c>
    </row>
    <row r="578" ht="15.75" customHeight="1">
      <c r="A578" s="6">
        <v>10464.0</v>
      </c>
      <c r="B578" s="7" t="s">
        <v>62</v>
      </c>
      <c r="C578" s="8">
        <v>44989.0</v>
      </c>
      <c r="D578" s="8">
        <v>45017.0</v>
      </c>
      <c r="E578" s="8">
        <v>44999.0</v>
      </c>
      <c r="F578" s="8">
        <v>45015.0</v>
      </c>
      <c r="G578" s="6">
        <v>60.0</v>
      </c>
      <c r="H578" s="9">
        <v>27.2</v>
      </c>
      <c r="I578" s="10">
        <v>20.0</v>
      </c>
      <c r="J578" s="11">
        <v>0.0</v>
      </c>
      <c r="K578" s="9">
        <v>89.0</v>
      </c>
      <c r="L578" s="7" t="s">
        <v>17</v>
      </c>
    </row>
    <row r="579" ht="15.75" customHeight="1">
      <c r="A579" s="6">
        <v>10465.0</v>
      </c>
      <c r="B579" s="7" t="s">
        <v>76</v>
      </c>
      <c r="C579" s="8">
        <v>44990.0</v>
      </c>
      <c r="D579" s="8">
        <v>45018.0</v>
      </c>
      <c r="E579" s="8">
        <v>44999.0</v>
      </c>
      <c r="F579" s="8">
        <v>45011.0</v>
      </c>
      <c r="G579" s="6">
        <v>24.0</v>
      </c>
      <c r="H579" s="9">
        <v>3.6</v>
      </c>
      <c r="I579" s="10">
        <v>25.0</v>
      </c>
      <c r="J579" s="11">
        <v>0.0</v>
      </c>
      <c r="K579" s="9">
        <v>145.04</v>
      </c>
      <c r="L579" s="7" t="s">
        <v>13</v>
      </c>
    </row>
    <row r="580" ht="15.75" customHeight="1">
      <c r="A580" s="6">
        <v>10465.0</v>
      </c>
      <c r="B580" s="7" t="s">
        <v>76</v>
      </c>
      <c r="C580" s="8">
        <v>44990.0</v>
      </c>
      <c r="D580" s="8">
        <v>45018.0</v>
      </c>
      <c r="E580" s="8">
        <v>44999.0</v>
      </c>
      <c r="F580" s="8">
        <v>45011.0</v>
      </c>
      <c r="G580" s="6">
        <v>29.0</v>
      </c>
      <c r="H580" s="9">
        <v>99.0</v>
      </c>
      <c r="I580" s="10">
        <v>18.0</v>
      </c>
      <c r="J580" s="11">
        <v>0.1</v>
      </c>
      <c r="K580" s="9">
        <v>145.04</v>
      </c>
      <c r="L580" s="7" t="s">
        <v>13</v>
      </c>
    </row>
    <row r="581" ht="15.75" customHeight="1">
      <c r="A581" s="6">
        <v>10465.0</v>
      </c>
      <c r="B581" s="7" t="s">
        <v>76</v>
      </c>
      <c r="C581" s="8">
        <v>44990.0</v>
      </c>
      <c r="D581" s="8">
        <v>45018.0</v>
      </c>
      <c r="E581" s="8">
        <v>44999.0</v>
      </c>
      <c r="F581" s="8">
        <v>45011.0</v>
      </c>
      <c r="G581" s="6">
        <v>40.0</v>
      </c>
      <c r="H581" s="9">
        <v>14.7</v>
      </c>
      <c r="I581" s="10">
        <v>20.0</v>
      </c>
      <c r="J581" s="11">
        <v>0.0</v>
      </c>
      <c r="K581" s="9">
        <v>145.04</v>
      </c>
      <c r="L581" s="7" t="s">
        <v>13</v>
      </c>
    </row>
    <row r="582" ht="15.75" customHeight="1">
      <c r="A582" s="6">
        <v>10465.0</v>
      </c>
      <c r="B582" s="7" t="s">
        <v>76</v>
      </c>
      <c r="C582" s="8">
        <v>44990.0</v>
      </c>
      <c r="D582" s="8">
        <v>45018.0</v>
      </c>
      <c r="E582" s="8">
        <v>44999.0</v>
      </c>
      <c r="F582" s="8">
        <v>45011.0</v>
      </c>
      <c r="G582" s="6">
        <v>45.0</v>
      </c>
      <c r="H582" s="9">
        <v>7.6</v>
      </c>
      <c r="I582" s="10">
        <v>30.0</v>
      </c>
      <c r="J582" s="11">
        <v>0.1</v>
      </c>
      <c r="K582" s="9">
        <v>145.04</v>
      </c>
      <c r="L582" s="7" t="s">
        <v>13</v>
      </c>
    </row>
    <row r="583" ht="15.75" customHeight="1">
      <c r="A583" s="6">
        <v>10465.0</v>
      </c>
      <c r="B583" s="7" t="s">
        <v>76</v>
      </c>
      <c r="C583" s="8">
        <v>44990.0</v>
      </c>
      <c r="D583" s="8">
        <v>45018.0</v>
      </c>
      <c r="E583" s="8">
        <v>44999.0</v>
      </c>
      <c r="F583" s="8">
        <v>45011.0</v>
      </c>
      <c r="G583" s="6">
        <v>50.0</v>
      </c>
      <c r="H583" s="9">
        <v>13.0</v>
      </c>
      <c r="I583" s="10">
        <v>25.0</v>
      </c>
      <c r="J583" s="11">
        <v>0.0</v>
      </c>
      <c r="K583" s="9">
        <v>145.04</v>
      </c>
      <c r="L583" s="7" t="s">
        <v>13</v>
      </c>
    </row>
    <row r="584" ht="15.75" customHeight="1">
      <c r="A584" s="6">
        <v>10466.0</v>
      </c>
      <c r="B584" s="7" t="s">
        <v>47</v>
      </c>
      <c r="C584" s="8">
        <v>44991.0</v>
      </c>
      <c r="D584" s="8">
        <v>45019.0</v>
      </c>
      <c r="E584" s="8">
        <v>44998.0</v>
      </c>
      <c r="F584" s="8">
        <v>45014.0</v>
      </c>
      <c r="G584" s="6">
        <v>11.0</v>
      </c>
      <c r="H584" s="9">
        <v>16.8</v>
      </c>
      <c r="I584" s="10">
        <v>10.0</v>
      </c>
      <c r="J584" s="11">
        <v>0.0</v>
      </c>
      <c r="K584" s="9">
        <v>11.93</v>
      </c>
      <c r="L584" s="7" t="s">
        <v>15</v>
      </c>
    </row>
    <row r="585" ht="15.75" customHeight="1">
      <c r="A585" s="6">
        <v>10466.0</v>
      </c>
      <c r="B585" s="7" t="s">
        <v>47</v>
      </c>
      <c r="C585" s="8">
        <v>44991.0</v>
      </c>
      <c r="D585" s="8">
        <v>45019.0</v>
      </c>
      <c r="E585" s="8">
        <v>44998.0</v>
      </c>
      <c r="F585" s="8">
        <v>45014.0</v>
      </c>
      <c r="G585" s="6">
        <v>46.0</v>
      </c>
      <c r="H585" s="9">
        <v>9.6</v>
      </c>
      <c r="I585" s="10">
        <v>5.0</v>
      </c>
      <c r="J585" s="11">
        <v>0.0</v>
      </c>
      <c r="K585" s="9">
        <v>11.93</v>
      </c>
      <c r="L585" s="7" t="s">
        <v>15</v>
      </c>
    </row>
    <row r="586" ht="15.75" customHeight="1">
      <c r="A586" s="6">
        <v>10467.0</v>
      </c>
      <c r="B586" s="7" t="s">
        <v>37</v>
      </c>
      <c r="C586" s="8">
        <v>44991.0</v>
      </c>
      <c r="D586" s="8">
        <v>45019.0</v>
      </c>
      <c r="E586" s="8">
        <v>44996.0</v>
      </c>
      <c r="F586" s="8">
        <v>45008.0</v>
      </c>
      <c r="G586" s="6">
        <v>24.0</v>
      </c>
      <c r="H586" s="9">
        <v>3.6</v>
      </c>
      <c r="I586" s="10">
        <v>28.0</v>
      </c>
      <c r="J586" s="11">
        <v>0.0</v>
      </c>
      <c r="K586" s="9">
        <v>4.93</v>
      </c>
      <c r="L586" s="7" t="s">
        <v>17</v>
      </c>
    </row>
    <row r="587" ht="15.75" customHeight="1">
      <c r="A587" s="6">
        <v>10467.0</v>
      </c>
      <c r="B587" s="7" t="s">
        <v>37</v>
      </c>
      <c r="C587" s="8">
        <v>44991.0</v>
      </c>
      <c r="D587" s="8">
        <v>45019.0</v>
      </c>
      <c r="E587" s="8">
        <v>44996.0</v>
      </c>
      <c r="F587" s="8">
        <v>45008.0</v>
      </c>
      <c r="G587" s="6">
        <v>25.0</v>
      </c>
      <c r="H587" s="9">
        <v>11.2</v>
      </c>
      <c r="I587" s="10">
        <v>12.0</v>
      </c>
      <c r="J587" s="11">
        <v>0.0</v>
      </c>
      <c r="K587" s="9">
        <v>4.93</v>
      </c>
      <c r="L587" s="7" t="s">
        <v>17</v>
      </c>
    </row>
    <row r="588" ht="15.75" customHeight="1">
      <c r="A588" s="6">
        <v>10468.0</v>
      </c>
      <c r="B588" s="7" t="s">
        <v>59</v>
      </c>
      <c r="C588" s="8">
        <v>44992.0</v>
      </c>
      <c r="D588" s="8">
        <v>45020.0</v>
      </c>
      <c r="E588" s="8">
        <v>44997.0</v>
      </c>
      <c r="F588" s="8">
        <v>45000.0</v>
      </c>
      <c r="G588" s="6">
        <v>30.0</v>
      </c>
      <c r="H588" s="9">
        <v>20.7</v>
      </c>
      <c r="I588" s="10">
        <v>8.0</v>
      </c>
      <c r="J588" s="11">
        <v>0.0</v>
      </c>
      <c r="K588" s="9">
        <v>44.12</v>
      </c>
      <c r="L588" s="7" t="s">
        <v>13</v>
      </c>
    </row>
    <row r="589" ht="15.75" customHeight="1">
      <c r="A589" s="6">
        <v>10468.0</v>
      </c>
      <c r="B589" s="7" t="s">
        <v>59</v>
      </c>
      <c r="C589" s="8">
        <v>44992.0</v>
      </c>
      <c r="D589" s="8">
        <v>45020.0</v>
      </c>
      <c r="E589" s="8">
        <v>44997.0</v>
      </c>
      <c r="F589" s="8">
        <v>45000.0</v>
      </c>
      <c r="G589" s="6">
        <v>43.0</v>
      </c>
      <c r="H589" s="9">
        <v>36.8</v>
      </c>
      <c r="I589" s="10">
        <v>15.0</v>
      </c>
      <c r="J589" s="11">
        <v>0.0</v>
      </c>
      <c r="K589" s="9">
        <v>44.12</v>
      </c>
      <c r="L589" s="7" t="s">
        <v>13</v>
      </c>
    </row>
    <row r="590" ht="15.75" customHeight="1">
      <c r="A590" s="6">
        <v>10469.0</v>
      </c>
      <c r="B590" s="7" t="s">
        <v>34</v>
      </c>
      <c r="C590" s="8">
        <v>44995.0</v>
      </c>
      <c r="D590" s="8">
        <v>45023.0</v>
      </c>
      <c r="E590" s="8">
        <v>44999.0</v>
      </c>
      <c r="F590" s="8">
        <v>45014.0</v>
      </c>
      <c r="G590" s="6">
        <v>2.0</v>
      </c>
      <c r="H590" s="9">
        <v>15.2</v>
      </c>
      <c r="I590" s="10">
        <v>40.0</v>
      </c>
      <c r="J590" s="11">
        <v>0.15</v>
      </c>
      <c r="K590" s="9">
        <v>60.18</v>
      </c>
      <c r="L590" s="7" t="s">
        <v>15</v>
      </c>
    </row>
    <row r="591" ht="15.75" customHeight="1">
      <c r="A591" s="6">
        <v>10469.0</v>
      </c>
      <c r="B591" s="7" t="s">
        <v>34</v>
      </c>
      <c r="C591" s="8">
        <v>44995.0</v>
      </c>
      <c r="D591" s="8">
        <v>45023.0</v>
      </c>
      <c r="E591" s="8">
        <v>44999.0</v>
      </c>
      <c r="F591" s="8">
        <v>45014.0</v>
      </c>
      <c r="G591" s="6">
        <v>16.0</v>
      </c>
      <c r="H591" s="9">
        <v>13.9</v>
      </c>
      <c r="I591" s="10">
        <v>35.0</v>
      </c>
      <c r="J591" s="11">
        <v>0.15</v>
      </c>
      <c r="K591" s="9">
        <v>60.18</v>
      </c>
      <c r="L591" s="7" t="s">
        <v>15</v>
      </c>
    </row>
    <row r="592" ht="15.75" customHeight="1">
      <c r="A592" s="6">
        <v>10469.0</v>
      </c>
      <c r="B592" s="7" t="s">
        <v>34</v>
      </c>
      <c r="C592" s="8">
        <v>44995.0</v>
      </c>
      <c r="D592" s="8">
        <v>45023.0</v>
      </c>
      <c r="E592" s="8">
        <v>44999.0</v>
      </c>
      <c r="F592" s="8">
        <v>45014.0</v>
      </c>
      <c r="G592" s="6">
        <v>44.0</v>
      </c>
      <c r="H592" s="9">
        <v>15.5</v>
      </c>
      <c r="I592" s="10">
        <v>2.0</v>
      </c>
      <c r="J592" s="11">
        <v>0.15</v>
      </c>
      <c r="K592" s="9">
        <v>60.18</v>
      </c>
      <c r="L592" s="7" t="s">
        <v>15</v>
      </c>
    </row>
    <row r="593" ht="15.75" customHeight="1">
      <c r="A593" s="6">
        <v>10470.0</v>
      </c>
      <c r="B593" s="7" t="s">
        <v>63</v>
      </c>
      <c r="C593" s="8">
        <v>44996.0</v>
      </c>
      <c r="D593" s="8">
        <v>45024.0</v>
      </c>
      <c r="E593" s="8">
        <v>44999.0</v>
      </c>
      <c r="F593" s="8">
        <v>45009.0</v>
      </c>
      <c r="G593" s="6">
        <v>18.0</v>
      </c>
      <c r="H593" s="9">
        <v>50.0</v>
      </c>
      <c r="I593" s="10">
        <v>30.0</v>
      </c>
      <c r="J593" s="11">
        <v>0.0</v>
      </c>
      <c r="K593" s="9">
        <v>64.56</v>
      </c>
      <c r="L593" s="7" t="s">
        <v>17</v>
      </c>
    </row>
    <row r="594" ht="15.75" customHeight="1">
      <c r="A594" s="6">
        <v>10470.0</v>
      </c>
      <c r="B594" s="7" t="s">
        <v>63</v>
      </c>
      <c r="C594" s="8">
        <v>44996.0</v>
      </c>
      <c r="D594" s="8">
        <v>45024.0</v>
      </c>
      <c r="E594" s="8">
        <v>44999.0</v>
      </c>
      <c r="F594" s="8">
        <v>45009.0</v>
      </c>
      <c r="G594" s="6">
        <v>23.0</v>
      </c>
      <c r="H594" s="9">
        <v>7.2</v>
      </c>
      <c r="I594" s="10">
        <v>15.0</v>
      </c>
      <c r="J594" s="11">
        <v>0.0</v>
      </c>
      <c r="K594" s="9">
        <v>64.56</v>
      </c>
      <c r="L594" s="7" t="s">
        <v>17</v>
      </c>
    </row>
    <row r="595" ht="15.75" customHeight="1">
      <c r="A595" s="6">
        <v>10470.0</v>
      </c>
      <c r="B595" s="7" t="s">
        <v>63</v>
      </c>
      <c r="C595" s="8">
        <v>44996.0</v>
      </c>
      <c r="D595" s="8">
        <v>45024.0</v>
      </c>
      <c r="E595" s="8">
        <v>44999.0</v>
      </c>
      <c r="F595" s="8">
        <v>45009.0</v>
      </c>
      <c r="G595" s="6">
        <v>64.0</v>
      </c>
      <c r="H595" s="9">
        <v>26.6</v>
      </c>
      <c r="I595" s="10">
        <v>8.0</v>
      </c>
      <c r="J595" s="11">
        <v>0.0</v>
      </c>
      <c r="K595" s="9">
        <v>64.56</v>
      </c>
      <c r="L595" s="7" t="s">
        <v>17</v>
      </c>
    </row>
    <row r="596" ht="15.75" customHeight="1">
      <c r="A596" s="6">
        <v>10471.0</v>
      </c>
      <c r="B596" s="7" t="s">
        <v>46</v>
      </c>
      <c r="C596" s="8">
        <v>44996.0</v>
      </c>
      <c r="D596" s="8">
        <v>45024.0</v>
      </c>
      <c r="E596" s="8">
        <v>45003.0</v>
      </c>
      <c r="F596" s="8">
        <v>45009.0</v>
      </c>
      <c r="G596" s="6">
        <v>7.0</v>
      </c>
      <c r="H596" s="9">
        <v>24.0</v>
      </c>
      <c r="I596" s="10">
        <v>30.0</v>
      </c>
      <c r="J596" s="11">
        <v>0.0</v>
      </c>
      <c r="K596" s="9">
        <v>45.59</v>
      </c>
      <c r="L596" s="7" t="s">
        <v>13</v>
      </c>
    </row>
    <row r="597" ht="15.75" customHeight="1">
      <c r="A597" s="6">
        <v>10471.0</v>
      </c>
      <c r="B597" s="7" t="s">
        <v>46</v>
      </c>
      <c r="C597" s="8">
        <v>44996.0</v>
      </c>
      <c r="D597" s="8">
        <v>45024.0</v>
      </c>
      <c r="E597" s="8">
        <v>45003.0</v>
      </c>
      <c r="F597" s="8">
        <v>45009.0</v>
      </c>
      <c r="G597" s="6">
        <v>56.0</v>
      </c>
      <c r="H597" s="9">
        <v>30.4</v>
      </c>
      <c r="I597" s="10">
        <v>20.0</v>
      </c>
      <c r="J597" s="11">
        <v>0.0</v>
      </c>
      <c r="K597" s="9">
        <v>45.59</v>
      </c>
      <c r="L597" s="7" t="s">
        <v>13</v>
      </c>
    </row>
    <row r="598" ht="15.75" customHeight="1">
      <c r="A598" s="6">
        <v>10472.0</v>
      </c>
      <c r="B598" s="7" t="s">
        <v>71</v>
      </c>
      <c r="C598" s="8">
        <v>44997.0</v>
      </c>
      <c r="D598" s="8">
        <v>45025.0</v>
      </c>
      <c r="E598" s="8">
        <v>45004.0</v>
      </c>
      <c r="F598" s="8">
        <v>45009.0</v>
      </c>
      <c r="G598" s="6">
        <v>24.0</v>
      </c>
      <c r="H598" s="9">
        <v>3.6</v>
      </c>
      <c r="I598" s="10">
        <v>80.0</v>
      </c>
      <c r="J598" s="11">
        <v>0.05</v>
      </c>
      <c r="K598" s="9">
        <v>4.2</v>
      </c>
      <c r="L598" s="7" t="s">
        <v>15</v>
      </c>
    </row>
    <row r="599" ht="15.75" customHeight="1">
      <c r="A599" s="6">
        <v>10472.0</v>
      </c>
      <c r="B599" s="7" t="s">
        <v>71</v>
      </c>
      <c r="C599" s="8">
        <v>44997.0</v>
      </c>
      <c r="D599" s="8">
        <v>45025.0</v>
      </c>
      <c r="E599" s="8">
        <v>45004.0</v>
      </c>
      <c r="F599" s="8">
        <v>45009.0</v>
      </c>
      <c r="G599" s="6">
        <v>51.0</v>
      </c>
      <c r="H599" s="9">
        <v>42.4</v>
      </c>
      <c r="I599" s="10">
        <v>18.0</v>
      </c>
      <c r="J599" s="11">
        <v>0.0</v>
      </c>
      <c r="K599" s="9">
        <v>4.2</v>
      </c>
      <c r="L599" s="7" t="s">
        <v>15</v>
      </c>
    </row>
    <row r="600" ht="15.75" customHeight="1">
      <c r="A600" s="6">
        <v>10473.0</v>
      </c>
      <c r="B600" s="7" t="s">
        <v>57</v>
      </c>
      <c r="C600" s="8">
        <v>44998.0</v>
      </c>
      <c r="D600" s="8">
        <v>45012.0</v>
      </c>
      <c r="E600" s="8">
        <v>45006.0</v>
      </c>
      <c r="F600" s="8">
        <v>45015.0</v>
      </c>
      <c r="G600" s="6">
        <v>33.0</v>
      </c>
      <c r="H600" s="9">
        <v>2.0</v>
      </c>
      <c r="I600" s="10">
        <v>12.0</v>
      </c>
      <c r="J600" s="11">
        <v>0.0</v>
      </c>
      <c r="K600" s="9">
        <v>16.37</v>
      </c>
      <c r="L600" s="7" t="s">
        <v>13</v>
      </c>
    </row>
    <row r="601" ht="15.75" customHeight="1">
      <c r="A601" s="6">
        <v>10473.0</v>
      </c>
      <c r="B601" s="7" t="s">
        <v>57</v>
      </c>
      <c r="C601" s="8">
        <v>44998.0</v>
      </c>
      <c r="D601" s="8">
        <v>45012.0</v>
      </c>
      <c r="E601" s="8">
        <v>45006.0</v>
      </c>
      <c r="F601" s="8">
        <v>45015.0</v>
      </c>
      <c r="G601" s="6">
        <v>71.0</v>
      </c>
      <c r="H601" s="9">
        <v>17.2</v>
      </c>
      <c r="I601" s="10">
        <v>12.0</v>
      </c>
      <c r="J601" s="11">
        <v>0.0</v>
      </c>
      <c r="K601" s="9">
        <v>16.37</v>
      </c>
      <c r="L601" s="7" t="s">
        <v>13</v>
      </c>
    </row>
    <row r="602" ht="15.75" customHeight="1">
      <c r="A602" s="6">
        <v>10474.0</v>
      </c>
      <c r="B602" s="7" t="s">
        <v>58</v>
      </c>
      <c r="C602" s="8">
        <v>44998.0</v>
      </c>
      <c r="D602" s="8">
        <v>45026.0</v>
      </c>
      <c r="E602" s="8">
        <v>45006.0</v>
      </c>
      <c r="F602" s="8">
        <v>45024.0</v>
      </c>
      <c r="G602" s="6">
        <v>14.0</v>
      </c>
      <c r="H602" s="9">
        <v>18.6</v>
      </c>
      <c r="I602" s="10">
        <v>12.0</v>
      </c>
      <c r="J602" s="11">
        <v>0.0</v>
      </c>
      <c r="K602" s="9">
        <v>83.49</v>
      </c>
      <c r="L602" s="7" t="s">
        <v>17</v>
      </c>
    </row>
    <row r="603" ht="15.75" customHeight="1">
      <c r="A603" s="6">
        <v>10474.0</v>
      </c>
      <c r="B603" s="7" t="s">
        <v>58</v>
      </c>
      <c r="C603" s="8">
        <v>44998.0</v>
      </c>
      <c r="D603" s="8">
        <v>45026.0</v>
      </c>
      <c r="E603" s="8">
        <v>45006.0</v>
      </c>
      <c r="F603" s="8">
        <v>45024.0</v>
      </c>
      <c r="G603" s="6">
        <v>28.0</v>
      </c>
      <c r="H603" s="9">
        <v>36.4</v>
      </c>
      <c r="I603" s="10">
        <v>18.0</v>
      </c>
      <c r="J603" s="11">
        <v>0.0</v>
      </c>
      <c r="K603" s="9">
        <v>83.49</v>
      </c>
      <c r="L603" s="7" t="s">
        <v>17</v>
      </c>
    </row>
    <row r="604" ht="15.75" customHeight="1">
      <c r="A604" s="6">
        <v>10474.0</v>
      </c>
      <c r="B604" s="7" t="s">
        <v>58</v>
      </c>
      <c r="C604" s="8">
        <v>44998.0</v>
      </c>
      <c r="D604" s="8">
        <v>45026.0</v>
      </c>
      <c r="E604" s="8">
        <v>45006.0</v>
      </c>
      <c r="F604" s="8">
        <v>45024.0</v>
      </c>
      <c r="G604" s="6">
        <v>40.0</v>
      </c>
      <c r="H604" s="9">
        <v>14.7</v>
      </c>
      <c r="I604" s="10">
        <v>21.0</v>
      </c>
      <c r="J604" s="11">
        <v>0.0</v>
      </c>
      <c r="K604" s="9">
        <v>83.49</v>
      </c>
      <c r="L604" s="7" t="s">
        <v>17</v>
      </c>
    </row>
    <row r="605" ht="15.75" customHeight="1">
      <c r="A605" s="6">
        <v>10474.0</v>
      </c>
      <c r="B605" s="7" t="s">
        <v>58</v>
      </c>
      <c r="C605" s="8">
        <v>44998.0</v>
      </c>
      <c r="D605" s="8">
        <v>45026.0</v>
      </c>
      <c r="E605" s="8">
        <v>45006.0</v>
      </c>
      <c r="F605" s="8">
        <v>45024.0</v>
      </c>
      <c r="G605" s="6">
        <v>75.0</v>
      </c>
      <c r="H605" s="9">
        <v>6.2</v>
      </c>
      <c r="I605" s="10">
        <v>10.0</v>
      </c>
      <c r="J605" s="11">
        <v>0.0</v>
      </c>
      <c r="K605" s="9">
        <v>83.49</v>
      </c>
      <c r="L605" s="7" t="s">
        <v>17</v>
      </c>
    </row>
    <row r="606" ht="15.75" customHeight="1">
      <c r="A606" s="6">
        <v>10475.0</v>
      </c>
      <c r="B606" s="7" t="s">
        <v>19</v>
      </c>
      <c r="C606" s="8">
        <v>44999.0</v>
      </c>
      <c r="D606" s="8">
        <v>45027.0</v>
      </c>
      <c r="E606" s="8">
        <v>45020.0</v>
      </c>
      <c r="F606" s="8">
        <v>45032.0</v>
      </c>
      <c r="G606" s="6">
        <v>31.0</v>
      </c>
      <c r="H606" s="9">
        <v>10.0</v>
      </c>
      <c r="I606" s="10">
        <v>35.0</v>
      </c>
      <c r="J606" s="11">
        <v>0.15</v>
      </c>
      <c r="K606" s="9">
        <v>68.52</v>
      </c>
      <c r="L606" s="7" t="s">
        <v>15</v>
      </c>
    </row>
    <row r="607" ht="15.75" customHeight="1">
      <c r="A607" s="6">
        <v>10475.0</v>
      </c>
      <c r="B607" s="7" t="s">
        <v>19</v>
      </c>
      <c r="C607" s="8">
        <v>44999.0</v>
      </c>
      <c r="D607" s="8">
        <v>45027.0</v>
      </c>
      <c r="E607" s="8">
        <v>45020.0</v>
      </c>
      <c r="F607" s="8">
        <v>45032.0</v>
      </c>
      <c r="G607" s="6">
        <v>66.0</v>
      </c>
      <c r="H607" s="9">
        <v>13.6</v>
      </c>
      <c r="I607" s="10">
        <v>60.0</v>
      </c>
      <c r="J607" s="11">
        <v>0.15</v>
      </c>
      <c r="K607" s="9">
        <v>68.52</v>
      </c>
      <c r="L607" s="7" t="s">
        <v>15</v>
      </c>
    </row>
    <row r="608" ht="15.75" customHeight="1">
      <c r="A608" s="6">
        <v>10475.0</v>
      </c>
      <c r="B608" s="7" t="s">
        <v>19</v>
      </c>
      <c r="C608" s="8">
        <v>44999.0</v>
      </c>
      <c r="D608" s="8">
        <v>45027.0</v>
      </c>
      <c r="E608" s="8">
        <v>45020.0</v>
      </c>
      <c r="F608" s="8">
        <v>45032.0</v>
      </c>
      <c r="G608" s="6">
        <v>76.0</v>
      </c>
      <c r="H608" s="9">
        <v>14.4</v>
      </c>
      <c r="I608" s="10">
        <v>42.0</v>
      </c>
      <c r="J608" s="11">
        <v>0.15</v>
      </c>
      <c r="K608" s="9">
        <v>68.52</v>
      </c>
      <c r="L608" s="7" t="s">
        <v>15</v>
      </c>
    </row>
    <row r="609" ht="15.75" customHeight="1">
      <c r="A609" s="6">
        <v>10476.0</v>
      </c>
      <c r="B609" s="7" t="s">
        <v>23</v>
      </c>
      <c r="C609" s="8">
        <v>45002.0</v>
      </c>
      <c r="D609" s="8">
        <v>45030.0</v>
      </c>
      <c r="E609" s="8">
        <v>45009.0</v>
      </c>
      <c r="F609" s="8">
        <v>45022.0</v>
      </c>
      <c r="G609" s="6">
        <v>55.0</v>
      </c>
      <c r="H609" s="9">
        <v>19.2</v>
      </c>
      <c r="I609" s="10">
        <v>2.0</v>
      </c>
      <c r="J609" s="11">
        <v>0.05</v>
      </c>
      <c r="K609" s="9">
        <v>4.41</v>
      </c>
      <c r="L609" s="7" t="s">
        <v>13</v>
      </c>
    </row>
    <row r="610" ht="15.75" customHeight="1">
      <c r="A610" s="6">
        <v>10476.0</v>
      </c>
      <c r="B610" s="7" t="s">
        <v>23</v>
      </c>
      <c r="C610" s="8">
        <v>45002.0</v>
      </c>
      <c r="D610" s="8">
        <v>45030.0</v>
      </c>
      <c r="E610" s="8">
        <v>45009.0</v>
      </c>
      <c r="F610" s="8">
        <v>45022.0</v>
      </c>
      <c r="G610" s="6">
        <v>70.0</v>
      </c>
      <c r="H610" s="9">
        <v>12.0</v>
      </c>
      <c r="I610" s="10">
        <v>12.0</v>
      </c>
      <c r="J610" s="11">
        <v>0.0</v>
      </c>
      <c r="K610" s="9">
        <v>4.41</v>
      </c>
      <c r="L610" s="7" t="s">
        <v>13</v>
      </c>
    </row>
    <row r="611" ht="15.75" customHeight="1">
      <c r="A611" s="6">
        <v>10477.0</v>
      </c>
      <c r="B611" s="7" t="s">
        <v>65</v>
      </c>
      <c r="C611" s="8">
        <v>45002.0</v>
      </c>
      <c r="D611" s="8">
        <v>45030.0</v>
      </c>
      <c r="E611" s="8">
        <v>45010.0</v>
      </c>
      <c r="F611" s="8">
        <v>45023.0</v>
      </c>
      <c r="G611" s="6">
        <v>1.0</v>
      </c>
      <c r="H611" s="9">
        <v>14.4</v>
      </c>
      <c r="I611" s="10">
        <v>15.0</v>
      </c>
      <c r="J611" s="11">
        <v>0.0</v>
      </c>
      <c r="K611" s="9">
        <v>13.02</v>
      </c>
      <c r="L611" s="7" t="s">
        <v>17</v>
      </c>
    </row>
    <row r="612" ht="15.75" customHeight="1">
      <c r="A612" s="6">
        <v>10477.0</v>
      </c>
      <c r="B612" s="7" t="s">
        <v>65</v>
      </c>
      <c r="C612" s="8">
        <v>45002.0</v>
      </c>
      <c r="D612" s="8">
        <v>45030.0</v>
      </c>
      <c r="E612" s="8">
        <v>45010.0</v>
      </c>
      <c r="F612" s="8">
        <v>45023.0</v>
      </c>
      <c r="G612" s="6">
        <v>21.0</v>
      </c>
      <c r="H612" s="9">
        <v>8.0</v>
      </c>
      <c r="I612" s="10">
        <v>21.0</v>
      </c>
      <c r="J612" s="11">
        <v>0.25</v>
      </c>
      <c r="K612" s="9">
        <v>13.02</v>
      </c>
      <c r="L612" s="7" t="s">
        <v>17</v>
      </c>
    </row>
    <row r="613" ht="15.75" customHeight="1">
      <c r="A613" s="6">
        <v>10477.0</v>
      </c>
      <c r="B613" s="7" t="s">
        <v>65</v>
      </c>
      <c r="C613" s="8">
        <v>45002.0</v>
      </c>
      <c r="D613" s="8">
        <v>45030.0</v>
      </c>
      <c r="E613" s="8">
        <v>45010.0</v>
      </c>
      <c r="F613" s="8">
        <v>45023.0</v>
      </c>
      <c r="G613" s="6">
        <v>39.0</v>
      </c>
      <c r="H613" s="9">
        <v>14.4</v>
      </c>
      <c r="I613" s="10">
        <v>20.0</v>
      </c>
      <c r="J613" s="11">
        <v>0.25</v>
      </c>
      <c r="K613" s="9">
        <v>13.02</v>
      </c>
      <c r="L613" s="7" t="s">
        <v>17</v>
      </c>
    </row>
    <row r="614" ht="15.75" customHeight="1">
      <c r="A614" s="6">
        <v>10478.0</v>
      </c>
      <c r="B614" s="7" t="s">
        <v>18</v>
      </c>
      <c r="C614" s="8">
        <v>45003.0</v>
      </c>
      <c r="D614" s="8">
        <v>45017.0</v>
      </c>
      <c r="E614" s="8">
        <v>45011.0</v>
      </c>
      <c r="F614" s="8">
        <v>45018.0</v>
      </c>
      <c r="G614" s="6">
        <v>10.0</v>
      </c>
      <c r="H614" s="9">
        <v>24.8</v>
      </c>
      <c r="I614" s="10">
        <v>20.0</v>
      </c>
      <c r="J614" s="11">
        <v>0.05</v>
      </c>
      <c r="K614" s="9">
        <v>4.81</v>
      </c>
      <c r="L614" s="7" t="s">
        <v>13</v>
      </c>
    </row>
    <row r="615" ht="15.75" customHeight="1">
      <c r="A615" s="6">
        <v>10479.0</v>
      </c>
      <c r="B615" s="7" t="s">
        <v>28</v>
      </c>
      <c r="C615" s="8">
        <v>45004.0</v>
      </c>
      <c r="D615" s="8">
        <v>45032.0</v>
      </c>
      <c r="E615" s="8">
        <v>45006.0</v>
      </c>
      <c r="F615" s="8">
        <v>45020.0</v>
      </c>
      <c r="G615" s="6">
        <v>38.0</v>
      </c>
      <c r="H615" s="9">
        <v>210.8</v>
      </c>
      <c r="I615" s="10">
        <v>30.0</v>
      </c>
      <c r="J615" s="11">
        <v>0.0</v>
      </c>
      <c r="K615" s="9">
        <v>708.95</v>
      </c>
      <c r="L615" s="7" t="s">
        <v>13</v>
      </c>
    </row>
    <row r="616" ht="15.75" customHeight="1">
      <c r="A616" s="6">
        <v>10479.0</v>
      </c>
      <c r="B616" s="7" t="s">
        <v>28</v>
      </c>
      <c r="C616" s="8">
        <v>45004.0</v>
      </c>
      <c r="D616" s="8">
        <v>45032.0</v>
      </c>
      <c r="E616" s="8">
        <v>45006.0</v>
      </c>
      <c r="F616" s="8">
        <v>45020.0</v>
      </c>
      <c r="G616" s="6">
        <v>53.0</v>
      </c>
      <c r="H616" s="9">
        <v>26.2</v>
      </c>
      <c r="I616" s="10">
        <v>28.0</v>
      </c>
      <c r="J616" s="11">
        <v>0.0</v>
      </c>
      <c r="K616" s="9">
        <v>708.95</v>
      </c>
      <c r="L616" s="7" t="s">
        <v>13</v>
      </c>
    </row>
    <row r="617" ht="15.75" customHeight="1">
      <c r="A617" s="6">
        <v>10479.0</v>
      </c>
      <c r="B617" s="7" t="s">
        <v>28</v>
      </c>
      <c r="C617" s="8">
        <v>45004.0</v>
      </c>
      <c r="D617" s="8">
        <v>45032.0</v>
      </c>
      <c r="E617" s="8">
        <v>45006.0</v>
      </c>
      <c r="F617" s="8">
        <v>45020.0</v>
      </c>
      <c r="G617" s="6">
        <v>59.0</v>
      </c>
      <c r="H617" s="9">
        <v>44.0</v>
      </c>
      <c r="I617" s="10">
        <v>60.0</v>
      </c>
      <c r="J617" s="11">
        <v>0.0</v>
      </c>
      <c r="K617" s="9">
        <v>708.95</v>
      </c>
      <c r="L617" s="7" t="s">
        <v>13</v>
      </c>
    </row>
    <row r="618" ht="15.75" customHeight="1">
      <c r="A618" s="6">
        <v>10479.0</v>
      </c>
      <c r="B618" s="7" t="s">
        <v>28</v>
      </c>
      <c r="C618" s="8">
        <v>45004.0</v>
      </c>
      <c r="D618" s="8">
        <v>45032.0</v>
      </c>
      <c r="E618" s="8">
        <v>45006.0</v>
      </c>
      <c r="F618" s="8">
        <v>45020.0</v>
      </c>
      <c r="G618" s="6">
        <v>64.0</v>
      </c>
      <c r="H618" s="9">
        <v>26.6</v>
      </c>
      <c r="I618" s="10">
        <v>30.0</v>
      </c>
      <c r="J618" s="11">
        <v>0.0</v>
      </c>
      <c r="K618" s="9">
        <v>708.95</v>
      </c>
      <c r="L618" s="7" t="s">
        <v>13</v>
      </c>
    </row>
    <row r="619" ht="15.75" customHeight="1">
      <c r="A619" s="6">
        <v>10480.0</v>
      </c>
      <c r="B619" s="7" t="s">
        <v>83</v>
      </c>
      <c r="C619" s="8">
        <v>45005.0</v>
      </c>
      <c r="D619" s="8">
        <v>45033.0</v>
      </c>
      <c r="E619" s="8">
        <v>45009.0</v>
      </c>
      <c r="F619" s="8">
        <v>45018.0</v>
      </c>
      <c r="G619" s="6">
        <v>47.0</v>
      </c>
      <c r="H619" s="9">
        <v>7.6</v>
      </c>
      <c r="I619" s="10">
        <v>30.0</v>
      </c>
      <c r="J619" s="11">
        <v>0.0</v>
      </c>
      <c r="K619" s="9">
        <v>1.35</v>
      </c>
      <c r="L619" s="7" t="s">
        <v>17</v>
      </c>
    </row>
    <row r="620" ht="15.75" customHeight="1">
      <c r="A620" s="6">
        <v>10480.0</v>
      </c>
      <c r="B620" s="7" t="s">
        <v>83</v>
      </c>
      <c r="C620" s="8">
        <v>45005.0</v>
      </c>
      <c r="D620" s="8">
        <v>45033.0</v>
      </c>
      <c r="E620" s="8">
        <v>45009.0</v>
      </c>
      <c r="F620" s="8">
        <v>45018.0</v>
      </c>
      <c r="G620" s="6">
        <v>59.0</v>
      </c>
      <c r="H620" s="9">
        <v>44.0</v>
      </c>
      <c r="I620" s="10">
        <v>12.0</v>
      </c>
      <c r="J620" s="11">
        <v>0.0</v>
      </c>
      <c r="K620" s="9">
        <v>1.35</v>
      </c>
      <c r="L620" s="7" t="s">
        <v>17</v>
      </c>
    </row>
    <row r="621" ht="15.75" customHeight="1">
      <c r="A621" s="6">
        <v>10481.0</v>
      </c>
      <c r="B621" s="7" t="s">
        <v>44</v>
      </c>
      <c r="C621" s="8">
        <v>45005.0</v>
      </c>
      <c r="D621" s="8">
        <v>45033.0</v>
      </c>
      <c r="E621" s="8">
        <v>45010.0</v>
      </c>
      <c r="F621" s="8">
        <v>45029.0</v>
      </c>
      <c r="G621" s="6">
        <v>49.0</v>
      </c>
      <c r="H621" s="9">
        <v>16.0</v>
      </c>
      <c r="I621" s="10">
        <v>24.0</v>
      </c>
      <c r="J621" s="11">
        <v>0.0</v>
      </c>
      <c r="K621" s="9">
        <v>64.33</v>
      </c>
      <c r="L621" s="7" t="s">
        <v>17</v>
      </c>
    </row>
    <row r="622" ht="15.75" customHeight="1">
      <c r="A622" s="6">
        <v>10481.0</v>
      </c>
      <c r="B622" s="7" t="s">
        <v>44</v>
      </c>
      <c r="C622" s="8">
        <v>45005.0</v>
      </c>
      <c r="D622" s="8">
        <v>45033.0</v>
      </c>
      <c r="E622" s="8">
        <v>45010.0</v>
      </c>
      <c r="F622" s="8">
        <v>45029.0</v>
      </c>
      <c r="G622" s="6">
        <v>60.0</v>
      </c>
      <c r="H622" s="9">
        <v>27.2</v>
      </c>
      <c r="I622" s="10">
        <v>40.0</v>
      </c>
      <c r="J622" s="11">
        <v>0.0</v>
      </c>
      <c r="K622" s="9">
        <v>64.33</v>
      </c>
      <c r="L622" s="7" t="s">
        <v>17</v>
      </c>
    </row>
    <row r="623" ht="15.75" customHeight="1">
      <c r="A623" s="6">
        <v>10482.0</v>
      </c>
      <c r="B623" s="7" t="s">
        <v>89</v>
      </c>
      <c r="C623" s="8">
        <v>45006.0</v>
      </c>
      <c r="D623" s="8">
        <v>45034.0</v>
      </c>
      <c r="E623" s="8">
        <v>45026.0</v>
      </c>
      <c r="F623" s="8">
        <v>45040.0</v>
      </c>
      <c r="G623" s="6">
        <v>40.0</v>
      </c>
      <c r="H623" s="9">
        <v>14.7</v>
      </c>
      <c r="I623" s="10">
        <v>10.0</v>
      </c>
      <c r="J623" s="11">
        <v>0.0</v>
      </c>
      <c r="K623" s="9">
        <v>7.48</v>
      </c>
      <c r="L623" s="7" t="s">
        <v>13</v>
      </c>
    </row>
    <row r="624" ht="15.75" customHeight="1">
      <c r="A624" s="6">
        <v>10483.0</v>
      </c>
      <c r="B624" s="7" t="s">
        <v>34</v>
      </c>
      <c r="C624" s="8">
        <v>45009.0</v>
      </c>
      <c r="D624" s="8">
        <v>45037.0</v>
      </c>
      <c r="E624" s="8">
        <v>45041.0</v>
      </c>
      <c r="F624" s="8">
        <v>45057.0</v>
      </c>
      <c r="G624" s="6">
        <v>34.0</v>
      </c>
      <c r="H624" s="9">
        <v>11.2</v>
      </c>
      <c r="I624" s="10">
        <v>35.0</v>
      </c>
      <c r="J624" s="11">
        <v>0.05</v>
      </c>
      <c r="K624" s="9">
        <v>15.28</v>
      </c>
      <c r="L624" s="7" t="s">
        <v>17</v>
      </c>
    </row>
    <row r="625" ht="15.75" customHeight="1">
      <c r="A625" s="6">
        <v>10483.0</v>
      </c>
      <c r="B625" s="7" t="s">
        <v>34</v>
      </c>
      <c r="C625" s="8">
        <v>45009.0</v>
      </c>
      <c r="D625" s="8">
        <v>45037.0</v>
      </c>
      <c r="E625" s="8">
        <v>45041.0</v>
      </c>
      <c r="F625" s="8">
        <v>45057.0</v>
      </c>
      <c r="G625" s="6">
        <v>77.0</v>
      </c>
      <c r="H625" s="9">
        <v>10.4</v>
      </c>
      <c r="I625" s="10">
        <v>30.0</v>
      </c>
      <c r="J625" s="11">
        <v>0.05</v>
      </c>
      <c r="K625" s="9">
        <v>15.28</v>
      </c>
      <c r="L625" s="7" t="s">
        <v>17</v>
      </c>
    </row>
    <row r="626" ht="15.75" customHeight="1">
      <c r="A626" s="6">
        <v>10484.0</v>
      </c>
      <c r="B626" s="7" t="s">
        <v>46</v>
      </c>
      <c r="C626" s="8">
        <v>45009.0</v>
      </c>
      <c r="D626" s="8">
        <v>45037.0</v>
      </c>
      <c r="E626" s="8">
        <v>45017.0</v>
      </c>
      <c r="F626" s="8">
        <v>45023.0</v>
      </c>
      <c r="G626" s="6">
        <v>21.0</v>
      </c>
      <c r="H626" s="9">
        <v>8.0</v>
      </c>
      <c r="I626" s="10">
        <v>14.0</v>
      </c>
      <c r="J626" s="11">
        <v>0.0</v>
      </c>
      <c r="K626" s="9">
        <v>6.88</v>
      </c>
      <c r="L626" s="7" t="s">
        <v>13</v>
      </c>
    </row>
    <row r="627" ht="15.75" customHeight="1">
      <c r="A627" s="6">
        <v>10484.0</v>
      </c>
      <c r="B627" s="7" t="s">
        <v>46</v>
      </c>
      <c r="C627" s="8">
        <v>45009.0</v>
      </c>
      <c r="D627" s="8">
        <v>45037.0</v>
      </c>
      <c r="E627" s="8">
        <v>45017.0</v>
      </c>
      <c r="F627" s="8">
        <v>45023.0</v>
      </c>
      <c r="G627" s="6">
        <v>40.0</v>
      </c>
      <c r="H627" s="9">
        <v>14.7</v>
      </c>
      <c r="I627" s="10">
        <v>10.0</v>
      </c>
      <c r="J627" s="11">
        <v>0.0</v>
      </c>
      <c r="K627" s="9">
        <v>6.88</v>
      </c>
      <c r="L627" s="7" t="s">
        <v>13</v>
      </c>
    </row>
    <row r="628" ht="15.75" customHeight="1">
      <c r="A628" s="6">
        <v>10484.0</v>
      </c>
      <c r="B628" s="7" t="s">
        <v>46</v>
      </c>
      <c r="C628" s="8">
        <v>45009.0</v>
      </c>
      <c r="D628" s="8">
        <v>45037.0</v>
      </c>
      <c r="E628" s="8">
        <v>45017.0</v>
      </c>
      <c r="F628" s="8">
        <v>45023.0</v>
      </c>
      <c r="G628" s="6">
        <v>51.0</v>
      </c>
      <c r="H628" s="9">
        <v>42.4</v>
      </c>
      <c r="I628" s="10">
        <v>3.0</v>
      </c>
      <c r="J628" s="11">
        <v>0.0</v>
      </c>
      <c r="K628" s="9">
        <v>6.88</v>
      </c>
      <c r="L628" s="7" t="s">
        <v>13</v>
      </c>
    </row>
    <row r="629" ht="15.75" customHeight="1">
      <c r="A629" s="6">
        <v>10485.0</v>
      </c>
      <c r="B629" s="7" t="s">
        <v>82</v>
      </c>
      <c r="C629" s="8">
        <v>45010.0</v>
      </c>
      <c r="D629" s="8">
        <v>45024.0</v>
      </c>
      <c r="E629" s="8">
        <v>45016.0</v>
      </c>
      <c r="F629" s="8">
        <v>45029.0</v>
      </c>
      <c r="G629" s="6">
        <v>2.0</v>
      </c>
      <c r="H629" s="9">
        <v>15.2</v>
      </c>
      <c r="I629" s="10">
        <v>20.0</v>
      </c>
      <c r="J629" s="11">
        <v>0.1</v>
      </c>
      <c r="K629" s="9">
        <v>64.45</v>
      </c>
      <c r="L629" s="7" t="s">
        <v>17</v>
      </c>
    </row>
    <row r="630" ht="15.75" customHeight="1">
      <c r="A630" s="6">
        <v>10485.0</v>
      </c>
      <c r="B630" s="7" t="s">
        <v>82</v>
      </c>
      <c r="C630" s="8">
        <v>45010.0</v>
      </c>
      <c r="D630" s="8">
        <v>45024.0</v>
      </c>
      <c r="E630" s="8">
        <v>45016.0</v>
      </c>
      <c r="F630" s="8">
        <v>45029.0</v>
      </c>
      <c r="G630" s="6">
        <v>3.0</v>
      </c>
      <c r="H630" s="9">
        <v>8.0</v>
      </c>
      <c r="I630" s="10">
        <v>20.0</v>
      </c>
      <c r="J630" s="11">
        <v>0.1</v>
      </c>
      <c r="K630" s="9">
        <v>64.45</v>
      </c>
      <c r="L630" s="7" t="s">
        <v>17</v>
      </c>
    </row>
    <row r="631" ht="15.75" customHeight="1">
      <c r="A631" s="6">
        <v>10485.0</v>
      </c>
      <c r="B631" s="7" t="s">
        <v>82</v>
      </c>
      <c r="C631" s="8">
        <v>45010.0</v>
      </c>
      <c r="D631" s="8">
        <v>45024.0</v>
      </c>
      <c r="E631" s="8">
        <v>45016.0</v>
      </c>
      <c r="F631" s="8">
        <v>45029.0</v>
      </c>
      <c r="G631" s="6">
        <v>55.0</v>
      </c>
      <c r="H631" s="9">
        <v>19.2</v>
      </c>
      <c r="I631" s="10">
        <v>30.0</v>
      </c>
      <c r="J631" s="11">
        <v>0.1</v>
      </c>
      <c r="K631" s="9">
        <v>64.45</v>
      </c>
      <c r="L631" s="7" t="s">
        <v>17</v>
      </c>
    </row>
    <row r="632" ht="15.75" customHeight="1">
      <c r="A632" s="6">
        <v>10485.0</v>
      </c>
      <c r="B632" s="7" t="s">
        <v>82</v>
      </c>
      <c r="C632" s="8">
        <v>45010.0</v>
      </c>
      <c r="D632" s="8">
        <v>45024.0</v>
      </c>
      <c r="E632" s="8">
        <v>45016.0</v>
      </c>
      <c r="F632" s="8">
        <v>45029.0</v>
      </c>
      <c r="G632" s="6">
        <v>70.0</v>
      </c>
      <c r="H632" s="9">
        <v>12.0</v>
      </c>
      <c r="I632" s="10">
        <v>60.0</v>
      </c>
      <c r="J632" s="11">
        <v>0.1</v>
      </c>
      <c r="K632" s="9">
        <v>64.45</v>
      </c>
      <c r="L632" s="7" t="s">
        <v>17</v>
      </c>
    </row>
    <row r="633" ht="15.75" customHeight="1">
      <c r="A633" s="6">
        <v>10486.0</v>
      </c>
      <c r="B633" s="7" t="s">
        <v>23</v>
      </c>
      <c r="C633" s="8">
        <v>45011.0</v>
      </c>
      <c r="D633" s="8">
        <v>45039.0</v>
      </c>
      <c r="E633" s="8">
        <v>45018.0</v>
      </c>
      <c r="F633" s="8">
        <v>45032.0</v>
      </c>
      <c r="G633" s="6">
        <v>11.0</v>
      </c>
      <c r="H633" s="9">
        <v>16.8</v>
      </c>
      <c r="I633" s="10">
        <v>5.0</v>
      </c>
      <c r="J633" s="11">
        <v>0.0</v>
      </c>
      <c r="K633" s="9">
        <v>30.53</v>
      </c>
      <c r="L633" s="7" t="s">
        <v>17</v>
      </c>
    </row>
    <row r="634" ht="15.75" customHeight="1">
      <c r="A634" s="6">
        <v>10486.0</v>
      </c>
      <c r="B634" s="7" t="s">
        <v>23</v>
      </c>
      <c r="C634" s="8">
        <v>45011.0</v>
      </c>
      <c r="D634" s="8">
        <v>45039.0</v>
      </c>
      <c r="E634" s="8">
        <v>45018.0</v>
      </c>
      <c r="F634" s="8">
        <v>45032.0</v>
      </c>
      <c r="G634" s="6">
        <v>51.0</v>
      </c>
      <c r="H634" s="9">
        <v>42.4</v>
      </c>
      <c r="I634" s="10">
        <v>25.0</v>
      </c>
      <c r="J634" s="11">
        <v>0.0</v>
      </c>
      <c r="K634" s="9">
        <v>30.53</v>
      </c>
      <c r="L634" s="7" t="s">
        <v>17</v>
      </c>
    </row>
    <row r="635" ht="15.75" customHeight="1">
      <c r="A635" s="6">
        <v>10486.0</v>
      </c>
      <c r="B635" s="7" t="s">
        <v>23</v>
      </c>
      <c r="C635" s="8">
        <v>45011.0</v>
      </c>
      <c r="D635" s="8">
        <v>45039.0</v>
      </c>
      <c r="E635" s="8">
        <v>45018.0</v>
      </c>
      <c r="F635" s="8">
        <v>45032.0</v>
      </c>
      <c r="G635" s="6">
        <v>74.0</v>
      </c>
      <c r="H635" s="9">
        <v>8.0</v>
      </c>
      <c r="I635" s="10">
        <v>16.0</v>
      </c>
      <c r="J635" s="11">
        <v>0.0</v>
      </c>
      <c r="K635" s="9">
        <v>30.53</v>
      </c>
      <c r="L635" s="7" t="s">
        <v>17</v>
      </c>
    </row>
    <row r="636" ht="15.75" customHeight="1">
      <c r="A636" s="6">
        <v>10487.0</v>
      </c>
      <c r="B636" s="7" t="s">
        <v>77</v>
      </c>
      <c r="C636" s="8">
        <v>45011.0</v>
      </c>
      <c r="D636" s="8">
        <v>45039.0</v>
      </c>
      <c r="E636" s="8">
        <v>45013.0</v>
      </c>
      <c r="F636" s="8">
        <v>45033.0</v>
      </c>
      <c r="G636" s="6">
        <v>19.0</v>
      </c>
      <c r="H636" s="9">
        <v>7.3</v>
      </c>
      <c r="I636" s="10">
        <v>5.0</v>
      </c>
      <c r="J636" s="11">
        <v>0.0</v>
      </c>
      <c r="K636" s="9">
        <v>71.07</v>
      </c>
      <c r="L636" s="7" t="s">
        <v>17</v>
      </c>
    </row>
    <row r="637" ht="15.75" customHeight="1">
      <c r="A637" s="6">
        <v>10487.0</v>
      </c>
      <c r="B637" s="7" t="s">
        <v>77</v>
      </c>
      <c r="C637" s="8">
        <v>45011.0</v>
      </c>
      <c r="D637" s="8">
        <v>45039.0</v>
      </c>
      <c r="E637" s="8">
        <v>45013.0</v>
      </c>
      <c r="F637" s="8">
        <v>45033.0</v>
      </c>
      <c r="G637" s="6">
        <v>26.0</v>
      </c>
      <c r="H637" s="9">
        <v>24.9</v>
      </c>
      <c r="I637" s="10">
        <v>30.0</v>
      </c>
      <c r="J637" s="11">
        <v>0.0</v>
      </c>
      <c r="K637" s="9">
        <v>71.07</v>
      </c>
      <c r="L637" s="7" t="s">
        <v>17</v>
      </c>
    </row>
    <row r="638" ht="15.75" customHeight="1">
      <c r="A638" s="6">
        <v>10487.0</v>
      </c>
      <c r="B638" s="7" t="s">
        <v>77</v>
      </c>
      <c r="C638" s="8">
        <v>45011.0</v>
      </c>
      <c r="D638" s="8">
        <v>45039.0</v>
      </c>
      <c r="E638" s="8">
        <v>45013.0</v>
      </c>
      <c r="F638" s="8">
        <v>45033.0</v>
      </c>
      <c r="G638" s="6">
        <v>54.0</v>
      </c>
      <c r="H638" s="9">
        <v>5.9</v>
      </c>
      <c r="I638" s="10">
        <v>24.0</v>
      </c>
      <c r="J638" s="11">
        <v>0.25</v>
      </c>
      <c r="K638" s="9">
        <v>71.07</v>
      </c>
      <c r="L638" s="7" t="s">
        <v>17</v>
      </c>
    </row>
    <row r="639" ht="15.75" customHeight="1">
      <c r="A639" s="6">
        <v>10488.0</v>
      </c>
      <c r="B639" s="7" t="s">
        <v>32</v>
      </c>
      <c r="C639" s="8">
        <v>45012.0</v>
      </c>
      <c r="D639" s="8">
        <v>45040.0</v>
      </c>
      <c r="E639" s="8">
        <v>45018.0</v>
      </c>
      <c r="F639" s="8">
        <v>45027.0</v>
      </c>
      <c r="G639" s="6">
        <v>59.0</v>
      </c>
      <c r="H639" s="9">
        <v>44.0</v>
      </c>
      <c r="I639" s="10">
        <v>30.0</v>
      </c>
      <c r="J639" s="11">
        <v>0.0</v>
      </c>
      <c r="K639" s="9">
        <v>4.93</v>
      </c>
      <c r="L639" s="7" t="s">
        <v>17</v>
      </c>
    </row>
    <row r="640" ht="15.75" customHeight="1">
      <c r="A640" s="6">
        <v>10488.0</v>
      </c>
      <c r="B640" s="7" t="s">
        <v>32</v>
      </c>
      <c r="C640" s="8">
        <v>45012.0</v>
      </c>
      <c r="D640" s="8">
        <v>45040.0</v>
      </c>
      <c r="E640" s="8">
        <v>45018.0</v>
      </c>
      <c r="F640" s="8">
        <v>45027.0</v>
      </c>
      <c r="G640" s="6">
        <v>73.0</v>
      </c>
      <c r="H640" s="9">
        <v>12.0</v>
      </c>
      <c r="I640" s="10">
        <v>20.0</v>
      </c>
      <c r="J640" s="11">
        <v>0.2</v>
      </c>
      <c r="K640" s="9">
        <v>4.93</v>
      </c>
      <c r="L640" s="7" t="s">
        <v>17</v>
      </c>
    </row>
    <row r="641" ht="15.75" customHeight="1">
      <c r="A641" s="6">
        <v>10489.0</v>
      </c>
      <c r="B641" s="7" t="s">
        <v>69</v>
      </c>
      <c r="C641" s="8">
        <v>45013.0</v>
      </c>
      <c r="D641" s="8">
        <v>45041.0</v>
      </c>
      <c r="E641" s="8">
        <v>45025.0</v>
      </c>
      <c r="F641" s="8">
        <v>45037.0</v>
      </c>
      <c r="G641" s="6">
        <v>11.0</v>
      </c>
      <c r="H641" s="9">
        <v>16.8</v>
      </c>
      <c r="I641" s="10">
        <v>15.0</v>
      </c>
      <c r="J641" s="11">
        <v>0.25</v>
      </c>
      <c r="K641" s="9">
        <v>5.29</v>
      </c>
      <c r="L641" s="7" t="s">
        <v>17</v>
      </c>
    </row>
    <row r="642" ht="15.75" customHeight="1">
      <c r="A642" s="6">
        <v>10489.0</v>
      </c>
      <c r="B642" s="7" t="s">
        <v>69</v>
      </c>
      <c r="C642" s="8">
        <v>45013.0</v>
      </c>
      <c r="D642" s="8">
        <v>45041.0</v>
      </c>
      <c r="E642" s="8">
        <v>45025.0</v>
      </c>
      <c r="F642" s="8">
        <v>45037.0</v>
      </c>
      <c r="G642" s="6">
        <v>16.0</v>
      </c>
      <c r="H642" s="9">
        <v>13.9</v>
      </c>
      <c r="I642" s="10">
        <v>18.0</v>
      </c>
      <c r="J642" s="11">
        <v>0.0</v>
      </c>
      <c r="K642" s="9">
        <v>5.29</v>
      </c>
      <c r="L642" s="7" t="s">
        <v>17</v>
      </c>
    </row>
    <row r="643" ht="15.75" customHeight="1">
      <c r="A643" s="6">
        <v>10490.0</v>
      </c>
      <c r="B643" s="7" t="s">
        <v>23</v>
      </c>
      <c r="C643" s="8">
        <v>45016.0</v>
      </c>
      <c r="D643" s="8">
        <v>45044.0</v>
      </c>
      <c r="E643" s="8">
        <v>45019.0</v>
      </c>
      <c r="F643" s="8">
        <v>45031.0</v>
      </c>
      <c r="G643" s="6">
        <v>59.0</v>
      </c>
      <c r="H643" s="9">
        <v>44.0</v>
      </c>
      <c r="I643" s="10">
        <v>60.0</v>
      </c>
      <c r="J643" s="11">
        <v>0.0</v>
      </c>
      <c r="K643" s="9">
        <v>210.19</v>
      </c>
      <c r="L643" s="7" t="s">
        <v>17</v>
      </c>
    </row>
    <row r="644" ht="15.75" customHeight="1">
      <c r="A644" s="6">
        <v>10490.0</v>
      </c>
      <c r="B644" s="7" t="s">
        <v>23</v>
      </c>
      <c r="C644" s="8">
        <v>45016.0</v>
      </c>
      <c r="D644" s="8">
        <v>45044.0</v>
      </c>
      <c r="E644" s="8">
        <v>45019.0</v>
      </c>
      <c r="F644" s="8">
        <v>45031.0</v>
      </c>
      <c r="G644" s="6">
        <v>68.0</v>
      </c>
      <c r="H644" s="9">
        <v>10.0</v>
      </c>
      <c r="I644" s="10">
        <v>30.0</v>
      </c>
      <c r="J644" s="11">
        <v>0.0</v>
      </c>
      <c r="K644" s="9">
        <v>210.19</v>
      </c>
      <c r="L644" s="7" t="s">
        <v>17</v>
      </c>
    </row>
    <row r="645" ht="15.75" customHeight="1">
      <c r="A645" s="6">
        <v>10490.0</v>
      </c>
      <c r="B645" s="7" t="s">
        <v>23</v>
      </c>
      <c r="C645" s="8">
        <v>45016.0</v>
      </c>
      <c r="D645" s="8">
        <v>45044.0</v>
      </c>
      <c r="E645" s="8">
        <v>45019.0</v>
      </c>
      <c r="F645" s="8">
        <v>45031.0</v>
      </c>
      <c r="G645" s="6">
        <v>75.0</v>
      </c>
      <c r="H645" s="9">
        <v>6.2</v>
      </c>
      <c r="I645" s="10">
        <v>36.0</v>
      </c>
      <c r="J645" s="11">
        <v>0.0</v>
      </c>
      <c r="K645" s="9">
        <v>210.19</v>
      </c>
      <c r="L645" s="7" t="s">
        <v>17</v>
      </c>
    </row>
    <row r="646" ht="15.75" customHeight="1">
      <c r="A646" s="6">
        <v>10491.0</v>
      </c>
      <c r="B646" s="7" t="s">
        <v>62</v>
      </c>
      <c r="C646" s="8">
        <v>45016.0</v>
      </c>
      <c r="D646" s="8">
        <v>45044.0</v>
      </c>
      <c r="E646" s="8">
        <v>45024.0</v>
      </c>
      <c r="F646" s="8">
        <v>45038.0</v>
      </c>
      <c r="G646" s="6">
        <v>44.0</v>
      </c>
      <c r="H646" s="9">
        <v>15.5</v>
      </c>
      <c r="I646" s="10">
        <v>15.0</v>
      </c>
      <c r="J646" s="11">
        <v>0.15</v>
      </c>
      <c r="K646" s="9">
        <v>16.96</v>
      </c>
      <c r="L646" s="7" t="s">
        <v>13</v>
      </c>
    </row>
    <row r="647" ht="15.75" customHeight="1">
      <c r="A647" s="6">
        <v>10491.0</v>
      </c>
      <c r="B647" s="7" t="s">
        <v>62</v>
      </c>
      <c r="C647" s="8">
        <v>45016.0</v>
      </c>
      <c r="D647" s="8">
        <v>45044.0</v>
      </c>
      <c r="E647" s="8">
        <v>45024.0</v>
      </c>
      <c r="F647" s="8">
        <v>45038.0</v>
      </c>
      <c r="G647" s="6">
        <v>77.0</v>
      </c>
      <c r="H647" s="9">
        <v>10.4</v>
      </c>
      <c r="I647" s="10">
        <v>7.0</v>
      </c>
      <c r="J647" s="11">
        <v>0.15</v>
      </c>
      <c r="K647" s="9">
        <v>16.96</v>
      </c>
      <c r="L647" s="7" t="s">
        <v>13</v>
      </c>
    </row>
    <row r="648" ht="15.75" customHeight="1">
      <c r="A648" s="6">
        <v>10492.0</v>
      </c>
      <c r="B648" s="7" t="s">
        <v>81</v>
      </c>
      <c r="C648" s="8">
        <v>45017.0</v>
      </c>
      <c r="D648" s="8">
        <v>45045.0</v>
      </c>
      <c r="E648" s="8">
        <v>45027.0</v>
      </c>
      <c r="F648" s="8">
        <v>45038.0</v>
      </c>
      <c r="G648" s="6">
        <v>25.0</v>
      </c>
      <c r="H648" s="9">
        <v>11.2</v>
      </c>
      <c r="I648" s="10">
        <v>60.0</v>
      </c>
      <c r="J648" s="11">
        <v>0.05</v>
      </c>
      <c r="K648" s="9">
        <v>62.89</v>
      </c>
      <c r="L648" s="7" t="s">
        <v>15</v>
      </c>
    </row>
    <row r="649" ht="15.75" customHeight="1">
      <c r="A649" s="6">
        <v>10492.0</v>
      </c>
      <c r="B649" s="7" t="s">
        <v>81</v>
      </c>
      <c r="C649" s="8">
        <v>45017.0</v>
      </c>
      <c r="D649" s="8">
        <v>45045.0</v>
      </c>
      <c r="E649" s="8">
        <v>45027.0</v>
      </c>
      <c r="F649" s="8">
        <v>45038.0</v>
      </c>
      <c r="G649" s="6">
        <v>42.0</v>
      </c>
      <c r="H649" s="9">
        <v>11.2</v>
      </c>
      <c r="I649" s="10">
        <v>20.0</v>
      </c>
      <c r="J649" s="11">
        <v>0.05</v>
      </c>
      <c r="K649" s="9">
        <v>62.89</v>
      </c>
      <c r="L649" s="7" t="s">
        <v>15</v>
      </c>
    </row>
    <row r="650" ht="15.75" customHeight="1">
      <c r="A650" s="6">
        <v>10493.0</v>
      </c>
      <c r="B650" s="7" t="s">
        <v>68</v>
      </c>
      <c r="C650" s="8">
        <v>45018.0</v>
      </c>
      <c r="D650" s="8">
        <v>45046.0</v>
      </c>
      <c r="E650" s="8">
        <v>45026.0</v>
      </c>
      <c r="F650" s="8">
        <v>45035.0</v>
      </c>
      <c r="G650" s="6">
        <v>65.0</v>
      </c>
      <c r="H650" s="9">
        <v>16.8</v>
      </c>
      <c r="I650" s="10">
        <v>15.0</v>
      </c>
      <c r="J650" s="11">
        <v>0.1</v>
      </c>
      <c r="K650" s="9">
        <v>10.64</v>
      </c>
      <c r="L650" s="7" t="s">
        <v>13</v>
      </c>
    </row>
    <row r="651" ht="15.75" customHeight="1">
      <c r="A651" s="6">
        <v>10493.0</v>
      </c>
      <c r="B651" s="7" t="s">
        <v>68</v>
      </c>
      <c r="C651" s="8">
        <v>45018.0</v>
      </c>
      <c r="D651" s="8">
        <v>45046.0</v>
      </c>
      <c r="E651" s="8">
        <v>45026.0</v>
      </c>
      <c r="F651" s="8">
        <v>45035.0</v>
      </c>
      <c r="G651" s="6">
        <v>66.0</v>
      </c>
      <c r="H651" s="9">
        <v>13.6</v>
      </c>
      <c r="I651" s="10">
        <v>10.0</v>
      </c>
      <c r="J651" s="11">
        <v>0.1</v>
      </c>
      <c r="K651" s="9">
        <v>10.64</v>
      </c>
      <c r="L651" s="7" t="s">
        <v>13</v>
      </c>
    </row>
    <row r="652" ht="15.75" customHeight="1">
      <c r="A652" s="6">
        <v>10493.0</v>
      </c>
      <c r="B652" s="7" t="s">
        <v>68</v>
      </c>
      <c r="C652" s="8">
        <v>45018.0</v>
      </c>
      <c r="D652" s="8">
        <v>45046.0</v>
      </c>
      <c r="E652" s="8">
        <v>45026.0</v>
      </c>
      <c r="F652" s="8">
        <v>45035.0</v>
      </c>
      <c r="G652" s="6">
        <v>69.0</v>
      </c>
      <c r="H652" s="9">
        <v>28.8</v>
      </c>
      <c r="I652" s="10">
        <v>10.0</v>
      </c>
      <c r="J652" s="11">
        <v>0.1</v>
      </c>
      <c r="K652" s="9">
        <v>10.64</v>
      </c>
      <c r="L652" s="7" t="s">
        <v>13</v>
      </c>
    </row>
    <row r="653" ht="15.75" customHeight="1">
      <c r="A653" s="6">
        <v>10494.0</v>
      </c>
      <c r="B653" s="7" t="s">
        <v>47</v>
      </c>
      <c r="C653" s="8">
        <v>45018.0</v>
      </c>
      <c r="D653" s="8">
        <v>45046.0</v>
      </c>
      <c r="E653" s="8">
        <v>45025.0</v>
      </c>
      <c r="F653" s="8">
        <v>45045.0</v>
      </c>
      <c r="G653" s="6">
        <v>56.0</v>
      </c>
      <c r="H653" s="9">
        <v>30.4</v>
      </c>
      <c r="I653" s="10">
        <v>30.0</v>
      </c>
      <c r="J653" s="11">
        <v>0.0</v>
      </c>
      <c r="K653" s="9">
        <v>65.99</v>
      </c>
      <c r="L653" s="7" t="s">
        <v>17</v>
      </c>
    </row>
    <row r="654" ht="15.75" customHeight="1">
      <c r="A654" s="6">
        <v>10495.0</v>
      </c>
      <c r="B654" s="7" t="s">
        <v>90</v>
      </c>
      <c r="C654" s="8">
        <v>45019.0</v>
      </c>
      <c r="D654" s="8">
        <v>45047.0</v>
      </c>
      <c r="E654" s="8">
        <v>45027.0</v>
      </c>
      <c r="F654" s="8">
        <v>45038.0</v>
      </c>
      <c r="G654" s="6">
        <v>23.0</v>
      </c>
      <c r="H654" s="9">
        <v>7.2</v>
      </c>
      <c r="I654" s="10">
        <v>10.0</v>
      </c>
      <c r="J654" s="11">
        <v>0.0</v>
      </c>
      <c r="K654" s="9">
        <v>4.65</v>
      </c>
      <c r="L654" s="7" t="s">
        <v>13</v>
      </c>
    </row>
    <row r="655" ht="15.75" customHeight="1">
      <c r="A655" s="6">
        <v>10495.0</v>
      </c>
      <c r="B655" s="7" t="s">
        <v>90</v>
      </c>
      <c r="C655" s="8">
        <v>45019.0</v>
      </c>
      <c r="D655" s="8">
        <v>45047.0</v>
      </c>
      <c r="E655" s="8">
        <v>45027.0</v>
      </c>
      <c r="F655" s="8">
        <v>45038.0</v>
      </c>
      <c r="G655" s="6">
        <v>41.0</v>
      </c>
      <c r="H655" s="9">
        <v>7.7</v>
      </c>
      <c r="I655" s="10">
        <v>20.0</v>
      </c>
      <c r="J655" s="11">
        <v>0.0</v>
      </c>
      <c r="K655" s="9">
        <v>4.65</v>
      </c>
      <c r="L655" s="7" t="s">
        <v>13</v>
      </c>
    </row>
    <row r="656" ht="15.75" customHeight="1">
      <c r="A656" s="6">
        <v>10495.0</v>
      </c>
      <c r="B656" s="7" t="s">
        <v>90</v>
      </c>
      <c r="C656" s="8">
        <v>45019.0</v>
      </c>
      <c r="D656" s="8">
        <v>45047.0</v>
      </c>
      <c r="E656" s="8">
        <v>45027.0</v>
      </c>
      <c r="F656" s="8">
        <v>45038.0</v>
      </c>
      <c r="G656" s="6">
        <v>77.0</v>
      </c>
      <c r="H656" s="9">
        <v>10.4</v>
      </c>
      <c r="I656" s="10">
        <v>5.0</v>
      </c>
      <c r="J656" s="11">
        <v>0.0</v>
      </c>
      <c r="K656" s="9">
        <v>4.65</v>
      </c>
      <c r="L656" s="7" t="s">
        <v>13</v>
      </c>
    </row>
    <row r="657" ht="15.75" customHeight="1">
      <c r="A657" s="6">
        <v>10496.0</v>
      </c>
      <c r="B657" s="7" t="s">
        <v>48</v>
      </c>
      <c r="C657" s="8">
        <v>45020.0</v>
      </c>
      <c r="D657" s="8">
        <v>45048.0</v>
      </c>
      <c r="E657" s="8">
        <v>45023.0</v>
      </c>
      <c r="F657" s="8">
        <v>45044.0</v>
      </c>
      <c r="G657" s="6">
        <v>31.0</v>
      </c>
      <c r="H657" s="9">
        <v>10.0</v>
      </c>
      <c r="I657" s="10">
        <v>20.0</v>
      </c>
      <c r="J657" s="11">
        <v>0.05</v>
      </c>
      <c r="K657" s="9">
        <v>46.77</v>
      </c>
      <c r="L657" s="7" t="s">
        <v>17</v>
      </c>
    </row>
    <row r="658" ht="15.75" customHeight="1">
      <c r="A658" s="6">
        <v>10497.0</v>
      </c>
      <c r="B658" s="7" t="s">
        <v>41</v>
      </c>
      <c r="C658" s="8">
        <v>45020.0</v>
      </c>
      <c r="D658" s="8">
        <v>45048.0</v>
      </c>
      <c r="E658" s="8">
        <v>45023.0</v>
      </c>
      <c r="F658" s="8">
        <v>45028.0</v>
      </c>
      <c r="G658" s="6">
        <v>56.0</v>
      </c>
      <c r="H658" s="9">
        <v>30.4</v>
      </c>
      <c r="I658" s="10">
        <v>14.0</v>
      </c>
      <c r="J658" s="11">
        <v>0.0</v>
      </c>
      <c r="K658" s="9">
        <v>36.21</v>
      </c>
      <c r="L658" s="7" t="s">
        <v>15</v>
      </c>
    </row>
    <row r="659" ht="15.75" customHeight="1">
      <c r="A659" s="6">
        <v>10497.0</v>
      </c>
      <c r="B659" s="7" t="s">
        <v>41</v>
      </c>
      <c r="C659" s="8">
        <v>45020.0</v>
      </c>
      <c r="D659" s="8">
        <v>45048.0</v>
      </c>
      <c r="E659" s="8">
        <v>45023.0</v>
      </c>
      <c r="F659" s="8">
        <v>45028.0</v>
      </c>
      <c r="G659" s="6">
        <v>72.0</v>
      </c>
      <c r="H659" s="9">
        <v>27.8</v>
      </c>
      <c r="I659" s="10">
        <v>25.0</v>
      </c>
      <c r="J659" s="11">
        <v>0.0</v>
      </c>
      <c r="K659" s="9">
        <v>36.21</v>
      </c>
      <c r="L659" s="7" t="s">
        <v>15</v>
      </c>
    </row>
    <row r="660" ht="15.75" customHeight="1">
      <c r="A660" s="6">
        <v>10497.0</v>
      </c>
      <c r="B660" s="7" t="s">
        <v>41</v>
      </c>
      <c r="C660" s="8">
        <v>45020.0</v>
      </c>
      <c r="D660" s="8">
        <v>45048.0</v>
      </c>
      <c r="E660" s="8">
        <v>45023.0</v>
      </c>
      <c r="F660" s="8">
        <v>45028.0</v>
      </c>
      <c r="G660" s="6">
        <v>77.0</v>
      </c>
      <c r="H660" s="9">
        <v>10.4</v>
      </c>
      <c r="I660" s="10">
        <v>25.0</v>
      </c>
      <c r="J660" s="11">
        <v>0.0</v>
      </c>
      <c r="K660" s="9">
        <v>36.21</v>
      </c>
      <c r="L660" s="7" t="s">
        <v>15</v>
      </c>
    </row>
    <row r="661" ht="15.75" customHeight="1">
      <c r="A661" s="6">
        <v>10498.0</v>
      </c>
      <c r="B661" s="7" t="s">
        <v>23</v>
      </c>
      <c r="C661" s="8">
        <v>45023.0</v>
      </c>
      <c r="D661" s="8">
        <v>45051.0</v>
      </c>
      <c r="E661" s="8">
        <v>45027.0</v>
      </c>
      <c r="F661" s="8">
        <v>45042.0</v>
      </c>
      <c r="G661" s="6">
        <v>24.0</v>
      </c>
      <c r="H661" s="9">
        <v>4.5</v>
      </c>
      <c r="I661" s="10">
        <v>14.0</v>
      </c>
      <c r="J661" s="11">
        <v>0.0</v>
      </c>
      <c r="K661" s="9">
        <v>29.75</v>
      </c>
      <c r="L661" s="7" t="s">
        <v>17</v>
      </c>
    </row>
    <row r="662" ht="15.75" customHeight="1">
      <c r="A662" s="6">
        <v>10498.0</v>
      </c>
      <c r="B662" s="7" t="s">
        <v>23</v>
      </c>
      <c r="C662" s="8">
        <v>45023.0</v>
      </c>
      <c r="D662" s="8">
        <v>45051.0</v>
      </c>
      <c r="E662" s="8">
        <v>45027.0</v>
      </c>
      <c r="F662" s="8">
        <v>45042.0</v>
      </c>
      <c r="G662" s="6">
        <v>40.0</v>
      </c>
      <c r="H662" s="9">
        <v>18.4</v>
      </c>
      <c r="I662" s="10">
        <v>5.0</v>
      </c>
      <c r="J662" s="11">
        <v>0.0</v>
      </c>
      <c r="K662" s="9">
        <v>29.75</v>
      </c>
      <c r="L662" s="7" t="s">
        <v>17</v>
      </c>
    </row>
    <row r="663" ht="15.75" customHeight="1">
      <c r="A663" s="6">
        <v>10498.0</v>
      </c>
      <c r="B663" s="7" t="s">
        <v>23</v>
      </c>
      <c r="C663" s="8">
        <v>45023.0</v>
      </c>
      <c r="D663" s="8">
        <v>45051.0</v>
      </c>
      <c r="E663" s="8">
        <v>45027.0</v>
      </c>
      <c r="F663" s="8">
        <v>45042.0</v>
      </c>
      <c r="G663" s="6">
        <v>42.0</v>
      </c>
      <c r="H663" s="9">
        <v>14.0</v>
      </c>
      <c r="I663" s="10">
        <v>30.0</v>
      </c>
      <c r="J663" s="11">
        <v>0.0</v>
      </c>
      <c r="K663" s="9">
        <v>29.75</v>
      </c>
      <c r="L663" s="7" t="s">
        <v>17</v>
      </c>
    </row>
    <row r="664" ht="15.75" customHeight="1">
      <c r="A664" s="6">
        <v>10499.0</v>
      </c>
      <c r="B664" s="7" t="s">
        <v>43</v>
      </c>
      <c r="C664" s="8">
        <v>45024.0</v>
      </c>
      <c r="D664" s="8">
        <v>45052.0</v>
      </c>
      <c r="E664" s="8">
        <v>45032.0</v>
      </c>
      <c r="F664" s="8">
        <v>45045.0</v>
      </c>
      <c r="G664" s="6">
        <v>28.0</v>
      </c>
      <c r="H664" s="9">
        <v>45.6</v>
      </c>
      <c r="I664" s="10">
        <v>20.0</v>
      </c>
      <c r="J664" s="11">
        <v>0.0</v>
      </c>
      <c r="K664" s="9">
        <v>102.02</v>
      </c>
      <c r="L664" s="7" t="s">
        <v>17</v>
      </c>
    </row>
    <row r="665" ht="15.75" customHeight="1">
      <c r="A665" s="6">
        <v>10499.0</v>
      </c>
      <c r="B665" s="7" t="s">
        <v>43</v>
      </c>
      <c r="C665" s="8">
        <v>45024.0</v>
      </c>
      <c r="D665" s="8">
        <v>45052.0</v>
      </c>
      <c r="E665" s="8">
        <v>45032.0</v>
      </c>
      <c r="F665" s="8">
        <v>45045.0</v>
      </c>
      <c r="G665" s="6">
        <v>49.0</v>
      </c>
      <c r="H665" s="9">
        <v>20.0</v>
      </c>
      <c r="I665" s="10">
        <v>25.0</v>
      </c>
      <c r="J665" s="11">
        <v>0.0</v>
      </c>
      <c r="K665" s="9">
        <v>102.02</v>
      </c>
      <c r="L665" s="7" t="s">
        <v>17</v>
      </c>
    </row>
    <row r="666" ht="15.75" customHeight="1">
      <c r="A666" s="6">
        <v>10500.0</v>
      </c>
      <c r="B666" s="7" t="s">
        <v>68</v>
      </c>
      <c r="C666" s="8">
        <v>45025.0</v>
      </c>
      <c r="D666" s="8">
        <v>45053.0</v>
      </c>
      <c r="E666" s="8">
        <v>45033.0</v>
      </c>
      <c r="F666" s="8">
        <v>45038.0</v>
      </c>
      <c r="G666" s="6">
        <v>15.0</v>
      </c>
      <c r="H666" s="9">
        <v>15.5</v>
      </c>
      <c r="I666" s="10">
        <v>12.0</v>
      </c>
      <c r="J666" s="11">
        <v>0.05</v>
      </c>
      <c r="K666" s="9">
        <v>42.68</v>
      </c>
      <c r="L666" s="7" t="s">
        <v>15</v>
      </c>
    </row>
    <row r="667" ht="15.75" customHeight="1">
      <c r="A667" s="6">
        <v>10500.0</v>
      </c>
      <c r="B667" s="7" t="s">
        <v>68</v>
      </c>
      <c r="C667" s="8">
        <v>45025.0</v>
      </c>
      <c r="D667" s="8">
        <v>45053.0</v>
      </c>
      <c r="E667" s="8">
        <v>45033.0</v>
      </c>
      <c r="F667" s="8">
        <v>45038.0</v>
      </c>
      <c r="G667" s="6">
        <v>28.0</v>
      </c>
      <c r="H667" s="9">
        <v>45.6</v>
      </c>
      <c r="I667" s="10">
        <v>8.0</v>
      </c>
      <c r="J667" s="11">
        <v>0.05</v>
      </c>
      <c r="K667" s="9">
        <v>42.68</v>
      </c>
      <c r="L667" s="7" t="s">
        <v>15</v>
      </c>
    </row>
    <row r="668" ht="15.75" customHeight="1">
      <c r="A668" s="6">
        <v>10501.0</v>
      </c>
      <c r="B668" s="7" t="s">
        <v>91</v>
      </c>
      <c r="C668" s="8">
        <v>45025.0</v>
      </c>
      <c r="D668" s="8">
        <v>45053.0</v>
      </c>
      <c r="E668" s="8">
        <v>45032.0</v>
      </c>
      <c r="F668" s="8">
        <v>45038.0</v>
      </c>
      <c r="G668" s="6">
        <v>54.0</v>
      </c>
      <c r="H668" s="9">
        <v>7.45</v>
      </c>
      <c r="I668" s="10">
        <v>20.0</v>
      </c>
      <c r="J668" s="11">
        <v>0.0</v>
      </c>
      <c r="K668" s="9">
        <v>8.85</v>
      </c>
      <c r="L668" s="7" t="s">
        <v>13</v>
      </c>
    </row>
    <row r="669" ht="15.75" customHeight="1">
      <c r="A669" s="6">
        <v>10502.0</v>
      </c>
      <c r="B669" s="7" t="s">
        <v>58</v>
      </c>
      <c r="C669" s="8">
        <v>45026.0</v>
      </c>
      <c r="D669" s="8">
        <v>45054.0</v>
      </c>
      <c r="E669" s="8">
        <v>45045.0</v>
      </c>
      <c r="F669" s="8">
        <v>45056.0</v>
      </c>
      <c r="G669" s="6">
        <v>45.0</v>
      </c>
      <c r="H669" s="9">
        <v>9.5</v>
      </c>
      <c r="I669" s="10">
        <v>21.0</v>
      </c>
      <c r="J669" s="11">
        <v>0.0</v>
      </c>
      <c r="K669" s="9">
        <v>69.32</v>
      </c>
      <c r="L669" s="7" t="s">
        <v>15</v>
      </c>
    </row>
    <row r="670" ht="15.75" customHeight="1">
      <c r="A670" s="6">
        <v>10502.0</v>
      </c>
      <c r="B670" s="7" t="s">
        <v>58</v>
      </c>
      <c r="C670" s="8">
        <v>45026.0</v>
      </c>
      <c r="D670" s="8">
        <v>45054.0</v>
      </c>
      <c r="E670" s="8">
        <v>45045.0</v>
      </c>
      <c r="F670" s="8">
        <v>45056.0</v>
      </c>
      <c r="G670" s="6">
        <v>53.0</v>
      </c>
      <c r="H670" s="9">
        <v>32.8</v>
      </c>
      <c r="I670" s="10">
        <v>6.0</v>
      </c>
      <c r="J670" s="11">
        <v>0.0</v>
      </c>
      <c r="K670" s="9">
        <v>69.32</v>
      </c>
      <c r="L670" s="7" t="s">
        <v>15</v>
      </c>
    </row>
    <row r="671" ht="15.75" customHeight="1">
      <c r="A671" s="6">
        <v>10502.0</v>
      </c>
      <c r="B671" s="7" t="s">
        <v>58</v>
      </c>
      <c r="C671" s="8">
        <v>45026.0</v>
      </c>
      <c r="D671" s="8">
        <v>45054.0</v>
      </c>
      <c r="E671" s="8">
        <v>45045.0</v>
      </c>
      <c r="F671" s="8">
        <v>45056.0</v>
      </c>
      <c r="G671" s="6">
        <v>67.0</v>
      </c>
      <c r="H671" s="9">
        <v>14.0</v>
      </c>
      <c r="I671" s="10">
        <v>30.0</v>
      </c>
      <c r="J671" s="11">
        <v>0.0</v>
      </c>
      <c r="K671" s="9">
        <v>69.32</v>
      </c>
      <c r="L671" s="7" t="s">
        <v>15</v>
      </c>
    </row>
    <row r="672" ht="15.75" customHeight="1">
      <c r="A672" s="6">
        <v>10503.0</v>
      </c>
      <c r="B672" s="7" t="s">
        <v>49</v>
      </c>
      <c r="C672" s="8">
        <v>45027.0</v>
      </c>
      <c r="D672" s="8">
        <v>45055.0</v>
      </c>
      <c r="E672" s="8">
        <v>45032.0</v>
      </c>
      <c r="F672" s="8">
        <v>45045.0</v>
      </c>
      <c r="G672" s="6">
        <v>14.0</v>
      </c>
      <c r="H672" s="9">
        <v>23.25</v>
      </c>
      <c r="I672" s="10">
        <v>70.0</v>
      </c>
      <c r="J672" s="11">
        <v>0.0</v>
      </c>
      <c r="K672" s="9">
        <v>16.74</v>
      </c>
      <c r="L672" s="7" t="s">
        <v>17</v>
      </c>
    </row>
    <row r="673" ht="15.75" customHeight="1">
      <c r="A673" s="6">
        <v>10503.0</v>
      </c>
      <c r="B673" s="7" t="s">
        <v>49</v>
      </c>
      <c r="C673" s="8">
        <v>45027.0</v>
      </c>
      <c r="D673" s="8">
        <v>45055.0</v>
      </c>
      <c r="E673" s="8">
        <v>45032.0</v>
      </c>
      <c r="F673" s="8">
        <v>45045.0</v>
      </c>
      <c r="G673" s="6">
        <v>65.0</v>
      </c>
      <c r="H673" s="9">
        <v>21.05</v>
      </c>
      <c r="I673" s="10">
        <v>20.0</v>
      </c>
      <c r="J673" s="11">
        <v>0.0</v>
      </c>
      <c r="K673" s="9">
        <v>16.74</v>
      </c>
      <c r="L673" s="7" t="s">
        <v>17</v>
      </c>
    </row>
    <row r="674" ht="15.75" customHeight="1">
      <c r="A674" s="6">
        <v>10504.0</v>
      </c>
      <c r="B674" s="7" t="s">
        <v>34</v>
      </c>
      <c r="C674" s="8">
        <v>45027.0</v>
      </c>
      <c r="D674" s="8">
        <v>45055.0</v>
      </c>
      <c r="E674" s="8">
        <v>45034.0</v>
      </c>
      <c r="F674" s="8">
        <v>45049.0</v>
      </c>
      <c r="G674" s="6">
        <v>2.0</v>
      </c>
      <c r="H674" s="9">
        <v>19.0</v>
      </c>
      <c r="I674" s="10">
        <v>12.0</v>
      </c>
      <c r="J674" s="11">
        <v>0.0</v>
      </c>
      <c r="K674" s="9">
        <v>59.13</v>
      </c>
      <c r="L674" s="7" t="s">
        <v>13</v>
      </c>
    </row>
    <row r="675" ht="15.75" customHeight="1">
      <c r="A675" s="6">
        <v>10504.0</v>
      </c>
      <c r="B675" s="7" t="s">
        <v>34</v>
      </c>
      <c r="C675" s="8">
        <v>45027.0</v>
      </c>
      <c r="D675" s="8">
        <v>45055.0</v>
      </c>
      <c r="E675" s="8">
        <v>45034.0</v>
      </c>
      <c r="F675" s="8">
        <v>45049.0</v>
      </c>
      <c r="G675" s="6">
        <v>21.0</v>
      </c>
      <c r="H675" s="9">
        <v>10.0</v>
      </c>
      <c r="I675" s="10">
        <v>12.0</v>
      </c>
      <c r="J675" s="11">
        <v>0.0</v>
      </c>
      <c r="K675" s="9">
        <v>59.13</v>
      </c>
      <c r="L675" s="7" t="s">
        <v>13</v>
      </c>
    </row>
    <row r="676" ht="15.75" customHeight="1">
      <c r="A676" s="6">
        <v>10504.0</v>
      </c>
      <c r="B676" s="7" t="s">
        <v>34</v>
      </c>
      <c r="C676" s="8">
        <v>45027.0</v>
      </c>
      <c r="D676" s="8">
        <v>45055.0</v>
      </c>
      <c r="E676" s="8">
        <v>45034.0</v>
      </c>
      <c r="F676" s="8">
        <v>45049.0</v>
      </c>
      <c r="G676" s="6">
        <v>53.0</v>
      </c>
      <c r="H676" s="9">
        <v>32.8</v>
      </c>
      <c r="I676" s="10">
        <v>10.0</v>
      </c>
      <c r="J676" s="11">
        <v>0.0</v>
      </c>
      <c r="K676" s="9">
        <v>59.13</v>
      </c>
      <c r="L676" s="7" t="s">
        <v>13</v>
      </c>
    </row>
    <row r="677" ht="15.75" customHeight="1">
      <c r="A677" s="6">
        <v>10504.0</v>
      </c>
      <c r="B677" s="7" t="s">
        <v>34</v>
      </c>
      <c r="C677" s="8">
        <v>45027.0</v>
      </c>
      <c r="D677" s="8">
        <v>45055.0</v>
      </c>
      <c r="E677" s="8">
        <v>45034.0</v>
      </c>
      <c r="F677" s="8">
        <v>45049.0</v>
      </c>
      <c r="G677" s="6">
        <v>61.0</v>
      </c>
      <c r="H677" s="9">
        <v>28.5</v>
      </c>
      <c r="I677" s="10">
        <v>25.0</v>
      </c>
      <c r="J677" s="11">
        <v>0.0</v>
      </c>
      <c r="K677" s="9">
        <v>59.13</v>
      </c>
      <c r="L677" s="7" t="s">
        <v>13</v>
      </c>
    </row>
    <row r="678" ht="15.75" customHeight="1">
      <c r="A678" s="6">
        <v>10505.0</v>
      </c>
      <c r="B678" s="7" t="s">
        <v>64</v>
      </c>
      <c r="C678" s="8">
        <v>45030.0</v>
      </c>
      <c r="D678" s="8">
        <v>45058.0</v>
      </c>
      <c r="E678" s="8">
        <v>45037.0</v>
      </c>
      <c r="F678" s="8">
        <v>45050.0</v>
      </c>
      <c r="G678" s="6">
        <v>62.0</v>
      </c>
      <c r="H678" s="9">
        <v>49.3</v>
      </c>
      <c r="I678" s="10">
        <v>3.0</v>
      </c>
      <c r="J678" s="11">
        <v>0.0</v>
      </c>
      <c r="K678" s="9">
        <v>7.13</v>
      </c>
      <c r="L678" s="7" t="s">
        <v>13</v>
      </c>
    </row>
    <row r="679" ht="15.75" customHeight="1">
      <c r="A679" s="6">
        <v>10506.0</v>
      </c>
      <c r="B679" s="7" t="s">
        <v>59</v>
      </c>
      <c r="C679" s="8">
        <v>45031.0</v>
      </c>
      <c r="D679" s="8">
        <v>45059.0</v>
      </c>
      <c r="E679" s="8">
        <v>45048.0</v>
      </c>
      <c r="F679" s="8">
        <v>45055.0</v>
      </c>
      <c r="G679" s="6">
        <v>25.0</v>
      </c>
      <c r="H679" s="9">
        <v>14.0</v>
      </c>
      <c r="I679" s="10">
        <v>18.0</v>
      </c>
      <c r="J679" s="11">
        <v>0.1</v>
      </c>
      <c r="K679" s="9">
        <v>21.19</v>
      </c>
      <c r="L679" s="7" t="s">
        <v>17</v>
      </c>
    </row>
    <row r="680" ht="15.75" customHeight="1">
      <c r="A680" s="6">
        <v>10506.0</v>
      </c>
      <c r="B680" s="7" t="s">
        <v>59</v>
      </c>
      <c r="C680" s="8">
        <v>45031.0</v>
      </c>
      <c r="D680" s="8">
        <v>45059.0</v>
      </c>
      <c r="E680" s="8">
        <v>45048.0</v>
      </c>
      <c r="F680" s="8">
        <v>45055.0</v>
      </c>
      <c r="G680" s="6">
        <v>70.0</v>
      </c>
      <c r="H680" s="9">
        <v>15.0</v>
      </c>
      <c r="I680" s="10">
        <v>14.0</v>
      </c>
      <c r="J680" s="11">
        <v>0.1</v>
      </c>
      <c r="K680" s="9">
        <v>21.19</v>
      </c>
      <c r="L680" s="7" t="s">
        <v>17</v>
      </c>
    </row>
    <row r="681" ht="15.75" customHeight="1">
      <c r="A681" s="6">
        <v>10507.0</v>
      </c>
      <c r="B681" s="7" t="s">
        <v>74</v>
      </c>
      <c r="C681" s="8">
        <v>45031.0</v>
      </c>
      <c r="D681" s="8">
        <v>45059.0</v>
      </c>
      <c r="E681" s="8">
        <v>45038.0</v>
      </c>
      <c r="F681" s="8">
        <v>45050.0</v>
      </c>
      <c r="G681" s="6">
        <v>43.0</v>
      </c>
      <c r="H681" s="9">
        <v>46.0</v>
      </c>
      <c r="I681" s="10">
        <v>15.0</v>
      </c>
      <c r="J681" s="11">
        <v>0.15</v>
      </c>
      <c r="K681" s="9">
        <v>47.45</v>
      </c>
      <c r="L681" s="7" t="s">
        <v>15</v>
      </c>
    </row>
    <row r="682" ht="15.75" customHeight="1">
      <c r="A682" s="6">
        <v>10507.0</v>
      </c>
      <c r="B682" s="7" t="s">
        <v>74</v>
      </c>
      <c r="C682" s="8">
        <v>45031.0</v>
      </c>
      <c r="D682" s="8">
        <v>45059.0</v>
      </c>
      <c r="E682" s="8">
        <v>45038.0</v>
      </c>
      <c r="F682" s="8">
        <v>45050.0</v>
      </c>
      <c r="G682" s="6">
        <v>48.0</v>
      </c>
      <c r="H682" s="9">
        <v>12.75</v>
      </c>
      <c r="I682" s="10">
        <v>15.0</v>
      </c>
      <c r="J682" s="11">
        <v>0.15</v>
      </c>
      <c r="K682" s="9">
        <v>47.45</v>
      </c>
      <c r="L682" s="7" t="s">
        <v>15</v>
      </c>
    </row>
    <row r="683" ht="15.75" customHeight="1">
      <c r="A683" s="6">
        <v>10508.0</v>
      </c>
      <c r="B683" s="7" t="s">
        <v>26</v>
      </c>
      <c r="C683" s="8">
        <v>45032.0</v>
      </c>
      <c r="D683" s="8">
        <v>45060.0</v>
      </c>
      <c r="E683" s="8">
        <v>45059.0</v>
      </c>
      <c r="F683" s="8">
        <v>45067.0</v>
      </c>
      <c r="G683" s="6">
        <v>13.0</v>
      </c>
      <c r="H683" s="9">
        <v>6.0</v>
      </c>
      <c r="I683" s="10">
        <v>10.0</v>
      </c>
      <c r="J683" s="11">
        <v>0.0</v>
      </c>
      <c r="K683" s="9">
        <v>4.99</v>
      </c>
      <c r="L683" s="7" t="s">
        <v>17</v>
      </c>
    </row>
    <row r="684" ht="15.75" customHeight="1">
      <c r="A684" s="6">
        <v>10508.0</v>
      </c>
      <c r="B684" s="7" t="s">
        <v>26</v>
      </c>
      <c r="C684" s="8">
        <v>45032.0</v>
      </c>
      <c r="D684" s="8">
        <v>45060.0</v>
      </c>
      <c r="E684" s="8">
        <v>45059.0</v>
      </c>
      <c r="F684" s="8">
        <v>45067.0</v>
      </c>
      <c r="G684" s="6">
        <v>39.0</v>
      </c>
      <c r="H684" s="9">
        <v>18.0</v>
      </c>
      <c r="I684" s="10">
        <v>10.0</v>
      </c>
      <c r="J684" s="11">
        <v>0.0</v>
      </c>
      <c r="K684" s="9">
        <v>4.99</v>
      </c>
      <c r="L684" s="7" t="s">
        <v>17</v>
      </c>
    </row>
    <row r="685" ht="15.75" customHeight="1">
      <c r="A685" s="6">
        <v>10509.0</v>
      </c>
      <c r="B685" s="7" t="s">
        <v>91</v>
      </c>
      <c r="C685" s="8">
        <v>45033.0</v>
      </c>
      <c r="D685" s="8">
        <v>45061.0</v>
      </c>
      <c r="E685" s="8">
        <v>45045.0</v>
      </c>
      <c r="F685" s="8">
        <v>45050.0</v>
      </c>
      <c r="G685" s="6">
        <v>28.0</v>
      </c>
      <c r="H685" s="9">
        <v>45.6</v>
      </c>
      <c r="I685" s="10">
        <v>3.0</v>
      </c>
      <c r="J685" s="11">
        <v>0.0</v>
      </c>
      <c r="K685" s="9">
        <v>0.15</v>
      </c>
      <c r="L685" s="7" t="s">
        <v>15</v>
      </c>
    </row>
    <row r="686" ht="15.75" customHeight="1">
      <c r="A686" s="6">
        <v>10510.0</v>
      </c>
      <c r="B686" s="7" t="s">
        <v>60</v>
      </c>
      <c r="C686" s="8">
        <v>45034.0</v>
      </c>
      <c r="D686" s="8">
        <v>45062.0</v>
      </c>
      <c r="E686" s="8">
        <v>45044.0</v>
      </c>
      <c r="F686" s="8">
        <v>45057.0</v>
      </c>
      <c r="G686" s="6">
        <v>29.0</v>
      </c>
      <c r="H686" s="9">
        <v>123.79</v>
      </c>
      <c r="I686" s="10">
        <v>36.0</v>
      </c>
      <c r="J686" s="11">
        <v>0.0</v>
      </c>
      <c r="K686" s="9">
        <v>367.63</v>
      </c>
      <c r="L686" s="7" t="s">
        <v>13</v>
      </c>
    </row>
    <row r="687" ht="15.75" customHeight="1">
      <c r="A687" s="6">
        <v>10510.0</v>
      </c>
      <c r="B687" s="7" t="s">
        <v>60</v>
      </c>
      <c r="C687" s="8">
        <v>45034.0</v>
      </c>
      <c r="D687" s="8">
        <v>45062.0</v>
      </c>
      <c r="E687" s="8">
        <v>45044.0</v>
      </c>
      <c r="F687" s="8">
        <v>45057.0</v>
      </c>
      <c r="G687" s="6">
        <v>75.0</v>
      </c>
      <c r="H687" s="9">
        <v>7.75</v>
      </c>
      <c r="I687" s="10">
        <v>36.0</v>
      </c>
      <c r="J687" s="11">
        <v>0.1</v>
      </c>
      <c r="K687" s="9">
        <v>367.63</v>
      </c>
      <c r="L687" s="7" t="s">
        <v>13</v>
      </c>
    </row>
    <row r="688" ht="15.75" customHeight="1">
      <c r="A688" s="6">
        <v>10511.0</v>
      </c>
      <c r="B688" s="7" t="s">
        <v>63</v>
      </c>
      <c r="C688" s="8">
        <v>45034.0</v>
      </c>
      <c r="D688" s="8">
        <v>45062.0</v>
      </c>
      <c r="E688" s="8">
        <v>45037.0</v>
      </c>
      <c r="F688" s="8">
        <v>45046.0</v>
      </c>
      <c r="G688" s="6">
        <v>4.0</v>
      </c>
      <c r="H688" s="9">
        <v>22.0</v>
      </c>
      <c r="I688" s="10">
        <v>50.0</v>
      </c>
      <c r="J688" s="11">
        <v>0.15</v>
      </c>
      <c r="K688" s="9">
        <v>350.64</v>
      </c>
      <c r="L688" s="7" t="s">
        <v>13</v>
      </c>
    </row>
    <row r="689" ht="15.75" customHeight="1">
      <c r="A689" s="6">
        <v>10511.0</v>
      </c>
      <c r="B689" s="7" t="s">
        <v>63</v>
      </c>
      <c r="C689" s="8">
        <v>45034.0</v>
      </c>
      <c r="D689" s="8">
        <v>45062.0</v>
      </c>
      <c r="E689" s="8">
        <v>45037.0</v>
      </c>
      <c r="F689" s="8">
        <v>45046.0</v>
      </c>
      <c r="G689" s="6">
        <v>7.0</v>
      </c>
      <c r="H689" s="9">
        <v>30.0</v>
      </c>
      <c r="I689" s="10">
        <v>50.0</v>
      </c>
      <c r="J689" s="11">
        <v>0.15</v>
      </c>
      <c r="K689" s="9">
        <v>350.64</v>
      </c>
      <c r="L689" s="7" t="s">
        <v>13</v>
      </c>
    </row>
    <row r="690" ht="15.75" customHeight="1">
      <c r="A690" s="6">
        <v>10511.0</v>
      </c>
      <c r="B690" s="7" t="s">
        <v>63</v>
      </c>
      <c r="C690" s="8">
        <v>45034.0</v>
      </c>
      <c r="D690" s="8">
        <v>45062.0</v>
      </c>
      <c r="E690" s="8">
        <v>45037.0</v>
      </c>
      <c r="F690" s="8">
        <v>45046.0</v>
      </c>
      <c r="G690" s="6">
        <v>8.0</v>
      </c>
      <c r="H690" s="9">
        <v>40.0</v>
      </c>
      <c r="I690" s="10">
        <v>10.0</v>
      </c>
      <c r="J690" s="11">
        <v>0.15</v>
      </c>
      <c r="K690" s="9">
        <v>350.64</v>
      </c>
      <c r="L690" s="7" t="s">
        <v>13</v>
      </c>
    </row>
    <row r="691" ht="15.75" customHeight="1">
      <c r="A691" s="6">
        <v>10512.0</v>
      </c>
      <c r="B691" s="7" t="s">
        <v>67</v>
      </c>
      <c r="C691" s="8">
        <v>45037.0</v>
      </c>
      <c r="D691" s="8">
        <v>45065.0</v>
      </c>
      <c r="E691" s="8">
        <v>45040.0</v>
      </c>
      <c r="F691" s="8">
        <v>45057.0</v>
      </c>
      <c r="G691" s="6">
        <v>24.0</v>
      </c>
      <c r="H691" s="9">
        <v>4.5</v>
      </c>
      <c r="I691" s="10">
        <v>10.0</v>
      </c>
      <c r="J691" s="11">
        <v>0.15</v>
      </c>
      <c r="K691" s="9">
        <v>3.53</v>
      </c>
      <c r="L691" s="7" t="s">
        <v>17</v>
      </c>
    </row>
    <row r="692" ht="15.75" customHeight="1">
      <c r="A692" s="6">
        <v>10512.0</v>
      </c>
      <c r="B692" s="7" t="s">
        <v>67</v>
      </c>
      <c r="C692" s="8">
        <v>45037.0</v>
      </c>
      <c r="D692" s="8">
        <v>45065.0</v>
      </c>
      <c r="E692" s="8">
        <v>45040.0</v>
      </c>
      <c r="F692" s="8">
        <v>45057.0</v>
      </c>
      <c r="G692" s="6">
        <v>46.0</v>
      </c>
      <c r="H692" s="9">
        <v>12.0</v>
      </c>
      <c r="I692" s="10">
        <v>9.0</v>
      </c>
      <c r="J692" s="11">
        <v>0.15</v>
      </c>
      <c r="K692" s="9">
        <v>3.53</v>
      </c>
      <c r="L692" s="7" t="s">
        <v>17</v>
      </c>
    </row>
    <row r="693" ht="15.75" customHeight="1">
      <c r="A693" s="6">
        <v>10512.0</v>
      </c>
      <c r="B693" s="7" t="s">
        <v>67</v>
      </c>
      <c r="C693" s="8">
        <v>45037.0</v>
      </c>
      <c r="D693" s="8">
        <v>45065.0</v>
      </c>
      <c r="E693" s="8">
        <v>45040.0</v>
      </c>
      <c r="F693" s="8">
        <v>45057.0</v>
      </c>
      <c r="G693" s="6">
        <v>47.0</v>
      </c>
      <c r="H693" s="9">
        <v>9.5</v>
      </c>
      <c r="I693" s="10">
        <v>6.0</v>
      </c>
      <c r="J693" s="11">
        <v>0.15</v>
      </c>
      <c r="K693" s="9">
        <v>3.53</v>
      </c>
      <c r="L693" s="7" t="s">
        <v>17</v>
      </c>
    </row>
    <row r="694" ht="15.75" customHeight="1">
      <c r="A694" s="6">
        <v>10512.0</v>
      </c>
      <c r="B694" s="7" t="s">
        <v>67</v>
      </c>
      <c r="C694" s="8">
        <v>45037.0</v>
      </c>
      <c r="D694" s="8">
        <v>45065.0</v>
      </c>
      <c r="E694" s="8">
        <v>45040.0</v>
      </c>
      <c r="F694" s="8">
        <v>45057.0</v>
      </c>
      <c r="G694" s="6">
        <v>60.0</v>
      </c>
      <c r="H694" s="9">
        <v>34.0</v>
      </c>
      <c r="I694" s="10">
        <v>12.0</v>
      </c>
      <c r="J694" s="11">
        <v>0.15</v>
      </c>
      <c r="K694" s="9">
        <v>3.53</v>
      </c>
      <c r="L694" s="7" t="s">
        <v>17</v>
      </c>
    </row>
    <row r="695" ht="15.75" customHeight="1">
      <c r="A695" s="6">
        <v>10513.0</v>
      </c>
      <c r="B695" s="7" t="s">
        <v>50</v>
      </c>
      <c r="C695" s="8">
        <v>45038.0</v>
      </c>
      <c r="D695" s="8">
        <v>45080.0</v>
      </c>
      <c r="E695" s="8">
        <v>45044.0</v>
      </c>
      <c r="F695" s="8">
        <v>45045.0</v>
      </c>
      <c r="G695" s="6">
        <v>21.0</v>
      </c>
      <c r="H695" s="9">
        <v>10.0</v>
      </c>
      <c r="I695" s="10">
        <v>40.0</v>
      </c>
      <c r="J695" s="11">
        <v>0.2</v>
      </c>
      <c r="K695" s="9">
        <v>105.65</v>
      </c>
      <c r="L695" s="7" t="s">
        <v>15</v>
      </c>
    </row>
    <row r="696" ht="15.75" customHeight="1">
      <c r="A696" s="6">
        <v>10513.0</v>
      </c>
      <c r="B696" s="7" t="s">
        <v>50</v>
      </c>
      <c r="C696" s="8">
        <v>45038.0</v>
      </c>
      <c r="D696" s="8">
        <v>45080.0</v>
      </c>
      <c r="E696" s="8">
        <v>45044.0</v>
      </c>
      <c r="F696" s="8">
        <v>45045.0</v>
      </c>
      <c r="G696" s="6">
        <v>32.0</v>
      </c>
      <c r="H696" s="9">
        <v>32.0</v>
      </c>
      <c r="I696" s="10">
        <v>50.0</v>
      </c>
      <c r="J696" s="11">
        <v>0.2</v>
      </c>
      <c r="K696" s="9">
        <v>105.65</v>
      </c>
      <c r="L696" s="7" t="s">
        <v>15</v>
      </c>
    </row>
    <row r="697" ht="15.75" customHeight="1">
      <c r="A697" s="6">
        <v>10513.0</v>
      </c>
      <c r="B697" s="7" t="s">
        <v>50</v>
      </c>
      <c r="C697" s="8">
        <v>45038.0</v>
      </c>
      <c r="D697" s="8">
        <v>45080.0</v>
      </c>
      <c r="E697" s="8">
        <v>45044.0</v>
      </c>
      <c r="F697" s="8">
        <v>45045.0</v>
      </c>
      <c r="G697" s="6">
        <v>61.0</v>
      </c>
      <c r="H697" s="9">
        <v>28.5</v>
      </c>
      <c r="I697" s="10">
        <v>15.0</v>
      </c>
      <c r="J697" s="11">
        <v>0.2</v>
      </c>
      <c r="K697" s="9">
        <v>105.65</v>
      </c>
      <c r="L697" s="7" t="s">
        <v>15</v>
      </c>
    </row>
    <row r="698" ht="15.75" customHeight="1">
      <c r="A698" s="6">
        <v>10514.0</v>
      </c>
      <c r="B698" s="7" t="s">
        <v>24</v>
      </c>
      <c r="C698" s="8">
        <v>45038.0</v>
      </c>
      <c r="D698" s="8">
        <v>45066.0</v>
      </c>
      <c r="E698" s="8">
        <v>45062.0</v>
      </c>
      <c r="F698" s="8">
        <v>45077.0</v>
      </c>
      <c r="G698" s="6">
        <v>20.0</v>
      </c>
      <c r="H698" s="9">
        <v>81.0</v>
      </c>
      <c r="I698" s="10">
        <v>39.0</v>
      </c>
      <c r="J698" s="11">
        <v>0.0</v>
      </c>
      <c r="K698" s="9">
        <v>789.95</v>
      </c>
      <c r="L698" s="7" t="s">
        <v>17</v>
      </c>
    </row>
    <row r="699" ht="15.75" customHeight="1">
      <c r="A699" s="6">
        <v>10514.0</v>
      </c>
      <c r="B699" s="7" t="s">
        <v>24</v>
      </c>
      <c r="C699" s="8">
        <v>45038.0</v>
      </c>
      <c r="D699" s="8">
        <v>45066.0</v>
      </c>
      <c r="E699" s="8">
        <v>45062.0</v>
      </c>
      <c r="F699" s="8">
        <v>45077.0</v>
      </c>
      <c r="G699" s="6">
        <v>28.0</v>
      </c>
      <c r="H699" s="9">
        <v>45.6</v>
      </c>
      <c r="I699" s="10">
        <v>35.0</v>
      </c>
      <c r="J699" s="11">
        <v>0.0</v>
      </c>
      <c r="K699" s="9">
        <v>789.95</v>
      </c>
      <c r="L699" s="7" t="s">
        <v>17</v>
      </c>
    </row>
    <row r="700" ht="15.75" customHeight="1">
      <c r="A700" s="6">
        <v>10514.0</v>
      </c>
      <c r="B700" s="7" t="s">
        <v>24</v>
      </c>
      <c r="C700" s="8">
        <v>45038.0</v>
      </c>
      <c r="D700" s="8">
        <v>45066.0</v>
      </c>
      <c r="E700" s="8">
        <v>45062.0</v>
      </c>
      <c r="F700" s="8">
        <v>45077.0</v>
      </c>
      <c r="G700" s="6">
        <v>56.0</v>
      </c>
      <c r="H700" s="9">
        <v>38.0</v>
      </c>
      <c r="I700" s="10">
        <v>70.0</v>
      </c>
      <c r="J700" s="11">
        <v>0.0</v>
      </c>
      <c r="K700" s="9">
        <v>789.95</v>
      </c>
      <c r="L700" s="7" t="s">
        <v>17</v>
      </c>
    </row>
    <row r="701" ht="15.75" customHeight="1">
      <c r="A701" s="6">
        <v>10514.0</v>
      </c>
      <c r="B701" s="7" t="s">
        <v>24</v>
      </c>
      <c r="C701" s="8">
        <v>45038.0</v>
      </c>
      <c r="D701" s="8">
        <v>45066.0</v>
      </c>
      <c r="E701" s="8">
        <v>45062.0</v>
      </c>
      <c r="F701" s="8">
        <v>45077.0</v>
      </c>
      <c r="G701" s="6">
        <v>65.0</v>
      </c>
      <c r="H701" s="9">
        <v>21.05</v>
      </c>
      <c r="I701" s="10">
        <v>39.0</v>
      </c>
      <c r="J701" s="11">
        <v>0.0</v>
      </c>
      <c r="K701" s="9">
        <v>789.95</v>
      </c>
      <c r="L701" s="7" t="s">
        <v>17</v>
      </c>
    </row>
    <row r="702" ht="15.75" customHeight="1">
      <c r="A702" s="6">
        <v>10514.0</v>
      </c>
      <c r="B702" s="7" t="s">
        <v>24</v>
      </c>
      <c r="C702" s="8">
        <v>45038.0</v>
      </c>
      <c r="D702" s="8">
        <v>45066.0</v>
      </c>
      <c r="E702" s="8">
        <v>45062.0</v>
      </c>
      <c r="F702" s="8">
        <v>45077.0</v>
      </c>
      <c r="G702" s="6">
        <v>75.0</v>
      </c>
      <c r="H702" s="9">
        <v>7.75</v>
      </c>
      <c r="I702" s="10">
        <v>50.0</v>
      </c>
      <c r="J702" s="11">
        <v>0.0</v>
      </c>
      <c r="K702" s="9">
        <v>789.95</v>
      </c>
      <c r="L702" s="7" t="s">
        <v>17</v>
      </c>
    </row>
    <row r="703" ht="15.75" customHeight="1">
      <c r="A703" s="6">
        <v>10515.0</v>
      </c>
      <c r="B703" s="7" t="s">
        <v>36</v>
      </c>
      <c r="C703" s="8">
        <v>45039.0</v>
      </c>
      <c r="D703" s="8">
        <v>45053.0</v>
      </c>
      <c r="E703" s="8">
        <v>45069.0</v>
      </c>
      <c r="F703" s="8">
        <v>45072.0</v>
      </c>
      <c r="G703" s="6">
        <v>9.0</v>
      </c>
      <c r="H703" s="9">
        <v>97.0</v>
      </c>
      <c r="I703" s="10">
        <v>16.0</v>
      </c>
      <c r="J703" s="11">
        <v>0.15</v>
      </c>
      <c r="K703" s="9">
        <v>204.47</v>
      </c>
      <c r="L703" s="7" t="s">
        <v>15</v>
      </c>
    </row>
    <row r="704" ht="15.75" customHeight="1">
      <c r="A704" s="6">
        <v>10515.0</v>
      </c>
      <c r="B704" s="7" t="s">
        <v>36</v>
      </c>
      <c r="C704" s="8">
        <v>45039.0</v>
      </c>
      <c r="D704" s="8">
        <v>45053.0</v>
      </c>
      <c r="E704" s="8">
        <v>45069.0</v>
      </c>
      <c r="F704" s="8">
        <v>45072.0</v>
      </c>
      <c r="G704" s="6">
        <v>16.0</v>
      </c>
      <c r="H704" s="9">
        <v>17.45</v>
      </c>
      <c r="I704" s="10">
        <v>50.0</v>
      </c>
      <c r="J704" s="11">
        <v>0.0</v>
      </c>
      <c r="K704" s="9">
        <v>204.47</v>
      </c>
      <c r="L704" s="7" t="s">
        <v>15</v>
      </c>
    </row>
    <row r="705" ht="15.75" customHeight="1">
      <c r="A705" s="6">
        <v>10515.0</v>
      </c>
      <c r="B705" s="7" t="s">
        <v>36</v>
      </c>
      <c r="C705" s="8">
        <v>45039.0</v>
      </c>
      <c r="D705" s="8">
        <v>45053.0</v>
      </c>
      <c r="E705" s="8">
        <v>45069.0</v>
      </c>
      <c r="F705" s="8">
        <v>45072.0</v>
      </c>
      <c r="G705" s="6">
        <v>27.0</v>
      </c>
      <c r="H705" s="9">
        <v>43.9</v>
      </c>
      <c r="I705" s="10">
        <v>120.0</v>
      </c>
      <c r="J705" s="11">
        <v>0.0</v>
      </c>
      <c r="K705" s="9">
        <v>204.47</v>
      </c>
      <c r="L705" s="7" t="s">
        <v>15</v>
      </c>
    </row>
    <row r="706" ht="15.75" customHeight="1">
      <c r="A706" s="6">
        <v>10515.0</v>
      </c>
      <c r="B706" s="7" t="s">
        <v>36</v>
      </c>
      <c r="C706" s="8">
        <v>45039.0</v>
      </c>
      <c r="D706" s="8">
        <v>45053.0</v>
      </c>
      <c r="E706" s="8">
        <v>45069.0</v>
      </c>
      <c r="F706" s="8">
        <v>45072.0</v>
      </c>
      <c r="G706" s="6">
        <v>33.0</v>
      </c>
      <c r="H706" s="9">
        <v>2.5</v>
      </c>
      <c r="I706" s="10">
        <v>16.0</v>
      </c>
      <c r="J706" s="11">
        <v>0.15</v>
      </c>
      <c r="K706" s="9">
        <v>204.47</v>
      </c>
      <c r="L706" s="7" t="s">
        <v>15</v>
      </c>
    </row>
    <row r="707" ht="15.75" customHeight="1">
      <c r="A707" s="6">
        <v>10515.0</v>
      </c>
      <c r="B707" s="7" t="s">
        <v>36</v>
      </c>
      <c r="C707" s="8">
        <v>45039.0</v>
      </c>
      <c r="D707" s="8">
        <v>45053.0</v>
      </c>
      <c r="E707" s="8">
        <v>45069.0</v>
      </c>
      <c r="F707" s="8">
        <v>45072.0</v>
      </c>
      <c r="G707" s="6">
        <v>60.0</v>
      </c>
      <c r="H707" s="9">
        <v>34.0</v>
      </c>
      <c r="I707" s="10">
        <v>84.0</v>
      </c>
      <c r="J707" s="11">
        <v>0.15</v>
      </c>
      <c r="K707" s="9">
        <v>204.47</v>
      </c>
      <c r="L707" s="7" t="s">
        <v>15</v>
      </c>
    </row>
    <row r="708" ht="15.75" customHeight="1">
      <c r="A708" s="6">
        <v>10516.0</v>
      </c>
      <c r="B708" s="7" t="s">
        <v>49</v>
      </c>
      <c r="C708" s="8">
        <v>45040.0</v>
      </c>
      <c r="D708" s="8">
        <v>45068.0</v>
      </c>
      <c r="E708" s="8">
        <v>45047.0</v>
      </c>
      <c r="F708" s="8">
        <v>45057.0</v>
      </c>
      <c r="G708" s="6">
        <v>18.0</v>
      </c>
      <c r="H708" s="9">
        <v>62.5</v>
      </c>
      <c r="I708" s="10">
        <v>25.0</v>
      </c>
      <c r="J708" s="11">
        <v>0.1</v>
      </c>
      <c r="K708" s="9">
        <v>62.78</v>
      </c>
      <c r="L708" s="7" t="s">
        <v>13</v>
      </c>
    </row>
    <row r="709" ht="15.75" customHeight="1">
      <c r="A709" s="6">
        <v>10516.0</v>
      </c>
      <c r="B709" s="7" t="s">
        <v>49</v>
      </c>
      <c r="C709" s="8">
        <v>45040.0</v>
      </c>
      <c r="D709" s="8">
        <v>45068.0</v>
      </c>
      <c r="E709" s="8">
        <v>45047.0</v>
      </c>
      <c r="F709" s="8">
        <v>45057.0</v>
      </c>
      <c r="G709" s="6">
        <v>41.0</v>
      </c>
      <c r="H709" s="9">
        <v>9.65</v>
      </c>
      <c r="I709" s="10">
        <v>80.0</v>
      </c>
      <c r="J709" s="11">
        <v>0.1</v>
      </c>
      <c r="K709" s="9">
        <v>62.78</v>
      </c>
      <c r="L709" s="7" t="s">
        <v>13</v>
      </c>
    </row>
    <row r="710" ht="15.75" customHeight="1">
      <c r="A710" s="6">
        <v>10516.0</v>
      </c>
      <c r="B710" s="7" t="s">
        <v>49</v>
      </c>
      <c r="C710" s="8">
        <v>45040.0</v>
      </c>
      <c r="D710" s="8">
        <v>45068.0</v>
      </c>
      <c r="E710" s="8">
        <v>45047.0</v>
      </c>
      <c r="F710" s="8">
        <v>45057.0</v>
      </c>
      <c r="G710" s="6">
        <v>42.0</v>
      </c>
      <c r="H710" s="9">
        <v>14.0</v>
      </c>
      <c r="I710" s="10">
        <v>20.0</v>
      </c>
      <c r="J710" s="11">
        <v>0.0</v>
      </c>
      <c r="K710" s="9">
        <v>62.78</v>
      </c>
      <c r="L710" s="7" t="s">
        <v>13</v>
      </c>
    </row>
    <row r="711" ht="15.75" customHeight="1">
      <c r="A711" s="6">
        <v>10517.0</v>
      </c>
      <c r="B711" s="7" t="s">
        <v>92</v>
      </c>
      <c r="C711" s="8">
        <v>45040.0</v>
      </c>
      <c r="D711" s="8">
        <v>45068.0</v>
      </c>
      <c r="E711" s="8">
        <v>45045.0</v>
      </c>
      <c r="F711" s="8">
        <v>45054.0</v>
      </c>
      <c r="G711" s="6">
        <v>52.0</v>
      </c>
      <c r="H711" s="9">
        <v>7.0</v>
      </c>
      <c r="I711" s="10">
        <v>6.0</v>
      </c>
      <c r="J711" s="11">
        <v>0.0</v>
      </c>
      <c r="K711" s="9">
        <v>32.07</v>
      </c>
      <c r="L711" s="7" t="s">
        <v>13</v>
      </c>
    </row>
    <row r="712" ht="15.75" customHeight="1">
      <c r="A712" s="6">
        <v>10517.0</v>
      </c>
      <c r="B712" s="7" t="s">
        <v>92</v>
      </c>
      <c r="C712" s="8">
        <v>45040.0</v>
      </c>
      <c r="D712" s="8">
        <v>45068.0</v>
      </c>
      <c r="E712" s="8">
        <v>45045.0</v>
      </c>
      <c r="F712" s="8">
        <v>45054.0</v>
      </c>
      <c r="G712" s="6">
        <v>59.0</v>
      </c>
      <c r="H712" s="9">
        <v>55.0</v>
      </c>
      <c r="I712" s="10">
        <v>4.0</v>
      </c>
      <c r="J712" s="11">
        <v>0.0</v>
      </c>
      <c r="K712" s="9">
        <v>32.07</v>
      </c>
      <c r="L712" s="7" t="s">
        <v>13</v>
      </c>
    </row>
    <row r="713" ht="15.75" customHeight="1">
      <c r="A713" s="6">
        <v>10517.0</v>
      </c>
      <c r="B713" s="7" t="s">
        <v>92</v>
      </c>
      <c r="C713" s="8">
        <v>45040.0</v>
      </c>
      <c r="D713" s="8">
        <v>45068.0</v>
      </c>
      <c r="E713" s="8">
        <v>45045.0</v>
      </c>
      <c r="F713" s="8">
        <v>45054.0</v>
      </c>
      <c r="G713" s="6">
        <v>70.0</v>
      </c>
      <c r="H713" s="9">
        <v>15.0</v>
      </c>
      <c r="I713" s="10">
        <v>6.0</v>
      </c>
      <c r="J713" s="11">
        <v>0.0</v>
      </c>
      <c r="K713" s="9">
        <v>32.07</v>
      </c>
      <c r="L713" s="7" t="s">
        <v>13</v>
      </c>
    </row>
    <row r="714" ht="15.75" customHeight="1">
      <c r="A714" s="6">
        <v>10518.0</v>
      </c>
      <c r="B714" s="7" t="s">
        <v>38</v>
      </c>
      <c r="C714" s="8">
        <v>45041.0</v>
      </c>
      <c r="D714" s="8">
        <v>45055.0</v>
      </c>
      <c r="E714" s="8">
        <v>45051.0</v>
      </c>
      <c r="F714" s="8">
        <v>45066.0</v>
      </c>
      <c r="G714" s="6">
        <v>24.0</v>
      </c>
      <c r="H714" s="9">
        <v>4.5</v>
      </c>
      <c r="I714" s="10">
        <v>5.0</v>
      </c>
      <c r="J714" s="11">
        <v>0.0</v>
      </c>
      <c r="K714" s="9">
        <v>218.15</v>
      </c>
      <c r="L714" s="7" t="s">
        <v>17</v>
      </c>
    </row>
    <row r="715" ht="15.75" customHeight="1">
      <c r="A715" s="6">
        <v>10518.0</v>
      </c>
      <c r="B715" s="7" t="s">
        <v>38</v>
      </c>
      <c r="C715" s="8">
        <v>45041.0</v>
      </c>
      <c r="D715" s="8">
        <v>45055.0</v>
      </c>
      <c r="E715" s="8">
        <v>45051.0</v>
      </c>
      <c r="F715" s="8">
        <v>45066.0</v>
      </c>
      <c r="G715" s="6">
        <v>38.0</v>
      </c>
      <c r="H715" s="9">
        <v>263.5</v>
      </c>
      <c r="I715" s="10">
        <v>15.0</v>
      </c>
      <c r="J715" s="11">
        <v>0.0</v>
      </c>
      <c r="K715" s="9">
        <v>218.15</v>
      </c>
      <c r="L715" s="7" t="s">
        <v>17</v>
      </c>
    </row>
    <row r="716" ht="15.75" customHeight="1">
      <c r="A716" s="6">
        <v>10518.0</v>
      </c>
      <c r="B716" s="7" t="s">
        <v>38</v>
      </c>
      <c r="C716" s="8">
        <v>45041.0</v>
      </c>
      <c r="D716" s="8">
        <v>45055.0</v>
      </c>
      <c r="E716" s="8">
        <v>45051.0</v>
      </c>
      <c r="F716" s="8">
        <v>45066.0</v>
      </c>
      <c r="G716" s="6">
        <v>44.0</v>
      </c>
      <c r="H716" s="9">
        <v>19.45</v>
      </c>
      <c r="I716" s="10">
        <v>9.0</v>
      </c>
      <c r="J716" s="11">
        <v>0.0</v>
      </c>
      <c r="K716" s="9">
        <v>218.15</v>
      </c>
      <c r="L716" s="7" t="s">
        <v>17</v>
      </c>
    </row>
    <row r="717" ht="15.75" customHeight="1">
      <c r="A717" s="6">
        <v>10519.0</v>
      </c>
      <c r="B717" s="7" t="s">
        <v>20</v>
      </c>
      <c r="C717" s="8">
        <v>45044.0</v>
      </c>
      <c r="D717" s="8">
        <v>45072.0</v>
      </c>
      <c r="E717" s="8">
        <v>45047.0</v>
      </c>
      <c r="F717" s="8">
        <v>45060.0</v>
      </c>
      <c r="G717" s="6">
        <v>10.0</v>
      </c>
      <c r="H717" s="9">
        <v>31.0</v>
      </c>
      <c r="I717" s="10">
        <v>16.0</v>
      </c>
      <c r="J717" s="11">
        <v>0.05</v>
      </c>
      <c r="K717" s="9">
        <v>91.76</v>
      </c>
      <c r="L717" s="7" t="s">
        <v>13</v>
      </c>
    </row>
    <row r="718" ht="15.75" customHeight="1">
      <c r="A718" s="6">
        <v>10519.0</v>
      </c>
      <c r="B718" s="7" t="s">
        <v>20</v>
      </c>
      <c r="C718" s="8">
        <v>45044.0</v>
      </c>
      <c r="D718" s="8">
        <v>45072.0</v>
      </c>
      <c r="E718" s="8">
        <v>45047.0</v>
      </c>
      <c r="F718" s="8">
        <v>45060.0</v>
      </c>
      <c r="G718" s="6">
        <v>56.0</v>
      </c>
      <c r="H718" s="9">
        <v>38.0</v>
      </c>
      <c r="I718" s="10">
        <v>40.0</v>
      </c>
      <c r="J718" s="11">
        <v>0.0</v>
      </c>
      <c r="K718" s="9">
        <v>91.76</v>
      </c>
      <c r="L718" s="7" t="s">
        <v>13</v>
      </c>
    </row>
    <row r="719" ht="15.75" customHeight="1">
      <c r="A719" s="6">
        <v>10519.0</v>
      </c>
      <c r="B719" s="7" t="s">
        <v>20</v>
      </c>
      <c r="C719" s="8">
        <v>45044.0</v>
      </c>
      <c r="D719" s="8">
        <v>45072.0</v>
      </c>
      <c r="E719" s="8">
        <v>45047.0</v>
      </c>
      <c r="F719" s="8">
        <v>45060.0</v>
      </c>
      <c r="G719" s="6">
        <v>60.0</v>
      </c>
      <c r="H719" s="9">
        <v>34.0</v>
      </c>
      <c r="I719" s="10">
        <v>10.0</v>
      </c>
      <c r="J719" s="11">
        <v>0.05</v>
      </c>
      <c r="K719" s="9">
        <v>91.76</v>
      </c>
      <c r="L719" s="7" t="s">
        <v>13</v>
      </c>
    </row>
    <row r="720" ht="15.75" customHeight="1">
      <c r="A720" s="6">
        <v>10520.0</v>
      </c>
      <c r="B720" s="7" t="s">
        <v>80</v>
      </c>
      <c r="C720" s="8">
        <v>45045.0</v>
      </c>
      <c r="D720" s="8">
        <v>45073.0</v>
      </c>
      <c r="E720" s="8">
        <v>45047.0</v>
      </c>
      <c r="F720" s="8">
        <v>45055.0</v>
      </c>
      <c r="G720" s="6">
        <v>24.0</v>
      </c>
      <c r="H720" s="9">
        <v>4.5</v>
      </c>
      <c r="I720" s="10">
        <v>8.0</v>
      </c>
      <c r="J720" s="11">
        <v>0.0</v>
      </c>
      <c r="K720" s="9">
        <v>13.37</v>
      </c>
      <c r="L720" s="7" t="s">
        <v>15</v>
      </c>
    </row>
    <row r="721" ht="15.75" customHeight="1">
      <c r="A721" s="6">
        <v>10520.0</v>
      </c>
      <c r="B721" s="7" t="s">
        <v>80</v>
      </c>
      <c r="C721" s="8">
        <v>45045.0</v>
      </c>
      <c r="D721" s="8">
        <v>45073.0</v>
      </c>
      <c r="E721" s="8">
        <v>45047.0</v>
      </c>
      <c r="F721" s="8">
        <v>45055.0</v>
      </c>
      <c r="G721" s="6">
        <v>53.0</v>
      </c>
      <c r="H721" s="9">
        <v>32.8</v>
      </c>
      <c r="I721" s="10">
        <v>5.0</v>
      </c>
      <c r="J721" s="11">
        <v>0.0</v>
      </c>
      <c r="K721" s="9">
        <v>13.37</v>
      </c>
      <c r="L721" s="7" t="s">
        <v>15</v>
      </c>
    </row>
    <row r="722" ht="15.75" customHeight="1">
      <c r="A722" s="6">
        <v>10521.0</v>
      </c>
      <c r="B722" s="7" t="s">
        <v>93</v>
      </c>
      <c r="C722" s="8">
        <v>45045.0</v>
      </c>
      <c r="D722" s="8">
        <v>45073.0</v>
      </c>
      <c r="E722" s="8">
        <v>45048.0</v>
      </c>
      <c r="F722" s="8">
        <v>45060.0</v>
      </c>
      <c r="G722" s="6">
        <v>35.0</v>
      </c>
      <c r="H722" s="9">
        <v>18.0</v>
      </c>
      <c r="I722" s="10">
        <v>3.0</v>
      </c>
      <c r="J722" s="11">
        <v>0.0</v>
      </c>
      <c r="K722" s="9">
        <v>17.22</v>
      </c>
      <c r="L722" s="7" t="s">
        <v>17</v>
      </c>
    </row>
    <row r="723" ht="15.75" customHeight="1">
      <c r="A723" s="6">
        <v>10521.0</v>
      </c>
      <c r="B723" s="7" t="s">
        <v>93</v>
      </c>
      <c r="C723" s="8">
        <v>45045.0</v>
      </c>
      <c r="D723" s="8">
        <v>45073.0</v>
      </c>
      <c r="E723" s="8">
        <v>45048.0</v>
      </c>
      <c r="F723" s="8">
        <v>45060.0</v>
      </c>
      <c r="G723" s="6">
        <v>41.0</v>
      </c>
      <c r="H723" s="9">
        <v>9.65</v>
      </c>
      <c r="I723" s="10">
        <v>10.0</v>
      </c>
      <c r="J723" s="11">
        <v>0.0</v>
      </c>
      <c r="K723" s="9">
        <v>17.22</v>
      </c>
      <c r="L723" s="7" t="s">
        <v>17</v>
      </c>
    </row>
    <row r="724" ht="15.75" customHeight="1">
      <c r="A724" s="6">
        <v>10521.0</v>
      </c>
      <c r="B724" s="7" t="s">
        <v>93</v>
      </c>
      <c r="C724" s="8">
        <v>45045.0</v>
      </c>
      <c r="D724" s="8">
        <v>45073.0</v>
      </c>
      <c r="E724" s="8">
        <v>45048.0</v>
      </c>
      <c r="F724" s="8">
        <v>45060.0</v>
      </c>
      <c r="G724" s="6">
        <v>68.0</v>
      </c>
      <c r="H724" s="9">
        <v>12.5</v>
      </c>
      <c r="I724" s="10">
        <v>6.0</v>
      </c>
      <c r="J724" s="11">
        <v>0.0</v>
      </c>
      <c r="K724" s="9">
        <v>17.22</v>
      </c>
      <c r="L724" s="7" t="s">
        <v>17</v>
      </c>
    </row>
    <row r="725" ht="15.75" customHeight="1">
      <c r="A725" s="6">
        <v>10522.0</v>
      </c>
      <c r="B725" s="7" t="s">
        <v>41</v>
      </c>
      <c r="C725" s="8">
        <v>45046.0</v>
      </c>
      <c r="D725" s="8">
        <v>45074.0</v>
      </c>
      <c r="E725" s="8">
        <v>45052.0</v>
      </c>
      <c r="F725" s="8">
        <v>45055.0</v>
      </c>
      <c r="G725" s="6">
        <v>1.0</v>
      </c>
      <c r="H725" s="9">
        <v>18.0</v>
      </c>
      <c r="I725" s="10">
        <v>40.0</v>
      </c>
      <c r="J725" s="11">
        <v>0.2</v>
      </c>
      <c r="K725" s="9">
        <v>45.33</v>
      </c>
      <c r="L725" s="7" t="s">
        <v>15</v>
      </c>
    </row>
    <row r="726" ht="15.75" customHeight="1">
      <c r="A726" s="6">
        <v>10522.0</v>
      </c>
      <c r="B726" s="7" t="s">
        <v>41</v>
      </c>
      <c r="C726" s="8">
        <v>45046.0</v>
      </c>
      <c r="D726" s="8">
        <v>45074.0</v>
      </c>
      <c r="E726" s="8">
        <v>45052.0</v>
      </c>
      <c r="F726" s="8">
        <v>45055.0</v>
      </c>
      <c r="G726" s="6">
        <v>8.0</v>
      </c>
      <c r="H726" s="9">
        <v>40.0</v>
      </c>
      <c r="I726" s="10">
        <v>24.0</v>
      </c>
      <c r="J726" s="11">
        <v>0.0</v>
      </c>
      <c r="K726" s="9">
        <v>45.33</v>
      </c>
      <c r="L726" s="7" t="s">
        <v>15</v>
      </c>
    </row>
    <row r="727" ht="15.75" customHeight="1">
      <c r="A727" s="6">
        <v>10522.0</v>
      </c>
      <c r="B727" s="7" t="s">
        <v>41</v>
      </c>
      <c r="C727" s="8">
        <v>45046.0</v>
      </c>
      <c r="D727" s="8">
        <v>45074.0</v>
      </c>
      <c r="E727" s="8">
        <v>45052.0</v>
      </c>
      <c r="F727" s="8">
        <v>45055.0</v>
      </c>
      <c r="G727" s="6">
        <v>30.0</v>
      </c>
      <c r="H727" s="9">
        <v>25.89</v>
      </c>
      <c r="I727" s="10">
        <v>20.0</v>
      </c>
      <c r="J727" s="11">
        <v>0.2</v>
      </c>
      <c r="K727" s="9">
        <v>45.33</v>
      </c>
      <c r="L727" s="7" t="s">
        <v>15</v>
      </c>
    </row>
    <row r="728" ht="15.75" customHeight="1">
      <c r="A728" s="6">
        <v>10522.0</v>
      </c>
      <c r="B728" s="7" t="s">
        <v>41</v>
      </c>
      <c r="C728" s="8">
        <v>45046.0</v>
      </c>
      <c r="D728" s="8">
        <v>45074.0</v>
      </c>
      <c r="E728" s="8">
        <v>45052.0</v>
      </c>
      <c r="F728" s="8">
        <v>45055.0</v>
      </c>
      <c r="G728" s="6">
        <v>40.0</v>
      </c>
      <c r="H728" s="9">
        <v>18.4</v>
      </c>
      <c r="I728" s="10">
        <v>25.0</v>
      </c>
      <c r="J728" s="11">
        <v>0.2</v>
      </c>
      <c r="K728" s="9">
        <v>45.33</v>
      </c>
      <c r="L728" s="7" t="s">
        <v>15</v>
      </c>
    </row>
    <row r="729" ht="15.75" customHeight="1">
      <c r="A729" s="6">
        <v>10523.0</v>
      </c>
      <c r="B729" s="7" t="s">
        <v>71</v>
      </c>
      <c r="C729" s="8">
        <v>45047.0</v>
      </c>
      <c r="D729" s="8">
        <v>45075.0</v>
      </c>
      <c r="E729" s="8">
        <v>45076.0</v>
      </c>
      <c r="F729" s="8">
        <v>45083.0</v>
      </c>
      <c r="G729" s="6">
        <v>17.0</v>
      </c>
      <c r="H729" s="9">
        <v>39.0</v>
      </c>
      <c r="I729" s="10">
        <v>25.0</v>
      </c>
      <c r="J729" s="11">
        <v>0.1</v>
      </c>
      <c r="K729" s="9">
        <v>77.63</v>
      </c>
      <c r="L729" s="7" t="s">
        <v>17</v>
      </c>
    </row>
    <row r="730" ht="15.75" customHeight="1">
      <c r="A730" s="6">
        <v>10523.0</v>
      </c>
      <c r="B730" s="7" t="s">
        <v>71</v>
      </c>
      <c r="C730" s="8">
        <v>45047.0</v>
      </c>
      <c r="D730" s="8">
        <v>45075.0</v>
      </c>
      <c r="E730" s="8">
        <v>45076.0</v>
      </c>
      <c r="F730" s="8">
        <v>45083.0</v>
      </c>
      <c r="G730" s="6">
        <v>20.0</v>
      </c>
      <c r="H730" s="9">
        <v>81.0</v>
      </c>
      <c r="I730" s="10">
        <v>15.0</v>
      </c>
      <c r="J730" s="11">
        <v>0.1</v>
      </c>
      <c r="K730" s="9">
        <v>77.63</v>
      </c>
      <c r="L730" s="7" t="s">
        <v>17</v>
      </c>
    </row>
    <row r="731" ht="15.75" customHeight="1">
      <c r="A731" s="6">
        <v>10523.0</v>
      </c>
      <c r="B731" s="7" t="s">
        <v>71</v>
      </c>
      <c r="C731" s="8">
        <v>45047.0</v>
      </c>
      <c r="D731" s="8">
        <v>45075.0</v>
      </c>
      <c r="E731" s="8">
        <v>45076.0</v>
      </c>
      <c r="F731" s="8">
        <v>45083.0</v>
      </c>
      <c r="G731" s="6">
        <v>37.0</v>
      </c>
      <c r="H731" s="9">
        <v>26.0</v>
      </c>
      <c r="I731" s="10">
        <v>18.0</v>
      </c>
      <c r="J731" s="11">
        <v>0.1</v>
      </c>
      <c r="K731" s="9">
        <v>77.63</v>
      </c>
      <c r="L731" s="7" t="s">
        <v>17</v>
      </c>
    </row>
    <row r="732" ht="15.75" customHeight="1">
      <c r="A732" s="6">
        <v>10523.0</v>
      </c>
      <c r="B732" s="7" t="s">
        <v>71</v>
      </c>
      <c r="C732" s="8">
        <v>45047.0</v>
      </c>
      <c r="D732" s="8">
        <v>45075.0</v>
      </c>
      <c r="E732" s="8">
        <v>45076.0</v>
      </c>
      <c r="F732" s="8">
        <v>45083.0</v>
      </c>
      <c r="G732" s="6">
        <v>41.0</v>
      </c>
      <c r="H732" s="9">
        <v>9.65</v>
      </c>
      <c r="I732" s="10">
        <v>6.0</v>
      </c>
      <c r="J732" s="11">
        <v>0.1</v>
      </c>
      <c r="K732" s="9">
        <v>77.63</v>
      </c>
      <c r="L732" s="7" t="s">
        <v>17</v>
      </c>
    </row>
    <row r="733" ht="15.75" customHeight="1">
      <c r="A733" s="6">
        <v>10524.0</v>
      </c>
      <c r="B733" s="7" t="s">
        <v>40</v>
      </c>
      <c r="C733" s="8">
        <v>45047.0</v>
      </c>
      <c r="D733" s="8">
        <v>45075.0</v>
      </c>
      <c r="E733" s="8">
        <v>45053.0</v>
      </c>
      <c r="F733" s="8">
        <v>45063.0</v>
      </c>
      <c r="G733" s="6">
        <v>10.0</v>
      </c>
      <c r="H733" s="9">
        <v>31.0</v>
      </c>
      <c r="I733" s="10">
        <v>2.0</v>
      </c>
      <c r="J733" s="11">
        <v>0.0</v>
      </c>
      <c r="K733" s="9">
        <v>244.79</v>
      </c>
      <c r="L733" s="7" t="s">
        <v>17</v>
      </c>
    </row>
    <row r="734" ht="15.75" customHeight="1">
      <c r="A734" s="6">
        <v>10524.0</v>
      </c>
      <c r="B734" s="7" t="s">
        <v>40</v>
      </c>
      <c r="C734" s="8">
        <v>45047.0</v>
      </c>
      <c r="D734" s="8">
        <v>45075.0</v>
      </c>
      <c r="E734" s="8">
        <v>45053.0</v>
      </c>
      <c r="F734" s="8">
        <v>45063.0</v>
      </c>
      <c r="G734" s="6">
        <v>30.0</v>
      </c>
      <c r="H734" s="9">
        <v>25.89</v>
      </c>
      <c r="I734" s="10">
        <v>10.0</v>
      </c>
      <c r="J734" s="11">
        <v>0.0</v>
      </c>
      <c r="K734" s="9">
        <v>244.79</v>
      </c>
      <c r="L734" s="7" t="s">
        <v>17</v>
      </c>
    </row>
    <row r="735" ht="15.75" customHeight="1">
      <c r="A735" s="6">
        <v>10524.0</v>
      </c>
      <c r="B735" s="7" t="s">
        <v>40</v>
      </c>
      <c r="C735" s="8">
        <v>45047.0</v>
      </c>
      <c r="D735" s="8">
        <v>45075.0</v>
      </c>
      <c r="E735" s="8">
        <v>45053.0</v>
      </c>
      <c r="F735" s="8">
        <v>45063.0</v>
      </c>
      <c r="G735" s="6">
        <v>43.0</v>
      </c>
      <c r="H735" s="9">
        <v>46.0</v>
      </c>
      <c r="I735" s="10">
        <v>60.0</v>
      </c>
      <c r="J735" s="11">
        <v>0.0</v>
      </c>
      <c r="K735" s="9">
        <v>244.79</v>
      </c>
      <c r="L735" s="7" t="s">
        <v>17</v>
      </c>
    </row>
    <row r="736" ht="15.75" customHeight="1">
      <c r="A736" s="6">
        <v>10524.0</v>
      </c>
      <c r="B736" s="7" t="s">
        <v>40</v>
      </c>
      <c r="C736" s="8">
        <v>45047.0</v>
      </c>
      <c r="D736" s="8">
        <v>45075.0</v>
      </c>
      <c r="E736" s="8">
        <v>45053.0</v>
      </c>
      <c r="F736" s="8">
        <v>45063.0</v>
      </c>
      <c r="G736" s="6">
        <v>54.0</v>
      </c>
      <c r="H736" s="9">
        <v>7.45</v>
      </c>
      <c r="I736" s="10">
        <v>15.0</v>
      </c>
      <c r="J736" s="11">
        <v>0.0</v>
      </c>
      <c r="K736" s="9">
        <v>244.79</v>
      </c>
      <c r="L736" s="7" t="s">
        <v>17</v>
      </c>
    </row>
    <row r="737" ht="15.75" customHeight="1">
      <c r="A737" s="6">
        <v>10525.0</v>
      </c>
      <c r="B737" s="7" t="s">
        <v>63</v>
      </c>
      <c r="C737" s="8">
        <v>45048.0</v>
      </c>
      <c r="D737" s="8">
        <v>45076.0</v>
      </c>
      <c r="E737" s="8">
        <v>45069.0</v>
      </c>
      <c r="F737" s="8">
        <v>45078.0</v>
      </c>
      <c r="G737" s="6">
        <v>36.0</v>
      </c>
      <c r="H737" s="9">
        <v>19.0</v>
      </c>
      <c r="I737" s="10">
        <v>30.0</v>
      </c>
      <c r="J737" s="11">
        <v>0.0</v>
      </c>
      <c r="K737" s="9">
        <v>11.06</v>
      </c>
      <c r="L737" s="7" t="s">
        <v>17</v>
      </c>
    </row>
    <row r="738" ht="15.75" customHeight="1">
      <c r="A738" s="6">
        <v>10525.0</v>
      </c>
      <c r="B738" s="7" t="s">
        <v>63</v>
      </c>
      <c r="C738" s="8">
        <v>45048.0</v>
      </c>
      <c r="D738" s="8">
        <v>45076.0</v>
      </c>
      <c r="E738" s="8">
        <v>45069.0</v>
      </c>
      <c r="F738" s="8">
        <v>45078.0</v>
      </c>
      <c r="G738" s="6">
        <v>40.0</v>
      </c>
      <c r="H738" s="9">
        <v>18.4</v>
      </c>
      <c r="I738" s="10">
        <v>15.0</v>
      </c>
      <c r="J738" s="11">
        <v>0.1</v>
      </c>
      <c r="K738" s="9">
        <v>11.06</v>
      </c>
      <c r="L738" s="7" t="s">
        <v>17</v>
      </c>
    </row>
    <row r="739" ht="15.75" customHeight="1">
      <c r="A739" s="6">
        <v>10526.0</v>
      </c>
      <c r="B739" s="7" t="s">
        <v>31</v>
      </c>
      <c r="C739" s="8">
        <v>45051.0</v>
      </c>
      <c r="D739" s="8">
        <v>45079.0</v>
      </c>
      <c r="E739" s="8">
        <v>45061.0</v>
      </c>
      <c r="F739" s="8">
        <v>45073.0</v>
      </c>
      <c r="G739" s="6">
        <v>1.0</v>
      </c>
      <c r="H739" s="9">
        <v>18.0</v>
      </c>
      <c r="I739" s="10">
        <v>8.0</v>
      </c>
      <c r="J739" s="11">
        <v>0.15</v>
      </c>
      <c r="K739" s="9">
        <v>58.59</v>
      </c>
      <c r="L739" s="7" t="s">
        <v>17</v>
      </c>
    </row>
    <row r="740" ht="15.75" customHeight="1">
      <c r="A740" s="6">
        <v>10526.0</v>
      </c>
      <c r="B740" s="7" t="s">
        <v>31</v>
      </c>
      <c r="C740" s="8">
        <v>45051.0</v>
      </c>
      <c r="D740" s="8">
        <v>45079.0</v>
      </c>
      <c r="E740" s="8">
        <v>45061.0</v>
      </c>
      <c r="F740" s="8">
        <v>45073.0</v>
      </c>
      <c r="G740" s="6">
        <v>13.0</v>
      </c>
      <c r="H740" s="9">
        <v>6.0</v>
      </c>
      <c r="I740" s="10">
        <v>10.0</v>
      </c>
      <c r="J740" s="11">
        <v>0.0</v>
      </c>
      <c r="K740" s="9">
        <v>58.59</v>
      </c>
      <c r="L740" s="7" t="s">
        <v>17</v>
      </c>
    </row>
    <row r="741" ht="15.75" customHeight="1">
      <c r="A741" s="6">
        <v>10526.0</v>
      </c>
      <c r="B741" s="7" t="s">
        <v>31</v>
      </c>
      <c r="C741" s="8">
        <v>45051.0</v>
      </c>
      <c r="D741" s="8">
        <v>45079.0</v>
      </c>
      <c r="E741" s="8">
        <v>45061.0</v>
      </c>
      <c r="F741" s="8">
        <v>45073.0</v>
      </c>
      <c r="G741" s="6">
        <v>56.0</v>
      </c>
      <c r="H741" s="9">
        <v>38.0</v>
      </c>
      <c r="I741" s="10">
        <v>30.0</v>
      </c>
      <c r="J741" s="11">
        <v>0.15</v>
      </c>
      <c r="K741" s="9">
        <v>58.59</v>
      </c>
      <c r="L741" s="7" t="s">
        <v>17</v>
      </c>
    </row>
    <row r="742" ht="15.75" customHeight="1">
      <c r="A742" s="6">
        <v>10527.0</v>
      </c>
      <c r="B742" s="7" t="s">
        <v>36</v>
      </c>
      <c r="C742" s="8">
        <v>45051.0</v>
      </c>
      <c r="D742" s="8">
        <v>45079.0</v>
      </c>
      <c r="E742" s="8">
        <v>45053.0</v>
      </c>
      <c r="F742" s="8">
        <v>45056.0</v>
      </c>
      <c r="G742" s="6">
        <v>4.0</v>
      </c>
      <c r="H742" s="9">
        <v>22.0</v>
      </c>
      <c r="I742" s="10">
        <v>50.0</v>
      </c>
      <c r="J742" s="11">
        <v>0.1</v>
      </c>
      <c r="K742" s="9">
        <v>41.9</v>
      </c>
      <c r="L742" s="7" t="s">
        <v>15</v>
      </c>
    </row>
    <row r="743" ht="15.75" customHeight="1">
      <c r="A743" s="6">
        <v>10527.0</v>
      </c>
      <c r="B743" s="7" t="s">
        <v>36</v>
      </c>
      <c r="C743" s="8">
        <v>45051.0</v>
      </c>
      <c r="D743" s="8">
        <v>45079.0</v>
      </c>
      <c r="E743" s="8">
        <v>45053.0</v>
      </c>
      <c r="F743" s="8">
        <v>45056.0</v>
      </c>
      <c r="G743" s="6">
        <v>36.0</v>
      </c>
      <c r="H743" s="9">
        <v>19.0</v>
      </c>
      <c r="I743" s="10">
        <v>30.0</v>
      </c>
      <c r="J743" s="11">
        <v>0.1</v>
      </c>
      <c r="K743" s="9">
        <v>41.9</v>
      </c>
      <c r="L743" s="7" t="s">
        <v>15</v>
      </c>
    </row>
    <row r="744" ht="15.75" customHeight="1">
      <c r="A744" s="6">
        <v>10528.0</v>
      </c>
      <c r="B744" s="7" t="s">
        <v>94</v>
      </c>
      <c r="C744" s="8">
        <v>45052.0</v>
      </c>
      <c r="D744" s="8">
        <v>45066.0</v>
      </c>
      <c r="E744" s="8">
        <v>45055.0</v>
      </c>
      <c r="F744" s="8">
        <v>45073.0</v>
      </c>
      <c r="G744" s="6">
        <v>11.0</v>
      </c>
      <c r="H744" s="9">
        <v>21.0</v>
      </c>
      <c r="I744" s="10">
        <v>3.0</v>
      </c>
      <c r="J744" s="11">
        <v>0.0</v>
      </c>
      <c r="K744" s="9">
        <v>3.35</v>
      </c>
      <c r="L744" s="7" t="s">
        <v>17</v>
      </c>
    </row>
    <row r="745" ht="15.75" customHeight="1">
      <c r="A745" s="6">
        <v>10528.0</v>
      </c>
      <c r="B745" s="7" t="s">
        <v>94</v>
      </c>
      <c r="C745" s="8">
        <v>45052.0</v>
      </c>
      <c r="D745" s="8">
        <v>45066.0</v>
      </c>
      <c r="E745" s="8">
        <v>45055.0</v>
      </c>
      <c r="F745" s="8">
        <v>45073.0</v>
      </c>
      <c r="G745" s="6">
        <v>33.0</v>
      </c>
      <c r="H745" s="9">
        <v>2.5</v>
      </c>
      <c r="I745" s="10">
        <v>8.0</v>
      </c>
      <c r="J745" s="11">
        <v>0.2</v>
      </c>
      <c r="K745" s="9">
        <v>3.35</v>
      </c>
      <c r="L745" s="7" t="s">
        <v>17</v>
      </c>
    </row>
    <row r="746" ht="15.75" customHeight="1">
      <c r="A746" s="6">
        <v>10528.0</v>
      </c>
      <c r="B746" s="7" t="s">
        <v>94</v>
      </c>
      <c r="C746" s="8">
        <v>45052.0</v>
      </c>
      <c r="D746" s="8">
        <v>45066.0</v>
      </c>
      <c r="E746" s="8">
        <v>45055.0</v>
      </c>
      <c r="F746" s="8">
        <v>45073.0</v>
      </c>
      <c r="G746" s="6">
        <v>72.0</v>
      </c>
      <c r="H746" s="9">
        <v>34.8</v>
      </c>
      <c r="I746" s="10">
        <v>9.0</v>
      </c>
      <c r="J746" s="11">
        <v>0.0</v>
      </c>
      <c r="K746" s="9">
        <v>3.35</v>
      </c>
      <c r="L746" s="7" t="s">
        <v>17</v>
      </c>
    </row>
    <row r="747" ht="15.75" customHeight="1">
      <c r="A747" s="6">
        <v>10529.0</v>
      </c>
      <c r="B747" s="7" t="s">
        <v>95</v>
      </c>
      <c r="C747" s="8">
        <v>45053.0</v>
      </c>
      <c r="D747" s="8">
        <v>45081.0</v>
      </c>
      <c r="E747" s="8">
        <v>45055.0</v>
      </c>
      <c r="F747" s="8">
        <v>45069.0</v>
      </c>
      <c r="G747" s="6">
        <v>55.0</v>
      </c>
      <c r="H747" s="9">
        <v>24.0</v>
      </c>
      <c r="I747" s="10">
        <v>14.0</v>
      </c>
      <c r="J747" s="11">
        <v>0.0</v>
      </c>
      <c r="K747" s="9">
        <v>66.69</v>
      </c>
      <c r="L747" s="7" t="s">
        <v>17</v>
      </c>
    </row>
    <row r="748" ht="15.75" customHeight="1">
      <c r="A748" s="6">
        <v>10529.0</v>
      </c>
      <c r="B748" s="7" t="s">
        <v>95</v>
      </c>
      <c r="C748" s="8">
        <v>45053.0</v>
      </c>
      <c r="D748" s="8">
        <v>45081.0</v>
      </c>
      <c r="E748" s="8">
        <v>45055.0</v>
      </c>
      <c r="F748" s="8">
        <v>45069.0</v>
      </c>
      <c r="G748" s="6">
        <v>68.0</v>
      </c>
      <c r="H748" s="9">
        <v>12.5</v>
      </c>
      <c r="I748" s="10">
        <v>20.0</v>
      </c>
      <c r="J748" s="11">
        <v>0.0</v>
      </c>
      <c r="K748" s="9">
        <v>66.69</v>
      </c>
      <c r="L748" s="7" t="s">
        <v>17</v>
      </c>
    </row>
    <row r="749" ht="15.75" customHeight="1">
      <c r="A749" s="6">
        <v>10529.0</v>
      </c>
      <c r="B749" s="7" t="s">
        <v>95</v>
      </c>
      <c r="C749" s="8">
        <v>45053.0</v>
      </c>
      <c r="D749" s="8">
        <v>45081.0</v>
      </c>
      <c r="E749" s="8">
        <v>45055.0</v>
      </c>
      <c r="F749" s="8">
        <v>45069.0</v>
      </c>
      <c r="G749" s="6">
        <v>69.0</v>
      </c>
      <c r="H749" s="9">
        <v>36.0</v>
      </c>
      <c r="I749" s="10">
        <v>10.0</v>
      </c>
      <c r="J749" s="11">
        <v>0.0</v>
      </c>
      <c r="K749" s="9">
        <v>66.69</v>
      </c>
      <c r="L749" s="7" t="s">
        <v>17</v>
      </c>
    </row>
    <row r="750" ht="15.75" customHeight="1">
      <c r="A750" s="6">
        <v>10530.0</v>
      </c>
      <c r="B750" s="7" t="s">
        <v>69</v>
      </c>
      <c r="C750" s="8">
        <v>45054.0</v>
      </c>
      <c r="D750" s="8">
        <v>45082.0</v>
      </c>
      <c r="E750" s="8">
        <v>45058.0</v>
      </c>
      <c r="F750" s="8">
        <v>45074.0</v>
      </c>
      <c r="G750" s="6">
        <v>17.0</v>
      </c>
      <c r="H750" s="9">
        <v>39.0</v>
      </c>
      <c r="I750" s="10">
        <v>40.0</v>
      </c>
      <c r="J750" s="11">
        <v>0.0</v>
      </c>
      <c r="K750" s="9">
        <v>339.22</v>
      </c>
      <c r="L750" s="7" t="s">
        <v>17</v>
      </c>
    </row>
    <row r="751" ht="15.75" customHeight="1">
      <c r="A751" s="6">
        <v>10530.0</v>
      </c>
      <c r="B751" s="7" t="s">
        <v>69</v>
      </c>
      <c r="C751" s="8">
        <v>45054.0</v>
      </c>
      <c r="D751" s="8">
        <v>45082.0</v>
      </c>
      <c r="E751" s="8">
        <v>45058.0</v>
      </c>
      <c r="F751" s="8">
        <v>45074.0</v>
      </c>
      <c r="G751" s="6">
        <v>43.0</v>
      </c>
      <c r="H751" s="9">
        <v>46.0</v>
      </c>
      <c r="I751" s="10">
        <v>25.0</v>
      </c>
      <c r="J751" s="11">
        <v>0.0</v>
      </c>
      <c r="K751" s="9">
        <v>339.22</v>
      </c>
      <c r="L751" s="7" t="s">
        <v>17</v>
      </c>
    </row>
    <row r="752" ht="15.75" customHeight="1">
      <c r="A752" s="6">
        <v>10530.0</v>
      </c>
      <c r="B752" s="7" t="s">
        <v>69</v>
      </c>
      <c r="C752" s="8">
        <v>45054.0</v>
      </c>
      <c r="D752" s="8">
        <v>45082.0</v>
      </c>
      <c r="E752" s="8">
        <v>45058.0</v>
      </c>
      <c r="F752" s="8">
        <v>45074.0</v>
      </c>
      <c r="G752" s="6">
        <v>61.0</v>
      </c>
      <c r="H752" s="9">
        <v>28.5</v>
      </c>
      <c r="I752" s="10">
        <v>20.0</v>
      </c>
      <c r="J752" s="11">
        <v>0.0</v>
      </c>
      <c r="K752" s="9">
        <v>339.22</v>
      </c>
      <c r="L752" s="7" t="s">
        <v>17</v>
      </c>
    </row>
    <row r="753" ht="15.75" customHeight="1">
      <c r="A753" s="6">
        <v>10530.0</v>
      </c>
      <c r="B753" s="7" t="s">
        <v>69</v>
      </c>
      <c r="C753" s="8">
        <v>45054.0</v>
      </c>
      <c r="D753" s="8">
        <v>45082.0</v>
      </c>
      <c r="E753" s="8">
        <v>45058.0</v>
      </c>
      <c r="F753" s="8">
        <v>45074.0</v>
      </c>
      <c r="G753" s="6">
        <v>76.0</v>
      </c>
      <c r="H753" s="9">
        <v>18.0</v>
      </c>
      <c r="I753" s="10">
        <v>50.0</v>
      </c>
      <c r="J753" s="11">
        <v>0.0</v>
      </c>
      <c r="K753" s="9">
        <v>339.22</v>
      </c>
      <c r="L753" s="7" t="s">
        <v>17</v>
      </c>
    </row>
    <row r="754" ht="15.75" customHeight="1">
      <c r="A754" s="6">
        <v>10531.0</v>
      </c>
      <c r="B754" s="7" t="s">
        <v>84</v>
      </c>
      <c r="C754" s="8">
        <v>45054.0</v>
      </c>
      <c r="D754" s="8">
        <v>45082.0</v>
      </c>
      <c r="E754" s="8">
        <v>45065.0</v>
      </c>
      <c r="F754" s="8">
        <v>45074.0</v>
      </c>
      <c r="G754" s="6">
        <v>59.0</v>
      </c>
      <c r="H754" s="9">
        <v>55.0</v>
      </c>
      <c r="I754" s="10">
        <v>2.0</v>
      </c>
      <c r="J754" s="11">
        <v>0.0</v>
      </c>
      <c r="K754" s="9">
        <v>8.12</v>
      </c>
      <c r="L754" s="7" t="s">
        <v>15</v>
      </c>
    </row>
    <row r="755" ht="15.75" customHeight="1">
      <c r="A755" s="6">
        <v>10532.0</v>
      </c>
      <c r="B755" s="7" t="s">
        <v>73</v>
      </c>
      <c r="C755" s="8">
        <v>45055.0</v>
      </c>
      <c r="D755" s="8">
        <v>45083.0</v>
      </c>
      <c r="E755" s="8">
        <v>45058.0</v>
      </c>
      <c r="F755" s="8">
        <v>45067.0</v>
      </c>
      <c r="G755" s="6">
        <v>30.0</v>
      </c>
      <c r="H755" s="9">
        <v>25.89</v>
      </c>
      <c r="I755" s="10">
        <v>15.0</v>
      </c>
      <c r="J755" s="11">
        <v>0.0</v>
      </c>
      <c r="K755" s="9">
        <v>74.46</v>
      </c>
      <c r="L755" s="7" t="s">
        <v>13</v>
      </c>
    </row>
    <row r="756" ht="15.75" customHeight="1">
      <c r="A756" s="6">
        <v>10532.0</v>
      </c>
      <c r="B756" s="7" t="s">
        <v>73</v>
      </c>
      <c r="C756" s="8">
        <v>45055.0</v>
      </c>
      <c r="D756" s="8">
        <v>45083.0</v>
      </c>
      <c r="E756" s="8">
        <v>45058.0</v>
      </c>
      <c r="F756" s="8">
        <v>45067.0</v>
      </c>
      <c r="G756" s="6">
        <v>66.0</v>
      </c>
      <c r="H756" s="9">
        <v>17.0</v>
      </c>
      <c r="I756" s="10">
        <v>24.0</v>
      </c>
      <c r="J756" s="11">
        <v>0.0</v>
      </c>
      <c r="K756" s="9">
        <v>74.46</v>
      </c>
      <c r="L756" s="7" t="s">
        <v>13</v>
      </c>
    </row>
    <row r="757" ht="15.75" customHeight="1">
      <c r="A757" s="6">
        <v>10533.0</v>
      </c>
      <c r="B757" s="7" t="s">
        <v>29</v>
      </c>
      <c r="C757" s="8">
        <v>45058.0</v>
      </c>
      <c r="D757" s="8">
        <v>45086.0</v>
      </c>
      <c r="E757" s="8">
        <v>45068.0</v>
      </c>
      <c r="F757" s="8">
        <v>45076.0</v>
      </c>
      <c r="G757" s="6">
        <v>4.0</v>
      </c>
      <c r="H757" s="9">
        <v>22.0</v>
      </c>
      <c r="I757" s="10">
        <v>50.0</v>
      </c>
      <c r="J757" s="11">
        <v>0.05</v>
      </c>
      <c r="K757" s="9">
        <v>188.04</v>
      </c>
      <c r="L757" s="7" t="s">
        <v>15</v>
      </c>
    </row>
    <row r="758" ht="15.75" customHeight="1">
      <c r="A758" s="6">
        <v>10533.0</v>
      </c>
      <c r="B758" s="7" t="s">
        <v>29</v>
      </c>
      <c r="C758" s="8">
        <v>45058.0</v>
      </c>
      <c r="D758" s="8">
        <v>45086.0</v>
      </c>
      <c r="E758" s="8">
        <v>45068.0</v>
      </c>
      <c r="F758" s="8">
        <v>45076.0</v>
      </c>
      <c r="G758" s="6">
        <v>72.0</v>
      </c>
      <c r="H758" s="9">
        <v>34.8</v>
      </c>
      <c r="I758" s="10">
        <v>24.0</v>
      </c>
      <c r="J758" s="11">
        <v>0.0</v>
      </c>
      <c r="K758" s="9">
        <v>188.04</v>
      </c>
      <c r="L758" s="7" t="s">
        <v>15</v>
      </c>
    </row>
    <row r="759" ht="15.75" customHeight="1">
      <c r="A759" s="6">
        <v>10533.0</v>
      </c>
      <c r="B759" s="7" t="s">
        <v>29</v>
      </c>
      <c r="C759" s="8">
        <v>45058.0</v>
      </c>
      <c r="D759" s="8">
        <v>45086.0</v>
      </c>
      <c r="E759" s="8">
        <v>45068.0</v>
      </c>
      <c r="F759" s="8">
        <v>45076.0</v>
      </c>
      <c r="G759" s="6">
        <v>73.0</v>
      </c>
      <c r="H759" s="9">
        <v>15.0</v>
      </c>
      <c r="I759" s="10">
        <v>24.0</v>
      </c>
      <c r="J759" s="11">
        <v>0.05</v>
      </c>
      <c r="K759" s="9">
        <v>188.04</v>
      </c>
      <c r="L759" s="7" t="s">
        <v>15</v>
      </c>
    </row>
    <row r="760" ht="15.75" customHeight="1">
      <c r="A760" s="6">
        <v>10534.0</v>
      </c>
      <c r="B760" s="7" t="s">
        <v>41</v>
      </c>
      <c r="C760" s="8">
        <v>45058.0</v>
      </c>
      <c r="D760" s="8">
        <v>45086.0</v>
      </c>
      <c r="E760" s="8">
        <v>45060.0</v>
      </c>
      <c r="F760" s="8">
        <v>45069.0</v>
      </c>
      <c r="G760" s="6">
        <v>30.0</v>
      </c>
      <c r="H760" s="9">
        <v>25.89</v>
      </c>
      <c r="I760" s="10">
        <v>10.0</v>
      </c>
      <c r="J760" s="11">
        <v>0.0</v>
      </c>
      <c r="K760" s="9">
        <v>27.94</v>
      </c>
      <c r="L760" s="7" t="s">
        <v>17</v>
      </c>
    </row>
    <row r="761" ht="15.75" customHeight="1">
      <c r="A761" s="6">
        <v>10534.0</v>
      </c>
      <c r="B761" s="7" t="s">
        <v>41</v>
      </c>
      <c r="C761" s="8">
        <v>45058.0</v>
      </c>
      <c r="D761" s="8">
        <v>45086.0</v>
      </c>
      <c r="E761" s="8">
        <v>45060.0</v>
      </c>
      <c r="F761" s="8">
        <v>45069.0</v>
      </c>
      <c r="G761" s="6">
        <v>40.0</v>
      </c>
      <c r="H761" s="9">
        <v>18.4</v>
      </c>
      <c r="I761" s="10">
        <v>10.0</v>
      </c>
      <c r="J761" s="11">
        <v>0.2</v>
      </c>
      <c r="K761" s="9">
        <v>27.94</v>
      </c>
      <c r="L761" s="7" t="s">
        <v>17</v>
      </c>
    </row>
    <row r="762" ht="15.75" customHeight="1">
      <c r="A762" s="6">
        <v>10534.0</v>
      </c>
      <c r="B762" s="7" t="s">
        <v>41</v>
      </c>
      <c r="C762" s="8">
        <v>45058.0</v>
      </c>
      <c r="D762" s="8">
        <v>45086.0</v>
      </c>
      <c r="E762" s="8">
        <v>45060.0</v>
      </c>
      <c r="F762" s="8">
        <v>45069.0</v>
      </c>
      <c r="G762" s="6">
        <v>54.0</v>
      </c>
      <c r="H762" s="9">
        <v>7.45</v>
      </c>
      <c r="I762" s="10">
        <v>10.0</v>
      </c>
      <c r="J762" s="11">
        <v>0.2</v>
      </c>
      <c r="K762" s="9">
        <v>27.94</v>
      </c>
      <c r="L762" s="7" t="s">
        <v>17</v>
      </c>
    </row>
    <row r="763" ht="15.75" customHeight="1">
      <c r="A763" s="6">
        <v>10535.0</v>
      </c>
      <c r="B763" s="7" t="s">
        <v>74</v>
      </c>
      <c r="C763" s="8">
        <v>45059.0</v>
      </c>
      <c r="D763" s="8">
        <v>45087.0</v>
      </c>
      <c r="E763" s="8">
        <v>45067.0</v>
      </c>
      <c r="F763" s="8">
        <v>45078.0</v>
      </c>
      <c r="G763" s="6">
        <v>11.0</v>
      </c>
      <c r="H763" s="9">
        <v>21.0</v>
      </c>
      <c r="I763" s="10">
        <v>50.0</v>
      </c>
      <c r="J763" s="11">
        <v>0.1</v>
      </c>
      <c r="K763" s="9">
        <v>15.64</v>
      </c>
      <c r="L763" s="7" t="s">
        <v>15</v>
      </c>
    </row>
    <row r="764" ht="15.75" customHeight="1">
      <c r="A764" s="6">
        <v>10535.0</v>
      </c>
      <c r="B764" s="7" t="s">
        <v>74</v>
      </c>
      <c r="C764" s="8">
        <v>45059.0</v>
      </c>
      <c r="D764" s="8">
        <v>45087.0</v>
      </c>
      <c r="E764" s="8">
        <v>45067.0</v>
      </c>
      <c r="F764" s="8">
        <v>45078.0</v>
      </c>
      <c r="G764" s="6">
        <v>40.0</v>
      </c>
      <c r="H764" s="9">
        <v>18.4</v>
      </c>
      <c r="I764" s="10">
        <v>10.0</v>
      </c>
      <c r="J764" s="11">
        <v>0.1</v>
      </c>
      <c r="K764" s="9">
        <v>15.64</v>
      </c>
      <c r="L764" s="7" t="s">
        <v>15</v>
      </c>
    </row>
    <row r="765" ht="15.75" customHeight="1">
      <c r="A765" s="6">
        <v>10535.0</v>
      </c>
      <c r="B765" s="7" t="s">
        <v>74</v>
      </c>
      <c r="C765" s="8">
        <v>45059.0</v>
      </c>
      <c r="D765" s="8">
        <v>45087.0</v>
      </c>
      <c r="E765" s="8">
        <v>45067.0</v>
      </c>
      <c r="F765" s="8">
        <v>45078.0</v>
      </c>
      <c r="G765" s="6">
        <v>57.0</v>
      </c>
      <c r="H765" s="9">
        <v>19.5</v>
      </c>
      <c r="I765" s="10">
        <v>5.0</v>
      </c>
      <c r="J765" s="11">
        <v>0.1</v>
      </c>
      <c r="K765" s="9">
        <v>15.64</v>
      </c>
      <c r="L765" s="7" t="s">
        <v>15</v>
      </c>
    </row>
    <row r="766" ht="15.75" customHeight="1">
      <c r="A766" s="6">
        <v>10535.0</v>
      </c>
      <c r="B766" s="7" t="s">
        <v>74</v>
      </c>
      <c r="C766" s="8">
        <v>45059.0</v>
      </c>
      <c r="D766" s="8">
        <v>45087.0</v>
      </c>
      <c r="E766" s="8">
        <v>45067.0</v>
      </c>
      <c r="F766" s="8">
        <v>45078.0</v>
      </c>
      <c r="G766" s="6">
        <v>59.0</v>
      </c>
      <c r="H766" s="9">
        <v>55.0</v>
      </c>
      <c r="I766" s="10">
        <v>15.0</v>
      </c>
      <c r="J766" s="11">
        <v>0.1</v>
      </c>
      <c r="K766" s="9">
        <v>15.64</v>
      </c>
      <c r="L766" s="7" t="s">
        <v>15</v>
      </c>
    </row>
    <row r="767" ht="15.75" customHeight="1">
      <c r="A767" s="6">
        <v>10536.0</v>
      </c>
      <c r="B767" s="7" t="s">
        <v>41</v>
      </c>
      <c r="C767" s="8">
        <v>45060.0</v>
      </c>
      <c r="D767" s="8">
        <v>45088.0</v>
      </c>
      <c r="E767" s="8">
        <v>45083.0</v>
      </c>
      <c r="F767" s="8">
        <v>45090.0</v>
      </c>
      <c r="G767" s="6">
        <v>12.0</v>
      </c>
      <c r="H767" s="9">
        <v>38.0</v>
      </c>
      <c r="I767" s="10">
        <v>15.0</v>
      </c>
      <c r="J767" s="11">
        <v>0.25</v>
      </c>
      <c r="K767" s="9">
        <v>58.88</v>
      </c>
      <c r="L767" s="7" t="s">
        <v>17</v>
      </c>
    </row>
    <row r="768" ht="15.75" customHeight="1">
      <c r="A768" s="6">
        <v>10536.0</v>
      </c>
      <c r="B768" s="7" t="s">
        <v>41</v>
      </c>
      <c r="C768" s="8">
        <v>45060.0</v>
      </c>
      <c r="D768" s="8">
        <v>45088.0</v>
      </c>
      <c r="E768" s="8">
        <v>45083.0</v>
      </c>
      <c r="F768" s="8">
        <v>45090.0</v>
      </c>
      <c r="G768" s="6">
        <v>31.0</v>
      </c>
      <c r="H768" s="9">
        <v>12.5</v>
      </c>
      <c r="I768" s="10">
        <v>20.0</v>
      </c>
      <c r="J768" s="11">
        <v>0.0</v>
      </c>
      <c r="K768" s="9">
        <v>58.88</v>
      </c>
      <c r="L768" s="7" t="s">
        <v>17</v>
      </c>
    </row>
    <row r="769" ht="15.75" customHeight="1">
      <c r="A769" s="6">
        <v>10536.0</v>
      </c>
      <c r="B769" s="7" t="s">
        <v>41</v>
      </c>
      <c r="C769" s="8">
        <v>45060.0</v>
      </c>
      <c r="D769" s="8">
        <v>45088.0</v>
      </c>
      <c r="E769" s="8">
        <v>45083.0</v>
      </c>
      <c r="F769" s="8">
        <v>45090.0</v>
      </c>
      <c r="G769" s="6">
        <v>33.0</v>
      </c>
      <c r="H769" s="9">
        <v>2.5</v>
      </c>
      <c r="I769" s="10">
        <v>30.0</v>
      </c>
      <c r="J769" s="11">
        <v>0.0</v>
      </c>
      <c r="K769" s="9">
        <v>58.88</v>
      </c>
      <c r="L769" s="7" t="s">
        <v>17</v>
      </c>
    </row>
    <row r="770" ht="15.75" customHeight="1">
      <c r="A770" s="6">
        <v>10536.0</v>
      </c>
      <c r="B770" s="7" t="s">
        <v>41</v>
      </c>
      <c r="C770" s="8">
        <v>45060.0</v>
      </c>
      <c r="D770" s="8">
        <v>45088.0</v>
      </c>
      <c r="E770" s="8">
        <v>45083.0</v>
      </c>
      <c r="F770" s="8">
        <v>45090.0</v>
      </c>
      <c r="G770" s="6">
        <v>60.0</v>
      </c>
      <c r="H770" s="9">
        <v>34.0</v>
      </c>
      <c r="I770" s="10">
        <v>35.0</v>
      </c>
      <c r="J770" s="11">
        <v>0.25</v>
      </c>
      <c r="K770" s="9">
        <v>58.88</v>
      </c>
      <c r="L770" s="7" t="s">
        <v>17</v>
      </c>
    </row>
    <row r="771" ht="15.75" customHeight="1">
      <c r="A771" s="6">
        <v>10537.0</v>
      </c>
      <c r="B771" s="7" t="s">
        <v>21</v>
      </c>
      <c r="C771" s="8">
        <v>45060.0</v>
      </c>
      <c r="D771" s="8">
        <v>45074.0</v>
      </c>
      <c r="E771" s="8">
        <v>45065.0</v>
      </c>
      <c r="F771" s="8">
        <v>45075.0</v>
      </c>
      <c r="G771" s="6">
        <v>31.0</v>
      </c>
      <c r="H771" s="9">
        <v>12.5</v>
      </c>
      <c r="I771" s="10">
        <v>30.0</v>
      </c>
      <c r="J771" s="11">
        <v>0.0</v>
      </c>
      <c r="K771" s="9">
        <v>78.85</v>
      </c>
      <c r="L771" s="7" t="s">
        <v>15</v>
      </c>
    </row>
    <row r="772" ht="15.75" customHeight="1">
      <c r="A772" s="6">
        <v>10537.0</v>
      </c>
      <c r="B772" s="7" t="s">
        <v>21</v>
      </c>
      <c r="C772" s="8">
        <v>45060.0</v>
      </c>
      <c r="D772" s="8">
        <v>45074.0</v>
      </c>
      <c r="E772" s="8">
        <v>45065.0</v>
      </c>
      <c r="F772" s="8">
        <v>45075.0</v>
      </c>
      <c r="G772" s="6">
        <v>51.0</v>
      </c>
      <c r="H772" s="9">
        <v>53.0</v>
      </c>
      <c r="I772" s="10">
        <v>6.0</v>
      </c>
      <c r="J772" s="11">
        <v>0.0</v>
      </c>
      <c r="K772" s="9">
        <v>78.85</v>
      </c>
      <c r="L772" s="7" t="s">
        <v>15</v>
      </c>
    </row>
    <row r="773" ht="15.75" customHeight="1">
      <c r="A773" s="6">
        <v>10537.0</v>
      </c>
      <c r="B773" s="7" t="s">
        <v>21</v>
      </c>
      <c r="C773" s="8">
        <v>45060.0</v>
      </c>
      <c r="D773" s="8">
        <v>45074.0</v>
      </c>
      <c r="E773" s="8">
        <v>45065.0</v>
      </c>
      <c r="F773" s="8">
        <v>45075.0</v>
      </c>
      <c r="G773" s="6">
        <v>58.0</v>
      </c>
      <c r="H773" s="9">
        <v>13.25</v>
      </c>
      <c r="I773" s="10">
        <v>20.0</v>
      </c>
      <c r="J773" s="11">
        <v>0.0</v>
      </c>
      <c r="K773" s="9">
        <v>78.85</v>
      </c>
      <c r="L773" s="7" t="s">
        <v>15</v>
      </c>
    </row>
    <row r="774" ht="15.75" customHeight="1">
      <c r="A774" s="6">
        <v>10537.0</v>
      </c>
      <c r="B774" s="7" t="s">
        <v>21</v>
      </c>
      <c r="C774" s="8">
        <v>45060.0</v>
      </c>
      <c r="D774" s="8">
        <v>45074.0</v>
      </c>
      <c r="E774" s="8">
        <v>45065.0</v>
      </c>
      <c r="F774" s="8">
        <v>45075.0</v>
      </c>
      <c r="G774" s="6">
        <v>72.0</v>
      </c>
      <c r="H774" s="9">
        <v>34.8</v>
      </c>
      <c r="I774" s="10">
        <v>21.0</v>
      </c>
      <c r="J774" s="11">
        <v>0.0</v>
      </c>
      <c r="K774" s="9">
        <v>78.85</v>
      </c>
      <c r="L774" s="7" t="s">
        <v>15</v>
      </c>
    </row>
    <row r="775" ht="15.75" customHeight="1">
      <c r="A775" s="6">
        <v>10537.0</v>
      </c>
      <c r="B775" s="7" t="s">
        <v>21</v>
      </c>
      <c r="C775" s="8">
        <v>45060.0</v>
      </c>
      <c r="D775" s="8">
        <v>45074.0</v>
      </c>
      <c r="E775" s="8">
        <v>45065.0</v>
      </c>
      <c r="F775" s="8">
        <v>45075.0</v>
      </c>
      <c r="G775" s="6">
        <v>73.0</v>
      </c>
      <c r="H775" s="9">
        <v>15.0</v>
      </c>
      <c r="I775" s="10">
        <v>9.0</v>
      </c>
      <c r="J775" s="11">
        <v>0.0</v>
      </c>
      <c r="K775" s="9">
        <v>78.85</v>
      </c>
      <c r="L775" s="7" t="s">
        <v>15</v>
      </c>
    </row>
    <row r="776" ht="15.75" customHeight="1">
      <c r="A776" s="6">
        <v>10538.0</v>
      </c>
      <c r="B776" s="7" t="s">
        <v>46</v>
      </c>
      <c r="C776" s="8">
        <v>45061.0</v>
      </c>
      <c r="D776" s="8">
        <v>45089.0</v>
      </c>
      <c r="E776" s="8">
        <v>45062.0</v>
      </c>
      <c r="F776" s="8">
        <v>45067.0</v>
      </c>
      <c r="G776" s="6">
        <v>70.0</v>
      </c>
      <c r="H776" s="9">
        <v>15.0</v>
      </c>
      <c r="I776" s="10">
        <v>7.0</v>
      </c>
      <c r="J776" s="11">
        <v>0.0</v>
      </c>
      <c r="K776" s="9">
        <v>4.87</v>
      </c>
      <c r="L776" s="7" t="s">
        <v>13</v>
      </c>
    </row>
    <row r="777" ht="15.75" customHeight="1">
      <c r="A777" s="6">
        <v>10538.0</v>
      </c>
      <c r="B777" s="7" t="s">
        <v>46</v>
      </c>
      <c r="C777" s="8">
        <v>45061.0</v>
      </c>
      <c r="D777" s="8">
        <v>45089.0</v>
      </c>
      <c r="E777" s="8">
        <v>45062.0</v>
      </c>
      <c r="F777" s="8">
        <v>45067.0</v>
      </c>
      <c r="G777" s="6">
        <v>72.0</v>
      </c>
      <c r="H777" s="9">
        <v>34.8</v>
      </c>
      <c r="I777" s="10">
        <v>1.0</v>
      </c>
      <c r="J777" s="11">
        <v>0.0</v>
      </c>
      <c r="K777" s="9">
        <v>4.87</v>
      </c>
      <c r="L777" s="7" t="s">
        <v>13</v>
      </c>
    </row>
    <row r="778" ht="15.75" customHeight="1">
      <c r="A778" s="6">
        <v>10539.0</v>
      </c>
      <c r="B778" s="7" t="s">
        <v>46</v>
      </c>
      <c r="C778" s="8">
        <v>45062.0</v>
      </c>
      <c r="D778" s="8">
        <v>45090.0</v>
      </c>
      <c r="E778" s="8">
        <v>45069.0</v>
      </c>
      <c r="F778" s="8">
        <v>45078.0</v>
      </c>
      <c r="G778" s="6">
        <v>13.0</v>
      </c>
      <c r="H778" s="9">
        <v>6.0</v>
      </c>
      <c r="I778" s="10">
        <v>8.0</v>
      </c>
      <c r="J778" s="11">
        <v>0.0</v>
      </c>
      <c r="K778" s="9">
        <v>12.36</v>
      </c>
      <c r="L778" s="7" t="s">
        <v>13</v>
      </c>
    </row>
    <row r="779" ht="15.75" customHeight="1">
      <c r="A779" s="6">
        <v>10539.0</v>
      </c>
      <c r="B779" s="7" t="s">
        <v>46</v>
      </c>
      <c r="C779" s="8">
        <v>45062.0</v>
      </c>
      <c r="D779" s="8">
        <v>45090.0</v>
      </c>
      <c r="E779" s="8">
        <v>45069.0</v>
      </c>
      <c r="F779" s="8">
        <v>45078.0</v>
      </c>
      <c r="G779" s="6">
        <v>21.0</v>
      </c>
      <c r="H779" s="9">
        <v>10.0</v>
      </c>
      <c r="I779" s="10">
        <v>15.0</v>
      </c>
      <c r="J779" s="11">
        <v>0.0</v>
      </c>
      <c r="K779" s="9">
        <v>12.36</v>
      </c>
      <c r="L779" s="7" t="s">
        <v>13</v>
      </c>
    </row>
    <row r="780" ht="15.75" customHeight="1">
      <c r="A780" s="6">
        <v>10539.0</v>
      </c>
      <c r="B780" s="7" t="s">
        <v>46</v>
      </c>
      <c r="C780" s="8">
        <v>45062.0</v>
      </c>
      <c r="D780" s="8">
        <v>45090.0</v>
      </c>
      <c r="E780" s="8">
        <v>45069.0</v>
      </c>
      <c r="F780" s="8">
        <v>45078.0</v>
      </c>
      <c r="G780" s="6">
        <v>33.0</v>
      </c>
      <c r="H780" s="9">
        <v>2.5</v>
      </c>
      <c r="I780" s="10">
        <v>15.0</v>
      </c>
      <c r="J780" s="11">
        <v>0.0</v>
      </c>
      <c r="K780" s="9">
        <v>12.36</v>
      </c>
      <c r="L780" s="7" t="s">
        <v>13</v>
      </c>
    </row>
    <row r="781" ht="15.75" customHeight="1">
      <c r="A781" s="6">
        <v>10539.0</v>
      </c>
      <c r="B781" s="7" t="s">
        <v>46</v>
      </c>
      <c r="C781" s="8">
        <v>45062.0</v>
      </c>
      <c r="D781" s="8">
        <v>45090.0</v>
      </c>
      <c r="E781" s="8">
        <v>45069.0</v>
      </c>
      <c r="F781" s="8">
        <v>45078.0</v>
      </c>
      <c r="G781" s="6">
        <v>49.0</v>
      </c>
      <c r="H781" s="9">
        <v>20.0</v>
      </c>
      <c r="I781" s="10">
        <v>6.0</v>
      </c>
      <c r="J781" s="11">
        <v>0.0</v>
      </c>
      <c r="K781" s="9">
        <v>12.36</v>
      </c>
      <c r="L781" s="7" t="s">
        <v>13</v>
      </c>
    </row>
    <row r="782" ht="15.75" customHeight="1">
      <c r="A782" s="6">
        <v>10540.0</v>
      </c>
      <c r="B782" s="7" t="s">
        <v>36</v>
      </c>
      <c r="C782" s="8">
        <v>45065.0</v>
      </c>
      <c r="D782" s="8">
        <v>45093.0</v>
      </c>
      <c r="E782" s="8">
        <v>45090.0</v>
      </c>
      <c r="F782" s="8">
        <v>45094.0</v>
      </c>
      <c r="G782" s="6">
        <v>3.0</v>
      </c>
      <c r="H782" s="9">
        <v>10.0</v>
      </c>
      <c r="I782" s="10">
        <v>60.0</v>
      </c>
      <c r="J782" s="11">
        <v>0.0</v>
      </c>
      <c r="K782" s="9">
        <v>1007.64</v>
      </c>
      <c r="L782" s="7" t="s">
        <v>13</v>
      </c>
    </row>
    <row r="783" ht="15.75" customHeight="1">
      <c r="A783" s="6">
        <v>10540.0</v>
      </c>
      <c r="B783" s="7" t="s">
        <v>36</v>
      </c>
      <c r="C783" s="8">
        <v>45065.0</v>
      </c>
      <c r="D783" s="8">
        <v>45093.0</v>
      </c>
      <c r="E783" s="8">
        <v>45090.0</v>
      </c>
      <c r="F783" s="8">
        <v>45094.0</v>
      </c>
      <c r="G783" s="6">
        <v>26.0</v>
      </c>
      <c r="H783" s="9">
        <v>31.23</v>
      </c>
      <c r="I783" s="10">
        <v>40.0</v>
      </c>
      <c r="J783" s="11">
        <v>0.0</v>
      </c>
      <c r="K783" s="9">
        <v>1007.64</v>
      </c>
      <c r="L783" s="7" t="s">
        <v>13</v>
      </c>
    </row>
    <row r="784" ht="15.75" customHeight="1">
      <c r="A784" s="6">
        <v>10540.0</v>
      </c>
      <c r="B784" s="7" t="s">
        <v>36</v>
      </c>
      <c r="C784" s="8">
        <v>45065.0</v>
      </c>
      <c r="D784" s="8">
        <v>45093.0</v>
      </c>
      <c r="E784" s="8">
        <v>45090.0</v>
      </c>
      <c r="F784" s="8">
        <v>45094.0</v>
      </c>
      <c r="G784" s="6">
        <v>38.0</v>
      </c>
      <c r="H784" s="9">
        <v>263.5</v>
      </c>
      <c r="I784" s="10">
        <v>30.0</v>
      </c>
      <c r="J784" s="11">
        <v>0.0</v>
      </c>
      <c r="K784" s="9">
        <v>1007.64</v>
      </c>
      <c r="L784" s="7" t="s">
        <v>13</v>
      </c>
    </row>
    <row r="785" ht="15.75" customHeight="1">
      <c r="A785" s="6">
        <v>10540.0</v>
      </c>
      <c r="B785" s="7" t="s">
        <v>36</v>
      </c>
      <c r="C785" s="8">
        <v>45065.0</v>
      </c>
      <c r="D785" s="8">
        <v>45093.0</v>
      </c>
      <c r="E785" s="8">
        <v>45090.0</v>
      </c>
      <c r="F785" s="8">
        <v>45094.0</v>
      </c>
      <c r="G785" s="6">
        <v>68.0</v>
      </c>
      <c r="H785" s="9">
        <v>12.5</v>
      </c>
      <c r="I785" s="10">
        <v>35.0</v>
      </c>
      <c r="J785" s="11">
        <v>0.0</v>
      </c>
      <c r="K785" s="9">
        <v>1007.64</v>
      </c>
      <c r="L785" s="7" t="s">
        <v>13</v>
      </c>
    </row>
    <row r="786" ht="15.75" customHeight="1">
      <c r="A786" s="6">
        <v>10541.0</v>
      </c>
      <c r="B786" s="7" t="s">
        <v>16</v>
      </c>
      <c r="C786" s="8">
        <v>45065.0</v>
      </c>
      <c r="D786" s="8">
        <v>45093.0</v>
      </c>
      <c r="E786" s="8">
        <v>45075.0</v>
      </c>
      <c r="F786" s="8">
        <v>45088.0</v>
      </c>
      <c r="G786" s="6">
        <v>24.0</v>
      </c>
      <c r="H786" s="9">
        <v>4.5</v>
      </c>
      <c r="I786" s="10">
        <v>35.0</v>
      </c>
      <c r="J786" s="11">
        <v>0.1</v>
      </c>
      <c r="K786" s="9">
        <v>68.65</v>
      </c>
      <c r="L786" s="7" t="s">
        <v>15</v>
      </c>
    </row>
    <row r="787" ht="15.75" customHeight="1">
      <c r="A787" s="6">
        <v>10541.0</v>
      </c>
      <c r="B787" s="7" t="s">
        <v>16</v>
      </c>
      <c r="C787" s="8">
        <v>45065.0</v>
      </c>
      <c r="D787" s="8">
        <v>45093.0</v>
      </c>
      <c r="E787" s="8">
        <v>45075.0</v>
      </c>
      <c r="F787" s="8">
        <v>45088.0</v>
      </c>
      <c r="G787" s="6">
        <v>38.0</v>
      </c>
      <c r="H787" s="9">
        <v>263.5</v>
      </c>
      <c r="I787" s="10">
        <v>4.0</v>
      </c>
      <c r="J787" s="11">
        <v>0.1</v>
      </c>
      <c r="K787" s="9">
        <v>68.65</v>
      </c>
      <c r="L787" s="7" t="s">
        <v>15</v>
      </c>
    </row>
    <row r="788" ht="15.75" customHeight="1">
      <c r="A788" s="6">
        <v>10541.0</v>
      </c>
      <c r="B788" s="7" t="s">
        <v>16</v>
      </c>
      <c r="C788" s="8">
        <v>45065.0</v>
      </c>
      <c r="D788" s="8">
        <v>45093.0</v>
      </c>
      <c r="E788" s="8">
        <v>45075.0</v>
      </c>
      <c r="F788" s="8">
        <v>45088.0</v>
      </c>
      <c r="G788" s="6">
        <v>65.0</v>
      </c>
      <c r="H788" s="9">
        <v>21.05</v>
      </c>
      <c r="I788" s="10">
        <v>36.0</v>
      </c>
      <c r="J788" s="11">
        <v>0.1</v>
      </c>
      <c r="K788" s="9">
        <v>68.65</v>
      </c>
      <c r="L788" s="7" t="s">
        <v>15</v>
      </c>
    </row>
    <row r="789" ht="15.75" customHeight="1">
      <c r="A789" s="6">
        <v>10541.0</v>
      </c>
      <c r="B789" s="7" t="s">
        <v>16</v>
      </c>
      <c r="C789" s="8">
        <v>45065.0</v>
      </c>
      <c r="D789" s="8">
        <v>45093.0</v>
      </c>
      <c r="E789" s="8">
        <v>45075.0</v>
      </c>
      <c r="F789" s="8">
        <v>45088.0</v>
      </c>
      <c r="G789" s="6">
        <v>71.0</v>
      </c>
      <c r="H789" s="9">
        <v>21.5</v>
      </c>
      <c r="I789" s="10">
        <v>9.0</v>
      </c>
      <c r="J789" s="11">
        <v>0.1</v>
      </c>
      <c r="K789" s="9">
        <v>68.65</v>
      </c>
      <c r="L789" s="7" t="s">
        <v>15</v>
      </c>
    </row>
    <row r="790" ht="15.75" customHeight="1">
      <c r="A790" s="6">
        <v>10542.0</v>
      </c>
      <c r="B790" s="7" t="s">
        <v>59</v>
      </c>
      <c r="C790" s="8">
        <v>45066.0</v>
      </c>
      <c r="D790" s="8">
        <v>45094.0</v>
      </c>
      <c r="E790" s="8">
        <v>45072.0</v>
      </c>
      <c r="F790" s="8">
        <v>45075.0</v>
      </c>
      <c r="G790" s="6">
        <v>11.0</v>
      </c>
      <c r="H790" s="9">
        <v>21.0</v>
      </c>
      <c r="I790" s="10">
        <v>15.0</v>
      </c>
      <c r="J790" s="11">
        <v>0.05</v>
      </c>
      <c r="K790" s="9">
        <v>10.95</v>
      </c>
      <c r="L790" s="7" t="s">
        <v>13</v>
      </c>
    </row>
    <row r="791" ht="15.75" customHeight="1">
      <c r="A791" s="6">
        <v>10542.0</v>
      </c>
      <c r="B791" s="7" t="s">
        <v>59</v>
      </c>
      <c r="C791" s="8">
        <v>45066.0</v>
      </c>
      <c r="D791" s="8">
        <v>45094.0</v>
      </c>
      <c r="E791" s="8">
        <v>45072.0</v>
      </c>
      <c r="F791" s="8">
        <v>45075.0</v>
      </c>
      <c r="G791" s="6">
        <v>54.0</v>
      </c>
      <c r="H791" s="9">
        <v>7.45</v>
      </c>
      <c r="I791" s="10">
        <v>24.0</v>
      </c>
      <c r="J791" s="11">
        <v>0.05</v>
      </c>
      <c r="K791" s="9">
        <v>10.95</v>
      </c>
      <c r="L791" s="7" t="s">
        <v>13</v>
      </c>
    </row>
    <row r="792" ht="15.75" customHeight="1">
      <c r="A792" s="6">
        <v>10543.0</v>
      </c>
      <c r="B792" s="7" t="s">
        <v>43</v>
      </c>
      <c r="C792" s="8">
        <v>45067.0</v>
      </c>
      <c r="D792" s="8">
        <v>45095.0</v>
      </c>
      <c r="E792" s="8">
        <v>45069.0</v>
      </c>
      <c r="F792" s="8">
        <v>45085.0</v>
      </c>
      <c r="G792" s="6">
        <v>12.0</v>
      </c>
      <c r="H792" s="9">
        <v>38.0</v>
      </c>
      <c r="I792" s="10">
        <v>30.0</v>
      </c>
      <c r="J792" s="11">
        <v>0.15</v>
      </c>
      <c r="K792" s="9">
        <v>48.17</v>
      </c>
      <c r="L792" s="7" t="s">
        <v>17</v>
      </c>
    </row>
    <row r="793" ht="15.75" customHeight="1">
      <c r="A793" s="6">
        <v>10543.0</v>
      </c>
      <c r="B793" s="7" t="s">
        <v>43</v>
      </c>
      <c r="C793" s="8">
        <v>45067.0</v>
      </c>
      <c r="D793" s="8">
        <v>45095.0</v>
      </c>
      <c r="E793" s="8">
        <v>45069.0</v>
      </c>
      <c r="F793" s="8">
        <v>45085.0</v>
      </c>
      <c r="G793" s="6">
        <v>23.0</v>
      </c>
      <c r="H793" s="9">
        <v>9.0</v>
      </c>
      <c r="I793" s="10">
        <v>70.0</v>
      </c>
      <c r="J793" s="11">
        <v>0.15</v>
      </c>
      <c r="K793" s="9">
        <v>48.17</v>
      </c>
      <c r="L793" s="7" t="s">
        <v>17</v>
      </c>
    </row>
    <row r="794" ht="15.75" customHeight="1">
      <c r="A794" s="6">
        <v>10544.0</v>
      </c>
      <c r="B794" s="7" t="s">
        <v>53</v>
      </c>
      <c r="C794" s="8">
        <v>45067.0</v>
      </c>
      <c r="D794" s="8">
        <v>45095.0</v>
      </c>
      <c r="E794" s="8">
        <v>45076.0</v>
      </c>
      <c r="F794" s="8">
        <v>45087.0</v>
      </c>
      <c r="G794" s="6">
        <v>28.0</v>
      </c>
      <c r="H794" s="9">
        <v>45.6</v>
      </c>
      <c r="I794" s="10">
        <v>7.0</v>
      </c>
      <c r="J794" s="11">
        <v>0.0</v>
      </c>
      <c r="K794" s="9">
        <v>24.91</v>
      </c>
      <c r="L794" s="7" t="s">
        <v>15</v>
      </c>
    </row>
    <row r="795" ht="15.75" customHeight="1">
      <c r="A795" s="6">
        <v>10544.0</v>
      </c>
      <c r="B795" s="7" t="s">
        <v>53</v>
      </c>
      <c r="C795" s="8">
        <v>45067.0</v>
      </c>
      <c r="D795" s="8">
        <v>45095.0</v>
      </c>
      <c r="E795" s="8">
        <v>45076.0</v>
      </c>
      <c r="F795" s="8">
        <v>45087.0</v>
      </c>
      <c r="G795" s="6">
        <v>67.0</v>
      </c>
      <c r="H795" s="9">
        <v>14.0</v>
      </c>
      <c r="I795" s="10">
        <v>7.0</v>
      </c>
      <c r="J795" s="11">
        <v>0.0</v>
      </c>
      <c r="K795" s="9">
        <v>24.91</v>
      </c>
      <c r="L795" s="7" t="s">
        <v>15</v>
      </c>
    </row>
    <row r="796" ht="15.75" customHeight="1">
      <c r="A796" s="6">
        <v>10545.0</v>
      </c>
      <c r="B796" s="7" t="s">
        <v>89</v>
      </c>
      <c r="C796" s="8">
        <v>45068.0</v>
      </c>
      <c r="D796" s="8">
        <v>45096.0</v>
      </c>
      <c r="E796" s="8">
        <v>45103.0</v>
      </c>
      <c r="F796" s="8">
        <v>45120.0</v>
      </c>
      <c r="G796" s="6">
        <v>11.0</v>
      </c>
      <c r="H796" s="9">
        <v>21.0</v>
      </c>
      <c r="I796" s="10">
        <v>10.0</v>
      </c>
      <c r="J796" s="11">
        <v>0.0</v>
      </c>
      <c r="K796" s="9">
        <v>11.92</v>
      </c>
      <c r="L796" s="7" t="s">
        <v>17</v>
      </c>
    </row>
    <row r="797" ht="15.75" customHeight="1">
      <c r="A797" s="6">
        <v>10546.0</v>
      </c>
      <c r="B797" s="7" t="s">
        <v>18</v>
      </c>
      <c r="C797" s="8">
        <v>45069.0</v>
      </c>
      <c r="D797" s="8">
        <v>45097.0</v>
      </c>
      <c r="E797" s="8">
        <v>45073.0</v>
      </c>
      <c r="F797" s="8">
        <v>45081.0</v>
      </c>
      <c r="G797" s="6">
        <v>7.0</v>
      </c>
      <c r="H797" s="9">
        <v>30.0</v>
      </c>
      <c r="I797" s="10">
        <v>10.0</v>
      </c>
      <c r="J797" s="11">
        <v>0.0</v>
      </c>
      <c r="K797" s="9">
        <v>194.72</v>
      </c>
      <c r="L797" s="7" t="s">
        <v>13</v>
      </c>
    </row>
    <row r="798" ht="15.75" customHeight="1">
      <c r="A798" s="6">
        <v>10546.0</v>
      </c>
      <c r="B798" s="7" t="s">
        <v>18</v>
      </c>
      <c r="C798" s="8">
        <v>45069.0</v>
      </c>
      <c r="D798" s="8">
        <v>45097.0</v>
      </c>
      <c r="E798" s="8">
        <v>45073.0</v>
      </c>
      <c r="F798" s="8">
        <v>45081.0</v>
      </c>
      <c r="G798" s="6">
        <v>35.0</v>
      </c>
      <c r="H798" s="9">
        <v>18.0</v>
      </c>
      <c r="I798" s="10">
        <v>30.0</v>
      </c>
      <c r="J798" s="11">
        <v>0.0</v>
      </c>
      <c r="K798" s="9">
        <v>194.72</v>
      </c>
      <c r="L798" s="7" t="s">
        <v>13</v>
      </c>
    </row>
    <row r="799" ht="15.75" customHeight="1">
      <c r="A799" s="6">
        <v>10546.0</v>
      </c>
      <c r="B799" s="7" t="s">
        <v>18</v>
      </c>
      <c r="C799" s="8">
        <v>45069.0</v>
      </c>
      <c r="D799" s="8">
        <v>45097.0</v>
      </c>
      <c r="E799" s="8">
        <v>45073.0</v>
      </c>
      <c r="F799" s="8">
        <v>45081.0</v>
      </c>
      <c r="G799" s="6">
        <v>62.0</v>
      </c>
      <c r="H799" s="9">
        <v>49.3</v>
      </c>
      <c r="I799" s="10">
        <v>40.0</v>
      </c>
      <c r="J799" s="11">
        <v>0.0</v>
      </c>
      <c r="K799" s="9">
        <v>194.72</v>
      </c>
      <c r="L799" s="7" t="s">
        <v>13</v>
      </c>
    </row>
    <row r="800" ht="15.75" customHeight="1">
      <c r="A800" s="6">
        <v>10547.0</v>
      </c>
      <c r="B800" s="7" t="s">
        <v>71</v>
      </c>
      <c r="C800" s="8">
        <v>45069.0</v>
      </c>
      <c r="D800" s="8">
        <v>45097.0</v>
      </c>
      <c r="E800" s="8">
        <v>45079.0</v>
      </c>
      <c r="F800" s="8">
        <v>45090.0</v>
      </c>
      <c r="G800" s="6">
        <v>32.0</v>
      </c>
      <c r="H800" s="9">
        <v>32.0</v>
      </c>
      <c r="I800" s="10">
        <v>24.0</v>
      </c>
      <c r="J800" s="11">
        <v>0.15</v>
      </c>
      <c r="K800" s="9">
        <v>178.43</v>
      </c>
      <c r="L800" s="7" t="s">
        <v>17</v>
      </c>
    </row>
    <row r="801" ht="15.75" customHeight="1">
      <c r="A801" s="6">
        <v>10547.0</v>
      </c>
      <c r="B801" s="7" t="s">
        <v>71</v>
      </c>
      <c r="C801" s="8">
        <v>45069.0</v>
      </c>
      <c r="D801" s="8">
        <v>45097.0</v>
      </c>
      <c r="E801" s="8">
        <v>45079.0</v>
      </c>
      <c r="F801" s="8">
        <v>45090.0</v>
      </c>
      <c r="G801" s="6">
        <v>36.0</v>
      </c>
      <c r="H801" s="9">
        <v>19.0</v>
      </c>
      <c r="I801" s="10">
        <v>60.0</v>
      </c>
      <c r="J801" s="11">
        <v>0.0</v>
      </c>
      <c r="K801" s="9">
        <v>178.43</v>
      </c>
      <c r="L801" s="7" t="s">
        <v>17</v>
      </c>
    </row>
    <row r="802" ht="15.75" customHeight="1">
      <c r="A802" s="6">
        <v>10548.0</v>
      </c>
      <c r="B802" s="7" t="s">
        <v>14</v>
      </c>
      <c r="C802" s="8">
        <v>45072.0</v>
      </c>
      <c r="D802" s="8">
        <v>45100.0</v>
      </c>
      <c r="E802" s="8">
        <v>45079.0</v>
      </c>
      <c r="F802" s="8">
        <v>45088.0</v>
      </c>
      <c r="G802" s="6">
        <v>34.0</v>
      </c>
      <c r="H802" s="9">
        <v>14.0</v>
      </c>
      <c r="I802" s="10">
        <v>10.0</v>
      </c>
      <c r="J802" s="11">
        <v>0.25</v>
      </c>
      <c r="K802" s="9">
        <v>1.43</v>
      </c>
      <c r="L802" s="7" t="s">
        <v>17</v>
      </c>
    </row>
    <row r="803" ht="15.75" customHeight="1">
      <c r="A803" s="6">
        <v>10548.0</v>
      </c>
      <c r="B803" s="7" t="s">
        <v>14</v>
      </c>
      <c r="C803" s="8">
        <v>45072.0</v>
      </c>
      <c r="D803" s="8">
        <v>45100.0</v>
      </c>
      <c r="E803" s="8">
        <v>45079.0</v>
      </c>
      <c r="F803" s="8">
        <v>45088.0</v>
      </c>
      <c r="G803" s="6">
        <v>41.0</v>
      </c>
      <c r="H803" s="9">
        <v>9.65</v>
      </c>
      <c r="I803" s="10">
        <v>14.0</v>
      </c>
      <c r="J803" s="11">
        <v>0.0</v>
      </c>
      <c r="K803" s="9">
        <v>1.43</v>
      </c>
      <c r="L803" s="7" t="s">
        <v>17</v>
      </c>
    </row>
    <row r="804" ht="15.75" customHeight="1">
      <c r="A804" s="6">
        <v>10549.0</v>
      </c>
      <c r="B804" s="7" t="s">
        <v>36</v>
      </c>
      <c r="C804" s="8">
        <v>45073.0</v>
      </c>
      <c r="D804" s="8">
        <v>45087.0</v>
      </c>
      <c r="E804" s="8">
        <v>45076.0</v>
      </c>
      <c r="F804" s="8">
        <v>45078.0</v>
      </c>
      <c r="G804" s="6">
        <v>31.0</v>
      </c>
      <c r="H804" s="9">
        <v>12.5</v>
      </c>
      <c r="I804" s="10">
        <v>55.0</v>
      </c>
      <c r="J804" s="11">
        <v>0.15</v>
      </c>
      <c r="K804" s="9">
        <v>171.24</v>
      </c>
      <c r="L804" s="7" t="s">
        <v>15</v>
      </c>
    </row>
    <row r="805" ht="15.75" customHeight="1">
      <c r="A805" s="6">
        <v>10549.0</v>
      </c>
      <c r="B805" s="7" t="s">
        <v>36</v>
      </c>
      <c r="C805" s="8">
        <v>45073.0</v>
      </c>
      <c r="D805" s="8">
        <v>45087.0</v>
      </c>
      <c r="E805" s="8">
        <v>45076.0</v>
      </c>
      <c r="F805" s="8">
        <v>45078.0</v>
      </c>
      <c r="G805" s="6">
        <v>45.0</v>
      </c>
      <c r="H805" s="9">
        <v>9.5</v>
      </c>
      <c r="I805" s="10">
        <v>100.0</v>
      </c>
      <c r="J805" s="11">
        <v>0.15</v>
      </c>
      <c r="K805" s="9">
        <v>171.24</v>
      </c>
      <c r="L805" s="7" t="s">
        <v>15</v>
      </c>
    </row>
    <row r="806" ht="15.75" customHeight="1">
      <c r="A806" s="6">
        <v>10549.0</v>
      </c>
      <c r="B806" s="7" t="s">
        <v>36</v>
      </c>
      <c r="C806" s="8">
        <v>45073.0</v>
      </c>
      <c r="D806" s="8">
        <v>45087.0</v>
      </c>
      <c r="E806" s="8">
        <v>45076.0</v>
      </c>
      <c r="F806" s="8">
        <v>45078.0</v>
      </c>
      <c r="G806" s="6">
        <v>51.0</v>
      </c>
      <c r="H806" s="9">
        <v>53.0</v>
      </c>
      <c r="I806" s="10">
        <v>48.0</v>
      </c>
      <c r="J806" s="11">
        <v>0.15</v>
      </c>
      <c r="K806" s="9">
        <v>171.24</v>
      </c>
      <c r="L806" s="7" t="s">
        <v>15</v>
      </c>
    </row>
    <row r="807" ht="15.75" customHeight="1">
      <c r="A807" s="6">
        <v>10550.0</v>
      </c>
      <c r="B807" s="7" t="s">
        <v>51</v>
      </c>
      <c r="C807" s="8">
        <v>45074.0</v>
      </c>
      <c r="D807" s="8">
        <v>45102.0</v>
      </c>
      <c r="E807" s="8">
        <v>45083.0</v>
      </c>
      <c r="F807" s="8">
        <v>45090.0</v>
      </c>
      <c r="G807" s="6">
        <v>17.0</v>
      </c>
      <c r="H807" s="9">
        <v>39.0</v>
      </c>
      <c r="I807" s="10">
        <v>8.0</v>
      </c>
      <c r="J807" s="11">
        <v>0.1</v>
      </c>
      <c r="K807" s="9">
        <v>4.32</v>
      </c>
      <c r="L807" s="7" t="s">
        <v>13</v>
      </c>
    </row>
    <row r="808" ht="15.75" customHeight="1">
      <c r="A808" s="6">
        <v>10550.0</v>
      </c>
      <c r="B808" s="7" t="s">
        <v>51</v>
      </c>
      <c r="C808" s="8">
        <v>45074.0</v>
      </c>
      <c r="D808" s="8">
        <v>45102.0</v>
      </c>
      <c r="E808" s="8">
        <v>45083.0</v>
      </c>
      <c r="F808" s="8">
        <v>45090.0</v>
      </c>
      <c r="G808" s="6">
        <v>19.0</v>
      </c>
      <c r="H808" s="9">
        <v>9.2</v>
      </c>
      <c r="I808" s="10">
        <v>10.0</v>
      </c>
      <c r="J808" s="11">
        <v>0.0</v>
      </c>
      <c r="K808" s="9">
        <v>4.32</v>
      </c>
      <c r="L808" s="7" t="s">
        <v>13</v>
      </c>
    </row>
    <row r="809" ht="15.75" customHeight="1">
      <c r="A809" s="6">
        <v>10550.0</v>
      </c>
      <c r="B809" s="7" t="s">
        <v>51</v>
      </c>
      <c r="C809" s="8">
        <v>45074.0</v>
      </c>
      <c r="D809" s="8">
        <v>45102.0</v>
      </c>
      <c r="E809" s="8">
        <v>45083.0</v>
      </c>
      <c r="F809" s="8">
        <v>45090.0</v>
      </c>
      <c r="G809" s="6">
        <v>21.0</v>
      </c>
      <c r="H809" s="9">
        <v>10.0</v>
      </c>
      <c r="I809" s="10">
        <v>6.0</v>
      </c>
      <c r="J809" s="11">
        <v>0.1</v>
      </c>
      <c r="K809" s="9">
        <v>4.32</v>
      </c>
      <c r="L809" s="7" t="s">
        <v>13</v>
      </c>
    </row>
    <row r="810" ht="15.75" customHeight="1">
      <c r="A810" s="6">
        <v>10550.0</v>
      </c>
      <c r="B810" s="7" t="s">
        <v>51</v>
      </c>
      <c r="C810" s="8">
        <v>45074.0</v>
      </c>
      <c r="D810" s="8">
        <v>45102.0</v>
      </c>
      <c r="E810" s="8">
        <v>45083.0</v>
      </c>
      <c r="F810" s="8">
        <v>45090.0</v>
      </c>
      <c r="G810" s="6">
        <v>61.0</v>
      </c>
      <c r="H810" s="9">
        <v>28.5</v>
      </c>
      <c r="I810" s="10">
        <v>10.0</v>
      </c>
      <c r="J810" s="11">
        <v>0.1</v>
      </c>
      <c r="K810" s="9">
        <v>4.32</v>
      </c>
      <c r="L810" s="7" t="s">
        <v>13</v>
      </c>
    </row>
    <row r="811" ht="15.75" customHeight="1">
      <c r="A811" s="6">
        <v>10551.0</v>
      </c>
      <c r="B811" s="7" t="s">
        <v>62</v>
      </c>
      <c r="C811" s="8">
        <v>45074.0</v>
      </c>
      <c r="D811" s="8">
        <v>45116.0</v>
      </c>
      <c r="E811" s="8">
        <v>45083.0</v>
      </c>
      <c r="F811" s="8">
        <v>45093.0</v>
      </c>
      <c r="G811" s="6">
        <v>16.0</v>
      </c>
      <c r="H811" s="9">
        <v>17.45</v>
      </c>
      <c r="I811" s="10">
        <v>40.0</v>
      </c>
      <c r="J811" s="11">
        <v>0.15</v>
      </c>
      <c r="K811" s="9">
        <v>72.95</v>
      </c>
      <c r="L811" s="7" t="s">
        <v>13</v>
      </c>
    </row>
    <row r="812" ht="15.75" customHeight="1">
      <c r="A812" s="6">
        <v>10551.0</v>
      </c>
      <c r="B812" s="7" t="s">
        <v>62</v>
      </c>
      <c r="C812" s="8">
        <v>45074.0</v>
      </c>
      <c r="D812" s="8">
        <v>45116.0</v>
      </c>
      <c r="E812" s="8">
        <v>45083.0</v>
      </c>
      <c r="F812" s="8">
        <v>45093.0</v>
      </c>
      <c r="G812" s="6">
        <v>35.0</v>
      </c>
      <c r="H812" s="9">
        <v>18.0</v>
      </c>
      <c r="I812" s="10">
        <v>20.0</v>
      </c>
      <c r="J812" s="11">
        <v>0.15</v>
      </c>
      <c r="K812" s="9">
        <v>72.95</v>
      </c>
      <c r="L812" s="7" t="s">
        <v>13</v>
      </c>
    </row>
    <row r="813" ht="15.75" customHeight="1">
      <c r="A813" s="6">
        <v>10551.0</v>
      </c>
      <c r="B813" s="7" t="s">
        <v>62</v>
      </c>
      <c r="C813" s="8">
        <v>45074.0</v>
      </c>
      <c r="D813" s="8">
        <v>45116.0</v>
      </c>
      <c r="E813" s="8">
        <v>45083.0</v>
      </c>
      <c r="F813" s="8">
        <v>45093.0</v>
      </c>
      <c r="G813" s="6">
        <v>44.0</v>
      </c>
      <c r="H813" s="9">
        <v>19.45</v>
      </c>
      <c r="I813" s="10">
        <v>40.0</v>
      </c>
      <c r="J813" s="11">
        <v>0.0</v>
      </c>
      <c r="K813" s="9">
        <v>72.95</v>
      </c>
      <c r="L813" s="7" t="s">
        <v>13</v>
      </c>
    </row>
    <row r="814" ht="15.75" customHeight="1">
      <c r="A814" s="6">
        <v>10552.0</v>
      </c>
      <c r="B814" s="7" t="s">
        <v>23</v>
      </c>
      <c r="C814" s="8">
        <v>45075.0</v>
      </c>
      <c r="D814" s="8">
        <v>45103.0</v>
      </c>
      <c r="E814" s="8">
        <v>45082.0</v>
      </c>
      <c r="F814" s="8">
        <v>45093.0</v>
      </c>
      <c r="G814" s="6">
        <v>69.0</v>
      </c>
      <c r="H814" s="9">
        <v>36.0</v>
      </c>
      <c r="I814" s="10">
        <v>18.0</v>
      </c>
      <c r="J814" s="11">
        <v>0.0</v>
      </c>
      <c r="K814" s="9">
        <v>83.22</v>
      </c>
      <c r="L814" s="7" t="s">
        <v>15</v>
      </c>
    </row>
    <row r="815" ht="15.75" customHeight="1">
      <c r="A815" s="6">
        <v>10552.0</v>
      </c>
      <c r="B815" s="7" t="s">
        <v>23</v>
      </c>
      <c r="C815" s="8">
        <v>45075.0</v>
      </c>
      <c r="D815" s="8">
        <v>45103.0</v>
      </c>
      <c r="E815" s="8">
        <v>45082.0</v>
      </c>
      <c r="F815" s="8">
        <v>45093.0</v>
      </c>
      <c r="G815" s="6">
        <v>75.0</v>
      </c>
      <c r="H815" s="9">
        <v>7.75</v>
      </c>
      <c r="I815" s="10">
        <v>30.0</v>
      </c>
      <c r="J815" s="11">
        <v>0.0</v>
      </c>
      <c r="K815" s="9">
        <v>83.22</v>
      </c>
      <c r="L815" s="7" t="s">
        <v>15</v>
      </c>
    </row>
    <row r="816" ht="15.75" customHeight="1">
      <c r="A816" s="6">
        <v>10553.0</v>
      </c>
      <c r="B816" s="7" t="s">
        <v>31</v>
      </c>
      <c r="C816" s="8">
        <v>45076.0</v>
      </c>
      <c r="D816" s="8">
        <v>45104.0</v>
      </c>
      <c r="E816" s="8">
        <v>45080.0</v>
      </c>
      <c r="F816" s="8">
        <v>45094.0</v>
      </c>
      <c r="G816" s="6">
        <v>11.0</v>
      </c>
      <c r="H816" s="9">
        <v>21.0</v>
      </c>
      <c r="I816" s="10">
        <v>15.0</v>
      </c>
      <c r="J816" s="11">
        <v>0.0</v>
      </c>
      <c r="K816" s="9">
        <v>149.49</v>
      </c>
      <c r="L816" s="7" t="s">
        <v>17</v>
      </c>
    </row>
    <row r="817" ht="15.75" customHeight="1">
      <c r="A817" s="6">
        <v>10553.0</v>
      </c>
      <c r="B817" s="7" t="s">
        <v>31</v>
      </c>
      <c r="C817" s="8">
        <v>45076.0</v>
      </c>
      <c r="D817" s="8">
        <v>45104.0</v>
      </c>
      <c r="E817" s="8">
        <v>45080.0</v>
      </c>
      <c r="F817" s="8">
        <v>45094.0</v>
      </c>
      <c r="G817" s="6">
        <v>16.0</v>
      </c>
      <c r="H817" s="9">
        <v>17.45</v>
      </c>
      <c r="I817" s="10">
        <v>14.0</v>
      </c>
      <c r="J817" s="11">
        <v>0.0</v>
      </c>
      <c r="K817" s="9">
        <v>149.49</v>
      </c>
      <c r="L817" s="7" t="s">
        <v>17</v>
      </c>
    </row>
    <row r="818" ht="15.75" customHeight="1">
      <c r="A818" s="6">
        <v>10553.0</v>
      </c>
      <c r="B818" s="7" t="s">
        <v>31</v>
      </c>
      <c r="C818" s="8">
        <v>45076.0</v>
      </c>
      <c r="D818" s="8">
        <v>45104.0</v>
      </c>
      <c r="E818" s="8">
        <v>45080.0</v>
      </c>
      <c r="F818" s="8">
        <v>45094.0</v>
      </c>
      <c r="G818" s="6">
        <v>22.0</v>
      </c>
      <c r="H818" s="9">
        <v>21.0</v>
      </c>
      <c r="I818" s="10">
        <v>24.0</v>
      </c>
      <c r="J818" s="11">
        <v>0.0</v>
      </c>
      <c r="K818" s="9">
        <v>149.49</v>
      </c>
      <c r="L818" s="7" t="s">
        <v>17</v>
      </c>
    </row>
    <row r="819" ht="15.75" customHeight="1">
      <c r="A819" s="6">
        <v>10553.0</v>
      </c>
      <c r="B819" s="7" t="s">
        <v>31</v>
      </c>
      <c r="C819" s="8">
        <v>45076.0</v>
      </c>
      <c r="D819" s="8">
        <v>45104.0</v>
      </c>
      <c r="E819" s="8">
        <v>45080.0</v>
      </c>
      <c r="F819" s="8">
        <v>45094.0</v>
      </c>
      <c r="G819" s="6">
        <v>31.0</v>
      </c>
      <c r="H819" s="9">
        <v>12.5</v>
      </c>
      <c r="I819" s="10">
        <v>30.0</v>
      </c>
      <c r="J819" s="11">
        <v>0.0</v>
      </c>
      <c r="K819" s="9">
        <v>149.49</v>
      </c>
      <c r="L819" s="7" t="s">
        <v>17</v>
      </c>
    </row>
    <row r="820" ht="15.75" customHeight="1">
      <c r="A820" s="6">
        <v>10553.0</v>
      </c>
      <c r="B820" s="7" t="s">
        <v>31</v>
      </c>
      <c r="C820" s="8">
        <v>45076.0</v>
      </c>
      <c r="D820" s="8">
        <v>45104.0</v>
      </c>
      <c r="E820" s="8">
        <v>45080.0</v>
      </c>
      <c r="F820" s="8">
        <v>45094.0</v>
      </c>
      <c r="G820" s="6">
        <v>35.0</v>
      </c>
      <c r="H820" s="9">
        <v>18.0</v>
      </c>
      <c r="I820" s="10">
        <v>6.0</v>
      </c>
      <c r="J820" s="11">
        <v>0.0</v>
      </c>
      <c r="K820" s="9">
        <v>149.49</v>
      </c>
      <c r="L820" s="7" t="s">
        <v>17</v>
      </c>
    </row>
    <row r="821" ht="15.75" customHeight="1">
      <c r="A821" s="6">
        <v>10554.0</v>
      </c>
      <c r="B821" s="7" t="s">
        <v>26</v>
      </c>
      <c r="C821" s="8">
        <v>45076.0</v>
      </c>
      <c r="D821" s="8">
        <v>45104.0</v>
      </c>
      <c r="E821" s="8">
        <v>45082.0</v>
      </c>
      <c r="F821" s="8">
        <v>45087.0</v>
      </c>
      <c r="G821" s="6">
        <v>16.0</v>
      </c>
      <c r="H821" s="9">
        <v>17.45</v>
      </c>
      <c r="I821" s="10">
        <v>30.0</v>
      </c>
      <c r="J821" s="11">
        <v>0.05</v>
      </c>
      <c r="K821" s="9">
        <v>120.97</v>
      </c>
      <c r="L821" s="7" t="s">
        <v>13</v>
      </c>
    </row>
    <row r="822" ht="15.75" customHeight="1">
      <c r="A822" s="6">
        <v>10554.0</v>
      </c>
      <c r="B822" s="7" t="s">
        <v>26</v>
      </c>
      <c r="C822" s="8">
        <v>45076.0</v>
      </c>
      <c r="D822" s="8">
        <v>45104.0</v>
      </c>
      <c r="E822" s="8">
        <v>45082.0</v>
      </c>
      <c r="F822" s="8">
        <v>45087.0</v>
      </c>
      <c r="G822" s="6">
        <v>23.0</v>
      </c>
      <c r="H822" s="9">
        <v>9.0</v>
      </c>
      <c r="I822" s="10">
        <v>20.0</v>
      </c>
      <c r="J822" s="11">
        <v>0.05</v>
      </c>
      <c r="K822" s="9">
        <v>120.97</v>
      </c>
      <c r="L822" s="7" t="s">
        <v>13</v>
      </c>
    </row>
    <row r="823" ht="15.75" customHeight="1">
      <c r="A823" s="6">
        <v>10554.0</v>
      </c>
      <c r="B823" s="7" t="s">
        <v>26</v>
      </c>
      <c r="C823" s="8">
        <v>45076.0</v>
      </c>
      <c r="D823" s="8">
        <v>45104.0</v>
      </c>
      <c r="E823" s="8">
        <v>45082.0</v>
      </c>
      <c r="F823" s="8">
        <v>45087.0</v>
      </c>
      <c r="G823" s="6">
        <v>62.0</v>
      </c>
      <c r="H823" s="9">
        <v>49.3</v>
      </c>
      <c r="I823" s="10">
        <v>20.0</v>
      </c>
      <c r="J823" s="11">
        <v>0.05</v>
      </c>
      <c r="K823" s="9">
        <v>120.97</v>
      </c>
      <c r="L823" s="7" t="s">
        <v>13</v>
      </c>
    </row>
    <row r="824" ht="15.75" customHeight="1">
      <c r="A824" s="6">
        <v>10554.0</v>
      </c>
      <c r="B824" s="7" t="s">
        <v>26</v>
      </c>
      <c r="C824" s="8">
        <v>45076.0</v>
      </c>
      <c r="D824" s="8">
        <v>45104.0</v>
      </c>
      <c r="E824" s="8">
        <v>45082.0</v>
      </c>
      <c r="F824" s="8">
        <v>45087.0</v>
      </c>
      <c r="G824" s="6">
        <v>77.0</v>
      </c>
      <c r="H824" s="9">
        <v>13.0</v>
      </c>
      <c r="I824" s="10">
        <v>10.0</v>
      </c>
      <c r="J824" s="11">
        <v>0.05</v>
      </c>
      <c r="K824" s="9">
        <v>120.97</v>
      </c>
      <c r="L824" s="7" t="s">
        <v>13</v>
      </c>
    </row>
    <row r="825" ht="15.75" customHeight="1">
      <c r="A825" s="6">
        <v>10555.0</v>
      </c>
      <c r="B825" s="7" t="s">
        <v>60</v>
      </c>
      <c r="C825" s="8">
        <v>45079.0</v>
      </c>
      <c r="D825" s="8">
        <v>45107.0</v>
      </c>
      <c r="E825" s="8">
        <v>45081.0</v>
      </c>
      <c r="F825" s="8">
        <v>45095.0</v>
      </c>
      <c r="G825" s="6">
        <v>14.0</v>
      </c>
      <c r="H825" s="9">
        <v>23.25</v>
      </c>
      <c r="I825" s="10">
        <v>30.0</v>
      </c>
      <c r="J825" s="11">
        <v>0.2</v>
      </c>
      <c r="K825" s="9">
        <v>252.49</v>
      </c>
      <c r="L825" s="7" t="s">
        <v>13</v>
      </c>
    </row>
    <row r="826" ht="15.75" customHeight="1">
      <c r="A826" s="6">
        <v>10555.0</v>
      </c>
      <c r="B826" s="7" t="s">
        <v>60</v>
      </c>
      <c r="C826" s="8">
        <v>45079.0</v>
      </c>
      <c r="D826" s="8">
        <v>45107.0</v>
      </c>
      <c r="E826" s="8">
        <v>45081.0</v>
      </c>
      <c r="F826" s="8">
        <v>45095.0</v>
      </c>
      <c r="G826" s="6">
        <v>19.0</v>
      </c>
      <c r="H826" s="9">
        <v>9.2</v>
      </c>
      <c r="I826" s="10">
        <v>35.0</v>
      </c>
      <c r="J826" s="11">
        <v>0.2</v>
      </c>
      <c r="K826" s="9">
        <v>252.49</v>
      </c>
      <c r="L826" s="7" t="s">
        <v>13</v>
      </c>
    </row>
    <row r="827" ht="15.75" customHeight="1">
      <c r="A827" s="6">
        <v>10555.0</v>
      </c>
      <c r="B827" s="7" t="s">
        <v>60</v>
      </c>
      <c r="C827" s="8">
        <v>45079.0</v>
      </c>
      <c r="D827" s="8">
        <v>45107.0</v>
      </c>
      <c r="E827" s="8">
        <v>45081.0</v>
      </c>
      <c r="F827" s="8">
        <v>45095.0</v>
      </c>
      <c r="G827" s="6">
        <v>24.0</v>
      </c>
      <c r="H827" s="9">
        <v>4.5</v>
      </c>
      <c r="I827" s="10">
        <v>18.0</v>
      </c>
      <c r="J827" s="11">
        <v>0.2</v>
      </c>
      <c r="K827" s="9">
        <v>252.49</v>
      </c>
      <c r="L827" s="7" t="s">
        <v>13</v>
      </c>
    </row>
    <row r="828" ht="15.75" customHeight="1">
      <c r="A828" s="6">
        <v>10555.0</v>
      </c>
      <c r="B828" s="7" t="s">
        <v>60</v>
      </c>
      <c r="C828" s="8">
        <v>45079.0</v>
      </c>
      <c r="D828" s="8">
        <v>45107.0</v>
      </c>
      <c r="E828" s="8">
        <v>45081.0</v>
      </c>
      <c r="F828" s="8">
        <v>45095.0</v>
      </c>
      <c r="G828" s="6">
        <v>51.0</v>
      </c>
      <c r="H828" s="9">
        <v>53.0</v>
      </c>
      <c r="I828" s="10">
        <v>20.0</v>
      </c>
      <c r="J828" s="11">
        <v>0.2</v>
      </c>
      <c r="K828" s="9">
        <v>252.49</v>
      </c>
      <c r="L828" s="7" t="s">
        <v>13</v>
      </c>
    </row>
    <row r="829" ht="15.75" customHeight="1">
      <c r="A829" s="6">
        <v>10555.0</v>
      </c>
      <c r="B829" s="7" t="s">
        <v>60</v>
      </c>
      <c r="C829" s="8">
        <v>45079.0</v>
      </c>
      <c r="D829" s="8">
        <v>45107.0</v>
      </c>
      <c r="E829" s="8">
        <v>45081.0</v>
      </c>
      <c r="F829" s="8">
        <v>45095.0</v>
      </c>
      <c r="G829" s="6">
        <v>56.0</v>
      </c>
      <c r="H829" s="9">
        <v>38.0</v>
      </c>
      <c r="I829" s="10">
        <v>40.0</v>
      </c>
      <c r="J829" s="11">
        <v>0.2</v>
      </c>
      <c r="K829" s="9">
        <v>252.49</v>
      </c>
      <c r="L829" s="7" t="s">
        <v>13</v>
      </c>
    </row>
    <row r="830" ht="15.75" customHeight="1">
      <c r="A830" s="6">
        <v>10556.0</v>
      </c>
      <c r="B830" s="7" t="s">
        <v>66</v>
      </c>
      <c r="C830" s="8">
        <v>45080.0</v>
      </c>
      <c r="D830" s="8">
        <v>45122.0</v>
      </c>
      <c r="E830" s="8">
        <v>45090.0</v>
      </c>
      <c r="F830" s="8">
        <v>45099.0</v>
      </c>
      <c r="G830" s="6">
        <v>72.0</v>
      </c>
      <c r="H830" s="9">
        <v>34.8</v>
      </c>
      <c r="I830" s="10">
        <v>24.0</v>
      </c>
      <c r="J830" s="11">
        <v>0.0</v>
      </c>
      <c r="K830" s="9">
        <v>9.8</v>
      </c>
      <c r="L830" s="7" t="s">
        <v>15</v>
      </c>
    </row>
    <row r="831" ht="15.75" customHeight="1">
      <c r="A831" s="6">
        <v>10557.0</v>
      </c>
      <c r="B831" s="7" t="s">
        <v>41</v>
      </c>
      <c r="C831" s="8">
        <v>45080.0</v>
      </c>
      <c r="D831" s="8">
        <v>45094.0</v>
      </c>
      <c r="E831" s="8">
        <v>45083.0</v>
      </c>
      <c r="F831" s="8">
        <v>45092.0</v>
      </c>
      <c r="G831" s="6">
        <v>64.0</v>
      </c>
      <c r="H831" s="9">
        <v>33.25</v>
      </c>
      <c r="I831" s="10">
        <v>30.0</v>
      </c>
      <c r="J831" s="11">
        <v>0.0</v>
      </c>
      <c r="K831" s="9">
        <v>96.72</v>
      </c>
      <c r="L831" s="7" t="s">
        <v>17</v>
      </c>
    </row>
    <row r="832" ht="15.75" customHeight="1">
      <c r="A832" s="6">
        <v>10557.0</v>
      </c>
      <c r="B832" s="7" t="s">
        <v>41</v>
      </c>
      <c r="C832" s="8">
        <v>45080.0</v>
      </c>
      <c r="D832" s="8">
        <v>45094.0</v>
      </c>
      <c r="E832" s="8">
        <v>45083.0</v>
      </c>
      <c r="F832" s="8">
        <v>45092.0</v>
      </c>
      <c r="G832" s="6">
        <v>75.0</v>
      </c>
      <c r="H832" s="9">
        <v>7.75</v>
      </c>
      <c r="I832" s="10">
        <v>20.0</v>
      </c>
      <c r="J832" s="11">
        <v>0.0</v>
      </c>
      <c r="K832" s="9">
        <v>96.72</v>
      </c>
      <c r="L832" s="7" t="s">
        <v>17</v>
      </c>
    </row>
    <row r="833" ht="15.75" customHeight="1">
      <c r="A833" s="6">
        <v>10558.0</v>
      </c>
      <c r="B833" s="7" t="s">
        <v>70</v>
      </c>
      <c r="C833" s="8">
        <v>45081.0</v>
      </c>
      <c r="D833" s="8">
        <v>45109.0</v>
      </c>
      <c r="E833" s="8">
        <v>45087.0</v>
      </c>
      <c r="F833" s="8">
        <v>45094.0</v>
      </c>
      <c r="G833" s="6">
        <v>47.0</v>
      </c>
      <c r="H833" s="9">
        <v>9.5</v>
      </c>
      <c r="I833" s="10">
        <v>25.0</v>
      </c>
      <c r="J833" s="11">
        <v>0.0</v>
      </c>
      <c r="K833" s="9">
        <v>72.97</v>
      </c>
      <c r="L833" s="7" t="s">
        <v>17</v>
      </c>
    </row>
    <row r="834" ht="15.75" customHeight="1">
      <c r="A834" s="6">
        <v>10558.0</v>
      </c>
      <c r="B834" s="7" t="s">
        <v>70</v>
      </c>
      <c r="C834" s="8">
        <v>45081.0</v>
      </c>
      <c r="D834" s="8">
        <v>45109.0</v>
      </c>
      <c r="E834" s="8">
        <v>45087.0</v>
      </c>
      <c r="F834" s="8">
        <v>45094.0</v>
      </c>
      <c r="G834" s="6">
        <v>51.0</v>
      </c>
      <c r="H834" s="9">
        <v>53.0</v>
      </c>
      <c r="I834" s="10">
        <v>20.0</v>
      </c>
      <c r="J834" s="11">
        <v>0.0</v>
      </c>
      <c r="K834" s="9">
        <v>72.97</v>
      </c>
      <c r="L834" s="7" t="s">
        <v>17</v>
      </c>
    </row>
    <row r="835" ht="15.75" customHeight="1">
      <c r="A835" s="6">
        <v>10558.0</v>
      </c>
      <c r="B835" s="7" t="s">
        <v>70</v>
      </c>
      <c r="C835" s="8">
        <v>45081.0</v>
      </c>
      <c r="D835" s="8">
        <v>45109.0</v>
      </c>
      <c r="E835" s="8">
        <v>45087.0</v>
      </c>
      <c r="F835" s="8">
        <v>45094.0</v>
      </c>
      <c r="G835" s="6">
        <v>52.0</v>
      </c>
      <c r="H835" s="9">
        <v>7.0</v>
      </c>
      <c r="I835" s="10">
        <v>30.0</v>
      </c>
      <c r="J835" s="11">
        <v>0.0</v>
      </c>
      <c r="K835" s="9">
        <v>72.97</v>
      </c>
      <c r="L835" s="7" t="s">
        <v>17</v>
      </c>
    </row>
    <row r="836" ht="15.75" customHeight="1">
      <c r="A836" s="6">
        <v>10558.0</v>
      </c>
      <c r="B836" s="7" t="s">
        <v>70</v>
      </c>
      <c r="C836" s="8">
        <v>45081.0</v>
      </c>
      <c r="D836" s="8">
        <v>45109.0</v>
      </c>
      <c r="E836" s="8">
        <v>45087.0</v>
      </c>
      <c r="F836" s="8">
        <v>45094.0</v>
      </c>
      <c r="G836" s="6">
        <v>53.0</v>
      </c>
      <c r="H836" s="9">
        <v>32.8</v>
      </c>
      <c r="I836" s="10">
        <v>18.0</v>
      </c>
      <c r="J836" s="11">
        <v>0.0</v>
      </c>
      <c r="K836" s="9">
        <v>72.97</v>
      </c>
      <c r="L836" s="7" t="s">
        <v>17</v>
      </c>
    </row>
    <row r="837" ht="15.75" customHeight="1">
      <c r="A837" s="6">
        <v>10558.0</v>
      </c>
      <c r="B837" s="7" t="s">
        <v>70</v>
      </c>
      <c r="C837" s="8">
        <v>45081.0</v>
      </c>
      <c r="D837" s="8">
        <v>45109.0</v>
      </c>
      <c r="E837" s="8">
        <v>45087.0</v>
      </c>
      <c r="F837" s="8">
        <v>45094.0</v>
      </c>
      <c r="G837" s="6">
        <v>73.0</v>
      </c>
      <c r="H837" s="9">
        <v>15.0</v>
      </c>
      <c r="I837" s="10">
        <v>3.0</v>
      </c>
      <c r="J837" s="11">
        <v>0.0</v>
      </c>
      <c r="K837" s="9">
        <v>72.97</v>
      </c>
      <c r="L837" s="7" t="s">
        <v>17</v>
      </c>
    </row>
    <row r="838" ht="15.75" customHeight="1">
      <c r="A838" s="6">
        <v>10559.0</v>
      </c>
      <c r="B838" s="7" t="s">
        <v>30</v>
      </c>
      <c r="C838" s="8">
        <v>45082.0</v>
      </c>
      <c r="D838" s="8">
        <v>45110.0</v>
      </c>
      <c r="E838" s="8">
        <v>45090.0</v>
      </c>
      <c r="F838" s="8">
        <v>45097.0</v>
      </c>
      <c r="G838" s="6">
        <v>41.0</v>
      </c>
      <c r="H838" s="9">
        <v>9.65</v>
      </c>
      <c r="I838" s="10">
        <v>12.0</v>
      </c>
      <c r="J838" s="11">
        <v>0.05</v>
      </c>
      <c r="K838" s="9">
        <v>8.05</v>
      </c>
      <c r="L838" s="7" t="s">
        <v>15</v>
      </c>
    </row>
    <row r="839" ht="15.75" customHeight="1">
      <c r="A839" s="6">
        <v>10559.0</v>
      </c>
      <c r="B839" s="7" t="s">
        <v>30</v>
      </c>
      <c r="C839" s="8">
        <v>45082.0</v>
      </c>
      <c r="D839" s="8">
        <v>45110.0</v>
      </c>
      <c r="E839" s="8">
        <v>45090.0</v>
      </c>
      <c r="F839" s="8">
        <v>45097.0</v>
      </c>
      <c r="G839" s="6">
        <v>55.0</v>
      </c>
      <c r="H839" s="9">
        <v>24.0</v>
      </c>
      <c r="I839" s="10">
        <v>18.0</v>
      </c>
      <c r="J839" s="11">
        <v>0.05</v>
      </c>
      <c r="K839" s="9">
        <v>8.05</v>
      </c>
      <c r="L839" s="7" t="s">
        <v>15</v>
      </c>
    </row>
    <row r="840" ht="15.75" customHeight="1">
      <c r="A840" s="6">
        <v>10560.0</v>
      </c>
      <c r="B840" s="7" t="s">
        <v>32</v>
      </c>
      <c r="C840" s="8">
        <v>45083.0</v>
      </c>
      <c r="D840" s="8">
        <v>45111.0</v>
      </c>
      <c r="E840" s="8">
        <v>45086.0</v>
      </c>
      <c r="F840" s="8">
        <v>45089.0</v>
      </c>
      <c r="G840" s="6">
        <v>30.0</v>
      </c>
      <c r="H840" s="9">
        <v>25.89</v>
      </c>
      <c r="I840" s="10">
        <v>20.0</v>
      </c>
      <c r="J840" s="11">
        <v>0.0</v>
      </c>
      <c r="K840" s="9">
        <v>36.65</v>
      </c>
      <c r="L840" s="7" t="s">
        <v>15</v>
      </c>
    </row>
    <row r="841" ht="15.75" customHeight="1">
      <c r="A841" s="6">
        <v>10560.0</v>
      </c>
      <c r="B841" s="7" t="s">
        <v>32</v>
      </c>
      <c r="C841" s="8">
        <v>45083.0</v>
      </c>
      <c r="D841" s="8">
        <v>45111.0</v>
      </c>
      <c r="E841" s="8">
        <v>45086.0</v>
      </c>
      <c r="F841" s="8">
        <v>45089.0</v>
      </c>
      <c r="G841" s="6">
        <v>62.0</v>
      </c>
      <c r="H841" s="9">
        <v>49.3</v>
      </c>
      <c r="I841" s="10">
        <v>15.0</v>
      </c>
      <c r="J841" s="11">
        <v>0.25</v>
      </c>
      <c r="K841" s="9">
        <v>36.65</v>
      </c>
      <c r="L841" s="7" t="s">
        <v>15</v>
      </c>
    </row>
    <row r="842" ht="15.75" customHeight="1">
      <c r="A842" s="6">
        <v>10561.0</v>
      </c>
      <c r="B842" s="7" t="s">
        <v>29</v>
      </c>
      <c r="C842" s="8">
        <v>45083.0</v>
      </c>
      <c r="D842" s="8">
        <v>45111.0</v>
      </c>
      <c r="E842" s="8">
        <v>45086.0</v>
      </c>
      <c r="F842" s="8">
        <v>45097.0</v>
      </c>
      <c r="G842" s="6">
        <v>44.0</v>
      </c>
      <c r="H842" s="9">
        <v>19.45</v>
      </c>
      <c r="I842" s="10">
        <v>10.0</v>
      </c>
      <c r="J842" s="11">
        <v>0.0</v>
      </c>
      <c r="K842" s="9">
        <v>242.21</v>
      </c>
      <c r="L842" s="7" t="s">
        <v>17</v>
      </c>
    </row>
    <row r="843" ht="15.75" customHeight="1">
      <c r="A843" s="6">
        <v>10561.0</v>
      </c>
      <c r="B843" s="7" t="s">
        <v>29</v>
      </c>
      <c r="C843" s="8">
        <v>45083.0</v>
      </c>
      <c r="D843" s="8">
        <v>45111.0</v>
      </c>
      <c r="E843" s="8">
        <v>45086.0</v>
      </c>
      <c r="F843" s="8">
        <v>45097.0</v>
      </c>
      <c r="G843" s="6">
        <v>51.0</v>
      </c>
      <c r="H843" s="9">
        <v>53.0</v>
      </c>
      <c r="I843" s="10">
        <v>50.0</v>
      </c>
      <c r="J843" s="11">
        <v>0.0</v>
      </c>
      <c r="K843" s="9">
        <v>242.21</v>
      </c>
      <c r="L843" s="7" t="s">
        <v>17</v>
      </c>
    </row>
    <row r="844" ht="15.75" customHeight="1">
      <c r="A844" s="6">
        <v>10562.0</v>
      </c>
      <c r="B844" s="7" t="s">
        <v>45</v>
      </c>
      <c r="C844" s="8">
        <v>45086.0</v>
      </c>
      <c r="D844" s="8">
        <v>45114.0</v>
      </c>
      <c r="E844" s="8">
        <v>45089.0</v>
      </c>
      <c r="F844" s="8">
        <v>45097.0</v>
      </c>
      <c r="G844" s="6">
        <v>33.0</v>
      </c>
      <c r="H844" s="9">
        <v>2.5</v>
      </c>
      <c r="I844" s="10">
        <v>20.0</v>
      </c>
      <c r="J844" s="11">
        <v>0.1</v>
      </c>
      <c r="K844" s="9">
        <v>22.95</v>
      </c>
      <c r="L844" s="7" t="s">
        <v>15</v>
      </c>
    </row>
    <row r="845" ht="15.75" customHeight="1">
      <c r="A845" s="6">
        <v>10562.0</v>
      </c>
      <c r="B845" s="7" t="s">
        <v>45</v>
      </c>
      <c r="C845" s="8">
        <v>45086.0</v>
      </c>
      <c r="D845" s="8">
        <v>45114.0</v>
      </c>
      <c r="E845" s="8">
        <v>45089.0</v>
      </c>
      <c r="F845" s="8">
        <v>45097.0</v>
      </c>
      <c r="G845" s="6">
        <v>62.0</v>
      </c>
      <c r="H845" s="9">
        <v>49.3</v>
      </c>
      <c r="I845" s="10">
        <v>10.0</v>
      </c>
      <c r="J845" s="11">
        <v>0.1</v>
      </c>
      <c r="K845" s="9">
        <v>22.95</v>
      </c>
      <c r="L845" s="7" t="s">
        <v>15</v>
      </c>
    </row>
    <row r="846" ht="15.75" customHeight="1">
      <c r="A846" s="6">
        <v>10563.0</v>
      </c>
      <c r="B846" s="7" t="s">
        <v>44</v>
      </c>
      <c r="C846" s="8">
        <v>45087.0</v>
      </c>
      <c r="D846" s="8">
        <v>45129.0</v>
      </c>
      <c r="E846" s="8">
        <v>45101.0</v>
      </c>
      <c r="F846" s="8">
        <v>45120.0</v>
      </c>
      <c r="G846" s="6">
        <v>36.0</v>
      </c>
      <c r="H846" s="9">
        <v>19.0</v>
      </c>
      <c r="I846" s="10">
        <v>25.0</v>
      </c>
      <c r="J846" s="11">
        <v>0.0</v>
      </c>
      <c r="K846" s="9">
        <v>60.43</v>
      </c>
      <c r="L846" s="7" t="s">
        <v>17</v>
      </c>
    </row>
    <row r="847" ht="15.75" customHeight="1">
      <c r="A847" s="6">
        <v>10563.0</v>
      </c>
      <c r="B847" s="7" t="s">
        <v>44</v>
      </c>
      <c r="C847" s="8">
        <v>45087.0</v>
      </c>
      <c r="D847" s="8">
        <v>45129.0</v>
      </c>
      <c r="E847" s="8">
        <v>45101.0</v>
      </c>
      <c r="F847" s="8">
        <v>45120.0</v>
      </c>
      <c r="G847" s="6">
        <v>52.0</v>
      </c>
      <c r="H847" s="9">
        <v>7.0</v>
      </c>
      <c r="I847" s="10">
        <v>70.0</v>
      </c>
      <c r="J847" s="11">
        <v>0.0</v>
      </c>
      <c r="K847" s="9">
        <v>60.43</v>
      </c>
      <c r="L847" s="7" t="s">
        <v>17</v>
      </c>
    </row>
    <row r="848" ht="15.75" customHeight="1">
      <c r="A848" s="6">
        <v>10564.0</v>
      </c>
      <c r="B848" s="7" t="s">
        <v>28</v>
      </c>
      <c r="C848" s="8">
        <v>45087.0</v>
      </c>
      <c r="D848" s="8">
        <v>45115.0</v>
      </c>
      <c r="E848" s="8">
        <v>45093.0</v>
      </c>
      <c r="F848" s="8">
        <v>45108.0</v>
      </c>
      <c r="G848" s="6">
        <v>17.0</v>
      </c>
      <c r="H848" s="9">
        <v>39.0</v>
      </c>
      <c r="I848" s="10">
        <v>16.0</v>
      </c>
      <c r="J848" s="11">
        <v>0.05</v>
      </c>
      <c r="K848" s="9">
        <v>13.75</v>
      </c>
      <c r="L848" s="7" t="s">
        <v>13</v>
      </c>
    </row>
    <row r="849" ht="15.75" customHeight="1">
      <c r="A849" s="6">
        <v>10564.0</v>
      </c>
      <c r="B849" s="7" t="s">
        <v>28</v>
      </c>
      <c r="C849" s="8">
        <v>45087.0</v>
      </c>
      <c r="D849" s="8">
        <v>45115.0</v>
      </c>
      <c r="E849" s="8">
        <v>45093.0</v>
      </c>
      <c r="F849" s="8">
        <v>45108.0</v>
      </c>
      <c r="G849" s="6">
        <v>31.0</v>
      </c>
      <c r="H849" s="9">
        <v>12.5</v>
      </c>
      <c r="I849" s="10">
        <v>6.0</v>
      </c>
      <c r="J849" s="11">
        <v>0.05</v>
      </c>
      <c r="K849" s="9">
        <v>13.75</v>
      </c>
      <c r="L849" s="7" t="s">
        <v>13</v>
      </c>
    </row>
    <row r="850" ht="15.75" customHeight="1">
      <c r="A850" s="6">
        <v>10564.0</v>
      </c>
      <c r="B850" s="7" t="s">
        <v>28</v>
      </c>
      <c r="C850" s="8">
        <v>45087.0</v>
      </c>
      <c r="D850" s="8">
        <v>45115.0</v>
      </c>
      <c r="E850" s="8">
        <v>45093.0</v>
      </c>
      <c r="F850" s="8">
        <v>45108.0</v>
      </c>
      <c r="G850" s="6">
        <v>55.0</v>
      </c>
      <c r="H850" s="9">
        <v>24.0</v>
      </c>
      <c r="I850" s="10">
        <v>25.0</v>
      </c>
      <c r="J850" s="11">
        <v>0.05</v>
      </c>
      <c r="K850" s="9">
        <v>13.75</v>
      </c>
      <c r="L850" s="7" t="s">
        <v>13</v>
      </c>
    </row>
    <row r="851" ht="15.75" customHeight="1">
      <c r="A851" s="6">
        <v>10565.0</v>
      </c>
      <c r="B851" s="7" t="s">
        <v>64</v>
      </c>
      <c r="C851" s="8">
        <v>45088.0</v>
      </c>
      <c r="D851" s="8">
        <v>45116.0</v>
      </c>
      <c r="E851" s="8">
        <v>45095.0</v>
      </c>
      <c r="F851" s="8">
        <v>45112.0</v>
      </c>
      <c r="G851" s="6">
        <v>24.0</v>
      </c>
      <c r="H851" s="9">
        <v>4.5</v>
      </c>
      <c r="I851" s="10">
        <v>25.0</v>
      </c>
      <c r="J851" s="11">
        <v>0.1</v>
      </c>
      <c r="K851" s="9">
        <v>7.15</v>
      </c>
      <c r="L851" s="7" t="s">
        <v>17</v>
      </c>
    </row>
    <row r="852" ht="15.75" customHeight="1">
      <c r="A852" s="6">
        <v>10565.0</v>
      </c>
      <c r="B852" s="7" t="s">
        <v>64</v>
      </c>
      <c r="C852" s="8">
        <v>45088.0</v>
      </c>
      <c r="D852" s="8">
        <v>45116.0</v>
      </c>
      <c r="E852" s="8">
        <v>45095.0</v>
      </c>
      <c r="F852" s="8">
        <v>45112.0</v>
      </c>
      <c r="G852" s="6">
        <v>64.0</v>
      </c>
      <c r="H852" s="9">
        <v>33.25</v>
      </c>
      <c r="I852" s="10">
        <v>18.0</v>
      </c>
      <c r="J852" s="11">
        <v>0.1</v>
      </c>
      <c r="K852" s="9">
        <v>7.15</v>
      </c>
      <c r="L852" s="7" t="s">
        <v>17</v>
      </c>
    </row>
    <row r="853" ht="15.75" customHeight="1">
      <c r="A853" s="6">
        <v>10566.0</v>
      </c>
      <c r="B853" s="7" t="s">
        <v>30</v>
      </c>
      <c r="C853" s="8">
        <v>45089.0</v>
      </c>
      <c r="D853" s="8">
        <v>45117.0</v>
      </c>
      <c r="E853" s="8">
        <v>45095.0</v>
      </c>
      <c r="F853" s="8">
        <v>45101.0</v>
      </c>
      <c r="G853" s="6">
        <v>11.0</v>
      </c>
      <c r="H853" s="9">
        <v>21.0</v>
      </c>
      <c r="I853" s="10">
        <v>35.0</v>
      </c>
      <c r="J853" s="11">
        <v>0.15</v>
      </c>
      <c r="K853" s="9">
        <v>88.4</v>
      </c>
      <c r="L853" s="7" t="s">
        <v>15</v>
      </c>
    </row>
    <row r="854" ht="15.75" customHeight="1">
      <c r="A854" s="6">
        <v>10566.0</v>
      </c>
      <c r="B854" s="7" t="s">
        <v>30</v>
      </c>
      <c r="C854" s="8">
        <v>45089.0</v>
      </c>
      <c r="D854" s="8">
        <v>45117.0</v>
      </c>
      <c r="E854" s="8">
        <v>45095.0</v>
      </c>
      <c r="F854" s="8">
        <v>45101.0</v>
      </c>
      <c r="G854" s="6">
        <v>18.0</v>
      </c>
      <c r="H854" s="9">
        <v>62.5</v>
      </c>
      <c r="I854" s="10">
        <v>18.0</v>
      </c>
      <c r="J854" s="11">
        <v>0.15</v>
      </c>
      <c r="K854" s="9">
        <v>88.4</v>
      </c>
      <c r="L854" s="7" t="s">
        <v>15</v>
      </c>
    </row>
    <row r="855" ht="15.75" customHeight="1">
      <c r="A855" s="6">
        <v>10566.0</v>
      </c>
      <c r="B855" s="7" t="s">
        <v>30</v>
      </c>
      <c r="C855" s="8">
        <v>45089.0</v>
      </c>
      <c r="D855" s="8">
        <v>45117.0</v>
      </c>
      <c r="E855" s="8">
        <v>45095.0</v>
      </c>
      <c r="F855" s="8">
        <v>45101.0</v>
      </c>
      <c r="G855" s="6">
        <v>76.0</v>
      </c>
      <c r="H855" s="9">
        <v>18.0</v>
      </c>
      <c r="I855" s="10">
        <v>10.0</v>
      </c>
      <c r="J855" s="11">
        <v>0.0</v>
      </c>
      <c r="K855" s="9">
        <v>88.4</v>
      </c>
      <c r="L855" s="7" t="s">
        <v>15</v>
      </c>
    </row>
    <row r="856" ht="15.75" customHeight="1">
      <c r="A856" s="6">
        <v>10567.0</v>
      </c>
      <c r="B856" s="7" t="s">
        <v>49</v>
      </c>
      <c r="C856" s="8">
        <v>45089.0</v>
      </c>
      <c r="D856" s="8">
        <v>45117.0</v>
      </c>
      <c r="E856" s="8">
        <v>45094.0</v>
      </c>
      <c r="F856" s="8">
        <v>45104.0</v>
      </c>
      <c r="G856" s="6">
        <v>31.0</v>
      </c>
      <c r="H856" s="9">
        <v>12.5</v>
      </c>
      <c r="I856" s="10">
        <v>60.0</v>
      </c>
      <c r="J856" s="11">
        <v>0.2</v>
      </c>
      <c r="K856" s="9">
        <v>33.97</v>
      </c>
      <c r="L856" s="7" t="s">
        <v>15</v>
      </c>
    </row>
    <row r="857" ht="15.75" customHeight="1">
      <c r="A857" s="6">
        <v>10567.0</v>
      </c>
      <c r="B857" s="7" t="s">
        <v>49</v>
      </c>
      <c r="C857" s="8">
        <v>45089.0</v>
      </c>
      <c r="D857" s="8">
        <v>45117.0</v>
      </c>
      <c r="E857" s="8">
        <v>45094.0</v>
      </c>
      <c r="F857" s="8">
        <v>45104.0</v>
      </c>
      <c r="G857" s="6">
        <v>51.0</v>
      </c>
      <c r="H857" s="9">
        <v>53.0</v>
      </c>
      <c r="I857" s="10">
        <v>3.0</v>
      </c>
      <c r="J857" s="11">
        <v>0.0</v>
      </c>
      <c r="K857" s="9">
        <v>33.97</v>
      </c>
      <c r="L857" s="7" t="s">
        <v>15</v>
      </c>
    </row>
    <row r="858" ht="15.75" customHeight="1">
      <c r="A858" s="6">
        <v>10567.0</v>
      </c>
      <c r="B858" s="7" t="s">
        <v>49</v>
      </c>
      <c r="C858" s="8">
        <v>45089.0</v>
      </c>
      <c r="D858" s="8">
        <v>45117.0</v>
      </c>
      <c r="E858" s="8">
        <v>45094.0</v>
      </c>
      <c r="F858" s="8">
        <v>45104.0</v>
      </c>
      <c r="G858" s="6">
        <v>59.0</v>
      </c>
      <c r="H858" s="9">
        <v>55.0</v>
      </c>
      <c r="I858" s="10">
        <v>40.0</v>
      </c>
      <c r="J858" s="11">
        <v>0.2</v>
      </c>
      <c r="K858" s="9">
        <v>33.97</v>
      </c>
      <c r="L858" s="7" t="s">
        <v>15</v>
      </c>
    </row>
    <row r="859" ht="15.75" customHeight="1">
      <c r="A859" s="6">
        <v>10568.0</v>
      </c>
      <c r="B859" s="7" t="s">
        <v>75</v>
      </c>
      <c r="C859" s="8">
        <v>45090.0</v>
      </c>
      <c r="D859" s="8">
        <v>45118.0</v>
      </c>
      <c r="E859" s="8">
        <v>45116.0</v>
      </c>
      <c r="F859" s="8">
        <v>45126.0</v>
      </c>
      <c r="G859" s="6">
        <v>10.0</v>
      </c>
      <c r="H859" s="9">
        <v>31.0</v>
      </c>
      <c r="I859" s="10">
        <v>5.0</v>
      </c>
      <c r="J859" s="11">
        <v>0.0</v>
      </c>
      <c r="K859" s="9">
        <v>6.54</v>
      </c>
      <c r="L859" s="7" t="s">
        <v>13</v>
      </c>
    </row>
    <row r="860" ht="15.75" customHeight="1">
      <c r="A860" s="6">
        <v>10569.0</v>
      </c>
      <c r="B860" s="7" t="s">
        <v>28</v>
      </c>
      <c r="C860" s="8">
        <v>45093.0</v>
      </c>
      <c r="D860" s="8">
        <v>45121.0</v>
      </c>
      <c r="E860" s="8">
        <v>45118.0</v>
      </c>
      <c r="F860" s="8">
        <v>45129.0</v>
      </c>
      <c r="G860" s="6">
        <v>31.0</v>
      </c>
      <c r="H860" s="9">
        <v>12.5</v>
      </c>
      <c r="I860" s="10">
        <v>35.0</v>
      </c>
      <c r="J860" s="11">
        <v>0.2</v>
      </c>
      <c r="K860" s="9">
        <v>58.98</v>
      </c>
      <c r="L860" s="7" t="s">
        <v>15</v>
      </c>
    </row>
    <row r="861" ht="15.75" customHeight="1">
      <c r="A861" s="6">
        <v>10569.0</v>
      </c>
      <c r="B861" s="7" t="s">
        <v>28</v>
      </c>
      <c r="C861" s="8">
        <v>45093.0</v>
      </c>
      <c r="D861" s="8">
        <v>45121.0</v>
      </c>
      <c r="E861" s="8">
        <v>45118.0</v>
      </c>
      <c r="F861" s="8">
        <v>45129.0</v>
      </c>
      <c r="G861" s="6">
        <v>76.0</v>
      </c>
      <c r="H861" s="9">
        <v>18.0</v>
      </c>
      <c r="I861" s="10">
        <v>30.0</v>
      </c>
      <c r="J861" s="11">
        <v>0.0</v>
      </c>
      <c r="K861" s="9">
        <v>58.98</v>
      </c>
      <c r="L861" s="7" t="s">
        <v>15</v>
      </c>
    </row>
    <row r="862" ht="15.75" customHeight="1">
      <c r="A862" s="6">
        <v>10570.0</v>
      </c>
      <c r="B862" s="7" t="s">
        <v>64</v>
      </c>
      <c r="C862" s="8">
        <v>45094.0</v>
      </c>
      <c r="D862" s="8">
        <v>45122.0</v>
      </c>
      <c r="E862" s="8">
        <v>45096.0</v>
      </c>
      <c r="F862" s="8">
        <v>45111.0</v>
      </c>
      <c r="G862" s="6">
        <v>11.0</v>
      </c>
      <c r="H862" s="9">
        <v>21.0</v>
      </c>
      <c r="I862" s="10">
        <v>15.0</v>
      </c>
      <c r="J862" s="11">
        <v>0.05</v>
      </c>
      <c r="K862" s="9">
        <v>188.99</v>
      </c>
      <c r="L862" s="7" t="s">
        <v>13</v>
      </c>
    </row>
    <row r="863" ht="15.75" customHeight="1">
      <c r="A863" s="6">
        <v>10570.0</v>
      </c>
      <c r="B863" s="7" t="s">
        <v>64</v>
      </c>
      <c r="C863" s="8">
        <v>45094.0</v>
      </c>
      <c r="D863" s="8">
        <v>45122.0</v>
      </c>
      <c r="E863" s="8">
        <v>45096.0</v>
      </c>
      <c r="F863" s="8">
        <v>45111.0</v>
      </c>
      <c r="G863" s="6">
        <v>56.0</v>
      </c>
      <c r="H863" s="9">
        <v>38.0</v>
      </c>
      <c r="I863" s="10">
        <v>60.0</v>
      </c>
      <c r="J863" s="11">
        <v>0.05</v>
      </c>
      <c r="K863" s="9">
        <v>188.99</v>
      </c>
      <c r="L863" s="7" t="s">
        <v>13</v>
      </c>
    </row>
    <row r="864" ht="15.75" customHeight="1">
      <c r="A864" s="6">
        <v>10571.0</v>
      </c>
      <c r="B864" s="7" t="s">
        <v>24</v>
      </c>
      <c r="C864" s="8">
        <v>45094.0</v>
      </c>
      <c r="D864" s="8">
        <v>45136.0</v>
      </c>
      <c r="E864" s="8">
        <v>45111.0</v>
      </c>
      <c r="F864" s="8">
        <v>45123.0</v>
      </c>
      <c r="G864" s="6">
        <v>14.0</v>
      </c>
      <c r="H864" s="9">
        <v>23.25</v>
      </c>
      <c r="I864" s="10">
        <v>11.0</v>
      </c>
      <c r="J864" s="11">
        <v>0.15</v>
      </c>
      <c r="K864" s="9">
        <v>26.06</v>
      </c>
      <c r="L864" s="7" t="s">
        <v>13</v>
      </c>
    </row>
    <row r="865" ht="15.75" customHeight="1">
      <c r="A865" s="6">
        <v>10571.0</v>
      </c>
      <c r="B865" s="7" t="s">
        <v>24</v>
      </c>
      <c r="C865" s="8">
        <v>45094.0</v>
      </c>
      <c r="D865" s="8">
        <v>45136.0</v>
      </c>
      <c r="E865" s="8">
        <v>45111.0</v>
      </c>
      <c r="F865" s="8">
        <v>45123.0</v>
      </c>
      <c r="G865" s="6">
        <v>42.0</v>
      </c>
      <c r="H865" s="9">
        <v>14.0</v>
      </c>
      <c r="I865" s="10">
        <v>28.0</v>
      </c>
      <c r="J865" s="11">
        <v>0.15</v>
      </c>
      <c r="K865" s="9">
        <v>26.06</v>
      </c>
      <c r="L865" s="7" t="s">
        <v>13</v>
      </c>
    </row>
    <row r="866" ht="15.75" customHeight="1">
      <c r="A866" s="6">
        <v>10572.0</v>
      </c>
      <c r="B866" s="7" t="s">
        <v>40</v>
      </c>
      <c r="C866" s="8">
        <v>45095.0</v>
      </c>
      <c r="D866" s="8">
        <v>45123.0</v>
      </c>
      <c r="E866" s="8">
        <v>45102.0</v>
      </c>
      <c r="F866" s="8">
        <v>45112.0</v>
      </c>
      <c r="G866" s="6">
        <v>16.0</v>
      </c>
      <c r="H866" s="9">
        <v>17.45</v>
      </c>
      <c r="I866" s="10">
        <v>12.0</v>
      </c>
      <c r="J866" s="11">
        <v>0.1</v>
      </c>
      <c r="K866" s="9">
        <v>116.43</v>
      </c>
      <c r="L866" s="7" t="s">
        <v>17</v>
      </c>
    </row>
    <row r="867" ht="15.75" customHeight="1">
      <c r="A867" s="6">
        <v>10572.0</v>
      </c>
      <c r="B867" s="7" t="s">
        <v>40</v>
      </c>
      <c r="C867" s="8">
        <v>45095.0</v>
      </c>
      <c r="D867" s="8">
        <v>45123.0</v>
      </c>
      <c r="E867" s="8">
        <v>45102.0</v>
      </c>
      <c r="F867" s="8">
        <v>45112.0</v>
      </c>
      <c r="G867" s="6">
        <v>32.0</v>
      </c>
      <c r="H867" s="9">
        <v>32.0</v>
      </c>
      <c r="I867" s="10">
        <v>10.0</v>
      </c>
      <c r="J867" s="11">
        <v>0.1</v>
      </c>
      <c r="K867" s="9">
        <v>116.43</v>
      </c>
      <c r="L867" s="7" t="s">
        <v>17</v>
      </c>
    </row>
    <row r="868" ht="15.75" customHeight="1">
      <c r="A868" s="6">
        <v>10572.0</v>
      </c>
      <c r="B868" s="7" t="s">
        <v>40</v>
      </c>
      <c r="C868" s="8">
        <v>45095.0</v>
      </c>
      <c r="D868" s="8">
        <v>45123.0</v>
      </c>
      <c r="E868" s="8">
        <v>45102.0</v>
      </c>
      <c r="F868" s="8">
        <v>45112.0</v>
      </c>
      <c r="G868" s="6">
        <v>40.0</v>
      </c>
      <c r="H868" s="9">
        <v>18.4</v>
      </c>
      <c r="I868" s="10">
        <v>50.0</v>
      </c>
      <c r="J868" s="11">
        <v>0.0</v>
      </c>
      <c r="K868" s="9">
        <v>116.43</v>
      </c>
      <c r="L868" s="7" t="s">
        <v>17</v>
      </c>
    </row>
    <row r="869" ht="15.75" customHeight="1">
      <c r="A869" s="6">
        <v>10572.0</v>
      </c>
      <c r="B869" s="7" t="s">
        <v>40</v>
      </c>
      <c r="C869" s="8">
        <v>45095.0</v>
      </c>
      <c r="D869" s="8">
        <v>45123.0</v>
      </c>
      <c r="E869" s="8">
        <v>45102.0</v>
      </c>
      <c r="F869" s="8">
        <v>45112.0</v>
      </c>
      <c r="G869" s="6">
        <v>75.0</v>
      </c>
      <c r="H869" s="9">
        <v>7.75</v>
      </c>
      <c r="I869" s="10">
        <v>15.0</v>
      </c>
      <c r="J869" s="11">
        <v>0.1</v>
      </c>
      <c r="K869" s="9">
        <v>116.43</v>
      </c>
      <c r="L869" s="7" t="s">
        <v>17</v>
      </c>
    </row>
    <row r="870" ht="15.75" customHeight="1">
      <c r="A870" s="6">
        <v>10573.0</v>
      </c>
      <c r="B870" s="7" t="s">
        <v>74</v>
      </c>
      <c r="C870" s="8">
        <v>45096.0</v>
      </c>
      <c r="D870" s="8">
        <v>45124.0</v>
      </c>
      <c r="E870" s="8">
        <v>45097.0</v>
      </c>
      <c r="F870" s="8">
        <v>45109.0</v>
      </c>
      <c r="G870" s="6">
        <v>17.0</v>
      </c>
      <c r="H870" s="9">
        <v>39.0</v>
      </c>
      <c r="I870" s="10">
        <v>18.0</v>
      </c>
      <c r="J870" s="11">
        <v>0.0</v>
      </c>
      <c r="K870" s="9">
        <v>84.84</v>
      </c>
      <c r="L870" s="7" t="s">
        <v>13</v>
      </c>
    </row>
    <row r="871" ht="15.75" customHeight="1">
      <c r="A871" s="6">
        <v>10573.0</v>
      </c>
      <c r="B871" s="7" t="s">
        <v>74</v>
      </c>
      <c r="C871" s="8">
        <v>45096.0</v>
      </c>
      <c r="D871" s="8">
        <v>45124.0</v>
      </c>
      <c r="E871" s="8">
        <v>45097.0</v>
      </c>
      <c r="F871" s="8">
        <v>45109.0</v>
      </c>
      <c r="G871" s="6">
        <v>34.0</v>
      </c>
      <c r="H871" s="9">
        <v>14.0</v>
      </c>
      <c r="I871" s="10">
        <v>40.0</v>
      </c>
      <c r="J871" s="11">
        <v>0.0</v>
      </c>
      <c r="K871" s="9">
        <v>84.84</v>
      </c>
      <c r="L871" s="7" t="s">
        <v>13</v>
      </c>
    </row>
    <row r="872" ht="15.75" customHeight="1">
      <c r="A872" s="6">
        <v>10573.0</v>
      </c>
      <c r="B872" s="7" t="s">
        <v>74</v>
      </c>
      <c r="C872" s="8">
        <v>45096.0</v>
      </c>
      <c r="D872" s="8">
        <v>45124.0</v>
      </c>
      <c r="E872" s="8">
        <v>45097.0</v>
      </c>
      <c r="F872" s="8">
        <v>45109.0</v>
      </c>
      <c r="G872" s="6">
        <v>53.0</v>
      </c>
      <c r="H872" s="9">
        <v>32.8</v>
      </c>
      <c r="I872" s="10">
        <v>25.0</v>
      </c>
      <c r="J872" s="11">
        <v>0.0</v>
      </c>
      <c r="K872" s="9">
        <v>84.84</v>
      </c>
      <c r="L872" s="7" t="s">
        <v>13</v>
      </c>
    </row>
    <row r="873" ht="15.75" customHeight="1">
      <c r="A873" s="6">
        <v>10574.0</v>
      </c>
      <c r="B873" s="7" t="s">
        <v>96</v>
      </c>
      <c r="C873" s="8">
        <v>45096.0</v>
      </c>
      <c r="D873" s="8">
        <v>45124.0</v>
      </c>
      <c r="E873" s="8">
        <v>45107.0</v>
      </c>
      <c r="F873" s="8">
        <v>45126.0</v>
      </c>
      <c r="G873" s="6">
        <v>33.0</v>
      </c>
      <c r="H873" s="9">
        <v>2.5</v>
      </c>
      <c r="I873" s="10">
        <v>14.0</v>
      </c>
      <c r="J873" s="11">
        <v>0.0</v>
      </c>
      <c r="K873" s="9">
        <v>37.6</v>
      </c>
      <c r="L873" s="7" t="s">
        <v>17</v>
      </c>
    </row>
    <row r="874" ht="15.75" customHeight="1">
      <c r="A874" s="6">
        <v>10574.0</v>
      </c>
      <c r="B874" s="7" t="s">
        <v>96</v>
      </c>
      <c r="C874" s="8">
        <v>45096.0</v>
      </c>
      <c r="D874" s="8">
        <v>45124.0</v>
      </c>
      <c r="E874" s="8">
        <v>45107.0</v>
      </c>
      <c r="F874" s="8">
        <v>45126.0</v>
      </c>
      <c r="G874" s="6">
        <v>40.0</v>
      </c>
      <c r="H874" s="9">
        <v>18.4</v>
      </c>
      <c r="I874" s="10">
        <v>2.0</v>
      </c>
      <c r="J874" s="11">
        <v>0.0</v>
      </c>
      <c r="K874" s="9">
        <v>37.6</v>
      </c>
      <c r="L874" s="7" t="s">
        <v>17</v>
      </c>
    </row>
    <row r="875" ht="15.75" customHeight="1">
      <c r="A875" s="6">
        <v>10574.0</v>
      </c>
      <c r="B875" s="7" t="s">
        <v>96</v>
      </c>
      <c r="C875" s="8">
        <v>45096.0</v>
      </c>
      <c r="D875" s="8">
        <v>45124.0</v>
      </c>
      <c r="E875" s="8">
        <v>45107.0</v>
      </c>
      <c r="F875" s="8">
        <v>45126.0</v>
      </c>
      <c r="G875" s="6">
        <v>62.0</v>
      </c>
      <c r="H875" s="9">
        <v>49.3</v>
      </c>
      <c r="I875" s="10">
        <v>10.0</v>
      </c>
      <c r="J875" s="11">
        <v>0.0</v>
      </c>
      <c r="K875" s="9">
        <v>37.6</v>
      </c>
      <c r="L875" s="7" t="s">
        <v>17</v>
      </c>
    </row>
    <row r="876" ht="15.75" customHeight="1">
      <c r="A876" s="6">
        <v>10574.0</v>
      </c>
      <c r="B876" s="7" t="s">
        <v>96</v>
      </c>
      <c r="C876" s="8">
        <v>45096.0</v>
      </c>
      <c r="D876" s="8">
        <v>45124.0</v>
      </c>
      <c r="E876" s="8">
        <v>45107.0</v>
      </c>
      <c r="F876" s="8">
        <v>45126.0</v>
      </c>
      <c r="G876" s="6">
        <v>64.0</v>
      </c>
      <c r="H876" s="9">
        <v>33.25</v>
      </c>
      <c r="I876" s="10">
        <v>6.0</v>
      </c>
      <c r="J876" s="11">
        <v>0.0</v>
      </c>
      <c r="K876" s="9">
        <v>37.6</v>
      </c>
      <c r="L876" s="7" t="s">
        <v>17</v>
      </c>
    </row>
    <row r="877" ht="15.75" customHeight="1">
      <c r="A877" s="6">
        <v>10575.0</v>
      </c>
      <c r="B877" s="7" t="s">
        <v>39</v>
      </c>
      <c r="C877" s="8">
        <v>45097.0</v>
      </c>
      <c r="D877" s="8">
        <v>45111.0</v>
      </c>
      <c r="E877" s="8">
        <v>45107.0</v>
      </c>
      <c r="F877" s="8">
        <v>45109.0</v>
      </c>
      <c r="G877" s="6">
        <v>59.0</v>
      </c>
      <c r="H877" s="9">
        <v>55.0</v>
      </c>
      <c r="I877" s="10">
        <v>12.0</v>
      </c>
      <c r="J877" s="11">
        <v>0.0</v>
      </c>
      <c r="K877" s="9">
        <v>127.34</v>
      </c>
      <c r="L877" s="7" t="s">
        <v>15</v>
      </c>
    </row>
    <row r="878" ht="15.75" customHeight="1">
      <c r="A878" s="6">
        <v>10575.0</v>
      </c>
      <c r="B878" s="7" t="s">
        <v>39</v>
      </c>
      <c r="C878" s="8">
        <v>45097.0</v>
      </c>
      <c r="D878" s="8">
        <v>45111.0</v>
      </c>
      <c r="E878" s="8">
        <v>45107.0</v>
      </c>
      <c r="F878" s="8">
        <v>45109.0</v>
      </c>
      <c r="G878" s="6">
        <v>63.0</v>
      </c>
      <c r="H878" s="9">
        <v>43.9</v>
      </c>
      <c r="I878" s="10">
        <v>6.0</v>
      </c>
      <c r="J878" s="11">
        <v>0.0</v>
      </c>
      <c r="K878" s="9">
        <v>127.34</v>
      </c>
      <c r="L878" s="7" t="s">
        <v>15</v>
      </c>
    </row>
    <row r="879" ht="15.75" customHeight="1">
      <c r="A879" s="6">
        <v>10575.0</v>
      </c>
      <c r="B879" s="7" t="s">
        <v>39</v>
      </c>
      <c r="C879" s="8">
        <v>45097.0</v>
      </c>
      <c r="D879" s="8">
        <v>45111.0</v>
      </c>
      <c r="E879" s="8">
        <v>45107.0</v>
      </c>
      <c r="F879" s="8">
        <v>45109.0</v>
      </c>
      <c r="G879" s="6">
        <v>72.0</v>
      </c>
      <c r="H879" s="9">
        <v>34.8</v>
      </c>
      <c r="I879" s="10">
        <v>30.0</v>
      </c>
      <c r="J879" s="11">
        <v>0.0</v>
      </c>
      <c r="K879" s="9">
        <v>127.34</v>
      </c>
      <c r="L879" s="7" t="s">
        <v>15</v>
      </c>
    </row>
    <row r="880" ht="15.75" customHeight="1">
      <c r="A880" s="6">
        <v>10575.0</v>
      </c>
      <c r="B880" s="7" t="s">
        <v>39</v>
      </c>
      <c r="C880" s="8">
        <v>45097.0</v>
      </c>
      <c r="D880" s="8">
        <v>45111.0</v>
      </c>
      <c r="E880" s="8">
        <v>45107.0</v>
      </c>
      <c r="F880" s="8">
        <v>45109.0</v>
      </c>
      <c r="G880" s="6">
        <v>76.0</v>
      </c>
      <c r="H880" s="9">
        <v>18.0</v>
      </c>
      <c r="I880" s="10">
        <v>10.0</v>
      </c>
      <c r="J880" s="11">
        <v>0.0</v>
      </c>
      <c r="K880" s="9">
        <v>127.34</v>
      </c>
      <c r="L880" s="7" t="s">
        <v>15</v>
      </c>
    </row>
    <row r="881" ht="15.75" customHeight="1">
      <c r="A881" s="6">
        <v>10576.0</v>
      </c>
      <c r="B881" s="7" t="s">
        <v>38</v>
      </c>
      <c r="C881" s="8">
        <v>45100.0</v>
      </c>
      <c r="D881" s="8">
        <v>45114.0</v>
      </c>
      <c r="E881" s="8">
        <v>45107.0</v>
      </c>
      <c r="F881" s="8">
        <v>45120.0</v>
      </c>
      <c r="G881" s="6">
        <v>1.0</v>
      </c>
      <c r="H881" s="9">
        <v>18.0</v>
      </c>
      <c r="I881" s="10">
        <v>10.0</v>
      </c>
      <c r="J881" s="11">
        <v>0.0</v>
      </c>
      <c r="K881" s="9">
        <v>18.56</v>
      </c>
      <c r="L881" s="7" t="s">
        <v>13</v>
      </c>
    </row>
    <row r="882" ht="15.75" customHeight="1">
      <c r="A882" s="6">
        <v>10576.0</v>
      </c>
      <c r="B882" s="7" t="s">
        <v>38</v>
      </c>
      <c r="C882" s="8">
        <v>45100.0</v>
      </c>
      <c r="D882" s="8">
        <v>45114.0</v>
      </c>
      <c r="E882" s="8">
        <v>45107.0</v>
      </c>
      <c r="F882" s="8">
        <v>45120.0</v>
      </c>
      <c r="G882" s="6">
        <v>31.0</v>
      </c>
      <c r="H882" s="9">
        <v>12.5</v>
      </c>
      <c r="I882" s="10">
        <v>20.0</v>
      </c>
      <c r="J882" s="11">
        <v>0.0</v>
      </c>
      <c r="K882" s="9">
        <v>18.56</v>
      </c>
      <c r="L882" s="7" t="s">
        <v>13</v>
      </c>
    </row>
    <row r="883" ht="15.75" customHeight="1">
      <c r="A883" s="6">
        <v>10576.0</v>
      </c>
      <c r="B883" s="7" t="s">
        <v>38</v>
      </c>
      <c r="C883" s="8">
        <v>45100.0</v>
      </c>
      <c r="D883" s="8">
        <v>45114.0</v>
      </c>
      <c r="E883" s="8">
        <v>45107.0</v>
      </c>
      <c r="F883" s="8">
        <v>45120.0</v>
      </c>
      <c r="G883" s="6">
        <v>44.0</v>
      </c>
      <c r="H883" s="9">
        <v>19.45</v>
      </c>
      <c r="I883" s="10">
        <v>21.0</v>
      </c>
      <c r="J883" s="11">
        <v>0.0</v>
      </c>
      <c r="K883" s="9">
        <v>18.56</v>
      </c>
      <c r="L883" s="7" t="s">
        <v>13</v>
      </c>
    </row>
    <row r="884" ht="15.75" customHeight="1">
      <c r="A884" s="6">
        <v>10577.0</v>
      </c>
      <c r="B884" s="7" t="s">
        <v>96</v>
      </c>
      <c r="C884" s="8">
        <v>45100.0</v>
      </c>
      <c r="D884" s="8">
        <v>45142.0</v>
      </c>
      <c r="E884" s="8">
        <v>45107.0</v>
      </c>
      <c r="F884" s="8">
        <v>45125.0</v>
      </c>
      <c r="G884" s="6">
        <v>39.0</v>
      </c>
      <c r="H884" s="9">
        <v>18.0</v>
      </c>
      <c r="I884" s="10">
        <v>10.0</v>
      </c>
      <c r="J884" s="11">
        <v>0.0</v>
      </c>
      <c r="K884" s="9">
        <v>25.41</v>
      </c>
      <c r="L884" s="7" t="s">
        <v>17</v>
      </c>
    </row>
    <row r="885" ht="15.75" customHeight="1">
      <c r="A885" s="6">
        <v>10577.0</v>
      </c>
      <c r="B885" s="7" t="s">
        <v>96</v>
      </c>
      <c r="C885" s="8">
        <v>45100.0</v>
      </c>
      <c r="D885" s="8">
        <v>45142.0</v>
      </c>
      <c r="E885" s="8">
        <v>45107.0</v>
      </c>
      <c r="F885" s="8">
        <v>45125.0</v>
      </c>
      <c r="G885" s="6">
        <v>75.0</v>
      </c>
      <c r="H885" s="9">
        <v>7.75</v>
      </c>
      <c r="I885" s="10">
        <v>20.0</v>
      </c>
      <c r="J885" s="11">
        <v>0.0</v>
      </c>
      <c r="K885" s="9">
        <v>25.41</v>
      </c>
      <c r="L885" s="7" t="s">
        <v>17</v>
      </c>
    </row>
    <row r="886" ht="15.75" customHeight="1">
      <c r="A886" s="6">
        <v>10577.0</v>
      </c>
      <c r="B886" s="7" t="s">
        <v>96</v>
      </c>
      <c r="C886" s="8">
        <v>45100.0</v>
      </c>
      <c r="D886" s="8">
        <v>45142.0</v>
      </c>
      <c r="E886" s="8">
        <v>45107.0</v>
      </c>
      <c r="F886" s="8">
        <v>45125.0</v>
      </c>
      <c r="G886" s="6">
        <v>77.0</v>
      </c>
      <c r="H886" s="9">
        <v>13.0</v>
      </c>
      <c r="I886" s="10">
        <v>18.0</v>
      </c>
      <c r="J886" s="11">
        <v>0.0</v>
      </c>
      <c r="K886" s="9">
        <v>25.41</v>
      </c>
      <c r="L886" s="7" t="s">
        <v>17</v>
      </c>
    </row>
    <row r="887" ht="15.75" customHeight="1">
      <c r="A887" s="6">
        <v>10578.0</v>
      </c>
      <c r="B887" s="7" t="s">
        <v>46</v>
      </c>
      <c r="C887" s="8">
        <v>45101.0</v>
      </c>
      <c r="D887" s="8">
        <v>45129.0</v>
      </c>
      <c r="E887" s="8">
        <v>45132.0</v>
      </c>
      <c r="F887" s="8">
        <v>45140.0</v>
      </c>
      <c r="G887" s="6">
        <v>35.0</v>
      </c>
      <c r="H887" s="9">
        <v>18.0</v>
      </c>
      <c r="I887" s="10">
        <v>20.0</v>
      </c>
      <c r="J887" s="11">
        <v>0.0</v>
      </c>
      <c r="K887" s="9">
        <v>29.6</v>
      </c>
      <c r="L887" s="7" t="s">
        <v>13</v>
      </c>
    </row>
    <row r="888" ht="15.75" customHeight="1">
      <c r="A888" s="6">
        <v>10578.0</v>
      </c>
      <c r="B888" s="7" t="s">
        <v>46</v>
      </c>
      <c r="C888" s="8">
        <v>45101.0</v>
      </c>
      <c r="D888" s="8">
        <v>45129.0</v>
      </c>
      <c r="E888" s="8">
        <v>45132.0</v>
      </c>
      <c r="F888" s="8">
        <v>45140.0</v>
      </c>
      <c r="G888" s="6">
        <v>57.0</v>
      </c>
      <c r="H888" s="9">
        <v>19.5</v>
      </c>
      <c r="I888" s="10">
        <v>6.0</v>
      </c>
      <c r="J888" s="11">
        <v>0.0</v>
      </c>
      <c r="K888" s="9">
        <v>29.6</v>
      </c>
      <c r="L888" s="7" t="s">
        <v>13</v>
      </c>
    </row>
    <row r="889" ht="15.75" customHeight="1">
      <c r="A889" s="6">
        <v>10579.0</v>
      </c>
      <c r="B889" s="7" t="s">
        <v>97</v>
      </c>
      <c r="C889" s="8">
        <v>45102.0</v>
      </c>
      <c r="D889" s="8">
        <v>45130.0</v>
      </c>
      <c r="E889" s="8">
        <v>45111.0</v>
      </c>
      <c r="F889" s="8">
        <v>45130.0</v>
      </c>
      <c r="G889" s="6">
        <v>15.0</v>
      </c>
      <c r="H889" s="9">
        <v>15.5</v>
      </c>
      <c r="I889" s="10">
        <v>10.0</v>
      </c>
      <c r="J889" s="11">
        <v>0.0</v>
      </c>
      <c r="K889" s="9">
        <v>13.73</v>
      </c>
      <c r="L889" s="7" t="s">
        <v>17</v>
      </c>
    </row>
    <row r="890" ht="15.75" customHeight="1">
      <c r="A890" s="6">
        <v>10579.0</v>
      </c>
      <c r="B890" s="7" t="s">
        <v>97</v>
      </c>
      <c r="C890" s="8">
        <v>45102.0</v>
      </c>
      <c r="D890" s="8">
        <v>45130.0</v>
      </c>
      <c r="E890" s="8">
        <v>45111.0</v>
      </c>
      <c r="F890" s="8">
        <v>45130.0</v>
      </c>
      <c r="G890" s="6">
        <v>75.0</v>
      </c>
      <c r="H890" s="9">
        <v>7.75</v>
      </c>
      <c r="I890" s="10">
        <v>21.0</v>
      </c>
      <c r="J890" s="11">
        <v>0.0</v>
      </c>
      <c r="K890" s="9">
        <v>13.73</v>
      </c>
      <c r="L890" s="7" t="s">
        <v>17</v>
      </c>
    </row>
    <row r="891" ht="15.75" customHeight="1">
      <c r="A891" s="6">
        <v>10580.0</v>
      </c>
      <c r="B891" s="7" t="s">
        <v>26</v>
      </c>
      <c r="C891" s="8">
        <v>45103.0</v>
      </c>
      <c r="D891" s="8">
        <v>45131.0</v>
      </c>
      <c r="E891" s="8">
        <v>45108.0</v>
      </c>
      <c r="F891" s="8">
        <v>45113.0</v>
      </c>
      <c r="G891" s="6">
        <v>14.0</v>
      </c>
      <c r="H891" s="9">
        <v>23.25</v>
      </c>
      <c r="I891" s="10">
        <v>15.0</v>
      </c>
      <c r="J891" s="11">
        <v>0.05</v>
      </c>
      <c r="K891" s="9">
        <v>75.89</v>
      </c>
      <c r="L891" s="7" t="s">
        <v>13</v>
      </c>
    </row>
    <row r="892" ht="15.75" customHeight="1">
      <c r="A892" s="6">
        <v>10580.0</v>
      </c>
      <c r="B892" s="7" t="s">
        <v>26</v>
      </c>
      <c r="C892" s="8">
        <v>45103.0</v>
      </c>
      <c r="D892" s="8">
        <v>45131.0</v>
      </c>
      <c r="E892" s="8">
        <v>45108.0</v>
      </c>
      <c r="F892" s="8">
        <v>45113.0</v>
      </c>
      <c r="G892" s="6">
        <v>41.0</v>
      </c>
      <c r="H892" s="9">
        <v>9.65</v>
      </c>
      <c r="I892" s="10">
        <v>9.0</v>
      </c>
      <c r="J892" s="11">
        <v>0.05</v>
      </c>
      <c r="K892" s="9">
        <v>75.89</v>
      </c>
      <c r="L892" s="7" t="s">
        <v>13</v>
      </c>
    </row>
    <row r="893" ht="15.75" customHeight="1">
      <c r="A893" s="6">
        <v>10580.0</v>
      </c>
      <c r="B893" s="7" t="s">
        <v>26</v>
      </c>
      <c r="C893" s="8">
        <v>45103.0</v>
      </c>
      <c r="D893" s="8">
        <v>45131.0</v>
      </c>
      <c r="E893" s="8">
        <v>45108.0</v>
      </c>
      <c r="F893" s="8">
        <v>45113.0</v>
      </c>
      <c r="G893" s="6">
        <v>65.0</v>
      </c>
      <c r="H893" s="9">
        <v>21.05</v>
      </c>
      <c r="I893" s="10">
        <v>30.0</v>
      </c>
      <c r="J893" s="11">
        <v>0.05</v>
      </c>
      <c r="K893" s="9">
        <v>75.89</v>
      </c>
      <c r="L893" s="7" t="s">
        <v>13</v>
      </c>
    </row>
    <row r="894" ht="15.75" customHeight="1">
      <c r="A894" s="6">
        <v>10581.0</v>
      </c>
      <c r="B894" s="7" t="s">
        <v>67</v>
      </c>
      <c r="C894" s="8">
        <v>45103.0</v>
      </c>
      <c r="D894" s="8">
        <v>45131.0</v>
      </c>
      <c r="E894" s="8">
        <v>45109.0</v>
      </c>
      <c r="F894" s="8">
        <v>45126.0</v>
      </c>
      <c r="G894" s="6">
        <v>75.0</v>
      </c>
      <c r="H894" s="9">
        <v>7.75</v>
      </c>
      <c r="I894" s="10">
        <v>50.0</v>
      </c>
      <c r="J894" s="11">
        <v>0.2</v>
      </c>
      <c r="K894" s="9">
        <v>3.01</v>
      </c>
      <c r="L894" s="7" t="s">
        <v>15</v>
      </c>
    </row>
    <row r="895" ht="15.75" customHeight="1">
      <c r="A895" s="6">
        <v>10582.0</v>
      </c>
      <c r="B895" s="7" t="s">
        <v>91</v>
      </c>
      <c r="C895" s="8">
        <v>45104.0</v>
      </c>
      <c r="D895" s="8">
        <v>45132.0</v>
      </c>
      <c r="E895" s="8">
        <v>45121.0</v>
      </c>
      <c r="F895" s="8">
        <v>45127.0</v>
      </c>
      <c r="G895" s="6">
        <v>57.0</v>
      </c>
      <c r="H895" s="9">
        <v>19.5</v>
      </c>
      <c r="I895" s="10">
        <v>4.0</v>
      </c>
      <c r="J895" s="11">
        <v>0.0</v>
      </c>
      <c r="K895" s="9">
        <v>27.71</v>
      </c>
      <c r="L895" s="7" t="s">
        <v>17</v>
      </c>
    </row>
    <row r="896" ht="15.75" customHeight="1">
      <c r="A896" s="6">
        <v>10582.0</v>
      </c>
      <c r="B896" s="7" t="s">
        <v>91</v>
      </c>
      <c r="C896" s="8">
        <v>45104.0</v>
      </c>
      <c r="D896" s="8">
        <v>45132.0</v>
      </c>
      <c r="E896" s="8">
        <v>45121.0</v>
      </c>
      <c r="F896" s="8">
        <v>45127.0</v>
      </c>
      <c r="G896" s="6">
        <v>76.0</v>
      </c>
      <c r="H896" s="9">
        <v>18.0</v>
      </c>
      <c r="I896" s="10">
        <v>14.0</v>
      </c>
      <c r="J896" s="11">
        <v>0.0</v>
      </c>
      <c r="K896" s="9">
        <v>27.71</v>
      </c>
      <c r="L896" s="7" t="s">
        <v>17</v>
      </c>
    </row>
    <row r="897" ht="15.75" customHeight="1">
      <c r="A897" s="6">
        <v>10583.0</v>
      </c>
      <c r="B897" s="7" t="s">
        <v>31</v>
      </c>
      <c r="C897" s="8">
        <v>45107.0</v>
      </c>
      <c r="D897" s="8">
        <v>45135.0</v>
      </c>
      <c r="E897" s="8">
        <v>45111.0</v>
      </c>
      <c r="F897" s="8">
        <v>45126.0</v>
      </c>
      <c r="G897" s="6">
        <v>29.0</v>
      </c>
      <c r="H897" s="9">
        <v>123.79</v>
      </c>
      <c r="I897" s="10">
        <v>10.0</v>
      </c>
      <c r="J897" s="11">
        <v>0.0</v>
      </c>
      <c r="K897" s="9">
        <v>7.28</v>
      </c>
      <c r="L897" s="7" t="s">
        <v>17</v>
      </c>
    </row>
    <row r="898" ht="15.75" customHeight="1">
      <c r="A898" s="6">
        <v>10583.0</v>
      </c>
      <c r="B898" s="7" t="s">
        <v>31</v>
      </c>
      <c r="C898" s="8">
        <v>45107.0</v>
      </c>
      <c r="D898" s="8">
        <v>45135.0</v>
      </c>
      <c r="E898" s="8">
        <v>45111.0</v>
      </c>
      <c r="F898" s="8">
        <v>45126.0</v>
      </c>
      <c r="G898" s="6">
        <v>60.0</v>
      </c>
      <c r="H898" s="9">
        <v>34.0</v>
      </c>
      <c r="I898" s="10">
        <v>24.0</v>
      </c>
      <c r="J898" s="11">
        <v>0.15</v>
      </c>
      <c r="K898" s="9">
        <v>7.28</v>
      </c>
      <c r="L898" s="7" t="s">
        <v>17</v>
      </c>
    </row>
    <row r="899" ht="15.75" customHeight="1">
      <c r="A899" s="6">
        <v>10583.0</v>
      </c>
      <c r="B899" s="7" t="s">
        <v>31</v>
      </c>
      <c r="C899" s="8">
        <v>45107.0</v>
      </c>
      <c r="D899" s="8">
        <v>45135.0</v>
      </c>
      <c r="E899" s="8">
        <v>45111.0</v>
      </c>
      <c r="F899" s="8">
        <v>45126.0</v>
      </c>
      <c r="G899" s="6">
        <v>69.0</v>
      </c>
      <c r="H899" s="9">
        <v>36.0</v>
      </c>
      <c r="I899" s="10">
        <v>10.0</v>
      </c>
      <c r="J899" s="11">
        <v>0.15</v>
      </c>
      <c r="K899" s="9">
        <v>7.28</v>
      </c>
      <c r="L899" s="7" t="s">
        <v>17</v>
      </c>
    </row>
    <row r="900" ht="15.75" customHeight="1">
      <c r="A900" s="6">
        <v>10584.0</v>
      </c>
      <c r="B900" s="7" t="s">
        <v>30</v>
      </c>
      <c r="C900" s="8">
        <v>45107.0</v>
      </c>
      <c r="D900" s="8">
        <v>45135.0</v>
      </c>
      <c r="E900" s="8">
        <v>45111.0</v>
      </c>
      <c r="F900" s="8">
        <v>45116.0</v>
      </c>
      <c r="G900" s="6">
        <v>31.0</v>
      </c>
      <c r="H900" s="9">
        <v>12.5</v>
      </c>
      <c r="I900" s="10">
        <v>50.0</v>
      </c>
      <c r="J900" s="11">
        <v>0.05</v>
      </c>
      <c r="K900" s="9">
        <v>59.14</v>
      </c>
      <c r="L900" s="7" t="s">
        <v>15</v>
      </c>
    </row>
    <row r="901" ht="15.75" customHeight="1">
      <c r="A901" s="6">
        <v>10585.0</v>
      </c>
      <c r="B901" s="7" t="s">
        <v>22</v>
      </c>
      <c r="C901" s="8">
        <v>45108.0</v>
      </c>
      <c r="D901" s="8">
        <v>45136.0</v>
      </c>
      <c r="E901" s="8">
        <v>45117.0</v>
      </c>
      <c r="F901" s="8">
        <v>45134.0</v>
      </c>
      <c r="G901" s="6">
        <v>47.0</v>
      </c>
      <c r="H901" s="9">
        <v>9.5</v>
      </c>
      <c r="I901" s="10">
        <v>15.0</v>
      </c>
      <c r="J901" s="11">
        <v>0.0</v>
      </c>
      <c r="K901" s="9">
        <v>13.41</v>
      </c>
      <c r="L901" s="7" t="s">
        <v>15</v>
      </c>
    </row>
    <row r="902" ht="15.75" customHeight="1">
      <c r="A902" s="6">
        <v>10586.0</v>
      </c>
      <c r="B902" s="7" t="s">
        <v>45</v>
      </c>
      <c r="C902" s="8">
        <v>45109.0</v>
      </c>
      <c r="D902" s="8">
        <v>45137.0</v>
      </c>
      <c r="E902" s="8">
        <v>45116.0</v>
      </c>
      <c r="F902" s="8">
        <v>45120.0</v>
      </c>
      <c r="G902" s="6">
        <v>52.0</v>
      </c>
      <c r="H902" s="9">
        <v>7.0</v>
      </c>
      <c r="I902" s="10">
        <v>4.0</v>
      </c>
      <c r="J902" s="11">
        <v>0.15</v>
      </c>
      <c r="K902" s="9">
        <v>0.48</v>
      </c>
      <c r="L902" s="7" t="s">
        <v>15</v>
      </c>
    </row>
    <row r="903" ht="15.75" customHeight="1">
      <c r="A903" s="6">
        <v>10587.0</v>
      </c>
      <c r="B903" s="7" t="s">
        <v>27</v>
      </c>
      <c r="C903" s="8">
        <v>45109.0</v>
      </c>
      <c r="D903" s="8">
        <v>45137.0</v>
      </c>
      <c r="E903" s="8">
        <v>45116.0</v>
      </c>
      <c r="F903" s="8">
        <v>45130.0</v>
      </c>
      <c r="G903" s="6">
        <v>26.0</v>
      </c>
      <c r="H903" s="9">
        <v>31.23</v>
      </c>
      <c r="I903" s="10">
        <v>6.0</v>
      </c>
      <c r="J903" s="11">
        <v>0.0</v>
      </c>
      <c r="K903" s="9">
        <v>62.52</v>
      </c>
      <c r="L903" s="7" t="s">
        <v>15</v>
      </c>
    </row>
    <row r="904" ht="15.75" customHeight="1">
      <c r="A904" s="6">
        <v>10587.0</v>
      </c>
      <c r="B904" s="7" t="s">
        <v>27</v>
      </c>
      <c r="C904" s="8">
        <v>45109.0</v>
      </c>
      <c r="D904" s="8">
        <v>45137.0</v>
      </c>
      <c r="E904" s="8">
        <v>45116.0</v>
      </c>
      <c r="F904" s="8">
        <v>45130.0</v>
      </c>
      <c r="G904" s="6">
        <v>35.0</v>
      </c>
      <c r="H904" s="9">
        <v>18.0</v>
      </c>
      <c r="I904" s="10">
        <v>20.0</v>
      </c>
      <c r="J904" s="11">
        <v>0.0</v>
      </c>
      <c r="K904" s="9">
        <v>62.52</v>
      </c>
      <c r="L904" s="7" t="s">
        <v>15</v>
      </c>
    </row>
    <row r="905" ht="15.75" customHeight="1">
      <c r="A905" s="6">
        <v>10587.0</v>
      </c>
      <c r="B905" s="7" t="s">
        <v>27</v>
      </c>
      <c r="C905" s="8">
        <v>45109.0</v>
      </c>
      <c r="D905" s="8">
        <v>45137.0</v>
      </c>
      <c r="E905" s="8">
        <v>45116.0</v>
      </c>
      <c r="F905" s="8">
        <v>45130.0</v>
      </c>
      <c r="G905" s="6">
        <v>77.0</v>
      </c>
      <c r="H905" s="9">
        <v>13.0</v>
      </c>
      <c r="I905" s="10">
        <v>20.0</v>
      </c>
      <c r="J905" s="11">
        <v>0.0</v>
      </c>
      <c r="K905" s="9">
        <v>62.52</v>
      </c>
      <c r="L905" s="7" t="s">
        <v>15</v>
      </c>
    </row>
    <row r="906" ht="15.75" customHeight="1">
      <c r="A906" s="6">
        <v>10588.0</v>
      </c>
      <c r="B906" s="7" t="s">
        <v>36</v>
      </c>
      <c r="C906" s="8">
        <v>45110.0</v>
      </c>
      <c r="D906" s="8">
        <v>45138.0</v>
      </c>
      <c r="E906" s="8">
        <v>45117.0</v>
      </c>
      <c r="F906" s="8">
        <v>45120.0</v>
      </c>
      <c r="G906" s="6">
        <v>18.0</v>
      </c>
      <c r="H906" s="9">
        <v>62.5</v>
      </c>
      <c r="I906" s="10">
        <v>40.0</v>
      </c>
      <c r="J906" s="11">
        <v>0.2</v>
      </c>
      <c r="K906" s="9">
        <v>194.67</v>
      </c>
      <c r="L906" s="7" t="s">
        <v>13</v>
      </c>
    </row>
    <row r="907" ht="15.75" customHeight="1">
      <c r="A907" s="6">
        <v>10588.0</v>
      </c>
      <c r="B907" s="7" t="s">
        <v>36</v>
      </c>
      <c r="C907" s="8">
        <v>45110.0</v>
      </c>
      <c r="D907" s="8">
        <v>45138.0</v>
      </c>
      <c r="E907" s="8">
        <v>45117.0</v>
      </c>
      <c r="F907" s="8">
        <v>45120.0</v>
      </c>
      <c r="G907" s="6">
        <v>42.0</v>
      </c>
      <c r="H907" s="9">
        <v>14.0</v>
      </c>
      <c r="I907" s="10">
        <v>100.0</v>
      </c>
      <c r="J907" s="11">
        <v>0.2</v>
      </c>
      <c r="K907" s="9">
        <v>194.67</v>
      </c>
      <c r="L907" s="7" t="s">
        <v>13</v>
      </c>
    </row>
    <row r="908" ht="15.75" customHeight="1">
      <c r="A908" s="6">
        <v>10589.0</v>
      </c>
      <c r="B908" s="7" t="s">
        <v>94</v>
      </c>
      <c r="C908" s="8">
        <v>45111.0</v>
      </c>
      <c r="D908" s="8">
        <v>45139.0</v>
      </c>
      <c r="E908" s="8">
        <v>45121.0</v>
      </c>
      <c r="F908" s="8">
        <v>45138.0</v>
      </c>
      <c r="G908" s="6">
        <v>35.0</v>
      </c>
      <c r="H908" s="9">
        <v>18.0</v>
      </c>
      <c r="I908" s="10">
        <v>4.0</v>
      </c>
      <c r="J908" s="11">
        <v>0.0</v>
      </c>
      <c r="K908" s="9">
        <v>4.42</v>
      </c>
      <c r="L908" s="7" t="s">
        <v>17</v>
      </c>
    </row>
    <row r="909" ht="15.75" customHeight="1">
      <c r="A909" s="6">
        <v>10590.0</v>
      </c>
      <c r="B909" s="7" t="s">
        <v>64</v>
      </c>
      <c r="C909" s="8">
        <v>45114.0</v>
      </c>
      <c r="D909" s="8">
        <v>45142.0</v>
      </c>
      <c r="E909" s="8">
        <v>45121.0</v>
      </c>
      <c r="F909" s="8">
        <v>45133.0</v>
      </c>
      <c r="G909" s="6">
        <v>1.0</v>
      </c>
      <c r="H909" s="9">
        <v>18.0</v>
      </c>
      <c r="I909" s="10">
        <v>20.0</v>
      </c>
      <c r="J909" s="11">
        <v>0.0</v>
      </c>
      <c r="K909" s="9">
        <v>44.77</v>
      </c>
      <c r="L909" s="7" t="s">
        <v>13</v>
      </c>
    </row>
    <row r="910" ht="15.75" customHeight="1">
      <c r="A910" s="6">
        <v>10590.0</v>
      </c>
      <c r="B910" s="7" t="s">
        <v>64</v>
      </c>
      <c r="C910" s="8">
        <v>45114.0</v>
      </c>
      <c r="D910" s="8">
        <v>45142.0</v>
      </c>
      <c r="E910" s="8">
        <v>45121.0</v>
      </c>
      <c r="F910" s="8">
        <v>45133.0</v>
      </c>
      <c r="G910" s="6">
        <v>77.0</v>
      </c>
      <c r="H910" s="9">
        <v>13.0</v>
      </c>
      <c r="I910" s="10">
        <v>60.0</v>
      </c>
      <c r="J910" s="11">
        <v>0.05</v>
      </c>
      <c r="K910" s="9">
        <v>44.77</v>
      </c>
      <c r="L910" s="7" t="s">
        <v>13</v>
      </c>
    </row>
    <row r="911" ht="15.75" customHeight="1">
      <c r="A911" s="6">
        <v>10591.0</v>
      </c>
      <c r="B911" s="7" t="s">
        <v>76</v>
      </c>
      <c r="C911" s="8">
        <v>45114.0</v>
      </c>
      <c r="D911" s="8">
        <v>45128.0</v>
      </c>
      <c r="E911" s="8">
        <v>45123.0</v>
      </c>
      <c r="F911" s="8">
        <v>45135.0</v>
      </c>
      <c r="G911" s="6">
        <v>3.0</v>
      </c>
      <c r="H911" s="9">
        <v>10.0</v>
      </c>
      <c r="I911" s="10">
        <v>14.0</v>
      </c>
      <c r="J911" s="11">
        <v>0.0</v>
      </c>
      <c r="K911" s="9">
        <v>55.92</v>
      </c>
      <c r="L911" s="7" t="s">
        <v>15</v>
      </c>
    </row>
    <row r="912" ht="15.75" customHeight="1">
      <c r="A912" s="6">
        <v>10591.0</v>
      </c>
      <c r="B912" s="7" t="s">
        <v>76</v>
      </c>
      <c r="C912" s="8">
        <v>45114.0</v>
      </c>
      <c r="D912" s="8">
        <v>45128.0</v>
      </c>
      <c r="E912" s="8">
        <v>45123.0</v>
      </c>
      <c r="F912" s="8">
        <v>45135.0</v>
      </c>
      <c r="G912" s="6">
        <v>7.0</v>
      </c>
      <c r="H912" s="9">
        <v>30.0</v>
      </c>
      <c r="I912" s="10">
        <v>10.0</v>
      </c>
      <c r="J912" s="11">
        <v>0.0</v>
      </c>
      <c r="K912" s="9">
        <v>55.92</v>
      </c>
      <c r="L912" s="7" t="s">
        <v>15</v>
      </c>
    </row>
    <row r="913" ht="15.75" customHeight="1">
      <c r="A913" s="6">
        <v>10591.0</v>
      </c>
      <c r="B913" s="7" t="s">
        <v>76</v>
      </c>
      <c r="C913" s="8">
        <v>45114.0</v>
      </c>
      <c r="D913" s="8">
        <v>45128.0</v>
      </c>
      <c r="E913" s="8">
        <v>45123.0</v>
      </c>
      <c r="F913" s="8">
        <v>45135.0</v>
      </c>
      <c r="G913" s="6">
        <v>54.0</v>
      </c>
      <c r="H913" s="9">
        <v>7.45</v>
      </c>
      <c r="I913" s="10">
        <v>50.0</v>
      </c>
      <c r="J913" s="11">
        <v>0.0</v>
      </c>
      <c r="K913" s="9">
        <v>55.92</v>
      </c>
      <c r="L913" s="7" t="s">
        <v>15</v>
      </c>
    </row>
    <row r="914" ht="15.75" customHeight="1">
      <c r="A914" s="6">
        <v>10592.0</v>
      </c>
      <c r="B914" s="7" t="s">
        <v>41</v>
      </c>
      <c r="C914" s="8">
        <v>45115.0</v>
      </c>
      <c r="D914" s="8">
        <v>45143.0</v>
      </c>
      <c r="E914" s="8">
        <v>45123.0</v>
      </c>
      <c r="F914" s="8">
        <v>45124.0</v>
      </c>
      <c r="G914" s="6">
        <v>15.0</v>
      </c>
      <c r="H914" s="9">
        <v>15.5</v>
      </c>
      <c r="I914" s="10">
        <v>25.0</v>
      </c>
      <c r="J914" s="11">
        <v>0.05</v>
      </c>
      <c r="K914" s="9">
        <v>32.1</v>
      </c>
      <c r="L914" s="7" t="s">
        <v>15</v>
      </c>
    </row>
    <row r="915" ht="15.75" customHeight="1">
      <c r="A915" s="6">
        <v>10592.0</v>
      </c>
      <c r="B915" s="7" t="s">
        <v>41</v>
      </c>
      <c r="C915" s="8">
        <v>45115.0</v>
      </c>
      <c r="D915" s="8">
        <v>45143.0</v>
      </c>
      <c r="E915" s="8">
        <v>45123.0</v>
      </c>
      <c r="F915" s="8">
        <v>45124.0</v>
      </c>
      <c r="G915" s="6">
        <v>26.0</v>
      </c>
      <c r="H915" s="9">
        <v>31.23</v>
      </c>
      <c r="I915" s="10">
        <v>5.0</v>
      </c>
      <c r="J915" s="11">
        <v>0.05</v>
      </c>
      <c r="K915" s="9">
        <v>32.1</v>
      </c>
      <c r="L915" s="7" t="s">
        <v>15</v>
      </c>
    </row>
    <row r="916" ht="15.75" customHeight="1">
      <c r="A916" s="6">
        <v>10593.0</v>
      </c>
      <c r="B916" s="7" t="s">
        <v>41</v>
      </c>
      <c r="C916" s="8">
        <v>45116.0</v>
      </c>
      <c r="D916" s="8">
        <v>45144.0</v>
      </c>
      <c r="E916" s="8">
        <v>45151.0</v>
      </c>
      <c r="F916" s="8">
        <v>45160.0</v>
      </c>
      <c r="G916" s="6">
        <v>20.0</v>
      </c>
      <c r="H916" s="9">
        <v>81.0</v>
      </c>
      <c r="I916" s="10">
        <v>21.0</v>
      </c>
      <c r="J916" s="11">
        <v>0.2</v>
      </c>
      <c r="K916" s="9">
        <v>174.2</v>
      </c>
      <c r="L916" s="7" t="s">
        <v>17</v>
      </c>
    </row>
    <row r="917" ht="15.75" customHeight="1">
      <c r="A917" s="6">
        <v>10593.0</v>
      </c>
      <c r="B917" s="7" t="s">
        <v>41</v>
      </c>
      <c r="C917" s="8">
        <v>45116.0</v>
      </c>
      <c r="D917" s="8">
        <v>45144.0</v>
      </c>
      <c r="E917" s="8">
        <v>45151.0</v>
      </c>
      <c r="F917" s="8">
        <v>45160.0</v>
      </c>
      <c r="G917" s="6">
        <v>69.0</v>
      </c>
      <c r="H917" s="9">
        <v>36.0</v>
      </c>
      <c r="I917" s="10">
        <v>20.0</v>
      </c>
      <c r="J917" s="11">
        <v>0.2</v>
      </c>
      <c r="K917" s="9">
        <v>174.2</v>
      </c>
      <c r="L917" s="7" t="s">
        <v>17</v>
      </c>
    </row>
    <row r="918" ht="15.75" customHeight="1">
      <c r="A918" s="6">
        <v>10593.0</v>
      </c>
      <c r="B918" s="7" t="s">
        <v>41</v>
      </c>
      <c r="C918" s="8">
        <v>45116.0</v>
      </c>
      <c r="D918" s="8">
        <v>45144.0</v>
      </c>
      <c r="E918" s="8">
        <v>45151.0</v>
      </c>
      <c r="F918" s="8">
        <v>45160.0</v>
      </c>
      <c r="G918" s="6">
        <v>76.0</v>
      </c>
      <c r="H918" s="9">
        <v>18.0</v>
      </c>
      <c r="I918" s="10">
        <v>4.0</v>
      </c>
      <c r="J918" s="11">
        <v>0.2</v>
      </c>
      <c r="K918" s="9">
        <v>174.2</v>
      </c>
      <c r="L918" s="7" t="s">
        <v>17</v>
      </c>
    </row>
    <row r="919" ht="15.75" customHeight="1">
      <c r="A919" s="6">
        <v>10594.0</v>
      </c>
      <c r="B919" s="7" t="s">
        <v>52</v>
      </c>
      <c r="C919" s="8">
        <v>45116.0</v>
      </c>
      <c r="D919" s="8">
        <v>45144.0</v>
      </c>
      <c r="E919" s="8">
        <v>45123.0</v>
      </c>
      <c r="F919" s="8">
        <v>45140.0</v>
      </c>
      <c r="G919" s="6">
        <v>52.0</v>
      </c>
      <c r="H919" s="9">
        <v>7.0</v>
      </c>
      <c r="I919" s="10">
        <v>24.0</v>
      </c>
      <c r="J919" s="11">
        <v>0.0</v>
      </c>
      <c r="K919" s="9">
        <v>5.24</v>
      </c>
      <c r="L919" s="7" t="s">
        <v>17</v>
      </c>
    </row>
    <row r="920" ht="15.75" customHeight="1">
      <c r="A920" s="6">
        <v>10594.0</v>
      </c>
      <c r="B920" s="7" t="s">
        <v>52</v>
      </c>
      <c r="C920" s="8">
        <v>45116.0</v>
      </c>
      <c r="D920" s="8">
        <v>45144.0</v>
      </c>
      <c r="E920" s="8">
        <v>45123.0</v>
      </c>
      <c r="F920" s="8">
        <v>45140.0</v>
      </c>
      <c r="G920" s="6">
        <v>58.0</v>
      </c>
      <c r="H920" s="9">
        <v>13.25</v>
      </c>
      <c r="I920" s="10">
        <v>30.0</v>
      </c>
      <c r="J920" s="11">
        <v>0.0</v>
      </c>
      <c r="K920" s="9">
        <v>5.24</v>
      </c>
      <c r="L920" s="7" t="s">
        <v>17</v>
      </c>
    </row>
    <row r="921" ht="15.75" customHeight="1">
      <c r="A921" s="6">
        <v>10595.0</v>
      </c>
      <c r="B921" s="7" t="s">
        <v>24</v>
      </c>
      <c r="C921" s="8">
        <v>45117.0</v>
      </c>
      <c r="D921" s="8">
        <v>45145.0</v>
      </c>
      <c r="E921" s="8">
        <v>45121.0</v>
      </c>
      <c r="F921" s="8">
        <v>45133.0</v>
      </c>
      <c r="G921" s="6">
        <v>35.0</v>
      </c>
      <c r="H921" s="9">
        <v>18.0</v>
      </c>
      <c r="I921" s="10">
        <v>30.0</v>
      </c>
      <c r="J921" s="11">
        <v>0.25</v>
      </c>
      <c r="K921" s="9">
        <v>96.78</v>
      </c>
      <c r="L921" s="7" t="s">
        <v>15</v>
      </c>
    </row>
    <row r="922" ht="15.75" customHeight="1">
      <c r="A922" s="6">
        <v>10595.0</v>
      </c>
      <c r="B922" s="7" t="s">
        <v>24</v>
      </c>
      <c r="C922" s="8">
        <v>45117.0</v>
      </c>
      <c r="D922" s="8">
        <v>45145.0</v>
      </c>
      <c r="E922" s="8">
        <v>45121.0</v>
      </c>
      <c r="F922" s="8">
        <v>45133.0</v>
      </c>
      <c r="G922" s="6">
        <v>61.0</v>
      </c>
      <c r="H922" s="9">
        <v>28.5</v>
      </c>
      <c r="I922" s="10">
        <v>120.0</v>
      </c>
      <c r="J922" s="11">
        <v>0.25</v>
      </c>
      <c r="K922" s="9">
        <v>96.78</v>
      </c>
      <c r="L922" s="7" t="s">
        <v>15</v>
      </c>
    </row>
    <row r="923" ht="15.75" customHeight="1">
      <c r="A923" s="6">
        <v>10595.0</v>
      </c>
      <c r="B923" s="7" t="s">
        <v>24</v>
      </c>
      <c r="C923" s="8">
        <v>45117.0</v>
      </c>
      <c r="D923" s="8">
        <v>45145.0</v>
      </c>
      <c r="E923" s="8">
        <v>45121.0</v>
      </c>
      <c r="F923" s="8">
        <v>45133.0</v>
      </c>
      <c r="G923" s="6">
        <v>69.0</v>
      </c>
      <c r="H923" s="9">
        <v>36.0</v>
      </c>
      <c r="I923" s="10">
        <v>65.0</v>
      </c>
      <c r="J923" s="11">
        <v>0.25</v>
      </c>
      <c r="K923" s="9">
        <v>96.78</v>
      </c>
      <c r="L923" s="7" t="s">
        <v>15</v>
      </c>
    </row>
    <row r="924" ht="15.75" customHeight="1">
      <c r="A924" s="6">
        <v>10596.0</v>
      </c>
      <c r="B924" s="7" t="s">
        <v>34</v>
      </c>
      <c r="C924" s="8">
        <v>45118.0</v>
      </c>
      <c r="D924" s="8">
        <v>45146.0</v>
      </c>
      <c r="E924" s="8">
        <v>45150.0</v>
      </c>
      <c r="F924" s="8">
        <v>45162.0</v>
      </c>
      <c r="G924" s="6">
        <v>56.0</v>
      </c>
      <c r="H924" s="9">
        <v>38.0</v>
      </c>
      <c r="I924" s="10">
        <v>5.0</v>
      </c>
      <c r="J924" s="11">
        <v>0.2</v>
      </c>
      <c r="K924" s="9">
        <v>16.34</v>
      </c>
      <c r="L924" s="7" t="s">
        <v>15</v>
      </c>
    </row>
    <row r="925" ht="15.75" customHeight="1">
      <c r="A925" s="6">
        <v>10596.0</v>
      </c>
      <c r="B925" s="7" t="s">
        <v>34</v>
      </c>
      <c r="C925" s="8">
        <v>45118.0</v>
      </c>
      <c r="D925" s="8">
        <v>45146.0</v>
      </c>
      <c r="E925" s="8">
        <v>45150.0</v>
      </c>
      <c r="F925" s="8">
        <v>45162.0</v>
      </c>
      <c r="G925" s="6">
        <v>63.0</v>
      </c>
      <c r="H925" s="9">
        <v>43.9</v>
      </c>
      <c r="I925" s="10">
        <v>24.0</v>
      </c>
      <c r="J925" s="11">
        <v>0.2</v>
      </c>
      <c r="K925" s="9">
        <v>16.34</v>
      </c>
      <c r="L925" s="7" t="s">
        <v>15</v>
      </c>
    </row>
    <row r="926" ht="15.75" customHeight="1">
      <c r="A926" s="6">
        <v>10596.0</v>
      </c>
      <c r="B926" s="7" t="s">
        <v>34</v>
      </c>
      <c r="C926" s="8">
        <v>45118.0</v>
      </c>
      <c r="D926" s="8">
        <v>45146.0</v>
      </c>
      <c r="E926" s="8">
        <v>45150.0</v>
      </c>
      <c r="F926" s="8">
        <v>45162.0</v>
      </c>
      <c r="G926" s="6">
        <v>75.0</v>
      </c>
      <c r="H926" s="9">
        <v>7.75</v>
      </c>
      <c r="I926" s="10">
        <v>30.0</v>
      </c>
      <c r="J926" s="11">
        <v>0.2</v>
      </c>
      <c r="K926" s="9">
        <v>16.34</v>
      </c>
      <c r="L926" s="7" t="s">
        <v>15</v>
      </c>
    </row>
    <row r="927" ht="15.75" customHeight="1">
      <c r="A927" s="6">
        <v>10597.0</v>
      </c>
      <c r="B927" s="7" t="s">
        <v>69</v>
      </c>
      <c r="C927" s="8">
        <v>45118.0</v>
      </c>
      <c r="D927" s="8">
        <v>45146.0</v>
      </c>
      <c r="E927" s="8">
        <v>45125.0</v>
      </c>
      <c r="F927" s="8">
        <v>45137.0</v>
      </c>
      <c r="G927" s="6">
        <v>24.0</v>
      </c>
      <c r="H927" s="9">
        <v>4.5</v>
      </c>
      <c r="I927" s="10">
        <v>35.0</v>
      </c>
      <c r="J927" s="11">
        <v>0.2</v>
      </c>
      <c r="K927" s="9">
        <v>35.12</v>
      </c>
      <c r="L927" s="7" t="s">
        <v>13</v>
      </c>
    </row>
    <row r="928" ht="15.75" customHeight="1">
      <c r="A928" s="6">
        <v>10597.0</v>
      </c>
      <c r="B928" s="7" t="s">
        <v>69</v>
      </c>
      <c r="C928" s="8">
        <v>45118.0</v>
      </c>
      <c r="D928" s="8">
        <v>45146.0</v>
      </c>
      <c r="E928" s="8">
        <v>45125.0</v>
      </c>
      <c r="F928" s="8">
        <v>45137.0</v>
      </c>
      <c r="G928" s="6">
        <v>57.0</v>
      </c>
      <c r="H928" s="9">
        <v>19.5</v>
      </c>
      <c r="I928" s="10">
        <v>20.0</v>
      </c>
      <c r="J928" s="11">
        <v>0.0</v>
      </c>
      <c r="K928" s="9">
        <v>35.12</v>
      </c>
      <c r="L928" s="7" t="s">
        <v>13</v>
      </c>
    </row>
    <row r="929" ht="15.75" customHeight="1">
      <c r="A929" s="6">
        <v>10597.0</v>
      </c>
      <c r="B929" s="7" t="s">
        <v>69</v>
      </c>
      <c r="C929" s="8">
        <v>45118.0</v>
      </c>
      <c r="D929" s="8">
        <v>45146.0</v>
      </c>
      <c r="E929" s="8">
        <v>45125.0</v>
      </c>
      <c r="F929" s="8">
        <v>45137.0</v>
      </c>
      <c r="G929" s="6">
        <v>65.0</v>
      </c>
      <c r="H929" s="9">
        <v>21.05</v>
      </c>
      <c r="I929" s="10">
        <v>12.0</v>
      </c>
      <c r="J929" s="11">
        <v>0.2</v>
      </c>
      <c r="K929" s="9">
        <v>35.12</v>
      </c>
      <c r="L929" s="7" t="s">
        <v>13</v>
      </c>
    </row>
    <row r="930" ht="15.75" customHeight="1">
      <c r="A930" s="6">
        <v>10598.0</v>
      </c>
      <c r="B930" s="7" t="s">
        <v>28</v>
      </c>
      <c r="C930" s="8">
        <v>45121.0</v>
      </c>
      <c r="D930" s="8">
        <v>45149.0</v>
      </c>
      <c r="E930" s="8">
        <v>45125.0</v>
      </c>
      <c r="F930" s="8">
        <v>45140.0</v>
      </c>
      <c r="G930" s="6">
        <v>27.0</v>
      </c>
      <c r="H930" s="9">
        <v>43.9</v>
      </c>
      <c r="I930" s="10">
        <v>50.0</v>
      </c>
      <c r="J930" s="11">
        <v>0.0</v>
      </c>
      <c r="K930" s="9">
        <v>44.42</v>
      </c>
      <c r="L930" s="7" t="s">
        <v>13</v>
      </c>
    </row>
    <row r="931" ht="15.75" customHeight="1">
      <c r="A931" s="6">
        <v>10598.0</v>
      </c>
      <c r="B931" s="7" t="s">
        <v>28</v>
      </c>
      <c r="C931" s="8">
        <v>45121.0</v>
      </c>
      <c r="D931" s="8">
        <v>45149.0</v>
      </c>
      <c r="E931" s="8">
        <v>45125.0</v>
      </c>
      <c r="F931" s="8">
        <v>45140.0</v>
      </c>
      <c r="G931" s="6">
        <v>71.0</v>
      </c>
      <c r="H931" s="9">
        <v>21.5</v>
      </c>
      <c r="I931" s="10">
        <v>9.0</v>
      </c>
      <c r="J931" s="11">
        <v>0.0</v>
      </c>
      <c r="K931" s="9">
        <v>44.42</v>
      </c>
      <c r="L931" s="7" t="s">
        <v>13</v>
      </c>
    </row>
    <row r="932" ht="15.75" customHeight="1">
      <c r="A932" s="6">
        <v>10599.0</v>
      </c>
      <c r="B932" s="7" t="s">
        <v>46</v>
      </c>
      <c r="C932" s="8">
        <v>45122.0</v>
      </c>
      <c r="D932" s="8">
        <v>45164.0</v>
      </c>
      <c r="E932" s="8">
        <v>45128.0</v>
      </c>
      <c r="F932" s="8">
        <v>45136.0</v>
      </c>
      <c r="G932" s="6">
        <v>62.0</v>
      </c>
      <c r="H932" s="9">
        <v>49.3</v>
      </c>
      <c r="I932" s="10">
        <v>10.0</v>
      </c>
      <c r="J932" s="11">
        <v>0.0</v>
      </c>
      <c r="K932" s="9">
        <v>29.98</v>
      </c>
      <c r="L932" s="7" t="s">
        <v>13</v>
      </c>
    </row>
    <row r="933" ht="15.75" customHeight="1">
      <c r="A933" s="6">
        <v>10600.0</v>
      </c>
      <c r="B933" s="7" t="s">
        <v>79</v>
      </c>
      <c r="C933" s="8">
        <v>45123.0</v>
      </c>
      <c r="D933" s="8">
        <v>45151.0</v>
      </c>
      <c r="E933" s="8">
        <v>45128.0</v>
      </c>
      <c r="F933" s="8">
        <v>45143.0</v>
      </c>
      <c r="G933" s="6">
        <v>54.0</v>
      </c>
      <c r="H933" s="9">
        <v>7.45</v>
      </c>
      <c r="I933" s="10">
        <v>4.0</v>
      </c>
      <c r="J933" s="11">
        <v>0.0</v>
      </c>
      <c r="K933" s="9">
        <v>45.13</v>
      </c>
      <c r="L933" s="7" t="s">
        <v>15</v>
      </c>
    </row>
    <row r="934" ht="15.75" customHeight="1">
      <c r="A934" s="6">
        <v>10600.0</v>
      </c>
      <c r="B934" s="7" t="s">
        <v>79</v>
      </c>
      <c r="C934" s="8">
        <v>45123.0</v>
      </c>
      <c r="D934" s="8">
        <v>45151.0</v>
      </c>
      <c r="E934" s="8">
        <v>45128.0</v>
      </c>
      <c r="F934" s="8">
        <v>45143.0</v>
      </c>
      <c r="G934" s="6">
        <v>73.0</v>
      </c>
      <c r="H934" s="9">
        <v>15.0</v>
      </c>
      <c r="I934" s="10">
        <v>30.0</v>
      </c>
      <c r="J934" s="11">
        <v>0.0</v>
      </c>
      <c r="K934" s="9">
        <v>45.13</v>
      </c>
      <c r="L934" s="7" t="s">
        <v>15</v>
      </c>
    </row>
    <row r="935" ht="15.75" customHeight="1">
      <c r="A935" s="6">
        <v>10601.0</v>
      </c>
      <c r="B935" s="7" t="s">
        <v>23</v>
      </c>
      <c r="C935" s="8">
        <v>45123.0</v>
      </c>
      <c r="D935" s="8">
        <v>45165.0</v>
      </c>
      <c r="E935" s="8">
        <v>45129.0</v>
      </c>
      <c r="F935" s="8">
        <v>45139.0</v>
      </c>
      <c r="G935" s="6">
        <v>13.0</v>
      </c>
      <c r="H935" s="9">
        <v>6.0</v>
      </c>
      <c r="I935" s="10">
        <v>60.0</v>
      </c>
      <c r="J935" s="11">
        <v>0.0</v>
      </c>
      <c r="K935" s="9">
        <v>58.3</v>
      </c>
      <c r="L935" s="7" t="s">
        <v>15</v>
      </c>
    </row>
    <row r="936" ht="15.75" customHeight="1">
      <c r="A936" s="6">
        <v>10601.0</v>
      </c>
      <c r="B936" s="7" t="s">
        <v>23</v>
      </c>
      <c r="C936" s="8">
        <v>45123.0</v>
      </c>
      <c r="D936" s="8">
        <v>45165.0</v>
      </c>
      <c r="E936" s="8">
        <v>45129.0</v>
      </c>
      <c r="F936" s="8">
        <v>45139.0</v>
      </c>
      <c r="G936" s="6">
        <v>59.0</v>
      </c>
      <c r="H936" s="9">
        <v>55.0</v>
      </c>
      <c r="I936" s="10">
        <v>35.0</v>
      </c>
      <c r="J936" s="11">
        <v>0.0</v>
      </c>
      <c r="K936" s="9">
        <v>58.3</v>
      </c>
      <c r="L936" s="7" t="s">
        <v>15</v>
      </c>
    </row>
    <row r="937" ht="15.75" customHeight="1">
      <c r="A937" s="6">
        <v>10602.0</v>
      </c>
      <c r="B937" s="7" t="s">
        <v>76</v>
      </c>
      <c r="C937" s="8">
        <v>45124.0</v>
      </c>
      <c r="D937" s="8">
        <v>45152.0</v>
      </c>
      <c r="E937" s="8">
        <v>45129.0</v>
      </c>
      <c r="F937" s="8">
        <v>45145.0</v>
      </c>
      <c r="G937" s="6">
        <v>77.0</v>
      </c>
      <c r="H937" s="9">
        <v>13.0</v>
      </c>
      <c r="I937" s="10">
        <v>5.0</v>
      </c>
      <c r="J937" s="11">
        <v>0.25</v>
      </c>
      <c r="K937" s="9">
        <v>2.92</v>
      </c>
      <c r="L937" s="7" t="s">
        <v>17</v>
      </c>
    </row>
    <row r="938" ht="15.75" customHeight="1">
      <c r="A938" s="6">
        <v>10603.0</v>
      </c>
      <c r="B938" s="7" t="s">
        <v>60</v>
      </c>
      <c r="C938" s="8">
        <v>45125.0</v>
      </c>
      <c r="D938" s="8">
        <v>45153.0</v>
      </c>
      <c r="E938" s="8">
        <v>45146.0</v>
      </c>
      <c r="F938" s="8">
        <v>45162.0</v>
      </c>
      <c r="G938" s="6">
        <v>22.0</v>
      </c>
      <c r="H938" s="9">
        <v>21.0</v>
      </c>
      <c r="I938" s="10">
        <v>48.0</v>
      </c>
      <c r="J938" s="11">
        <v>0.0</v>
      </c>
      <c r="K938" s="9">
        <v>48.77</v>
      </c>
      <c r="L938" s="7" t="s">
        <v>17</v>
      </c>
    </row>
    <row r="939" ht="15.75" customHeight="1">
      <c r="A939" s="6">
        <v>10603.0</v>
      </c>
      <c r="B939" s="7" t="s">
        <v>60</v>
      </c>
      <c r="C939" s="8">
        <v>45125.0</v>
      </c>
      <c r="D939" s="8">
        <v>45153.0</v>
      </c>
      <c r="E939" s="8">
        <v>45146.0</v>
      </c>
      <c r="F939" s="8">
        <v>45162.0</v>
      </c>
      <c r="G939" s="6">
        <v>49.0</v>
      </c>
      <c r="H939" s="9">
        <v>20.0</v>
      </c>
      <c r="I939" s="10">
        <v>25.0</v>
      </c>
      <c r="J939" s="11">
        <v>0.05</v>
      </c>
      <c r="K939" s="9">
        <v>48.77</v>
      </c>
      <c r="L939" s="7" t="s">
        <v>17</v>
      </c>
    </row>
    <row r="940" ht="15.75" customHeight="1">
      <c r="A940" s="6">
        <v>10604.0</v>
      </c>
      <c r="B940" s="7" t="s">
        <v>62</v>
      </c>
      <c r="C940" s="8">
        <v>45125.0</v>
      </c>
      <c r="D940" s="8">
        <v>45153.0</v>
      </c>
      <c r="E940" s="8">
        <v>45136.0</v>
      </c>
      <c r="F940" s="8">
        <v>45147.0</v>
      </c>
      <c r="G940" s="6">
        <v>48.0</v>
      </c>
      <c r="H940" s="9">
        <v>12.75</v>
      </c>
      <c r="I940" s="10">
        <v>6.0</v>
      </c>
      <c r="J940" s="11">
        <v>0.1</v>
      </c>
      <c r="K940" s="9">
        <v>7.46</v>
      </c>
      <c r="L940" s="7" t="s">
        <v>15</v>
      </c>
    </row>
    <row r="941" ht="15.75" customHeight="1">
      <c r="A941" s="6">
        <v>10604.0</v>
      </c>
      <c r="B941" s="7" t="s">
        <v>62</v>
      </c>
      <c r="C941" s="8">
        <v>45125.0</v>
      </c>
      <c r="D941" s="8">
        <v>45153.0</v>
      </c>
      <c r="E941" s="8">
        <v>45136.0</v>
      </c>
      <c r="F941" s="8">
        <v>45147.0</v>
      </c>
      <c r="G941" s="6">
        <v>76.0</v>
      </c>
      <c r="H941" s="9">
        <v>18.0</v>
      </c>
      <c r="I941" s="10">
        <v>10.0</v>
      </c>
      <c r="J941" s="11">
        <v>0.1</v>
      </c>
      <c r="K941" s="9">
        <v>7.46</v>
      </c>
      <c r="L941" s="7" t="s">
        <v>15</v>
      </c>
    </row>
    <row r="942" ht="15.75" customHeight="1">
      <c r="A942" s="6">
        <v>10605.0</v>
      </c>
      <c r="B942" s="7" t="s">
        <v>64</v>
      </c>
      <c r="C942" s="8">
        <v>45128.0</v>
      </c>
      <c r="D942" s="8">
        <v>45156.0</v>
      </c>
      <c r="E942" s="8">
        <v>45136.0</v>
      </c>
      <c r="F942" s="8">
        <v>45153.0</v>
      </c>
      <c r="G942" s="6">
        <v>16.0</v>
      </c>
      <c r="H942" s="9">
        <v>17.45</v>
      </c>
      <c r="I942" s="10">
        <v>30.0</v>
      </c>
      <c r="J942" s="11">
        <v>0.05</v>
      </c>
      <c r="K942" s="9">
        <v>379.13</v>
      </c>
      <c r="L942" s="7" t="s">
        <v>17</v>
      </c>
    </row>
    <row r="943" ht="15.75" customHeight="1">
      <c r="A943" s="6">
        <v>10605.0</v>
      </c>
      <c r="B943" s="7" t="s">
        <v>64</v>
      </c>
      <c r="C943" s="8">
        <v>45128.0</v>
      </c>
      <c r="D943" s="8">
        <v>45156.0</v>
      </c>
      <c r="E943" s="8">
        <v>45136.0</v>
      </c>
      <c r="F943" s="8">
        <v>45153.0</v>
      </c>
      <c r="G943" s="6">
        <v>59.0</v>
      </c>
      <c r="H943" s="9">
        <v>55.0</v>
      </c>
      <c r="I943" s="10">
        <v>20.0</v>
      </c>
      <c r="J943" s="11">
        <v>0.05</v>
      </c>
      <c r="K943" s="9">
        <v>379.13</v>
      </c>
      <c r="L943" s="7" t="s">
        <v>17</v>
      </c>
    </row>
    <row r="944" ht="15.75" customHeight="1">
      <c r="A944" s="6">
        <v>10605.0</v>
      </c>
      <c r="B944" s="7" t="s">
        <v>64</v>
      </c>
      <c r="C944" s="8">
        <v>45128.0</v>
      </c>
      <c r="D944" s="8">
        <v>45156.0</v>
      </c>
      <c r="E944" s="8">
        <v>45136.0</v>
      </c>
      <c r="F944" s="8">
        <v>45153.0</v>
      </c>
      <c r="G944" s="6">
        <v>60.0</v>
      </c>
      <c r="H944" s="9">
        <v>34.0</v>
      </c>
      <c r="I944" s="10">
        <v>70.0</v>
      </c>
      <c r="J944" s="11">
        <v>0.05</v>
      </c>
      <c r="K944" s="9">
        <v>379.13</v>
      </c>
      <c r="L944" s="7" t="s">
        <v>17</v>
      </c>
    </row>
    <row r="945" ht="15.75" customHeight="1">
      <c r="A945" s="6">
        <v>10605.0</v>
      </c>
      <c r="B945" s="7" t="s">
        <v>64</v>
      </c>
      <c r="C945" s="8">
        <v>45128.0</v>
      </c>
      <c r="D945" s="8">
        <v>45156.0</v>
      </c>
      <c r="E945" s="8">
        <v>45136.0</v>
      </c>
      <c r="F945" s="8">
        <v>45153.0</v>
      </c>
      <c r="G945" s="6">
        <v>71.0</v>
      </c>
      <c r="H945" s="9">
        <v>21.5</v>
      </c>
      <c r="I945" s="10">
        <v>15.0</v>
      </c>
      <c r="J945" s="11">
        <v>0.05</v>
      </c>
      <c r="K945" s="9">
        <v>379.13</v>
      </c>
      <c r="L945" s="7" t="s">
        <v>17</v>
      </c>
    </row>
    <row r="946" ht="15.75" customHeight="1">
      <c r="A946" s="6">
        <v>10606.0</v>
      </c>
      <c r="B946" s="7" t="s">
        <v>48</v>
      </c>
      <c r="C946" s="8">
        <v>45129.0</v>
      </c>
      <c r="D946" s="8">
        <v>45157.0</v>
      </c>
      <c r="E946" s="8">
        <v>45138.0</v>
      </c>
      <c r="F946" s="8">
        <v>45157.0</v>
      </c>
      <c r="G946" s="6">
        <v>4.0</v>
      </c>
      <c r="H946" s="9">
        <v>22.0</v>
      </c>
      <c r="I946" s="10">
        <v>20.0</v>
      </c>
      <c r="J946" s="11">
        <v>0.2</v>
      </c>
      <c r="K946" s="9">
        <v>79.4</v>
      </c>
      <c r="L946" s="7" t="s">
        <v>13</v>
      </c>
    </row>
    <row r="947" ht="15.75" customHeight="1">
      <c r="A947" s="6">
        <v>10606.0</v>
      </c>
      <c r="B947" s="7" t="s">
        <v>48</v>
      </c>
      <c r="C947" s="8">
        <v>45129.0</v>
      </c>
      <c r="D947" s="8">
        <v>45157.0</v>
      </c>
      <c r="E947" s="8">
        <v>45138.0</v>
      </c>
      <c r="F947" s="8">
        <v>45157.0</v>
      </c>
      <c r="G947" s="6">
        <v>55.0</v>
      </c>
      <c r="H947" s="9">
        <v>24.0</v>
      </c>
      <c r="I947" s="10">
        <v>20.0</v>
      </c>
      <c r="J947" s="11">
        <v>0.2</v>
      </c>
      <c r="K947" s="9">
        <v>79.4</v>
      </c>
      <c r="L947" s="7" t="s">
        <v>13</v>
      </c>
    </row>
    <row r="948" ht="15.75" customHeight="1">
      <c r="A948" s="6">
        <v>10606.0</v>
      </c>
      <c r="B948" s="7" t="s">
        <v>48</v>
      </c>
      <c r="C948" s="8">
        <v>45129.0</v>
      </c>
      <c r="D948" s="8">
        <v>45157.0</v>
      </c>
      <c r="E948" s="8">
        <v>45138.0</v>
      </c>
      <c r="F948" s="8">
        <v>45157.0</v>
      </c>
      <c r="G948" s="6">
        <v>62.0</v>
      </c>
      <c r="H948" s="9">
        <v>49.3</v>
      </c>
      <c r="I948" s="10">
        <v>10.0</v>
      </c>
      <c r="J948" s="11">
        <v>0.2</v>
      </c>
      <c r="K948" s="9">
        <v>79.4</v>
      </c>
      <c r="L948" s="7" t="s">
        <v>13</v>
      </c>
    </row>
    <row r="949" ht="15.75" customHeight="1">
      <c r="A949" s="6">
        <v>10607.0</v>
      </c>
      <c r="B949" s="7" t="s">
        <v>60</v>
      </c>
      <c r="C949" s="8">
        <v>45129.0</v>
      </c>
      <c r="D949" s="8">
        <v>45157.0</v>
      </c>
      <c r="E949" s="8">
        <v>45132.0</v>
      </c>
      <c r="F949" s="8">
        <v>45144.0</v>
      </c>
      <c r="G949" s="6">
        <v>7.0</v>
      </c>
      <c r="H949" s="9">
        <v>30.0</v>
      </c>
      <c r="I949" s="10">
        <v>45.0</v>
      </c>
      <c r="J949" s="11">
        <v>0.0</v>
      </c>
      <c r="K949" s="9">
        <v>200.24</v>
      </c>
      <c r="L949" s="7" t="s">
        <v>15</v>
      </c>
    </row>
    <row r="950" ht="15.75" customHeight="1">
      <c r="A950" s="6">
        <v>10607.0</v>
      </c>
      <c r="B950" s="7" t="s">
        <v>60</v>
      </c>
      <c r="C950" s="8">
        <v>45129.0</v>
      </c>
      <c r="D950" s="8">
        <v>45157.0</v>
      </c>
      <c r="E950" s="8">
        <v>45132.0</v>
      </c>
      <c r="F950" s="8">
        <v>45144.0</v>
      </c>
      <c r="G950" s="6">
        <v>17.0</v>
      </c>
      <c r="H950" s="9">
        <v>39.0</v>
      </c>
      <c r="I950" s="10">
        <v>100.0</v>
      </c>
      <c r="J950" s="11">
        <v>0.0</v>
      </c>
      <c r="K950" s="9">
        <v>200.24</v>
      </c>
      <c r="L950" s="7" t="s">
        <v>15</v>
      </c>
    </row>
    <row r="951" ht="15.75" customHeight="1">
      <c r="A951" s="6">
        <v>10607.0</v>
      </c>
      <c r="B951" s="7" t="s">
        <v>60</v>
      </c>
      <c r="C951" s="8">
        <v>45129.0</v>
      </c>
      <c r="D951" s="8">
        <v>45157.0</v>
      </c>
      <c r="E951" s="8">
        <v>45132.0</v>
      </c>
      <c r="F951" s="8">
        <v>45144.0</v>
      </c>
      <c r="G951" s="6">
        <v>33.0</v>
      </c>
      <c r="H951" s="9">
        <v>2.5</v>
      </c>
      <c r="I951" s="10">
        <v>14.0</v>
      </c>
      <c r="J951" s="11">
        <v>0.0</v>
      </c>
      <c r="K951" s="9">
        <v>200.24</v>
      </c>
      <c r="L951" s="7" t="s">
        <v>15</v>
      </c>
    </row>
    <row r="952" ht="15.75" customHeight="1">
      <c r="A952" s="6">
        <v>10607.0</v>
      </c>
      <c r="B952" s="7" t="s">
        <v>60</v>
      </c>
      <c r="C952" s="8">
        <v>45129.0</v>
      </c>
      <c r="D952" s="8">
        <v>45157.0</v>
      </c>
      <c r="E952" s="8">
        <v>45132.0</v>
      </c>
      <c r="F952" s="8">
        <v>45144.0</v>
      </c>
      <c r="G952" s="6">
        <v>40.0</v>
      </c>
      <c r="H952" s="9">
        <v>18.4</v>
      </c>
      <c r="I952" s="10">
        <v>42.0</v>
      </c>
      <c r="J952" s="11">
        <v>0.0</v>
      </c>
      <c r="K952" s="9">
        <v>200.24</v>
      </c>
      <c r="L952" s="7" t="s">
        <v>15</v>
      </c>
    </row>
    <row r="953" ht="15.75" customHeight="1">
      <c r="A953" s="6">
        <v>10607.0</v>
      </c>
      <c r="B953" s="7" t="s">
        <v>60</v>
      </c>
      <c r="C953" s="8">
        <v>45129.0</v>
      </c>
      <c r="D953" s="8">
        <v>45157.0</v>
      </c>
      <c r="E953" s="8">
        <v>45132.0</v>
      </c>
      <c r="F953" s="8">
        <v>45144.0</v>
      </c>
      <c r="G953" s="6">
        <v>72.0</v>
      </c>
      <c r="H953" s="9">
        <v>34.8</v>
      </c>
      <c r="I953" s="10">
        <v>12.0</v>
      </c>
      <c r="J953" s="11">
        <v>0.0</v>
      </c>
      <c r="K953" s="9">
        <v>200.24</v>
      </c>
      <c r="L953" s="7" t="s">
        <v>15</v>
      </c>
    </row>
    <row r="954" ht="15.75" customHeight="1">
      <c r="A954" s="6">
        <v>10608.0</v>
      </c>
      <c r="B954" s="7" t="s">
        <v>14</v>
      </c>
      <c r="C954" s="8">
        <v>45130.0</v>
      </c>
      <c r="D954" s="8">
        <v>45158.0</v>
      </c>
      <c r="E954" s="8">
        <v>45139.0</v>
      </c>
      <c r="F954" s="8">
        <v>45145.0</v>
      </c>
      <c r="G954" s="6">
        <v>56.0</v>
      </c>
      <c r="H954" s="9">
        <v>38.0</v>
      </c>
      <c r="I954" s="10">
        <v>28.0</v>
      </c>
      <c r="J954" s="11">
        <v>0.0</v>
      </c>
      <c r="K954" s="9">
        <v>27.79</v>
      </c>
      <c r="L954" s="7" t="s">
        <v>17</v>
      </c>
    </row>
    <row r="955" ht="15.75" customHeight="1">
      <c r="A955" s="6">
        <v>10609.0</v>
      </c>
      <c r="B955" s="7" t="s">
        <v>56</v>
      </c>
      <c r="C955" s="8">
        <v>45131.0</v>
      </c>
      <c r="D955" s="8">
        <v>45159.0</v>
      </c>
      <c r="E955" s="8">
        <v>45137.0</v>
      </c>
      <c r="F955" s="8">
        <v>45146.0</v>
      </c>
      <c r="G955" s="6">
        <v>1.0</v>
      </c>
      <c r="H955" s="9">
        <v>18.0</v>
      </c>
      <c r="I955" s="10">
        <v>3.0</v>
      </c>
      <c r="J955" s="11">
        <v>0.0</v>
      </c>
      <c r="K955" s="9">
        <v>1.85</v>
      </c>
      <c r="L955" s="7" t="s">
        <v>17</v>
      </c>
    </row>
    <row r="956" ht="15.75" customHeight="1">
      <c r="A956" s="6">
        <v>10609.0</v>
      </c>
      <c r="B956" s="7" t="s">
        <v>56</v>
      </c>
      <c r="C956" s="8">
        <v>45131.0</v>
      </c>
      <c r="D956" s="8">
        <v>45159.0</v>
      </c>
      <c r="E956" s="8">
        <v>45137.0</v>
      </c>
      <c r="F956" s="8">
        <v>45146.0</v>
      </c>
      <c r="G956" s="6">
        <v>10.0</v>
      </c>
      <c r="H956" s="9">
        <v>31.0</v>
      </c>
      <c r="I956" s="10">
        <v>10.0</v>
      </c>
      <c r="J956" s="11">
        <v>0.0</v>
      </c>
      <c r="K956" s="9">
        <v>1.85</v>
      </c>
      <c r="L956" s="7" t="s">
        <v>17</v>
      </c>
    </row>
    <row r="957" ht="15.75" customHeight="1">
      <c r="A957" s="6">
        <v>10609.0</v>
      </c>
      <c r="B957" s="7" t="s">
        <v>56</v>
      </c>
      <c r="C957" s="8">
        <v>45131.0</v>
      </c>
      <c r="D957" s="8">
        <v>45159.0</v>
      </c>
      <c r="E957" s="8">
        <v>45137.0</v>
      </c>
      <c r="F957" s="8">
        <v>45146.0</v>
      </c>
      <c r="G957" s="6">
        <v>21.0</v>
      </c>
      <c r="H957" s="9">
        <v>10.0</v>
      </c>
      <c r="I957" s="10">
        <v>6.0</v>
      </c>
      <c r="J957" s="11">
        <v>0.0</v>
      </c>
      <c r="K957" s="9">
        <v>1.85</v>
      </c>
      <c r="L957" s="7" t="s">
        <v>17</v>
      </c>
    </row>
    <row r="958" ht="15.75" customHeight="1">
      <c r="A958" s="6">
        <v>10610.0</v>
      </c>
      <c r="B958" s="7" t="s">
        <v>68</v>
      </c>
      <c r="C958" s="8">
        <v>45132.0</v>
      </c>
      <c r="D958" s="8">
        <v>45160.0</v>
      </c>
      <c r="E958" s="8">
        <v>45144.0</v>
      </c>
      <c r="F958" s="8">
        <v>45148.0</v>
      </c>
      <c r="G958" s="6">
        <v>36.0</v>
      </c>
      <c r="H958" s="9">
        <v>19.0</v>
      </c>
      <c r="I958" s="10">
        <v>21.0</v>
      </c>
      <c r="J958" s="11">
        <v>0.25</v>
      </c>
      <c r="K958" s="9">
        <v>26.78</v>
      </c>
      <c r="L958" s="7" t="s">
        <v>15</v>
      </c>
    </row>
    <row r="959" ht="15.75" customHeight="1">
      <c r="A959" s="6">
        <v>10611.0</v>
      </c>
      <c r="B959" s="7" t="s">
        <v>78</v>
      </c>
      <c r="C959" s="8">
        <v>45132.0</v>
      </c>
      <c r="D959" s="8">
        <v>45160.0</v>
      </c>
      <c r="E959" s="8">
        <v>45139.0</v>
      </c>
      <c r="F959" s="8">
        <v>45154.0</v>
      </c>
      <c r="G959" s="6">
        <v>1.0</v>
      </c>
      <c r="H959" s="9">
        <v>18.0</v>
      </c>
      <c r="I959" s="10">
        <v>6.0</v>
      </c>
      <c r="J959" s="11">
        <v>0.0</v>
      </c>
      <c r="K959" s="9">
        <v>80.65</v>
      </c>
      <c r="L959" s="7" t="s">
        <v>17</v>
      </c>
    </row>
    <row r="960" ht="15.75" customHeight="1">
      <c r="A960" s="6">
        <v>10611.0</v>
      </c>
      <c r="B960" s="7" t="s">
        <v>78</v>
      </c>
      <c r="C960" s="8">
        <v>45132.0</v>
      </c>
      <c r="D960" s="8">
        <v>45160.0</v>
      </c>
      <c r="E960" s="8">
        <v>45139.0</v>
      </c>
      <c r="F960" s="8">
        <v>45154.0</v>
      </c>
      <c r="G960" s="6">
        <v>2.0</v>
      </c>
      <c r="H960" s="9">
        <v>19.0</v>
      </c>
      <c r="I960" s="10">
        <v>10.0</v>
      </c>
      <c r="J960" s="11">
        <v>0.0</v>
      </c>
      <c r="K960" s="9">
        <v>80.65</v>
      </c>
      <c r="L960" s="7" t="s">
        <v>17</v>
      </c>
    </row>
    <row r="961" ht="15.75" customHeight="1">
      <c r="A961" s="6">
        <v>10611.0</v>
      </c>
      <c r="B961" s="7" t="s">
        <v>78</v>
      </c>
      <c r="C961" s="8">
        <v>45132.0</v>
      </c>
      <c r="D961" s="8">
        <v>45160.0</v>
      </c>
      <c r="E961" s="8">
        <v>45139.0</v>
      </c>
      <c r="F961" s="8">
        <v>45154.0</v>
      </c>
      <c r="G961" s="6">
        <v>60.0</v>
      </c>
      <c r="H961" s="9">
        <v>34.0</v>
      </c>
      <c r="I961" s="10">
        <v>15.0</v>
      </c>
      <c r="J961" s="11">
        <v>0.0</v>
      </c>
      <c r="K961" s="9">
        <v>80.65</v>
      </c>
      <c r="L961" s="7" t="s">
        <v>17</v>
      </c>
    </row>
    <row r="962" ht="15.75" customHeight="1">
      <c r="A962" s="6">
        <v>10612.0</v>
      </c>
      <c r="B962" s="7" t="s">
        <v>60</v>
      </c>
      <c r="C962" s="8">
        <v>45135.0</v>
      </c>
      <c r="D962" s="8">
        <v>45163.0</v>
      </c>
      <c r="E962" s="8">
        <v>45139.0</v>
      </c>
      <c r="F962" s="8">
        <v>45158.0</v>
      </c>
      <c r="G962" s="6">
        <v>10.0</v>
      </c>
      <c r="H962" s="9">
        <v>31.0</v>
      </c>
      <c r="I962" s="10">
        <v>70.0</v>
      </c>
      <c r="J962" s="11">
        <v>0.0</v>
      </c>
      <c r="K962" s="9">
        <v>544.08</v>
      </c>
      <c r="L962" s="7" t="s">
        <v>17</v>
      </c>
    </row>
    <row r="963" ht="15.75" customHeight="1">
      <c r="A963" s="6">
        <v>10612.0</v>
      </c>
      <c r="B963" s="7" t="s">
        <v>60</v>
      </c>
      <c r="C963" s="8">
        <v>45135.0</v>
      </c>
      <c r="D963" s="8">
        <v>45163.0</v>
      </c>
      <c r="E963" s="8">
        <v>45139.0</v>
      </c>
      <c r="F963" s="8">
        <v>45158.0</v>
      </c>
      <c r="G963" s="6">
        <v>36.0</v>
      </c>
      <c r="H963" s="9">
        <v>19.0</v>
      </c>
      <c r="I963" s="10">
        <v>55.0</v>
      </c>
      <c r="J963" s="11">
        <v>0.0</v>
      </c>
      <c r="K963" s="9">
        <v>544.08</v>
      </c>
      <c r="L963" s="7" t="s">
        <v>17</v>
      </c>
    </row>
    <row r="964" ht="15.75" customHeight="1">
      <c r="A964" s="6">
        <v>10612.0</v>
      </c>
      <c r="B964" s="7" t="s">
        <v>60</v>
      </c>
      <c r="C964" s="8">
        <v>45135.0</v>
      </c>
      <c r="D964" s="8">
        <v>45163.0</v>
      </c>
      <c r="E964" s="8">
        <v>45139.0</v>
      </c>
      <c r="F964" s="8">
        <v>45158.0</v>
      </c>
      <c r="G964" s="6">
        <v>49.0</v>
      </c>
      <c r="H964" s="9">
        <v>20.0</v>
      </c>
      <c r="I964" s="10">
        <v>18.0</v>
      </c>
      <c r="J964" s="11">
        <v>0.0</v>
      </c>
      <c r="K964" s="9">
        <v>544.08</v>
      </c>
      <c r="L964" s="7" t="s">
        <v>17</v>
      </c>
    </row>
    <row r="965" ht="15.75" customHeight="1">
      <c r="A965" s="6">
        <v>10612.0</v>
      </c>
      <c r="B965" s="7" t="s">
        <v>60</v>
      </c>
      <c r="C965" s="8">
        <v>45135.0</v>
      </c>
      <c r="D965" s="8">
        <v>45163.0</v>
      </c>
      <c r="E965" s="8">
        <v>45139.0</v>
      </c>
      <c r="F965" s="8">
        <v>45158.0</v>
      </c>
      <c r="G965" s="6">
        <v>60.0</v>
      </c>
      <c r="H965" s="9">
        <v>34.0</v>
      </c>
      <c r="I965" s="10">
        <v>40.0</v>
      </c>
      <c r="J965" s="11">
        <v>0.0</v>
      </c>
      <c r="K965" s="9">
        <v>544.08</v>
      </c>
      <c r="L965" s="7" t="s">
        <v>17</v>
      </c>
    </row>
    <row r="966" ht="15.75" customHeight="1">
      <c r="A966" s="6">
        <v>10612.0</v>
      </c>
      <c r="B966" s="7" t="s">
        <v>60</v>
      </c>
      <c r="C966" s="8">
        <v>45135.0</v>
      </c>
      <c r="D966" s="8">
        <v>45163.0</v>
      </c>
      <c r="E966" s="8">
        <v>45139.0</v>
      </c>
      <c r="F966" s="8">
        <v>45158.0</v>
      </c>
      <c r="G966" s="6">
        <v>76.0</v>
      </c>
      <c r="H966" s="9">
        <v>18.0</v>
      </c>
      <c r="I966" s="10">
        <v>80.0</v>
      </c>
      <c r="J966" s="11">
        <v>0.0</v>
      </c>
      <c r="K966" s="9">
        <v>544.08</v>
      </c>
      <c r="L966" s="7" t="s">
        <v>17</v>
      </c>
    </row>
    <row r="967" ht="15.75" customHeight="1">
      <c r="A967" s="6">
        <v>10613.0</v>
      </c>
      <c r="B967" s="7" t="s">
        <v>23</v>
      </c>
      <c r="C967" s="8">
        <v>45136.0</v>
      </c>
      <c r="D967" s="8">
        <v>45164.0</v>
      </c>
      <c r="E967" s="8">
        <v>45139.0</v>
      </c>
      <c r="F967" s="8">
        <v>45154.0</v>
      </c>
      <c r="G967" s="6">
        <v>13.0</v>
      </c>
      <c r="H967" s="9">
        <v>6.0</v>
      </c>
      <c r="I967" s="10">
        <v>8.0</v>
      </c>
      <c r="J967" s="11">
        <v>0.1</v>
      </c>
      <c r="K967" s="9">
        <v>8.11</v>
      </c>
      <c r="L967" s="7" t="s">
        <v>17</v>
      </c>
    </row>
    <row r="968" ht="15.75" customHeight="1">
      <c r="A968" s="6">
        <v>10613.0</v>
      </c>
      <c r="B968" s="7" t="s">
        <v>23</v>
      </c>
      <c r="C968" s="8">
        <v>45136.0</v>
      </c>
      <c r="D968" s="8">
        <v>45164.0</v>
      </c>
      <c r="E968" s="8">
        <v>45139.0</v>
      </c>
      <c r="F968" s="8">
        <v>45154.0</v>
      </c>
      <c r="G968" s="6">
        <v>75.0</v>
      </c>
      <c r="H968" s="9">
        <v>7.75</v>
      </c>
      <c r="I968" s="10">
        <v>40.0</v>
      </c>
      <c r="J968" s="11">
        <v>0.0</v>
      </c>
      <c r="K968" s="9">
        <v>8.11</v>
      </c>
      <c r="L968" s="7" t="s">
        <v>17</v>
      </c>
    </row>
    <row r="969" ht="15.75" customHeight="1">
      <c r="A969" s="6">
        <v>10614.0</v>
      </c>
      <c r="B969" s="7" t="s">
        <v>91</v>
      </c>
      <c r="C969" s="8">
        <v>45136.0</v>
      </c>
      <c r="D969" s="8">
        <v>45164.0</v>
      </c>
      <c r="E969" s="8">
        <v>45139.0</v>
      </c>
      <c r="F969" s="8">
        <v>45143.0</v>
      </c>
      <c r="G969" s="6">
        <v>11.0</v>
      </c>
      <c r="H969" s="9">
        <v>21.0</v>
      </c>
      <c r="I969" s="10">
        <v>14.0</v>
      </c>
      <c r="J969" s="11">
        <v>0.0</v>
      </c>
      <c r="K969" s="9">
        <v>1.93</v>
      </c>
      <c r="L969" s="7" t="s">
        <v>13</v>
      </c>
    </row>
    <row r="970" ht="15.75" customHeight="1">
      <c r="A970" s="6">
        <v>10614.0</v>
      </c>
      <c r="B970" s="7" t="s">
        <v>91</v>
      </c>
      <c r="C970" s="8">
        <v>45136.0</v>
      </c>
      <c r="D970" s="8">
        <v>45164.0</v>
      </c>
      <c r="E970" s="8">
        <v>45139.0</v>
      </c>
      <c r="F970" s="8">
        <v>45143.0</v>
      </c>
      <c r="G970" s="6">
        <v>21.0</v>
      </c>
      <c r="H970" s="9">
        <v>10.0</v>
      </c>
      <c r="I970" s="10">
        <v>8.0</v>
      </c>
      <c r="J970" s="11">
        <v>0.0</v>
      </c>
      <c r="K970" s="9">
        <v>1.93</v>
      </c>
      <c r="L970" s="7" t="s">
        <v>13</v>
      </c>
    </row>
    <row r="971" ht="15.75" customHeight="1">
      <c r="A971" s="6">
        <v>10614.0</v>
      </c>
      <c r="B971" s="7" t="s">
        <v>91</v>
      </c>
      <c r="C971" s="8">
        <v>45136.0</v>
      </c>
      <c r="D971" s="8">
        <v>45164.0</v>
      </c>
      <c r="E971" s="8">
        <v>45139.0</v>
      </c>
      <c r="F971" s="8">
        <v>45143.0</v>
      </c>
      <c r="G971" s="6">
        <v>39.0</v>
      </c>
      <c r="H971" s="9">
        <v>18.0</v>
      </c>
      <c r="I971" s="10">
        <v>5.0</v>
      </c>
      <c r="J971" s="11">
        <v>0.0</v>
      </c>
      <c r="K971" s="9">
        <v>1.93</v>
      </c>
      <c r="L971" s="7" t="s">
        <v>13</v>
      </c>
    </row>
    <row r="972" ht="15.75" customHeight="1">
      <c r="A972" s="6">
        <v>10615.0</v>
      </c>
      <c r="B972" s="7" t="s">
        <v>98</v>
      </c>
      <c r="C972" s="8">
        <v>45137.0</v>
      </c>
      <c r="D972" s="8">
        <v>45165.0</v>
      </c>
      <c r="E972" s="8">
        <v>45144.0</v>
      </c>
      <c r="F972" s="8">
        <v>45157.0</v>
      </c>
      <c r="G972" s="6">
        <v>55.0</v>
      </c>
      <c r="H972" s="9">
        <v>24.0</v>
      </c>
      <c r="I972" s="10">
        <v>5.0</v>
      </c>
      <c r="J972" s="11">
        <v>0.0</v>
      </c>
      <c r="K972" s="9">
        <v>0.75</v>
      </c>
      <c r="L972" s="7" t="s">
        <v>13</v>
      </c>
    </row>
    <row r="973" ht="15.75" customHeight="1">
      <c r="A973" s="6">
        <v>10616.0</v>
      </c>
      <c r="B973" s="7" t="s">
        <v>94</v>
      </c>
      <c r="C973" s="8">
        <v>45138.0</v>
      </c>
      <c r="D973" s="8">
        <v>45166.0</v>
      </c>
      <c r="E973" s="8">
        <v>45143.0</v>
      </c>
      <c r="F973" s="8">
        <v>45158.0</v>
      </c>
      <c r="G973" s="6">
        <v>38.0</v>
      </c>
      <c r="H973" s="9">
        <v>263.5</v>
      </c>
      <c r="I973" s="10">
        <v>15.0</v>
      </c>
      <c r="J973" s="11">
        <v>0.05</v>
      </c>
      <c r="K973" s="9">
        <v>116.53</v>
      </c>
      <c r="L973" s="7" t="s">
        <v>17</v>
      </c>
    </row>
    <row r="974" ht="15.75" customHeight="1">
      <c r="A974" s="6">
        <v>10616.0</v>
      </c>
      <c r="B974" s="7" t="s">
        <v>94</v>
      </c>
      <c r="C974" s="8">
        <v>45138.0</v>
      </c>
      <c r="D974" s="8">
        <v>45166.0</v>
      </c>
      <c r="E974" s="8">
        <v>45143.0</v>
      </c>
      <c r="F974" s="8">
        <v>45158.0</v>
      </c>
      <c r="G974" s="6">
        <v>56.0</v>
      </c>
      <c r="H974" s="9">
        <v>38.0</v>
      </c>
      <c r="I974" s="10">
        <v>14.0</v>
      </c>
      <c r="J974" s="11">
        <v>0.0</v>
      </c>
      <c r="K974" s="9">
        <v>116.53</v>
      </c>
      <c r="L974" s="7" t="s">
        <v>17</v>
      </c>
    </row>
    <row r="975" ht="15.75" customHeight="1">
      <c r="A975" s="6">
        <v>10616.0</v>
      </c>
      <c r="B975" s="7" t="s">
        <v>94</v>
      </c>
      <c r="C975" s="8">
        <v>45138.0</v>
      </c>
      <c r="D975" s="8">
        <v>45166.0</v>
      </c>
      <c r="E975" s="8">
        <v>45143.0</v>
      </c>
      <c r="F975" s="8">
        <v>45158.0</v>
      </c>
      <c r="G975" s="6">
        <v>70.0</v>
      </c>
      <c r="H975" s="9">
        <v>15.0</v>
      </c>
      <c r="I975" s="10">
        <v>15.0</v>
      </c>
      <c r="J975" s="11">
        <v>0.05</v>
      </c>
      <c r="K975" s="9">
        <v>116.53</v>
      </c>
      <c r="L975" s="7" t="s">
        <v>17</v>
      </c>
    </row>
    <row r="976" ht="15.75" customHeight="1">
      <c r="A976" s="6">
        <v>10616.0</v>
      </c>
      <c r="B976" s="7" t="s">
        <v>94</v>
      </c>
      <c r="C976" s="8">
        <v>45138.0</v>
      </c>
      <c r="D976" s="8">
        <v>45166.0</v>
      </c>
      <c r="E976" s="8">
        <v>45143.0</v>
      </c>
      <c r="F976" s="8">
        <v>45158.0</v>
      </c>
      <c r="G976" s="6">
        <v>71.0</v>
      </c>
      <c r="H976" s="9">
        <v>21.5</v>
      </c>
      <c r="I976" s="10">
        <v>15.0</v>
      </c>
      <c r="J976" s="11">
        <v>0.05</v>
      </c>
      <c r="K976" s="9">
        <v>116.53</v>
      </c>
      <c r="L976" s="7" t="s">
        <v>17</v>
      </c>
    </row>
    <row r="977" ht="15.75" customHeight="1">
      <c r="A977" s="6">
        <v>10617.0</v>
      </c>
      <c r="B977" s="7" t="s">
        <v>94</v>
      </c>
      <c r="C977" s="8">
        <v>45138.0</v>
      </c>
      <c r="D977" s="8">
        <v>45166.0</v>
      </c>
      <c r="E977" s="8">
        <v>45142.0</v>
      </c>
      <c r="F977" s="8">
        <v>45161.0</v>
      </c>
      <c r="G977" s="6">
        <v>59.0</v>
      </c>
      <c r="H977" s="9">
        <v>55.0</v>
      </c>
      <c r="I977" s="10">
        <v>30.0</v>
      </c>
      <c r="J977" s="11">
        <v>0.15</v>
      </c>
      <c r="K977" s="9">
        <v>18.53</v>
      </c>
      <c r="L977" s="7" t="s">
        <v>17</v>
      </c>
    </row>
    <row r="978" ht="15.75" customHeight="1">
      <c r="A978" s="6">
        <v>10618.0</v>
      </c>
      <c r="B978" s="7" t="s">
        <v>64</v>
      </c>
      <c r="C978" s="8">
        <v>45139.0</v>
      </c>
      <c r="D978" s="8">
        <v>45181.0</v>
      </c>
      <c r="E978" s="8">
        <v>45146.0</v>
      </c>
      <c r="F978" s="8">
        <v>45156.0</v>
      </c>
      <c r="G978" s="6">
        <v>6.0</v>
      </c>
      <c r="H978" s="9">
        <v>25.0</v>
      </c>
      <c r="I978" s="10">
        <v>70.0</v>
      </c>
      <c r="J978" s="11">
        <v>0.0</v>
      </c>
      <c r="K978" s="9">
        <v>154.68</v>
      </c>
      <c r="L978" s="7" t="s">
        <v>15</v>
      </c>
    </row>
    <row r="979" ht="15.75" customHeight="1">
      <c r="A979" s="6">
        <v>10618.0</v>
      </c>
      <c r="B979" s="7" t="s">
        <v>64</v>
      </c>
      <c r="C979" s="8">
        <v>45139.0</v>
      </c>
      <c r="D979" s="8">
        <v>45181.0</v>
      </c>
      <c r="E979" s="8">
        <v>45146.0</v>
      </c>
      <c r="F979" s="8">
        <v>45156.0</v>
      </c>
      <c r="G979" s="6">
        <v>56.0</v>
      </c>
      <c r="H979" s="9">
        <v>38.0</v>
      </c>
      <c r="I979" s="10">
        <v>20.0</v>
      </c>
      <c r="J979" s="11">
        <v>0.0</v>
      </c>
      <c r="K979" s="9">
        <v>154.68</v>
      </c>
      <c r="L979" s="7" t="s">
        <v>15</v>
      </c>
    </row>
    <row r="980" ht="15.75" customHeight="1">
      <c r="A980" s="6">
        <v>10618.0</v>
      </c>
      <c r="B980" s="7" t="s">
        <v>64</v>
      </c>
      <c r="C980" s="8">
        <v>45139.0</v>
      </c>
      <c r="D980" s="8">
        <v>45181.0</v>
      </c>
      <c r="E980" s="8">
        <v>45146.0</v>
      </c>
      <c r="F980" s="8">
        <v>45156.0</v>
      </c>
      <c r="G980" s="6">
        <v>68.0</v>
      </c>
      <c r="H980" s="9">
        <v>12.5</v>
      </c>
      <c r="I980" s="10">
        <v>15.0</v>
      </c>
      <c r="J980" s="11">
        <v>0.0</v>
      </c>
      <c r="K980" s="9">
        <v>154.68</v>
      </c>
      <c r="L980" s="7" t="s">
        <v>15</v>
      </c>
    </row>
    <row r="981" ht="15.75" customHeight="1">
      <c r="A981" s="6">
        <v>10619.0</v>
      </c>
      <c r="B981" s="7" t="s">
        <v>64</v>
      </c>
      <c r="C981" s="8">
        <v>45142.0</v>
      </c>
      <c r="D981" s="8">
        <v>45170.0</v>
      </c>
      <c r="E981" s="8">
        <v>45145.0</v>
      </c>
      <c r="F981" s="8">
        <v>45156.0</v>
      </c>
      <c r="G981" s="6">
        <v>21.0</v>
      </c>
      <c r="H981" s="9">
        <v>10.0</v>
      </c>
      <c r="I981" s="10">
        <v>42.0</v>
      </c>
      <c r="J981" s="11">
        <v>0.0</v>
      </c>
      <c r="K981" s="9">
        <v>91.05</v>
      </c>
      <c r="L981" s="7" t="s">
        <v>13</v>
      </c>
    </row>
    <row r="982" ht="15.75" customHeight="1">
      <c r="A982" s="6">
        <v>10619.0</v>
      </c>
      <c r="B982" s="7" t="s">
        <v>64</v>
      </c>
      <c r="C982" s="8">
        <v>45142.0</v>
      </c>
      <c r="D982" s="8">
        <v>45170.0</v>
      </c>
      <c r="E982" s="8">
        <v>45145.0</v>
      </c>
      <c r="F982" s="8">
        <v>45156.0</v>
      </c>
      <c r="G982" s="6">
        <v>22.0</v>
      </c>
      <c r="H982" s="9">
        <v>21.0</v>
      </c>
      <c r="I982" s="10">
        <v>40.0</v>
      </c>
      <c r="J982" s="11">
        <v>0.0</v>
      </c>
      <c r="K982" s="9">
        <v>91.05</v>
      </c>
      <c r="L982" s="7" t="s">
        <v>13</v>
      </c>
    </row>
    <row r="983" ht="15.75" customHeight="1">
      <c r="A983" s="6">
        <v>10620.0</v>
      </c>
      <c r="B983" s="7" t="s">
        <v>90</v>
      </c>
      <c r="C983" s="8">
        <v>45143.0</v>
      </c>
      <c r="D983" s="8">
        <v>45171.0</v>
      </c>
      <c r="E983" s="8">
        <v>45152.0</v>
      </c>
      <c r="F983" s="8">
        <v>45163.0</v>
      </c>
      <c r="G983" s="6">
        <v>24.0</v>
      </c>
      <c r="H983" s="9">
        <v>4.5</v>
      </c>
      <c r="I983" s="10">
        <v>5.0</v>
      </c>
      <c r="J983" s="11">
        <v>0.0</v>
      </c>
      <c r="K983" s="9">
        <v>0.94</v>
      </c>
      <c r="L983" s="7" t="s">
        <v>13</v>
      </c>
    </row>
    <row r="984" ht="15.75" customHeight="1">
      <c r="A984" s="6">
        <v>10620.0</v>
      </c>
      <c r="B984" s="7" t="s">
        <v>90</v>
      </c>
      <c r="C984" s="8">
        <v>45143.0</v>
      </c>
      <c r="D984" s="8">
        <v>45171.0</v>
      </c>
      <c r="E984" s="8">
        <v>45152.0</v>
      </c>
      <c r="F984" s="8">
        <v>45163.0</v>
      </c>
      <c r="G984" s="6">
        <v>52.0</v>
      </c>
      <c r="H984" s="9">
        <v>7.0</v>
      </c>
      <c r="I984" s="10">
        <v>5.0</v>
      </c>
      <c r="J984" s="11">
        <v>0.0</v>
      </c>
      <c r="K984" s="9">
        <v>0.94</v>
      </c>
      <c r="L984" s="7" t="s">
        <v>13</v>
      </c>
    </row>
    <row r="985" ht="15.75" customHeight="1">
      <c r="A985" s="6">
        <v>10621.0</v>
      </c>
      <c r="B985" s="7" t="s">
        <v>57</v>
      </c>
      <c r="C985" s="8">
        <v>45143.0</v>
      </c>
      <c r="D985" s="8">
        <v>45171.0</v>
      </c>
      <c r="E985" s="8">
        <v>45149.0</v>
      </c>
      <c r="F985" s="8">
        <v>45156.0</v>
      </c>
      <c r="G985" s="6">
        <v>19.0</v>
      </c>
      <c r="H985" s="9">
        <v>9.2</v>
      </c>
      <c r="I985" s="10">
        <v>5.0</v>
      </c>
      <c r="J985" s="11">
        <v>0.0</v>
      </c>
      <c r="K985" s="9">
        <v>23.73</v>
      </c>
      <c r="L985" s="7" t="s">
        <v>17</v>
      </c>
    </row>
    <row r="986" ht="15.75" customHeight="1">
      <c r="A986" s="6">
        <v>10621.0</v>
      </c>
      <c r="B986" s="7" t="s">
        <v>57</v>
      </c>
      <c r="C986" s="8">
        <v>45143.0</v>
      </c>
      <c r="D986" s="8">
        <v>45171.0</v>
      </c>
      <c r="E986" s="8">
        <v>45149.0</v>
      </c>
      <c r="F986" s="8">
        <v>45156.0</v>
      </c>
      <c r="G986" s="6">
        <v>23.0</v>
      </c>
      <c r="H986" s="9">
        <v>9.0</v>
      </c>
      <c r="I986" s="10">
        <v>10.0</v>
      </c>
      <c r="J986" s="11">
        <v>0.0</v>
      </c>
      <c r="K986" s="9">
        <v>23.73</v>
      </c>
      <c r="L986" s="7" t="s">
        <v>17</v>
      </c>
    </row>
    <row r="987" ht="15.75" customHeight="1">
      <c r="A987" s="6">
        <v>10621.0</v>
      </c>
      <c r="B987" s="7" t="s">
        <v>57</v>
      </c>
      <c r="C987" s="8">
        <v>45143.0</v>
      </c>
      <c r="D987" s="8">
        <v>45171.0</v>
      </c>
      <c r="E987" s="8">
        <v>45149.0</v>
      </c>
      <c r="F987" s="8">
        <v>45156.0</v>
      </c>
      <c r="G987" s="6">
        <v>70.0</v>
      </c>
      <c r="H987" s="9">
        <v>15.0</v>
      </c>
      <c r="I987" s="10">
        <v>20.0</v>
      </c>
      <c r="J987" s="11">
        <v>0.0</v>
      </c>
      <c r="K987" s="9">
        <v>23.73</v>
      </c>
      <c r="L987" s="7" t="s">
        <v>17</v>
      </c>
    </row>
    <row r="988" ht="15.75" customHeight="1">
      <c r="A988" s="6">
        <v>10621.0</v>
      </c>
      <c r="B988" s="7" t="s">
        <v>57</v>
      </c>
      <c r="C988" s="8">
        <v>45143.0</v>
      </c>
      <c r="D988" s="8">
        <v>45171.0</v>
      </c>
      <c r="E988" s="8">
        <v>45149.0</v>
      </c>
      <c r="F988" s="8">
        <v>45156.0</v>
      </c>
      <c r="G988" s="6">
        <v>71.0</v>
      </c>
      <c r="H988" s="9">
        <v>21.5</v>
      </c>
      <c r="I988" s="10">
        <v>15.0</v>
      </c>
      <c r="J988" s="11">
        <v>0.0</v>
      </c>
      <c r="K988" s="9">
        <v>23.73</v>
      </c>
      <c r="L988" s="7" t="s">
        <v>17</v>
      </c>
    </row>
    <row r="989" ht="15.75" customHeight="1">
      <c r="A989" s="6">
        <v>10622.0</v>
      </c>
      <c r="B989" s="7" t="s">
        <v>44</v>
      </c>
      <c r="C989" s="8">
        <v>45144.0</v>
      </c>
      <c r="D989" s="8">
        <v>45172.0</v>
      </c>
      <c r="E989" s="8">
        <v>45149.0</v>
      </c>
      <c r="F989" s="8">
        <v>45166.0</v>
      </c>
      <c r="G989" s="6">
        <v>2.0</v>
      </c>
      <c r="H989" s="9">
        <v>19.0</v>
      </c>
      <c r="I989" s="10">
        <v>20.0</v>
      </c>
      <c r="J989" s="11">
        <v>0.0</v>
      </c>
      <c r="K989" s="9">
        <v>50.97</v>
      </c>
      <c r="L989" s="7" t="s">
        <v>13</v>
      </c>
    </row>
    <row r="990" ht="15.75" customHeight="1">
      <c r="A990" s="6">
        <v>10622.0</v>
      </c>
      <c r="B990" s="7" t="s">
        <v>44</v>
      </c>
      <c r="C990" s="8">
        <v>45144.0</v>
      </c>
      <c r="D990" s="8">
        <v>45172.0</v>
      </c>
      <c r="E990" s="8">
        <v>45149.0</v>
      </c>
      <c r="F990" s="8">
        <v>45166.0</v>
      </c>
      <c r="G990" s="6">
        <v>68.0</v>
      </c>
      <c r="H990" s="9">
        <v>12.5</v>
      </c>
      <c r="I990" s="10">
        <v>18.0</v>
      </c>
      <c r="J990" s="11">
        <v>0.2</v>
      </c>
      <c r="K990" s="9">
        <v>50.97</v>
      </c>
      <c r="L990" s="7" t="s">
        <v>13</v>
      </c>
    </row>
    <row r="991" ht="15.75" customHeight="1">
      <c r="A991" s="6">
        <v>10623.0</v>
      </c>
      <c r="B991" s="7" t="s">
        <v>32</v>
      </c>
      <c r="C991" s="8">
        <v>45145.0</v>
      </c>
      <c r="D991" s="8">
        <v>45173.0</v>
      </c>
      <c r="E991" s="8">
        <v>45150.0</v>
      </c>
      <c r="F991" s="8">
        <v>45156.0</v>
      </c>
      <c r="G991" s="6">
        <v>14.0</v>
      </c>
      <c r="H991" s="9">
        <v>23.25</v>
      </c>
      <c r="I991" s="10">
        <v>21.0</v>
      </c>
      <c r="J991" s="11">
        <v>0.0</v>
      </c>
      <c r="K991" s="9">
        <v>97.18</v>
      </c>
      <c r="L991" s="7" t="s">
        <v>17</v>
      </c>
    </row>
    <row r="992" ht="15.75" customHeight="1">
      <c r="A992" s="6">
        <v>10623.0</v>
      </c>
      <c r="B992" s="7" t="s">
        <v>32</v>
      </c>
      <c r="C992" s="8">
        <v>45145.0</v>
      </c>
      <c r="D992" s="8">
        <v>45173.0</v>
      </c>
      <c r="E992" s="8">
        <v>45150.0</v>
      </c>
      <c r="F992" s="8">
        <v>45156.0</v>
      </c>
      <c r="G992" s="6">
        <v>19.0</v>
      </c>
      <c r="H992" s="9">
        <v>9.2</v>
      </c>
      <c r="I992" s="10">
        <v>15.0</v>
      </c>
      <c r="J992" s="11">
        <v>0.1</v>
      </c>
      <c r="K992" s="9">
        <v>97.18</v>
      </c>
      <c r="L992" s="7" t="s">
        <v>17</v>
      </c>
    </row>
    <row r="993" ht="15.75" customHeight="1">
      <c r="A993" s="6">
        <v>10623.0</v>
      </c>
      <c r="B993" s="7" t="s">
        <v>32</v>
      </c>
      <c r="C993" s="8">
        <v>45145.0</v>
      </c>
      <c r="D993" s="8">
        <v>45173.0</v>
      </c>
      <c r="E993" s="8">
        <v>45150.0</v>
      </c>
      <c r="F993" s="8">
        <v>45156.0</v>
      </c>
      <c r="G993" s="6">
        <v>21.0</v>
      </c>
      <c r="H993" s="9">
        <v>10.0</v>
      </c>
      <c r="I993" s="10">
        <v>25.0</v>
      </c>
      <c r="J993" s="11">
        <v>0.1</v>
      </c>
      <c r="K993" s="9">
        <v>97.18</v>
      </c>
      <c r="L993" s="7" t="s">
        <v>17</v>
      </c>
    </row>
    <row r="994" ht="15.75" customHeight="1">
      <c r="A994" s="6">
        <v>10623.0</v>
      </c>
      <c r="B994" s="7" t="s">
        <v>32</v>
      </c>
      <c r="C994" s="8">
        <v>45145.0</v>
      </c>
      <c r="D994" s="8">
        <v>45173.0</v>
      </c>
      <c r="E994" s="8">
        <v>45150.0</v>
      </c>
      <c r="F994" s="8">
        <v>45156.0</v>
      </c>
      <c r="G994" s="6">
        <v>24.0</v>
      </c>
      <c r="H994" s="9">
        <v>4.5</v>
      </c>
      <c r="I994" s="10">
        <v>3.0</v>
      </c>
      <c r="J994" s="11">
        <v>0.0</v>
      </c>
      <c r="K994" s="9">
        <v>97.18</v>
      </c>
      <c r="L994" s="7" t="s">
        <v>17</v>
      </c>
    </row>
    <row r="995" ht="15.75" customHeight="1">
      <c r="A995" s="6">
        <v>10623.0</v>
      </c>
      <c r="B995" s="7" t="s">
        <v>32</v>
      </c>
      <c r="C995" s="8">
        <v>45145.0</v>
      </c>
      <c r="D995" s="8">
        <v>45173.0</v>
      </c>
      <c r="E995" s="8">
        <v>45150.0</v>
      </c>
      <c r="F995" s="8">
        <v>45156.0</v>
      </c>
      <c r="G995" s="6">
        <v>35.0</v>
      </c>
      <c r="H995" s="9">
        <v>18.0</v>
      </c>
      <c r="I995" s="10">
        <v>30.0</v>
      </c>
      <c r="J995" s="11">
        <v>0.1</v>
      </c>
      <c r="K995" s="9">
        <v>97.18</v>
      </c>
      <c r="L995" s="7" t="s">
        <v>17</v>
      </c>
    </row>
    <row r="996" ht="15.75" customHeight="1">
      <c r="A996" s="6">
        <v>10624.0</v>
      </c>
      <c r="B996" s="7" t="s">
        <v>99</v>
      </c>
      <c r="C996" s="8">
        <v>45145.0</v>
      </c>
      <c r="D996" s="8">
        <v>45173.0</v>
      </c>
      <c r="E996" s="8">
        <v>45157.0</v>
      </c>
      <c r="F996" s="8">
        <v>45174.0</v>
      </c>
      <c r="G996" s="6">
        <v>28.0</v>
      </c>
      <c r="H996" s="9">
        <v>45.6</v>
      </c>
      <c r="I996" s="10">
        <v>10.0</v>
      </c>
      <c r="J996" s="11">
        <v>0.0</v>
      </c>
      <c r="K996" s="9">
        <v>94.8</v>
      </c>
      <c r="L996" s="7" t="s">
        <v>17</v>
      </c>
    </row>
    <row r="997" ht="15.75" customHeight="1">
      <c r="A997" s="6">
        <v>10624.0</v>
      </c>
      <c r="B997" s="7" t="s">
        <v>99</v>
      </c>
      <c r="C997" s="8">
        <v>45145.0</v>
      </c>
      <c r="D997" s="8">
        <v>45173.0</v>
      </c>
      <c r="E997" s="8">
        <v>45157.0</v>
      </c>
      <c r="F997" s="8">
        <v>45174.0</v>
      </c>
      <c r="G997" s="6">
        <v>29.0</v>
      </c>
      <c r="H997" s="9">
        <v>123.79</v>
      </c>
      <c r="I997" s="10">
        <v>6.0</v>
      </c>
      <c r="J997" s="11">
        <v>0.0</v>
      </c>
      <c r="K997" s="9">
        <v>94.8</v>
      </c>
      <c r="L997" s="7" t="s">
        <v>17</v>
      </c>
    </row>
    <row r="998" ht="15.75" customHeight="1">
      <c r="A998" s="6">
        <v>10624.0</v>
      </c>
      <c r="B998" s="7" t="s">
        <v>99</v>
      </c>
      <c r="C998" s="8">
        <v>45145.0</v>
      </c>
      <c r="D998" s="8">
        <v>45173.0</v>
      </c>
      <c r="E998" s="8">
        <v>45157.0</v>
      </c>
      <c r="F998" s="8">
        <v>45174.0</v>
      </c>
      <c r="G998" s="6">
        <v>44.0</v>
      </c>
      <c r="H998" s="9">
        <v>19.45</v>
      </c>
      <c r="I998" s="10">
        <v>10.0</v>
      </c>
      <c r="J998" s="11">
        <v>0.0</v>
      </c>
      <c r="K998" s="9">
        <v>94.8</v>
      </c>
      <c r="L998" s="7" t="s">
        <v>17</v>
      </c>
    </row>
    <row r="999" ht="15.75" customHeight="1">
      <c r="A999" s="6">
        <v>10625.0</v>
      </c>
      <c r="B999" s="7" t="s">
        <v>54</v>
      </c>
      <c r="C999" s="8">
        <v>45146.0</v>
      </c>
      <c r="D999" s="8">
        <v>45174.0</v>
      </c>
      <c r="E999" s="8">
        <v>45152.0</v>
      </c>
      <c r="F999" s="8">
        <v>45165.0</v>
      </c>
      <c r="G999" s="6">
        <v>14.0</v>
      </c>
      <c r="H999" s="9">
        <v>23.25</v>
      </c>
      <c r="I999" s="10">
        <v>3.0</v>
      </c>
      <c r="J999" s="11">
        <v>0.0</v>
      </c>
      <c r="K999" s="9">
        <v>43.9</v>
      </c>
      <c r="L999" s="7" t="s">
        <v>15</v>
      </c>
    </row>
    <row r="1000" ht="15.75" customHeight="1">
      <c r="A1000" s="6">
        <v>10625.0</v>
      </c>
      <c r="B1000" s="7" t="s">
        <v>54</v>
      </c>
      <c r="C1000" s="8">
        <v>45146.0</v>
      </c>
      <c r="D1000" s="8">
        <v>45174.0</v>
      </c>
      <c r="E1000" s="8">
        <v>45152.0</v>
      </c>
      <c r="F1000" s="8">
        <v>45165.0</v>
      </c>
      <c r="G1000" s="6">
        <v>42.0</v>
      </c>
      <c r="H1000" s="9">
        <v>14.0</v>
      </c>
      <c r="I1000" s="10">
        <v>5.0</v>
      </c>
      <c r="J1000" s="11">
        <v>0.0</v>
      </c>
      <c r="K1000" s="9">
        <v>43.9</v>
      </c>
      <c r="L1000" s="7" t="s">
        <v>15</v>
      </c>
    </row>
    <row r="1001" ht="15.75" customHeight="1">
      <c r="A1001" s="6">
        <v>10625.0</v>
      </c>
      <c r="B1001" s="7" t="s">
        <v>54</v>
      </c>
      <c r="C1001" s="8">
        <v>45146.0</v>
      </c>
      <c r="D1001" s="8">
        <v>45174.0</v>
      </c>
      <c r="E1001" s="8">
        <v>45152.0</v>
      </c>
      <c r="F1001" s="8">
        <v>45165.0</v>
      </c>
      <c r="G1001" s="6">
        <v>60.0</v>
      </c>
      <c r="H1001" s="9">
        <v>34.0</v>
      </c>
      <c r="I1001" s="10">
        <v>10.0</v>
      </c>
      <c r="J1001" s="11">
        <v>0.0</v>
      </c>
      <c r="K1001" s="9">
        <v>43.9</v>
      </c>
      <c r="L1001" s="7" t="s">
        <v>15</v>
      </c>
    </row>
    <row r="1002" ht="15.75" customHeight="1">
      <c r="A1002" s="6">
        <v>10626.0</v>
      </c>
      <c r="B1002" s="7" t="s">
        <v>40</v>
      </c>
      <c r="C1002" s="8">
        <v>45149.0</v>
      </c>
      <c r="D1002" s="8">
        <v>45177.0</v>
      </c>
      <c r="E1002" s="8">
        <v>45158.0</v>
      </c>
      <c r="F1002" s="8">
        <v>45170.0</v>
      </c>
      <c r="G1002" s="6">
        <v>53.0</v>
      </c>
      <c r="H1002" s="9">
        <v>32.8</v>
      </c>
      <c r="I1002" s="10">
        <v>12.0</v>
      </c>
      <c r="J1002" s="11">
        <v>0.0</v>
      </c>
      <c r="K1002" s="9">
        <v>138.69</v>
      </c>
      <c r="L1002" s="7" t="s">
        <v>17</v>
      </c>
    </row>
    <row r="1003" ht="15.75" customHeight="1">
      <c r="A1003" s="6">
        <v>10626.0</v>
      </c>
      <c r="B1003" s="7" t="s">
        <v>40</v>
      </c>
      <c r="C1003" s="8">
        <v>45149.0</v>
      </c>
      <c r="D1003" s="8">
        <v>45177.0</v>
      </c>
      <c r="E1003" s="8">
        <v>45158.0</v>
      </c>
      <c r="F1003" s="8">
        <v>45170.0</v>
      </c>
      <c r="G1003" s="6">
        <v>60.0</v>
      </c>
      <c r="H1003" s="9">
        <v>34.0</v>
      </c>
      <c r="I1003" s="10">
        <v>20.0</v>
      </c>
      <c r="J1003" s="11">
        <v>0.0</v>
      </c>
      <c r="K1003" s="9">
        <v>138.69</v>
      </c>
      <c r="L1003" s="7" t="s">
        <v>17</v>
      </c>
    </row>
    <row r="1004" ht="15.75" customHeight="1">
      <c r="A1004" s="6">
        <v>10626.0</v>
      </c>
      <c r="B1004" s="7" t="s">
        <v>40</v>
      </c>
      <c r="C1004" s="8">
        <v>45149.0</v>
      </c>
      <c r="D1004" s="8">
        <v>45177.0</v>
      </c>
      <c r="E1004" s="8">
        <v>45158.0</v>
      </c>
      <c r="F1004" s="8">
        <v>45170.0</v>
      </c>
      <c r="G1004" s="6">
        <v>71.0</v>
      </c>
      <c r="H1004" s="9">
        <v>21.5</v>
      </c>
      <c r="I1004" s="10">
        <v>20.0</v>
      </c>
      <c r="J1004" s="11">
        <v>0.0</v>
      </c>
      <c r="K1004" s="9">
        <v>138.69</v>
      </c>
      <c r="L1004" s="7" t="s">
        <v>17</v>
      </c>
    </row>
    <row r="1005" ht="15.75" customHeight="1">
      <c r="A1005" s="6">
        <v>10627.0</v>
      </c>
      <c r="B1005" s="7" t="s">
        <v>60</v>
      </c>
      <c r="C1005" s="8">
        <v>45149.0</v>
      </c>
      <c r="D1005" s="8">
        <v>45191.0</v>
      </c>
      <c r="E1005" s="8">
        <v>45159.0</v>
      </c>
      <c r="F1005" s="8">
        <v>45176.0</v>
      </c>
      <c r="G1005" s="6">
        <v>62.0</v>
      </c>
      <c r="H1005" s="9">
        <v>49.3</v>
      </c>
      <c r="I1005" s="10">
        <v>15.0</v>
      </c>
      <c r="J1005" s="11">
        <v>0.0</v>
      </c>
      <c r="K1005" s="9">
        <v>107.46</v>
      </c>
      <c r="L1005" s="7" t="s">
        <v>13</v>
      </c>
    </row>
    <row r="1006" ht="15.75" customHeight="1">
      <c r="A1006" s="6">
        <v>10627.0</v>
      </c>
      <c r="B1006" s="7" t="s">
        <v>60</v>
      </c>
      <c r="C1006" s="8">
        <v>45149.0</v>
      </c>
      <c r="D1006" s="8">
        <v>45191.0</v>
      </c>
      <c r="E1006" s="8">
        <v>45159.0</v>
      </c>
      <c r="F1006" s="8">
        <v>45176.0</v>
      </c>
      <c r="G1006" s="6">
        <v>73.0</v>
      </c>
      <c r="H1006" s="9">
        <v>15.0</v>
      </c>
      <c r="I1006" s="10">
        <v>35.0</v>
      </c>
      <c r="J1006" s="11">
        <v>0.15</v>
      </c>
      <c r="K1006" s="9">
        <v>107.46</v>
      </c>
      <c r="L1006" s="7" t="s">
        <v>13</v>
      </c>
    </row>
    <row r="1007" ht="15.75" customHeight="1">
      <c r="A1007" s="6">
        <v>10628.0</v>
      </c>
      <c r="B1007" s="7" t="s">
        <v>30</v>
      </c>
      <c r="C1007" s="8">
        <v>45150.0</v>
      </c>
      <c r="D1007" s="8">
        <v>45178.0</v>
      </c>
      <c r="E1007" s="8">
        <v>45158.0</v>
      </c>
      <c r="F1007" s="8">
        <v>45165.0</v>
      </c>
      <c r="G1007" s="6">
        <v>1.0</v>
      </c>
      <c r="H1007" s="9">
        <v>18.0</v>
      </c>
      <c r="I1007" s="10">
        <v>25.0</v>
      </c>
      <c r="J1007" s="11">
        <v>0.0</v>
      </c>
      <c r="K1007" s="9">
        <v>30.36</v>
      </c>
      <c r="L1007" s="7" t="s">
        <v>13</v>
      </c>
    </row>
    <row r="1008" ht="15.75" customHeight="1">
      <c r="A1008" s="6">
        <v>10629.0</v>
      </c>
      <c r="B1008" s="7" t="s">
        <v>51</v>
      </c>
      <c r="C1008" s="8">
        <v>45150.0</v>
      </c>
      <c r="D1008" s="8">
        <v>45178.0</v>
      </c>
      <c r="E1008" s="8">
        <v>45158.0</v>
      </c>
      <c r="F1008" s="8">
        <v>45169.0</v>
      </c>
      <c r="G1008" s="6">
        <v>29.0</v>
      </c>
      <c r="H1008" s="9">
        <v>123.79</v>
      </c>
      <c r="I1008" s="10">
        <v>20.0</v>
      </c>
      <c r="J1008" s="11">
        <v>0.0</v>
      </c>
      <c r="K1008" s="9">
        <v>85.46</v>
      </c>
      <c r="L1008" s="7" t="s">
        <v>13</v>
      </c>
    </row>
    <row r="1009" ht="15.75" customHeight="1">
      <c r="A1009" s="6">
        <v>10629.0</v>
      </c>
      <c r="B1009" s="7" t="s">
        <v>51</v>
      </c>
      <c r="C1009" s="8">
        <v>45150.0</v>
      </c>
      <c r="D1009" s="8">
        <v>45178.0</v>
      </c>
      <c r="E1009" s="8">
        <v>45158.0</v>
      </c>
      <c r="F1009" s="8">
        <v>45169.0</v>
      </c>
      <c r="G1009" s="6">
        <v>64.0</v>
      </c>
      <c r="H1009" s="9">
        <v>33.25</v>
      </c>
      <c r="I1009" s="10">
        <v>9.0</v>
      </c>
      <c r="J1009" s="11">
        <v>0.0</v>
      </c>
      <c r="K1009" s="9">
        <v>85.46</v>
      </c>
      <c r="L1009" s="7" t="s">
        <v>13</v>
      </c>
    </row>
    <row r="1010" ht="15.75" customHeight="1">
      <c r="A1010" s="6">
        <v>10630.0</v>
      </c>
      <c r="B1010" s="7" t="s">
        <v>59</v>
      </c>
      <c r="C1010" s="8">
        <v>45151.0</v>
      </c>
      <c r="D1010" s="8">
        <v>45179.0</v>
      </c>
      <c r="E1010" s="8">
        <v>45157.0</v>
      </c>
      <c r="F1010" s="8">
        <v>45164.0</v>
      </c>
      <c r="G1010" s="6">
        <v>55.0</v>
      </c>
      <c r="H1010" s="9">
        <v>24.0</v>
      </c>
      <c r="I1010" s="10">
        <v>12.0</v>
      </c>
      <c r="J1010" s="11">
        <v>0.05</v>
      </c>
      <c r="K1010" s="9">
        <v>32.35</v>
      </c>
      <c r="L1010" s="7" t="s">
        <v>17</v>
      </c>
    </row>
    <row r="1011" ht="15.75" customHeight="1">
      <c r="A1011" s="6">
        <v>10630.0</v>
      </c>
      <c r="B1011" s="7" t="s">
        <v>59</v>
      </c>
      <c r="C1011" s="8">
        <v>45151.0</v>
      </c>
      <c r="D1011" s="8">
        <v>45179.0</v>
      </c>
      <c r="E1011" s="8">
        <v>45157.0</v>
      </c>
      <c r="F1011" s="8">
        <v>45164.0</v>
      </c>
      <c r="G1011" s="6">
        <v>76.0</v>
      </c>
      <c r="H1011" s="9">
        <v>18.0</v>
      </c>
      <c r="I1011" s="10">
        <v>35.0</v>
      </c>
      <c r="J1011" s="11">
        <v>0.0</v>
      </c>
      <c r="K1011" s="9">
        <v>32.35</v>
      </c>
      <c r="L1011" s="7" t="s">
        <v>17</v>
      </c>
    </row>
    <row r="1012" ht="15.75" customHeight="1">
      <c r="A1012" s="6">
        <v>10631.0</v>
      </c>
      <c r="B1012" s="7" t="s">
        <v>68</v>
      </c>
      <c r="C1012" s="8">
        <v>45152.0</v>
      </c>
      <c r="D1012" s="8">
        <v>45180.0</v>
      </c>
      <c r="E1012" s="8">
        <v>45153.0</v>
      </c>
      <c r="F1012" s="8">
        <v>45156.0</v>
      </c>
      <c r="G1012" s="6">
        <v>75.0</v>
      </c>
      <c r="H1012" s="9">
        <v>7.75</v>
      </c>
      <c r="I1012" s="10">
        <v>8.0</v>
      </c>
      <c r="J1012" s="11">
        <v>0.1</v>
      </c>
      <c r="K1012" s="9">
        <v>0.87</v>
      </c>
      <c r="L1012" s="7" t="s">
        <v>15</v>
      </c>
    </row>
    <row r="1013" ht="15.75" customHeight="1">
      <c r="A1013" s="6">
        <v>10632.0</v>
      </c>
      <c r="B1013" s="7" t="s">
        <v>50</v>
      </c>
      <c r="C1013" s="8">
        <v>45152.0</v>
      </c>
      <c r="D1013" s="8">
        <v>45180.0</v>
      </c>
      <c r="E1013" s="8">
        <v>45157.0</v>
      </c>
      <c r="F1013" s="8">
        <v>45158.0</v>
      </c>
      <c r="G1013" s="6">
        <v>2.0</v>
      </c>
      <c r="H1013" s="9">
        <v>19.0</v>
      </c>
      <c r="I1013" s="10">
        <v>30.0</v>
      </c>
      <c r="J1013" s="11">
        <v>0.05</v>
      </c>
      <c r="K1013" s="9">
        <v>41.38</v>
      </c>
      <c r="L1013" s="7" t="s">
        <v>15</v>
      </c>
    </row>
    <row r="1014" ht="15.75" customHeight="1">
      <c r="A1014" s="6">
        <v>10632.0</v>
      </c>
      <c r="B1014" s="7" t="s">
        <v>50</v>
      </c>
      <c r="C1014" s="8">
        <v>45152.0</v>
      </c>
      <c r="D1014" s="8">
        <v>45180.0</v>
      </c>
      <c r="E1014" s="8">
        <v>45157.0</v>
      </c>
      <c r="F1014" s="8">
        <v>45158.0</v>
      </c>
      <c r="G1014" s="6">
        <v>33.0</v>
      </c>
      <c r="H1014" s="9">
        <v>2.5</v>
      </c>
      <c r="I1014" s="10">
        <v>20.0</v>
      </c>
      <c r="J1014" s="11">
        <v>0.05</v>
      </c>
      <c r="K1014" s="9">
        <v>41.38</v>
      </c>
      <c r="L1014" s="7" t="s">
        <v>15</v>
      </c>
    </row>
    <row r="1015" ht="15.75" customHeight="1">
      <c r="A1015" s="6">
        <v>10633.0</v>
      </c>
      <c r="B1015" s="7" t="s">
        <v>24</v>
      </c>
      <c r="C1015" s="8">
        <v>45153.0</v>
      </c>
      <c r="D1015" s="8">
        <v>45181.0</v>
      </c>
      <c r="E1015" s="8">
        <v>45156.0</v>
      </c>
      <c r="F1015" s="8">
        <v>45168.0</v>
      </c>
      <c r="G1015" s="6">
        <v>12.0</v>
      </c>
      <c r="H1015" s="9">
        <v>38.0</v>
      </c>
      <c r="I1015" s="10">
        <v>36.0</v>
      </c>
      <c r="J1015" s="11">
        <v>0.15</v>
      </c>
      <c r="K1015" s="9">
        <v>477.9</v>
      </c>
      <c r="L1015" s="7" t="s">
        <v>13</v>
      </c>
    </row>
    <row r="1016" ht="15.75" customHeight="1">
      <c r="A1016" s="6">
        <v>10633.0</v>
      </c>
      <c r="B1016" s="7" t="s">
        <v>24</v>
      </c>
      <c r="C1016" s="8">
        <v>45153.0</v>
      </c>
      <c r="D1016" s="8">
        <v>45181.0</v>
      </c>
      <c r="E1016" s="8">
        <v>45156.0</v>
      </c>
      <c r="F1016" s="8">
        <v>45168.0</v>
      </c>
      <c r="G1016" s="6">
        <v>13.0</v>
      </c>
      <c r="H1016" s="9">
        <v>6.0</v>
      </c>
      <c r="I1016" s="10">
        <v>13.0</v>
      </c>
      <c r="J1016" s="11">
        <v>0.15</v>
      </c>
      <c r="K1016" s="9">
        <v>477.9</v>
      </c>
      <c r="L1016" s="7" t="s">
        <v>13</v>
      </c>
    </row>
    <row r="1017" ht="15.75" customHeight="1">
      <c r="A1017" s="6">
        <v>10633.0</v>
      </c>
      <c r="B1017" s="7" t="s">
        <v>24</v>
      </c>
      <c r="C1017" s="8">
        <v>45153.0</v>
      </c>
      <c r="D1017" s="8">
        <v>45181.0</v>
      </c>
      <c r="E1017" s="8">
        <v>45156.0</v>
      </c>
      <c r="F1017" s="8">
        <v>45168.0</v>
      </c>
      <c r="G1017" s="6">
        <v>26.0</v>
      </c>
      <c r="H1017" s="9">
        <v>31.23</v>
      </c>
      <c r="I1017" s="10">
        <v>35.0</v>
      </c>
      <c r="J1017" s="11">
        <v>0.15</v>
      </c>
      <c r="K1017" s="9">
        <v>477.9</v>
      </c>
      <c r="L1017" s="7" t="s">
        <v>13</v>
      </c>
    </row>
    <row r="1018" ht="15.75" customHeight="1">
      <c r="A1018" s="6">
        <v>10633.0</v>
      </c>
      <c r="B1018" s="7" t="s">
        <v>24</v>
      </c>
      <c r="C1018" s="8">
        <v>45153.0</v>
      </c>
      <c r="D1018" s="8">
        <v>45181.0</v>
      </c>
      <c r="E1018" s="8">
        <v>45156.0</v>
      </c>
      <c r="F1018" s="8">
        <v>45168.0</v>
      </c>
      <c r="G1018" s="6">
        <v>62.0</v>
      </c>
      <c r="H1018" s="9">
        <v>49.3</v>
      </c>
      <c r="I1018" s="10">
        <v>80.0</v>
      </c>
      <c r="J1018" s="11">
        <v>0.15</v>
      </c>
      <c r="K1018" s="9">
        <v>477.9</v>
      </c>
      <c r="L1018" s="7" t="s">
        <v>13</v>
      </c>
    </row>
    <row r="1019" ht="15.75" customHeight="1">
      <c r="A1019" s="6">
        <v>10634.0</v>
      </c>
      <c r="B1019" s="7" t="s">
        <v>83</v>
      </c>
      <c r="C1019" s="8">
        <v>45153.0</v>
      </c>
      <c r="D1019" s="8">
        <v>45181.0</v>
      </c>
      <c r="E1019" s="8">
        <v>45159.0</v>
      </c>
      <c r="F1019" s="8">
        <v>45168.0</v>
      </c>
      <c r="G1019" s="6">
        <v>7.0</v>
      </c>
      <c r="H1019" s="9">
        <v>30.0</v>
      </c>
      <c r="I1019" s="10">
        <v>35.0</v>
      </c>
      <c r="J1019" s="11">
        <v>0.0</v>
      </c>
      <c r="K1019" s="9">
        <v>487.38</v>
      </c>
      <c r="L1019" s="7" t="s">
        <v>13</v>
      </c>
    </row>
    <row r="1020" ht="15.75" customHeight="1">
      <c r="A1020" s="6">
        <v>10634.0</v>
      </c>
      <c r="B1020" s="7" t="s">
        <v>83</v>
      </c>
      <c r="C1020" s="8">
        <v>45153.0</v>
      </c>
      <c r="D1020" s="8">
        <v>45181.0</v>
      </c>
      <c r="E1020" s="8">
        <v>45159.0</v>
      </c>
      <c r="F1020" s="8">
        <v>45168.0</v>
      </c>
      <c r="G1020" s="6">
        <v>18.0</v>
      </c>
      <c r="H1020" s="9">
        <v>62.5</v>
      </c>
      <c r="I1020" s="10">
        <v>50.0</v>
      </c>
      <c r="J1020" s="11">
        <v>0.0</v>
      </c>
      <c r="K1020" s="9">
        <v>487.38</v>
      </c>
      <c r="L1020" s="7" t="s">
        <v>13</v>
      </c>
    </row>
    <row r="1021" ht="15.75" customHeight="1">
      <c r="A1021" s="6">
        <v>10634.0</v>
      </c>
      <c r="B1021" s="7" t="s">
        <v>83</v>
      </c>
      <c r="C1021" s="8">
        <v>45153.0</v>
      </c>
      <c r="D1021" s="8">
        <v>45181.0</v>
      </c>
      <c r="E1021" s="8">
        <v>45159.0</v>
      </c>
      <c r="F1021" s="8">
        <v>45168.0</v>
      </c>
      <c r="G1021" s="6">
        <v>51.0</v>
      </c>
      <c r="H1021" s="9">
        <v>53.0</v>
      </c>
      <c r="I1021" s="10">
        <v>15.0</v>
      </c>
      <c r="J1021" s="11">
        <v>0.0</v>
      </c>
      <c r="K1021" s="9">
        <v>487.38</v>
      </c>
      <c r="L1021" s="7" t="s">
        <v>13</v>
      </c>
    </row>
    <row r="1022" ht="15.75" customHeight="1">
      <c r="A1022" s="6">
        <v>10634.0</v>
      </c>
      <c r="B1022" s="7" t="s">
        <v>83</v>
      </c>
      <c r="C1022" s="8">
        <v>45153.0</v>
      </c>
      <c r="D1022" s="8">
        <v>45181.0</v>
      </c>
      <c r="E1022" s="8">
        <v>45159.0</v>
      </c>
      <c r="F1022" s="8">
        <v>45168.0</v>
      </c>
      <c r="G1022" s="6">
        <v>75.0</v>
      </c>
      <c r="H1022" s="9">
        <v>7.75</v>
      </c>
      <c r="I1022" s="10">
        <v>2.0</v>
      </c>
      <c r="J1022" s="11">
        <v>0.0</v>
      </c>
      <c r="K1022" s="9">
        <v>487.38</v>
      </c>
      <c r="L1022" s="7" t="s">
        <v>13</v>
      </c>
    </row>
    <row r="1023" ht="15.75" customHeight="1">
      <c r="A1023" s="6">
        <v>10635.0</v>
      </c>
      <c r="B1023" s="7" t="s">
        <v>37</v>
      </c>
      <c r="C1023" s="8">
        <v>45156.0</v>
      </c>
      <c r="D1023" s="8">
        <v>45184.0</v>
      </c>
      <c r="E1023" s="8">
        <v>45159.0</v>
      </c>
      <c r="F1023" s="8">
        <v>45165.0</v>
      </c>
      <c r="G1023" s="6">
        <v>4.0</v>
      </c>
      <c r="H1023" s="9">
        <v>22.0</v>
      </c>
      <c r="I1023" s="10">
        <v>10.0</v>
      </c>
      <c r="J1023" s="11">
        <v>0.1</v>
      </c>
      <c r="K1023" s="9">
        <v>47.46</v>
      </c>
      <c r="L1023" s="7" t="s">
        <v>13</v>
      </c>
    </row>
    <row r="1024" ht="15.75" customHeight="1">
      <c r="A1024" s="6">
        <v>10635.0</v>
      </c>
      <c r="B1024" s="7" t="s">
        <v>37</v>
      </c>
      <c r="C1024" s="8">
        <v>45156.0</v>
      </c>
      <c r="D1024" s="8">
        <v>45184.0</v>
      </c>
      <c r="E1024" s="8">
        <v>45159.0</v>
      </c>
      <c r="F1024" s="8">
        <v>45165.0</v>
      </c>
      <c r="G1024" s="6">
        <v>5.0</v>
      </c>
      <c r="H1024" s="9">
        <v>21.35</v>
      </c>
      <c r="I1024" s="10">
        <v>15.0</v>
      </c>
      <c r="J1024" s="11">
        <v>0.1</v>
      </c>
      <c r="K1024" s="9">
        <v>47.46</v>
      </c>
      <c r="L1024" s="7" t="s">
        <v>13</v>
      </c>
    </row>
    <row r="1025" ht="15.75" customHeight="1">
      <c r="A1025" s="6">
        <v>10635.0</v>
      </c>
      <c r="B1025" s="7" t="s">
        <v>37</v>
      </c>
      <c r="C1025" s="8">
        <v>45156.0</v>
      </c>
      <c r="D1025" s="8">
        <v>45184.0</v>
      </c>
      <c r="E1025" s="8">
        <v>45159.0</v>
      </c>
      <c r="F1025" s="8">
        <v>45165.0</v>
      </c>
      <c r="G1025" s="6">
        <v>22.0</v>
      </c>
      <c r="H1025" s="9">
        <v>21.0</v>
      </c>
      <c r="I1025" s="10">
        <v>40.0</v>
      </c>
      <c r="J1025" s="11">
        <v>0.0</v>
      </c>
      <c r="K1025" s="9">
        <v>47.46</v>
      </c>
      <c r="L1025" s="7" t="s">
        <v>13</v>
      </c>
    </row>
    <row r="1026" ht="15.75" customHeight="1">
      <c r="A1026" s="6">
        <v>10636.0</v>
      </c>
      <c r="B1026" s="7" t="s">
        <v>31</v>
      </c>
      <c r="C1026" s="8">
        <v>45157.0</v>
      </c>
      <c r="D1026" s="8">
        <v>45185.0</v>
      </c>
      <c r="E1026" s="8">
        <v>45164.0</v>
      </c>
      <c r="F1026" s="8">
        <v>45174.0</v>
      </c>
      <c r="G1026" s="6">
        <v>4.0</v>
      </c>
      <c r="H1026" s="9">
        <v>22.0</v>
      </c>
      <c r="I1026" s="10">
        <v>25.0</v>
      </c>
      <c r="J1026" s="11">
        <v>0.0</v>
      </c>
      <c r="K1026" s="9">
        <v>1.15</v>
      </c>
      <c r="L1026" s="7" t="s">
        <v>15</v>
      </c>
    </row>
    <row r="1027" ht="15.75" customHeight="1">
      <c r="A1027" s="6">
        <v>10636.0</v>
      </c>
      <c r="B1027" s="7" t="s">
        <v>31</v>
      </c>
      <c r="C1027" s="8">
        <v>45157.0</v>
      </c>
      <c r="D1027" s="8">
        <v>45185.0</v>
      </c>
      <c r="E1027" s="8">
        <v>45164.0</v>
      </c>
      <c r="F1027" s="8">
        <v>45174.0</v>
      </c>
      <c r="G1027" s="6">
        <v>58.0</v>
      </c>
      <c r="H1027" s="9">
        <v>13.25</v>
      </c>
      <c r="I1027" s="10">
        <v>6.0</v>
      </c>
      <c r="J1027" s="11">
        <v>0.0</v>
      </c>
      <c r="K1027" s="9">
        <v>1.15</v>
      </c>
      <c r="L1027" s="7" t="s">
        <v>15</v>
      </c>
    </row>
    <row r="1028" ht="15.75" customHeight="1">
      <c r="A1028" s="6">
        <v>10637.0</v>
      </c>
      <c r="B1028" s="7" t="s">
        <v>77</v>
      </c>
      <c r="C1028" s="8">
        <v>45157.0</v>
      </c>
      <c r="D1028" s="8">
        <v>45185.0</v>
      </c>
      <c r="E1028" s="8">
        <v>45164.0</v>
      </c>
      <c r="F1028" s="8">
        <v>45178.0</v>
      </c>
      <c r="G1028" s="6">
        <v>11.0</v>
      </c>
      <c r="H1028" s="9">
        <v>21.0</v>
      </c>
      <c r="I1028" s="10">
        <v>10.0</v>
      </c>
      <c r="J1028" s="11">
        <v>0.0</v>
      </c>
      <c r="K1028" s="9">
        <v>201.29</v>
      </c>
      <c r="L1028" s="7" t="s">
        <v>15</v>
      </c>
    </row>
    <row r="1029" ht="15.75" customHeight="1">
      <c r="A1029" s="6">
        <v>10637.0</v>
      </c>
      <c r="B1029" s="7" t="s">
        <v>77</v>
      </c>
      <c r="C1029" s="8">
        <v>45157.0</v>
      </c>
      <c r="D1029" s="8">
        <v>45185.0</v>
      </c>
      <c r="E1029" s="8">
        <v>45164.0</v>
      </c>
      <c r="F1029" s="8">
        <v>45178.0</v>
      </c>
      <c r="G1029" s="6">
        <v>50.0</v>
      </c>
      <c r="H1029" s="9">
        <v>16.25</v>
      </c>
      <c r="I1029" s="10">
        <v>25.0</v>
      </c>
      <c r="J1029" s="11">
        <v>0.05</v>
      </c>
      <c r="K1029" s="9">
        <v>201.29</v>
      </c>
      <c r="L1029" s="7" t="s">
        <v>15</v>
      </c>
    </row>
    <row r="1030" ht="15.75" customHeight="1">
      <c r="A1030" s="6">
        <v>10637.0</v>
      </c>
      <c r="B1030" s="7" t="s">
        <v>77</v>
      </c>
      <c r="C1030" s="8">
        <v>45157.0</v>
      </c>
      <c r="D1030" s="8">
        <v>45185.0</v>
      </c>
      <c r="E1030" s="8">
        <v>45164.0</v>
      </c>
      <c r="F1030" s="8">
        <v>45178.0</v>
      </c>
      <c r="G1030" s="6">
        <v>56.0</v>
      </c>
      <c r="H1030" s="9">
        <v>38.0</v>
      </c>
      <c r="I1030" s="10">
        <v>60.0</v>
      </c>
      <c r="J1030" s="11">
        <v>0.05</v>
      </c>
      <c r="K1030" s="9">
        <v>201.29</v>
      </c>
      <c r="L1030" s="7" t="s">
        <v>15</v>
      </c>
    </row>
    <row r="1031" ht="15.75" customHeight="1">
      <c r="A1031" s="6">
        <v>10638.0</v>
      </c>
      <c r="B1031" s="7" t="s">
        <v>82</v>
      </c>
      <c r="C1031" s="8">
        <v>45158.0</v>
      </c>
      <c r="D1031" s="8">
        <v>45186.0</v>
      </c>
      <c r="E1031" s="8">
        <v>45170.0</v>
      </c>
      <c r="F1031" s="8">
        <v>45179.0</v>
      </c>
      <c r="G1031" s="6">
        <v>45.0</v>
      </c>
      <c r="H1031" s="9">
        <v>9.5</v>
      </c>
      <c r="I1031" s="10">
        <v>20.0</v>
      </c>
      <c r="J1031" s="11">
        <v>0.0</v>
      </c>
      <c r="K1031" s="9">
        <v>158.44</v>
      </c>
      <c r="L1031" s="7" t="s">
        <v>15</v>
      </c>
    </row>
    <row r="1032" ht="15.75" customHeight="1">
      <c r="A1032" s="6">
        <v>10638.0</v>
      </c>
      <c r="B1032" s="7" t="s">
        <v>82</v>
      </c>
      <c r="C1032" s="8">
        <v>45158.0</v>
      </c>
      <c r="D1032" s="8">
        <v>45186.0</v>
      </c>
      <c r="E1032" s="8">
        <v>45170.0</v>
      </c>
      <c r="F1032" s="8">
        <v>45179.0</v>
      </c>
      <c r="G1032" s="6">
        <v>65.0</v>
      </c>
      <c r="H1032" s="9">
        <v>21.05</v>
      </c>
      <c r="I1032" s="10">
        <v>21.0</v>
      </c>
      <c r="J1032" s="11">
        <v>0.0</v>
      </c>
      <c r="K1032" s="9">
        <v>158.44</v>
      </c>
      <c r="L1032" s="7" t="s">
        <v>15</v>
      </c>
    </row>
    <row r="1033" ht="15.75" customHeight="1">
      <c r="A1033" s="6">
        <v>10638.0</v>
      </c>
      <c r="B1033" s="7" t="s">
        <v>82</v>
      </c>
      <c r="C1033" s="8">
        <v>45158.0</v>
      </c>
      <c r="D1033" s="8">
        <v>45186.0</v>
      </c>
      <c r="E1033" s="8">
        <v>45170.0</v>
      </c>
      <c r="F1033" s="8">
        <v>45179.0</v>
      </c>
      <c r="G1033" s="6">
        <v>72.0</v>
      </c>
      <c r="H1033" s="9">
        <v>34.8</v>
      </c>
      <c r="I1033" s="10">
        <v>60.0</v>
      </c>
      <c r="J1033" s="11">
        <v>0.0</v>
      </c>
      <c r="K1033" s="9">
        <v>158.44</v>
      </c>
      <c r="L1033" s="7" t="s">
        <v>15</v>
      </c>
    </row>
    <row r="1034" ht="15.75" customHeight="1">
      <c r="A1034" s="6">
        <v>10639.0</v>
      </c>
      <c r="B1034" s="7" t="s">
        <v>80</v>
      </c>
      <c r="C1034" s="8">
        <v>45158.0</v>
      </c>
      <c r="D1034" s="8">
        <v>45186.0</v>
      </c>
      <c r="E1034" s="8">
        <v>45165.0</v>
      </c>
      <c r="F1034" s="8">
        <v>45176.0</v>
      </c>
      <c r="G1034" s="6">
        <v>18.0</v>
      </c>
      <c r="H1034" s="9">
        <v>62.5</v>
      </c>
      <c r="I1034" s="10">
        <v>8.0</v>
      </c>
      <c r="J1034" s="11">
        <v>0.0</v>
      </c>
      <c r="K1034" s="9">
        <v>38.64</v>
      </c>
      <c r="L1034" s="7" t="s">
        <v>13</v>
      </c>
    </row>
    <row r="1035" ht="15.75" customHeight="1">
      <c r="A1035" s="6">
        <v>10640.0</v>
      </c>
      <c r="B1035" s="7" t="s">
        <v>50</v>
      </c>
      <c r="C1035" s="8">
        <v>45159.0</v>
      </c>
      <c r="D1035" s="8">
        <v>45187.0</v>
      </c>
      <c r="E1035" s="8">
        <v>45166.0</v>
      </c>
      <c r="F1035" s="8">
        <v>45171.0</v>
      </c>
      <c r="G1035" s="6">
        <v>69.0</v>
      </c>
      <c r="H1035" s="9">
        <v>36.0</v>
      </c>
      <c r="I1035" s="10">
        <v>20.0</v>
      </c>
      <c r="J1035" s="11">
        <v>0.25</v>
      </c>
      <c r="K1035" s="9">
        <v>23.55</v>
      </c>
      <c r="L1035" s="7" t="s">
        <v>15</v>
      </c>
    </row>
    <row r="1036" ht="15.75" customHeight="1">
      <c r="A1036" s="6">
        <v>10640.0</v>
      </c>
      <c r="B1036" s="7" t="s">
        <v>50</v>
      </c>
      <c r="C1036" s="8">
        <v>45159.0</v>
      </c>
      <c r="D1036" s="8">
        <v>45187.0</v>
      </c>
      <c r="E1036" s="8">
        <v>45166.0</v>
      </c>
      <c r="F1036" s="8">
        <v>45171.0</v>
      </c>
      <c r="G1036" s="6">
        <v>70.0</v>
      </c>
      <c r="H1036" s="9">
        <v>15.0</v>
      </c>
      <c r="I1036" s="10">
        <v>15.0</v>
      </c>
      <c r="J1036" s="11">
        <v>0.25</v>
      </c>
      <c r="K1036" s="9">
        <v>23.55</v>
      </c>
      <c r="L1036" s="7" t="s">
        <v>15</v>
      </c>
    </row>
    <row r="1037" ht="15.75" customHeight="1">
      <c r="A1037" s="6">
        <v>10641.0</v>
      </c>
      <c r="B1037" s="7" t="s">
        <v>23</v>
      </c>
      <c r="C1037" s="8">
        <v>45160.0</v>
      </c>
      <c r="D1037" s="8">
        <v>45188.0</v>
      </c>
      <c r="E1037" s="8">
        <v>45164.0</v>
      </c>
      <c r="F1037" s="8">
        <v>45176.0</v>
      </c>
      <c r="G1037" s="6">
        <v>2.0</v>
      </c>
      <c r="H1037" s="9">
        <v>19.0</v>
      </c>
      <c r="I1037" s="10">
        <v>50.0</v>
      </c>
      <c r="J1037" s="11">
        <v>0.0</v>
      </c>
      <c r="K1037" s="9">
        <v>179.61</v>
      </c>
      <c r="L1037" s="7" t="s">
        <v>17</v>
      </c>
    </row>
    <row r="1038" ht="15.75" customHeight="1">
      <c r="A1038" s="6">
        <v>10641.0</v>
      </c>
      <c r="B1038" s="7" t="s">
        <v>23</v>
      </c>
      <c r="C1038" s="8">
        <v>45160.0</v>
      </c>
      <c r="D1038" s="8">
        <v>45188.0</v>
      </c>
      <c r="E1038" s="8">
        <v>45164.0</v>
      </c>
      <c r="F1038" s="8">
        <v>45176.0</v>
      </c>
      <c r="G1038" s="6">
        <v>40.0</v>
      </c>
      <c r="H1038" s="9">
        <v>18.4</v>
      </c>
      <c r="I1038" s="10">
        <v>60.0</v>
      </c>
      <c r="J1038" s="11">
        <v>0.0</v>
      </c>
      <c r="K1038" s="9">
        <v>179.61</v>
      </c>
      <c r="L1038" s="7" t="s">
        <v>17</v>
      </c>
    </row>
    <row r="1039" ht="15.75" customHeight="1">
      <c r="A1039" s="6">
        <v>10642.0</v>
      </c>
      <c r="B1039" s="7" t="s">
        <v>66</v>
      </c>
      <c r="C1039" s="8">
        <v>45160.0</v>
      </c>
      <c r="D1039" s="8">
        <v>45188.0</v>
      </c>
      <c r="E1039" s="8">
        <v>45174.0</v>
      </c>
      <c r="F1039" s="8">
        <v>45188.0</v>
      </c>
      <c r="G1039" s="6">
        <v>21.0</v>
      </c>
      <c r="H1039" s="9">
        <v>10.0</v>
      </c>
      <c r="I1039" s="10">
        <v>30.0</v>
      </c>
      <c r="J1039" s="11">
        <v>0.2</v>
      </c>
      <c r="K1039" s="9">
        <v>41.89</v>
      </c>
      <c r="L1039" s="7" t="s">
        <v>13</v>
      </c>
    </row>
    <row r="1040" ht="15.75" customHeight="1">
      <c r="A1040" s="6">
        <v>10642.0</v>
      </c>
      <c r="B1040" s="7" t="s">
        <v>66</v>
      </c>
      <c r="C1040" s="8">
        <v>45160.0</v>
      </c>
      <c r="D1040" s="8">
        <v>45188.0</v>
      </c>
      <c r="E1040" s="8">
        <v>45174.0</v>
      </c>
      <c r="F1040" s="8">
        <v>45188.0</v>
      </c>
      <c r="G1040" s="6">
        <v>61.0</v>
      </c>
      <c r="H1040" s="9">
        <v>28.5</v>
      </c>
      <c r="I1040" s="10">
        <v>20.0</v>
      </c>
      <c r="J1040" s="11">
        <v>0.2</v>
      </c>
      <c r="K1040" s="9">
        <v>41.89</v>
      </c>
      <c r="L1040" s="7" t="s">
        <v>13</v>
      </c>
    </row>
    <row r="1041" ht="15.75" customHeight="1">
      <c r="A1041" s="6">
        <v>10643.0</v>
      </c>
      <c r="B1041" s="7" t="s">
        <v>100</v>
      </c>
      <c r="C1041" s="8">
        <v>45163.0</v>
      </c>
      <c r="D1041" s="8">
        <v>45191.0</v>
      </c>
      <c r="E1041" s="8">
        <v>45171.0</v>
      </c>
      <c r="F1041" s="8">
        <v>45172.0</v>
      </c>
      <c r="G1041" s="6">
        <v>28.0</v>
      </c>
      <c r="H1041" s="9">
        <v>45.6</v>
      </c>
      <c r="I1041" s="10">
        <v>15.0</v>
      </c>
      <c r="J1041" s="11">
        <v>0.25</v>
      </c>
      <c r="K1041" s="9">
        <v>29.46</v>
      </c>
      <c r="L1041" s="7" t="s">
        <v>15</v>
      </c>
    </row>
    <row r="1042" ht="15.75" customHeight="1">
      <c r="A1042" s="6">
        <v>10643.0</v>
      </c>
      <c r="B1042" s="7" t="s">
        <v>100</v>
      </c>
      <c r="C1042" s="8">
        <v>45163.0</v>
      </c>
      <c r="D1042" s="8">
        <v>45191.0</v>
      </c>
      <c r="E1042" s="8">
        <v>45171.0</v>
      </c>
      <c r="F1042" s="8">
        <v>45172.0</v>
      </c>
      <c r="G1042" s="6">
        <v>39.0</v>
      </c>
      <c r="H1042" s="9">
        <v>18.0</v>
      </c>
      <c r="I1042" s="10">
        <v>21.0</v>
      </c>
      <c r="J1042" s="11">
        <v>0.25</v>
      </c>
      <c r="K1042" s="9">
        <v>29.46</v>
      </c>
      <c r="L1042" s="7" t="s">
        <v>15</v>
      </c>
    </row>
    <row r="1043" ht="15.75" customHeight="1">
      <c r="A1043" s="6">
        <v>10643.0</v>
      </c>
      <c r="B1043" s="7" t="s">
        <v>100</v>
      </c>
      <c r="C1043" s="8">
        <v>45163.0</v>
      </c>
      <c r="D1043" s="8">
        <v>45191.0</v>
      </c>
      <c r="E1043" s="8">
        <v>45171.0</v>
      </c>
      <c r="F1043" s="8">
        <v>45172.0</v>
      </c>
      <c r="G1043" s="6">
        <v>46.0</v>
      </c>
      <c r="H1043" s="9">
        <v>12.0</v>
      </c>
      <c r="I1043" s="10">
        <v>2.0</v>
      </c>
      <c r="J1043" s="11">
        <v>0.25</v>
      </c>
      <c r="K1043" s="9">
        <v>29.46</v>
      </c>
      <c r="L1043" s="7" t="s">
        <v>15</v>
      </c>
    </row>
    <row r="1044" ht="15.75" customHeight="1">
      <c r="A1044" s="6">
        <v>10644.0</v>
      </c>
      <c r="B1044" s="7" t="s">
        <v>22</v>
      </c>
      <c r="C1044" s="8">
        <v>45163.0</v>
      </c>
      <c r="D1044" s="8">
        <v>45191.0</v>
      </c>
      <c r="E1044" s="8">
        <v>45170.0</v>
      </c>
      <c r="F1044" s="8">
        <v>45189.0</v>
      </c>
      <c r="G1044" s="6">
        <v>18.0</v>
      </c>
      <c r="H1044" s="9">
        <v>62.5</v>
      </c>
      <c r="I1044" s="10">
        <v>4.0</v>
      </c>
      <c r="J1044" s="11">
        <v>0.1</v>
      </c>
      <c r="K1044" s="9">
        <v>0.14</v>
      </c>
      <c r="L1044" s="7" t="s">
        <v>17</v>
      </c>
    </row>
    <row r="1045" ht="15.75" customHeight="1">
      <c r="A1045" s="6">
        <v>10644.0</v>
      </c>
      <c r="B1045" s="7" t="s">
        <v>22</v>
      </c>
      <c r="C1045" s="8">
        <v>45163.0</v>
      </c>
      <c r="D1045" s="8">
        <v>45191.0</v>
      </c>
      <c r="E1045" s="8">
        <v>45170.0</v>
      </c>
      <c r="F1045" s="8">
        <v>45189.0</v>
      </c>
      <c r="G1045" s="6">
        <v>43.0</v>
      </c>
      <c r="H1045" s="9">
        <v>46.0</v>
      </c>
      <c r="I1045" s="10">
        <v>20.0</v>
      </c>
      <c r="J1045" s="11">
        <v>0.0</v>
      </c>
      <c r="K1045" s="9">
        <v>0.14</v>
      </c>
      <c r="L1045" s="7" t="s">
        <v>17</v>
      </c>
    </row>
    <row r="1046" ht="15.75" customHeight="1">
      <c r="A1046" s="6">
        <v>10644.0</v>
      </c>
      <c r="B1046" s="7" t="s">
        <v>22</v>
      </c>
      <c r="C1046" s="8">
        <v>45163.0</v>
      </c>
      <c r="D1046" s="8">
        <v>45191.0</v>
      </c>
      <c r="E1046" s="8">
        <v>45170.0</v>
      </c>
      <c r="F1046" s="8">
        <v>45189.0</v>
      </c>
      <c r="G1046" s="6">
        <v>46.0</v>
      </c>
      <c r="H1046" s="9">
        <v>12.0</v>
      </c>
      <c r="I1046" s="10">
        <v>21.0</v>
      </c>
      <c r="J1046" s="11">
        <v>0.1</v>
      </c>
      <c r="K1046" s="9">
        <v>0.14</v>
      </c>
      <c r="L1046" s="7" t="s">
        <v>17</v>
      </c>
    </row>
    <row r="1047" ht="15.75" customHeight="1">
      <c r="A1047" s="6">
        <v>10645.0</v>
      </c>
      <c r="B1047" s="7" t="s">
        <v>16</v>
      </c>
      <c r="C1047" s="8">
        <v>45164.0</v>
      </c>
      <c r="D1047" s="8">
        <v>45192.0</v>
      </c>
      <c r="E1047" s="8">
        <v>45171.0</v>
      </c>
      <c r="F1047" s="8">
        <v>45184.0</v>
      </c>
      <c r="G1047" s="6">
        <v>18.0</v>
      </c>
      <c r="H1047" s="9">
        <v>62.5</v>
      </c>
      <c r="I1047" s="10">
        <v>20.0</v>
      </c>
      <c r="J1047" s="11">
        <v>0.0</v>
      </c>
      <c r="K1047" s="9">
        <v>12.41</v>
      </c>
      <c r="L1047" s="7" t="s">
        <v>15</v>
      </c>
    </row>
    <row r="1048" ht="15.75" customHeight="1">
      <c r="A1048" s="6">
        <v>10645.0</v>
      </c>
      <c r="B1048" s="7" t="s">
        <v>16</v>
      </c>
      <c r="C1048" s="8">
        <v>45164.0</v>
      </c>
      <c r="D1048" s="8">
        <v>45192.0</v>
      </c>
      <c r="E1048" s="8">
        <v>45171.0</v>
      </c>
      <c r="F1048" s="8">
        <v>45184.0</v>
      </c>
      <c r="G1048" s="6">
        <v>36.0</v>
      </c>
      <c r="H1048" s="9">
        <v>19.0</v>
      </c>
      <c r="I1048" s="10">
        <v>15.0</v>
      </c>
      <c r="J1048" s="11">
        <v>0.0</v>
      </c>
      <c r="K1048" s="9">
        <v>12.41</v>
      </c>
      <c r="L1048" s="7" t="s">
        <v>15</v>
      </c>
    </row>
    <row r="1049" ht="15.75" customHeight="1">
      <c r="A1049" s="6">
        <v>10646.0</v>
      </c>
      <c r="B1049" s="7" t="s">
        <v>49</v>
      </c>
      <c r="C1049" s="8">
        <v>45165.0</v>
      </c>
      <c r="D1049" s="8">
        <v>45207.0</v>
      </c>
      <c r="E1049" s="8">
        <v>45172.0</v>
      </c>
      <c r="F1049" s="8">
        <v>45185.0</v>
      </c>
      <c r="G1049" s="6">
        <v>1.0</v>
      </c>
      <c r="H1049" s="9">
        <v>18.0</v>
      </c>
      <c r="I1049" s="10">
        <v>15.0</v>
      </c>
      <c r="J1049" s="11">
        <v>0.25</v>
      </c>
      <c r="K1049" s="9">
        <v>142.33</v>
      </c>
      <c r="L1049" s="7" t="s">
        <v>13</v>
      </c>
    </row>
    <row r="1050" ht="15.75" customHeight="1">
      <c r="A1050" s="6">
        <v>10646.0</v>
      </c>
      <c r="B1050" s="7" t="s">
        <v>49</v>
      </c>
      <c r="C1050" s="8">
        <v>45165.0</v>
      </c>
      <c r="D1050" s="8">
        <v>45207.0</v>
      </c>
      <c r="E1050" s="8">
        <v>45172.0</v>
      </c>
      <c r="F1050" s="8">
        <v>45185.0</v>
      </c>
      <c r="G1050" s="6">
        <v>10.0</v>
      </c>
      <c r="H1050" s="9">
        <v>31.0</v>
      </c>
      <c r="I1050" s="10">
        <v>18.0</v>
      </c>
      <c r="J1050" s="11">
        <v>0.25</v>
      </c>
      <c r="K1050" s="9">
        <v>142.33</v>
      </c>
      <c r="L1050" s="7" t="s">
        <v>13</v>
      </c>
    </row>
    <row r="1051" ht="15.75" customHeight="1">
      <c r="A1051" s="6">
        <v>10646.0</v>
      </c>
      <c r="B1051" s="7" t="s">
        <v>49</v>
      </c>
      <c r="C1051" s="8">
        <v>45165.0</v>
      </c>
      <c r="D1051" s="8">
        <v>45207.0</v>
      </c>
      <c r="E1051" s="8">
        <v>45172.0</v>
      </c>
      <c r="F1051" s="8">
        <v>45185.0</v>
      </c>
      <c r="G1051" s="6">
        <v>71.0</v>
      </c>
      <c r="H1051" s="9">
        <v>21.5</v>
      </c>
      <c r="I1051" s="10">
        <v>30.0</v>
      </c>
      <c r="J1051" s="11">
        <v>0.25</v>
      </c>
      <c r="K1051" s="9">
        <v>142.33</v>
      </c>
      <c r="L1051" s="7" t="s">
        <v>13</v>
      </c>
    </row>
    <row r="1052" ht="15.75" customHeight="1">
      <c r="A1052" s="6">
        <v>10646.0</v>
      </c>
      <c r="B1052" s="7" t="s">
        <v>49</v>
      </c>
      <c r="C1052" s="8">
        <v>45165.0</v>
      </c>
      <c r="D1052" s="8">
        <v>45207.0</v>
      </c>
      <c r="E1052" s="8">
        <v>45172.0</v>
      </c>
      <c r="F1052" s="8">
        <v>45185.0</v>
      </c>
      <c r="G1052" s="6">
        <v>77.0</v>
      </c>
      <c r="H1052" s="9">
        <v>13.0</v>
      </c>
      <c r="I1052" s="10">
        <v>35.0</v>
      </c>
      <c r="J1052" s="11">
        <v>0.25</v>
      </c>
      <c r="K1052" s="9">
        <v>142.33</v>
      </c>
      <c r="L1052" s="7" t="s">
        <v>13</v>
      </c>
    </row>
    <row r="1053" ht="15.75" customHeight="1">
      <c r="A1053" s="6">
        <v>10647.0</v>
      </c>
      <c r="B1053" s="7" t="s">
        <v>27</v>
      </c>
      <c r="C1053" s="8">
        <v>45165.0</v>
      </c>
      <c r="D1053" s="8">
        <v>45179.0</v>
      </c>
      <c r="E1053" s="8">
        <v>45172.0</v>
      </c>
      <c r="F1053" s="8">
        <v>45190.0</v>
      </c>
      <c r="G1053" s="6">
        <v>19.0</v>
      </c>
      <c r="H1053" s="9">
        <v>9.2</v>
      </c>
      <c r="I1053" s="10">
        <v>30.0</v>
      </c>
      <c r="J1053" s="11">
        <v>0.0</v>
      </c>
      <c r="K1053" s="9">
        <v>45.54</v>
      </c>
      <c r="L1053" s="7" t="s">
        <v>17</v>
      </c>
    </row>
    <row r="1054" ht="15.75" customHeight="1">
      <c r="A1054" s="6">
        <v>10647.0</v>
      </c>
      <c r="B1054" s="7" t="s">
        <v>27</v>
      </c>
      <c r="C1054" s="8">
        <v>45165.0</v>
      </c>
      <c r="D1054" s="8">
        <v>45179.0</v>
      </c>
      <c r="E1054" s="8">
        <v>45172.0</v>
      </c>
      <c r="F1054" s="8">
        <v>45190.0</v>
      </c>
      <c r="G1054" s="6">
        <v>39.0</v>
      </c>
      <c r="H1054" s="9">
        <v>18.0</v>
      </c>
      <c r="I1054" s="10">
        <v>20.0</v>
      </c>
      <c r="J1054" s="11">
        <v>0.0</v>
      </c>
      <c r="K1054" s="9">
        <v>45.54</v>
      </c>
      <c r="L1054" s="7" t="s">
        <v>17</v>
      </c>
    </row>
    <row r="1055" ht="15.75" customHeight="1">
      <c r="A1055" s="6">
        <v>10648.0</v>
      </c>
      <c r="B1055" s="7" t="s">
        <v>44</v>
      </c>
      <c r="C1055" s="8">
        <v>45166.0</v>
      </c>
      <c r="D1055" s="8">
        <v>45208.0</v>
      </c>
      <c r="E1055" s="8">
        <v>45178.0</v>
      </c>
      <c r="F1055" s="8">
        <v>45195.0</v>
      </c>
      <c r="G1055" s="6">
        <v>22.0</v>
      </c>
      <c r="H1055" s="9">
        <v>21.0</v>
      </c>
      <c r="I1055" s="10">
        <v>15.0</v>
      </c>
      <c r="J1055" s="11">
        <v>0.0</v>
      </c>
      <c r="K1055" s="9">
        <v>14.25</v>
      </c>
      <c r="L1055" s="7" t="s">
        <v>17</v>
      </c>
    </row>
    <row r="1056" ht="15.75" customHeight="1">
      <c r="A1056" s="6">
        <v>10648.0</v>
      </c>
      <c r="B1056" s="7" t="s">
        <v>44</v>
      </c>
      <c r="C1056" s="8">
        <v>45166.0</v>
      </c>
      <c r="D1056" s="8">
        <v>45208.0</v>
      </c>
      <c r="E1056" s="8">
        <v>45178.0</v>
      </c>
      <c r="F1056" s="8">
        <v>45195.0</v>
      </c>
      <c r="G1056" s="6">
        <v>24.0</v>
      </c>
      <c r="H1056" s="9">
        <v>4.5</v>
      </c>
      <c r="I1056" s="10">
        <v>15.0</v>
      </c>
      <c r="J1056" s="11">
        <v>0.15</v>
      </c>
      <c r="K1056" s="9">
        <v>14.25</v>
      </c>
      <c r="L1056" s="7" t="s">
        <v>17</v>
      </c>
    </row>
    <row r="1057" ht="15.75" customHeight="1">
      <c r="A1057" s="6">
        <v>10649.0</v>
      </c>
      <c r="B1057" s="7" t="s">
        <v>95</v>
      </c>
      <c r="C1057" s="8">
        <v>45166.0</v>
      </c>
      <c r="D1057" s="8">
        <v>45194.0</v>
      </c>
      <c r="E1057" s="8">
        <v>45167.0</v>
      </c>
      <c r="F1057" s="8">
        <v>45179.0</v>
      </c>
      <c r="G1057" s="6">
        <v>28.0</v>
      </c>
      <c r="H1057" s="9">
        <v>45.6</v>
      </c>
      <c r="I1057" s="10">
        <v>20.0</v>
      </c>
      <c r="J1057" s="11">
        <v>0.0</v>
      </c>
      <c r="K1057" s="9">
        <v>6.2</v>
      </c>
      <c r="L1057" s="7" t="s">
        <v>13</v>
      </c>
    </row>
    <row r="1058" ht="15.75" customHeight="1">
      <c r="A1058" s="6">
        <v>10649.0</v>
      </c>
      <c r="B1058" s="7" t="s">
        <v>95</v>
      </c>
      <c r="C1058" s="8">
        <v>45166.0</v>
      </c>
      <c r="D1058" s="8">
        <v>45194.0</v>
      </c>
      <c r="E1058" s="8">
        <v>45167.0</v>
      </c>
      <c r="F1058" s="8">
        <v>45179.0</v>
      </c>
      <c r="G1058" s="6">
        <v>72.0</v>
      </c>
      <c r="H1058" s="9">
        <v>34.8</v>
      </c>
      <c r="I1058" s="10">
        <v>15.0</v>
      </c>
      <c r="J1058" s="11">
        <v>0.0</v>
      </c>
      <c r="K1058" s="9">
        <v>6.2</v>
      </c>
      <c r="L1058" s="7" t="s">
        <v>13</v>
      </c>
    </row>
    <row r="1059" ht="15.75" customHeight="1">
      <c r="A1059" s="6">
        <v>10650.0</v>
      </c>
      <c r="B1059" s="7" t="s">
        <v>67</v>
      </c>
      <c r="C1059" s="8">
        <v>45167.0</v>
      </c>
      <c r="D1059" s="8">
        <v>45195.0</v>
      </c>
      <c r="E1059" s="8">
        <v>45172.0</v>
      </c>
      <c r="F1059" s="8">
        <v>45189.0</v>
      </c>
      <c r="G1059" s="6">
        <v>30.0</v>
      </c>
      <c r="H1059" s="9">
        <v>25.89</v>
      </c>
      <c r="I1059" s="10">
        <v>30.0</v>
      </c>
      <c r="J1059" s="11">
        <v>0.0</v>
      </c>
      <c r="K1059" s="9">
        <v>176.81</v>
      </c>
      <c r="L1059" s="7" t="s">
        <v>13</v>
      </c>
    </row>
    <row r="1060" ht="15.75" customHeight="1">
      <c r="A1060" s="6">
        <v>10650.0</v>
      </c>
      <c r="B1060" s="7" t="s">
        <v>67</v>
      </c>
      <c r="C1060" s="8">
        <v>45167.0</v>
      </c>
      <c r="D1060" s="8">
        <v>45195.0</v>
      </c>
      <c r="E1060" s="8">
        <v>45172.0</v>
      </c>
      <c r="F1060" s="8">
        <v>45189.0</v>
      </c>
      <c r="G1060" s="6">
        <v>53.0</v>
      </c>
      <c r="H1060" s="9">
        <v>32.8</v>
      </c>
      <c r="I1060" s="10">
        <v>25.0</v>
      </c>
      <c r="J1060" s="11">
        <v>0.05</v>
      </c>
      <c r="K1060" s="9">
        <v>176.81</v>
      </c>
      <c r="L1060" s="7" t="s">
        <v>13</v>
      </c>
    </row>
    <row r="1061" ht="15.75" customHeight="1">
      <c r="A1061" s="6">
        <v>10650.0</v>
      </c>
      <c r="B1061" s="7" t="s">
        <v>67</v>
      </c>
      <c r="C1061" s="8">
        <v>45167.0</v>
      </c>
      <c r="D1061" s="8">
        <v>45195.0</v>
      </c>
      <c r="E1061" s="8">
        <v>45172.0</v>
      </c>
      <c r="F1061" s="8">
        <v>45189.0</v>
      </c>
      <c r="G1061" s="6">
        <v>54.0</v>
      </c>
      <c r="H1061" s="9">
        <v>7.45</v>
      </c>
      <c r="I1061" s="10">
        <v>30.0</v>
      </c>
      <c r="J1061" s="11">
        <v>0.0</v>
      </c>
      <c r="K1061" s="9">
        <v>176.81</v>
      </c>
      <c r="L1061" s="7" t="s">
        <v>13</v>
      </c>
    </row>
    <row r="1062" ht="15.75" customHeight="1">
      <c r="A1062" s="6">
        <v>10651.0</v>
      </c>
      <c r="B1062" s="7" t="s">
        <v>50</v>
      </c>
      <c r="C1062" s="8">
        <v>45170.0</v>
      </c>
      <c r="D1062" s="8">
        <v>45198.0</v>
      </c>
      <c r="E1062" s="8">
        <v>45180.0</v>
      </c>
      <c r="F1062" s="8">
        <v>45186.0</v>
      </c>
      <c r="G1062" s="6">
        <v>19.0</v>
      </c>
      <c r="H1062" s="9">
        <v>9.2</v>
      </c>
      <c r="I1062" s="10">
        <v>12.0</v>
      </c>
      <c r="J1062" s="11">
        <v>0.25</v>
      </c>
      <c r="K1062" s="9">
        <v>20.6</v>
      </c>
      <c r="L1062" s="7" t="s">
        <v>17</v>
      </c>
    </row>
    <row r="1063" ht="15.75" customHeight="1">
      <c r="A1063" s="6">
        <v>10651.0</v>
      </c>
      <c r="B1063" s="7" t="s">
        <v>50</v>
      </c>
      <c r="C1063" s="8">
        <v>45170.0</v>
      </c>
      <c r="D1063" s="8">
        <v>45198.0</v>
      </c>
      <c r="E1063" s="8">
        <v>45180.0</v>
      </c>
      <c r="F1063" s="8">
        <v>45186.0</v>
      </c>
      <c r="G1063" s="6">
        <v>22.0</v>
      </c>
      <c r="H1063" s="9">
        <v>21.0</v>
      </c>
      <c r="I1063" s="10">
        <v>20.0</v>
      </c>
      <c r="J1063" s="11">
        <v>0.25</v>
      </c>
      <c r="K1063" s="9">
        <v>20.6</v>
      </c>
      <c r="L1063" s="7" t="s">
        <v>17</v>
      </c>
    </row>
    <row r="1064" ht="15.75" customHeight="1">
      <c r="A1064" s="6">
        <v>10652.0</v>
      </c>
      <c r="B1064" s="7" t="s">
        <v>86</v>
      </c>
      <c r="C1064" s="8">
        <v>45170.0</v>
      </c>
      <c r="D1064" s="8">
        <v>45198.0</v>
      </c>
      <c r="E1064" s="8">
        <v>45177.0</v>
      </c>
      <c r="F1064" s="8">
        <v>45198.0</v>
      </c>
      <c r="G1064" s="6">
        <v>30.0</v>
      </c>
      <c r="H1064" s="9">
        <v>25.89</v>
      </c>
      <c r="I1064" s="10">
        <v>2.0</v>
      </c>
      <c r="J1064" s="11">
        <v>0.25</v>
      </c>
      <c r="K1064" s="9">
        <v>7.14</v>
      </c>
      <c r="L1064" s="7" t="s">
        <v>17</v>
      </c>
    </row>
    <row r="1065" ht="15.75" customHeight="1">
      <c r="A1065" s="6">
        <v>10652.0</v>
      </c>
      <c r="B1065" s="7" t="s">
        <v>86</v>
      </c>
      <c r="C1065" s="8">
        <v>45170.0</v>
      </c>
      <c r="D1065" s="8">
        <v>45198.0</v>
      </c>
      <c r="E1065" s="8">
        <v>45177.0</v>
      </c>
      <c r="F1065" s="8">
        <v>45198.0</v>
      </c>
      <c r="G1065" s="6">
        <v>42.0</v>
      </c>
      <c r="H1065" s="9">
        <v>14.0</v>
      </c>
      <c r="I1065" s="10">
        <v>20.0</v>
      </c>
      <c r="J1065" s="11">
        <v>0.0</v>
      </c>
      <c r="K1065" s="9">
        <v>7.14</v>
      </c>
      <c r="L1065" s="7" t="s">
        <v>17</v>
      </c>
    </row>
    <row r="1066" ht="15.75" customHeight="1">
      <c r="A1066" s="6">
        <v>10653.0</v>
      </c>
      <c r="B1066" s="7" t="s">
        <v>32</v>
      </c>
      <c r="C1066" s="8">
        <v>45171.0</v>
      </c>
      <c r="D1066" s="8">
        <v>45199.0</v>
      </c>
      <c r="E1066" s="8">
        <v>45188.0</v>
      </c>
      <c r="F1066" s="8">
        <v>45193.0</v>
      </c>
      <c r="G1066" s="6">
        <v>16.0</v>
      </c>
      <c r="H1066" s="9">
        <v>17.45</v>
      </c>
      <c r="I1066" s="10">
        <v>30.0</v>
      </c>
      <c r="J1066" s="11">
        <v>0.1</v>
      </c>
      <c r="K1066" s="9">
        <v>93.25</v>
      </c>
      <c r="L1066" s="7" t="s">
        <v>15</v>
      </c>
    </row>
    <row r="1067" ht="15.75" customHeight="1">
      <c r="A1067" s="6">
        <v>10653.0</v>
      </c>
      <c r="B1067" s="7" t="s">
        <v>32</v>
      </c>
      <c r="C1067" s="8">
        <v>45171.0</v>
      </c>
      <c r="D1067" s="8">
        <v>45199.0</v>
      </c>
      <c r="E1067" s="8">
        <v>45188.0</v>
      </c>
      <c r="F1067" s="8">
        <v>45193.0</v>
      </c>
      <c r="G1067" s="6">
        <v>60.0</v>
      </c>
      <c r="H1067" s="9">
        <v>34.0</v>
      </c>
      <c r="I1067" s="10">
        <v>20.0</v>
      </c>
      <c r="J1067" s="11">
        <v>0.1</v>
      </c>
      <c r="K1067" s="9">
        <v>93.25</v>
      </c>
      <c r="L1067" s="7" t="s">
        <v>15</v>
      </c>
    </row>
    <row r="1068" ht="15.75" customHeight="1">
      <c r="A1068" s="6">
        <v>10654.0</v>
      </c>
      <c r="B1068" s="7" t="s">
        <v>40</v>
      </c>
      <c r="C1068" s="8">
        <v>45171.0</v>
      </c>
      <c r="D1068" s="8">
        <v>45199.0</v>
      </c>
      <c r="E1068" s="8">
        <v>45180.0</v>
      </c>
      <c r="F1068" s="8">
        <v>45190.0</v>
      </c>
      <c r="G1068" s="6">
        <v>4.0</v>
      </c>
      <c r="H1068" s="9">
        <v>22.0</v>
      </c>
      <c r="I1068" s="10">
        <v>12.0</v>
      </c>
      <c r="J1068" s="11">
        <v>0.1</v>
      </c>
      <c r="K1068" s="9">
        <v>55.26</v>
      </c>
      <c r="L1068" s="7" t="s">
        <v>15</v>
      </c>
    </row>
    <row r="1069" ht="15.75" customHeight="1">
      <c r="A1069" s="6">
        <v>10654.0</v>
      </c>
      <c r="B1069" s="7" t="s">
        <v>40</v>
      </c>
      <c r="C1069" s="8">
        <v>45171.0</v>
      </c>
      <c r="D1069" s="8">
        <v>45199.0</v>
      </c>
      <c r="E1069" s="8">
        <v>45180.0</v>
      </c>
      <c r="F1069" s="8">
        <v>45190.0</v>
      </c>
      <c r="G1069" s="6">
        <v>39.0</v>
      </c>
      <c r="H1069" s="9">
        <v>18.0</v>
      </c>
      <c r="I1069" s="10">
        <v>20.0</v>
      </c>
      <c r="J1069" s="11">
        <v>0.1</v>
      </c>
      <c r="K1069" s="9">
        <v>55.26</v>
      </c>
      <c r="L1069" s="7" t="s">
        <v>15</v>
      </c>
    </row>
    <row r="1070" ht="15.75" customHeight="1">
      <c r="A1070" s="6">
        <v>10654.0</v>
      </c>
      <c r="B1070" s="7" t="s">
        <v>40</v>
      </c>
      <c r="C1070" s="8">
        <v>45171.0</v>
      </c>
      <c r="D1070" s="8">
        <v>45199.0</v>
      </c>
      <c r="E1070" s="8">
        <v>45180.0</v>
      </c>
      <c r="F1070" s="8">
        <v>45190.0</v>
      </c>
      <c r="G1070" s="6">
        <v>54.0</v>
      </c>
      <c r="H1070" s="9">
        <v>7.45</v>
      </c>
      <c r="I1070" s="10">
        <v>6.0</v>
      </c>
      <c r="J1070" s="11">
        <v>0.1</v>
      </c>
      <c r="K1070" s="9">
        <v>55.26</v>
      </c>
      <c r="L1070" s="7" t="s">
        <v>15</v>
      </c>
    </row>
    <row r="1071" ht="15.75" customHeight="1">
      <c r="A1071" s="6">
        <v>10655.0</v>
      </c>
      <c r="B1071" s="7" t="s">
        <v>45</v>
      </c>
      <c r="C1071" s="8">
        <v>45172.0</v>
      </c>
      <c r="D1071" s="8">
        <v>45200.0</v>
      </c>
      <c r="E1071" s="8">
        <v>45180.0</v>
      </c>
      <c r="F1071" s="8">
        <v>45188.0</v>
      </c>
      <c r="G1071" s="6">
        <v>41.0</v>
      </c>
      <c r="H1071" s="9">
        <v>9.65</v>
      </c>
      <c r="I1071" s="10">
        <v>20.0</v>
      </c>
      <c r="J1071" s="11">
        <v>0.2</v>
      </c>
      <c r="K1071" s="9">
        <v>4.41</v>
      </c>
      <c r="L1071" s="7" t="s">
        <v>17</v>
      </c>
    </row>
    <row r="1072" ht="15.75" customHeight="1">
      <c r="A1072" s="6">
        <v>10656.0</v>
      </c>
      <c r="B1072" s="7" t="s">
        <v>94</v>
      </c>
      <c r="C1072" s="8">
        <v>45173.0</v>
      </c>
      <c r="D1072" s="8">
        <v>45201.0</v>
      </c>
      <c r="E1072" s="8">
        <v>45179.0</v>
      </c>
      <c r="F1072" s="8">
        <v>45191.0</v>
      </c>
      <c r="G1072" s="6">
        <v>14.0</v>
      </c>
      <c r="H1072" s="9">
        <v>23.25</v>
      </c>
      <c r="I1072" s="10">
        <v>3.0</v>
      </c>
      <c r="J1072" s="11">
        <v>0.1</v>
      </c>
      <c r="K1072" s="9">
        <v>57.15</v>
      </c>
      <c r="L1072" s="7" t="s">
        <v>15</v>
      </c>
    </row>
    <row r="1073" ht="15.75" customHeight="1">
      <c r="A1073" s="6">
        <v>10656.0</v>
      </c>
      <c r="B1073" s="7" t="s">
        <v>94</v>
      </c>
      <c r="C1073" s="8">
        <v>45173.0</v>
      </c>
      <c r="D1073" s="8">
        <v>45201.0</v>
      </c>
      <c r="E1073" s="8">
        <v>45179.0</v>
      </c>
      <c r="F1073" s="8">
        <v>45191.0</v>
      </c>
      <c r="G1073" s="6">
        <v>44.0</v>
      </c>
      <c r="H1073" s="9">
        <v>19.45</v>
      </c>
      <c r="I1073" s="10">
        <v>28.0</v>
      </c>
      <c r="J1073" s="11">
        <v>0.1</v>
      </c>
      <c r="K1073" s="9">
        <v>57.15</v>
      </c>
      <c r="L1073" s="7" t="s">
        <v>15</v>
      </c>
    </row>
    <row r="1074" ht="15.75" customHeight="1">
      <c r="A1074" s="6">
        <v>10656.0</v>
      </c>
      <c r="B1074" s="7" t="s">
        <v>94</v>
      </c>
      <c r="C1074" s="8">
        <v>45173.0</v>
      </c>
      <c r="D1074" s="8">
        <v>45201.0</v>
      </c>
      <c r="E1074" s="8">
        <v>45179.0</v>
      </c>
      <c r="F1074" s="8">
        <v>45191.0</v>
      </c>
      <c r="G1074" s="6">
        <v>47.0</v>
      </c>
      <c r="H1074" s="9">
        <v>9.5</v>
      </c>
      <c r="I1074" s="10">
        <v>6.0</v>
      </c>
      <c r="J1074" s="11">
        <v>0.1</v>
      </c>
      <c r="K1074" s="9">
        <v>57.15</v>
      </c>
      <c r="L1074" s="7" t="s">
        <v>15</v>
      </c>
    </row>
    <row r="1075" ht="15.75" customHeight="1">
      <c r="A1075" s="6">
        <v>10657.0</v>
      </c>
      <c r="B1075" s="7" t="s">
        <v>60</v>
      </c>
      <c r="C1075" s="8">
        <v>45173.0</v>
      </c>
      <c r="D1075" s="8">
        <v>45201.0</v>
      </c>
      <c r="E1075" s="8">
        <v>45184.0</v>
      </c>
      <c r="F1075" s="8">
        <v>45200.0</v>
      </c>
      <c r="G1075" s="6">
        <v>15.0</v>
      </c>
      <c r="H1075" s="9">
        <v>15.5</v>
      </c>
      <c r="I1075" s="10">
        <v>50.0</v>
      </c>
      <c r="J1075" s="11">
        <v>0.0</v>
      </c>
      <c r="K1075" s="9">
        <v>352.69</v>
      </c>
      <c r="L1075" s="7" t="s">
        <v>17</v>
      </c>
    </row>
    <row r="1076" ht="15.75" customHeight="1">
      <c r="A1076" s="6">
        <v>10657.0</v>
      </c>
      <c r="B1076" s="7" t="s">
        <v>60</v>
      </c>
      <c r="C1076" s="8">
        <v>45173.0</v>
      </c>
      <c r="D1076" s="8">
        <v>45201.0</v>
      </c>
      <c r="E1076" s="8">
        <v>45184.0</v>
      </c>
      <c r="F1076" s="8">
        <v>45200.0</v>
      </c>
      <c r="G1076" s="6">
        <v>41.0</v>
      </c>
      <c r="H1076" s="9">
        <v>9.65</v>
      </c>
      <c r="I1076" s="10">
        <v>24.0</v>
      </c>
      <c r="J1076" s="11">
        <v>0.0</v>
      </c>
      <c r="K1076" s="9">
        <v>352.69</v>
      </c>
      <c r="L1076" s="7" t="s">
        <v>17</v>
      </c>
    </row>
    <row r="1077" ht="15.75" customHeight="1">
      <c r="A1077" s="6">
        <v>10657.0</v>
      </c>
      <c r="B1077" s="7" t="s">
        <v>60</v>
      </c>
      <c r="C1077" s="8">
        <v>45173.0</v>
      </c>
      <c r="D1077" s="8">
        <v>45201.0</v>
      </c>
      <c r="E1077" s="8">
        <v>45184.0</v>
      </c>
      <c r="F1077" s="8">
        <v>45200.0</v>
      </c>
      <c r="G1077" s="6">
        <v>46.0</v>
      </c>
      <c r="H1077" s="9">
        <v>12.0</v>
      </c>
      <c r="I1077" s="10">
        <v>45.0</v>
      </c>
      <c r="J1077" s="11">
        <v>0.0</v>
      </c>
      <c r="K1077" s="9">
        <v>352.69</v>
      </c>
      <c r="L1077" s="7" t="s">
        <v>17</v>
      </c>
    </row>
    <row r="1078" ht="15.75" customHeight="1">
      <c r="A1078" s="6">
        <v>10657.0</v>
      </c>
      <c r="B1078" s="7" t="s">
        <v>60</v>
      </c>
      <c r="C1078" s="8">
        <v>45173.0</v>
      </c>
      <c r="D1078" s="8">
        <v>45201.0</v>
      </c>
      <c r="E1078" s="8">
        <v>45184.0</v>
      </c>
      <c r="F1078" s="8">
        <v>45200.0</v>
      </c>
      <c r="G1078" s="6">
        <v>47.0</v>
      </c>
      <c r="H1078" s="9">
        <v>9.5</v>
      </c>
      <c r="I1078" s="10">
        <v>10.0</v>
      </c>
      <c r="J1078" s="11">
        <v>0.0</v>
      </c>
      <c r="K1078" s="9">
        <v>352.69</v>
      </c>
      <c r="L1078" s="7" t="s">
        <v>17</v>
      </c>
    </row>
    <row r="1079" ht="15.75" customHeight="1">
      <c r="A1079" s="6">
        <v>10657.0</v>
      </c>
      <c r="B1079" s="7" t="s">
        <v>60</v>
      </c>
      <c r="C1079" s="8">
        <v>45173.0</v>
      </c>
      <c r="D1079" s="8">
        <v>45201.0</v>
      </c>
      <c r="E1079" s="8">
        <v>45184.0</v>
      </c>
      <c r="F1079" s="8">
        <v>45200.0</v>
      </c>
      <c r="G1079" s="6">
        <v>56.0</v>
      </c>
      <c r="H1079" s="9">
        <v>38.0</v>
      </c>
      <c r="I1079" s="10">
        <v>45.0</v>
      </c>
      <c r="J1079" s="11">
        <v>0.0</v>
      </c>
      <c r="K1079" s="9">
        <v>352.69</v>
      </c>
      <c r="L1079" s="7" t="s">
        <v>17</v>
      </c>
    </row>
    <row r="1080" ht="15.75" customHeight="1">
      <c r="A1080" s="6">
        <v>10657.0</v>
      </c>
      <c r="B1080" s="7" t="s">
        <v>60</v>
      </c>
      <c r="C1080" s="8">
        <v>45173.0</v>
      </c>
      <c r="D1080" s="8">
        <v>45201.0</v>
      </c>
      <c r="E1080" s="8">
        <v>45184.0</v>
      </c>
      <c r="F1080" s="8">
        <v>45200.0</v>
      </c>
      <c r="G1080" s="6">
        <v>60.0</v>
      </c>
      <c r="H1080" s="9">
        <v>34.0</v>
      </c>
      <c r="I1080" s="10">
        <v>30.0</v>
      </c>
      <c r="J1080" s="11">
        <v>0.0</v>
      </c>
      <c r="K1080" s="9">
        <v>352.69</v>
      </c>
      <c r="L1080" s="7" t="s">
        <v>17</v>
      </c>
    </row>
    <row r="1081" ht="15.75" customHeight="1">
      <c r="A1081" s="6">
        <v>10658.0</v>
      </c>
      <c r="B1081" s="7" t="s">
        <v>36</v>
      </c>
      <c r="C1081" s="8">
        <v>45174.0</v>
      </c>
      <c r="D1081" s="8">
        <v>45202.0</v>
      </c>
      <c r="E1081" s="8">
        <v>45177.0</v>
      </c>
      <c r="F1081" s="8">
        <v>45180.0</v>
      </c>
      <c r="G1081" s="6">
        <v>21.0</v>
      </c>
      <c r="H1081" s="9">
        <v>10.0</v>
      </c>
      <c r="I1081" s="10">
        <v>60.0</v>
      </c>
      <c r="J1081" s="11">
        <v>0.0</v>
      </c>
      <c r="K1081" s="9">
        <v>364.15</v>
      </c>
      <c r="L1081" s="7" t="s">
        <v>15</v>
      </c>
    </row>
    <row r="1082" ht="15.75" customHeight="1">
      <c r="A1082" s="6">
        <v>10658.0</v>
      </c>
      <c r="B1082" s="7" t="s">
        <v>36</v>
      </c>
      <c r="C1082" s="8">
        <v>45174.0</v>
      </c>
      <c r="D1082" s="8">
        <v>45202.0</v>
      </c>
      <c r="E1082" s="8">
        <v>45177.0</v>
      </c>
      <c r="F1082" s="8">
        <v>45180.0</v>
      </c>
      <c r="G1082" s="6">
        <v>40.0</v>
      </c>
      <c r="H1082" s="9">
        <v>18.4</v>
      </c>
      <c r="I1082" s="10">
        <v>70.0</v>
      </c>
      <c r="J1082" s="11">
        <v>0.05</v>
      </c>
      <c r="K1082" s="9">
        <v>364.15</v>
      </c>
      <c r="L1082" s="7" t="s">
        <v>15</v>
      </c>
    </row>
    <row r="1083" ht="15.75" customHeight="1">
      <c r="A1083" s="6">
        <v>10658.0</v>
      </c>
      <c r="B1083" s="7" t="s">
        <v>36</v>
      </c>
      <c r="C1083" s="8">
        <v>45174.0</v>
      </c>
      <c r="D1083" s="8">
        <v>45202.0</v>
      </c>
      <c r="E1083" s="8">
        <v>45177.0</v>
      </c>
      <c r="F1083" s="8">
        <v>45180.0</v>
      </c>
      <c r="G1083" s="6">
        <v>60.0</v>
      </c>
      <c r="H1083" s="9">
        <v>34.0</v>
      </c>
      <c r="I1083" s="10">
        <v>55.0</v>
      </c>
      <c r="J1083" s="11">
        <v>0.05</v>
      </c>
      <c r="K1083" s="9">
        <v>364.15</v>
      </c>
      <c r="L1083" s="7" t="s">
        <v>15</v>
      </c>
    </row>
    <row r="1084" ht="15.75" customHeight="1">
      <c r="A1084" s="6">
        <v>10658.0</v>
      </c>
      <c r="B1084" s="7" t="s">
        <v>36</v>
      </c>
      <c r="C1084" s="8">
        <v>45174.0</v>
      </c>
      <c r="D1084" s="8">
        <v>45202.0</v>
      </c>
      <c r="E1084" s="8">
        <v>45177.0</v>
      </c>
      <c r="F1084" s="8">
        <v>45180.0</v>
      </c>
      <c r="G1084" s="6">
        <v>77.0</v>
      </c>
      <c r="H1084" s="9">
        <v>13.0</v>
      </c>
      <c r="I1084" s="10">
        <v>70.0</v>
      </c>
      <c r="J1084" s="11">
        <v>0.05</v>
      </c>
      <c r="K1084" s="9">
        <v>364.15</v>
      </c>
      <c r="L1084" s="7" t="s">
        <v>15</v>
      </c>
    </row>
    <row r="1085" ht="15.75" customHeight="1">
      <c r="A1085" s="6">
        <v>10659.0</v>
      </c>
      <c r="B1085" s="7" t="s">
        <v>77</v>
      </c>
      <c r="C1085" s="8">
        <v>45174.0</v>
      </c>
      <c r="D1085" s="8">
        <v>45202.0</v>
      </c>
      <c r="E1085" s="8">
        <v>45179.0</v>
      </c>
      <c r="F1085" s="8">
        <v>45196.0</v>
      </c>
      <c r="G1085" s="6">
        <v>31.0</v>
      </c>
      <c r="H1085" s="9">
        <v>12.5</v>
      </c>
      <c r="I1085" s="10">
        <v>20.0</v>
      </c>
      <c r="J1085" s="11">
        <v>0.05</v>
      </c>
      <c r="K1085" s="9">
        <v>105.81</v>
      </c>
      <c r="L1085" s="7" t="s">
        <v>17</v>
      </c>
    </row>
    <row r="1086" ht="15.75" customHeight="1">
      <c r="A1086" s="6">
        <v>10659.0</v>
      </c>
      <c r="B1086" s="7" t="s">
        <v>77</v>
      </c>
      <c r="C1086" s="8">
        <v>45174.0</v>
      </c>
      <c r="D1086" s="8">
        <v>45202.0</v>
      </c>
      <c r="E1086" s="8">
        <v>45179.0</v>
      </c>
      <c r="F1086" s="8">
        <v>45196.0</v>
      </c>
      <c r="G1086" s="6">
        <v>40.0</v>
      </c>
      <c r="H1086" s="9">
        <v>18.4</v>
      </c>
      <c r="I1086" s="10">
        <v>24.0</v>
      </c>
      <c r="J1086" s="11">
        <v>0.05</v>
      </c>
      <c r="K1086" s="9">
        <v>105.81</v>
      </c>
      <c r="L1086" s="7" t="s">
        <v>17</v>
      </c>
    </row>
    <row r="1087" ht="15.75" customHeight="1">
      <c r="A1087" s="6">
        <v>10659.0</v>
      </c>
      <c r="B1087" s="7" t="s">
        <v>77</v>
      </c>
      <c r="C1087" s="8">
        <v>45174.0</v>
      </c>
      <c r="D1087" s="8">
        <v>45202.0</v>
      </c>
      <c r="E1087" s="8">
        <v>45179.0</v>
      </c>
      <c r="F1087" s="8">
        <v>45196.0</v>
      </c>
      <c r="G1087" s="6">
        <v>70.0</v>
      </c>
      <c r="H1087" s="9">
        <v>15.0</v>
      </c>
      <c r="I1087" s="10">
        <v>40.0</v>
      </c>
      <c r="J1087" s="11">
        <v>0.05</v>
      </c>
      <c r="K1087" s="9">
        <v>105.81</v>
      </c>
      <c r="L1087" s="7" t="s">
        <v>17</v>
      </c>
    </row>
    <row r="1088" ht="15.75" customHeight="1">
      <c r="A1088" s="6">
        <v>10660.0</v>
      </c>
      <c r="B1088" s="7" t="s">
        <v>79</v>
      </c>
      <c r="C1088" s="8">
        <v>45177.0</v>
      </c>
      <c r="D1088" s="8">
        <v>45205.0</v>
      </c>
      <c r="E1088" s="8">
        <v>45214.0</v>
      </c>
      <c r="F1088" s="8">
        <v>45225.0</v>
      </c>
      <c r="G1088" s="6">
        <v>20.0</v>
      </c>
      <c r="H1088" s="9">
        <v>81.0</v>
      </c>
      <c r="I1088" s="10">
        <v>21.0</v>
      </c>
      <c r="J1088" s="11">
        <v>0.0</v>
      </c>
      <c r="K1088" s="9">
        <v>111.29</v>
      </c>
      <c r="L1088" s="7" t="s">
        <v>15</v>
      </c>
    </row>
    <row r="1089" ht="15.75" customHeight="1">
      <c r="A1089" s="6">
        <v>10661.0</v>
      </c>
      <c r="B1089" s="7" t="s">
        <v>49</v>
      </c>
      <c r="C1089" s="8">
        <v>45178.0</v>
      </c>
      <c r="D1089" s="8">
        <v>45206.0</v>
      </c>
      <c r="E1089" s="8">
        <v>45184.0</v>
      </c>
      <c r="F1089" s="8">
        <v>45196.0</v>
      </c>
      <c r="G1089" s="6">
        <v>39.0</v>
      </c>
      <c r="H1089" s="9">
        <v>18.0</v>
      </c>
      <c r="I1089" s="10">
        <v>3.0</v>
      </c>
      <c r="J1089" s="11">
        <v>0.2</v>
      </c>
      <c r="K1089" s="9">
        <v>17.55</v>
      </c>
      <c r="L1089" s="7" t="s">
        <v>13</v>
      </c>
    </row>
    <row r="1090" ht="15.75" customHeight="1">
      <c r="A1090" s="6">
        <v>10661.0</v>
      </c>
      <c r="B1090" s="7" t="s">
        <v>49</v>
      </c>
      <c r="C1090" s="8">
        <v>45178.0</v>
      </c>
      <c r="D1090" s="8">
        <v>45206.0</v>
      </c>
      <c r="E1090" s="8">
        <v>45184.0</v>
      </c>
      <c r="F1090" s="8">
        <v>45196.0</v>
      </c>
      <c r="G1090" s="6">
        <v>58.0</v>
      </c>
      <c r="H1090" s="9">
        <v>13.25</v>
      </c>
      <c r="I1090" s="10">
        <v>49.0</v>
      </c>
      <c r="J1090" s="11">
        <v>0.2</v>
      </c>
      <c r="K1090" s="9">
        <v>17.55</v>
      </c>
      <c r="L1090" s="7" t="s">
        <v>13</v>
      </c>
    </row>
    <row r="1091" ht="15.75" customHeight="1">
      <c r="A1091" s="6">
        <v>10662.0</v>
      </c>
      <c r="B1091" s="7" t="s">
        <v>53</v>
      </c>
      <c r="C1091" s="8">
        <v>45178.0</v>
      </c>
      <c r="D1091" s="8">
        <v>45206.0</v>
      </c>
      <c r="E1091" s="8">
        <v>45187.0</v>
      </c>
      <c r="F1091" s="8">
        <v>45206.0</v>
      </c>
      <c r="G1091" s="6">
        <v>68.0</v>
      </c>
      <c r="H1091" s="9">
        <v>12.5</v>
      </c>
      <c r="I1091" s="10">
        <v>10.0</v>
      </c>
      <c r="J1091" s="11">
        <v>0.0</v>
      </c>
      <c r="K1091" s="9">
        <v>1.28</v>
      </c>
      <c r="L1091" s="7" t="s">
        <v>17</v>
      </c>
    </row>
    <row r="1092" ht="15.75" customHeight="1">
      <c r="A1092" s="6">
        <v>10663.0</v>
      </c>
      <c r="B1092" s="7" t="s">
        <v>63</v>
      </c>
      <c r="C1092" s="8">
        <v>45179.0</v>
      </c>
      <c r="D1092" s="8">
        <v>45193.0</v>
      </c>
      <c r="E1092" s="8">
        <v>45202.0</v>
      </c>
      <c r="F1092" s="8">
        <v>45213.0</v>
      </c>
      <c r="G1092" s="6">
        <v>40.0</v>
      </c>
      <c r="H1092" s="9">
        <v>18.4</v>
      </c>
      <c r="I1092" s="10">
        <v>30.0</v>
      </c>
      <c r="J1092" s="11">
        <v>0.05</v>
      </c>
      <c r="K1092" s="9">
        <v>113.15</v>
      </c>
      <c r="L1092" s="7" t="s">
        <v>17</v>
      </c>
    </row>
    <row r="1093" ht="15.75" customHeight="1">
      <c r="A1093" s="6">
        <v>10663.0</v>
      </c>
      <c r="B1093" s="7" t="s">
        <v>63</v>
      </c>
      <c r="C1093" s="8">
        <v>45179.0</v>
      </c>
      <c r="D1093" s="8">
        <v>45193.0</v>
      </c>
      <c r="E1093" s="8">
        <v>45202.0</v>
      </c>
      <c r="F1093" s="8">
        <v>45213.0</v>
      </c>
      <c r="G1093" s="6">
        <v>42.0</v>
      </c>
      <c r="H1093" s="9">
        <v>14.0</v>
      </c>
      <c r="I1093" s="10">
        <v>30.0</v>
      </c>
      <c r="J1093" s="11">
        <v>0.05</v>
      </c>
      <c r="K1093" s="9">
        <v>113.15</v>
      </c>
      <c r="L1093" s="7" t="s">
        <v>17</v>
      </c>
    </row>
    <row r="1094" ht="15.75" customHeight="1">
      <c r="A1094" s="6">
        <v>10663.0</v>
      </c>
      <c r="B1094" s="7" t="s">
        <v>63</v>
      </c>
      <c r="C1094" s="8">
        <v>45179.0</v>
      </c>
      <c r="D1094" s="8">
        <v>45193.0</v>
      </c>
      <c r="E1094" s="8">
        <v>45202.0</v>
      </c>
      <c r="F1094" s="8">
        <v>45213.0</v>
      </c>
      <c r="G1094" s="6">
        <v>51.0</v>
      </c>
      <c r="H1094" s="9">
        <v>53.0</v>
      </c>
      <c r="I1094" s="10">
        <v>20.0</v>
      </c>
      <c r="J1094" s="11">
        <v>0.05</v>
      </c>
      <c r="K1094" s="9">
        <v>113.15</v>
      </c>
      <c r="L1094" s="7" t="s">
        <v>17</v>
      </c>
    </row>
    <row r="1095" ht="15.75" customHeight="1">
      <c r="A1095" s="6">
        <v>10664.0</v>
      </c>
      <c r="B1095" s="7" t="s">
        <v>62</v>
      </c>
      <c r="C1095" s="8">
        <v>45179.0</v>
      </c>
      <c r="D1095" s="8">
        <v>45207.0</v>
      </c>
      <c r="E1095" s="8">
        <v>45188.0</v>
      </c>
      <c r="F1095" s="8">
        <v>45201.0</v>
      </c>
      <c r="G1095" s="6">
        <v>10.0</v>
      </c>
      <c r="H1095" s="9">
        <v>31.0</v>
      </c>
      <c r="I1095" s="10">
        <v>24.0</v>
      </c>
      <c r="J1095" s="11">
        <v>0.15</v>
      </c>
      <c r="K1095" s="9">
        <v>1.27</v>
      </c>
      <c r="L1095" s="7" t="s">
        <v>13</v>
      </c>
    </row>
    <row r="1096" ht="15.75" customHeight="1">
      <c r="A1096" s="6">
        <v>10664.0</v>
      </c>
      <c r="B1096" s="7" t="s">
        <v>62</v>
      </c>
      <c r="C1096" s="8">
        <v>45179.0</v>
      </c>
      <c r="D1096" s="8">
        <v>45207.0</v>
      </c>
      <c r="E1096" s="8">
        <v>45188.0</v>
      </c>
      <c r="F1096" s="8">
        <v>45201.0</v>
      </c>
      <c r="G1096" s="6">
        <v>56.0</v>
      </c>
      <c r="H1096" s="9">
        <v>38.0</v>
      </c>
      <c r="I1096" s="10">
        <v>12.0</v>
      </c>
      <c r="J1096" s="11">
        <v>0.15</v>
      </c>
      <c r="K1096" s="9">
        <v>1.27</v>
      </c>
      <c r="L1096" s="7" t="s">
        <v>13</v>
      </c>
    </row>
    <row r="1097" ht="15.75" customHeight="1">
      <c r="A1097" s="6">
        <v>10664.0</v>
      </c>
      <c r="B1097" s="7" t="s">
        <v>62</v>
      </c>
      <c r="C1097" s="8">
        <v>45179.0</v>
      </c>
      <c r="D1097" s="8">
        <v>45207.0</v>
      </c>
      <c r="E1097" s="8">
        <v>45188.0</v>
      </c>
      <c r="F1097" s="8">
        <v>45201.0</v>
      </c>
      <c r="G1097" s="6">
        <v>65.0</v>
      </c>
      <c r="H1097" s="9">
        <v>21.05</v>
      </c>
      <c r="I1097" s="10">
        <v>15.0</v>
      </c>
      <c r="J1097" s="11">
        <v>0.15</v>
      </c>
      <c r="K1097" s="9">
        <v>1.27</v>
      </c>
      <c r="L1097" s="7" t="s">
        <v>13</v>
      </c>
    </row>
    <row r="1098" ht="15.75" customHeight="1">
      <c r="A1098" s="6">
        <v>10665.0</v>
      </c>
      <c r="B1098" s="7" t="s">
        <v>53</v>
      </c>
      <c r="C1098" s="8">
        <v>45180.0</v>
      </c>
      <c r="D1098" s="8">
        <v>45208.0</v>
      </c>
      <c r="E1098" s="8">
        <v>45186.0</v>
      </c>
      <c r="F1098" s="8">
        <v>45203.0</v>
      </c>
      <c r="G1098" s="6">
        <v>51.0</v>
      </c>
      <c r="H1098" s="9">
        <v>53.0</v>
      </c>
      <c r="I1098" s="10">
        <v>20.0</v>
      </c>
      <c r="J1098" s="11">
        <v>0.0</v>
      </c>
      <c r="K1098" s="9">
        <v>26.31</v>
      </c>
      <c r="L1098" s="7" t="s">
        <v>17</v>
      </c>
    </row>
    <row r="1099" ht="15.75" customHeight="1">
      <c r="A1099" s="6">
        <v>10665.0</v>
      </c>
      <c r="B1099" s="7" t="s">
        <v>53</v>
      </c>
      <c r="C1099" s="8">
        <v>45180.0</v>
      </c>
      <c r="D1099" s="8">
        <v>45208.0</v>
      </c>
      <c r="E1099" s="8">
        <v>45186.0</v>
      </c>
      <c r="F1099" s="8">
        <v>45203.0</v>
      </c>
      <c r="G1099" s="6">
        <v>59.0</v>
      </c>
      <c r="H1099" s="9">
        <v>55.0</v>
      </c>
      <c r="I1099" s="10">
        <v>1.0</v>
      </c>
      <c r="J1099" s="11">
        <v>0.0</v>
      </c>
      <c r="K1099" s="9">
        <v>26.31</v>
      </c>
      <c r="L1099" s="7" t="s">
        <v>17</v>
      </c>
    </row>
    <row r="1100" ht="15.75" customHeight="1">
      <c r="A1100" s="6">
        <v>10665.0</v>
      </c>
      <c r="B1100" s="7" t="s">
        <v>53</v>
      </c>
      <c r="C1100" s="8">
        <v>45180.0</v>
      </c>
      <c r="D1100" s="8">
        <v>45208.0</v>
      </c>
      <c r="E1100" s="8">
        <v>45186.0</v>
      </c>
      <c r="F1100" s="8">
        <v>45203.0</v>
      </c>
      <c r="G1100" s="6">
        <v>76.0</v>
      </c>
      <c r="H1100" s="9">
        <v>18.0</v>
      </c>
      <c r="I1100" s="10">
        <v>10.0</v>
      </c>
      <c r="J1100" s="11">
        <v>0.0</v>
      </c>
      <c r="K1100" s="9">
        <v>26.31</v>
      </c>
      <c r="L1100" s="7" t="s">
        <v>17</v>
      </c>
    </row>
    <row r="1101" ht="15.75" customHeight="1">
      <c r="A1101" s="6">
        <v>10666.0</v>
      </c>
      <c r="B1101" s="7" t="s">
        <v>21</v>
      </c>
      <c r="C1101" s="8">
        <v>45181.0</v>
      </c>
      <c r="D1101" s="8">
        <v>45209.0</v>
      </c>
      <c r="E1101" s="8">
        <v>45191.0</v>
      </c>
      <c r="F1101" s="8">
        <v>45204.0</v>
      </c>
      <c r="G1101" s="6">
        <v>29.0</v>
      </c>
      <c r="H1101" s="9">
        <v>123.79</v>
      </c>
      <c r="I1101" s="10">
        <v>36.0</v>
      </c>
      <c r="J1101" s="11">
        <v>0.0</v>
      </c>
      <c r="K1101" s="9">
        <v>232.42</v>
      </c>
      <c r="L1101" s="7" t="s">
        <v>17</v>
      </c>
    </row>
    <row r="1102" ht="15.75" customHeight="1">
      <c r="A1102" s="6">
        <v>10666.0</v>
      </c>
      <c r="B1102" s="7" t="s">
        <v>21</v>
      </c>
      <c r="C1102" s="8">
        <v>45181.0</v>
      </c>
      <c r="D1102" s="8">
        <v>45209.0</v>
      </c>
      <c r="E1102" s="8">
        <v>45191.0</v>
      </c>
      <c r="F1102" s="8">
        <v>45204.0</v>
      </c>
      <c r="G1102" s="6">
        <v>65.0</v>
      </c>
      <c r="H1102" s="9">
        <v>21.05</v>
      </c>
      <c r="I1102" s="10">
        <v>10.0</v>
      </c>
      <c r="J1102" s="11">
        <v>0.0</v>
      </c>
      <c r="K1102" s="9">
        <v>232.42</v>
      </c>
      <c r="L1102" s="7" t="s">
        <v>17</v>
      </c>
    </row>
    <row r="1103" ht="15.75" customHeight="1">
      <c r="A1103" s="6">
        <v>10667.0</v>
      </c>
      <c r="B1103" s="7" t="s">
        <v>24</v>
      </c>
      <c r="C1103" s="8">
        <v>45181.0</v>
      </c>
      <c r="D1103" s="8">
        <v>45209.0</v>
      </c>
      <c r="E1103" s="8">
        <v>45188.0</v>
      </c>
      <c r="F1103" s="8">
        <v>45198.0</v>
      </c>
      <c r="G1103" s="6">
        <v>69.0</v>
      </c>
      <c r="H1103" s="9">
        <v>36.0</v>
      </c>
      <c r="I1103" s="10">
        <v>45.0</v>
      </c>
      <c r="J1103" s="11">
        <v>0.2</v>
      </c>
      <c r="K1103" s="9">
        <v>78.09</v>
      </c>
      <c r="L1103" s="7" t="s">
        <v>15</v>
      </c>
    </row>
    <row r="1104" ht="15.75" customHeight="1">
      <c r="A1104" s="6">
        <v>10667.0</v>
      </c>
      <c r="B1104" s="7" t="s">
        <v>24</v>
      </c>
      <c r="C1104" s="8">
        <v>45181.0</v>
      </c>
      <c r="D1104" s="8">
        <v>45209.0</v>
      </c>
      <c r="E1104" s="8">
        <v>45188.0</v>
      </c>
      <c r="F1104" s="8">
        <v>45198.0</v>
      </c>
      <c r="G1104" s="6">
        <v>71.0</v>
      </c>
      <c r="H1104" s="9">
        <v>21.5</v>
      </c>
      <c r="I1104" s="10">
        <v>14.0</v>
      </c>
      <c r="J1104" s="11">
        <v>0.2</v>
      </c>
      <c r="K1104" s="9">
        <v>78.09</v>
      </c>
      <c r="L1104" s="7" t="s">
        <v>15</v>
      </c>
    </row>
    <row r="1105" ht="15.75" customHeight="1">
      <c r="A1105" s="6">
        <v>10668.0</v>
      </c>
      <c r="B1105" s="7" t="s">
        <v>50</v>
      </c>
      <c r="C1105" s="8">
        <v>45184.0</v>
      </c>
      <c r="D1105" s="8">
        <v>45212.0</v>
      </c>
      <c r="E1105" s="8">
        <v>45192.0</v>
      </c>
      <c r="F1105" s="8">
        <v>45199.0</v>
      </c>
      <c r="G1105" s="6">
        <v>31.0</v>
      </c>
      <c r="H1105" s="9">
        <v>12.5</v>
      </c>
      <c r="I1105" s="10">
        <v>8.0</v>
      </c>
      <c r="J1105" s="11">
        <v>0.1</v>
      </c>
      <c r="K1105" s="9">
        <v>47.22</v>
      </c>
      <c r="L1105" s="7" t="s">
        <v>17</v>
      </c>
    </row>
    <row r="1106" ht="15.75" customHeight="1">
      <c r="A1106" s="6">
        <v>10668.0</v>
      </c>
      <c r="B1106" s="7" t="s">
        <v>50</v>
      </c>
      <c r="C1106" s="8">
        <v>45184.0</v>
      </c>
      <c r="D1106" s="8">
        <v>45212.0</v>
      </c>
      <c r="E1106" s="8">
        <v>45192.0</v>
      </c>
      <c r="F1106" s="8">
        <v>45199.0</v>
      </c>
      <c r="G1106" s="6">
        <v>55.0</v>
      </c>
      <c r="H1106" s="9">
        <v>24.0</v>
      </c>
      <c r="I1106" s="10">
        <v>4.0</v>
      </c>
      <c r="J1106" s="11">
        <v>0.1</v>
      </c>
      <c r="K1106" s="9">
        <v>47.22</v>
      </c>
      <c r="L1106" s="7" t="s">
        <v>17</v>
      </c>
    </row>
    <row r="1107" ht="15.75" customHeight="1">
      <c r="A1107" s="6">
        <v>10668.0</v>
      </c>
      <c r="B1107" s="7" t="s">
        <v>50</v>
      </c>
      <c r="C1107" s="8">
        <v>45184.0</v>
      </c>
      <c r="D1107" s="8">
        <v>45212.0</v>
      </c>
      <c r="E1107" s="8">
        <v>45192.0</v>
      </c>
      <c r="F1107" s="8">
        <v>45199.0</v>
      </c>
      <c r="G1107" s="6">
        <v>64.0</v>
      </c>
      <c r="H1107" s="9">
        <v>33.25</v>
      </c>
      <c r="I1107" s="10">
        <v>15.0</v>
      </c>
      <c r="J1107" s="11">
        <v>0.1</v>
      </c>
      <c r="K1107" s="9">
        <v>47.22</v>
      </c>
      <c r="L1107" s="7" t="s">
        <v>17</v>
      </c>
    </row>
    <row r="1108" ht="15.75" customHeight="1">
      <c r="A1108" s="6">
        <v>10669.0</v>
      </c>
      <c r="B1108" s="7" t="s">
        <v>66</v>
      </c>
      <c r="C1108" s="8">
        <v>45184.0</v>
      </c>
      <c r="D1108" s="8">
        <v>45212.0</v>
      </c>
      <c r="E1108" s="8">
        <v>45191.0</v>
      </c>
      <c r="F1108" s="8">
        <v>45200.0</v>
      </c>
      <c r="G1108" s="6">
        <v>36.0</v>
      </c>
      <c r="H1108" s="9">
        <v>19.0</v>
      </c>
      <c r="I1108" s="10">
        <v>30.0</v>
      </c>
      <c r="J1108" s="11">
        <v>0.0</v>
      </c>
      <c r="K1108" s="9">
        <v>24.39</v>
      </c>
      <c r="L1108" s="7" t="s">
        <v>15</v>
      </c>
    </row>
    <row r="1109" ht="15.75" customHeight="1">
      <c r="A1109" s="6">
        <v>10670.0</v>
      </c>
      <c r="B1109" s="7" t="s">
        <v>32</v>
      </c>
      <c r="C1109" s="8">
        <v>45185.0</v>
      </c>
      <c r="D1109" s="8">
        <v>45213.0</v>
      </c>
      <c r="E1109" s="8">
        <v>45187.0</v>
      </c>
      <c r="F1109" s="8">
        <v>45192.0</v>
      </c>
      <c r="G1109" s="6">
        <v>23.0</v>
      </c>
      <c r="H1109" s="9">
        <v>9.0</v>
      </c>
      <c r="I1109" s="10">
        <v>32.0</v>
      </c>
      <c r="J1109" s="11">
        <v>0.0</v>
      </c>
      <c r="K1109" s="9">
        <v>203.48</v>
      </c>
      <c r="L1109" s="7" t="s">
        <v>15</v>
      </c>
    </row>
    <row r="1110" ht="15.75" customHeight="1">
      <c r="A1110" s="6">
        <v>10670.0</v>
      </c>
      <c r="B1110" s="7" t="s">
        <v>32</v>
      </c>
      <c r="C1110" s="8">
        <v>45185.0</v>
      </c>
      <c r="D1110" s="8">
        <v>45213.0</v>
      </c>
      <c r="E1110" s="8">
        <v>45187.0</v>
      </c>
      <c r="F1110" s="8">
        <v>45192.0</v>
      </c>
      <c r="G1110" s="6">
        <v>46.0</v>
      </c>
      <c r="H1110" s="9">
        <v>12.0</v>
      </c>
      <c r="I1110" s="10">
        <v>60.0</v>
      </c>
      <c r="J1110" s="11">
        <v>0.0</v>
      </c>
      <c r="K1110" s="9">
        <v>203.48</v>
      </c>
      <c r="L1110" s="7" t="s">
        <v>15</v>
      </c>
    </row>
    <row r="1111" ht="15.75" customHeight="1">
      <c r="A1111" s="6">
        <v>10670.0</v>
      </c>
      <c r="B1111" s="7" t="s">
        <v>32</v>
      </c>
      <c r="C1111" s="8">
        <v>45185.0</v>
      </c>
      <c r="D1111" s="8">
        <v>45213.0</v>
      </c>
      <c r="E1111" s="8">
        <v>45187.0</v>
      </c>
      <c r="F1111" s="8">
        <v>45192.0</v>
      </c>
      <c r="G1111" s="6">
        <v>67.0</v>
      </c>
      <c r="H1111" s="9">
        <v>14.0</v>
      </c>
      <c r="I1111" s="10">
        <v>25.0</v>
      </c>
      <c r="J1111" s="11">
        <v>0.0</v>
      </c>
      <c r="K1111" s="9">
        <v>203.48</v>
      </c>
      <c r="L1111" s="7" t="s">
        <v>15</v>
      </c>
    </row>
    <row r="1112" ht="15.75" customHeight="1">
      <c r="A1112" s="6">
        <v>10670.0</v>
      </c>
      <c r="B1112" s="7" t="s">
        <v>32</v>
      </c>
      <c r="C1112" s="8">
        <v>45185.0</v>
      </c>
      <c r="D1112" s="8">
        <v>45213.0</v>
      </c>
      <c r="E1112" s="8">
        <v>45187.0</v>
      </c>
      <c r="F1112" s="8">
        <v>45192.0</v>
      </c>
      <c r="G1112" s="6">
        <v>73.0</v>
      </c>
      <c r="H1112" s="9">
        <v>15.0</v>
      </c>
      <c r="I1112" s="10">
        <v>50.0</v>
      </c>
      <c r="J1112" s="11">
        <v>0.0</v>
      </c>
      <c r="K1112" s="9">
        <v>203.48</v>
      </c>
      <c r="L1112" s="7" t="s">
        <v>15</v>
      </c>
    </row>
    <row r="1113" ht="15.75" customHeight="1">
      <c r="A1113" s="6">
        <v>10670.0</v>
      </c>
      <c r="B1113" s="7" t="s">
        <v>32</v>
      </c>
      <c r="C1113" s="8">
        <v>45185.0</v>
      </c>
      <c r="D1113" s="8">
        <v>45213.0</v>
      </c>
      <c r="E1113" s="8">
        <v>45187.0</v>
      </c>
      <c r="F1113" s="8">
        <v>45192.0</v>
      </c>
      <c r="G1113" s="6">
        <v>75.0</v>
      </c>
      <c r="H1113" s="9">
        <v>7.75</v>
      </c>
      <c r="I1113" s="10">
        <v>25.0</v>
      </c>
      <c r="J1113" s="11">
        <v>0.0</v>
      </c>
      <c r="K1113" s="9">
        <v>203.48</v>
      </c>
      <c r="L1113" s="7" t="s">
        <v>15</v>
      </c>
    </row>
    <row r="1114" ht="15.75" customHeight="1">
      <c r="A1114" s="6">
        <v>10671.0</v>
      </c>
      <c r="B1114" s="7" t="s">
        <v>101</v>
      </c>
      <c r="C1114" s="8">
        <v>45186.0</v>
      </c>
      <c r="D1114" s="8">
        <v>45214.0</v>
      </c>
      <c r="E1114" s="8">
        <v>45193.0</v>
      </c>
      <c r="F1114" s="8">
        <v>45200.0</v>
      </c>
      <c r="G1114" s="6">
        <v>16.0</v>
      </c>
      <c r="H1114" s="9">
        <v>17.45</v>
      </c>
      <c r="I1114" s="10">
        <v>10.0</v>
      </c>
      <c r="J1114" s="11">
        <v>0.0</v>
      </c>
      <c r="K1114" s="9">
        <v>30.34</v>
      </c>
      <c r="L1114" s="7" t="s">
        <v>15</v>
      </c>
    </row>
    <row r="1115" ht="15.75" customHeight="1">
      <c r="A1115" s="6">
        <v>10671.0</v>
      </c>
      <c r="B1115" s="7" t="s">
        <v>101</v>
      </c>
      <c r="C1115" s="8">
        <v>45186.0</v>
      </c>
      <c r="D1115" s="8">
        <v>45214.0</v>
      </c>
      <c r="E1115" s="8">
        <v>45193.0</v>
      </c>
      <c r="F1115" s="8">
        <v>45200.0</v>
      </c>
      <c r="G1115" s="6">
        <v>62.0</v>
      </c>
      <c r="H1115" s="9">
        <v>49.3</v>
      </c>
      <c r="I1115" s="10">
        <v>10.0</v>
      </c>
      <c r="J1115" s="11">
        <v>0.0</v>
      </c>
      <c r="K1115" s="9">
        <v>30.34</v>
      </c>
      <c r="L1115" s="7" t="s">
        <v>15</v>
      </c>
    </row>
    <row r="1116" ht="15.75" customHeight="1">
      <c r="A1116" s="6">
        <v>10671.0</v>
      </c>
      <c r="B1116" s="7" t="s">
        <v>101</v>
      </c>
      <c r="C1116" s="8">
        <v>45186.0</v>
      </c>
      <c r="D1116" s="8">
        <v>45214.0</v>
      </c>
      <c r="E1116" s="8">
        <v>45193.0</v>
      </c>
      <c r="F1116" s="8">
        <v>45200.0</v>
      </c>
      <c r="G1116" s="6">
        <v>65.0</v>
      </c>
      <c r="H1116" s="9">
        <v>21.05</v>
      </c>
      <c r="I1116" s="10">
        <v>12.0</v>
      </c>
      <c r="J1116" s="11">
        <v>0.0</v>
      </c>
      <c r="K1116" s="9">
        <v>30.34</v>
      </c>
      <c r="L1116" s="7" t="s">
        <v>15</v>
      </c>
    </row>
    <row r="1117" ht="15.75" customHeight="1">
      <c r="A1117" s="6">
        <v>10672.0</v>
      </c>
      <c r="B1117" s="7" t="s">
        <v>40</v>
      </c>
      <c r="C1117" s="8">
        <v>45186.0</v>
      </c>
      <c r="D1117" s="8">
        <v>45200.0</v>
      </c>
      <c r="E1117" s="8">
        <v>45195.0</v>
      </c>
      <c r="F1117" s="8">
        <v>45205.0</v>
      </c>
      <c r="G1117" s="6">
        <v>38.0</v>
      </c>
      <c r="H1117" s="9">
        <v>263.5</v>
      </c>
      <c r="I1117" s="10">
        <v>15.0</v>
      </c>
      <c r="J1117" s="11">
        <v>0.1</v>
      </c>
      <c r="K1117" s="9">
        <v>95.75</v>
      </c>
      <c r="L1117" s="7" t="s">
        <v>17</v>
      </c>
    </row>
    <row r="1118" ht="15.75" customHeight="1">
      <c r="A1118" s="6">
        <v>10672.0</v>
      </c>
      <c r="B1118" s="7" t="s">
        <v>40</v>
      </c>
      <c r="C1118" s="8">
        <v>45186.0</v>
      </c>
      <c r="D1118" s="8">
        <v>45200.0</v>
      </c>
      <c r="E1118" s="8">
        <v>45195.0</v>
      </c>
      <c r="F1118" s="8">
        <v>45205.0</v>
      </c>
      <c r="G1118" s="6">
        <v>71.0</v>
      </c>
      <c r="H1118" s="9">
        <v>21.5</v>
      </c>
      <c r="I1118" s="10">
        <v>12.0</v>
      </c>
      <c r="J1118" s="11">
        <v>0.0</v>
      </c>
      <c r="K1118" s="9">
        <v>95.75</v>
      </c>
      <c r="L1118" s="7" t="s">
        <v>17</v>
      </c>
    </row>
    <row r="1119" ht="15.75" customHeight="1">
      <c r="A1119" s="6">
        <v>10673.0</v>
      </c>
      <c r="B1119" s="7" t="s">
        <v>98</v>
      </c>
      <c r="C1119" s="8">
        <v>45187.0</v>
      </c>
      <c r="D1119" s="8">
        <v>45215.0</v>
      </c>
      <c r="E1119" s="8">
        <v>45188.0</v>
      </c>
      <c r="F1119" s="8">
        <v>45199.0</v>
      </c>
      <c r="G1119" s="6">
        <v>16.0</v>
      </c>
      <c r="H1119" s="9">
        <v>17.45</v>
      </c>
      <c r="I1119" s="10">
        <v>3.0</v>
      </c>
      <c r="J1119" s="11">
        <v>0.0</v>
      </c>
      <c r="K1119" s="9">
        <v>22.76</v>
      </c>
      <c r="L1119" s="7" t="s">
        <v>15</v>
      </c>
    </row>
    <row r="1120" ht="15.75" customHeight="1">
      <c r="A1120" s="6">
        <v>10673.0</v>
      </c>
      <c r="B1120" s="7" t="s">
        <v>98</v>
      </c>
      <c r="C1120" s="8">
        <v>45187.0</v>
      </c>
      <c r="D1120" s="8">
        <v>45215.0</v>
      </c>
      <c r="E1120" s="8">
        <v>45188.0</v>
      </c>
      <c r="F1120" s="8">
        <v>45199.0</v>
      </c>
      <c r="G1120" s="6">
        <v>42.0</v>
      </c>
      <c r="H1120" s="9">
        <v>14.0</v>
      </c>
      <c r="I1120" s="10">
        <v>6.0</v>
      </c>
      <c r="J1120" s="11">
        <v>0.0</v>
      </c>
      <c r="K1120" s="9">
        <v>22.76</v>
      </c>
      <c r="L1120" s="7" t="s">
        <v>15</v>
      </c>
    </row>
    <row r="1121" ht="15.75" customHeight="1">
      <c r="A1121" s="6">
        <v>10673.0</v>
      </c>
      <c r="B1121" s="7" t="s">
        <v>98</v>
      </c>
      <c r="C1121" s="8">
        <v>45187.0</v>
      </c>
      <c r="D1121" s="8">
        <v>45215.0</v>
      </c>
      <c r="E1121" s="8">
        <v>45188.0</v>
      </c>
      <c r="F1121" s="8">
        <v>45199.0</v>
      </c>
      <c r="G1121" s="6">
        <v>43.0</v>
      </c>
      <c r="H1121" s="9">
        <v>46.0</v>
      </c>
      <c r="I1121" s="10">
        <v>6.0</v>
      </c>
      <c r="J1121" s="11">
        <v>0.0</v>
      </c>
      <c r="K1121" s="9">
        <v>22.76</v>
      </c>
      <c r="L1121" s="7" t="s">
        <v>15</v>
      </c>
    </row>
    <row r="1122" ht="15.75" customHeight="1">
      <c r="A1122" s="6">
        <v>10674.0</v>
      </c>
      <c r="B1122" s="7" t="s">
        <v>57</v>
      </c>
      <c r="C1122" s="8">
        <v>45187.0</v>
      </c>
      <c r="D1122" s="8">
        <v>45215.0</v>
      </c>
      <c r="E1122" s="8">
        <v>45199.0</v>
      </c>
      <c r="F1122" s="8">
        <v>45210.0</v>
      </c>
      <c r="G1122" s="6">
        <v>23.0</v>
      </c>
      <c r="H1122" s="9">
        <v>9.0</v>
      </c>
      <c r="I1122" s="10">
        <v>5.0</v>
      </c>
      <c r="J1122" s="11">
        <v>0.0</v>
      </c>
      <c r="K1122" s="9">
        <v>0.9</v>
      </c>
      <c r="L1122" s="7" t="s">
        <v>17</v>
      </c>
    </row>
    <row r="1123" ht="15.75" customHeight="1">
      <c r="A1123" s="6">
        <v>10675.0</v>
      </c>
      <c r="B1123" s="7" t="s">
        <v>32</v>
      </c>
      <c r="C1123" s="8">
        <v>45188.0</v>
      </c>
      <c r="D1123" s="8">
        <v>45216.0</v>
      </c>
      <c r="E1123" s="8">
        <v>45192.0</v>
      </c>
      <c r="F1123" s="8">
        <v>45199.0</v>
      </c>
      <c r="G1123" s="6">
        <v>14.0</v>
      </c>
      <c r="H1123" s="9">
        <v>23.25</v>
      </c>
      <c r="I1123" s="10">
        <v>30.0</v>
      </c>
      <c r="J1123" s="11">
        <v>0.0</v>
      </c>
      <c r="K1123" s="9">
        <v>31.85</v>
      </c>
      <c r="L1123" s="7" t="s">
        <v>17</v>
      </c>
    </row>
    <row r="1124" ht="15.75" customHeight="1">
      <c r="A1124" s="6">
        <v>10675.0</v>
      </c>
      <c r="B1124" s="7" t="s">
        <v>32</v>
      </c>
      <c r="C1124" s="8">
        <v>45188.0</v>
      </c>
      <c r="D1124" s="8">
        <v>45216.0</v>
      </c>
      <c r="E1124" s="8">
        <v>45192.0</v>
      </c>
      <c r="F1124" s="8">
        <v>45199.0</v>
      </c>
      <c r="G1124" s="6">
        <v>53.0</v>
      </c>
      <c r="H1124" s="9">
        <v>32.8</v>
      </c>
      <c r="I1124" s="10">
        <v>10.0</v>
      </c>
      <c r="J1124" s="11">
        <v>0.0</v>
      </c>
      <c r="K1124" s="9">
        <v>31.85</v>
      </c>
      <c r="L1124" s="7" t="s">
        <v>17</v>
      </c>
    </row>
    <row r="1125" ht="15.75" customHeight="1">
      <c r="A1125" s="6">
        <v>10675.0</v>
      </c>
      <c r="B1125" s="7" t="s">
        <v>32</v>
      </c>
      <c r="C1125" s="8">
        <v>45188.0</v>
      </c>
      <c r="D1125" s="8">
        <v>45216.0</v>
      </c>
      <c r="E1125" s="8">
        <v>45192.0</v>
      </c>
      <c r="F1125" s="8">
        <v>45199.0</v>
      </c>
      <c r="G1125" s="6">
        <v>58.0</v>
      </c>
      <c r="H1125" s="9">
        <v>13.25</v>
      </c>
      <c r="I1125" s="10">
        <v>30.0</v>
      </c>
      <c r="J1125" s="11">
        <v>0.0</v>
      </c>
      <c r="K1125" s="9">
        <v>31.85</v>
      </c>
      <c r="L1125" s="7" t="s">
        <v>17</v>
      </c>
    </row>
    <row r="1126" ht="15.75" customHeight="1">
      <c r="A1126" s="6">
        <v>10676.0</v>
      </c>
      <c r="B1126" s="7" t="s">
        <v>38</v>
      </c>
      <c r="C1126" s="8">
        <v>45191.0</v>
      </c>
      <c r="D1126" s="8">
        <v>45219.0</v>
      </c>
      <c r="E1126" s="8">
        <v>45198.0</v>
      </c>
      <c r="F1126" s="8">
        <v>45215.0</v>
      </c>
      <c r="G1126" s="6">
        <v>10.0</v>
      </c>
      <c r="H1126" s="9">
        <v>31.0</v>
      </c>
      <c r="I1126" s="10">
        <v>2.0</v>
      </c>
      <c r="J1126" s="11">
        <v>0.0</v>
      </c>
      <c r="K1126" s="9">
        <v>2.01</v>
      </c>
      <c r="L1126" s="7" t="s">
        <v>17</v>
      </c>
    </row>
    <row r="1127" ht="15.75" customHeight="1">
      <c r="A1127" s="6">
        <v>10676.0</v>
      </c>
      <c r="B1127" s="7" t="s">
        <v>38</v>
      </c>
      <c r="C1127" s="8">
        <v>45191.0</v>
      </c>
      <c r="D1127" s="8">
        <v>45219.0</v>
      </c>
      <c r="E1127" s="8">
        <v>45198.0</v>
      </c>
      <c r="F1127" s="8">
        <v>45215.0</v>
      </c>
      <c r="G1127" s="6">
        <v>19.0</v>
      </c>
      <c r="H1127" s="9">
        <v>9.2</v>
      </c>
      <c r="I1127" s="10">
        <v>7.0</v>
      </c>
      <c r="J1127" s="11">
        <v>0.0</v>
      </c>
      <c r="K1127" s="9">
        <v>2.01</v>
      </c>
      <c r="L1127" s="7" t="s">
        <v>17</v>
      </c>
    </row>
    <row r="1128" ht="15.75" customHeight="1">
      <c r="A1128" s="6">
        <v>10676.0</v>
      </c>
      <c r="B1128" s="7" t="s">
        <v>38</v>
      </c>
      <c r="C1128" s="8">
        <v>45191.0</v>
      </c>
      <c r="D1128" s="8">
        <v>45219.0</v>
      </c>
      <c r="E1128" s="8">
        <v>45198.0</v>
      </c>
      <c r="F1128" s="8">
        <v>45215.0</v>
      </c>
      <c r="G1128" s="6">
        <v>44.0</v>
      </c>
      <c r="H1128" s="9">
        <v>19.45</v>
      </c>
      <c r="I1128" s="10">
        <v>21.0</v>
      </c>
      <c r="J1128" s="11">
        <v>0.0</v>
      </c>
      <c r="K1128" s="9">
        <v>2.01</v>
      </c>
      <c r="L1128" s="7" t="s">
        <v>17</v>
      </c>
    </row>
    <row r="1129" ht="15.75" customHeight="1">
      <c r="A1129" s="6">
        <v>10677.0</v>
      </c>
      <c r="B1129" s="7" t="s">
        <v>74</v>
      </c>
      <c r="C1129" s="8">
        <v>45191.0</v>
      </c>
      <c r="D1129" s="8">
        <v>45219.0</v>
      </c>
      <c r="E1129" s="8">
        <v>45195.0</v>
      </c>
      <c r="F1129" s="8">
        <v>45210.0</v>
      </c>
      <c r="G1129" s="6">
        <v>26.0</v>
      </c>
      <c r="H1129" s="9">
        <v>31.23</v>
      </c>
      <c r="I1129" s="10">
        <v>30.0</v>
      </c>
      <c r="J1129" s="11">
        <v>0.15</v>
      </c>
      <c r="K1129" s="9">
        <v>4.03</v>
      </c>
      <c r="L1129" s="7" t="s">
        <v>13</v>
      </c>
    </row>
    <row r="1130" ht="15.75" customHeight="1">
      <c r="A1130" s="6">
        <v>10677.0</v>
      </c>
      <c r="B1130" s="7" t="s">
        <v>74</v>
      </c>
      <c r="C1130" s="8">
        <v>45191.0</v>
      </c>
      <c r="D1130" s="8">
        <v>45219.0</v>
      </c>
      <c r="E1130" s="8">
        <v>45195.0</v>
      </c>
      <c r="F1130" s="8">
        <v>45210.0</v>
      </c>
      <c r="G1130" s="6">
        <v>33.0</v>
      </c>
      <c r="H1130" s="9">
        <v>2.5</v>
      </c>
      <c r="I1130" s="10">
        <v>8.0</v>
      </c>
      <c r="J1130" s="11">
        <v>0.15</v>
      </c>
      <c r="K1130" s="9">
        <v>4.03</v>
      </c>
      <c r="L1130" s="7" t="s">
        <v>13</v>
      </c>
    </row>
    <row r="1131" ht="15.75" customHeight="1">
      <c r="A1131" s="6">
        <v>10678.0</v>
      </c>
      <c r="B1131" s="7" t="s">
        <v>60</v>
      </c>
      <c r="C1131" s="8">
        <v>45192.0</v>
      </c>
      <c r="D1131" s="8">
        <v>45220.0</v>
      </c>
      <c r="E1131" s="8">
        <v>45215.0</v>
      </c>
      <c r="F1131" s="8">
        <v>45232.0</v>
      </c>
      <c r="G1131" s="6">
        <v>12.0</v>
      </c>
      <c r="H1131" s="9">
        <v>38.0</v>
      </c>
      <c r="I1131" s="10">
        <v>100.0</v>
      </c>
      <c r="J1131" s="11">
        <v>0.0</v>
      </c>
      <c r="K1131" s="9">
        <v>388.98</v>
      </c>
      <c r="L1131" s="7" t="s">
        <v>13</v>
      </c>
    </row>
    <row r="1132" ht="15.75" customHeight="1">
      <c r="A1132" s="6">
        <v>10678.0</v>
      </c>
      <c r="B1132" s="7" t="s">
        <v>60</v>
      </c>
      <c r="C1132" s="8">
        <v>45192.0</v>
      </c>
      <c r="D1132" s="8">
        <v>45220.0</v>
      </c>
      <c r="E1132" s="8">
        <v>45215.0</v>
      </c>
      <c r="F1132" s="8">
        <v>45232.0</v>
      </c>
      <c r="G1132" s="6">
        <v>33.0</v>
      </c>
      <c r="H1132" s="9">
        <v>2.5</v>
      </c>
      <c r="I1132" s="10">
        <v>30.0</v>
      </c>
      <c r="J1132" s="11">
        <v>0.0</v>
      </c>
      <c r="K1132" s="9">
        <v>388.98</v>
      </c>
      <c r="L1132" s="7" t="s">
        <v>13</v>
      </c>
    </row>
    <row r="1133" ht="15.75" customHeight="1">
      <c r="A1133" s="6">
        <v>10678.0</v>
      </c>
      <c r="B1133" s="7" t="s">
        <v>60</v>
      </c>
      <c r="C1133" s="8">
        <v>45192.0</v>
      </c>
      <c r="D1133" s="8">
        <v>45220.0</v>
      </c>
      <c r="E1133" s="8">
        <v>45215.0</v>
      </c>
      <c r="F1133" s="8">
        <v>45232.0</v>
      </c>
      <c r="G1133" s="6">
        <v>41.0</v>
      </c>
      <c r="H1133" s="9">
        <v>9.65</v>
      </c>
      <c r="I1133" s="10">
        <v>120.0</v>
      </c>
      <c r="J1133" s="11">
        <v>0.0</v>
      </c>
      <c r="K1133" s="9">
        <v>388.98</v>
      </c>
      <c r="L1133" s="7" t="s">
        <v>13</v>
      </c>
    </row>
    <row r="1134" ht="15.75" customHeight="1">
      <c r="A1134" s="6">
        <v>10678.0</v>
      </c>
      <c r="B1134" s="7" t="s">
        <v>60</v>
      </c>
      <c r="C1134" s="8">
        <v>45192.0</v>
      </c>
      <c r="D1134" s="8">
        <v>45220.0</v>
      </c>
      <c r="E1134" s="8">
        <v>45215.0</v>
      </c>
      <c r="F1134" s="8">
        <v>45232.0</v>
      </c>
      <c r="G1134" s="6">
        <v>54.0</v>
      </c>
      <c r="H1134" s="9">
        <v>7.45</v>
      </c>
      <c r="I1134" s="10">
        <v>30.0</v>
      </c>
      <c r="J1134" s="11">
        <v>0.0</v>
      </c>
      <c r="K1134" s="9">
        <v>388.98</v>
      </c>
      <c r="L1134" s="7" t="s">
        <v>13</v>
      </c>
    </row>
    <row r="1135" ht="15.75" customHeight="1">
      <c r="A1135" s="6">
        <v>10679.0</v>
      </c>
      <c r="B1135" s="7" t="s">
        <v>30</v>
      </c>
      <c r="C1135" s="8">
        <v>45192.0</v>
      </c>
      <c r="D1135" s="8">
        <v>45220.0</v>
      </c>
      <c r="E1135" s="8">
        <v>45199.0</v>
      </c>
      <c r="F1135" s="8">
        <v>45205.0</v>
      </c>
      <c r="G1135" s="6">
        <v>59.0</v>
      </c>
      <c r="H1135" s="9">
        <v>55.0</v>
      </c>
      <c r="I1135" s="10">
        <v>12.0</v>
      </c>
      <c r="J1135" s="11">
        <v>0.0</v>
      </c>
      <c r="K1135" s="9">
        <v>27.94</v>
      </c>
      <c r="L1135" s="7" t="s">
        <v>13</v>
      </c>
    </row>
    <row r="1136" ht="15.75" customHeight="1">
      <c r="A1136" s="6">
        <v>10680.0</v>
      </c>
      <c r="B1136" s="7" t="s">
        <v>52</v>
      </c>
      <c r="C1136" s="8">
        <v>45193.0</v>
      </c>
      <c r="D1136" s="8">
        <v>45221.0</v>
      </c>
      <c r="E1136" s="8">
        <v>45195.0</v>
      </c>
      <c r="F1136" s="8">
        <v>45206.0</v>
      </c>
      <c r="G1136" s="6">
        <v>16.0</v>
      </c>
      <c r="H1136" s="9">
        <v>17.45</v>
      </c>
      <c r="I1136" s="10">
        <v>50.0</v>
      </c>
      <c r="J1136" s="11">
        <v>0.25</v>
      </c>
      <c r="K1136" s="9">
        <v>26.61</v>
      </c>
      <c r="L1136" s="7" t="s">
        <v>15</v>
      </c>
    </row>
    <row r="1137" ht="15.75" customHeight="1">
      <c r="A1137" s="6">
        <v>10680.0</v>
      </c>
      <c r="B1137" s="7" t="s">
        <v>52</v>
      </c>
      <c r="C1137" s="8">
        <v>45193.0</v>
      </c>
      <c r="D1137" s="8">
        <v>45221.0</v>
      </c>
      <c r="E1137" s="8">
        <v>45195.0</v>
      </c>
      <c r="F1137" s="8">
        <v>45206.0</v>
      </c>
      <c r="G1137" s="6">
        <v>31.0</v>
      </c>
      <c r="H1137" s="9">
        <v>12.5</v>
      </c>
      <c r="I1137" s="10">
        <v>20.0</v>
      </c>
      <c r="J1137" s="11">
        <v>0.25</v>
      </c>
      <c r="K1137" s="9">
        <v>26.61</v>
      </c>
      <c r="L1137" s="7" t="s">
        <v>15</v>
      </c>
    </row>
    <row r="1138" ht="15.75" customHeight="1">
      <c r="A1138" s="6">
        <v>10680.0</v>
      </c>
      <c r="B1138" s="7" t="s">
        <v>52</v>
      </c>
      <c r="C1138" s="8">
        <v>45193.0</v>
      </c>
      <c r="D1138" s="8">
        <v>45221.0</v>
      </c>
      <c r="E1138" s="8">
        <v>45195.0</v>
      </c>
      <c r="F1138" s="8">
        <v>45206.0</v>
      </c>
      <c r="G1138" s="6">
        <v>42.0</v>
      </c>
      <c r="H1138" s="9">
        <v>14.0</v>
      </c>
      <c r="I1138" s="10">
        <v>40.0</v>
      </c>
      <c r="J1138" s="11">
        <v>0.25</v>
      </c>
      <c r="K1138" s="9">
        <v>26.61</v>
      </c>
      <c r="L1138" s="7" t="s">
        <v>15</v>
      </c>
    </row>
    <row r="1139" ht="15.75" customHeight="1">
      <c r="A1139" s="6">
        <v>10681.0</v>
      </c>
      <c r="B1139" s="7" t="s">
        <v>94</v>
      </c>
      <c r="C1139" s="8">
        <v>45194.0</v>
      </c>
      <c r="D1139" s="8">
        <v>45222.0</v>
      </c>
      <c r="E1139" s="8">
        <v>45199.0</v>
      </c>
      <c r="F1139" s="8">
        <v>45213.0</v>
      </c>
      <c r="G1139" s="6">
        <v>19.0</v>
      </c>
      <c r="H1139" s="9">
        <v>9.2</v>
      </c>
      <c r="I1139" s="10">
        <v>30.0</v>
      </c>
      <c r="J1139" s="11">
        <v>0.1</v>
      </c>
      <c r="K1139" s="9">
        <v>76.13</v>
      </c>
      <c r="L1139" s="7" t="s">
        <v>13</v>
      </c>
    </row>
    <row r="1140" ht="15.75" customHeight="1">
      <c r="A1140" s="6">
        <v>10681.0</v>
      </c>
      <c r="B1140" s="7" t="s">
        <v>94</v>
      </c>
      <c r="C1140" s="8">
        <v>45194.0</v>
      </c>
      <c r="D1140" s="8">
        <v>45222.0</v>
      </c>
      <c r="E1140" s="8">
        <v>45199.0</v>
      </c>
      <c r="F1140" s="8">
        <v>45213.0</v>
      </c>
      <c r="G1140" s="6">
        <v>21.0</v>
      </c>
      <c r="H1140" s="9">
        <v>10.0</v>
      </c>
      <c r="I1140" s="10">
        <v>12.0</v>
      </c>
      <c r="J1140" s="11">
        <v>0.1</v>
      </c>
      <c r="K1140" s="9">
        <v>76.13</v>
      </c>
      <c r="L1140" s="7" t="s">
        <v>13</v>
      </c>
    </row>
    <row r="1141" ht="15.75" customHeight="1">
      <c r="A1141" s="6">
        <v>10681.0</v>
      </c>
      <c r="B1141" s="7" t="s">
        <v>94</v>
      </c>
      <c r="C1141" s="8">
        <v>45194.0</v>
      </c>
      <c r="D1141" s="8">
        <v>45222.0</v>
      </c>
      <c r="E1141" s="8">
        <v>45199.0</v>
      </c>
      <c r="F1141" s="8">
        <v>45213.0</v>
      </c>
      <c r="G1141" s="6">
        <v>64.0</v>
      </c>
      <c r="H1141" s="9">
        <v>33.25</v>
      </c>
      <c r="I1141" s="10">
        <v>28.0</v>
      </c>
      <c r="J1141" s="11">
        <v>0.0</v>
      </c>
      <c r="K1141" s="9">
        <v>76.13</v>
      </c>
      <c r="L1141" s="7" t="s">
        <v>13</v>
      </c>
    </row>
    <row r="1142" ht="15.75" customHeight="1">
      <c r="A1142" s="6">
        <v>10682.0</v>
      </c>
      <c r="B1142" s="7" t="s">
        <v>74</v>
      </c>
      <c r="C1142" s="8">
        <v>45194.0</v>
      </c>
      <c r="D1142" s="8">
        <v>45222.0</v>
      </c>
      <c r="E1142" s="8">
        <v>45200.0</v>
      </c>
      <c r="F1142" s="8">
        <v>45216.0</v>
      </c>
      <c r="G1142" s="6">
        <v>33.0</v>
      </c>
      <c r="H1142" s="9">
        <v>2.5</v>
      </c>
      <c r="I1142" s="10">
        <v>30.0</v>
      </c>
      <c r="J1142" s="11">
        <v>0.0</v>
      </c>
      <c r="K1142" s="9">
        <v>36.13</v>
      </c>
      <c r="L1142" s="7" t="s">
        <v>17</v>
      </c>
    </row>
    <row r="1143" ht="15.75" customHeight="1">
      <c r="A1143" s="6">
        <v>10682.0</v>
      </c>
      <c r="B1143" s="7" t="s">
        <v>74</v>
      </c>
      <c r="C1143" s="8">
        <v>45194.0</v>
      </c>
      <c r="D1143" s="8">
        <v>45222.0</v>
      </c>
      <c r="E1143" s="8">
        <v>45200.0</v>
      </c>
      <c r="F1143" s="8">
        <v>45216.0</v>
      </c>
      <c r="G1143" s="6">
        <v>66.0</v>
      </c>
      <c r="H1143" s="9">
        <v>17.0</v>
      </c>
      <c r="I1143" s="10">
        <v>4.0</v>
      </c>
      <c r="J1143" s="11">
        <v>0.0</v>
      </c>
      <c r="K1143" s="9">
        <v>36.13</v>
      </c>
      <c r="L1143" s="7" t="s">
        <v>17</v>
      </c>
    </row>
    <row r="1144" ht="15.75" customHeight="1">
      <c r="A1144" s="6">
        <v>10682.0</v>
      </c>
      <c r="B1144" s="7" t="s">
        <v>74</v>
      </c>
      <c r="C1144" s="8">
        <v>45194.0</v>
      </c>
      <c r="D1144" s="8">
        <v>45222.0</v>
      </c>
      <c r="E1144" s="8">
        <v>45200.0</v>
      </c>
      <c r="F1144" s="8">
        <v>45216.0</v>
      </c>
      <c r="G1144" s="6">
        <v>75.0</v>
      </c>
      <c r="H1144" s="9">
        <v>7.75</v>
      </c>
      <c r="I1144" s="10">
        <v>30.0</v>
      </c>
      <c r="J1144" s="11">
        <v>0.0</v>
      </c>
      <c r="K1144" s="9">
        <v>36.13</v>
      </c>
      <c r="L1144" s="7" t="s">
        <v>17</v>
      </c>
    </row>
    <row r="1145" ht="15.75" customHeight="1">
      <c r="A1145" s="6">
        <v>10683.0</v>
      </c>
      <c r="B1145" s="7" t="s">
        <v>56</v>
      </c>
      <c r="C1145" s="8">
        <v>45195.0</v>
      </c>
      <c r="D1145" s="8">
        <v>45223.0</v>
      </c>
      <c r="E1145" s="8">
        <v>45200.0</v>
      </c>
      <c r="F1145" s="8">
        <v>45204.0</v>
      </c>
      <c r="G1145" s="6">
        <v>52.0</v>
      </c>
      <c r="H1145" s="9">
        <v>7.0</v>
      </c>
      <c r="I1145" s="10">
        <v>9.0</v>
      </c>
      <c r="J1145" s="11">
        <v>0.0</v>
      </c>
      <c r="K1145" s="9">
        <v>4.4</v>
      </c>
      <c r="L1145" s="7" t="s">
        <v>15</v>
      </c>
    </row>
    <row r="1146" ht="15.75" customHeight="1">
      <c r="A1146" s="6">
        <v>10684.0</v>
      </c>
      <c r="B1146" s="7" t="s">
        <v>26</v>
      </c>
      <c r="C1146" s="8">
        <v>45195.0</v>
      </c>
      <c r="D1146" s="8">
        <v>45223.0</v>
      </c>
      <c r="E1146" s="8">
        <v>45199.0</v>
      </c>
      <c r="F1146" s="8">
        <v>45203.0</v>
      </c>
      <c r="G1146" s="6">
        <v>40.0</v>
      </c>
      <c r="H1146" s="9">
        <v>18.4</v>
      </c>
      <c r="I1146" s="10">
        <v>20.0</v>
      </c>
      <c r="J1146" s="11">
        <v>0.0</v>
      </c>
      <c r="K1146" s="9">
        <v>145.63</v>
      </c>
      <c r="L1146" s="7" t="s">
        <v>15</v>
      </c>
    </row>
    <row r="1147" ht="15.75" customHeight="1">
      <c r="A1147" s="6">
        <v>10684.0</v>
      </c>
      <c r="B1147" s="7" t="s">
        <v>26</v>
      </c>
      <c r="C1147" s="8">
        <v>45195.0</v>
      </c>
      <c r="D1147" s="8">
        <v>45223.0</v>
      </c>
      <c r="E1147" s="8">
        <v>45199.0</v>
      </c>
      <c r="F1147" s="8">
        <v>45203.0</v>
      </c>
      <c r="G1147" s="6">
        <v>47.0</v>
      </c>
      <c r="H1147" s="9">
        <v>9.5</v>
      </c>
      <c r="I1147" s="10">
        <v>40.0</v>
      </c>
      <c r="J1147" s="11">
        <v>0.0</v>
      </c>
      <c r="K1147" s="9">
        <v>145.63</v>
      </c>
      <c r="L1147" s="7" t="s">
        <v>15</v>
      </c>
    </row>
    <row r="1148" ht="15.75" customHeight="1">
      <c r="A1148" s="6">
        <v>10684.0</v>
      </c>
      <c r="B1148" s="7" t="s">
        <v>26</v>
      </c>
      <c r="C1148" s="8">
        <v>45195.0</v>
      </c>
      <c r="D1148" s="8">
        <v>45223.0</v>
      </c>
      <c r="E1148" s="8">
        <v>45199.0</v>
      </c>
      <c r="F1148" s="8">
        <v>45203.0</v>
      </c>
      <c r="G1148" s="6">
        <v>60.0</v>
      </c>
      <c r="H1148" s="9">
        <v>34.0</v>
      </c>
      <c r="I1148" s="10">
        <v>30.0</v>
      </c>
      <c r="J1148" s="11">
        <v>0.0</v>
      </c>
      <c r="K1148" s="9">
        <v>145.63</v>
      </c>
      <c r="L1148" s="7" t="s">
        <v>15</v>
      </c>
    </row>
    <row r="1149" ht="15.75" customHeight="1">
      <c r="A1149" s="6">
        <v>10685.0</v>
      </c>
      <c r="B1149" s="7" t="s">
        <v>86</v>
      </c>
      <c r="C1149" s="8">
        <v>45198.0</v>
      </c>
      <c r="D1149" s="8">
        <v>45212.0</v>
      </c>
      <c r="E1149" s="8">
        <v>45202.0</v>
      </c>
      <c r="F1149" s="8">
        <v>45222.0</v>
      </c>
      <c r="G1149" s="6">
        <v>10.0</v>
      </c>
      <c r="H1149" s="9">
        <v>31.0</v>
      </c>
      <c r="I1149" s="10">
        <v>20.0</v>
      </c>
      <c r="J1149" s="11">
        <v>0.0</v>
      </c>
      <c r="K1149" s="9">
        <v>33.75</v>
      </c>
      <c r="L1149" s="7" t="s">
        <v>17</v>
      </c>
    </row>
    <row r="1150" ht="15.75" customHeight="1">
      <c r="A1150" s="6">
        <v>10685.0</v>
      </c>
      <c r="B1150" s="7" t="s">
        <v>86</v>
      </c>
      <c r="C1150" s="8">
        <v>45198.0</v>
      </c>
      <c r="D1150" s="8">
        <v>45212.0</v>
      </c>
      <c r="E1150" s="8">
        <v>45202.0</v>
      </c>
      <c r="F1150" s="8">
        <v>45222.0</v>
      </c>
      <c r="G1150" s="6">
        <v>41.0</v>
      </c>
      <c r="H1150" s="9">
        <v>9.65</v>
      </c>
      <c r="I1150" s="10">
        <v>4.0</v>
      </c>
      <c r="J1150" s="11">
        <v>0.0</v>
      </c>
      <c r="K1150" s="9">
        <v>33.75</v>
      </c>
      <c r="L1150" s="7" t="s">
        <v>17</v>
      </c>
    </row>
    <row r="1151" ht="15.75" customHeight="1">
      <c r="A1151" s="6">
        <v>10685.0</v>
      </c>
      <c r="B1151" s="7" t="s">
        <v>86</v>
      </c>
      <c r="C1151" s="8">
        <v>45198.0</v>
      </c>
      <c r="D1151" s="8">
        <v>45212.0</v>
      </c>
      <c r="E1151" s="8">
        <v>45202.0</v>
      </c>
      <c r="F1151" s="8">
        <v>45222.0</v>
      </c>
      <c r="G1151" s="6">
        <v>47.0</v>
      </c>
      <c r="H1151" s="9">
        <v>9.5</v>
      </c>
      <c r="I1151" s="10">
        <v>15.0</v>
      </c>
      <c r="J1151" s="11">
        <v>0.0</v>
      </c>
      <c r="K1151" s="9">
        <v>33.75</v>
      </c>
      <c r="L1151" s="7" t="s">
        <v>17</v>
      </c>
    </row>
    <row r="1152" ht="15.75" customHeight="1">
      <c r="A1152" s="6">
        <v>10686.0</v>
      </c>
      <c r="B1152" s="7" t="s">
        <v>69</v>
      </c>
      <c r="C1152" s="8">
        <v>45199.0</v>
      </c>
      <c r="D1152" s="8">
        <v>45227.0</v>
      </c>
      <c r="E1152" s="8">
        <v>45207.0</v>
      </c>
      <c r="F1152" s="8">
        <v>45218.0</v>
      </c>
      <c r="G1152" s="6">
        <v>17.0</v>
      </c>
      <c r="H1152" s="9">
        <v>39.0</v>
      </c>
      <c r="I1152" s="10">
        <v>30.0</v>
      </c>
      <c r="J1152" s="11">
        <v>0.2</v>
      </c>
      <c r="K1152" s="9">
        <v>96.5</v>
      </c>
      <c r="L1152" s="7" t="s">
        <v>15</v>
      </c>
    </row>
    <row r="1153" ht="15.75" customHeight="1">
      <c r="A1153" s="6">
        <v>10686.0</v>
      </c>
      <c r="B1153" s="7" t="s">
        <v>69</v>
      </c>
      <c r="C1153" s="8">
        <v>45199.0</v>
      </c>
      <c r="D1153" s="8">
        <v>45227.0</v>
      </c>
      <c r="E1153" s="8">
        <v>45207.0</v>
      </c>
      <c r="F1153" s="8">
        <v>45218.0</v>
      </c>
      <c r="G1153" s="6">
        <v>26.0</v>
      </c>
      <c r="H1153" s="9">
        <v>31.23</v>
      </c>
      <c r="I1153" s="10">
        <v>15.0</v>
      </c>
      <c r="J1153" s="11">
        <v>0.0</v>
      </c>
      <c r="K1153" s="9">
        <v>96.5</v>
      </c>
      <c r="L1153" s="7" t="s">
        <v>15</v>
      </c>
    </row>
    <row r="1154" ht="15.75" customHeight="1">
      <c r="A1154" s="6">
        <v>10687.0</v>
      </c>
      <c r="B1154" s="7" t="s">
        <v>49</v>
      </c>
      <c r="C1154" s="8">
        <v>45199.0</v>
      </c>
      <c r="D1154" s="8">
        <v>45227.0</v>
      </c>
      <c r="E1154" s="8">
        <v>45229.0</v>
      </c>
      <c r="F1154" s="8">
        <v>45245.0</v>
      </c>
      <c r="G1154" s="6">
        <v>9.0</v>
      </c>
      <c r="H1154" s="9">
        <v>97.0</v>
      </c>
      <c r="I1154" s="10">
        <v>50.0</v>
      </c>
      <c r="J1154" s="11">
        <v>0.25</v>
      </c>
      <c r="K1154" s="9">
        <v>296.43</v>
      </c>
      <c r="L1154" s="7" t="s">
        <v>17</v>
      </c>
    </row>
    <row r="1155" ht="15.75" customHeight="1">
      <c r="A1155" s="6">
        <v>10687.0</v>
      </c>
      <c r="B1155" s="7" t="s">
        <v>49</v>
      </c>
      <c r="C1155" s="8">
        <v>45199.0</v>
      </c>
      <c r="D1155" s="8">
        <v>45227.0</v>
      </c>
      <c r="E1155" s="8">
        <v>45229.0</v>
      </c>
      <c r="F1155" s="8">
        <v>45245.0</v>
      </c>
      <c r="G1155" s="6">
        <v>29.0</v>
      </c>
      <c r="H1155" s="9">
        <v>123.79</v>
      </c>
      <c r="I1155" s="10">
        <v>10.0</v>
      </c>
      <c r="J1155" s="11">
        <v>0.0</v>
      </c>
      <c r="K1155" s="9">
        <v>296.43</v>
      </c>
      <c r="L1155" s="7" t="s">
        <v>17</v>
      </c>
    </row>
    <row r="1156" ht="15.75" customHeight="1">
      <c r="A1156" s="6">
        <v>10687.0</v>
      </c>
      <c r="B1156" s="7" t="s">
        <v>49</v>
      </c>
      <c r="C1156" s="8">
        <v>45199.0</v>
      </c>
      <c r="D1156" s="8">
        <v>45227.0</v>
      </c>
      <c r="E1156" s="8">
        <v>45229.0</v>
      </c>
      <c r="F1156" s="8">
        <v>45245.0</v>
      </c>
      <c r="G1156" s="6">
        <v>36.0</v>
      </c>
      <c r="H1156" s="9">
        <v>19.0</v>
      </c>
      <c r="I1156" s="10">
        <v>6.0</v>
      </c>
      <c r="J1156" s="11">
        <v>0.25</v>
      </c>
      <c r="K1156" s="9">
        <v>296.43</v>
      </c>
      <c r="L1156" s="7" t="s">
        <v>17</v>
      </c>
    </row>
    <row r="1157" ht="15.75" customHeight="1">
      <c r="A1157" s="6">
        <v>10688.0</v>
      </c>
      <c r="B1157" s="7" t="s">
        <v>76</v>
      </c>
      <c r="C1157" s="8">
        <v>45200.0</v>
      </c>
      <c r="D1157" s="8">
        <v>45214.0</v>
      </c>
      <c r="E1157" s="8">
        <v>45206.0</v>
      </c>
      <c r="F1157" s="8">
        <v>45218.0</v>
      </c>
      <c r="G1157" s="6">
        <v>10.0</v>
      </c>
      <c r="H1157" s="9">
        <v>31.0</v>
      </c>
      <c r="I1157" s="10">
        <v>18.0</v>
      </c>
      <c r="J1157" s="11">
        <v>0.1</v>
      </c>
      <c r="K1157" s="9">
        <v>299.09</v>
      </c>
      <c r="L1157" s="7" t="s">
        <v>17</v>
      </c>
    </row>
    <row r="1158" ht="15.75" customHeight="1">
      <c r="A1158" s="6">
        <v>10688.0</v>
      </c>
      <c r="B1158" s="7" t="s">
        <v>76</v>
      </c>
      <c r="C1158" s="8">
        <v>45200.0</v>
      </c>
      <c r="D1158" s="8">
        <v>45214.0</v>
      </c>
      <c r="E1158" s="8">
        <v>45206.0</v>
      </c>
      <c r="F1158" s="8">
        <v>45218.0</v>
      </c>
      <c r="G1158" s="6">
        <v>28.0</v>
      </c>
      <c r="H1158" s="9">
        <v>45.6</v>
      </c>
      <c r="I1158" s="10">
        <v>60.0</v>
      </c>
      <c r="J1158" s="11">
        <v>0.1</v>
      </c>
      <c r="K1158" s="9">
        <v>299.09</v>
      </c>
      <c r="L1158" s="7" t="s">
        <v>17</v>
      </c>
    </row>
    <row r="1159" ht="15.75" customHeight="1">
      <c r="A1159" s="6">
        <v>10688.0</v>
      </c>
      <c r="B1159" s="7" t="s">
        <v>76</v>
      </c>
      <c r="C1159" s="8">
        <v>45200.0</v>
      </c>
      <c r="D1159" s="8">
        <v>45214.0</v>
      </c>
      <c r="E1159" s="8">
        <v>45206.0</v>
      </c>
      <c r="F1159" s="8">
        <v>45218.0</v>
      </c>
      <c r="G1159" s="6">
        <v>34.0</v>
      </c>
      <c r="H1159" s="9">
        <v>14.0</v>
      </c>
      <c r="I1159" s="10">
        <v>14.0</v>
      </c>
      <c r="J1159" s="11">
        <v>0.0</v>
      </c>
      <c r="K1159" s="9">
        <v>299.09</v>
      </c>
      <c r="L1159" s="7" t="s">
        <v>17</v>
      </c>
    </row>
    <row r="1160" ht="15.75" customHeight="1">
      <c r="A1160" s="6">
        <v>10689.0</v>
      </c>
      <c r="B1160" s="7" t="s">
        <v>40</v>
      </c>
      <c r="C1160" s="8">
        <v>45200.0</v>
      </c>
      <c r="D1160" s="8">
        <v>45228.0</v>
      </c>
      <c r="E1160" s="8">
        <v>45206.0</v>
      </c>
      <c r="F1160" s="8">
        <v>45217.0</v>
      </c>
      <c r="G1160" s="6">
        <v>1.0</v>
      </c>
      <c r="H1160" s="9">
        <v>18.0</v>
      </c>
      <c r="I1160" s="10">
        <v>35.0</v>
      </c>
      <c r="J1160" s="11">
        <v>0.25</v>
      </c>
      <c r="K1160" s="9">
        <v>13.42</v>
      </c>
      <c r="L1160" s="7" t="s">
        <v>17</v>
      </c>
    </row>
    <row r="1161" ht="15.75" customHeight="1">
      <c r="A1161" s="6">
        <v>10690.0</v>
      </c>
      <c r="B1161" s="7" t="s">
        <v>16</v>
      </c>
      <c r="C1161" s="8">
        <v>45201.0</v>
      </c>
      <c r="D1161" s="8">
        <v>45229.0</v>
      </c>
      <c r="E1161" s="8">
        <v>45202.0</v>
      </c>
      <c r="F1161" s="8">
        <v>45216.0</v>
      </c>
      <c r="G1161" s="6">
        <v>56.0</v>
      </c>
      <c r="H1161" s="9">
        <v>38.0</v>
      </c>
      <c r="I1161" s="10">
        <v>20.0</v>
      </c>
      <c r="J1161" s="11">
        <v>0.25</v>
      </c>
      <c r="K1161" s="9">
        <v>15.8</v>
      </c>
      <c r="L1161" s="7" t="s">
        <v>15</v>
      </c>
    </row>
    <row r="1162" ht="15.75" customHeight="1">
      <c r="A1162" s="6">
        <v>10690.0</v>
      </c>
      <c r="B1162" s="7" t="s">
        <v>16</v>
      </c>
      <c r="C1162" s="8">
        <v>45201.0</v>
      </c>
      <c r="D1162" s="8">
        <v>45229.0</v>
      </c>
      <c r="E1162" s="8">
        <v>45202.0</v>
      </c>
      <c r="F1162" s="8">
        <v>45216.0</v>
      </c>
      <c r="G1162" s="6">
        <v>77.0</v>
      </c>
      <c r="H1162" s="9">
        <v>13.0</v>
      </c>
      <c r="I1162" s="10">
        <v>30.0</v>
      </c>
      <c r="J1162" s="11">
        <v>0.25</v>
      </c>
      <c r="K1162" s="9">
        <v>15.8</v>
      </c>
      <c r="L1162" s="7" t="s">
        <v>15</v>
      </c>
    </row>
    <row r="1163" ht="15.75" customHeight="1">
      <c r="A1163" s="6">
        <v>10691.0</v>
      </c>
      <c r="B1163" s="7" t="s">
        <v>36</v>
      </c>
      <c r="C1163" s="8">
        <v>45202.0</v>
      </c>
      <c r="D1163" s="8">
        <v>45244.0</v>
      </c>
      <c r="E1163" s="8">
        <v>45221.0</v>
      </c>
      <c r="F1163" s="8">
        <v>45230.0</v>
      </c>
      <c r="G1163" s="6">
        <v>1.0</v>
      </c>
      <c r="H1163" s="9">
        <v>18.0</v>
      </c>
      <c r="I1163" s="10">
        <v>30.0</v>
      </c>
      <c r="J1163" s="11">
        <v>0.0</v>
      </c>
      <c r="K1163" s="9">
        <v>810.05</v>
      </c>
      <c r="L1163" s="7" t="s">
        <v>17</v>
      </c>
    </row>
    <row r="1164" ht="15.75" customHeight="1">
      <c r="A1164" s="6">
        <v>10691.0</v>
      </c>
      <c r="B1164" s="7" t="s">
        <v>36</v>
      </c>
      <c r="C1164" s="8">
        <v>45202.0</v>
      </c>
      <c r="D1164" s="8">
        <v>45244.0</v>
      </c>
      <c r="E1164" s="8">
        <v>45221.0</v>
      </c>
      <c r="F1164" s="8">
        <v>45230.0</v>
      </c>
      <c r="G1164" s="6">
        <v>29.0</v>
      </c>
      <c r="H1164" s="9">
        <v>123.79</v>
      </c>
      <c r="I1164" s="10">
        <v>40.0</v>
      </c>
      <c r="J1164" s="11">
        <v>0.0</v>
      </c>
      <c r="K1164" s="9">
        <v>810.05</v>
      </c>
      <c r="L1164" s="7" t="s">
        <v>17</v>
      </c>
    </row>
    <row r="1165" ht="15.75" customHeight="1">
      <c r="A1165" s="6">
        <v>10691.0</v>
      </c>
      <c r="B1165" s="7" t="s">
        <v>36</v>
      </c>
      <c r="C1165" s="8">
        <v>45202.0</v>
      </c>
      <c r="D1165" s="8">
        <v>45244.0</v>
      </c>
      <c r="E1165" s="8">
        <v>45221.0</v>
      </c>
      <c r="F1165" s="8">
        <v>45230.0</v>
      </c>
      <c r="G1165" s="6">
        <v>43.0</v>
      </c>
      <c r="H1165" s="9">
        <v>46.0</v>
      </c>
      <c r="I1165" s="10">
        <v>40.0</v>
      </c>
      <c r="J1165" s="11">
        <v>0.0</v>
      </c>
      <c r="K1165" s="9">
        <v>810.05</v>
      </c>
      <c r="L1165" s="7" t="s">
        <v>17</v>
      </c>
    </row>
    <row r="1166" ht="15.75" customHeight="1">
      <c r="A1166" s="6">
        <v>10691.0</v>
      </c>
      <c r="B1166" s="7" t="s">
        <v>36</v>
      </c>
      <c r="C1166" s="8">
        <v>45202.0</v>
      </c>
      <c r="D1166" s="8">
        <v>45244.0</v>
      </c>
      <c r="E1166" s="8">
        <v>45221.0</v>
      </c>
      <c r="F1166" s="8">
        <v>45230.0</v>
      </c>
      <c r="G1166" s="6">
        <v>44.0</v>
      </c>
      <c r="H1166" s="9">
        <v>19.45</v>
      </c>
      <c r="I1166" s="10">
        <v>24.0</v>
      </c>
      <c r="J1166" s="11">
        <v>0.0</v>
      </c>
      <c r="K1166" s="9">
        <v>810.05</v>
      </c>
      <c r="L1166" s="7" t="s">
        <v>17</v>
      </c>
    </row>
    <row r="1167" ht="15.75" customHeight="1">
      <c r="A1167" s="6">
        <v>10691.0</v>
      </c>
      <c r="B1167" s="7" t="s">
        <v>36</v>
      </c>
      <c r="C1167" s="8">
        <v>45202.0</v>
      </c>
      <c r="D1167" s="8">
        <v>45244.0</v>
      </c>
      <c r="E1167" s="8">
        <v>45221.0</v>
      </c>
      <c r="F1167" s="8">
        <v>45230.0</v>
      </c>
      <c r="G1167" s="6">
        <v>62.0</v>
      </c>
      <c r="H1167" s="9">
        <v>49.3</v>
      </c>
      <c r="I1167" s="10">
        <v>48.0</v>
      </c>
      <c r="J1167" s="11">
        <v>0.0</v>
      </c>
      <c r="K1167" s="9">
        <v>810.05</v>
      </c>
      <c r="L1167" s="7" t="s">
        <v>17</v>
      </c>
    </row>
    <row r="1168" ht="15.75" customHeight="1">
      <c r="A1168" s="6">
        <v>10692.0</v>
      </c>
      <c r="B1168" s="7" t="s">
        <v>100</v>
      </c>
      <c r="C1168" s="8">
        <v>45202.0</v>
      </c>
      <c r="D1168" s="8">
        <v>45230.0</v>
      </c>
      <c r="E1168" s="8">
        <v>45212.0</v>
      </c>
      <c r="F1168" s="8">
        <v>45221.0</v>
      </c>
      <c r="G1168" s="6">
        <v>63.0</v>
      </c>
      <c r="H1168" s="9">
        <v>43.9</v>
      </c>
      <c r="I1168" s="10">
        <v>20.0</v>
      </c>
      <c r="J1168" s="11">
        <v>0.0</v>
      </c>
      <c r="K1168" s="9">
        <v>61.02</v>
      </c>
      <c r="L1168" s="7" t="s">
        <v>17</v>
      </c>
    </row>
    <row r="1169" ht="15.75" customHeight="1">
      <c r="A1169" s="6">
        <v>10693.0</v>
      </c>
      <c r="B1169" s="7" t="s">
        <v>34</v>
      </c>
      <c r="C1169" s="8">
        <v>45205.0</v>
      </c>
      <c r="D1169" s="8">
        <v>45219.0</v>
      </c>
      <c r="E1169" s="8">
        <v>45209.0</v>
      </c>
      <c r="F1169" s="8">
        <v>45222.0</v>
      </c>
      <c r="G1169" s="6">
        <v>9.0</v>
      </c>
      <c r="H1169" s="9">
        <v>97.0</v>
      </c>
      <c r="I1169" s="10">
        <v>6.0</v>
      </c>
      <c r="J1169" s="11">
        <v>0.0</v>
      </c>
      <c r="K1169" s="9">
        <v>139.34</v>
      </c>
      <c r="L1169" s="7" t="s">
        <v>13</v>
      </c>
    </row>
    <row r="1170" ht="15.75" customHeight="1">
      <c r="A1170" s="6">
        <v>10693.0</v>
      </c>
      <c r="B1170" s="7" t="s">
        <v>34</v>
      </c>
      <c r="C1170" s="8">
        <v>45205.0</v>
      </c>
      <c r="D1170" s="8">
        <v>45219.0</v>
      </c>
      <c r="E1170" s="8">
        <v>45209.0</v>
      </c>
      <c r="F1170" s="8">
        <v>45222.0</v>
      </c>
      <c r="G1170" s="6">
        <v>54.0</v>
      </c>
      <c r="H1170" s="9">
        <v>7.45</v>
      </c>
      <c r="I1170" s="10">
        <v>60.0</v>
      </c>
      <c r="J1170" s="11">
        <v>0.15</v>
      </c>
      <c r="K1170" s="9">
        <v>139.34</v>
      </c>
      <c r="L1170" s="7" t="s">
        <v>13</v>
      </c>
    </row>
    <row r="1171" ht="15.75" customHeight="1">
      <c r="A1171" s="6">
        <v>10693.0</v>
      </c>
      <c r="B1171" s="7" t="s">
        <v>34</v>
      </c>
      <c r="C1171" s="8">
        <v>45205.0</v>
      </c>
      <c r="D1171" s="8">
        <v>45219.0</v>
      </c>
      <c r="E1171" s="8">
        <v>45209.0</v>
      </c>
      <c r="F1171" s="8">
        <v>45222.0</v>
      </c>
      <c r="G1171" s="6">
        <v>69.0</v>
      </c>
      <c r="H1171" s="9">
        <v>36.0</v>
      </c>
      <c r="I1171" s="10">
        <v>30.0</v>
      </c>
      <c r="J1171" s="11">
        <v>0.15</v>
      </c>
      <c r="K1171" s="9">
        <v>139.34</v>
      </c>
      <c r="L1171" s="7" t="s">
        <v>13</v>
      </c>
    </row>
    <row r="1172" ht="15.75" customHeight="1">
      <c r="A1172" s="6">
        <v>10693.0</v>
      </c>
      <c r="B1172" s="7" t="s">
        <v>34</v>
      </c>
      <c r="C1172" s="8">
        <v>45205.0</v>
      </c>
      <c r="D1172" s="8">
        <v>45219.0</v>
      </c>
      <c r="E1172" s="8">
        <v>45209.0</v>
      </c>
      <c r="F1172" s="8">
        <v>45222.0</v>
      </c>
      <c r="G1172" s="6">
        <v>73.0</v>
      </c>
      <c r="H1172" s="9">
        <v>15.0</v>
      </c>
      <c r="I1172" s="10">
        <v>15.0</v>
      </c>
      <c r="J1172" s="11">
        <v>0.15</v>
      </c>
      <c r="K1172" s="9">
        <v>139.34</v>
      </c>
      <c r="L1172" s="7" t="s">
        <v>13</v>
      </c>
    </row>
    <row r="1173" ht="15.75" customHeight="1">
      <c r="A1173" s="6">
        <v>10694.0</v>
      </c>
      <c r="B1173" s="7" t="s">
        <v>36</v>
      </c>
      <c r="C1173" s="8">
        <v>45205.0</v>
      </c>
      <c r="D1173" s="8">
        <v>45233.0</v>
      </c>
      <c r="E1173" s="8">
        <v>45208.0</v>
      </c>
      <c r="F1173" s="8">
        <v>45214.0</v>
      </c>
      <c r="G1173" s="6">
        <v>7.0</v>
      </c>
      <c r="H1173" s="9">
        <v>30.0</v>
      </c>
      <c r="I1173" s="10">
        <v>90.0</v>
      </c>
      <c r="J1173" s="11">
        <v>0.0</v>
      </c>
      <c r="K1173" s="9">
        <v>398.36</v>
      </c>
      <c r="L1173" s="7" t="s">
        <v>13</v>
      </c>
    </row>
    <row r="1174" ht="15.75" customHeight="1">
      <c r="A1174" s="6">
        <v>10694.0</v>
      </c>
      <c r="B1174" s="7" t="s">
        <v>36</v>
      </c>
      <c r="C1174" s="8">
        <v>45205.0</v>
      </c>
      <c r="D1174" s="8">
        <v>45233.0</v>
      </c>
      <c r="E1174" s="8">
        <v>45208.0</v>
      </c>
      <c r="F1174" s="8">
        <v>45214.0</v>
      </c>
      <c r="G1174" s="6">
        <v>59.0</v>
      </c>
      <c r="H1174" s="9">
        <v>55.0</v>
      </c>
      <c r="I1174" s="10">
        <v>25.0</v>
      </c>
      <c r="J1174" s="11">
        <v>0.0</v>
      </c>
      <c r="K1174" s="9">
        <v>398.36</v>
      </c>
      <c r="L1174" s="7" t="s">
        <v>13</v>
      </c>
    </row>
    <row r="1175" ht="15.75" customHeight="1">
      <c r="A1175" s="6">
        <v>10694.0</v>
      </c>
      <c r="B1175" s="7" t="s">
        <v>36</v>
      </c>
      <c r="C1175" s="8">
        <v>45205.0</v>
      </c>
      <c r="D1175" s="8">
        <v>45233.0</v>
      </c>
      <c r="E1175" s="8">
        <v>45208.0</v>
      </c>
      <c r="F1175" s="8">
        <v>45214.0</v>
      </c>
      <c r="G1175" s="6">
        <v>70.0</v>
      </c>
      <c r="H1175" s="9">
        <v>15.0</v>
      </c>
      <c r="I1175" s="10">
        <v>50.0</v>
      </c>
      <c r="J1175" s="11">
        <v>0.0</v>
      </c>
      <c r="K1175" s="9">
        <v>398.36</v>
      </c>
      <c r="L1175" s="7" t="s">
        <v>13</v>
      </c>
    </row>
    <row r="1176" ht="15.75" customHeight="1">
      <c r="A1176" s="6">
        <v>10695.0</v>
      </c>
      <c r="B1176" s="7" t="s">
        <v>98</v>
      </c>
      <c r="C1176" s="8">
        <v>45206.0</v>
      </c>
      <c r="D1176" s="8">
        <v>45248.0</v>
      </c>
      <c r="E1176" s="8">
        <v>45213.0</v>
      </c>
      <c r="F1176" s="8">
        <v>45223.0</v>
      </c>
      <c r="G1176" s="6">
        <v>8.0</v>
      </c>
      <c r="H1176" s="9">
        <v>40.0</v>
      </c>
      <c r="I1176" s="10">
        <v>10.0</v>
      </c>
      <c r="J1176" s="11">
        <v>0.0</v>
      </c>
      <c r="K1176" s="9">
        <v>16.72</v>
      </c>
      <c r="L1176" s="7" t="s">
        <v>15</v>
      </c>
    </row>
    <row r="1177" ht="15.75" customHeight="1">
      <c r="A1177" s="6">
        <v>10695.0</v>
      </c>
      <c r="B1177" s="7" t="s">
        <v>98</v>
      </c>
      <c r="C1177" s="8">
        <v>45206.0</v>
      </c>
      <c r="D1177" s="8">
        <v>45248.0</v>
      </c>
      <c r="E1177" s="8">
        <v>45213.0</v>
      </c>
      <c r="F1177" s="8">
        <v>45223.0</v>
      </c>
      <c r="G1177" s="6">
        <v>12.0</v>
      </c>
      <c r="H1177" s="9">
        <v>38.0</v>
      </c>
      <c r="I1177" s="10">
        <v>4.0</v>
      </c>
      <c r="J1177" s="11">
        <v>0.0</v>
      </c>
      <c r="K1177" s="9">
        <v>16.72</v>
      </c>
      <c r="L1177" s="7" t="s">
        <v>15</v>
      </c>
    </row>
    <row r="1178" ht="15.75" customHeight="1">
      <c r="A1178" s="6">
        <v>10695.0</v>
      </c>
      <c r="B1178" s="7" t="s">
        <v>98</v>
      </c>
      <c r="C1178" s="8">
        <v>45206.0</v>
      </c>
      <c r="D1178" s="8">
        <v>45248.0</v>
      </c>
      <c r="E1178" s="8">
        <v>45213.0</v>
      </c>
      <c r="F1178" s="8">
        <v>45223.0</v>
      </c>
      <c r="G1178" s="6">
        <v>24.0</v>
      </c>
      <c r="H1178" s="9">
        <v>4.5</v>
      </c>
      <c r="I1178" s="10">
        <v>20.0</v>
      </c>
      <c r="J1178" s="11">
        <v>0.0</v>
      </c>
      <c r="K1178" s="9">
        <v>16.72</v>
      </c>
      <c r="L1178" s="7" t="s">
        <v>15</v>
      </c>
    </row>
    <row r="1179" ht="15.75" customHeight="1">
      <c r="A1179" s="6">
        <v>10696.0</v>
      </c>
      <c r="B1179" s="7" t="s">
        <v>34</v>
      </c>
      <c r="C1179" s="8">
        <v>45207.0</v>
      </c>
      <c r="D1179" s="8">
        <v>45249.0</v>
      </c>
      <c r="E1179" s="8">
        <v>45213.0</v>
      </c>
      <c r="F1179" s="8">
        <v>45229.0</v>
      </c>
      <c r="G1179" s="6">
        <v>17.0</v>
      </c>
      <c r="H1179" s="9">
        <v>39.0</v>
      </c>
      <c r="I1179" s="10">
        <v>20.0</v>
      </c>
      <c r="J1179" s="11">
        <v>0.0</v>
      </c>
      <c r="K1179" s="9">
        <v>102.55</v>
      </c>
      <c r="L1179" s="7" t="s">
        <v>13</v>
      </c>
    </row>
    <row r="1180" ht="15.75" customHeight="1">
      <c r="A1180" s="6">
        <v>10696.0</v>
      </c>
      <c r="B1180" s="7" t="s">
        <v>34</v>
      </c>
      <c r="C1180" s="8">
        <v>45207.0</v>
      </c>
      <c r="D1180" s="8">
        <v>45249.0</v>
      </c>
      <c r="E1180" s="8">
        <v>45213.0</v>
      </c>
      <c r="F1180" s="8">
        <v>45229.0</v>
      </c>
      <c r="G1180" s="6">
        <v>46.0</v>
      </c>
      <c r="H1180" s="9">
        <v>12.0</v>
      </c>
      <c r="I1180" s="10">
        <v>18.0</v>
      </c>
      <c r="J1180" s="11">
        <v>0.0</v>
      </c>
      <c r="K1180" s="9">
        <v>102.55</v>
      </c>
      <c r="L1180" s="7" t="s">
        <v>13</v>
      </c>
    </row>
    <row r="1181" ht="15.75" customHeight="1">
      <c r="A1181" s="6">
        <v>10697.0</v>
      </c>
      <c r="B1181" s="7" t="s">
        <v>82</v>
      </c>
      <c r="C1181" s="8">
        <v>45207.0</v>
      </c>
      <c r="D1181" s="8">
        <v>45235.0</v>
      </c>
      <c r="E1181" s="8">
        <v>45213.0</v>
      </c>
      <c r="F1181" s="8">
        <v>45224.0</v>
      </c>
      <c r="G1181" s="6">
        <v>19.0</v>
      </c>
      <c r="H1181" s="9">
        <v>9.2</v>
      </c>
      <c r="I1181" s="10">
        <v>7.0</v>
      </c>
      <c r="J1181" s="11">
        <v>0.25</v>
      </c>
      <c r="K1181" s="9">
        <v>45.52</v>
      </c>
      <c r="L1181" s="7" t="s">
        <v>15</v>
      </c>
    </row>
    <row r="1182" ht="15.75" customHeight="1">
      <c r="A1182" s="6">
        <v>10697.0</v>
      </c>
      <c r="B1182" s="7" t="s">
        <v>82</v>
      </c>
      <c r="C1182" s="8">
        <v>45207.0</v>
      </c>
      <c r="D1182" s="8">
        <v>45235.0</v>
      </c>
      <c r="E1182" s="8">
        <v>45213.0</v>
      </c>
      <c r="F1182" s="8">
        <v>45224.0</v>
      </c>
      <c r="G1182" s="6">
        <v>35.0</v>
      </c>
      <c r="H1182" s="9">
        <v>18.0</v>
      </c>
      <c r="I1182" s="10">
        <v>9.0</v>
      </c>
      <c r="J1182" s="11">
        <v>0.25</v>
      </c>
      <c r="K1182" s="9">
        <v>45.52</v>
      </c>
      <c r="L1182" s="7" t="s">
        <v>15</v>
      </c>
    </row>
    <row r="1183" ht="15.75" customHeight="1">
      <c r="A1183" s="6">
        <v>10697.0</v>
      </c>
      <c r="B1183" s="7" t="s">
        <v>82</v>
      </c>
      <c r="C1183" s="8">
        <v>45207.0</v>
      </c>
      <c r="D1183" s="8">
        <v>45235.0</v>
      </c>
      <c r="E1183" s="8">
        <v>45213.0</v>
      </c>
      <c r="F1183" s="8">
        <v>45224.0</v>
      </c>
      <c r="G1183" s="6">
        <v>58.0</v>
      </c>
      <c r="H1183" s="9">
        <v>13.25</v>
      </c>
      <c r="I1183" s="10">
        <v>30.0</v>
      </c>
      <c r="J1183" s="11">
        <v>0.25</v>
      </c>
      <c r="K1183" s="9">
        <v>45.52</v>
      </c>
      <c r="L1183" s="7" t="s">
        <v>15</v>
      </c>
    </row>
    <row r="1184" ht="15.75" customHeight="1">
      <c r="A1184" s="6">
        <v>10697.0</v>
      </c>
      <c r="B1184" s="7" t="s">
        <v>82</v>
      </c>
      <c r="C1184" s="8">
        <v>45207.0</v>
      </c>
      <c r="D1184" s="8">
        <v>45235.0</v>
      </c>
      <c r="E1184" s="8">
        <v>45213.0</v>
      </c>
      <c r="F1184" s="8">
        <v>45224.0</v>
      </c>
      <c r="G1184" s="6">
        <v>70.0</v>
      </c>
      <c r="H1184" s="9">
        <v>15.0</v>
      </c>
      <c r="I1184" s="10">
        <v>30.0</v>
      </c>
      <c r="J1184" s="11">
        <v>0.25</v>
      </c>
      <c r="K1184" s="9">
        <v>45.52</v>
      </c>
      <c r="L1184" s="7" t="s">
        <v>15</v>
      </c>
    </row>
    <row r="1185" ht="15.75" customHeight="1">
      <c r="A1185" s="6">
        <v>10698.0</v>
      </c>
      <c r="B1185" s="7" t="s">
        <v>24</v>
      </c>
      <c r="C1185" s="8">
        <v>45208.0</v>
      </c>
      <c r="D1185" s="8">
        <v>45236.0</v>
      </c>
      <c r="E1185" s="8">
        <v>45216.0</v>
      </c>
      <c r="F1185" s="8">
        <v>45224.0</v>
      </c>
      <c r="G1185" s="6">
        <v>11.0</v>
      </c>
      <c r="H1185" s="9">
        <v>21.0</v>
      </c>
      <c r="I1185" s="10">
        <v>15.0</v>
      </c>
      <c r="J1185" s="11">
        <v>0.0</v>
      </c>
      <c r="K1185" s="9">
        <v>272.47</v>
      </c>
      <c r="L1185" s="7" t="s">
        <v>15</v>
      </c>
    </row>
    <row r="1186" ht="15.75" customHeight="1">
      <c r="A1186" s="6">
        <v>10698.0</v>
      </c>
      <c r="B1186" s="7" t="s">
        <v>24</v>
      </c>
      <c r="C1186" s="8">
        <v>45208.0</v>
      </c>
      <c r="D1186" s="8">
        <v>45236.0</v>
      </c>
      <c r="E1186" s="8">
        <v>45216.0</v>
      </c>
      <c r="F1186" s="8">
        <v>45224.0</v>
      </c>
      <c r="G1186" s="6">
        <v>17.0</v>
      </c>
      <c r="H1186" s="9">
        <v>39.0</v>
      </c>
      <c r="I1186" s="10">
        <v>8.0</v>
      </c>
      <c r="J1186" s="11">
        <v>0.05</v>
      </c>
      <c r="K1186" s="9">
        <v>272.47</v>
      </c>
      <c r="L1186" s="7" t="s">
        <v>15</v>
      </c>
    </row>
    <row r="1187" ht="15.75" customHeight="1">
      <c r="A1187" s="6">
        <v>10698.0</v>
      </c>
      <c r="B1187" s="7" t="s">
        <v>24</v>
      </c>
      <c r="C1187" s="8">
        <v>45208.0</v>
      </c>
      <c r="D1187" s="8">
        <v>45236.0</v>
      </c>
      <c r="E1187" s="8">
        <v>45216.0</v>
      </c>
      <c r="F1187" s="8">
        <v>45224.0</v>
      </c>
      <c r="G1187" s="6">
        <v>29.0</v>
      </c>
      <c r="H1187" s="9">
        <v>123.79</v>
      </c>
      <c r="I1187" s="10">
        <v>12.0</v>
      </c>
      <c r="J1187" s="11">
        <v>0.05</v>
      </c>
      <c r="K1187" s="9">
        <v>272.47</v>
      </c>
      <c r="L1187" s="7" t="s">
        <v>15</v>
      </c>
    </row>
    <row r="1188" ht="15.75" customHeight="1">
      <c r="A1188" s="6">
        <v>10698.0</v>
      </c>
      <c r="B1188" s="7" t="s">
        <v>24</v>
      </c>
      <c r="C1188" s="8">
        <v>45208.0</v>
      </c>
      <c r="D1188" s="8">
        <v>45236.0</v>
      </c>
      <c r="E1188" s="8">
        <v>45216.0</v>
      </c>
      <c r="F1188" s="8">
        <v>45224.0</v>
      </c>
      <c r="G1188" s="6">
        <v>65.0</v>
      </c>
      <c r="H1188" s="9">
        <v>21.05</v>
      </c>
      <c r="I1188" s="10">
        <v>65.0</v>
      </c>
      <c r="J1188" s="11">
        <v>0.05</v>
      </c>
      <c r="K1188" s="9">
        <v>272.47</v>
      </c>
      <c r="L1188" s="7" t="s">
        <v>15</v>
      </c>
    </row>
    <row r="1189" ht="15.75" customHeight="1">
      <c r="A1189" s="6">
        <v>10698.0</v>
      </c>
      <c r="B1189" s="7" t="s">
        <v>24</v>
      </c>
      <c r="C1189" s="8">
        <v>45208.0</v>
      </c>
      <c r="D1189" s="8">
        <v>45236.0</v>
      </c>
      <c r="E1189" s="8">
        <v>45216.0</v>
      </c>
      <c r="F1189" s="8">
        <v>45224.0</v>
      </c>
      <c r="G1189" s="6">
        <v>70.0</v>
      </c>
      <c r="H1189" s="9">
        <v>15.0</v>
      </c>
      <c r="I1189" s="10">
        <v>8.0</v>
      </c>
      <c r="J1189" s="11">
        <v>0.05</v>
      </c>
      <c r="K1189" s="9">
        <v>272.47</v>
      </c>
      <c r="L1189" s="7" t="s">
        <v>15</v>
      </c>
    </row>
    <row r="1190" ht="15.75" customHeight="1">
      <c r="A1190" s="6">
        <v>10699.0</v>
      </c>
      <c r="B1190" s="7" t="s">
        <v>39</v>
      </c>
      <c r="C1190" s="8">
        <v>45208.0</v>
      </c>
      <c r="D1190" s="8">
        <v>45236.0</v>
      </c>
      <c r="E1190" s="8">
        <v>45212.0</v>
      </c>
      <c r="F1190" s="8">
        <v>45217.0</v>
      </c>
      <c r="G1190" s="6">
        <v>47.0</v>
      </c>
      <c r="H1190" s="9">
        <v>9.5</v>
      </c>
      <c r="I1190" s="10">
        <v>12.0</v>
      </c>
      <c r="J1190" s="11">
        <v>0.0</v>
      </c>
      <c r="K1190" s="9">
        <v>0.58</v>
      </c>
      <c r="L1190" s="7" t="s">
        <v>13</v>
      </c>
    </row>
    <row r="1191" ht="15.75" customHeight="1">
      <c r="A1191" s="6">
        <v>10700.0</v>
      </c>
      <c r="B1191" s="7" t="s">
        <v>60</v>
      </c>
      <c r="C1191" s="8">
        <v>45209.0</v>
      </c>
      <c r="D1191" s="8">
        <v>45237.0</v>
      </c>
      <c r="E1191" s="8">
        <v>45215.0</v>
      </c>
      <c r="F1191" s="8">
        <v>45228.0</v>
      </c>
      <c r="G1191" s="6">
        <v>1.0</v>
      </c>
      <c r="H1191" s="9">
        <v>18.0</v>
      </c>
      <c r="I1191" s="10">
        <v>5.0</v>
      </c>
      <c r="J1191" s="11">
        <v>0.2</v>
      </c>
      <c r="K1191" s="9">
        <v>65.1</v>
      </c>
      <c r="L1191" s="7" t="s">
        <v>15</v>
      </c>
    </row>
    <row r="1192" ht="15.75" customHeight="1">
      <c r="A1192" s="6">
        <v>10700.0</v>
      </c>
      <c r="B1192" s="7" t="s">
        <v>60</v>
      </c>
      <c r="C1192" s="8">
        <v>45209.0</v>
      </c>
      <c r="D1192" s="8">
        <v>45237.0</v>
      </c>
      <c r="E1192" s="8">
        <v>45215.0</v>
      </c>
      <c r="F1192" s="8">
        <v>45228.0</v>
      </c>
      <c r="G1192" s="6">
        <v>34.0</v>
      </c>
      <c r="H1192" s="9">
        <v>14.0</v>
      </c>
      <c r="I1192" s="10">
        <v>12.0</v>
      </c>
      <c r="J1192" s="11">
        <v>0.2</v>
      </c>
      <c r="K1192" s="9">
        <v>65.1</v>
      </c>
      <c r="L1192" s="7" t="s">
        <v>15</v>
      </c>
    </row>
    <row r="1193" ht="15.75" customHeight="1">
      <c r="A1193" s="6">
        <v>10700.0</v>
      </c>
      <c r="B1193" s="7" t="s">
        <v>60</v>
      </c>
      <c r="C1193" s="8">
        <v>45209.0</v>
      </c>
      <c r="D1193" s="8">
        <v>45237.0</v>
      </c>
      <c r="E1193" s="8">
        <v>45215.0</v>
      </c>
      <c r="F1193" s="8">
        <v>45228.0</v>
      </c>
      <c r="G1193" s="6">
        <v>68.0</v>
      </c>
      <c r="H1193" s="9">
        <v>12.5</v>
      </c>
      <c r="I1193" s="10">
        <v>40.0</v>
      </c>
      <c r="J1193" s="11">
        <v>0.2</v>
      </c>
      <c r="K1193" s="9">
        <v>65.1</v>
      </c>
      <c r="L1193" s="7" t="s">
        <v>15</v>
      </c>
    </row>
    <row r="1194" ht="15.75" customHeight="1">
      <c r="A1194" s="6">
        <v>10700.0</v>
      </c>
      <c r="B1194" s="7" t="s">
        <v>60</v>
      </c>
      <c r="C1194" s="8">
        <v>45209.0</v>
      </c>
      <c r="D1194" s="8">
        <v>45237.0</v>
      </c>
      <c r="E1194" s="8">
        <v>45215.0</v>
      </c>
      <c r="F1194" s="8">
        <v>45228.0</v>
      </c>
      <c r="G1194" s="6">
        <v>71.0</v>
      </c>
      <c r="H1194" s="9">
        <v>21.5</v>
      </c>
      <c r="I1194" s="10">
        <v>60.0</v>
      </c>
      <c r="J1194" s="11">
        <v>0.2</v>
      </c>
      <c r="K1194" s="9">
        <v>65.1</v>
      </c>
      <c r="L1194" s="7" t="s">
        <v>15</v>
      </c>
    </row>
    <row r="1195" ht="15.75" customHeight="1">
      <c r="A1195" s="6">
        <v>10701.0</v>
      </c>
      <c r="B1195" s="7" t="s">
        <v>49</v>
      </c>
      <c r="C1195" s="8">
        <v>45212.0</v>
      </c>
      <c r="D1195" s="8">
        <v>45226.0</v>
      </c>
      <c r="E1195" s="8">
        <v>45214.0</v>
      </c>
      <c r="F1195" s="8">
        <v>45226.0</v>
      </c>
      <c r="G1195" s="6">
        <v>59.0</v>
      </c>
      <c r="H1195" s="9">
        <v>55.0</v>
      </c>
      <c r="I1195" s="10">
        <v>42.0</v>
      </c>
      <c r="J1195" s="11">
        <v>0.15</v>
      </c>
      <c r="K1195" s="9">
        <v>220.31</v>
      </c>
      <c r="L1195" s="7" t="s">
        <v>13</v>
      </c>
    </row>
    <row r="1196" ht="15.75" customHeight="1">
      <c r="A1196" s="6">
        <v>10701.0</v>
      </c>
      <c r="B1196" s="7" t="s">
        <v>49</v>
      </c>
      <c r="C1196" s="8">
        <v>45212.0</v>
      </c>
      <c r="D1196" s="8">
        <v>45226.0</v>
      </c>
      <c r="E1196" s="8">
        <v>45214.0</v>
      </c>
      <c r="F1196" s="8">
        <v>45226.0</v>
      </c>
      <c r="G1196" s="6">
        <v>71.0</v>
      </c>
      <c r="H1196" s="9">
        <v>21.5</v>
      </c>
      <c r="I1196" s="10">
        <v>20.0</v>
      </c>
      <c r="J1196" s="11">
        <v>0.15</v>
      </c>
      <c r="K1196" s="9">
        <v>220.31</v>
      </c>
      <c r="L1196" s="7" t="s">
        <v>13</v>
      </c>
    </row>
    <row r="1197" ht="15.75" customHeight="1">
      <c r="A1197" s="6">
        <v>10701.0</v>
      </c>
      <c r="B1197" s="7" t="s">
        <v>49</v>
      </c>
      <c r="C1197" s="8">
        <v>45212.0</v>
      </c>
      <c r="D1197" s="8">
        <v>45226.0</v>
      </c>
      <c r="E1197" s="8">
        <v>45214.0</v>
      </c>
      <c r="F1197" s="8">
        <v>45226.0</v>
      </c>
      <c r="G1197" s="6">
        <v>76.0</v>
      </c>
      <c r="H1197" s="9">
        <v>18.0</v>
      </c>
      <c r="I1197" s="10">
        <v>35.0</v>
      </c>
      <c r="J1197" s="11">
        <v>0.15</v>
      </c>
      <c r="K1197" s="9">
        <v>220.31</v>
      </c>
      <c r="L1197" s="7" t="s">
        <v>13</v>
      </c>
    </row>
    <row r="1198" ht="15.75" customHeight="1">
      <c r="A1198" s="6">
        <v>10702.0</v>
      </c>
      <c r="B1198" s="7" t="s">
        <v>100</v>
      </c>
      <c r="C1198" s="8">
        <v>45212.0</v>
      </c>
      <c r="D1198" s="8">
        <v>45254.0</v>
      </c>
      <c r="E1198" s="8">
        <v>45220.0</v>
      </c>
      <c r="F1198" s="8">
        <v>45221.0</v>
      </c>
      <c r="G1198" s="6">
        <v>3.0</v>
      </c>
      <c r="H1198" s="9">
        <v>10.0</v>
      </c>
      <c r="I1198" s="10">
        <v>6.0</v>
      </c>
      <c r="J1198" s="11">
        <v>0.0</v>
      </c>
      <c r="K1198" s="9">
        <v>23.94</v>
      </c>
      <c r="L1198" s="7" t="s">
        <v>15</v>
      </c>
    </row>
    <row r="1199" ht="15.75" customHeight="1">
      <c r="A1199" s="6">
        <v>10702.0</v>
      </c>
      <c r="B1199" s="7" t="s">
        <v>100</v>
      </c>
      <c r="C1199" s="8">
        <v>45212.0</v>
      </c>
      <c r="D1199" s="8">
        <v>45254.0</v>
      </c>
      <c r="E1199" s="8">
        <v>45220.0</v>
      </c>
      <c r="F1199" s="8">
        <v>45221.0</v>
      </c>
      <c r="G1199" s="6">
        <v>76.0</v>
      </c>
      <c r="H1199" s="9">
        <v>18.0</v>
      </c>
      <c r="I1199" s="10">
        <v>15.0</v>
      </c>
      <c r="J1199" s="11">
        <v>0.0</v>
      </c>
      <c r="K1199" s="9">
        <v>23.94</v>
      </c>
      <c r="L1199" s="7" t="s">
        <v>15</v>
      </c>
    </row>
    <row r="1200" ht="15.75" customHeight="1">
      <c r="A1200" s="6">
        <v>10703.0</v>
      </c>
      <c r="B1200" s="7" t="s">
        <v>29</v>
      </c>
      <c r="C1200" s="8">
        <v>45213.0</v>
      </c>
      <c r="D1200" s="8">
        <v>45241.0</v>
      </c>
      <c r="E1200" s="8">
        <v>45219.0</v>
      </c>
      <c r="F1200" s="8">
        <v>45232.0</v>
      </c>
      <c r="G1200" s="6">
        <v>2.0</v>
      </c>
      <c r="H1200" s="9">
        <v>19.0</v>
      </c>
      <c r="I1200" s="10">
        <v>5.0</v>
      </c>
      <c r="J1200" s="11">
        <v>0.0</v>
      </c>
      <c r="K1200" s="9">
        <v>152.3</v>
      </c>
      <c r="L1200" s="7" t="s">
        <v>17</v>
      </c>
    </row>
    <row r="1201" ht="15.75" customHeight="1">
      <c r="A1201" s="6">
        <v>10703.0</v>
      </c>
      <c r="B1201" s="7" t="s">
        <v>29</v>
      </c>
      <c r="C1201" s="8">
        <v>45213.0</v>
      </c>
      <c r="D1201" s="8">
        <v>45241.0</v>
      </c>
      <c r="E1201" s="8">
        <v>45219.0</v>
      </c>
      <c r="F1201" s="8">
        <v>45232.0</v>
      </c>
      <c r="G1201" s="6">
        <v>59.0</v>
      </c>
      <c r="H1201" s="9">
        <v>55.0</v>
      </c>
      <c r="I1201" s="10">
        <v>35.0</v>
      </c>
      <c r="J1201" s="11">
        <v>0.0</v>
      </c>
      <c r="K1201" s="9">
        <v>152.3</v>
      </c>
      <c r="L1201" s="7" t="s">
        <v>17</v>
      </c>
    </row>
    <row r="1202" ht="15.75" customHeight="1">
      <c r="A1202" s="6">
        <v>10703.0</v>
      </c>
      <c r="B1202" s="7" t="s">
        <v>29</v>
      </c>
      <c r="C1202" s="8">
        <v>45213.0</v>
      </c>
      <c r="D1202" s="8">
        <v>45241.0</v>
      </c>
      <c r="E1202" s="8">
        <v>45219.0</v>
      </c>
      <c r="F1202" s="8">
        <v>45232.0</v>
      </c>
      <c r="G1202" s="6">
        <v>73.0</v>
      </c>
      <c r="H1202" s="9">
        <v>15.0</v>
      </c>
      <c r="I1202" s="10">
        <v>35.0</v>
      </c>
      <c r="J1202" s="11">
        <v>0.0</v>
      </c>
      <c r="K1202" s="9">
        <v>152.3</v>
      </c>
      <c r="L1202" s="7" t="s">
        <v>17</v>
      </c>
    </row>
    <row r="1203" ht="15.75" customHeight="1">
      <c r="A1203" s="6">
        <v>10704.0</v>
      </c>
      <c r="B1203" s="7" t="s">
        <v>77</v>
      </c>
      <c r="C1203" s="8">
        <v>45213.0</v>
      </c>
      <c r="D1203" s="8">
        <v>45241.0</v>
      </c>
      <c r="E1203" s="8">
        <v>45237.0</v>
      </c>
      <c r="F1203" s="8">
        <v>45250.0</v>
      </c>
      <c r="G1203" s="6">
        <v>4.0</v>
      </c>
      <c r="H1203" s="9">
        <v>22.0</v>
      </c>
      <c r="I1203" s="10">
        <v>6.0</v>
      </c>
      <c r="J1203" s="11">
        <v>0.0</v>
      </c>
      <c r="K1203" s="9">
        <v>4.78</v>
      </c>
      <c r="L1203" s="7" t="s">
        <v>15</v>
      </c>
    </row>
    <row r="1204" ht="15.75" customHeight="1">
      <c r="A1204" s="6">
        <v>10704.0</v>
      </c>
      <c r="B1204" s="7" t="s">
        <v>77</v>
      </c>
      <c r="C1204" s="8">
        <v>45213.0</v>
      </c>
      <c r="D1204" s="8">
        <v>45241.0</v>
      </c>
      <c r="E1204" s="8">
        <v>45237.0</v>
      </c>
      <c r="F1204" s="8">
        <v>45250.0</v>
      </c>
      <c r="G1204" s="6">
        <v>24.0</v>
      </c>
      <c r="H1204" s="9">
        <v>4.5</v>
      </c>
      <c r="I1204" s="10">
        <v>35.0</v>
      </c>
      <c r="J1204" s="11">
        <v>0.0</v>
      </c>
      <c r="K1204" s="9">
        <v>4.78</v>
      </c>
      <c r="L1204" s="7" t="s">
        <v>15</v>
      </c>
    </row>
    <row r="1205" ht="15.75" customHeight="1">
      <c r="A1205" s="6">
        <v>10704.0</v>
      </c>
      <c r="B1205" s="7" t="s">
        <v>77</v>
      </c>
      <c r="C1205" s="8">
        <v>45213.0</v>
      </c>
      <c r="D1205" s="8">
        <v>45241.0</v>
      </c>
      <c r="E1205" s="8">
        <v>45237.0</v>
      </c>
      <c r="F1205" s="8">
        <v>45250.0</v>
      </c>
      <c r="G1205" s="6">
        <v>48.0</v>
      </c>
      <c r="H1205" s="9">
        <v>12.75</v>
      </c>
      <c r="I1205" s="10">
        <v>24.0</v>
      </c>
      <c r="J1205" s="11">
        <v>0.0</v>
      </c>
      <c r="K1205" s="9">
        <v>4.78</v>
      </c>
      <c r="L1205" s="7" t="s">
        <v>15</v>
      </c>
    </row>
    <row r="1206" ht="15.75" customHeight="1">
      <c r="A1206" s="6">
        <v>10705.0</v>
      </c>
      <c r="B1206" s="7" t="s">
        <v>23</v>
      </c>
      <c r="C1206" s="8">
        <v>45214.0</v>
      </c>
      <c r="D1206" s="8">
        <v>45242.0</v>
      </c>
      <c r="E1206" s="8">
        <v>45248.0</v>
      </c>
      <c r="F1206" s="8">
        <v>45260.0</v>
      </c>
      <c r="G1206" s="6">
        <v>31.0</v>
      </c>
      <c r="H1206" s="9">
        <v>12.5</v>
      </c>
      <c r="I1206" s="10">
        <v>20.0</v>
      </c>
      <c r="J1206" s="11">
        <v>0.0</v>
      </c>
      <c r="K1206" s="9">
        <v>3.52</v>
      </c>
      <c r="L1206" s="7" t="s">
        <v>17</v>
      </c>
    </row>
    <row r="1207" ht="15.75" customHeight="1">
      <c r="A1207" s="6">
        <v>10705.0</v>
      </c>
      <c r="B1207" s="7" t="s">
        <v>23</v>
      </c>
      <c r="C1207" s="8">
        <v>45214.0</v>
      </c>
      <c r="D1207" s="8">
        <v>45242.0</v>
      </c>
      <c r="E1207" s="8">
        <v>45248.0</v>
      </c>
      <c r="F1207" s="8">
        <v>45260.0</v>
      </c>
      <c r="G1207" s="6">
        <v>32.0</v>
      </c>
      <c r="H1207" s="9">
        <v>32.0</v>
      </c>
      <c r="I1207" s="10">
        <v>4.0</v>
      </c>
      <c r="J1207" s="11">
        <v>0.0</v>
      </c>
      <c r="K1207" s="9">
        <v>3.52</v>
      </c>
      <c r="L1207" s="7" t="s">
        <v>17</v>
      </c>
    </row>
    <row r="1208" ht="15.75" customHeight="1">
      <c r="A1208" s="6">
        <v>10706.0</v>
      </c>
      <c r="B1208" s="7" t="s">
        <v>52</v>
      </c>
      <c r="C1208" s="8">
        <v>45215.0</v>
      </c>
      <c r="D1208" s="8">
        <v>45243.0</v>
      </c>
      <c r="E1208" s="8">
        <v>45220.0</v>
      </c>
      <c r="F1208" s="8">
        <v>45234.0</v>
      </c>
      <c r="G1208" s="6">
        <v>16.0</v>
      </c>
      <c r="H1208" s="9">
        <v>17.45</v>
      </c>
      <c r="I1208" s="10">
        <v>20.0</v>
      </c>
      <c r="J1208" s="11">
        <v>0.0</v>
      </c>
      <c r="K1208" s="9">
        <v>135.63</v>
      </c>
      <c r="L1208" s="7" t="s">
        <v>13</v>
      </c>
    </row>
    <row r="1209" ht="15.75" customHeight="1">
      <c r="A1209" s="6">
        <v>10706.0</v>
      </c>
      <c r="B1209" s="7" t="s">
        <v>52</v>
      </c>
      <c r="C1209" s="8">
        <v>45215.0</v>
      </c>
      <c r="D1209" s="8">
        <v>45243.0</v>
      </c>
      <c r="E1209" s="8">
        <v>45220.0</v>
      </c>
      <c r="F1209" s="8">
        <v>45234.0</v>
      </c>
      <c r="G1209" s="6">
        <v>43.0</v>
      </c>
      <c r="H1209" s="9">
        <v>46.0</v>
      </c>
      <c r="I1209" s="10">
        <v>24.0</v>
      </c>
      <c r="J1209" s="11">
        <v>0.0</v>
      </c>
      <c r="K1209" s="9">
        <v>135.63</v>
      </c>
      <c r="L1209" s="7" t="s">
        <v>13</v>
      </c>
    </row>
    <row r="1210" ht="15.75" customHeight="1">
      <c r="A1210" s="6">
        <v>10706.0</v>
      </c>
      <c r="B1210" s="7" t="s">
        <v>52</v>
      </c>
      <c r="C1210" s="8">
        <v>45215.0</v>
      </c>
      <c r="D1210" s="8">
        <v>45243.0</v>
      </c>
      <c r="E1210" s="8">
        <v>45220.0</v>
      </c>
      <c r="F1210" s="8">
        <v>45234.0</v>
      </c>
      <c r="G1210" s="6">
        <v>59.0</v>
      </c>
      <c r="H1210" s="9">
        <v>55.0</v>
      </c>
      <c r="I1210" s="10">
        <v>8.0</v>
      </c>
      <c r="J1210" s="11">
        <v>0.0</v>
      </c>
      <c r="K1210" s="9">
        <v>135.63</v>
      </c>
      <c r="L1210" s="7" t="s">
        <v>13</v>
      </c>
    </row>
    <row r="1211" ht="15.75" customHeight="1">
      <c r="A1211" s="6">
        <v>10707.0</v>
      </c>
      <c r="B1211" s="7" t="s">
        <v>70</v>
      </c>
      <c r="C1211" s="8">
        <v>45215.0</v>
      </c>
      <c r="D1211" s="8">
        <v>45229.0</v>
      </c>
      <c r="E1211" s="8">
        <v>45222.0</v>
      </c>
      <c r="F1211" s="8">
        <v>45231.0</v>
      </c>
      <c r="G1211" s="6">
        <v>55.0</v>
      </c>
      <c r="H1211" s="9">
        <v>24.0</v>
      </c>
      <c r="I1211" s="10">
        <v>21.0</v>
      </c>
      <c r="J1211" s="11">
        <v>0.0</v>
      </c>
      <c r="K1211" s="9">
        <v>21.74</v>
      </c>
      <c r="L1211" s="7" t="s">
        <v>13</v>
      </c>
    </row>
    <row r="1212" ht="15.75" customHeight="1">
      <c r="A1212" s="6">
        <v>10707.0</v>
      </c>
      <c r="B1212" s="7" t="s">
        <v>70</v>
      </c>
      <c r="C1212" s="8">
        <v>45215.0</v>
      </c>
      <c r="D1212" s="8">
        <v>45229.0</v>
      </c>
      <c r="E1212" s="8">
        <v>45222.0</v>
      </c>
      <c r="F1212" s="8">
        <v>45231.0</v>
      </c>
      <c r="G1212" s="6">
        <v>57.0</v>
      </c>
      <c r="H1212" s="9">
        <v>19.5</v>
      </c>
      <c r="I1212" s="10">
        <v>40.0</v>
      </c>
      <c r="J1212" s="11">
        <v>0.0</v>
      </c>
      <c r="K1212" s="9">
        <v>21.74</v>
      </c>
      <c r="L1212" s="7" t="s">
        <v>13</v>
      </c>
    </row>
    <row r="1213" ht="15.75" customHeight="1">
      <c r="A1213" s="6">
        <v>10707.0</v>
      </c>
      <c r="B1213" s="7" t="s">
        <v>70</v>
      </c>
      <c r="C1213" s="8">
        <v>45215.0</v>
      </c>
      <c r="D1213" s="8">
        <v>45229.0</v>
      </c>
      <c r="E1213" s="8">
        <v>45222.0</v>
      </c>
      <c r="F1213" s="8">
        <v>45231.0</v>
      </c>
      <c r="G1213" s="6">
        <v>70.0</v>
      </c>
      <c r="H1213" s="9">
        <v>15.0</v>
      </c>
      <c r="I1213" s="10">
        <v>28.0</v>
      </c>
      <c r="J1213" s="11">
        <v>0.15</v>
      </c>
      <c r="K1213" s="9">
        <v>21.74</v>
      </c>
      <c r="L1213" s="7" t="s">
        <v>13</v>
      </c>
    </row>
    <row r="1214" ht="15.75" customHeight="1">
      <c r="A1214" s="6">
        <v>10708.0</v>
      </c>
      <c r="B1214" s="7" t="s">
        <v>55</v>
      </c>
      <c r="C1214" s="8">
        <v>45216.0</v>
      </c>
      <c r="D1214" s="8">
        <v>45258.0</v>
      </c>
      <c r="E1214" s="8">
        <v>45235.0</v>
      </c>
      <c r="F1214" s="8">
        <v>45253.0</v>
      </c>
      <c r="G1214" s="6">
        <v>5.0</v>
      </c>
      <c r="H1214" s="9">
        <v>21.35</v>
      </c>
      <c r="I1214" s="10">
        <v>4.0</v>
      </c>
      <c r="J1214" s="11">
        <v>0.0</v>
      </c>
      <c r="K1214" s="9">
        <v>2.96</v>
      </c>
      <c r="L1214" s="7" t="s">
        <v>17</v>
      </c>
    </row>
    <row r="1215" ht="15.75" customHeight="1">
      <c r="A1215" s="6">
        <v>10708.0</v>
      </c>
      <c r="B1215" s="7" t="s">
        <v>55</v>
      </c>
      <c r="C1215" s="8">
        <v>45216.0</v>
      </c>
      <c r="D1215" s="8">
        <v>45258.0</v>
      </c>
      <c r="E1215" s="8">
        <v>45235.0</v>
      </c>
      <c r="F1215" s="8">
        <v>45253.0</v>
      </c>
      <c r="G1215" s="6">
        <v>36.0</v>
      </c>
      <c r="H1215" s="9">
        <v>19.0</v>
      </c>
      <c r="I1215" s="10">
        <v>5.0</v>
      </c>
      <c r="J1215" s="11">
        <v>0.0</v>
      </c>
      <c r="K1215" s="9">
        <v>2.96</v>
      </c>
      <c r="L1215" s="7" t="s">
        <v>17</v>
      </c>
    </row>
    <row r="1216" ht="15.75" customHeight="1">
      <c r="A1216" s="6">
        <v>10709.0</v>
      </c>
      <c r="B1216" s="7" t="s">
        <v>86</v>
      </c>
      <c r="C1216" s="8">
        <v>45216.0</v>
      </c>
      <c r="D1216" s="8">
        <v>45244.0</v>
      </c>
      <c r="E1216" s="8">
        <v>45250.0</v>
      </c>
      <c r="F1216" s="8">
        <v>45268.0</v>
      </c>
      <c r="G1216" s="6">
        <v>8.0</v>
      </c>
      <c r="H1216" s="9">
        <v>40.0</v>
      </c>
      <c r="I1216" s="10">
        <v>40.0</v>
      </c>
      <c r="J1216" s="11">
        <v>0.0</v>
      </c>
      <c r="K1216" s="9">
        <v>210.8</v>
      </c>
      <c r="L1216" s="7" t="s">
        <v>13</v>
      </c>
    </row>
    <row r="1217" ht="15.75" customHeight="1">
      <c r="A1217" s="6">
        <v>10709.0</v>
      </c>
      <c r="B1217" s="7" t="s">
        <v>86</v>
      </c>
      <c r="C1217" s="8">
        <v>45216.0</v>
      </c>
      <c r="D1217" s="8">
        <v>45244.0</v>
      </c>
      <c r="E1217" s="8">
        <v>45250.0</v>
      </c>
      <c r="F1217" s="8">
        <v>45268.0</v>
      </c>
      <c r="G1217" s="6">
        <v>51.0</v>
      </c>
      <c r="H1217" s="9">
        <v>53.0</v>
      </c>
      <c r="I1217" s="10">
        <v>28.0</v>
      </c>
      <c r="J1217" s="11">
        <v>0.0</v>
      </c>
      <c r="K1217" s="9">
        <v>210.8</v>
      </c>
      <c r="L1217" s="7" t="s">
        <v>13</v>
      </c>
    </row>
    <row r="1218" ht="15.75" customHeight="1">
      <c r="A1218" s="6">
        <v>10709.0</v>
      </c>
      <c r="B1218" s="7" t="s">
        <v>86</v>
      </c>
      <c r="C1218" s="8">
        <v>45216.0</v>
      </c>
      <c r="D1218" s="8">
        <v>45244.0</v>
      </c>
      <c r="E1218" s="8">
        <v>45250.0</v>
      </c>
      <c r="F1218" s="8">
        <v>45268.0</v>
      </c>
      <c r="G1218" s="6">
        <v>60.0</v>
      </c>
      <c r="H1218" s="9">
        <v>34.0</v>
      </c>
      <c r="I1218" s="10">
        <v>10.0</v>
      </c>
      <c r="J1218" s="11">
        <v>0.0</v>
      </c>
      <c r="K1218" s="9">
        <v>210.8</v>
      </c>
      <c r="L1218" s="7" t="s">
        <v>13</v>
      </c>
    </row>
    <row r="1219" ht="15.75" customHeight="1">
      <c r="A1219" s="6">
        <v>10710.0</v>
      </c>
      <c r="B1219" s="7" t="s">
        <v>85</v>
      </c>
      <c r="C1219" s="8">
        <v>45219.0</v>
      </c>
      <c r="D1219" s="8">
        <v>45247.0</v>
      </c>
      <c r="E1219" s="8">
        <v>45222.0</v>
      </c>
      <c r="F1219" s="8">
        <v>45226.0</v>
      </c>
      <c r="G1219" s="6">
        <v>19.0</v>
      </c>
      <c r="H1219" s="9">
        <v>9.2</v>
      </c>
      <c r="I1219" s="10">
        <v>5.0</v>
      </c>
      <c r="J1219" s="11">
        <v>0.0</v>
      </c>
      <c r="K1219" s="9">
        <v>4.98</v>
      </c>
      <c r="L1219" s="7" t="s">
        <v>15</v>
      </c>
    </row>
    <row r="1220" ht="15.75" customHeight="1">
      <c r="A1220" s="6">
        <v>10710.0</v>
      </c>
      <c r="B1220" s="7" t="s">
        <v>85</v>
      </c>
      <c r="C1220" s="8">
        <v>45219.0</v>
      </c>
      <c r="D1220" s="8">
        <v>45247.0</v>
      </c>
      <c r="E1220" s="8">
        <v>45222.0</v>
      </c>
      <c r="F1220" s="8">
        <v>45226.0</v>
      </c>
      <c r="G1220" s="6">
        <v>47.0</v>
      </c>
      <c r="H1220" s="9">
        <v>9.5</v>
      </c>
      <c r="I1220" s="10">
        <v>5.0</v>
      </c>
      <c r="J1220" s="11">
        <v>0.0</v>
      </c>
      <c r="K1220" s="9">
        <v>4.98</v>
      </c>
      <c r="L1220" s="7" t="s">
        <v>15</v>
      </c>
    </row>
    <row r="1221" ht="15.75" customHeight="1">
      <c r="A1221" s="6">
        <v>10711.0</v>
      </c>
      <c r="B1221" s="7" t="s">
        <v>60</v>
      </c>
      <c r="C1221" s="8">
        <v>45220.0</v>
      </c>
      <c r="D1221" s="8">
        <v>45262.0</v>
      </c>
      <c r="E1221" s="8">
        <v>45228.0</v>
      </c>
      <c r="F1221" s="8">
        <v>45246.0</v>
      </c>
      <c r="G1221" s="6">
        <v>19.0</v>
      </c>
      <c r="H1221" s="9">
        <v>9.2</v>
      </c>
      <c r="I1221" s="10">
        <v>12.0</v>
      </c>
      <c r="J1221" s="11">
        <v>0.0</v>
      </c>
      <c r="K1221" s="9">
        <v>52.41</v>
      </c>
      <c r="L1221" s="7" t="s">
        <v>17</v>
      </c>
    </row>
    <row r="1222" ht="15.75" customHeight="1">
      <c r="A1222" s="6">
        <v>10711.0</v>
      </c>
      <c r="B1222" s="7" t="s">
        <v>60</v>
      </c>
      <c r="C1222" s="8">
        <v>45220.0</v>
      </c>
      <c r="D1222" s="8">
        <v>45262.0</v>
      </c>
      <c r="E1222" s="8">
        <v>45228.0</v>
      </c>
      <c r="F1222" s="8">
        <v>45246.0</v>
      </c>
      <c r="G1222" s="6">
        <v>41.0</v>
      </c>
      <c r="H1222" s="9">
        <v>9.65</v>
      </c>
      <c r="I1222" s="10">
        <v>42.0</v>
      </c>
      <c r="J1222" s="11">
        <v>0.0</v>
      </c>
      <c r="K1222" s="9">
        <v>52.41</v>
      </c>
      <c r="L1222" s="7" t="s">
        <v>17</v>
      </c>
    </row>
    <row r="1223" ht="15.75" customHeight="1">
      <c r="A1223" s="6">
        <v>10711.0</v>
      </c>
      <c r="B1223" s="7" t="s">
        <v>60</v>
      </c>
      <c r="C1223" s="8">
        <v>45220.0</v>
      </c>
      <c r="D1223" s="8">
        <v>45262.0</v>
      </c>
      <c r="E1223" s="8">
        <v>45228.0</v>
      </c>
      <c r="F1223" s="8">
        <v>45246.0</v>
      </c>
      <c r="G1223" s="6">
        <v>53.0</v>
      </c>
      <c r="H1223" s="9">
        <v>32.8</v>
      </c>
      <c r="I1223" s="10">
        <v>120.0</v>
      </c>
      <c r="J1223" s="11">
        <v>0.0</v>
      </c>
      <c r="K1223" s="9">
        <v>52.41</v>
      </c>
      <c r="L1223" s="7" t="s">
        <v>17</v>
      </c>
    </row>
    <row r="1224" ht="15.75" customHeight="1">
      <c r="A1224" s="6">
        <v>10712.0</v>
      </c>
      <c r="B1224" s="7" t="s">
        <v>49</v>
      </c>
      <c r="C1224" s="8">
        <v>45220.0</v>
      </c>
      <c r="D1224" s="8">
        <v>45248.0</v>
      </c>
      <c r="E1224" s="8">
        <v>45230.0</v>
      </c>
      <c r="F1224" s="8">
        <v>45241.0</v>
      </c>
      <c r="G1224" s="6">
        <v>53.0</v>
      </c>
      <c r="H1224" s="9">
        <v>32.8</v>
      </c>
      <c r="I1224" s="10">
        <v>3.0</v>
      </c>
      <c r="J1224" s="11">
        <v>0.05</v>
      </c>
      <c r="K1224" s="9">
        <v>89.93</v>
      </c>
      <c r="L1224" s="7" t="s">
        <v>15</v>
      </c>
    </row>
    <row r="1225" ht="15.75" customHeight="1">
      <c r="A1225" s="6">
        <v>10712.0</v>
      </c>
      <c r="B1225" s="7" t="s">
        <v>49</v>
      </c>
      <c r="C1225" s="8">
        <v>45220.0</v>
      </c>
      <c r="D1225" s="8">
        <v>45248.0</v>
      </c>
      <c r="E1225" s="8">
        <v>45230.0</v>
      </c>
      <c r="F1225" s="8">
        <v>45241.0</v>
      </c>
      <c r="G1225" s="6">
        <v>56.0</v>
      </c>
      <c r="H1225" s="9">
        <v>38.0</v>
      </c>
      <c r="I1225" s="10">
        <v>30.0</v>
      </c>
      <c r="J1225" s="11">
        <v>0.0</v>
      </c>
      <c r="K1225" s="9">
        <v>89.93</v>
      </c>
      <c r="L1225" s="7" t="s">
        <v>15</v>
      </c>
    </row>
    <row r="1226" ht="15.75" customHeight="1">
      <c r="A1226" s="6">
        <v>10713.0</v>
      </c>
      <c r="B1226" s="7" t="s">
        <v>60</v>
      </c>
      <c r="C1226" s="8">
        <v>45221.0</v>
      </c>
      <c r="D1226" s="8">
        <v>45249.0</v>
      </c>
      <c r="E1226" s="8">
        <v>45223.0</v>
      </c>
      <c r="F1226" s="8">
        <v>45238.0</v>
      </c>
      <c r="G1226" s="6">
        <v>10.0</v>
      </c>
      <c r="H1226" s="9">
        <v>31.0</v>
      </c>
      <c r="I1226" s="10">
        <v>18.0</v>
      </c>
      <c r="J1226" s="11">
        <v>0.0</v>
      </c>
      <c r="K1226" s="9">
        <v>167.05</v>
      </c>
      <c r="L1226" s="7" t="s">
        <v>15</v>
      </c>
    </row>
    <row r="1227" ht="15.75" customHeight="1">
      <c r="A1227" s="6">
        <v>10713.0</v>
      </c>
      <c r="B1227" s="7" t="s">
        <v>60</v>
      </c>
      <c r="C1227" s="8">
        <v>45221.0</v>
      </c>
      <c r="D1227" s="8">
        <v>45249.0</v>
      </c>
      <c r="E1227" s="8">
        <v>45223.0</v>
      </c>
      <c r="F1227" s="8">
        <v>45238.0</v>
      </c>
      <c r="G1227" s="6">
        <v>26.0</v>
      </c>
      <c r="H1227" s="9">
        <v>31.23</v>
      </c>
      <c r="I1227" s="10">
        <v>30.0</v>
      </c>
      <c r="J1227" s="11">
        <v>0.0</v>
      </c>
      <c r="K1227" s="9">
        <v>167.05</v>
      </c>
      <c r="L1227" s="7" t="s">
        <v>15</v>
      </c>
    </row>
    <row r="1228" ht="15.75" customHeight="1">
      <c r="A1228" s="6">
        <v>10713.0</v>
      </c>
      <c r="B1228" s="7" t="s">
        <v>60</v>
      </c>
      <c r="C1228" s="8">
        <v>45221.0</v>
      </c>
      <c r="D1228" s="8">
        <v>45249.0</v>
      </c>
      <c r="E1228" s="8">
        <v>45223.0</v>
      </c>
      <c r="F1228" s="8">
        <v>45238.0</v>
      </c>
      <c r="G1228" s="6">
        <v>45.0</v>
      </c>
      <c r="H1228" s="9">
        <v>9.5</v>
      </c>
      <c r="I1228" s="10">
        <v>110.0</v>
      </c>
      <c r="J1228" s="11">
        <v>0.0</v>
      </c>
      <c r="K1228" s="9">
        <v>167.05</v>
      </c>
      <c r="L1228" s="7" t="s">
        <v>15</v>
      </c>
    </row>
    <row r="1229" ht="15.75" customHeight="1">
      <c r="A1229" s="6">
        <v>10713.0</v>
      </c>
      <c r="B1229" s="7" t="s">
        <v>60</v>
      </c>
      <c r="C1229" s="8">
        <v>45221.0</v>
      </c>
      <c r="D1229" s="8">
        <v>45249.0</v>
      </c>
      <c r="E1229" s="8">
        <v>45223.0</v>
      </c>
      <c r="F1229" s="8">
        <v>45238.0</v>
      </c>
      <c r="G1229" s="6">
        <v>46.0</v>
      </c>
      <c r="H1229" s="9">
        <v>12.0</v>
      </c>
      <c r="I1229" s="10">
        <v>24.0</v>
      </c>
      <c r="J1229" s="11">
        <v>0.0</v>
      </c>
      <c r="K1229" s="9">
        <v>167.05</v>
      </c>
      <c r="L1229" s="7" t="s">
        <v>15</v>
      </c>
    </row>
    <row r="1230" ht="15.75" customHeight="1">
      <c r="A1230" s="6">
        <v>10714.0</v>
      </c>
      <c r="B1230" s="7" t="s">
        <v>60</v>
      </c>
      <c r="C1230" s="8">
        <v>45221.0</v>
      </c>
      <c r="D1230" s="8">
        <v>45249.0</v>
      </c>
      <c r="E1230" s="8">
        <v>45226.0</v>
      </c>
      <c r="F1230" s="8">
        <v>45243.0</v>
      </c>
      <c r="G1230" s="6">
        <v>2.0</v>
      </c>
      <c r="H1230" s="9">
        <v>19.0</v>
      </c>
      <c r="I1230" s="10">
        <v>30.0</v>
      </c>
      <c r="J1230" s="11">
        <v>0.25</v>
      </c>
      <c r="K1230" s="9">
        <v>24.49</v>
      </c>
      <c r="L1230" s="7" t="s">
        <v>13</v>
      </c>
    </row>
    <row r="1231" ht="15.75" customHeight="1">
      <c r="A1231" s="6">
        <v>10714.0</v>
      </c>
      <c r="B1231" s="7" t="s">
        <v>60</v>
      </c>
      <c r="C1231" s="8">
        <v>45221.0</v>
      </c>
      <c r="D1231" s="8">
        <v>45249.0</v>
      </c>
      <c r="E1231" s="8">
        <v>45226.0</v>
      </c>
      <c r="F1231" s="8">
        <v>45243.0</v>
      </c>
      <c r="G1231" s="6">
        <v>17.0</v>
      </c>
      <c r="H1231" s="9">
        <v>39.0</v>
      </c>
      <c r="I1231" s="10">
        <v>27.0</v>
      </c>
      <c r="J1231" s="11">
        <v>0.25</v>
      </c>
      <c r="K1231" s="9">
        <v>24.49</v>
      </c>
      <c r="L1231" s="7" t="s">
        <v>13</v>
      </c>
    </row>
    <row r="1232" ht="15.75" customHeight="1">
      <c r="A1232" s="6">
        <v>10714.0</v>
      </c>
      <c r="B1232" s="7" t="s">
        <v>60</v>
      </c>
      <c r="C1232" s="8">
        <v>45221.0</v>
      </c>
      <c r="D1232" s="8">
        <v>45249.0</v>
      </c>
      <c r="E1232" s="8">
        <v>45226.0</v>
      </c>
      <c r="F1232" s="8">
        <v>45243.0</v>
      </c>
      <c r="G1232" s="6">
        <v>47.0</v>
      </c>
      <c r="H1232" s="9">
        <v>9.5</v>
      </c>
      <c r="I1232" s="10">
        <v>50.0</v>
      </c>
      <c r="J1232" s="11">
        <v>0.25</v>
      </c>
      <c r="K1232" s="9">
        <v>24.49</v>
      </c>
      <c r="L1232" s="7" t="s">
        <v>13</v>
      </c>
    </row>
    <row r="1233" ht="15.75" customHeight="1">
      <c r="A1233" s="6">
        <v>10714.0</v>
      </c>
      <c r="B1233" s="7" t="s">
        <v>60</v>
      </c>
      <c r="C1233" s="8">
        <v>45221.0</v>
      </c>
      <c r="D1233" s="8">
        <v>45249.0</v>
      </c>
      <c r="E1233" s="8">
        <v>45226.0</v>
      </c>
      <c r="F1233" s="8">
        <v>45243.0</v>
      </c>
      <c r="G1233" s="6">
        <v>56.0</v>
      </c>
      <c r="H1233" s="9">
        <v>38.0</v>
      </c>
      <c r="I1233" s="10">
        <v>18.0</v>
      </c>
      <c r="J1233" s="11">
        <v>0.25</v>
      </c>
      <c r="K1233" s="9">
        <v>24.49</v>
      </c>
      <c r="L1233" s="7" t="s">
        <v>13</v>
      </c>
    </row>
    <row r="1234" ht="15.75" customHeight="1">
      <c r="A1234" s="6">
        <v>10714.0</v>
      </c>
      <c r="B1234" s="7" t="s">
        <v>60</v>
      </c>
      <c r="C1234" s="8">
        <v>45221.0</v>
      </c>
      <c r="D1234" s="8">
        <v>45249.0</v>
      </c>
      <c r="E1234" s="8">
        <v>45226.0</v>
      </c>
      <c r="F1234" s="8">
        <v>45243.0</v>
      </c>
      <c r="G1234" s="6">
        <v>58.0</v>
      </c>
      <c r="H1234" s="9">
        <v>13.25</v>
      </c>
      <c r="I1234" s="10">
        <v>12.0</v>
      </c>
      <c r="J1234" s="11">
        <v>0.25</v>
      </c>
      <c r="K1234" s="9">
        <v>24.49</v>
      </c>
      <c r="L1234" s="7" t="s">
        <v>13</v>
      </c>
    </row>
    <row r="1235" ht="15.75" customHeight="1">
      <c r="A1235" s="6">
        <v>10715.0</v>
      </c>
      <c r="B1235" s="7" t="s">
        <v>63</v>
      </c>
      <c r="C1235" s="8">
        <v>45222.0</v>
      </c>
      <c r="D1235" s="8">
        <v>45236.0</v>
      </c>
      <c r="E1235" s="8">
        <v>45228.0</v>
      </c>
      <c r="F1235" s="8">
        <v>45232.0</v>
      </c>
      <c r="G1235" s="6">
        <v>10.0</v>
      </c>
      <c r="H1235" s="9">
        <v>31.0</v>
      </c>
      <c r="I1235" s="10">
        <v>21.0</v>
      </c>
      <c r="J1235" s="11">
        <v>0.0</v>
      </c>
      <c r="K1235" s="9">
        <v>63.2</v>
      </c>
      <c r="L1235" s="7" t="s">
        <v>15</v>
      </c>
    </row>
    <row r="1236" ht="15.75" customHeight="1">
      <c r="A1236" s="6">
        <v>10715.0</v>
      </c>
      <c r="B1236" s="7" t="s">
        <v>63</v>
      </c>
      <c r="C1236" s="8">
        <v>45222.0</v>
      </c>
      <c r="D1236" s="8">
        <v>45236.0</v>
      </c>
      <c r="E1236" s="8">
        <v>45228.0</v>
      </c>
      <c r="F1236" s="8">
        <v>45232.0</v>
      </c>
      <c r="G1236" s="6">
        <v>71.0</v>
      </c>
      <c r="H1236" s="9">
        <v>21.5</v>
      </c>
      <c r="I1236" s="10">
        <v>30.0</v>
      </c>
      <c r="J1236" s="11">
        <v>0.0</v>
      </c>
      <c r="K1236" s="9">
        <v>63.2</v>
      </c>
      <c r="L1236" s="7" t="s">
        <v>15</v>
      </c>
    </row>
    <row r="1237" ht="15.75" customHeight="1">
      <c r="A1237" s="6">
        <v>10716.0</v>
      </c>
      <c r="B1237" s="7" t="s">
        <v>88</v>
      </c>
      <c r="C1237" s="8">
        <v>45223.0</v>
      </c>
      <c r="D1237" s="8">
        <v>45251.0</v>
      </c>
      <c r="E1237" s="8">
        <v>45226.0</v>
      </c>
      <c r="F1237" s="8">
        <v>45242.0</v>
      </c>
      <c r="G1237" s="6">
        <v>21.0</v>
      </c>
      <c r="H1237" s="9">
        <v>10.0</v>
      </c>
      <c r="I1237" s="10">
        <v>5.0</v>
      </c>
      <c r="J1237" s="11">
        <v>0.0</v>
      </c>
      <c r="K1237" s="9">
        <v>22.57</v>
      </c>
      <c r="L1237" s="7" t="s">
        <v>17</v>
      </c>
    </row>
    <row r="1238" ht="15.75" customHeight="1">
      <c r="A1238" s="6">
        <v>10716.0</v>
      </c>
      <c r="B1238" s="7" t="s">
        <v>88</v>
      </c>
      <c r="C1238" s="8">
        <v>45223.0</v>
      </c>
      <c r="D1238" s="8">
        <v>45251.0</v>
      </c>
      <c r="E1238" s="8">
        <v>45226.0</v>
      </c>
      <c r="F1238" s="8">
        <v>45242.0</v>
      </c>
      <c r="G1238" s="6">
        <v>51.0</v>
      </c>
      <c r="H1238" s="9">
        <v>53.0</v>
      </c>
      <c r="I1238" s="10">
        <v>7.0</v>
      </c>
      <c r="J1238" s="11">
        <v>0.0</v>
      </c>
      <c r="K1238" s="9">
        <v>22.57</v>
      </c>
      <c r="L1238" s="7" t="s">
        <v>17</v>
      </c>
    </row>
    <row r="1239" ht="15.75" customHeight="1">
      <c r="A1239" s="6">
        <v>10716.0</v>
      </c>
      <c r="B1239" s="7" t="s">
        <v>88</v>
      </c>
      <c r="C1239" s="8">
        <v>45223.0</v>
      </c>
      <c r="D1239" s="8">
        <v>45251.0</v>
      </c>
      <c r="E1239" s="8">
        <v>45226.0</v>
      </c>
      <c r="F1239" s="8">
        <v>45242.0</v>
      </c>
      <c r="G1239" s="6">
        <v>61.0</v>
      </c>
      <c r="H1239" s="9">
        <v>28.5</v>
      </c>
      <c r="I1239" s="10">
        <v>10.0</v>
      </c>
      <c r="J1239" s="11">
        <v>0.0</v>
      </c>
      <c r="K1239" s="9">
        <v>22.57</v>
      </c>
      <c r="L1239" s="7" t="s">
        <v>17</v>
      </c>
    </row>
    <row r="1240" ht="15.75" customHeight="1">
      <c r="A1240" s="6">
        <v>10717.0</v>
      </c>
      <c r="B1240" s="7" t="s">
        <v>32</v>
      </c>
      <c r="C1240" s="8">
        <v>45223.0</v>
      </c>
      <c r="D1240" s="8">
        <v>45251.0</v>
      </c>
      <c r="E1240" s="8">
        <v>45228.0</v>
      </c>
      <c r="F1240" s="8">
        <v>45236.0</v>
      </c>
      <c r="G1240" s="6">
        <v>21.0</v>
      </c>
      <c r="H1240" s="9">
        <v>10.0</v>
      </c>
      <c r="I1240" s="10">
        <v>32.0</v>
      </c>
      <c r="J1240" s="11">
        <v>0.05</v>
      </c>
      <c r="K1240" s="9">
        <v>59.25</v>
      </c>
      <c r="L1240" s="7" t="s">
        <v>17</v>
      </c>
    </row>
    <row r="1241" ht="15.75" customHeight="1">
      <c r="A1241" s="6">
        <v>10717.0</v>
      </c>
      <c r="B1241" s="7" t="s">
        <v>32</v>
      </c>
      <c r="C1241" s="8">
        <v>45223.0</v>
      </c>
      <c r="D1241" s="8">
        <v>45251.0</v>
      </c>
      <c r="E1241" s="8">
        <v>45228.0</v>
      </c>
      <c r="F1241" s="8">
        <v>45236.0</v>
      </c>
      <c r="G1241" s="6">
        <v>54.0</v>
      </c>
      <c r="H1241" s="9">
        <v>7.45</v>
      </c>
      <c r="I1241" s="10">
        <v>15.0</v>
      </c>
      <c r="J1241" s="11">
        <v>0.0</v>
      </c>
      <c r="K1241" s="9">
        <v>59.25</v>
      </c>
      <c r="L1241" s="7" t="s">
        <v>17</v>
      </c>
    </row>
    <row r="1242" ht="15.75" customHeight="1">
      <c r="A1242" s="6">
        <v>10717.0</v>
      </c>
      <c r="B1242" s="7" t="s">
        <v>32</v>
      </c>
      <c r="C1242" s="8">
        <v>45223.0</v>
      </c>
      <c r="D1242" s="8">
        <v>45251.0</v>
      </c>
      <c r="E1242" s="8">
        <v>45228.0</v>
      </c>
      <c r="F1242" s="8">
        <v>45236.0</v>
      </c>
      <c r="G1242" s="6">
        <v>69.0</v>
      </c>
      <c r="H1242" s="9">
        <v>36.0</v>
      </c>
      <c r="I1242" s="10">
        <v>25.0</v>
      </c>
      <c r="J1242" s="11">
        <v>0.05</v>
      </c>
      <c r="K1242" s="9">
        <v>59.25</v>
      </c>
      <c r="L1242" s="7" t="s">
        <v>17</v>
      </c>
    </row>
    <row r="1243" ht="15.75" customHeight="1">
      <c r="A1243" s="6">
        <v>10718.0</v>
      </c>
      <c r="B1243" s="7" t="s">
        <v>59</v>
      </c>
      <c r="C1243" s="8">
        <v>45226.0</v>
      </c>
      <c r="D1243" s="8">
        <v>45254.0</v>
      </c>
      <c r="E1243" s="8">
        <v>45228.0</v>
      </c>
      <c r="F1243" s="8">
        <v>45233.0</v>
      </c>
      <c r="G1243" s="6">
        <v>12.0</v>
      </c>
      <c r="H1243" s="9">
        <v>38.0</v>
      </c>
      <c r="I1243" s="10">
        <v>36.0</v>
      </c>
      <c r="J1243" s="11">
        <v>0.0</v>
      </c>
      <c r="K1243" s="9">
        <v>170.88</v>
      </c>
      <c r="L1243" s="7" t="s">
        <v>13</v>
      </c>
    </row>
    <row r="1244" ht="15.75" customHeight="1">
      <c r="A1244" s="6">
        <v>10718.0</v>
      </c>
      <c r="B1244" s="7" t="s">
        <v>59</v>
      </c>
      <c r="C1244" s="8">
        <v>45226.0</v>
      </c>
      <c r="D1244" s="8">
        <v>45254.0</v>
      </c>
      <c r="E1244" s="8">
        <v>45228.0</v>
      </c>
      <c r="F1244" s="8">
        <v>45233.0</v>
      </c>
      <c r="G1244" s="6">
        <v>16.0</v>
      </c>
      <c r="H1244" s="9">
        <v>17.45</v>
      </c>
      <c r="I1244" s="10">
        <v>20.0</v>
      </c>
      <c r="J1244" s="11">
        <v>0.0</v>
      </c>
      <c r="K1244" s="9">
        <v>170.88</v>
      </c>
      <c r="L1244" s="7" t="s">
        <v>13</v>
      </c>
    </row>
    <row r="1245" ht="15.75" customHeight="1">
      <c r="A1245" s="6">
        <v>10718.0</v>
      </c>
      <c r="B1245" s="7" t="s">
        <v>59</v>
      </c>
      <c r="C1245" s="8">
        <v>45226.0</v>
      </c>
      <c r="D1245" s="8">
        <v>45254.0</v>
      </c>
      <c r="E1245" s="8">
        <v>45228.0</v>
      </c>
      <c r="F1245" s="8">
        <v>45233.0</v>
      </c>
      <c r="G1245" s="6">
        <v>36.0</v>
      </c>
      <c r="H1245" s="9">
        <v>19.0</v>
      </c>
      <c r="I1245" s="10">
        <v>40.0</v>
      </c>
      <c r="J1245" s="11">
        <v>0.0</v>
      </c>
      <c r="K1245" s="9">
        <v>170.88</v>
      </c>
      <c r="L1245" s="7" t="s">
        <v>13</v>
      </c>
    </row>
    <row r="1246" ht="15.75" customHeight="1">
      <c r="A1246" s="6">
        <v>10718.0</v>
      </c>
      <c r="B1246" s="7" t="s">
        <v>59</v>
      </c>
      <c r="C1246" s="8">
        <v>45226.0</v>
      </c>
      <c r="D1246" s="8">
        <v>45254.0</v>
      </c>
      <c r="E1246" s="8">
        <v>45228.0</v>
      </c>
      <c r="F1246" s="8">
        <v>45233.0</v>
      </c>
      <c r="G1246" s="6">
        <v>62.0</v>
      </c>
      <c r="H1246" s="9">
        <v>49.3</v>
      </c>
      <c r="I1246" s="10">
        <v>20.0</v>
      </c>
      <c r="J1246" s="11">
        <v>0.0</v>
      </c>
      <c r="K1246" s="9">
        <v>170.88</v>
      </c>
      <c r="L1246" s="7" t="s">
        <v>13</v>
      </c>
    </row>
    <row r="1247" ht="15.75" customHeight="1">
      <c r="A1247" s="6">
        <v>10719.0</v>
      </c>
      <c r="B1247" s="7" t="s">
        <v>97</v>
      </c>
      <c r="C1247" s="8">
        <v>45226.0</v>
      </c>
      <c r="D1247" s="8">
        <v>45254.0</v>
      </c>
      <c r="E1247" s="8">
        <v>45235.0</v>
      </c>
      <c r="F1247" s="8">
        <v>45250.0</v>
      </c>
      <c r="G1247" s="6">
        <v>18.0</v>
      </c>
      <c r="H1247" s="9">
        <v>62.5</v>
      </c>
      <c r="I1247" s="10">
        <v>12.0</v>
      </c>
      <c r="J1247" s="11">
        <v>0.25</v>
      </c>
      <c r="K1247" s="9">
        <v>51.44</v>
      </c>
      <c r="L1247" s="7" t="s">
        <v>17</v>
      </c>
    </row>
    <row r="1248" ht="15.75" customHeight="1">
      <c r="A1248" s="6">
        <v>10719.0</v>
      </c>
      <c r="B1248" s="7" t="s">
        <v>97</v>
      </c>
      <c r="C1248" s="8">
        <v>45226.0</v>
      </c>
      <c r="D1248" s="8">
        <v>45254.0</v>
      </c>
      <c r="E1248" s="8">
        <v>45235.0</v>
      </c>
      <c r="F1248" s="8">
        <v>45250.0</v>
      </c>
      <c r="G1248" s="6">
        <v>30.0</v>
      </c>
      <c r="H1248" s="9">
        <v>25.89</v>
      </c>
      <c r="I1248" s="10">
        <v>3.0</v>
      </c>
      <c r="J1248" s="11">
        <v>0.25</v>
      </c>
      <c r="K1248" s="9">
        <v>51.44</v>
      </c>
      <c r="L1248" s="7" t="s">
        <v>17</v>
      </c>
    </row>
    <row r="1249" ht="15.75" customHeight="1">
      <c r="A1249" s="6">
        <v>10719.0</v>
      </c>
      <c r="B1249" s="7" t="s">
        <v>97</v>
      </c>
      <c r="C1249" s="8">
        <v>45226.0</v>
      </c>
      <c r="D1249" s="8">
        <v>45254.0</v>
      </c>
      <c r="E1249" s="8">
        <v>45235.0</v>
      </c>
      <c r="F1249" s="8">
        <v>45250.0</v>
      </c>
      <c r="G1249" s="6">
        <v>54.0</v>
      </c>
      <c r="H1249" s="9">
        <v>7.45</v>
      </c>
      <c r="I1249" s="10">
        <v>40.0</v>
      </c>
      <c r="J1249" s="11">
        <v>0.25</v>
      </c>
      <c r="K1249" s="9">
        <v>51.44</v>
      </c>
      <c r="L1249" s="7" t="s">
        <v>17</v>
      </c>
    </row>
    <row r="1250" ht="15.75" customHeight="1">
      <c r="A1250" s="6">
        <v>10720.0</v>
      </c>
      <c r="B1250" s="7" t="s">
        <v>27</v>
      </c>
      <c r="C1250" s="8">
        <v>45227.0</v>
      </c>
      <c r="D1250" s="8">
        <v>45241.0</v>
      </c>
      <c r="E1250" s="8">
        <v>45235.0</v>
      </c>
      <c r="F1250" s="8">
        <v>45255.0</v>
      </c>
      <c r="G1250" s="6">
        <v>35.0</v>
      </c>
      <c r="H1250" s="9">
        <v>18.0</v>
      </c>
      <c r="I1250" s="10">
        <v>21.0</v>
      </c>
      <c r="J1250" s="11">
        <v>0.0</v>
      </c>
      <c r="K1250" s="9">
        <v>9.53</v>
      </c>
      <c r="L1250" s="7" t="s">
        <v>17</v>
      </c>
    </row>
    <row r="1251" ht="15.75" customHeight="1">
      <c r="A1251" s="6">
        <v>10720.0</v>
      </c>
      <c r="B1251" s="7" t="s">
        <v>27</v>
      </c>
      <c r="C1251" s="8">
        <v>45227.0</v>
      </c>
      <c r="D1251" s="8">
        <v>45241.0</v>
      </c>
      <c r="E1251" s="8">
        <v>45235.0</v>
      </c>
      <c r="F1251" s="8">
        <v>45255.0</v>
      </c>
      <c r="G1251" s="6">
        <v>71.0</v>
      </c>
      <c r="H1251" s="9">
        <v>21.5</v>
      </c>
      <c r="I1251" s="10">
        <v>8.0</v>
      </c>
      <c r="J1251" s="11">
        <v>0.0</v>
      </c>
      <c r="K1251" s="9">
        <v>9.53</v>
      </c>
      <c r="L1251" s="7" t="s">
        <v>17</v>
      </c>
    </row>
    <row r="1252" ht="15.75" customHeight="1">
      <c r="A1252" s="6">
        <v>10721.0</v>
      </c>
      <c r="B1252" s="7" t="s">
        <v>36</v>
      </c>
      <c r="C1252" s="8">
        <v>45228.0</v>
      </c>
      <c r="D1252" s="8">
        <v>45256.0</v>
      </c>
      <c r="E1252" s="8">
        <v>45230.0</v>
      </c>
      <c r="F1252" s="8">
        <v>45234.0</v>
      </c>
      <c r="G1252" s="6">
        <v>44.0</v>
      </c>
      <c r="H1252" s="9">
        <v>19.45</v>
      </c>
      <c r="I1252" s="10">
        <v>50.0</v>
      </c>
      <c r="J1252" s="11">
        <v>0.05</v>
      </c>
      <c r="K1252" s="9">
        <v>48.92</v>
      </c>
      <c r="L1252" s="7" t="s">
        <v>13</v>
      </c>
    </row>
    <row r="1253" ht="15.75" customHeight="1">
      <c r="A1253" s="6">
        <v>10722.0</v>
      </c>
      <c r="B1253" s="7" t="s">
        <v>60</v>
      </c>
      <c r="C1253" s="8">
        <v>45228.0</v>
      </c>
      <c r="D1253" s="8">
        <v>45270.0</v>
      </c>
      <c r="E1253" s="8">
        <v>45234.0</v>
      </c>
      <c r="F1253" s="8">
        <v>45245.0</v>
      </c>
      <c r="G1253" s="6">
        <v>2.0</v>
      </c>
      <c r="H1253" s="9">
        <v>19.0</v>
      </c>
      <c r="I1253" s="10">
        <v>3.0</v>
      </c>
      <c r="J1253" s="11">
        <v>0.0</v>
      </c>
      <c r="K1253" s="9">
        <v>74.58</v>
      </c>
      <c r="L1253" s="7" t="s">
        <v>15</v>
      </c>
    </row>
    <row r="1254" ht="15.75" customHeight="1">
      <c r="A1254" s="6">
        <v>10722.0</v>
      </c>
      <c r="B1254" s="7" t="s">
        <v>60</v>
      </c>
      <c r="C1254" s="8">
        <v>45228.0</v>
      </c>
      <c r="D1254" s="8">
        <v>45270.0</v>
      </c>
      <c r="E1254" s="8">
        <v>45234.0</v>
      </c>
      <c r="F1254" s="8">
        <v>45245.0</v>
      </c>
      <c r="G1254" s="6">
        <v>31.0</v>
      </c>
      <c r="H1254" s="9">
        <v>12.5</v>
      </c>
      <c r="I1254" s="10">
        <v>50.0</v>
      </c>
      <c r="J1254" s="11">
        <v>0.0</v>
      </c>
      <c r="K1254" s="9">
        <v>74.58</v>
      </c>
      <c r="L1254" s="7" t="s">
        <v>15</v>
      </c>
    </row>
    <row r="1255" ht="15.75" customHeight="1">
      <c r="A1255" s="6">
        <v>10722.0</v>
      </c>
      <c r="B1255" s="7" t="s">
        <v>60</v>
      </c>
      <c r="C1255" s="8">
        <v>45228.0</v>
      </c>
      <c r="D1255" s="8">
        <v>45270.0</v>
      </c>
      <c r="E1255" s="8">
        <v>45234.0</v>
      </c>
      <c r="F1255" s="8">
        <v>45245.0</v>
      </c>
      <c r="G1255" s="6">
        <v>68.0</v>
      </c>
      <c r="H1255" s="9">
        <v>12.5</v>
      </c>
      <c r="I1255" s="10">
        <v>45.0</v>
      </c>
      <c r="J1255" s="11">
        <v>0.0</v>
      </c>
      <c r="K1255" s="9">
        <v>74.58</v>
      </c>
      <c r="L1255" s="7" t="s">
        <v>15</v>
      </c>
    </row>
    <row r="1256" ht="15.75" customHeight="1">
      <c r="A1256" s="6">
        <v>10722.0</v>
      </c>
      <c r="B1256" s="7" t="s">
        <v>60</v>
      </c>
      <c r="C1256" s="8">
        <v>45228.0</v>
      </c>
      <c r="D1256" s="8">
        <v>45270.0</v>
      </c>
      <c r="E1256" s="8">
        <v>45234.0</v>
      </c>
      <c r="F1256" s="8">
        <v>45245.0</v>
      </c>
      <c r="G1256" s="6">
        <v>75.0</v>
      </c>
      <c r="H1256" s="9">
        <v>7.75</v>
      </c>
      <c r="I1256" s="10">
        <v>42.0</v>
      </c>
      <c r="J1256" s="11">
        <v>0.0</v>
      </c>
      <c r="K1256" s="9">
        <v>74.58</v>
      </c>
      <c r="L1256" s="7" t="s">
        <v>15</v>
      </c>
    </row>
    <row r="1257" ht="15.75" customHeight="1">
      <c r="A1257" s="6">
        <v>10723.0</v>
      </c>
      <c r="B1257" s="7" t="s">
        <v>34</v>
      </c>
      <c r="C1257" s="8">
        <v>45229.0</v>
      </c>
      <c r="D1257" s="8">
        <v>45257.0</v>
      </c>
      <c r="E1257" s="8">
        <v>45255.0</v>
      </c>
      <c r="F1257" s="8">
        <v>45266.0</v>
      </c>
      <c r="G1257" s="6">
        <v>26.0</v>
      </c>
      <c r="H1257" s="9">
        <v>31.23</v>
      </c>
      <c r="I1257" s="10">
        <v>15.0</v>
      </c>
      <c r="J1257" s="11">
        <v>0.0</v>
      </c>
      <c r="K1257" s="9">
        <v>21.72</v>
      </c>
      <c r="L1257" s="7" t="s">
        <v>15</v>
      </c>
    </row>
    <row r="1258" ht="15.75" customHeight="1">
      <c r="A1258" s="6">
        <v>10724.0</v>
      </c>
      <c r="B1258" s="7" t="s">
        <v>64</v>
      </c>
      <c r="C1258" s="8">
        <v>45229.0</v>
      </c>
      <c r="D1258" s="8">
        <v>45271.0</v>
      </c>
      <c r="E1258" s="8">
        <v>45235.0</v>
      </c>
      <c r="F1258" s="8">
        <v>45248.0</v>
      </c>
      <c r="G1258" s="6">
        <v>10.0</v>
      </c>
      <c r="H1258" s="9">
        <v>31.0</v>
      </c>
      <c r="I1258" s="10">
        <v>16.0</v>
      </c>
      <c r="J1258" s="11">
        <v>0.0</v>
      </c>
      <c r="K1258" s="9">
        <v>57.75</v>
      </c>
      <c r="L1258" s="7" t="s">
        <v>17</v>
      </c>
    </row>
    <row r="1259" ht="15.75" customHeight="1">
      <c r="A1259" s="6">
        <v>10724.0</v>
      </c>
      <c r="B1259" s="7" t="s">
        <v>64</v>
      </c>
      <c r="C1259" s="8">
        <v>45229.0</v>
      </c>
      <c r="D1259" s="8">
        <v>45271.0</v>
      </c>
      <c r="E1259" s="8">
        <v>45235.0</v>
      </c>
      <c r="F1259" s="8">
        <v>45248.0</v>
      </c>
      <c r="G1259" s="6">
        <v>61.0</v>
      </c>
      <c r="H1259" s="9">
        <v>28.5</v>
      </c>
      <c r="I1259" s="10">
        <v>5.0</v>
      </c>
      <c r="J1259" s="11">
        <v>0.0</v>
      </c>
      <c r="K1259" s="9">
        <v>57.75</v>
      </c>
      <c r="L1259" s="7" t="s">
        <v>17</v>
      </c>
    </row>
    <row r="1260" ht="15.75" customHeight="1">
      <c r="A1260" s="6">
        <v>10725.0</v>
      </c>
      <c r="B1260" s="7" t="s">
        <v>67</v>
      </c>
      <c r="C1260" s="8">
        <v>45230.0</v>
      </c>
      <c r="D1260" s="8">
        <v>45258.0</v>
      </c>
      <c r="E1260" s="8">
        <v>45235.0</v>
      </c>
      <c r="F1260" s="8">
        <v>45254.0</v>
      </c>
      <c r="G1260" s="6">
        <v>41.0</v>
      </c>
      <c r="H1260" s="9">
        <v>9.65</v>
      </c>
      <c r="I1260" s="10">
        <v>12.0</v>
      </c>
      <c r="J1260" s="11">
        <v>0.0</v>
      </c>
      <c r="K1260" s="9">
        <v>10.83</v>
      </c>
      <c r="L1260" s="7" t="s">
        <v>13</v>
      </c>
    </row>
    <row r="1261" ht="15.75" customHeight="1">
      <c r="A1261" s="6">
        <v>10725.0</v>
      </c>
      <c r="B1261" s="7" t="s">
        <v>67</v>
      </c>
      <c r="C1261" s="8">
        <v>45230.0</v>
      </c>
      <c r="D1261" s="8">
        <v>45258.0</v>
      </c>
      <c r="E1261" s="8">
        <v>45235.0</v>
      </c>
      <c r="F1261" s="8">
        <v>45254.0</v>
      </c>
      <c r="G1261" s="6">
        <v>52.0</v>
      </c>
      <c r="H1261" s="9">
        <v>7.0</v>
      </c>
      <c r="I1261" s="10">
        <v>4.0</v>
      </c>
      <c r="J1261" s="11">
        <v>0.0</v>
      </c>
      <c r="K1261" s="9">
        <v>10.83</v>
      </c>
      <c r="L1261" s="7" t="s">
        <v>13</v>
      </c>
    </row>
    <row r="1262" ht="15.75" customHeight="1">
      <c r="A1262" s="6">
        <v>10725.0</v>
      </c>
      <c r="B1262" s="7" t="s">
        <v>67</v>
      </c>
      <c r="C1262" s="8">
        <v>45230.0</v>
      </c>
      <c r="D1262" s="8">
        <v>45258.0</v>
      </c>
      <c r="E1262" s="8">
        <v>45235.0</v>
      </c>
      <c r="F1262" s="8">
        <v>45254.0</v>
      </c>
      <c r="G1262" s="6">
        <v>55.0</v>
      </c>
      <c r="H1262" s="9">
        <v>24.0</v>
      </c>
      <c r="I1262" s="10">
        <v>6.0</v>
      </c>
      <c r="J1262" s="11">
        <v>0.0</v>
      </c>
      <c r="K1262" s="9">
        <v>10.83</v>
      </c>
      <c r="L1262" s="7" t="s">
        <v>13</v>
      </c>
    </row>
    <row r="1263" ht="15.75" customHeight="1">
      <c r="A1263" s="6">
        <v>10726.0</v>
      </c>
      <c r="B1263" s="7" t="s">
        <v>73</v>
      </c>
      <c r="C1263" s="8">
        <v>45233.0</v>
      </c>
      <c r="D1263" s="8">
        <v>45247.0</v>
      </c>
      <c r="E1263" s="8">
        <v>45265.0</v>
      </c>
      <c r="F1263" s="8">
        <v>45271.0</v>
      </c>
      <c r="G1263" s="6">
        <v>4.0</v>
      </c>
      <c r="H1263" s="9">
        <v>22.0</v>
      </c>
      <c r="I1263" s="10">
        <v>25.0</v>
      </c>
      <c r="J1263" s="11">
        <v>0.0</v>
      </c>
      <c r="K1263" s="9">
        <v>16.56</v>
      </c>
      <c r="L1263" s="7" t="s">
        <v>15</v>
      </c>
    </row>
    <row r="1264" ht="15.75" customHeight="1">
      <c r="A1264" s="6">
        <v>10726.0</v>
      </c>
      <c r="B1264" s="7" t="s">
        <v>73</v>
      </c>
      <c r="C1264" s="8">
        <v>45233.0</v>
      </c>
      <c r="D1264" s="8">
        <v>45247.0</v>
      </c>
      <c r="E1264" s="8">
        <v>45265.0</v>
      </c>
      <c r="F1264" s="8">
        <v>45271.0</v>
      </c>
      <c r="G1264" s="6">
        <v>11.0</v>
      </c>
      <c r="H1264" s="9">
        <v>21.0</v>
      </c>
      <c r="I1264" s="10">
        <v>5.0</v>
      </c>
      <c r="J1264" s="11">
        <v>0.0</v>
      </c>
      <c r="K1264" s="9">
        <v>16.56</v>
      </c>
      <c r="L1264" s="7" t="s">
        <v>15</v>
      </c>
    </row>
    <row r="1265" ht="15.75" customHeight="1">
      <c r="A1265" s="6">
        <v>10727.0</v>
      </c>
      <c r="B1265" s="7" t="s">
        <v>45</v>
      </c>
      <c r="C1265" s="8">
        <v>45233.0</v>
      </c>
      <c r="D1265" s="8">
        <v>45261.0</v>
      </c>
      <c r="E1265" s="8">
        <v>45265.0</v>
      </c>
      <c r="F1265" s="8">
        <v>45270.0</v>
      </c>
      <c r="G1265" s="6">
        <v>17.0</v>
      </c>
      <c r="H1265" s="9">
        <v>39.0</v>
      </c>
      <c r="I1265" s="10">
        <v>20.0</v>
      </c>
      <c r="J1265" s="11">
        <v>0.05</v>
      </c>
      <c r="K1265" s="9">
        <v>89.9</v>
      </c>
      <c r="L1265" s="7" t="s">
        <v>15</v>
      </c>
    </row>
    <row r="1266" ht="15.75" customHeight="1">
      <c r="A1266" s="6">
        <v>10727.0</v>
      </c>
      <c r="B1266" s="7" t="s">
        <v>45</v>
      </c>
      <c r="C1266" s="8">
        <v>45233.0</v>
      </c>
      <c r="D1266" s="8">
        <v>45261.0</v>
      </c>
      <c r="E1266" s="8">
        <v>45265.0</v>
      </c>
      <c r="F1266" s="8">
        <v>45270.0</v>
      </c>
      <c r="G1266" s="6">
        <v>56.0</v>
      </c>
      <c r="H1266" s="9">
        <v>38.0</v>
      </c>
      <c r="I1266" s="10">
        <v>10.0</v>
      </c>
      <c r="J1266" s="11">
        <v>0.05</v>
      </c>
      <c r="K1266" s="9">
        <v>89.9</v>
      </c>
      <c r="L1266" s="7" t="s">
        <v>15</v>
      </c>
    </row>
    <row r="1267" ht="15.75" customHeight="1">
      <c r="A1267" s="6">
        <v>10727.0</v>
      </c>
      <c r="B1267" s="7" t="s">
        <v>45</v>
      </c>
      <c r="C1267" s="8">
        <v>45233.0</v>
      </c>
      <c r="D1267" s="8">
        <v>45261.0</v>
      </c>
      <c r="E1267" s="8">
        <v>45265.0</v>
      </c>
      <c r="F1267" s="8">
        <v>45270.0</v>
      </c>
      <c r="G1267" s="6">
        <v>59.0</v>
      </c>
      <c r="H1267" s="9">
        <v>55.0</v>
      </c>
      <c r="I1267" s="10">
        <v>10.0</v>
      </c>
      <c r="J1267" s="11">
        <v>0.05</v>
      </c>
      <c r="K1267" s="9">
        <v>89.9</v>
      </c>
      <c r="L1267" s="7" t="s">
        <v>15</v>
      </c>
    </row>
    <row r="1268" ht="15.75" customHeight="1">
      <c r="A1268" s="6">
        <v>10728.0</v>
      </c>
      <c r="B1268" s="7" t="s">
        <v>77</v>
      </c>
      <c r="C1268" s="8">
        <v>45234.0</v>
      </c>
      <c r="D1268" s="8">
        <v>45262.0</v>
      </c>
      <c r="E1268" s="8">
        <v>45241.0</v>
      </c>
      <c r="F1268" s="8">
        <v>45259.0</v>
      </c>
      <c r="G1268" s="6">
        <v>30.0</v>
      </c>
      <c r="H1268" s="9">
        <v>25.89</v>
      </c>
      <c r="I1268" s="10">
        <v>15.0</v>
      </c>
      <c r="J1268" s="11">
        <v>0.0</v>
      </c>
      <c r="K1268" s="9">
        <v>58.33</v>
      </c>
      <c r="L1268" s="7" t="s">
        <v>17</v>
      </c>
    </row>
    <row r="1269" ht="15.75" customHeight="1">
      <c r="A1269" s="6">
        <v>10728.0</v>
      </c>
      <c r="B1269" s="7" t="s">
        <v>77</v>
      </c>
      <c r="C1269" s="8">
        <v>45234.0</v>
      </c>
      <c r="D1269" s="8">
        <v>45262.0</v>
      </c>
      <c r="E1269" s="8">
        <v>45241.0</v>
      </c>
      <c r="F1269" s="8">
        <v>45259.0</v>
      </c>
      <c r="G1269" s="6">
        <v>40.0</v>
      </c>
      <c r="H1269" s="9">
        <v>18.4</v>
      </c>
      <c r="I1269" s="10">
        <v>6.0</v>
      </c>
      <c r="J1269" s="11">
        <v>0.0</v>
      </c>
      <c r="K1269" s="9">
        <v>58.33</v>
      </c>
      <c r="L1269" s="7" t="s">
        <v>17</v>
      </c>
    </row>
    <row r="1270" ht="15.75" customHeight="1">
      <c r="A1270" s="6">
        <v>10728.0</v>
      </c>
      <c r="B1270" s="7" t="s">
        <v>77</v>
      </c>
      <c r="C1270" s="8">
        <v>45234.0</v>
      </c>
      <c r="D1270" s="8">
        <v>45262.0</v>
      </c>
      <c r="E1270" s="8">
        <v>45241.0</v>
      </c>
      <c r="F1270" s="8">
        <v>45259.0</v>
      </c>
      <c r="G1270" s="6">
        <v>55.0</v>
      </c>
      <c r="H1270" s="9">
        <v>24.0</v>
      </c>
      <c r="I1270" s="10">
        <v>12.0</v>
      </c>
      <c r="J1270" s="11">
        <v>0.0</v>
      </c>
      <c r="K1270" s="9">
        <v>58.33</v>
      </c>
      <c r="L1270" s="7" t="s">
        <v>17</v>
      </c>
    </row>
    <row r="1271" ht="15.75" customHeight="1">
      <c r="A1271" s="6">
        <v>10728.0</v>
      </c>
      <c r="B1271" s="7" t="s">
        <v>77</v>
      </c>
      <c r="C1271" s="8">
        <v>45234.0</v>
      </c>
      <c r="D1271" s="8">
        <v>45262.0</v>
      </c>
      <c r="E1271" s="8">
        <v>45241.0</v>
      </c>
      <c r="F1271" s="8">
        <v>45259.0</v>
      </c>
      <c r="G1271" s="6">
        <v>60.0</v>
      </c>
      <c r="H1271" s="9">
        <v>34.0</v>
      </c>
      <c r="I1271" s="10">
        <v>15.0</v>
      </c>
      <c r="J1271" s="11">
        <v>0.0</v>
      </c>
      <c r="K1271" s="9">
        <v>58.33</v>
      </c>
      <c r="L1271" s="7" t="s">
        <v>17</v>
      </c>
    </row>
    <row r="1272" ht="15.75" customHeight="1">
      <c r="A1272" s="6">
        <v>10729.0</v>
      </c>
      <c r="B1272" s="7" t="s">
        <v>82</v>
      </c>
      <c r="C1272" s="8">
        <v>45234.0</v>
      </c>
      <c r="D1272" s="8">
        <v>45276.0</v>
      </c>
      <c r="E1272" s="8">
        <v>45244.0</v>
      </c>
      <c r="F1272" s="8">
        <v>45254.0</v>
      </c>
      <c r="G1272" s="6">
        <v>1.0</v>
      </c>
      <c r="H1272" s="9">
        <v>18.0</v>
      </c>
      <c r="I1272" s="10">
        <v>50.0</v>
      </c>
      <c r="J1272" s="11">
        <v>0.0</v>
      </c>
      <c r="K1272" s="9">
        <v>141.06</v>
      </c>
      <c r="L1272" s="7" t="s">
        <v>13</v>
      </c>
    </row>
    <row r="1273" ht="15.75" customHeight="1">
      <c r="A1273" s="6">
        <v>10729.0</v>
      </c>
      <c r="B1273" s="7" t="s">
        <v>82</v>
      </c>
      <c r="C1273" s="8">
        <v>45234.0</v>
      </c>
      <c r="D1273" s="8">
        <v>45276.0</v>
      </c>
      <c r="E1273" s="8">
        <v>45244.0</v>
      </c>
      <c r="F1273" s="8">
        <v>45254.0</v>
      </c>
      <c r="G1273" s="6">
        <v>21.0</v>
      </c>
      <c r="H1273" s="9">
        <v>10.0</v>
      </c>
      <c r="I1273" s="10">
        <v>30.0</v>
      </c>
      <c r="J1273" s="11">
        <v>0.0</v>
      </c>
      <c r="K1273" s="9">
        <v>141.06</v>
      </c>
      <c r="L1273" s="7" t="s">
        <v>13</v>
      </c>
    </row>
    <row r="1274" ht="15.75" customHeight="1">
      <c r="A1274" s="6">
        <v>10729.0</v>
      </c>
      <c r="B1274" s="7" t="s">
        <v>82</v>
      </c>
      <c r="C1274" s="8">
        <v>45234.0</v>
      </c>
      <c r="D1274" s="8">
        <v>45276.0</v>
      </c>
      <c r="E1274" s="8">
        <v>45244.0</v>
      </c>
      <c r="F1274" s="8">
        <v>45254.0</v>
      </c>
      <c r="G1274" s="6">
        <v>50.0</v>
      </c>
      <c r="H1274" s="9">
        <v>16.25</v>
      </c>
      <c r="I1274" s="10">
        <v>40.0</v>
      </c>
      <c r="J1274" s="11">
        <v>0.0</v>
      </c>
      <c r="K1274" s="9">
        <v>141.06</v>
      </c>
      <c r="L1274" s="7" t="s">
        <v>13</v>
      </c>
    </row>
    <row r="1275" ht="15.75" customHeight="1">
      <c r="A1275" s="6">
        <v>10730.0</v>
      </c>
      <c r="B1275" s="7" t="s">
        <v>63</v>
      </c>
      <c r="C1275" s="8">
        <v>45235.0</v>
      </c>
      <c r="D1275" s="8">
        <v>45263.0</v>
      </c>
      <c r="E1275" s="8">
        <v>45244.0</v>
      </c>
      <c r="F1275" s="8">
        <v>45247.0</v>
      </c>
      <c r="G1275" s="6">
        <v>16.0</v>
      </c>
      <c r="H1275" s="9">
        <v>17.45</v>
      </c>
      <c r="I1275" s="10">
        <v>15.0</v>
      </c>
      <c r="J1275" s="11">
        <v>0.05</v>
      </c>
      <c r="K1275" s="9">
        <v>20.12</v>
      </c>
      <c r="L1275" s="7" t="s">
        <v>15</v>
      </c>
    </row>
    <row r="1276" ht="15.75" customHeight="1">
      <c r="A1276" s="6">
        <v>10730.0</v>
      </c>
      <c r="B1276" s="7" t="s">
        <v>63</v>
      </c>
      <c r="C1276" s="8">
        <v>45235.0</v>
      </c>
      <c r="D1276" s="8">
        <v>45263.0</v>
      </c>
      <c r="E1276" s="8">
        <v>45244.0</v>
      </c>
      <c r="F1276" s="8">
        <v>45247.0</v>
      </c>
      <c r="G1276" s="6">
        <v>31.0</v>
      </c>
      <c r="H1276" s="9">
        <v>12.5</v>
      </c>
      <c r="I1276" s="10">
        <v>3.0</v>
      </c>
      <c r="J1276" s="11">
        <v>0.05</v>
      </c>
      <c r="K1276" s="9">
        <v>20.12</v>
      </c>
      <c r="L1276" s="7" t="s">
        <v>15</v>
      </c>
    </row>
    <row r="1277" ht="15.75" customHeight="1">
      <c r="A1277" s="6">
        <v>10730.0</v>
      </c>
      <c r="B1277" s="7" t="s">
        <v>63</v>
      </c>
      <c r="C1277" s="8">
        <v>45235.0</v>
      </c>
      <c r="D1277" s="8">
        <v>45263.0</v>
      </c>
      <c r="E1277" s="8">
        <v>45244.0</v>
      </c>
      <c r="F1277" s="8">
        <v>45247.0</v>
      </c>
      <c r="G1277" s="6">
        <v>65.0</v>
      </c>
      <c r="H1277" s="9">
        <v>21.05</v>
      </c>
      <c r="I1277" s="10">
        <v>10.0</v>
      </c>
      <c r="J1277" s="11">
        <v>0.05</v>
      </c>
      <c r="K1277" s="9">
        <v>20.12</v>
      </c>
      <c r="L1277" s="7" t="s">
        <v>15</v>
      </c>
    </row>
    <row r="1278" ht="15.75" customHeight="1">
      <c r="A1278" s="6">
        <v>10731.0</v>
      </c>
      <c r="B1278" s="7" t="s">
        <v>20</v>
      </c>
      <c r="C1278" s="8">
        <v>45236.0</v>
      </c>
      <c r="D1278" s="8">
        <v>45264.0</v>
      </c>
      <c r="E1278" s="8">
        <v>45244.0</v>
      </c>
      <c r="F1278" s="8">
        <v>45252.0</v>
      </c>
      <c r="G1278" s="6">
        <v>21.0</v>
      </c>
      <c r="H1278" s="9">
        <v>10.0</v>
      </c>
      <c r="I1278" s="10">
        <v>40.0</v>
      </c>
      <c r="J1278" s="11">
        <v>0.05</v>
      </c>
      <c r="K1278" s="9">
        <v>96.65</v>
      </c>
      <c r="L1278" s="7" t="s">
        <v>15</v>
      </c>
    </row>
    <row r="1279" ht="15.75" customHeight="1">
      <c r="A1279" s="6">
        <v>10731.0</v>
      </c>
      <c r="B1279" s="7" t="s">
        <v>20</v>
      </c>
      <c r="C1279" s="8">
        <v>45236.0</v>
      </c>
      <c r="D1279" s="8">
        <v>45264.0</v>
      </c>
      <c r="E1279" s="8">
        <v>45244.0</v>
      </c>
      <c r="F1279" s="8">
        <v>45252.0</v>
      </c>
      <c r="G1279" s="6">
        <v>51.0</v>
      </c>
      <c r="H1279" s="9">
        <v>53.0</v>
      </c>
      <c r="I1279" s="10">
        <v>30.0</v>
      </c>
      <c r="J1279" s="11">
        <v>0.05</v>
      </c>
      <c r="K1279" s="9">
        <v>96.65</v>
      </c>
      <c r="L1279" s="7" t="s">
        <v>15</v>
      </c>
    </row>
    <row r="1280" ht="15.75" customHeight="1">
      <c r="A1280" s="6">
        <v>10732.0</v>
      </c>
      <c r="B1280" s="7" t="s">
        <v>63</v>
      </c>
      <c r="C1280" s="8">
        <v>45236.0</v>
      </c>
      <c r="D1280" s="8">
        <v>45264.0</v>
      </c>
      <c r="E1280" s="8">
        <v>45237.0</v>
      </c>
      <c r="F1280" s="8">
        <v>45241.0</v>
      </c>
      <c r="G1280" s="6">
        <v>76.0</v>
      </c>
      <c r="H1280" s="9">
        <v>18.0</v>
      </c>
      <c r="I1280" s="10">
        <v>20.0</v>
      </c>
      <c r="J1280" s="11">
        <v>0.0</v>
      </c>
      <c r="K1280" s="9">
        <v>16.97</v>
      </c>
      <c r="L1280" s="7" t="s">
        <v>15</v>
      </c>
    </row>
    <row r="1281" ht="15.75" customHeight="1">
      <c r="A1281" s="6">
        <v>10733.0</v>
      </c>
      <c r="B1281" s="7" t="s">
        <v>40</v>
      </c>
      <c r="C1281" s="8">
        <v>45237.0</v>
      </c>
      <c r="D1281" s="8">
        <v>45265.0</v>
      </c>
      <c r="E1281" s="8">
        <v>45240.0</v>
      </c>
      <c r="F1281" s="8">
        <v>45251.0</v>
      </c>
      <c r="G1281" s="6">
        <v>14.0</v>
      </c>
      <c r="H1281" s="9">
        <v>23.25</v>
      </c>
      <c r="I1281" s="10">
        <v>16.0</v>
      </c>
      <c r="J1281" s="11">
        <v>0.0</v>
      </c>
      <c r="K1281" s="9">
        <v>110.11</v>
      </c>
      <c r="L1281" s="7" t="s">
        <v>13</v>
      </c>
    </row>
    <row r="1282" ht="15.75" customHeight="1">
      <c r="A1282" s="6">
        <v>10733.0</v>
      </c>
      <c r="B1282" s="7" t="s">
        <v>40</v>
      </c>
      <c r="C1282" s="8">
        <v>45237.0</v>
      </c>
      <c r="D1282" s="8">
        <v>45265.0</v>
      </c>
      <c r="E1282" s="8">
        <v>45240.0</v>
      </c>
      <c r="F1282" s="8">
        <v>45251.0</v>
      </c>
      <c r="G1282" s="6">
        <v>28.0</v>
      </c>
      <c r="H1282" s="9">
        <v>45.6</v>
      </c>
      <c r="I1282" s="10">
        <v>20.0</v>
      </c>
      <c r="J1282" s="11">
        <v>0.0</v>
      </c>
      <c r="K1282" s="9">
        <v>110.11</v>
      </c>
      <c r="L1282" s="7" t="s">
        <v>13</v>
      </c>
    </row>
    <row r="1283" ht="15.75" customHeight="1">
      <c r="A1283" s="6">
        <v>10733.0</v>
      </c>
      <c r="B1283" s="7" t="s">
        <v>40</v>
      </c>
      <c r="C1283" s="8">
        <v>45237.0</v>
      </c>
      <c r="D1283" s="8">
        <v>45265.0</v>
      </c>
      <c r="E1283" s="8">
        <v>45240.0</v>
      </c>
      <c r="F1283" s="8">
        <v>45251.0</v>
      </c>
      <c r="G1283" s="6">
        <v>52.0</v>
      </c>
      <c r="H1283" s="9">
        <v>7.0</v>
      </c>
      <c r="I1283" s="10">
        <v>25.0</v>
      </c>
      <c r="J1283" s="11">
        <v>0.0</v>
      </c>
      <c r="K1283" s="9">
        <v>110.11</v>
      </c>
      <c r="L1283" s="7" t="s">
        <v>13</v>
      </c>
    </row>
    <row r="1284" ht="15.75" customHeight="1">
      <c r="A1284" s="6">
        <v>10734.0</v>
      </c>
      <c r="B1284" s="7" t="s">
        <v>86</v>
      </c>
      <c r="C1284" s="8">
        <v>45237.0</v>
      </c>
      <c r="D1284" s="8">
        <v>45265.0</v>
      </c>
      <c r="E1284" s="8">
        <v>45242.0</v>
      </c>
      <c r="F1284" s="8">
        <v>45260.0</v>
      </c>
      <c r="G1284" s="6">
        <v>6.0</v>
      </c>
      <c r="H1284" s="9">
        <v>25.0</v>
      </c>
      <c r="I1284" s="10">
        <v>30.0</v>
      </c>
      <c r="J1284" s="11">
        <v>0.0</v>
      </c>
      <c r="K1284" s="9">
        <v>1.63</v>
      </c>
      <c r="L1284" s="7" t="s">
        <v>13</v>
      </c>
    </row>
    <row r="1285" ht="15.75" customHeight="1">
      <c r="A1285" s="6">
        <v>10734.0</v>
      </c>
      <c r="B1285" s="7" t="s">
        <v>86</v>
      </c>
      <c r="C1285" s="8">
        <v>45237.0</v>
      </c>
      <c r="D1285" s="8">
        <v>45265.0</v>
      </c>
      <c r="E1285" s="8">
        <v>45242.0</v>
      </c>
      <c r="F1285" s="8">
        <v>45260.0</v>
      </c>
      <c r="G1285" s="6">
        <v>30.0</v>
      </c>
      <c r="H1285" s="9">
        <v>25.89</v>
      </c>
      <c r="I1285" s="10">
        <v>15.0</v>
      </c>
      <c r="J1285" s="11">
        <v>0.0</v>
      </c>
      <c r="K1285" s="9">
        <v>1.63</v>
      </c>
      <c r="L1285" s="7" t="s">
        <v>13</v>
      </c>
    </row>
    <row r="1286" ht="15.75" customHeight="1">
      <c r="A1286" s="6">
        <v>10734.0</v>
      </c>
      <c r="B1286" s="7" t="s">
        <v>86</v>
      </c>
      <c r="C1286" s="8">
        <v>45237.0</v>
      </c>
      <c r="D1286" s="8">
        <v>45265.0</v>
      </c>
      <c r="E1286" s="8">
        <v>45242.0</v>
      </c>
      <c r="F1286" s="8">
        <v>45260.0</v>
      </c>
      <c r="G1286" s="6">
        <v>76.0</v>
      </c>
      <c r="H1286" s="9">
        <v>18.0</v>
      </c>
      <c r="I1286" s="10">
        <v>20.0</v>
      </c>
      <c r="J1286" s="11">
        <v>0.0</v>
      </c>
      <c r="K1286" s="9">
        <v>1.63</v>
      </c>
      <c r="L1286" s="7" t="s">
        <v>13</v>
      </c>
    </row>
    <row r="1287" ht="15.75" customHeight="1">
      <c r="A1287" s="6">
        <v>10735.0</v>
      </c>
      <c r="B1287" s="7" t="s">
        <v>97</v>
      </c>
      <c r="C1287" s="8">
        <v>45240.0</v>
      </c>
      <c r="D1287" s="8">
        <v>45268.0</v>
      </c>
      <c r="E1287" s="8">
        <v>45251.0</v>
      </c>
      <c r="F1287" s="8">
        <v>45269.0</v>
      </c>
      <c r="G1287" s="6">
        <v>61.0</v>
      </c>
      <c r="H1287" s="9">
        <v>28.5</v>
      </c>
      <c r="I1287" s="10">
        <v>20.0</v>
      </c>
      <c r="J1287" s="11">
        <v>0.1</v>
      </c>
      <c r="K1287" s="9">
        <v>45.97</v>
      </c>
      <c r="L1287" s="7" t="s">
        <v>17</v>
      </c>
    </row>
    <row r="1288" ht="15.75" customHeight="1">
      <c r="A1288" s="6">
        <v>10735.0</v>
      </c>
      <c r="B1288" s="7" t="s">
        <v>97</v>
      </c>
      <c r="C1288" s="8">
        <v>45240.0</v>
      </c>
      <c r="D1288" s="8">
        <v>45268.0</v>
      </c>
      <c r="E1288" s="8">
        <v>45251.0</v>
      </c>
      <c r="F1288" s="8">
        <v>45269.0</v>
      </c>
      <c r="G1288" s="6">
        <v>77.0</v>
      </c>
      <c r="H1288" s="9">
        <v>13.0</v>
      </c>
      <c r="I1288" s="10">
        <v>2.0</v>
      </c>
      <c r="J1288" s="11">
        <v>0.1</v>
      </c>
      <c r="K1288" s="9">
        <v>45.97</v>
      </c>
      <c r="L1288" s="7" t="s">
        <v>17</v>
      </c>
    </row>
    <row r="1289" ht="15.75" customHeight="1">
      <c r="A1289" s="6">
        <v>10736.0</v>
      </c>
      <c r="B1289" s="7" t="s">
        <v>49</v>
      </c>
      <c r="C1289" s="8">
        <v>45241.0</v>
      </c>
      <c r="D1289" s="8">
        <v>45269.0</v>
      </c>
      <c r="E1289" s="8">
        <v>45251.0</v>
      </c>
      <c r="F1289" s="8">
        <v>45264.0</v>
      </c>
      <c r="G1289" s="6">
        <v>65.0</v>
      </c>
      <c r="H1289" s="9">
        <v>21.05</v>
      </c>
      <c r="I1289" s="10">
        <v>40.0</v>
      </c>
      <c r="J1289" s="11">
        <v>0.0</v>
      </c>
      <c r="K1289" s="9">
        <v>44.1</v>
      </c>
      <c r="L1289" s="7" t="s">
        <v>17</v>
      </c>
    </row>
    <row r="1290" ht="15.75" customHeight="1">
      <c r="A1290" s="6">
        <v>10736.0</v>
      </c>
      <c r="B1290" s="7" t="s">
        <v>49</v>
      </c>
      <c r="C1290" s="8">
        <v>45241.0</v>
      </c>
      <c r="D1290" s="8">
        <v>45269.0</v>
      </c>
      <c r="E1290" s="8">
        <v>45251.0</v>
      </c>
      <c r="F1290" s="8">
        <v>45264.0</v>
      </c>
      <c r="G1290" s="6">
        <v>75.0</v>
      </c>
      <c r="H1290" s="9">
        <v>7.75</v>
      </c>
      <c r="I1290" s="10">
        <v>20.0</v>
      </c>
      <c r="J1290" s="11">
        <v>0.0</v>
      </c>
      <c r="K1290" s="9">
        <v>44.1</v>
      </c>
      <c r="L1290" s="7" t="s">
        <v>17</v>
      </c>
    </row>
    <row r="1291" ht="15.75" customHeight="1">
      <c r="A1291" s="6">
        <v>10737.0</v>
      </c>
      <c r="B1291" s="7" t="s">
        <v>12</v>
      </c>
      <c r="C1291" s="8">
        <v>45241.0</v>
      </c>
      <c r="D1291" s="8">
        <v>45269.0</v>
      </c>
      <c r="E1291" s="8">
        <v>45248.0</v>
      </c>
      <c r="F1291" s="8">
        <v>45257.0</v>
      </c>
      <c r="G1291" s="6">
        <v>13.0</v>
      </c>
      <c r="H1291" s="9">
        <v>6.0</v>
      </c>
      <c r="I1291" s="10">
        <v>4.0</v>
      </c>
      <c r="J1291" s="11">
        <v>0.0</v>
      </c>
      <c r="K1291" s="9">
        <v>7.79</v>
      </c>
      <c r="L1291" s="7" t="s">
        <v>17</v>
      </c>
    </row>
    <row r="1292" ht="15.75" customHeight="1">
      <c r="A1292" s="6">
        <v>10737.0</v>
      </c>
      <c r="B1292" s="7" t="s">
        <v>12</v>
      </c>
      <c r="C1292" s="8">
        <v>45241.0</v>
      </c>
      <c r="D1292" s="8">
        <v>45269.0</v>
      </c>
      <c r="E1292" s="8">
        <v>45248.0</v>
      </c>
      <c r="F1292" s="8">
        <v>45257.0</v>
      </c>
      <c r="G1292" s="6">
        <v>41.0</v>
      </c>
      <c r="H1292" s="9">
        <v>9.65</v>
      </c>
      <c r="I1292" s="10">
        <v>12.0</v>
      </c>
      <c r="J1292" s="11">
        <v>0.0</v>
      </c>
      <c r="K1292" s="9">
        <v>7.79</v>
      </c>
      <c r="L1292" s="7" t="s">
        <v>17</v>
      </c>
    </row>
    <row r="1293" ht="15.75" customHeight="1">
      <c r="A1293" s="6">
        <v>10738.0</v>
      </c>
      <c r="B1293" s="7" t="s">
        <v>102</v>
      </c>
      <c r="C1293" s="8">
        <v>45242.0</v>
      </c>
      <c r="D1293" s="8">
        <v>45270.0</v>
      </c>
      <c r="E1293" s="8">
        <v>45248.0</v>
      </c>
      <c r="F1293" s="8">
        <v>45254.0</v>
      </c>
      <c r="G1293" s="6">
        <v>16.0</v>
      </c>
      <c r="H1293" s="9">
        <v>17.45</v>
      </c>
      <c r="I1293" s="10">
        <v>3.0</v>
      </c>
      <c r="J1293" s="11">
        <v>0.0</v>
      </c>
      <c r="K1293" s="9">
        <v>2.91</v>
      </c>
      <c r="L1293" s="7" t="s">
        <v>15</v>
      </c>
    </row>
    <row r="1294" ht="15.75" customHeight="1">
      <c r="A1294" s="6">
        <v>10739.0</v>
      </c>
      <c r="B1294" s="7" t="s">
        <v>12</v>
      </c>
      <c r="C1294" s="8">
        <v>45242.0</v>
      </c>
      <c r="D1294" s="8">
        <v>45270.0</v>
      </c>
      <c r="E1294" s="8">
        <v>45247.0</v>
      </c>
      <c r="F1294" s="8">
        <v>45254.0</v>
      </c>
      <c r="G1294" s="6">
        <v>36.0</v>
      </c>
      <c r="H1294" s="9">
        <v>19.0</v>
      </c>
      <c r="I1294" s="10">
        <v>6.0</v>
      </c>
      <c r="J1294" s="11">
        <v>0.0</v>
      </c>
      <c r="K1294" s="9">
        <v>11.08</v>
      </c>
      <c r="L1294" s="7" t="s">
        <v>13</v>
      </c>
    </row>
    <row r="1295" ht="15.75" customHeight="1">
      <c r="A1295" s="6">
        <v>10739.0</v>
      </c>
      <c r="B1295" s="7" t="s">
        <v>12</v>
      </c>
      <c r="C1295" s="8">
        <v>45242.0</v>
      </c>
      <c r="D1295" s="8">
        <v>45270.0</v>
      </c>
      <c r="E1295" s="8">
        <v>45247.0</v>
      </c>
      <c r="F1295" s="8">
        <v>45254.0</v>
      </c>
      <c r="G1295" s="6">
        <v>52.0</v>
      </c>
      <c r="H1295" s="9">
        <v>7.0</v>
      </c>
      <c r="I1295" s="10">
        <v>18.0</v>
      </c>
      <c r="J1295" s="11">
        <v>0.0</v>
      </c>
      <c r="K1295" s="9">
        <v>11.08</v>
      </c>
      <c r="L1295" s="7" t="s">
        <v>13</v>
      </c>
    </row>
    <row r="1296" ht="15.75" customHeight="1">
      <c r="A1296" s="6">
        <v>10740.0</v>
      </c>
      <c r="B1296" s="7" t="s">
        <v>34</v>
      </c>
      <c r="C1296" s="8">
        <v>45243.0</v>
      </c>
      <c r="D1296" s="8">
        <v>45271.0</v>
      </c>
      <c r="E1296" s="8">
        <v>45255.0</v>
      </c>
      <c r="F1296" s="8">
        <v>45273.0</v>
      </c>
      <c r="G1296" s="6">
        <v>28.0</v>
      </c>
      <c r="H1296" s="9">
        <v>45.6</v>
      </c>
      <c r="I1296" s="10">
        <v>5.0</v>
      </c>
      <c r="J1296" s="11">
        <v>0.2</v>
      </c>
      <c r="K1296" s="9">
        <v>81.88</v>
      </c>
      <c r="L1296" s="7" t="s">
        <v>17</v>
      </c>
    </row>
    <row r="1297" ht="15.75" customHeight="1">
      <c r="A1297" s="6">
        <v>10740.0</v>
      </c>
      <c r="B1297" s="7" t="s">
        <v>34</v>
      </c>
      <c r="C1297" s="8">
        <v>45243.0</v>
      </c>
      <c r="D1297" s="8">
        <v>45271.0</v>
      </c>
      <c r="E1297" s="8">
        <v>45255.0</v>
      </c>
      <c r="F1297" s="8">
        <v>45273.0</v>
      </c>
      <c r="G1297" s="6">
        <v>35.0</v>
      </c>
      <c r="H1297" s="9">
        <v>18.0</v>
      </c>
      <c r="I1297" s="10">
        <v>35.0</v>
      </c>
      <c r="J1297" s="11">
        <v>0.2</v>
      </c>
      <c r="K1297" s="9">
        <v>81.88</v>
      </c>
      <c r="L1297" s="7" t="s">
        <v>17</v>
      </c>
    </row>
    <row r="1298" ht="15.75" customHeight="1">
      <c r="A1298" s="6">
        <v>10740.0</v>
      </c>
      <c r="B1298" s="7" t="s">
        <v>34</v>
      </c>
      <c r="C1298" s="8">
        <v>45243.0</v>
      </c>
      <c r="D1298" s="8">
        <v>45271.0</v>
      </c>
      <c r="E1298" s="8">
        <v>45255.0</v>
      </c>
      <c r="F1298" s="8">
        <v>45273.0</v>
      </c>
      <c r="G1298" s="6">
        <v>45.0</v>
      </c>
      <c r="H1298" s="9">
        <v>9.5</v>
      </c>
      <c r="I1298" s="10">
        <v>40.0</v>
      </c>
      <c r="J1298" s="11">
        <v>0.2</v>
      </c>
      <c r="K1298" s="9">
        <v>81.88</v>
      </c>
      <c r="L1298" s="7" t="s">
        <v>17</v>
      </c>
    </row>
    <row r="1299" ht="15.75" customHeight="1">
      <c r="A1299" s="6">
        <v>10740.0</v>
      </c>
      <c r="B1299" s="7" t="s">
        <v>34</v>
      </c>
      <c r="C1299" s="8">
        <v>45243.0</v>
      </c>
      <c r="D1299" s="8">
        <v>45271.0</v>
      </c>
      <c r="E1299" s="8">
        <v>45255.0</v>
      </c>
      <c r="F1299" s="8">
        <v>45273.0</v>
      </c>
      <c r="G1299" s="6">
        <v>56.0</v>
      </c>
      <c r="H1299" s="9">
        <v>38.0</v>
      </c>
      <c r="I1299" s="10">
        <v>14.0</v>
      </c>
      <c r="J1299" s="11">
        <v>0.2</v>
      </c>
      <c r="K1299" s="9">
        <v>81.88</v>
      </c>
      <c r="L1299" s="7" t="s">
        <v>17</v>
      </c>
    </row>
    <row r="1300" ht="15.75" customHeight="1">
      <c r="A1300" s="6">
        <v>10741.0</v>
      </c>
      <c r="B1300" s="7" t="s">
        <v>70</v>
      </c>
      <c r="C1300" s="8">
        <v>45244.0</v>
      </c>
      <c r="D1300" s="8">
        <v>45258.0</v>
      </c>
      <c r="E1300" s="8">
        <v>45248.0</v>
      </c>
      <c r="F1300" s="8">
        <v>45253.0</v>
      </c>
      <c r="G1300" s="6">
        <v>2.0</v>
      </c>
      <c r="H1300" s="9">
        <v>19.0</v>
      </c>
      <c r="I1300" s="10">
        <v>15.0</v>
      </c>
      <c r="J1300" s="11">
        <v>0.2</v>
      </c>
      <c r="K1300" s="9">
        <v>10.96</v>
      </c>
      <c r="L1300" s="7" t="s">
        <v>13</v>
      </c>
    </row>
    <row r="1301" ht="15.75" customHeight="1">
      <c r="A1301" s="6">
        <v>10742.0</v>
      </c>
      <c r="B1301" s="7" t="s">
        <v>81</v>
      </c>
      <c r="C1301" s="8">
        <v>45244.0</v>
      </c>
      <c r="D1301" s="8">
        <v>45272.0</v>
      </c>
      <c r="E1301" s="8">
        <v>45248.0</v>
      </c>
      <c r="F1301" s="8">
        <v>45260.0</v>
      </c>
      <c r="G1301" s="6">
        <v>3.0</v>
      </c>
      <c r="H1301" s="9">
        <v>10.0</v>
      </c>
      <c r="I1301" s="10">
        <v>20.0</v>
      </c>
      <c r="J1301" s="11">
        <v>0.0</v>
      </c>
      <c r="K1301" s="9">
        <v>243.73</v>
      </c>
      <c r="L1301" s="7" t="s">
        <v>13</v>
      </c>
    </row>
    <row r="1302" ht="15.75" customHeight="1">
      <c r="A1302" s="6">
        <v>10742.0</v>
      </c>
      <c r="B1302" s="7" t="s">
        <v>81</v>
      </c>
      <c r="C1302" s="8">
        <v>45244.0</v>
      </c>
      <c r="D1302" s="8">
        <v>45272.0</v>
      </c>
      <c r="E1302" s="8">
        <v>45248.0</v>
      </c>
      <c r="F1302" s="8">
        <v>45260.0</v>
      </c>
      <c r="G1302" s="6">
        <v>60.0</v>
      </c>
      <c r="H1302" s="9">
        <v>34.0</v>
      </c>
      <c r="I1302" s="10">
        <v>50.0</v>
      </c>
      <c r="J1302" s="11">
        <v>0.0</v>
      </c>
      <c r="K1302" s="9">
        <v>243.73</v>
      </c>
      <c r="L1302" s="7" t="s">
        <v>13</v>
      </c>
    </row>
    <row r="1303" ht="15.75" customHeight="1">
      <c r="A1303" s="6">
        <v>10742.0</v>
      </c>
      <c r="B1303" s="7" t="s">
        <v>81</v>
      </c>
      <c r="C1303" s="8">
        <v>45244.0</v>
      </c>
      <c r="D1303" s="8">
        <v>45272.0</v>
      </c>
      <c r="E1303" s="8">
        <v>45248.0</v>
      </c>
      <c r="F1303" s="8">
        <v>45260.0</v>
      </c>
      <c r="G1303" s="6">
        <v>72.0</v>
      </c>
      <c r="H1303" s="9">
        <v>34.8</v>
      </c>
      <c r="I1303" s="10">
        <v>35.0</v>
      </c>
      <c r="J1303" s="11">
        <v>0.0</v>
      </c>
      <c r="K1303" s="9">
        <v>243.73</v>
      </c>
      <c r="L1303" s="7" t="s">
        <v>13</v>
      </c>
    </row>
    <row r="1304" ht="15.75" customHeight="1">
      <c r="A1304" s="6">
        <v>10743.0</v>
      </c>
      <c r="B1304" s="7" t="s">
        <v>70</v>
      </c>
      <c r="C1304" s="8">
        <v>45247.0</v>
      </c>
      <c r="D1304" s="8">
        <v>45275.0</v>
      </c>
      <c r="E1304" s="8">
        <v>45251.0</v>
      </c>
      <c r="F1304" s="8">
        <v>45260.0</v>
      </c>
      <c r="G1304" s="6">
        <v>46.0</v>
      </c>
      <c r="H1304" s="9">
        <v>12.0</v>
      </c>
      <c r="I1304" s="10">
        <v>28.0</v>
      </c>
      <c r="J1304" s="11">
        <v>0.05</v>
      </c>
      <c r="K1304" s="9">
        <v>23.72</v>
      </c>
      <c r="L1304" s="7" t="s">
        <v>17</v>
      </c>
    </row>
    <row r="1305" ht="15.75" customHeight="1">
      <c r="A1305" s="6">
        <v>10744.0</v>
      </c>
      <c r="B1305" s="7" t="s">
        <v>76</v>
      </c>
      <c r="C1305" s="8">
        <v>45247.0</v>
      </c>
      <c r="D1305" s="8">
        <v>45275.0</v>
      </c>
      <c r="E1305" s="8">
        <v>45254.0</v>
      </c>
      <c r="F1305" s="8">
        <v>45265.0</v>
      </c>
      <c r="G1305" s="6">
        <v>40.0</v>
      </c>
      <c r="H1305" s="9">
        <v>18.4</v>
      </c>
      <c r="I1305" s="10">
        <v>50.0</v>
      </c>
      <c r="J1305" s="11">
        <v>0.2</v>
      </c>
      <c r="K1305" s="9">
        <v>69.19</v>
      </c>
      <c r="L1305" s="7" t="s">
        <v>15</v>
      </c>
    </row>
    <row r="1306" ht="15.75" customHeight="1">
      <c r="A1306" s="6">
        <v>10745.0</v>
      </c>
      <c r="B1306" s="7" t="s">
        <v>36</v>
      </c>
      <c r="C1306" s="8">
        <v>45248.0</v>
      </c>
      <c r="D1306" s="8">
        <v>45276.0</v>
      </c>
      <c r="E1306" s="8">
        <v>45257.0</v>
      </c>
      <c r="F1306" s="8">
        <v>45262.0</v>
      </c>
      <c r="G1306" s="6">
        <v>18.0</v>
      </c>
      <c r="H1306" s="9">
        <v>62.5</v>
      </c>
      <c r="I1306" s="10">
        <v>24.0</v>
      </c>
      <c r="J1306" s="11">
        <v>0.0</v>
      </c>
      <c r="K1306" s="9">
        <v>3.52</v>
      </c>
      <c r="L1306" s="7" t="s">
        <v>15</v>
      </c>
    </row>
    <row r="1307" ht="15.75" customHeight="1">
      <c r="A1307" s="6">
        <v>10745.0</v>
      </c>
      <c r="B1307" s="7" t="s">
        <v>36</v>
      </c>
      <c r="C1307" s="8">
        <v>45248.0</v>
      </c>
      <c r="D1307" s="8">
        <v>45276.0</v>
      </c>
      <c r="E1307" s="8">
        <v>45257.0</v>
      </c>
      <c r="F1307" s="8">
        <v>45262.0</v>
      </c>
      <c r="G1307" s="6">
        <v>44.0</v>
      </c>
      <c r="H1307" s="9">
        <v>19.45</v>
      </c>
      <c r="I1307" s="10">
        <v>16.0</v>
      </c>
      <c r="J1307" s="11">
        <v>0.0</v>
      </c>
      <c r="K1307" s="9">
        <v>3.52</v>
      </c>
      <c r="L1307" s="7" t="s">
        <v>15</v>
      </c>
    </row>
    <row r="1308" ht="15.75" customHeight="1">
      <c r="A1308" s="6">
        <v>10745.0</v>
      </c>
      <c r="B1308" s="7" t="s">
        <v>36</v>
      </c>
      <c r="C1308" s="8">
        <v>45248.0</v>
      </c>
      <c r="D1308" s="8">
        <v>45276.0</v>
      </c>
      <c r="E1308" s="8">
        <v>45257.0</v>
      </c>
      <c r="F1308" s="8">
        <v>45262.0</v>
      </c>
      <c r="G1308" s="6">
        <v>59.0</v>
      </c>
      <c r="H1308" s="9">
        <v>55.0</v>
      </c>
      <c r="I1308" s="10">
        <v>45.0</v>
      </c>
      <c r="J1308" s="11">
        <v>0.0</v>
      </c>
      <c r="K1308" s="9">
        <v>3.52</v>
      </c>
      <c r="L1308" s="7" t="s">
        <v>15</v>
      </c>
    </row>
    <row r="1309" ht="15.75" customHeight="1">
      <c r="A1309" s="6">
        <v>10745.0</v>
      </c>
      <c r="B1309" s="7" t="s">
        <v>36</v>
      </c>
      <c r="C1309" s="8">
        <v>45248.0</v>
      </c>
      <c r="D1309" s="8">
        <v>45276.0</v>
      </c>
      <c r="E1309" s="8">
        <v>45257.0</v>
      </c>
      <c r="F1309" s="8">
        <v>45262.0</v>
      </c>
      <c r="G1309" s="6">
        <v>72.0</v>
      </c>
      <c r="H1309" s="9">
        <v>34.8</v>
      </c>
      <c r="I1309" s="10">
        <v>7.0</v>
      </c>
      <c r="J1309" s="11">
        <v>0.0</v>
      </c>
      <c r="K1309" s="9">
        <v>3.52</v>
      </c>
      <c r="L1309" s="7" t="s">
        <v>15</v>
      </c>
    </row>
    <row r="1310" ht="15.75" customHeight="1">
      <c r="A1310" s="6">
        <v>10746.0</v>
      </c>
      <c r="B1310" s="7" t="s">
        <v>20</v>
      </c>
      <c r="C1310" s="8">
        <v>45249.0</v>
      </c>
      <c r="D1310" s="8">
        <v>45277.0</v>
      </c>
      <c r="E1310" s="8">
        <v>45251.0</v>
      </c>
      <c r="F1310" s="8">
        <v>45264.0</v>
      </c>
      <c r="G1310" s="6">
        <v>13.0</v>
      </c>
      <c r="H1310" s="9">
        <v>6.0</v>
      </c>
      <c r="I1310" s="10">
        <v>6.0</v>
      </c>
      <c r="J1310" s="11">
        <v>0.0</v>
      </c>
      <c r="K1310" s="9">
        <v>31.43</v>
      </c>
      <c r="L1310" s="7" t="s">
        <v>13</v>
      </c>
    </row>
    <row r="1311" ht="15.75" customHeight="1">
      <c r="A1311" s="6">
        <v>10746.0</v>
      </c>
      <c r="B1311" s="7" t="s">
        <v>20</v>
      </c>
      <c r="C1311" s="8">
        <v>45249.0</v>
      </c>
      <c r="D1311" s="8">
        <v>45277.0</v>
      </c>
      <c r="E1311" s="8">
        <v>45251.0</v>
      </c>
      <c r="F1311" s="8">
        <v>45264.0</v>
      </c>
      <c r="G1311" s="6">
        <v>42.0</v>
      </c>
      <c r="H1311" s="9">
        <v>14.0</v>
      </c>
      <c r="I1311" s="10">
        <v>28.0</v>
      </c>
      <c r="J1311" s="11">
        <v>0.0</v>
      </c>
      <c r="K1311" s="9">
        <v>31.43</v>
      </c>
      <c r="L1311" s="7" t="s">
        <v>13</v>
      </c>
    </row>
    <row r="1312" ht="15.75" customHeight="1">
      <c r="A1312" s="6">
        <v>10746.0</v>
      </c>
      <c r="B1312" s="7" t="s">
        <v>20</v>
      </c>
      <c r="C1312" s="8">
        <v>45249.0</v>
      </c>
      <c r="D1312" s="8">
        <v>45277.0</v>
      </c>
      <c r="E1312" s="8">
        <v>45251.0</v>
      </c>
      <c r="F1312" s="8">
        <v>45264.0</v>
      </c>
      <c r="G1312" s="6">
        <v>62.0</v>
      </c>
      <c r="H1312" s="9">
        <v>49.3</v>
      </c>
      <c r="I1312" s="10">
        <v>9.0</v>
      </c>
      <c r="J1312" s="11">
        <v>0.0</v>
      </c>
      <c r="K1312" s="9">
        <v>31.43</v>
      </c>
      <c r="L1312" s="7" t="s">
        <v>13</v>
      </c>
    </row>
    <row r="1313" ht="15.75" customHeight="1">
      <c r="A1313" s="6">
        <v>10746.0</v>
      </c>
      <c r="B1313" s="7" t="s">
        <v>20</v>
      </c>
      <c r="C1313" s="8">
        <v>45249.0</v>
      </c>
      <c r="D1313" s="8">
        <v>45277.0</v>
      </c>
      <c r="E1313" s="8">
        <v>45251.0</v>
      </c>
      <c r="F1313" s="8">
        <v>45264.0</v>
      </c>
      <c r="G1313" s="6">
        <v>69.0</v>
      </c>
      <c r="H1313" s="9">
        <v>36.0</v>
      </c>
      <c r="I1313" s="10">
        <v>40.0</v>
      </c>
      <c r="J1313" s="11">
        <v>0.0</v>
      </c>
      <c r="K1313" s="9">
        <v>31.43</v>
      </c>
      <c r="L1313" s="7" t="s">
        <v>13</v>
      </c>
    </row>
    <row r="1314" ht="15.75" customHeight="1">
      <c r="A1314" s="6">
        <v>10747.0</v>
      </c>
      <c r="B1314" s="7" t="s">
        <v>69</v>
      </c>
      <c r="C1314" s="8">
        <v>45249.0</v>
      </c>
      <c r="D1314" s="8">
        <v>45277.0</v>
      </c>
      <c r="E1314" s="8">
        <v>45256.0</v>
      </c>
      <c r="F1314" s="8">
        <v>45268.0</v>
      </c>
      <c r="G1314" s="6">
        <v>31.0</v>
      </c>
      <c r="H1314" s="9">
        <v>12.5</v>
      </c>
      <c r="I1314" s="10">
        <v>8.0</v>
      </c>
      <c r="J1314" s="11">
        <v>0.0</v>
      </c>
      <c r="K1314" s="9">
        <v>117.33</v>
      </c>
      <c r="L1314" s="7" t="s">
        <v>15</v>
      </c>
    </row>
    <row r="1315" ht="15.75" customHeight="1">
      <c r="A1315" s="6">
        <v>10747.0</v>
      </c>
      <c r="B1315" s="7" t="s">
        <v>69</v>
      </c>
      <c r="C1315" s="8">
        <v>45249.0</v>
      </c>
      <c r="D1315" s="8">
        <v>45277.0</v>
      </c>
      <c r="E1315" s="8">
        <v>45256.0</v>
      </c>
      <c r="F1315" s="8">
        <v>45268.0</v>
      </c>
      <c r="G1315" s="6">
        <v>41.0</v>
      </c>
      <c r="H1315" s="9">
        <v>9.65</v>
      </c>
      <c r="I1315" s="10">
        <v>35.0</v>
      </c>
      <c r="J1315" s="11">
        <v>0.0</v>
      </c>
      <c r="K1315" s="9">
        <v>117.33</v>
      </c>
      <c r="L1315" s="7" t="s">
        <v>15</v>
      </c>
    </row>
    <row r="1316" ht="15.75" customHeight="1">
      <c r="A1316" s="6">
        <v>10747.0</v>
      </c>
      <c r="B1316" s="7" t="s">
        <v>69</v>
      </c>
      <c r="C1316" s="8">
        <v>45249.0</v>
      </c>
      <c r="D1316" s="8">
        <v>45277.0</v>
      </c>
      <c r="E1316" s="8">
        <v>45256.0</v>
      </c>
      <c r="F1316" s="8">
        <v>45268.0</v>
      </c>
      <c r="G1316" s="6">
        <v>63.0</v>
      </c>
      <c r="H1316" s="9">
        <v>43.9</v>
      </c>
      <c r="I1316" s="10">
        <v>9.0</v>
      </c>
      <c r="J1316" s="11">
        <v>0.0</v>
      </c>
      <c r="K1316" s="9">
        <v>117.33</v>
      </c>
      <c r="L1316" s="7" t="s">
        <v>15</v>
      </c>
    </row>
    <row r="1317" ht="15.75" customHeight="1">
      <c r="A1317" s="6">
        <v>10747.0</v>
      </c>
      <c r="B1317" s="7" t="s">
        <v>69</v>
      </c>
      <c r="C1317" s="8">
        <v>45249.0</v>
      </c>
      <c r="D1317" s="8">
        <v>45277.0</v>
      </c>
      <c r="E1317" s="8">
        <v>45256.0</v>
      </c>
      <c r="F1317" s="8">
        <v>45268.0</v>
      </c>
      <c r="G1317" s="6">
        <v>69.0</v>
      </c>
      <c r="H1317" s="9">
        <v>36.0</v>
      </c>
      <c r="I1317" s="10">
        <v>30.0</v>
      </c>
      <c r="J1317" s="11">
        <v>0.0</v>
      </c>
      <c r="K1317" s="9">
        <v>117.33</v>
      </c>
      <c r="L1317" s="7" t="s">
        <v>15</v>
      </c>
    </row>
    <row r="1318" ht="15.75" customHeight="1">
      <c r="A1318" s="6">
        <v>10748.0</v>
      </c>
      <c r="B1318" s="7" t="s">
        <v>60</v>
      </c>
      <c r="C1318" s="8">
        <v>45250.0</v>
      </c>
      <c r="D1318" s="8">
        <v>45278.0</v>
      </c>
      <c r="E1318" s="8">
        <v>45258.0</v>
      </c>
      <c r="F1318" s="8">
        <v>45271.0</v>
      </c>
      <c r="G1318" s="6">
        <v>23.0</v>
      </c>
      <c r="H1318" s="9">
        <v>9.0</v>
      </c>
      <c r="I1318" s="10">
        <v>44.0</v>
      </c>
      <c r="J1318" s="11">
        <v>0.0</v>
      </c>
      <c r="K1318" s="9">
        <v>232.55</v>
      </c>
      <c r="L1318" s="7" t="s">
        <v>15</v>
      </c>
    </row>
    <row r="1319" ht="15.75" customHeight="1">
      <c r="A1319" s="6">
        <v>10748.0</v>
      </c>
      <c r="B1319" s="7" t="s">
        <v>60</v>
      </c>
      <c r="C1319" s="8">
        <v>45250.0</v>
      </c>
      <c r="D1319" s="8">
        <v>45278.0</v>
      </c>
      <c r="E1319" s="8">
        <v>45258.0</v>
      </c>
      <c r="F1319" s="8">
        <v>45271.0</v>
      </c>
      <c r="G1319" s="6">
        <v>40.0</v>
      </c>
      <c r="H1319" s="9">
        <v>18.4</v>
      </c>
      <c r="I1319" s="10">
        <v>40.0</v>
      </c>
      <c r="J1319" s="11">
        <v>0.0</v>
      </c>
      <c r="K1319" s="9">
        <v>232.55</v>
      </c>
      <c r="L1319" s="7" t="s">
        <v>15</v>
      </c>
    </row>
    <row r="1320" ht="15.75" customHeight="1">
      <c r="A1320" s="6">
        <v>10748.0</v>
      </c>
      <c r="B1320" s="7" t="s">
        <v>60</v>
      </c>
      <c r="C1320" s="8">
        <v>45250.0</v>
      </c>
      <c r="D1320" s="8">
        <v>45278.0</v>
      </c>
      <c r="E1320" s="8">
        <v>45258.0</v>
      </c>
      <c r="F1320" s="8">
        <v>45271.0</v>
      </c>
      <c r="G1320" s="6">
        <v>56.0</v>
      </c>
      <c r="H1320" s="9">
        <v>38.0</v>
      </c>
      <c r="I1320" s="10">
        <v>28.0</v>
      </c>
      <c r="J1320" s="11">
        <v>0.0</v>
      </c>
      <c r="K1320" s="9">
        <v>232.55</v>
      </c>
      <c r="L1320" s="7" t="s">
        <v>15</v>
      </c>
    </row>
    <row r="1321" ht="15.75" customHeight="1">
      <c r="A1321" s="6">
        <v>10749.0</v>
      </c>
      <c r="B1321" s="7" t="s">
        <v>57</v>
      </c>
      <c r="C1321" s="8">
        <v>45250.0</v>
      </c>
      <c r="D1321" s="8">
        <v>45278.0</v>
      </c>
      <c r="E1321" s="8">
        <v>45279.0</v>
      </c>
      <c r="F1321" s="8">
        <v>45288.0</v>
      </c>
      <c r="G1321" s="6">
        <v>56.0</v>
      </c>
      <c r="H1321" s="9">
        <v>38.0</v>
      </c>
      <c r="I1321" s="10">
        <v>15.0</v>
      </c>
      <c r="J1321" s="11">
        <v>0.0</v>
      </c>
      <c r="K1321" s="9">
        <v>61.53</v>
      </c>
      <c r="L1321" s="7" t="s">
        <v>17</v>
      </c>
    </row>
    <row r="1322" ht="15.75" customHeight="1">
      <c r="A1322" s="6">
        <v>10749.0</v>
      </c>
      <c r="B1322" s="7" t="s">
        <v>57</v>
      </c>
      <c r="C1322" s="8">
        <v>45250.0</v>
      </c>
      <c r="D1322" s="8">
        <v>45278.0</v>
      </c>
      <c r="E1322" s="8">
        <v>45279.0</v>
      </c>
      <c r="F1322" s="8">
        <v>45288.0</v>
      </c>
      <c r="G1322" s="6">
        <v>59.0</v>
      </c>
      <c r="H1322" s="9">
        <v>55.0</v>
      </c>
      <c r="I1322" s="10">
        <v>6.0</v>
      </c>
      <c r="J1322" s="11">
        <v>0.0</v>
      </c>
      <c r="K1322" s="9">
        <v>61.53</v>
      </c>
      <c r="L1322" s="7" t="s">
        <v>17</v>
      </c>
    </row>
    <row r="1323" ht="15.75" customHeight="1">
      <c r="A1323" s="6">
        <v>10749.0</v>
      </c>
      <c r="B1323" s="7" t="s">
        <v>57</v>
      </c>
      <c r="C1323" s="8">
        <v>45250.0</v>
      </c>
      <c r="D1323" s="8">
        <v>45278.0</v>
      </c>
      <c r="E1323" s="8">
        <v>45279.0</v>
      </c>
      <c r="F1323" s="8">
        <v>45288.0</v>
      </c>
      <c r="G1323" s="6">
        <v>76.0</v>
      </c>
      <c r="H1323" s="9">
        <v>18.0</v>
      </c>
      <c r="I1323" s="10">
        <v>10.0</v>
      </c>
      <c r="J1323" s="11">
        <v>0.0</v>
      </c>
      <c r="K1323" s="9">
        <v>61.53</v>
      </c>
      <c r="L1323" s="7" t="s">
        <v>17</v>
      </c>
    </row>
    <row r="1324" ht="15.75" customHeight="1">
      <c r="A1324" s="6">
        <v>10750.0</v>
      </c>
      <c r="B1324" s="7" t="s">
        <v>31</v>
      </c>
      <c r="C1324" s="8">
        <v>45251.0</v>
      </c>
      <c r="D1324" s="8">
        <v>45279.0</v>
      </c>
      <c r="E1324" s="8">
        <v>45254.0</v>
      </c>
      <c r="F1324" s="8">
        <v>45265.0</v>
      </c>
      <c r="G1324" s="6">
        <v>14.0</v>
      </c>
      <c r="H1324" s="9">
        <v>23.25</v>
      </c>
      <c r="I1324" s="10">
        <v>5.0</v>
      </c>
      <c r="J1324" s="11">
        <v>0.15</v>
      </c>
      <c r="K1324" s="9">
        <v>79.3</v>
      </c>
      <c r="L1324" s="7" t="s">
        <v>15</v>
      </c>
    </row>
    <row r="1325" ht="15.75" customHeight="1">
      <c r="A1325" s="6">
        <v>10750.0</v>
      </c>
      <c r="B1325" s="7" t="s">
        <v>31</v>
      </c>
      <c r="C1325" s="8">
        <v>45251.0</v>
      </c>
      <c r="D1325" s="8">
        <v>45279.0</v>
      </c>
      <c r="E1325" s="8">
        <v>45254.0</v>
      </c>
      <c r="F1325" s="8">
        <v>45265.0</v>
      </c>
      <c r="G1325" s="6">
        <v>45.0</v>
      </c>
      <c r="H1325" s="9">
        <v>9.5</v>
      </c>
      <c r="I1325" s="10">
        <v>40.0</v>
      </c>
      <c r="J1325" s="11">
        <v>0.15</v>
      </c>
      <c r="K1325" s="9">
        <v>79.3</v>
      </c>
      <c r="L1325" s="7" t="s">
        <v>15</v>
      </c>
    </row>
    <row r="1326" ht="15.75" customHeight="1">
      <c r="A1326" s="6">
        <v>10750.0</v>
      </c>
      <c r="B1326" s="7" t="s">
        <v>31</v>
      </c>
      <c r="C1326" s="8">
        <v>45251.0</v>
      </c>
      <c r="D1326" s="8">
        <v>45279.0</v>
      </c>
      <c r="E1326" s="8">
        <v>45254.0</v>
      </c>
      <c r="F1326" s="8">
        <v>45265.0</v>
      </c>
      <c r="G1326" s="6">
        <v>59.0</v>
      </c>
      <c r="H1326" s="9">
        <v>55.0</v>
      </c>
      <c r="I1326" s="10">
        <v>25.0</v>
      </c>
      <c r="J1326" s="11">
        <v>0.15</v>
      </c>
      <c r="K1326" s="9">
        <v>79.3</v>
      </c>
      <c r="L1326" s="7" t="s">
        <v>15</v>
      </c>
    </row>
    <row r="1327" ht="15.75" customHeight="1">
      <c r="A1327" s="6">
        <v>10751.0</v>
      </c>
      <c r="B1327" s="7" t="s">
        <v>21</v>
      </c>
      <c r="C1327" s="8">
        <v>45254.0</v>
      </c>
      <c r="D1327" s="8">
        <v>45282.0</v>
      </c>
      <c r="E1327" s="8">
        <v>45263.0</v>
      </c>
      <c r="F1327" s="8">
        <v>45274.0</v>
      </c>
      <c r="G1327" s="6">
        <v>26.0</v>
      </c>
      <c r="H1327" s="9">
        <v>31.23</v>
      </c>
      <c r="I1327" s="10">
        <v>12.0</v>
      </c>
      <c r="J1327" s="11">
        <v>0.1</v>
      </c>
      <c r="K1327" s="9">
        <v>130.79</v>
      </c>
      <c r="L1327" s="7" t="s">
        <v>13</v>
      </c>
    </row>
    <row r="1328" ht="15.75" customHeight="1">
      <c r="A1328" s="6">
        <v>10751.0</v>
      </c>
      <c r="B1328" s="7" t="s">
        <v>21</v>
      </c>
      <c r="C1328" s="8">
        <v>45254.0</v>
      </c>
      <c r="D1328" s="8">
        <v>45282.0</v>
      </c>
      <c r="E1328" s="8">
        <v>45263.0</v>
      </c>
      <c r="F1328" s="8">
        <v>45274.0</v>
      </c>
      <c r="G1328" s="6">
        <v>30.0</v>
      </c>
      <c r="H1328" s="9">
        <v>25.89</v>
      </c>
      <c r="I1328" s="10">
        <v>30.0</v>
      </c>
      <c r="J1328" s="11">
        <v>0.0</v>
      </c>
      <c r="K1328" s="9">
        <v>130.79</v>
      </c>
      <c r="L1328" s="7" t="s">
        <v>13</v>
      </c>
    </row>
    <row r="1329" ht="15.75" customHeight="1">
      <c r="A1329" s="6">
        <v>10751.0</v>
      </c>
      <c r="B1329" s="7" t="s">
        <v>21</v>
      </c>
      <c r="C1329" s="8">
        <v>45254.0</v>
      </c>
      <c r="D1329" s="8">
        <v>45282.0</v>
      </c>
      <c r="E1329" s="8">
        <v>45263.0</v>
      </c>
      <c r="F1329" s="8">
        <v>45274.0</v>
      </c>
      <c r="G1329" s="6">
        <v>50.0</v>
      </c>
      <c r="H1329" s="9">
        <v>16.25</v>
      </c>
      <c r="I1329" s="10">
        <v>20.0</v>
      </c>
      <c r="J1329" s="11">
        <v>0.1</v>
      </c>
      <c r="K1329" s="9">
        <v>130.79</v>
      </c>
      <c r="L1329" s="7" t="s">
        <v>13</v>
      </c>
    </row>
    <row r="1330" ht="15.75" customHeight="1">
      <c r="A1330" s="6">
        <v>10751.0</v>
      </c>
      <c r="B1330" s="7" t="s">
        <v>21</v>
      </c>
      <c r="C1330" s="8">
        <v>45254.0</v>
      </c>
      <c r="D1330" s="8">
        <v>45282.0</v>
      </c>
      <c r="E1330" s="8">
        <v>45263.0</v>
      </c>
      <c r="F1330" s="8">
        <v>45274.0</v>
      </c>
      <c r="G1330" s="6">
        <v>73.0</v>
      </c>
      <c r="H1330" s="9">
        <v>15.0</v>
      </c>
      <c r="I1330" s="10">
        <v>15.0</v>
      </c>
      <c r="J1330" s="11">
        <v>0.0</v>
      </c>
      <c r="K1330" s="9">
        <v>130.79</v>
      </c>
      <c r="L1330" s="7" t="s">
        <v>13</v>
      </c>
    </row>
    <row r="1331" ht="15.75" customHeight="1">
      <c r="A1331" s="6">
        <v>10752.0</v>
      </c>
      <c r="B1331" s="7" t="s">
        <v>92</v>
      </c>
      <c r="C1331" s="8">
        <v>45254.0</v>
      </c>
      <c r="D1331" s="8">
        <v>45282.0</v>
      </c>
      <c r="E1331" s="8">
        <v>45258.0</v>
      </c>
      <c r="F1331" s="8">
        <v>45267.0</v>
      </c>
      <c r="G1331" s="6">
        <v>1.0</v>
      </c>
      <c r="H1331" s="9">
        <v>18.0</v>
      </c>
      <c r="I1331" s="10">
        <v>8.0</v>
      </c>
      <c r="J1331" s="11">
        <v>0.0</v>
      </c>
      <c r="K1331" s="9">
        <v>1.39</v>
      </c>
      <c r="L1331" s="7" t="s">
        <v>13</v>
      </c>
    </row>
    <row r="1332" ht="15.75" customHeight="1">
      <c r="A1332" s="6">
        <v>10752.0</v>
      </c>
      <c r="B1332" s="7" t="s">
        <v>92</v>
      </c>
      <c r="C1332" s="8">
        <v>45254.0</v>
      </c>
      <c r="D1332" s="8">
        <v>45282.0</v>
      </c>
      <c r="E1332" s="8">
        <v>45258.0</v>
      </c>
      <c r="F1332" s="8">
        <v>45267.0</v>
      </c>
      <c r="G1332" s="6">
        <v>69.0</v>
      </c>
      <c r="H1332" s="9">
        <v>36.0</v>
      </c>
      <c r="I1332" s="10">
        <v>3.0</v>
      </c>
      <c r="J1332" s="11">
        <v>0.0</v>
      </c>
      <c r="K1332" s="9">
        <v>1.39</v>
      </c>
      <c r="L1332" s="7" t="s">
        <v>13</v>
      </c>
    </row>
    <row r="1333" ht="15.75" customHeight="1">
      <c r="A1333" s="6">
        <v>10753.0</v>
      </c>
      <c r="B1333" s="7" t="s">
        <v>85</v>
      </c>
      <c r="C1333" s="8">
        <v>45255.0</v>
      </c>
      <c r="D1333" s="8">
        <v>45283.0</v>
      </c>
      <c r="E1333" s="8">
        <v>45257.0</v>
      </c>
      <c r="F1333" s="8">
        <v>45264.0</v>
      </c>
      <c r="G1333" s="6">
        <v>45.0</v>
      </c>
      <c r="H1333" s="9">
        <v>9.5</v>
      </c>
      <c r="I1333" s="10">
        <v>4.0</v>
      </c>
      <c r="J1333" s="11">
        <v>0.0</v>
      </c>
      <c r="K1333" s="9">
        <v>7.7</v>
      </c>
      <c r="L1333" s="7" t="s">
        <v>15</v>
      </c>
    </row>
    <row r="1334" ht="15.75" customHeight="1">
      <c r="A1334" s="6">
        <v>10753.0</v>
      </c>
      <c r="B1334" s="7" t="s">
        <v>85</v>
      </c>
      <c r="C1334" s="8">
        <v>45255.0</v>
      </c>
      <c r="D1334" s="8">
        <v>45283.0</v>
      </c>
      <c r="E1334" s="8">
        <v>45257.0</v>
      </c>
      <c r="F1334" s="8">
        <v>45264.0</v>
      </c>
      <c r="G1334" s="6">
        <v>74.0</v>
      </c>
      <c r="H1334" s="9">
        <v>10.0</v>
      </c>
      <c r="I1334" s="10">
        <v>5.0</v>
      </c>
      <c r="J1334" s="11">
        <v>0.0</v>
      </c>
      <c r="K1334" s="9">
        <v>7.7</v>
      </c>
      <c r="L1334" s="7" t="s">
        <v>15</v>
      </c>
    </row>
    <row r="1335" ht="15.75" customHeight="1">
      <c r="A1335" s="6">
        <v>10754.0</v>
      </c>
      <c r="B1335" s="7" t="s">
        <v>37</v>
      </c>
      <c r="C1335" s="8">
        <v>45255.0</v>
      </c>
      <c r="D1335" s="8">
        <v>45283.0</v>
      </c>
      <c r="E1335" s="8">
        <v>45257.0</v>
      </c>
      <c r="F1335" s="8">
        <v>45266.0</v>
      </c>
      <c r="G1335" s="6">
        <v>40.0</v>
      </c>
      <c r="H1335" s="9">
        <v>18.4</v>
      </c>
      <c r="I1335" s="10">
        <v>3.0</v>
      </c>
      <c r="J1335" s="11">
        <v>0.0</v>
      </c>
      <c r="K1335" s="9">
        <v>2.38</v>
      </c>
      <c r="L1335" s="7" t="s">
        <v>13</v>
      </c>
    </row>
    <row r="1336" ht="15.75" customHeight="1">
      <c r="A1336" s="6">
        <v>10755.0</v>
      </c>
      <c r="B1336" s="7" t="s">
        <v>63</v>
      </c>
      <c r="C1336" s="8">
        <v>45256.0</v>
      </c>
      <c r="D1336" s="8">
        <v>45284.0</v>
      </c>
      <c r="E1336" s="8">
        <v>45258.0</v>
      </c>
      <c r="F1336" s="8">
        <v>45266.0</v>
      </c>
      <c r="G1336" s="6">
        <v>47.0</v>
      </c>
      <c r="H1336" s="9">
        <v>9.5</v>
      </c>
      <c r="I1336" s="10">
        <v>30.0</v>
      </c>
      <c r="J1336" s="11">
        <v>0.25</v>
      </c>
      <c r="K1336" s="9">
        <v>16.71</v>
      </c>
      <c r="L1336" s="7" t="s">
        <v>17</v>
      </c>
    </row>
    <row r="1337" ht="15.75" customHeight="1">
      <c r="A1337" s="6">
        <v>10755.0</v>
      </c>
      <c r="B1337" s="7" t="s">
        <v>63</v>
      </c>
      <c r="C1337" s="8">
        <v>45256.0</v>
      </c>
      <c r="D1337" s="8">
        <v>45284.0</v>
      </c>
      <c r="E1337" s="8">
        <v>45258.0</v>
      </c>
      <c r="F1337" s="8">
        <v>45266.0</v>
      </c>
      <c r="G1337" s="6">
        <v>56.0</v>
      </c>
      <c r="H1337" s="9">
        <v>38.0</v>
      </c>
      <c r="I1337" s="10">
        <v>30.0</v>
      </c>
      <c r="J1337" s="11">
        <v>0.25</v>
      </c>
      <c r="K1337" s="9">
        <v>16.71</v>
      </c>
      <c r="L1337" s="7" t="s">
        <v>17</v>
      </c>
    </row>
    <row r="1338" ht="15.75" customHeight="1">
      <c r="A1338" s="6">
        <v>10755.0</v>
      </c>
      <c r="B1338" s="7" t="s">
        <v>63</v>
      </c>
      <c r="C1338" s="8">
        <v>45256.0</v>
      </c>
      <c r="D1338" s="8">
        <v>45284.0</v>
      </c>
      <c r="E1338" s="8">
        <v>45258.0</v>
      </c>
      <c r="F1338" s="8">
        <v>45266.0</v>
      </c>
      <c r="G1338" s="6">
        <v>57.0</v>
      </c>
      <c r="H1338" s="9">
        <v>19.5</v>
      </c>
      <c r="I1338" s="10">
        <v>14.0</v>
      </c>
      <c r="J1338" s="11">
        <v>0.25</v>
      </c>
      <c r="K1338" s="9">
        <v>16.71</v>
      </c>
      <c r="L1338" s="7" t="s">
        <v>17</v>
      </c>
    </row>
    <row r="1339" ht="15.75" customHeight="1">
      <c r="A1339" s="6">
        <v>10755.0</v>
      </c>
      <c r="B1339" s="7" t="s">
        <v>63</v>
      </c>
      <c r="C1339" s="8">
        <v>45256.0</v>
      </c>
      <c r="D1339" s="8">
        <v>45284.0</v>
      </c>
      <c r="E1339" s="8">
        <v>45258.0</v>
      </c>
      <c r="F1339" s="8">
        <v>45266.0</v>
      </c>
      <c r="G1339" s="6">
        <v>69.0</v>
      </c>
      <c r="H1339" s="9">
        <v>36.0</v>
      </c>
      <c r="I1339" s="10">
        <v>25.0</v>
      </c>
      <c r="J1339" s="11">
        <v>0.25</v>
      </c>
      <c r="K1339" s="9">
        <v>16.71</v>
      </c>
      <c r="L1339" s="7" t="s">
        <v>17</v>
      </c>
    </row>
    <row r="1340" ht="15.75" customHeight="1">
      <c r="A1340" s="6">
        <v>10756.0</v>
      </c>
      <c r="B1340" s="7" t="s">
        <v>35</v>
      </c>
      <c r="C1340" s="8">
        <v>45257.0</v>
      </c>
      <c r="D1340" s="8">
        <v>45285.0</v>
      </c>
      <c r="E1340" s="8">
        <v>45262.0</v>
      </c>
      <c r="F1340" s="8">
        <v>45281.0</v>
      </c>
      <c r="G1340" s="6">
        <v>18.0</v>
      </c>
      <c r="H1340" s="9">
        <v>62.5</v>
      </c>
      <c r="I1340" s="10">
        <v>21.0</v>
      </c>
      <c r="J1340" s="11">
        <v>0.2</v>
      </c>
      <c r="K1340" s="9">
        <v>73.21</v>
      </c>
      <c r="L1340" s="7" t="s">
        <v>17</v>
      </c>
    </row>
    <row r="1341" ht="15.75" customHeight="1">
      <c r="A1341" s="6">
        <v>10756.0</v>
      </c>
      <c r="B1341" s="7" t="s">
        <v>35</v>
      </c>
      <c r="C1341" s="8">
        <v>45257.0</v>
      </c>
      <c r="D1341" s="8">
        <v>45285.0</v>
      </c>
      <c r="E1341" s="8">
        <v>45262.0</v>
      </c>
      <c r="F1341" s="8">
        <v>45281.0</v>
      </c>
      <c r="G1341" s="6">
        <v>36.0</v>
      </c>
      <c r="H1341" s="9">
        <v>19.0</v>
      </c>
      <c r="I1341" s="10">
        <v>20.0</v>
      </c>
      <c r="J1341" s="11">
        <v>0.2</v>
      </c>
      <c r="K1341" s="9">
        <v>73.21</v>
      </c>
      <c r="L1341" s="7" t="s">
        <v>17</v>
      </c>
    </row>
    <row r="1342" ht="15.75" customHeight="1">
      <c r="A1342" s="6">
        <v>10756.0</v>
      </c>
      <c r="B1342" s="7" t="s">
        <v>35</v>
      </c>
      <c r="C1342" s="8">
        <v>45257.0</v>
      </c>
      <c r="D1342" s="8">
        <v>45285.0</v>
      </c>
      <c r="E1342" s="8">
        <v>45262.0</v>
      </c>
      <c r="F1342" s="8">
        <v>45281.0</v>
      </c>
      <c r="G1342" s="6">
        <v>68.0</v>
      </c>
      <c r="H1342" s="9">
        <v>12.5</v>
      </c>
      <c r="I1342" s="10">
        <v>6.0</v>
      </c>
      <c r="J1342" s="11">
        <v>0.2</v>
      </c>
      <c r="K1342" s="9">
        <v>73.21</v>
      </c>
      <c r="L1342" s="7" t="s">
        <v>17</v>
      </c>
    </row>
    <row r="1343" ht="15.75" customHeight="1">
      <c r="A1343" s="6">
        <v>10756.0</v>
      </c>
      <c r="B1343" s="7" t="s">
        <v>35</v>
      </c>
      <c r="C1343" s="8">
        <v>45257.0</v>
      </c>
      <c r="D1343" s="8">
        <v>45285.0</v>
      </c>
      <c r="E1343" s="8">
        <v>45262.0</v>
      </c>
      <c r="F1343" s="8">
        <v>45281.0</v>
      </c>
      <c r="G1343" s="6">
        <v>69.0</v>
      </c>
      <c r="H1343" s="9">
        <v>36.0</v>
      </c>
      <c r="I1343" s="10">
        <v>20.0</v>
      </c>
      <c r="J1343" s="11">
        <v>0.2</v>
      </c>
      <c r="K1343" s="9">
        <v>73.21</v>
      </c>
      <c r="L1343" s="7" t="s">
        <v>17</v>
      </c>
    </row>
    <row r="1344" ht="15.75" customHeight="1">
      <c r="A1344" s="6">
        <v>10757.0</v>
      </c>
      <c r="B1344" s="7" t="s">
        <v>60</v>
      </c>
      <c r="C1344" s="8">
        <v>45257.0</v>
      </c>
      <c r="D1344" s="8">
        <v>45285.0</v>
      </c>
      <c r="E1344" s="8">
        <v>45275.0</v>
      </c>
      <c r="F1344" s="8">
        <v>45287.0</v>
      </c>
      <c r="G1344" s="6">
        <v>34.0</v>
      </c>
      <c r="H1344" s="9">
        <v>14.0</v>
      </c>
      <c r="I1344" s="10">
        <v>30.0</v>
      </c>
      <c r="J1344" s="11">
        <v>0.0</v>
      </c>
      <c r="K1344" s="9">
        <v>8.19</v>
      </c>
      <c r="L1344" s="7" t="s">
        <v>15</v>
      </c>
    </row>
    <row r="1345" ht="15.75" customHeight="1">
      <c r="A1345" s="6">
        <v>10757.0</v>
      </c>
      <c r="B1345" s="7" t="s">
        <v>60</v>
      </c>
      <c r="C1345" s="8">
        <v>45257.0</v>
      </c>
      <c r="D1345" s="8">
        <v>45285.0</v>
      </c>
      <c r="E1345" s="8">
        <v>45275.0</v>
      </c>
      <c r="F1345" s="8">
        <v>45287.0</v>
      </c>
      <c r="G1345" s="6">
        <v>59.0</v>
      </c>
      <c r="H1345" s="9">
        <v>55.0</v>
      </c>
      <c r="I1345" s="10">
        <v>7.0</v>
      </c>
      <c r="J1345" s="11">
        <v>0.0</v>
      </c>
      <c r="K1345" s="9">
        <v>8.19</v>
      </c>
      <c r="L1345" s="7" t="s">
        <v>15</v>
      </c>
    </row>
    <row r="1346" ht="15.75" customHeight="1">
      <c r="A1346" s="6">
        <v>10757.0</v>
      </c>
      <c r="B1346" s="7" t="s">
        <v>60</v>
      </c>
      <c r="C1346" s="8">
        <v>45257.0</v>
      </c>
      <c r="D1346" s="8">
        <v>45285.0</v>
      </c>
      <c r="E1346" s="8">
        <v>45275.0</v>
      </c>
      <c r="F1346" s="8">
        <v>45287.0</v>
      </c>
      <c r="G1346" s="6">
        <v>62.0</v>
      </c>
      <c r="H1346" s="9">
        <v>49.3</v>
      </c>
      <c r="I1346" s="10">
        <v>30.0</v>
      </c>
      <c r="J1346" s="11">
        <v>0.0</v>
      </c>
      <c r="K1346" s="9">
        <v>8.19</v>
      </c>
      <c r="L1346" s="7" t="s">
        <v>15</v>
      </c>
    </row>
    <row r="1347" ht="15.75" customHeight="1">
      <c r="A1347" s="6">
        <v>10757.0</v>
      </c>
      <c r="B1347" s="7" t="s">
        <v>60</v>
      </c>
      <c r="C1347" s="8">
        <v>45257.0</v>
      </c>
      <c r="D1347" s="8">
        <v>45285.0</v>
      </c>
      <c r="E1347" s="8">
        <v>45275.0</v>
      </c>
      <c r="F1347" s="8">
        <v>45287.0</v>
      </c>
      <c r="G1347" s="6">
        <v>64.0</v>
      </c>
      <c r="H1347" s="9">
        <v>33.25</v>
      </c>
      <c r="I1347" s="10">
        <v>24.0</v>
      </c>
      <c r="J1347" s="11">
        <v>0.0</v>
      </c>
      <c r="K1347" s="9">
        <v>8.19</v>
      </c>
      <c r="L1347" s="7" t="s">
        <v>15</v>
      </c>
    </row>
    <row r="1348" ht="15.75" customHeight="1">
      <c r="A1348" s="6">
        <v>10758.0</v>
      </c>
      <c r="B1348" s="7" t="s">
        <v>21</v>
      </c>
      <c r="C1348" s="8">
        <v>45258.0</v>
      </c>
      <c r="D1348" s="8">
        <v>45286.0</v>
      </c>
      <c r="E1348" s="8">
        <v>45264.0</v>
      </c>
      <c r="F1348" s="8">
        <v>45277.0</v>
      </c>
      <c r="G1348" s="6">
        <v>26.0</v>
      </c>
      <c r="H1348" s="9">
        <v>31.23</v>
      </c>
      <c r="I1348" s="10">
        <v>20.0</v>
      </c>
      <c r="J1348" s="11">
        <v>0.0</v>
      </c>
      <c r="K1348" s="9">
        <v>138.17</v>
      </c>
      <c r="L1348" s="7" t="s">
        <v>13</v>
      </c>
    </row>
    <row r="1349" ht="15.75" customHeight="1">
      <c r="A1349" s="6">
        <v>10758.0</v>
      </c>
      <c r="B1349" s="7" t="s">
        <v>21</v>
      </c>
      <c r="C1349" s="8">
        <v>45258.0</v>
      </c>
      <c r="D1349" s="8">
        <v>45286.0</v>
      </c>
      <c r="E1349" s="8">
        <v>45264.0</v>
      </c>
      <c r="F1349" s="8">
        <v>45277.0</v>
      </c>
      <c r="G1349" s="6">
        <v>52.0</v>
      </c>
      <c r="H1349" s="9">
        <v>7.0</v>
      </c>
      <c r="I1349" s="10">
        <v>60.0</v>
      </c>
      <c r="J1349" s="11">
        <v>0.0</v>
      </c>
      <c r="K1349" s="9">
        <v>138.17</v>
      </c>
      <c r="L1349" s="7" t="s">
        <v>13</v>
      </c>
    </row>
    <row r="1350" ht="15.75" customHeight="1">
      <c r="A1350" s="6">
        <v>10758.0</v>
      </c>
      <c r="B1350" s="7" t="s">
        <v>21</v>
      </c>
      <c r="C1350" s="8">
        <v>45258.0</v>
      </c>
      <c r="D1350" s="8">
        <v>45286.0</v>
      </c>
      <c r="E1350" s="8">
        <v>45264.0</v>
      </c>
      <c r="F1350" s="8">
        <v>45277.0</v>
      </c>
      <c r="G1350" s="6">
        <v>70.0</v>
      </c>
      <c r="H1350" s="9">
        <v>15.0</v>
      </c>
      <c r="I1350" s="10">
        <v>40.0</v>
      </c>
      <c r="J1350" s="11">
        <v>0.0</v>
      </c>
      <c r="K1350" s="9">
        <v>138.17</v>
      </c>
      <c r="L1350" s="7" t="s">
        <v>13</v>
      </c>
    </row>
    <row r="1351" ht="15.75" customHeight="1">
      <c r="A1351" s="6">
        <v>10759.0</v>
      </c>
      <c r="B1351" s="7" t="s">
        <v>54</v>
      </c>
      <c r="C1351" s="8">
        <v>45258.0</v>
      </c>
      <c r="D1351" s="8">
        <v>45286.0</v>
      </c>
      <c r="E1351" s="8">
        <v>45272.0</v>
      </c>
      <c r="F1351" s="8">
        <v>45286.0</v>
      </c>
      <c r="G1351" s="6">
        <v>32.0</v>
      </c>
      <c r="H1351" s="9">
        <v>32.0</v>
      </c>
      <c r="I1351" s="10">
        <v>10.0</v>
      </c>
      <c r="J1351" s="11">
        <v>0.0</v>
      </c>
      <c r="K1351" s="9">
        <v>11.99</v>
      </c>
      <c r="L1351" s="7" t="s">
        <v>13</v>
      </c>
    </row>
    <row r="1352" ht="15.75" customHeight="1">
      <c r="A1352" s="6">
        <v>10760.0</v>
      </c>
      <c r="B1352" s="7" t="s">
        <v>95</v>
      </c>
      <c r="C1352" s="8">
        <v>45261.0</v>
      </c>
      <c r="D1352" s="8">
        <v>45289.0</v>
      </c>
      <c r="E1352" s="8">
        <v>45270.0</v>
      </c>
      <c r="F1352" s="8">
        <v>45281.0</v>
      </c>
      <c r="G1352" s="6">
        <v>25.0</v>
      </c>
      <c r="H1352" s="9">
        <v>14.0</v>
      </c>
      <c r="I1352" s="10">
        <v>12.0</v>
      </c>
      <c r="J1352" s="11">
        <v>0.25</v>
      </c>
      <c r="K1352" s="9">
        <v>155.64</v>
      </c>
      <c r="L1352" s="7" t="s">
        <v>15</v>
      </c>
    </row>
    <row r="1353" ht="15.75" customHeight="1">
      <c r="A1353" s="6">
        <v>10760.0</v>
      </c>
      <c r="B1353" s="7" t="s">
        <v>95</v>
      </c>
      <c r="C1353" s="8">
        <v>45261.0</v>
      </c>
      <c r="D1353" s="8">
        <v>45289.0</v>
      </c>
      <c r="E1353" s="8">
        <v>45270.0</v>
      </c>
      <c r="F1353" s="8">
        <v>45281.0</v>
      </c>
      <c r="G1353" s="6">
        <v>27.0</v>
      </c>
      <c r="H1353" s="9">
        <v>43.9</v>
      </c>
      <c r="I1353" s="10">
        <v>40.0</v>
      </c>
      <c r="J1353" s="11">
        <v>0.0</v>
      </c>
      <c r="K1353" s="9">
        <v>155.64</v>
      </c>
      <c r="L1353" s="7" t="s">
        <v>15</v>
      </c>
    </row>
    <row r="1354" ht="15.75" customHeight="1">
      <c r="A1354" s="6">
        <v>10760.0</v>
      </c>
      <c r="B1354" s="7" t="s">
        <v>95</v>
      </c>
      <c r="C1354" s="8">
        <v>45261.0</v>
      </c>
      <c r="D1354" s="8">
        <v>45289.0</v>
      </c>
      <c r="E1354" s="8">
        <v>45270.0</v>
      </c>
      <c r="F1354" s="8">
        <v>45281.0</v>
      </c>
      <c r="G1354" s="6">
        <v>43.0</v>
      </c>
      <c r="H1354" s="9">
        <v>46.0</v>
      </c>
      <c r="I1354" s="10">
        <v>30.0</v>
      </c>
      <c r="J1354" s="11">
        <v>0.25</v>
      </c>
      <c r="K1354" s="9">
        <v>155.64</v>
      </c>
      <c r="L1354" s="7" t="s">
        <v>15</v>
      </c>
    </row>
    <row r="1355" ht="15.75" customHeight="1">
      <c r="A1355" s="6">
        <v>10761.0</v>
      </c>
      <c r="B1355" s="7" t="s">
        <v>28</v>
      </c>
      <c r="C1355" s="8">
        <v>45262.0</v>
      </c>
      <c r="D1355" s="8">
        <v>45290.0</v>
      </c>
      <c r="E1355" s="8">
        <v>45268.0</v>
      </c>
      <c r="F1355" s="8">
        <v>45285.0</v>
      </c>
      <c r="G1355" s="6">
        <v>25.0</v>
      </c>
      <c r="H1355" s="9">
        <v>14.0</v>
      </c>
      <c r="I1355" s="10">
        <v>35.0</v>
      </c>
      <c r="J1355" s="11">
        <v>0.25</v>
      </c>
      <c r="K1355" s="9">
        <v>18.66</v>
      </c>
      <c r="L1355" s="7" t="s">
        <v>17</v>
      </c>
    </row>
    <row r="1356" ht="15.75" customHeight="1">
      <c r="A1356" s="6">
        <v>10761.0</v>
      </c>
      <c r="B1356" s="7" t="s">
        <v>28</v>
      </c>
      <c r="C1356" s="8">
        <v>45262.0</v>
      </c>
      <c r="D1356" s="8">
        <v>45290.0</v>
      </c>
      <c r="E1356" s="8">
        <v>45268.0</v>
      </c>
      <c r="F1356" s="8">
        <v>45285.0</v>
      </c>
      <c r="G1356" s="6">
        <v>75.0</v>
      </c>
      <c r="H1356" s="9">
        <v>7.75</v>
      </c>
      <c r="I1356" s="10">
        <v>18.0</v>
      </c>
      <c r="J1356" s="11">
        <v>0.0</v>
      </c>
      <c r="K1356" s="9">
        <v>18.66</v>
      </c>
      <c r="L1356" s="7" t="s">
        <v>17</v>
      </c>
    </row>
    <row r="1357" ht="15.75" customHeight="1">
      <c r="A1357" s="6">
        <v>10762.0</v>
      </c>
      <c r="B1357" s="7" t="s">
        <v>29</v>
      </c>
      <c r="C1357" s="8">
        <v>45262.0</v>
      </c>
      <c r="D1357" s="8">
        <v>45290.0</v>
      </c>
      <c r="E1357" s="8">
        <v>45269.0</v>
      </c>
      <c r="F1357" s="8">
        <v>45275.0</v>
      </c>
      <c r="G1357" s="6">
        <v>39.0</v>
      </c>
      <c r="H1357" s="9">
        <v>18.0</v>
      </c>
      <c r="I1357" s="10">
        <v>16.0</v>
      </c>
      <c r="J1357" s="11">
        <v>0.0</v>
      </c>
      <c r="K1357" s="9">
        <v>328.74</v>
      </c>
      <c r="L1357" s="7" t="s">
        <v>15</v>
      </c>
    </row>
    <row r="1358" ht="15.75" customHeight="1">
      <c r="A1358" s="6">
        <v>10762.0</v>
      </c>
      <c r="B1358" s="7" t="s">
        <v>29</v>
      </c>
      <c r="C1358" s="8">
        <v>45262.0</v>
      </c>
      <c r="D1358" s="8">
        <v>45290.0</v>
      </c>
      <c r="E1358" s="8">
        <v>45269.0</v>
      </c>
      <c r="F1358" s="8">
        <v>45275.0</v>
      </c>
      <c r="G1358" s="6">
        <v>47.0</v>
      </c>
      <c r="H1358" s="9">
        <v>9.5</v>
      </c>
      <c r="I1358" s="10">
        <v>30.0</v>
      </c>
      <c r="J1358" s="11">
        <v>0.0</v>
      </c>
      <c r="K1358" s="9">
        <v>328.74</v>
      </c>
      <c r="L1358" s="7" t="s">
        <v>15</v>
      </c>
    </row>
    <row r="1359" ht="15.75" customHeight="1">
      <c r="A1359" s="6">
        <v>10762.0</v>
      </c>
      <c r="B1359" s="7" t="s">
        <v>29</v>
      </c>
      <c r="C1359" s="8">
        <v>45262.0</v>
      </c>
      <c r="D1359" s="8">
        <v>45290.0</v>
      </c>
      <c r="E1359" s="8">
        <v>45269.0</v>
      </c>
      <c r="F1359" s="8">
        <v>45275.0</v>
      </c>
      <c r="G1359" s="6">
        <v>51.0</v>
      </c>
      <c r="H1359" s="9">
        <v>53.0</v>
      </c>
      <c r="I1359" s="10">
        <v>28.0</v>
      </c>
      <c r="J1359" s="11">
        <v>0.0</v>
      </c>
      <c r="K1359" s="9">
        <v>328.74</v>
      </c>
      <c r="L1359" s="7" t="s">
        <v>15</v>
      </c>
    </row>
    <row r="1360" ht="15.75" customHeight="1">
      <c r="A1360" s="6">
        <v>10762.0</v>
      </c>
      <c r="B1360" s="7" t="s">
        <v>29</v>
      </c>
      <c r="C1360" s="8">
        <v>45262.0</v>
      </c>
      <c r="D1360" s="8">
        <v>45290.0</v>
      </c>
      <c r="E1360" s="8">
        <v>45269.0</v>
      </c>
      <c r="F1360" s="8">
        <v>45275.0</v>
      </c>
      <c r="G1360" s="6">
        <v>56.0</v>
      </c>
      <c r="H1360" s="9">
        <v>38.0</v>
      </c>
      <c r="I1360" s="10">
        <v>60.0</v>
      </c>
      <c r="J1360" s="11">
        <v>0.0</v>
      </c>
      <c r="K1360" s="9">
        <v>328.74</v>
      </c>
      <c r="L1360" s="7" t="s">
        <v>15</v>
      </c>
    </row>
    <row r="1361" ht="15.75" customHeight="1">
      <c r="A1361" s="6">
        <v>10763.0</v>
      </c>
      <c r="B1361" s="7" t="s">
        <v>83</v>
      </c>
      <c r="C1361" s="8">
        <v>45263.0</v>
      </c>
      <c r="D1361" s="8">
        <v>45291.0</v>
      </c>
      <c r="E1361" s="8">
        <v>45268.0</v>
      </c>
      <c r="F1361" s="8">
        <v>45276.0</v>
      </c>
      <c r="G1361" s="6">
        <v>21.0</v>
      </c>
      <c r="H1361" s="9">
        <v>10.0</v>
      </c>
      <c r="I1361" s="10">
        <v>40.0</v>
      </c>
      <c r="J1361" s="11">
        <v>0.0</v>
      </c>
      <c r="K1361" s="9">
        <v>37.35</v>
      </c>
      <c r="L1361" s="7" t="s">
        <v>13</v>
      </c>
    </row>
    <row r="1362" ht="15.75" customHeight="1">
      <c r="A1362" s="6">
        <v>10763.0</v>
      </c>
      <c r="B1362" s="7" t="s">
        <v>83</v>
      </c>
      <c r="C1362" s="8">
        <v>45263.0</v>
      </c>
      <c r="D1362" s="8">
        <v>45291.0</v>
      </c>
      <c r="E1362" s="8">
        <v>45268.0</v>
      </c>
      <c r="F1362" s="8">
        <v>45276.0</v>
      </c>
      <c r="G1362" s="6">
        <v>22.0</v>
      </c>
      <c r="H1362" s="9">
        <v>21.0</v>
      </c>
      <c r="I1362" s="10">
        <v>6.0</v>
      </c>
      <c r="J1362" s="11">
        <v>0.0</v>
      </c>
      <c r="K1362" s="9">
        <v>37.35</v>
      </c>
      <c r="L1362" s="7" t="s">
        <v>13</v>
      </c>
    </row>
    <row r="1363" ht="15.75" customHeight="1">
      <c r="A1363" s="6">
        <v>10763.0</v>
      </c>
      <c r="B1363" s="7" t="s">
        <v>83</v>
      </c>
      <c r="C1363" s="8">
        <v>45263.0</v>
      </c>
      <c r="D1363" s="8">
        <v>45291.0</v>
      </c>
      <c r="E1363" s="8">
        <v>45268.0</v>
      </c>
      <c r="F1363" s="8">
        <v>45276.0</v>
      </c>
      <c r="G1363" s="6">
        <v>24.0</v>
      </c>
      <c r="H1363" s="9">
        <v>4.5</v>
      </c>
      <c r="I1363" s="10">
        <v>20.0</v>
      </c>
      <c r="J1363" s="11">
        <v>0.0</v>
      </c>
      <c r="K1363" s="9">
        <v>37.35</v>
      </c>
      <c r="L1363" s="7" t="s">
        <v>13</v>
      </c>
    </row>
    <row r="1364" ht="15.75" customHeight="1">
      <c r="A1364" s="6">
        <v>10764.0</v>
      </c>
      <c r="B1364" s="7" t="s">
        <v>24</v>
      </c>
      <c r="C1364" s="8">
        <v>45263.0</v>
      </c>
      <c r="D1364" s="8">
        <v>45291.0</v>
      </c>
      <c r="E1364" s="8">
        <v>45268.0</v>
      </c>
      <c r="F1364" s="8">
        <v>45281.0</v>
      </c>
      <c r="G1364" s="6">
        <v>3.0</v>
      </c>
      <c r="H1364" s="9">
        <v>10.0</v>
      </c>
      <c r="I1364" s="10">
        <v>20.0</v>
      </c>
      <c r="J1364" s="11">
        <v>0.1</v>
      </c>
      <c r="K1364" s="9">
        <v>145.45</v>
      </c>
      <c r="L1364" s="7" t="s">
        <v>13</v>
      </c>
    </row>
    <row r="1365" ht="15.75" customHeight="1">
      <c r="A1365" s="6">
        <v>10764.0</v>
      </c>
      <c r="B1365" s="7" t="s">
        <v>24</v>
      </c>
      <c r="C1365" s="8">
        <v>45263.0</v>
      </c>
      <c r="D1365" s="8">
        <v>45291.0</v>
      </c>
      <c r="E1365" s="8">
        <v>45268.0</v>
      </c>
      <c r="F1365" s="8">
        <v>45281.0</v>
      </c>
      <c r="G1365" s="6">
        <v>39.0</v>
      </c>
      <c r="H1365" s="9">
        <v>18.0</v>
      </c>
      <c r="I1365" s="10">
        <v>130.0</v>
      </c>
      <c r="J1365" s="11">
        <v>0.1</v>
      </c>
      <c r="K1365" s="9">
        <v>145.45</v>
      </c>
      <c r="L1365" s="7" t="s">
        <v>13</v>
      </c>
    </row>
    <row r="1366" ht="15.75" customHeight="1">
      <c r="A1366" s="6">
        <v>10765.0</v>
      </c>
      <c r="B1366" s="7" t="s">
        <v>36</v>
      </c>
      <c r="C1366" s="8">
        <v>45264.0</v>
      </c>
      <c r="D1366" s="8">
        <v>45292.0</v>
      </c>
      <c r="E1366" s="8">
        <v>45269.0</v>
      </c>
      <c r="F1366" s="8">
        <v>45276.0</v>
      </c>
      <c r="G1366" s="6">
        <v>65.0</v>
      </c>
      <c r="H1366" s="9">
        <v>21.05</v>
      </c>
      <c r="I1366" s="10">
        <v>80.0</v>
      </c>
      <c r="J1366" s="11">
        <v>0.1</v>
      </c>
      <c r="K1366" s="9">
        <v>42.74</v>
      </c>
      <c r="L1366" s="7" t="s">
        <v>13</v>
      </c>
    </row>
    <row r="1367" ht="15.75" customHeight="1">
      <c r="A1367" s="6">
        <v>10766.0</v>
      </c>
      <c r="B1367" s="7" t="s">
        <v>26</v>
      </c>
      <c r="C1367" s="8">
        <v>45265.0</v>
      </c>
      <c r="D1367" s="8">
        <v>45293.0</v>
      </c>
      <c r="E1367" s="8">
        <v>45269.0</v>
      </c>
      <c r="F1367" s="8">
        <v>45270.0</v>
      </c>
      <c r="G1367" s="6">
        <v>2.0</v>
      </c>
      <c r="H1367" s="9">
        <v>19.0</v>
      </c>
      <c r="I1367" s="10">
        <v>40.0</v>
      </c>
      <c r="J1367" s="11">
        <v>0.0</v>
      </c>
      <c r="K1367" s="9">
        <v>157.55</v>
      </c>
      <c r="L1367" s="7" t="s">
        <v>15</v>
      </c>
    </row>
    <row r="1368" ht="15.75" customHeight="1">
      <c r="A1368" s="6">
        <v>10766.0</v>
      </c>
      <c r="B1368" s="7" t="s">
        <v>26</v>
      </c>
      <c r="C1368" s="8">
        <v>45265.0</v>
      </c>
      <c r="D1368" s="8">
        <v>45293.0</v>
      </c>
      <c r="E1368" s="8">
        <v>45269.0</v>
      </c>
      <c r="F1368" s="8">
        <v>45270.0</v>
      </c>
      <c r="G1368" s="6">
        <v>7.0</v>
      </c>
      <c r="H1368" s="9">
        <v>30.0</v>
      </c>
      <c r="I1368" s="10">
        <v>35.0</v>
      </c>
      <c r="J1368" s="11">
        <v>0.0</v>
      </c>
      <c r="K1368" s="9">
        <v>157.55</v>
      </c>
      <c r="L1368" s="7" t="s">
        <v>15</v>
      </c>
    </row>
    <row r="1369" ht="15.75" customHeight="1">
      <c r="A1369" s="6">
        <v>10766.0</v>
      </c>
      <c r="B1369" s="7" t="s">
        <v>26</v>
      </c>
      <c r="C1369" s="8">
        <v>45265.0</v>
      </c>
      <c r="D1369" s="8">
        <v>45293.0</v>
      </c>
      <c r="E1369" s="8">
        <v>45269.0</v>
      </c>
      <c r="F1369" s="8">
        <v>45270.0</v>
      </c>
      <c r="G1369" s="6">
        <v>68.0</v>
      </c>
      <c r="H1369" s="9">
        <v>12.5</v>
      </c>
      <c r="I1369" s="10">
        <v>40.0</v>
      </c>
      <c r="J1369" s="11">
        <v>0.0</v>
      </c>
      <c r="K1369" s="9">
        <v>157.55</v>
      </c>
      <c r="L1369" s="7" t="s">
        <v>15</v>
      </c>
    </row>
    <row r="1370" ht="15.75" customHeight="1">
      <c r="A1370" s="6">
        <v>10767.0</v>
      </c>
      <c r="B1370" s="7" t="s">
        <v>19</v>
      </c>
      <c r="C1370" s="8">
        <v>45265.0</v>
      </c>
      <c r="D1370" s="8">
        <v>45293.0</v>
      </c>
      <c r="E1370" s="8">
        <v>45275.0</v>
      </c>
      <c r="F1370" s="8">
        <v>45288.0</v>
      </c>
      <c r="G1370" s="6">
        <v>42.0</v>
      </c>
      <c r="H1370" s="9">
        <v>14.0</v>
      </c>
      <c r="I1370" s="10">
        <v>2.0</v>
      </c>
      <c r="J1370" s="11">
        <v>0.0</v>
      </c>
      <c r="K1370" s="9">
        <v>1.59</v>
      </c>
      <c r="L1370" s="7" t="s">
        <v>13</v>
      </c>
    </row>
    <row r="1371" ht="15.75" customHeight="1">
      <c r="A1371" s="6">
        <v>10768.0</v>
      </c>
      <c r="B1371" s="7" t="s">
        <v>70</v>
      </c>
      <c r="C1371" s="8">
        <v>45268.0</v>
      </c>
      <c r="D1371" s="8">
        <v>45296.0</v>
      </c>
      <c r="E1371" s="8">
        <v>45275.0</v>
      </c>
      <c r="F1371" s="8">
        <v>45285.0</v>
      </c>
      <c r="G1371" s="6">
        <v>22.0</v>
      </c>
      <c r="H1371" s="9">
        <v>21.0</v>
      </c>
      <c r="I1371" s="10">
        <v>4.0</v>
      </c>
      <c r="J1371" s="11">
        <v>0.0</v>
      </c>
      <c r="K1371" s="9">
        <v>146.32</v>
      </c>
      <c r="L1371" s="7" t="s">
        <v>17</v>
      </c>
    </row>
    <row r="1372" ht="15.75" customHeight="1">
      <c r="A1372" s="6">
        <v>10768.0</v>
      </c>
      <c r="B1372" s="7" t="s">
        <v>70</v>
      </c>
      <c r="C1372" s="8">
        <v>45268.0</v>
      </c>
      <c r="D1372" s="8">
        <v>45296.0</v>
      </c>
      <c r="E1372" s="8">
        <v>45275.0</v>
      </c>
      <c r="F1372" s="8">
        <v>45285.0</v>
      </c>
      <c r="G1372" s="6">
        <v>31.0</v>
      </c>
      <c r="H1372" s="9">
        <v>12.5</v>
      </c>
      <c r="I1372" s="10">
        <v>50.0</v>
      </c>
      <c r="J1372" s="11">
        <v>0.0</v>
      </c>
      <c r="K1372" s="9">
        <v>146.32</v>
      </c>
      <c r="L1372" s="7" t="s">
        <v>17</v>
      </c>
    </row>
    <row r="1373" ht="15.75" customHeight="1">
      <c r="A1373" s="6">
        <v>10768.0</v>
      </c>
      <c r="B1373" s="7" t="s">
        <v>70</v>
      </c>
      <c r="C1373" s="8">
        <v>45268.0</v>
      </c>
      <c r="D1373" s="8">
        <v>45296.0</v>
      </c>
      <c r="E1373" s="8">
        <v>45275.0</v>
      </c>
      <c r="F1373" s="8">
        <v>45285.0</v>
      </c>
      <c r="G1373" s="6">
        <v>60.0</v>
      </c>
      <c r="H1373" s="9">
        <v>34.0</v>
      </c>
      <c r="I1373" s="10">
        <v>15.0</v>
      </c>
      <c r="J1373" s="11">
        <v>0.0</v>
      </c>
      <c r="K1373" s="9">
        <v>146.32</v>
      </c>
      <c r="L1373" s="7" t="s">
        <v>17</v>
      </c>
    </row>
    <row r="1374" ht="15.75" customHeight="1">
      <c r="A1374" s="6">
        <v>10768.0</v>
      </c>
      <c r="B1374" s="7" t="s">
        <v>70</v>
      </c>
      <c r="C1374" s="8">
        <v>45268.0</v>
      </c>
      <c r="D1374" s="8">
        <v>45296.0</v>
      </c>
      <c r="E1374" s="8">
        <v>45275.0</v>
      </c>
      <c r="F1374" s="8">
        <v>45285.0</v>
      </c>
      <c r="G1374" s="6">
        <v>71.0</v>
      </c>
      <c r="H1374" s="9">
        <v>21.5</v>
      </c>
      <c r="I1374" s="10">
        <v>12.0</v>
      </c>
      <c r="J1374" s="11">
        <v>0.0</v>
      </c>
      <c r="K1374" s="9">
        <v>146.32</v>
      </c>
      <c r="L1374" s="7" t="s">
        <v>17</v>
      </c>
    </row>
    <row r="1375" ht="15.75" customHeight="1">
      <c r="A1375" s="6">
        <v>10769.0</v>
      </c>
      <c r="B1375" s="7" t="s">
        <v>76</v>
      </c>
      <c r="C1375" s="8">
        <v>45268.0</v>
      </c>
      <c r="D1375" s="8">
        <v>45296.0</v>
      </c>
      <c r="E1375" s="8">
        <v>45272.0</v>
      </c>
      <c r="F1375" s="8">
        <v>45282.0</v>
      </c>
      <c r="G1375" s="6">
        <v>41.0</v>
      </c>
      <c r="H1375" s="9">
        <v>9.65</v>
      </c>
      <c r="I1375" s="10">
        <v>30.0</v>
      </c>
      <c r="J1375" s="11">
        <v>0.05</v>
      </c>
      <c r="K1375" s="9">
        <v>65.06</v>
      </c>
      <c r="L1375" s="7" t="s">
        <v>15</v>
      </c>
    </row>
    <row r="1376" ht="15.75" customHeight="1">
      <c r="A1376" s="6">
        <v>10769.0</v>
      </c>
      <c r="B1376" s="7" t="s">
        <v>76</v>
      </c>
      <c r="C1376" s="8">
        <v>45268.0</v>
      </c>
      <c r="D1376" s="8">
        <v>45296.0</v>
      </c>
      <c r="E1376" s="8">
        <v>45272.0</v>
      </c>
      <c r="F1376" s="8">
        <v>45282.0</v>
      </c>
      <c r="G1376" s="6">
        <v>52.0</v>
      </c>
      <c r="H1376" s="9">
        <v>7.0</v>
      </c>
      <c r="I1376" s="10">
        <v>15.0</v>
      </c>
      <c r="J1376" s="11">
        <v>0.05</v>
      </c>
      <c r="K1376" s="9">
        <v>65.06</v>
      </c>
      <c r="L1376" s="7" t="s">
        <v>15</v>
      </c>
    </row>
    <row r="1377" ht="15.75" customHeight="1">
      <c r="A1377" s="6">
        <v>10769.0</v>
      </c>
      <c r="B1377" s="7" t="s">
        <v>76</v>
      </c>
      <c r="C1377" s="8">
        <v>45268.0</v>
      </c>
      <c r="D1377" s="8">
        <v>45296.0</v>
      </c>
      <c r="E1377" s="8">
        <v>45272.0</v>
      </c>
      <c r="F1377" s="8">
        <v>45282.0</v>
      </c>
      <c r="G1377" s="6">
        <v>61.0</v>
      </c>
      <c r="H1377" s="9">
        <v>28.5</v>
      </c>
      <c r="I1377" s="10">
        <v>20.0</v>
      </c>
      <c r="J1377" s="11">
        <v>0.0</v>
      </c>
      <c r="K1377" s="9">
        <v>65.06</v>
      </c>
      <c r="L1377" s="7" t="s">
        <v>15</v>
      </c>
    </row>
    <row r="1378" ht="15.75" customHeight="1">
      <c r="A1378" s="6">
        <v>10769.0</v>
      </c>
      <c r="B1378" s="7" t="s">
        <v>76</v>
      </c>
      <c r="C1378" s="8">
        <v>45268.0</v>
      </c>
      <c r="D1378" s="8">
        <v>45296.0</v>
      </c>
      <c r="E1378" s="8">
        <v>45272.0</v>
      </c>
      <c r="F1378" s="8">
        <v>45282.0</v>
      </c>
      <c r="G1378" s="6">
        <v>62.0</v>
      </c>
      <c r="H1378" s="9">
        <v>49.3</v>
      </c>
      <c r="I1378" s="10">
        <v>15.0</v>
      </c>
      <c r="J1378" s="11">
        <v>0.0</v>
      </c>
      <c r="K1378" s="9">
        <v>65.06</v>
      </c>
      <c r="L1378" s="7" t="s">
        <v>15</v>
      </c>
    </row>
    <row r="1379" ht="15.75" customHeight="1">
      <c r="A1379" s="6">
        <v>10770.0</v>
      </c>
      <c r="B1379" s="7" t="s">
        <v>16</v>
      </c>
      <c r="C1379" s="8">
        <v>45269.0</v>
      </c>
      <c r="D1379" s="8">
        <v>45297.0</v>
      </c>
      <c r="E1379" s="8">
        <v>45277.0</v>
      </c>
      <c r="F1379" s="8">
        <v>45295.0</v>
      </c>
      <c r="G1379" s="6">
        <v>11.0</v>
      </c>
      <c r="H1379" s="9">
        <v>21.0</v>
      </c>
      <c r="I1379" s="10">
        <v>15.0</v>
      </c>
      <c r="J1379" s="11">
        <v>0.25</v>
      </c>
      <c r="K1379" s="9">
        <v>5.32</v>
      </c>
      <c r="L1379" s="7" t="s">
        <v>13</v>
      </c>
    </row>
    <row r="1380" ht="15.75" customHeight="1">
      <c r="A1380" s="6">
        <v>10771.0</v>
      </c>
      <c r="B1380" s="7" t="s">
        <v>24</v>
      </c>
      <c r="C1380" s="8">
        <v>45270.0</v>
      </c>
      <c r="D1380" s="8">
        <v>45298.0</v>
      </c>
      <c r="E1380" s="8">
        <v>45293.0</v>
      </c>
      <c r="F1380" s="8">
        <v>45306.0</v>
      </c>
      <c r="G1380" s="6">
        <v>71.0</v>
      </c>
      <c r="H1380" s="9">
        <v>21.5</v>
      </c>
      <c r="I1380" s="10">
        <v>16.0</v>
      </c>
      <c r="J1380" s="11">
        <v>0.0</v>
      </c>
      <c r="K1380" s="9">
        <v>11.19</v>
      </c>
      <c r="L1380" s="7" t="s">
        <v>17</v>
      </c>
    </row>
    <row r="1381" ht="15.75" customHeight="1">
      <c r="A1381" s="6">
        <v>10772.0</v>
      </c>
      <c r="B1381" s="7" t="s">
        <v>41</v>
      </c>
      <c r="C1381" s="8">
        <v>45270.0</v>
      </c>
      <c r="D1381" s="8">
        <v>45298.0</v>
      </c>
      <c r="E1381" s="8">
        <v>45279.0</v>
      </c>
      <c r="F1381" s="8">
        <v>45288.0</v>
      </c>
      <c r="G1381" s="6">
        <v>29.0</v>
      </c>
      <c r="H1381" s="9">
        <v>123.79</v>
      </c>
      <c r="I1381" s="10">
        <v>18.0</v>
      </c>
      <c r="J1381" s="11">
        <v>0.0</v>
      </c>
      <c r="K1381" s="9">
        <v>91.28</v>
      </c>
      <c r="L1381" s="7" t="s">
        <v>17</v>
      </c>
    </row>
    <row r="1382" ht="15.75" customHeight="1">
      <c r="A1382" s="6">
        <v>10772.0</v>
      </c>
      <c r="B1382" s="7" t="s">
        <v>41</v>
      </c>
      <c r="C1382" s="8">
        <v>45270.0</v>
      </c>
      <c r="D1382" s="8">
        <v>45298.0</v>
      </c>
      <c r="E1382" s="8">
        <v>45279.0</v>
      </c>
      <c r="F1382" s="8">
        <v>45288.0</v>
      </c>
      <c r="G1382" s="6">
        <v>59.0</v>
      </c>
      <c r="H1382" s="9">
        <v>55.0</v>
      </c>
      <c r="I1382" s="10">
        <v>25.0</v>
      </c>
      <c r="J1382" s="11">
        <v>0.0</v>
      </c>
      <c r="K1382" s="9">
        <v>91.28</v>
      </c>
      <c r="L1382" s="7" t="s">
        <v>17</v>
      </c>
    </row>
    <row r="1383" ht="15.75" customHeight="1">
      <c r="A1383" s="6">
        <v>10773.0</v>
      </c>
      <c r="B1383" s="7" t="s">
        <v>24</v>
      </c>
      <c r="C1383" s="8">
        <v>45271.0</v>
      </c>
      <c r="D1383" s="8">
        <v>45299.0</v>
      </c>
      <c r="E1383" s="8">
        <v>45276.0</v>
      </c>
      <c r="F1383" s="8">
        <v>45286.0</v>
      </c>
      <c r="G1383" s="6">
        <v>17.0</v>
      </c>
      <c r="H1383" s="9">
        <v>39.0</v>
      </c>
      <c r="I1383" s="10">
        <v>33.0</v>
      </c>
      <c r="J1383" s="11">
        <v>0.0</v>
      </c>
      <c r="K1383" s="9">
        <v>96.43</v>
      </c>
      <c r="L1383" s="7" t="s">
        <v>13</v>
      </c>
    </row>
    <row r="1384" ht="15.75" customHeight="1">
      <c r="A1384" s="6">
        <v>10773.0</v>
      </c>
      <c r="B1384" s="7" t="s">
        <v>24</v>
      </c>
      <c r="C1384" s="8">
        <v>45271.0</v>
      </c>
      <c r="D1384" s="8">
        <v>45299.0</v>
      </c>
      <c r="E1384" s="8">
        <v>45276.0</v>
      </c>
      <c r="F1384" s="8">
        <v>45286.0</v>
      </c>
      <c r="G1384" s="6">
        <v>31.0</v>
      </c>
      <c r="H1384" s="9">
        <v>12.5</v>
      </c>
      <c r="I1384" s="10">
        <v>70.0</v>
      </c>
      <c r="J1384" s="11">
        <v>0.2</v>
      </c>
      <c r="K1384" s="9">
        <v>96.43</v>
      </c>
      <c r="L1384" s="7" t="s">
        <v>13</v>
      </c>
    </row>
    <row r="1385" ht="15.75" customHeight="1">
      <c r="A1385" s="6">
        <v>10773.0</v>
      </c>
      <c r="B1385" s="7" t="s">
        <v>24</v>
      </c>
      <c r="C1385" s="8">
        <v>45271.0</v>
      </c>
      <c r="D1385" s="8">
        <v>45299.0</v>
      </c>
      <c r="E1385" s="8">
        <v>45276.0</v>
      </c>
      <c r="F1385" s="8">
        <v>45286.0</v>
      </c>
      <c r="G1385" s="6">
        <v>75.0</v>
      </c>
      <c r="H1385" s="9">
        <v>7.75</v>
      </c>
      <c r="I1385" s="10">
        <v>7.0</v>
      </c>
      <c r="J1385" s="11">
        <v>0.2</v>
      </c>
      <c r="K1385" s="9">
        <v>96.43</v>
      </c>
      <c r="L1385" s="7" t="s">
        <v>13</v>
      </c>
    </row>
    <row r="1386" ht="15.75" customHeight="1">
      <c r="A1386" s="6">
        <v>10774.0</v>
      </c>
      <c r="B1386" s="7" t="s">
        <v>29</v>
      </c>
      <c r="C1386" s="8">
        <v>45271.0</v>
      </c>
      <c r="D1386" s="8">
        <v>45285.0</v>
      </c>
      <c r="E1386" s="8">
        <v>45272.0</v>
      </c>
      <c r="F1386" s="8">
        <v>45282.0</v>
      </c>
      <c r="G1386" s="6">
        <v>31.0</v>
      </c>
      <c r="H1386" s="9">
        <v>12.5</v>
      </c>
      <c r="I1386" s="10">
        <v>2.0</v>
      </c>
      <c r="J1386" s="11">
        <v>0.25</v>
      </c>
      <c r="K1386" s="9">
        <v>48.2</v>
      </c>
      <c r="L1386" s="7" t="s">
        <v>15</v>
      </c>
    </row>
    <row r="1387" ht="15.75" customHeight="1">
      <c r="A1387" s="6">
        <v>10774.0</v>
      </c>
      <c r="B1387" s="7" t="s">
        <v>29</v>
      </c>
      <c r="C1387" s="8">
        <v>45271.0</v>
      </c>
      <c r="D1387" s="8">
        <v>45285.0</v>
      </c>
      <c r="E1387" s="8">
        <v>45272.0</v>
      </c>
      <c r="F1387" s="8">
        <v>45282.0</v>
      </c>
      <c r="G1387" s="6">
        <v>66.0</v>
      </c>
      <c r="H1387" s="9">
        <v>17.0</v>
      </c>
      <c r="I1387" s="10">
        <v>50.0</v>
      </c>
      <c r="J1387" s="11">
        <v>0.0</v>
      </c>
      <c r="K1387" s="9">
        <v>48.2</v>
      </c>
      <c r="L1387" s="7" t="s">
        <v>15</v>
      </c>
    </row>
    <row r="1388" ht="15.75" customHeight="1">
      <c r="A1388" s="6">
        <v>10775.0</v>
      </c>
      <c r="B1388" s="7" t="s">
        <v>99</v>
      </c>
      <c r="C1388" s="8">
        <v>45272.0</v>
      </c>
      <c r="D1388" s="8">
        <v>45300.0</v>
      </c>
      <c r="E1388" s="8">
        <v>45286.0</v>
      </c>
      <c r="F1388" s="8">
        <v>45298.0</v>
      </c>
      <c r="G1388" s="6">
        <v>10.0</v>
      </c>
      <c r="H1388" s="9">
        <v>31.0</v>
      </c>
      <c r="I1388" s="10">
        <v>6.0</v>
      </c>
      <c r="J1388" s="11">
        <v>0.0</v>
      </c>
      <c r="K1388" s="9">
        <v>20.25</v>
      </c>
      <c r="L1388" s="7" t="s">
        <v>15</v>
      </c>
    </row>
    <row r="1389" ht="15.75" customHeight="1">
      <c r="A1389" s="6">
        <v>10775.0</v>
      </c>
      <c r="B1389" s="7" t="s">
        <v>99</v>
      </c>
      <c r="C1389" s="8">
        <v>45272.0</v>
      </c>
      <c r="D1389" s="8">
        <v>45300.0</v>
      </c>
      <c r="E1389" s="8">
        <v>45286.0</v>
      </c>
      <c r="F1389" s="8">
        <v>45298.0</v>
      </c>
      <c r="G1389" s="6">
        <v>67.0</v>
      </c>
      <c r="H1389" s="9">
        <v>14.0</v>
      </c>
      <c r="I1389" s="10">
        <v>3.0</v>
      </c>
      <c r="J1389" s="11">
        <v>0.0</v>
      </c>
      <c r="K1389" s="9">
        <v>20.25</v>
      </c>
      <c r="L1389" s="7" t="s">
        <v>15</v>
      </c>
    </row>
    <row r="1390" ht="15.75" customHeight="1">
      <c r="A1390" s="6">
        <v>10776.0</v>
      </c>
      <c r="B1390" s="7" t="s">
        <v>24</v>
      </c>
      <c r="C1390" s="8">
        <v>45275.0</v>
      </c>
      <c r="D1390" s="8">
        <v>45303.0</v>
      </c>
      <c r="E1390" s="8">
        <v>45278.0</v>
      </c>
      <c r="F1390" s="8">
        <v>45292.0</v>
      </c>
      <c r="G1390" s="6">
        <v>31.0</v>
      </c>
      <c r="H1390" s="9">
        <v>12.5</v>
      </c>
      <c r="I1390" s="10">
        <v>16.0</v>
      </c>
      <c r="J1390" s="11">
        <v>0.05</v>
      </c>
      <c r="K1390" s="9">
        <v>351.53</v>
      </c>
      <c r="L1390" s="7" t="s">
        <v>13</v>
      </c>
    </row>
    <row r="1391" ht="15.75" customHeight="1">
      <c r="A1391" s="6">
        <v>10776.0</v>
      </c>
      <c r="B1391" s="7" t="s">
        <v>24</v>
      </c>
      <c r="C1391" s="8">
        <v>45275.0</v>
      </c>
      <c r="D1391" s="8">
        <v>45303.0</v>
      </c>
      <c r="E1391" s="8">
        <v>45278.0</v>
      </c>
      <c r="F1391" s="8">
        <v>45292.0</v>
      </c>
      <c r="G1391" s="6">
        <v>42.0</v>
      </c>
      <c r="H1391" s="9">
        <v>14.0</v>
      </c>
      <c r="I1391" s="10">
        <v>12.0</v>
      </c>
      <c r="J1391" s="11">
        <v>0.05</v>
      </c>
      <c r="K1391" s="9">
        <v>351.53</v>
      </c>
      <c r="L1391" s="7" t="s">
        <v>13</v>
      </c>
    </row>
    <row r="1392" ht="15.75" customHeight="1">
      <c r="A1392" s="6">
        <v>10776.0</v>
      </c>
      <c r="B1392" s="7" t="s">
        <v>24</v>
      </c>
      <c r="C1392" s="8">
        <v>45275.0</v>
      </c>
      <c r="D1392" s="8">
        <v>45303.0</v>
      </c>
      <c r="E1392" s="8">
        <v>45278.0</v>
      </c>
      <c r="F1392" s="8">
        <v>45292.0</v>
      </c>
      <c r="G1392" s="6">
        <v>45.0</v>
      </c>
      <c r="H1392" s="9">
        <v>9.5</v>
      </c>
      <c r="I1392" s="10">
        <v>27.0</v>
      </c>
      <c r="J1392" s="11">
        <v>0.05</v>
      </c>
      <c r="K1392" s="9">
        <v>351.53</v>
      </c>
      <c r="L1392" s="7" t="s">
        <v>13</v>
      </c>
    </row>
    <row r="1393" ht="15.75" customHeight="1">
      <c r="A1393" s="6">
        <v>10776.0</v>
      </c>
      <c r="B1393" s="7" t="s">
        <v>24</v>
      </c>
      <c r="C1393" s="8">
        <v>45275.0</v>
      </c>
      <c r="D1393" s="8">
        <v>45303.0</v>
      </c>
      <c r="E1393" s="8">
        <v>45278.0</v>
      </c>
      <c r="F1393" s="8">
        <v>45292.0</v>
      </c>
      <c r="G1393" s="6">
        <v>51.0</v>
      </c>
      <c r="H1393" s="9">
        <v>53.0</v>
      </c>
      <c r="I1393" s="10">
        <v>120.0</v>
      </c>
      <c r="J1393" s="11">
        <v>0.05</v>
      </c>
      <c r="K1393" s="9">
        <v>351.53</v>
      </c>
      <c r="L1393" s="7" t="s">
        <v>13</v>
      </c>
    </row>
    <row r="1394" ht="15.75" customHeight="1">
      <c r="A1394" s="6">
        <v>10777.0</v>
      </c>
      <c r="B1394" s="7" t="s">
        <v>86</v>
      </c>
      <c r="C1394" s="8">
        <v>45275.0</v>
      </c>
      <c r="D1394" s="8">
        <v>45289.0</v>
      </c>
      <c r="E1394" s="8">
        <v>45312.0</v>
      </c>
      <c r="F1394" s="8">
        <v>45332.0</v>
      </c>
      <c r="G1394" s="6">
        <v>42.0</v>
      </c>
      <c r="H1394" s="9">
        <v>14.0</v>
      </c>
      <c r="I1394" s="10">
        <v>20.0</v>
      </c>
      <c r="J1394" s="11">
        <v>0.2</v>
      </c>
      <c r="K1394" s="9">
        <v>3.01</v>
      </c>
      <c r="L1394" s="7" t="s">
        <v>17</v>
      </c>
    </row>
    <row r="1395" ht="15.75" customHeight="1">
      <c r="A1395" s="6">
        <v>10778.0</v>
      </c>
      <c r="B1395" s="7" t="s">
        <v>40</v>
      </c>
      <c r="C1395" s="8">
        <v>45276.0</v>
      </c>
      <c r="D1395" s="8">
        <v>45304.0</v>
      </c>
      <c r="E1395" s="8">
        <v>45284.0</v>
      </c>
      <c r="F1395" s="8">
        <v>45290.0</v>
      </c>
      <c r="G1395" s="6">
        <v>41.0</v>
      </c>
      <c r="H1395" s="9">
        <v>9.65</v>
      </c>
      <c r="I1395" s="10">
        <v>10.0</v>
      </c>
      <c r="J1395" s="11">
        <v>0.0</v>
      </c>
      <c r="K1395" s="9">
        <v>6.79</v>
      </c>
      <c r="L1395" s="7" t="s">
        <v>15</v>
      </c>
    </row>
    <row r="1396" ht="15.75" customHeight="1">
      <c r="A1396" s="6">
        <v>10779.0</v>
      </c>
      <c r="B1396" s="7" t="s">
        <v>39</v>
      </c>
      <c r="C1396" s="8">
        <v>45276.0</v>
      </c>
      <c r="D1396" s="8">
        <v>45304.0</v>
      </c>
      <c r="E1396" s="8">
        <v>45305.0</v>
      </c>
      <c r="F1396" s="8">
        <v>45310.0</v>
      </c>
      <c r="G1396" s="6">
        <v>16.0</v>
      </c>
      <c r="H1396" s="9">
        <v>17.45</v>
      </c>
      <c r="I1396" s="10">
        <v>20.0</v>
      </c>
      <c r="J1396" s="11">
        <v>0.0</v>
      </c>
      <c r="K1396" s="9">
        <v>58.13</v>
      </c>
      <c r="L1396" s="7" t="s">
        <v>17</v>
      </c>
    </row>
    <row r="1397" ht="15.75" customHeight="1">
      <c r="A1397" s="6">
        <v>10779.0</v>
      </c>
      <c r="B1397" s="7" t="s">
        <v>39</v>
      </c>
      <c r="C1397" s="8">
        <v>45276.0</v>
      </c>
      <c r="D1397" s="8">
        <v>45304.0</v>
      </c>
      <c r="E1397" s="8">
        <v>45305.0</v>
      </c>
      <c r="F1397" s="8">
        <v>45310.0</v>
      </c>
      <c r="G1397" s="6">
        <v>62.0</v>
      </c>
      <c r="H1397" s="9">
        <v>49.3</v>
      </c>
      <c r="I1397" s="10">
        <v>20.0</v>
      </c>
      <c r="J1397" s="11">
        <v>0.0</v>
      </c>
      <c r="K1397" s="9">
        <v>58.13</v>
      </c>
      <c r="L1397" s="7" t="s">
        <v>17</v>
      </c>
    </row>
    <row r="1398" ht="15.75" customHeight="1">
      <c r="A1398" s="6">
        <v>10780.0</v>
      </c>
      <c r="B1398" s="7" t="s">
        <v>43</v>
      </c>
      <c r="C1398" s="8">
        <v>45276.0</v>
      </c>
      <c r="D1398" s="8">
        <v>45290.0</v>
      </c>
      <c r="E1398" s="8">
        <v>45285.0</v>
      </c>
      <c r="F1398" s="8">
        <v>45295.0</v>
      </c>
      <c r="G1398" s="6">
        <v>70.0</v>
      </c>
      <c r="H1398" s="9">
        <v>15.0</v>
      </c>
      <c r="I1398" s="10">
        <v>35.0</v>
      </c>
      <c r="J1398" s="11">
        <v>0.0</v>
      </c>
      <c r="K1398" s="9">
        <v>42.13</v>
      </c>
      <c r="L1398" s="7" t="s">
        <v>15</v>
      </c>
    </row>
    <row r="1399" ht="15.75" customHeight="1">
      <c r="A1399" s="6">
        <v>10780.0</v>
      </c>
      <c r="B1399" s="7" t="s">
        <v>43</v>
      </c>
      <c r="C1399" s="8">
        <v>45276.0</v>
      </c>
      <c r="D1399" s="8">
        <v>45290.0</v>
      </c>
      <c r="E1399" s="8">
        <v>45285.0</v>
      </c>
      <c r="F1399" s="8">
        <v>45295.0</v>
      </c>
      <c r="G1399" s="6">
        <v>77.0</v>
      </c>
      <c r="H1399" s="9">
        <v>13.0</v>
      </c>
      <c r="I1399" s="10">
        <v>15.0</v>
      </c>
      <c r="J1399" s="11">
        <v>0.0</v>
      </c>
      <c r="K1399" s="9">
        <v>42.13</v>
      </c>
      <c r="L1399" s="7" t="s">
        <v>15</v>
      </c>
    </row>
    <row r="1400" ht="15.75" customHeight="1">
      <c r="A1400" s="6">
        <v>10781.0</v>
      </c>
      <c r="B1400" s="7" t="s">
        <v>31</v>
      </c>
      <c r="C1400" s="8">
        <v>45277.0</v>
      </c>
      <c r="D1400" s="8">
        <v>45305.0</v>
      </c>
      <c r="E1400" s="8">
        <v>45279.0</v>
      </c>
      <c r="F1400" s="8">
        <v>45292.0</v>
      </c>
      <c r="G1400" s="6">
        <v>54.0</v>
      </c>
      <c r="H1400" s="9">
        <v>7.45</v>
      </c>
      <c r="I1400" s="10">
        <v>3.0</v>
      </c>
      <c r="J1400" s="11">
        <v>0.2</v>
      </c>
      <c r="K1400" s="9">
        <v>73.16</v>
      </c>
      <c r="L1400" s="7" t="s">
        <v>13</v>
      </c>
    </row>
    <row r="1401" ht="15.75" customHeight="1">
      <c r="A1401" s="6">
        <v>10781.0</v>
      </c>
      <c r="B1401" s="7" t="s">
        <v>31</v>
      </c>
      <c r="C1401" s="8">
        <v>45277.0</v>
      </c>
      <c r="D1401" s="8">
        <v>45305.0</v>
      </c>
      <c r="E1401" s="8">
        <v>45279.0</v>
      </c>
      <c r="F1401" s="8">
        <v>45292.0</v>
      </c>
      <c r="G1401" s="6">
        <v>56.0</v>
      </c>
      <c r="H1401" s="9">
        <v>38.0</v>
      </c>
      <c r="I1401" s="10">
        <v>20.0</v>
      </c>
      <c r="J1401" s="11">
        <v>0.2</v>
      </c>
      <c r="K1401" s="9">
        <v>73.16</v>
      </c>
      <c r="L1401" s="7" t="s">
        <v>13</v>
      </c>
    </row>
    <row r="1402" ht="15.75" customHeight="1">
      <c r="A1402" s="6">
        <v>10781.0</v>
      </c>
      <c r="B1402" s="7" t="s">
        <v>31</v>
      </c>
      <c r="C1402" s="8">
        <v>45277.0</v>
      </c>
      <c r="D1402" s="8">
        <v>45305.0</v>
      </c>
      <c r="E1402" s="8">
        <v>45279.0</v>
      </c>
      <c r="F1402" s="8">
        <v>45292.0</v>
      </c>
      <c r="G1402" s="6">
        <v>74.0</v>
      </c>
      <c r="H1402" s="9">
        <v>10.0</v>
      </c>
      <c r="I1402" s="10">
        <v>35.0</v>
      </c>
      <c r="J1402" s="11">
        <v>0.0</v>
      </c>
      <c r="K1402" s="9">
        <v>73.16</v>
      </c>
      <c r="L1402" s="7" t="s">
        <v>13</v>
      </c>
    </row>
    <row r="1403" ht="15.75" customHeight="1">
      <c r="A1403" s="6">
        <v>10782.0</v>
      </c>
      <c r="B1403" s="7" t="s">
        <v>93</v>
      </c>
      <c r="C1403" s="8">
        <v>45277.0</v>
      </c>
      <c r="D1403" s="8">
        <v>45305.0</v>
      </c>
      <c r="E1403" s="8">
        <v>45282.0</v>
      </c>
      <c r="F1403" s="8">
        <v>45295.0</v>
      </c>
      <c r="G1403" s="6">
        <v>31.0</v>
      </c>
      <c r="H1403" s="9">
        <v>12.5</v>
      </c>
      <c r="I1403" s="10">
        <v>1.0</v>
      </c>
      <c r="J1403" s="11">
        <v>0.0</v>
      </c>
      <c r="K1403" s="9">
        <v>1.1</v>
      </c>
      <c r="L1403" s="7" t="s">
        <v>13</v>
      </c>
    </row>
    <row r="1404" ht="15.75" customHeight="1">
      <c r="A1404" s="6">
        <v>10783.0</v>
      </c>
      <c r="B1404" s="7" t="s">
        <v>16</v>
      </c>
      <c r="C1404" s="8">
        <v>45278.0</v>
      </c>
      <c r="D1404" s="8">
        <v>45306.0</v>
      </c>
      <c r="E1404" s="8">
        <v>45279.0</v>
      </c>
      <c r="F1404" s="8">
        <v>45296.0</v>
      </c>
      <c r="G1404" s="6">
        <v>31.0</v>
      </c>
      <c r="H1404" s="9">
        <v>12.5</v>
      </c>
      <c r="I1404" s="10">
        <v>10.0</v>
      </c>
      <c r="J1404" s="11">
        <v>0.0</v>
      </c>
      <c r="K1404" s="9">
        <v>124.98</v>
      </c>
      <c r="L1404" s="7" t="s">
        <v>17</v>
      </c>
    </row>
    <row r="1405" ht="15.75" customHeight="1">
      <c r="A1405" s="6">
        <v>10783.0</v>
      </c>
      <c r="B1405" s="7" t="s">
        <v>16</v>
      </c>
      <c r="C1405" s="8">
        <v>45278.0</v>
      </c>
      <c r="D1405" s="8">
        <v>45306.0</v>
      </c>
      <c r="E1405" s="8">
        <v>45279.0</v>
      </c>
      <c r="F1405" s="8">
        <v>45296.0</v>
      </c>
      <c r="G1405" s="6">
        <v>38.0</v>
      </c>
      <c r="H1405" s="9">
        <v>263.5</v>
      </c>
      <c r="I1405" s="10">
        <v>5.0</v>
      </c>
      <c r="J1405" s="11">
        <v>0.0</v>
      </c>
      <c r="K1405" s="9">
        <v>124.98</v>
      </c>
      <c r="L1405" s="7" t="s">
        <v>17</v>
      </c>
    </row>
    <row r="1406" ht="15.75" customHeight="1">
      <c r="A1406" s="6">
        <v>10784.0</v>
      </c>
      <c r="B1406" s="7" t="s">
        <v>37</v>
      </c>
      <c r="C1406" s="8">
        <v>45278.0</v>
      </c>
      <c r="D1406" s="8">
        <v>45306.0</v>
      </c>
      <c r="E1406" s="8">
        <v>45282.0</v>
      </c>
      <c r="F1406" s="8">
        <v>45292.0</v>
      </c>
      <c r="G1406" s="6">
        <v>36.0</v>
      </c>
      <c r="H1406" s="9">
        <v>19.0</v>
      </c>
      <c r="I1406" s="10">
        <v>30.0</v>
      </c>
      <c r="J1406" s="11">
        <v>0.0</v>
      </c>
      <c r="K1406" s="9">
        <v>70.09</v>
      </c>
      <c r="L1406" s="7" t="s">
        <v>13</v>
      </c>
    </row>
    <row r="1407" ht="15.75" customHeight="1">
      <c r="A1407" s="6">
        <v>10784.0</v>
      </c>
      <c r="B1407" s="7" t="s">
        <v>37</v>
      </c>
      <c r="C1407" s="8">
        <v>45278.0</v>
      </c>
      <c r="D1407" s="8">
        <v>45306.0</v>
      </c>
      <c r="E1407" s="8">
        <v>45282.0</v>
      </c>
      <c r="F1407" s="8">
        <v>45292.0</v>
      </c>
      <c r="G1407" s="6">
        <v>39.0</v>
      </c>
      <c r="H1407" s="9">
        <v>18.0</v>
      </c>
      <c r="I1407" s="10">
        <v>2.0</v>
      </c>
      <c r="J1407" s="11">
        <v>0.15</v>
      </c>
      <c r="K1407" s="9">
        <v>70.09</v>
      </c>
      <c r="L1407" s="7" t="s">
        <v>13</v>
      </c>
    </row>
    <row r="1408" ht="15.75" customHeight="1">
      <c r="A1408" s="6">
        <v>10784.0</v>
      </c>
      <c r="B1408" s="7" t="s">
        <v>37</v>
      </c>
      <c r="C1408" s="8">
        <v>45278.0</v>
      </c>
      <c r="D1408" s="8">
        <v>45306.0</v>
      </c>
      <c r="E1408" s="8">
        <v>45282.0</v>
      </c>
      <c r="F1408" s="8">
        <v>45292.0</v>
      </c>
      <c r="G1408" s="6">
        <v>72.0</v>
      </c>
      <c r="H1408" s="9">
        <v>34.8</v>
      </c>
      <c r="I1408" s="10">
        <v>30.0</v>
      </c>
      <c r="J1408" s="11">
        <v>0.15</v>
      </c>
      <c r="K1408" s="9">
        <v>70.09</v>
      </c>
      <c r="L1408" s="7" t="s">
        <v>13</v>
      </c>
    </row>
    <row r="1409" ht="15.75" customHeight="1">
      <c r="A1409" s="6">
        <v>10785.0</v>
      </c>
      <c r="B1409" s="7" t="s">
        <v>33</v>
      </c>
      <c r="C1409" s="8">
        <v>45278.0</v>
      </c>
      <c r="D1409" s="8">
        <v>45306.0</v>
      </c>
      <c r="E1409" s="8">
        <v>45284.0</v>
      </c>
      <c r="F1409" s="8">
        <v>45298.0</v>
      </c>
      <c r="G1409" s="6">
        <v>10.0</v>
      </c>
      <c r="H1409" s="9">
        <v>31.0</v>
      </c>
      <c r="I1409" s="10">
        <v>10.0</v>
      </c>
      <c r="J1409" s="11">
        <v>0.0</v>
      </c>
      <c r="K1409" s="9">
        <v>1.51</v>
      </c>
      <c r="L1409" s="7" t="s">
        <v>13</v>
      </c>
    </row>
    <row r="1410" ht="15.75" customHeight="1">
      <c r="A1410" s="6">
        <v>10785.0</v>
      </c>
      <c r="B1410" s="7" t="s">
        <v>33</v>
      </c>
      <c r="C1410" s="8">
        <v>45278.0</v>
      </c>
      <c r="D1410" s="8">
        <v>45306.0</v>
      </c>
      <c r="E1410" s="8">
        <v>45284.0</v>
      </c>
      <c r="F1410" s="8">
        <v>45298.0</v>
      </c>
      <c r="G1410" s="6">
        <v>75.0</v>
      </c>
      <c r="H1410" s="9">
        <v>7.75</v>
      </c>
      <c r="I1410" s="10">
        <v>10.0</v>
      </c>
      <c r="J1410" s="11">
        <v>0.0</v>
      </c>
      <c r="K1410" s="9">
        <v>1.51</v>
      </c>
      <c r="L1410" s="7" t="s">
        <v>13</v>
      </c>
    </row>
    <row r="1411" ht="15.75" customHeight="1">
      <c r="A1411" s="6">
        <v>10786.0</v>
      </c>
      <c r="B1411" s="7" t="s">
        <v>77</v>
      </c>
      <c r="C1411" s="8">
        <v>45279.0</v>
      </c>
      <c r="D1411" s="8">
        <v>45307.0</v>
      </c>
      <c r="E1411" s="8">
        <v>45283.0</v>
      </c>
      <c r="F1411" s="8">
        <v>45299.0</v>
      </c>
      <c r="G1411" s="6">
        <v>8.0</v>
      </c>
      <c r="H1411" s="9">
        <v>40.0</v>
      </c>
      <c r="I1411" s="10">
        <v>30.0</v>
      </c>
      <c r="J1411" s="11">
        <v>0.2</v>
      </c>
      <c r="K1411" s="9">
        <v>110.87</v>
      </c>
      <c r="L1411" s="7" t="s">
        <v>15</v>
      </c>
    </row>
    <row r="1412" ht="15.75" customHeight="1">
      <c r="A1412" s="6">
        <v>10786.0</v>
      </c>
      <c r="B1412" s="7" t="s">
        <v>77</v>
      </c>
      <c r="C1412" s="8">
        <v>45279.0</v>
      </c>
      <c r="D1412" s="8">
        <v>45307.0</v>
      </c>
      <c r="E1412" s="8">
        <v>45283.0</v>
      </c>
      <c r="F1412" s="8">
        <v>45299.0</v>
      </c>
      <c r="G1412" s="6">
        <v>30.0</v>
      </c>
      <c r="H1412" s="9">
        <v>25.89</v>
      </c>
      <c r="I1412" s="10">
        <v>15.0</v>
      </c>
      <c r="J1412" s="11">
        <v>0.2</v>
      </c>
      <c r="K1412" s="9">
        <v>110.87</v>
      </c>
      <c r="L1412" s="7" t="s">
        <v>15</v>
      </c>
    </row>
    <row r="1413" ht="15.75" customHeight="1">
      <c r="A1413" s="6">
        <v>10786.0</v>
      </c>
      <c r="B1413" s="7" t="s">
        <v>77</v>
      </c>
      <c r="C1413" s="8">
        <v>45279.0</v>
      </c>
      <c r="D1413" s="8">
        <v>45307.0</v>
      </c>
      <c r="E1413" s="8">
        <v>45283.0</v>
      </c>
      <c r="F1413" s="8">
        <v>45299.0</v>
      </c>
      <c r="G1413" s="6">
        <v>75.0</v>
      </c>
      <c r="H1413" s="9">
        <v>7.75</v>
      </c>
      <c r="I1413" s="10">
        <v>42.0</v>
      </c>
      <c r="J1413" s="11">
        <v>0.2</v>
      </c>
      <c r="K1413" s="9">
        <v>110.87</v>
      </c>
      <c r="L1413" s="7" t="s">
        <v>15</v>
      </c>
    </row>
    <row r="1414" ht="15.75" customHeight="1">
      <c r="A1414" s="6">
        <v>10787.0</v>
      </c>
      <c r="B1414" s="7" t="s">
        <v>68</v>
      </c>
      <c r="C1414" s="8">
        <v>45279.0</v>
      </c>
      <c r="D1414" s="8">
        <v>45293.0</v>
      </c>
      <c r="E1414" s="8">
        <v>45286.0</v>
      </c>
      <c r="F1414" s="8">
        <v>45292.0</v>
      </c>
      <c r="G1414" s="6">
        <v>2.0</v>
      </c>
      <c r="H1414" s="9">
        <v>19.0</v>
      </c>
      <c r="I1414" s="10">
        <v>15.0</v>
      </c>
      <c r="J1414" s="11">
        <v>0.05</v>
      </c>
      <c r="K1414" s="9">
        <v>249.93</v>
      </c>
      <c r="L1414" s="7" t="s">
        <v>15</v>
      </c>
    </row>
    <row r="1415" ht="15.75" customHeight="1">
      <c r="A1415" s="6">
        <v>10787.0</v>
      </c>
      <c r="B1415" s="7" t="s">
        <v>68</v>
      </c>
      <c r="C1415" s="8">
        <v>45279.0</v>
      </c>
      <c r="D1415" s="8">
        <v>45293.0</v>
      </c>
      <c r="E1415" s="8">
        <v>45286.0</v>
      </c>
      <c r="F1415" s="8">
        <v>45292.0</v>
      </c>
      <c r="G1415" s="6">
        <v>29.0</v>
      </c>
      <c r="H1415" s="9">
        <v>123.79</v>
      </c>
      <c r="I1415" s="10">
        <v>20.0</v>
      </c>
      <c r="J1415" s="11">
        <v>0.05</v>
      </c>
      <c r="K1415" s="9">
        <v>249.93</v>
      </c>
      <c r="L1415" s="7" t="s">
        <v>15</v>
      </c>
    </row>
    <row r="1416" ht="15.75" customHeight="1">
      <c r="A1416" s="6">
        <v>10788.0</v>
      </c>
      <c r="B1416" s="7" t="s">
        <v>36</v>
      </c>
      <c r="C1416" s="8">
        <v>45282.0</v>
      </c>
      <c r="D1416" s="8">
        <v>45310.0</v>
      </c>
      <c r="E1416" s="8">
        <v>45310.0</v>
      </c>
      <c r="F1416" s="8">
        <v>45319.0</v>
      </c>
      <c r="G1416" s="6">
        <v>19.0</v>
      </c>
      <c r="H1416" s="9">
        <v>9.2</v>
      </c>
      <c r="I1416" s="10">
        <v>50.0</v>
      </c>
      <c r="J1416" s="11">
        <v>0.05</v>
      </c>
      <c r="K1416" s="9">
        <v>42.7</v>
      </c>
      <c r="L1416" s="7" t="s">
        <v>17</v>
      </c>
    </row>
    <row r="1417" ht="15.75" customHeight="1">
      <c r="A1417" s="6">
        <v>10788.0</v>
      </c>
      <c r="B1417" s="7" t="s">
        <v>36</v>
      </c>
      <c r="C1417" s="8">
        <v>45282.0</v>
      </c>
      <c r="D1417" s="8">
        <v>45310.0</v>
      </c>
      <c r="E1417" s="8">
        <v>45310.0</v>
      </c>
      <c r="F1417" s="8">
        <v>45319.0</v>
      </c>
      <c r="G1417" s="6">
        <v>75.0</v>
      </c>
      <c r="H1417" s="9">
        <v>7.75</v>
      </c>
      <c r="I1417" s="10">
        <v>40.0</v>
      </c>
      <c r="J1417" s="11">
        <v>0.05</v>
      </c>
      <c r="K1417" s="9">
        <v>42.7</v>
      </c>
      <c r="L1417" s="7" t="s">
        <v>17</v>
      </c>
    </row>
    <row r="1418" ht="15.75" customHeight="1">
      <c r="A1418" s="6">
        <v>10789.0</v>
      </c>
      <c r="B1418" s="7" t="s">
        <v>83</v>
      </c>
      <c r="C1418" s="8">
        <v>45282.0</v>
      </c>
      <c r="D1418" s="8">
        <v>45310.0</v>
      </c>
      <c r="E1418" s="8">
        <v>45291.0</v>
      </c>
      <c r="F1418" s="8">
        <v>45298.0</v>
      </c>
      <c r="G1418" s="6">
        <v>18.0</v>
      </c>
      <c r="H1418" s="9">
        <v>62.5</v>
      </c>
      <c r="I1418" s="10">
        <v>30.0</v>
      </c>
      <c r="J1418" s="11">
        <v>0.0</v>
      </c>
      <c r="K1418" s="9">
        <v>100.6</v>
      </c>
      <c r="L1418" s="7" t="s">
        <v>17</v>
      </c>
    </row>
    <row r="1419" ht="15.75" customHeight="1">
      <c r="A1419" s="6">
        <v>10789.0</v>
      </c>
      <c r="B1419" s="7" t="s">
        <v>83</v>
      </c>
      <c r="C1419" s="8">
        <v>45282.0</v>
      </c>
      <c r="D1419" s="8">
        <v>45310.0</v>
      </c>
      <c r="E1419" s="8">
        <v>45291.0</v>
      </c>
      <c r="F1419" s="8">
        <v>45298.0</v>
      </c>
      <c r="G1419" s="6">
        <v>35.0</v>
      </c>
      <c r="H1419" s="9">
        <v>18.0</v>
      </c>
      <c r="I1419" s="10">
        <v>15.0</v>
      </c>
      <c r="J1419" s="11">
        <v>0.0</v>
      </c>
      <c r="K1419" s="9">
        <v>100.6</v>
      </c>
      <c r="L1419" s="7" t="s">
        <v>17</v>
      </c>
    </row>
    <row r="1420" ht="15.75" customHeight="1">
      <c r="A1420" s="6">
        <v>10789.0</v>
      </c>
      <c r="B1420" s="7" t="s">
        <v>83</v>
      </c>
      <c r="C1420" s="8">
        <v>45282.0</v>
      </c>
      <c r="D1420" s="8">
        <v>45310.0</v>
      </c>
      <c r="E1420" s="8">
        <v>45291.0</v>
      </c>
      <c r="F1420" s="8">
        <v>45298.0</v>
      </c>
      <c r="G1420" s="6">
        <v>63.0</v>
      </c>
      <c r="H1420" s="9">
        <v>43.9</v>
      </c>
      <c r="I1420" s="10">
        <v>30.0</v>
      </c>
      <c r="J1420" s="11">
        <v>0.0</v>
      </c>
      <c r="K1420" s="9">
        <v>100.6</v>
      </c>
      <c r="L1420" s="7" t="s">
        <v>17</v>
      </c>
    </row>
    <row r="1421" ht="15.75" customHeight="1">
      <c r="A1421" s="6">
        <v>10789.0</v>
      </c>
      <c r="B1421" s="7" t="s">
        <v>83</v>
      </c>
      <c r="C1421" s="8">
        <v>45282.0</v>
      </c>
      <c r="D1421" s="8">
        <v>45310.0</v>
      </c>
      <c r="E1421" s="8">
        <v>45291.0</v>
      </c>
      <c r="F1421" s="8">
        <v>45298.0</v>
      </c>
      <c r="G1421" s="6">
        <v>68.0</v>
      </c>
      <c r="H1421" s="9">
        <v>12.5</v>
      </c>
      <c r="I1421" s="10">
        <v>18.0</v>
      </c>
      <c r="J1421" s="11">
        <v>0.0</v>
      </c>
      <c r="K1421" s="9">
        <v>100.6</v>
      </c>
      <c r="L1421" s="7" t="s">
        <v>17</v>
      </c>
    </row>
    <row r="1422" ht="15.75" customHeight="1">
      <c r="A1422" s="6">
        <v>10790.0</v>
      </c>
      <c r="B1422" s="7" t="s">
        <v>86</v>
      </c>
      <c r="C1422" s="8">
        <v>45282.0</v>
      </c>
      <c r="D1422" s="8">
        <v>45310.0</v>
      </c>
      <c r="E1422" s="8">
        <v>45286.0</v>
      </c>
      <c r="F1422" s="8">
        <v>45303.0</v>
      </c>
      <c r="G1422" s="6">
        <v>7.0</v>
      </c>
      <c r="H1422" s="9">
        <v>30.0</v>
      </c>
      <c r="I1422" s="10">
        <v>3.0</v>
      </c>
      <c r="J1422" s="11">
        <v>0.15</v>
      </c>
      <c r="K1422" s="9">
        <v>28.23</v>
      </c>
      <c r="L1422" s="7" t="s">
        <v>15</v>
      </c>
    </row>
    <row r="1423" ht="15.75" customHeight="1">
      <c r="A1423" s="6">
        <v>10790.0</v>
      </c>
      <c r="B1423" s="7" t="s">
        <v>86</v>
      </c>
      <c r="C1423" s="8">
        <v>45282.0</v>
      </c>
      <c r="D1423" s="8">
        <v>45310.0</v>
      </c>
      <c r="E1423" s="8">
        <v>45286.0</v>
      </c>
      <c r="F1423" s="8">
        <v>45303.0</v>
      </c>
      <c r="G1423" s="6">
        <v>56.0</v>
      </c>
      <c r="H1423" s="9">
        <v>38.0</v>
      </c>
      <c r="I1423" s="10">
        <v>20.0</v>
      </c>
      <c r="J1423" s="11">
        <v>0.15</v>
      </c>
      <c r="K1423" s="9">
        <v>28.23</v>
      </c>
      <c r="L1423" s="7" t="s">
        <v>15</v>
      </c>
    </row>
    <row r="1424" ht="15.75" customHeight="1">
      <c r="A1424" s="6">
        <v>10791.0</v>
      </c>
      <c r="B1424" s="7" t="s">
        <v>32</v>
      </c>
      <c r="C1424" s="8">
        <v>45283.0</v>
      </c>
      <c r="D1424" s="8">
        <v>45311.0</v>
      </c>
      <c r="E1424" s="8">
        <v>45292.0</v>
      </c>
      <c r="F1424" s="8">
        <v>45301.0</v>
      </c>
      <c r="G1424" s="6">
        <v>29.0</v>
      </c>
      <c r="H1424" s="9">
        <v>123.79</v>
      </c>
      <c r="I1424" s="10">
        <v>14.0</v>
      </c>
      <c r="J1424" s="11">
        <v>0.05</v>
      </c>
      <c r="K1424" s="9">
        <v>16.85</v>
      </c>
      <c r="L1424" s="7" t="s">
        <v>17</v>
      </c>
    </row>
    <row r="1425" ht="15.75" customHeight="1">
      <c r="A1425" s="6">
        <v>10791.0</v>
      </c>
      <c r="B1425" s="7" t="s">
        <v>32</v>
      </c>
      <c r="C1425" s="8">
        <v>45283.0</v>
      </c>
      <c r="D1425" s="8">
        <v>45311.0</v>
      </c>
      <c r="E1425" s="8">
        <v>45292.0</v>
      </c>
      <c r="F1425" s="8">
        <v>45301.0</v>
      </c>
      <c r="G1425" s="6">
        <v>41.0</v>
      </c>
      <c r="H1425" s="9">
        <v>9.65</v>
      </c>
      <c r="I1425" s="10">
        <v>20.0</v>
      </c>
      <c r="J1425" s="11">
        <v>0.05</v>
      </c>
      <c r="K1425" s="9">
        <v>16.85</v>
      </c>
      <c r="L1425" s="7" t="s">
        <v>17</v>
      </c>
    </row>
    <row r="1426" ht="15.75" customHeight="1">
      <c r="A1426" s="6">
        <v>10792.0</v>
      </c>
      <c r="B1426" s="7" t="s">
        <v>78</v>
      </c>
      <c r="C1426" s="8">
        <v>45283.0</v>
      </c>
      <c r="D1426" s="8">
        <v>45311.0</v>
      </c>
      <c r="E1426" s="8">
        <v>45291.0</v>
      </c>
      <c r="F1426" s="8">
        <v>45301.0</v>
      </c>
      <c r="G1426" s="6">
        <v>2.0</v>
      </c>
      <c r="H1426" s="9">
        <v>19.0</v>
      </c>
      <c r="I1426" s="10">
        <v>10.0</v>
      </c>
      <c r="J1426" s="11">
        <v>0.0</v>
      </c>
      <c r="K1426" s="9">
        <v>23.79</v>
      </c>
      <c r="L1426" s="7" t="s">
        <v>13</v>
      </c>
    </row>
    <row r="1427" ht="15.75" customHeight="1">
      <c r="A1427" s="6">
        <v>10792.0</v>
      </c>
      <c r="B1427" s="7" t="s">
        <v>78</v>
      </c>
      <c r="C1427" s="8">
        <v>45283.0</v>
      </c>
      <c r="D1427" s="8">
        <v>45311.0</v>
      </c>
      <c r="E1427" s="8">
        <v>45291.0</v>
      </c>
      <c r="F1427" s="8">
        <v>45301.0</v>
      </c>
      <c r="G1427" s="6">
        <v>54.0</v>
      </c>
      <c r="H1427" s="9">
        <v>7.45</v>
      </c>
      <c r="I1427" s="10">
        <v>3.0</v>
      </c>
      <c r="J1427" s="11">
        <v>0.0</v>
      </c>
      <c r="K1427" s="9">
        <v>23.79</v>
      </c>
      <c r="L1427" s="7" t="s">
        <v>13</v>
      </c>
    </row>
    <row r="1428" ht="15.75" customHeight="1">
      <c r="A1428" s="6">
        <v>10792.0</v>
      </c>
      <c r="B1428" s="7" t="s">
        <v>78</v>
      </c>
      <c r="C1428" s="8">
        <v>45283.0</v>
      </c>
      <c r="D1428" s="8">
        <v>45311.0</v>
      </c>
      <c r="E1428" s="8">
        <v>45291.0</v>
      </c>
      <c r="F1428" s="8">
        <v>45301.0</v>
      </c>
      <c r="G1428" s="6">
        <v>68.0</v>
      </c>
      <c r="H1428" s="9">
        <v>12.5</v>
      </c>
      <c r="I1428" s="10">
        <v>15.0</v>
      </c>
      <c r="J1428" s="11">
        <v>0.0</v>
      </c>
      <c r="K1428" s="9">
        <v>23.79</v>
      </c>
      <c r="L1428" s="7" t="s">
        <v>13</v>
      </c>
    </row>
    <row r="1429" ht="15.75" customHeight="1">
      <c r="A1429" s="6">
        <v>10793.0</v>
      </c>
      <c r="B1429" s="7" t="s">
        <v>70</v>
      </c>
      <c r="C1429" s="8">
        <v>45284.0</v>
      </c>
      <c r="D1429" s="8">
        <v>45312.0</v>
      </c>
      <c r="E1429" s="8">
        <v>45299.0</v>
      </c>
      <c r="F1429" s="8">
        <v>45306.0</v>
      </c>
      <c r="G1429" s="6">
        <v>41.0</v>
      </c>
      <c r="H1429" s="9">
        <v>9.65</v>
      </c>
      <c r="I1429" s="10">
        <v>14.0</v>
      </c>
      <c r="J1429" s="11">
        <v>0.0</v>
      </c>
      <c r="K1429" s="9">
        <v>4.52</v>
      </c>
      <c r="L1429" s="7" t="s">
        <v>13</v>
      </c>
    </row>
    <row r="1430" ht="15.75" customHeight="1">
      <c r="A1430" s="6">
        <v>10793.0</v>
      </c>
      <c r="B1430" s="7" t="s">
        <v>70</v>
      </c>
      <c r="C1430" s="8">
        <v>45284.0</v>
      </c>
      <c r="D1430" s="8">
        <v>45312.0</v>
      </c>
      <c r="E1430" s="8">
        <v>45299.0</v>
      </c>
      <c r="F1430" s="8">
        <v>45306.0</v>
      </c>
      <c r="G1430" s="6">
        <v>52.0</v>
      </c>
      <c r="H1430" s="9">
        <v>7.0</v>
      </c>
      <c r="I1430" s="10">
        <v>8.0</v>
      </c>
      <c r="J1430" s="11">
        <v>0.0</v>
      </c>
      <c r="K1430" s="9">
        <v>4.52</v>
      </c>
      <c r="L1430" s="7" t="s">
        <v>13</v>
      </c>
    </row>
    <row r="1431" ht="15.75" customHeight="1">
      <c r="A1431" s="6">
        <v>10794.0</v>
      </c>
      <c r="B1431" s="7" t="s">
        <v>27</v>
      </c>
      <c r="C1431" s="8">
        <v>45284.0</v>
      </c>
      <c r="D1431" s="8">
        <v>45312.0</v>
      </c>
      <c r="E1431" s="8">
        <v>45293.0</v>
      </c>
      <c r="F1431" s="8">
        <v>45306.0</v>
      </c>
      <c r="G1431" s="6">
        <v>14.0</v>
      </c>
      <c r="H1431" s="9">
        <v>23.25</v>
      </c>
      <c r="I1431" s="10">
        <v>15.0</v>
      </c>
      <c r="J1431" s="11">
        <v>0.2</v>
      </c>
      <c r="K1431" s="9">
        <v>21.49</v>
      </c>
      <c r="L1431" s="7" t="s">
        <v>15</v>
      </c>
    </row>
    <row r="1432" ht="15.75" customHeight="1">
      <c r="A1432" s="6">
        <v>10794.0</v>
      </c>
      <c r="B1432" s="7" t="s">
        <v>27</v>
      </c>
      <c r="C1432" s="8">
        <v>45284.0</v>
      </c>
      <c r="D1432" s="8">
        <v>45312.0</v>
      </c>
      <c r="E1432" s="8">
        <v>45293.0</v>
      </c>
      <c r="F1432" s="8">
        <v>45306.0</v>
      </c>
      <c r="G1432" s="6">
        <v>54.0</v>
      </c>
      <c r="H1432" s="9">
        <v>7.45</v>
      </c>
      <c r="I1432" s="10">
        <v>6.0</v>
      </c>
      <c r="J1432" s="11">
        <v>0.2</v>
      </c>
      <c r="K1432" s="9">
        <v>21.49</v>
      </c>
      <c r="L1432" s="7" t="s">
        <v>15</v>
      </c>
    </row>
    <row r="1433" ht="15.75" customHeight="1">
      <c r="A1433" s="6">
        <v>10795.0</v>
      </c>
      <c r="B1433" s="7" t="s">
        <v>24</v>
      </c>
      <c r="C1433" s="8">
        <v>45284.0</v>
      </c>
      <c r="D1433" s="8">
        <v>45312.0</v>
      </c>
      <c r="E1433" s="8">
        <v>45311.0</v>
      </c>
      <c r="F1433" s="8">
        <v>45325.0</v>
      </c>
      <c r="G1433" s="6">
        <v>16.0</v>
      </c>
      <c r="H1433" s="9">
        <v>17.45</v>
      </c>
      <c r="I1433" s="10">
        <v>65.0</v>
      </c>
      <c r="J1433" s="11">
        <v>0.0</v>
      </c>
      <c r="K1433" s="9">
        <v>126.66</v>
      </c>
      <c r="L1433" s="7" t="s">
        <v>17</v>
      </c>
    </row>
    <row r="1434" ht="15.75" customHeight="1">
      <c r="A1434" s="6">
        <v>10795.0</v>
      </c>
      <c r="B1434" s="7" t="s">
        <v>24</v>
      </c>
      <c r="C1434" s="8">
        <v>45284.0</v>
      </c>
      <c r="D1434" s="8">
        <v>45312.0</v>
      </c>
      <c r="E1434" s="8">
        <v>45311.0</v>
      </c>
      <c r="F1434" s="8">
        <v>45325.0</v>
      </c>
      <c r="G1434" s="6">
        <v>17.0</v>
      </c>
      <c r="H1434" s="9">
        <v>39.0</v>
      </c>
      <c r="I1434" s="10">
        <v>35.0</v>
      </c>
      <c r="J1434" s="11">
        <v>0.25</v>
      </c>
      <c r="K1434" s="9">
        <v>126.66</v>
      </c>
      <c r="L1434" s="7" t="s">
        <v>17</v>
      </c>
    </row>
    <row r="1435" ht="15.75" customHeight="1">
      <c r="A1435" s="6">
        <v>10796.0</v>
      </c>
      <c r="B1435" s="7" t="s">
        <v>23</v>
      </c>
      <c r="C1435" s="8">
        <v>45285.0</v>
      </c>
      <c r="D1435" s="8">
        <v>45313.0</v>
      </c>
      <c r="E1435" s="8">
        <v>45305.0</v>
      </c>
      <c r="F1435" s="8">
        <v>45316.0</v>
      </c>
      <c r="G1435" s="6">
        <v>26.0</v>
      </c>
      <c r="H1435" s="9">
        <v>31.23</v>
      </c>
      <c r="I1435" s="10">
        <v>21.0</v>
      </c>
      <c r="J1435" s="11">
        <v>0.2</v>
      </c>
      <c r="K1435" s="9">
        <v>26.52</v>
      </c>
      <c r="L1435" s="7" t="s">
        <v>15</v>
      </c>
    </row>
    <row r="1436" ht="15.75" customHeight="1">
      <c r="A1436" s="6">
        <v>10796.0</v>
      </c>
      <c r="B1436" s="7" t="s">
        <v>23</v>
      </c>
      <c r="C1436" s="8">
        <v>45285.0</v>
      </c>
      <c r="D1436" s="8">
        <v>45313.0</v>
      </c>
      <c r="E1436" s="8">
        <v>45305.0</v>
      </c>
      <c r="F1436" s="8">
        <v>45316.0</v>
      </c>
      <c r="G1436" s="6">
        <v>44.0</v>
      </c>
      <c r="H1436" s="9">
        <v>19.45</v>
      </c>
      <c r="I1436" s="10">
        <v>10.0</v>
      </c>
      <c r="J1436" s="11">
        <v>0.0</v>
      </c>
      <c r="K1436" s="9">
        <v>26.52</v>
      </c>
      <c r="L1436" s="7" t="s">
        <v>15</v>
      </c>
    </row>
    <row r="1437" ht="15.75" customHeight="1">
      <c r="A1437" s="6">
        <v>10796.0</v>
      </c>
      <c r="B1437" s="7" t="s">
        <v>23</v>
      </c>
      <c r="C1437" s="8">
        <v>45285.0</v>
      </c>
      <c r="D1437" s="8">
        <v>45313.0</v>
      </c>
      <c r="E1437" s="8">
        <v>45305.0</v>
      </c>
      <c r="F1437" s="8">
        <v>45316.0</v>
      </c>
      <c r="G1437" s="6">
        <v>64.0</v>
      </c>
      <c r="H1437" s="9">
        <v>33.25</v>
      </c>
      <c r="I1437" s="10">
        <v>35.0</v>
      </c>
      <c r="J1437" s="11">
        <v>0.2</v>
      </c>
      <c r="K1437" s="9">
        <v>26.52</v>
      </c>
      <c r="L1437" s="7" t="s">
        <v>15</v>
      </c>
    </row>
    <row r="1438" ht="15.75" customHeight="1">
      <c r="A1438" s="6">
        <v>10796.0</v>
      </c>
      <c r="B1438" s="7" t="s">
        <v>23</v>
      </c>
      <c r="C1438" s="8">
        <v>45285.0</v>
      </c>
      <c r="D1438" s="8">
        <v>45313.0</v>
      </c>
      <c r="E1438" s="8">
        <v>45305.0</v>
      </c>
      <c r="F1438" s="8">
        <v>45316.0</v>
      </c>
      <c r="G1438" s="6">
        <v>69.0</v>
      </c>
      <c r="H1438" s="9">
        <v>36.0</v>
      </c>
      <c r="I1438" s="10">
        <v>24.0</v>
      </c>
      <c r="J1438" s="11">
        <v>0.2</v>
      </c>
      <c r="K1438" s="9">
        <v>26.52</v>
      </c>
      <c r="L1438" s="7" t="s">
        <v>15</v>
      </c>
    </row>
    <row r="1439" ht="15.75" customHeight="1">
      <c r="A1439" s="6">
        <v>10797.0</v>
      </c>
      <c r="B1439" s="7" t="s">
        <v>72</v>
      </c>
      <c r="C1439" s="8">
        <v>45285.0</v>
      </c>
      <c r="D1439" s="8">
        <v>45313.0</v>
      </c>
      <c r="E1439" s="8">
        <v>45296.0</v>
      </c>
      <c r="F1439" s="8">
        <v>45302.0</v>
      </c>
      <c r="G1439" s="6">
        <v>11.0</v>
      </c>
      <c r="H1439" s="9">
        <v>21.0</v>
      </c>
      <c r="I1439" s="10">
        <v>20.0</v>
      </c>
      <c r="J1439" s="11">
        <v>0.0</v>
      </c>
      <c r="K1439" s="9">
        <v>33.35</v>
      </c>
      <c r="L1439" s="7" t="s">
        <v>17</v>
      </c>
    </row>
    <row r="1440" ht="15.75" customHeight="1">
      <c r="A1440" s="6">
        <v>10798.0</v>
      </c>
      <c r="B1440" s="7" t="s">
        <v>57</v>
      </c>
      <c r="C1440" s="8">
        <v>45286.0</v>
      </c>
      <c r="D1440" s="8">
        <v>45314.0</v>
      </c>
      <c r="E1440" s="8">
        <v>45296.0</v>
      </c>
      <c r="F1440" s="8">
        <v>45301.0</v>
      </c>
      <c r="G1440" s="6">
        <v>62.0</v>
      </c>
      <c r="H1440" s="9">
        <v>49.3</v>
      </c>
      <c r="I1440" s="10">
        <v>2.0</v>
      </c>
      <c r="J1440" s="11">
        <v>0.0</v>
      </c>
      <c r="K1440" s="9">
        <v>2.33</v>
      </c>
      <c r="L1440" s="7" t="s">
        <v>15</v>
      </c>
    </row>
    <row r="1441" ht="15.75" customHeight="1">
      <c r="A1441" s="6">
        <v>10798.0</v>
      </c>
      <c r="B1441" s="7" t="s">
        <v>57</v>
      </c>
      <c r="C1441" s="8">
        <v>45286.0</v>
      </c>
      <c r="D1441" s="8">
        <v>45314.0</v>
      </c>
      <c r="E1441" s="8">
        <v>45296.0</v>
      </c>
      <c r="F1441" s="8">
        <v>45301.0</v>
      </c>
      <c r="G1441" s="6">
        <v>72.0</v>
      </c>
      <c r="H1441" s="9">
        <v>34.8</v>
      </c>
      <c r="I1441" s="10">
        <v>10.0</v>
      </c>
      <c r="J1441" s="11">
        <v>0.0</v>
      </c>
      <c r="K1441" s="9">
        <v>2.33</v>
      </c>
      <c r="L1441" s="7" t="s">
        <v>15</v>
      </c>
    </row>
    <row r="1442" ht="15.75" customHeight="1">
      <c r="A1442" s="6">
        <v>10799.0</v>
      </c>
      <c r="B1442" s="7" t="s">
        <v>59</v>
      </c>
      <c r="C1442" s="8">
        <v>45286.0</v>
      </c>
      <c r="D1442" s="8">
        <v>45328.0</v>
      </c>
      <c r="E1442" s="8">
        <v>45296.0</v>
      </c>
      <c r="F1442" s="8">
        <v>45300.0</v>
      </c>
      <c r="G1442" s="6">
        <v>13.0</v>
      </c>
      <c r="H1442" s="9">
        <v>6.0</v>
      </c>
      <c r="I1442" s="10">
        <v>20.0</v>
      </c>
      <c r="J1442" s="11">
        <v>0.15</v>
      </c>
      <c r="K1442" s="9">
        <v>30.76</v>
      </c>
      <c r="L1442" s="7" t="s">
        <v>13</v>
      </c>
    </row>
    <row r="1443" ht="15.75" customHeight="1">
      <c r="A1443" s="6">
        <v>10799.0</v>
      </c>
      <c r="B1443" s="7" t="s">
        <v>59</v>
      </c>
      <c r="C1443" s="8">
        <v>45286.0</v>
      </c>
      <c r="D1443" s="8">
        <v>45328.0</v>
      </c>
      <c r="E1443" s="8">
        <v>45296.0</v>
      </c>
      <c r="F1443" s="8">
        <v>45300.0</v>
      </c>
      <c r="G1443" s="6">
        <v>24.0</v>
      </c>
      <c r="H1443" s="9">
        <v>4.5</v>
      </c>
      <c r="I1443" s="10">
        <v>20.0</v>
      </c>
      <c r="J1443" s="11">
        <v>0.15</v>
      </c>
      <c r="K1443" s="9">
        <v>30.76</v>
      </c>
      <c r="L1443" s="7" t="s">
        <v>13</v>
      </c>
    </row>
    <row r="1444" ht="15.75" customHeight="1">
      <c r="A1444" s="6">
        <v>10799.0</v>
      </c>
      <c r="B1444" s="7" t="s">
        <v>59</v>
      </c>
      <c r="C1444" s="8">
        <v>45286.0</v>
      </c>
      <c r="D1444" s="8">
        <v>45328.0</v>
      </c>
      <c r="E1444" s="8">
        <v>45296.0</v>
      </c>
      <c r="F1444" s="8">
        <v>45300.0</v>
      </c>
      <c r="G1444" s="6">
        <v>59.0</v>
      </c>
      <c r="H1444" s="9">
        <v>55.0</v>
      </c>
      <c r="I1444" s="10">
        <v>25.0</v>
      </c>
      <c r="J1444" s="11">
        <v>0.0</v>
      </c>
      <c r="K1444" s="9">
        <v>30.76</v>
      </c>
      <c r="L1444" s="7" t="s">
        <v>13</v>
      </c>
    </row>
    <row r="1445" ht="15.75" customHeight="1">
      <c r="A1445" s="6">
        <v>10800.0</v>
      </c>
      <c r="B1445" s="7" t="s">
        <v>71</v>
      </c>
      <c r="C1445" s="8">
        <v>45286.0</v>
      </c>
      <c r="D1445" s="8">
        <v>45314.0</v>
      </c>
      <c r="E1445" s="8">
        <v>45296.0</v>
      </c>
      <c r="F1445" s="8">
        <v>45303.0</v>
      </c>
      <c r="G1445" s="6">
        <v>11.0</v>
      </c>
      <c r="H1445" s="9">
        <v>21.0</v>
      </c>
      <c r="I1445" s="10">
        <v>50.0</v>
      </c>
      <c r="J1445" s="11">
        <v>0.1</v>
      </c>
      <c r="K1445" s="9">
        <v>137.44</v>
      </c>
      <c r="L1445" s="7" t="s">
        <v>13</v>
      </c>
    </row>
    <row r="1446" ht="15.75" customHeight="1">
      <c r="A1446" s="6">
        <v>10800.0</v>
      </c>
      <c r="B1446" s="7" t="s">
        <v>71</v>
      </c>
      <c r="C1446" s="8">
        <v>45286.0</v>
      </c>
      <c r="D1446" s="8">
        <v>45314.0</v>
      </c>
      <c r="E1446" s="8">
        <v>45296.0</v>
      </c>
      <c r="F1446" s="8">
        <v>45303.0</v>
      </c>
      <c r="G1446" s="6">
        <v>51.0</v>
      </c>
      <c r="H1446" s="9">
        <v>53.0</v>
      </c>
      <c r="I1446" s="10">
        <v>10.0</v>
      </c>
      <c r="J1446" s="11">
        <v>0.1</v>
      </c>
      <c r="K1446" s="9">
        <v>137.44</v>
      </c>
      <c r="L1446" s="7" t="s">
        <v>13</v>
      </c>
    </row>
    <row r="1447" ht="15.75" customHeight="1">
      <c r="A1447" s="6">
        <v>10800.0</v>
      </c>
      <c r="B1447" s="7" t="s">
        <v>71</v>
      </c>
      <c r="C1447" s="8">
        <v>45286.0</v>
      </c>
      <c r="D1447" s="8">
        <v>45314.0</v>
      </c>
      <c r="E1447" s="8">
        <v>45296.0</v>
      </c>
      <c r="F1447" s="8">
        <v>45303.0</v>
      </c>
      <c r="G1447" s="6">
        <v>54.0</v>
      </c>
      <c r="H1447" s="9">
        <v>7.45</v>
      </c>
      <c r="I1447" s="10">
        <v>7.0</v>
      </c>
      <c r="J1447" s="11">
        <v>0.1</v>
      </c>
      <c r="K1447" s="9">
        <v>137.44</v>
      </c>
      <c r="L1447" s="7" t="s">
        <v>13</v>
      </c>
    </row>
    <row r="1448" ht="15.75" customHeight="1">
      <c r="A1448" s="6">
        <v>10801.0</v>
      </c>
      <c r="B1448" s="7" t="s">
        <v>61</v>
      </c>
      <c r="C1448" s="8">
        <v>45289.0</v>
      </c>
      <c r="D1448" s="8">
        <v>45317.0</v>
      </c>
      <c r="E1448" s="8">
        <v>45291.0</v>
      </c>
      <c r="F1448" s="8">
        <v>45303.0</v>
      </c>
      <c r="G1448" s="6">
        <v>17.0</v>
      </c>
      <c r="H1448" s="9">
        <v>39.0</v>
      </c>
      <c r="I1448" s="10">
        <v>40.0</v>
      </c>
      <c r="J1448" s="11">
        <v>0.25</v>
      </c>
      <c r="K1448" s="9">
        <v>97.09</v>
      </c>
      <c r="L1448" s="7" t="s">
        <v>17</v>
      </c>
    </row>
    <row r="1449" ht="15.75" customHeight="1">
      <c r="A1449" s="6">
        <v>10801.0</v>
      </c>
      <c r="B1449" s="7" t="s">
        <v>61</v>
      </c>
      <c r="C1449" s="8">
        <v>45289.0</v>
      </c>
      <c r="D1449" s="8">
        <v>45317.0</v>
      </c>
      <c r="E1449" s="8">
        <v>45291.0</v>
      </c>
      <c r="F1449" s="8">
        <v>45303.0</v>
      </c>
      <c r="G1449" s="6">
        <v>29.0</v>
      </c>
      <c r="H1449" s="9">
        <v>123.79</v>
      </c>
      <c r="I1449" s="10">
        <v>20.0</v>
      </c>
      <c r="J1449" s="11">
        <v>0.25</v>
      </c>
      <c r="K1449" s="9">
        <v>97.09</v>
      </c>
      <c r="L1449" s="7" t="s">
        <v>17</v>
      </c>
    </row>
    <row r="1450" ht="15.75" customHeight="1">
      <c r="A1450" s="6">
        <v>10802.0</v>
      </c>
      <c r="B1450" s="7" t="s">
        <v>66</v>
      </c>
      <c r="C1450" s="8">
        <v>45289.0</v>
      </c>
      <c r="D1450" s="8">
        <v>45317.0</v>
      </c>
      <c r="E1450" s="8">
        <v>45293.0</v>
      </c>
      <c r="F1450" s="8">
        <v>45306.0</v>
      </c>
      <c r="G1450" s="6">
        <v>30.0</v>
      </c>
      <c r="H1450" s="9">
        <v>25.89</v>
      </c>
      <c r="I1450" s="10">
        <v>25.0</v>
      </c>
      <c r="J1450" s="11">
        <v>0.25</v>
      </c>
      <c r="K1450" s="9">
        <v>257.26</v>
      </c>
      <c r="L1450" s="7" t="s">
        <v>17</v>
      </c>
    </row>
    <row r="1451" ht="15.75" customHeight="1">
      <c r="A1451" s="6">
        <v>10802.0</v>
      </c>
      <c r="B1451" s="7" t="s">
        <v>66</v>
      </c>
      <c r="C1451" s="8">
        <v>45289.0</v>
      </c>
      <c r="D1451" s="8">
        <v>45317.0</v>
      </c>
      <c r="E1451" s="8">
        <v>45293.0</v>
      </c>
      <c r="F1451" s="8">
        <v>45306.0</v>
      </c>
      <c r="G1451" s="6">
        <v>51.0</v>
      </c>
      <c r="H1451" s="9">
        <v>53.0</v>
      </c>
      <c r="I1451" s="10">
        <v>30.0</v>
      </c>
      <c r="J1451" s="11">
        <v>0.25</v>
      </c>
      <c r="K1451" s="9">
        <v>257.26</v>
      </c>
      <c r="L1451" s="7" t="s">
        <v>17</v>
      </c>
    </row>
    <row r="1452" ht="15.75" customHeight="1">
      <c r="A1452" s="6">
        <v>10802.0</v>
      </c>
      <c r="B1452" s="7" t="s">
        <v>66</v>
      </c>
      <c r="C1452" s="8">
        <v>45289.0</v>
      </c>
      <c r="D1452" s="8">
        <v>45317.0</v>
      </c>
      <c r="E1452" s="8">
        <v>45293.0</v>
      </c>
      <c r="F1452" s="8">
        <v>45306.0</v>
      </c>
      <c r="G1452" s="6">
        <v>55.0</v>
      </c>
      <c r="H1452" s="9">
        <v>24.0</v>
      </c>
      <c r="I1452" s="10">
        <v>60.0</v>
      </c>
      <c r="J1452" s="11">
        <v>0.25</v>
      </c>
      <c r="K1452" s="9">
        <v>257.26</v>
      </c>
      <c r="L1452" s="7" t="s">
        <v>17</v>
      </c>
    </row>
    <row r="1453" ht="15.75" customHeight="1">
      <c r="A1453" s="6">
        <v>10802.0</v>
      </c>
      <c r="B1453" s="7" t="s">
        <v>66</v>
      </c>
      <c r="C1453" s="8">
        <v>45289.0</v>
      </c>
      <c r="D1453" s="8">
        <v>45317.0</v>
      </c>
      <c r="E1453" s="8">
        <v>45293.0</v>
      </c>
      <c r="F1453" s="8">
        <v>45306.0</v>
      </c>
      <c r="G1453" s="6">
        <v>62.0</v>
      </c>
      <c r="H1453" s="9">
        <v>49.3</v>
      </c>
      <c r="I1453" s="10">
        <v>5.0</v>
      </c>
      <c r="J1453" s="11">
        <v>0.25</v>
      </c>
      <c r="K1453" s="9">
        <v>257.26</v>
      </c>
      <c r="L1453" s="7" t="s">
        <v>17</v>
      </c>
    </row>
    <row r="1454" ht="15.75" customHeight="1">
      <c r="A1454" s="6">
        <v>10803.0</v>
      </c>
      <c r="B1454" s="7" t="s">
        <v>22</v>
      </c>
      <c r="C1454" s="8">
        <v>45290.0</v>
      </c>
      <c r="D1454" s="8">
        <v>45318.0</v>
      </c>
      <c r="E1454" s="8">
        <v>45297.0</v>
      </c>
      <c r="F1454" s="8">
        <v>45313.0</v>
      </c>
      <c r="G1454" s="6">
        <v>19.0</v>
      </c>
      <c r="H1454" s="9">
        <v>9.2</v>
      </c>
      <c r="I1454" s="10">
        <v>24.0</v>
      </c>
      <c r="J1454" s="11">
        <v>0.05</v>
      </c>
      <c r="K1454" s="9">
        <v>55.23</v>
      </c>
      <c r="L1454" s="7" t="s">
        <v>15</v>
      </c>
    </row>
    <row r="1455" ht="15.75" customHeight="1">
      <c r="A1455" s="6">
        <v>10803.0</v>
      </c>
      <c r="B1455" s="7" t="s">
        <v>22</v>
      </c>
      <c r="C1455" s="8">
        <v>45290.0</v>
      </c>
      <c r="D1455" s="8">
        <v>45318.0</v>
      </c>
      <c r="E1455" s="8">
        <v>45297.0</v>
      </c>
      <c r="F1455" s="8">
        <v>45313.0</v>
      </c>
      <c r="G1455" s="6">
        <v>25.0</v>
      </c>
      <c r="H1455" s="9">
        <v>14.0</v>
      </c>
      <c r="I1455" s="10">
        <v>15.0</v>
      </c>
      <c r="J1455" s="11">
        <v>0.05</v>
      </c>
      <c r="K1455" s="9">
        <v>55.23</v>
      </c>
      <c r="L1455" s="7" t="s">
        <v>15</v>
      </c>
    </row>
    <row r="1456" ht="15.75" customHeight="1">
      <c r="A1456" s="6">
        <v>10803.0</v>
      </c>
      <c r="B1456" s="7" t="s">
        <v>22</v>
      </c>
      <c r="C1456" s="8">
        <v>45290.0</v>
      </c>
      <c r="D1456" s="8">
        <v>45318.0</v>
      </c>
      <c r="E1456" s="8">
        <v>45297.0</v>
      </c>
      <c r="F1456" s="8">
        <v>45313.0</v>
      </c>
      <c r="G1456" s="6">
        <v>59.0</v>
      </c>
      <c r="H1456" s="9">
        <v>55.0</v>
      </c>
      <c r="I1456" s="10">
        <v>15.0</v>
      </c>
      <c r="J1456" s="11">
        <v>0.05</v>
      </c>
      <c r="K1456" s="9">
        <v>55.23</v>
      </c>
      <c r="L1456" s="7" t="s">
        <v>15</v>
      </c>
    </row>
    <row r="1457" ht="15.75" customHeight="1">
      <c r="A1457" s="6">
        <v>10804.0</v>
      </c>
      <c r="B1457" s="7" t="s">
        <v>71</v>
      </c>
      <c r="C1457" s="8">
        <v>45290.0</v>
      </c>
      <c r="D1457" s="8">
        <v>45318.0</v>
      </c>
      <c r="E1457" s="8">
        <v>45298.0</v>
      </c>
      <c r="F1457" s="8">
        <v>45309.0</v>
      </c>
      <c r="G1457" s="6">
        <v>10.0</v>
      </c>
      <c r="H1457" s="9">
        <v>31.0</v>
      </c>
      <c r="I1457" s="10">
        <v>36.0</v>
      </c>
      <c r="J1457" s="11">
        <v>0.0</v>
      </c>
      <c r="K1457" s="9">
        <v>27.33</v>
      </c>
      <c r="L1457" s="7" t="s">
        <v>17</v>
      </c>
    </row>
    <row r="1458" ht="15.75" customHeight="1">
      <c r="A1458" s="6">
        <v>10804.0</v>
      </c>
      <c r="B1458" s="7" t="s">
        <v>71</v>
      </c>
      <c r="C1458" s="8">
        <v>45290.0</v>
      </c>
      <c r="D1458" s="8">
        <v>45318.0</v>
      </c>
      <c r="E1458" s="8">
        <v>45298.0</v>
      </c>
      <c r="F1458" s="8">
        <v>45309.0</v>
      </c>
      <c r="G1458" s="6">
        <v>28.0</v>
      </c>
      <c r="H1458" s="9">
        <v>45.6</v>
      </c>
      <c r="I1458" s="10">
        <v>24.0</v>
      </c>
      <c r="J1458" s="11">
        <v>0.0</v>
      </c>
      <c r="K1458" s="9">
        <v>27.33</v>
      </c>
      <c r="L1458" s="7" t="s">
        <v>17</v>
      </c>
    </row>
    <row r="1459" ht="15.75" customHeight="1">
      <c r="A1459" s="6">
        <v>10804.0</v>
      </c>
      <c r="B1459" s="7" t="s">
        <v>71</v>
      </c>
      <c r="C1459" s="8">
        <v>45290.0</v>
      </c>
      <c r="D1459" s="8">
        <v>45318.0</v>
      </c>
      <c r="E1459" s="8">
        <v>45298.0</v>
      </c>
      <c r="F1459" s="8">
        <v>45309.0</v>
      </c>
      <c r="G1459" s="6">
        <v>49.0</v>
      </c>
      <c r="H1459" s="9">
        <v>20.0</v>
      </c>
      <c r="I1459" s="10">
        <v>4.0</v>
      </c>
      <c r="J1459" s="11">
        <v>0.15</v>
      </c>
      <c r="K1459" s="9">
        <v>27.33</v>
      </c>
      <c r="L1459" s="7" t="s">
        <v>17</v>
      </c>
    </row>
    <row r="1460" ht="15.75" customHeight="1">
      <c r="A1460" s="6">
        <v>10805.0</v>
      </c>
      <c r="B1460" s="7" t="s">
        <v>55</v>
      </c>
      <c r="C1460" s="8">
        <v>45290.0</v>
      </c>
      <c r="D1460" s="8">
        <v>45318.0</v>
      </c>
      <c r="E1460" s="8">
        <v>45300.0</v>
      </c>
      <c r="F1460" s="8">
        <v>45317.0</v>
      </c>
      <c r="G1460" s="6">
        <v>34.0</v>
      </c>
      <c r="H1460" s="9">
        <v>14.0</v>
      </c>
      <c r="I1460" s="10">
        <v>10.0</v>
      </c>
      <c r="J1460" s="11">
        <v>0.0</v>
      </c>
      <c r="K1460" s="9">
        <v>237.34</v>
      </c>
      <c r="L1460" s="7" t="s">
        <v>13</v>
      </c>
    </row>
    <row r="1461" ht="15.75" customHeight="1">
      <c r="A1461" s="6">
        <v>10805.0</v>
      </c>
      <c r="B1461" s="7" t="s">
        <v>55</v>
      </c>
      <c r="C1461" s="8">
        <v>45290.0</v>
      </c>
      <c r="D1461" s="8">
        <v>45318.0</v>
      </c>
      <c r="E1461" s="8">
        <v>45300.0</v>
      </c>
      <c r="F1461" s="8">
        <v>45317.0</v>
      </c>
      <c r="G1461" s="6">
        <v>38.0</v>
      </c>
      <c r="H1461" s="9">
        <v>263.5</v>
      </c>
      <c r="I1461" s="10">
        <v>10.0</v>
      </c>
      <c r="J1461" s="11">
        <v>0.0</v>
      </c>
      <c r="K1461" s="9">
        <v>237.34</v>
      </c>
      <c r="L1461" s="7" t="s">
        <v>13</v>
      </c>
    </row>
    <row r="1462" ht="15.75" customHeight="1">
      <c r="A1462" s="6">
        <v>10806.0</v>
      </c>
      <c r="B1462" s="7" t="s">
        <v>18</v>
      </c>
      <c r="C1462" s="8">
        <v>45291.0</v>
      </c>
      <c r="D1462" s="8">
        <v>45319.0</v>
      </c>
      <c r="E1462" s="8">
        <v>45296.0</v>
      </c>
      <c r="F1462" s="8">
        <v>45305.0</v>
      </c>
      <c r="G1462" s="6">
        <v>2.0</v>
      </c>
      <c r="H1462" s="9">
        <v>19.0</v>
      </c>
      <c r="I1462" s="10">
        <v>20.0</v>
      </c>
      <c r="J1462" s="11">
        <v>0.25</v>
      </c>
      <c r="K1462" s="9">
        <v>22.11</v>
      </c>
      <c r="L1462" s="7" t="s">
        <v>17</v>
      </c>
    </row>
    <row r="1463" ht="15.75" customHeight="1">
      <c r="A1463" s="6">
        <v>10806.0</v>
      </c>
      <c r="B1463" s="7" t="s">
        <v>18</v>
      </c>
      <c r="C1463" s="8">
        <v>45291.0</v>
      </c>
      <c r="D1463" s="8">
        <v>45319.0</v>
      </c>
      <c r="E1463" s="8">
        <v>45296.0</v>
      </c>
      <c r="F1463" s="8">
        <v>45305.0</v>
      </c>
      <c r="G1463" s="6">
        <v>65.0</v>
      </c>
      <c r="H1463" s="9">
        <v>21.05</v>
      </c>
      <c r="I1463" s="10">
        <v>2.0</v>
      </c>
      <c r="J1463" s="11">
        <v>0.0</v>
      </c>
      <c r="K1463" s="9">
        <v>22.11</v>
      </c>
      <c r="L1463" s="7" t="s">
        <v>17</v>
      </c>
    </row>
    <row r="1464" ht="15.75" customHeight="1">
      <c r="A1464" s="6">
        <v>10806.0</v>
      </c>
      <c r="B1464" s="7" t="s">
        <v>18</v>
      </c>
      <c r="C1464" s="8">
        <v>45291.0</v>
      </c>
      <c r="D1464" s="8">
        <v>45319.0</v>
      </c>
      <c r="E1464" s="8">
        <v>45296.0</v>
      </c>
      <c r="F1464" s="8">
        <v>45305.0</v>
      </c>
      <c r="G1464" s="6">
        <v>74.0</v>
      </c>
      <c r="H1464" s="9">
        <v>10.0</v>
      </c>
      <c r="I1464" s="10">
        <v>15.0</v>
      </c>
      <c r="J1464" s="11">
        <v>0.25</v>
      </c>
      <c r="K1464" s="9">
        <v>22.11</v>
      </c>
      <c r="L1464" s="7" t="s">
        <v>17</v>
      </c>
    </row>
    <row r="1465" ht="15.75" customHeight="1">
      <c r="A1465" s="6">
        <v>10807.0</v>
      </c>
      <c r="B1465" s="7" t="s">
        <v>85</v>
      </c>
      <c r="C1465" s="8">
        <v>45291.0</v>
      </c>
      <c r="D1465" s="8">
        <v>45319.0</v>
      </c>
      <c r="E1465" s="8">
        <v>45321.0</v>
      </c>
      <c r="F1465" s="8">
        <v>45326.0</v>
      </c>
      <c r="G1465" s="6">
        <v>40.0</v>
      </c>
      <c r="H1465" s="9">
        <v>18.4</v>
      </c>
      <c r="I1465" s="10">
        <v>1.0</v>
      </c>
      <c r="J1465" s="11">
        <v>0.0</v>
      </c>
      <c r="K1465" s="9">
        <v>1.36</v>
      </c>
      <c r="L1465" s="7" t="s">
        <v>15</v>
      </c>
    </row>
    <row r="1466" ht="15.75" customHeight="1">
      <c r="A1466" s="6">
        <v>10808.0</v>
      </c>
      <c r="B1466" s="7" t="s">
        <v>52</v>
      </c>
      <c r="C1466" s="8">
        <v>45292.0</v>
      </c>
      <c r="D1466" s="8">
        <v>45320.0</v>
      </c>
      <c r="E1466" s="8">
        <v>45300.0</v>
      </c>
      <c r="F1466" s="8">
        <v>45314.0</v>
      </c>
      <c r="G1466" s="6">
        <v>56.0</v>
      </c>
      <c r="H1466" s="9">
        <v>38.0</v>
      </c>
      <c r="I1466" s="10">
        <v>20.0</v>
      </c>
      <c r="J1466" s="11">
        <v>0.15</v>
      </c>
      <c r="K1466" s="9">
        <v>45.53</v>
      </c>
      <c r="L1466" s="7" t="s">
        <v>13</v>
      </c>
    </row>
    <row r="1467" ht="15.75" customHeight="1">
      <c r="A1467" s="6">
        <v>10808.0</v>
      </c>
      <c r="B1467" s="7" t="s">
        <v>52</v>
      </c>
      <c r="C1467" s="8">
        <v>45292.0</v>
      </c>
      <c r="D1467" s="8">
        <v>45320.0</v>
      </c>
      <c r="E1467" s="8">
        <v>45300.0</v>
      </c>
      <c r="F1467" s="8">
        <v>45314.0</v>
      </c>
      <c r="G1467" s="6">
        <v>76.0</v>
      </c>
      <c r="H1467" s="9">
        <v>18.0</v>
      </c>
      <c r="I1467" s="10">
        <v>50.0</v>
      </c>
      <c r="J1467" s="11">
        <v>0.15</v>
      </c>
      <c r="K1467" s="9">
        <v>45.53</v>
      </c>
      <c r="L1467" s="7" t="s">
        <v>13</v>
      </c>
    </row>
    <row r="1468" ht="15.75" customHeight="1">
      <c r="A1468" s="6">
        <v>10809.0</v>
      </c>
      <c r="B1468" s="7" t="s">
        <v>22</v>
      </c>
      <c r="C1468" s="8">
        <v>45292.0</v>
      </c>
      <c r="D1468" s="8">
        <v>45320.0</v>
      </c>
      <c r="E1468" s="8">
        <v>45298.0</v>
      </c>
      <c r="F1468" s="8">
        <v>45311.0</v>
      </c>
      <c r="G1468" s="6">
        <v>52.0</v>
      </c>
      <c r="H1468" s="9">
        <v>7.0</v>
      </c>
      <c r="I1468" s="10">
        <v>20.0</v>
      </c>
      <c r="J1468" s="11">
        <v>0.0</v>
      </c>
      <c r="K1468" s="9">
        <v>4.87</v>
      </c>
      <c r="L1468" s="7" t="s">
        <v>15</v>
      </c>
    </row>
    <row r="1469" ht="15.75" customHeight="1">
      <c r="A1469" s="6">
        <v>10810.0</v>
      </c>
      <c r="B1469" s="7" t="s">
        <v>90</v>
      </c>
      <c r="C1469" s="8">
        <v>45292.0</v>
      </c>
      <c r="D1469" s="8">
        <v>45320.0</v>
      </c>
      <c r="E1469" s="8">
        <v>45298.0</v>
      </c>
      <c r="F1469" s="8">
        <v>45312.0</v>
      </c>
      <c r="G1469" s="6">
        <v>13.0</v>
      </c>
      <c r="H1469" s="9">
        <v>6.0</v>
      </c>
      <c r="I1469" s="10">
        <v>7.0</v>
      </c>
      <c r="J1469" s="11">
        <v>0.0</v>
      </c>
      <c r="K1469" s="9">
        <v>4.33</v>
      </c>
      <c r="L1469" s="7" t="s">
        <v>13</v>
      </c>
    </row>
    <row r="1470" ht="15.75" customHeight="1">
      <c r="A1470" s="6">
        <v>10810.0</v>
      </c>
      <c r="B1470" s="7" t="s">
        <v>90</v>
      </c>
      <c r="C1470" s="8">
        <v>45292.0</v>
      </c>
      <c r="D1470" s="8">
        <v>45320.0</v>
      </c>
      <c r="E1470" s="8">
        <v>45298.0</v>
      </c>
      <c r="F1470" s="8">
        <v>45312.0</v>
      </c>
      <c r="G1470" s="6">
        <v>25.0</v>
      </c>
      <c r="H1470" s="9">
        <v>14.0</v>
      </c>
      <c r="I1470" s="10">
        <v>5.0</v>
      </c>
      <c r="J1470" s="11">
        <v>0.0</v>
      </c>
      <c r="K1470" s="9">
        <v>4.33</v>
      </c>
      <c r="L1470" s="7" t="s">
        <v>13</v>
      </c>
    </row>
    <row r="1471" ht="15.75" customHeight="1">
      <c r="A1471" s="6">
        <v>10810.0</v>
      </c>
      <c r="B1471" s="7" t="s">
        <v>90</v>
      </c>
      <c r="C1471" s="8">
        <v>45292.0</v>
      </c>
      <c r="D1471" s="8">
        <v>45320.0</v>
      </c>
      <c r="E1471" s="8">
        <v>45298.0</v>
      </c>
      <c r="F1471" s="8">
        <v>45312.0</v>
      </c>
      <c r="G1471" s="6">
        <v>70.0</v>
      </c>
      <c r="H1471" s="9">
        <v>15.0</v>
      </c>
      <c r="I1471" s="10">
        <v>5.0</v>
      </c>
      <c r="J1471" s="11">
        <v>0.0</v>
      </c>
      <c r="K1471" s="9">
        <v>4.33</v>
      </c>
      <c r="L1471" s="7" t="s">
        <v>13</v>
      </c>
    </row>
    <row r="1472" ht="15.75" customHeight="1">
      <c r="A1472" s="6">
        <v>10811.0</v>
      </c>
      <c r="B1472" s="7" t="s">
        <v>82</v>
      </c>
      <c r="C1472" s="8">
        <v>45293.0</v>
      </c>
      <c r="D1472" s="8">
        <v>45321.0</v>
      </c>
      <c r="E1472" s="8">
        <v>45299.0</v>
      </c>
      <c r="F1472" s="8">
        <v>45310.0</v>
      </c>
      <c r="G1472" s="6">
        <v>19.0</v>
      </c>
      <c r="H1472" s="9">
        <v>9.2</v>
      </c>
      <c r="I1472" s="10">
        <v>15.0</v>
      </c>
      <c r="J1472" s="11">
        <v>0.0</v>
      </c>
      <c r="K1472" s="9">
        <v>31.22</v>
      </c>
      <c r="L1472" s="7" t="s">
        <v>15</v>
      </c>
    </row>
    <row r="1473" ht="15.75" customHeight="1">
      <c r="A1473" s="6">
        <v>10811.0</v>
      </c>
      <c r="B1473" s="7" t="s">
        <v>82</v>
      </c>
      <c r="C1473" s="8">
        <v>45293.0</v>
      </c>
      <c r="D1473" s="8">
        <v>45321.0</v>
      </c>
      <c r="E1473" s="8">
        <v>45299.0</v>
      </c>
      <c r="F1473" s="8">
        <v>45310.0</v>
      </c>
      <c r="G1473" s="6">
        <v>23.0</v>
      </c>
      <c r="H1473" s="9">
        <v>9.0</v>
      </c>
      <c r="I1473" s="10">
        <v>18.0</v>
      </c>
      <c r="J1473" s="11">
        <v>0.0</v>
      </c>
      <c r="K1473" s="9">
        <v>31.22</v>
      </c>
      <c r="L1473" s="7" t="s">
        <v>15</v>
      </c>
    </row>
    <row r="1474" ht="15.75" customHeight="1">
      <c r="A1474" s="6">
        <v>10811.0</v>
      </c>
      <c r="B1474" s="7" t="s">
        <v>82</v>
      </c>
      <c r="C1474" s="8">
        <v>45293.0</v>
      </c>
      <c r="D1474" s="8">
        <v>45321.0</v>
      </c>
      <c r="E1474" s="8">
        <v>45299.0</v>
      </c>
      <c r="F1474" s="8">
        <v>45310.0</v>
      </c>
      <c r="G1474" s="6">
        <v>40.0</v>
      </c>
      <c r="H1474" s="9">
        <v>18.4</v>
      </c>
      <c r="I1474" s="10">
        <v>30.0</v>
      </c>
      <c r="J1474" s="11">
        <v>0.0</v>
      </c>
      <c r="K1474" s="9">
        <v>31.22</v>
      </c>
      <c r="L1474" s="7" t="s">
        <v>15</v>
      </c>
    </row>
    <row r="1475" ht="15.75" customHeight="1">
      <c r="A1475" s="6">
        <v>10812.0</v>
      </c>
      <c r="B1475" s="7" t="s">
        <v>45</v>
      </c>
      <c r="C1475" s="8">
        <v>45293.0</v>
      </c>
      <c r="D1475" s="8">
        <v>45321.0</v>
      </c>
      <c r="E1475" s="8">
        <v>45303.0</v>
      </c>
      <c r="F1475" s="8">
        <v>45307.0</v>
      </c>
      <c r="G1475" s="6">
        <v>31.0</v>
      </c>
      <c r="H1475" s="9">
        <v>12.5</v>
      </c>
      <c r="I1475" s="10">
        <v>16.0</v>
      </c>
      <c r="J1475" s="11">
        <v>0.1</v>
      </c>
      <c r="K1475" s="9">
        <v>59.78</v>
      </c>
      <c r="L1475" s="7" t="s">
        <v>15</v>
      </c>
    </row>
    <row r="1476" ht="15.75" customHeight="1">
      <c r="A1476" s="6">
        <v>10812.0</v>
      </c>
      <c r="B1476" s="7" t="s">
        <v>45</v>
      </c>
      <c r="C1476" s="8">
        <v>45293.0</v>
      </c>
      <c r="D1476" s="8">
        <v>45321.0</v>
      </c>
      <c r="E1476" s="8">
        <v>45303.0</v>
      </c>
      <c r="F1476" s="8">
        <v>45307.0</v>
      </c>
      <c r="G1476" s="6">
        <v>72.0</v>
      </c>
      <c r="H1476" s="9">
        <v>34.8</v>
      </c>
      <c r="I1476" s="10">
        <v>40.0</v>
      </c>
      <c r="J1476" s="11">
        <v>0.1</v>
      </c>
      <c r="K1476" s="9">
        <v>59.78</v>
      </c>
      <c r="L1476" s="7" t="s">
        <v>15</v>
      </c>
    </row>
    <row r="1477" ht="15.75" customHeight="1">
      <c r="A1477" s="6">
        <v>10812.0</v>
      </c>
      <c r="B1477" s="7" t="s">
        <v>45</v>
      </c>
      <c r="C1477" s="8">
        <v>45293.0</v>
      </c>
      <c r="D1477" s="8">
        <v>45321.0</v>
      </c>
      <c r="E1477" s="8">
        <v>45303.0</v>
      </c>
      <c r="F1477" s="8">
        <v>45307.0</v>
      </c>
      <c r="G1477" s="6">
        <v>77.0</v>
      </c>
      <c r="H1477" s="9">
        <v>13.0</v>
      </c>
      <c r="I1477" s="10">
        <v>20.0</v>
      </c>
      <c r="J1477" s="11">
        <v>0.0</v>
      </c>
      <c r="K1477" s="9">
        <v>59.78</v>
      </c>
      <c r="L1477" s="7" t="s">
        <v>15</v>
      </c>
    </row>
    <row r="1478" ht="15.75" customHeight="1">
      <c r="A1478" s="6">
        <v>10813.0</v>
      </c>
      <c r="B1478" s="7" t="s">
        <v>44</v>
      </c>
      <c r="C1478" s="8">
        <v>45296.0</v>
      </c>
      <c r="D1478" s="8">
        <v>45324.0</v>
      </c>
      <c r="E1478" s="8">
        <v>45300.0</v>
      </c>
      <c r="F1478" s="8">
        <v>45317.0</v>
      </c>
      <c r="G1478" s="6">
        <v>2.0</v>
      </c>
      <c r="H1478" s="9">
        <v>19.0</v>
      </c>
      <c r="I1478" s="10">
        <v>12.0</v>
      </c>
      <c r="J1478" s="11">
        <v>0.2</v>
      </c>
      <c r="K1478" s="9">
        <v>47.38</v>
      </c>
      <c r="L1478" s="7" t="s">
        <v>15</v>
      </c>
    </row>
    <row r="1479" ht="15.75" customHeight="1">
      <c r="A1479" s="6">
        <v>10813.0</v>
      </c>
      <c r="B1479" s="7" t="s">
        <v>44</v>
      </c>
      <c r="C1479" s="8">
        <v>45296.0</v>
      </c>
      <c r="D1479" s="8">
        <v>45324.0</v>
      </c>
      <c r="E1479" s="8">
        <v>45300.0</v>
      </c>
      <c r="F1479" s="8">
        <v>45317.0</v>
      </c>
      <c r="G1479" s="6">
        <v>46.0</v>
      </c>
      <c r="H1479" s="9">
        <v>12.0</v>
      </c>
      <c r="I1479" s="10">
        <v>35.0</v>
      </c>
      <c r="J1479" s="11">
        <v>0.0</v>
      </c>
      <c r="K1479" s="9">
        <v>47.38</v>
      </c>
      <c r="L1479" s="7" t="s">
        <v>15</v>
      </c>
    </row>
    <row r="1480" ht="15.75" customHeight="1">
      <c r="A1480" s="6">
        <v>10814.0</v>
      </c>
      <c r="B1480" s="7" t="s">
        <v>18</v>
      </c>
      <c r="C1480" s="8">
        <v>45296.0</v>
      </c>
      <c r="D1480" s="8">
        <v>45324.0</v>
      </c>
      <c r="E1480" s="8">
        <v>45305.0</v>
      </c>
      <c r="F1480" s="8">
        <v>45311.0</v>
      </c>
      <c r="G1480" s="6">
        <v>41.0</v>
      </c>
      <c r="H1480" s="9">
        <v>9.65</v>
      </c>
      <c r="I1480" s="10">
        <v>20.0</v>
      </c>
      <c r="J1480" s="11">
        <v>0.0</v>
      </c>
      <c r="K1480" s="9">
        <v>130.94</v>
      </c>
      <c r="L1480" s="7" t="s">
        <v>13</v>
      </c>
    </row>
    <row r="1481" ht="15.75" customHeight="1">
      <c r="A1481" s="6">
        <v>10814.0</v>
      </c>
      <c r="B1481" s="7" t="s">
        <v>18</v>
      </c>
      <c r="C1481" s="8">
        <v>45296.0</v>
      </c>
      <c r="D1481" s="8">
        <v>45324.0</v>
      </c>
      <c r="E1481" s="8">
        <v>45305.0</v>
      </c>
      <c r="F1481" s="8">
        <v>45311.0</v>
      </c>
      <c r="G1481" s="6">
        <v>43.0</v>
      </c>
      <c r="H1481" s="9">
        <v>46.0</v>
      </c>
      <c r="I1481" s="10">
        <v>20.0</v>
      </c>
      <c r="J1481" s="11">
        <v>0.15</v>
      </c>
      <c r="K1481" s="9">
        <v>130.94</v>
      </c>
      <c r="L1481" s="7" t="s">
        <v>13</v>
      </c>
    </row>
    <row r="1482" ht="15.75" customHeight="1">
      <c r="A1482" s="6">
        <v>10814.0</v>
      </c>
      <c r="B1482" s="7" t="s">
        <v>18</v>
      </c>
      <c r="C1482" s="8">
        <v>45296.0</v>
      </c>
      <c r="D1482" s="8">
        <v>45324.0</v>
      </c>
      <c r="E1482" s="8">
        <v>45305.0</v>
      </c>
      <c r="F1482" s="8">
        <v>45311.0</v>
      </c>
      <c r="G1482" s="6">
        <v>48.0</v>
      </c>
      <c r="H1482" s="9">
        <v>12.75</v>
      </c>
      <c r="I1482" s="10">
        <v>8.0</v>
      </c>
      <c r="J1482" s="11">
        <v>0.15</v>
      </c>
      <c r="K1482" s="9">
        <v>130.94</v>
      </c>
      <c r="L1482" s="7" t="s">
        <v>13</v>
      </c>
    </row>
    <row r="1483" ht="15.75" customHeight="1">
      <c r="A1483" s="6">
        <v>10814.0</v>
      </c>
      <c r="B1483" s="7" t="s">
        <v>18</v>
      </c>
      <c r="C1483" s="8">
        <v>45296.0</v>
      </c>
      <c r="D1483" s="8">
        <v>45324.0</v>
      </c>
      <c r="E1483" s="8">
        <v>45305.0</v>
      </c>
      <c r="F1483" s="8">
        <v>45311.0</v>
      </c>
      <c r="G1483" s="6">
        <v>61.0</v>
      </c>
      <c r="H1483" s="9">
        <v>28.5</v>
      </c>
      <c r="I1483" s="10">
        <v>30.0</v>
      </c>
      <c r="J1483" s="11">
        <v>0.15</v>
      </c>
      <c r="K1483" s="9">
        <v>130.94</v>
      </c>
      <c r="L1483" s="7" t="s">
        <v>13</v>
      </c>
    </row>
    <row r="1484" ht="15.75" customHeight="1">
      <c r="A1484" s="6">
        <v>10815.0</v>
      </c>
      <c r="B1484" s="7" t="s">
        <v>60</v>
      </c>
      <c r="C1484" s="8">
        <v>45296.0</v>
      </c>
      <c r="D1484" s="8">
        <v>45324.0</v>
      </c>
      <c r="E1484" s="8">
        <v>45305.0</v>
      </c>
      <c r="F1484" s="8">
        <v>45319.0</v>
      </c>
      <c r="G1484" s="6">
        <v>33.0</v>
      </c>
      <c r="H1484" s="9">
        <v>2.5</v>
      </c>
      <c r="I1484" s="10">
        <v>16.0</v>
      </c>
      <c r="J1484" s="11">
        <v>0.0</v>
      </c>
      <c r="K1484" s="9">
        <v>14.62</v>
      </c>
      <c r="L1484" s="7" t="s">
        <v>13</v>
      </c>
    </row>
    <row r="1485" ht="15.75" customHeight="1">
      <c r="A1485" s="6">
        <v>10816.0</v>
      </c>
      <c r="B1485" s="7" t="s">
        <v>94</v>
      </c>
      <c r="C1485" s="8">
        <v>45297.0</v>
      </c>
      <c r="D1485" s="8">
        <v>45325.0</v>
      </c>
      <c r="E1485" s="8">
        <v>45326.0</v>
      </c>
      <c r="F1485" s="8">
        <v>45341.0</v>
      </c>
      <c r="G1485" s="6">
        <v>38.0</v>
      </c>
      <c r="H1485" s="9">
        <v>263.5</v>
      </c>
      <c r="I1485" s="10">
        <v>30.0</v>
      </c>
      <c r="J1485" s="11">
        <v>0.05</v>
      </c>
      <c r="K1485" s="9">
        <v>719.78</v>
      </c>
      <c r="L1485" s="7" t="s">
        <v>17</v>
      </c>
    </row>
    <row r="1486" ht="15.75" customHeight="1">
      <c r="A1486" s="6">
        <v>10816.0</v>
      </c>
      <c r="B1486" s="7" t="s">
        <v>94</v>
      </c>
      <c r="C1486" s="8">
        <v>45297.0</v>
      </c>
      <c r="D1486" s="8">
        <v>45325.0</v>
      </c>
      <c r="E1486" s="8">
        <v>45326.0</v>
      </c>
      <c r="F1486" s="8">
        <v>45341.0</v>
      </c>
      <c r="G1486" s="6">
        <v>62.0</v>
      </c>
      <c r="H1486" s="9">
        <v>49.3</v>
      </c>
      <c r="I1486" s="10">
        <v>20.0</v>
      </c>
      <c r="J1486" s="11">
        <v>0.05</v>
      </c>
      <c r="K1486" s="9">
        <v>719.78</v>
      </c>
      <c r="L1486" s="7" t="s">
        <v>17</v>
      </c>
    </row>
    <row r="1487" ht="15.75" customHeight="1">
      <c r="A1487" s="6">
        <v>10817.0</v>
      </c>
      <c r="B1487" s="7" t="s">
        <v>59</v>
      </c>
      <c r="C1487" s="8">
        <v>45297.0</v>
      </c>
      <c r="D1487" s="8">
        <v>45311.0</v>
      </c>
      <c r="E1487" s="8">
        <v>45304.0</v>
      </c>
      <c r="F1487" s="8">
        <v>45313.0</v>
      </c>
      <c r="G1487" s="6">
        <v>26.0</v>
      </c>
      <c r="H1487" s="9">
        <v>31.23</v>
      </c>
      <c r="I1487" s="10">
        <v>40.0</v>
      </c>
      <c r="J1487" s="11">
        <v>0.15</v>
      </c>
      <c r="K1487" s="9">
        <v>306.07</v>
      </c>
      <c r="L1487" s="7" t="s">
        <v>17</v>
      </c>
    </row>
    <row r="1488" ht="15.75" customHeight="1">
      <c r="A1488" s="6">
        <v>10817.0</v>
      </c>
      <c r="B1488" s="7" t="s">
        <v>59</v>
      </c>
      <c r="C1488" s="8">
        <v>45297.0</v>
      </c>
      <c r="D1488" s="8">
        <v>45311.0</v>
      </c>
      <c r="E1488" s="8">
        <v>45304.0</v>
      </c>
      <c r="F1488" s="8">
        <v>45313.0</v>
      </c>
      <c r="G1488" s="6">
        <v>38.0</v>
      </c>
      <c r="H1488" s="9">
        <v>263.5</v>
      </c>
      <c r="I1488" s="10">
        <v>30.0</v>
      </c>
      <c r="J1488" s="11">
        <v>0.0</v>
      </c>
      <c r="K1488" s="9">
        <v>306.07</v>
      </c>
      <c r="L1488" s="7" t="s">
        <v>17</v>
      </c>
    </row>
    <row r="1489" ht="15.75" customHeight="1">
      <c r="A1489" s="6">
        <v>10817.0</v>
      </c>
      <c r="B1489" s="7" t="s">
        <v>59</v>
      </c>
      <c r="C1489" s="8">
        <v>45297.0</v>
      </c>
      <c r="D1489" s="8">
        <v>45311.0</v>
      </c>
      <c r="E1489" s="8">
        <v>45304.0</v>
      </c>
      <c r="F1489" s="8">
        <v>45313.0</v>
      </c>
      <c r="G1489" s="6">
        <v>40.0</v>
      </c>
      <c r="H1489" s="9">
        <v>18.4</v>
      </c>
      <c r="I1489" s="10">
        <v>60.0</v>
      </c>
      <c r="J1489" s="11">
        <v>0.15</v>
      </c>
      <c r="K1489" s="9">
        <v>306.07</v>
      </c>
      <c r="L1489" s="7" t="s">
        <v>17</v>
      </c>
    </row>
    <row r="1490" ht="15.75" customHeight="1">
      <c r="A1490" s="6">
        <v>10817.0</v>
      </c>
      <c r="B1490" s="7" t="s">
        <v>59</v>
      </c>
      <c r="C1490" s="8">
        <v>45297.0</v>
      </c>
      <c r="D1490" s="8">
        <v>45311.0</v>
      </c>
      <c r="E1490" s="8">
        <v>45304.0</v>
      </c>
      <c r="F1490" s="8">
        <v>45313.0</v>
      </c>
      <c r="G1490" s="6">
        <v>62.0</v>
      </c>
      <c r="H1490" s="9">
        <v>49.3</v>
      </c>
      <c r="I1490" s="10">
        <v>25.0</v>
      </c>
      <c r="J1490" s="11">
        <v>0.15</v>
      </c>
      <c r="K1490" s="9">
        <v>306.07</v>
      </c>
      <c r="L1490" s="7" t="s">
        <v>17</v>
      </c>
    </row>
    <row r="1491" ht="15.75" customHeight="1">
      <c r="A1491" s="6">
        <v>10818.0</v>
      </c>
      <c r="B1491" s="7" t="s">
        <v>37</v>
      </c>
      <c r="C1491" s="8">
        <v>45298.0</v>
      </c>
      <c r="D1491" s="8">
        <v>45326.0</v>
      </c>
      <c r="E1491" s="8">
        <v>45303.0</v>
      </c>
      <c r="F1491" s="8">
        <v>45313.0</v>
      </c>
      <c r="G1491" s="6">
        <v>32.0</v>
      </c>
      <c r="H1491" s="9">
        <v>32.0</v>
      </c>
      <c r="I1491" s="10">
        <v>20.0</v>
      </c>
      <c r="J1491" s="11">
        <v>0.0</v>
      </c>
      <c r="K1491" s="9">
        <v>65.48</v>
      </c>
      <c r="L1491" s="7" t="s">
        <v>13</v>
      </c>
    </row>
    <row r="1492" ht="15.75" customHeight="1">
      <c r="A1492" s="6">
        <v>10818.0</v>
      </c>
      <c r="B1492" s="7" t="s">
        <v>37</v>
      </c>
      <c r="C1492" s="8">
        <v>45298.0</v>
      </c>
      <c r="D1492" s="8">
        <v>45326.0</v>
      </c>
      <c r="E1492" s="8">
        <v>45303.0</v>
      </c>
      <c r="F1492" s="8">
        <v>45313.0</v>
      </c>
      <c r="G1492" s="6">
        <v>41.0</v>
      </c>
      <c r="H1492" s="9">
        <v>9.65</v>
      </c>
      <c r="I1492" s="10">
        <v>20.0</v>
      </c>
      <c r="J1492" s="11">
        <v>0.0</v>
      </c>
      <c r="K1492" s="9">
        <v>65.48</v>
      </c>
      <c r="L1492" s="7" t="s">
        <v>13</v>
      </c>
    </row>
    <row r="1493" ht="15.75" customHeight="1">
      <c r="A1493" s="6">
        <v>10819.0</v>
      </c>
      <c r="B1493" s="7" t="s">
        <v>93</v>
      </c>
      <c r="C1493" s="8">
        <v>45298.0</v>
      </c>
      <c r="D1493" s="8">
        <v>45326.0</v>
      </c>
      <c r="E1493" s="8">
        <v>45307.0</v>
      </c>
      <c r="F1493" s="8">
        <v>45317.0</v>
      </c>
      <c r="G1493" s="6">
        <v>43.0</v>
      </c>
      <c r="H1493" s="9">
        <v>46.0</v>
      </c>
      <c r="I1493" s="10">
        <v>7.0</v>
      </c>
      <c r="J1493" s="11">
        <v>0.0</v>
      </c>
      <c r="K1493" s="9">
        <v>19.76</v>
      </c>
      <c r="L1493" s="7" t="s">
        <v>13</v>
      </c>
    </row>
    <row r="1494" ht="15.75" customHeight="1">
      <c r="A1494" s="6">
        <v>10819.0</v>
      </c>
      <c r="B1494" s="7" t="s">
        <v>93</v>
      </c>
      <c r="C1494" s="8">
        <v>45298.0</v>
      </c>
      <c r="D1494" s="8">
        <v>45326.0</v>
      </c>
      <c r="E1494" s="8">
        <v>45307.0</v>
      </c>
      <c r="F1494" s="8">
        <v>45317.0</v>
      </c>
      <c r="G1494" s="6">
        <v>75.0</v>
      </c>
      <c r="H1494" s="9">
        <v>7.75</v>
      </c>
      <c r="I1494" s="10">
        <v>20.0</v>
      </c>
      <c r="J1494" s="11">
        <v>0.0</v>
      </c>
      <c r="K1494" s="9">
        <v>19.76</v>
      </c>
      <c r="L1494" s="7" t="s">
        <v>13</v>
      </c>
    </row>
    <row r="1495" ht="15.75" customHeight="1">
      <c r="A1495" s="6">
        <v>10820.0</v>
      </c>
      <c r="B1495" s="7" t="s">
        <v>28</v>
      </c>
      <c r="C1495" s="8">
        <v>45298.0</v>
      </c>
      <c r="D1495" s="8">
        <v>45326.0</v>
      </c>
      <c r="E1495" s="8">
        <v>45304.0</v>
      </c>
      <c r="F1495" s="8">
        <v>45322.0</v>
      </c>
      <c r="G1495" s="6">
        <v>56.0</v>
      </c>
      <c r="H1495" s="9">
        <v>38.0</v>
      </c>
      <c r="I1495" s="10">
        <v>30.0</v>
      </c>
      <c r="J1495" s="11">
        <v>0.0</v>
      </c>
      <c r="K1495" s="9">
        <v>37.52</v>
      </c>
      <c r="L1495" s="7" t="s">
        <v>17</v>
      </c>
    </row>
    <row r="1496" ht="15.75" customHeight="1">
      <c r="A1496" s="6">
        <v>10821.0</v>
      </c>
      <c r="B1496" s="7" t="s">
        <v>35</v>
      </c>
      <c r="C1496" s="8">
        <v>45299.0</v>
      </c>
      <c r="D1496" s="8">
        <v>45327.0</v>
      </c>
      <c r="E1496" s="8">
        <v>45306.0</v>
      </c>
      <c r="F1496" s="8">
        <v>45318.0</v>
      </c>
      <c r="G1496" s="6">
        <v>35.0</v>
      </c>
      <c r="H1496" s="9">
        <v>18.0</v>
      </c>
      <c r="I1496" s="10">
        <v>20.0</v>
      </c>
      <c r="J1496" s="11">
        <v>0.0</v>
      </c>
      <c r="K1496" s="9">
        <v>36.68</v>
      </c>
      <c r="L1496" s="7" t="s">
        <v>15</v>
      </c>
    </row>
    <row r="1497" ht="15.75" customHeight="1">
      <c r="A1497" s="6">
        <v>10821.0</v>
      </c>
      <c r="B1497" s="7" t="s">
        <v>35</v>
      </c>
      <c r="C1497" s="8">
        <v>45299.0</v>
      </c>
      <c r="D1497" s="8">
        <v>45327.0</v>
      </c>
      <c r="E1497" s="8">
        <v>45306.0</v>
      </c>
      <c r="F1497" s="8">
        <v>45318.0</v>
      </c>
      <c r="G1497" s="6">
        <v>51.0</v>
      </c>
      <c r="H1497" s="9">
        <v>53.0</v>
      </c>
      <c r="I1497" s="10">
        <v>6.0</v>
      </c>
      <c r="J1497" s="11">
        <v>0.0</v>
      </c>
      <c r="K1497" s="9">
        <v>36.68</v>
      </c>
      <c r="L1497" s="7" t="s">
        <v>15</v>
      </c>
    </row>
    <row r="1498" ht="15.75" customHeight="1">
      <c r="A1498" s="6">
        <v>10822.0</v>
      </c>
      <c r="B1498" s="7" t="s">
        <v>96</v>
      </c>
      <c r="C1498" s="8">
        <v>45299.0</v>
      </c>
      <c r="D1498" s="8">
        <v>45327.0</v>
      </c>
      <c r="E1498" s="8">
        <v>45307.0</v>
      </c>
      <c r="F1498" s="8">
        <v>45322.0</v>
      </c>
      <c r="G1498" s="6">
        <v>62.0</v>
      </c>
      <c r="H1498" s="9">
        <v>49.3</v>
      </c>
      <c r="I1498" s="10">
        <v>3.0</v>
      </c>
      <c r="J1498" s="11">
        <v>0.0</v>
      </c>
      <c r="K1498" s="9">
        <v>7.0</v>
      </c>
      <c r="L1498" s="7" t="s">
        <v>13</v>
      </c>
    </row>
    <row r="1499" ht="15.75" customHeight="1">
      <c r="A1499" s="6">
        <v>10822.0</v>
      </c>
      <c r="B1499" s="7" t="s">
        <v>96</v>
      </c>
      <c r="C1499" s="8">
        <v>45299.0</v>
      </c>
      <c r="D1499" s="8">
        <v>45327.0</v>
      </c>
      <c r="E1499" s="8">
        <v>45307.0</v>
      </c>
      <c r="F1499" s="8">
        <v>45322.0</v>
      </c>
      <c r="G1499" s="6">
        <v>70.0</v>
      </c>
      <c r="H1499" s="9">
        <v>15.0</v>
      </c>
      <c r="I1499" s="10">
        <v>6.0</v>
      </c>
      <c r="J1499" s="11">
        <v>0.0</v>
      </c>
      <c r="K1499" s="9">
        <v>7.0</v>
      </c>
      <c r="L1499" s="7" t="s">
        <v>13</v>
      </c>
    </row>
    <row r="1500" ht="15.75" customHeight="1">
      <c r="A1500" s="6">
        <v>10823.0</v>
      </c>
      <c r="B1500" s="7" t="s">
        <v>43</v>
      </c>
      <c r="C1500" s="8">
        <v>45300.0</v>
      </c>
      <c r="D1500" s="8">
        <v>45328.0</v>
      </c>
      <c r="E1500" s="8">
        <v>45304.0</v>
      </c>
      <c r="F1500" s="8">
        <v>45317.0</v>
      </c>
      <c r="G1500" s="6">
        <v>11.0</v>
      </c>
      <c r="H1500" s="9">
        <v>21.0</v>
      </c>
      <c r="I1500" s="10">
        <v>20.0</v>
      </c>
      <c r="J1500" s="11">
        <v>0.1</v>
      </c>
      <c r="K1500" s="9">
        <v>163.97</v>
      </c>
      <c r="L1500" s="7" t="s">
        <v>17</v>
      </c>
    </row>
    <row r="1501" ht="15.75" customHeight="1">
      <c r="A1501" s="6">
        <v>10823.0</v>
      </c>
      <c r="B1501" s="7" t="s">
        <v>43</v>
      </c>
      <c r="C1501" s="8">
        <v>45300.0</v>
      </c>
      <c r="D1501" s="8">
        <v>45328.0</v>
      </c>
      <c r="E1501" s="8">
        <v>45304.0</v>
      </c>
      <c r="F1501" s="8">
        <v>45317.0</v>
      </c>
      <c r="G1501" s="6">
        <v>57.0</v>
      </c>
      <c r="H1501" s="9">
        <v>19.5</v>
      </c>
      <c r="I1501" s="10">
        <v>15.0</v>
      </c>
      <c r="J1501" s="11">
        <v>0.0</v>
      </c>
      <c r="K1501" s="9">
        <v>163.97</v>
      </c>
      <c r="L1501" s="7" t="s">
        <v>17</v>
      </c>
    </row>
    <row r="1502" ht="15.75" customHeight="1">
      <c r="A1502" s="6">
        <v>10823.0</v>
      </c>
      <c r="B1502" s="7" t="s">
        <v>43</v>
      </c>
      <c r="C1502" s="8">
        <v>45300.0</v>
      </c>
      <c r="D1502" s="8">
        <v>45328.0</v>
      </c>
      <c r="E1502" s="8">
        <v>45304.0</v>
      </c>
      <c r="F1502" s="8">
        <v>45317.0</v>
      </c>
      <c r="G1502" s="6">
        <v>59.0</v>
      </c>
      <c r="H1502" s="9">
        <v>55.0</v>
      </c>
      <c r="I1502" s="10">
        <v>40.0</v>
      </c>
      <c r="J1502" s="11">
        <v>0.1</v>
      </c>
      <c r="K1502" s="9">
        <v>163.97</v>
      </c>
      <c r="L1502" s="7" t="s">
        <v>17</v>
      </c>
    </row>
    <row r="1503" ht="15.75" customHeight="1">
      <c r="A1503" s="6">
        <v>10823.0</v>
      </c>
      <c r="B1503" s="7" t="s">
        <v>43</v>
      </c>
      <c r="C1503" s="8">
        <v>45300.0</v>
      </c>
      <c r="D1503" s="8">
        <v>45328.0</v>
      </c>
      <c r="E1503" s="8">
        <v>45304.0</v>
      </c>
      <c r="F1503" s="8">
        <v>45317.0</v>
      </c>
      <c r="G1503" s="6">
        <v>77.0</v>
      </c>
      <c r="H1503" s="9">
        <v>13.0</v>
      </c>
      <c r="I1503" s="10">
        <v>15.0</v>
      </c>
      <c r="J1503" s="11">
        <v>0.1</v>
      </c>
      <c r="K1503" s="9">
        <v>163.97</v>
      </c>
      <c r="L1503" s="7" t="s">
        <v>17</v>
      </c>
    </row>
    <row r="1504" ht="15.75" customHeight="1">
      <c r="A1504" s="6">
        <v>10824.0</v>
      </c>
      <c r="B1504" s="7" t="s">
        <v>29</v>
      </c>
      <c r="C1504" s="8">
        <v>45300.0</v>
      </c>
      <c r="D1504" s="8">
        <v>45328.0</v>
      </c>
      <c r="E1504" s="8">
        <v>45321.0</v>
      </c>
      <c r="F1504" s="8">
        <v>45331.0</v>
      </c>
      <c r="G1504" s="6">
        <v>41.0</v>
      </c>
      <c r="H1504" s="9">
        <v>9.65</v>
      </c>
      <c r="I1504" s="10">
        <v>12.0</v>
      </c>
      <c r="J1504" s="11">
        <v>0.0</v>
      </c>
      <c r="K1504" s="9">
        <v>1.23</v>
      </c>
      <c r="L1504" s="7" t="s">
        <v>15</v>
      </c>
    </row>
    <row r="1505" ht="15.75" customHeight="1">
      <c r="A1505" s="6">
        <v>10824.0</v>
      </c>
      <c r="B1505" s="7" t="s">
        <v>29</v>
      </c>
      <c r="C1505" s="8">
        <v>45300.0</v>
      </c>
      <c r="D1505" s="8">
        <v>45328.0</v>
      </c>
      <c r="E1505" s="8">
        <v>45321.0</v>
      </c>
      <c r="F1505" s="8">
        <v>45331.0</v>
      </c>
      <c r="G1505" s="6">
        <v>70.0</v>
      </c>
      <c r="H1505" s="9">
        <v>15.0</v>
      </c>
      <c r="I1505" s="10">
        <v>9.0</v>
      </c>
      <c r="J1505" s="11">
        <v>0.0</v>
      </c>
      <c r="K1505" s="9">
        <v>1.23</v>
      </c>
      <c r="L1505" s="7" t="s">
        <v>15</v>
      </c>
    </row>
    <row r="1506" ht="15.75" customHeight="1">
      <c r="A1506" s="6">
        <v>10825.0</v>
      </c>
      <c r="B1506" s="7" t="s">
        <v>72</v>
      </c>
      <c r="C1506" s="8">
        <v>45300.0</v>
      </c>
      <c r="D1506" s="8">
        <v>45328.0</v>
      </c>
      <c r="E1506" s="8">
        <v>45305.0</v>
      </c>
      <c r="F1506" s="8">
        <v>45308.0</v>
      </c>
      <c r="G1506" s="6">
        <v>26.0</v>
      </c>
      <c r="H1506" s="9">
        <v>31.23</v>
      </c>
      <c r="I1506" s="10">
        <v>12.0</v>
      </c>
      <c r="J1506" s="11">
        <v>0.0</v>
      </c>
      <c r="K1506" s="9">
        <v>79.25</v>
      </c>
      <c r="L1506" s="7" t="s">
        <v>15</v>
      </c>
    </row>
    <row r="1507" ht="15.75" customHeight="1">
      <c r="A1507" s="6">
        <v>10825.0</v>
      </c>
      <c r="B1507" s="7" t="s">
        <v>72</v>
      </c>
      <c r="C1507" s="8">
        <v>45300.0</v>
      </c>
      <c r="D1507" s="8">
        <v>45328.0</v>
      </c>
      <c r="E1507" s="8">
        <v>45305.0</v>
      </c>
      <c r="F1507" s="8">
        <v>45308.0</v>
      </c>
      <c r="G1507" s="6">
        <v>53.0</v>
      </c>
      <c r="H1507" s="9">
        <v>32.8</v>
      </c>
      <c r="I1507" s="10">
        <v>20.0</v>
      </c>
      <c r="J1507" s="11">
        <v>0.0</v>
      </c>
      <c r="K1507" s="9">
        <v>79.25</v>
      </c>
      <c r="L1507" s="7" t="s">
        <v>15</v>
      </c>
    </row>
    <row r="1508" ht="15.75" customHeight="1">
      <c r="A1508" s="6">
        <v>10826.0</v>
      </c>
      <c r="B1508" s="7" t="s">
        <v>30</v>
      </c>
      <c r="C1508" s="8">
        <v>45303.0</v>
      </c>
      <c r="D1508" s="8">
        <v>45331.0</v>
      </c>
      <c r="E1508" s="8">
        <v>45328.0</v>
      </c>
      <c r="F1508" s="8">
        <v>45331.0</v>
      </c>
      <c r="G1508" s="6">
        <v>31.0</v>
      </c>
      <c r="H1508" s="9">
        <v>12.5</v>
      </c>
      <c r="I1508" s="10">
        <v>35.0</v>
      </c>
      <c r="J1508" s="11">
        <v>0.0</v>
      </c>
      <c r="K1508" s="9">
        <v>7.09</v>
      </c>
      <c r="L1508" s="7" t="s">
        <v>15</v>
      </c>
    </row>
    <row r="1509" ht="15.75" customHeight="1">
      <c r="A1509" s="6">
        <v>10826.0</v>
      </c>
      <c r="B1509" s="7" t="s">
        <v>30</v>
      </c>
      <c r="C1509" s="8">
        <v>45303.0</v>
      </c>
      <c r="D1509" s="8">
        <v>45331.0</v>
      </c>
      <c r="E1509" s="8">
        <v>45328.0</v>
      </c>
      <c r="F1509" s="8">
        <v>45331.0</v>
      </c>
      <c r="G1509" s="6">
        <v>57.0</v>
      </c>
      <c r="H1509" s="9">
        <v>19.5</v>
      </c>
      <c r="I1509" s="10">
        <v>15.0</v>
      </c>
      <c r="J1509" s="11">
        <v>0.0</v>
      </c>
      <c r="K1509" s="9">
        <v>7.09</v>
      </c>
      <c r="L1509" s="7" t="s">
        <v>15</v>
      </c>
    </row>
    <row r="1510" ht="15.75" customHeight="1">
      <c r="A1510" s="6">
        <v>10827.0</v>
      </c>
      <c r="B1510" s="7" t="s">
        <v>63</v>
      </c>
      <c r="C1510" s="8">
        <v>45303.0</v>
      </c>
      <c r="D1510" s="8">
        <v>45317.0</v>
      </c>
      <c r="E1510" s="8">
        <v>45328.0</v>
      </c>
      <c r="F1510" s="8">
        <v>45338.0</v>
      </c>
      <c r="G1510" s="6">
        <v>10.0</v>
      </c>
      <c r="H1510" s="9">
        <v>31.0</v>
      </c>
      <c r="I1510" s="10">
        <v>15.0</v>
      </c>
      <c r="J1510" s="11">
        <v>0.0</v>
      </c>
      <c r="K1510" s="9">
        <v>63.54</v>
      </c>
      <c r="L1510" s="7" t="s">
        <v>17</v>
      </c>
    </row>
    <row r="1511" ht="15.75" customHeight="1">
      <c r="A1511" s="6">
        <v>10827.0</v>
      </c>
      <c r="B1511" s="7" t="s">
        <v>63</v>
      </c>
      <c r="C1511" s="8">
        <v>45303.0</v>
      </c>
      <c r="D1511" s="8">
        <v>45317.0</v>
      </c>
      <c r="E1511" s="8">
        <v>45328.0</v>
      </c>
      <c r="F1511" s="8">
        <v>45338.0</v>
      </c>
      <c r="G1511" s="6">
        <v>39.0</v>
      </c>
      <c r="H1511" s="9">
        <v>18.0</v>
      </c>
      <c r="I1511" s="10">
        <v>21.0</v>
      </c>
      <c r="J1511" s="11">
        <v>0.0</v>
      </c>
      <c r="K1511" s="9">
        <v>63.54</v>
      </c>
      <c r="L1511" s="7" t="s">
        <v>17</v>
      </c>
    </row>
    <row r="1512" ht="15.75" customHeight="1">
      <c r="A1512" s="6">
        <v>10828.0</v>
      </c>
      <c r="B1512" s="7" t="s">
        <v>88</v>
      </c>
      <c r="C1512" s="8">
        <v>45304.0</v>
      </c>
      <c r="D1512" s="8">
        <v>45318.0</v>
      </c>
      <c r="E1512" s="8">
        <v>45326.0</v>
      </c>
      <c r="F1512" s="8">
        <v>45338.0</v>
      </c>
      <c r="G1512" s="6">
        <v>20.0</v>
      </c>
      <c r="H1512" s="9">
        <v>81.0</v>
      </c>
      <c r="I1512" s="10">
        <v>5.0</v>
      </c>
      <c r="J1512" s="11">
        <v>0.0</v>
      </c>
      <c r="K1512" s="9">
        <v>90.85</v>
      </c>
      <c r="L1512" s="7" t="s">
        <v>15</v>
      </c>
    </row>
    <row r="1513" ht="15.75" customHeight="1">
      <c r="A1513" s="6">
        <v>10828.0</v>
      </c>
      <c r="B1513" s="7" t="s">
        <v>88</v>
      </c>
      <c r="C1513" s="8">
        <v>45304.0</v>
      </c>
      <c r="D1513" s="8">
        <v>45318.0</v>
      </c>
      <c r="E1513" s="8">
        <v>45326.0</v>
      </c>
      <c r="F1513" s="8">
        <v>45338.0</v>
      </c>
      <c r="G1513" s="6">
        <v>38.0</v>
      </c>
      <c r="H1513" s="9">
        <v>263.5</v>
      </c>
      <c r="I1513" s="10">
        <v>2.0</v>
      </c>
      <c r="J1513" s="11">
        <v>0.0</v>
      </c>
      <c r="K1513" s="9">
        <v>90.85</v>
      </c>
      <c r="L1513" s="7" t="s">
        <v>15</v>
      </c>
    </row>
    <row r="1514" ht="15.75" customHeight="1">
      <c r="A1514" s="6">
        <v>10829.0</v>
      </c>
      <c r="B1514" s="7" t="s">
        <v>57</v>
      </c>
      <c r="C1514" s="8">
        <v>45304.0</v>
      </c>
      <c r="D1514" s="8">
        <v>45332.0</v>
      </c>
      <c r="E1514" s="8">
        <v>45314.0</v>
      </c>
      <c r="F1514" s="8">
        <v>45321.0</v>
      </c>
      <c r="G1514" s="6">
        <v>2.0</v>
      </c>
      <c r="H1514" s="9">
        <v>19.0</v>
      </c>
      <c r="I1514" s="10">
        <v>10.0</v>
      </c>
      <c r="J1514" s="11">
        <v>0.0</v>
      </c>
      <c r="K1514" s="9">
        <v>154.72</v>
      </c>
      <c r="L1514" s="7" t="s">
        <v>15</v>
      </c>
    </row>
    <row r="1515" ht="15.75" customHeight="1">
      <c r="A1515" s="6">
        <v>10829.0</v>
      </c>
      <c r="B1515" s="7" t="s">
        <v>57</v>
      </c>
      <c r="C1515" s="8">
        <v>45304.0</v>
      </c>
      <c r="D1515" s="8">
        <v>45332.0</v>
      </c>
      <c r="E1515" s="8">
        <v>45314.0</v>
      </c>
      <c r="F1515" s="8">
        <v>45321.0</v>
      </c>
      <c r="G1515" s="6">
        <v>8.0</v>
      </c>
      <c r="H1515" s="9">
        <v>40.0</v>
      </c>
      <c r="I1515" s="10">
        <v>20.0</v>
      </c>
      <c r="J1515" s="11">
        <v>0.0</v>
      </c>
      <c r="K1515" s="9">
        <v>154.72</v>
      </c>
      <c r="L1515" s="7" t="s">
        <v>15</v>
      </c>
    </row>
    <row r="1516" ht="15.75" customHeight="1">
      <c r="A1516" s="6">
        <v>10829.0</v>
      </c>
      <c r="B1516" s="7" t="s">
        <v>57</v>
      </c>
      <c r="C1516" s="8">
        <v>45304.0</v>
      </c>
      <c r="D1516" s="8">
        <v>45332.0</v>
      </c>
      <c r="E1516" s="8">
        <v>45314.0</v>
      </c>
      <c r="F1516" s="8">
        <v>45321.0</v>
      </c>
      <c r="G1516" s="6">
        <v>13.0</v>
      </c>
      <c r="H1516" s="9">
        <v>6.0</v>
      </c>
      <c r="I1516" s="10">
        <v>10.0</v>
      </c>
      <c r="J1516" s="11">
        <v>0.0</v>
      </c>
      <c r="K1516" s="9">
        <v>154.72</v>
      </c>
      <c r="L1516" s="7" t="s">
        <v>15</v>
      </c>
    </row>
    <row r="1517" ht="15.75" customHeight="1">
      <c r="A1517" s="6">
        <v>10829.0</v>
      </c>
      <c r="B1517" s="7" t="s">
        <v>57</v>
      </c>
      <c r="C1517" s="8">
        <v>45304.0</v>
      </c>
      <c r="D1517" s="8">
        <v>45332.0</v>
      </c>
      <c r="E1517" s="8">
        <v>45314.0</v>
      </c>
      <c r="F1517" s="8">
        <v>45321.0</v>
      </c>
      <c r="G1517" s="6">
        <v>60.0</v>
      </c>
      <c r="H1517" s="9">
        <v>34.0</v>
      </c>
      <c r="I1517" s="10">
        <v>21.0</v>
      </c>
      <c r="J1517" s="11">
        <v>0.0</v>
      </c>
      <c r="K1517" s="9">
        <v>154.72</v>
      </c>
      <c r="L1517" s="7" t="s">
        <v>15</v>
      </c>
    </row>
    <row r="1518" ht="15.75" customHeight="1">
      <c r="A1518" s="6">
        <v>10830.0</v>
      </c>
      <c r="B1518" s="7" t="s">
        <v>48</v>
      </c>
      <c r="C1518" s="8">
        <v>45304.0</v>
      </c>
      <c r="D1518" s="8">
        <v>45346.0</v>
      </c>
      <c r="E1518" s="8">
        <v>45312.0</v>
      </c>
      <c r="F1518" s="8">
        <v>45329.0</v>
      </c>
      <c r="G1518" s="6">
        <v>6.0</v>
      </c>
      <c r="H1518" s="9">
        <v>25.0</v>
      </c>
      <c r="I1518" s="10">
        <v>6.0</v>
      </c>
      <c r="J1518" s="11">
        <v>0.0</v>
      </c>
      <c r="K1518" s="9">
        <v>81.83</v>
      </c>
      <c r="L1518" s="7" t="s">
        <v>17</v>
      </c>
    </row>
    <row r="1519" ht="15.75" customHeight="1">
      <c r="A1519" s="6">
        <v>10830.0</v>
      </c>
      <c r="B1519" s="7" t="s">
        <v>48</v>
      </c>
      <c r="C1519" s="8">
        <v>45304.0</v>
      </c>
      <c r="D1519" s="8">
        <v>45346.0</v>
      </c>
      <c r="E1519" s="8">
        <v>45312.0</v>
      </c>
      <c r="F1519" s="8">
        <v>45329.0</v>
      </c>
      <c r="G1519" s="6">
        <v>39.0</v>
      </c>
      <c r="H1519" s="9">
        <v>18.0</v>
      </c>
      <c r="I1519" s="10">
        <v>28.0</v>
      </c>
      <c r="J1519" s="11">
        <v>0.0</v>
      </c>
      <c r="K1519" s="9">
        <v>81.83</v>
      </c>
      <c r="L1519" s="7" t="s">
        <v>17</v>
      </c>
    </row>
    <row r="1520" ht="15.75" customHeight="1">
      <c r="A1520" s="6">
        <v>10830.0</v>
      </c>
      <c r="B1520" s="7" t="s">
        <v>48</v>
      </c>
      <c r="C1520" s="8">
        <v>45304.0</v>
      </c>
      <c r="D1520" s="8">
        <v>45346.0</v>
      </c>
      <c r="E1520" s="8">
        <v>45312.0</v>
      </c>
      <c r="F1520" s="8">
        <v>45329.0</v>
      </c>
      <c r="G1520" s="6">
        <v>60.0</v>
      </c>
      <c r="H1520" s="9">
        <v>34.0</v>
      </c>
      <c r="I1520" s="10">
        <v>30.0</v>
      </c>
      <c r="J1520" s="11">
        <v>0.0</v>
      </c>
      <c r="K1520" s="9">
        <v>81.83</v>
      </c>
      <c r="L1520" s="7" t="s">
        <v>17</v>
      </c>
    </row>
    <row r="1521" ht="15.75" customHeight="1">
      <c r="A1521" s="6">
        <v>10830.0</v>
      </c>
      <c r="B1521" s="7" t="s">
        <v>48</v>
      </c>
      <c r="C1521" s="8">
        <v>45304.0</v>
      </c>
      <c r="D1521" s="8">
        <v>45346.0</v>
      </c>
      <c r="E1521" s="8">
        <v>45312.0</v>
      </c>
      <c r="F1521" s="8">
        <v>45329.0</v>
      </c>
      <c r="G1521" s="6">
        <v>68.0</v>
      </c>
      <c r="H1521" s="9">
        <v>12.5</v>
      </c>
      <c r="I1521" s="10">
        <v>24.0</v>
      </c>
      <c r="J1521" s="11">
        <v>0.0</v>
      </c>
      <c r="K1521" s="9">
        <v>81.83</v>
      </c>
      <c r="L1521" s="7" t="s">
        <v>17</v>
      </c>
    </row>
    <row r="1522" ht="15.75" customHeight="1">
      <c r="A1522" s="6">
        <v>10831.0</v>
      </c>
      <c r="B1522" s="7" t="s">
        <v>80</v>
      </c>
      <c r="C1522" s="8">
        <v>45305.0</v>
      </c>
      <c r="D1522" s="8">
        <v>45333.0</v>
      </c>
      <c r="E1522" s="8">
        <v>45314.0</v>
      </c>
      <c r="F1522" s="8">
        <v>45326.0</v>
      </c>
      <c r="G1522" s="6">
        <v>19.0</v>
      </c>
      <c r="H1522" s="9">
        <v>9.2</v>
      </c>
      <c r="I1522" s="10">
        <v>2.0</v>
      </c>
      <c r="J1522" s="11">
        <v>0.0</v>
      </c>
      <c r="K1522" s="9">
        <v>72.19</v>
      </c>
      <c r="L1522" s="7" t="s">
        <v>17</v>
      </c>
    </row>
    <row r="1523" ht="15.75" customHeight="1">
      <c r="A1523" s="6">
        <v>10831.0</v>
      </c>
      <c r="B1523" s="7" t="s">
        <v>80</v>
      </c>
      <c r="C1523" s="8">
        <v>45305.0</v>
      </c>
      <c r="D1523" s="8">
        <v>45333.0</v>
      </c>
      <c r="E1523" s="8">
        <v>45314.0</v>
      </c>
      <c r="F1523" s="8">
        <v>45326.0</v>
      </c>
      <c r="G1523" s="6">
        <v>35.0</v>
      </c>
      <c r="H1523" s="9">
        <v>18.0</v>
      </c>
      <c r="I1523" s="10">
        <v>8.0</v>
      </c>
      <c r="J1523" s="11">
        <v>0.0</v>
      </c>
      <c r="K1523" s="9">
        <v>72.19</v>
      </c>
      <c r="L1523" s="7" t="s">
        <v>17</v>
      </c>
    </row>
    <row r="1524" ht="15.75" customHeight="1">
      <c r="A1524" s="6">
        <v>10831.0</v>
      </c>
      <c r="B1524" s="7" t="s">
        <v>80</v>
      </c>
      <c r="C1524" s="8">
        <v>45305.0</v>
      </c>
      <c r="D1524" s="8">
        <v>45333.0</v>
      </c>
      <c r="E1524" s="8">
        <v>45314.0</v>
      </c>
      <c r="F1524" s="8">
        <v>45326.0</v>
      </c>
      <c r="G1524" s="6">
        <v>38.0</v>
      </c>
      <c r="H1524" s="9">
        <v>263.5</v>
      </c>
      <c r="I1524" s="10">
        <v>8.0</v>
      </c>
      <c r="J1524" s="11">
        <v>0.0</v>
      </c>
      <c r="K1524" s="9">
        <v>72.19</v>
      </c>
      <c r="L1524" s="7" t="s">
        <v>17</v>
      </c>
    </row>
    <row r="1525" ht="15.75" customHeight="1">
      <c r="A1525" s="6">
        <v>10831.0</v>
      </c>
      <c r="B1525" s="7" t="s">
        <v>80</v>
      </c>
      <c r="C1525" s="8">
        <v>45305.0</v>
      </c>
      <c r="D1525" s="8">
        <v>45333.0</v>
      </c>
      <c r="E1525" s="8">
        <v>45314.0</v>
      </c>
      <c r="F1525" s="8">
        <v>45326.0</v>
      </c>
      <c r="G1525" s="6">
        <v>43.0</v>
      </c>
      <c r="H1525" s="9">
        <v>46.0</v>
      </c>
      <c r="I1525" s="10">
        <v>9.0</v>
      </c>
      <c r="J1525" s="11">
        <v>0.0</v>
      </c>
      <c r="K1525" s="9">
        <v>72.19</v>
      </c>
      <c r="L1525" s="7" t="s">
        <v>17</v>
      </c>
    </row>
    <row r="1526" ht="15.75" customHeight="1">
      <c r="A1526" s="6">
        <v>10832.0</v>
      </c>
      <c r="B1526" s="7" t="s">
        <v>68</v>
      </c>
      <c r="C1526" s="8">
        <v>45305.0</v>
      </c>
      <c r="D1526" s="8">
        <v>45333.0</v>
      </c>
      <c r="E1526" s="8">
        <v>45310.0</v>
      </c>
      <c r="F1526" s="8">
        <v>45317.0</v>
      </c>
      <c r="G1526" s="6">
        <v>13.0</v>
      </c>
      <c r="H1526" s="9">
        <v>6.0</v>
      </c>
      <c r="I1526" s="10">
        <v>3.0</v>
      </c>
      <c r="J1526" s="11">
        <v>0.2</v>
      </c>
      <c r="K1526" s="9">
        <v>43.26</v>
      </c>
      <c r="L1526" s="7" t="s">
        <v>17</v>
      </c>
    </row>
    <row r="1527" ht="15.75" customHeight="1">
      <c r="A1527" s="6">
        <v>10832.0</v>
      </c>
      <c r="B1527" s="7" t="s">
        <v>68</v>
      </c>
      <c r="C1527" s="8">
        <v>45305.0</v>
      </c>
      <c r="D1527" s="8">
        <v>45333.0</v>
      </c>
      <c r="E1527" s="8">
        <v>45310.0</v>
      </c>
      <c r="F1527" s="8">
        <v>45317.0</v>
      </c>
      <c r="G1527" s="6">
        <v>25.0</v>
      </c>
      <c r="H1527" s="9">
        <v>14.0</v>
      </c>
      <c r="I1527" s="10">
        <v>10.0</v>
      </c>
      <c r="J1527" s="11">
        <v>0.2</v>
      </c>
      <c r="K1527" s="9">
        <v>43.26</v>
      </c>
      <c r="L1527" s="7" t="s">
        <v>17</v>
      </c>
    </row>
    <row r="1528" ht="15.75" customHeight="1">
      <c r="A1528" s="6">
        <v>10832.0</v>
      </c>
      <c r="B1528" s="7" t="s">
        <v>68</v>
      </c>
      <c r="C1528" s="8">
        <v>45305.0</v>
      </c>
      <c r="D1528" s="8">
        <v>45333.0</v>
      </c>
      <c r="E1528" s="8">
        <v>45310.0</v>
      </c>
      <c r="F1528" s="8">
        <v>45317.0</v>
      </c>
      <c r="G1528" s="6">
        <v>44.0</v>
      </c>
      <c r="H1528" s="9">
        <v>19.45</v>
      </c>
      <c r="I1528" s="10">
        <v>16.0</v>
      </c>
      <c r="J1528" s="11">
        <v>0.2</v>
      </c>
      <c r="K1528" s="9">
        <v>43.26</v>
      </c>
      <c r="L1528" s="7" t="s">
        <v>17</v>
      </c>
    </row>
    <row r="1529" ht="15.75" customHeight="1">
      <c r="A1529" s="6">
        <v>10832.0</v>
      </c>
      <c r="B1529" s="7" t="s">
        <v>68</v>
      </c>
      <c r="C1529" s="8">
        <v>45305.0</v>
      </c>
      <c r="D1529" s="8">
        <v>45333.0</v>
      </c>
      <c r="E1529" s="8">
        <v>45310.0</v>
      </c>
      <c r="F1529" s="8">
        <v>45317.0</v>
      </c>
      <c r="G1529" s="6">
        <v>64.0</v>
      </c>
      <c r="H1529" s="9">
        <v>33.25</v>
      </c>
      <c r="I1529" s="10">
        <v>3.0</v>
      </c>
      <c r="J1529" s="11">
        <v>0.0</v>
      </c>
      <c r="K1529" s="9">
        <v>43.26</v>
      </c>
      <c r="L1529" s="7" t="s">
        <v>17</v>
      </c>
    </row>
    <row r="1530" ht="15.75" customHeight="1">
      <c r="A1530" s="6">
        <v>10833.0</v>
      </c>
      <c r="B1530" s="7" t="s">
        <v>26</v>
      </c>
      <c r="C1530" s="8">
        <v>45306.0</v>
      </c>
      <c r="D1530" s="8">
        <v>45334.0</v>
      </c>
      <c r="E1530" s="8">
        <v>45314.0</v>
      </c>
      <c r="F1530" s="8">
        <v>45320.0</v>
      </c>
      <c r="G1530" s="6">
        <v>7.0</v>
      </c>
      <c r="H1530" s="9">
        <v>30.0</v>
      </c>
      <c r="I1530" s="10">
        <v>20.0</v>
      </c>
      <c r="J1530" s="11">
        <v>0.1</v>
      </c>
      <c r="K1530" s="9">
        <v>71.49</v>
      </c>
      <c r="L1530" s="7" t="s">
        <v>17</v>
      </c>
    </row>
    <row r="1531" ht="15.75" customHeight="1">
      <c r="A1531" s="6">
        <v>10833.0</v>
      </c>
      <c r="B1531" s="7" t="s">
        <v>26</v>
      </c>
      <c r="C1531" s="8">
        <v>45306.0</v>
      </c>
      <c r="D1531" s="8">
        <v>45334.0</v>
      </c>
      <c r="E1531" s="8">
        <v>45314.0</v>
      </c>
      <c r="F1531" s="8">
        <v>45320.0</v>
      </c>
      <c r="G1531" s="6">
        <v>31.0</v>
      </c>
      <c r="H1531" s="9">
        <v>12.5</v>
      </c>
      <c r="I1531" s="10">
        <v>9.0</v>
      </c>
      <c r="J1531" s="11">
        <v>0.1</v>
      </c>
      <c r="K1531" s="9">
        <v>71.49</v>
      </c>
      <c r="L1531" s="7" t="s">
        <v>17</v>
      </c>
    </row>
    <row r="1532" ht="15.75" customHeight="1">
      <c r="A1532" s="6">
        <v>10833.0</v>
      </c>
      <c r="B1532" s="7" t="s">
        <v>26</v>
      </c>
      <c r="C1532" s="8">
        <v>45306.0</v>
      </c>
      <c r="D1532" s="8">
        <v>45334.0</v>
      </c>
      <c r="E1532" s="8">
        <v>45314.0</v>
      </c>
      <c r="F1532" s="8">
        <v>45320.0</v>
      </c>
      <c r="G1532" s="6">
        <v>53.0</v>
      </c>
      <c r="H1532" s="9">
        <v>32.8</v>
      </c>
      <c r="I1532" s="10">
        <v>9.0</v>
      </c>
      <c r="J1532" s="11">
        <v>0.1</v>
      </c>
      <c r="K1532" s="9">
        <v>71.49</v>
      </c>
      <c r="L1532" s="7" t="s">
        <v>17</v>
      </c>
    </row>
    <row r="1533" ht="15.75" customHeight="1">
      <c r="A1533" s="6">
        <v>10834.0</v>
      </c>
      <c r="B1533" s="7" t="s">
        <v>48</v>
      </c>
      <c r="C1533" s="8">
        <v>45306.0</v>
      </c>
      <c r="D1533" s="8">
        <v>45334.0</v>
      </c>
      <c r="E1533" s="8">
        <v>45310.0</v>
      </c>
      <c r="F1533" s="8">
        <v>45329.0</v>
      </c>
      <c r="G1533" s="6">
        <v>29.0</v>
      </c>
      <c r="H1533" s="9">
        <v>123.79</v>
      </c>
      <c r="I1533" s="10">
        <v>8.0</v>
      </c>
      <c r="J1533" s="11">
        <v>0.05</v>
      </c>
      <c r="K1533" s="9">
        <v>29.78</v>
      </c>
      <c r="L1533" s="7" t="s">
        <v>13</v>
      </c>
    </row>
    <row r="1534" ht="15.75" customHeight="1">
      <c r="A1534" s="6">
        <v>10834.0</v>
      </c>
      <c r="B1534" s="7" t="s">
        <v>48</v>
      </c>
      <c r="C1534" s="8">
        <v>45306.0</v>
      </c>
      <c r="D1534" s="8">
        <v>45334.0</v>
      </c>
      <c r="E1534" s="8">
        <v>45310.0</v>
      </c>
      <c r="F1534" s="8">
        <v>45329.0</v>
      </c>
      <c r="G1534" s="6">
        <v>30.0</v>
      </c>
      <c r="H1534" s="9">
        <v>25.89</v>
      </c>
      <c r="I1534" s="10">
        <v>20.0</v>
      </c>
      <c r="J1534" s="11">
        <v>0.05</v>
      </c>
      <c r="K1534" s="9">
        <v>29.78</v>
      </c>
      <c r="L1534" s="7" t="s">
        <v>13</v>
      </c>
    </row>
    <row r="1535" ht="15.75" customHeight="1">
      <c r="A1535" s="6">
        <v>10835.0</v>
      </c>
      <c r="B1535" s="7" t="s">
        <v>100</v>
      </c>
      <c r="C1535" s="8">
        <v>45306.0</v>
      </c>
      <c r="D1535" s="8">
        <v>45334.0</v>
      </c>
      <c r="E1535" s="8">
        <v>45312.0</v>
      </c>
      <c r="F1535" s="8">
        <v>45316.0</v>
      </c>
      <c r="G1535" s="6">
        <v>59.0</v>
      </c>
      <c r="H1535" s="9">
        <v>55.0</v>
      </c>
      <c r="I1535" s="10">
        <v>15.0</v>
      </c>
      <c r="J1535" s="11">
        <v>0.0</v>
      </c>
      <c r="K1535" s="9">
        <v>69.53</v>
      </c>
      <c r="L1535" s="7" t="s">
        <v>13</v>
      </c>
    </row>
    <row r="1536" ht="15.75" customHeight="1">
      <c r="A1536" s="6">
        <v>10835.0</v>
      </c>
      <c r="B1536" s="7" t="s">
        <v>100</v>
      </c>
      <c r="C1536" s="8">
        <v>45306.0</v>
      </c>
      <c r="D1536" s="8">
        <v>45334.0</v>
      </c>
      <c r="E1536" s="8">
        <v>45312.0</v>
      </c>
      <c r="F1536" s="8">
        <v>45316.0</v>
      </c>
      <c r="G1536" s="6">
        <v>77.0</v>
      </c>
      <c r="H1536" s="9">
        <v>13.0</v>
      </c>
      <c r="I1536" s="10">
        <v>2.0</v>
      </c>
      <c r="J1536" s="11">
        <v>0.2</v>
      </c>
      <c r="K1536" s="9">
        <v>69.53</v>
      </c>
      <c r="L1536" s="7" t="s">
        <v>13</v>
      </c>
    </row>
    <row r="1537" ht="15.75" customHeight="1">
      <c r="A1537" s="6">
        <v>10836.0</v>
      </c>
      <c r="B1537" s="7" t="s">
        <v>24</v>
      </c>
      <c r="C1537" s="8">
        <v>45307.0</v>
      </c>
      <c r="D1537" s="8">
        <v>45335.0</v>
      </c>
      <c r="E1537" s="8">
        <v>45312.0</v>
      </c>
      <c r="F1537" s="8">
        <v>45323.0</v>
      </c>
      <c r="G1537" s="6">
        <v>22.0</v>
      </c>
      <c r="H1537" s="9">
        <v>21.0</v>
      </c>
      <c r="I1537" s="10">
        <v>52.0</v>
      </c>
      <c r="J1537" s="11">
        <v>0.0</v>
      </c>
      <c r="K1537" s="9">
        <v>411.88</v>
      </c>
      <c r="L1537" s="7" t="s">
        <v>15</v>
      </c>
    </row>
    <row r="1538" ht="15.75" customHeight="1">
      <c r="A1538" s="6">
        <v>10836.0</v>
      </c>
      <c r="B1538" s="7" t="s">
        <v>24</v>
      </c>
      <c r="C1538" s="8">
        <v>45307.0</v>
      </c>
      <c r="D1538" s="8">
        <v>45335.0</v>
      </c>
      <c r="E1538" s="8">
        <v>45312.0</v>
      </c>
      <c r="F1538" s="8">
        <v>45323.0</v>
      </c>
      <c r="G1538" s="6">
        <v>35.0</v>
      </c>
      <c r="H1538" s="9">
        <v>18.0</v>
      </c>
      <c r="I1538" s="10">
        <v>6.0</v>
      </c>
      <c r="J1538" s="11">
        <v>0.0</v>
      </c>
      <c r="K1538" s="9">
        <v>411.88</v>
      </c>
      <c r="L1538" s="7" t="s">
        <v>15</v>
      </c>
    </row>
    <row r="1539" ht="15.75" customHeight="1">
      <c r="A1539" s="6">
        <v>10836.0</v>
      </c>
      <c r="B1539" s="7" t="s">
        <v>24</v>
      </c>
      <c r="C1539" s="8">
        <v>45307.0</v>
      </c>
      <c r="D1539" s="8">
        <v>45335.0</v>
      </c>
      <c r="E1539" s="8">
        <v>45312.0</v>
      </c>
      <c r="F1539" s="8">
        <v>45323.0</v>
      </c>
      <c r="G1539" s="6">
        <v>57.0</v>
      </c>
      <c r="H1539" s="9">
        <v>19.5</v>
      </c>
      <c r="I1539" s="10">
        <v>24.0</v>
      </c>
      <c r="J1539" s="11">
        <v>0.0</v>
      </c>
      <c r="K1539" s="9">
        <v>411.88</v>
      </c>
      <c r="L1539" s="7" t="s">
        <v>15</v>
      </c>
    </row>
    <row r="1540" ht="15.75" customHeight="1">
      <c r="A1540" s="6">
        <v>10836.0</v>
      </c>
      <c r="B1540" s="7" t="s">
        <v>24</v>
      </c>
      <c r="C1540" s="8">
        <v>45307.0</v>
      </c>
      <c r="D1540" s="8">
        <v>45335.0</v>
      </c>
      <c r="E1540" s="8">
        <v>45312.0</v>
      </c>
      <c r="F1540" s="8">
        <v>45323.0</v>
      </c>
      <c r="G1540" s="6">
        <v>60.0</v>
      </c>
      <c r="H1540" s="9">
        <v>34.0</v>
      </c>
      <c r="I1540" s="10">
        <v>60.0</v>
      </c>
      <c r="J1540" s="11">
        <v>0.0</v>
      </c>
      <c r="K1540" s="9">
        <v>411.88</v>
      </c>
      <c r="L1540" s="7" t="s">
        <v>15</v>
      </c>
    </row>
    <row r="1541" ht="15.75" customHeight="1">
      <c r="A1541" s="6">
        <v>10836.0</v>
      </c>
      <c r="B1541" s="7" t="s">
        <v>24</v>
      </c>
      <c r="C1541" s="8">
        <v>45307.0</v>
      </c>
      <c r="D1541" s="8">
        <v>45335.0</v>
      </c>
      <c r="E1541" s="8">
        <v>45312.0</v>
      </c>
      <c r="F1541" s="8">
        <v>45323.0</v>
      </c>
      <c r="G1541" s="6">
        <v>64.0</v>
      </c>
      <c r="H1541" s="9">
        <v>33.25</v>
      </c>
      <c r="I1541" s="10">
        <v>30.0</v>
      </c>
      <c r="J1541" s="11">
        <v>0.0</v>
      </c>
      <c r="K1541" s="9">
        <v>411.88</v>
      </c>
      <c r="L1541" s="7" t="s">
        <v>15</v>
      </c>
    </row>
    <row r="1542" ht="15.75" customHeight="1">
      <c r="A1542" s="6">
        <v>10837.0</v>
      </c>
      <c r="B1542" s="7" t="s">
        <v>40</v>
      </c>
      <c r="C1542" s="8">
        <v>45307.0</v>
      </c>
      <c r="D1542" s="8">
        <v>45335.0</v>
      </c>
      <c r="E1542" s="8">
        <v>45314.0</v>
      </c>
      <c r="F1542" s="8">
        <v>45323.0</v>
      </c>
      <c r="G1542" s="6">
        <v>13.0</v>
      </c>
      <c r="H1542" s="9">
        <v>6.0</v>
      </c>
      <c r="I1542" s="10">
        <v>6.0</v>
      </c>
      <c r="J1542" s="11">
        <v>0.0</v>
      </c>
      <c r="K1542" s="9">
        <v>13.32</v>
      </c>
      <c r="L1542" s="7" t="s">
        <v>13</v>
      </c>
    </row>
    <row r="1543" ht="15.75" customHeight="1">
      <c r="A1543" s="6">
        <v>10837.0</v>
      </c>
      <c r="B1543" s="7" t="s">
        <v>40</v>
      </c>
      <c r="C1543" s="8">
        <v>45307.0</v>
      </c>
      <c r="D1543" s="8">
        <v>45335.0</v>
      </c>
      <c r="E1543" s="8">
        <v>45314.0</v>
      </c>
      <c r="F1543" s="8">
        <v>45323.0</v>
      </c>
      <c r="G1543" s="6">
        <v>40.0</v>
      </c>
      <c r="H1543" s="9">
        <v>18.4</v>
      </c>
      <c r="I1543" s="10">
        <v>25.0</v>
      </c>
      <c r="J1543" s="11">
        <v>0.0</v>
      </c>
      <c r="K1543" s="9">
        <v>13.32</v>
      </c>
      <c r="L1543" s="7" t="s">
        <v>13</v>
      </c>
    </row>
    <row r="1544" ht="15.75" customHeight="1">
      <c r="A1544" s="6">
        <v>10837.0</v>
      </c>
      <c r="B1544" s="7" t="s">
        <v>40</v>
      </c>
      <c r="C1544" s="8">
        <v>45307.0</v>
      </c>
      <c r="D1544" s="8">
        <v>45335.0</v>
      </c>
      <c r="E1544" s="8">
        <v>45314.0</v>
      </c>
      <c r="F1544" s="8">
        <v>45323.0</v>
      </c>
      <c r="G1544" s="6">
        <v>47.0</v>
      </c>
      <c r="H1544" s="9">
        <v>9.5</v>
      </c>
      <c r="I1544" s="10">
        <v>40.0</v>
      </c>
      <c r="J1544" s="11">
        <v>0.25</v>
      </c>
      <c r="K1544" s="9">
        <v>13.32</v>
      </c>
      <c r="L1544" s="7" t="s">
        <v>13</v>
      </c>
    </row>
    <row r="1545" ht="15.75" customHeight="1">
      <c r="A1545" s="6">
        <v>10837.0</v>
      </c>
      <c r="B1545" s="7" t="s">
        <v>40</v>
      </c>
      <c r="C1545" s="8">
        <v>45307.0</v>
      </c>
      <c r="D1545" s="8">
        <v>45335.0</v>
      </c>
      <c r="E1545" s="8">
        <v>45314.0</v>
      </c>
      <c r="F1545" s="8">
        <v>45323.0</v>
      </c>
      <c r="G1545" s="6">
        <v>76.0</v>
      </c>
      <c r="H1545" s="9">
        <v>18.0</v>
      </c>
      <c r="I1545" s="10">
        <v>21.0</v>
      </c>
      <c r="J1545" s="11">
        <v>0.25</v>
      </c>
      <c r="K1545" s="9">
        <v>13.32</v>
      </c>
      <c r="L1545" s="7" t="s">
        <v>13</v>
      </c>
    </row>
    <row r="1546" ht="15.75" customHeight="1">
      <c r="A1546" s="6">
        <v>10838.0</v>
      </c>
      <c r="B1546" s="7" t="s">
        <v>82</v>
      </c>
      <c r="C1546" s="8">
        <v>45310.0</v>
      </c>
      <c r="D1546" s="8">
        <v>45338.0</v>
      </c>
      <c r="E1546" s="8">
        <v>45314.0</v>
      </c>
      <c r="F1546" s="8">
        <v>45327.0</v>
      </c>
      <c r="G1546" s="6">
        <v>1.0</v>
      </c>
      <c r="H1546" s="9">
        <v>18.0</v>
      </c>
      <c r="I1546" s="10">
        <v>4.0</v>
      </c>
      <c r="J1546" s="11">
        <v>0.25</v>
      </c>
      <c r="K1546" s="9">
        <v>59.28</v>
      </c>
      <c r="L1546" s="7" t="s">
        <v>13</v>
      </c>
    </row>
    <row r="1547" ht="15.75" customHeight="1">
      <c r="A1547" s="6">
        <v>10838.0</v>
      </c>
      <c r="B1547" s="7" t="s">
        <v>82</v>
      </c>
      <c r="C1547" s="8">
        <v>45310.0</v>
      </c>
      <c r="D1547" s="8">
        <v>45338.0</v>
      </c>
      <c r="E1547" s="8">
        <v>45314.0</v>
      </c>
      <c r="F1547" s="8">
        <v>45327.0</v>
      </c>
      <c r="G1547" s="6">
        <v>18.0</v>
      </c>
      <c r="H1547" s="9">
        <v>62.5</v>
      </c>
      <c r="I1547" s="10">
        <v>25.0</v>
      </c>
      <c r="J1547" s="11">
        <v>0.25</v>
      </c>
      <c r="K1547" s="9">
        <v>59.28</v>
      </c>
      <c r="L1547" s="7" t="s">
        <v>13</v>
      </c>
    </row>
    <row r="1548" ht="15.75" customHeight="1">
      <c r="A1548" s="6">
        <v>10838.0</v>
      </c>
      <c r="B1548" s="7" t="s">
        <v>82</v>
      </c>
      <c r="C1548" s="8">
        <v>45310.0</v>
      </c>
      <c r="D1548" s="8">
        <v>45338.0</v>
      </c>
      <c r="E1548" s="8">
        <v>45314.0</v>
      </c>
      <c r="F1548" s="8">
        <v>45327.0</v>
      </c>
      <c r="G1548" s="6">
        <v>36.0</v>
      </c>
      <c r="H1548" s="9">
        <v>19.0</v>
      </c>
      <c r="I1548" s="10">
        <v>50.0</v>
      </c>
      <c r="J1548" s="11">
        <v>0.25</v>
      </c>
      <c r="K1548" s="9">
        <v>59.28</v>
      </c>
      <c r="L1548" s="7" t="s">
        <v>13</v>
      </c>
    </row>
    <row r="1549" ht="15.75" customHeight="1">
      <c r="A1549" s="6">
        <v>10839.0</v>
      </c>
      <c r="B1549" s="7" t="s">
        <v>48</v>
      </c>
      <c r="C1549" s="8">
        <v>45310.0</v>
      </c>
      <c r="D1549" s="8">
        <v>45338.0</v>
      </c>
      <c r="E1549" s="8">
        <v>45313.0</v>
      </c>
      <c r="F1549" s="8">
        <v>45332.0</v>
      </c>
      <c r="G1549" s="6">
        <v>58.0</v>
      </c>
      <c r="H1549" s="9">
        <v>13.25</v>
      </c>
      <c r="I1549" s="10">
        <v>30.0</v>
      </c>
      <c r="J1549" s="11">
        <v>0.1</v>
      </c>
      <c r="K1549" s="9">
        <v>35.43</v>
      </c>
      <c r="L1549" s="7" t="s">
        <v>13</v>
      </c>
    </row>
    <row r="1550" ht="15.75" customHeight="1">
      <c r="A1550" s="6">
        <v>10839.0</v>
      </c>
      <c r="B1550" s="7" t="s">
        <v>48</v>
      </c>
      <c r="C1550" s="8">
        <v>45310.0</v>
      </c>
      <c r="D1550" s="8">
        <v>45338.0</v>
      </c>
      <c r="E1550" s="8">
        <v>45313.0</v>
      </c>
      <c r="F1550" s="8">
        <v>45332.0</v>
      </c>
      <c r="G1550" s="6">
        <v>72.0</v>
      </c>
      <c r="H1550" s="9">
        <v>34.8</v>
      </c>
      <c r="I1550" s="10">
        <v>15.0</v>
      </c>
      <c r="J1550" s="11">
        <v>0.1</v>
      </c>
      <c r="K1550" s="9">
        <v>35.43</v>
      </c>
      <c r="L1550" s="7" t="s">
        <v>13</v>
      </c>
    </row>
    <row r="1551" ht="15.75" customHeight="1">
      <c r="A1551" s="6">
        <v>10840.0</v>
      </c>
      <c r="B1551" s="7" t="s">
        <v>82</v>
      </c>
      <c r="C1551" s="8">
        <v>45310.0</v>
      </c>
      <c r="D1551" s="8">
        <v>45353.0</v>
      </c>
      <c r="E1551" s="8">
        <v>45338.0</v>
      </c>
      <c r="F1551" s="8">
        <v>45354.0</v>
      </c>
      <c r="G1551" s="6">
        <v>25.0</v>
      </c>
      <c r="H1551" s="9">
        <v>14.0</v>
      </c>
      <c r="I1551" s="10">
        <v>6.0</v>
      </c>
      <c r="J1551" s="11">
        <v>0.2</v>
      </c>
      <c r="K1551" s="9">
        <v>2.71</v>
      </c>
      <c r="L1551" s="7" t="s">
        <v>17</v>
      </c>
    </row>
    <row r="1552" ht="15.75" customHeight="1">
      <c r="A1552" s="6">
        <v>10840.0</v>
      </c>
      <c r="B1552" s="7" t="s">
        <v>82</v>
      </c>
      <c r="C1552" s="8">
        <v>45310.0</v>
      </c>
      <c r="D1552" s="8">
        <v>45353.0</v>
      </c>
      <c r="E1552" s="8">
        <v>45338.0</v>
      </c>
      <c r="F1552" s="8">
        <v>45354.0</v>
      </c>
      <c r="G1552" s="6">
        <v>39.0</v>
      </c>
      <c r="H1552" s="9">
        <v>18.0</v>
      </c>
      <c r="I1552" s="10">
        <v>10.0</v>
      </c>
      <c r="J1552" s="11">
        <v>0.2</v>
      </c>
      <c r="K1552" s="9">
        <v>2.71</v>
      </c>
      <c r="L1552" s="7" t="s">
        <v>17</v>
      </c>
    </row>
    <row r="1553" ht="15.75" customHeight="1">
      <c r="A1553" s="6">
        <v>10841.0</v>
      </c>
      <c r="B1553" s="7" t="s">
        <v>19</v>
      </c>
      <c r="C1553" s="8">
        <v>45311.0</v>
      </c>
      <c r="D1553" s="8">
        <v>45339.0</v>
      </c>
      <c r="E1553" s="8">
        <v>45320.0</v>
      </c>
      <c r="F1553" s="8">
        <v>45335.0</v>
      </c>
      <c r="G1553" s="6">
        <v>10.0</v>
      </c>
      <c r="H1553" s="9">
        <v>31.0</v>
      </c>
      <c r="I1553" s="10">
        <v>16.0</v>
      </c>
      <c r="J1553" s="11">
        <v>0.0</v>
      </c>
      <c r="K1553" s="9">
        <v>424.3</v>
      </c>
      <c r="L1553" s="7" t="s">
        <v>17</v>
      </c>
    </row>
    <row r="1554" ht="15.75" customHeight="1">
      <c r="A1554" s="6">
        <v>10841.0</v>
      </c>
      <c r="B1554" s="7" t="s">
        <v>19</v>
      </c>
      <c r="C1554" s="8">
        <v>45311.0</v>
      </c>
      <c r="D1554" s="8">
        <v>45339.0</v>
      </c>
      <c r="E1554" s="8">
        <v>45320.0</v>
      </c>
      <c r="F1554" s="8">
        <v>45335.0</v>
      </c>
      <c r="G1554" s="6">
        <v>56.0</v>
      </c>
      <c r="H1554" s="9">
        <v>38.0</v>
      </c>
      <c r="I1554" s="10">
        <v>30.0</v>
      </c>
      <c r="J1554" s="11">
        <v>0.0</v>
      </c>
      <c r="K1554" s="9">
        <v>424.3</v>
      </c>
      <c r="L1554" s="7" t="s">
        <v>17</v>
      </c>
    </row>
    <row r="1555" ht="15.75" customHeight="1">
      <c r="A1555" s="6">
        <v>10841.0</v>
      </c>
      <c r="B1555" s="7" t="s">
        <v>19</v>
      </c>
      <c r="C1555" s="8">
        <v>45311.0</v>
      </c>
      <c r="D1555" s="8">
        <v>45339.0</v>
      </c>
      <c r="E1555" s="8">
        <v>45320.0</v>
      </c>
      <c r="F1555" s="8">
        <v>45335.0</v>
      </c>
      <c r="G1555" s="6">
        <v>59.0</v>
      </c>
      <c r="H1555" s="9">
        <v>55.0</v>
      </c>
      <c r="I1555" s="10">
        <v>50.0</v>
      </c>
      <c r="J1555" s="11">
        <v>0.0</v>
      </c>
      <c r="K1555" s="9">
        <v>424.3</v>
      </c>
      <c r="L1555" s="7" t="s">
        <v>17</v>
      </c>
    </row>
    <row r="1556" ht="15.75" customHeight="1">
      <c r="A1556" s="6">
        <v>10841.0</v>
      </c>
      <c r="B1556" s="7" t="s">
        <v>19</v>
      </c>
      <c r="C1556" s="8">
        <v>45311.0</v>
      </c>
      <c r="D1556" s="8">
        <v>45339.0</v>
      </c>
      <c r="E1556" s="8">
        <v>45320.0</v>
      </c>
      <c r="F1556" s="8">
        <v>45335.0</v>
      </c>
      <c r="G1556" s="6">
        <v>77.0</v>
      </c>
      <c r="H1556" s="9">
        <v>13.0</v>
      </c>
      <c r="I1556" s="10">
        <v>15.0</v>
      </c>
      <c r="J1556" s="11">
        <v>0.0</v>
      </c>
      <c r="K1556" s="9">
        <v>424.3</v>
      </c>
      <c r="L1556" s="7" t="s">
        <v>17</v>
      </c>
    </row>
    <row r="1557" ht="15.75" customHeight="1">
      <c r="A1557" s="6">
        <v>10842.0</v>
      </c>
      <c r="B1557" s="7" t="s">
        <v>38</v>
      </c>
      <c r="C1557" s="8">
        <v>45311.0</v>
      </c>
      <c r="D1557" s="8">
        <v>45339.0</v>
      </c>
      <c r="E1557" s="8">
        <v>45320.0</v>
      </c>
      <c r="F1557" s="8">
        <v>45336.0</v>
      </c>
      <c r="G1557" s="6">
        <v>11.0</v>
      </c>
      <c r="H1557" s="9">
        <v>21.0</v>
      </c>
      <c r="I1557" s="10">
        <v>15.0</v>
      </c>
      <c r="J1557" s="11">
        <v>0.0</v>
      </c>
      <c r="K1557" s="9">
        <v>54.42</v>
      </c>
      <c r="L1557" s="7" t="s">
        <v>13</v>
      </c>
    </row>
    <row r="1558" ht="15.75" customHeight="1">
      <c r="A1558" s="6">
        <v>10842.0</v>
      </c>
      <c r="B1558" s="7" t="s">
        <v>38</v>
      </c>
      <c r="C1558" s="8">
        <v>45311.0</v>
      </c>
      <c r="D1558" s="8">
        <v>45339.0</v>
      </c>
      <c r="E1558" s="8">
        <v>45320.0</v>
      </c>
      <c r="F1558" s="8">
        <v>45336.0</v>
      </c>
      <c r="G1558" s="6">
        <v>43.0</v>
      </c>
      <c r="H1558" s="9">
        <v>46.0</v>
      </c>
      <c r="I1558" s="10">
        <v>5.0</v>
      </c>
      <c r="J1558" s="11">
        <v>0.0</v>
      </c>
      <c r="K1558" s="9">
        <v>54.42</v>
      </c>
      <c r="L1558" s="7" t="s">
        <v>13</v>
      </c>
    </row>
    <row r="1559" ht="15.75" customHeight="1">
      <c r="A1559" s="6">
        <v>10842.0</v>
      </c>
      <c r="B1559" s="7" t="s">
        <v>38</v>
      </c>
      <c r="C1559" s="8">
        <v>45311.0</v>
      </c>
      <c r="D1559" s="8">
        <v>45339.0</v>
      </c>
      <c r="E1559" s="8">
        <v>45320.0</v>
      </c>
      <c r="F1559" s="8">
        <v>45336.0</v>
      </c>
      <c r="G1559" s="6">
        <v>68.0</v>
      </c>
      <c r="H1559" s="9">
        <v>12.5</v>
      </c>
      <c r="I1559" s="10">
        <v>20.0</v>
      </c>
      <c r="J1559" s="11">
        <v>0.0</v>
      </c>
      <c r="K1559" s="9">
        <v>54.42</v>
      </c>
      <c r="L1559" s="7" t="s">
        <v>13</v>
      </c>
    </row>
    <row r="1560" ht="15.75" customHeight="1">
      <c r="A1560" s="6">
        <v>10842.0</v>
      </c>
      <c r="B1560" s="7" t="s">
        <v>38</v>
      </c>
      <c r="C1560" s="8">
        <v>45311.0</v>
      </c>
      <c r="D1560" s="8">
        <v>45339.0</v>
      </c>
      <c r="E1560" s="8">
        <v>45320.0</v>
      </c>
      <c r="F1560" s="8">
        <v>45336.0</v>
      </c>
      <c r="G1560" s="6">
        <v>70.0</v>
      </c>
      <c r="H1560" s="9">
        <v>15.0</v>
      </c>
      <c r="I1560" s="10">
        <v>12.0</v>
      </c>
      <c r="J1560" s="11">
        <v>0.0</v>
      </c>
      <c r="K1560" s="9">
        <v>54.42</v>
      </c>
      <c r="L1560" s="7" t="s">
        <v>13</v>
      </c>
    </row>
    <row r="1561" ht="15.75" customHeight="1">
      <c r="A1561" s="6">
        <v>10843.0</v>
      </c>
      <c r="B1561" s="7" t="s">
        <v>18</v>
      </c>
      <c r="C1561" s="8">
        <v>45312.0</v>
      </c>
      <c r="D1561" s="8">
        <v>45340.0</v>
      </c>
      <c r="E1561" s="8">
        <v>45317.0</v>
      </c>
      <c r="F1561" s="8">
        <v>45326.0</v>
      </c>
      <c r="G1561" s="6">
        <v>51.0</v>
      </c>
      <c r="H1561" s="9">
        <v>53.0</v>
      </c>
      <c r="I1561" s="10">
        <v>4.0</v>
      </c>
      <c r="J1561" s="11">
        <v>0.25</v>
      </c>
      <c r="K1561" s="9">
        <v>9.26</v>
      </c>
      <c r="L1561" s="7" t="s">
        <v>17</v>
      </c>
    </row>
    <row r="1562" ht="15.75" customHeight="1">
      <c r="A1562" s="6">
        <v>10844.0</v>
      </c>
      <c r="B1562" s="7" t="s">
        <v>69</v>
      </c>
      <c r="C1562" s="8">
        <v>45312.0</v>
      </c>
      <c r="D1562" s="8">
        <v>45340.0</v>
      </c>
      <c r="E1562" s="8">
        <v>45317.0</v>
      </c>
      <c r="F1562" s="8">
        <v>45330.0</v>
      </c>
      <c r="G1562" s="6">
        <v>22.0</v>
      </c>
      <c r="H1562" s="9">
        <v>21.0</v>
      </c>
      <c r="I1562" s="10">
        <v>35.0</v>
      </c>
      <c r="J1562" s="11">
        <v>0.0</v>
      </c>
      <c r="K1562" s="9">
        <v>25.22</v>
      </c>
      <c r="L1562" s="7" t="s">
        <v>17</v>
      </c>
    </row>
    <row r="1563" ht="15.75" customHeight="1">
      <c r="A1563" s="6">
        <v>10845.0</v>
      </c>
      <c r="B1563" s="7" t="s">
        <v>36</v>
      </c>
      <c r="C1563" s="8">
        <v>45312.0</v>
      </c>
      <c r="D1563" s="8">
        <v>45326.0</v>
      </c>
      <c r="E1563" s="8">
        <v>45321.0</v>
      </c>
      <c r="F1563" s="8">
        <v>45326.0</v>
      </c>
      <c r="G1563" s="6">
        <v>23.0</v>
      </c>
      <c r="H1563" s="9">
        <v>9.0</v>
      </c>
      <c r="I1563" s="10">
        <v>70.0</v>
      </c>
      <c r="J1563" s="11">
        <v>0.1</v>
      </c>
      <c r="K1563" s="9">
        <v>212.98</v>
      </c>
      <c r="L1563" s="7" t="s">
        <v>15</v>
      </c>
    </row>
    <row r="1564" ht="15.75" customHeight="1">
      <c r="A1564" s="6">
        <v>10845.0</v>
      </c>
      <c r="B1564" s="7" t="s">
        <v>36</v>
      </c>
      <c r="C1564" s="8">
        <v>45312.0</v>
      </c>
      <c r="D1564" s="8">
        <v>45326.0</v>
      </c>
      <c r="E1564" s="8">
        <v>45321.0</v>
      </c>
      <c r="F1564" s="8">
        <v>45326.0</v>
      </c>
      <c r="G1564" s="6">
        <v>35.0</v>
      </c>
      <c r="H1564" s="9">
        <v>18.0</v>
      </c>
      <c r="I1564" s="10">
        <v>25.0</v>
      </c>
      <c r="J1564" s="11">
        <v>0.1</v>
      </c>
      <c r="K1564" s="9">
        <v>212.98</v>
      </c>
      <c r="L1564" s="7" t="s">
        <v>15</v>
      </c>
    </row>
    <row r="1565" ht="15.75" customHeight="1">
      <c r="A1565" s="6">
        <v>10845.0</v>
      </c>
      <c r="B1565" s="7" t="s">
        <v>36</v>
      </c>
      <c r="C1565" s="8">
        <v>45312.0</v>
      </c>
      <c r="D1565" s="8">
        <v>45326.0</v>
      </c>
      <c r="E1565" s="8">
        <v>45321.0</v>
      </c>
      <c r="F1565" s="8">
        <v>45326.0</v>
      </c>
      <c r="G1565" s="6">
        <v>42.0</v>
      </c>
      <c r="H1565" s="9">
        <v>14.0</v>
      </c>
      <c r="I1565" s="10">
        <v>42.0</v>
      </c>
      <c r="J1565" s="11">
        <v>0.1</v>
      </c>
      <c r="K1565" s="9">
        <v>212.98</v>
      </c>
      <c r="L1565" s="7" t="s">
        <v>15</v>
      </c>
    </row>
    <row r="1566" ht="15.75" customHeight="1">
      <c r="A1566" s="6">
        <v>10845.0</v>
      </c>
      <c r="B1566" s="7" t="s">
        <v>36</v>
      </c>
      <c r="C1566" s="8">
        <v>45312.0</v>
      </c>
      <c r="D1566" s="8">
        <v>45326.0</v>
      </c>
      <c r="E1566" s="8">
        <v>45321.0</v>
      </c>
      <c r="F1566" s="8">
        <v>45326.0</v>
      </c>
      <c r="G1566" s="6">
        <v>58.0</v>
      </c>
      <c r="H1566" s="9">
        <v>13.25</v>
      </c>
      <c r="I1566" s="10">
        <v>60.0</v>
      </c>
      <c r="J1566" s="11">
        <v>0.1</v>
      </c>
      <c r="K1566" s="9">
        <v>212.98</v>
      </c>
      <c r="L1566" s="7" t="s">
        <v>15</v>
      </c>
    </row>
    <row r="1567" ht="15.75" customHeight="1">
      <c r="A1567" s="6">
        <v>10845.0</v>
      </c>
      <c r="B1567" s="7" t="s">
        <v>36</v>
      </c>
      <c r="C1567" s="8">
        <v>45312.0</v>
      </c>
      <c r="D1567" s="8">
        <v>45326.0</v>
      </c>
      <c r="E1567" s="8">
        <v>45321.0</v>
      </c>
      <c r="F1567" s="8">
        <v>45326.0</v>
      </c>
      <c r="G1567" s="6">
        <v>64.0</v>
      </c>
      <c r="H1567" s="9">
        <v>33.25</v>
      </c>
      <c r="I1567" s="10">
        <v>48.0</v>
      </c>
      <c r="J1567" s="11">
        <v>0.0</v>
      </c>
      <c r="K1567" s="9">
        <v>212.98</v>
      </c>
      <c r="L1567" s="7" t="s">
        <v>15</v>
      </c>
    </row>
    <row r="1568" ht="15.75" customHeight="1">
      <c r="A1568" s="6">
        <v>10846.0</v>
      </c>
      <c r="B1568" s="7" t="s">
        <v>19</v>
      </c>
      <c r="C1568" s="8">
        <v>45313.0</v>
      </c>
      <c r="D1568" s="8">
        <v>45356.0</v>
      </c>
      <c r="E1568" s="8">
        <v>45314.0</v>
      </c>
      <c r="F1568" s="8">
        <v>45328.0</v>
      </c>
      <c r="G1568" s="6">
        <v>4.0</v>
      </c>
      <c r="H1568" s="9">
        <v>22.0</v>
      </c>
      <c r="I1568" s="10">
        <v>21.0</v>
      </c>
      <c r="J1568" s="11">
        <v>0.0</v>
      </c>
      <c r="K1568" s="9">
        <v>56.46</v>
      </c>
      <c r="L1568" s="7" t="s">
        <v>13</v>
      </c>
    </row>
    <row r="1569" ht="15.75" customHeight="1">
      <c r="A1569" s="6">
        <v>10846.0</v>
      </c>
      <c r="B1569" s="7" t="s">
        <v>19</v>
      </c>
      <c r="C1569" s="8">
        <v>45313.0</v>
      </c>
      <c r="D1569" s="8">
        <v>45356.0</v>
      </c>
      <c r="E1569" s="8">
        <v>45314.0</v>
      </c>
      <c r="F1569" s="8">
        <v>45328.0</v>
      </c>
      <c r="G1569" s="6">
        <v>70.0</v>
      </c>
      <c r="H1569" s="9">
        <v>15.0</v>
      </c>
      <c r="I1569" s="10">
        <v>30.0</v>
      </c>
      <c r="J1569" s="11">
        <v>0.0</v>
      </c>
      <c r="K1569" s="9">
        <v>56.46</v>
      </c>
      <c r="L1569" s="7" t="s">
        <v>13</v>
      </c>
    </row>
    <row r="1570" ht="15.75" customHeight="1">
      <c r="A1570" s="6">
        <v>10846.0</v>
      </c>
      <c r="B1570" s="7" t="s">
        <v>19</v>
      </c>
      <c r="C1570" s="8">
        <v>45313.0</v>
      </c>
      <c r="D1570" s="8">
        <v>45356.0</v>
      </c>
      <c r="E1570" s="8">
        <v>45314.0</v>
      </c>
      <c r="F1570" s="8">
        <v>45328.0</v>
      </c>
      <c r="G1570" s="6">
        <v>74.0</v>
      </c>
      <c r="H1570" s="9">
        <v>10.0</v>
      </c>
      <c r="I1570" s="10">
        <v>20.0</v>
      </c>
      <c r="J1570" s="11">
        <v>0.0</v>
      </c>
      <c r="K1570" s="9">
        <v>56.46</v>
      </c>
      <c r="L1570" s="7" t="s">
        <v>13</v>
      </c>
    </row>
    <row r="1571" ht="15.75" customHeight="1">
      <c r="A1571" s="6">
        <v>10847.0</v>
      </c>
      <c r="B1571" s="7" t="s">
        <v>60</v>
      </c>
      <c r="C1571" s="8">
        <v>45313.0</v>
      </c>
      <c r="D1571" s="8">
        <v>45327.0</v>
      </c>
      <c r="E1571" s="8">
        <v>45332.0</v>
      </c>
      <c r="F1571" s="8">
        <v>45345.0</v>
      </c>
      <c r="G1571" s="6">
        <v>1.0</v>
      </c>
      <c r="H1571" s="9">
        <v>18.0</v>
      </c>
      <c r="I1571" s="10">
        <v>80.0</v>
      </c>
      <c r="J1571" s="11">
        <v>0.2</v>
      </c>
      <c r="K1571" s="9">
        <v>487.57</v>
      </c>
      <c r="L1571" s="7" t="s">
        <v>13</v>
      </c>
    </row>
    <row r="1572" ht="15.75" customHeight="1">
      <c r="A1572" s="6">
        <v>10847.0</v>
      </c>
      <c r="B1572" s="7" t="s">
        <v>60</v>
      </c>
      <c r="C1572" s="8">
        <v>45313.0</v>
      </c>
      <c r="D1572" s="8">
        <v>45327.0</v>
      </c>
      <c r="E1572" s="8">
        <v>45332.0</v>
      </c>
      <c r="F1572" s="8">
        <v>45345.0</v>
      </c>
      <c r="G1572" s="6">
        <v>19.0</v>
      </c>
      <c r="H1572" s="9">
        <v>9.2</v>
      </c>
      <c r="I1572" s="10">
        <v>12.0</v>
      </c>
      <c r="J1572" s="11">
        <v>0.2</v>
      </c>
      <c r="K1572" s="9">
        <v>487.57</v>
      </c>
      <c r="L1572" s="7" t="s">
        <v>13</v>
      </c>
    </row>
    <row r="1573" ht="15.75" customHeight="1">
      <c r="A1573" s="6">
        <v>10847.0</v>
      </c>
      <c r="B1573" s="7" t="s">
        <v>60</v>
      </c>
      <c r="C1573" s="8">
        <v>45313.0</v>
      </c>
      <c r="D1573" s="8">
        <v>45327.0</v>
      </c>
      <c r="E1573" s="8">
        <v>45332.0</v>
      </c>
      <c r="F1573" s="8">
        <v>45345.0</v>
      </c>
      <c r="G1573" s="6">
        <v>37.0</v>
      </c>
      <c r="H1573" s="9">
        <v>26.0</v>
      </c>
      <c r="I1573" s="10">
        <v>60.0</v>
      </c>
      <c r="J1573" s="11">
        <v>0.2</v>
      </c>
      <c r="K1573" s="9">
        <v>487.57</v>
      </c>
      <c r="L1573" s="7" t="s">
        <v>13</v>
      </c>
    </row>
    <row r="1574" ht="15.75" customHeight="1">
      <c r="A1574" s="6">
        <v>10847.0</v>
      </c>
      <c r="B1574" s="7" t="s">
        <v>60</v>
      </c>
      <c r="C1574" s="8">
        <v>45313.0</v>
      </c>
      <c r="D1574" s="8">
        <v>45327.0</v>
      </c>
      <c r="E1574" s="8">
        <v>45332.0</v>
      </c>
      <c r="F1574" s="8">
        <v>45345.0</v>
      </c>
      <c r="G1574" s="6">
        <v>45.0</v>
      </c>
      <c r="H1574" s="9">
        <v>9.5</v>
      </c>
      <c r="I1574" s="10">
        <v>36.0</v>
      </c>
      <c r="J1574" s="11">
        <v>0.2</v>
      </c>
      <c r="K1574" s="9">
        <v>487.57</v>
      </c>
      <c r="L1574" s="7" t="s">
        <v>13</v>
      </c>
    </row>
    <row r="1575" ht="15.75" customHeight="1">
      <c r="A1575" s="6">
        <v>10847.0</v>
      </c>
      <c r="B1575" s="7" t="s">
        <v>60</v>
      </c>
      <c r="C1575" s="8">
        <v>45313.0</v>
      </c>
      <c r="D1575" s="8">
        <v>45327.0</v>
      </c>
      <c r="E1575" s="8">
        <v>45332.0</v>
      </c>
      <c r="F1575" s="8">
        <v>45345.0</v>
      </c>
      <c r="G1575" s="6">
        <v>60.0</v>
      </c>
      <c r="H1575" s="9">
        <v>34.0</v>
      </c>
      <c r="I1575" s="10">
        <v>45.0</v>
      </c>
      <c r="J1575" s="11">
        <v>0.2</v>
      </c>
      <c r="K1575" s="9">
        <v>487.57</v>
      </c>
      <c r="L1575" s="7" t="s">
        <v>13</v>
      </c>
    </row>
    <row r="1576" ht="15.75" customHeight="1">
      <c r="A1576" s="6">
        <v>10847.0</v>
      </c>
      <c r="B1576" s="7" t="s">
        <v>60</v>
      </c>
      <c r="C1576" s="8">
        <v>45313.0</v>
      </c>
      <c r="D1576" s="8">
        <v>45327.0</v>
      </c>
      <c r="E1576" s="8">
        <v>45332.0</v>
      </c>
      <c r="F1576" s="8">
        <v>45345.0</v>
      </c>
      <c r="G1576" s="6">
        <v>71.0</v>
      </c>
      <c r="H1576" s="9">
        <v>21.5</v>
      </c>
      <c r="I1576" s="10">
        <v>55.0</v>
      </c>
      <c r="J1576" s="11">
        <v>0.2</v>
      </c>
      <c r="K1576" s="9">
        <v>487.57</v>
      </c>
      <c r="L1576" s="7" t="s">
        <v>13</v>
      </c>
    </row>
    <row r="1577" ht="15.75" customHeight="1">
      <c r="A1577" s="6">
        <v>10848.0</v>
      </c>
      <c r="B1577" s="7" t="s">
        <v>87</v>
      </c>
      <c r="C1577" s="8">
        <v>45314.0</v>
      </c>
      <c r="D1577" s="8">
        <v>45342.0</v>
      </c>
      <c r="E1577" s="8">
        <v>45320.0</v>
      </c>
      <c r="F1577" s="8">
        <v>45330.0</v>
      </c>
      <c r="G1577" s="6">
        <v>5.0</v>
      </c>
      <c r="H1577" s="9">
        <v>21.35</v>
      </c>
      <c r="I1577" s="10">
        <v>30.0</v>
      </c>
      <c r="J1577" s="11">
        <v>0.0</v>
      </c>
      <c r="K1577" s="9">
        <v>38.24</v>
      </c>
      <c r="L1577" s="7" t="s">
        <v>17</v>
      </c>
    </row>
    <row r="1578" ht="15.75" customHeight="1">
      <c r="A1578" s="6">
        <v>10848.0</v>
      </c>
      <c r="B1578" s="7" t="s">
        <v>87</v>
      </c>
      <c r="C1578" s="8">
        <v>45314.0</v>
      </c>
      <c r="D1578" s="8">
        <v>45342.0</v>
      </c>
      <c r="E1578" s="8">
        <v>45320.0</v>
      </c>
      <c r="F1578" s="8">
        <v>45330.0</v>
      </c>
      <c r="G1578" s="6">
        <v>9.0</v>
      </c>
      <c r="H1578" s="9">
        <v>97.0</v>
      </c>
      <c r="I1578" s="10">
        <v>3.0</v>
      </c>
      <c r="J1578" s="11">
        <v>0.0</v>
      </c>
      <c r="K1578" s="9">
        <v>38.24</v>
      </c>
      <c r="L1578" s="7" t="s">
        <v>17</v>
      </c>
    </row>
    <row r="1579" ht="15.75" customHeight="1">
      <c r="A1579" s="6">
        <v>10849.0</v>
      </c>
      <c r="B1579" s="7" t="s">
        <v>59</v>
      </c>
      <c r="C1579" s="8">
        <v>45314.0</v>
      </c>
      <c r="D1579" s="8">
        <v>45342.0</v>
      </c>
      <c r="E1579" s="8">
        <v>45321.0</v>
      </c>
      <c r="F1579" s="8">
        <v>45328.0</v>
      </c>
      <c r="G1579" s="6">
        <v>3.0</v>
      </c>
      <c r="H1579" s="9">
        <v>10.0</v>
      </c>
      <c r="I1579" s="10">
        <v>49.0</v>
      </c>
      <c r="J1579" s="11">
        <v>0.0</v>
      </c>
      <c r="K1579" s="9">
        <v>0.56</v>
      </c>
      <c r="L1579" s="7" t="s">
        <v>17</v>
      </c>
    </row>
    <row r="1580" ht="15.75" customHeight="1">
      <c r="A1580" s="6">
        <v>10849.0</v>
      </c>
      <c r="B1580" s="7" t="s">
        <v>59</v>
      </c>
      <c r="C1580" s="8">
        <v>45314.0</v>
      </c>
      <c r="D1580" s="8">
        <v>45342.0</v>
      </c>
      <c r="E1580" s="8">
        <v>45321.0</v>
      </c>
      <c r="F1580" s="8">
        <v>45328.0</v>
      </c>
      <c r="G1580" s="6">
        <v>26.0</v>
      </c>
      <c r="H1580" s="9">
        <v>31.23</v>
      </c>
      <c r="I1580" s="10">
        <v>18.0</v>
      </c>
      <c r="J1580" s="11">
        <v>0.15</v>
      </c>
      <c r="K1580" s="9">
        <v>0.56</v>
      </c>
      <c r="L1580" s="7" t="s">
        <v>17</v>
      </c>
    </row>
    <row r="1581" ht="15.75" customHeight="1">
      <c r="A1581" s="6">
        <v>10850.0</v>
      </c>
      <c r="B1581" s="7" t="s">
        <v>18</v>
      </c>
      <c r="C1581" s="8">
        <v>45314.0</v>
      </c>
      <c r="D1581" s="8">
        <v>45357.0</v>
      </c>
      <c r="E1581" s="8">
        <v>45321.0</v>
      </c>
      <c r="F1581" s="8">
        <v>45328.0</v>
      </c>
      <c r="G1581" s="6">
        <v>25.0</v>
      </c>
      <c r="H1581" s="9">
        <v>14.0</v>
      </c>
      <c r="I1581" s="10">
        <v>20.0</v>
      </c>
      <c r="J1581" s="11">
        <v>0.15</v>
      </c>
      <c r="K1581" s="9">
        <v>49.19</v>
      </c>
      <c r="L1581" s="7" t="s">
        <v>15</v>
      </c>
    </row>
    <row r="1582" ht="15.75" customHeight="1">
      <c r="A1582" s="6">
        <v>10850.0</v>
      </c>
      <c r="B1582" s="7" t="s">
        <v>18</v>
      </c>
      <c r="C1582" s="8">
        <v>45314.0</v>
      </c>
      <c r="D1582" s="8">
        <v>45357.0</v>
      </c>
      <c r="E1582" s="8">
        <v>45321.0</v>
      </c>
      <c r="F1582" s="8">
        <v>45328.0</v>
      </c>
      <c r="G1582" s="6">
        <v>33.0</v>
      </c>
      <c r="H1582" s="9">
        <v>2.5</v>
      </c>
      <c r="I1582" s="10">
        <v>4.0</v>
      </c>
      <c r="J1582" s="11">
        <v>0.15</v>
      </c>
      <c r="K1582" s="9">
        <v>49.19</v>
      </c>
      <c r="L1582" s="7" t="s">
        <v>15</v>
      </c>
    </row>
    <row r="1583" ht="15.75" customHeight="1">
      <c r="A1583" s="6">
        <v>10850.0</v>
      </c>
      <c r="B1583" s="7" t="s">
        <v>18</v>
      </c>
      <c r="C1583" s="8">
        <v>45314.0</v>
      </c>
      <c r="D1583" s="8">
        <v>45357.0</v>
      </c>
      <c r="E1583" s="8">
        <v>45321.0</v>
      </c>
      <c r="F1583" s="8">
        <v>45328.0</v>
      </c>
      <c r="G1583" s="6">
        <v>70.0</v>
      </c>
      <c r="H1583" s="9">
        <v>15.0</v>
      </c>
      <c r="I1583" s="10">
        <v>30.0</v>
      </c>
      <c r="J1583" s="11">
        <v>0.15</v>
      </c>
      <c r="K1583" s="9">
        <v>49.19</v>
      </c>
      <c r="L1583" s="7" t="s">
        <v>15</v>
      </c>
    </row>
    <row r="1584" ht="15.75" customHeight="1">
      <c r="A1584" s="6">
        <v>10851.0</v>
      </c>
      <c r="B1584" s="7" t="s">
        <v>44</v>
      </c>
      <c r="C1584" s="8">
        <v>45317.0</v>
      </c>
      <c r="D1584" s="8">
        <v>45345.0</v>
      </c>
      <c r="E1584" s="8">
        <v>45324.0</v>
      </c>
      <c r="F1584" s="8">
        <v>45338.0</v>
      </c>
      <c r="G1584" s="6">
        <v>2.0</v>
      </c>
      <c r="H1584" s="9">
        <v>19.0</v>
      </c>
      <c r="I1584" s="10">
        <v>5.0</v>
      </c>
      <c r="J1584" s="11">
        <v>0.05</v>
      </c>
      <c r="K1584" s="9">
        <v>160.55</v>
      </c>
      <c r="L1584" s="7" t="s">
        <v>15</v>
      </c>
    </row>
    <row r="1585" ht="15.75" customHeight="1">
      <c r="A1585" s="6">
        <v>10851.0</v>
      </c>
      <c r="B1585" s="7" t="s">
        <v>44</v>
      </c>
      <c r="C1585" s="8">
        <v>45317.0</v>
      </c>
      <c r="D1585" s="8">
        <v>45345.0</v>
      </c>
      <c r="E1585" s="8">
        <v>45324.0</v>
      </c>
      <c r="F1585" s="8">
        <v>45338.0</v>
      </c>
      <c r="G1585" s="6">
        <v>25.0</v>
      </c>
      <c r="H1585" s="9">
        <v>14.0</v>
      </c>
      <c r="I1585" s="10">
        <v>10.0</v>
      </c>
      <c r="J1585" s="11">
        <v>0.05</v>
      </c>
      <c r="K1585" s="9">
        <v>160.55</v>
      </c>
      <c r="L1585" s="7" t="s">
        <v>15</v>
      </c>
    </row>
    <row r="1586" ht="15.75" customHeight="1">
      <c r="A1586" s="6">
        <v>10851.0</v>
      </c>
      <c r="B1586" s="7" t="s">
        <v>44</v>
      </c>
      <c r="C1586" s="8">
        <v>45317.0</v>
      </c>
      <c r="D1586" s="8">
        <v>45345.0</v>
      </c>
      <c r="E1586" s="8">
        <v>45324.0</v>
      </c>
      <c r="F1586" s="8">
        <v>45338.0</v>
      </c>
      <c r="G1586" s="6">
        <v>57.0</v>
      </c>
      <c r="H1586" s="9">
        <v>19.5</v>
      </c>
      <c r="I1586" s="10">
        <v>10.0</v>
      </c>
      <c r="J1586" s="11">
        <v>0.05</v>
      </c>
      <c r="K1586" s="9">
        <v>160.55</v>
      </c>
      <c r="L1586" s="7" t="s">
        <v>15</v>
      </c>
    </row>
    <row r="1587" ht="15.75" customHeight="1">
      <c r="A1587" s="6">
        <v>10851.0</v>
      </c>
      <c r="B1587" s="7" t="s">
        <v>44</v>
      </c>
      <c r="C1587" s="8">
        <v>45317.0</v>
      </c>
      <c r="D1587" s="8">
        <v>45345.0</v>
      </c>
      <c r="E1587" s="8">
        <v>45324.0</v>
      </c>
      <c r="F1587" s="8">
        <v>45338.0</v>
      </c>
      <c r="G1587" s="6">
        <v>59.0</v>
      </c>
      <c r="H1587" s="9">
        <v>55.0</v>
      </c>
      <c r="I1587" s="10">
        <v>42.0</v>
      </c>
      <c r="J1587" s="11">
        <v>0.05</v>
      </c>
      <c r="K1587" s="9">
        <v>160.55</v>
      </c>
      <c r="L1587" s="7" t="s">
        <v>15</v>
      </c>
    </row>
    <row r="1588" ht="15.75" customHeight="1">
      <c r="A1588" s="6">
        <v>10852.0</v>
      </c>
      <c r="B1588" s="7" t="s">
        <v>28</v>
      </c>
      <c r="C1588" s="8">
        <v>45317.0</v>
      </c>
      <c r="D1588" s="8">
        <v>45331.0</v>
      </c>
      <c r="E1588" s="8">
        <v>45321.0</v>
      </c>
      <c r="F1588" s="8">
        <v>45335.0</v>
      </c>
      <c r="G1588" s="6">
        <v>2.0</v>
      </c>
      <c r="H1588" s="9">
        <v>19.0</v>
      </c>
      <c r="I1588" s="10">
        <v>15.0</v>
      </c>
      <c r="J1588" s="11">
        <v>0.0</v>
      </c>
      <c r="K1588" s="9">
        <v>174.05</v>
      </c>
      <c r="L1588" s="7" t="s">
        <v>15</v>
      </c>
    </row>
    <row r="1589" ht="15.75" customHeight="1">
      <c r="A1589" s="6">
        <v>10852.0</v>
      </c>
      <c r="B1589" s="7" t="s">
        <v>28</v>
      </c>
      <c r="C1589" s="8">
        <v>45317.0</v>
      </c>
      <c r="D1589" s="8">
        <v>45331.0</v>
      </c>
      <c r="E1589" s="8">
        <v>45321.0</v>
      </c>
      <c r="F1589" s="8">
        <v>45335.0</v>
      </c>
      <c r="G1589" s="6">
        <v>17.0</v>
      </c>
      <c r="H1589" s="9">
        <v>39.0</v>
      </c>
      <c r="I1589" s="10">
        <v>6.0</v>
      </c>
      <c r="J1589" s="11">
        <v>0.0</v>
      </c>
      <c r="K1589" s="9">
        <v>174.05</v>
      </c>
      <c r="L1589" s="7" t="s">
        <v>15</v>
      </c>
    </row>
    <row r="1590" ht="15.75" customHeight="1">
      <c r="A1590" s="6">
        <v>10852.0</v>
      </c>
      <c r="B1590" s="7" t="s">
        <v>28</v>
      </c>
      <c r="C1590" s="8">
        <v>45317.0</v>
      </c>
      <c r="D1590" s="8">
        <v>45331.0</v>
      </c>
      <c r="E1590" s="8">
        <v>45321.0</v>
      </c>
      <c r="F1590" s="8">
        <v>45335.0</v>
      </c>
      <c r="G1590" s="6">
        <v>62.0</v>
      </c>
      <c r="H1590" s="9">
        <v>49.3</v>
      </c>
      <c r="I1590" s="10">
        <v>50.0</v>
      </c>
      <c r="J1590" s="11">
        <v>0.0</v>
      </c>
      <c r="K1590" s="9">
        <v>174.05</v>
      </c>
      <c r="L1590" s="7" t="s">
        <v>15</v>
      </c>
    </row>
    <row r="1591" ht="15.75" customHeight="1">
      <c r="A1591" s="6">
        <v>10853.0</v>
      </c>
      <c r="B1591" s="7" t="s">
        <v>91</v>
      </c>
      <c r="C1591" s="8">
        <v>45318.0</v>
      </c>
      <c r="D1591" s="8">
        <v>45346.0</v>
      </c>
      <c r="E1591" s="8">
        <v>45325.0</v>
      </c>
      <c r="F1591" s="8">
        <v>45330.0</v>
      </c>
      <c r="G1591" s="6">
        <v>18.0</v>
      </c>
      <c r="H1591" s="9">
        <v>62.5</v>
      </c>
      <c r="I1591" s="10">
        <v>10.0</v>
      </c>
      <c r="J1591" s="11">
        <v>0.0</v>
      </c>
      <c r="K1591" s="9">
        <v>53.83</v>
      </c>
      <c r="L1591" s="7" t="s">
        <v>17</v>
      </c>
    </row>
    <row r="1592" ht="15.75" customHeight="1">
      <c r="A1592" s="6">
        <v>10854.0</v>
      </c>
      <c r="B1592" s="7" t="s">
        <v>24</v>
      </c>
      <c r="C1592" s="8">
        <v>45318.0</v>
      </c>
      <c r="D1592" s="8">
        <v>45346.0</v>
      </c>
      <c r="E1592" s="8">
        <v>45327.0</v>
      </c>
      <c r="F1592" s="8">
        <v>45343.0</v>
      </c>
      <c r="G1592" s="6">
        <v>10.0</v>
      </c>
      <c r="H1592" s="9">
        <v>31.0</v>
      </c>
      <c r="I1592" s="10">
        <v>100.0</v>
      </c>
      <c r="J1592" s="11">
        <v>0.15</v>
      </c>
      <c r="K1592" s="9">
        <v>100.22</v>
      </c>
      <c r="L1592" s="7" t="s">
        <v>17</v>
      </c>
    </row>
    <row r="1593" ht="15.75" customHeight="1">
      <c r="A1593" s="6">
        <v>10854.0</v>
      </c>
      <c r="B1593" s="7" t="s">
        <v>24</v>
      </c>
      <c r="C1593" s="8">
        <v>45318.0</v>
      </c>
      <c r="D1593" s="8">
        <v>45346.0</v>
      </c>
      <c r="E1593" s="8">
        <v>45327.0</v>
      </c>
      <c r="F1593" s="8">
        <v>45343.0</v>
      </c>
      <c r="G1593" s="6">
        <v>13.0</v>
      </c>
      <c r="H1593" s="9">
        <v>6.0</v>
      </c>
      <c r="I1593" s="10">
        <v>65.0</v>
      </c>
      <c r="J1593" s="11">
        <v>0.15</v>
      </c>
      <c r="K1593" s="9">
        <v>100.22</v>
      </c>
      <c r="L1593" s="7" t="s">
        <v>17</v>
      </c>
    </row>
    <row r="1594" ht="15.75" customHeight="1">
      <c r="A1594" s="6">
        <v>10855.0</v>
      </c>
      <c r="B1594" s="7" t="s">
        <v>52</v>
      </c>
      <c r="C1594" s="8">
        <v>45318.0</v>
      </c>
      <c r="D1594" s="8">
        <v>45346.0</v>
      </c>
      <c r="E1594" s="8">
        <v>45326.0</v>
      </c>
      <c r="F1594" s="8">
        <v>45339.0</v>
      </c>
      <c r="G1594" s="6">
        <v>16.0</v>
      </c>
      <c r="H1594" s="9">
        <v>17.45</v>
      </c>
      <c r="I1594" s="10">
        <v>50.0</v>
      </c>
      <c r="J1594" s="11">
        <v>0.0</v>
      </c>
      <c r="K1594" s="9">
        <v>170.97</v>
      </c>
      <c r="L1594" s="7" t="s">
        <v>15</v>
      </c>
    </row>
    <row r="1595" ht="15.75" customHeight="1">
      <c r="A1595" s="6">
        <v>10855.0</v>
      </c>
      <c r="B1595" s="7" t="s">
        <v>52</v>
      </c>
      <c r="C1595" s="8">
        <v>45318.0</v>
      </c>
      <c r="D1595" s="8">
        <v>45346.0</v>
      </c>
      <c r="E1595" s="8">
        <v>45326.0</v>
      </c>
      <c r="F1595" s="8">
        <v>45339.0</v>
      </c>
      <c r="G1595" s="6">
        <v>31.0</v>
      </c>
      <c r="H1595" s="9">
        <v>12.5</v>
      </c>
      <c r="I1595" s="10">
        <v>14.0</v>
      </c>
      <c r="J1595" s="11">
        <v>0.0</v>
      </c>
      <c r="K1595" s="9">
        <v>170.97</v>
      </c>
      <c r="L1595" s="7" t="s">
        <v>15</v>
      </c>
    </row>
    <row r="1596" ht="15.75" customHeight="1">
      <c r="A1596" s="6">
        <v>10855.0</v>
      </c>
      <c r="B1596" s="7" t="s">
        <v>52</v>
      </c>
      <c r="C1596" s="8">
        <v>45318.0</v>
      </c>
      <c r="D1596" s="8">
        <v>45346.0</v>
      </c>
      <c r="E1596" s="8">
        <v>45326.0</v>
      </c>
      <c r="F1596" s="8">
        <v>45339.0</v>
      </c>
      <c r="G1596" s="6">
        <v>56.0</v>
      </c>
      <c r="H1596" s="9">
        <v>38.0</v>
      </c>
      <c r="I1596" s="10">
        <v>24.0</v>
      </c>
      <c r="J1596" s="11">
        <v>0.0</v>
      </c>
      <c r="K1596" s="9">
        <v>170.97</v>
      </c>
      <c r="L1596" s="7" t="s">
        <v>15</v>
      </c>
    </row>
    <row r="1597" ht="15.75" customHeight="1">
      <c r="A1597" s="6">
        <v>10855.0</v>
      </c>
      <c r="B1597" s="7" t="s">
        <v>52</v>
      </c>
      <c r="C1597" s="8">
        <v>45318.0</v>
      </c>
      <c r="D1597" s="8">
        <v>45346.0</v>
      </c>
      <c r="E1597" s="8">
        <v>45326.0</v>
      </c>
      <c r="F1597" s="8">
        <v>45339.0</v>
      </c>
      <c r="G1597" s="6">
        <v>65.0</v>
      </c>
      <c r="H1597" s="9">
        <v>21.05</v>
      </c>
      <c r="I1597" s="10">
        <v>15.0</v>
      </c>
      <c r="J1597" s="11">
        <v>0.15</v>
      </c>
      <c r="K1597" s="9">
        <v>170.97</v>
      </c>
      <c r="L1597" s="7" t="s">
        <v>15</v>
      </c>
    </row>
    <row r="1598" ht="15.75" customHeight="1">
      <c r="A1598" s="6">
        <v>10856.0</v>
      </c>
      <c r="B1598" s="7" t="s">
        <v>74</v>
      </c>
      <c r="C1598" s="8">
        <v>45319.0</v>
      </c>
      <c r="D1598" s="8">
        <v>45347.0</v>
      </c>
      <c r="E1598" s="8">
        <v>45332.0</v>
      </c>
      <c r="F1598" s="8">
        <v>45346.0</v>
      </c>
      <c r="G1598" s="6">
        <v>2.0</v>
      </c>
      <c r="H1598" s="9">
        <v>19.0</v>
      </c>
      <c r="I1598" s="10">
        <v>20.0</v>
      </c>
      <c r="J1598" s="11">
        <v>0.0</v>
      </c>
      <c r="K1598" s="9">
        <v>58.43</v>
      </c>
      <c r="L1598" s="7" t="s">
        <v>17</v>
      </c>
    </row>
    <row r="1599" ht="15.75" customHeight="1">
      <c r="A1599" s="6">
        <v>10856.0</v>
      </c>
      <c r="B1599" s="7" t="s">
        <v>74</v>
      </c>
      <c r="C1599" s="8">
        <v>45319.0</v>
      </c>
      <c r="D1599" s="8">
        <v>45347.0</v>
      </c>
      <c r="E1599" s="8">
        <v>45332.0</v>
      </c>
      <c r="F1599" s="8">
        <v>45346.0</v>
      </c>
      <c r="G1599" s="6">
        <v>42.0</v>
      </c>
      <c r="H1599" s="9">
        <v>14.0</v>
      </c>
      <c r="I1599" s="10">
        <v>20.0</v>
      </c>
      <c r="J1599" s="11">
        <v>0.0</v>
      </c>
      <c r="K1599" s="9">
        <v>58.43</v>
      </c>
      <c r="L1599" s="7" t="s">
        <v>17</v>
      </c>
    </row>
    <row r="1600" ht="15.75" customHeight="1">
      <c r="A1600" s="6">
        <v>10857.0</v>
      </c>
      <c r="B1600" s="7" t="s">
        <v>40</v>
      </c>
      <c r="C1600" s="8">
        <v>45319.0</v>
      </c>
      <c r="D1600" s="8">
        <v>45347.0</v>
      </c>
      <c r="E1600" s="8">
        <v>45328.0</v>
      </c>
      <c r="F1600" s="8">
        <v>45338.0</v>
      </c>
      <c r="G1600" s="6">
        <v>3.0</v>
      </c>
      <c r="H1600" s="9">
        <v>10.0</v>
      </c>
      <c r="I1600" s="10">
        <v>30.0</v>
      </c>
      <c r="J1600" s="11">
        <v>0.0</v>
      </c>
      <c r="K1600" s="9">
        <v>188.85</v>
      </c>
      <c r="L1600" s="7" t="s">
        <v>17</v>
      </c>
    </row>
    <row r="1601" ht="15.75" customHeight="1">
      <c r="A1601" s="6">
        <v>10857.0</v>
      </c>
      <c r="B1601" s="7" t="s">
        <v>40</v>
      </c>
      <c r="C1601" s="8">
        <v>45319.0</v>
      </c>
      <c r="D1601" s="8">
        <v>45347.0</v>
      </c>
      <c r="E1601" s="8">
        <v>45328.0</v>
      </c>
      <c r="F1601" s="8">
        <v>45338.0</v>
      </c>
      <c r="G1601" s="6">
        <v>26.0</v>
      </c>
      <c r="H1601" s="9">
        <v>31.23</v>
      </c>
      <c r="I1601" s="10">
        <v>35.0</v>
      </c>
      <c r="J1601" s="11">
        <v>0.25</v>
      </c>
      <c r="K1601" s="9">
        <v>188.85</v>
      </c>
      <c r="L1601" s="7" t="s">
        <v>17</v>
      </c>
    </row>
    <row r="1602" ht="15.75" customHeight="1">
      <c r="A1602" s="6">
        <v>10857.0</v>
      </c>
      <c r="B1602" s="7" t="s">
        <v>40</v>
      </c>
      <c r="C1602" s="8">
        <v>45319.0</v>
      </c>
      <c r="D1602" s="8">
        <v>45347.0</v>
      </c>
      <c r="E1602" s="8">
        <v>45328.0</v>
      </c>
      <c r="F1602" s="8">
        <v>45338.0</v>
      </c>
      <c r="G1602" s="6">
        <v>29.0</v>
      </c>
      <c r="H1602" s="9">
        <v>123.79</v>
      </c>
      <c r="I1602" s="10">
        <v>10.0</v>
      </c>
      <c r="J1602" s="11">
        <v>0.25</v>
      </c>
      <c r="K1602" s="9">
        <v>188.85</v>
      </c>
      <c r="L1602" s="7" t="s">
        <v>17</v>
      </c>
    </row>
    <row r="1603" ht="15.75" customHeight="1">
      <c r="A1603" s="6">
        <v>10858.0</v>
      </c>
      <c r="B1603" s="7" t="s">
        <v>103</v>
      </c>
      <c r="C1603" s="8">
        <v>45320.0</v>
      </c>
      <c r="D1603" s="8">
        <v>45348.0</v>
      </c>
      <c r="E1603" s="8">
        <v>45325.0</v>
      </c>
      <c r="F1603" s="8">
        <v>45332.0</v>
      </c>
      <c r="G1603" s="6">
        <v>7.0</v>
      </c>
      <c r="H1603" s="9">
        <v>30.0</v>
      </c>
      <c r="I1603" s="10">
        <v>5.0</v>
      </c>
      <c r="J1603" s="11">
        <v>0.0</v>
      </c>
      <c r="K1603" s="9">
        <v>52.51</v>
      </c>
      <c r="L1603" s="7" t="s">
        <v>15</v>
      </c>
    </row>
    <row r="1604" ht="15.75" customHeight="1">
      <c r="A1604" s="6">
        <v>10858.0</v>
      </c>
      <c r="B1604" s="7" t="s">
        <v>103</v>
      </c>
      <c r="C1604" s="8">
        <v>45320.0</v>
      </c>
      <c r="D1604" s="8">
        <v>45348.0</v>
      </c>
      <c r="E1604" s="8">
        <v>45325.0</v>
      </c>
      <c r="F1604" s="8">
        <v>45332.0</v>
      </c>
      <c r="G1604" s="6">
        <v>27.0</v>
      </c>
      <c r="H1604" s="9">
        <v>43.9</v>
      </c>
      <c r="I1604" s="10">
        <v>10.0</v>
      </c>
      <c r="J1604" s="11">
        <v>0.0</v>
      </c>
      <c r="K1604" s="9">
        <v>52.51</v>
      </c>
      <c r="L1604" s="7" t="s">
        <v>15</v>
      </c>
    </row>
    <row r="1605" ht="15.75" customHeight="1">
      <c r="A1605" s="6">
        <v>10858.0</v>
      </c>
      <c r="B1605" s="7" t="s">
        <v>103</v>
      </c>
      <c r="C1605" s="8">
        <v>45320.0</v>
      </c>
      <c r="D1605" s="8">
        <v>45348.0</v>
      </c>
      <c r="E1605" s="8">
        <v>45325.0</v>
      </c>
      <c r="F1605" s="8">
        <v>45332.0</v>
      </c>
      <c r="G1605" s="6">
        <v>70.0</v>
      </c>
      <c r="H1605" s="9">
        <v>15.0</v>
      </c>
      <c r="I1605" s="10">
        <v>4.0</v>
      </c>
      <c r="J1605" s="11">
        <v>0.0</v>
      </c>
      <c r="K1605" s="9">
        <v>52.51</v>
      </c>
      <c r="L1605" s="7" t="s">
        <v>15</v>
      </c>
    </row>
    <row r="1606" ht="15.75" customHeight="1">
      <c r="A1606" s="6">
        <v>10859.0</v>
      </c>
      <c r="B1606" s="7" t="s">
        <v>32</v>
      </c>
      <c r="C1606" s="8">
        <v>45320.0</v>
      </c>
      <c r="D1606" s="8">
        <v>45348.0</v>
      </c>
      <c r="E1606" s="8">
        <v>45324.0</v>
      </c>
      <c r="F1606" s="8">
        <v>45329.0</v>
      </c>
      <c r="G1606" s="6">
        <v>24.0</v>
      </c>
      <c r="H1606" s="9">
        <v>4.5</v>
      </c>
      <c r="I1606" s="10">
        <v>40.0</v>
      </c>
      <c r="J1606" s="11">
        <v>0.25</v>
      </c>
      <c r="K1606" s="9">
        <v>76.1</v>
      </c>
      <c r="L1606" s="7" t="s">
        <v>17</v>
      </c>
    </row>
    <row r="1607" ht="15.75" customHeight="1">
      <c r="A1607" s="6">
        <v>10859.0</v>
      </c>
      <c r="B1607" s="7" t="s">
        <v>32</v>
      </c>
      <c r="C1607" s="8">
        <v>45320.0</v>
      </c>
      <c r="D1607" s="8">
        <v>45348.0</v>
      </c>
      <c r="E1607" s="8">
        <v>45324.0</v>
      </c>
      <c r="F1607" s="8">
        <v>45329.0</v>
      </c>
      <c r="G1607" s="6">
        <v>54.0</v>
      </c>
      <c r="H1607" s="9">
        <v>7.45</v>
      </c>
      <c r="I1607" s="10">
        <v>35.0</v>
      </c>
      <c r="J1607" s="11">
        <v>0.25</v>
      </c>
      <c r="K1607" s="9">
        <v>76.1</v>
      </c>
      <c r="L1607" s="7" t="s">
        <v>17</v>
      </c>
    </row>
    <row r="1608" ht="15.75" customHeight="1">
      <c r="A1608" s="6">
        <v>10859.0</v>
      </c>
      <c r="B1608" s="7" t="s">
        <v>32</v>
      </c>
      <c r="C1608" s="8">
        <v>45320.0</v>
      </c>
      <c r="D1608" s="8">
        <v>45348.0</v>
      </c>
      <c r="E1608" s="8">
        <v>45324.0</v>
      </c>
      <c r="F1608" s="8">
        <v>45329.0</v>
      </c>
      <c r="G1608" s="6">
        <v>64.0</v>
      </c>
      <c r="H1608" s="9">
        <v>33.25</v>
      </c>
      <c r="I1608" s="10">
        <v>30.0</v>
      </c>
      <c r="J1608" s="11">
        <v>0.25</v>
      </c>
      <c r="K1608" s="9">
        <v>76.1</v>
      </c>
      <c r="L1608" s="7" t="s">
        <v>17</v>
      </c>
    </row>
    <row r="1609" ht="15.75" customHeight="1">
      <c r="A1609" s="6">
        <v>10860.0</v>
      </c>
      <c r="B1609" s="7" t="s">
        <v>101</v>
      </c>
      <c r="C1609" s="8">
        <v>45320.0</v>
      </c>
      <c r="D1609" s="8">
        <v>45348.0</v>
      </c>
      <c r="E1609" s="8">
        <v>45326.0</v>
      </c>
      <c r="F1609" s="8">
        <v>45333.0</v>
      </c>
      <c r="G1609" s="6">
        <v>51.0</v>
      </c>
      <c r="H1609" s="9">
        <v>53.0</v>
      </c>
      <c r="I1609" s="10">
        <v>3.0</v>
      </c>
      <c r="J1609" s="11">
        <v>0.0</v>
      </c>
      <c r="K1609" s="9">
        <v>19.26</v>
      </c>
      <c r="L1609" s="7" t="s">
        <v>13</v>
      </c>
    </row>
    <row r="1610" ht="15.75" customHeight="1">
      <c r="A1610" s="6">
        <v>10860.0</v>
      </c>
      <c r="B1610" s="7" t="s">
        <v>101</v>
      </c>
      <c r="C1610" s="8">
        <v>45320.0</v>
      </c>
      <c r="D1610" s="8">
        <v>45348.0</v>
      </c>
      <c r="E1610" s="8">
        <v>45326.0</v>
      </c>
      <c r="F1610" s="8">
        <v>45333.0</v>
      </c>
      <c r="G1610" s="6">
        <v>76.0</v>
      </c>
      <c r="H1610" s="9">
        <v>18.0</v>
      </c>
      <c r="I1610" s="10">
        <v>20.0</v>
      </c>
      <c r="J1610" s="11">
        <v>0.0</v>
      </c>
      <c r="K1610" s="9">
        <v>19.26</v>
      </c>
      <c r="L1610" s="7" t="s">
        <v>13</v>
      </c>
    </row>
    <row r="1611" ht="15.75" customHeight="1">
      <c r="A1611" s="6">
        <v>10861.0</v>
      </c>
      <c r="B1611" s="7" t="s">
        <v>34</v>
      </c>
      <c r="C1611" s="8">
        <v>45321.0</v>
      </c>
      <c r="D1611" s="8">
        <v>45349.0</v>
      </c>
      <c r="E1611" s="8">
        <v>45339.0</v>
      </c>
      <c r="F1611" s="8">
        <v>45357.0</v>
      </c>
      <c r="G1611" s="6">
        <v>17.0</v>
      </c>
      <c r="H1611" s="9">
        <v>39.0</v>
      </c>
      <c r="I1611" s="10">
        <v>42.0</v>
      </c>
      <c r="J1611" s="11">
        <v>0.0</v>
      </c>
      <c r="K1611" s="9">
        <v>14.93</v>
      </c>
      <c r="L1611" s="7" t="s">
        <v>17</v>
      </c>
    </row>
    <row r="1612" ht="15.75" customHeight="1">
      <c r="A1612" s="6">
        <v>10861.0</v>
      </c>
      <c r="B1612" s="7" t="s">
        <v>34</v>
      </c>
      <c r="C1612" s="8">
        <v>45321.0</v>
      </c>
      <c r="D1612" s="8">
        <v>45349.0</v>
      </c>
      <c r="E1612" s="8">
        <v>45339.0</v>
      </c>
      <c r="F1612" s="8">
        <v>45357.0</v>
      </c>
      <c r="G1612" s="6">
        <v>18.0</v>
      </c>
      <c r="H1612" s="9">
        <v>62.5</v>
      </c>
      <c r="I1612" s="10">
        <v>20.0</v>
      </c>
      <c r="J1612" s="11">
        <v>0.0</v>
      </c>
      <c r="K1612" s="9">
        <v>14.93</v>
      </c>
      <c r="L1612" s="7" t="s">
        <v>17</v>
      </c>
    </row>
    <row r="1613" ht="15.75" customHeight="1">
      <c r="A1613" s="6">
        <v>10861.0</v>
      </c>
      <c r="B1613" s="7" t="s">
        <v>34</v>
      </c>
      <c r="C1613" s="8">
        <v>45321.0</v>
      </c>
      <c r="D1613" s="8">
        <v>45349.0</v>
      </c>
      <c r="E1613" s="8">
        <v>45339.0</v>
      </c>
      <c r="F1613" s="8">
        <v>45357.0</v>
      </c>
      <c r="G1613" s="6">
        <v>21.0</v>
      </c>
      <c r="H1613" s="9">
        <v>10.0</v>
      </c>
      <c r="I1613" s="10">
        <v>40.0</v>
      </c>
      <c r="J1613" s="11">
        <v>0.0</v>
      </c>
      <c r="K1613" s="9">
        <v>14.93</v>
      </c>
      <c r="L1613" s="7" t="s">
        <v>17</v>
      </c>
    </row>
    <row r="1614" ht="15.75" customHeight="1">
      <c r="A1614" s="6">
        <v>10861.0</v>
      </c>
      <c r="B1614" s="7" t="s">
        <v>34</v>
      </c>
      <c r="C1614" s="8">
        <v>45321.0</v>
      </c>
      <c r="D1614" s="8">
        <v>45349.0</v>
      </c>
      <c r="E1614" s="8">
        <v>45339.0</v>
      </c>
      <c r="F1614" s="8">
        <v>45357.0</v>
      </c>
      <c r="G1614" s="6">
        <v>33.0</v>
      </c>
      <c r="H1614" s="9">
        <v>2.5</v>
      </c>
      <c r="I1614" s="10">
        <v>35.0</v>
      </c>
      <c r="J1614" s="11">
        <v>0.0</v>
      </c>
      <c r="K1614" s="9">
        <v>14.93</v>
      </c>
      <c r="L1614" s="7" t="s">
        <v>17</v>
      </c>
    </row>
    <row r="1615" ht="15.75" customHeight="1">
      <c r="A1615" s="6">
        <v>10861.0</v>
      </c>
      <c r="B1615" s="7" t="s">
        <v>34</v>
      </c>
      <c r="C1615" s="8">
        <v>45321.0</v>
      </c>
      <c r="D1615" s="8">
        <v>45349.0</v>
      </c>
      <c r="E1615" s="8">
        <v>45339.0</v>
      </c>
      <c r="F1615" s="8">
        <v>45357.0</v>
      </c>
      <c r="G1615" s="6">
        <v>62.0</v>
      </c>
      <c r="H1615" s="9">
        <v>49.3</v>
      </c>
      <c r="I1615" s="10">
        <v>3.0</v>
      </c>
      <c r="J1615" s="11">
        <v>0.0</v>
      </c>
      <c r="K1615" s="9">
        <v>14.93</v>
      </c>
      <c r="L1615" s="7" t="s">
        <v>17</v>
      </c>
    </row>
    <row r="1616" ht="15.75" customHeight="1">
      <c r="A1616" s="6">
        <v>10862.0</v>
      </c>
      <c r="B1616" s="7" t="s">
        <v>41</v>
      </c>
      <c r="C1616" s="8">
        <v>45321.0</v>
      </c>
      <c r="D1616" s="8">
        <v>45364.0</v>
      </c>
      <c r="E1616" s="8">
        <v>45324.0</v>
      </c>
      <c r="F1616" s="8">
        <v>45330.0</v>
      </c>
      <c r="G1616" s="6">
        <v>11.0</v>
      </c>
      <c r="H1616" s="9">
        <v>21.0</v>
      </c>
      <c r="I1616" s="10">
        <v>25.0</v>
      </c>
      <c r="J1616" s="11">
        <v>0.0</v>
      </c>
      <c r="K1616" s="9">
        <v>53.23</v>
      </c>
      <c r="L1616" s="7" t="s">
        <v>17</v>
      </c>
    </row>
    <row r="1617" ht="15.75" customHeight="1">
      <c r="A1617" s="6">
        <v>10862.0</v>
      </c>
      <c r="B1617" s="7" t="s">
        <v>41</v>
      </c>
      <c r="C1617" s="8">
        <v>45321.0</v>
      </c>
      <c r="D1617" s="8">
        <v>45364.0</v>
      </c>
      <c r="E1617" s="8">
        <v>45324.0</v>
      </c>
      <c r="F1617" s="8">
        <v>45330.0</v>
      </c>
      <c r="G1617" s="6">
        <v>52.0</v>
      </c>
      <c r="H1617" s="9">
        <v>7.0</v>
      </c>
      <c r="I1617" s="10">
        <v>8.0</v>
      </c>
      <c r="J1617" s="11">
        <v>0.0</v>
      </c>
      <c r="K1617" s="9">
        <v>53.23</v>
      </c>
      <c r="L1617" s="7" t="s">
        <v>17</v>
      </c>
    </row>
    <row r="1618" ht="15.75" customHeight="1">
      <c r="A1618" s="6">
        <v>10863.0</v>
      </c>
      <c r="B1618" s="7" t="s">
        <v>23</v>
      </c>
      <c r="C1618" s="8">
        <v>45324.0</v>
      </c>
      <c r="D1618" s="8">
        <v>45353.0</v>
      </c>
      <c r="E1618" s="8">
        <v>45339.0</v>
      </c>
      <c r="F1618" s="8">
        <v>45353.0</v>
      </c>
      <c r="G1618" s="6">
        <v>1.0</v>
      </c>
      <c r="H1618" s="9">
        <v>18.0</v>
      </c>
      <c r="I1618" s="10">
        <v>20.0</v>
      </c>
      <c r="J1618" s="11">
        <v>0.15</v>
      </c>
      <c r="K1618" s="9">
        <v>30.26</v>
      </c>
      <c r="L1618" s="7" t="s">
        <v>17</v>
      </c>
    </row>
    <row r="1619" ht="15.75" customHeight="1">
      <c r="A1619" s="6">
        <v>10863.0</v>
      </c>
      <c r="B1619" s="7" t="s">
        <v>23</v>
      </c>
      <c r="C1619" s="8">
        <v>45324.0</v>
      </c>
      <c r="D1619" s="8">
        <v>45353.0</v>
      </c>
      <c r="E1619" s="8">
        <v>45339.0</v>
      </c>
      <c r="F1619" s="8">
        <v>45353.0</v>
      </c>
      <c r="G1619" s="6">
        <v>58.0</v>
      </c>
      <c r="H1619" s="9">
        <v>13.25</v>
      </c>
      <c r="I1619" s="10">
        <v>12.0</v>
      </c>
      <c r="J1619" s="11">
        <v>0.15</v>
      </c>
      <c r="K1619" s="9">
        <v>30.26</v>
      </c>
      <c r="L1619" s="7" t="s">
        <v>17</v>
      </c>
    </row>
    <row r="1620" ht="15.75" customHeight="1">
      <c r="A1620" s="6">
        <v>10864.0</v>
      </c>
      <c r="B1620" s="7" t="s">
        <v>70</v>
      </c>
      <c r="C1620" s="8">
        <v>45324.0</v>
      </c>
      <c r="D1620" s="8">
        <v>45353.0</v>
      </c>
      <c r="E1620" s="8">
        <v>45331.0</v>
      </c>
      <c r="F1620" s="8">
        <v>45341.0</v>
      </c>
      <c r="G1620" s="6">
        <v>35.0</v>
      </c>
      <c r="H1620" s="9">
        <v>18.0</v>
      </c>
      <c r="I1620" s="10">
        <v>4.0</v>
      </c>
      <c r="J1620" s="11">
        <v>0.0</v>
      </c>
      <c r="K1620" s="9">
        <v>3.04</v>
      </c>
      <c r="L1620" s="7" t="s">
        <v>17</v>
      </c>
    </row>
    <row r="1621" ht="15.75" customHeight="1">
      <c r="A1621" s="6">
        <v>10864.0</v>
      </c>
      <c r="B1621" s="7" t="s">
        <v>70</v>
      </c>
      <c r="C1621" s="8">
        <v>45324.0</v>
      </c>
      <c r="D1621" s="8">
        <v>45353.0</v>
      </c>
      <c r="E1621" s="8">
        <v>45331.0</v>
      </c>
      <c r="F1621" s="8">
        <v>45341.0</v>
      </c>
      <c r="G1621" s="6">
        <v>67.0</v>
      </c>
      <c r="H1621" s="9">
        <v>14.0</v>
      </c>
      <c r="I1621" s="10">
        <v>15.0</v>
      </c>
      <c r="J1621" s="11">
        <v>0.0</v>
      </c>
      <c r="K1621" s="9">
        <v>3.04</v>
      </c>
      <c r="L1621" s="7" t="s">
        <v>17</v>
      </c>
    </row>
    <row r="1622" ht="15.75" customHeight="1">
      <c r="A1622" s="6">
        <v>10865.0</v>
      </c>
      <c r="B1622" s="7" t="s">
        <v>36</v>
      </c>
      <c r="C1622" s="8">
        <v>45324.0</v>
      </c>
      <c r="D1622" s="8">
        <v>45338.0</v>
      </c>
      <c r="E1622" s="8">
        <v>45334.0</v>
      </c>
      <c r="F1622" s="8">
        <v>45335.0</v>
      </c>
      <c r="G1622" s="6">
        <v>38.0</v>
      </c>
      <c r="H1622" s="9">
        <v>263.5</v>
      </c>
      <c r="I1622" s="10">
        <v>60.0</v>
      </c>
      <c r="J1622" s="11">
        <v>0.05</v>
      </c>
      <c r="K1622" s="9">
        <v>348.14</v>
      </c>
      <c r="L1622" s="7" t="s">
        <v>15</v>
      </c>
    </row>
    <row r="1623" ht="15.75" customHeight="1">
      <c r="A1623" s="6">
        <v>10865.0</v>
      </c>
      <c r="B1623" s="7" t="s">
        <v>36</v>
      </c>
      <c r="C1623" s="8">
        <v>45324.0</v>
      </c>
      <c r="D1623" s="8">
        <v>45338.0</v>
      </c>
      <c r="E1623" s="8">
        <v>45334.0</v>
      </c>
      <c r="F1623" s="8">
        <v>45335.0</v>
      </c>
      <c r="G1623" s="6">
        <v>39.0</v>
      </c>
      <c r="H1623" s="9">
        <v>18.0</v>
      </c>
      <c r="I1623" s="10">
        <v>80.0</v>
      </c>
      <c r="J1623" s="11">
        <v>0.05</v>
      </c>
      <c r="K1623" s="9">
        <v>348.14</v>
      </c>
      <c r="L1623" s="7" t="s">
        <v>15</v>
      </c>
    </row>
    <row r="1624" ht="15.75" customHeight="1">
      <c r="A1624" s="6">
        <v>10866.0</v>
      </c>
      <c r="B1624" s="7" t="s">
        <v>40</v>
      </c>
      <c r="C1624" s="8">
        <v>45325.0</v>
      </c>
      <c r="D1624" s="8">
        <v>45354.0</v>
      </c>
      <c r="E1624" s="8">
        <v>45334.0</v>
      </c>
      <c r="F1624" s="8">
        <v>45344.0</v>
      </c>
      <c r="G1624" s="6">
        <v>2.0</v>
      </c>
      <c r="H1624" s="9">
        <v>19.0</v>
      </c>
      <c r="I1624" s="10">
        <v>21.0</v>
      </c>
      <c r="J1624" s="11">
        <v>0.25</v>
      </c>
      <c r="K1624" s="9">
        <v>109.11</v>
      </c>
      <c r="L1624" s="7" t="s">
        <v>15</v>
      </c>
    </row>
    <row r="1625" ht="15.75" customHeight="1">
      <c r="A1625" s="6">
        <v>10866.0</v>
      </c>
      <c r="B1625" s="7" t="s">
        <v>40</v>
      </c>
      <c r="C1625" s="8">
        <v>45325.0</v>
      </c>
      <c r="D1625" s="8">
        <v>45354.0</v>
      </c>
      <c r="E1625" s="8">
        <v>45334.0</v>
      </c>
      <c r="F1625" s="8">
        <v>45344.0</v>
      </c>
      <c r="G1625" s="6">
        <v>24.0</v>
      </c>
      <c r="H1625" s="9">
        <v>4.5</v>
      </c>
      <c r="I1625" s="10">
        <v>6.0</v>
      </c>
      <c r="J1625" s="11">
        <v>0.25</v>
      </c>
      <c r="K1625" s="9">
        <v>109.11</v>
      </c>
      <c r="L1625" s="7" t="s">
        <v>15</v>
      </c>
    </row>
    <row r="1626" ht="15.75" customHeight="1">
      <c r="A1626" s="6">
        <v>10866.0</v>
      </c>
      <c r="B1626" s="7" t="s">
        <v>40</v>
      </c>
      <c r="C1626" s="8">
        <v>45325.0</v>
      </c>
      <c r="D1626" s="8">
        <v>45354.0</v>
      </c>
      <c r="E1626" s="8">
        <v>45334.0</v>
      </c>
      <c r="F1626" s="8">
        <v>45344.0</v>
      </c>
      <c r="G1626" s="6">
        <v>30.0</v>
      </c>
      <c r="H1626" s="9">
        <v>25.89</v>
      </c>
      <c r="I1626" s="10">
        <v>40.0</v>
      </c>
      <c r="J1626" s="11">
        <v>0.25</v>
      </c>
      <c r="K1626" s="9">
        <v>109.11</v>
      </c>
      <c r="L1626" s="7" t="s">
        <v>15</v>
      </c>
    </row>
    <row r="1627" ht="15.75" customHeight="1">
      <c r="A1627" s="6">
        <v>10867.0</v>
      </c>
      <c r="B1627" s="7" t="s">
        <v>53</v>
      </c>
      <c r="C1627" s="8">
        <v>45325.0</v>
      </c>
      <c r="D1627" s="8">
        <v>45368.0</v>
      </c>
      <c r="E1627" s="8">
        <v>45333.0</v>
      </c>
      <c r="F1627" s="8">
        <v>45347.0</v>
      </c>
      <c r="G1627" s="6">
        <v>53.0</v>
      </c>
      <c r="H1627" s="9">
        <v>32.8</v>
      </c>
      <c r="I1627" s="10">
        <v>3.0</v>
      </c>
      <c r="J1627" s="11">
        <v>0.0</v>
      </c>
      <c r="K1627" s="9">
        <v>1.93</v>
      </c>
      <c r="L1627" s="7" t="s">
        <v>15</v>
      </c>
    </row>
    <row r="1628" ht="15.75" customHeight="1">
      <c r="A1628" s="6">
        <v>10868.0</v>
      </c>
      <c r="B1628" s="7" t="s">
        <v>77</v>
      </c>
      <c r="C1628" s="8">
        <v>45326.0</v>
      </c>
      <c r="D1628" s="8">
        <v>45355.0</v>
      </c>
      <c r="E1628" s="8">
        <v>45345.0</v>
      </c>
      <c r="F1628" s="8">
        <v>45363.0</v>
      </c>
      <c r="G1628" s="6">
        <v>26.0</v>
      </c>
      <c r="H1628" s="9">
        <v>31.23</v>
      </c>
      <c r="I1628" s="10">
        <v>20.0</v>
      </c>
      <c r="J1628" s="11">
        <v>0.0</v>
      </c>
      <c r="K1628" s="9">
        <v>191.27</v>
      </c>
      <c r="L1628" s="7" t="s">
        <v>17</v>
      </c>
    </row>
    <row r="1629" ht="15.75" customHeight="1">
      <c r="A1629" s="6">
        <v>10868.0</v>
      </c>
      <c r="B1629" s="7" t="s">
        <v>77</v>
      </c>
      <c r="C1629" s="8">
        <v>45326.0</v>
      </c>
      <c r="D1629" s="8">
        <v>45355.0</v>
      </c>
      <c r="E1629" s="8">
        <v>45345.0</v>
      </c>
      <c r="F1629" s="8">
        <v>45363.0</v>
      </c>
      <c r="G1629" s="6">
        <v>35.0</v>
      </c>
      <c r="H1629" s="9">
        <v>18.0</v>
      </c>
      <c r="I1629" s="10">
        <v>30.0</v>
      </c>
      <c r="J1629" s="11">
        <v>0.0</v>
      </c>
      <c r="K1629" s="9">
        <v>191.27</v>
      </c>
      <c r="L1629" s="7" t="s">
        <v>17</v>
      </c>
    </row>
    <row r="1630" ht="15.75" customHeight="1">
      <c r="A1630" s="6">
        <v>10868.0</v>
      </c>
      <c r="B1630" s="7" t="s">
        <v>77</v>
      </c>
      <c r="C1630" s="8">
        <v>45326.0</v>
      </c>
      <c r="D1630" s="8">
        <v>45355.0</v>
      </c>
      <c r="E1630" s="8">
        <v>45345.0</v>
      </c>
      <c r="F1630" s="8">
        <v>45363.0</v>
      </c>
      <c r="G1630" s="6">
        <v>49.0</v>
      </c>
      <c r="H1630" s="9">
        <v>20.0</v>
      </c>
      <c r="I1630" s="10">
        <v>42.0</v>
      </c>
      <c r="J1630" s="11">
        <v>0.1</v>
      </c>
      <c r="K1630" s="9">
        <v>191.27</v>
      </c>
      <c r="L1630" s="7" t="s">
        <v>17</v>
      </c>
    </row>
    <row r="1631" ht="15.75" customHeight="1">
      <c r="A1631" s="6">
        <v>10869.0</v>
      </c>
      <c r="B1631" s="7" t="s">
        <v>71</v>
      </c>
      <c r="C1631" s="8">
        <v>45326.0</v>
      </c>
      <c r="D1631" s="8">
        <v>45355.0</v>
      </c>
      <c r="E1631" s="8">
        <v>45331.0</v>
      </c>
      <c r="F1631" s="8">
        <v>45334.0</v>
      </c>
      <c r="G1631" s="6">
        <v>1.0</v>
      </c>
      <c r="H1631" s="9">
        <v>18.0</v>
      </c>
      <c r="I1631" s="10">
        <v>40.0</v>
      </c>
      <c r="J1631" s="11">
        <v>0.0</v>
      </c>
      <c r="K1631" s="9">
        <v>143.28</v>
      </c>
      <c r="L1631" s="7" t="s">
        <v>15</v>
      </c>
    </row>
    <row r="1632" ht="15.75" customHeight="1">
      <c r="A1632" s="6">
        <v>10869.0</v>
      </c>
      <c r="B1632" s="7" t="s">
        <v>71</v>
      </c>
      <c r="C1632" s="8">
        <v>45326.0</v>
      </c>
      <c r="D1632" s="8">
        <v>45355.0</v>
      </c>
      <c r="E1632" s="8">
        <v>45331.0</v>
      </c>
      <c r="F1632" s="8">
        <v>45334.0</v>
      </c>
      <c r="G1632" s="6">
        <v>11.0</v>
      </c>
      <c r="H1632" s="9">
        <v>21.0</v>
      </c>
      <c r="I1632" s="10">
        <v>10.0</v>
      </c>
      <c r="J1632" s="11">
        <v>0.0</v>
      </c>
      <c r="K1632" s="9">
        <v>143.28</v>
      </c>
      <c r="L1632" s="7" t="s">
        <v>15</v>
      </c>
    </row>
    <row r="1633" ht="15.75" customHeight="1">
      <c r="A1633" s="6">
        <v>10869.0</v>
      </c>
      <c r="B1633" s="7" t="s">
        <v>71</v>
      </c>
      <c r="C1633" s="8">
        <v>45326.0</v>
      </c>
      <c r="D1633" s="8">
        <v>45355.0</v>
      </c>
      <c r="E1633" s="8">
        <v>45331.0</v>
      </c>
      <c r="F1633" s="8">
        <v>45334.0</v>
      </c>
      <c r="G1633" s="6">
        <v>23.0</v>
      </c>
      <c r="H1633" s="9">
        <v>9.0</v>
      </c>
      <c r="I1633" s="10">
        <v>50.0</v>
      </c>
      <c r="J1633" s="11">
        <v>0.0</v>
      </c>
      <c r="K1633" s="9">
        <v>143.28</v>
      </c>
      <c r="L1633" s="7" t="s">
        <v>15</v>
      </c>
    </row>
    <row r="1634" ht="15.75" customHeight="1">
      <c r="A1634" s="6">
        <v>10869.0</v>
      </c>
      <c r="B1634" s="7" t="s">
        <v>71</v>
      </c>
      <c r="C1634" s="8">
        <v>45326.0</v>
      </c>
      <c r="D1634" s="8">
        <v>45355.0</v>
      </c>
      <c r="E1634" s="8">
        <v>45331.0</v>
      </c>
      <c r="F1634" s="8">
        <v>45334.0</v>
      </c>
      <c r="G1634" s="6">
        <v>68.0</v>
      </c>
      <c r="H1634" s="9">
        <v>12.5</v>
      </c>
      <c r="I1634" s="10">
        <v>20.0</v>
      </c>
      <c r="J1634" s="11">
        <v>0.0</v>
      </c>
      <c r="K1634" s="9">
        <v>143.28</v>
      </c>
      <c r="L1634" s="7" t="s">
        <v>15</v>
      </c>
    </row>
    <row r="1635" ht="15.75" customHeight="1">
      <c r="A1635" s="6">
        <v>10870.0</v>
      </c>
      <c r="B1635" s="7" t="s">
        <v>78</v>
      </c>
      <c r="C1635" s="8">
        <v>45326.0</v>
      </c>
      <c r="D1635" s="8">
        <v>45355.0</v>
      </c>
      <c r="E1635" s="8">
        <v>45335.0</v>
      </c>
      <c r="F1635" s="8">
        <v>45347.0</v>
      </c>
      <c r="G1635" s="6">
        <v>35.0</v>
      </c>
      <c r="H1635" s="9">
        <v>18.0</v>
      </c>
      <c r="I1635" s="10">
        <v>3.0</v>
      </c>
      <c r="J1635" s="11">
        <v>0.0</v>
      </c>
      <c r="K1635" s="9">
        <v>12.04</v>
      </c>
      <c r="L1635" s="7" t="s">
        <v>13</v>
      </c>
    </row>
    <row r="1636" ht="15.75" customHeight="1">
      <c r="A1636" s="6">
        <v>10870.0</v>
      </c>
      <c r="B1636" s="7" t="s">
        <v>78</v>
      </c>
      <c r="C1636" s="8">
        <v>45326.0</v>
      </c>
      <c r="D1636" s="8">
        <v>45355.0</v>
      </c>
      <c r="E1636" s="8">
        <v>45335.0</v>
      </c>
      <c r="F1636" s="8">
        <v>45347.0</v>
      </c>
      <c r="G1636" s="6">
        <v>51.0</v>
      </c>
      <c r="H1636" s="9">
        <v>53.0</v>
      </c>
      <c r="I1636" s="10">
        <v>2.0</v>
      </c>
      <c r="J1636" s="11">
        <v>0.0</v>
      </c>
      <c r="K1636" s="9">
        <v>12.04</v>
      </c>
      <c r="L1636" s="7" t="s">
        <v>13</v>
      </c>
    </row>
    <row r="1637" ht="15.75" customHeight="1">
      <c r="A1637" s="6">
        <v>10871.0</v>
      </c>
      <c r="B1637" s="7" t="s">
        <v>63</v>
      </c>
      <c r="C1637" s="8">
        <v>45327.0</v>
      </c>
      <c r="D1637" s="8">
        <v>45356.0</v>
      </c>
      <c r="E1637" s="8">
        <v>45332.0</v>
      </c>
      <c r="F1637" s="8">
        <v>45343.0</v>
      </c>
      <c r="G1637" s="6">
        <v>6.0</v>
      </c>
      <c r="H1637" s="9">
        <v>25.0</v>
      </c>
      <c r="I1637" s="10">
        <v>50.0</v>
      </c>
      <c r="J1637" s="11">
        <v>0.05</v>
      </c>
      <c r="K1637" s="9">
        <v>112.27</v>
      </c>
      <c r="L1637" s="7" t="s">
        <v>17</v>
      </c>
    </row>
    <row r="1638" ht="15.75" customHeight="1">
      <c r="A1638" s="6">
        <v>10871.0</v>
      </c>
      <c r="B1638" s="7" t="s">
        <v>63</v>
      </c>
      <c r="C1638" s="8">
        <v>45327.0</v>
      </c>
      <c r="D1638" s="8">
        <v>45356.0</v>
      </c>
      <c r="E1638" s="8">
        <v>45332.0</v>
      </c>
      <c r="F1638" s="8">
        <v>45343.0</v>
      </c>
      <c r="G1638" s="6">
        <v>16.0</v>
      </c>
      <c r="H1638" s="9">
        <v>17.45</v>
      </c>
      <c r="I1638" s="10">
        <v>12.0</v>
      </c>
      <c r="J1638" s="11">
        <v>0.05</v>
      </c>
      <c r="K1638" s="9">
        <v>112.27</v>
      </c>
      <c r="L1638" s="7" t="s">
        <v>17</v>
      </c>
    </row>
    <row r="1639" ht="15.75" customHeight="1">
      <c r="A1639" s="6">
        <v>10871.0</v>
      </c>
      <c r="B1639" s="7" t="s">
        <v>63</v>
      </c>
      <c r="C1639" s="8">
        <v>45327.0</v>
      </c>
      <c r="D1639" s="8">
        <v>45356.0</v>
      </c>
      <c r="E1639" s="8">
        <v>45332.0</v>
      </c>
      <c r="F1639" s="8">
        <v>45343.0</v>
      </c>
      <c r="G1639" s="6">
        <v>17.0</v>
      </c>
      <c r="H1639" s="9">
        <v>39.0</v>
      </c>
      <c r="I1639" s="10">
        <v>16.0</v>
      </c>
      <c r="J1639" s="11">
        <v>0.05</v>
      </c>
      <c r="K1639" s="9">
        <v>112.27</v>
      </c>
      <c r="L1639" s="7" t="s">
        <v>17</v>
      </c>
    </row>
    <row r="1640" ht="15.75" customHeight="1">
      <c r="A1640" s="6">
        <v>10872.0</v>
      </c>
      <c r="B1640" s="7" t="s">
        <v>51</v>
      </c>
      <c r="C1640" s="8">
        <v>45327.0</v>
      </c>
      <c r="D1640" s="8">
        <v>45356.0</v>
      </c>
      <c r="E1640" s="8">
        <v>45331.0</v>
      </c>
      <c r="F1640" s="8">
        <v>45342.0</v>
      </c>
      <c r="G1640" s="6">
        <v>55.0</v>
      </c>
      <c r="H1640" s="9">
        <v>24.0</v>
      </c>
      <c r="I1640" s="10">
        <v>10.0</v>
      </c>
      <c r="J1640" s="11">
        <v>0.05</v>
      </c>
      <c r="K1640" s="9">
        <v>175.32</v>
      </c>
      <c r="L1640" s="7" t="s">
        <v>17</v>
      </c>
    </row>
    <row r="1641" ht="15.75" customHeight="1">
      <c r="A1641" s="6">
        <v>10872.0</v>
      </c>
      <c r="B1641" s="7" t="s">
        <v>51</v>
      </c>
      <c r="C1641" s="8">
        <v>45327.0</v>
      </c>
      <c r="D1641" s="8">
        <v>45356.0</v>
      </c>
      <c r="E1641" s="8">
        <v>45331.0</v>
      </c>
      <c r="F1641" s="8">
        <v>45342.0</v>
      </c>
      <c r="G1641" s="6">
        <v>62.0</v>
      </c>
      <c r="H1641" s="9">
        <v>49.3</v>
      </c>
      <c r="I1641" s="10">
        <v>20.0</v>
      </c>
      <c r="J1641" s="11">
        <v>0.05</v>
      </c>
      <c r="K1641" s="9">
        <v>175.32</v>
      </c>
      <c r="L1641" s="7" t="s">
        <v>17</v>
      </c>
    </row>
    <row r="1642" ht="15.75" customHeight="1">
      <c r="A1642" s="6">
        <v>10872.0</v>
      </c>
      <c r="B1642" s="7" t="s">
        <v>51</v>
      </c>
      <c r="C1642" s="8">
        <v>45327.0</v>
      </c>
      <c r="D1642" s="8">
        <v>45356.0</v>
      </c>
      <c r="E1642" s="8">
        <v>45331.0</v>
      </c>
      <c r="F1642" s="8">
        <v>45342.0</v>
      </c>
      <c r="G1642" s="6">
        <v>64.0</v>
      </c>
      <c r="H1642" s="9">
        <v>33.25</v>
      </c>
      <c r="I1642" s="10">
        <v>15.0</v>
      </c>
      <c r="J1642" s="11">
        <v>0.05</v>
      </c>
      <c r="K1642" s="9">
        <v>175.32</v>
      </c>
      <c r="L1642" s="7" t="s">
        <v>17</v>
      </c>
    </row>
    <row r="1643" ht="15.75" customHeight="1">
      <c r="A1643" s="6">
        <v>10872.0</v>
      </c>
      <c r="B1643" s="7" t="s">
        <v>51</v>
      </c>
      <c r="C1643" s="8">
        <v>45327.0</v>
      </c>
      <c r="D1643" s="8">
        <v>45356.0</v>
      </c>
      <c r="E1643" s="8">
        <v>45331.0</v>
      </c>
      <c r="F1643" s="8">
        <v>45342.0</v>
      </c>
      <c r="G1643" s="6">
        <v>65.0</v>
      </c>
      <c r="H1643" s="9">
        <v>21.05</v>
      </c>
      <c r="I1643" s="10">
        <v>21.0</v>
      </c>
      <c r="J1643" s="11">
        <v>0.05</v>
      </c>
      <c r="K1643" s="9">
        <v>175.32</v>
      </c>
      <c r="L1643" s="7" t="s">
        <v>17</v>
      </c>
    </row>
    <row r="1644" ht="15.75" customHeight="1">
      <c r="A1644" s="6">
        <v>10873.0</v>
      </c>
      <c r="B1644" s="7" t="s">
        <v>98</v>
      </c>
      <c r="C1644" s="8">
        <v>45328.0</v>
      </c>
      <c r="D1644" s="8">
        <v>45357.0</v>
      </c>
      <c r="E1644" s="8">
        <v>45331.0</v>
      </c>
      <c r="F1644" s="8">
        <v>45343.0</v>
      </c>
      <c r="G1644" s="6">
        <v>21.0</v>
      </c>
      <c r="H1644" s="9">
        <v>10.0</v>
      </c>
      <c r="I1644" s="10">
        <v>20.0</v>
      </c>
      <c r="J1644" s="11">
        <v>0.0</v>
      </c>
      <c r="K1644" s="9">
        <v>0.82</v>
      </c>
      <c r="L1644" s="7" t="s">
        <v>15</v>
      </c>
    </row>
    <row r="1645" ht="15.75" customHeight="1">
      <c r="A1645" s="6">
        <v>10873.0</v>
      </c>
      <c r="B1645" s="7" t="s">
        <v>98</v>
      </c>
      <c r="C1645" s="8">
        <v>45328.0</v>
      </c>
      <c r="D1645" s="8">
        <v>45357.0</v>
      </c>
      <c r="E1645" s="8">
        <v>45331.0</v>
      </c>
      <c r="F1645" s="8">
        <v>45343.0</v>
      </c>
      <c r="G1645" s="6">
        <v>28.0</v>
      </c>
      <c r="H1645" s="9">
        <v>45.6</v>
      </c>
      <c r="I1645" s="10">
        <v>3.0</v>
      </c>
      <c r="J1645" s="11">
        <v>0.0</v>
      </c>
      <c r="K1645" s="9">
        <v>0.82</v>
      </c>
      <c r="L1645" s="7" t="s">
        <v>15</v>
      </c>
    </row>
    <row r="1646" ht="15.75" customHeight="1">
      <c r="A1646" s="6">
        <v>10874.0</v>
      </c>
      <c r="B1646" s="7" t="s">
        <v>51</v>
      </c>
      <c r="C1646" s="8">
        <v>45328.0</v>
      </c>
      <c r="D1646" s="8">
        <v>45357.0</v>
      </c>
      <c r="E1646" s="8">
        <v>45333.0</v>
      </c>
      <c r="F1646" s="8">
        <v>45344.0</v>
      </c>
      <c r="G1646" s="6">
        <v>10.0</v>
      </c>
      <c r="H1646" s="9">
        <v>31.0</v>
      </c>
      <c r="I1646" s="10">
        <v>10.0</v>
      </c>
      <c r="J1646" s="11">
        <v>0.0</v>
      </c>
      <c r="K1646" s="9">
        <v>19.58</v>
      </c>
      <c r="L1646" s="7" t="s">
        <v>17</v>
      </c>
    </row>
    <row r="1647" ht="15.75" customHeight="1">
      <c r="A1647" s="6">
        <v>10875.0</v>
      </c>
      <c r="B1647" s="7" t="s">
        <v>40</v>
      </c>
      <c r="C1647" s="8">
        <v>45328.0</v>
      </c>
      <c r="D1647" s="8">
        <v>45357.0</v>
      </c>
      <c r="E1647" s="8">
        <v>45354.0</v>
      </c>
      <c r="F1647" s="8">
        <v>45365.0</v>
      </c>
      <c r="G1647" s="6">
        <v>19.0</v>
      </c>
      <c r="H1647" s="9">
        <v>9.2</v>
      </c>
      <c r="I1647" s="10">
        <v>25.0</v>
      </c>
      <c r="J1647" s="11">
        <v>0.0</v>
      </c>
      <c r="K1647" s="9">
        <v>32.37</v>
      </c>
      <c r="L1647" s="7" t="s">
        <v>17</v>
      </c>
    </row>
    <row r="1648" ht="15.75" customHeight="1">
      <c r="A1648" s="6">
        <v>10875.0</v>
      </c>
      <c r="B1648" s="7" t="s">
        <v>40</v>
      </c>
      <c r="C1648" s="8">
        <v>45328.0</v>
      </c>
      <c r="D1648" s="8">
        <v>45357.0</v>
      </c>
      <c r="E1648" s="8">
        <v>45354.0</v>
      </c>
      <c r="F1648" s="8">
        <v>45365.0</v>
      </c>
      <c r="G1648" s="6">
        <v>47.0</v>
      </c>
      <c r="H1648" s="9">
        <v>9.5</v>
      </c>
      <c r="I1648" s="10">
        <v>21.0</v>
      </c>
      <c r="J1648" s="11">
        <v>0.1</v>
      </c>
      <c r="K1648" s="9">
        <v>32.37</v>
      </c>
      <c r="L1648" s="7" t="s">
        <v>17</v>
      </c>
    </row>
    <row r="1649" ht="15.75" customHeight="1">
      <c r="A1649" s="6">
        <v>10875.0</v>
      </c>
      <c r="B1649" s="7" t="s">
        <v>40</v>
      </c>
      <c r="C1649" s="8">
        <v>45328.0</v>
      </c>
      <c r="D1649" s="8">
        <v>45357.0</v>
      </c>
      <c r="E1649" s="8">
        <v>45354.0</v>
      </c>
      <c r="F1649" s="8">
        <v>45365.0</v>
      </c>
      <c r="G1649" s="6">
        <v>49.0</v>
      </c>
      <c r="H1649" s="9">
        <v>20.0</v>
      </c>
      <c r="I1649" s="10">
        <v>15.0</v>
      </c>
      <c r="J1649" s="11">
        <v>0.0</v>
      </c>
      <c r="K1649" s="9">
        <v>32.37</v>
      </c>
      <c r="L1649" s="7" t="s">
        <v>17</v>
      </c>
    </row>
    <row r="1650" ht="15.75" customHeight="1">
      <c r="A1650" s="6">
        <v>10876.0</v>
      </c>
      <c r="B1650" s="7" t="s">
        <v>63</v>
      </c>
      <c r="C1650" s="8">
        <v>45331.0</v>
      </c>
      <c r="D1650" s="8">
        <v>45360.0</v>
      </c>
      <c r="E1650" s="8">
        <v>45334.0</v>
      </c>
      <c r="F1650" s="8">
        <v>45339.0</v>
      </c>
      <c r="G1650" s="6">
        <v>46.0</v>
      </c>
      <c r="H1650" s="9">
        <v>12.0</v>
      </c>
      <c r="I1650" s="10">
        <v>21.0</v>
      </c>
      <c r="J1650" s="11">
        <v>0.0</v>
      </c>
      <c r="K1650" s="9">
        <v>60.42</v>
      </c>
      <c r="L1650" s="7" t="s">
        <v>13</v>
      </c>
    </row>
    <row r="1651" ht="15.75" customHeight="1">
      <c r="A1651" s="6">
        <v>10876.0</v>
      </c>
      <c r="B1651" s="7" t="s">
        <v>63</v>
      </c>
      <c r="C1651" s="8">
        <v>45331.0</v>
      </c>
      <c r="D1651" s="8">
        <v>45360.0</v>
      </c>
      <c r="E1651" s="8">
        <v>45334.0</v>
      </c>
      <c r="F1651" s="8">
        <v>45339.0</v>
      </c>
      <c r="G1651" s="6">
        <v>64.0</v>
      </c>
      <c r="H1651" s="9">
        <v>33.25</v>
      </c>
      <c r="I1651" s="10">
        <v>20.0</v>
      </c>
      <c r="J1651" s="11">
        <v>0.0</v>
      </c>
      <c r="K1651" s="9">
        <v>60.42</v>
      </c>
      <c r="L1651" s="7" t="s">
        <v>13</v>
      </c>
    </row>
    <row r="1652" ht="15.75" customHeight="1">
      <c r="A1652" s="6">
        <v>10877.0</v>
      </c>
      <c r="B1652" s="7" t="s">
        <v>44</v>
      </c>
      <c r="C1652" s="8">
        <v>45331.0</v>
      </c>
      <c r="D1652" s="8">
        <v>45360.0</v>
      </c>
      <c r="E1652" s="8">
        <v>45341.0</v>
      </c>
      <c r="F1652" s="8">
        <v>45357.0</v>
      </c>
      <c r="G1652" s="6">
        <v>16.0</v>
      </c>
      <c r="H1652" s="9">
        <v>17.45</v>
      </c>
      <c r="I1652" s="10">
        <v>30.0</v>
      </c>
      <c r="J1652" s="11">
        <v>0.25</v>
      </c>
      <c r="K1652" s="9">
        <v>38.06</v>
      </c>
      <c r="L1652" s="7" t="s">
        <v>15</v>
      </c>
    </row>
    <row r="1653" ht="15.75" customHeight="1">
      <c r="A1653" s="6">
        <v>10877.0</v>
      </c>
      <c r="B1653" s="7" t="s">
        <v>44</v>
      </c>
      <c r="C1653" s="8">
        <v>45331.0</v>
      </c>
      <c r="D1653" s="8">
        <v>45360.0</v>
      </c>
      <c r="E1653" s="8">
        <v>45341.0</v>
      </c>
      <c r="F1653" s="8">
        <v>45357.0</v>
      </c>
      <c r="G1653" s="6">
        <v>18.0</v>
      </c>
      <c r="H1653" s="9">
        <v>62.5</v>
      </c>
      <c r="I1653" s="10">
        <v>25.0</v>
      </c>
      <c r="J1653" s="11">
        <v>0.0</v>
      </c>
      <c r="K1653" s="9">
        <v>38.06</v>
      </c>
      <c r="L1653" s="7" t="s">
        <v>15</v>
      </c>
    </row>
    <row r="1654" ht="15.75" customHeight="1">
      <c r="A1654" s="6">
        <v>10878.0</v>
      </c>
      <c r="B1654" s="7" t="s">
        <v>36</v>
      </c>
      <c r="C1654" s="8">
        <v>45332.0</v>
      </c>
      <c r="D1654" s="8">
        <v>45361.0</v>
      </c>
      <c r="E1654" s="8">
        <v>45334.0</v>
      </c>
      <c r="F1654" s="8">
        <v>45338.0</v>
      </c>
      <c r="G1654" s="6">
        <v>20.0</v>
      </c>
      <c r="H1654" s="9">
        <v>81.0</v>
      </c>
      <c r="I1654" s="10">
        <v>20.0</v>
      </c>
      <c r="J1654" s="11">
        <v>0.05</v>
      </c>
      <c r="K1654" s="9">
        <v>46.69</v>
      </c>
      <c r="L1654" s="7" t="s">
        <v>15</v>
      </c>
    </row>
    <row r="1655" ht="15.75" customHeight="1">
      <c r="A1655" s="6">
        <v>10879.0</v>
      </c>
      <c r="B1655" s="7" t="s">
        <v>98</v>
      </c>
      <c r="C1655" s="8">
        <v>45332.0</v>
      </c>
      <c r="D1655" s="8">
        <v>45361.0</v>
      </c>
      <c r="E1655" s="8">
        <v>45334.0</v>
      </c>
      <c r="F1655" s="8">
        <v>45348.0</v>
      </c>
      <c r="G1655" s="6">
        <v>40.0</v>
      </c>
      <c r="H1655" s="9">
        <v>18.4</v>
      </c>
      <c r="I1655" s="10">
        <v>12.0</v>
      </c>
      <c r="J1655" s="11">
        <v>0.0</v>
      </c>
      <c r="K1655" s="9">
        <v>8.5</v>
      </c>
      <c r="L1655" s="7" t="s">
        <v>13</v>
      </c>
    </row>
    <row r="1656" ht="15.75" customHeight="1">
      <c r="A1656" s="6">
        <v>10879.0</v>
      </c>
      <c r="B1656" s="7" t="s">
        <v>98</v>
      </c>
      <c r="C1656" s="8">
        <v>45332.0</v>
      </c>
      <c r="D1656" s="8">
        <v>45361.0</v>
      </c>
      <c r="E1656" s="8">
        <v>45334.0</v>
      </c>
      <c r="F1656" s="8">
        <v>45348.0</v>
      </c>
      <c r="G1656" s="6">
        <v>65.0</v>
      </c>
      <c r="H1656" s="9">
        <v>21.05</v>
      </c>
      <c r="I1656" s="10">
        <v>10.0</v>
      </c>
      <c r="J1656" s="11">
        <v>0.0</v>
      </c>
      <c r="K1656" s="9">
        <v>8.5</v>
      </c>
      <c r="L1656" s="7" t="s">
        <v>13</v>
      </c>
    </row>
    <row r="1657" ht="15.75" customHeight="1">
      <c r="A1657" s="6">
        <v>10879.0</v>
      </c>
      <c r="B1657" s="7" t="s">
        <v>98</v>
      </c>
      <c r="C1657" s="8">
        <v>45332.0</v>
      </c>
      <c r="D1657" s="8">
        <v>45361.0</v>
      </c>
      <c r="E1657" s="8">
        <v>45334.0</v>
      </c>
      <c r="F1657" s="8">
        <v>45348.0</v>
      </c>
      <c r="G1657" s="6">
        <v>76.0</v>
      </c>
      <c r="H1657" s="9">
        <v>18.0</v>
      </c>
      <c r="I1657" s="10">
        <v>10.0</v>
      </c>
      <c r="J1657" s="11">
        <v>0.0</v>
      </c>
      <c r="K1657" s="9">
        <v>8.5</v>
      </c>
      <c r="L1657" s="7" t="s">
        <v>13</v>
      </c>
    </row>
    <row r="1658" ht="15.75" customHeight="1">
      <c r="A1658" s="6">
        <v>10880.0</v>
      </c>
      <c r="B1658" s="7" t="s">
        <v>29</v>
      </c>
      <c r="C1658" s="8">
        <v>45332.0</v>
      </c>
      <c r="D1658" s="8">
        <v>45375.0</v>
      </c>
      <c r="E1658" s="8">
        <v>45340.0</v>
      </c>
      <c r="F1658" s="8">
        <v>45346.0</v>
      </c>
      <c r="G1658" s="6">
        <v>23.0</v>
      </c>
      <c r="H1658" s="9">
        <v>9.0</v>
      </c>
      <c r="I1658" s="10">
        <v>30.0</v>
      </c>
      <c r="J1658" s="11">
        <v>0.2</v>
      </c>
      <c r="K1658" s="9">
        <v>88.01</v>
      </c>
      <c r="L1658" s="7" t="s">
        <v>15</v>
      </c>
    </row>
    <row r="1659" ht="15.75" customHeight="1">
      <c r="A1659" s="6">
        <v>10880.0</v>
      </c>
      <c r="B1659" s="7" t="s">
        <v>29</v>
      </c>
      <c r="C1659" s="8">
        <v>45332.0</v>
      </c>
      <c r="D1659" s="8">
        <v>45375.0</v>
      </c>
      <c r="E1659" s="8">
        <v>45340.0</v>
      </c>
      <c r="F1659" s="8">
        <v>45346.0</v>
      </c>
      <c r="G1659" s="6">
        <v>61.0</v>
      </c>
      <c r="H1659" s="9">
        <v>28.5</v>
      </c>
      <c r="I1659" s="10">
        <v>30.0</v>
      </c>
      <c r="J1659" s="11">
        <v>0.2</v>
      </c>
      <c r="K1659" s="9">
        <v>88.01</v>
      </c>
      <c r="L1659" s="7" t="s">
        <v>15</v>
      </c>
    </row>
    <row r="1660" ht="15.75" customHeight="1">
      <c r="A1660" s="6">
        <v>10880.0</v>
      </c>
      <c r="B1660" s="7" t="s">
        <v>29</v>
      </c>
      <c r="C1660" s="8">
        <v>45332.0</v>
      </c>
      <c r="D1660" s="8">
        <v>45375.0</v>
      </c>
      <c r="E1660" s="8">
        <v>45340.0</v>
      </c>
      <c r="F1660" s="8">
        <v>45346.0</v>
      </c>
      <c r="G1660" s="6">
        <v>70.0</v>
      </c>
      <c r="H1660" s="9">
        <v>15.0</v>
      </c>
      <c r="I1660" s="10">
        <v>50.0</v>
      </c>
      <c r="J1660" s="11">
        <v>0.2</v>
      </c>
      <c r="K1660" s="9">
        <v>88.01</v>
      </c>
      <c r="L1660" s="7" t="s">
        <v>15</v>
      </c>
    </row>
    <row r="1661" ht="15.75" customHeight="1">
      <c r="A1661" s="6">
        <v>10881.0</v>
      </c>
      <c r="B1661" s="7" t="s">
        <v>93</v>
      </c>
      <c r="C1661" s="8">
        <v>45333.0</v>
      </c>
      <c r="D1661" s="8">
        <v>45362.0</v>
      </c>
      <c r="E1661" s="8">
        <v>45340.0</v>
      </c>
      <c r="F1661" s="8">
        <v>45351.0</v>
      </c>
      <c r="G1661" s="6">
        <v>73.0</v>
      </c>
      <c r="H1661" s="9">
        <v>15.0</v>
      </c>
      <c r="I1661" s="10">
        <v>10.0</v>
      </c>
      <c r="J1661" s="11">
        <v>0.0</v>
      </c>
      <c r="K1661" s="9">
        <v>2.84</v>
      </c>
      <c r="L1661" s="7" t="s">
        <v>15</v>
      </c>
    </row>
    <row r="1662" ht="15.75" customHeight="1">
      <c r="A1662" s="6">
        <v>10882.0</v>
      </c>
      <c r="B1662" s="7" t="s">
        <v>60</v>
      </c>
      <c r="C1662" s="8">
        <v>45333.0</v>
      </c>
      <c r="D1662" s="8">
        <v>45362.0</v>
      </c>
      <c r="E1662" s="8">
        <v>45342.0</v>
      </c>
      <c r="F1662" s="8">
        <v>45355.0</v>
      </c>
      <c r="G1662" s="6">
        <v>42.0</v>
      </c>
      <c r="H1662" s="9">
        <v>14.0</v>
      </c>
      <c r="I1662" s="10">
        <v>25.0</v>
      </c>
      <c r="J1662" s="11">
        <v>0.0</v>
      </c>
      <c r="K1662" s="9">
        <v>23.1</v>
      </c>
      <c r="L1662" s="7" t="s">
        <v>13</v>
      </c>
    </row>
    <row r="1663" ht="15.75" customHeight="1">
      <c r="A1663" s="6">
        <v>10882.0</v>
      </c>
      <c r="B1663" s="7" t="s">
        <v>60</v>
      </c>
      <c r="C1663" s="8">
        <v>45333.0</v>
      </c>
      <c r="D1663" s="8">
        <v>45362.0</v>
      </c>
      <c r="E1663" s="8">
        <v>45342.0</v>
      </c>
      <c r="F1663" s="8">
        <v>45355.0</v>
      </c>
      <c r="G1663" s="6">
        <v>49.0</v>
      </c>
      <c r="H1663" s="9">
        <v>20.0</v>
      </c>
      <c r="I1663" s="10">
        <v>20.0</v>
      </c>
      <c r="J1663" s="11">
        <v>0.15</v>
      </c>
      <c r="K1663" s="9">
        <v>23.1</v>
      </c>
      <c r="L1663" s="7" t="s">
        <v>13</v>
      </c>
    </row>
    <row r="1664" ht="15.75" customHeight="1">
      <c r="A1664" s="6">
        <v>10882.0</v>
      </c>
      <c r="B1664" s="7" t="s">
        <v>60</v>
      </c>
      <c r="C1664" s="8">
        <v>45333.0</v>
      </c>
      <c r="D1664" s="8">
        <v>45362.0</v>
      </c>
      <c r="E1664" s="8">
        <v>45342.0</v>
      </c>
      <c r="F1664" s="8">
        <v>45355.0</v>
      </c>
      <c r="G1664" s="6">
        <v>54.0</v>
      </c>
      <c r="H1664" s="9">
        <v>7.45</v>
      </c>
      <c r="I1664" s="10">
        <v>32.0</v>
      </c>
      <c r="J1664" s="11">
        <v>0.15</v>
      </c>
      <c r="K1664" s="9">
        <v>23.1</v>
      </c>
      <c r="L1664" s="7" t="s">
        <v>13</v>
      </c>
    </row>
    <row r="1665" ht="15.75" customHeight="1">
      <c r="A1665" s="6">
        <v>10883.0</v>
      </c>
      <c r="B1665" s="7" t="s">
        <v>53</v>
      </c>
      <c r="C1665" s="8">
        <v>45334.0</v>
      </c>
      <c r="D1665" s="8">
        <v>45363.0</v>
      </c>
      <c r="E1665" s="8">
        <v>45342.0</v>
      </c>
      <c r="F1665" s="8">
        <v>45357.0</v>
      </c>
      <c r="G1665" s="6">
        <v>24.0</v>
      </c>
      <c r="H1665" s="9">
        <v>4.5</v>
      </c>
      <c r="I1665" s="10">
        <v>8.0</v>
      </c>
      <c r="J1665" s="11">
        <v>0.0</v>
      </c>
      <c r="K1665" s="9">
        <v>0.53</v>
      </c>
      <c r="L1665" s="7" t="s">
        <v>13</v>
      </c>
    </row>
    <row r="1666" ht="15.75" customHeight="1">
      <c r="A1666" s="6">
        <v>10884.0</v>
      </c>
      <c r="B1666" s="7" t="s">
        <v>97</v>
      </c>
      <c r="C1666" s="8">
        <v>45334.0</v>
      </c>
      <c r="D1666" s="8">
        <v>45363.0</v>
      </c>
      <c r="E1666" s="8">
        <v>45335.0</v>
      </c>
      <c r="F1666" s="8">
        <v>45350.0</v>
      </c>
      <c r="G1666" s="6">
        <v>21.0</v>
      </c>
      <c r="H1666" s="9">
        <v>10.0</v>
      </c>
      <c r="I1666" s="10">
        <v>40.0</v>
      </c>
      <c r="J1666" s="11">
        <v>0.05</v>
      </c>
      <c r="K1666" s="9">
        <v>90.97</v>
      </c>
      <c r="L1666" s="7" t="s">
        <v>17</v>
      </c>
    </row>
    <row r="1667" ht="15.75" customHeight="1">
      <c r="A1667" s="6">
        <v>10884.0</v>
      </c>
      <c r="B1667" s="7" t="s">
        <v>97</v>
      </c>
      <c r="C1667" s="8">
        <v>45334.0</v>
      </c>
      <c r="D1667" s="8">
        <v>45363.0</v>
      </c>
      <c r="E1667" s="8">
        <v>45335.0</v>
      </c>
      <c r="F1667" s="8">
        <v>45350.0</v>
      </c>
      <c r="G1667" s="6">
        <v>56.0</v>
      </c>
      <c r="H1667" s="9">
        <v>38.0</v>
      </c>
      <c r="I1667" s="10">
        <v>21.0</v>
      </c>
      <c r="J1667" s="11">
        <v>0.05</v>
      </c>
      <c r="K1667" s="9">
        <v>90.97</v>
      </c>
      <c r="L1667" s="7" t="s">
        <v>17</v>
      </c>
    </row>
    <row r="1668" ht="15.75" customHeight="1">
      <c r="A1668" s="6">
        <v>10884.0</v>
      </c>
      <c r="B1668" s="7" t="s">
        <v>97</v>
      </c>
      <c r="C1668" s="8">
        <v>45334.0</v>
      </c>
      <c r="D1668" s="8">
        <v>45363.0</v>
      </c>
      <c r="E1668" s="8">
        <v>45335.0</v>
      </c>
      <c r="F1668" s="8">
        <v>45350.0</v>
      </c>
      <c r="G1668" s="6">
        <v>65.0</v>
      </c>
      <c r="H1668" s="9">
        <v>21.05</v>
      </c>
      <c r="I1668" s="10">
        <v>12.0</v>
      </c>
      <c r="J1668" s="11">
        <v>0.05</v>
      </c>
      <c r="K1668" s="9">
        <v>90.97</v>
      </c>
      <c r="L1668" s="7" t="s">
        <v>17</v>
      </c>
    </row>
    <row r="1669" ht="15.75" customHeight="1">
      <c r="A1669" s="6">
        <v>10885.0</v>
      </c>
      <c r="B1669" s="7" t="s">
        <v>19</v>
      </c>
      <c r="C1669" s="8">
        <v>45334.0</v>
      </c>
      <c r="D1669" s="8">
        <v>45363.0</v>
      </c>
      <c r="E1669" s="8">
        <v>45340.0</v>
      </c>
      <c r="F1669" s="8">
        <v>45353.0</v>
      </c>
      <c r="G1669" s="6">
        <v>2.0</v>
      </c>
      <c r="H1669" s="9">
        <v>19.0</v>
      </c>
      <c r="I1669" s="10">
        <v>20.0</v>
      </c>
      <c r="J1669" s="11">
        <v>0.0</v>
      </c>
      <c r="K1669" s="9">
        <v>5.64</v>
      </c>
      <c r="L1669" s="7" t="s">
        <v>13</v>
      </c>
    </row>
    <row r="1670" ht="15.75" customHeight="1">
      <c r="A1670" s="6">
        <v>10885.0</v>
      </c>
      <c r="B1670" s="7" t="s">
        <v>19</v>
      </c>
      <c r="C1670" s="8">
        <v>45334.0</v>
      </c>
      <c r="D1670" s="8">
        <v>45363.0</v>
      </c>
      <c r="E1670" s="8">
        <v>45340.0</v>
      </c>
      <c r="F1670" s="8">
        <v>45353.0</v>
      </c>
      <c r="G1670" s="6">
        <v>24.0</v>
      </c>
      <c r="H1670" s="9">
        <v>4.5</v>
      </c>
      <c r="I1670" s="10">
        <v>12.0</v>
      </c>
      <c r="J1670" s="11">
        <v>0.0</v>
      </c>
      <c r="K1670" s="9">
        <v>5.64</v>
      </c>
      <c r="L1670" s="7" t="s">
        <v>13</v>
      </c>
    </row>
    <row r="1671" ht="15.75" customHeight="1">
      <c r="A1671" s="6">
        <v>10885.0</v>
      </c>
      <c r="B1671" s="7" t="s">
        <v>19</v>
      </c>
      <c r="C1671" s="8">
        <v>45334.0</v>
      </c>
      <c r="D1671" s="8">
        <v>45363.0</v>
      </c>
      <c r="E1671" s="8">
        <v>45340.0</v>
      </c>
      <c r="F1671" s="8">
        <v>45353.0</v>
      </c>
      <c r="G1671" s="6">
        <v>70.0</v>
      </c>
      <c r="H1671" s="9">
        <v>15.0</v>
      </c>
      <c r="I1671" s="10">
        <v>30.0</v>
      </c>
      <c r="J1671" s="11">
        <v>0.0</v>
      </c>
      <c r="K1671" s="9">
        <v>5.64</v>
      </c>
      <c r="L1671" s="7" t="s">
        <v>13</v>
      </c>
    </row>
    <row r="1672" ht="15.75" customHeight="1">
      <c r="A1672" s="6">
        <v>10885.0</v>
      </c>
      <c r="B1672" s="7" t="s">
        <v>19</v>
      </c>
      <c r="C1672" s="8">
        <v>45334.0</v>
      </c>
      <c r="D1672" s="8">
        <v>45363.0</v>
      </c>
      <c r="E1672" s="8">
        <v>45340.0</v>
      </c>
      <c r="F1672" s="8">
        <v>45353.0</v>
      </c>
      <c r="G1672" s="6">
        <v>77.0</v>
      </c>
      <c r="H1672" s="9">
        <v>13.0</v>
      </c>
      <c r="I1672" s="10">
        <v>25.0</v>
      </c>
      <c r="J1672" s="11">
        <v>0.0</v>
      </c>
      <c r="K1672" s="9">
        <v>5.64</v>
      </c>
      <c r="L1672" s="7" t="s">
        <v>13</v>
      </c>
    </row>
    <row r="1673" ht="15.75" customHeight="1">
      <c r="A1673" s="6">
        <v>10886.0</v>
      </c>
      <c r="B1673" s="7" t="s">
        <v>16</v>
      </c>
      <c r="C1673" s="8">
        <v>45335.0</v>
      </c>
      <c r="D1673" s="8">
        <v>45364.0</v>
      </c>
      <c r="E1673" s="8">
        <v>45353.0</v>
      </c>
      <c r="F1673" s="8">
        <v>45370.0</v>
      </c>
      <c r="G1673" s="6">
        <v>10.0</v>
      </c>
      <c r="H1673" s="9">
        <v>31.0</v>
      </c>
      <c r="I1673" s="10">
        <v>70.0</v>
      </c>
      <c r="J1673" s="11">
        <v>0.0</v>
      </c>
      <c r="K1673" s="9">
        <v>4.99</v>
      </c>
      <c r="L1673" s="7" t="s">
        <v>15</v>
      </c>
    </row>
    <row r="1674" ht="15.75" customHeight="1">
      <c r="A1674" s="6">
        <v>10886.0</v>
      </c>
      <c r="B1674" s="7" t="s">
        <v>16</v>
      </c>
      <c r="C1674" s="8">
        <v>45335.0</v>
      </c>
      <c r="D1674" s="8">
        <v>45364.0</v>
      </c>
      <c r="E1674" s="8">
        <v>45353.0</v>
      </c>
      <c r="F1674" s="8">
        <v>45370.0</v>
      </c>
      <c r="G1674" s="6">
        <v>31.0</v>
      </c>
      <c r="H1674" s="9">
        <v>12.5</v>
      </c>
      <c r="I1674" s="10">
        <v>35.0</v>
      </c>
      <c r="J1674" s="11">
        <v>0.0</v>
      </c>
      <c r="K1674" s="9">
        <v>4.99</v>
      </c>
      <c r="L1674" s="7" t="s">
        <v>15</v>
      </c>
    </row>
    <row r="1675" ht="15.75" customHeight="1">
      <c r="A1675" s="6">
        <v>10886.0</v>
      </c>
      <c r="B1675" s="7" t="s">
        <v>16</v>
      </c>
      <c r="C1675" s="8">
        <v>45335.0</v>
      </c>
      <c r="D1675" s="8">
        <v>45364.0</v>
      </c>
      <c r="E1675" s="8">
        <v>45353.0</v>
      </c>
      <c r="F1675" s="8">
        <v>45370.0</v>
      </c>
      <c r="G1675" s="6">
        <v>77.0</v>
      </c>
      <c r="H1675" s="9">
        <v>13.0</v>
      </c>
      <c r="I1675" s="10">
        <v>40.0</v>
      </c>
      <c r="J1675" s="11">
        <v>0.0</v>
      </c>
      <c r="K1675" s="9">
        <v>4.99</v>
      </c>
      <c r="L1675" s="7" t="s">
        <v>15</v>
      </c>
    </row>
    <row r="1676" ht="15.75" customHeight="1">
      <c r="A1676" s="6">
        <v>10887.0</v>
      </c>
      <c r="B1676" s="7" t="s">
        <v>75</v>
      </c>
      <c r="C1676" s="8">
        <v>45335.0</v>
      </c>
      <c r="D1676" s="8">
        <v>45364.0</v>
      </c>
      <c r="E1676" s="8">
        <v>45338.0</v>
      </c>
      <c r="F1676" s="8">
        <v>45349.0</v>
      </c>
      <c r="G1676" s="6">
        <v>25.0</v>
      </c>
      <c r="H1676" s="9">
        <v>14.0</v>
      </c>
      <c r="I1676" s="10">
        <v>5.0</v>
      </c>
      <c r="J1676" s="11">
        <v>0.0</v>
      </c>
      <c r="K1676" s="9">
        <v>1.25</v>
      </c>
      <c r="L1676" s="7" t="s">
        <v>13</v>
      </c>
    </row>
    <row r="1677" ht="15.75" customHeight="1">
      <c r="A1677" s="6">
        <v>10888.0</v>
      </c>
      <c r="B1677" s="7" t="s">
        <v>51</v>
      </c>
      <c r="C1677" s="8">
        <v>45338.0</v>
      </c>
      <c r="D1677" s="8">
        <v>45367.0</v>
      </c>
      <c r="E1677" s="8">
        <v>45345.0</v>
      </c>
      <c r="F1677" s="8">
        <v>45356.0</v>
      </c>
      <c r="G1677" s="6">
        <v>2.0</v>
      </c>
      <c r="H1677" s="9">
        <v>19.0</v>
      </c>
      <c r="I1677" s="10">
        <v>20.0</v>
      </c>
      <c r="J1677" s="11">
        <v>0.0</v>
      </c>
      <c r="K1677" s="9">
        <v>51.87</v>
      </c>
      <c r="L1677" s="7" t="s">
        <v>17</v>
      </c>
    </row>
    <row r="1678" ht="15.75" customHeight="1">
      <c r="A1678" s="6">
        <v>10888.0</v>
      </c>
      <c r="B1678" s="7" t="s">
        <v>51</v>
      </c>
      <c r="C1678" s="8">
        <v>45338.0</v>
      </c>
      <c r="D1678" s="8">
        <v>45367.0</v>
      </c>
      <c r="E1678" s="8">
        <v>45345.0</v>
      </c>
      <c r="F1678" s="8">
        <v>45356.0</v>
      </c>
      <c r="G1678" s="6">
        <v>68.0</v>
      </c>
      <c r="H1678" s="9">
        <v>12.5</v>
      </c>
      <c r="I1678" s="10">
        <v>18.0</v>
      </c>
      <c r="J1678" s="11">
        <v>0.0</v>
      </c>
      <c r="K1678" s="9">
        <v>51.87</v>
      </c>
      <c r="L1678" s="7" t="s">
        <v>17</v>
      </c>
    </row>
    <row r="1679" ht="15.75" customHeight="1">
      <c r="A1679" s="6">
        <v>10889.0</v>
      </c>
      <c r="B1679" s="7" t="s">
        <v>28</v>
      </c>
      <c r="C1679" s="8">
        <v>45338.0</v>
      </c>
      <c r="D1679" s="8">
        <v>45367.0</v>
      </c>
      <c r="E1679" s="8">
        <v>45345.0</v>
      </c>
      <c r="F1679" s="8">
        <v>45362.0</v>
      </c>
      <c r="G1679" s="6">
        <v>11.0</v>
      </c>
      <c r="H1679" s="9">
        <v>21.0</v>
      </c>
      <c r="I1679" s="10">
        <v>40.0</v>
      </c>
      <c r="J1679" s="11">
        <v>0.0</v>
      </c>
      <c r="K1679" s="9">
        <v>280.61</v>
      </c>
      <c r="L1679" s="7" t="s">
        <v>13</v>
      </c>
    </row>
    <row r="1680" ht="15.75" customHeight="1">
      <c r="A1680" s="6">
        <v>10889.0</v>
      </c>
      <c r="B1680" s="7" t="s">
        <v>28</v>
      </c>
      <c r="C1680" s="8">
        <v>45338.0</v>
      </c>
      <c r="D1680" s="8">
        <v>45367.0</v>
      </c>
      <c r="E1680" s="8">
        <v>45345.0</v>
      </c>
      <c r="F1680" s="8">
        <v>45362.0</v>
      </c>
      <c r="G1680" s="6">
        <v>38.0</v>
      </c>
      <c r="H1680" s="9">
        <v>263.5</v>
      </c>
      <c r="I1680" s="10">
        <v>40.0</v>
      </c>
      <c r="J1680" s="11">
        <v>0.0</v>
      </c>
      <c r="K1680" s="9">
        <v>280.61</v>
      </c>
      <c r="L1680" s="7" t="s">
        <v>13</v>
      </c>
    </row>
    <row r="1681" ht="15.75" customHeight="1">
      <c r="A1681" s="6">
        <v>10890.0</v>
      </c>
      <c r="B1681" s="7" t="s">
        <v>56</v>
      </c>
      <c r="C1681" s="8">
        <v>45338.0</v>
      </c>
      <c r="D1681" s="8">
        <v>45367.0</v>
      </c>
      <c r="E1681" s="8">
        <v>45340.0</v>
      </c>
      <c r="F1681" s="8">
        <v>45345.0</v>
      </c>
      <c r="G1681" s="6">
        <v>17.0</v>
      </c>
      <c r="H1681" s="9">
        <v>39.0</v>
      </c>
      <c r="I1681" s="10">
        <v>15.0</v>
      </c>
      <c r="J1681" s="11">
        <v>0.0</v>
      </c>
      <c r="K1681" s="9">
        <v>32.76</v>
      </c>
      <c r="L1681" s="7" t="s">
        <v>15</v>
      </c>
    </row>
    <row r="1682" ht="15.75" customHeight="1">
      <c r="A1682" s="6">
        <v>10890.0</v>
      </c>
      <c r="B1682" s="7" t="s">
        <v>56</v>
      </c>
      <c r="C1682" s="8">
        <v>45338.0</v>
      </c>
      <c r="D1682" s="8">
        <v>45367.0</v>
      </c>
      <c r="E1682" s="8">
        <v>45340.0</v>
      </c>
      <c r="F1682" s="8">
        <v>45345.0</v>
      </c>
      <c r="G1682" s="6">
        <v>34.0</v>
      </c>
      <c r="H1682" s="9">
        <v>14.0</v>
      </c>
      <c r="I1682" s="10">
        <v>10.0</v>
      </c>
      <c r="J1682" s="11">
        <v>0.0</v>
      </c>
      <c r="K1682" s="9">
        <v>32.76</v>
      </c>
      <c r="L1682" s="7" t="s">
        <v>15</v>
      </c>
    </row>
    <row r="1683" ht="15.75" customHeight="1">
      <c r="A1683" s="6">
        <v>10890.0</v>
      </c>
      <c r="B1683" s="7" t="s">
        <v>56</v>
      </c>
      <c r="C1683" s="8">
        <v>45338.0</v>
      </c>
      <c r="D1683" s="8">
        <v>45367.0</v>
      </c>
      <c r="E1683" s="8">
        <v>45340.0</v>
      </c>
      <c r="F1683" s="8">
        <v>45345.0</v>
      </c>
      <c r="G1683" s="6">
        <v>41.0</v>
      </c>
      <c r="H1683" s="9">
        <v>9.65</v>
      </c>
      <c r="I1683" s="10">
        <v>14.0</v>
      </c>
      <c r="J1683" s="11">
        <v>0.0</v>
      </c>
      <c r="K1683" s="9">
        <v>32.76</v>
      </c>
      <c r="L1683" s="7" t="s">
        <v>15</v>
      </c>
    </row>
    <row r="1684" ht="15.75" customHeight="1">
      <c r="A1684" s="6">
        <v>10891.0</v>
      </c>
      <c r="B1684" s="7" t="s">
        <v>41</v>
      </c>
      <c r="C1684" s="8">
        <v>45339.0</v>
      </c>
      <c r="D1684" s="8">
        <v>45368.0</v>
      </c>
      <c r="E1684" s="8">
        <v>45341.0</v>
      </c>
      <c r="F1684" s="8">
        <v>45349.0</v>
      </c>
      <c r="G1684" s="6">
        <v>30.0</v>
      </c>
      <c r="H1684" s="9">
        <v>25.89</v>
      </c>
      <c r="I1684" s="10">
        <v>15.0</v>
      </c>
      <c r="J1684" s="11">
        <v>0.05</v>
      </c>
      <c r="K1684" s="9">
        <v>20.37</v>
      </c>
      <c r="L1684" s="7" t="s">
        <v>17</v>
      </c>
    </row>
    <row r="1685" ht="15.75" customHeight="1">
      <c r="A1685" s="6">
        <v>10892.0</v>
      </c>
      <c r="B1685" s="7" t="s">
        <v>95</v>
      </c>
      <c r="C1685" s="8">
        <v>45339.0</v>
      </c>
      <c r="D1685" s="8">
        <v>45368.0</v>
      </c>
      <c r="E1685" s="8">
        <v>45341.0</v>
      </c>
      <c r="F1685" s="8">
        <v>45354.0</v>
      </c>
      <c r="G1685" s="6">
        <v>59.0</v>
      </c>
      <c r="H1685" s="9">
        <v>55.0</v>
      </c>
      <c r="I1685" s="10">
        <v>40.0</v>
      </c>
      <c r="J1685" s="11">
        <v>0.05</v>
      </c>
      <c r="K1685" s="9">
        <v>120.27</v>
      </c>
      <c r="L1685" s="7" t="s">
        <v>17</v>
      </c>
    </row>
    <row r="1686" ht="15.75" customHeight="1">
      <c r="A1686" s="6">
        <v>10893.0</v>
      </c>
      <c r="B1686" s="7" t="s">
        <v>59</v>
      </c>
      <c r="C1686" s="8">
        <v>45340.0</v>
      </c>
      <c r="D1686" s="8">
        <v>45369.0</v>
      </c>
      <c r="E1686" s="8">
        <v>45342.0</v>
      </c>
      <c r="F1686" s="8">
        <v>45348.0</v>
      </c>
      <c r="G1686" s="6">
        <v>8.0</v>
      </c>
      <c r="H1686" s="9">
        <v>40.0</v>
      </c>
      <c r="I1686" s="10">
        <v>30.0</v>
      </c>
      <c r="J1686" s="11">
        <v>0.0</v>
      </c>
      <c r="K1686" s="9">
        <v>77.78</v>
      </c>
      <c r="L1686" s="7" t="s">
        <v>17</v>
      </c>
    </row>
    <row r="1687" ht="15.75" customHeight="1">
      <c r="A1687" s="6">
        <v>10893.0</v>
      </c>
      <c r="B1687" s="7" t="s">
        <v>59</v>
      </c>
      <c r="C1687" s="8">
        <v>45340.0</v>
      </c>
      <c r="D1687" s="8">
        <v>45369.0</v>
      </c>
      <c r="E1687" s="8">
        <v>45342.0</v>
      </c>
      <c r="F1687" s="8">
        <v>45348.0</v>
      </c>
      <c r="G1687" s="6">
        <v>24.0</v>
      </c>
      <c r="H1687" s="9">
        <v>4.5</v>
      </c>
      <c r="I1687" s="10">
        <v>10.0</v>
      </c>
      <c r="J1687" s="11">
        <v>0.0</v>
      </c>
      <c r="K1687" s="9">
        <v>77.78</v>
      </c>
      <c r="L1687" s="7" t="s">
        <v>17</v>
      </c>
    </row>
    <row r="1688" ht="15.75" customHeight="1">
      <c r="A1688" s="6">
        <v>10893.0</v>
      </c>
      <c r="B1688" s="7" t="s">
        <v>59</v>
      </c>
      <c r="C1688" s="8">
        <v>45340.0</v>
      </c>
      <c r="D1688" s="8">
        <v>45369.0</v>
      </c>
      <c r="E1688" s="8">
        <v>45342.0</v>
      </c>
      <c r="F1688" s="8">
        <v>45348.0</v>
      </c>
      <c r="G1688" s="6">
        <v>29.0</v>
      </c>
      <c r="H1688" s="9">
        <v>123.79</v>
      </c>
      <c r="I1688" s="10">
        <v>24.0</v>
      </c>
      <c r="J1688" s="11">
        <v>0.0</v>
      </c>
      <c r="K1688" s="9">
        <v>77.78</v>
      </c>
      <c r="L1688" s="7" t="s">
        <v>17</v>
      </c>
    </row>
    <row r="1689" ht="15.75" customHeight="1">
      <c r="A1689" s="6">
        <v>10893.0</v>
      </c>
      <c r="B1689" s="7" t="s">
        <v>59</v>
      </c>
      <c r="C1689" s="8">
        <v>45340.0</v>
      </c>
      <c r="D1689" s="8">
        <v>45369.0</v>
      </c>
      <c r="E1689" s="8">
        <v>45342.0</v>
      </c>
      <c r="F1689" s="8">
        <v>45348.0</v>
      </c>
      <c r="G1689" s="6">
        <v>30.0</v>
      </c>
      <c r="H1689" s="9">
        <v>25.89</v>
      </c>
      <c r="I1689" s="10">
        <v>35.0</v>
      </c>
      <c r="J1689" s="11">
        <v>0.0</v>
      </c>
      <c r="K1689" s="9">
        <v>77.78</v>
      </c>
      <c r="L1689" s="7" t="s">
        <v>17</v>
      </c>
    </row>
    <row r="1690" ht="15.75" customHeight="1">
      <c r="A1690" s="6">
        <v>10893.0</v>
      </c>
      <c r="B1690" s="7" t="s">
        <v>59</v>
      </c>
      <c r="C1690" s="8">
        <v>45340.0</v>
      </c>
      <c r="D1690" s="8">
        <v>45369.0</v>
      </c>
      <c r="E1690" s="8">
        <v>45342.0</v>
      </c>
      <c r="F1690" s="8">
        <v>45348.0</v>
      </c>
      <c r="G1690" s="6">
        <v>36.0</v>
      </c>
      <c r="H1690" s="9">
        <v>19.0</v>
      </c>
      <c r="I1690" s="10">
        <v>20.0</v>
      </c>
      <c r="J1690" s="11">
        <v>0.0</v>
      </c>
      <c r="K1690" s="9">
        <v>77.78</v>
      </c>
      <c r="L1690" s="7" t="s">
        <v>17</v>
      </c>
    </row>
    <row r="1691" ht="15.75" customHeight="1">
      <c r="A1691" s="6">
        <v>10894.0</v>
      </c>
      <c r="B1691" s="7" t="s">
        <v>60</v>
      </c>
      <c r="C1691" s="8">
        <v>45340.0</v>
      </c>
      <c r="D1691" s="8">
        <v>45369.0</v>
      </c>
      <c r="E1691" s="8">
        <v>45342.0</v>
      </c>
      <c r="F1691" s="8">
        <v>45356.0</v>
      </c>
      <c r="G1691" s="6">
        <v>13.0</v>
      </c>
      <c r="H1691" s="9">
        <v>6.0</v>
      </c>
      <c r="I1691" s="10">
        <v>28.0</v>
      </c>
      <c r="J1691" s="11">
        <v>0.05</v>
      </c>
      <c r="K1691" s="9">
        <v>116.13</v>
      </c>
      <c r="L1691" s="7" t="s">
        <v>15</v>
      </c>
    </row>
    <row r="1692" ht="15.75" customHeight="1">
      <c r="A1692" s="6">
        <v>10894.0</v>
      </c>
      <c r="B1692" s="7" t="s">
        <v>60</v>
      </c>
      <c r="C1692" s="8">
        <v>45340.0</v>
      </c>
      <c r="D1692" s="8">
        <v>45369.0</v>
      </c>
      <c r="E1692" s="8">
        <v>45342.0</v>
      </c>
      <c r="F1692" s="8">
        <v>45356.0</v>
      </c>
      <c r="G1692" s="6">
        <v>69.0</v>
      </c>
      <c r="H1692" s="9">
        <v>36.0</v>
      </c>
      <c r="I1692" s="10">
        <v>50.0</v>
      </c>
      <c r="J1692" s="11">
        <v>0.05</v>
      </c>
      <c r="K1692" s="9">
        <v>116.13</v>
      </c>
      <c r="L1692" s="7" t="s">
        <v>15</v>
      </c>
    </row>
    <row r="1693" ht="15.75" customHeight="1">
      <c r="A1693" s="6">
        <v>10894.0</v>
      </c>
      <c r="B1693" s="7" t="s">
        <v>60</v>
      </c>
      <c r="C1693" s="8">
        <v>45340.0</v>
      </c>
      <c r="D1693" s="8">
        <v>45369.0</v>
      </c>
      <c r="E1693" s="8">
        <v>45342.0</v>
      </c>
      <c r="F1693" s="8">
        <v>45356.0</v>
      </c>
      <c r="G1693" s="6">
        <v>75.0</v>
      </c>
      <c r="H1693" s="9">
        <v>7.75</v>
      </c>
      <c r="I1693" s="10">
        <v>120.0</v>
      </c>
      <c r="J1693" s="11">
        <v>0.05</v>
      </c>
      <c r="K1693" s="9">
        <v>116.13</v>
      </c>
      <c r="L1693" s="7" t="s">
        <v>15</v>
      </c>
    </row>
    <row r="1694" ht="15.75" customHeight="1">
      <c r="A1694" s="6">
        <v>10895.0</v>
      </c>
      <c r="B1694" s="7" t="s">
        <v>24</v>
      </c>
      <c r="C1694" s="8">
        <v>45340.0</v>
      </c>
      <c r="D1694" s="8">
        <v>45369.0</v>
      </c>
      <c r="E1694" s="8">
        <v>45345.0</v>
      </c>
      <c r="F1694" s="8">
        <v>45353.0</v>
      </c>
      <c r="G1694" s="6">
        <v>24.0</v>
      </c>
      <c r="H1694" s="9">
        <v>4.5</v>
      </c>
      <c r="I1694" s="10">
        <v>110.0</v>
      </c>
      <c r="J1694" s="11">
        <v>0.0</v>
      </c>
      <c r="K1694" s="9">
        <v>162.75</v>
      </c>
      <c r="L1694" s="7" t="s">
        <v>15</v>
      </c>
    </row>
    <row r="1695" ht="15.75" customHeight="1">
      <c r="A1695" s="6">
        <v>10895.0</v>
      </c>
      <c r="B1695" s="7" t="s">
        <v>24</v>
      </c>
      <c r="C1695" s="8">
        <v>45340.0</v>
      </c>
      <c r="D1695" s="8">
        <v>45369.0</v>
      </c>
      <c r="E1695" s="8">
        <v>45345.0</v>
      </c>
      <c r="F1695" s="8">
        <v>45353.0</v>
      </c>
      <c r="G1695" s="6">
        <v>39.0</v>
      </c>
      <c r="H1695" s="9">
        <v>18.0</v>
      </c>
      <c r="I1695" s="10">
        <v>45.0</v>
      </c>
      <c r="J1695" s="11">
        <v>0.0</v>
      </c>
      <c r="K1695" s="9">
        <v>162.75</v>
      </c>
      <c r="L1695" s="7" t="s">
        <v>15</v>
      </c>
    </row>
    <row r="1696" ht="15.75" customHeight="1">
      <c r="A1696" s="6">
        <v>10895.0</v>
      </c>
      <c r="B1696" s="7" t="s">
        <v>24</v>
      </c>
      <c r="C1696" s="8">
        <v>45340.0</v>
      </c>
      <c r="D1696" s="8">
        <v>45369.0</v>
      </c>
      <c r="E1696" s="8">
        <v>45345.0</v>
      </c>
      <c r="F1696" s="8">
        <v>45353.0</v>
      </c>
      <c r="G1696" s="6">
        <v>40.0</v>
      </c>
      <c r="H1696" s="9">
        <v>18.4</v>
      </c>
      <c r="I1696" s="10">
        <v>91.0</v>
      </c>
      <c r="J1696" s="11">
        <v>0.0</v>
      </c>
      <c r="K1696" s="9">
        <v>162.75</v>
      </c>
      <c r="L1696" s="7" t="s">
        <v>15</v>
      </c>
    </row>
    <row r="1697" ht="15.75" customHeight="1">
      <c r="A1697" s="6">
        <v>10895.0</v>
      </c>
      <c r="B1697" s="7" t="s">
        <v>24</v>
      </c>
      <c r="C1697" s="8">
        <v>45340.0</v>
      </c>
      <c r="D1697" s="8">
        <v>45369.0</v>
      </c>
      <c r="E1697" s="8">
        <v>45345.0</v>
      </c>
      <c r="F1697" s="8">
        <v>45353.0</v>
      </c>
      <c r="G1697" s="6">
        <v>60.0</v>
      </c>
      <c r="H1697" s="9">
        <v>34.0</v>
      </c>
      <c r="I1697" s="10">
        <v>100.0</v>
      </c>
      <c r="J1697" s="11">
        <v>0.0</v>
      </c>
      <c r="K1697" s="9">
        <v>162.75</v>
      </c>
      <c r="L1697" s="7" t="s">
        <v>15</v>
      </c>
    </row>
    <row r="1698" ht="15.75" customHeight="1">
      <c r="A1698" s="6">
        <v>10896.0</v>
      </c>
      <c r="B1698" s="7" t="s">
        <v>95</v>
      </c>
      <c r="C1698" s="8">
        <v>45341.0</v>
      </c>
      <c r="D1698" s="8">
        <v>45370.0</v>
      </c>
      <c r="E1698" s="8">
        <v>45349.0</v>
      </c>
      <c r="F1698" s="8">
        <v>45359.0</v>
      </c>
      <c r="G1698" s="6">
        <v>45.0</v>
      </c>
      <c r="H1698" s="9">
        <v>9.5</v>
      </c>
      <c r="I1698" s="10">
        <v>15.0</v>
      </c>
      <c r="J1698" s="11">
        <v>0.0</v>
      </c>
      <c r="K1698" s="9">
        <v>32.45</v>
      </c>
      <c r="L1698" s="7" t="s">
        <v>13</v>
      </c>
    </row>
    <row r="1699" ht="15.75" customHeight="1">
      <c r="A1699" s="6">
        <v>10896.0</v>
      </c>
      <c r="B1699" s="7" t="s">
        <v>95</v>
      </c>
      <c r="C1699" s="8">
        <v>45341.0</v>
      </c>
      <c r="D1699" s="8">
        <v>45370.0</v>
      </c>
      <c r="E1699" s="8">
        <v>45349.0</v>
      </c>
      <c r="F1699" s="8">
        <v>45359.0</v>
      </c>
      <c r="G1699" s="6">
        <v>56.0</v>
      </c>
      <c r="H1699" s="9">
        <v>38.0</v>
      </c>
      <c r="I1699" s="10">
        <v>16.0</v>
      </c>
      <c r="J1699" s="11">
        <v>0.0</v>
      </c>
      <c r="K1699" s="9">
        <v>32.45</v>
      </c>
      <c r="L1699" s="7" t="s">
        <v>13</v>
      </c>
    </row>
    <row r="1700" ht="15.75" customHeight="1">
      <c r="A1700" s="6">
        <v>10897.0</v>
      </c>
      <c r="B1700" s="7" t="s">
        <v>49</v>
      </c>
      <c r="C1700" s="8">
        <v>45341.0</v>
      </c>
      <c r="D1700" s="8">
        <v>45370.0</v>
      </c>
      <c r="E1700" s="8">
        <v>45347.0</v>
      </c>
      <c r="F1700" s="8">
        <v>45362.0</v>
      </c>
      <c r="G1700" s="6">
        <v>29.0</v>
      </c>
      <c r="H1700" s="9">
        <v>123.79</v>
      </c>
      <c r="I1700" s="10">
        <v>80.0</v>
      </c>
      <c r="J1700" s="11">
        <v>0.0</v>
      </c>
      <c r="K1700" s="9">
        <v>603.54</v>
      </c>
      <c r="L1700" s="7" t="s">
        <v>17</v>
      </c>
    </row>
    <row r="1701" ht="15.75" customHeight="1">
      <c r="A1701" s="6">
        <v>10897.0</v>
      </c>
      <c r="B1701" s="7" t="s">
        <v>49</v>
      </c>
      <c r="C1701" s="8">
        <v>45341.0</v>
      </c>
      <c r="D1701" s="8">
        <v>45370.0</v>
      </c>
      <c r="E1701" s="8">
        <v>45347.0</v>
      </c>
      <c r="F1701" s="8">
        <v>45362.0</v>
      </c>
      <c r="G1701" s="6">
        <v>30.0</v>
      </c>
      <c r="H1701" s="9">
        <v>25.89</v>
      </c>
      <c r="I1701" s="10">
        <v>36.0</v>
      </c>
      <c r="J1701" s="11">
        <v>0.0</v>
      </c>
      <c r="K1701" s="9">
        <v>603.54</v>
      </c>
      <c r="L1701" s="7" t="s">
        <v>17</v>
      </c>
    </row>
    <row r="1702" ht="15.75" customHeight="1">
      <c r="A1702" s="6">
        <v>10898.0</v>
      </c>
      <c r="B1702" s="7" t="s">
        <v>84</v>
      </c>
      <c r="C1702" s="8">
        <v>45342.0</v>
      </c>
      <c r="D1702" s="8">
        <v>45371.0</v>
      </c>
      <c r="E1702" s="8">
        <v>45357.0</v>
      </c>
      <c r="F1702" s="8">
        <v>45372.0</v>
      </c>
      <c r="G1702" s="6">
        <v>13.0</v>
      </c>
      <c r="H1702" s="9">
        <v>6.0</v>
      </c>
      <c r="I1702" s="10">
        <v>5.0</v>
      </c>
      <c r="J1702" s="11">
        <v>0.0</v>
      </c>
      <c r="K1702" s="9">
        <v>1.27</v>
      </c>
      <c r="L1702" s="7" t="s">
        <v>17</v>
      </c>
    </row>
    <row r="1703" ht="15.75" customHeight="1">
      <c r="A1703" s="6">
        <v>10899.0</v>
      </c>
      <c r="B1703" s="7" t="s">
        <v>43</v>
      </c>
      <c r="C1703" s="8">
        <v>45342.0</v>
      </c>
      <c r="D1703" s="8">
        <v>45371.0</v>
      </c>
      <c r="E1703" s="8">
        <v>45348.0</v>
      </c>
      <c r="F1703" s="8">
        <v>45360.0</v>
      </c>
      <c r="G1703" s="6">
        <v>39.0</v>
      </c>
      <c r="H1703" s="9">
        <v>18.0</v>
      </c>
      <c r="I1703" s="10">
        <v>8.0</v>
      </c>
      <c r="J1703" s="11">
        <v>0.15</v>
      </c>
      <c r="K1703" s="9">
        <v>1.21</v>
      </c>
      <c r="L1703" s="7" t="s">
        <v>13</v>
      </c>
    </row>
    <row r="1704" ht="15.75" customHeight="1">
      <c r="A1704" s="6">
        <v>10900.0</v>
      </c>
      <c r="B1704" s="7" t="s">
        <v>22</v>
      </c>
      <c r="C1704" s="8">
        <v>45342.0</v>
      </c>
      <c r="D1704" s="8">
        <v>45371.0</v>
      </c>
      <c r="E1704" s="8">
        <v>45355.0</v>
      </c>
      <c r="F1704" s="8">
        <v>45376.0</v>
      </c>
      <c r="G1704" s="6">
        <v>70.0</v>
      </c>
      <c r="H1704" s="9">
        <v>15.0</v>
      </c>
      <c r="I1704" s="10">
        <v>3.0</v>
      </c>
      <c r="J1704" s="11">
        <v>0.25</v>
      </c>
      <c r="K1704" s="9">
        <v>1.66</v>
      </c>
      <c r="L1704" s="7" t="s">
        <v>17</v>
      </c>
    </row>
    <row r="1705" ht="15.75" customHeight="1">
      <c r="A1705" s="6">
        <v>10901.0</v>
      </c>
      <c r="B1705" s="7" t="s">
        <v>23</v>
      </c>
      <c r="C1705" s="8">
        <v>45345.0</v>
      </c>
      <c r="D1705" s="8">
        <v>45374.0</v>
      </c>
      <c r="E1705" s="8">
        <v>45348.0</v>
      </c>
      <c r="F1705" s="8">
        <v>45358.0</v>
      </c>
      <c r="G1705" s="6">
        <v>41.0</v>
      </c>
      <c r="H1705" s="9">
        <v>9.65</v>
      </c>
      <c r="I1705" s="10">
        <v>30.0</v>
      </c>
      <c r="J1705" s="11">
        <v>0.0</v>
      </c>
      <c r="K1705" s="9">
        <v>62.09</v>
      </c>
      <c r="L1705" s="7" t="s">
        <v>15</v>
      </c>
    </row>
    <row r="1706" ht="15.75" customHeight="1">
      <c r="A1706" s="6">
        <v>10901.0</v>
      </c>
      <c r="B1706" s="7" t="s">
        <v>23</v>
      </c>
      <c r="C1706" s="8">
        <v>45345.0</v>
      </c>
      <c r="D1706" s="8">
        <v>45374.0</v>
      </c>
      <c r="E1706" s="8">
        <v>45348.0</v>
      </c>
      <c r="F1706" s="8">
        <v>45358.0</v>
      </c>
      <c r="G1706" s="6">
        <v>71.0</v>
      </c>
      <c r="H1706" s="9">
        <v>21.5</v>
      </c>
      <c r="I1706" s="10">
        <v>30.0</v>
      </c>
      <c r="J1706" s="11">
        <v>0.0</v>
      </c>
      <c r="K1706" s="9">
        <v>62.09</v>
      </c>
      <c r="L1706" s="7" t="s">
        <v>15</v>
      </c>
    </row>
    <row r="1707" ht="15.75" customHeight="1">
      <c r="A1707" s="6">
        <v>10902.0</v>
      </c>
      <c r="B1707" s="7" t="s">
        <v>29</v>
      </c>
      <c r="C1707" s="8">
        <v>45345.0</v>
      </c>
      <c r="D1707" s="8">
        <v>45374.0</v>
      </c>
      <c r="E1707" s="8">
        <v>45354.0</v>
      </c>
      <c r="F1707" s="8">
        <v>45363.0</v>
      </c>
      <c r="G1707" s="6">
        <v>55.0</v>
      </c>
      <c r="H1707" s="9">
        <v>24.0</v>
      </c>
      <c r="I1707" s="10">
        <v>30.0</v>
      </c>
      <c r="J1707" s="11">
        <v>0.15</v>
      </c>
      <c r="K1707" s="9">
        <v>44.15</v>
      </c>
      <c r="L1707" s="7" t="s">
        <v>15</v>
      </c>
    </row>
    <row r="1708" ht="15.75" customHeight="1">
      <c r="A1708" s="6">
        <v>10902.0</v>
      </c>
      <c r="B1708" s="7" t="s">
        <v>29</v>
      </c>
      <c r="C1708" s="8">
        <v>45345.0</v>
      </c>
      <c r="D1708" s="8">
        <v>45374.0</v>
      </c>
      <c r="E1708" s="8">
        <v>45354.0</v>
      </c>
      <c r="F1708" s="8">
        <v>45363.0</v>
      </c>
      <c r="G1708" s="6">
        <v>62.0</v>
      </c>
      <c r="H1708" s="9">
        <v>49.3</v>
      </c>
      <c r="I1708" s="10">
        <v>6.0</v>
      </c>
      <c r="J1708" s="11">
        <v>0.15</v>
      </c>
      <c r="K1708" s="9">
        <v>44.15</v>
      </c>
      <c r="L1708" s="7" t="s">
        <v>15</v>
      </c>
    </row>
    <row r="1709" ht="15.75" customHeight="1">
      <c r="A1709" s="6">
        <v>10903.0</v>
      </c>
      <c r="B1709" s="7" t="s">
        <v>16</v>
      </c>
      <c r="C1709" s="8">
        <v>45346.0</v>
      </c>
      <c r="D1709" s="8">
        <v>45375.0</v>
      </c>
      <c r="E1709" s="8">
        <v>45355.0</v>
      </c>
      <c r="F1709" s="8">
        <v>45370.0</v>
      </c>
      <c r="G1709" s="6">
        <v>13.0</v>
      </c>
      <c r="H1709" s="9">
        <v>6.0</v>
      </c>
      <c r="I1709" s="10">
        <v>40.0</v>
      </c>
      <c r="J1709" s="11">
        <v>0.0</v>
      </c>
      <c r="K1709" s="9">
        <v>36.71</v>
      </c>
      <c r="L1709" s="7" t="s">
        <v>13</v>
      </c>
    </row>
    <row r="1710" ht="15.75" customHeight="1">
      <c r="A1710" s="6">
        <v>10903.0</v>
      </c>
      <c r="B1710" s="7" t="s">
        <v>16</v>
      </c>
      <c r="C1710" s="8">
        <v>45346.0</v>
      </c>
      <c r="D1710" s="8">
        <v>45375.0</v>
      </c>
      <c r="E1710" s="8">
        <v>45355.0</v>
      </c>
      <c r="F1710" s="8">
        <v>45370.0</v>
      </c>
      <c r="G1710" s="6">
        <v>65.0</v>
      </c>
      <c r="H1710" s="9">
        <v>21.05</v>
      </c>
      <c r="I1710" s="10">
        <v>21.0</v>
      </c>
      <c r="J1710" s="11">
        <v>0.0</v>
      </c>
      <c r="K1710" s="9">
        <v>36.71</v>
      </c>
      <c r="L1710" s="7" t="s">
        <v>13</v>
      </c>
    </row>
    <row r="1711" ht="15.75" customHeight="1">
      <c r="A1711" s="6">
        <v>10903.0</v>
      </c>
      <c r="B1711" s="7" t="s">
        <v>16</v>
      </c>
      <c r="C1711" s="8">
        <v>45346.0</v>
      </c>
      <c r="D1711" s="8">
        <v>45375.0</v>
      </c>
      <c r="E1711" s="8">
        <v>45355.0</v>
      </c>
      <c r="F1711" s="8">
        <v>45370.0</v>
      </c>
      <c r="G1711" s="6">
        <v>68.0</v>
      </c>
      <c r="H1711" s="9">
        <v>12.5</v>
      </c>
      <c r="I1711" s="10">
        <v>20.0</v>
      </c>
      <c r="J1711" s="11">
        <v>0.0</v>
      </c>
      <c r="K1711" s="9">
        <v>36.71</v>
      </c>
      <c r="L1711" s="7" t="s">
        <v>13</v>
      </c>
    </row>
    <row r="1712" ht="15.75" customHeight="1">
      <c r="A1712" s="6">
        <v>10904.0</v>
      </c>
      <c r="B1712" s="7" t="s">
        <v>34</v>
      </c>
      <c r="C1712" s="8">
        <v>45346.0</v>
      </c>
      <c r="D1712" s="8">
        <v>45375.0</v>
      </c>
      <c r="E1712" s="8">
        <v>45349.0</v>
      </c>
      <c r="F1712" s="8">
        <v>45366.0</v>
      </c>
      <c r="G1712" s="6">
        <v>58.0</v>
      </c>
      <c r="H1712" s="9">
        <v>13.25</v>
      </c>
      <c r="I1712" s="10">
        <v>15.0</v>
      </c>
      <c r="J1712" s="11">
        <v>0.0</v>
      </c>
      <c r="K1712" s="9">
        <v>162.95</v>
      </c>
      <c r="L1712" s="7" t="s">
        <v>13</v>
      </c>
    </row>
    <row r="1713" ht="15.75" customHeight="1">
      <c r="A1713" s="6">
        <v>10904.0</v>
      </c>
      <c r="B1713" s="7" t="s">
        <v>34</v>
      </c>
      <c r="C1713" s="8">
        <v>45346.0</v>
      </c>
      <c r="D1713" s="8">
        <v>45375.0</v>
      </c>
      <c r="E1713" s="8">
        <v>45349.0</v>
      </c>
      <c r="F1713" s="8">
        <v>45366.0</v>
      </c>
      <c r="G1713" s="6">
        <v>62.0</v>
      </c>
      <c r="H1713" s="9">
        <v>49.3</v>
      </c>
      <c r="I1713" s="10">
        <v>35.0</v>
      </c>
      <c r="J1713" s="11">
        <v>0.0</v>
      </c>
      <c r="K1713" s="9">
        <v>162.95</v>
      </c>
      <c r="L1713" s="7" t="s">
        <v>13</v>
      </c>
    </row>
    <row r="1714" ht="15.75" customHeight="1">
      <c r="A1714" s="6">
        <v>10905.0</v>
      </c>
      <c r="B1714" s="7" t="s">
        <v>22</v>
      </c>
      <c r="C1714" s="8">
        <v>45346.0</v>
      </c>
      <c r="D1714" s="8">
        <v>45375.0</v>
      </c>
      <c r="E1714" s="8">
        <v>45357.0</v>
      </c>
      <c r="F1714" s="8">
        <v>45375.0</v>
      </c>
      <c r="G1714" s="6">
        <v>1.0</v>
      </c>
      <c r="H1714" s="9">
        <v>18.0</v>
      </c>
      <c r="I1714" s="10">
        <v>20.0</v>
      </c>
      <c r="J1714" s="11">
        <v>0.05</v>
      </c>
      <c r="K1714" s="9">
        <v>13.72</v>
      </c>
      <c r="L1714" s="7" t="s">
        <v>17</v>
      </c>
    </row>
    <row r="1715" ht="15.75" customHeight="1">
      <c r="A1715" s="6">
        <v>10906.0</v>
      </c>
      <c r="B1715" s="7" t="s">
        <v>78</v>
      </c>
      <c r="C1715" s="8">
        <v>45347.0</v>
      </c>
      <c r="D1715" s="8">
        <v>45362.0</v>
      </c>
      <c r="E1715" s="8">
        <v>45354.0</v>
      </c>
      <c r="F1715" s="8">
        <v>45364.0</v>
      </c>
      <c r="G1715" s="6">
        <v>61.0</v>
      </c>
      <c r="H1715" s="9">
        <v>28.5</v>
      </c>
      <c r="I1715" s="10">
        <v>15.0</v>
      </c>
      <c r="J1715" s="11">
        <v>0.0</v>
      </c>
      <c r="K1715" s="9">
        <v>26.29</v>
      </c>
      <c r="L1715" s="7" t="s">
        <v>13</v>
      </c>
    </row>
    <row r="1716" ht="15.75" customHeight="1">
      <c r="A1716" s="6">
        <v>10907.0</v>
      </c>
      <c r="B1716" s="7" t="s">
        <v>102</v>
      </c>
      <c r="C1716" s="8">
        <v>45347.0</v>
      </c>
      <c r="D1716" s="8">
        <v>45376.0</v>
      </c>
      <c r="E1716" s="8">
        <v>45349.0</v>
      </c>
      <c r="F1716" s="8">
        <v>45358.0</v>
      </c>
      <c r="G1716" s="6">
        <v>75.0</v>
      </c>
      <c r="H1716" s="9">
        <v>7.75</v>
      </c>
      <c r="I1716" s="10">
        <v>14.0</v>
      </c>
      <c r="J1716" s="11">
        <v>0.0</v>
      </c>
      <c r="K1716" s="9">
        <v>9.19</v>
      </c>
      <c r="L1716" s="7" t="s">
        <v>13</v>
      </c>
    </row>
    <row r="1717" ht="15.75" customHeight="1">
      <c r="A1717" s="6">
        <v>10908.0</v>
      </c>
      <c r="B1717" s="7" t="s">
        <v>45</v>
      </c>
      <c r="C1717" s="8">
        <v>45348.0</v>
      </c>
      <c r="D1717" s="8">
        <v>45377.0</v>
      </c>
      <c r="E1717" s="8">
        <v>45357.0</v>
      </c>
      <c r="F1717" s="8">
        <v>45368.0</v>
      </c>
      <c r="G1717" s="6">
        <v>7.0</v>
      </c>
      <c r="H1717" s="9">
        <v>30.0</v>
      </c>
      <c r="I1717" s="10">
        <v>20.0</v>
      </c>
      <c r="J1717" s="11">
        <v>0.05</v>
      </c>
      <c r="K1717" s="9">
        <v>32.96</v>
      </c>
      <c r="L1717" s="7" t="s">
        <v>17</v>
      </c>
    </row>
    <row r="1718" ht="15.75" customHeight="1">
      <c r="A1718" s="6">
        <v>10908.0</v>
      </c>
      <c r="B1718" s="7" t="s">
        <v>45</v>
      </c>
      <c r="C1718" s="8">
        <v>45348.0</v>
      </c>
      <c r="D1718" s="8">
        <v>45377.0</v>
      </c>
      <c r="E1718" s="8">
        <v>45357.0</v>
      </c>
      <c r="F1718" s="8">
        <v>45368.0</v>
      </c>
      <c r="G1718" s="6">
        <v>52.0</v>
      </c>
      <c r="H1718" s="9">
        <v>7.0</v>
      </c>
      <c r="I1718" s="10">
        <v>14.0</v>
      </c>
      <c r="J1718" s="11">
        <v>0.05</v>
      </c>
      <c r="K1718" s="9">
        <v>32.96</v>
      </c>
      <c r="L1718" s="7" t="s">
        <v>17</v>
      </c>
    </row>
    <row r="1719" ht="15.75" customHeight="1">
      <c r="A1719" s="6">
        <v>10909.0</v>
      </c>
      <c r="B1719" s="7" t="s">
        <v>80</v>
      </c>
      <c r="C1719" s="8">
        <v>45348.0</v>
      </c>
      <c r="D1719" s="8">
        <v>45377.0</v>
      </c>
      <c r="E1719" s="8">
        <v>45361.0</v>
      </c>
      <c r="F1719" s="8">
        <v>45373.0</v>
      </c>
      <c r="G1719" s="6">
        <v>7.0</v>
      </c>
      <c r="H1719" s="9">
        <v>30.0</v>
      </c>
      <c r="I1719" s="10">
        <v>12.0</v>
      </c>
      <c r="J1719" s="11">
        <v>0.0</v>
      </c>
      <c r="K1719" s="9">
        <v>53.05</v>
      </c>
      <c r="L1719" s="7" t="s">
        <v>17</v>
      </c>
    </row>
    <row r="1720" ht="15.75" customHeight="1">
      <c r="A1720" s="6">
        <v>10909.0</v>
      </c>
      <c r="B1720" s="7" t="s">
        <v>80</v>
      </c>
      <c r="C1720" s="8">
        <v>45348.0</v>
      </c>
      <c r="D1720" s="8">
        <v>45377.0</v>
      </c>
      <c r="E1720" s="8">
        <v>45361.0</v>
      </c>
      <c r="F1720" s="8">
        <v>45373.0</v>
      </c>
      <c r="G1720" s="6">
        <v>16.0</v>
      </c>
      <c r="H1720" s="9">
        <v>17.45</v>
      </c>
      <c r="I1720" s="10">
        <v>15.0</v>
      </c>
      <c r="J1720" s="11">
        <v>0.0</v>
      </c>
      <c r="K1720" s="9">
        <v>53.05</v>
      </c>
      <c r="L1720" s="7" t="s">
        <v>17</v>
      </c>
    </row>
    <row r="1721" ht="15.75" customHeight="1">
      <c r="A1721" s="6">
        <v>10909.0</v>
      </c>
      <c r="B1721" s="7" t="s">
        <v>80</v>
      </c>
      <c r="C1721" s="8">
        <v>45348.0</v>
      </c>
      <c r="D1721" s="8">
        <v>45377.0</v>
      </c>
      <c r="E1721" s="8">
        <v>45361.0</v>
      </c>
      <c r="F1721" s="8">
        <v>45373.0</v>
      </c>
      <c r="G1721" s="6">
        <v>41.0</v>
      </c>
      <c r="H1721" s="9">
        <v>9.65</v>
      </c>
      <c r="I1721" s="10">
        <v>5.0</v>
      </c>
      <c r="J1721" s="11">
        <v>0.0</v>
      </c>
      <c r="K1721" s="9">
        <v>53.05</v>
      </c>
      <c r="L1721" s="7" t="s">
        <v>17</v>
      </c>
    </row>
    <row r="1722" ht="15.75" customHeight="1">
      <c r="A1722" s="6">
        <v>10910.0</v>
      </c>
      <c r="B1722" s="7" t="s">
        <v>98</v>
      </c>
      <c r="C1722" s="8">
        <v>45348.0</v>
      </c>
      <c r="D1722" s="8">
        <v>45377.0</v>
      </c>
      <c r="E1722" s="8">
        <v>45355.0</v>
      </c>
      <c r="F1722" s="8">
        <v>45365.0</v>
      </c>
      <c r="G1722" s="6">
        <v>19.0</v>
      </c>
      <c r="H1722" s="9">
        <v>9.2</v>
      </c>
      <c r="I1722" s="10">
        <v>12.0</v>
      </c>
      <c r="J1722" s="11">
        <v>0.0</v>
      </c>
      <c r="K1722" s="9">
        <v>38.11</v>
      </c>
      <c r="L1722" s="7" t="s">
        <v>13</v>
      </c>
    </row>
    <row r="1723" ht="15.75" customHeight="1">
      <c r="A1723" s="6">
        <v>10910.0</v>
      </c>
      <c r="B1723" s="7" t="s">
        <v>98</v>
      </c>
      <c r="C1723" s="8">
        <v>45348.0</v>
      </c>
      <c r="D1723" s="8">
        <v>45377.0</v>
      </c>
      <c r="E1723" s="8">
        <v>45355.0</v>
      </c>
      <c r="F1723" s="8">
        <v>45365.0</v>
      </c>
      <c r="G1723" s="6">
        <v>49.0</v>
      </c>
      <c r="H1723" s="9">
        <v>20.0</v>
      </c>
      <c r="I1723" s="10">
        <v>10.0</v>
      </c>
      <c r="J1723" s="11">
        <v>0.0</v>
      </c>
      <c r="K1723" s="9">
        <v>38.11</v>
      </c>
      <c r="L1723" s="7" t="s">
        <v>13</v>
      </c>
    </row>
    <row r="1724" ht="15.75" customHeight="1">
      <c r="A1724" s="6">
        <v>10910.0</v>
      </c>
      <c r="B1724" s="7" t="s">
        <v>98</v>
      </c>
      <c r="C1724" s="8">
        <v>45348.0</v>
      </c>
      <c r="D1724" s="8">
        <v>45377.0</v>
      </c>
      <c r="E1724" s="8">
        <v>45355.0</v>
      </c>
      <c r="F1724" s="8">
        <v>45365.0</v>
      </c>
      <c r="G1724" s="6">
        <v>61.0</v>
      </c>
      <c r="H1724" s="9">
        <v>28.5</v>
      </c>
      <c r="I1724" s="10">
        <v>5.0</v>
      </c>
      <c r="J1724" s="11">
        <v>0.0</v>
      </c>
      <c r="K1724" s="9">
        <v>38.11</v>
      </c>
      <c r="L1724" s="7" t="s">
        <v>13</v>
      </c>
    </row>
    <row r="1725" ht="15.75" customHeight="1">
      <c r="A1725" s="6">
        <v>10911.0</v>
      </c>
      <c r="B1725" s="7" t="s">
        <v>51</v>
      </c>
      <c r="C1725" s="8">
        <v>45348.0</v>
      </c>
      <c r="D1725" s="8">
        <v>45377.0</v>
      </c>
      <c r="E1725" s="8">
        <v>45356.0</v>
      </c>
      <c r="F1725" s="8">
        <v>45361.0</v>
      </c>
      <c r="G1725" s="6">
        <v>1.0</v>
      </c>
      <c r="H1725" s="9">
        <v>18.0</v>
      </c>
      <c r="I1725" s="10">
        <v>10.0</v>
      </c>
      <c r="J1725" s="11">
        <v>0.0</v>
      </c>
      <c r="K1725" s="9">
        <v>38.19</v>
      </c>
      <c r="L1725" s="7" t="s">
        <v>15</v>
      </c>
    </row>
    <row r="1726" ht="15.75" customHeight="1">
      <c r="A1726" s="6">
        <v>10911.0</v>
      </c>
      <c r="B1726" s="7" t="s">
        <v>51</v>
      </c>
      <c r="C1726" s="8">
        <v>45348.0</v>
      </c>
      <c r="D1726" s="8">
        <v>45377.0</v>
      </c>
      <c r="E1726" s="8">
        <v>45356.0</v>
      </c>
      <c r="F1726" s="8">
        <v>45361.0</v>
      </c>
      <c r="G1726" s="6">
        <v>17.0</v>
      </c>
      <c r="H1726" s="9">
        <v>39.0</v>
      </c>
      <c r="I1726" s="10">
        <v>12.0</v>
      </c>
      <c r="J1726" s="11">
        <v>0.0</v>
      </c>
      <c r="K1726" s="9">
        <v>38.19</v>
      </c>
      <c r="L1726" s="7" t="s">
        <v>15</v>
      </c>
    </row>
    <row r="1727" ht="15.75" customHeight="1">
      <c r="A1727" s="6">
        <v>10911.0</v>
      </c>
      <c r="B1727" s="7" t="s">
        <v>51</v>
      </c>
      <c r="C1727" s="8">
        <v>45348.0</v>
      </c>
      <c r="D1727" s="8">
        <v>45377.0</v>
      </c>
      <c r="E1727" s="8">
        <v>45356.0</v>
      </c>
      <c r="F1727" s="8">
        <v>45361.0</v>
      </c>
      <c r="G1727" s="6">
        <v>67.0</v>
      </c>
      <c r="H1727" s="9">
        <v>14.0</v>
      </c>
      <c r="I1727" s="10">
        <v>15.0</v>
      </c>
      <c r="J1727" s="11">
        <v>0.0</v>
      </c>
      <c r="K1727" s="9">
        <v>38.19</v>
      </c>
      <c r="L1727" s="7" t="s">
        <v>15</v>
      </c>
    </row>
    <row r="1728" ht="15.75" customHeight="1">
      <c r="A1728" s="6">
        <v>10912.0</v>
      </c>
      <c r="B1728" s="7" t="s">
        <v>49</v>
      </c>
      <c r="C1728" s="8">
        <v>45348.0</v>
      </c>
      <c r="D1728" s="8">
        <v>45377.0</v>
      </c>
      <c r="E1728" s="8">
        <v>45369.0</v>
      </c>
      <c r="F1728" s="8">
        <v>45383.0</v>
      </c>
      <c r="G1728" s="6">
        <v>11.0</v>
      </c>
      <c r="H1728" s="9">
        <v>21.0</v>
      </c>
      <c r="I1728" s="10">
        <v>40.0</v>
      </c>
      <c r="J1728" s="11">
        <v>0.25</v>
      </c>
      <c r="K1728" s="9">
        <v>580.91</v>
      </c>
      <c r="L1728" s="7" t="s">
        <v>17</v>
      </c>
    </row>
    <row r="1729" ht="15.75" customHeight="1">
      <c r="A1729" s="6">
        <v>10912.0</v>
      </c>
      <c r="B1729" s="7" t="s">
        <v>49</v>
      </c>
      <c r="C1729" s="8">
        <v>45348.0</v>
      </c>
      <c r="D1729" s="8">
        <v>45377.0</v>
      </c>
      <c r="E1729" s="8">
        <v>45369.0</v>
      </c>
      <c r="F1729" s="8">
        <v>45383.0</v>
      </c>
      <c r="G1729" s="6">
        <v>29.0</v>
      </c>
      <c r="H1729" s="9">
        <v>123.79</v>
      </c>
      <c r="I1729" s="10">
        <v>60.0</v>
      </c>
      <c r="J1729" s="11">
        <v>0.25</v>
      </c>
      <c r="K1729" s="9">
        <v>580.91</v>
      </c>
      <c r="L1729" s="7" t="s">
        <v>17</v>
      </c>
    </row>
    <row r="1730" ht="15.75" customHeight="1">
      <c r="A1730" s="6">
        <v>10913.0</v>
      </c>
      <c r="B1730" s="7" t="s">
        <v>77</v>
      </c>
      <c r="C1730" s="8">
        <v>45348.0</v>
      </c>
      <c r="D1730" s="8">
        <v>45377.0</v>
      </c>
      <c r="E1730" s="8">
        <v>45355.0</v>
      </c>
      <c r="F1730" s="8">
        <v>45368.0</v>
      </c>
      <c r="G1730" s="6">
        <v>4.0</v>
      </c>
      <c r="H1730" s="9">
        <v>22.0</v>
      </c>
      <c r="I1730" s="10">
        <v>30.0</v>
      </c>
      <c r="J1730" s="11">
        <v>0.25</v>
      </c>
      <c r="K1730" s="9">
        <v>33.05</v>
      </c>
      <c r="L1730" s="7" t="s">
        <v>15</v>
      </c>
    </row>
    <row r="1731" ht="15.75" customHeight="1">
      <c r="A1731" s="6">
        <v>10913.0</v>
      </c>
      <c r="B1731" s="7" t="s">
        <v>77</v>
      </c>
      <c r="C1731" s="8">
        <v>45348.0</v>
      </c>
      <c r="D1731" s="8">
        <v>45377.0</v>
      </c>
      <c r="E1731" s="8">
        <v>45355.0</v>
      </c>
      <c r="F1731" s="8">
        <v>45368.0</v>
      </c>
      <c r="G1731" s="6">
        <v>33.0</v>
      </c>
      <c r="H1731" s="9">
        <v>2.5</v>
      </c>
      <c r="I1731" s="10">
        <v>40.0</v>
      </c>
      <c r="J1731" s="11">
        <v>0.25</v>
      </c>
      <c r="K1731" s="9">
        <v>33.05</v>
      </c>
      <c r="L1731" s="7" t="s">
        <v>15</v>
      </c>
    </row>
    <row r="1732" ht="15.75" customHeight="1">
      <c r="A1732" s="6">
        <v>10913.0</v>
      </c>
      <c r="B1732" s="7" t="s">
        <v>77</v>
      </c>
      <c r="C1732" s="8">
        <v>45348.0</v>
      </c>
      <c r="D1732" s="8">
        <v>45377.0</v>
      </c>
      <c r="E1732" s="8">
        <v>45355.0</v>
      </c>
      <c r="F1732" s="8">
        <v>45368.0</v>
      </c>
      <c r="G1732" s="6">
        <v>58.0</v>
      </c>
      <c r="H1732" s="9">
        <v>13.25</v>
      </c>
      <c r="I1732" s="10">
        <v>15.0</v>
      </c>
      <c r="J1732" s="11">
        <v>0.0</v>
      </c>
      <c r="K1732" s="9">
        <v>33.05</v>
      </c>
      <c r="L1732" s="7" t="s">
        <v>15</v>
      </c>
    </row>
    <row r="1733" ht="15.75" customHeight="1">
      <c r="A1733" s="6">
        <v>10914.0</v>
      </c>
      <c r="B1733" s="7" t="s">
        <v>77</v>
      </c>
      <c r="C1733" s="8">
        <v>45349.0</v>
      </c>
      <c r="D1733" s="8">
        <v>45378.0</v>
      </c>
      <c r="E1733" s="8">
        <v>45353.0</v>
      </c>
      <c r="F1733" s="8">
        <v>45368.0</v>
      </c>
      <c r="G1733" s="6">
        <v>71.0</v>
      </c>
      <c r="H1733" s="9">
        <v>21.5</v>
      </c>
      <c r="I1733" s="10">
        <v>25.0</v>
      </c>
      <c r="J1733" s="11">
        <v>0.0</v>
      </c>
      <c r="K1733" s="9">
        <v>21.19</v>
      </c>
      <c r="L1733" s="7" t="s">
        <v>15</v>
      </c>
    </row>
    <row r="1734" ht="15.75" customHeight="1">
      <c r="A1734" s="6">
        <v>10915.0</v>
      </c>
      <c r="B1734" s="7" t="s">
        <v>38</v>
      </c>
      <c r="C1734" s="8">
        <v>45349.0</v>
      </c>
      <c r="D1734" s="8">
        <v>45378.0</v>
      </c>
      <c r="E1734" s="8">
        <v>45353.0</v>
      </c>
      <c r="F1734" s="8">
        <v>45368.0</v>
      </c>
      <c r="G1734" s="6">
        <v>17.0</v>
      </c>
      <c r="H1734" s="9">
        <v>39.0</v>
      </c>
      <c r="I1734" s="10">
        <v>10.0</v>
      </c>
      <c r="J1734" s="11">
        <v>0.0</v>
      </c>
      <c r="K1734" s="9">
        <v>3.51</v>
      </c>
      <c r="L1734" s="7" t="s">
        <v>17</v>
      </c>
    </row>
    <row r="1735" ht="15.75" customHeight="1">
      <c r="A1735" s="6">
        <v>10915.0</v>
      </c>
      <c r="B1735" s="7" t="s">
        <v>38</v>
      </c>
      <c r="C1735" s="8">
        <v>45349.0</v>
      </c>
      <c r="D1735" s="8">
        <v>45378.0</v>
      </c>
      <c r="E1735" s="8">
        <v>45353.0</v>
      </c>
      <c r="F1735" s="8">
        <v>45368.0</v>
      </c>
      <c r="G1735" s="6">
        <v>33.0</v>
      </c>
      <c r="H1735" s="9">
        <v>2.5</v>
      </c>
      <c r="I1735" s="10">
        <v>30.0</v>
      </c>
      <c r="J1735" s="11">
        <v>0.0</v>
      </c>
      <c r="K1735" s="9">
        <v>3.51</v>
      </c>
      <c r="L1735" s="7" t="s">
        <v>17</v>
      </c>
    </row>
    <row r="1736" ht="15.75" customHeight="1">
      <c r="A1736" s="6">
        <v>10915.0</v>
      </c>
      <c r="B1736" s="7" t="s">
        <v>38</v>
      </c>
      <c r="C1736" s="8">
        <v>45349.0</v>
      </c>
      <c r="D1736" s="8">
        <v>45378.0</v>
      </c>
      <c r="E1736" s="8">
        <v>45353.0</v>
      </c>
      <c r="F1736" s="8">
        <v>45368.0</v>
      </c>
      <c r="G1736" s="6">
        <v>54.0</v>
      </c>
      <c r="H1736" s="9">
        <v>7.45</v>
      </c>
      <c r="I1736" s="10">
        <v>10.0</v>
      </c>
      <c r="J1736" s="11">
        <v>0.0</v>
      </c>
      <c r="K1736" s="9">
        <v>3.51</v>
      </c>
      <c r="L1736" s="7" t="s">
        <v>17</v>
      </c>
    </row>
    <row r="1737" ht="15.75" customHeight="1">
      <c r="A1737" s="6">
        <v>10916.0</v>
      </c>
      <c r="B1737" s="7" t="s">
        <v>88</v>
      </c>
      <c r="C1737" s="8">
        <v>45349.0</v>
      </c>
      <c r="D1737" s="8">
        <v>45378.0</v>
      </c>
      <c r="E1737" s="8">
        <v>45360.0</v>
      </c>
      <c r="F1737" s="8">
        <v>45374.0</v>
      </c>
      <c r="G1737" s="6">
        <v>16.0</v>
      </c>
      <c r="H1737" s="9">
        <v>17.45</v>
      </c>
      <c r="I1737" s="10">
        <v>6.0</v>
      </c>
      <c r="J1737" s="11">
        <v>0.0</v>
      </c>
      <c r="K1737" s="9">
        <v>63.77</v>
      </c>
      <c r="L1737" s="7" t="s">
        <v>17</v>
      </c>
    </row>
    <row r="1738" ht="15.75" customHeight="1">
      <c r="A1738" s="6">
        <v>10916.0</v>
      </c>
      <c r="B1738" s="7" t="s">
        <v>88</v>
      </c>
      <c r="C1738" s="8">
        <v>45349.0</v>
      </c>
      <c r="D1738" s="8">
        <v>45378.0</v>
      </c>
      <c r="E1738" s="8">
        <v>45360.0</v>
      </c>
      <c r="F1738" s="8">
        <v>45374.0</v>
      </c>
      <c r="G1738" s="6">
        <v>32.0</v>
      </c>
      <c r="H1738" s="9">
        <v>32.0</v>
      </c>
      <c r="I1738" s="10">
        <v>6.0</v>
      </c>
      <c r="J1738" s="11">
        <v>0.0</v>
      </c>
      <c r="K1738" s="9">
        <v>63.77</v>
      </c>
      <c r="L1738" s="7" t="s">
        <v>17</v>
      </c>
    </row>
    <row r="1739" ht="15.75" customHeight="1">
      <c r="A1739" s="6">
        <v>10916.0</v>
      </c>
      <c r="B1739" s="7" t="s">
        <v>88</v>
      </c>
      <c r="C1739" s="8">
        <v>45349.0</v>
      </c>
      <c r="D1739" s="8">
        <v>45378.0</v>
      </c>
      <c r="E1739" s="8">
        <v>45360.0</v>
      </c>
      <c r="F1739" s="8">
        <v>45374.0</v>
      </c>
      <c r="G1739" s="6">
        <v>57.0</v>
      </c>
      <c r="H1739" s="9">
        <v>19.5</v>
      </c>
      <c r="I1739" s="10">
        <v>20.0</v>
      </c>
      <c r="J1739" s="11">
        <v>0.0</v>
      </c>
      <c r="K1739" s="9">
        <v>63.77</v>
      </c>
      <c r="L1739" s="7" t="s">
        <v>17</v>
      </c>
    </row>
    <row r="1740" ht="15.75" customHeight="1">
      <c r="A1740" s="6">
        <v>10917.0</v>
      </c>
      <c r="B1740" s="7" t="s">
        <v>42</v>
      </c>
      <c r="C1740" s="8">
        <v>45353.0</v>
      </c>
      <c r="D1740" s="8">
        <v>45381.0</v>
      </c>
      <c r="E1740" s="8">
        <v>45362.0</v>
      </c>
      <c r="F1740" s="8">
        <v>45373.0</v>
      </c>
      <c r="G1740" s="6">
        <v>30.0</v>
      </c>
      <c r="H1740" s="9">
        <v>25.89</v>
      </c>
      <c r="I1740" s="10">
        <v>1.0</v>
      </c>
      <c r="J1740" s="11">
        <v>0.0</v>
      </c>
      <c r="K1740" s="9">
        <v>8.29</v>
      </c>
      <c r="L1740" s="7" t="s">
        <v>17</v>
      </c>
    </row>
    <row r="1741" ht="15.75" customHeight="1">
      <c r="A1741" s="6">
        <v>10917.0</v>
      </c>
      <c r="B1741" s="7" t="s">
        <v>42</v>
      </c>
      <c r="C1741" s="8">
        <v>45353.0</v>
      </c>
      <c r="D1741" s="8">
        <v>45381.0</v>
      </c>
      <c r="E1741" s="8">
        <v>45362.0</v>
      </c>
      <c r="F1741" s="8">
        <v>45373.0</v>
      </c>
      <c r="G1741" s="6">
        <v>60.0</v>
      </c>
      <c r="H1741" s="9">
        <v>34.0</v>
      </c>
      <c r="I1741" s="10">
        <v>10.0</v>
      </c>
      <c r="J1741" s="11">
        <v>0.0</v>
      </c>
      <c r="K1741" s="9">
        <v>8.29</v>
      </c>
      <c r="L1741" s="7" t="s">
        <v>17</v>
      </c>
    </row>
    <row r="1742" ht="15.75" customHeight="1">
      <c r="A1742" s="6">
        <v>10918.0</v>
      </c>
      <c r="B1742" s="7" t="s">
        <v>81</v>
      </c>
      <c r="C1742" s="8">
        <v>45353.0</v>
      </c>
      <c r="D1742" s="8">
        <v>45381.0</v>
      </c>
      <c r="E1742" s="8">
        <v>45362.0</v>
      </c>
      <c r="F1742" s="8">
        <v>45377.0</v>
      </c>
      <c r="G1742" s="6">
        <v>1.0</v>
      </c>
      <c r="H1742" s="9">
        <v>18.0</v>
      </c>
      <c r="I1742" s="10">
        <v>60.0</v>
      </c>
      <c r="J1742" s="11">
        <v>0.25</v>
      </c>
      <c r="K1742" s="9">
        <v>48.83</v>
      </c>
      <c r="L1742" s="7" t="s">
        <v>13</v>
      </c>
    </row>
    <row r="1743" ht="15.75" customHeight="1">
      <c r="A1743" s="6">
        <v>10918.0</v>
      </c>
      <c r="B1743" s="7" t="s">
        <v>81</v>
      </c>
      <c r="C1743" s="8">
        <v>45353.0</v>
      </c>
      <c r="D1743" s="8">
        <v>45381.0</v>
      </c>
      <c r="E1743" s="8">
        <v>45362.0</v>
      </c>
      <c r="F1743" s="8">
        <v>45377.0</v>
      </c>
      <c r="G1743" s="6">
        <v>60.0</v>
      </c>
      <c r="H1743" s="9">
        <v>34.0</v>
      </c>
      <c r="I1743" s="10">
        <v>25.0</v>
      </c>
      <c r="J1743" s="11">
        <v>0.25</v>
      </c>
      <c r="K1743" s="9">
        <v>48.83</v>
      </c>
      <c r="L1743" s="7" t="s">
        <v>13</v>
      </c>
    </row>
    <row r="1744" ht="15.75" customHeight="1">
      <c r="A1744" s="6">
        <v>10919.0</v>
      </c>
      <c r="B1744" s="7" t="s">
        <v>82</v>
      </c>
      <c r="C1744" s="8">
        <v>45353.0</v>
      </c>
      <c r="D1744" s="8">
        <v>45381.0</v>
      </c>
      <c r="E1744" s="8">
        <v>45355.0</v>
      </c>
      <c r="F1744" s="8">
        <v>45367.0</v>
      </c>
      <c r="G1744" s="6">
        <v>16.0</v>
      </c>
      <c r="H1744" s="9">
        <v>17.45</v>
      </c>
      <c r="I1744" s="10">
        <v>24.0</v>
      </c>
      <c r="J1744" s="11">
        <v>0.0</v>
      </c>
      <c r="K1744" s="9">
        <v>19.8</v>
      </c>
      <c r="L1744" s="7" t="s">
        <v>17</v>
      </c>
    </row>
    <row r="1745" ht="15.75" customHeight="1">
      <c r="A1745" s="6">
        <v>10919.0</v>
      </c>
      <c r="B1745" s="7" t="s">
        <v>82</v>
      </c>
      <c r="C1745" s="8">
        <v>45353.0</v>
      </c>
      <c r="D1745" s="8">
        <v>45381.0</v>
      </c>
      <c r="E1745" s="8">
        <v>45355.0</v>
      </c>
      <c r="F1745" s="8">
        <v>45367.0</v>
      </c>
      <c r="G1745" s="6">
        <v>25.0</v>
      </c>
      <c r="H1745" s="9">
        <v>14.0</v>
      </c>
      <c r="I1745" s="10">
        <v>24.0</v>
      </c>
      <c r="J1745" s="11">
        <v>0.0</v>
      </c>
      <c r="K1745" s="9">
        <v>19.8</v>
      </c>
      <c r="L1745" s="7" t="s">
        <v>17</v>
      </c>
    </row>
    <row r="1746" ht="15.75" customHeight="1">
      <c r="A1746" s="6">
        <v>10919.0</v>
      </c>
      <c r="B1746" s="7" t="s">
        <v>82</v>
      </c>
      <c r="C1746" s="8">
        <v>45353.0</v>
      </c>
      <c r="D1746" s="8">
        <v>45381.0</v>
      </c>
      <c r="E1746" s="8">
        <v>45355.0</v>
      </c>
      <c r="F1746" s="8">
        <v>45367.0</v>
      </c>
      <c r="G1746" s="6">
        <v>40.0</v>
      </c>
      <c r="H1746" s="9">
        <v>18.4</v>
      </c>
      <c r="I1746" s="10">
        <v>20.0</v>
      </c>
      <c r="J1746" s="11">
        <v>0.0</v>
      </c>
      <c r="K1746" s="9">
        <v>19.8</v>
      </c>
      <c r="L1746" s="7" t="s">
        <v>17</v>
      </c>
    </row>
    <row r="1747" ht="15.75" customHeight="1">
      <c r="A1747" s="6">
        <v>10920.0</v>
      </c>
      <c r="B1747" s="7" t="s">
        <v>70</v>
      </c>
      <c r="C1747" s="8">
        <v>45354.0</v>
      </c>
      <c r="D1747" s="8">
        <v>45382.0</v>
      </c>
      <c r="E1747" s="8">
        <v>45360.0</v>
      </c>
      <c r="F1747" s="8">
        <v>45368.0</v>
      </c>
      <c r="G1747" s="6">
        <v>50.0</v>
      </c>
      <c r="H1747" s="9">
        <v>16.25</v>
      </c>
      <c r="I1747" s="10">
        <v>24.0</v>
      </c>
      <c r="J1747" s="11">
        <v>0.0</v>
      </c>
      <c r="K1747" s="9">
        <v>29.61</v>
      </c>
      <c r="L1747" s="7" t="s">
        <v>17</v>
      </c>
    </row>
    <row r="1748" ht="15.75" customHeight="1">
      <c r="A1748" s="6">
        <v>10921.0</v>
      </c>
      <c r="B1748" s="7" t="s">
        <v>76</v>
      </c>
      <c r="C1748" s="8">
        <v>45354.0</v>
      </c>
      <c r="D1748" s="8">
        <v>45396.0</v>
      </c>
      <c r="E1748" s="8">
        <v>45360.0</v>
      </c>
      <c r="F1748" s="8">
        <v>45369.0</v>
      </c>
      <c r="G1748" s="6">
        <v>35.0</v>
      </c>
      <c r="H1748" s="9">
        <v>18.0</v>
      </c>
      <c r="I1748" s="10">
        <v>10.0</v>
      </c>
      <c r="J1748" s="11">
        <v>0.0</v>
      </c>
      <c r="K1748" s="9">
        <v>176.48</v>
      </c>
      <c r="L1748" s="7" t="s">
        <v>15</v>
      </c>
    </row>
    <row r="1749" ht="15.75" customHeight="1">
      <c r="A1749" s="6">
        <v>10921.0</v>
      </c>
      <c r="B1749" s="7" t="s">
        <v>76</v>
      </c>
      <c r="C1749" s="8">
        <v>45354.0</v>
      </c>
      <c r="D1749" s="8">
        <v>45396.0</v>
      </c>
      <c r="E1749" s="8">
        <v>45360.0</v>
      </c>
      <c r="F1749" s="8">
        <v>45369.0</v>
      </c>
      <c r="G1749" s="6">
        <v>63.0</v>
      </c>
      <c r="H1749" s="9">
        <v>43.9</v>
      </c>
      <c r="I1749" s="10">
        <v>40.0</v>
      </c>
      <c r="J1749" s="11">
        <v>0.0</v>
      </c>
      <c r="K1749" s="9">
        <v>176.48</v>
      </c>
      <c r="L1749" s="7" t="s">
        <v>15</v>
      </c>
    </row>
    <row r="1750" ht="15.75" customHeight="1">
      <c r="A1750" s="6">
        <v>10922.0</v>
      </c>
      <c r="B1750" s="7" t="s">
        <v>16</v>
      </c>
      <c r="C1750" s="8">
        <v>45354.0</v>
      </c>
      <c r="D1750" s="8">
        <v>45382.0</v>
      </c>
      <c r="E1750" s="8">
        <v>45356.0</v>
      </c>
      <c r="F1750" s="8">
        <v>45373.0</v>
      </c>
      <c r="G1750" s="6">
        <v>17.0</v>
      </c>
      <c r="H1750" s="9">
        <v>39.0</v>
      </c>
      <c r="I1750" s="10">
        <v>15.0</v>
      </c>
      <c r="J1750" s="11">
        <v>0.0</v>
      </c>
      <c r="K1750" s="9">
        <v>62.74</v>
      </c>
      <c r="L1750" s="7" t="s">
        <v>13</v>
      </c>
    </row>
    <row r="1751" ht="15.75" customHeight="1">
      <c r="A1751" s="6">
        <v>10922.0</v>
      </c>
      <c r="B1751" s="7" t="s">
        <v>16</v>
      </c>
      <c r="C1751" s="8">
        <v>45354.0</v>
      </c>
      <c r="D1751" s="8">
        <v>45382.0</v>
      </c>
      <c r="E1751" s="8">
        <v>45356.0</v>
      </c>
      <c r="F1751" s="8">
        <v>45373.0</v>
      </c>
      <c r="G1751" s="6">
        <v>24.0</v>
      </c>
      <c r="H1751" s="9">
        <v>4.5</v>
      </c>
      <c r="I1751" s="10">
        <v>35.0</v>
      </c>
      <c r="J1751" s="11">
        <v>0.0</v>
      </c>
      <c r="K1751" s="9">
        <v>62.74</v>
      </c>
      <c r="L1751" s="7" t="s">
        <v>13</v>
      </c>
    </row>
    <row r="1752" ht="15.75" customHeight="1">
      <c r="A1752" s="6">
        <v>10923.0</v>
      </c>
      <c r="B1752" s="7" t="s">
        <v>68</v>
      </c>
      <c r="C1752" s="8">
        <v>45354.0</v>
      </c>
      <c r="D1752" s="8">
        <v>45396.0</v>
      </c>
      <c r="E1752" s="8">
        <v>45364.0</v>
      </c>
      <c r="F1752" s="8">
        <v>45372.0</v>
      </c>
      <c r="G1752" s="6">
        <v>42.0</v>
      </c>
      <c r="H1752" s="9">
        <v>14.0</v>
      </c>
      <c r="I1752" s="10">
        <v>10.0</v>
      </c>
      <c r="J1752" s="11">
        <v>0.2</v>
      </c>
      <c r="K1752" s="9">
        <v>68.26</v>
      </c>
      <c r="L1752" s="7" t="s">
        <v>13</v>
      </c>
    </row>
    <row r="1753" ht="15.75" customHeight="1">
      <c r="A1753" s="6">
        <v>10923.0</v>
      </c>
      <c r="B1753" s="7" t="s">
        <v>68</v>
      </c>
      <c r="C1753" s="8">
        <v>45354.0</v>
      </c>
      <c r="D1753" s="8">
        <v>45396.0</v>
      </c>
      <c r="E1753" s="8">
        <v>45364.0</v>
      </c>
      <c r="F1753" s="8">
        <v>45372.0</v>
      </c>
      <c r="G1753" s="6">
        <v>43.0</v>
      </c>
      <c r="H1753" s="9">
        <v>46.0</v>
      </c>
      <c r="I1753" s="10">
        <v>10.0</v>
      </c>
      <c r="J1753" s="11">
        <v>0.2</v>
      </c>
      <c r="K1753" s="9">
        <v>68.26</v>
      </c>
      <c r="L1753" s="7" t="s">
        <v>13</v>
      </c>
    </row>
    <row r="1754" ht="15.75" customHeight="1">
      <c r="A1754" s="6">
        <v>10923.0</v>
      </c>
      <c r="B1754" s="7" t="s">
        <v>68</v>
      </c>
      <c r="C1754" s="8">
        <v>45354.0</v>
      </c>
      <c r="D1754" s="8">
        <v>45396.0</v>
      </c>
      <c r="E1754" s="8">
        <v>45364.0</v>
      </c>
      <c r="F1754" s="8">
        <v>45372.0</v>
      </c>
      <c r="G1754" s="6">
        <v>67.0</v>
      </c>
      <c r="H1754" s="9">
        <v>14.0</v>
      </c>
      <c r="I1754" s="10">
        <v>24.0</v>
      </c>
      <c r="J1754" s="11">
        <v>0.2</v>
      </c>
      <c r="K1754" s="9">
        <v>68.26</v>
      </c>
      <c r="L1754" s="7" t="s">
        <v>13</v>
      </c>
    </row>
    <row r="1755" ht="15.75" customHeight="1">
      <c r="A1755" s="6">
        <v>10924.0</v>
      </c>
      <c r="B1755" s="7" t="s">
        <v>40</v>
      </c>
      <c r="C1755" s="8">
        <v>45355.0</v>
      </c>
      <c r="D1755" s="8">
        <v>45383.0</v>
      </c>
      <c r="E1755" s="8">
        <v>45390.0</v>
      </c>
      <c r="F1755" s="8">
        <v>45402.0</v>
      </c>
      <c r="G1755" s="6">
        <v>10.0</v>
      </c>
      <c r="H1755" s="9">
        <v>31.0</v>
      </c>
      <c r="I1755" s="10">
        <v>20.0</v>
      </c>
      <c r="J1755" s="11">
        <v>0.1</v>
      </c>
      <c r="K1755" s="9">
        <v>151.52</v>
      </c>
      <c r="L1755" s="7" t="s">
        <v>17</v>
      </c>
    </row>
    <row r="1756" ht="15.75" customHeight="1">
      <c r="A1756" s="6">
        <v>10924.0</v>
      </c>
      <c r="B1756" s="7" t="s">
        <v>40</v>
      </c>
      <c r="C1756" s="8">
        <v>45355.0</v>
      </c>
      <c r="D1756" s="8">
        <v>45383.0</v>
      </c>
      <c r="E1756" s="8">
        <v>45390.0</v>
      </c>
      <c r="F1756" s="8">
        <v>45402.0</v>
      </c>
      <c r="G1756" s="6">
        <v>28.0</v>
      </c>
      <c r="H1756" s="9">
        <v>45.6</v>
      </c>
      <c r="I1756" s="10">
        <v>30.0</v>
      </c>
      <c r="J1756" s="11">
        <v>0.1</v>
      </c>
      <c r="K1756" s="9">
        <v>151.52</v>
      </c>
      <c r="L1756" s="7" t="s">
        <v>17</v>
      </c>
    </row>
    <row r="1757" ht="15.75" customHeight="1">
      <c r="A1757" s="6">
        <v>10924.0</v>
      </c>
      <c r="B1757" s="7" t="s">
        <v>40</v>
      </c>
      <c r="C1757" s="8">
        <v>45355.0</v>
      </c>
      <c r="D1757" s="8">
        <v>45383.0</v>
      </c>
      <c r="E1757" s="8">
        <v>45390.0</v>
      </c>
      <c r="F1757" s="8">
        <v>45402.0</v>
      </c>
      <c r="G1757" s="6">
        <v>75.0</v>
      </c>
      <c r="H1757" s="9">
        <v>7.75</v>
      </c>
      <c r="I1757" s="10">
        <v>6.0</v>
      </c>
      <c r="J1757" s="11">
        <v>0.0</v>
      </c>
      <c r="K1757" s="9">
        <v>151.52</v>
      </c>
      <c r="L1757" s="7" t="s">
        <v>17</v>
      </c>
    </row>
    <row r="1758" ht="15.75" customHeight="1">
      <c r="A1758" s="6">
        <v>10925.0</v>
      </c>
      <c r="B1758" s="7" t="s">
        <v>16</v>
      </c>
      <c r="C1758" s="8">
        <v>45355.0</v>
      </c>
      <c r="D1758" s="8">
        <v>45383.0</v>
      </c>
      <c r="E1758" s="8">
        <v>45364.0</v>
      </c>
      <c r="F1758" s="8">
        <v>45378.0</v>
      </c>
      <c r="G1758" s="6">
        <v>36.0</v>
      </c>
      <c r="H1758" s="9">
        <v>19.0</v>
      </c>
      <c r="I1758" s="10">
        <v>25.0</v>
      </c>
      <c r="J1758" s="11">
        <v>0.15</v>
      </c>
      <c r="K1758" s="9">
        <v>2.27</v>
      </c>
      <c r="L1758" s="7" t="s">
        <v>15</v>
      </c>
    </row>
    <row r="1759" ht="15.75" customHeight="1">
      <c r="A1759" s="6">
        <v>10925.0</v>
      </c>
      <c r="B1759" s="7" t="s">
        <v>16</v>
      </c>
      <c r="C1759" s="8">
        <v>45355.0</v>
      </c>
      <c r="D1759" s="8">
        <v>45383.0</v>
      </c>
      <c r="E1759" s="8">
        <v>45364.0</v>
      </c>
      <c r="F1759" s="8">
        <v>45378.0</v>
      </c>
      <c r="G1759" s="6">
        <v>52.0</v>
      </c>
      <c r="H1759" s="9">
        <v>7.0</v>
      </c>
      <c r="I1759" s="10">
        <v>12.0</v>
      </c>
      <c r="J1759" s="11">
        <v>0.15</v>
      </c>
      <c r="K1759" s="9">
        <v>2.27</v>
      </c>
      <c r="L1759" s="7" t="s">
        <v>15</v>
      </c>
    </row>
    <row r="1760" ht="15.75" customHeight="1">
      <c r="A1760" s="6">
        <v>10926.0</v>
      </c>
      <c r="B1760" s="7" t="s">
        <v>54</v>
      </c>
      <c r="C1760" s="8">
        <v>45355.0</v>
      </c>
      <c r="D1760" s="8">
        <v>45383.0</v>
      </c>
      <c r="E1760" s="8">
        <v>45362.0</v>
      </c>
      <c r="F1760" s="8">
        <v>45375.0</v>
      </c>
      <c r="G1760" s="6">
        <v>11.0</v>
      </c>
      <c r="H1760" s="9">
        <v>21.0</v>
      </c>
      <c r="I1760" s="10">
        <v>2.0</v>
      </c>
      <c r="J1760" s="11">
        <v>0.0</v>
      </c>
      <c r="K1760" s="9">
        <v>39.92</v>
      </c>
      <c r="L1760" s="7" t="s">
        <v>13</v>
      </c>
    </row>
    <row r="1761" ht="15.75" customHeight="1">
      <c r="A1761" s="6">
        <v>10926.0</v>
      </c>
      <c r="B1761" s="7" t="s">
        <v>54</v>
      </c>
      <c r="C1761" s="8">
        <v>45355.0</v>
      </c>
      <c r="D1761" s="8">
        <v>45383.0</v>
      </c>
      <c r="E1761" s="8">
        <v>45362.0</v>
      </c>
      <c r="F1761" s="8">
        <v>45375.0</v>
      </c>
      <c r="G1761" s="6">
        <v>13.0</v>
      </c>
      <c r="H1761" s="9">
        <v>6.0</v>
      </c>
      <c r="I1761" s="10">
        <v>10.0</v>
      </c>
      <c r="J1761" s="11">
        <v>0.0</v>
      </c>
      <c r="K1761" s="9">
        <v>39.92</v>
      </c>
      <c r="L1761" s="7" t="s">
        <v>13</v>
      </c>
    </row>
    <row r="1762" ht="15.75" customHeight="1">
      <c r="A1762" s="6">
        <v>10926.0</v>
      </c>
      <c r="B1762" s="7" t="s">
        <v>54</v>
      </c>
      <c r="C1762" s="8">
        <v>45355.0</v>
      </c>
      <c r="D1762" s="8">
        <v>45383.0</v>
      </c>
      <c r="E1762" s="8">
        <v>45362.0</v>
      </c>
      <c r="F1762" s="8">
        <v>45375.0</v>
      </c>
      <c r="G1762" s="6">
        <v>19.0</v>
      </c>
      <c r="H1762" s="9">
        <v>9.2</v>
      </c>
      <c r="I1762" s="10">
        <v>7.0</v>
      </c>
      <c r="J1762" s="11">
        <v>0.0</v>
      </c>
      <c r="K1762" s="9">
        <v>39.92</v>
      </c>
      <c r="L1762" s="7" t="s">
        <v>13</v>
      </c>
    </row>
    <row r="1763" ht="15.75" customHeight="1">
      <c r="A1763" s="6">
        <v>10926.0</v>
      </c>
      <c r="B1763" s="7" t="s">
        <v>54</v>
      </c>
      <c r="C1763" s="8">
        <v>45355.0</v>
      </c>
      <c r="D1763" s="8">
        <v>45383.0</v>
      </c>
      <c r="E1763" s="8">
        <v>45362.0</v>
      </c>
      <c r="F1763" s="8">
        <v>45375.0</v>
      </c>
      <c r="G1763" s="6">
        <v>72.0</v>
      </c>
      <c r="H1763" s="9">
        <v>34.8</v>
      </c>
      <c r="I1763" s="10">
        <v>10.0</v>
      </c>
      <c r="J1763" s="11">
        <v>0.0</v>
      </c>
      <c r="K1763" s="9">
        <v>39.92</v>
      </c>
      <c r="L1763" s="7" t="s">
        <v>13</v>
      </c>
    </row>
    <row r="1764" ht="15.75" customHeight="1">
      <c r="A1764" s="6">
        <v>10927.0</v>
      </c>
      <c r="B1764" s="7" t="s">
        <v>103</v>
      </c>
      <c r="C1764" s="8">
        <v>45356.0</v>
      </c>
      <c r="D1764" s="8">
        <v>45384.0</v>
      </c>
      <c r="E1764" s="8">
        <v>45390.0</v>
      </c>
      <c r="F1764" s="8">
        <v>45393.0</v>
      </c>
      <c r="G1764" s="6">
        <v>20.0</v>
      </c>
      <c r="H1764" s="9">
        <v>81.0</v>
      </c>
      <c r="I1764" s="10">
        <v>5.0</v>
      </c>
      <c r="J1764" s="11">
        <v>0.0</v>
      </c>
      <c r="K1764" s="9">
        <v>19.79</v>
      </c>
      <c r="L1764" s="7" t="s">
        <v>15</v>
      </c>
    </row>
    <row r="1765" ht="15.75" customHeight="1">
      <c r="A1765" s="6">
        <v>10927.0</v>
      </c>
      <c r="B1765" s="7" t="s">
        <v>103</v>
      </c>
      <c r="C1765" s="8">
        <v>45356.0</v>
      </c>
      <c r="D1765" s="8">
        <v>45384.0</v>
      </c>
      <c r="E1765" s="8">
        <v>45390.0</v>
      </c>
      <c r="F1765" s="8">
        <v>45393.0</v>
      </c>
      <c r="G1765" s="6">
        <v>52.0</v>
      </c>
      <c r="H1765" s="9">
        <v>7.0</v>
      </c>
      <c r="I1765" s="10">
        <v>5.0</v>
      </c>
      <c r="J1765" s="11">
        <v>0.0</v>
      </c>
      <c r="K1765" s="9">
        <v>19.79</v>
      </c>
      <c r="L1765" s="7" t="s">
        <v>15</v>
      </c>
    </row>
    <row r="1766" ht="15.75" customHeight="1">
      <c r="A1766" s="6">
        <v>10927.0</v>
      </c>
      <c r="B1766" s="7" t="s">
        <v>103</v>
      </c>
      <c r="C1766" s="8">
        <v>45356.0</v>
      </c>
      <c r="D1766" s="8">
        <v>45384.0</v>
      </c>
      <c r="E1766" s="8">
        <v>45390.0</v>
      </c>
      <c r="F1766" s="8">
        <v>45393.0</v>
      </c>
      <c r="G1766" s="6">
        <v>76.0</v>
      </c>
      <c r="H1766" s="9">
        <v>18.0</v>
      </c>
      <c r="I1766" s="10">
        <v>20.0</v>
      </c>
      <c r="J1766" s="11">
        <v>0.0</v>
      </c>
      <c r="K1766" s="9">
        <v>19.79</v>
      </c>
      <c r="L1766" s="7" t="s">
        <v>15</v>
      </c>
    </row>
    <row r="1767" ht="15.75" customHeight="1">
      <c r="A1767" s="6">
        <v>10928.0</v>
      </c>
      <c r="B1767" s="7" t="s">
        <v>75</v>
      </c>
      <c r="C1767" s="8">
        <v>45356.0</v>
      </c>
      <c r="D1767" s="8">
        <v>45384.0</v>
      </c>
      <c r="E1767" s="8">
        <v>45369.0</v>
      </c>
      <c r="F1767" s="8">
        <v>45374.0</v>
      </c>
      <c r="G1767" s="6">
        <v>47.0</v>
      </c>
      <c r="H1767" s="9">
        <v>9.5</v>
      </c>
      <c r="I1767" s="10">
        <v>5.0</v>
      </c>
      <c r="J1767" s="11">
        <v>0.0</v>
      </c>
      <c r="K1767" s="9">
        <v>1.36</v>
      </c>
      <c r="L1767" s="7" t="s">
        <v>15</v>
      </c>
    </row>
    <row r="1768" ht="15.75" customHeight="1">
      <c r="A1768" s="6">
        <v>10928.0</v>
      </c>
      <c r="B1768" s="7" t="s">
        <v>75</v>
      </c>
      <c r="C1768" s="8">
        <v>45356.0</v>
      </c>
      <c r="D1768" s="8">
        <v>45384.0</v>
      </c>
      <c r="E1768" s="8">
        <v>45369.0</v>
      </c>
      <c r="F1768" s="8">
        <v>45374.0</v>
      </c>
      <c r="G1768" s="6">
        <v>76.0</v>
      </c>
      <c r="H1768" s="9">
        <v>18.0</v>
      </c>
      <c r="I1768" s="10">
        <v>5.0</v>
      </c>
      <c r="J1768" s="11">
        <v>0.0</v>
      </c>
      <c r="K1768" s="9">
        <v>1.36</v>
      </c>
      <c r="L1768" s="7" t="s">
        <v>15</v>
      </c>
    </row>
    <row r="1769" ht="15.75" customHeight="1">
      <c r="A1769" s="6">
        <v>10929.0</v>
      </c>
      <c r="B1769" s="7" t="s">
        <v>32</v>
      </c>
      <c r="C1769" s="8">
        <v>45356.0</v>
      </c>
      <c r="D1769" s="8">
        <v>45384.0</v>
      </c>
      <c r="E1769" s="8">
        <v>45363.0</v>
      </c>
      <c r="F1769" s="8">
        <v>45364.0</v>
      </c>
      <c r="G1769" s="6">
        <v>21.0</v>
      </c>
      <c r="H1769" s="9">
        <v>10.0</v>
      </c>
      <c r="I1769" s="10">
        <v>60.0</v>
      </c>
      <c r="J1769" s="11">
        <v>0.0</v>
      </c>
      <c r="K1769" s="9">
        <v>33.93</v>
      </c>
      <c r="L1769" s="7" t="s">
        <v>15</v>
      </c>
    </row>
    <row r="1770" ht="15.75" customHeight="1">
      <c r="A1770" s="6">
        <v>10929.0</v>
      </c>
      <c r="B1770" s="7" t="s">
        <v>32</v>
      </c>
      <c r="C1770" s="8">
        <v>45356.0</v>
      </c>
      <c r="D1770" s="8">
        <v>45384.0</v>
      </c>
      <c r="E1770" s="8">
        <v>45363.0</v>
      </c>
      <c r="F1770" s="8">
        <v>45364.0</v>
      </c>
      <c r="G1770" s="6">
        <v>75.0</v>
      </c>
      <c r="H1770" s="9">
        <v>7.75</v>
      </c>
      <c r="I1770" s="10">
        <v>49.0</v>
      </c>
      <c r="J1770" s="11">
        <v>0.0</v>
      </c>
      <c r="K1770" s="9">
        <v>33.93</v>
      </c>
      <c r="L1770" s="7" t="s">
        <v>15</v>
      </c>
    </row>
    <row r="1771" ht="15.75" customHeight="1">
      <c r="A1771" s="6">
        <v>10929.0</v>
      </c>
      <c r="B1771" s="7" t="s">
        <v>32</v>
      </c>
      <c r="C1771" s="8">
        <v>45356.0</v>
      </c>
      <c r="D1771" s="8">
        <v>45384.0</v>
      </c>
      <c r="E1771" s="8">
        <v>45363.0</v>
      </c>
      <c r="F1771" s="8">
        <v>45364.0</v>
      </c>
      <c r="G1771" s="6">
        <v>77.0</v>
      </c>
      <c r="H1771" s="9">
        <v>13.0</v>
      </c>
      <c r="I1771" s="10">
        <v>15.0</v>
      </c>
      <c r="J1771" s="11">
        <v>0.0</v>
      </c>
      <c r="K1771" s="9">
        <v>33.93</v>
      </c>
      <c r="L1771" s="7" t="s">
        <v>15</v>
      </c>
    </row>
    <row r="1772" ht="15.75" customHeight="1">
      <c r="A1772" s="6">
        <v>10930.0</v>
      </c>
      <c r="B1772" s="7" t="s">
        <v>19</v>
      </c>
      <c r="C1772" s="8">
        <v>45357.0</v>
      </c>
      <c r="D1772" s="8">
        <v>45399.0</v>
      </c>
      <c r="E1772" s="8">
        <v>45369.0</v>
      </c>
      <c r="F1772" s="8">
        <v>45383.0</v>
      </c>
      <c r="G1772" s="6">
        <v>21.0</v>
      </c>
      <c r="H1772" s="9">
        <v>10.0</v>
      </c>
      <c r="I1772" s="10">
        <v>36.0</v>
      </c>
      <c r="J1772" s="11">
        <v>0.0</v>
      </c>
      <c r="K1772" s="9">
        <v>15.55</v>
      </c>
      <c r="L1772" s="7" t="s">
        <v>13</v>
      </c>
    </row>
    <row r="1773" ht="15.75" customHeight="1">
      <c r="A1773" s="6">
        <v>10930.0</v>
      </c>
      <c r="B1773" s="7" t="s">
        <v>19</v>
      </c>
      <c r="C1773" s="8">
        <v>45357.0</v>
      </c>
      <c r="D1773" s="8">
        <v>45399.0</v>
      </c>
      <c r="E1773" s="8">
        <v>45369.0</v>
      </c>
      <c r="F1773" s="8">
        <v>45383.0</v>
      </c>
      <c r="G1773" s="6">
        <v>27.0</v>
      </c>
      <c r="H1773" s="9">
        <v>43.9</v>
      </c>
      <c r="I1773" s="10">
        <v>25.0</v>
      </c>
      <c r="J1773" s="11">
        <v>0.0</v>
      </c>
      <c r="K1773" s="9">
        <v>15.55</v>
      </c>
      <c r="L1773" s="7" t="s">
        <v>13</v>
      </c>
    </row>
    <row r="1774" ht="15.75" customHeight="1">
      <c r="A1774" s="6">
        <v>10930.0</v>
      </c>
      <c r="B1774" s="7" t="s">
        <v>19</v>
      </c>
      <c r="C1774" s="8">
        <v>45357.0</v>
      </c>
      <c r="D1774" s="8">
        <v>45399.0</v>
      </c>
      <c r="E1774" s="8">
        <v>45369.0</v>
      </c>
      <c r="F1774" s="8">
        <v>45383.0</v>
      </c>
      <c r="G1774" s="6">
        <v>55.0</v>
      </c>
      <c r="H1774" s="9">
        <v>24.0</v>
      </c>
      <c r="I1774" s="10">
        <v>25.0</v>
      </c>
      <c r="J1774" s="11">
        <v>0.2</v>
      </c>
      <c r="K1774" s="9">
        <v>15.55</v>
      </c>
      <c r="L1774" s="7" t="s">
        <v>13</v>
      </c>
    </row>
    <row r="1775" ht="15.75" customHeight="1">
      <c r="A1775" s="6">
        <v>10930.0</v>
      </c>
      <c r="B1775" s="7" t="s">
        <v>19</v>
      </c>
      <c r="C1775" s="8">
        <v>45357.0</v>
      </c>
      <c r="D1775" s="8">
        <v>45399.0</v>
      </c>
      <c r="E1775" s="8">
        <v>45369.0</v>
      </c>
      <c r="F1775" s="8">
        <v>45383.0</v>
      </c>
      <c r="G1775" s="6">
        <v>58.0</v>
      </c>
      <c r="H1775" s="9">
        <v>13.25</v>
      </c>
      <c r="I1775" s="10">
        <v>30.0</v>
      </c>
      <c r="J1775" s="11">
        <v>0.2</v>
      </c>
      <c r="K1775" s="9">
        <v>15.55</v>
      </c>
      <c r="L1775" s="7" t="s">
        <v>13</v>
      </c>
    </row>
    <row r="1776" ht="15.75" customHeight="1">
      <c r="A1776" s="6">
        <v>10931.0</v>
      </c>
      <c r="B1776" s="7" t="s">
        <v>21</v>
      </c>
      <c r="C1776" s="8">
        <v>45357.0</v>
      </c>
      <c r="D1776" s="8">
        <v>45371.0</v>
      </c>
      <c r="E1776" s="8">
        <v>45370.0</v>
      </c>
      <c r="F1776" s="8">
        <v>45382.0</v>
      </c>
      <c r="G1776" s="6">
        <v>13.0</v>
      </c>
      <c r="H1776" s="9">
        <v>6.0</v>
      </c>
      <c r="I1776" s="10">
        <v>42.0</v>
      </c>
      <c r="J1776" s="11">
        <v>0.15</v>
      </c>
      <c r="K1776" s="9">
        <v>13.6</v>
      </c>
      <c r="L1776" s="7" t="s">
        <v>17</v>
      </c>
    </row>
    <row r="1777" ht="15.75" customHeight="1">
      <c r="A1777" s="6">
        <v>10931.0</v>
      </c>
      <c r="B1777" s="7" t="s">
        <v>21</v>
      </c>
      <c r="C1777" s="8">
        <v>45357.0</v>
      </c>
      <c r="D1777" s="8">
        <v>45371.0</v>
      </c>
      <c r="E1777" s="8">
        <v>45370.0</v>
      </c>
      <c r="F1777" s="8">
        <v>45382.0</v>
      </c>
      <c r="G1777" s="6">
        <v>57.0</v>
      </c>
      <c r="H1777" s="9">
        <v>19.5</v>
      </c>
      <c r="I1777" s="10">
        <v>30.0</v>
      </c>
      <c r="J1777" s="11">
        <v>0.0</v>
      </c>
      <c r="K1777" s="9">
        <v>13.6</v>
      </c>
      <c r="L1777" s="7" t="s">
        <v>17</v>
      </c>
    </row>
    <row r="1778" ht="15.75" customHeight="1">
      <c r="A1778" s="6">
        <v>10932.0</v>
      </c>
      <c r="B1778" s="7" t="s">
        <v>63</v>
      </c>
      <c r="C1778" s="8">
        <v>45357.0</v>
      </c>
      <c r="D1778" s="8">
        <v>45385.0</v>
      </c>
      <c r="E1778" s="8">
        <v>45375.0</v>
      </c>
      <c r="F1778" s="8">
        <v>45382.0</v>
      </c>
      <c r="G1778" s="6">
        <v>16.0</v>
      </c>
      <c r="H1778" s="9">
        <v>17.45</v>
      </c>
      <c r="I1778" s="10">
        <v>30.0</v>
      </c>
      <c r="J1778" s="11">
        <v>0.1</v>
      </c>
      <c r="K1778" s="9">
        <v>134.64</v>
      </c>
      <c r="L1778" s="7" t="s">
        <v>15</v>
      </c>
    </row>
    <row r="1779" ht="15.75" customHeight="1">
      <c r="A1779" s="6">
        <v>10932.0</v>
      </c>
      <c r="B1779" s="7" t="s">
        <v>63</v>
      </c>
      <c r="C1779" s="8">
        <v>45357.0</v>
      </c>
      <c r="D1779" s="8">
        <v>45385.0</v>
      </c>
      <c r="E1779" s="8">
        <v>45375.0</v>
      </c>
      <c r="F1779" s="8">
        <v>45382.0</v>
      </c>
      <c r="G1779" s="6">
        <v>62.0</v>
      </c>
      <c r="H1779" s="9">
        <v>49.3</v>
      </c>
      <c r="I1779" s="10">
        <v>14.0</v>
      </c>
      <c r="J1779" s="11">
        <v>0.1</v>
      </c>
      <c r="K1779" s="9">
        <v>134.64</v>
      </c>
      <c r="L1779" s="7" t="s">
        <v>15</v>
      </c>
    </row>
    <row r="1780" ht="15.75" customHeight="1">
      <c r="A1780" s="6">
        <v>10932.0</v>
      </c>
      <c r="B1780" s="7" t="s">
        <v>63</v>
      </c>
      <c r="C1780" s="8">
        <v>45357.0</v>
      </c>
      <c r="D1780" s="8">
        <v>45385.0</v>
      </c>
      <c r="E1780" s="8">
        <v>45375.0</v>
      </c>
      <c r="F1780" s="8">
        <v>45382.0</v>
      </c>
      <c r="G1780" s="6">
        <v>72.0</v>
      </c>
      <c r="H1780" s="9">
        <v>34.8</v>
      </c>
      <c r="I1780" s="10">
        <v>16.0</v>
      </c>
      <c r="J1780" s="11">
        <v>0.0</v>
      </c>
      <c r="K1780" s="9">
        <v>134.64</v>
      </c>
      <c r="L1780" s="7" t="s">
        <v>15</v>
      </c>
    </row>
    <row r="1781" ht="15.75" customHeight="1">
      <c r="A1781" s="6">
        <v>10932.0</v>
      </c>
      <c r="B1781" s="7" t="s">
        <v>63</v>
      </c>
      <c r="C1781" s="8">
        <v>45357.0</v>
      </c>
      <c r="D1781" s="8">
        <v>45385.0</v>
      </c>
      <c r="E1781" s="8">
        <v>45375.0</v>
      </c>
      <c r="F1781" s="8">
        <v>45382.0</v>
      </c>
      <c r="G1781" s="6">
        <v>75.0</v>
      </c>
      <c r="H1781" s="9">
        <v>7.75</v>
      </c>
      <c r="I1781" s="10">
        <v>20.0</v>
      </c>
      <c r="J1781" s="11">
        <v>0.1</v>
      </c>
      <c r="K1781" s="9">
        <v>134.64</v>
      </c>
      <c r="L1781" s="7" t="s">
        <v>15</v>
      </c>
    </row>
    <row r="1782" ht="15.75" customHeight="1">
      <c r="A1782" s="6">
        <v>10933.0</v>
      </c>
      <c r="B1782" s="7" t="s">
        <v>57</v>
      </c>
      <c r="C1782" s="8">
        <v>45357.0</v>
      </c>
      <c r="D1782" s="8">
        <v>45385.0</v>
      </c>
      <c r="E1782" s="8">
        <v>45367.0</v>
      </c>
      <c r="F1782" s="8">
        <v>45375.0</v>
      </c>
      <c r="G1782" s="6">
        <v>53.0</v>
      </c>
      <c r="H1782" s="9">
        <v>32.8</v>
      </c>
      <c r="I1782" s="10">
        <v>2.0</v>
      </c>
      <c r="J1782" s="11">
        <v>0.0</v>
      </c>
      <c r="K1782" s="9">
        <v>54.15</v>
      </c>
      <c r="L1782" s="7" t="s">
        <v>13</v>
      </c>
    </row>
    <row r="1783" ht="15.75" customHeight="1">
      <c r="A1783" s="6">
        <v>10933.0</v>
      </c>
      <c r="B1783" s="7" t="s">
        <v>57</v>
      </c>
      <c r="C1783" s="8">
        <v>45357.0</v>
      </c>
      <c r="D1783" s="8">
        <v>45385.0</v>
      </c>
      <c r="E1783" s="8">
        <v>45367.0</v>
      </c>
      <c r="F1783" s="8">
        <v>45375.0</v>
      </c>
      <c r="G1783" s="6">
        <v>61.0</v>
      </c>
      <c r="H1783" s="9">
        <v>28.5</v>
      </c>
      <c r="I1783" s="10">
        <v>30.0</v>
      </c>
      <c r="J1783" s="11">
        <v>0.0</v>
      </c>
      <c r="K1783" s="9">
        <v>54.15</v>
      </c>
      <c r="L1783" s="7" t="s">
        <v>13</v>
      </c>
    </row>
    <row r="1784" ht="15.75" customHeight="1">
      <c r="A1784" s="6">
        <v>10934.0</v>
      </c>
      <c r="B1784" s="7" t="s">
        <v>41</v>
      </c>
      <c r="C1784" s="8">
        <v>45360.0</v>
      </c>
      <c r="D1784" s="8">
        <v>45388.0</v>
      </c>
      <c r="E1784" s="8">
        <v>45363.0</v>
      </c>
      <c r="F1784" s="8">
        <v>45366.0</v>
      </c>
      <c r="G1784" s="6">
        <v>6.0</v>
      </c>
      <c r="H1784" s="9">
        <v>25.0</v>
      </c>
      <c r="I1784" s="10">
        <v>20.0</v>
      </c>
      <c r="J1784" s="11">
        <v>0.0</v>
      </c>
      <c r="K1784" s="9">
        <v>32.01</v>
      </c>
      <c r="L1784" s="7" t="s">
        <v>13</v>
      </c>
    </row>
    <row r="1785" ht="15.75" customHeight="1">
      <c r="A1785" s="6">
        <v>10935.0</v>
      </c>
      <c r="B1785" s="7" t="s">
        <v>22</v>
      </c>
      <c r="C1785" s="8">
        <v>45360.0</v>
      </c>
      <c r="D1785" s="8">
        <v>45388.0</v>
      </c>
      <c r="E1785" s="8">
        <v>45369.0</v>
      </c>
      <c r="F1785" s="8">
        <v>45387.0</v>
      </c>
      <c r="G1785" s="6">
        <v>1.0</v>
      </c>
      <c r="H1785" s="9">
        <v>18.0</v>
      </c>
      <c r="I1785" s="10">
        <v>21.0</v>
      </c>
      <c r="J1785" s="11">
        <v>0.0</v>
      </c>
      <c r="K1785" s="9">
        <v>47.59</v>
      </c>
      <c r="L1785" s="7" t="s">
        <v>13</v>
      </c>
    </row>
    <row r="1786" ht="15.75" customHeight="1">
      <c r="A1786" s="6">
        <v>10935.0</v>
      </c>
      <c r="B1786" s="7" t="s">
        <v>22</v>
      </c>
      <c r="C1786" s="8">
        <v>45360.0</v>
      </c>
      <c r="D1786" s="8">
        <v>45388.0</v>
      </c>
      <c r="E1786" s="8">
        <v>45369.0</v>
      </c>
      <c r="F1786" s="8">
        <v>45387.0</v>
      </c>
      <c r="G1786" s="6">
        <v>18.0</v>
      </c>
      <c r="H1786" s="9">
        <v>62.5</v>
      </c>
      <c r="I1786" s="10">
        <v>4.0</v>
      </c>
      <c r="J1786" s="11">
        <v>0.25</v>
      </c>
      <c r="K1786" s="9">
        <v>47.59</v>
      </c>
      <c r="L1786" s="7" t="s">
        <v>13</v>
      </c>
    </row>
    <row r="1787" ht="15.75" customHeight="1">
      <c r="A1787" s="6">
        <v>10935.0</v>
      </c>
      <c r="B1787" s="7" t="s">
        <v>22</v>
      </c>
      <c r="C1787" s="8">
        <v>45360.0</v>
      </c>
      <c r="D1787" s="8">
        <v>45388.0</v>
      </c>
      <c r="E1787" s="8">
        <v>45369.0</v>
      </c>
      <c r="F1787" s="8">
        <v>45387.0</v>
      </c>
      <c r="G1787" s="6">
        <v>23.0</v>
      </c>
      <c r="H1787" s="9">
        <v>9.0</v>
      </c>
      <c r="I1787" s="10">
        <v>8.0</v>
      </c>
      <c r="J1787" s="11">
        <v>0.25</v>
      </c>
      <c r="K1787" s="9">
        <v>47.59</v>
      </c>
      <c r="L1787" s="7" t="s">
        <v>13</v>
      </c>
    </row>
    <row r="1788" ht="15.75" customHeight="1">
      <c r="A1788" s="6">
        <v>10936.0</v>
      </c>
      <c r="B1788" s="7" t="s">
        <v>94</v>
      </c>
      <c r="C1788" s="8">
        <v>45360.0</v>
      </c>
      <c r="D1788" s="8">
        <v>45388.0</v>
      </c>
      <c r="E1788" s="8">
        <v>45369.0</v>
      </c>
      <c r="F1788" s="8">
        <v>45387.0</v>
      </c>
      <c r="G1788" s="6">
        <v>36.0</v>
      </c>
      <c r="H1788" s="9">
        <v>19.0</v>
      </c>
      <c r="I1788" s="10">
        <v>30.0</v>
      </c>
      <c r="J1788" s="11">
        <v>0.2</v>
      </c>
      <c r="K1788" s="9">
        <v>33.68</v>
      </c>
      <c r="L1788" s="7" t="s">
        <v>17</v>
      </c>
    </row>
    <row r="1789" ht="15.75" customHeight="1">
      <c r="A1789" s="6">
        <v>10937.0</v>
      </c>
      <c r="B1789" s="7" t="s">
        <v>93</v>
      </c>
      <c r="C1789" s="8">
        <v>45361.0</v>
      </c>
      <c r="D1789" s="8">
        <v>45375.0</v>
      </c>
      <c r="E1789" s="8">
        <v>45364.0</v>
      </c>
      <c r="F1789" s="8">
        <v>45377.0</v>
      </c>
      <c r="G1789" s="6">
        <v>28.0</v>
      </c>
      <c r="H1789" s="9">
        <v>45.6</v>
      </c>
      <c r="I1789" s="10">
        <v>8.0</v>
      </c>
      <c r="J1789" s="11">
        <v>0.0</v>
      </c>
      <c r="K1789" s="9">
        <v>31.51</v>
      </c>
      <c r="L1789" s="7" t="s">
        <v>13</v>
      </c>
    </row>
    <row r="1790" ht="15.75" customHeight="1">
      <c r="A1790" s="6">
        <v>10937.0</v>
      </c>
      <c r="B1790" s="7" t="s">
        <v>93</v>
      </c>
      <c r="C1790" s="8">
        <v>45361.0</v>
      </c>
      <c r="D1790" s="8">
        <v>45375.0</v>
      </c>
      <c r="E1790" s="8">
        <v>45364.0</v>
      </c>
      <c r="F1790" s="8">
        <v>45377.0</v>
      </c>
      <c r="G1790" s="6">
        <v>34.0</v>
      </c>
      <c r="H1790" s="9">
        <v>14.0</v>
      </c>
      <c r="I1790" s="10">
        <v>20.0</v>
      </c>
      <c r="J1790" s="11">
        <v>0.0</v>
      </c>
      <c r="K1790" s="9">
        <v>31.51</v>
      </c>
      <c r="L1790" s="7" t="s">
        <v>13</v>
      </c>
    </row>
    <row r="1791" ht="15.75" customHeight="1">
      <c r="A1791" s="6">
        <v>10938.0</v>
      </c>
      <c r="B1791" s="7" t="s">
        <v>36</v>
      </c>
      <c r="C1791" s="8">
        <v>45361.0</v>
      </c>
      <c r="D1791" s="8">
        <v>45389.0</v>
      </c>
      <c r="E1791" s="8">
        <v>45367.0</v>
      </c>
      <c r="F1791" s="8">
        <v>45375.0</v>
      </c>
      <c r="G1791" s="6">
        <v>13.0</v>
      </c>
      <c r="H1791" s="9">
        <v>6.0</v>
      </c>
      <c r="I1791" s="10">
        <v>20.0</v>
      </c>
      <c r="J1791" s="11">
        <v>0.25</v>
      </c>
      <c r="K1791" s="9">
        <v>31.89</v>
      </c>
      <c r="L1791" s="7" t="s">
        <v>17</v>
      </c>
    </row>
    <row r="1792" ht="15.75" customHeight="1">
      <c r="A1792" s="6">
        <v>10938.0</v>
      </c>
      <c r="B1792" s="7" t="s">
        <v>36</v>
      </c>
      <c r="C1792" s="8">
        <v>45361.0</v>
      </c>
      <c r="D1792" s="8">
        <v>45389.0</v>
      </c>
      <c r="E1792" s="8">
        <v>45367.0</v>
      </c>
      <c r="F1792" s="8">
        <v>45375.0</v>
      </c>
      <c r="G1792" s="6">
        <v>43.0</v>
      </c>
      <c r="H1792" s="9">
        <v>46.0</v>
      </c>
      <c r="I1792" s="10">
        <v>24.0</v>
      </c>
      <c r="J1792" s="11">
        <v>0.25</v>
      </c>
      <c r="K1792" s="9">
        <v>31.89</v>
      </c>
      <c r="L1792" s="7" t="s">
        <v>17</v>
      </c>
    </row>
    <row r="1793" ht="15.75" customHeight="1">
      <c r="A1793" s="6">
        <v>10938.0</v>
      </c>
      <c r="B1793" s="7" t="s">
        <v>36</v>
      </c>
      <c r="C1793" s="8">
        <v>45361.0</v>
      </c>
      <c r="D1793" s="8">
        <v>45389.0</v>
      </c>
      <c r="E1793" s="8">
        <v>45367.0</v>
      </c>
      <c r="F1793" s="8">
        <v>45375.0</v>
      </c>
      <c r="G1793" s="6">
        <v>60.0</v>
      </c>
      <c r="H1793" s="9">
        <v>34.0</v>
      </c>
      <c r="I1793" s="10">
        <v>49.0</v>
      </c>
      <c r="J1793" s="11">
        <v>0.25</v>
      </c>
      <c r="K1793" s="9">
        <v>31.89</v>
      </c>
      <c r="L1793" s="7" t="s">
        <v>17</v>
      </c>
    </row>
    <row r="1794" ht="15.75" customHeight="1">
      <c r="A1794" s="6">
        <v>10938.0</v>
      </c>
      <c r="B1794" s="7" t="s">
        <v>36</v>
      </c>
      <c r="C1794" s="8">
        <v>45361.0</v>
      </c>
      <c r="D1794" s="8">
        <v>45389.0</v>
      </c>
      <c r="E1794" s="8">
        <v>45367.0</v>
      </c>
      <c r="F1794" s="8">
        <v>45375.0</v>
      </c>
      <c r="G1794" s="6">
        <v>71.0</v>
      </c>
      <c r="H1794" s="9">
        <v>21.5</v>
      </c>
      <c r="I1794" s="10">
        <v>35.0</v>
      </c>
      <c r="J1794" s="11">
        <v>0.25</v>
      </c>
      <c r="K1794" s="9">
        <v>31.89</v>
      </c>
      <c r="L1794" s="7" t="s">
        <v>17</v>
      </c>
    </row>
    <row r="1795" ht="15.75" customHeight="1">
      <c r="A1795" s="6">
        <v>10939.0</v>
      </c>
      <c r="B1795" s="7" t="s">
        <v>37</v>
      </c>
      <c r="C1795" s="8">
        <v>45361.0</v>
      </c>
      <c r="D1795" s="8">
        <v>45389.0</v>
      </c>
      <c r="E1795" s="8">
        <v>45364.0</v>
      </c>
      <c r="F1795" s="8">
        <v>45374.0</v>
      </c>
      <c r="G1795" s="6">
        <v>2.0</v>
      </c>
      <c r="H1795" s="9">
        <v>19.0</v>
      </c>
      <c r="I1795" s="10">
        <v>10.0</v>
      </c>
      <c r="J1795" s="11">
        <v>0.15</v>
      </c>
      <c r="K1795" s="9">
        <v>76.33</v>
      </c>
      <c r="L1795" s="7" t="s">
        <v>17</v>
      </c>
    </row>
    <row r="1796" ht="15.75" customHeight="1">
      <c r="A1796" s="6">
        <v>10939.0</v>
      </c>
      <c r="B1796" s="7" t="s">
        <v>37</v>
      </c>
      <c r="C1796" s="8">
        <v>45361.0</v>
      </c>
      <c r="D1796" s="8">
        <v>45389.0</v>
      </c>
      <c r="E1796" s="8">
        <v>45364.0</v>
      </c>
      <c r="F1796" s="8">
        <v>45374.0</v>
      </c>
      <c r="G1796" s="6">
        <v>67.0</v>
      </c>
      <c r="H1796" s="9">
        <v>14.0</v>
      </c>
      <c r="I1796" s="10">
        <v>40.0</v>
      </c>
      <c r="J1796" s="11">
        <v>0.15</v>
      </c>
      <c r="K1796" s="9">
        <v>76.33</v>
      </c>
      <c r="L1796" s="7" t="s">
        <v>17</v>
      </c>
    </row>
    <row r="1797" ht="15.75" customHeight="1">
      <c r="A1797" s="6">
        <v>10940.0</v>
      </c>
      <c r="B1797" s="7" t="s">
        <v>63</v>
      </c>
      <c r="C1797" s="8">
        <v>45362.0</v>
      </c>
      <c r="D1797" s="8">
        <v>45390.0</v>
      </c>
      <c r="E1797" s="8">
        <v>45374.0</v>
      </c>
      <c r="F1797" s="8">
        <v>45380.0</v>
      </c>
      <c r="G1797" s="6">
        <v>7.0</v>
      </c>
      <c r="H1797" s="9">
        <v>30.0</v>
      </c>
      <c r="I1797" s="10">
        <v>8.0</v>
      </c>
      <c r="J1797" s="11">
        <v>0.0</v>
      </c>
      <c r="K1797" s="9">
        <v>19.77</v>
      </c>
      <c r="L1797" s="7" t="s">
        <v>13</v>
      </c>
    </row>
    <row r="1798" ht="15.75" customHeight="1">
      <c r="A1798" s="6">
        <v>10940.0</v>
      </c>
      <c r="B1798" s="7" t="s">
        <v>63</v>
      </c>
      <c r="C1798" s="8">
        <v>45362.0</v>
      </c>
      <c r="D1798" s="8">
        <v>45390.0</v>
      </c>
      <c r="E1798" s="8">
        <v>45374.0</v>
      </c>
      <c r="F1798" s="8">
        <v>45380.0</v>
      </c>
      <c r="G1798" s="6">
        <v>13.0</v>
      </c>
      <c r="H1798" s="9">
        <v>6.0</v>
      </c>
      <c r="I1798" s="10">
        <v>20.0</v>
      </c>
      <c r="J1798" s="11">
        <v>0.0</v>
      </c>
      <c r="K1798" s="9">
        <v>19.77</v>
      </c>
      <c r="L1798" s="7" t="s">
        <v>13</v>
      </c>
    </row>
    <row r="1799" ht="15.75" customHeight="1">
      <c r="A1799" s="6">
        <v>10941.0</v>
      </c>
      <c r="B1799" s="7" t="s">
        <v>60</v>
      </c>
      <c r="C1799" s="8">
        <v>45362.0</v>
      </c>
      <c r="D1799" s="8">
        <v>45390.0</v>
      </c>
      <c r="E1799" s="8">
        <v>45371.0</v>
      </c>
      <c r="F1799" s="8">
        <v>45388.0</v>
      </c>
      <c r="G1799" s="6">
        <v>31.0</v>
      </c>
      <c r="H1799" s="9">
        <v>12.5</v>
      </c>
      <c r="I1799" s="10">
        <v>44.0</v>
      </c>
      <c r="J1799" s="11">
        <v>0.25</v>
      </c>
      <c r="K1799" s="9">
        <v>400.81</v>
      </c>
      <c r="L1799" s="7" t="s">
        <v>17</v>
      </c>
    </row>
    <row r="1800" ht="15.75" customHeight="1">
      <c r="A1800" s="6">
        <v>10941.0</v>
      </c>
      <c r="B1800" s="7" t="s">
        <v>60</v>
      </c>
      <c r="C1800" s="8">
        <v>45362.0</v>
      </c>
      <c r="D1800" s="8">
        <v>45390.0</v>
      </c>
      <c r="E1800" s="8">
        <v>45371.0</v>
      </c>
      <c r="F1800" s="8">
        <v>45388.0</v>
      </c>
      <c r="G1800" s="6">
        <v>62.0</v>
      </c>
      <c r="H1800" s="9">
        <v>49.3</v>
      </c>
      <c r="I1800" s="10">
        <v>30.0</v>
      </c>
      <c r="J1800" s="11">
        <v>0.25</v>
      </c>
      <c r="K1800" s="9">
        <v>400.81</v>
      </c>
      <c r="L1800" s="7" t="s">
        <v>17</v>
      </c>
    </row>
    <row r="1801" ht="15.75" customHeight="1">
      <c r="A1801" s="6">
        <v>10941.0</v>
      </c>
      <c r="B1801" s="7" t="s">
        <v>60</v>
      </c>
      <c r="C1801" s="8">
        <v>45362.0</v>
      </c>
      <c r="D1801" s="8">
        <v>45390.0</v>
      </c>
      <c r="E1801" s="8">
        <v>45371.0</v>
      </c>
      <c r="F1801" s="8">
        <v>45388.0</v>
      </c>
      <c r="G1801" s="6">
        <v>68.0</v>
      </c>
      <c r="H1801" s="9">
        <v>12.5</v>
      </c>
      <c r="I1801" s="10">
        <v>80.0</v>
      </c>
      <c r="J1801" s="11">
        <v>0.25</v>
      </c>
      <c r="K1801" s="9">
        <v>400.81</v>
      </c>
      <c r="L1801" s="7" t="s">
        <v>17</v>
      </c>
    </row>
    <row r="1802" ht="15.75" customHeight="1">
      <c r="A1802" s="6">
        <v>10941.0</v>
      </c>
      <c r="B1802" s="7" t="s">
        <v>60</v>
      </c>
      <c r="C1802" s="8">
        <v>45362.0</v>
      </c>
      <c r="D1802" s="8">
        <v>45390.0</v>
      </c>
      <c r="E1802" s="8">
        <v>45371.0</v>
      </c>
      <c r="F1802" s="8">
        <v>45388.0</v>
      </c>
      <c r="G1802" s="6">
        <v>72.0</v>
      </c>
      <c r="H1802" s="9">
        <v>34.8</v>
      </c>
      <c r="I1802" s="10">
        <v>50.0</v>
      </c>
      <c r="J1802" s="11">
        <v>0.0</v>
      </c>
      <c r="K1802" s="9">
        <v>400.81</v>
      </c>
      <c r="L1802" s="7" t="s">
        <v>17</v>
      </c>
    </row>
    <row r="1803" ht="15.75" customHeight="1">
      <c r="A1803" s="6">
        <v>10942.0</v>
      </c>
      <c r="B1803" s="7" t="s">
        <v>45</v>
      </c>
      <c r="C1803" s="8">
        <v>45362.0</v>
      </c>
      <c r="D1803" s="8">
        <v>45390.0</v>
      </c>
      <c r="E1803" s="8">
        <v>45369.0</v>
      </c>
      <c r="F1803" s="8">
        <v>45376.0</v>
      </c>
      <c r="G1803" s="6">
        <v>49.0</v>
      </c>
      <c r="H1803" s="9">
        <v>20.0</v>
      </c>
      <c r="I1803" s="10">
        <v>28.0</v>
      </c>
      <c r="J1803" s="11">
        <v>0.0</v>
      </c>
      <c r="K1803" s="9">
        <v>17.95</v>
      </c>
      <c r="L1803" s="7" t="s">
        <v>13</v>
      </c>
    </row>
    <row r="1804" ht="15.75" customHeight="1">
      <c r="A1804" s="6">
        <v>10943.0</v>
      </c>
      <c r="B1804" s="7" t="s">
        <v>46</v>
      </c>
      <c r="C1804" s="8">
        <v>45362.0</v>
      </c>
      <c r="D1804" s="8">
        <v>45390.0</v>
      </c>
      <c r="E1804" s="8">
        <v>45370.0</v>
      </c>
      <c r="F1804" s="8">
        <v>45377.0</v>
      </c>
      <c r="G1804" s="6">
        <v>13.0</v>
      </c>
      <c r="H1804" s="9">
        <v>6.0</v>
      </c>
      <c r="I1804" s="10">
        <v>15.0</v>
      </c>
      <c r="J1804" s="11">
        <v>0.0</v>
      </c>
      <c r="K1804" s="9">
        <v>2.17</v>
      </c>
      <c r="L1804" s="7" t="s">
        <v>17</v>
      </c>
    </row>
    <row r="1805" ht="15.75" customHeight="1">
      <c r="A1805" s="6">
        <v>10943.0</v>
      </c>
      <c r="B1805" s="7" t="s">
        <v>46</v>
      </c>
      <c r="C1805" s="8">
        <v>45362.0</v>
      </c>
      <c r="D1805" s="8">
        <v>45390.0</v>
      </c>
      <c r="E1805" s="8">
        <v>45370.0</v>
      </c>
      <c r="F1805" s="8">
        <v>45377.0</v>
      </c>
      <c r="G1805" s="6">
        <v>22.0</v>
      </c>
      <c r="H1805" s="9">
        <v>21.0</v>
      </c>
      <c r="I1805" s="10">
        <v>21.0</v>
      </c>
      <c r="J1805" s="11">
        <v>0.0</v>
      </c>
      <c r="K1805" s="9">
        <v>2.17</v>
      </c>
      <c r="L1805" s="7" t="s">
        <v>17</v>
      </c>
    </row>
    <row r="1806" ht="15.75" customHeight="1">
      <c r="A1806" s="6">
        <v>10943.0</v>
      </c>
      <c r="B1806" s="7" t="s">
        <v>46</v>
      </c>
      <c r="C1806" s="8">
        <v>45362.0</v>
      </c>
      <c r="D1806" s="8">
        <v>45390.0</v>
      </c>
      <c r="E1806" s="8">
        <v>45370.0</v>
      </c>
      <c r="F1806" s="8">
        <v>45377.0</v>
      </c>
      <c r="G1806" s="6">
        <v>46.0</v>
      </c>
      <c r="H1806" s="9">
        <v>12.0</v>
      </c>
      <c r="I1806" s="10">
        <v>15.0</v>
      </c>
      <c r="J1806" s="11">
        <v>0.0</v>
      </c>
      <c r="K1806" s="9">
        <v>2.17</v>
      </c>
      <c r="L1806" s="7" t="s">
        <v>17</v>
      </c>
    </row>
    <row r="1807" ht="15.75" customHeight="1">
      <c r="A1807" s="6">
        <v>10944.0</v>
      </c>
      <c r="B1807" s="7" t="s">
        <v>81</v>
      </c>
      <c r="C1807" s="8">
        <v>45363.0</v>
      </c>
      <c r="D1807" s="8">
        <v>45377.0</v>
      </c>
      <c r="E1807" s="8">
        <v>45364.0</v>
      </c>
      <c r="F1807" s="8">
        <v>45376.0</v>
      </c>
      <c r="G1807" s="6">
        <v>11.0</v>
      </c>
      <c r="H1807" s="9">
        <v>21.0</v>
      </c>
      <c r="I1807" s="10">
        <v>5.0</v>
      </c>
      <c r="J1807" s="11">
        <v>0.25</v>
      </c>
      <c r="K1807" s="9">
        <v>52.92</v>
      </c>
      <c r="L1807" s="7" t="s">
        <v>13</v>
      </c>
    </row>
    <row r="1808" ht="15.75" customHeight="1">
      <c r="A1808" s="6">
        <v>10944.0</v>
      </c>
      <c r="B1808" s="7" t="s">
        <v>81</v>
      </c>
      <c r="C1808" s="8">
        <v>45363.0</v>
      </c>
      <c r="D1808" s="8">
        <v>45377.0</v>
      </c>
      <c r="E1808" s="8">
        <v>45364.0</v>
      </c>
      <c r="F1808" s="8">
        <v>45376.0</v>
      </c>
      <c r="G1808" s="6">
        <v>44.0</v>
      </c>
      <c r="H1808" s="9">
        <v>19.45</v>
      </c>
      <c r="I1808" s="10">
        <v>18.0</v>
      </c>
      <c r="J1808" s="11">
        <v>0.25</v>
      </c>
      <c r="K1808" s="9">
        <v>52.92</v>
      </c>
      <c r="L1808" s="7" t="s">
        <v>13</v>
      </c>
    </row>
    <row r="1809" ht="15.75" customHeight="1">
      <c r="A1809" s="6">
        <v>10944.0</v>
      </c>
      <c r="B1809" s="7" t="s">
        <v>81</v>
      </c>
      <c r="C1809" s="8">
        <v>45363.0</v>
      </c>
      <c r="D1809" s="8">
        <v>45377.0</v>
      </c>
      <c r="E1809" s="8">
        <v>45364.0</v>
      </c>
      <c r="F1809" s="8">
        <v>45376.0</v>
      </c>
      <c r="G1809" s="6">
        <v>56.0</v>
      </c>
      <c r="H1809" s="9">
        <v>38.0</v>
      </c>
      <c r="I1809" s="10">
        <v>18.0</v>
      </c>
      <c r="J1809" s="11">
        <v>0.0</v>
      </c>
      <c r="K1809" s="9">
        <v>52.92</v>
      </c>
      <c r="L1809" s="7" t="s">
        <v>13</v>
      </c>
    </row>
    <row r="1810" ht="15.75" customHeight="1">
      <c r="A1810" s="6">
        <v>10945.0</v>
      </c>
      <c r="B1810" s="7" t="s">
        <v>39</v>
      </c>
      <c r="C1810" s="8">
        <v>45363.0</v>
      </c>
      <c r="D1810" s="8">
        <v>45391.0</v>
      </c>
      <c r="E1810" s="8">
        <v>45369.0</v>
      </c>
      <c r="F1810" s="8">
        <v>45370.0</v>
      </c>
      <c r="G1810" s="6">
        <v>13.0</v>
      </c>
      <c r="H1810" s="9">
        <v>6.0</v>
      </c>
      <c r="I1810" s="10">
        <v>20.0</v>
      </c>
      <c r="J1810" s="11">
        <v>0.0</v>
      </c>
      <c r="K1810" s="9">
        <v>10.22</v>
      </c>
      <c r="L1810" s="7" t="s">
        <v>15</v>
      </c>
    </row>
    <row r="1811" ht="15.75" customHeight="1">
      <c r="A1811" s="6">
        <v>10945.0</v>
      </c>
      <c r="B1811" s="7" t="s">
        <v>39</v>
      </c>
      <c r="C1811" s="8">
        <v>45363.0</v>
      </c>
      <c r="D1811" s="8">
        <v>45391.0</v>
      </c>
      <c r="E1811" s="8">
        <v>45369.0</v>
      </c>
      <c r="F1811" s="8">
        <v>45370.0</v>
      </c>
      <c r="G1811" s="6">
        <v>31.0</v>
      </c>
      <c r="H1811" s="9">
        <v>12.5</v>
      </c>
      <c r="I1811" s="10">
        <v>10.0</v>
      </c>
      <c r="J1811" s="11">
        <v>0.0</v>
      </c>
      <c r="K1811" s="9">
        <v>10.22</v>
      </c>
      <c r="L1811" s="7" t="s">
        <v>15</v>
      </c>
    </row>
    <row r="1812" ht="15.75" customHeight="1">
      <c r="A1812" s="6">
        <v>10946.0</v>
      </c>
      <c r="B1812" s="7" t="s">
        <v>76</v>
      </c>
      <c r="C1812" s="8">
        <v>45363.0</v>
      </c>
      <c r="D1812" s="8">
        <v>45391.0</v>
      </c>
      <c r="E1812" s="8">
        <v>45370.0</v>
      </c>
      <c r="F1812" s="8">
        <v>45382.0</v>
      </c>
      <c r="G1812" s="6">
        <v>10.0</v>
      </c>
      <c r="H1812" s="9">
        <v>31.0</v>
      </c>
      <c r="I1812" s="10">
        <v>25.0</v>
      </c>
      <c r="J1812" s="11">
        <v>0.0</v>
      </c>
      <c r="K1812" s="9">
        <v>27.2</v>
      </c>
      <c r="L1812" s="7" t="s">
        <v>17</v>
      </c>
    </row>
    <row r="1813" ht="15.75" customHeight="1">
      <c r="A1813" s="6">
        <v>10946.0</v>
      </c>
      <c r="B1813" s="7" t="s">
        <v>76</v>
      </c>
      <c r="C1813" s="8">
        <v>45363.0</v>
      </c>
      <c r="D1813" s="8">
        <v>45391.0</v>
      </c>
      <c r="E1813" s="8">
        <v>45370.0</v>
      </c>
      <c r="F1813" s="8">
        <v>45382.0</v>
      </c>
      <c r="G1813" s="6">
        <v>24.0</v>
      </c>
      <c r="H1813" s="9">
        <v>4.5</v>
      </c>
      <c r="I1813" s="10">
        <v>25.0</v>
      </c>
      <c r="J1813" s="11">
        <v>0.0</v>
      </c>
      <c r="K1813" s="9">
        <v>27.2</v>
      </c>
      <c r="L1813" s="7" t="s">
        <v>17</v>
      </c>
    </row>
    <row r="1814" ht="15.75" customHeight="1">
      <c r="A1814" s="6">
        <v>10946.0</v>
      </c>
      <c r="B1814" s="7" t="s">
        <v>76</v>
      </c>
      <c r="C1814" s="8">
        <v>45363.0</v>
      </c>
      <c r="D1814" s="8">
        <v>45391.0</v>
      </c>
      <c r="E1814" s="8">
        <v>45370.0</v>
      </c>
      <c r="F1814" s="8">
        <v>45382.0</v>
      </c>
      <c r="G1814" s="6">
        <v>77.0</v>
      </c>
      <c r="H1814" s="9">
        <v>13.0</v>
      </c>
      <c r="I1814" s="10">
        <v>40.0</v>
      </c>
      <c r="J1814" s="11">
        <v>0.0</v>
      </c>
      <c r="K1814" s="9">
        <v>27.2</v>
      </c>
      <c r="L1814" s="7" t="s">
        <v>17</v>
      </c>
    </row>
    <row r="1815" ht="15.75" customHeight="1">
      <c r="A1815" s="6">
        <v>10947.0</v>
      </c>
      <c r="B1815" s="7" t="s">
        <v>46</v>
      </c>
      <c r="C1815" s="8">
        <v>45364.0</v>
      </c>
      <c r="D1815" s="8">
        <v>45392.0</v>
      </c>
      <c r="E1815" s="8">
        <v>45367.0</v>
      </c>
      <c r="F1815" s="8">
        <v>45374.0</v>
      </c>
      <c r="G1815" s="6">
        <v>59.0</v>
      </c>
      <c r="H1815" s="9">
        <v>55.0</v>
      </c>
      <c r="I1815" s="10">
        <v>4.0</v>
      </c>
      <c r="J1815" s="11">
        <v>0.0</v>
      </c>
      <c r="K1815" s="9">
        <v>3.26</v>
      </c>
      <c r="L1815" s="7" t="s">
        <v>17</v>
      </c>
    </row>
    <row r="1816" ht="15.75" customHeight="1">
      <c r="A1816" s="6">
        <v>10948.0</v>
      </c>
      <c r="B1816" s="7" t="s">
        <v>51</v>
      </c>
      <c r="C1816" s="8">
        <v>45364.0</v>
      </c>
      <c r="D1816" s="8">
        <v>45392.0</v>
      </c>
      <c r="E1816" s="8">
        <v>45370.0</v>
      </c>
      <c r="F1816" s="8">
        <v>45380.0</v>
      </c>
      <c r="G1816" s="6">
        <v>50.0</v>
      </c>
      <c r="H1816" s="9">
        <v>16.25</v>
      </c>
      <c r="I1816" s="10">
        <v>9.0</v>
      </c>
      <c r="J1816" s="11">
        <v>0.0</v>
      </c>
      <c r="K1816" s="9">
        <v>23.39</v>
      </c>
      <c r="L1816" s="7" t="s">
        <v>13</v>
      </c>
    </row>
    <row r="1817" ht="15.75" customHeight="1">
      <c r="A1817" s="6">
        <v>10948.0</v>
      </c>
      <c r="B1817" s="7" t="s">
        <v>51</v>
      </c>
      <c r="C1817" s="8">
        <v>45364.0</v>
      </c>
      <c r="D1817" s="8">
        <v>45392.0</v>
      </c>
      <c r="E1817" s="8">
        <v>45370.0</v>
      </c>
      <c r="F1817" s="8">
        <v>45380.0</v>
      </c>
      <c r="G1817" s="6">
        <v>51.0</v>
      </c>
      <c r="H1817" s="9">
        <v>53.0</v>
      </c>
      <c r="I1817" s="10">
        <v>40.0</v>
      </c>
      <c r="J1817" s="11">
        <v>0.0</v>
      </c>
      <c r="K1817" s="9">
        <v>23.39</v>
      </c>
      <c r="L1817" s="7" t="s">
        <v>13</v>
      </c>
    </row>
    <row r="1818" ht="15.75" customHeight="1">
      <c r="A1818" s="6">
        <v>10948.0</v>
      </c>
      <c r="B1818" s="7" t="s">
        <v>51</v>
      </c>
      <c r="C1818" s="8">
        <v>45364.0</v>
      </c>
      <c r="D1818" s="8">
        <v>45392.0</v>
      </c>
      <c r="E1818" s="8">
        <v>45370.0</v>
      </c>
      <c r="F1818" s="8">
        <v>45380.0</v>
      </c>
      <c r="G1818" s="6">
        <v>55.0</v>
      </c>
      <c r="H1818" s="9">
        <v>24.0</v>
      </c>
      <c r="I1818" s="10">
        <v>4.0</v>
      </c>
      <c r="J1818" s="11">
        <v>0.0</v>
      </c>
      <c r="K1818" s="9">
        <v>23.39</v>
      </c>
      <c r="L1818" s="7" t="s">
        <v>13</v>
      </c>
    </row>
    <row r="1819" ht="15.75" customHeight="1">
      <c r="A1819" s="6">
        <v>10949.0</v>
      </c>
      <c r="B1819" s="7" t="s">
        <v>81</v>
      </c>
      <c r="C1819" s="8">
        <v>45364.0</v>
      </c>
      <c r="D1819" s="8">
        <v>45392.0</v>
      </c>
      <c r="E1819" s="8">
        <v>45368.0</v>
      </c>
      <c r="F1819" s="8">
        <v>45382.0</v>
      </c>
      <c r="G1819" s="6">
        <v>6.0</v>
      </c>
      <c r="H1819" s="9">
        <v>25.0</v>
      </c>
      <c r="I1819" s="10">
        <v>12.0</v>
      </c>
      <c r="J1819" s="11">
        <v>0.0</v>
      </c>
      <c r="K1819" s="9">
        <v>74.44</v>
      </c>
      <c r="L1819" s="7" t="s">
        <v>13</v>
      </c>
    </row>
    <row r="1820" ht="15.75" customHeight="1">
      <c r="A1820" s="6">
        <v>10949.0</v>
      </c>
      <c r="B1820" s="7" t="s">
        <v>81</v>
      </c>
      <c r="C1820" s="8">
        <v>45364.0</v>
      </c>
      <c r="D1820" s="8">
        <v>45392.0</v>
      </c>
      <c r="E1820" s="8">
        <v>45368.0</v>
      </c>
      <c r="F1820" s="8">
        <v>45382.0</v>
      </c>
      <c r="G1820" s="6">
        <v>10.0</v>
      </c>
      <c r="H1820" s="9">
        <v>31.0</v>
      </c>
      <c r="I1820" s="10">
        <v>30.0</v>
      </c>
      <c r="J1820" s="11">
        <v>0.0</v>
      </c>
      <c r="K1820" s="9">
        <v>74.44</v>
      </c>
      <c r="L1820" s="7" t="s">
        <v>13</v>
      </c>
    </row>
    <row r="1821" ht="15.75" customHeight="1">
      <c r="A1821" s="6">
        <v>10949.0</v>
      </c>
      <c r="B1821" s="7" t="s">
        <v>81</v>
      </c>
      <c r="C1821" s="8">
        <v>45364.0</v>
      </c>
      <c r="D1821" s="8">
        <v>45392.0</v>
      </c>
      <c r="E1821" s="8">
        <v>45368.0</v>
      </c>
      <c r="F1821" s="8">
        <v>45382.0</v>
      </c>
      <c r="G1821" s="6">
        <v>17.0</v>
      </c>
      <c r="H1821" s="9">
        <v>39.0</v>
      </c>
      <c r="I1821" s="10">
        <v>6.0</v>
      </c>
      <c r="J1821" s="11">
        <v>0.0</v>
      </c>
      <c r="K1821" s="9">
        <v>74.44</v>
      </c>
      <c r="L1821" s="7" t="s">
        <v>13</v>
      </c>
    </row>
    <row r="1822" ht="15.75" customHeight="1">
      <c r="A1822" s="6">
        <v>10949.0</v>
      </c>
      <c r="B1822" s="7" t="s">
        <v>81</v>
      </c>
      <c r="C1822" s="8">
        <v>45364.0</v>
      </c>
      <c r="D1822" s="8">
        <v>45392.0</v>
      </c>
      <c r="E1822" s="8">
        <v>45368.0</v>
      </c>
      <c r="F1822" s="8">
        <v>45382.0</v>
      </c>
      <c r="G1822" s="6">
        <v>62.0</v>
      </c>
      <c r="H1822" s="9">
        <v>49.3</v>
      </c>
      <c r="I1822" s="10">
        <v>60.0</v>
      </c>
      <c r="J1822" s="11">
        <v>0.0</v>
      </c>
      <c r="K1822" s="9">
        <v>74.44</v>
      </c>
      <c r="L1822" s="7" t="s">
        <v>13</v>
      </c>
    </row>
    <row r="1823" ht="15.75" customHeight="1">
      <c r="A1823" s="6">
        <v>10950.0</v>
      </c>
      <c r="B1823" s="7" t="s">
        <v>37</v>
      </c>
      <c r="C1823" s="8">
        <v>45367.0</v>
      </c>
      <c r="D1823" s="8">
        <v>45395.0</v>
      </c>
      <c r="E1823" s="8">
        <v>45374.0</v>
      </c>
      <c r="F1823" s="8">
        <v>45386.0</v>
      </c>
      <c r="G1823" s="6">
        <v>4.0</v>
      </c>
      <c r="H1823" s="9">
        <v>22.0</v>
      </c>
      <c r="I1823" s="10">
        <v>5.0</v>
      </c>
      <c r="J1823" s="11">
        <v>0.0</v>
      </c>
      <c r="K1823" s="9">
        <v>2.5</v>
      </c>
      <c r="L1823" s="7" t="s">
        <v>17</v>
      </c>
    </row>
    <row r="1824" ht="15.75" customHeight="1">
      <c r="A1824" s="6">
        <v>10951.0</v>
      </c>
      <c r="B1824" s="7" t="s">
        <v>21</v>
      </c>
      <c r="C1824" s="8">
        <v>45367.0</v>
      </c>
      <c r="D1824" s="8">
        <v>45409.0</v>
      </c>
      <c r="E1824" s="8">
        <v>45389.0</v>
      </c>
      <c r="F1824" s="8">
        <v>45404.0</v>
      </c>
      <c r="G1824" s="6">
        <v>33.0</v>
      </c>
      <c r="H1824" s="9">
        <v>2.5</v>
      </c>
      <c r="I1824" s="10">
        <v>15.0</v>
      </c>
      <c r="J1824" s="11">
        <v>0.05</v>
      </c>
      <c r="K1824" s="9">
        <v>30.85</v>
      </c>
      <c r="L1824" s="7" t="s">
        <v>17</v>
      </c>
    </row>
    <row r="1825" ht="15.75" customHeight="1">
      <c r="A1825" s="6">
        <v>10951.0</v>
      </c>
      <c r="B1825" s="7" t="s">
        <v>21</v>
      </c>
      <c r="C1825" s="8">
        <v>45367.0</v>
      </c>
      <c r="D1825" s="8">
        <v>45409.0</v>
      </c>
      <c r="E1825" s="8">
        <v>45389.0</v>
      </c>
      <c r="F1825" s="8">
        <v>45404.0</v>
      </c>
      <c r="G1825" s="6">
        <v>41.0</v>
      </c>
      <c r="H1825" s="9">
        <v>9.65</v>
      </c>
      <c r="I1825" s="10">
        <v>6.0</v>
      </c>
      <c r="J1825" s="11">
        <v>0.05</v>
      </c>
      <c r="K1825" s="9">
        <v>30.85</v>
      </c>
      <c r="L1825" s="7" t="s">
        <v>17</v>
      </c>
    </row>
    <row r="1826" ht="15.75" customHeight="1">
      <c r="A1826" s="6">
        <v>10951.0</v>
      </c>
      <c r="B1826" s="7" t="s">
        <v>21</v>
      </c>
      <c r="C1826" s="8">
        <v>45367.0</v>
      </c>
      <c r="D1826" s="8">
        <v>45409.0</v>
      </c>
      <c r="E1826" s="8">
        <v>45389.0</v>
      </c>
      <c r="F1826" s="8">
        <v>45404.0</v>
      </c>
      <c r="G1826" s="6">
        <v>75.0</v>
      </c>
      <c r="H1826" s="9">
        <v>7.75</v>
      </c>
      <c r="I1826" s="10">
        <v>50.0</v>
      </c>
      <c r="J1826" s="11">
        <v>0.05</v>
      </c>
      <c r="K1826" s="9">
        <v>30.85</v>
      </c>
      <c r="L1826" s="7" t="s">
        <v>17</v>
      </c>
    </row>
    <row r="1827" ht="15.75" customHeight="1">
      <c r="A1827" s="6">
        <v>10952.0</v>
      </c>
      <c r="B1827" s="7" t="s">
        <v>100</v>
      </c>
      <c r="C1827" s="8">
        <v>45367.0</v>
      </c>
      <c r="D1827" s="8">
        <v>45409.0</v>
      </c>
      <c r="E1827" s="8">
        <v>45375.0</v>
      </c>
      <c r="F1827" s="8">
        <v>45379.0</v>
      </c>
      <c r="G1827" s="6">
        <v>6.0</v>
      </c>
      <c r="H1827" s="9">
        <v>25.0</v>
      </c>
      <c r="I1827" s="10">
        <v>16.0</v>
      </c>
      <c r="J1827" s="11">
        <v>0.05</v>
      </c>
      <c r="K1827" s="9">
        <v>40.42</v>
      </c>
      <c r="L1827" s="7" t="s">
        <v>15</v>
      </c>
    </row>
    <row r="1828" ht="15.75" customHeight="1">
      <c r="A1828" s="6">
        <v>10952.0</v>
      </c>
      <c r="B1828" s="7" t="s">
        <v>100</v>
      </c>
      <c r="C1828" s="8">
        <v>45367.0</v>
      </c>
      <c r="D1828" s="8">
        <v>45409.0</v>
      </c>
      <c r="E1828" s="8">
        <v>45375.0</v>
      </c>
      <c r="F1828" s="8">
        <v>45379.0</v>
      </c>
      <c r="G1828" s="6">
        <v>28.0</v>
      </c>
      <c r="H1828" s="9">
        <v>45.6</v>
      </c>
      <c r="I1828" s="10">
        <v>2.0</v>
      </c>
      <c r="J1828" s="11">
        <v>0.0</v>
      </c>
      <c r="K1828" s="9">
        <v>40.42</v>
      </c>
      <c r="L1828" s="7" t="s">
        <v>15</v>
      </c>
    </row>
    <row r="1829" ht="15.75" customHeight="1">
      <c r="A1829" s="6">
        <v>10953.0</v>
      </c>
      <c r="B1829" s="7" t="s">
        <v>70</v>
      </c>
      <c r="C1829" s="8">
        <v>45367.0</v>
      </c>
      <c r="D1829" s="8">
        <v>45381.0</v>
      </c>
      <c r="E1829" s="8">
        <v>45376.0</v>
      </c>
      <c r="F1829" s="8">
        <v>45384.0</v>
      </c>
      <c r="G1829" s="6">
        <v>20.0</v>
      </c>
      <c r="H1829" s="9">
        <v>81.0</v>
      </c>
      <c r="I1829" s="10">
        <v>50.0</v>
      </c>
      <c r="J1829" s="11">
        <v>0.05</v>
      </c>
      <c r="K1829" s="9">
        <v>23.72</v>
      </c>
      <c r="L1829" s="7" t="s">
        <v>17</v>
      </c>
    </row>
    <row r="1830" ht="15.75" customHeight="1">
      <c r="A1830" s="6">
        <v>10953.0</v>
      </c>
      <c r="B1830" s="7" t="s">
        <v>70</v>
      </c>
      <c r="C1830" s="8">
        <v>45367.0</v>
      </c>
      <c r="D1830" s="8">
        <v>45381.0</v>
      </c>
      <c r="E1830" s="8">
        <v>45376.0</v>
      </c>
      <c r="F1830" s="8">
        <v>45384.0</v>
      </c>
      <c r="G1830" s="6">
        <v>31.0</v>
      </c>
      <c r="H1830" s="9">
        <v>12.5</v>
      </c>
      <c r="I1830" s="10">
        <v>50.0</v>
      </c>
      <c r="J1830" s="11">
        <v>0.05</v>
      </c>
      <c r="K1830" s="9">
        <v>23.72</v>
      </c>
      <c r="L1830" s="7" t="s">
        <v>17</v>
      </c>
    </row>
    <row r="1831" ht="15.75" customHeight="1">
      <c r="A1831" s="6">
        <v>10954.0</v>
      </c>
      <c r="B1831" s="7" t="s">
        <v>82</v>
      </c>
      <c r="C1831" s="8">
        <v>45368.0</v>
      </c>
      <c r="D1831" s="8">
        <v>45410.0</v>
      </c>
      <c r="E1831" s="8">
        <v>45371.0</v>
      </c>
      <c r="F1831" s="8">
        <v>45381.0</v>
      </c>
      <c r="G1831" s="6">
        <v>16.0</v>
      </c>
      <c r="H1831" s="9">
        <v>17.45</v>
      </c>
      <c r="I1831" s="10">
        <v>28.0</v>
      </c>
      <c r="J1831" s="11">
        <v>0.15</v>
      </c>
      <c r="K1831" s="9">
        <v>27.91</v>
      </c>
      <c r="L1831" s="7" t="s">
        <v>15</v>
      </c>
    </row>
    <row r="1832" ht="15.75" customHeight="1">
      <c r="A1832" s="6">
        <v>10954.0</v>
      </c>
      <c r="B1832" s="7" t="s">
        <v>82</v>
      </c>
      <c r="C1832" s="8">
        <v>45368.0</v>
      </c>
      <c r="D1832" s="8">
        <v>45410.0</v>
      </c>
      <c r="E1832" s="8">
        <v>45371.0</v>
      </c>
      <c r="F1832" s="8">
        <v>45381.0</v>
      </c>
      <c r="G1832" s="6">
        <v>31.0</v>
      </c>
      <c r="H1832" s="9">
        <v>12.5</v>
      </c>
      <c r="I1832" s="10">
        <v>25.0</v>
      </c>
      <c r="J1832" s="11">
        <v>0.15</v>
      </c>
      <c r="K1832" s="9">
        <v>27.91</v>
      </c>
      <c r="L1832" s="7" t="s">
        <v>15</v>
      </c>
    </row>
    <row r="1833" ht="15.75" customHeight="1">
      <c r="A1833" s="6">
        <v>10954.0</v>
      </c>
      <c r="B1833" s="7" t="s">
        <v>82</v>
      </c>
      <c r="C1833" s="8">
        <v>45368.0</v>
      </c>
      <c r="D1833" s="8">
        <v>45410.0</v>
      </c>
      <c r="E1833" s="8">
        <v>45371.0</v>
      </c>
      <c r="F1833" s="8">
        <v>45381.0</v>
      </c>
      <c r="G1833" s="6">
        <v>45.0</v>
      </c>
      <c r="H1833" s="9">
        <v>9.5</v>
      </c>
      <c r="I1833" s="10">
        <v>30.0</v>
      </c>
      <c r="J1833" s="11">
        <v>0.0</v>
      </c>
      <c r="K1833" s="9">
        <v>27.91</v>
      </c>
      <c r="L1833" s="7" t="s">
        <v>15</v>
      </c>
    </row>
    <row r="1834" ht="15.75" customHeight="1">
      <c r="A1834" s="6">
        <v>10954.0</v>
      </c>
      <c r="B1834" s="7" t="s">
        <v>82</v>
      </c>
      <c r="C1834" s="8">
        <v>45368.0</v>
      </c>
      <c r="D1834" s="8">
        <v>45410.0</v>
      </c>
      <c r="E1834" s="8">
        <v>45371.0</v>
      </c>
      <c r="F1834" s="8">
        <v>45381.0</v>
      </c>
      <c r="G1834" s="6">
        <v>60.0</v>
      </c>
      <c r="H1834" s="9">
        <v>34.0</v>
      </c>
      <c r="I1834" s="10">
        <v>24.0</v>
      </c>
      <c r="J1834" s="11">
        <v>0.15</v>
      </c>
      <c r="K1834" s="9">
        <v>27.91</v>
      </c>
      <c r="L1834" s="7" t="s">
        <v>15</v>
      </c>
    </row>
    <row r="1835" ht="15.75" customHeight="1">
      <c r="A1835" s="6">
        <v>10955.0</v>
      </c>
      <c r="B1835" s="7" t="s">
        <v>29</v>
      </c>
      <c r="C1835" s="8">
        <v>45368.0</v>
      </c>
      <c r="D1835" s="8">
        <v>45396.0</v>
      </c>
      <c r="E1835" s="8">
        <v>45371.0</v>
      </c>
      <c r="F1835" s="8">
        <v>45383.0</v>
      </c>
      <c r="G1835" s="6">
        <v>75.0</v>
      </c>
      <c r="H1835" s="9">
        <v>7.75</v>
      </c>
      <c r="I1835" s="10">
        <v>12.0</v>
      </c>
      <c r="J1835" s="11">
        <v>0.2</v>
      </c>
      <c r="K1835" s="9">
        <v>3.26</v>
      </c>
      <c r="L1835" s="7" t="s">
        <v>17</v>
      </c>
    </row>
    <row r="1836" ht="15.75" customHeight="1">
      <c r="A1836" s="6">
        <v>10956.0</v>
      </c>
      <c r="B1836" s="7" t="s">
        <v>91</v>
      </c>
      <c r="C1836" s="8">
        <v>45368.0</v>
      </c>
      <c r="D1836" s="8">
        <v>45410.0</v>
      </c>
      <c r="E1836" s="8">
        <v>45371.0</v>
      </c>
      <c r="F1836" s="8">
        <v>45380.0</v>
      </c>
      <c r="G1836" s="6">
        <v>21.0</v>
      </c>
      <c r="H1836" s="9">
        <v>10.0</v>
      </c>
      <c r="I1836" s="10">
        <v>12.0</v>
      </c>
      <c r="J1836" s="11">
        <v>0.0</v>
      </c>
      <c r="K1836" s="9">
        <v>44.65</v>
      </c>
      <c r="L1836" s="7" t="s">
        <v>17</v>
      </c>
    </row>
    <row r="1837" ht="15.75" customHeight="1">
      <c r="A1837" s="6">
        <v>10956.0</v>
      </c>
      <c r="B1837" s="7" t="s">
        <v>91</v>
      </c>
      <c r="C1837" s="8">
        <v>45368.0</v>
      </c>
      <c r="D1837" s="8">
        <v>45410.0</v>
      </c>
      <c r="E1837" s="8">
        <v>45371.0</v>
      </c>
      <c r="F1837" s="8">
        <v>45380.0</v>
      </c>
      <c r="G1837" s="6">
        <v>47.0</v>
      </c>
      <c r="H1837" s="9">
        <v>9.5</v>
      </c>
      <c r="I1837" s="10">
        <v>14.0</v>
      </c>
      <c r="J1837" s="11">
        <v>0.0</v>
      </c>
      <c r="K1837" s="9">
        <v>44.65</v>
      </c>
      <c r="L1837" s="7" t="s">
        <v>17</v>
      </c>
    </row>
    <row r="1838" ht="15.75" customHeight="1">
      <c r="A1838" s="6">
        <v>10956.0</v>
      </c>
      <c r="B1838" s="7" t="s">
        <v>91</v>
      </c>
      <c r="C1838" s="8">
        <v>45368.0</v>
      </c>
      <c r="D1838" s="8">
        <v>45410.0</v>
      </c>
      <c r="E1838" s="8">
        <v>45371.0</v>
      </c>
      <c r="F1838" s="8">
        <v>45380.0</v>
      </c>
      <c r="G1838" s="6">
        <v>51.0</v>
      </c>
      <c r="H1838" s="9">
        <v>53.0</v>
      </c>
      <c r="I1838" s="10">
        <v>8.0</v>
      </c>
      <c r="J1838" s="11">
        <v>0.0</v>
      </c>
      <c r="K1838" s="9">
        <v>44.65</v>
      </c>
      <c r="L1838" s="7" t="s">
        <v>17</v>
      </c>
    </row>
    <row r="1839" ht="15.75" customHeight="1">
      <c r="A1839" s="6">
        <v>10957.0</v>
      </c>
      <c r="B1839" s="7" t="s">
        <v>23</v>
      </c>
      <c r="C1839" s="8">
        <v>45369.0</v>
      </c>
      <c r="D1839" s="8">
        <v>45397.0</v>
      </c>
      <c r="E1839" s="8">
        <v>45378.0</v>
      </c>
      <c r="F1839" s="8">
        <v>45390.0</v>
      </c>
      <c r="G1839" s="6">
        <v>30.0</v>
      </c>
      <c r="H1839" s="9">
        <v>25.89</v>
      </c>
      <c r="I1839" s="10">
        <v>30.0</v>
      </c>
      <c r="J1839" s="11">
        <v>0.0</v>
      </c>
      <c r="K1839" s="9">
        <v>105.36</v>
      </c>
      <c r="L1839" s="7" t="s">
        <v>13</v>
      </c>
    </row>
    <row r="1840" ht="15.75" customHeight="1">
      <c r="A1840" s="6">
        <v>10957.0</v>
      </c>
      <c r="B1840" s="7" t="s">
        <v>23</v>
      </c>
      <c r="C1840" s="8">
        <v>45369.0</v>
      </c>
      <c r="D1840" s="8">
        <v>45397.0</v>
      </c>
      <c r="E1840" s="8">
        <v>45378.0</v>
      </c>
      <c r="F1840" s="8">
        <v>45390.0</v>
      </c>
      <c r="G1840" s="6">
        <v>35.0</v>
      </c>
      <c r="H1840" s="9">
        <v>18.0</v>
      </c>
      <c r="I1840" s="10">
        <v>40.0</v>
      </c>
      <c r="J1840" s="11">
        <v>0.0</v>
      </c>
      <c r="K1840" s="9">
        <v>105.36</v>
      </c>
      <c r="L1840" s="7" t="s">
        <v>13</v>
      </c>
    </row>
    <row r="1841" ht="15.75" customHeight="1">
      <c r="A1841" s="6">
        <v>10957.0</v>
      </c>
      <c r="B1841" s="7" t="s">
        <v>23</v>
      </c>
      <c r="C1841" s="8">
        <v>45369.0</v>
      </c>
      <c r="D1841" s="8">
        <v>45397.0</v>
      </c>
      <c r="E1841" s="8">
        <v>45378.0</v>
      </c>
      <c r="F1841" s="8">
        <v>45390.0</v>
      </c>
      <c r="G1841" s="6">
        <v>64.0</v>
      </c>
      <c r="H1841" s="9">
        <v>33.25</v>
      </c>
      <c r="I1841" s="10">
        <v>8.0</v>
      </c>
      <c r="J1841" s="11">
        <v>0.0</v>
      </c>
      <c r="K1841" s="9">
        <v>105.36</v>
      </c>
      <c r="L1841" s="7" t="s">
        <v>13</v>
      </c>
    </row>
    <row r="1842" ht="15.75" customHeight="1">
      <c r="A1842" s="6">
        <v>10958.0</v>
      </c>
      <c r="B1842" s="7" t="s">
        <v>84</v>
      </c>
      <c r="C1842" s="8">
        <v>45369.0</v>
      </c>
      <c r="D1842" s="8">
        <v>45397.0</v>
      </c>
      <c r="E1842" s="8">
        <v>45378.0</v>
      </c>
      <c r="F1842" s="8">
        <v>45394.0</v>
      </c>
      <c r="G1842" s="6">
        <v>5.0</v>
      </c>
      <c r="H1842" s="9">
        <v>21.35</v>
      </c>
      <c r="I1842" s="10">
        <v>20.0</v>
      </c>
      <c r="J1842" s="11">
        <v>0.0</v>
      </c>
      <c r="K1842" s="9">
        <v>49.56</v>
      </c>
      <c r="L1842" s="7" t="s">
        <v>17</v>
      </c>
    </row>
    <row r="1843" ht="15.75" customHeight="1">
      <c r="A1843" s="6">
        <v>10958.0</v>
      </c>
      <c r="B1843" s="7" t="s">
        <v>84</v>
      </c>
      <c r="C1843" s="8">
        <v>45369.0</v>
      </c>
      <c r="D1843" s="8">
        <v>45397.0</v>
      </c>
      <c r="E1843" s="8">
        <v>45378.0</v>
      </c>
      <c r="F1843" s="8">
        <v>45394.0</v>
      </c>
      <c r="G1843" s="6">
        <v>7.0</v>
      </c>
      <c r="H1843" s="9">
        <v>30.0</v>
      </c>
      <c r="I1843" s="10">
        <v>6.0</v>
      </c>
      <c r="J1843" s="11">
        <v>0.0</v>
      </c>
      <c r="K1843" s="9">
        <v>49.56</v>
      </c>
      <c r="L1843" s="7" t="s">
        <v>17</v>
      </c>
    </row>
    <row r="1844" ht="15.75" customHeight="1">
      <c r="A1844" s="6">
        <v>10958.0</v>
      </c>
      <c r="B1844" s="7" t="s">
        <v>84</v>
      </c>
      <c r="C1844" s="8">
        <v>45369.0</v>
      </c>
      <c r="D1844" s="8">
        <v>45397.0</v>
      </c>
      <c r="E1844" s="8">
        <v>45378.0</v>
      </c>
      <c r="F1844" s="8">
        <v>45394.0</v>
      </c>
      <c r="G1844" s="6">
        <v>72.0</v>
      </c>
      <c r="H1844" s="9">
        <v>34.8</v>
      </c>
      <c r="I1844" s="10">
        <v>5.0</v>
      </c>
      <c r="J1844" s="11">
        <v>0.0</v>
      </c>
      <c r="K1844" s="9">
        <v>49.56</v>
      </c>
      <c r="L1844" s="7" t="s">
        <v>17</v>
      </c>
    </row>
    <row r="1845" ht="15.75" customHeight="1">
      <c r="A1845" s="6">
        <v>10959.0</v>
      </c>
      <c r="B1845" s="7" t="s">
        <v>86</v>
      </c>
      <c r="C1845" s="8">
        <v>45369.0</v>
      </c>
      <c r="D1845" s="8">
        <v>45411.0</v>
      </c>
      <c r="E1845" s="8">
        <v>45374.0</v>
      </c>
      <c r="F1845" s="8">
        <v>45392.0</v>
      </c>
      <c r="G1845" s="6">
        <v>75.0</v>
      </c>
      <c r="H1845" s="9">
        <v>7.75</v>
      </c>
      <c r="I1845" s="10">
        <v>20.0</v>
      </c>
      <c r="J1845" s="11">
        <v>0.15</v>
      </c>
      <c r="K1845" s="9">
        <v>4.98</v>
      </c>
      <c r="L1845" s="7" t="s">
        <v>17</v>
      </c>
    </row>
    <row r="1846" ht="15.75" customHeight="1">
      <c r="A1846" s="6">
        <v>10960.0</v>
      </c>
      <c r="B1846" s="7" t="s">
        <v>23</v>
      </c>
      <c r="C1846" s="8">
        <v>45370.0</v>
      </c>
      <c r="D1846" s="8">
        <v>45384.0</v>
      </c>
      <c r="E1846" s="8">
        <v>45390.0</v>
      </c>
      <c r="F1846" s="8">
        <v>45398.0</v>
      </c>
      <c r="G1846" s="6">
        <v>24.0</v>
      </c>
      <c r="H1846" s="9">
        <v>4.5</v>
      </c>
      <c r="I1846" s="10">
        <v>10.0</v>
      </c>
      <c r="J1846" s="11">
        <v>0.25</v>
      </c>
      <c r="K1846" s="9">
        <v>2.08</v>
      </c>
      <c r="L1846" s="7" t="s">
        <v>15</v>
      </c>
    </row>
    <row r="1847" ht="15.75" customHeight="1">
      <c r="A1847" s="6">
        <v>10960.0</v>
      </c>
      <c r="B1847" s="7" t="s">
        <v>23</v>
      </c>
      <c r="C1847" s="8">
        <v>45370.0</v>
      </c>
      <c r="D1847" s="8">
        <v>45384.0</v>
      </c>
      <c r="E1847" s="8">
        <v>45390.0</v>
      </c>
      <c r="F1847" s="8">
        <v>45398.0</v>
      </c>
      <c r="G1847" s="6">
        <v>41.0</v>
      </c>
      <c r="H1847" s="9">
        <v>9.65</v>
      </c>
      <c r="I1847" s="10">
        <v>24.0</v>
      </c>
      <c r="J1847" s="11">
        <v>0.0</v>
      </c>
      <c r="K1847" s="9">
        <v>2.08</v>
      </c>
      <c r="L1847" s="7" t="s">
        <v>15</v>
      </c>
    </row>
    <row r="1848" ht="15.75" customHeight="1">
      <c r="A1848" s="6">
        <v>10961.0</v>
      </c>
      <c r="B1848" s="7" t="s">
        <v>77</v>
      </c>
      <c r="C1848" s="8">
        <v>45370.0</v>
      </c>
      <c r="D1848" s="8">
        <v>45398.0</v>
      </c>
      <c r="E1848" s="8">
        <v>45381.0</v>
      </c>
      <c r="F1848" s="8">
        <v>45398.0</v>
      </c>
      <c r="G1848" s="6">
        <v>52.0</v>
      </c>
      <c r="H1848" s="9">
        <v>7.0</v>
      </c>
      <c r="I1848" s="10">
        <v>6.0</v>
      </c>
      <c r="J1848" s="11">
        <v>0.05</v>
      </c>
      <c r="K1848" s="9">
        <v>104.47</v>
      </c>
      <c r="L1848" s="7" t="s">
        <v>15</v>
      </c>
    </row>
    <row r="1849" ht="15.75" customHeight="1">
      <c r="A1849" s="6">
        <v>10961.0</v>
      </c>
      <c r="B1849" s="7" t="s">
        <v>77</v>
      </c>
      <c r="C1849" s="8">
        <v>45370.0</v>
      </c>
      <c r="D1849" s="8">
        <v>45398.0</v>
      </c>
      <c r="E1849" s="8">
        <v>45381.0</v>
      </c>
      <c r="F1849" s="8">
        <v>45398.0</v>
      </c>
      <c r="G1849" s="6">
        <v>76.0</v>
      </c>
      <c r="H1849" s="9">
        <v>18.0</v>
      </c>
      <c r="I1849" s="10">
        <v>60.0</v>
      </c>
      <c r="J1849" s="11">
        <v>0.0</v>
      </c>
      <c r="K1849" s="9">
        <v>104.47</v>
      </c>
      <c r="L1849" s="7" t="s">
        <v>15</v>
      </c>
    </row>
    <row r="1850" ht="15.75" customHeight="1">
      <c r="A1850" s="6">
        <v>10962.0</v>
      </c>
      <c r="B1850" s="7" t="s">
        <v>36</v>
      </c>
      <c r="C1850" s="8">
        <v>45370.0</v>
      </c>
      <c r="D1850" s="8">
        <v>45398.0</v>
      </c>
      <c r="E1850" s="8">
        <v>45374.0</v>
      </c>
      <c r="F1850" s="8">
        <v>45380.0</v>
      </c>
      <c r="G1850" s="6">
        <v>7.0</v>
      </c>
      <c r="H1850" s="9">
        <v>30.0</v>
      </c>
      <c r="I1850" s="10">
        <v>45.0</v>
      </c>
      <c r="J1850" s="11">
        <v>0.0</v>
      </c>
      <c r="K1850" s="9">
        <v>275.79</v>
      </c>
      <c r="L1850" s="7" t="s">
        <v>17</v>
      </c>
    </row>
    <row r="1851" ht="15.75" customHeight="1">
      <c r="A1851" s="6">
        <v>10962.0</v>
      </c>
      <c r="B1851" s="7" t="s">
        <v>36</v>
      </c>
      <c r="C1851" s="8">
        <v>45370.0</v>
      </c>
      <c r="D1851" s="8">
        <v>45398.0</v>
      </c>
      <c r="E1851" s="8">
        <v>45374.0</v>
      </c>
      <c r="F1851" s="8">
        <v>45380.0</v>
      </c>
      <c r="G1851" s="6">
        <v>13.0</v>
      </c>
      <c r="H1851" s="9">
        <v>6.0</v>
      </c>
      <c r="I1851" s="10">
        <v>77.0</v>
      </c>
      <c r="J1851" s="11">
        <v>0.0</v>
      </c>
      <c r="K1851" s="9">
        <v>275.79</v>
      </c>
      <c r="L1851" s="7" t="s">
        <v>17</v>
      </c>
    </row>
    <row r="1852" ht="15.75" customHeight="1">
      <c r="A1852" s="6">
        <v>10962.0</v>
      </c>
      <c r="B1852" s="7" t="s">
        <v>36</v>
      </c>
      <c r="C1852" s="8">
        <v>45370.0</v>
      </c>
      <c r="D1852" s="8">
        <v>45398.0</v>
      </c>
      <c r="E1852" s="8">
        <v>45374.0</v>
      </c>
      <c r="F1852" s="8">
        <v>45380.0</v>
      </c>
      <c r="G1852" s="6">
        <v>53.0</v>
      </c>
      <c r="H1852" s="9">
        <v>32.8</v>
      </c>
      <c r="I1852" s="10">
        <v>20.0</v>
      </c>
      <c r="J1852" s="11">
        <v>0.0</v>
      </c>
      <c r="K1852" s="9">
        <v>275.79</v>
      </c>
      <c r="L1852" s="7" t="s">
        <v>17</v>
      </c>
    </row>
    <row r="1853" ht="15.75" customHeight="1">
      <c r="A1853" s="6">
        <v>10962.0</v>
      </c>
      <c r="B1853" s="7" t="s">
        <v>36</v>
      </c>
      <c r="C1853" s="8">
        <v>45370.0</v>
      </c>
      <c r="D1853" s="8">
        <v>45398.0</v>
      </c>
      <c r="E1853" s="8">
        <v>45374.0</v>
      </c>
      <c r="F1853" s="8">
        <v>45380.0</v>
      </c>
      <c r="G1853" s="6">
        <v>69.0</v>
      </c>
      <c r="H1853" s="9">
        <v>36.0</v>
      </c>
      <c r="I1853" s="10">
        <v>9.0</v>
      </c>
      <c r="J1853" s="11">
        <v>0.0</v>
      </c>
      <c r="K1853" s="9">
        <v>275.79</v>
      </c>
      <c r="L1853" s="7" t="s">
        <v>17</v>
      </c>
    </row>
    <row r="1854" ht="15.75" customHeight="1">
      <c r="A1854" s="6">
        <v>10962.0</v>
      </c>
      <c r="B1854" s="7" t="s">
        <v>36</v>
      </c>
      <c r="C1854" s="8">
        <v>45370.0</v>
      </c>
      <c r="D1854" s="8">
        <v>45398.0</v>
      </c>
      <c r="E1854" s="8">
        <v>45374.0</v>
      </c>
      <c r="F1854" s="8">
        <v>45380.0</v>
      </c>
      <c r="G1854" s="6">
        <v>76.0</v>
      </c>
      <c r="H1854" s="9">
        <v>18.0</v>
      </c>
      <c r="I1854" s="10">
        <v>44.0</v>
      </c>
      <c r="J1854" s="11">
        <v>0.0</v>
      </c>
      <c r="K1854" s="9">
        <v>275.79</v>
      </c>
      <c r="L1854" s="7" t="s">
        <v>17</v>
      </c>
    </row>
    <row r="1855" ht="15.75" customHeight="1">
      <c r="A1855" s="6">
        <v>10963.0</v>
      </c>
      <c r="B1855" s="7" t="s">
        <v>62</v>
      </c>
      <c r="C1855" s="8">
        <v>45370.0</v>
      </c>
      <c r="D1855" s="8">
        <v>45398.0</v>
      </c>
      <c r="E1855" s="8">
        <v>45377.0</v>
      </c>
      <c r="F1855" s="8">
        <v>45388.0</v>
      </c>
      <c r="G1855" s="6">
        <v>60.0</v>
      </c>
      <c r="H1855" s="9">
        <v>34.0</v>
      </c>
      <c r="I1855" s="10">
        <v>2.0</v>
      </c>
      <c r="J1855" s="11">
        <v>0.15</v>
      </c>
      <c r="K1855" s="9">
        <v>2.7</v>
      </c>
      <c r="L1855" s="7" t="s">
        <v>13</v>
      </c>
    </row>
    <row r="1856" ht="15.75" customHeight="1">
      <c r="A1856" s="6">
        <v>10964.0</v>
      </c>
      <c r="B1856" s="7" t="s">
        <v>102</v>
      </c>
      <c r="C1856" s="8">
        <v>45371.0</v>
      </c>
      <c r="D1856" s="8">
        <v>45399.0</v>
      </c>
      <c r="E1856" s="8">
        <v>45375.0</v>
      </c>
      <c r="F1856" s="8">
        <v>45386.0</v>
      </c>
      <c r="G1856" s="6">
        <v>18.0</v>
      </c>
      <c r="H1856" s="9">
        <v>62.5</v>
      </c>
      <c r="I1856" s="10">
        <v>6.0</v>
      </c>
      <c r="J1856" s="11">
        <v>0.0</v>
      </c>
      <c r="K1856" s="9">
        <v>87.38</v>
      </c>
      <c r="L1856" s="7" t="s">
        <v>17</v>
      </c>
    </row>
    <row r="1857" ht="15.75" customHeight="1">
      <c r="A1857" s="6">
        <v>10964.0</v>
      </c>
      <c r="B1857" s="7" t="s">
        <v>102</v>
      </c>
      <c r="C1857" s="8">
        <v>45371.0</v>
      </c>
      <c r="D1857" s="8">
        <v>45399.0</v>
      </c>
      <c r="E1857" s="8">
        <v>45375.0</v>
      </c>
      <c r="F1857" s="8">
        <v>45386.0</v>
      </c>
      <c r="G1857" s="6">
        <v>38.0</v>
      </c>
      <c r="H1857" s="9">
        <v>263.5</v>
      </c>
      <c r="I1857" s="10">
        <v>5.0</v>
      </c>
      <c r="J1857" s="11">
        <v>0.0</v>
      </c>
      <c r="K1857" s="9">
        <v>87.38</v>
      </c>
      <c r="L1857" s="7" t="s">
        <v>17</v>
      </c>
    </row>
    <row r="1858" ht="15.75" customHeight="1">
      <c r="A1858" s="6">
        <v>10964.0</v>
      </c>
      <c r="B1858" s="7" t="s">
        <v>102</v>
      </c>
      <c r="C1858" s="8">
        <v>45371.0</v>
      </c>
      <c r="D1858" s="8">
        <v>45399.0</v>
      </c>
      <c r="E1858" s="8">
        <v>45375.0</v>
      </c>
      <c r="F1858" s="8">
        <v>45386.0</v>
      </c>
      <c r="G1858" s="6">
        <v>69.0</v>
      </c>
      <c r="H1858" s="9">
        <v>36.0</v>
      </c>
      <c r="I1858" s="10">
        <v>10.0</v>
      </c>
      <c r="J1858" s="11">
        <v>0.0</v>
      </c>
      <c r="K1858" s="9">
        <v>87.38</v>
      </c>
      <c r="L1858" s="7" t="s">
        <v>17</v>
      </c>
    </row>
    <row r="1859" ht="15.75" customHeight="1">
      <c r="A1859" s="6">
        <v>10965.0</v>
      </c>
      <c r="B1859" s="7" t="s">
        <v>52</v>
      </c>
      <c r="C1859" s="8">
        <v>45371.0</v>
      </c>
      <c r="D1859" s="8">
        <v>45399.0</v>
      </c>
      <c r="E1859" s="8">
        <v>45381.0</v>
      </c>
      <c r="F1859" s="8">
        <v>45394.0</v>
      </c>
      <c r="G1859" s="6">
        <v>51.0</v>
      </c>
      <c r="H1859" s="9">
        <v>53.0</v>
      </c>
      <c r="I1859" s="10">
        <v>16.0</v>
      </c>
      <c r="J1859" s="11">
        <v>0.0</v>
      </c>
      <c r="K1859" s="9">
        <v>144.38</v>
      </c>
      <c r="L1859" s="7" t="s">
        <v>13</v>
      </c>
    </row>
    <row r="1860" ht="15.75" customHeight="1">
      <c r="A1860" s="6">
        <v>10966.0</v>
      </c>
      <c r="B1860" s="7" t="s">
        <v>20</v>
      </c>
      <c r="C1860" s="8">
        <v>45371.0</v>
      </c>
      <c r="D1860" s="8">
        <v>45399.0</v>
      </c>
      <c r="E1860" s="8">
        <v>45390.0</v>
      </c>
      <c r="F1860" s="8">
        <v>45401.0</v>
      </c>
      <c r="G1860" s="6">
        <v>37.0</v>
      </c>
      <c r="H1860" s="9">
        <v>26.0</v>
      </c>
      <c r="I1860" s="10">
        <v>8.0</v>
      </c>
      <c r="J1860" s="11">
        <v>0.0</v>
      </c>
      <c r="K1860" s="9">
        <v>27.19</v>
      </c>
      <c r="L1860" s="7" t="s">
        <v>15</v>
      </c>
    </row>
    <row r="1861" ht="15.75" customHeight="1">
      <c r="A1861" s="6">
        <v>10966.0</v>
      </c>
      <c r="B1861" s="7" t="s">
        <v>20</v>
      </c>
      <c r="C1861" s="8">
        <v>45371.0</v>
      </c>
      <c r="D1861" s="8">
        <v>45399.0</v>
      </c>
      <c r="E1861" s="8">
        <v>45390.0</v>
      </c>
      <c r="F1861" s="8">
        <v>45401.0</v>
      </c>
      <c r="G1861" s="6">
        <v>56.0</v>
      </c>
      <c r="H1861" s="9">
        <v>38.0</v>
      </c>
      <c r="I1861" s="10">
        <v>12.0</v>
      </c>
      <c r="J1861" s="11">
        <v>0.15</v>
      </c>
      <c r="K1861" s="9">
        <v>27.19</v>
      </c>
      <c r="L1861" s="7" t="s">
        <v>15</v>
      </c>
    </row>
    <row r="1862" ht="15.75" customHeight="1">
      <c r="A1862" s="6">
        <v>10966.0</v>
      </c>
      <c r="B1862" s="7" t="s">
        <v>20</v>
      </c>
      <c r="C1862" s="8">
        <v>45371.0</v>
      </c>
      <c r="D1862" s="8">
        <v>45399.0</v>
      </c>
      <c r="E1862" s="8">
        <v>45390.0</v>
      </c>
      <c r="F1862" s="8">
        <v>45401.0</v>
      </c>
      <c r="G1862" s="6">
        <v>62.0</v>
      </c>
      <c r="H1862" s="9">
        <v>49.3</v>
      </c>
      <c r="I1862" s="10">
        <v>12.0</v>
      </c>
      <c r="J1862" s="11">
        <v>0.15</v>
      </c>
      <c r="K1862" s="9">
        <v>27.19</v>
      </c>
      <c r="L1862" s="7" t="s">
        <v>15</v>
      </c>
    </row>
    <row r="1863" ht="15.75" customHeight="1">
      <c r="A1863" s="6">
        <v>10967.0</v>
      </c>
      <c r="B1863" s="7" t="s">
        <v>14</v>
      </c>
      <c r="C1863" s="8">
        <v>45374.0</v>
      </c>
      <c r="D1863" s="8">
        <v>45402.0</v>
      </c>
      <c r="E1863" s="8">
        <v>45384.0</v>
      </c>
      <c r="F1863" s="8">
        <v>45393.0</v>
      </c>
      <c r="G1863" s="6">
        <v>19.0</v>
      </c>
      <c r="H1863" s="9">
        <v>9.2</v>
      </c>
      <c r="I1863" s="10">
        <v>12.0</v>
      </c>
      <c r="J1863" s="11">
        <v>0.0</v>
      </c>
      <c r="K1863" s="9">
        <v>62.22</v>
      </c>
      <c r="L1863" s="7" t="s">
        <v>17</v>
      </c>
    </row>
    <row r="1864" ht="15.75" customHeight="1">
      <c r="A1864" s="6">
        <v>10967.0</v>
      </c>
      <c r="B1864" s="7" t="s">
        <v>14</v>
      </c>
      <c r="C1864" s="8">
        <v>45374.0</v>
      </c>
      <c r="D1864" s="8">
        <v>45402.0</v>
      </c>
      <c r="E1864" s="8">
        <v>45384.0</v>
      </c>
      <c r="F1864" s="8">
        <v>45393.0</v>
      </c>
      <c r="G1864" s="6">
        <v>49.0</v>
      </c>
      <c r="H1864" s="9">
        <v>20.0</v>
      </c>
      <c r="I1864" s="10">
        <v>40.0</v>
      </c>
      <c r="J1864" s="11">
        <v>0.0</v>
      </c>
      <c r="K1864" s="9">
        <v>62.22</v>
      </c>
      <c r="L1864" s="7" t="s">
        <v>17</v>
      </c>
    </row>
    <row r="1865" ht="15.75" customHeight="1">
      <c r="A1865" s="6">
        <v>10968.0</v>
      </c>
      <c r="B1865" s="7" t="s">
        <v>24</v>
      </c>
      <c r="C1865" s="8">
        <v>45374.0</v>
      </c>
      <c r="D1865" s="8">
        <v>45402.0</v>
      </c>
      <c r="E1865" s="8">
        <v>45383.0</v>
      </c>
      <c r="F1865" s="8">
        <v>45394.0</v>
      </c>
      <c r="G1865" s="6">
        <v>12.0</v>
      </c>
      <c r="H1865" s="9">
        <v>38.0</v>
      </c>
      <c r="I1865" s="10">
        <v>30.0</v>
      </c>
      <c r="J1865" s="11">
        <v>0.0</v>
      </c>
      <c r="K1865" s="9">
        <v>74.6</v>
      </c>
      <c r="L1865" s="7" t="s">
        <v>13</v>
      </c>
    </row>
    <row r="1866" ht="15.75" customHeight="1">
      <c r="A1866" s="6">
        <v>10968.0</v>
      </c>
      <c r="B1866" s="7" t="s">
        <v>24</v>
      </c>
      <c r="C1866" s="8">
        <v>45374.0</v>
      </c>
      <c r="D1866" s="8">
        <v>45402.0</v>
      </c>
      <c r="E1866" s="8">
        <v>45383.0</v>
      </c>
      <c r="F1866" s="8">
        <v>45394.0</v>
      </c>
      <c r="G1866" s="6">
        <v>24.0</v>
      </c>
      <c r="H1866" s="9">
        <v>4.5</v>
      </c>
      <c r="I1866" s="10">
        <v>30.0</v>
      </c>
      <c r="J1866" s="11">
        <v>0.0</v>
      </c>
      <c r="K1866" s="9">
        <v>74.6</v>
      </c>
      <c r="L1866" s="7" t="s">
        <v>13</v>
      </c>
    </row>
    <row r="1867" ht="15.75" customHeight="1">
      <c r="A1867" s="6">
        <v>10968.0</v>
      </c>
      <c r="B1867" s="7" t="s">
        <v>24</v>
      </c>
      <c r="C1867" s="8">
        <v>45374.0</v>
      </c>
      <c r="D1867" s="8">
        <v>45402.0</v>
      </c>
      <c r="E1867" s="8">
        <v>45383.0</v>
      </c>
      <c r="F1867" s="8">
        <v>45394.0</v>
      </c>
      <c r="G1867" s="6">
        <v>64.0</v>
      </c>
      <c r="H1867" s="9">
        <v>33.25</v>
      </c>
      <c r="I1867" s="10">
        <v>4.0</v>
      </c>
      <c r="J1867" s="11">
        <v>0.0</v>
      </c>
      <c r="K1867" s="9">
        <v>74.6</v>
      </c>
      <c r="L1867" s="7" t="s">
        <v>13</v>
      </c>
    </row>
    <row r="1868" ht="15.75" customHeight="1">
      <c r="A1868" s="6">
        <v>10969.0</v>
      </c>
      <c r="B1868" s="7" t="s">
        <v>47</v>
      </c>
      <c r="C1868" s="8">
        <v>45374.0</v>
      </c>
      <c r="D1868" s="8">
        <v>45402.0</v>
      </c>
      <c r="E1868" s="8">
        <v>45381.0</v>
      </c>
      <c r="F1868" s="8">
        <v>45401.0</v>
      </c>
      <c r="G1868" s="6">
        <v>46.0</v>
      </c>
      <c r="H1868" s="9">
        <v>12.0</v>
      </c>
      <c r="I1868" s="10">
        <v>9.0</v>
      </c>
      <c r="J1868" s="11">
        <v>0.0</v>
      </c>
      <c r="K1868" s="9">
        <v>0.21</v>
      </c>
      <c r="L1868" s="7" t="s">
        <v>17</v>
      </c>
    </row>
    <row r="1869" ht="15.75" customHeight="1">
      <c r="A1869" s="6">
        <v>10970.0</v>
      </c>
      <c r="B1869" s="7" t="s">
        <v>61</v>
      </c>
      <c r="C1869" s="8">
        <v>45375.0</v>
      </c>
      <c r="D1869" s="8">
        <v>45389.0</v>
      </c>
      <c r="E1869" s="8">
        <v>45406.0</v>
      </c>
      <c r="F1869" s="8">
        <v>45412.0</v>
      </c>
      <c r="G1869" s="6">
        <v>52.0</v>
      </c>
      <c r="H1869" s="9">
        <v>7.0</v>
      </c>
      <c r="I1869" s="10">
        <v>40.0</v>
      </c>
      <c r="J1869" s="11">
        <v>0.2</v>
      </c>
      <c r="K1869" s="9">
        <v>16.16</v>
      </c>
      <c r="L1869" s="7" t="s">
        <v>15</v>
      </c>
    </row>
    <row r="1870" ht="15.75" customHeight="1">
      <c r="A1870" s="6">
        <v>10971.0</v>
      </c>
      <c r="B1870" s="7" t="s">
        <v>101</v>
      </c>
      <c r="C1870" s="8">
        <v>45375.0</v>
      </c>
      <c r="D1870" s="8">
        <v>45403.0</v>
      </c>
      <c r="E1870" s="8">
        <v>45384.0</v>
      </c>
      <c r="F1870" s="8">
        <v>45394.0</v>
      </c>
      <c r="G1870" s="6">
        <v>29.0</v>
      </c>
      <c r="H1870" s="9">
        <v>123.79</v>
      </c>
      <c r="I1870" s="10">
        <v>14.0</v>
      </c>
      <c r="J1870" s="11">
        <v>0.0</v>
      </c>
      <c r="K1870" s="9">
        <v>121.82</v>
      </c>
      <c r="L1870" s="7" t="s">
        <v>17</v>
      </c>
    </row>
    <row r="1871" ht="15.75" customHeight="1">
      <c r="A1871" s="6">
        <v>10972.0</v>
      </c>
      <c r="B1871" s="7" t="s">
        <v>103</v>
      </c>
      <c r="C1871" s="8">
        <v>45375.0</v>
      </c>
      <c r="D1871" s="8">
        <v>45403.0</v>
      </c>
      <c r="E1871" s="8">
        <v>45377.0</v>
      </c>
      <c r="F1871" s="8">
        <v>45387.0</v>
      </c>
      <c r="G1871" s="6">
        <v>17.0</v>
      </c>
      <c r="H1871" s="9">
        <v>39.0</v>
      </c>
      <c r="I1871" s="10">
        <v>6.0</v>
      </c>
      <c r="J1871" s="11">
        <v>0.0</v>
      </c>
      <c r="K1871" s="9">
        <v>0.02</v>
      </c>
      <c r="L1871" s="7" t="s">
        <v>17</v>
      </c>
    </row>
    <row r="1872" ht="15.75" customHeight="1">
      <c r="A1872" s="6">
        <v>10972.0</v>
      </c>
      <c r="B1872" s="7" t="s">
        <v>103</v>
      </c>
      <c r="C1872" s="8">
        <v>45375.0</v>
      </c>
      <c r="D1872" s="8">
        <v>45403.0</v>
      </c>
      <c r="E1872" s="8">
        <v>45377.0</v>
      </c>
      <c r="F1872" s="8">
        <v>45387.0</v>
      </c>
      <c r="G1872" s="6">
        <v>33.0</v>
      </c>
      <c r="H1872" s="9">
        <v>2.5</v>
      </c>
      <c r="I1872" s="10">
        <v>7.0</v>
      </c>
      <c r="J1872" s="11">
        <v>0.0</v>
      </c>
      <c r="K1872" s="9">
        <v>0.02</v>
      </c>
      <c r="L1872" s="7" t="s">
        <v>17</v>
      </c>
    </row>
    <row r="1873" ht="15.75" customHeight="1">
      <c r="A1873" s="6">
        <v>10973.0</v>
      </c>
      <c r="B1873" s="7" t="s">
        <v>103</v>
      </c>
      <c r="C1873" s="8">
        <v>45375.0</v>
      </c>
      <c r="D1873" s="8">
        <v>45403.0</v>
      </c>
      <c r="E1873" s="8">
        <v>45378.0</v>
      </c>
      <c r="F1873" s="8">
        <v>45385.0</v>
      </c>
      <c r="G1873" s="6">
        <v>26.0</v>
      </c>
      <c r="H1873" s="9">
        <v>31.23</v>
      </c>
      <c r="I1873" s="10">
        <v>5.0</v>
      </c>
      <c r="J1873" s="11">
        <v>0.0</v>
      </c>
      <c r="K1873" s="9">
        <v>15.17</v>
      </c>
      <c r="L1873" s="7" t="s">
        <v>17</v>
      </c>
    </row>
    <row r="1874" ht="15.75" customHeight="1">
      <c r="A1874" s="6">
        <v>10973.0</v>
      </c>
      <c r="B1874" s="7" t="s">
        <v>103</v>
      </c>
      <c r="C1874" s="8">
        <v>45375.0</v>
      </c>
      <c r="D1874" s="8">
        <v>45403.0</v>
      </c>
      <c r="E1874" s="8">
        <v>45378.0</v>
      </c>
      <c r="F1874" s="8">
        <v>45385.0</v>
      </c>
      <c r="G1874" s="6">
        <v>41.0</v>
      </c>
      <c r="H1874" s="9">
        <v>9.65</v>
      </c>
      <c r="I1874" s="10">
        <v>6.0</v>
      </c>
      <c r="J1874" s="11">
        <v>0.0</v>
      </c>
      <c r="K1874" s="9">
        <v>15.17</v>
      </c>
      <c r="L1874" s="7" t="s">
        <v>17</v>
      </c>
    </row>
    <row r="1875" ht="15.75" customHeight="1">
      <c r="A1875" s="6">
        <v>10973.0</v>
      </c>
      <c r="B1875" s="7" t="s">
        <v>103</v>
      </c>
      <c r="C1875" s="8">
        <v>45375.0</v>
      </c>
      <c r="D1875" s="8">
        <v>45403.0</v>
      </c>
      <c r="E1875" s="8">
        <v>45378.0</v>
      </c>
      <c r="F1875" s="8">
        <v>45385.0</v>
      </c>
      <c r="G1875" s="6">
        <v>75.0</v>
      </c>
      <c r="H1875" s="9">
        <v>7.75</v>
      </c>
      <c r="I1875" s="10">
        <v>10.0</v>
      </c>
      <c r="J1875" s="11">
        <v>0.0</v>
      </c>
      <c r="K1875" s="9">
        <v>15.17</v>
      </c>
      <c r="L1875" s="7" t="s">
        <v>17</v>
      </c>
    </row>
    <row r="1876" ht="15.75" customHeight="1">
      <c r="A1876" s="6">
        <v>10974.0</v>
      </c>
      <c r="B1876" s="7" t="s">
        <v>35</v>
      </c>
      <c r="C1876" s="8">
        <v>45376.0</v>
      </c>
      <c r="D1876" s="8">
        <v>45390.0</v>
      </c>
      <c r="E1876" s="8">
        <v>45385.0</v>
      </c>
      <c r="F1876" s="8">
        <v>45401.0</v>
      </c>
      <c r="G1876" s="6">
        <v>63.0</v>
      </c>
      <c r="H1876" s="9">
        <v>43.9</v>
      </c>
      <c r="I1876" s="10">
        <v>10.0</v>
      </c>
      <c r="J1876" s="11">
        <v>0.0</v>
      </c>
      <c r="K1876" s="9">
        <v>12.96</v>
      </c>
      <c r="L1876" s="7" t="s">
        <v>13</v>
      </c>
    </row>
    <row r="1877" ht="15.75" customHeight="1">
      <c r="A1877" s="6">
        <v>10975.0</v>
      </c>
      <c r="B1877" s="7" t="s">
        <v>81</v>
      </c>
      <c r="C1877" s="8">
        <v>45376.0</v>
      </c>
      <c r="D1877" s="8">
        <v>45404.0</v>
      </c>
      <c r="E1877" s="8">
        <v>45378.0</v>
      </c>
      <c r="F1877" s="8">
        <v>45390.0</v>
      </c>
      <c r="G1877" s="6">
        <v>8.0</v>
      </c>
      <c r="H1877" s="9">
        <v>40.0</v>
      </c>
      <c r="I1877" s="10">
        <v>16.0</v>
      </c>
      <c r="J1877" s="11">
        <v>0.0</v>
      </c>
      <c r="K1877" s="9">
        <v>32.27</v>
      </c>
      <c r="L1877" s="7" t="s">
        <v>13</v>
      </c>
    </row>
    <row r="1878" ht="15.75" customHeight="1">
      <c r="A1878" s="6">
        <v>10975.0</v>
      </c>
      <c r="B1878" s="7" t="s">
        <v>81</v>
      </c>
      <c r="C1878" s="8">
        <v>45376.0</v>
      </c>
      <c r="D1878" s="8">
        <v>45404.0</v>
      </c>
      <c r="E1878" s="8">
        <v>45378.0</v>
      </c>
      <c r="F1878" s="8">
        <v>45390.0</v>
      </c>
      <c r="G1878" s="6">
        <v>75.0</v>
      </c>
      <c r="H1878" s="9">
        <v>7.75</v>
      </c>
      <c r="I1878" s="10">
        <v>10.0</v>
      </c>
      <c r="J1878" s="11">
        <v>0.0</v>
      </c>
      <c r="K1878" s="9">
        <v>32.27</v>
      </c>
      <c r="L1878" s="7" t="s">
        <v>13</v>
      </c>
    </row>
    <row r="1879" ht="15.75" customHeight="1">
      <c r="A1879" s="6">
        <v>10976.0</v>
      </c>
      <c r="B1879" s="7" t="s">
        <v>23</v>
      </c>
      <c r="C1879" s="8">
        <v>45376.0</v>
      </c>
      <c r="D1879" s="8">
        <v>45418.0</v>
      </c>
      <c r="E1879" s="8">
        <v>45385.0</v>
      </c>
      <c r="F1879" s="8">
        <v>45397.0</v>
      </c>
      <c r="G1879" s="6">
        <v>28.0</v>
      </c>
      <c r="H1879" s="9">
        <v>45.6</v>
      </c>
      <c r="I1879" s="10">
        <v>20.0</v>
      </c>
      <c r="J1879" s="11">
        <v>0.0</v>
      </c>
      <c r="K1879" s="9">
        <v>37.97</v>
      </c>
      <c r="L1879" s="7" t="s">
        <v>15</v>
      </c>
    </row>
    <row r="1880" ht="15.75" customHeight="1">
      <c r="A1880" s="6">
        <v>10977.0</v>
      </c>
      <c r="B1880" s="7" t="s">
        <v>29</v>
      </c>
      <c r="C1880" s="8">
        <v>45377.0</v>
      </c>
      <c r="D1880" s="8">
        <v>45405.0</v>
      </c>
      <c r="E1880" s="8">
        <v>45392.0</v>
      </c>
      <c r="F1880" s="8">
        <v>45404.0</v>
      </c>
      <c r="G1880" s="6">
        <v>39.0</v>
      </c>
      <c r="H1880" s="9">
        <v>18.0</v>
      </c>
      <c r="I1880" s="10">
        <v>30.0</v>
      </c>
      <c r="J1880" s="11">
        <v>0.0</v>
      </c>
      <c r="K1880" s="9">
        <v>208.5</v>
      </c>
      <c r="L1880" s="7" t="s">
        <v>13</v>
      </c>
    </row>
    <row r="1881" ht="15.75" customHeight="1">
      <c r="A1881" s="6">
        <v>10977.0</v>
      </c>
      <c r="B1881" s="7" t="s">
        <v>29</v>
      </c>
      <c r="C1881" s="8">
        <v>45377.0</v>
      </c>
      <c r="D1881" s="8">
        <v>45405.0</v>
      </c>
      <c r="E1881" s="8">
        <v>45392.0</v>
      </c>
      <c r="F1881" s="8">
        <v>45404.0</v>
      </c>
      <c r="G1881" s="6">
        <v>47.0</v>
      </c>
      <c r="H1881" s="9">
        <v>9.5</v>
      </c>
      <c r="I1881" s="10">
        <v>30.0</v>
      </c>
      <c r="J1881" s="11">
        <v>0.0</v>
      </c>
      <c r="K1881" s="9">
        <v>208.5</v>
      </c>
      <c r="L1881" s="7" t="s">
        <v>13</v>
      </c>
    </row>
    <row r="1882" ht="15.75" customHeight="1">
      <c r="A1882" s="6">
        <v>10977.0</v>
      </c>
      <c r="B1882" s="7" t="s">
        <v>29</v>
      </c>
      <c r="C1882" s="8">
        <v>45377.0</v>
      </c>
      <c r="D1882" s="8">
        <v>45405.0</v>
      </c>
      <c r="E1882" s="8">
        <v>45392.0</v>
      </c>
      <c r="F1882" s="8">
        <v>45404.0</v>
      </c>
      <c r="G1882" s="6">
        <v>51.0</v>
      </c>
      <c r="H1882" s="9">
        <v>53.0</v>
      </c>
      <c r="I1882" s="10">
        <v>10.0</v>
      </c>
      <c r="J1882" s="11">
        <v>0.0</v>
      </c>
      <c r="K1882" s="9">
        <v>208.5</v>
      </c>
      <c r="L1882" s="7" t="s">
        <v>13</v>
      </c>
    </row>
    <row r="1883" ht="15.75" customHeight="1">
      <c r="A1883" s="6">
        <v>10977.0</v>
      </c>
      <c r="B1883" s="7" t="s">
        <v>29</v>
      </c>
      <c r="C1883" s="8">
        <v>45377.0</v>
      </c>
      <c r="D1883" s="8">
        <v>45405.0</v>
      </c>
      <c r="E1883" s="8">
        <v>45392.0</v>
      </c>
      <c r="F1883" s="8">
        <v>45404.0</v>
      </c>
      <c r="G1883" s="6">
        <v>63.0</v>
      </c>
      <c r="H1883" s="9">
        <v>43.9</v>
      </c>
      <c r="I1883" s="10">
        <v>20.0</v>
      </c>
      <c r="J1883" s="11">
        <v>0.0</v>
      </c>
      <c r="K1883" s="9">
        <v>208.5</v>
      </c>
      <c r="L1883" s="7" t="s">
        <v>13</v>
      </c>
    </row>
    <row r="1884" ht="15.75" customHeight="1">
      <c r="A1884" s="6">
        <v>10978.0</v>
      </c>
      <c r="B1884" s="7" t="s">
        <v>95</v>
      </c>
      <c r="C1884" s="8">
        <v>45377.0</v>
      </c>
      <c r="D1884" s="8">
        <v>45405.0</v>
      </c>
      <c r="E1884" s="8">
        <v>45405.0</v>
      </c>
      <c r="F1884" s="8">
        <v>45417.0</v>
      </c>
      <c r="G1884" s="6">
        <v>8.0</v>
      </c>
      <c r="H1884" s="9">
        <v>40.0</v>
      </c>
      <c r="I1884" s="10">
        <v>20.0</v>
      </c>
      <c r="J1884" s="11">
        <v>0.15</v>
      </c>
      <c r="K1884" s="9">
        <v>32.82</v>
      </c>
      <c r="L1884" s="7" t="s">
        <v>17</v>
      </c>
    </row>
    <row r="1885" ht="15.75" customHeight="1">
      <c r="A1885" s="6">
        <v>10978.0</v>
      </c>
      <c r="B1885" s="7" t="s">
        <v>95</v>
      </c>
      <c r="C1885" s="8">
        <v>45377.0</v>
      </c>
      <c r="D1885" s="8">
        <v>45405.0</v>
      </c>
      <c r="E1885" s="8">
        <v>45405.0</v>
      </c>
      <c r="F1885" s="8">
        <v>45417.0</v>
      </c>
      <c r="G1885" s="6">
        <v>21.0</v>
      </c>
      <c r="H1885" s="9">
        <v>10.0</v>
      </c>
      <c r="I1885" s="10">
        <v>40.0</v>
      </c>
      <c r="J1885" s="11">
        <v>0.15</v>
      </c>
      <c r="K1885" s="9">
        <v>32.82</v>
      </c>
      <c r="L1885" s="7" t="s">
        <v>17</v>
      </c>
    </row>
    <row r="1886" ht="15.75" customHeight="1">
      <c r="A1886" s="6">
        <v>10978.0</v>
      </c>
      <c r="B1886" s="7" t="s">
        <v>95</v>
      </c>
      <c r="C1886" s="8">
        <v>45377.0</v>
      </c>
      <c r="D1886" s="8">
        <v>45405.0</v>
      </c>
      <c r="E1886" s="8">
        <v>45405.0</v>
      </c>
      <c r="F1886" s="8">
        <v>45417.0</v>
      </c>
      <c r="G1886" s="6">
        <v>40.0</v>
      </c>
      <c r="H1886" s="9">
        <v>18.4</v>
      </c>
      <c r="I1886" s="10">
        <v>10.0</v>
      </c>
      <c r="J1886" s="11">
        <v>0.0</v>
      </c>
      <c r="K1886" s="9">
        <v>32.82</v>
      </c>
      <c r="L1886" s="7" t="s">
        <v>17</v>
      </c>
    </row>
    <row r="1887" ht="15.75" customHeight="1">
      <c r="A1887" s="6">
        <v>10978.0</v>
      </c>
      <c r="B1887" s="7" t="s">
        <v>95</v>
      </c>
      <c r="C1887" s="8">
        <v>45377.0</v>
      </c>
      <c r="D1887" s="8">
        <v>45405.0</v>
      </c>
      <c r="E1887" s="8">
        <v>45405.0</v>
      </c>
      <c r="F1887" s="8">
        <v>45417.0</v>
      </c>
      <c r="G1887" s="6">
        <v>44.0</v>
      </c>
      <c r="H1887" s="9">
        <v>19.45</v>
      </c>
      <c r="I1887" s="10">
        <v>6.0</v>
      </c>
      <c r="J1887" s="11">
        <v>0.15</v>
      </c>
      <c r="K1887" s="9">
        <v>32.82</v>
      </c>
      <c r="L1887" s="7" t="s">
        <v>17</v>
      </c>
    </row>
    <row r="1888" ht="15.75" customHeight="1">
      <c r="A1888" s="6">
        <v>10979.0</v>
      </c>
      <c r="B1888" s="7" t="s">
        <v>24</v>
      </c>
      <c r="C1888" s="8">
        <v>45377.0</v>
      </c>
      <c r="D1888" s="8">
        <v>45405.0</v>
      </c>
      <c r="E1888" s="8">
        <v>45382.0</v>
      </c>
      <c r="F1888" s="8">
        <v>45394.0</v>
      </c>
      <c r="G1888" s="6">
        <v>7.0</v>
      </c>
      <c r="H1888" s="9">
        <v>30.0</v>
      </c>
      <c r="I1888" s="10">
        <v>18.0</v>
      </c>
      <c r="J1888" s="11">
        <v>0.0</v>
      </c>
      <c r="K1888" s="9">
        <v>353.07</v>
      </c>
      <c r="L1888" s="7" t="s">
        <v>17</v>
      </c>
    </row>
    <row r="1889" ht="15.75" customHeight="1">
      <c r="A1889" s="6">
        <v>10979.0</v>
      </c>
      <c r="B1889" s="7" t="s">
        <v>24</v>
      </c>
      <c r="C1889" s="8">
        <v>45377.0</v>
      </c>
      <c r="D1889" s="8">
        <v>45405.0</v>
      </c>
      <c r="E1889" s="8">
        <v>45382.0</v>
      </c>
      <c r="F1889" s="8">
        <v>45394.0</v>
      </c>
      <c r="G1889" s="6">
        <v>12.0</v>
      </c>
      <c r="H1889" s="9">
        <v>38.0</v>
      </c>
      <c r="I1889" s="10">
        <v>20.0</v>
      </c>
      <c r="J1889" s="11">
        <v>0.0</v>
      </c>
      <c r="K1889" s="9">
        <v>353.07</v>
      </c>
      <c r="L1889" s="7" t="s">
        <v>17</v>
      </c>
    </row>
    <row r="1890" ht="15.75" customHeight="1">
      <c r="A1890" s="6">
        <v>10979.0</v>
      </c>
      <c r="B1890" s="7" t="s">
        <v>24</v>
      </c>
      <c r="C1890" s="8">
        <v>45377.0</v>
      </c>
      <c r="D1890" s="8">
        <v>45405.0</v>
      </c>
      <c r="E1890" s="8">
        <v>45382.0</v>
      </c>
      <c r="F1890" s="8">
        <v>45394.0</v>
      </c>
      <c r="G1890" s="6">
        <v>24.0</v>
      </c>
      <c r="H1890" s="9">
        <v>4.5</v>
      </c>
      <c r="I1890" s="10">
        <v>80.0</v>
      </c>
      <c r="J1890" s="11">
        <v>0.0</v>
      </c>
      <c r="K1890" s="9">
        <v>353.07</v>
      </c>
      <c r="L1890" s="7" t="s">
        <v>17</v>
      </c>
    </row>
    <row r="1891" ht="15.75" customHeight="1">
      <c r="A1891" s="6">
        <v>10979.0</v>
      </c>
      <c r="B1891" s="7" t="s">
        <v>24</v>
      </c>
      <c r="C1891" s="8">
        <v>45377.0</v>
      </c>
      <c r="D1891" s="8">
        <v>45405.0</v>
      </c>
      <c r="E1891" s="8">
        <v>45382.0</v>
      </c>
      <c r="F1891" s="8">
        <v>45394.0</v>
      </c>
      <c r="G1891" s="6">
        <v>27.0</v>
      </c>
      <c r="H1891" s="9">
        <v>43.9</v>
      </c>
      <c r="I1891" s="10">
        <v>30.0</v>
      </c>
      <c r="J1891" s="11">
        <v>0.0</v>
      </c>
      <c r="K1891" s="9">
        <v>353.07</v>
      </c>
      <c r="L1891" s="7" t="s">
        <v>17</v>
      </c>
    </row>
    <row r="1892" ht="15.75" customHeight="1">
      <c r="A1892" s="6">
        <v>10979.0</v>
      </c>
      <c r="B1892" s="7" t="s">
        <v>24</v>
      </c>
      <c r="C1892" s="8">
        <v>45377.0</v>
      </c>
      <c r="D1892" s="8">
        <v>45405.0</v>
      </c>
      <c r="E1892" s="8">
        <v>45382.0</v>
      </c>
      <c r="F1892" s="8">
        <v>45394.0</v>
      </c>
      <c r="G1892" s="6">
        <v>31.0</v>
      </c>
      <c r="H1892" s="9">
        <v>12.5</v>
      </c>
      <c r="I1892" s="10">
        <v>24.0</v>
      </c>
      <c r="J1892" s="11">
        <v>0.0</v>
      </c>
      <c r="K1892" s="9">
        <v>353.07</v>
      </c>
      <c r="L1892" s="7" t="s">
        <v>17</v>
      </c>
    </row>
    <row r="1893" ht="15.75" customHeight="1">
      <c r="A1893" s="6">
        <v>10979.0</v>
      </c>
      <c r="B1893" s="7" t="s">
        <v>24</v>
      </c>
      <c r="C1893" s="8">
        <v>45377.0</v>
      </c>
      <c r="D1893" s="8">
        <v>45405.0</v>
      </c>
      <c r="E1893" s="8">
        <v>45382.0</v>
      </c>
      <c r="F1893" s="8">
        <v>45394.0</v>
      </c>
      <c r="G1893" s="6">
        <v>63.0</v>
      </c>
      <c r="H1893" s="9">
        <v>43.9</v>
      </c>
      <c r="I1893" s="10">
        <v>35.0</v>
      </c>
      <c r="J1893" s="11">
        <v>0.0</v>
      </c>
      <c r="K1893" s="9">
        <v>353.07</v>
      </c>
      <c r="L1893" s="7" t="s">
        <v>17</v>
      </c>
    </row>
    <row r="1894" ht="15.75" customHeight="1">
      <c r="A1894" s="6">
        <v>10980.0</v>
      </c>
      <c r="B1894" s="7" t="s">
        <v>29</v>
      </c>
      <c r="C1894" s="8">
        <v>45378.0</v>
      </c>
      <c r="D1894" s="8">
        <v>45420.0</v>
      </c>
      <c r="E1894" s="8">
        <v>45399.0</v>
      </c>
      <c r="F1894" s="8">
        <v>45406.0</v>
      </c>
      <c r="G1894" s="6">
        <v>75.0</v>
      </c>
      <c r="H1894" s="9">
        <v>7.75</v>
      </c>
      <c r="I1894" s="10">
        <v>40.0</v>
      </c>
      <c r="J1894" s="11">
        <v>0.2</v>
      </c>
      <c r="K1894" s="9">
        <v>1.26</v>
      </c>
      <c r="L1894" s="7" t="s">
        <v>15</v>
      </c>
    </row>
    <row r="1895" ht="15.75" customHeight="1">
      <c r="A1895" s="6">
        <v>10981.0</v>
      </c>
      <c r="B1895" s="7" t="s">
        <v>16</v>
      </c>
      <c r="C1895" s="8">
        <v>45378.0</v>
      </c>
      <c r="D1895" s="8">
        <v>45406.0</v>
      </c>
      <c r="E1895" s="8">
        <v>45384.0</v>
      </c>
      <c r="F1895" s="8">
        <v>45404.0</v>
      </c>
      <c r="G1895" s="6">
        <v>38.0</v>
      </c>
      <c r="H1895" s="9">
        <v>263.5</v>
      </c>
      <c r="I1895" s="10">
        <v>60.0</v>
      </c>
      <c r="J1895" s="11">
        <v>0.0</v>
      </c>
      <c r="K1895" s="9">
        <v>193.37</v>
      </c>
      <c r="L1895" s="7" t="s">
        <v>17</v>
      </c>
    </row>
    <row r="1896" ht="15.75" customHeight="1">
      <c r="A1896" s="6">
        <v>10982.0</v>
      </c>
      <c r="B1896" s="7" t="s">
        <v>81</v>
      </c>
      <c r="C1896" s="8">
        <v>45378.0</v>
      </c>
      <c r="D1896" s="8">
        <v>45406.0</v>
      </c>
      <c r="E1896" s="8">
        <v>45390.0</v>
      </c>
      <c r="F1896" s="8">
        <v>45403.0</v>
      </c>
      <c r="G1896" s="6">
        <v>7.0</v>
      </c>
      <c r="H1896" s="9">
        <v>30.0</v>
      </c>
      <c r="I1896" s="10">
        <v>20.0</v>
      </c>
      <c r="J1896" s="11">
        <v>0.0</v>
      </c>
      <c r="K1896" s="9">
        <v>14.01</v>
      </c>
      <c r="L1896" s="7" t="s">
        <v>15</v>
      </c>
    </row>
    <row r="1897" ht="15.75" customHeight="1">
      <c r="A1897" s="6">
        <v>10982.0</v>
      </c>
      <c r="B1897" s="7" t="s">
        <v>81</v>
      </c>
      <c r="C1897" s="8">
        <v>45378.0</v>
      </c>
      <c r="D1897" s="8">
        <v>45406.0</v>
      </c>
      <c r="E1897" s="8">
        <v>45390.0</v>
      </c>
      <c r="F1897" s="8">
        <v>45403.0</v>
      </c>
      <c r="G1897" s="6">
        <v>43.0</v>
      </c>
      <c r="H1897" s="9">
        <v>46.0</v>
      </c>
      <c r="I1897" s="10">
        <v>9.0</v>
      </c>
      <c r="J1897" s="11">
        <v>0.0</v>
      </c>
      <c r="K1897" s="9">
        <v>14.01</v>
      </c>
      <c r="L1897" s="7" t="s">
        <v>15</v>
      </c>
    </row>
    <row r="1898" ht="15.75" customHeight="1">
      <c r="A1898" s="6">
        <v>10983.0</v>
      </c>
      <c r="B1898" s="7" t="s">
        <v>60</v>
      </c>
      <c r="C1898" s="8">
        <v>45378.0</v>
      </c>
      <c r="D1898" s="8">
        <v>45406.0</v>
      </c>
      <c r="E1898" s="8">
        <v>45388.0</v>
      </c>
      <c r="F1898" s="8">
        <v>45404.0</v>
      </c>
      <c r="G1898" s="6">
        <v>13.0</v>
      </c>
      <c r="H1898" s="9">
        <v>6.0</v>
      </c>
      <c r="I1898" s="10">
        <v>84.0</v>
      </c>
      <c r="J1898" s="11">
        <v>0.15</v>
      </c>
      <c r="K1898" s="9">
        <v>657.54</v>
      </c>
      <c r="L1898" s="7" t="s">
        <v>17</v>
      </c>
    </row>
    <row r="1899" ht="15.75" customHeight="1">
      <c r="A1899" s="6">
        <v>10983.0</v>
      </c>
      <c r="B1899" s="7" t="s">
        <v>60</v>
      </c>
      <c r="C1899" s="8">
        <v>45378.0</v>
      </c>
      <c r="D1899" s="8">
        <v>45406.0</v>
      </c>
      <c r="E1899" s="8">
        <v>45388.0</v>
      </c>
      <c r="F1899" s="8">
        <v>45404.0</v>
      </c>
      <c r="G1899" s="6">
        <v>57.0</v>
      </c>
      <c r="H1899" s="9">
        <v>19.5</v>
      </c>
      <c r="I1899" s="10">
        <v>15.0</v>
      </c>
      <c r="J1899" s="11">
        <v>0.0</v>
      </c>
      <c r="K1899" s="9">
        <v>657.54</v>
      </c>
      <c r="L1899" s="7" t="s">
        <v>17</v>
      </c>
    </row>
    <row r="1900" ht="15.75" customHeight="1">
      <c r="A1900" s="6">
        <v>10984.0</v>
      </c>
      <c r="B1900" s="7" t="s">
        <v>60</v>
      </c>
      <c r="C1900" s="8">
        <v>45381.0</v>
      </c>
      <c r="D1900" s="8">
        <v>45409.0</v>
      </c>
      <c r="E1900" s="8">
        <v>45385.0</v>
      </c>
      <c r="F1900" s="8">
        <v>45400.0</v>
      </c>
      <c r="G1900" s="6">
        <v>16.0</v>
      </c>
      <c r="H1900" s="9">
        <v>17.45</v>
      </c>
      <c r="I1900" s="10">
        <v>55.0</v>
      </c>
      <c r="J1900" s="11">
        <v>0.0</v>
      </c>
      <c r="K1900" s="9">
        <v>211.22</v>
      </c>
      <c r="L1900" s="7" t="s">
        <v>13</v>
      </c>
    </row>
    <row r="1901" ht="15.75" customHeight="1">
      <c r="A1901" s="6">
        <v>10984.0</v>
      </c>
      <c r="B1901" s="7" t="s">
        <v>60</v>
      </c>
      <c r="C1901" s="8">
        <v>45381.0</v>
      </c>
      <c r="D1901" s="8">
        <v>45409.0</v>
      </c>
      <c r="E1901" s="8">
        <v>45385.0</v>
      </c>
      <c r="F1901" s="8">
        <v>45400.0</v>
      </c>
      <c r="G1901" s="6">
        <v>24.0</v>
      </c>
      <c r="H1901" s="9">
        <v>4.5</v>
      </c>
      <c r="I1901" s="10">
        <v>20.0</v>
      </c>
      <c r="J1901" s="11">
        <v>0.0</v>
      </c>
      <c r="K1901" s="9">
        <v>211.22</v>
      </c>
      <c r="L1901" s="7" t="s">
        <v>13</v>
      </c>
    </row>
    <row r="1902" ht="15.75" customHeight="1">
      <c r="A1902" s="6">
        <v>10984.0</v>
      </c>
      <c r="B1902" s="7" t="s">
        <v>60</v>
      </c>
      <c r="C1902" s="8">
        <v>45381.0</v>
      </c>
      <c r="D1902" s="8">
        <v>45409.0</v>
      </c>
      <c r="E1902" s="8">
        <v>45385.0</v>
      </c>
      <c r="F1902" s="8">
        <v>45400.0</v>
      </c>
      <c r="G1902" s="6">
        <v>36.0</v>
      </c>
      <c r="H1902" s="9">
        <v>19.0</v>
      </c>
      <c r="I1902" s="10">
        <v>40.0</v>
      </c>
      <c r="J1902" s="11">
        <v>0.0</v>
      </c>
      <c r="K1902" s="9">
        <v>211.22</v>
      </c>
      <c r="L1902" s="7" t="s">
        <v>13</v>
      </c>
    </row>
    <row r="1903" ht="15.75" customHeight="1">
      <c r="A1903" s="6">
        <v>10985.0</v>
      </c>
      <c r="B1903" s="7" t="s">
        <v>49</v>
      </c>
      <c r="C1903" s="8">
        <v>45381.0</v>
      </c>
      <c r="D1903" s="8">
        <v>45409.0</v>
      </c>
      <c r="E1903" s="8">
        <v>45384.0</v>
      </c>
      <c r="F1903" s="8">
        <v>45394.0</v>
      </c>
      <c r="G1903" s="6">
        <v>16.0</v>
      </c>
      <c r="H1903" s="9">
        <v>17.45</v>
      </c>
      <c r="I1903" s="10">
        <v>36.0</v>
      </c>
      <c r="J1903" s="11">
        <v>0.1</v>
      </c>
      <c r="K1903" s="9">
        <v>91.51</v>
      </c>
      <c r="L1903" s="7" t="s">
        <v>15</v>
      </c>
    </row>
    <row r="1904" ht="15.75" customHeight="1">
      <c r="A1904" s="6">
        <v>10985.0</v>
      </c>
      <c r="B1904" s="7" t="s">
        <v>49</v>
      </c>
      <c r="C1904" s="8">
        <v>45381.0</v>
      </c>
      <c r="D1904" s="8">
        <v>45409.0</v>
      </c>
      <c r="E1904" s="8">
        <v>45384.0</v>
      </c>
      <c r="F1904" s="8">
        <v>45394.0</v>
      </c>
      <c r="G1904" s="6">
        <v>18.0</v>
      </c>
      <c r="H1904" s="9">
        <v>62.5</v>
      </c>
      <c r="I1904" s="10">
        <v>8.0</v>
      </c>
      <c r="J1904" s="11">
        <v>0.1</v>
      </c>
      <c r="K1904" s="9">
        <v>91.51</v>
      </c>
      <c r="L1904" s="7" t="s">
        <v>15</v>
      </c>
    </row>
    <row r="1905" ht="15.75" customHeight="1">
      <c r="A1905" s="6">
        <v>10985.0</v>
      </c>
      <c r="B1905" s="7" t="s">
        <v>49</v>
      </c>
      <c r="C1905" s="8">
        <v>45381.0</v>
      </c>
      <c r="D1905" s="8">
        <v>45409.0</v>
      </c>
      <c r="E1905" s="8">
        <v>45384.0</v>
      </c>
      <c r="F1905" s="8">
        <v>45394.0</v>
      </c>
      <c r="G1905" s="6">
        <v>32.0</v>
      </c>
      <c r="H1905" s="9">
        <v>32.0</v>
      </c>
      <c r="I1905" s="10">
        <v>35.0</v>
      </c>
      <c r="J1905" s="11">
        <v>0.1</v>
      </c>
      <c r="K1905" s="9">
        <v>91.51</v>
      </c>
      <c r="L1905" s="7" t="s">
        <v>15</v>
      </c>
    </row>
    <row r="1906" ht="15.75" customHeight="1">
      <c r="A1906" s="6">
        <v>10986.0</v>
      </c>
      <c r="B1906" s="7" t="s">
        <v>84</v>
      </c>
      <c r="C1906" s="8">
        <v>45381.0</v>
      </c>
      <c r="D1906" s="8">
        <v>45409.0</v>
      </c>
      <c r="E1906" s="8">
        <v>45403.0</v>
      </c>
      <c r="F1906" s="8">
        <v>45418.0</v>
      </c>
      <c r="G1906" s="6">
        <v>11.0</v>
      </c>
      <c r="H1906" s="9">
        <v>21.0</v>
      </c>
      <c r="I1906" s="10">
        <v>30.0</v>
      </c>
      <c r="J1906" s="11">
        <v>0.0</v>
      </c>
      <c r="K1906" s="9">
        <v>217.86</v>
      </c>
      <c r="L1906" s="7" t="s">
        <v>17</v>
      </c>
    </row>
    <row r="1907" ht="15.75" customHeight="1">
      <c r="A1907" s="6">
        <v>10986.0</v>
      </c>
      <c r="B1907" s="7" t="s">
        <v>84</v>
      </c>
      <c r="C1907" s="8">
        <v>45381.0</v>
      </c>
      <c r="D1907" s="8">
        <v>45409.0</v>
      </c>
      <c r="E1907" s="8">
        <v>45403.0</v>
      </c>
      <c r="F1907" s="8">
        <v>45418.0</v>
      </c>
      <c r="G1907" s="6">
        <v>20.0</v>
      </c>
      <c r="H1907" s="9">
        <v>81.0</v>
      </c>
      <c r="I1907" s="10">
        <v>15.0</v>
      </c>
      <c r="J1907" s="11">
        <v>0.0</v>
      </c>
      <c r="K1907" s="9">
        <v>217.86</v>
      </c>
      <c r="L1907" s="7" t="s">
        <v>17</v>
      </c>
    </row>
    <row r="1908" ht="15.75" customHeight="1">
      <c r="A1908" s="6">
        <v>10986.0</v>
      </c>
      <c r="B1908" s="7" t="s">
        <v>84</v>
      </c>
      <c r="C1908" s="8">
        <v>45381.0</v>
      </c>
      <c r="D1908" s="8">
        <v>45409.0</v>
      </c>
      <c r="E1908" s="8">
        <v>45403.0</v>
      </c>
      <c r="F1908" s="8">
        <v>45418.0</v>
      </c>
      <c r="G1908" s="6">
        <v>76.0</v>
      </c>
      <c r="H1908" s="9">
        <v>18.0</v>
      </c>
      <c r="I1908" s="10">
        <v>10.0</v>
      </c>
      <c r="J1908" s="11">
        <v>0.0</v>
      </c>
      <c r="K1908" s="9">
        <v>217.86</v>
      </c>
      <c r="L1908" s="7" t="s">
        <v>17</v>
      </c>
    </row>
    <row r="1909" ht="15.75" customHeight="1">
      <c r="A1909" s="6">
        <v>10986.0</v>
      </c>
      <c r="B1909" s="7" t="s">
        <v>84</v>
      </c>
      <c r="C1909" s="8">
        <v>45381.0</v>
      </c>
      <c r="D1909" s="8">
        <v>45409.0</v>
      </c>
      <c r="E1909" s="8">
        <v>45403.0</v>
      </c>
      <c r="F1909" s="8">
        <v>45418.0</v>
      </c>
      <c r="G1909" s="6">
        <v>77.0</v>
      </c>
      <c r="H1909" s="9">
        <v>13.0</v>
      </c>
      <c r="I1909" s="10">
        <v>15.0</v>
      </c>
      <c r="J1909" s="11">
        <v>0.0</v>
      </c>
      <c r="K1909" s="9">
        <v>217.86</v>
      </c>
      <c r="L1909" s="7" t="s">
        <v>17</v>
      </c>
    </row>
    <row r="1910" ht="15.75" customHeight="1">
      <c r="A1910" s="6">
        <v>10987.0</v>
      </c>
      <c r="B1910" s="7" t="s">
        <v>73</v>
      </c>
      <c r="C1910" s="8">
        <v>45382.0</v>
      </c>
      <c r="D1910" s="8">
        <v>45410.0</v>
      </c>
      <c r="E1910" s="8">
        <v>45388.0</v>
      </c>
      <c r="F1910" s="8">
        <v>45391.0</v>
      </c>
      <c r="G1910" s="6">
        <v>7.0</v>
      </c>
      <c r="H1910" s="9">
        <v>30.0</v>
      </c>
      <c r="I1910" s="10">
        <v>60.0</v>
      </c>
      <c r="J1910" s="11">
        <v>0.0</v>
      </c>
      <c r="K1910" s="9">
        <v>185.48</v>
      </c>
      <c r="L1910" s="7" t="s">
        <v>15</v>
      </c>
    </row>
    <row r="1911" ht="15.75" customHeight="1">
      <c r="A1911" s="6">
        <v>10987.0</v>
      </c>
      <c r="B1911" s="7" t="s">
        <v>73</v>
      </c>
      <c r="C1911" s="8">
        <v>45382.0</v>
      </c>
      <c r="D1911" s="8">
        <v>45410.0</v>
      </c>
      <c r="E1911" s="8">
        <v>45388.0</v>
      </c>
      <c r="F1911" s="8">
        <v>45391.0</v>
      </c>
      <c r="G1911" s="6">
        <v>43.0</v>
      </c>
      <c r="H1911" s="9">
        <v>46.0</v>
      </c>
      <c r="I1911" s="10">
        <v>6.0</v>
      </c>
      <c r="J1911" s="11">
        <v>0.0</v>
      </c>
      <c r="K1911" s="9">
        <v>185.48</v>
      </c>
      <c r="L1911" s="7" t="s">
        <v>15</v>
      </c>
    </row>
    <row r="1912" ht="15.75" customHeight="1">
      <c r="A1912" s="6">
        <v>10987.0</v>
      </c>
      <c r="B1912" s="7" t="s">
        <v>73</v>
      </c>
      <c r="C1912" s="8">
        <v>45382.0</v>
      </c>
      <c r="D1912" s="8">
        <v>45410.0</v>
      </c>
      <c r="E1912" s="8">
        <v>45388.0</v>
      </c>
      <c r="F1912" s="8">
        <v>45391.0</v>
      </c>
      <c r="G1912" s="6">
        <v>72.0</v>
      </c>
      <c r="H1912" s="9">
        <v>34.8</v>
      </c>
      <c r="I1912" s="10">
        <v>20.0</v>
      </c>
      <c r="J1912" s="11">
        <v>0.0</v>
      </c>
      <c r="K1912" s="9">
        <v>185.48</v>
      </c>
      <c r="L1912" s="7" t="s">
        <v>15</v>
      </c>
    </row>
    <row r="1913" ht="15.75" customHeight="1">
      <c r="A1913" s="6">
        <v>10988.0</v>
      </c>
      <c r="B1913" s="7" t="s">
        <v>28</v>
      </c>
      <c r="C1913" s="8">
        <v>45382.0</v>
      </c>
      <c r="D1913" s="8">
        <v>45410.0</v>
      </c>
      <c r="E1913" s="8">
        <v>45392.0</v>
      </c>
      <c r="F1913" s="8">
        <v>45411.0</v>
      </c>
      <c r="G1913" s="6">
        <v>7.0</v>
      </c>
      <c r="H1913" s="9">
        <v>30.0</v>
      </c>
      <c r="I1913" s="10">
        <v>60.0</v>
      </c>
      <c r="J1913" s="11">
        <v>0.0</v>
      </c>
      <c r="K1913" s="9">
        <v>61.14</v>
      </c>
      <c r="L1913" s="7" t="s">
        <v>17</v>
      </c>
    </row>
    <row r="1914" ht="15.75" customHeight="1">
      <c r="A1914" s="6">
        <v>10988.0</v>
      </c>
      <c r="B1914" s="7" t="s">
        <v>28</v>
      </c>
      <c r="C1914" s="8">
        <v>45382.0</v>
      </c>
      <c r="D1914" s="8">
        <v>45410.0</v>
      </c>
      <c r="E1914" s="8">
        <v>45392.0</v>
      </c>
      <c r="F1914" s="8">
        <v>45411.0</v>
      </c>
      <c r="G1914" s="6">
        <v>62.0</v>
      </c>
      <c r="H1914" s="9">
        <v>49.3</v>
      </c>
      <c r="I1914" s="10">
        <v>40.0</v>
      </c>
      <c r="J1914" s="11">
        <v>0.1</v>
      </c>
      <c r="K1914" s="9">
        <v>61.14</v>
      </c>
      <c r="L1914" s="7" t="s">
        <v>17</v>
      </c>
    </row>
    <row r="1915" ht="15.75" customHeight="1">
      <c r="A1915" s="6">
        <v>10989.0</v>
      </c>
      <c r="B1915" s="7" t="s">
        <v>27</v>
      </c>
      <c r="C1915" s="8">
        <v>45382.0</v>
      </c>
      <c r="D1915" s="8">
        <v>45410.0</v>
      </c>
      <c r="E1915" s="8">
        <v>45384.0</v>
      </c>
      <c r="F1915" s="8">
        <v>45397.0</v>
      </c>
      <c r="G1915" s="6">
        <v>6.0</v>
      </c>
      <c r="H1915" s="9">
        <v>25.0</v>
      </c>
      <c r="I1915" s="10">
        <v>40.0</v>
      </c>
      <c r="J1915" s="11">
        <v>0.0</v>
      </c>
      <c r="K1915" s="9">
        <v>34.76</v>
      </c>
      <c r="L1915" s="7" t="s">
        <v>15</v>
      </c>
    </row>
    <row r="1916" ht="15.75" customHeight="1">
      <c r="A1916" s="6">
        <v>10989.0</v>
      </c>
      <c r="B1916" s="7" t="s">
        <v>27</v>
      </c>
      <c r="C1916" s="8">
        <v>45382.0</v>
      </c>
      <c r="D1916" s="8">
        <v>45410.0</v>
      </c>
      <c r="E1916" s="8">
        <v>45384.0</v>
      </c>
      <c r="F1916" s="8">
        <v>45397.0</v>
      </c>
      <c r="G1916" s="6">
        <v>11.0</v>
      </c>
      <c r="H1916" s="9">
        <v>21.0</v>
      </c>
      <c r="I1916" s="10">
        <v>15.0</v>
      </c>
      <c r="J1916" s="11">
        <v>0.0</v>
      </c>
      <c r="K1916" s="9">
        <v>34.76</v>
      </c>
      <c r="L1916" s="7" t="s">
        <v>15</v>
      </c>
    </row>
    <row r="1917" ht="15.75" customHeight="1">
      <c r="A1917" s="6">
        <v>10989.0</v>
      </c>
      <c r="B1917" s="7" t="s">
        <v>27</v>
      </c>
      <c r="C1917" s="8">
        <v>45382.0</v>
      </c>
      <c r="D1917" s="8">
        <v>45410.0</v>
      </c>
      <c r="E1917" s="8">
        <v>45384.0</v>
      </c>
      <c r="F1917" s="8">
        <v>45397.0</v>
      </c>
      <c r="G1917" s="6">
        <v>41.0</v>
      </c>
      <c r="H1917" s="9">
        <v>9.65</v>
      </c>
      <c r="I1917" s="10">
        <v>4.0</v>
      </c>
      <c r="J1917" s="11">
        <v>0.0</v>
      </c>
      <c r="K1917" s="9">
        <v>34.76</v>
      </c>
      <c r="L1917" s="7" t="s">
        <v>15</v>
      </c>
    </row>
    <row r="1918" ht="15.75" customHeight="1">
      <c r="A1918" s="6">
        <v>10990.0</v>
      </c>
      <c r="B1918" s="7" t="s">
        <v>24</v>
      </c>
      <c r="C1918" s="8">
        <v>45383.0</v>
      </c>
      <c r="D1918" s="8">
        <v>45425.0</v>
      </c>
      <c r="E1918" s="8">
        <v>45389.0</v>
      </c>
      <c r="F1918" s="8">
        <v>45403.0</v>
      </c>
      <c r="G1918" s="6">
        <v>21.0</v>
      </c>
      <c r="H1918" s="9">
        <v>10.0</v>
      </c>
      <c r="I1918" s="10">
        <v>65.0</v>
      </c>
      <c r="J1918" s="11">
        <v>0.0</v>
      </c>
      <c r="K1918" s="9">
        <v>117.61</v>
      </c>
      <c r="L1918" s="7" t="s">
        <v>13</v>
      </c>
    </row>
    <row r="1919" ht="15.75" customHeight="1">
      <c r="A1919" s="6">
        <v>10990.0</v>
      </c>
      <c r="B1919" s="7" t="s">
        <v>24</v>
      </c>
      <c r="C1919" s="8">
        <v>45383.0</v>
      </c>
      <c r="D1919" s="8">
        <v>45425.0</v>
      </c>
      <c r="E1919" s="8">
        <v>45389.0</v>
      </c>
      <c r="F1919" s="8">
        <v>45403.0</v>
      </c>
      <c r="G1919" s="6">
        <v>34.0</v>
      </c>
      <c r="H1919" s="9">
        <v>14.0</v>
      </c>
      <c r="I1919" s="10">
        <v>60.0</v>
      </c>
      <c r="J1919" s="11">
        <v>0.15</v>
      </c>
      <c r="K1919" s="9">
        <v>117.61</v>
      </c>
      <c r="L1919" s="7" t="s">
        <v>13</v>
      </c>
    </row>
    <row r="1920" ht="15.75" customHeight="1">
      <c r="A1920" s="6">
        <v>10990.0</v>
      </c>
      <c r="B1920" s="7" t="s">
        <v>24</v>
      </c>
      <c r="C1920" s="8">
        <v>45383.0</v>
      </c>
      <c r="D1920" s="8">
        <v>45425.0</v>
      </c>
      <c r="E1920" s="8">
        <v>45389.0</v>
      </c>
      <c r="F1920" s="8">
        <v>45403.0</v>
      </c>
      <c r="G1920" s="6">
        <v>55.0</v>
      </c>
      <c r="H1920" s="9">
        <v>24.0</v>
      </c>
      <c r="I1920" s="10">
        <v>65.0</v>
      </c>
      <c r="J1920" s="11">
        <v>0.15</v>
      </c>
      <c r="K1920" s="9">
        <v>117.61</v>
      </c>
      <c r="L1920" s="7" t="s">
        <v>13</v>
      </c>
    </row>
    <row r="1921" ht="15.75" customHeight="1">
      <c r="A1921" s="6">
        <v>10990.0</v>
      </c>
      <c r="B1921" s="7" t="s">
        <v>24</v>
      </c>
      <c r="C1921" s="8">
        <v>45383.0</v>
      </c>
      <c r="D1921" s="8">
        <v>45425.0</v>
      </c>
      <c r="E1921" s="8">
        <v>45389.0</v>
      </c>
      <c r="F1921" s="8">
        <v>45403.0</v>
      </c>
      <c r="G1921" s="6">
        <v>61.0</v>
      </c>
      <c r="H1921" s="9">
        <v>28.5</v>
      </c>
      <c r="I1921" s="10">
        <v>66.0</v>
      </c>
      <c r="J1921" s="11">
        <v>0.15</v>
      </c>
      <c r="K1921" s="9">
        <v>117.61</v>
      </c>
      <c r="L1921" s="7" t="s">
        <v>13</v>
      </c>
    </row>
    <row r="1922" ht="15.75" customHeight="1">
      <c r="A1922" s="6">
        <v>10991.0</v>
      </c>
      <c r="B1922" s="7" t="s">
        <v>36</v>
      </c>
      <c r="C1922" s="8">
        <v>45383.0</v>
      </c>
      <c r="D1922" s="8">
        <v>45411.0</v>
      </c>
      <c r="E1922" s="8">
        <v>45389.0</v>
      </c>
      <c r="F1922" s="8">
        <v>45393.0</v>
      </c>
      <c r="G1922" s="6">
        <v>2.0</v>
      </c>
      <c r="H1922" s="9">
        <v>19.0</v>
      </c>
      <c r="I1922" s="10">
        <v>50.0</v>
      </c>
      <c r="J1922" s="11">
        <v>0.2</v>
      </c>
      <c r="K1922" s="9">
        <v>38.51</v>
      </c>
      <c r="L1922" s="7" t="s">
        <v>15</v>
      </c>
    </row>
    <row r="1923" ht="15.75" customHeight="1">
      <c r="A1923" s="6">
        <v>10991.0</v>
      </c>
      <c r="B1923" s="7" t="s">
        <v>36</v>
      </c>
      <c r="C1923" s="8">
        <v>45383.0</v>
      </c>
      <c r="D1923" s="8">
        <v>45411.0</v>
      </c>
      <c r="E1923" s="8">
        <v>45389.0</v>
      </c>
      <c r="F1923" s="8">
        <v>45393.0</v>
      </c>
      <c r="G1923" s="6">
        <v>70.0</v>
      </c>
      <c r="H1923" s="9">
        <v>15.0</v>
      </c>
      <c r="I1923" s="10">
        <v>20.0</v>
      </c>
      <c r="J1923" s="11">
        <v>0.2</v>
      </c>
      <c r="K1923" s="9">
        <v>38.51</v>
      </c>
      <c r="L1923" s="7" t="s">
        <v>15</v>
      </c>
    </row>
    <row r="1924" ht="15.75" customHeight="1">
      <c r="A1924" s="6">
        <v>10991.0</v>
      </c>
      <c r="B1924" s="7" t="s">
        <v>36</v>
      </c>
      <c r="C1924" s="8">
        <v>45383.0</v>
      </c>
      <c r="D1924" s="8">
        <v>45411.0</v>
      </c>
      <c r="E1924" s="8">
        <v>45389.0</v>
      </c>
      <c r="F1924" s="8">
        <v>45393.0</v>
      </c>
      <c r="G1924" s="6">
        <v>76.0</v>
      </c>
      <c r="H1924" s="9">
        <v>18.0</v>
      </c>
      <c r="I1924" s="10">
        <v>90.0</v>
      </c>
      <c r="J1924" s="11">
        <v>0.2</v>
      </c>
      <c r="K1924" s="9">
        <v>38.51</v>
      </c>
      <c r="L1924" s="7" t="s">
        <v>15</v>
      </c>
    </row>
    <row r="1925" ht="15.75" customHeight="1">
      <c r="A1925" s="6">
        <v>10992.0</v>
      </c>
      <c r="B1925" s="7" t="s">
        <v>55</v>
      </c>
      <c r="C1925" s="8">
        <v>45383.0</v>
      </c>
      <c r="D1925" s="8">
        <v>45411.0</v>
      </c>
      <c r="E1925" s="8">
        <v>45385.0</v>
      </c>
      <c r="F1925" s="8">
        <v>45400.0</v>
      </c>
      <c r="G1925" s="6">
        <v>72.0</v>
      </c>
      <c r="H1925" s="9">
        <v>34.8</v>
      </c>
      <c r="I1925" s="10">
        <v>2.0</v>
      </c>
      <c r="J1925" s="11">
        <v>0.0</v>
      </c>
      <c r="K1925" s="9">
        <v>4.27</v>
      </c>
      <c r="L1925" s="7" t="s">
        <v>13</v>
      </c>
    </row>
    <row r="1926" ht="15.75" customHeight="1">
      <c r="A1926" s="6">
        <v>10993.0</v>
      </c>
      <c r="B1926" s="7" t="s">
        <v>29</v>
      </c>
      <c r="C1926" s="8">
        <v>45383.0</v>
      </c>
      <c r="D1926" s="8">
        <v>45411.0</v>
      </c>
      <c r="E1926" s="8">
        <v>45392.0</v>
      </c>
      <c r="F1926" s="8">
        <v>45403.0</v>
      </c>
      <c r="G1926" s="6">
        <v>29.0</v>
      </c>
      <c r="H1926" s="9">
        <v>123.79</v>
      </c>
      <c r="I1926" s="10">
        <v>50.0</v>
      </c>
      <c r="J1926" s="11">
        <v>0.25</v>
      </c>
      <c r="K1926" s="9">
        <v>8.81</v>
      </c>
      <c r="L1926" s="7" t="s">
        <v>13</v>
      </c>
    </row>
    <row r="1927" ht="15.75" customHeight="1">
      <c r="A1927" s="6">
        <v>10993.0</v>
      </c>
      <c r="B1927" s="7" t="s">
        <v>29</v>
      </c>
      <c r="C1927" s="8">
        <v>45383.0</v>
      </c>
      <c r="D1927" s="8">
        <v>45411.0</v>
      </c>
      <c r="E1927" s="8">
        <v>45392.0</v>
      </c>
      <c r="F1927" s="8">
        <v>45403.0</v>
      </c>
      <c r="G1927" s="6">
        <v>41.0</v>
      </c>
      <c r="H1927" s="9">
        <v>9.65</v>
      </c>
      <c r="I1927" s="10">
        <v>35.0</v>
      </c>
      <c r="J1927" s="11">
        <v>0.25</v>
      </c>
      <c r="K1927" s="9">
        <v>8.81</v>
      </c>
      <c r="L1927" s="7" t="s">
        <v>13</v>
      </c>
    </row>
    <row r="1928" ht="15.75" customHeight="1">
      <c r="A1928" s="6">
        <v>10994.0</v>
      </c>
      <c r="B1928" s="7" t="s">
        <v>76</v>
      </c>
      <c r="C1928" s="8">
        <v>45384.0</v>
      </c>
      <c r="D1928" s="8">
        <v>45398.0</v>
      </c>
      <c r="E1928" s="8">
        <v>45391.0</v>
      </c>
      <c r="F1928" s="8">
        <v>45403.0</v>
      </c>
      <c r="G1928" s="6">
        <v>59.0</v>
      </c>
      <c r="H1928" s="9">
        <v>55.0</v>
      </c>
      <c r="I1928" s="10">
        <v>18.0</v>
      </c>
      <c r="J1928" s="11">
        <v>0.05</v>
      </c>
      <c r="K1928" s="9">
        <v>65.53</v>
      </c>
      <c r="L1928" s="7" t="s">
        <v>13</v>
      </c>
    </row>
    <row r="1929" ht="15.75" customHeight="1">
      <c r="A1929" s="6">
        <v>10995.0</v>
      </c>
      <c r="B1929" s="7" t="s">
        <v>58</v>
      </c>
      <c r="C1929" s="8">
        <v>45384.0</v>
      </c>
      <c r="D1929" s="8">
        <v>45412.0</v>
      </c>
      <c r="E1929" s="8">
        <v>45388.0</v>
      </c>
      <c r="F1929" s="8">
        <v>45401.0</v>
      </c>
      <c r="G1929" s="6">
        <v>51.0</v>
      </c>
      <c r="H1929" s="9">
        <v>53.0</v>
      </c>
      <c r="I1929" s="10">
        <v>20.0</v>
      </c>
      <c r="J1929" s="11">
        <v>0.0</v>
      </c>
      <c r="K1929" s="9">
        <v>46.0</v>
      </c>
      <c r="L1929" s="7" t="s">
        <v>13</v>
      </c>
    </row>
    <row r="1930" ht="15.75" customHeight="1">
      <c r="A1930" s="6">
        <v>10995.0</v>
      </c>
      <c r="B1930" s="7" t="s">
        <v>58</v>
      </c>
      <c r="C1930" s="8">
        <v>45384.0</v>
      </c>
      <c r="D1930" s="8">
        <v>45412.0</v>
      </c>
      <c r="E1930" s="8">
        <v>45388.0</v>
      </c>
      <c r="F1930" s="8">
        <v>45401.0</v>
      </c>
      <c r="G1930" s="6">
        <v>60.0</v>
      </c>
      <c r="H1930" s="9">
        <v>34.0</v>
      </c>
      <c r="I1930" s="10">
        <v>4.0</v>
      </c>
      <c r="J1930" s="11">
        <v>0.0</v>
      </c>
      <c r="K1930" s="9">
        <v>46.0</v>
      </c>
      <c r="L1930" s="7" t="s">
        <v>13</v>
      </c>
    </row>
    <row r="1931" ht="15.75" customHeight="1">
      <c r="A1931" s="6">
        <v>10996.0</v>
      </c>
      <c r="B1931" s="7" t="s">
        <v>36</v>
      </c>
      <c r="C1931" s="8">
        <v>45384.0</v>
      </c>
      <c r="D1931" s="8">
        <v>45412.0</v>
      </c>
      <c r="E1931" s="8">
        <v>45392.0</v>
      </c>
      <c r="F1931" s="8">
        <v>45401.0</v>
      </c>
      <c r="G1931" s="6">
        <v>42.0</v>
      </c>
      <c r="H1931" s="9">
        <v>14.0</v>
      </c>
      <c r="I1931" s="10">
        <v>40.0</v>
      </c>
      <c r="J1931" s="11">
        <v>0.0</v>
      </c>
      <c r="K1931" s="9">
        <v>1.12</v>
      </c>
      <c r="L1931" s="7" t="s">
        <v>17</v>
      </c>
    </row>
    <row r="1932" ht="15.75" customHeight="1">
      <c r="A1932" s="6">
        <v>10997.0</v>
      </c>
      <c r="B1932" s="7" t="s">
        <v>43</v>
      </c>
      <c r="C1932" s="8">
        <v>45385.0</v>
      </c>
      <c r="D1932" s="8">
        <v>45427.0</v>
      </c>
      <c r="E1932" s="8">
        <v>45395.0</v>
      </c>
      <c r="F1932" s="8">
        <v>45410.0</v>
      </c>
      <c r="G1932" s="6">
        <v>32.0</v>
      </c>
      <c r="H1932" s="9">
        <v>32.0</v>
      </c>
      <c r="I1932" s="10">
        <v>50.0</v>
      </c>
      <c r="J1932" s="11">
        <v>0.0</v>
      </c>
      <c r="K1932" s="9">
        <v>73.91</v>
      </c>
      <c r="L1932" s="7" t="s">
        <v>17</v>
      </c>
    </row>
    <row r="1933" ht="15.75" customHeight="1">
      <c r="A1933" s="6">
        <v>10997.0</v>
      </c>
      <c r="B1933" s="7" t="s">
        <v>43</v>
      </c>
      <c r="C1933" s="8">
        <v>45385.0</v>
      </c>
      <c r="D1933" s="8">
        <v>45427.0</v>
      </c>
      <c r="E1933" s="8">
        <v>45395.0</v>
      </c>
      <c r="F1933" s="8">
        <v>45410.0</v>
      </c>
      <c r="G1933" s="6">
        <v>46.0</v>
      </c>
      <c r="H1933" s="9">
        <v>12.0</v>
      </c>
      <c r="I1933" s="10">
        <v>20.0</v>
      </c>
      <c r="J1933" s="11">
        <v>0.25</v>
      </c>
      <c r="K1933" s="9">
        <v>73.91</v>
      </c>
      <c r="L1933" s="7" t="s">
        <v>17</v>
      </c>
    </row>
    <row r="1934" ht="15.75" customHeight="1">
      <c r="A1934" s="6">
        <v>10997.0</v>
      </c>
      <c r="B1934" s="7" t="s">
        <v>43</v>
      </c>
      <c r="C1934" s="8">
        <v>45385.0</v>
      </c>
      <c r="D1934" s="8">
        <v>45427.0</v>
      </c>
      <c r="E1934" s="8">
        <v>45395.0</v>
      </c>
      <c r="F1934" s="8">
        <v>45410.0</v>
      </c>
      <c r="G1934" s="6">
        <v>52.0</v>
      </c>
      <c r="H1934" s="9">
        <v>7.0</v>
      </c>
      <c r="I1934" s="10">
        <v>20.0</v>
      </c>
      <c r="J1934" s="11">
        <v>0.25</v>
      </c>
      <c r="K1934" s="9">
        <v>73.91</v>
      </c>
      <c r="L1934" s="7" t="s">
        <v>17</v>
      </c>
    </row>
    <row r="1935" ht="15.75" customHeight="1">
      <c r="A1935" s="6">
        <v>10998.0</v>
      </c>
      <c r="B1935" s="7" t="s">
        <v>78</v>
      </c>
      <c r="C1935" s="8">
        <v>45385.0</v>
      </c>
      <c r="D1935" s="8">
        <v>45399.0</v>
      </c>
      <c r="E1935" s="8">
        <v>45399.0</v>
      </c>
      <c r="F1935" s="8">
        <v>45412.0</v>
      </c>
      <c r="G1935" s="6">
        <v>24.0</v>
      </c>
      <c r="H1935" s="9">
        <v>4.5</v>
      </c>
      <c r="I1935" s="10">
        <v>12.0</v>
      </c>
      <c r="J1935" s="11">
        <v>0.0</v>
      </c>
      <c r="K1935" s="9">
        <v>20.31</v>
      </c>
      <c r="L1935" s="7" t="s">
        <v>17</v>
      </c>
    </row>
    <row r="1936" ht="15.75" customHeight="1">
      <c r="A1936" s="6">
        <v>10998.0</v>
      </c>
      <c r="B1936" s="7" t="s">
        <v>78</v>
      </c>
      <c r="C1936" s="8">
        <v>45385.0</v>
      </c>
      <c r="D1936" s="8">
        <v>45399.0</v>
      </c>
      <c r="E1936" s="8">
        <v>45399.0</v>
      </c>
      <c r="F1936" s="8">
        <v>45412.0</v>
      </c>
      <c r="G1936" s="6">
        <v>61.0</v>
      </c>
      <c r="H1936" s="9">
        <v>28.5</v>
      </c>
      <c r="I1936" s="10">
        <v>7.0</v>
      </c>
      <c r="J1936" s="11">
        <v>0.0</v>
      </c>
      <c r="K1936" s="9">
        <v>20.31</v>
      </c>
      <c r="L1936" s="7" t="s">
        <v>17</v>
      </c>
    </row>
    <row r="1937" ht="15.75" customHeight="1">
      <c r="A1937" s="6">
        <v>10998.0</v>
      </c>
      <c r="B1937" s="7" t="s">
        <v>78</v>
      </c>
      <c r="C1937" s="8">
        <v>45385.0</v>
      </c>
      <c r="D1937" s="8">
        <v>45399.0</v>
      </c>
      <c r="E1937" s="8">
        <v>45399.0</v>
      </c>
      <c r="F1937" s="8">
        <v>45412.0</v>
      </c>
      <c r="G1937" s="6">
        <v>74.0</v>
      </c>
      <c r="H1937" s="9">
        <v>10.0</v>
      </c>
      <c r="I1937" s="10">
        <v>20.0</v>
      </c>
      <c r="J1937" s="11">
        <v>0.0</v>
      </c>
      <c r="K1937" s="9">
        <v>20.31</v>
      </c>
      <c r="L1937" s="7" t="s">
        <v>17</v>
      </c>
    </row>
    <row r="1938" ht="15.75" customHeight="1">
      <c r="A1938" s="6">
        <v>10998.0</v>
      </c>
      <c r="B1938" s="7" t="s">
        <v>78</v>
      </c>
      <c r="C1938" s="8">
        <v>45385.0</v>
      </c>
      <c r="D1938" s="8">
        <v>45399.0</v>
      </c>
      <c r="E1938" s="8">
        <v>45399.0</v>
      </c>
      <c r="F1938" s="8">
        <v>45412.0</v>
      </c>
      <c r="G1938" s="6">
        <v>75.0</v>
      </c>
      <c r="H1938" s="9">
        <v>7.75</v>
      </c>
      <c r="I1938" s="10">
        <v>30.0</v>
      </c>
      <c r="J1938" s="11">
        <v>0.0</v>
      </c>
      <c r="K1938" s="9">
        <v>20.31</v>
      </c>
      <c r="L1938" s="7" t="s">
        <v>17</v>
      </c>
    </row>
    <row r="1939" ht="15.75" customHeight="1">
      <c r="A1939" s="6">
        <v>10999.0</v>
      </c>
      <c r="B1939" s="7" t="s">
        <v>26</v>
      </c>
      <c r="C1939" s="8">
        <v>45385.0</v>
      </c>
      <c r="D1939" s="8">
        <v>45413.0</v>
      </c>
      <c r="E1939" s="8">
        <v>45392.0</v>
      </c>
      <c r="F1939" s="8">
        <v>45399.0</v>
      </c>
      <c r="G1939" s="6">
        <v>41.0</v>
      </c>
      <c r="H1939" s="9">
        <v>9.65</v>
      </c>
      <c r="I1939" s="10">
        <v>20.0</v>
      </c>
      <c r="J1939" s="11">
        <v>0.05</v>
      </c>
      <c r="K1939" s="9">
        <v>96.35</v>
      </c>
      <c r="L1939" s="7" t="s">
        <v>17</v>
      </c>
    </row>
    <row r="1940" ht="15.75" customHeight="1">
      <c r="A1940" s="6">
        <v>10999.0</v>
      </c>
      <c r="B1940" s="7" t="s">
        <v>26</v>
      </c>
      <c r="C1940" s="8">
        <v>45385.0</v>
      </c>
      <c r="D1940" s="8">
        <v>45413.0</v>
      </c>
      <c r="E1940" s="8">
        <v>45392.0</v>
      </c>
      <c r="F1940" s="8">
        <v>45399.0</v>
      </c>
      <c r="G1940" s="6">
        <v>51.0</v>
      </c>
      <c r="H1940" s="9">
        <v>53.0</v>
      </c>
      <c r="I1940" s="10">
        <v>15.0</v>
      </c>
      <c r="J1940" s="11">
        <v>0.05</v>
      </c>
      <c r="K1940" s="9">
        <v>96.35</v>
      </c>
      <c r="L1940" s="7" t="s">
        <v>17</v>
      </c>
    </row>
    <row r="1941" ht="15.75" customHeight="1">
      <c r="A1941" s="6">
        <v>10999.0</v>
      </c>
      <c r="B1941" s="7" t="s">
        <v>26</v>
      </c>
      <c r="C1941" s="8">
        <v>45385.0</v>
      </c>
      <c r="D1941" s="8">
        <v>45413.0</v>
      </c>
      <c r="E1941" s="8">
        <v>45392.0</v>
      </c>
      <c r="F1941" s="8">
        <v>45399.0</v>
      </c>
      <c r="G1941" s="6">
        <v>77.0</v>
      </c>
      <c r="H1941" s="9">
        <v>13.0</v>
      </c>
      <c r="I1941" s="10">
        <v>21.0</v>
      </c>
      <c r="J1941" s="11">
        <v>0.05</v>
      </c>
      <c r="K1941" s="9">
        <v>96.35</v>
      </c>
      <c r="L1941" s="7" t="s">
        <v>17</v>
      </c>
    </row>
    <row r="1942" ht="15.75" customHeight="1">
      <c r="A1942" s="6">
        <v>11000.0</v>
      </c>
      <c r="B1942" s="7" t="s">
        <v>28</v>
      </c>
      <c r="C1942" s="8">
        <v>45388.0</v>
      </c>
      <c r="D1942" s="8">
        <v>45416.0</v>
      </c>
      <c r="E1942" s="8">
        <v>45396.0</v>
      </c>
      <c r="F1942" s="8">
        <v>45409.0</v>
      </c>
      <c r="G1942" s="6">
        <v>4.0</v>
      </c>
      <c r="H1942" s="9">
        <v>22.0</v>
      </c>
      <c r="I1942" s="10">
        <v>25.0</v>
      </c>
      <c r="J1942" s="11">
        <v>0.25</v>
      </c>
      <c r="K1942" s="9">
        <v>55.12</v>
      </c>
      <c r="L1942" s="7" t="s">
        <v>13</v>
      </c>
    </row>
    <row r="1943" ht="15.75" customHeight="1">
      <c r="A1943" s="6">
        <v>11000.0</v>
      </c>
      <c r="B1943" s="7" t="s">
        <v>28</v>
      </c>
      <c r="C1943" s="8">
        <v>45388.0</v>
      </c>
      <c r="D1943" s="8">
        <v>45416.0</v>
      </c>
      <c r="E1943" s="8">
        <v>45396.0</v>
      </c>
      <c r="F1943" s="8">
        <v>45409.0</v>
      </c>
      <c r="G1943" s="6">
        <v>24.0</v>
      </c>
      <c r="H1943" s="9">
        <v>4.5</v>
      </c>
      <c r="I1943" s="10">
        <v>30.0</v>
      </c>
      <c r="J1943" s="11">
        <v>0.25</v>
      </c>
      <c r="K1943" s="9">
        <v>55.12</v>
      </c>
      <c r="L1943" s="7" t="s">
        <v>13</v>
      </c>
    </row>
    <row r="1944" ht="15.75" customHeight="1">
      <c r="A1944" s="6">
        <v>11000.0</v>
      </c>
      <c r="B1944" s="7" t="s">
        <v>28</v>
      </c>
      <c r="C1944" s="8">
        <v>45388.0</v>
      </c>
      <c r="D1944" s="8">
        <v>45416.0</v>
      </c>
      <c r="E1944" s="8">
        <v>45396.0</v>
      </c>
      <c r="F1944" s="8">
        <v>45409.0</v>
      </c>
      <c r="G1944" s="6">
        <v>77.0</v>
      </c>
      <c r="H1944" s="9">
        <v>13.0</v>
      </c>
      <c r="I1944" s="10">
        <v>30.0</v>
      </c>
      <c r="J1944" s="11">
        <v>0.0</v>
      </c>
      <c r="K1944" s="9">
        <v>55.12</v>
      </c>
      <c r="L1944" s="7" t="s">
        <v>13</v>
      </c>
    </row>
    <row r="1945" ht="15.75" customHeight="1">
      <c r="A1945" s="6">
        <v>11001.0</v>
      </c>
      <c r="B1945" s="7" t="s">
        <v>29</v>
      </c>
      <c r="C1945" s="8">
        <v>45388.0</v>
      </c>
      <c r="D1945" s="8">
        <v>45416.0</v>
      </c>
      <c r="E1945" s="8">
        <v>45396.0</v>
      </c>
      <c r="F1945" s="8">
        <v>45407.0</v>
      </c>
      <c r="G1945" s="6">
        <v>7.0</v>
      </c>
      <c r="H1945" s="9">
        <v>30.0</v>
      </c>
      <c r="I1945" s="10">
        <v>60.0</v>
      </c>
      <c r="J1945" s="11">
        <v>0.0</v>
      </c>
      <c r="K1945" s="9">
        <v>197.3</v>
      </c>
      <c r="L1945" s="7" t="s">
        <v>17</v>
      </c>
    </row>
    <row r="1946" ht="15.75" customHeight="1">
      <c r="A1946" s="6">
        <v>11001.0</v>
      </c>
      <c r="B1946" s="7" t="s">
        <v>29</v>
      </c>
      <c r="C1946" s="8">
        <v>45388.0</v>
      </c>
      <c r="D1946" s="8">
        <v>45416.0</v>
      </c>
      <c r="E1946" s="8">
        <v>45396.0</v>
      </c>
      <c r="F1946" s="8">
        <v>45407.0</v>
      </c>
      <c r="G1946" s="6">
        <v>22.0</v>
      </c>
      <c r="H1946" s="9">
        <v>21.0</v>
      </c>
      <c r="I1946" s="10">
        <v>25.0</v>
      </c>
      <c r="J1946" s="11">
        <v>0.0</v>
      </c>
      <c r="K1946" s="9">
        <v>197.3</v>
      </c>
      <c r="L1946" s="7" t="s">
        <v>17</v>
      </c>
    </row>
    <row r="1947" ht="15.75" customHeight="1">
      <c r="A1947" s="6">
        <v>11001.0</v>
      </c>
      <c r="B1947" s="7" t="s">
        <v>29</v>
      </c>
      <c r="C1947" s="8">
        <v>45388.0</v>
      </c>
      <c r="D1947" s="8">
        <v>45416.0</v>
      </c>
      <c r="E1947" s="8">
        <v>45396.0</v>
      </c>
      <c r="F1947" s="8">
        <v>45407.0</v>
      </c>
      <c r="G1947" s="6">
        <v>46.0</v>
      </c>
      <c r="H1947" s="9">
        <v>12.0</v>
      </c>
      <c r="I1947" s="10">
        <v>25.0</v>
      </c>
      <c r="J1947" s="11">
        <v>0.0</v>
      </c>
      <c r="K1947" s="9">
        <v>197.3</v>
      </c>
      <c r="L1947" s="7" t="s">
        <v>17</v>
      </c>
    </row>
    <row r="1948" ht="15.75" customHeight="1">
      <c r="A1948" s="6">
        <v>11001.0</v>
      </c>
      <c r="B1948" s="7" t="s">
        <v>29</v>
      </c>
      <c r="C1948" s="8">
        <v>45388.0</v>
      </c>
      <c r="D1948" s="8">
        <v>45416.0</v>
      </c>
      <c r="E1948" s="8">
        <v>45396.0</v>
      </c>
      <c r="F1948" s="8">
        <v>45407.0</v>
      </c>
      <c r="G1948" s="6">
        <v>55.0</v>
      </c>
      <c r="H1948" s="9">
        <v>24.0</v>
      </c>
      <c r="I1948" s="10">
        <v>6.0</v>
      </c>
      <c r="J1948" s="11">
        <v>0.0</v>
      </c>
      <c r="K1948" s="9">
        <v>197.3</v>
      </c>
      <c r="L1948" s="7" t="s">
        <v>17</v>
      </c>
    </row>
    <row r="1949" ht="15.75" customHeight="1">
      <c r="A1949" s="6">
        <v>11002.0</v>
      </c>
      <c r="B1949" s="7" t="s">
        <v>60</v>
      </c>
      <c r="C1949" s="8">
        <v>45388.0</v>
      </c>
      <c r="D1949" s="8">
        <v>45416.0</v>
      </c>
      <c r="E1949" s="8">
        <v>45398.0</v>
      </c>
      <c r="F1949" s="8">
        <v>45412.0</v>
      </c>
      <c r="G1949" s="6">
        <v>13.0</v>
      </c>
      <c r="H1949" s="9">
        <v>6.0</v>
      </c>
      <c r="I1949" s="10">
        <v>56.0</v>
      </c>
      <c r="J1949" s="11">
        <v>0.0</v>
      </c>
      <c r="K1949" s="9">
        <v>141.16</v>
      </c>
      <c r="L1949" s="7" t="s">
        <v>15</v>
      </c>
    </row>
    <row r="1950" ht="15.75" customHeight="1">
      <c r="A1950" s="6">
        <v>11002.0</v>
      </c>
      <c r="B1950" s="7" t="s">
        <v>60</v>
      </c>
      <c r="C1950" s="8">
        <v>45388.0</v>
      </c>
      <c r="D1950" s="8">
        <v>45416.0</v>
      </c>
      <c r="E1950" s="8">
        <v>45398.0</v>
      </c>
      <c r="F1950" s="8">
        <v>45412.0</v>
      </c>
      <c r="G1950" s="6">
        <v>35.0</v>
      </c>
      <c r="H1950" s="9">
        <v>18.0</v>
      </c>
      <c r="I1950" s="10">
        <v>15.0</v>
      </c>
      <c r="J1950" s="11">
        <v>0.15</v>
      </c>
      <c r="K1950" s="9">
        <v>141.16</v>
      </c>
      <c r="L1950" s="7" t="s">
        <v>15</v>
      </c>
    </row>
    <row r="1951" ht="15.75" customHeight="1">
      <c r="A1951" s="6">
        <v>11002.0</v>
      </c>
      <c r="B1951" s="7" t="s">
        <v>60</v>
      </c>
      <c r="C1951" s="8">
        <v>45388.0</v>
      </c>
      <c r="D1951" s="8">
        <v>45416.0</v>
      </c>
      <c r="E1951" s="8">
        <v>45398.0</v>
      </c>
      <c r="F1951" s="8">
        <v>45412.0</v>
      </c>
      <c r="G1951" s="6">
        <v>42.0</v>
      </c>
      <c r="H1951" s="9">
        <v>14.0</v>
      </c>
      <c r="I1951" s="10">
        <v>24.0</v>
      </c>
      <c r="J1951" s="11">
        <v>0.15</v>
      </c>
      <c r="K1951" s="9">
        <v>141.16</v>
      </c>
      <c r="L1951" s="7" t="s">
        <v>15</v>
      </c>
    </row>
    <row r="1952" ht="15.75" customHeight="1">
      <c r="A1952" s="6">
        <v>11002.0</v>
      </c>
      <c r="B1952" s="7" t="s">
        <v>60</v>
      </c>
      <c r="C1952" s="8">
        <v>45388.0</v>
      </c>
      <c r="D1952" s="8">
        <v>45416.0</v>
      </c>
      <c r="E1952" s="8">
        <v>45398.0</v>
      </c>
      <c r="F1952" s="8">
        <v>45412.0</v>
      </c>
      <c r="G1952" s="6">
        <v>55.0</v>
      </c>
      <c r="H1952" s="9">
        <v>24.0</v>
      </c>
      <c r="I1952" s="10">
        <v>40.0</v>
      </c>
      <c r="J1952" s="11">
        <v>0.0</v>
      </c>
      <c r="K1952" s="9">
        <v>141.16</v>
      </c>
      <c r="L1952" s="7" t="s">
        <v>15</v>
      </c>
    </row>
    <row r="1953" ht="15.75" customHeight="1">
      <c r="A1953" s="6">
        <v>11003.0</v>
      </c>
      <c r="B1953" s="7" t="s">
        <v>99</v>
      </c>
      <c r="C1953" s="8">
        <v>45388.0</v>
      </c>
      <c r="D1953" s="8">
        <v>45416.0</v>
      </c>
      <c r="E1953" s="8">
        <v>45390.0</v>
      </c>
      <c r="F1953" s="8">
        <v>45405.0</v>
      </c>
      <c r="G1953" s="6">
        <v>1.0</v>
      </c>
      <c r="H1953" s="9">
        <v>18.0</v>
      </c>
      <c r="I1953" s="10">
        <v>4.0</v>
      </c>
      <c r="J1953" s="11">
        <v>0.0</v>
      </c>
      <c r="K1953" s="9">
        <v>14.91</v>
      </c>
      <c r="L1953" s="7" t="s">
        <v>13</v>
      </c>
    </row>
    <row r="1954" ht="15.75" customHeight="1">
      <c r="A1954" s="6">
        <v>11003.0</v>
      </c>
      <c r="B1954" s="7" t="s">
        <v>99</v>
      </c>
      <c r="C1954" s="8">
        <v>45388.0</v>
      </c>
      <c r="D1954" s="8">
        <v>45416.0</v>
      </c>
      <c r="E1954" s="8">
        <v>45390.0</v>
      </c>
      <c r="F1954" s="8">
        <v>45405.0</v>
      </c>
      <c r="G1954" s="6">
        <v>40.0</v>
      </c>
      <c r="H1954" s="9">
        <v>18.4</v>
      </c>
      <c r="I1954" s="10">
        <v>10.0</v>
      </c>
      <c r="J1954" s="11">
        <v>0.0</v>
      </c>
      <c r="K1954" s="9">
        <v>14.91</v>
      </c>
      <c r="L1954" s="7" t="s">
        <v>13</v>
      </c>
    </row>
    <row r="1955" ht="15.75" customHeight="1">
      <c r="A1955" s="6">
        <v>11003.0</v>
      </c>
      <c r="B1955" s="7" t="s">
        <v>99</v>
      </c>
      <c r="C1955" s="8">
        <v>45388.0</v>
      </c>
      <c r="D1955" s="8">
        <v>45416.0</v>
      </c>
      <c r="E1955" s="8">
        <v>45390.0</v>
      </c>
      <c r="F1955" s="8">
        <v>45405.0</v>
      </c>
      <c r="G1955" s="6">
        <v>52.0</v>
      </c>
      <c r="H1955" s="9">
        <v>7.0</v>
      </c>
      <c r="I1955" s="10">
        <v>10.0</v>
      </c>
      <c r="J1955" s="11">
        <v>0.0</v>
      </c>
      <c r="K1955" s="9">
        <v>14.91</v>
      </c>
      <c r="L1955" s="7" t="s">
        <v>13</v>
      </c>
    </row>
    <row r="1956" ht="15.75" customHeight="1">
      <c r="A1956" s="6">
        <v>11004.0</v>
      </c>
      <c r="B1956" s="7" t="s">
        <v>95</v>
      </c>
      <c r="C1956" s="8">
        <v>45389.0</v>
      </c>
      <c r="D1956" s="8">
        <v>45417.0</v>
      </c>
      <c r="E1956" s="8">
        <v>45402.0</v>
      </c>
      <c r="F1956" s="8">
        <v>45413.0</v>
      </c>
      <c r="G1956" s="6">
        <v>26.0</v>
      </c>
      <c r="H1956" s="9">
        <v>31.23</v>
      </c>
      <c r="I1956" s="10">
        <v>6.0</v>
      </c>
      <c r="J1956" s="11">
        <v>0.0</v>
      </c>
      <c r="K1956" s="9">
        <v>44.84</v>
      </c>
      <c r="L1956" s="7" t="s">
        <v>15</v>
      </c>
    </row>
    <row r="1957" ht="15.75" customHeight="1">
      <c r="A1957" s="6">
        <v>11004.0</v>
      </c>
      <c r="B1957" s="7" t="s">
        <v>95</v>
      </c>
      <c r="C1957" s="8">
        <v>45389.0</v>
      </c>
      <c r="D1957" s="8">
        <v>45417.0</v>
      </c>
      <c r="E1957" s="8">
        <v>45402.0</v>
      </c>
      <c r="F1957" s="8">
        <v>45413.0</v>
      </c>
      <c r="G1957" s="6">
        <v>76.0</v>
      </c>
      <c r="H1957" s="9">
        <v>18.0</v>
      </c>
      <c r="I1957" s="10">
        <v>6.0</v>
      </c>
      <c r="J1957" s="11">
        <v>0.0</v>
      </c>
      <c r="K1957" s="9">
        <v>44.84</v>
      </c>
      <c r="L1957" s="7" t="s">
        <v>15</v>
      </c>
    </row>
    <row r="1958" ht="15.75" customHeight="1">
      <c r="A1958" s="6">
        <v>11005.0</v>
      </c>
      <c r="B1958" s="7" t="s">
        <v>98</v>
      </c>
      <c r="C1958" s="8">
        <v>45389.0</v>
      </c>
      <c r="D1958" s="8">
        <v>45417.0</v>
      </c>
      <c r="E1958" s="8">
        <v>45392.0</v>
      </c>
      <c r="F1958" s="8">
        <v>45401.0</v>
      </c>
      <c r="G1958" s="6">
        <v>1.0</v>
      </c>
      <c r="H1958" s="9">
        <v>18.0</v>
      </c>
      <c r="I1958" s="10">
        <v>2.0</v>
      </c>
      <c r="J1958" s="11">
        <v>0.0</v>
      </c>
      <c r="K1958" s="9">
        <v>0.75</v>
      </c>
      <c r="L1958" s="7" t="s">
        <v>15</v>
      </c>
    </row>
    <row r="1959" ht="15.75" customHeight="1">
      <c r="A1959" s="6">
        <v>11005.0</v>
      </c>
      <c r="B1959" s="7" t="s">
        <v>98</v>
      </c>
      <c r="C1959" s="8">
        <v>45389.0</v>
      </c>
      <c r="D1959" s="8">
        <v>45417.0</v>
      </c>
      <c r="E1959" s="8">
        <v>45392.0</v>
      </c>
      <c r="F1959" s="8">
        <v>45401.0</v>
      </c>
      <c r="G1959" s="6">
        <v>59.0</v>
      </c>
      <c r="H1959" s="9">
        <v>55.0</v>
      </c>
      <c r="I1959" s="10">
        <v>10.0</v>
      </c>
      <c r="J1959" s="11">
        <v>0.0</v>
      </c>
      <c r="K1959" s="9">
        <v>0.75</v>
      </c>
      <c r="L1959" s="7" t="s">
        <v>15</v>
      </c>
    </row>
    <row r="1960" ht="15.75" customHeight="1">
      <c r="A1960" s="6">
        <v>11006.0</v>
      </c>
      <c r="B1960" s="7" t="s">
        <v>94</v>
      </c>
      <c r="C1960" s="8">
        <v>45389.0</v>
      </c>
      <c r="D1960" s="8">
        <v>45417.0</v>
      </c>
      <c r="E1960" s="8">
        <v>45397.0</v>
      </c>
      <c r="F1960" s="8">
        <v>45412.0</v>
      </c>
      <c r="G1960" s="6">
        <v>1.0</v>
      </c>
      <c r="H1960" s="9">
        <v>18.0</v>
      </c>
      <c r="I1960" s="10">
        <v>8.0</v>
      </c>
      <c r="J1960" s="11">
        <v>0.0</v>
      </c>
      <c r="K1960" s="9">
        <v>25.19</v>
      </c>
      <c r="L1960" s="7" t="s">
        <v>17</v>
      </c>
    </row>
    <row r="1961" ht="15.75" customHeight="1">
      <c r="A1961" s="6">
        <v>11006.0</v>
      </c>
      <c r="B1961" s="7" t="s">
        <v>94</v>
      </c>
      <c r="C1961" s="8">
        <v>45389.0</v>
      </c>
      <c r="D1961" s="8">
        <v>45417.0</v>
      </c>
      <c r="E1961" s="8">
        <v>45397.0</v>
      </c>
      <c r="F1961" s="8">
        <v>45412.0</v>
      </c>
      <c r="G1961" s="6">
        <v>29.0</v>
      </c>
      <c r="H1961" s="9">
        <v>123.79</v>
      </c>
      <c r="I1961" s="10">
        <v>2.0</v>
      </c>
      <c r="J1961" s="11">
        <v>0.25</v>
      </c>
      <c r="K1961" s="9">
        <v>25.19</v>
      </c>
      <c r="L1961" s="7" t="s">
        <v>17</v>
      </c>
    </row>
    <row r="1962" ht="15.75" customHeight="1">
      <c r="A1962" s="6">
        <v>11007.0</v>
      </c>
      <c r="B1962" s="7" t="s">
        <v>65</v>
      </c>
      <c r="C1962" s="8">
        <v>45390.0</v>
      </c>
      <c r="D1962" s="8">
        <v>45418.0</v>
      </c>
      <c r="E1962" s="8">
        <v>45395.0</v>
      </c>
      <c r="F1962" s="8">
        <v>45407.0</v>
      </c>
      <c r="G1962" s="6">
        <v>8.0</v>
      </c>
      <c r="H1962" s="9">
        <v>40.0</v>
      </c>
      <c r="I1962" s="10">
        <v>30.0</v>
      </c>
      <c r="J1962" s="11">
        <v>0.0</v>
      </c>
      <c r="K1962" s="9">
        <v>202.24</v>
      </c>
      <c r="L1962" s="7" t="s">
        <v>17</v>
      </c>
    </row>
    <row r="1963" ht="15.75" customHeight="1">
      <c r="A1963" s="6">
        <v>11007.0</v>
      </c>
      <c r="B1963" s="7" t="s">
        <v>65</v>
      </c>
      <c r="C1963" s="8">
        <v>45390.0</v>
      </c>
      <c r="D1963" s="8">
        <v>45418.0</v>
      </c>
      <c r="E1963" s="8">
        <v>45395.0</v>
      </c>
      <c r="F1963" s="8">
        <v>45407.0</v>
      </c>
      <c r="G1963" s="6">
        <v>29.0</v>
      </c>
      <c r="H1963" s="9">
        <v>123.79</v>
      </c>
      <c r="I1963" s="10">
        <v>10.0</v>
      </c>
      <c r="J1963" s="11">
        <v>0.0</v>
      </c>
      <c r="K1963" s="9">
        <v>202.24</v>
      </c>
      <c r="L1963" s="7" t="s">
        <v>17</v>
      </c>
    </row>
    <row r="1964" ht="15.75" customHeight="1">
      <c r="A1964" s="6">
        <v>11007.0</v>
      </c>
      <c r="B1964" s="7" t="s">
        <v>65</v>
      </c>
      <c r="C1964" s="8">
        <v>45390.0</v>
      </c>
      <c r="D1964" s="8">
        <v>45418.0</v>
      </c>
      <c r="E1964" s="8">
        <v>45395.0</v>
      </c>
      <c r="F1964" s="8">
        <v>45407.0</v>
      </c>
      <c r="G1964" s="6">
        <v>42.0</v>
      </c>
      <c r="H1964" s="9">
        <v>14.0</v>
      </c>
      <c r="I1964" s="10">
        <v>14.0</v>
      </c>
      <c r="J1964" s="11">
        <v>0.0</v>
      </c>
      <c r="K1964" s="9">
        <v>202.24</v>
      </c>
      <c r="L1964" s="7" t="s">
        <v>17</v>
      </c>
    </row>
    <row r="1965" ht="15.75" customHeight="1">
      <c r="A1965" s="6">
        <v>11008.0</v>
      </c>
      <c r="B1965" s="7" t="s">
        <v>24</v>
      </c>
      <c r="C1965" s="8">
        <v>45390.0</v>
      </c>
      <c r="D1965" s="8">
        <v>45418.0</v>
      </c>
      <c r="E1965" s="8"/>
      <c r="F1965" s="8"/>
      <c r="G1965" s="6">
        <v>28.0</v>
      </c>
      <c r="H1965" s="9">
        <v>45.6</v>
      </c>
      <c r="I1965" s="10">
        <v>70.0</v>
      </c>
      <c r="J1965" s="11">
        <v>0.05</v>
      </c>
      <c r="K1965" s="9">
        <v>79.46</v>
      </c>
      <c r="L1965" s="7" t="s">
        <v>13</v>
      </c>
    </row>
    <row r="1966" ht="15.75" customHeight="1">
      <c r="A1966" s="6">
        <v>11008.0</v>
      </c>
      <c r="B1966" s="7" t="s">
        <v>24</v>
      </c>
      <c r="C1966" s="8">
        <v>45390.0</v>
      </c>
      <c r="D1966" s="8">
        <v>45418.0</v>
      </c>
      <c r="E1966" s="8"/>
      <c r="F1966" s="8"/>
      <c r="G1966" s="6">
        <v>34.0</v>
      </c>
      <c r="H1966" s="9">
        <v>14.0</v>
      </c>
      <c r="I1966" s="10">
        <v>90.0</v>
      </c>
      <c r="J1966" s="11">
        <v>0.05</v>
      </c>
      <c r="K1966" s="9">
        <v>79.46</v>
      </c>
      <c r="L1966" s="7" t="s">
        <v>13</v>
      </c>
    </row>
    <row r="1967" ht="15.75" customHeight="1">
      <c r="A1967" s="6">
        <v>11008.0</v>
      </c>
      <c r="B1967" s="7" t="s">
        <v>24</v>
      </c>
      <c r="C1967" s="8">
        <v>45390.0</v>
      </c>
      <c r="D1967" s="8">
        <v>45418.0</v>
      </c>
      <c r="E1967" s="8"/>
      <c r="F1967" s="8"/>
      <c r="G1967" s="6">
        <v>71.0</v>
      </c>
      <c r="H1967" s="9">
        <v>21.5</v>
      </c>
      <c r="I1967" s="10">
        <v>21.0</v>
      </c>
      <c r="J1967" s="11">
        <v>0.0</v>
      </c>
      <c r="K1967" s="9">
        <v>79.46</v>
      </c>
      <c r="L1967" s="7" t="s">
        <v>13</v>
      </c>
    </row>
    <row r="1968" ht="15.75" customHeight="1">
      <c r="A1968" s="6">
        <v>11009.0</v>
      </c>
      <c r="B1968" s="7" t="s">
        <v>51</v>
      </c>
      <c r="C1968" s="8">
        <v>45390.0</v>
      </c>
      <c r="D1968" s="8">
        <v>45418.0</v>
      </c>
      <c r="E1968" s="8">
        <v>45392.0</v>
      </c>
      <c r="F1968" s="8">
        <v>45400.0</v>
      </c>
      <c r="G1968" s="6">
        <v>24.0</v>
      </c>
      <c r="H1968" s="9">
        <v>4.5</v>
      </c>
      <c r="I1968" s="10">
        <v>12.0</v>
      </c>
      <c r="J1968" s="11">
        <v>0.0</v>
      </c>
      <c r="K1968" s="9">
        <v>59.11</v>
      </c>
      <c r="L1968" s="7" t="s">
        <v>15</v>
      </c>
    </row>
    <row r="1969" ht="15.75" customHeight="1">
      <c r="A1969" s="6">
        <v>11009.0</v>
      </c>
      <c r="B1969" s="7" t="s">
        <v>51</v>
      </c>
      <c r="C1969" s="8">
        <v>45390.0</v>
      </c>
      <c r="D1969" s="8">
        <v>45418.0</v>
      </c>
      <c r="E1969" s="8">
        <v>45392.0</v>
      </c>
      <c r="F1969" s="8">
        <v>45400.0</v>
      </c>
      <c r="G1969" s="6">
        <v>36.0</v>
      </c>
      <c r="H1969" s="9">
        <v>19.0</v>
      </c>
      <c r="I1969" s="10">
        <v>18.0</v>
      </c>
      <c r="J1969" s="11">
        <v>0.25</v>
      </c>
      <c r="K1969" s="9">
        <v>59.11</v>
      </c>
      <c r="L1969" s="7" t="s">
        <v>15</v>
      </c>
    </row>
    <row r="1970" ht="15.75" customHeight="1">
      <c r="A1970" s="6">
        <v>11009.0</v>
      </c>
      <c r="B1970" s="7" t="s">
        <v>51</v>
      </c>
      <c r="C1970" s="8">
        <v>45390.0</v>
      </c>
      <c r="D1970" s="8">
        <v>45418.0</v>
      </c>
      <c r="E1970" s="8">
        <v>45392.0</v>
      </c>
      <c r="F1970" s="8">
        <v>45400.0</v>
      </c>
      <c r="G1970" s="6">
        <v>60.0</v>
      </c>
      <c r="H1970" s="9">
        <v>34.0</v>
      </c>
      <c r="I1970" s="10">
        <v>9.0</v>
      </c>
      <c r="J1970" s="11">
        <v>0.0</v>
      </c>
      <c r="K1970" s="9">
        <v>59.11</v>
      </c>
      <c r="L1970" s="7" t="s">
        <v>15</v>
      </c>
    </row>
    <row r="1971" ht="15.75" customHeight="1">
      <c r="A1971" s="6">
        <v>11010.0</v>
      </c>
      <c r="B1971" s="7" t="s">
        <v>45</v>
      </c>
      <c r="C1971" s="8">
        <v>45391.0</v>
      </c>
      <c r="D1971" s="8">
        <v>45419.0</v>
      </c>
      <c r="E1971" s="8">
        <v>45403.0</v>
      </c>
      <c r="F1971" s="8">
        <v>45414.0</v>
      </c>
      <c r="G1971" s="6">
        <v>7.0</v>
      </c>
      <c r="H1971" s="9">
        <v>30.0</v>
      </c>
      <c r="I1971" s="10">
        <v>20.0</v>
      </c>
      <c r="J1971" s="11">
        <v>0.0</v>
      </c>
      <c r="K1971" s="9">
        <v>28.71</v>
      </c>
      <c r="L1971" s="7" t="s">
        <v>17</v>
      </c>
    </row>
    <row r="1972" ht="15.75" customHeight="1">
      <c r="A1972" s="6">
        <v>11010.0</v>
      </c>
      <c r="B1972" s="7" t="s">
        <v>45</v>
      </c>
      <c r="C1972" s="8">
        <v>45391.0</v>
      </c>
      <c r="D1972" s="8">
        <v>45419.0</v>
      </c>
      <c r="E1972" s="8">
        <v>45403.0</v>
      </c>
      <c r="F1972" s="8">
        <v>45414.0</v>
      </c>
      <c r="G1972" s="6">
        <v>24.0</v>
      </c>
      <c r="H1972" s="9">
        <v>4.5</v>
      </c>
      <c r="I1972" s="10">
        <v>10.0</v>
      </c>
      <c r="J1972" s="11">
        <v>0.0</v>
      </c>
      <c r="K1972" s="9">
        <v>28.71</v>
      </c>
      <c r="L1972" s="7" t="s">
        <v>17</v>
      </c>
    </row>
    <row r="1973" ht="15.75" customHeight="1">
      <c r="A1973" s="6">
        <v>11011.0</v>
      </c>
      <c r="B1973" s="7" t="s">
        <v>100</v>
      </c>
      <c r="C1973" s="8">
        <v>45391.0</v>
      </c>
      <c r="D1973" s="8">
        <v>45419.0</v>
      </c>
      <c r="E1973" s="8">
        <v>45395.0</v>
      </c>
      <c r="F1973" s="8">
        <v>45398.0</v>
      </c>
      <c r="G1973" s="6">
        <v>58.0</v>
      </c>
      <c r="H1973" s="9">
        <v>13.25</v>
      </c>
      <c r="I1973" s="10">
        <v>40.0</v>
      </c>
      <c r="J1973" s="11">
        <v>0.05</v>
      </c>
      <c r="K1973" s="9">
        <v>1.21</v>
      </c>
      <c r="L1973" s="7" t="s">
        <v>15</v>
      </c>
    </row>
    <row r="1974" ht="15.75" customHeight="1">
      <c r="A1974" s="6">
        <v>11011.0</v>
      </c>
      <c r="B1974" s="7" t="s">
        <v>100</v>
      </c>
      <c r="C1974" s="8">
        <v>45391.0</v>
      </c>
      <c r="D1974" s="8">
        <v>45419.0</v>
      </c>
      <c r="E1974" s="8">
        <v>45395.0</v>
      </c>
      <c r="F1974" s="8">
        <v>45398.0</v>
      </c>
      <c r="G1974" s="6">
        <v>71.0</v>
      </c>
      <c r="H1974" s="9">
        <v>21.5</v>
      </c>
      <c r="I1974" s="10">
        <v>20.0</v>
      </c>
      <c r="J1974" s="11">
        <v>0.0</v>
      </c>
      <c r="K1974" s="9">
        <v>1.21</v>
      </c>
      <c r="L1974" s="7" t="s">
        <v>15</v>
      </c>
    </row>
    <row r="1975" ht="15.75" customHeight="1">
      <c r="A1975" s="6">
        <v>11012.0</v>
      </c>
      <c r="B1975" s="7" t="s">
        <v>32</v>
      </c>
      <c r="C1975" s="8">
        <v>45391.0</v>
      </c>
      <c r="D1975" s="8">
        <v>45405.0</v>
      </c>
      <c r="E1975" s="8">
        <v>45399.0</v>
      </c>
      <c r="F1975" s="8">
        <v>45406.0</v>
      </c>
      <c r="G1975" s="6">
        <v>19.0</v>
      </c>
      <c r="H1975" s="9">
        <v>9.2</v>
      </c>
      <c r="I1975" s="10">
        <v>50.0</v>
      </c>
      <c r="J1975" s="11">
        <v>0.05</v>
      </c>
      <c r="K1975" s="9">
        <v>242.95</v>
      </c>
      <c r="L1975" s="7" t="s">
        <v>13</v>
      </c>
    </row>
    <row r="1976" ht="15.75" customHeight="1">
      <c r="A1976" s="6">
        <v>11012.0</v>
      </c>
      <c r="B1976" s="7" t="s">
        <v>32</v>
      </c>
      <c r="C1976" s="8">
        <v>45391.0</v>
      </c>
      <c r="D1976" s="8">
        <v>45405.0</v>
      </c>
      <c r="E1976" s="8">
        <v>45399.0</v>
      </c>
      <c r="F1976" s="8">
        <v>45406.0</v>
      </c>
      <c r="G1976" s="6">
        <v>60.0</v>
      </c>
      <c r="H1976" s="9">
        <v>34.0</v>
      </c>
      <c r="I1976" s="10">
        <v>36.0</v>
      </c>
      <c r="J1976" s="11">
        <v>0.05</v>
      </c>
      <c r="K1976" s="9">
        <v>242.95</v>
      </c>
      <c r="L1976" s="7" t="s">
        <v>13</v>
      </c>
    </row>
    <row r="1977" ht="15.75" customHeight="1">
      <c r="A1977" s="6">
        <v>11012.0</v>
      </c>
      <c r="B1977" s="7" t="s">
        <v>32</v>
      </c>
      <c r="C1977" s="8">
        <v>45391.0</v>
      </c>
      <c r="D1977" s="8">
        <v>45405.0</v>
      </c>
      <c r="E1977" s="8">
        <v>45399.0</v>
      </c>
      <c r="F1977" s="8">
        <v>45406.0</v>
      </c>
      <c r="G1977" s="6">
        <v>71.0</v>
      </c>
      <c r="H1977" s="9">
        <v>21.5</v>
      </c>
      <c r="I1977" s="10">
        <v>60.0</v>
      </c>
      <c r="J1977" s="11">
        <v>0.05</v>
      </c>
      <c r="K1977" s="9">
        <v>242.95</v>
      </c>
      <c r="L1977" s="7" t="s">
        <v>13</v>
      </c>
    </row>
    <row r="1978" ht="15.75" customHeight="1">
      <c r="A1978" s="6">
        <v>11013.0</v>
      </c>
      <c r="B1978" s="7" t="s">
        <v>42</v>
      </c>
      <c r="C1978" s="8">
        <v>45391.0</v>
      </c>
      <c r="D1978" s="8">
        <v>45419.0</v>
      </c>
      <c r="E1978" s="8">
        <v>45392.0</v>
      </c>
      <c r="F1978" s="8">
        <v>45400.0</v>
      </c>
      <c r="G1978" s="6">
        <v>23.0</v>
      </c>
      <c r="H1978" s="9">
        <v>9.0</v>
      </c>
      <c r="I1978" s="10">
        <v>10.0</v>
      </c>
      <c r="J1978" s="11">
        <v>0.0</v>
      </c>
      <c r="K1978" s="9">
        <v>32.99</v>
      </c>
      <c r="L1978" s="7" t="s">
        <v>15</v>
      </c>
    </row>
    <row r="1979" ht="15.75" customHeight="1">
      <c r="A1979" s="6">
        <v>11013.0</v>
      </c>
      <c r="B1979" s="7" t="s">
        <v>42</v>
      </c>
      <c r="C1979" s="8">
        <v>45391.0</v>
      </c>
      <c r="D1979" s="8">
        <v>45419.0</v>
      </c>
      <c r="E1979" s="8">
        <v>45392.0</v>
      </c>
      <c r="F1979" s="8">
        <v>45400.0</v>
      </c>
      <c r="G1979" s="6">
        <v>42.0</v>
      </c>
      <c r="H1979" s="9">
        <v>14.0</v>
      </c>
      <c r="I1979" s="10">
        <v>4.0</v>
      </c>
      <c r="J1979" s="11">
        <v>0.0</v>
      </c>
      <c r="K1979" s="9">
        <v>32.99</v>
      </c>
      <c r="L1979" s="7" t="s">
        <v>15</v>
      </c>
    </row>
    <row r="1980" ht="15.75" customHeight="1">
      <c r="A1980" s="6">
        <v>11013.0</v>
      </c>
      <c r="B1980" s="7" t="s">
        <v>42</v>
      </c>
      <c r="C1980" s="8">
        <v>45391.0</v>
      </c>
      <c r="D1980" s="8">
        <v>45419.0</v>
      </c>
      <c r="E1980" s="8">
        <v>45392.0</v>
      </c>
      <c r="F1980" s="8">
        <v>45400.0</v>
      </c>
      <c r="G1980" s="6">
        <v>45.0</v>
      </c>
      <c r="H1980" s="9">
        <v>9.5</v>
      </c>
      <c r="I1980" s="10">
        <v>20.0</v>
      </c>
      <c r="J1980" s="11">
        <v>0.0</v>
      </c>
      <c r="K1980" s="9">
        <v>32.99</v>
      </c>
      <c r="L1980" s="7" t="s">
        <v>15</v>
      </c>
    </row>
    <row r="1981" ht="15.75" customHeight="1">
      <c r="A1981" s="6">
        <v>11013.0</v>
      </c>
      <c r="B1981" s="7" t="s">
        <v>42</v>
      </c>
      <c r="C1981" s="8">
        <v>45391.0</v>
      </c>
      <c r="D1981" s="8">
        <v>45419.0</v>
      </c>
      <c r="E1981" s="8">
        <v>45392.0</v>
      </c>
      <c r="F1981" s="8">
        <v>45400.0</v>
      </c>
      <c r="G1981" s="6">
        <v>68.0</v>
      </c>
      <c r="H1981" s="9">
        <v>12.5</v>
      </c>
      <c r="I1981" s="10">
        <v>2.0</v>
      </c>
      <c r="J1981" s="11">
        <v>0.0</v>
      </c>
      <c r="K1981" s="9">
        <v>32.99</v>
      </c>
      <c r="L1981" s="7" t="s">
        <v>15</v>
      </c>
    </row>
    <row r="1982" ht="15.75" customHeight="1">
      <c r="A1982" s="6">
        <v>11014.0</v>
      </c>
      <c r="B1982" s="7" t="s">
        <v>82</v>
      </c>
      <c r="C1982" s="8">
        <v>45392.0</v>
      </c>
      <c r="D1982" s="8">
        <v>45420.0</v>
      </c>
      <c r="E1982" s="8">
        <v>45397.0</v>
      </c>
      <c r="F1982" s="8">
        <v>45408.0</v>
      </c>
      <c r="G1982" s="6">
        <v>41.0</v>
      </c>
      <c r="H1982" s="9">
        <v>9.65</v>
      </c>
      <c r="I1982" s="10">
        <v>28.0</v>
      </c>
      <c r="J1982" s="11">
        <v>0.1</v>
      </c>
      <c r="K1982" s="9">
        <v>23.6</v>
      </c>
      <c r="L1982" s="7" t="s">
        <v>13</v>
      </c>
    </row>
    <row r="1983" ht="15.75" customHeight="1">
      <c r="A1983" s="6">
        <v>11015.0</v>
      </c>
      <c r="B1983" s="7" t="s">
        <v>80</v>
      </c>
      <c r="C1983" s="8">
        <v>45392.0</v>
      </c>
      <c r="D1983" s="8">
        <v>45406.0</v>
      </c>
      <c r="E1983" s="8">
        <v>45402.0</v>
      </c>
      <c r="F1983" s="8">
        <v>45417.0</v>
      </c>
      <c r="G1983" s="6">
        <v>30.0</v>
      </c>
      <c r="H1983" s="9">
        <v>25.89</v>
      </c>
      <c r="I1983" s="10">
        <v>15.0</v>
      </c>
      <c r="J1983" s="11">
        <v>0.0</v>
      </c>
      <c r="K1983" s="9">
        <v>4.62</v>
      </c>
      <c r="L1983" s="7" t="s">
        <v>17</v>
      </c>
    </row>
    <row r="1984" ht="15.75" customHeight="1">
      <c r="A1984" s="6">
        <v>11015.0</v>
      </c>
      <c r="B1984" s="7" t="s">
        <v>80</v>
      </c>
      <c r="C1984" s="8">
        <v>45392.0</v>
      </c>
      <c r="D1984" s="8">
        <v>45406.0</v>
      </c>
      <c r="E1984" s="8">
        <v>45402.0</v>
      </c>
      <c r="F1984" s="8">
        <v>45417.0</v>
      </c>
      <c r="G1984" s="6">
        <v>77.0</v>
      </c>
      <c r="H1984" s="9">
        <v>13.0</v>
      </c>
      <c r="I1984" s="10">
        <v>18.0</v>
      </c>
      <c r="J1984" s="11">
        <v>0.0</v>
      </c>
      <c r="K1984" s="9">
        <v>4.62</v>
      </c>
      <c r="L1984" s="7" t="s">
        <v>17</v>
      </c>
    </row>
    <row r="1985" ht="15.75" customHeight="1">
      <c r="A1985" s="6">
        <v>11016.0</v>
      </c>
      <c r="B1985" s="7" t="s">
        <v>70</v>
      </c>
      <c r="C1985" s="8">
        <v>45392.0</v>
      </c>
      <c r="D1985" s="8">
        <v>45420.0</v>
      </c>
      <c r="E1985" s="8">
        <v>45395.0</v>
      </c>
      <c r="F1985" s="8">
        <v>45405.0</v>
      </c>
      <c r="G1985" s="6">
        <v>31.0</v>
      </c>
      <c r="H1985" s="9">
        <v>12.5</v>
      </c>
      <c r="I1985" s="10">
        <v>15.0</v>
      </c>
      <c r="J1985" s="11">
        <v>0.0</v>
      </c>
      <c r="K1985" s="9">
        <v>33.8</v>
      </c>
      <c r="L1985" s="7" t="s">
        <v>17</v>
      </c>
    </row>
    <row r="1986" ht="15.75" customHeight="1">
      <c r="A1986" s="6">
        <v>11016.0</v>
      </c>
      <c r="B1986" s="7" t="s">
        <v>70</v>
      </c>
      <c r="C1986" s="8">
        <v>45392.0</v>
      </c>
      <c r="D1986" s="8">
        <v>45420.0</v>
      </c>
      <c r="E1986" s="8">
        <v>45395.0</v>
      </c>
      <c r="F1986" s="8">
        <v>45405.0</v>
      </c>
      <c r="G1986" s="6">
        <v>36.0</v>
      </c>
      <c r="H1986" s="9">
        <v>19.0</v>
      </c>
      <c r="I1986" s="10">
        <v>16.0</v>
      </c>
      <c r="J1986" s="11">
        <v>0.0</v>
      </c>
      <c r="K1986" s="9">
        <v>33.8</v>
      </c>
      <c r="L1986" s="7" t="s">
        <v>17</v>
      </c>
    </row>
    <row r="1987" ht="15.75" customHeight="1">
      <c r="A1987" s="6">
        <v>11017.0</v>
      </c>
      <c r="B1987" s="7" t="s">
        <v>24</v>
      </c>
      <c r="C1987" s="8">
        <v>45395.0</v>
      </c>
      <c r="D1987" s="8">
        <v>45423.0</v>
      </c>
      <c r="E1987" s="8">
        <v>45402.0</v>
      </c>
      <c r="F1987" s="8">
        <v>45414.0</v>
      </c>
      <c r="G1987" s="6">
        <v>3.0</v>
      </c>
      <c r="H1987" s="9">
        <v>10.0</v>
      </c>
      <c r="I1987" s="10">
        <v>25.0</v>
      </c>
      <c r="J1987" s="11">
        <v>0.0</v>
      </c>
      <c r="K1987" s="9">
        <v>754.26</v>
      </c>
      <c r="L1987" s="7" t="s">
        <v>17</v>
      </c>
    </row>
    <row r="1988" ht="15.75" customHeight="1">
      <c r="A1988" s="6">
        <v>11017.0</v>
      </c>
      <c r="B1988" s="7" t="s">
        <v>24</v>
      </c>
      <c r="C1988" s="8">
        <v>45395.0</v>
      </c>
      <c r="D1988" s="8">
        <v>45423.0</v>
      </c>
      <c r="E1988" s="8">
        <v>45402.0</v>
      </c>
      <c r="F1988" s="8">
        <v>45414.0</v>
      </c>
      <c r="G1988" s="6">
        <v>59.0</v>
      </c>
      <c r="H1988" s="9">
        <v>55.0</v>
      </c>
      <c r="I1988" s="10">
        <v>110.0</v>
      </c>
      <c r="J1988" s="11">
        <v>0.0</v>
      </c>
      <c r="K1988" s="9">
        <v>754.26</v>
      </c>
      <c r="L1988" s="7" t="s">
        <v>17</v>
      </c>
    </row>
    <row r="1989" ht="15.75" customHeight="1">
      <c r="A1989" s="6">
        <v>11017.0</v>
      </c>
      <c r="B1989" s="7" t="s">
        <v>24</v>
      </c>
      <c r="C1989" s="8">
        <v>45395.0</v>
      </c>
      <c r="D1989" s="8">
        <v>45423.0</v>
      </c>
      <c r="E1989" s="8">
        <v>45402.0</v>
      </c>
      <c r="F1989" s="8">
        <v>45414.0</v>
      </c>
      <c r="G1989" s="6">
        <v>70.0</v>
      </c>
      <c r="H1989" s="9">
        <v>15.0</v>
      </c>
      <c r="I1989" s="10">
        <v>30.0</v>
      </c>
      <c r="J1989" s="11">
        <v>0.0</v>
      </c>
      <c r="K1989" s="9">
        <v>754.26</v>
      </c>
      <c r="L1989" s="7" t="s">
        <v>17</v>
      </c>
    </row>
    <row r="1990" ht="15.75" customHeight="1">
      <c r="A1990" s="6">
        <v>11018.0</v>
      </c>
      <c r="B1990" s="7" t="s">
        <v>53</v>
      </c>
      <c r="C1990" s="8">
        <v>45395.0</v>
      </c>
      <c r="D1990" s="8">
        <v>45423.0</v>
      </c>
      <c r="E1990" s="8">
        <v>45398.0</v>
      </c>
      <c r="F1990" s="8">
        <v>45417.0</v>
      </c>
      <c r="G1990" s="6">
        <v>12.0</v>
      </c>
      <c r="H1990" s="9">
        <v>38.0</v>
      </c>
      <c r="I1990" s="10">
        <v>20.0</v>
      </c>
      <c r="J1990" s="11">
        <v>0.0</v>
      </c>
      <c r="K1990" s="9">
        <v>11.65</v>
      </c>
      <c r="L1990" s="7" t="s">
        <v>17</v>
      </c>
    </row>
    <row r="1991" ht="15.75" customHeight="1">
      <c r="A1991" s="6">
        <v>11018.0</v>
      </c>
      <c r="B1991" s="7" t="s">
        <v>53</v>
      </c>
      <c r="C1991" s="8">
        <v>45395.0</v>
      </c>
      <c r="D1991" s="8">
        <v>45423.0</v>
      </c>
      <c r="E1991" s="8">
        <v>45398.0</v>
      </c>
      <c r="F1991" s="8">
        <v>45417.0</v>
      </c>
      <c r="G1991" s="6">
        <v>18.0</v>
      </c>
      <c r="H1991" s="9">
        <v>62.5</v>
      </c>
      <c r="I1991" s="10">
        <v>10.0</v>
      </c>
      <c r="J1991" s="11">
        <v>0.0</v>
      </c>
      <c r="K1991" s="9">
        <v>11.65</v>
      </c>
      <c r="L1991" s="7" t="s">
        <v>17</v>
      </c>
    </row>
    <row r="1992" ht="15.75" customHeight="1">
      <c r="A1992" s="6">
        <v>11018.0</v>
      </c>
      <c r="B1992" s="7" t="s">
        <v>53</v>
      </c>
      <c r="C1992" s="8">
        <v>45395.0</v>
      </c>
      <c r="D1992" s="8">
        <v>45423.0</v>
      </c>
      <c r="E1992" s="8">
        <v>45398.0</v>
      </c>
      <c r="F1992" s="8">
        <v>45417.0</v>
      </c>
      <c r="G1992" s="6">
        <v>56.0</v>
      </c>
      <c r="H1992" s="9">
        <v>38.0</v>
      </c>
      <c r="I1992" s="10">
        <v>5.0</v>
      </c>
      <c r="J1992" s="11">
        <v>0.0</v>
      </c>
      <c r="K1992" s="9">
        <v>11.65</v>
      </c>
      <c r="L1992" s="7" t="s">
        <v>17</v>
      </c>
    </row>
    <row r="1993" ht="15.75" customHeight="1">
      <c r="A1993" s="6">
        <v>11019.0</v>
      </c>
      <c r="B1993" s="7" t="s">
        <v>88</v>
      </c>
      <c r="C1993" s="8">
        <v>45395.0</v>
      </c>
      <c r="D1993" s="8">
        <v>45423.0</v>
      </c>
      <c r="E1993" s="8"/>
      <c r="F1993" s="8"/>
      <c r="G1993" s="6">
        <v>46.0</v>
      </c>
      <c r="H1993" s="9">
        <v>12.0</v>
      </c>
      <c r="I1993" s="10">
        <v>3.0</v>
      </c>
      <c r="J1993" s="11">
        <v>0.0</v>
      </c>
      <c r="K1993" s="9">
        <v>3.17</v>
      </c>
      <c r="L1993" s="7" t="s">
        <v>13</v>
      </c>
    </row>
    <row r="1994" ht="15.75" customHeight="1">
      <c r="A1994" s="6">
        <v>11019.0</v>
      </c>
      <c r="B1994" s="7" t="s">
        <v>88</v>
      </c>
      <c r="C1994" s="8">
        <v>45395.0</v>
      </c>
      <c r="D1994" s="8">
        <v>45423.0</v>
      </c>
      <c r="E1994" s="8"/>
      <c r="F1994" s="8"/>
      <c r="G1994" s="6">
        <v>49.0</v>
      </c>
      <c r="H1994" s="9">
        <v>20.0</v>
      </c>
      <c r="I1994" s="10">
        <v>2.0</v>
      </c>
      <c r="J1994" s="11">
        <v>0.0</v>
      </c>
      <c r="K1994" s="9">
        <v>3.17</v>
      </c>
      <c r="L1994" s="7" t="s">
        <v>13</v>
      </c>
    </row>
    <row r="1995" ht="15.75" customHeight="1">
      <c r="A1995" s="6">
        <v>11020.0</v>
      </c>
      <c r="B1995" s="7" t="s">
        <v>26</v>
      </c>
      <c r="C1995" s="8">
        <v>45396.0</v>
      </c>
      <c r="D1995" s="8">
        <v>45424.0</v>
      </c>
      <c r="E1995" s="8">
        <v>45398.0</v>
      </c>
      <c r="F1995" s="8">
        <v>45407.0</v>
      </c>
      <c r="G1995" s="6">
        <v>10.0</v>
      </c>
      <c r="H1995" s="9">
        <v>31.0</v>
      </c>
      <c r="I1995" s="10">
        <v>24.0</v>
      </c>
      <c r="J1995" s="11">
        <v>0.15</v>
      </c>
      <c r="K1995" s="9">
        <v>43.3</v>
      </c>
      <c r="L1995" s="7" t="s">
        <v>17</v>
      </c>
    </row>
    <row r="1996" ht="15.75" customHeight="1">
      <c r="A1996" s="6">
        <v>11021.0</v>
      </c>
      <c r="B1996" s="7" t="s">
        <v>36</v>
      </c>
      <c r="C1996" s="8">
        <v>45396.0</v>
      </c>
      <c r="D1996" s="8">
        <v>45424.0</v>
      </c>
      <c r="E1996" s="8">
        <v>45403.0</v>
      </c>
      <c r="F1996" s="8">
        <v>45405.0</v>
      </c>
      <c r="G1996" s="6">
        <v>2.0</v>
      </c>
      <c r="H1996" s="9">
        <v>19.0</v>
      </c>
      <c r="I1996" s="10">
        <v>11.0</v>
      </c>
      <c r="J1996" s="11">
        <v>0.25</v>
      </c>
      <c r="K1996" s="9">
        <v>297.18</v>
      </c>
      <c r="L1996" s="7" t="s">
        <v>15</v>
      </c>
    </row>
    <row r="1997" ht="15.75" customHeight="1">
      <c r="A1997" s="6">
        <v>11021.0</v>
      </c>
      <c r="B1997" s="7" t="s">
        <v>36</v>
      </c>
      <c r="C1997" s="8">
        <v>45396.0</v>
      </c>
      <c r="D1997" s="8">
        <v>45424.0</v>
      </c>
      <c r="E1997" s="8">
        <v>45403.0</v>
      </c>
      <c r="F1997" s="8">
        <v>45405.0</v>
      </c>
      <c r="G1997" s="6">
        <v>20.0</v>
      </c>
      <c r="H1997" s="9">
        <v>81.0</v>
      </c>
      <c r="I1997" s="10">
        <v>15.0</v>
      </c>
      <c r="J1997" s="11">
        <v>0.0</v>
      </c>
      <c r="K1997" s="9">
        <v>297.18</v>
      </c>
      <c r="L1997" s="7" t="s">
        <v>15</v>
      </c>
    </row>
    <row r="1998" ht="15.75" customHeight="1">
      <c r="A1998" s="6">
        <v>11021.0</v>
      </c>
      <c r="B1998" s="7" t="s">
        <v>36</v>
      </c>
      <c r="C1998" s="8">
        <v>45396.0</v>
      </c>
      <c r="D1998" s="8">
        <v>45424.0</v>
      </c>
      <c r="E1998" s="8">
        <v>45403.0</v>
      </c>
      <c r="F1998" s="8">
        <v>45405.0</v>
      </c>
      <c r="G1998" s="6">
        <v>26.0</v>
      </c>
      <c r="H1998" s="9">
        <v>31.23</v>
      </c>
      <c r="I1998" s="10">
        <v>63.0</v>
      </c>
      <c r="J1998" s="11">
        <v>0.0</v>
      </c>
      <c r="K1998" s="9">
        <v>297.18</v>
      </c>
      <c r="L1998" s="7" t="s">
        <v>15</v>
      </c>
    </row>
    <row r="1999" ht="15.75" customHeight="1">
      <c r="A1999" s="6">
        <v>11021.0</v>
      </c>
      <c r="B1999" s="7" t="s">
        <v>36</v>
      </c>
      <c r="C1999" s="8">
        <v>45396.0</v>
      </c>
      <c r="D1999" s="8">
        <v>45424.0</v>
      </c>
      <c r="E1999" s="8">
        <v>45403.0</v>
      </c>
      <c r="F1999" s="8">
        <v>45405.0</v>
      </c>
      <c r="G1999" s="6">
        <v>51.0</v>
      </c>
      <c r="H1999" s="9">
        <v>53.0</v>
      </c>
      <c r="I1999" s="10">
        <v>44.0</v>
      </c>
      <c r="J1999" s="11">
        <v>0.25</v>
      </c>
      <c r="K1999" s="9">
        <v>297.18</v>
      </c>
      <c r="L1999" s="7" t="s">
        <v>15</v>
      </c>
    </row>
    <row r="2000" ht="15.75" customHeight="1">
      <c r="A2000" s="6">
        <v>11021.0</v>
      </c>
      <c r="B2000" s="7" t="s">
        <v>36</v>
      </c>
      <c r="C2000" s="8">
        <v>45396.0</v>
      </c>
      <c r="D2000" s="8">
        <v>45424.0</v>
      </c>
      <c r="E2000" s="8">
        <v>45403.0</v>
      </c>
      <c r="F2000" s="8">
        <v>45405.0</v>
      </c>
      <c r="G2000" s="6">
        <v>72.0</v>
      </c>
      <c r="H2000" s="9">
        <v>34.8</v>
      </c>
      <c r="I2000" s="10">
        <v>35.0</v>
      </c>
      <c r="J2000" s="11">
        <v>0.0</v>
      </c>
      <c r="K2000" s="9">
        <v>297.18</v>
      </c>
      <c r="L2000" s="7" t="s">
        <v>15</v>
      </c>
    </row>
    <row r="2001" ht="15.75" customHeight="1">
      <c r="A2001" s="6">
        <v>11022.0</v>
      </c>
      <c r="B2001" s="7" t="s">
        <v>16</v>
      </c>
      <c r="C2001" s="8">
        <v>45396.0</v>
      </c>
      <c r="D2001" s="8">
        <v>45424.0</v>
      </c>
      <c r="E2001" s="8">
        <v>45416.0</v>
      </c>
      <c r="F2001" s="8">
        <v>45437.0</v>
      </c>
      <c r="G2001" s="6">
        <v>19.0</v>
      </c>
      <c r="H2001" s="9">
        <v>9.2</v>
      </c>
      <c r="I2001" s="10">
        <v>35.0</v>
      </c>
      <c r="J2001" s="11">
        <v>0.0</v>
      </c>
      <c r="K2001" s="9">
        <v>6.27</v>
      </c>
      <c r="L2001" s="7" t="s">
        <v>17</v>
      </c>
    </row>
    <row r="2002" ht="15.75" customHeight="1">
      <c r="A2002" s="6">
        <v>11022.0</v>
      </c>
      <c r="B2002" s="7" t="s">
        <v>16</v>
      </c>
      <c r="C2002" s="8">
        <v>45396.0</v>
      </c>
      <c r="D2002" s="8">
        <v>45424.0</v>
      </c>
      <c r="E2002" s="8">
        <v>45416.0</v>
      </c>
      <c r="F2002" s="8">
        <v>45437.0</v>
      </c>
      <c r="G2002" s="6">
        <v>69.0</v>
      </c>
      <c r="H2002" s="9">
        <v>36.0</v>
      </c>
      <c r="I2002" s="10">
        <v>30.0</v>
      </c>
      <c r="J2002" s="11">
        <v>0.0</v>
      </c>
      <c r="K2002" s="9">
        <v>6.27</v>
      </c>
      <c r="L2002" s="7" t="s">
        <v>17</v>
      </c>
    </row>
    <row r="2003" ht="15.75" customHeight="1">
      <c r="A2003" s="6">
        <v>11023.0</v>
      </c>
      <c r="B2003" s="7" t="s">
        <v>46</v>
      </c>
      <c r="C2003" s="8">
        <v>45396.0</v>
      </c>
      <c r="D2003" s="8">
        <v>45410.0</v>
      </c>
      <c r="E2003" s="8">
        <v>45406.0</v>
      </c>
      <c r="F2003" s="8">
        <v>45415.0</v>
      </c>
      <c r="G2003" s="6">
        <v>7.0</v>
      </c>
      <c r="H2003" s="9">
        <v>30.0</v>
      </c>
      <c r="I2003" s="10">
        <v>4.0</v>
      </c>
      <c r="J2003" s="11">
        <v>0.0</v>
      </c>
      <c r="K2003" s="9">
        <v>123.83</v>
      </c>
      <c r="L2003" s="7" t="s">
        <v>17</v>
      </c>
    </row>
    <row r="2004" ht="15.75" customHeight="1">
      <c r="A2004" s="6">
        <v>11023.0</v>
      </c>
      <c r="B2004" s="7" t="s">
        <v>46</v>
      </c>
      <c r="C2004" s="8">
        <v>45396.0</v>
      </c>
      <c r="D2004" s="8">
        <v>45410.0</v>
      </c>
      <c r="E2004" s="8">
        <v>45406.0</v>
      </c>
      <c r="F2004" s="8">
        <v>45415.0</v>
      </c>
      <c r="G2004" s="6">
        <v>43.0</v>
      </c>
      <c r="H2004" s="9">
        <v>46.0</v>
      </c>
      <c r="I2004" s="10">
        <v>30.0</v>
      </c>
      <c r="J2004" s="11">
        <v>0.0</v>
      </c>
      <c r="K2004" s="9">
        <v>123.83</v>
      </c>
      <c r="L2004" s="7" t="s">
        <v>17</v>
      </c>
    </row>
    <row r="2005" ht="15.75" customHeight="1">
      <c r="A2005" s="6">
        <v>11024.0</v>
      </c>
      <c r="B2005" s="7" t="s">
        <v>73</v>
      </c>
      <c r="C2005" s="8">
        <v>45397.0</v>
      </c>
      <c r="D2005" s="8">
        <v>45425.0</v>
      </c>
      <c r="E2005" s="8">
        <v>45402.0</v>
      </c>
      <c r="F2005" s="8">
        <v>45409.0</v>
      </c>
      <c r="G2005" s="6">
        <v>26.0</v>
      </c>
      <c r="H2005" s="9">
        <v>31.23</v>
      </c>
      <c r="I2005" s="10">
        <v>12.0</v>
      </c>
      <c r="J2005" s="11">
        <v>0.0</v>
      </c>
      <c r="K2005" s="9">
        <v>74.36</v>
      </c>
      <c r="L2005" s="7" t="s">
        <v>15</v>
      </c>
    </row>
    <row r="2006" ht="15.75" customHeight="1">
      <c r="A2006" s="6">
        <v>11024.0</v>
      </c>
      <c r="B2006" s="7" t="s">
        <v>73</v>
      </c>
      <c r="C2006" s="8">
        <v>45397.0</v>
      </c>
      <c r="D2006" s="8">
        <v>45425.0</v>
      </c>
      <c r="E2006" s="8">
        <v>45402.0</v>
      </c>
      <c r="F2006" s="8">
        <v>45409.0</v>
      </c>
      <c r="G2006" s="6">
        <v>33.0</v>
      </c>
      <c r="H2006" s="9">
        <v>2.5</v>
      </c>
      <c r="I2006" s="10">
        <v>30.0</v>
      </c>
      <c r="J2006" s="11">
        <v>0.0</v>
      </c>
      <c r="K2006" s="9">
        <v>74.36</v>
      </c>
      <c r="L2006" s="7" t="s">
        <v>15</v>
      </c>
    </row>
    <row r="2007" ht="15.75" customHeight="1">
      <c r="A2007" s="6">
        <v>11024.0</v>
      </c>
      <c r="B2007" s="7" t="s">
        <v>73</v>
      </c>
      <c r="C2007" s="8">
        <v>45397.0</v>
      </c>
      <c r="D2007" s="8">
        <v>45425.0</v>
      </c>
      <c r="E2007" s="8">
        <v>45402.0</v>
      </c>
      <c r="F2007" s="8">
        <v>45409.0</v>
      </c>
      <c r="G2007" s="6">
        <v>65.0</v>
      </c>
      <c r="H2007" s="9">
        <v>21.05</v>
      </c>
      <c r="I2007" s="10">
        <v>21.0</v>
      </c>
      <c r="J2007" s="11">
        <v>0.0</v>
      </c>
      <c r="K2007" s="9">
        <v>74.36</v>
      </c>
      <c r="L2007" s="7" t="s">
        <v>15</v>
      </c>
    </row>
    <row r="2008" ht="15.75" customHeight="1">
      <c r="A2008" s="6">
        <v>11024.0</v>
      </c>
      <c r="B2008" s="7" t="s">
        <v>73</v>
      </c>
      <c r="C2008" s="8">
        <v>45397.0</v>
      </c>
      <c r="D2008" s="8">
        <v>45425.0</v>
      </c>
      <c r="E2008" s="8">
        <v>45402.0</v>
      </c>
      <c r="F2008" s="8">
        <v>45409.0</v>
      </c>
      <c r="G2008" s="6">
        <v>71.0</v>
      </c>
      <c r="H2008" s="9">
        <v>21.5</v>
      </c>
      <c r="I2008" s="10">
        <v>50.0</v>
      </c>
      <c r="J2008" s="11">
        <v>0.0</v>
      </c>
      <c r="K2008" s="9">
        <v>74.36</v>
      </c>
      <c r="L2008" s="7" t="s">
        <v>15</v>
      </c>
    </row>
    <row r="2009" ht="15.75" customHeight="1">
      <c r="A2009" s="6">
        <v>11025.0</v>
      </c>
      <c r="B2009" s="7" t="s">
        <v>31</v>
      </c>
      <c r="C2009" s="8">
        <v>45397.0</v>
      </c>
      <c r="D2009" s="8">
        <v>45425.0</v>
      </c>
      <c r="E2009" s="8">
        <v>45406.0</v>
      </c>
      <c r="F2009" s="8">
        <v>45420.0</v>
      </c>
      <c r="G2009" s="6">
        <v>1.0</v>
      </c>
      <c r="H2009" s="9">
        <v>18.0</v>
      </c>
      <c r="I2009" s="10">
        <v>10.0</v>
      </c>
      <c r="J2009" s="11">
        <v>0.1</v>
      </c>
      <c r="K2009" s="9">
        <v>29.17</v>
      </c>
      <c r="L2009" s="7" t="s">
        <v>13</v>
      </c>
    </row>
    <row r="2010" ht="15.75" customHeight="1">
      <c r="A2010" s="6">
        <v>11025.0</v>
      </c>
      <c r="B2010" s="7" t="s">
        <v>31</v>
      </c>
      <c r="C2010" s="8">
        <v>45397.0</v>
      </c>
      <c r="D2010" s="8">
        <v>45425.0</v>
      </c>
      <c r="E2010" s="8">
        <v>45406.0</v>
      </c>
      <c r="F2010" s="8">
        <v>45420.0</v>
      </c>
      <c r="G2010" s="6">
        <v>13.0</v>
      </c>
      <c r="H2010" s="9">
        <v>6.0</v>
      </c>
      <c r="I2010" s="10">
        <v>20.0</v>
      </c>
      <c r="J2010" s="11">
        <v>0.1</v>
      </c>
      <c r="K2010" s="9">
        <v>29.17</v>
      </c>
      <c r="L2010" s="7" t="s">
        <v>13</v>
      </c>
    </row>
    <row r="2011" ht="15.75" customHeight="1">
      <c r="A2011" s="6">
        <v>11026.0</v>
      </c>
      <c r="B2011" s="7" t="s">
        <v>85</v>
      </c>
      <c r="C2011" s="8">
        <v>45397.0</v>
      </c>
      <c r="D2011" s="8">
        <v>45425.0</v>
      </c>
      <c r="E2011" s="8">
        <v>45410.0</v>
      </c>
      <c r="F2011" s="8">
        <v>45418.0</v>
      </c>
      <c r="G2011" s="6">
        <v>18.0</v>
      </c>
      <c r="H2011" s="9">
        <v>62.5</v>
      </c>
      <c r="I2011" s="10">
        <v>8.0</v>
      </c>
      <c r="J2011" s="11">
        <v>0.0</v>
      </c>
      <c r="K2011" s="9">
        <v>47.09</v>
      </c>
      <c r="L2011" s="7" t="s">
        <v>15</v>
      </c>
    </row>
    <row r="2012" ht="15.75" customHeight="1">
      <c r="A2012" s="6">
        <v>11026.0</v>
      </c>
      <c r="B2012" s="7" t="s">
        <v>85</v>
      </c>
      <c r="C2012" s="8">
        <v>45397.0</v>
      </c>
      <c r="D2012" s="8">
        <v>45425.0</v>
      </c>
      <c r="E2012" s="8">
        <v>45410.0</v>
      </c>
      <c r="F2012" s="8">
        <v>45418.0</v>
      </c>
      <c r="G2012" s="6">
        <v>51.0</v>
      </c>
      <c r="H2012" s="9">
        <v>53.0</v>
      </c>
      <c r="I2012" s="10">
        <v>10.0</v>
      </c>
      <c r="J2012" s="11">
        <v>0.0</v>
      </c>
      <c r="K2012" s="9">
        <v>47.09</v>
      </c>
      <c r="L2012" s="7" t="s">
        <v>15</v>
      </c>
    </row>
    <row r="2013" ht="15.75" customHeight="1">
      <c r="A2013" s="6">
        <v>11027.0</v>
      </c>
      <c r="B2013" s="7" t="s">
        <v>81</v>
      </c>
      <c r="C2013" s="8">
        <v>45398.0</v>
      </c>
      <c r="D2013" s="8">
        <v>45426.0</v>
      </c>
      <c r="E2013" s="8">
        <v>45402.0</v>
      </c>
      <c r="F2013" s="8">
        <v>45412.0</v>
      </c>
      <c r="G2013" s="6">
        <v>24.0</v>
      </c>
      <c r="H2013" s="9">
        <v>4.5</v>
      </c>
      <c r="I2013" s="10">
        <v>30.0</v>
      </c>
      <c r="J2013" s="11">
        <v>0.25</v>
      </c>
      <c r="K2013" s="9">
        <v>52.52</v>
      </c>
      <c r="L2013" s="7" t="s">
        <v>15</v>
      </c>
    </row>
    <row r="2014" ht="15.75" customHeight="1">
      <c r="A2014" s="6">
        <v>11027.0</v>
      </c>
      <c r="B2014" s="7" t="s">
        <v>81</v>
      </c>
      <c r="C2014" s="8">
        <v>45398.0</v>
      </c>
      <c r="D2014" s="8">
        <v>45426.0</v>
      </c>
      <c r="E2014" s="8">
        <v>45402.0</v>
      </c>
      <c r="F2014" s="8">
        <v>45412.0</v>
      </c>
      <c r="G2014" s="6">
        <v>62.0</v>
      </c>
      <c r="H2014" s="9">
        <v>49.3</v>
      </c>
      <c r="I2014" s="10">
        <v>21.0</v>
      </c>
      <c r="J2014" s="11">
        <v>0.25</v>
      </c>
      <c r="K2014" s="9">
        <v>52.52</v>
      </c>
      <c r="L2014" s="7" t="s">
        <v>15</v>
      </c>
    </row>
    <row r="2015" ht="15.75" customHeight="1">
      <c r="A2015" s="6">
        <v>11028.0</v>
      </c>
      <c r="B2015" s="7" t="s">
        <v>59</v>
      </c>
      <c r="C2015" s="8">
        <v>45398.0</v>
      </c>
      <c r="D2015" s="8">
        <v>45426.0</v>
      </c>
      <c r="E2015" s="8">
        <v>45404.0</v>
      </c>
      <c r="F2015" s="8">
        <v>45405.0</v>
      </c>
      <c r="G2015" s="6">
        <v>55.0</v>
      </c>
      <c r="H2015" s="9">
        <v>24.0</v>
      </c>
      <c r="I2015" s="10">
        <v>35.0</v>
      </c>
      <c r="J2015" s="11">
        <v>0.0</v>
      </c>
      <c r="K2015" s="9">
        <v>29.59</v>
      </c>
      <c r="L2015" s="7" t="s">
        <v>15</v>
      </c>
    </row>
    <row r="2016" ht="15.75" customHeight="1">
      <c r="A2016" s="6">
        <v>11028.0</v>
      </c>
      <c r="B2016" s="7" t="s">
        <v>59</v>
      </c>
      <c r="C2016" s="8">
        <v>45398.0</v>
      </c>
      <c r="D2016" s="8">
        <v>45426.0</v>
      </c>
      <c r="E2016" s="8">
        <v>45404.0</v>
      </c>
      <c r="F2016" s="8">
        <v>45405.0</v>
      </c>
      <c r="G2016" s="6">
        <v>59.0</v>
      </c>
      <c r="H2016" s="9">
        <v>55.0</v>
      </c>
      <c r="I2016" s="10">
        <v>24.0</v>
      </c>
      <c r="J2016" s="11">
        <v>0.0</v>
      </c>
      <c r="K2016" s="9">
        <v>29.59</v>
      </c>
      <c r="L2016" s="7" t="s">
        <v>15</v>
      </c>
    </row>
    <row r="2017" ht="15.75" customHeight="1">
      <c r="A2017" s="6">
        <v>11029.0</v>
      </c>
      <c r="B2017" s="7" t="s">
        <v>20</v>
      </c>
      <c r="C2017" s="8">
        <v>45398.0</v>
      </c>
      <c r="D2017" s="8">
        <v>45426.0</v>
      </c>
      <c r="E2017" s="8">
        <v>45409.0</v>
      </c>
      <c r="F2017" s="8">
        <v>45421.0</v>
      </c>
      <c r="G2017" s="6">
        <v>56.0</v>
      </c>
      <c r="H2017" s="9">
        <v>38.0</v>
      </c>
      <c r="I2017" s="10">
        <v>20.0</v>
      </c>
      <c r="J2017" s="11">
        <v>0.0</v>
      </c>
      <c r="K2017" s="9">
        <v>47.84</v>
      </c>
      <c r="L2017" s="7" t="s">
        <v>15</v>
      </c>
    </row>
    <row r="2018" ht="15.75" customHeight="1">
      <c r="A2018" s="6">
        <v>11029.0</v>
      </c>
      <c r="B2018" s="7" t="s">
        <v>20</v>
      </c>
      <c r="C2018" s="8">
        <v>45398.0</v>
      </c>
      <c r="D2018" s="8">
        <v>45426.0</v>
      </c>
      <c r="E2018" s="8">
        <v>45409.0</v>
      </c>
      <c r="F2018" s="8">
        <v>45421.0</v>
      </c>
      <c r="G2018" s="6">
        <v>63.0</v>
      </c>
      <c r="H2018" s="9">
        <v>43.9</v>
      </c>
      <c r="I2018" s="10">
        <v>12.0</v>
      </c>
      <c r="J2018" s="11">
        <v>0.0</v>
      </c>
      <c r="K2018" s="9">
        <v>47.84</v>
      </c>
      <c r="L2018" s="7" t="s">
        <v>15</v>
      </c>
    </row>
    <row r="2019" ht="15.75" customHeight="1">
      <c r="A2019" s="6">
        <v>11030.0</v>
      </c>
      <c r="B2019" s="7" t="s">
        <v>60</v>
      </c>
      <c r="C2019" s="8">
        <v>45399.0</v>
      </c>
      <c r="D2019" s="8">
        <v>45427.0</v>
      </c>
      <c r="E2019" s="8">
        <v>45409.0</v>
      </c>
      <c r="F2019" s="8">
        <v>45426.0</v>
      </c>
      <c r="G2019" s="6">
        <v>2.0</v>
      </c>
      <c r="H2019" s="9">
        <v>19.0</v>
      </c>
      <c r="I2019" s="10">
        <v>100.0</v>
      </c>
      <c r="J2019" s="11">
        <v>0.25</v>
      </c>
      <c r="K2019" s="9">
        <v>830.75</v>
      </c>
      <c r="L2019" s="7" t="s">
        <v>17</v>
      </c>
    </row>
    <row r="2020" ht="15.75" customHeight="1">
      <c r="A2020" s="6">
        <v>11030.0</v>
      </c>
      <c r="B2020" s="7" t="s">
        <v>60</v>
      </c>
      <c r="C2020" s="8">
        <v>45399.0</v>
      </c>
      <c r="D2020" s="8">
        <v>45427.0</v>
      </c>
      <c r="E2020" s="8">
        <v>45409.0</v>
      </c>
      <c r="F2020" s="8">
        <v>45426.0</v>
      </c>
      <c r="G2020" s="6">
        <v>5.0</v>
      </c>
      <c r="H2020" s="9">
        <v>21.35</v>
      </c>
      <c r="I2020" s="10">
        <v>70.0</v>
      </c>
      <c r="J2020" s="11">
        <v>0.0</v>
      </c>
      <c r="K2020" s="9">
        <v>830.75</v>
      </c>
      <c r="L2020" s="7" t="s">
        <v>17</v>
      </c>
    </row>
    <row r="2021" ht="15.75" customHeight="1">
      <c r="A2021" s="6">
        <v>11030.0</v>
      </c>
      <c r="B2021" s="7" t="s">
        <v>60</v>
      </c>
      <c r="C2021" s="8">
        <v>45399.0</v>
      </c>
      <c r="D2021" s="8">
        <v>45427.0</v>
      </c>
      <c r="E2021" s="8">
        <v>45409.0</v>
      </c>
      <c r="F2021" s="8">
        <v>45426.0</v>
      </c>
      <c r="G2021" s="6">
        <v>29.0</v>
      </c>
      <c r="H2021" s="9">
        <v>123.79</v>
      </c>
      <c r="I2021" s="10">
        <v>60.0</v>
      </c>
      <c r="J2021" s="11">
        <v>0.25</v>
      </c>
      <c r="K2021" s="9">
        <v>830.75</v>
      </c>
      <c r="L2021" s="7" t="s">
        <v>17</v>
      </c>
    </row>
    <row r="2022" ht="15.75" customHeight="1">
      <c r="A2022" s="6">
        <v>11030.0</v>
      </c>
      <c r="B2022" s="7" t="s">
        <v>60</v>
      </c>
      <c r="C2022" s="8">
        <v>45399.0</v>
      </c>
      <c r="D2022" s="8">
        <v>45427.0</v>
      </c>
      <c r="E2022" s="8">
        <v>45409.0</v>
      </c>
      <c r="F2022" s="8">
        <v>45426.0</v>
      </c>
      <c r="G2022" s="6">
        <v>59.0</v>
      </c>
      <c r="H2022" s="9">
        <v>55.0</v>
      </c>
      <c r="I2022" s="10">
        <v>100.0</v>
      </c>
      <c r="J2022" s="11">
        <v>0.25</v>
      </c>
      <c r="K2022" s="9">
        <v>830.75</v>
      </c>
      <c r="L2022" s="7" t="s">
        <v>17</v>
      </c>
    </row>
    <row r="2023" ht="15.75" customHeight="1">
      <c r="A2023" s="6">
        <v>11031.0</v>
      </c>
      <c r="B2023" s="7" t="s">
        <v>60</v>
      </c>
      <c r="C2023" s="8">
        <v>45399.0</v>
      </c>
      <c r="D2023" s="8">
        <v>45427.0</v>
      </c>
      <c r="E2023" s="8">
        <v>45406.0</v>
      </c>
      <c r="F2023" s="8">
        <v>45421.0</v>
      </c>
      <c r="G2023" s="6">
        <v>1.0</v>
      </c>
      <c r="H2023" s="9">
        <v>18.0</v>
      </c>
      <c r="I2023" s="10">
        <v>45.0</v>
      </c>
      <c r="J2023" s="11">
        <v>0.0</v>
      </c>
      <c r="K2023" s="9">
        <v>227.22</v>
      </c>
      <c r="L2023" s="7" t="s">
        <v>17</v>
      </c>
    </row>
    <row r="2024" ht="15.75" customHeight="1">
      <c r="A2024" s="6">
        <v>11031.0</v>
      </c>
      <c r="B2024" s="7" t="s">
        <v>60</v>
      </c>
      <c r="C2024" s="8">
        <v>45399.0</v>
      </c>
      <c r="D2024" s="8">
        <v>45427.0</v>
      </c>
      <c r="E2024" s="8">
        <v>45406.0</v>
      </c>
      <c r="F2024" s="8">
        <v>45421.0</v>
      </c>
      <c r="G2024" s="6">
        <v>13.0</v>
      </c>
      <c r="H2024" s="9">
        <v>6.0</v>
      </c>
      <c r="I2024" s="10">
        <v>80.0</v>
      </c>
      <c r="J2024" s="11">
        <v>0.0</v>
      </c>
      <c r="K2024" s="9">
        <v>227.22</v>
      </c>
      <c r="L2024" s="7" t="s">
        <v>17</v>
      </c>
    </row>
    <row r="2025" ht="15.75" customHeight="1">
      <c r="A2025" s="6">
        <v>11031.0</v>
      </c>
      <c r="B2025" s="7" t="s">
        <v>60</v>
      </c>
      <c r="C2025" s="8">
        <v>45399.0</v>
      </c>
      <c r="D2025" s="8">
        <v>45427.0</v>
      </c>
      <c r="E2025" s="8">
        <v>45406.0</v>
      </c>
      <c r="F2025" s="8">
        <v>45421.0</v>
      </c>
      <c r="G2025" s="6">
        <v>24.0</v>
      </c>
      <c r="H2025" s="9">
        <v>4.5</v>
      </c>
      <c r="I2025" s="10">
        <v>21.0</v>
      </c>
      <c r="J2025" s="11">
        <v>0.0</v>
      </c>
      <c r="K2025" s="9">
        <v>227.22</v>
      </c>
      <c r="L2025" s="7" t="s">
        <v>17</v>
      </c>
    </row>
    <row r="2026" ht="15.75" customHeight="1">
      <c r="A2026" s="6">
        <v>11031.0</v>
      </c>
      <c r="B2026" s="7" t="s">
        <v>60</v>
      </c>
      <c r="C2026" s="8">
        <v>45399.0</v>
      </c>
      <c r="D2026" s="8">
        <v>45427.0</v>
      </c>
      <c r="E2026" s="8">
        <v>45406.0</v>
      </c>
      <c r="F2026" s="8">
        <v>45421.0</v>
      </c>
      <c r="G2026" s="6">
        <v>64.0</v>
      </c>
      <c r="H2026" s="9">
        <v>33.25</v>
      </c>
      <c r="I2026" s="10">
        <v>20.0</v>
      </c>
      <c r="J2026" s="11">
        <v>0.0</v>
      </c>
      <c r="K2026" s="9">
        <v>227.22</v>
      </c>
      <c r="L2026" s="7" t="s">
        <v>17</v>
      </c>
    </row>
    <row r="2027" ht="15.75" customHeight="1">
      <c r="A2027" s="6">
        <v>11031.0</v>
      </c>
      <c r="B2027" s="7" t="s">
        <v>60</v>
      </c>
      <c r="C2027" s="8">
        <v>45399.0</v>
      </c>
      <c r="D2027" s="8">
        <v>45427.0</v>
      </c>
      <c r="E2027" s="8">
        <v>45406.0</v>
      </c>
      <c r="F2027" s="8">
        <v>45421.0</v>
      </c>
      <c r="G2027" s="6">
        <v>71.0</v>
      </c>
      <c r="H2027" s="9">
        <v>21.5</v>
      </c>
      <c r="I2027" s="10">
        <v>16.0</v>
      </c>
      <c r="J2027" s="11">
        <v>0.0</v>
      </c>
      <c r="K2027" s="9">
        <v>227.22</v>
      </c>
      <c r="L2027" s="7" t="s">
        <v>17</v>
      </c>
    </row>
    <row r="2028" ht="15.75" customHeight="1">
      <c r="A2028" s="6">
        <v>11032.0</v>
      </c>
      <c r="B2028" s="7" t="s">
        <v>34</v>
      </c>
      <c r="C2028" s="8">
        <v>45399.0</v>
      </c>
      <c r="D2028" s="8">
        <v>45427.0</v>
      </c>
      <c r="E2028" s="8">
        <v>45405.0</v>
      </c>
      <c r="F2028" s="8">
        <v>45419.0</v>
      </c>
      <c r="G2028" s="6">
        <v>36.0</v>
      </c>
      <c r="H2028" s="9">
        <v>19.0</v>
      </c>
      <c r="I2028" s="10">
        <v>35.0</v>
      </c>
      <c r="J2028" s="11">
        <v>0.0</v>
      </c>
      <c r="K2028" s="9">
        <v>606.19</v>
      </c>
      <c r="L2028" s="7" t="s">
        <v>13</v>
      </c>
    </row>
    <row r="2029" ht="15.75" customHeight="1">
      <c r="A2029" s="6">
        <v>11032.0</v>
      </c>
      <c r="B2029" s="7" t="s">
        <v>34</v>
      </c>
      <c r="C2029" s="8">
        <v>45399.0</v>
      </c>
      <c r="D2029" s="8">
        <v>45427.0</v>
      </c>
      <c r="E2029" s="8">
        <v>45405.0</v>
      </c>
      <c r="F2029" s="8">
        <v>45419.0</v>
      </c>
      <c r="G2029" s="6">
        <v>38.0</v>
      </c>
      <c r="H2029" s="9">
        <v>263.5</v>
      </c>
      <c r="I2029" s="10">
        <v>25.0</v>
      </c>
      <c r="J2029" s="11">
        <v>0.0</v>
      </c>
      <c r="K2029" s="9">
        <v>606.19</v>
      </c>
      <c r="L2029" s="7" t="s">
        <v>13</v>
      </c>
    </row>
    <row r="2030" ht="15.75" customHeight="1">
      <c r="A2030" s="6">
        <v>11032.0</v>
      </c>
      <c r="B2030" s="7" t="s">
        <v>34</v>
      </c>
      <c r="C2030" s="8">
        <v>45399.0</v>
      </c>
      <c r="D2030" s="8">
        <v>45427.0</v>
      </c>
      <c r="E2030" s="8">
        <v>45405.0</v>
      </c>
      <c r="F2030" s="8">
        <v>45419.0</v>
      </c>
      <c r="G2030" s="6">
        <v>59.0</v>
      </c>
      <c r="H2030" s="9">
        <v>55.0</v>
      </c>
      <c r="I2030" s="10">
        <v>30.0</v>
      </c>
      <c r="J2030" s="11">
        <v>0.0</v>
      </c>
      <c r="K2030" s="9">
        <v>606.19</v>
      </c>
      <c r="L2030" s="7" t="s">
        <v>13</v>
      </c>
    </row>
    <row r="2031" ht="15.75" customHeight="1">
      <c r="A2031" s="6">
        <v>11033.0</v>
      </c>
      <c r="B2031" s="7" t="s">
        <v>21</v>
      </c>
      <c r="C2031" s="8">
        <v>45399.0</v>
      </c>
      <c r="D2031" s="8">
        <v>45427.0</v>
      </c>
      <c r="E2031" s="8">
        <v>45405.0</v>
      </c>
      <c r="F2031" s="8">
        <v>45415.0</v>
      </c>
      <c r="G2031" s="6">
        <v>53.0</v>
      </c>
      <c r="H2031" s="9">
        <v>32.8</v>
      </c>
      <c r="I2031" s="10">
        <v>70.0</v>
      </c>
      <c r="J2031" s="11">
        <v>0.1</v>
      </c>
      <c r="K2031" s="9">
        <v>84.74</v>
      </c>
      <c r="L2031" s="7" t="s">
        <v>13</v>
      </c>
    </row>
    <row r="2032" ht="15.75" customHeight="1">
      <c r="A2032" s="6">
        <v>11033.0</v>
      </c>
      <c r="B2032" s="7" t="s">
        <v>21</v>
      </c>
      <c r="C2032" s="8">
        <v>45399.0</v>
      </c>
      <c r="D2032" s="8">
        <v>45427.0</v>
      </c>
      <c r="E2032" s="8">
        <v>45405.0</v>
      </c>
      <c r="F2032" s="8">
        <v>45415.0</v>
      </c>
      <c r="G2032" s="6">
        <v>69.0</v>
      </c>
      <c r="H2032" s="9">
        <v>36.0</v>
      </c>
      <c r="I2032" s="10">
        <v>36.0</v>
      </c>
      <c r="J2032" s="11">
        <v>0.1</v>
      </c>
      <c r="K2032" s="9">
        <v>84.74</v>
      </c>
      <c r="L2032" s="7" t="s">
        <v>13</v>
      </c>
    </row>
    <row r="2033" ht="15.75" customHeight="1">
      <c r="A2033" s="6">
        <v>11034.0</v>
      </c>
      <c r="B2033" s="7" t="s">
        <v>52</v>
      </c>
      <c r="C2033" s="8">
        <v>45402.0</v>
      </c>
      <c r="D2033" s="8">
        <v>45444.0</v>
      </c>
      <c r="E2033" s="8">
        <v>45409.0</v>
      </c>
      <c r="F2033" s="8">
        <v>45420.0</v>
      </c>
      <c r="G2033" s="6">
        <v>21.0</v>
      </c>
      <c r="H2033" s="9">
        <v>10.0</v>
      </c>
      <c r="I2033" s="10">
        <v>15.0</v>
      </c>
      <c r="J2033" s="11">
        <v>0.1</v>
      </c>
      <c r="K2033" s="9">
        <v>40.32</v>
      </c>
      <c r="L2033" s="7" t="s">
        <v>15</v>
      </c>
    </row>
    <row r="2034" ht="15.75" customHeight="1">
      <c r="A2034" s="6">
        <v>11034.0</v>
      </c>
      <c r="B2034" s="7" t="s">
        <v>52</v>
      </c>
      <c r="C2034" s="8">
        <v>45402.0</v>
      </c>
      <c r="D2034" s="8">
        <v>45444.0</v>
      </c>
      <c r="E2034" s="8">
        <v>45409.0</v>
      </c>
      <c r="F2034" s="8">
        <v>45420.0</v>
      </c>
      <c r="G2034" s="6">
        <v>44.0</v>
      </c>
      <c r="H2034" s="9">
        <v>19.45</v>
      </c>
      <c r="I2034" s="10">
        <v>12.0</v>
      </c>
      <c r="J2034" s="11">
        <v>0.0</v>
      </c>
      <c r="K2034" s="9">
        <v>40.32</v>
      </c>
      <c r="L2034" s="7" t="s">
        <v>15</v>
      </c>
    </row>
    <row r="2035" ht="15.75" customHeight="1">
      <c r="A2035" s="6">
        <v>11034.0</v>
      </c>
      <c r="B2035" s="7" t="s">
        <v>52</v>
      </c>
      <c r="C2035" s="8">
        <v>45402.0</v>
      </c>
      <c r="D2035" s="8">
        <v>45444.0</v>
      </c>
      <c r="E2035" s="8">
        <v>45409.0</v>
      </c>
      <c r="F2035" s="8">
        <v>45420.0</v>
      </c>
      <c r="G2035" s="6">
        <v>61.0</v>
      </c>
      <c r="H2035" s="9">
        <v>28.5</v>
      </c>
      <c r="I2035" s="10">
        <v>6.0</v>
      </c>
      <c r="J2035" s="11">
        <v>0.0</v>
      </c>
      <c r="K2035" s="9">
        <v>40.32</v>
      </c>
      <c r="L2035" s="7" t="s">
        <v>15</v>
      </c>
    </row>
    <row r="2036" ht="15.75" customHeight="1">
      <c r="A2036" s="6">
        <v>11035.0</v>
      </c>
      <c r="B2036" s="7" t="s">
        <v>19</v>
      </c>
      <c r="C2036" s="8">
        <v>45402.0</v>
      </c>
      <c r="D2036" s="8">
        <v>45430.0</v>
      </c>
      <c r="E2036" s="8">
        <v>45406.0</v>
      </c>
      <c r="F2036" s="8">
        <v>45419.0</v>
      </c>
      <c r="G2036" s="6">
        <v>1.0</v>
      </c>
      <c r="H2036" s="9">
        <v>18.0</v>
      </c>
      <c r="I2036" s="10">
        <v>10.0</v>
      </c>
      <c r="J2036" s="11">
        <v>0.0</v>
      </c>
      <c r="K2036" s="9">
        <v>0.17</v>
      </c>
      <c r="L2036" s="7" t="s">
        <v>17</v>
      </c>
    </row>
    <row r="2037" ht="15.75" customHeight="1">
      <c r="A2037" s="6">
        <v>11035.0</v>
      </c>
      <c r="B2037" s="7" t="s">
        <v>19</v>
      </c>
      <c r="C2037" s="8">
        <v>45402.0</v>
      </c>
      <c r="D2037" s="8">
        <v>45430.0</v>
      </c>
      <c r="E2037" s="8">
        <v>45406.0</v>
      </c>
      <c r="F2037" s="8">
        <v>45419.0</v>
      </c>
      <c r="G2037" s="6">
        <v>35.0</v>
      </c>
      <c r="H2037" s="9">
        <v>18.0</v>
      </c>
      <c r="I2037" s="10">
        <v>60.0</v>
      </c>
      <c r="J2037" s="11">
        <v>0.0</v>
      </c>
      <c r="K2037" s="9">
        <v>0.17</v>
      </c>
      <c r="L2037" s="7" t="s">
        <v>17</v>
      </c>
    </row>
    <row r="2038" ht="15.75" customHeight="1">
      <c r="A2038" s="6">
        <v>11035.0</v>
      </c>
      <c r="B2038" s="7" t="s">
        <v>19</v>
      </c>
      <c r="C2038" s="8">
        <v>45402.0</v>
      </c>
      <c r="D2038" s="8">
        <v>45430.0</v>
      </c>
      <c r="E2038" s="8">
        <v>45406.0</v>
      </c>
      <c r="F2038" s="8">
        <v>45419.0</v>
      </c>
      <c r="G2038" s="6">
        <v>42.0</v>
      </c>
      <c r="H2038" s="9">
        <v>14.0</v>
      </c>
      <c r="I2038" s="10">
        <v>30.0</v>
      </c>
      <c r="J2038" s="11">
        <v>0.0</v>
      </c>
      <c r="K2038" s="9">
        <v>0.17</v>
      </c>
      <c r="L2038" s="7" t="s">
        <v>17</v>
      </c>
    </row>
    <row r="2039" ht="15.75" customHeight="1">
      <c r="A2039" s="6">
        <v>11035.0</v>
      </c>
      <c r="B2039" s="7" t="s">
        <v>19</v>
      </c>
      <c r="C2039" s="8">
        <v>45402.0</v>
      </c>
      <c r="D2039" s="8">
        <v>45430.0</v>
      </c>
      <c r="E2039" s="8">
        <v>45406.0</v>
      </c>
      <c r="F2039" s="8">
        <v>45419.0</v>
      </c>
      <c r="G2039" s="6">
        <v>54.0</v>
      </c>
      <c r="H2039" s="9">
        <v>7.45</v>
      </c>
      <c r="I2039" s="10">
        <v>10.0</v>
      </c>
      <c r="J2039" s="11">
        <v>0.0</v>
      </c>
      <c r="K2039" s="9">
        <v>0.17</v>
      </c>
      <c r="L2039" s="7" t="s">
        <v>17</v>
      </c>
    </row>
    <row r="2040" ht="15.75" customHeight="1">
      <c r="A2040" s="6">
        <v>11036.0</v>
      </c>
      <c r="B2040" s="7" t="s">
        <v>72</v>
      </c>
      <c r="C2040" s="8">
        <v>45402.0</v>
      </c>
      <c r="D2040" s="8">
        <v>45430.0</v>
      </c>
      <c r="E2040" s="8">
        <v>45404.0</v>
      </c>
      <c r="F2040" s="8">
        <v>45407.0</v>
      </c>
      <c r="G2040" s="6">
        <v>13.0</v>
      </c>
      <c r="H2040" s="9">
        <v>6.0</v>
      </c>
      <c r="I2040" s="10">
        <v>7.0</v>
      </c>
      <c r="J2040" s="11">
        <v>0.0</v>
      </c>
      <c r="K2040" s="9">
        <v>149.47</v>
      </c>
      <c r="L2040" s="7" t="s">
        <v>13</v>
      </c>
    </row>
    <row r="2041" ht="15.75" customHeight="1">
      <c r="A2041" s="6">
        <v>11036.0</v>
      </c>
      <c r="B2041" s="7" t="s">
        <v>72</v>
      </c>
      <c r="C2041" s="8">
        <v>45402.0</v>
      </c>
      <c r="D2041" s="8">
        <v>45430.0</v>
      </c>
      <c r="E2041" s="8">
        <v>45404.0</v>
      </c>
      <c r="F2041" s="8">
        <v>45407.0</v>
      </c>
      <c r="G2041" s="6">
        <v>59.0</v>
      </c>
      <c r="H2041" s="9">
        <v>55.0</v>
      </c>
      <c r="I2041" s="10">
        <v>30.0</v>
      </c>
      <c r="J2041" s="11">
        <v>0.0</v>
      </c>
      <c r="K2041" s="9">
        <v>149.47</v>
      </c>
      <c r="L2041" s="7" t="s">
        <v>13</v>
      </c>
    </row>
    <row r="2042" ht="15.75" customHeight="1">
      <c r="A2042" s="6">
        <v>11037.0</v>
      </c>
      <c r="B2042" s="7" t="s">
        <v>51</v>
      </c>
      <c r="C2042" s="8">
        <v>45403.0</v>
      </c>
      <c r="D2042" s="8">
        <v>45431.0</v>
      </c>
      <c r="E2042" s="8">
        <v>45409.0</v>
      </c>
      <c r="F2042" s="8">
        <v>45415.0</v>
      </c>
      <c r="G2042" s="6">
        <v>70.0</v>
      </c>
      <c r="H2042" s="9">
        <v>15.0</v>
      </c>
      <c r="I2042" s="10">
        <v>4.0</v>
      </c>
      <c r="J2042" s="11">
        <v>0.0</v>
      </c>
      <c r="K2042" s="9">
        <v>3.2</v>
      </c>
      <c r="L2042" s="7" t="s">
        <v>15</v>
      </c>
    </row>
    <row r="2043" ht="15.75" customHeight="1">
      <c r="A2043" s="6">
        <v>11038.0</v>
      </c>
      <c r="B2043" s="7" t="s">
        <v>19</v>
      </c>
      <c r="C2043" s="8">
        <v>45403.0</v>
      </c>
      <c r="D2043" s="8">
        <v>45431.0</v>
      </c>
      <c r="E2043" s="8">
        <v>45412.0</v>
      </c>
      <c r="F2043" s="8">
        <v>45424.0</v>
      </c>
      <c r="G2043" s="6">
        <v>40.0</v>
      </c>
      <c r="H2043" s="9">
        <v>18.4</v>
      </c>
      <c r="I2043" s="10">
        <v>5.0</v>
      </c>
      <c r="J2043" s="11">
        <v>0.2</v>
      </c>
      <c r="K2043" s="9">
        <v>29.59</v>
      </c>
      <c r="L2043" s="7" t="s">
        <v>17</v>
      </c>
    </row>
    <row r="2044" ht="15.75" customHeight="1">
      <c r="A2044" s="6">
        <v>11038.0</v>
      </c>
      <c r="B2044" s="7" t="s">
        <v>19</v>
      </c>
      <c r="C2044" s="8">
        <v>45403.0</v>
      </c>
      <c r="D2044" s="8">
        <v>45431.0</v>
      </c>
      <c r="E2044" s="8">
        <v>45412.0</v>
      </c>
      <c r="F2044" s="8">
        <v>45424.0</v>
      </c>
      <c r="G2044" s="6">
        <v>52.0</v>
      </c>
      <c r="H2044" s="9">
        <v>7.0</v>
      </c>
      <c r="I2044" s="10">
        <v>2.0</v>
      </c>
      <c r="J2044" s="11">
        <v>0.0</v>
      </c>
      <c r="K2044" s="9">
        <v>29.59</v>
      </c>
      <c r="L2044" s="7" t="s">
        <v>17</v>
      </c>
    </row>
    <row r="2045" ht="15.75" customHeight="1">
      <c r="A2045" s="6">
        <v>11038.0</v>
      </c>
      <c r="B2045" s="7" t="s">
        <v>19</v>
      </c>
      <c r="C2045" s="8">
        <v>45403.0</v>
      </c>
      <c r="D2045" s="8">
        <v>45431.0</v>
      </c>
      <c r="E2045" s="8">
        <v>45412.0</v>
      </c>
      <c r="F2045" s="8">
        <v>45424.0</v>
      </c>
      <c r="G2045" s="6">
        <v>71.0</v>
      </c>
      <c r="H2045" s="9">
        <v>21.5</v>
      </c>
      <c r="I2045" s="10">
        <v>30.0</v>
      </c>
      <c r="J2045" s="11">
        <v>0.0</v>
      </c>
      <c r="K2045" s="9">
        <v>29.59</v>
      </c>
      <c r="L2045" s="7" t="s">
        <v>17</v>
      </c>
    </row>
    <row r="2046" ht="15.75" customHeight="1">
      <c r="A2046" s="6">
        <v>11039.0</v>
      </c>
      <c r="B2046" s="7" t="s">
        <v>82</v>
      </c>
      <c r="C2046" s="8">
        <v>45403.0</v>
      </c>
      <c r="D2046" s="8">
        <v>45431.0</v>
      </c>
      <c r="E2046" s="8"/>
      <c r="F2046" s="8"/>
      <c r="G2046" s="6">
        <v>28.0</v>
      </c>
      <c r="H2046" s="9">
        <v>45.6</v>
      </c>
      <c r="I2046" s="10">
        <v>20.0</v>
      </c>
      <c r="J2046" s="11">
        <v>0.0</v>
      </c>
      <c r="K2046" s="9">
        <v>65.0</v>
      </c>
      <c r="L2046" s="7" t="s">
        <v>17</v>
      </c>
    </row>
    <row r="2047" ht="15.75" customHeight="1">
      <c r="A2047" s="6">
        <v>11039.0</v>
      </c>
      <c r="B2047" s="7" t="s">
        <v>82</v>
      </c>
      <c r="C2047" s="8">
        <v>45403.0</v>
      </c>
      <c r="D2047" s="8">
        <v>45431.0</v>
      </c>
      <c r="E2047" s="8"/>
      <c r="F2047" s="8"/>
      <c r="G2047" s="6">
        <v>35.0</v>
      </c>
      <c r="H2047" s="9">
        <v>18.0</v>
      </c>
      <c r="I2047" s="10">
        <v>24.0</v>
      </c>
      <c r="J2047" s="11">
        <v>0.0</v>
      </c>
      <c r="K2047" s="9">
        <v>65.0</v>
      </c>
      <c r="L2047" s="7" t="s">
        <v>17</v>
      </c>
    </row>
    <row r="2048" ht="15.75" customHeight="1">
      <c r="A2048" s="6">
        <v>11039.0</v>
      </c>
      <c r="B2048" s="7" t="s">
        <v>82</v>
      </c>
      <c r="C2048" s="8">
        <v>45403.0</v>
      </c>
      <c r="D2048" s="8">
        <v>45431.0</v>
      </c>
      <c r="E2048" s="8"/>
      <c r="F2048" s="8"/>
      <c r="G2048" s="6">
        <v>49.0</v>
      </c>
      <c r="H2048" s="9">
        <v>20.0</v>
      </c>
      <c r="I2048" s="10">
        <v>60.0</v>
      </c>
      <c r="J2048" s="11">
        <v>0.0</v>
      </c>
      <c r="K2048" s="9">
        <v>65.0</v>
      </c>
      <c r="L2048" s="7" t="s">
        <v>17</v>
      </c>
    </row>
    <row r="2049" ht="15.75" customHeight="1">
      <c r="A2049" s="6">
        <v>11039.0</v>
      </c>
      <c r="B2049" s="7" t="s">
        <v>82</v>
      </c>
      <c r="C2049" s="8">
        <v>45403.0</v>
      </c>
      <c r="D2049" s="8">
        <v>45431.0</v>
      </c>
      <c r="E2049" s="8"/>
      <c r="F2049" s="8"/>
      <c r="G2049" s="6">
        <v>57.0</v>
      </c>
      <c r="H2049" s="9">
        <v>19.5</v>
      </c>
      <c r="I2049" s="10">
        <v>28.0</v>
      </c>
      <c r="J2049" s="11">
        <v>0.0</v>
      </c>
      <c r="K2049" s="9">
        <v>65.0</v>
      </c>
      <c r="L2049" s="7" t="s">
        <v>17</v>
      </c>
    </row>
    <row r="2050" ht="15.75" customHeight="1">
      <c r="A2050" s="6">
        <v>11040.0</v>
      </c>
      <c r="B2050" s="7" t="s">
        <v>94</v>
      </c>
      <c r="C2050" s="8">
        <v>45404.0</v>
      </c>
      <c r="D2050" s="8">
        <v>45432.0</v>
      </c>
      <c r="E2050" s="8"/>
      <c r="F2050" s="8"/>
      <c r="G2050" s="6">
        <v>21.0</v>
      </c>
      <c r="H2050" s="9">
        <v>10.0</v>
      </c>
      <c r="I2050" s="10">
        <v>20.0</v>
      </c>
      <c r="J2050" s="11">
        <v>0.0</v>
      </c>
      <c r="K2050" s="9">
        <v>18.84</v>
      </c>
      <c r="L2050" s="7" t="s">
        <v>13</v>
      </c>
    </row>
    <row r="2051" ht="15.75" customHeight="1">
      <c r="A2051" s="6">
        <v>11041.0</v>
      </c>
      <c r="B2051" s="7" t="s">
        <v>20</v>
      </c>
      <c r="C2051" s="8">
        <v>45404.0</v>
      </c>
      <c r="D2051" s="8">
        <v>45432.0</v>
      </c>
      <c r="E2051" s="8">
        <v>45410.0</v>
      </c>
      <c r="F2051" s="8">
        <v>45425.0</v>
      </c>
      <c r="G2051" s="6">
        <v>2.0</v>
      </c>
      <c r="H2051" s="9">
        <v>19.0</v>
      </c>
      <c r="I2051" s="10">
        <v>30.0</v>
      </c>
      <c r="J2051" s="11">
        <v>0.2</v>
      </c>
      <c r="K2051" s="9">
        <v>48.22</v>
      </c>
      <c r="L2051" s="7" t="s">
        <v>17</v>
      </c>
    </row>
    <row r="2052" ht="15.75" customHeight="1">
      <c r="A2052" s="6">
        <v>11041.0</v>
      </c>
      <c r="B2052" s="7" t="s">
        <v>20</v>
      </c>
      <c r="C2052" s="8">
        <v>45404.0</v>
      </c>
      <c r="D2052" s="8">
        <v>45432.0</v>
      </c>
      <c r="E2052" s="8">
        <v>45410.0</v>
      </c>
      <c r="F2052" s="8">
        <v>45425.0</v>
      </c>
      <c r="G2052" s="6">
        <v>63.0</v>
      </c>
      <c r="H2052" s="9">
        <v>43.9</v>
      </c>
      <c r="I2052" s="10">
        <v>30.0</v>
      </c>
      <c r="J2052" s="11">
        <v>0.0</v>
      </c>
      <c r="K2052" s="9">
        <v>48.22</v>
      </c>
      <c r="L2052" s="7" t="s">
        <v>17</v>
      </c>
    </row>
    <row r="2053" ht="15.75" customHeight="1">
      <c r="A2053" s="6">
        <v>11042.0</v>
      </c>
      <c r="B2053" s="7" t="s">
        <v>47</v>
      </c>
      <c r="C2053" s="8">
        <v>45404.0</v>
      </c>
      <c r="D2053" s="8">
        <v>45418.0</v>
      </c>
      <c r="E2053" s="8">
        <v>45413.0</v>
      </c>
      <c r="F2053" s="8">
        <v>45429.0</v>
      </c>
      <c r="G2053" s="6">
        <v>44.0</v>
      </c>
      <c r="H2053" s="9">
        <v>19.45</v>
      </c>
      <c r="I2053" s="10">
        <v>15.0</v>
      </c>
      <c r="J2053" s="11">
        <v>0.0</v>
      </c>
      <c r="K2053" s="9">
        <v>29.99</v>
      </c>
      <c r="L2053" s="7" t="s">
        <v>15</v>
      </c>
    </row>
    <row r="2054" ht="15.75" customHeight="1">
      <c r="A2054" s="6">
        <v>11042.0</v>
      </c>
      <c r="B2054" s="7" t="s">
        <v>47</v>
      </c>
      <c r="C2054" s="8">
        <v>45404.0</v>
      </c>
      <c r="D2054" s="8">
        <v>45418.0</v>
      </c>
      <c r="E2054" s="8">
        <v>45413.0</v>
      </c>
      <c r="F2054" s="8">
        <v>45429.0</v>
      </c>
      <c r="G2054" s="6">
        <v>61.0</v>
      </c>
      <c r="H2054" s="9">
        <v>28.5</v>
      </c>
      <c r="I2054" s="10">
        <v>4.0</v>
      </c>
      <c r="J2054" s="11">
        <v>0.0</v>
      </c>
      <c r="K2054" s="9">
        <v>29.99</v>
      </c>
      <c r="L2054" s="7" t="s">
        <v>15</v>
      </c>
    </row>
    <row r="2055" ht="15.75" customHeight="1">
      <c r="A2055" s="6">
        <v>11043.0</v>
      </c>
      <c r="B2055" s="7" t="s">
        <v>102</v>
      </c>
      <c r="C2055" s="8">
        <v>45404.0</v>
      </c>
      <c r="D2055" s="8">
        <v>45432.0</v>
      </c>
      <c r="E2055" s="8">
        <v>45411.0</v>
      </c>
      <c r="F2055" s="8">
        <v>45419.0</v>
      </c>
      <c r="G2055" s="6">
        <v>11.0</v>
      </c>
      <c r="H2055" s="9">
        <v>21.0</v>
      </c>
      <c r="I2055" s="10">
        <v>10.0</v>
      </c>
      <c r="J2055" s="11">
        <v>0.0</v>
      </c>
      <c r="K2055" s="9">
        <v>8.8</v>
      </c>
      <c r="L2055" s="7" t="s">
        <v>17</v>
      </c>
    </row>
    <row r="2056" ht="15.75" customHeight="1">
      <c r="A2056" s="6">
        <v>11044.0</v>
      </c>
      <c r="B2056" s="7" t="s">
        <v>78</v>
      </c>
      <c r="C2056" s="8">
        <v>45405.0</v>
      </c>
      <c r="D2056" s="8">
        <v>45433.0</v>
      </c>
      <c r="E2056" s="8">
        <v>45413.0</v>
      </c>
      <c r="F2056" s="8">
        <v>45423.0</v>
      </c>
      <c r="G2056" s="6">
        <v>62.0</v>
      </c>
      <c r="H2056" s="9">
        <v>49.3</v>
      </c>
      <c r="I2056" s="10">
        <v>12.0</v>
      </c>
      <c r="J2056" s="11">
        <v>0.0</v>
      </c>
      <c r="K2056" s="9">
        <v>8.72</v>
      </c>
      <c r="L2056" s="7" t="s">
        <v>15</v>
      </c>
    </row>
    <row r="2057" ht="15.75" customHeight="1">
      <c r="A2057" s="6">
        <v>11045.0</v>
      </c>
      <c r="B2057" s="7" t="s">
        <v>81</v>
      </c>
      <c r="C2057" s="8">
        <v>45405.0</v>
      </c>
      <c r="D2057" s="8">
        <v>45433.0</v>
      </c>
      <c r="E2057" s="8"/>
      <c r="F2057" s="8"/>
      <c r="G2057" s="6">
        <v>33.0</v>
      </c>
      <c r="H2057" s="9">
        <v>2.5</v>
      </c>
      <c r="I2057" s="10">
        <v>15.0</v>
      </c>
      <c r="J2057" s="11">
        <v>0.0</v>
      </c>
      <c r="K2057" s="9">
        <v>70.58</v>
      </c>
      <c r="L2057" s="7" t="s">
        <v>17</v>
      </c>
    </row>
    <row r="2058" ht="15.75" customHeight="1">
      <c r="A2058" s="6">
        <v>11045.0</v>
      </c>
      <c r="B2058" s="7" t="s">
        <v>81</v>
      </c>
      <c r="C2058" s="8">
        <v>45405.0</v>
      </c>
      <c r="D2058" s="8">
        <v>45433.0</v>
      </c>
      <c r="E2058" s="8"/>
      <c r="F2058" s="8"/>
      <c r="G2058" s="6">
        <v>51.0</v>
      </c>
      <c r="H2058" s="9">
        <v>53.0</v>
      </c>
      <c r="I2058" s="10">
        <v>24.0</v>
      </c>
      <c r="J2058" s="11">
        <v>0.0</v>
      </c>
      <c r="K2058" s="9">
        <v>70.58</v>
      </c>
      <c r="L2058" s="7" t="s">
        <v>17</v>
      </c>
    </row>
    <row r="2059" ht="15.75" customHeight="1">
      <c r="A2059" s="6">
        <v>11046.0</v>
      </c>
      <c r="B2059" s="7" t="s">
        <v>50</v>
      </c>
      <c r="C2059" s="8">
        <v>45405.0</v>
      </c>
      <c r="D2059" s="8">
        <v>45433.0</v>
      </c>
      <c r="E2059" s="8">
        <v>45406.0</v>
      </c>
      <c r="F2059" s="8">
        <v>45415.0</v>
      </c>
      <c r="G2059" s="6">
        <v>12.0</v>
      </c>
      <c r="H2059" s="9">
        <v>38.0</v>
      </c>
      <c r="I2059" s="10">
        <v>20.0</v>
      </c>
      <c r="J2059" s="11">
        <v>0.05</v>
      </c>
      <c r="K2059" s="9">
        <v>71.64</v>
      </c>
      <c r="L2059" s="7" t="s">
        <v>17</v>
      </c>
    </row>
    <row r="2060" ht="15.75" customHeight="1">
      <c r="A2060" s="6">
        <v>11046.0</v>
      </c>
      <c r="B2060" s="7" t="s">
        <v>50</v>
      </c>
      <c r="C2060" s="8">
        <v>45405.0</v>
      </c>
      <c r="D2060" s="8">
        <v>45433.0</v>
      </c>
      <c r="E2060" s="8">
        <v>45406.0</v>
      </c>
      <c r="F2060" s="8">
        <v>45415.0</v>
      </c>
      <c r="G2060" s="6">
        <v>32.0</v>
      </c>
      <c r="H2060" s="9">
        <v>32.0</v>
      </c>
      <c r="I2060" s="10">
        <v>15.0</v>
      </c>
      <c r="J2060" s="11">
        <v>0.05</v>
      </c>
      <c r="K2060" s="9">
        <v>71.64</v>
      </c>
      <c r="L2060" s="7" t="s">
        <v>17</v>
      </c>
    </row>
    <row r="2061" ht="15.75" customHeight="1">
      <c r="A2061" s="6">
        <v>11046.0</v>
      </c>
      <c r="B2061" s="7" t="s">
        <v>50</v>
      </c>
      <c r="C2061" s="8">
        <v>45405.0</v>
      </c>
      <c r="D2061" s="8">
        <v>45433.0</v>
      </c>
      <c r="E2061" s="8">
        <v>45406.0</v>
      </c>
      <c r="F2061" s="8">
        <v>45415.0</v>
      </c>
      <c r="G2061" s="6">
        <v>35.0</v>
      </c>
      <c r="H2061" s="9">
        <v>18.0</v>
      </c>
      <c r="I2061" s="10">
        <v>18.0</v>
      </c>
      <c r="J2061" s="11">
        <v>0.05</v>
      </c>
      <c r="K2061" s="9">
        <v>71.64</v>
      </c>
      <c r="L2061" s="7" t="s">
        <v>17</v>
      </c>
    </row>
    <row r="2062" ht="15.75" customHeight="1">
      <c r="A2062" s="6">
        <v>11047.0</v>
      </c>
      <c r="B2062" s="7" t="s">
        <v>73</v>
      </c>
      <c r="C2062" s="8">
        <v>45406.0</v>
      </c>
      <c r="D2062" s="8">
        <v>45434.0</v>
      </c>
      <c r="E2062" s="8">
        <v>45413.0</v>
      </c>
      <c r="F2062" s="8">
        <v>45421.0</v>
      </c>
      <c r="G2062" s="6">
        <v>1.0</v>
      </c>
      <c r="H2062" s="9">
        <v>18.0</v>
      </c>
      <c r="I2062" s="10">
        <v>25.0</v>
      </c>
      <c r="J2062" s="11">
        <v>0.25</v>
      </c>
      <c r="K2062" s="9">
        <v>46.62</v>
      </c>
      <c r="L2062" s="7" t="s">
        <v>13</v>
      </c>
    </row>
    <row r="2063" ht="15.75" customHeight="1">
      <c r="A2063" s="6">
        <v>11047.0</v>
      </c>
      <c r="B2063" s="7" t="s">
        <v>73</v>
      </c>
      <c r="C2063" s="8">
        <v>45406.0</v>
      </c>
      <c r="D2063" s="8">
        <v>45434.0</v>
      </c>
      <c r="E2063" s="8">
        <v>45413.0</v>
      </c>
      <c r="F2063" s="8">
        <v>45421.0</v>
      </c>
      <c r="G2063" s="6">
        <v>5.0</v>
      </c>
      <c r="H2063" s="9">
        <v>21.35</v>
      </c>
      <c r="I2063" s="10">
        <v>30.0</v>
      </c>
      <c r="J2063" s="11">
        <v>0.25</v>
      </c>
      <c r="K2063" s="9">
        <v>46.62</v>
      </c>
      <c r="L2063" s="7" t="s">
        <v>13</v>
      </c>
    </row>
    <row r="2064" ht="15.75" customHeight="1">
      <c r="A2064" s="6">
        <v>11048.0</v>
      </c>
      <c r="B2064" s="7" t="s">
        <v>81</v>
      </c>
      <c r="C2064" s="8">
        <v>45406.0</v>
      </c>
      <c r="D2064" s="8">
        <v>45434.0</v>
      </c>
      <c r="E2064" s="8">
        <v>45412.0</v>
      </c>
      <c r="F2064" s="8">
        <v>45423.0</v>
      </c>
      <c r="G2064" s="6">
        <v>68.0</v>
      </c>
      <c r="H2064" s="9">
        <v>12.5</v>
      </c>
      <c r="I2064" s="10">
        <v>42.0</v>
      </c>
      <c r="J2064" s="11">
        <v>0.0</v>
      </c>
      <c r="K2064" s="9">
        <v>24.12</v>
      </c>
      <c r="L2064" s="7" t="s">
        <v>13</v>
      </c>
    </row>
    <row r="2065" ht="15.75" customHeight="1">
      <c r="A2065" s="6">
        <v>11049.0</v>
      </c>
      <c r="B2065" s="7" t="s">
        <v>86</v>
      </c>
      <c r="C2065" s="8">
        <v>45406.0</v>
      </c>
      <c r="D2065" s="8">
        <v>45434.0</v>
      </c>
      <c r="E2065" s="8">
        <v>45416.0</v>
      </c>
      <c r="F2065" s="8">
        <v>45432.0</v>
      </c>
      <c r="G2065" s="6">
        <v>2.0</v>
      </c>
      <c r="H2065" s="9">
        <v>19.0</v>
      </c>
      <c r="I2065" s="10">
        <v>10.0</v>
      </c>
      <c r="J2065" s="11">
        <v>0.2</v>
      </c>
      <c r="K2065" s="9">
        <v>8.34</v>
      </c>
      <c r="L2065" s="7" t="s">
        <v>15</v>
      </c>
    </row>
    <row r="2066" ht="15.75" customHeight="1">
      <c r="A2066" s="6">
        <v>11049.0</v>
      </c>
      <c r="B2066" s="7" t="s">
        <v>86</v>
      </c>
      <c r="C2066" s="8">
        <v>45406.0</v>
      </c>
      <c r="D2066" s="8">
        <v>45434.0</v>
      </c>
      <c r="E2066" s="8">
        <v>45416.0</v>
      </c>
      <c r="F2066" s="8">
        <v>45432.0</v>
      </c>
      <c r="G2066" s="6">
        <v>12.0</v>
      </c>
      <c r="H2066" s="9">
        <v>38.0</v>
      </c>
      <c r="I2066" s="10">
        <v>4.0</v>
      </c>
      <c r="J2066" s="11">
        <v>0.2</v>
      </c>
      <c r="K2066" s="9">
        <v>8.34</v>
      </c>
      <c r="L2066" s="7" t="s">
        <v>15</v>
      </c>
    </row>
    <row r="2067" ht="15.75" customHeight="1">
      <c r="A2067" s="6">
        <v>11050.0</v>
      </c>
      <c r="B2067" s="7" t="s">
        <v>29</v>
      </c>
      <c r="C2067" s="8">
        <v>45409.0</v>
      </c>
      <c r="D2067" s="8">
        <v>45437.0</v>
      </c>
      <c r="E2067" s="8">
        <v>45417.0</v>
      </c>
      <c r="F2067" s="8">
        <v>45427.0</v>
      </c>
      <c r="G2067" s="6">
        <v>76.0</v>
      </c>
      <c r="H2067" s="9">
        <v>18.0</v>
      </c>
      <c r="I2067" s="10">
        <v>50.0</v>
      </c>
      <c r="J2067" s="11">
        <v>0.1</v>
      </c>
      <c r="K2067" s="9">
        <v>59.41</v>
      </c>
      <c r="L2067" s="7" t="s">
        <v>17</v>
      </c>
    </row>
    <row r="2068" ht="15.75" customHeight="1">
      <c r="A2068" s="6">
        <v>11051.0</v>
      </c>
      <c r="B2068" s="7" t="s">
        <v>68</v>
      </c>
      <c r="C2068" s="8">
        <v>45409.0</v>
      </c>
      <c r="D2068" s="8">
        <v>45437.0</v>
      </c>
      <c r="E2068" s="8"/>
      <c r="F2068" s="8"/>
      <c r="G2068" s="6">
        <v>24.0</v>
      </c>
      <c r="H2068" s="9">
        <v>4.5</v>
      </c>
      <c r="I2068" s="10">
        <v>10.0</v>
      </c>
      <c r="J2068" s="11">
        <v>0.2</v>
      </c>
      <c r="K2068" s="9">
        <v>2.79</v>
      </c>
      <c r="L2068" s="7" t="s">
        <v>13</v>
      </c>
    </row>
    <row r="2069" ht="15.75" customHeight="1">
      <c r="A2069" s="6">
        <v>11052.0</v>
      </c>
      <c r="B2069" s="7" t="s">
        <v>16</v>
      </c>
      <c r="C2069" s="8">
        <v>45409.0</v>
      </c>
      <c r="D2069" s="8">
        <v>45437.0</v>
      </c>
      <c r="E2069" s="8">
        <v>45413.0</v>
      </c>
      <c r="F2069" s="8">
        <v>45428.0</v>
      </c>
      <c r="G2069" s="6">
        <v>43.0</v>
      </c>
      <c r="H2069" s="9">
        <v>46.0</v>
      </c>
      <c r="I2069" s="10">
        <v>30.0</v>
      </c>
      <c r="J2069" s="11">
        <v>0.2</v>
      </c>
      <c r="K2069" s="9">
        <v>67.26</v>
      </c>
      <c r="L2069" s="7" t="s">
        <v>15</v>
      </c>
    </row>
    <row r="2070" ht="15.75" customHeight="1">
      <c r="A2070" s="6">
        <v>11052.0</v>
      </c>
      <c r="B2070" s="7" t="s">
        <v>16</v>
      </c>
      <c r="C2070" s="8">
        <v>45409.0</v>
      </c>
      <c r="D2070" s="8">
        <v>45437.0</v>
      </c>
      <c r="E2070" s="8">
        <v>45413.0</v>
      </c>
      <c r="F2070" s="8">
        <v>45428.0</v>
      </c>
      <c r="G2070" s="6">
        <v>61.0</v>
      </c>
      <c r="H2070" s="9">
        <v>28.5</v>
      </c>
      <c r="I2070" s="10">
        <v>10.0</v>
      </c>
      <c r="J2070" s="11">
        <v>0.2</v>
      </c>
      <c r="K2070" s="9">
        <v>67.26</v>
      </c>
      <c r="L2070" s="7" t="s">
        <v>15</v>
      </c>
    </row>
    <row r="2071" ht="15.75" customHeight="1">
      <c r="A2071" s="6">
        <v>11053.0</v>
      </c>
      <c r="B2071" s="7" t="s">
        <v>69</v>
      </c>
      <c r="C2071" s="8">
        <v>45409.0</v>
      </c>
      <c r="D2071" s="8">
        <v>45437.0</v>
      </c>
      <c r="E2071" s="8">
        <v>45411.0</v>
      </c>
      <c r="F2071" s="8">
        <v>45424.0</v>
      </c>
      <c r="G2071" s="6">
        <v>18.0</v>
      </c>
      <c r="H2071" s="9">
        <v>62.5</v>
      </c>
      <c r="I2071" s="10">
        <v>35.0</v>
      </c>
      <c r="J2071" s="11">
        <v>0.2</v>
      </c>
      <c r="K2071" s="9">
        <v>53.05</v>
      </c>
      <c r="L2071" s="7" t="s">
        <v>17</v>
      </c>
    </row>
    <row r="2072" ht="15.75" customHeight="1">
      <c r="A2072" s="6">
        <v>11053.0</v>
      </c>
      <c r="B2072" s="7" t="s">
        <v>69</v>
      </c>
      <c r="C2072" s="8">
        <v>45409.0</v>
      </c>
      <c r="D2072" s="8">
        <v>45437.0</v>
      </c>
      <c r="E2072" s="8">
        <v>45411.0</v>
      </c>
      <c r="F2072" s="8">
        <v>45424.0</v>
      </c>
      <c r="G2072" s="6">
        <v>32.0</v>
      </c>
      <c r="H2072" s="9">
        <v>32.0</v>
      </c>
      <c r="I2072" s="10">
        <v>20.0</v>
      </c>
      <c r="J2072" s="11">
        <v>0.0</v>
      </c>
      <c r="K2072" s="9">
        <v>53.05</v>
      </c>
      <c r="L2072" s="7" t="s">
        <v>17</v>
      </c>
    </row>
    <row r="2073" ht="15.75" customHeight="1">
      <c r="A2073" s="6">
        <v>11053.0</v>
      </c>
      <c r="B2073" s="7" t="s">
        <v>69</v>
      </c>
      <c r="C2073" s="8">
        <v>45409.0</v>
      </c>
      <c r="D2073" s="8">
        <v>45437.0</v>
      </c>
      <c r="E2073" s="8">
        <v>45411.0</v>
      </c>
      <c r="F2073" s="8">
        <v>45424.0</v>
      </c>
      <c r="G2073" s="6">
        <v>64.0</v>
      </c>
      <c r="H2073" s="9">
        <v>33.25</v>
      </c>
      <c r="I2073" s="10">
        <v>25.0</v>
      </c>
      <c r="J2073" s="11">
        <v>0.2</v>
      </c>
      <c r="K2073" s="9">
        <v>53.05</v>
      </c>
      <c r="L2073" s="7" t="s">
        <v>17</v>
      </c>
    </row>
    <row r="2074" ht="15.75" customHeight="1">
      <c r="A2074" s="6">
        <v>11054.0</v>
      </c>
      <c r="B2074" s="7" t="s">
        <v>93</v>
      </c>
      <c r="C2074" s="8">
        <v>45410.0</v>
      </c>
      <c r="D2074" s="8">
        <v>45438.0</v>
      </c>
      <c r="E2074" s="8"/>
      <c r="F2074" s="8"/>
      <c r="G2074" s="6">
        <v>33.0</v>
      </c>
      <c r="H2074" s="9">
        <v>2.5</v>
      </c>
      <c r="I2074" s="10">
        <v>10.0</v>
      </c>
      <c r="J2074" s="11">
        <v>0.0</v>
      </c>
      <c r="K2074" s="9">
        <v>0.33</v>
      </c>
      <c r="L2074" s="7" t="s">
        <v>15</v>
      </c>
    </row>
    <row r="2075" ht="15.75" customHeight="1">
      <c r="A2075" s="6">
        <v>11054.0</v>
      </c>
      <c r="B2075" s="7" t="s">
        <v>93</v>
      </c>
      <c r="C2075" s="8">
        <v>45410.0</v>
      </c>
      <c r="D2075" s="8">
        <v>45438.0</v>
      </c>
      <c r="E2075" s="8"/>
      <c r="F2075" s="8"/>
      <c r="G2075" s="6">
        <v>67.0</v>
      </c>
      <c r="H2075" s="9">
        <v>14.0</v>
      </c>
      <c r="I2075" s="10">
        <v>20.0</v>
      </c>
      <c r="J2075" s="11">
        <v>0.0</v>
      </c>
      <c r="K2075" s="9">
        <v>0.33</v>
      </c>
      <c r="L2075" s="7" t="s">
        <v>15</v>
      </c>
    </row>
    <row r="2076" ht="15.75" customHeight="1">
      <c r="A2076" s="6">
        <v>11055.0</v>
      </c>
      <c r="B2076" s="7" t="s">
        <v>23</v>
      </c>
      <c r="C2076" s="8">
        <v>45410.0</v>
      </c>
      <c r="D2076" s="8">
        <v>45438.0</v>
      </c>
      <c r="E2076" s="8">
        <v>45417.0</v>
      </c>
      <c r="F2076" s="8">
        <v>45432.0</v>
      </c>
      <c r="G2076" s="6">
        <v>24.0</v>
      </c>
      <c r="H2076" s="9">
        <v>4.5</v>
      </c>
      <c r="I2076" s="10">
        <v>15.0</v>
      </c>
      <c r="J2076" s="11">
        <v>0.0</v>
      </c>
      <c r="K2076" s="9">
        <v>120.92</v>
      </c>
      <c r="L2076" s="7" t="s">
        <v>17</v>
      </c>
    </row>
    <row r="2077" ht="15.75" customHeight="1">
      <c r="A2077" s="6">
        <v>11055.0</v>
      </c>
      <c r="B2077" s="7" t="s">
        <v>23</v>
      </c>
      <c r="C2077" s="8">
        <v>45410.0</v>
      </c>
      <c r="D2077" s="8">
        <v>45438.0</v>
      </c>
      <c r="E2077" s="8">
        <v>45417.0</v>
      </c>
      <c r="F2077" s="8">
        <v>45432.0</v>
      </c>
      <c r="G2077" s="6">
        <v>25.0</v>
      </c>
      <c r="H2077" s="9">
        <v>14.0</v>
      </c>
      <c r="I2077" s="10">
        <v>15.0</v>
      </c>
      <c r="J2077" s="11">
        <v>0.0</v>
      </c>
      <c r="K2077" s="9">
        <v>120.92</v>
      </c>
      <c r="L2077" s="7" t="s">
        <v>17</v>
      </c>
    </row>
    <row r="2078" ht="15.75" customHeight="1">
      <c r="A2078" s="6">
        <v>11055.0</v>
      </c>
      <c r="B2078" s="7" t="s">
        <v>23</v>
      </c>
      <c r="C2078" s="8">
        <v>45410.0</v>
      </c>
      <c r="D2078" s="8">
        <v>45438.0</v>
      </c>
      <c r="E2078" s="8">
        <v>45417.0</v>
      </c>
      <c r="F2078" s="8">
        <v>45432.0</v>
      </c>
      <c r="G2078" s="6">
        <v>51.0</v>
      </c>
      <c r="H2078" s="9">
        <v>53.0</v>
      </c>
      <c r="I2078" s="10">
        <v>20.0</v>
      </c>
      <c r="J2078" s="11">
        <v>0.0</v>
      </c>
      <c r="K2078" s="9">
        <v>120.92</v>
      </c>
      <c r="L2078" s="7" t="s">
        <v>17</v>
      </c>
    </row>
    <row r="2079" ht="15.75" customHeight="1">
      <c r="A2079" s="6">
        <v>11055.0</v>
      </c>
      <c r="B2079" s="7" t="s">
        <v>23</v>
      </c>
      <c r="C2079" s="8">
        <v>45410.0</v>
      </c>
      <c r="D2079" s="8">
        <v>45438.0</v>
      </c>
      <c r="E2079" s="8">
        <v>45417.0</v>
      </c>
      <c r="F2079" s="8">
        <v>45432.0</v>
      </c>
      <c r="G2079" s="6">
        <v>57.0</v>
      </c>
      <c r="H2079" s="9">
        <v>19.5</v>
      </c>
      <c r="I2079" s="10">
        <v>20.0</v>
      </c>
      <c r="J2079" s="11">
        <v>0.0</v>
      </c>
      <c r="K2079" s="9">
        <v>120.92</v>
      </c>
      <c r="L2079" s="7" t="s">
        <v>17</v>
      </c>
    </row>
    <row r="2080" ht="15.75" customHeight="1">
      <c r="A2080" s="6">
        <v>11056.0</v>
      </c>
      <c r="B2080" s="7" t="s">
        <v>73</v>
      </c>
      <c r="C2080" s="8">
        <v>45410.0</v>
      </c>
      <c r="D2080" s="8">
        <v>45424.0</v>
      </c>
      <c r="E2080" s="8">
        <v>45413.0</v>
      </c>
      <c r="F2080" s="8">
        <v>45422.0</v>
      </c>
      <c r="G2080" s="6">
        <v>7.0</v>
      </c>
      <c r="H2080" s="9">
        <v>30.0</v>
      </c>
      <c r="I2080" s="10">
        <v>40.0</v>
      </c>
      <c r="J2080" s="11">
        <v>0.0</v>
      </c>
      <c r="K2080" s="9">
        <v>278.96</v>
      </c>
      <c r="L2080" s="7" t="s">
        <v>17</v>
      </c>
    </row>
    <row r="2081" ht="15.75" customHeight="1">
      <c r="A2081" s="6">
        <v>11056.0</v>
      </c>
      <c r="B2081" s="7" t="s">
        <v>73</v>
      </c>
      <c r="C2081" s="8">
        <v>45410.0</v>
      </c>
      <c r="D2081" s="8">
        <v>45424.0</v>
      </c>
      <c r="E2081" s="8">
        <v>45413.0</v>
      </c>
      <c r="F2081" s="8">
        <v>45422.0</v>
      </c>
      <c r="G2081" s="6">
        <v>55.0</v>
      </c>
      <c r="H2081" s="9">
        <v>24.0</v>
      </c>
      <c r="I2081" s="10">
        <v>35.0</v>
      </c>
      <c r="J2081" s="11">
        <v>0.0</v>
      </c>
      <c r="K2081" s="9">
        <v>278.96</v>
      </c>
      <c r="L2081" s="7" t="s">
        <v>17</v>
      </c>
    </row>
    <row r="2082" ht="15.75" customHeight="1">
      <c r="A2082" s="6">
        <v>11056.0</v>
      </c>
      <c r="B2082" s="7" t="s">
        <v>73</v>
      </c>
      <c r="C2082" s="8">
        <v>45410.0</v>
      </c>
      <c r="D2082" s="8">
        <v>45424.0</v>
      </c>
      <c r="E2082" s="8">
        <v>45413.0</v>
      </c>
      <c r="F2082" s="8">
        <v>45422.0</v>
      </c>
      <c r="G2082" s="6">
        <v>60.0</v>
      </c>
      <c r="H2082" s="9">
        <v>34.0</v>
      </c>
      <c r="I2082" s="10">
        <v>50.0</v>
      </c>
      <c r="J2082" s="11">
        <v>0.0</v>
      </c>
      <c r="K2082" s="9">
        <v>278.96</v>
      </c>
      <c r="L2082" s="7" t="s">
        <v>17</v>
      </c>
    </row>
    <row r="2083" ht="15.75" customHeight="1">
      <c r="A2083" s="6">
        <v>11057.0</v>
      </c>
      <c r="B2083" s="7" t="s">
        <v>92</v>
      </c>
      <c r="C2083" s="8">
        <v>45411.0</v>
      </c>
      <c r="D2083" s="8">
        <v>45439.0</v>
      </c>
      <c r="E2083" s="8">
        <v>45413.0</v>
      </c>
      <c r="F2083" s="8">
        <v>45422.0</v>
      </c>
      <c r="G2083" s="6">
        <v>70.0</v>
      </c>
      <c r="H2083" s="9">
        <v>15.0</v>
      </c>
      <c r="I2083" s="10">
        <v>3.0</v>
      </c>
      <c r="J2083" s="11">
        <v>0.0</v>
      </c>
      <c r="K2083" s="9">
        <v>4.13</v>
      </c>
      <c r="L2083" s="7" t="s">
        <v>13</v>
      </c>
    </row>
    <row r="2084" ht="15.75" customHeight="1">
      <c r="A2084" s="6">
        <v>11058.0</v>
      </c>
      <c r="B2084" s="7" t="s">
        <v>91</v>
      </c>
      <c r="C2084" s="8">
        <v>45411.0</v>
      </c>
      <c r="D2084" s="8">
        <v>45439.0</v>
      </c>
      <c r="E2084" s="8"/>
      <c r="F2084" s="8"/>
      <c r="G2084" s="6">
        <v>21.0</v>
      </c>
      <c r="H2084" s="9">
        <v>10.0</v>
      </c>
      <c r="I2084" s="10">
        <v>3.0</v>
      </c>
      <c r="J2084" s="11">
        <v>0.0</v>
      </c>
      <c r="K2084" s="9">
        <v>31.14</v>
      </c>
      <c r="L2084" s="7" t="s">
        <v>13</v>
      </c>
    </row>
    <row r="2085" ht="15.75" customHeight="1">
      <c r="A2085" s="6">
        <v>11058.0</v>
      </c>
      <c r="B2085" s="7" t="s">
        <v>91</v>
      </c>
      <c r="C2085" s="8">
        <v>45411.0</v>
      </c>
      <c r="D2085" s="8">
        <v>45439.0</v>
      </c>
      <c r="E2085" s="8"/>
      <c r="F2085" s="8"/>
      <c r="G2085" s="6">
        <v>60.0</v>
      </c>
      <c r="H2085" s="9">
        <v>34.0</v>
      </c>
      <c r="I2085" s="10">
        <v>21.0</v>
      </c>
      <c r="J2085" s="11">
        <v>0.0</v>
      </c>
      <c r="K2085" s="9">
        <v>31.14</v>
      </c>
      <c r="L2085" s="7" t="s">
        <v>13</v>
      </c>
    </row>
    <row r="2086" ht="15.75" customHeight="1">
      <c r="A2086" s="6">
        <v>11058.0</v>
      </c>
      <c r="B2086" s="7" t="s">
        <v>91</v>
      </c>
      <c r="C2086" s="8">
        <v>45411.0</v>
      </c>
      <c r="D2086" s="8">
        <v>45439.0</v>
      </c>
      <c r="E2086" s="8"/>
      <c r="F2086" s="8"/>
      <c r="G2086" s="6">
        <v>61.0</v>
      </c>
      <c r="H2086" s="9">
        <v>28.5</v>
      </c>
      <c r="I2086" s="10">
        <v>4.0</v>
      </c>
      <c r="J2086" s="11">
        <v>0.0</v>
      </c>
      <c r="K2086" s="9">
        <v>31.14</v>
      </c>
      <c r="L2086" s="7" t="s">
        <v>13</v>
      </c>
    </row>
    <row r="2087" ht="15.75" customHeight="1">
      <c r="A2087" s="6">
        <v>11059.0</v>
      </c>
      <c r="B2087" s="7" t="s">
        <v>44</v>
      </c>
      <c r="C2087" s="8">
        <v>45411.0</v>
      </c>
      <c r="D2087" s="8">
        <v>45453.0</v>
      </c>
      <c r="E2087" s="8"/>
      <c r="F2087" s="8"/>
      <c r="G2087" s="6">
        <v>13.0</v>
      </c>
      <c r="H2087" s="9">
        <v>6.0</v>
      </c>
      <c r="I2087" s="10">
        <v>30.0</v>
      </c>
      <c r="J2087" s="11">
        <v>0.0</v>
      </c>
      <c r="K2087" s="9">
        <v>85.8</v>
      </c>
      <c r="L2087" s="7" t="s">
        <v>17</v>
      </c>
    </row>
    <row r="2088" ht="15.75" customHeight="1">
      <c r="A2088" s="6">
        <v>11059.0</v>
      </c>
      <c r="B2088" s="7" t="s">
        <v>44</v>
      </c>
      <c r="C2088" s="8">
        <v>45411.0</v>
      </c>
      <c r="D2088" s="8">
        <v>45453.0</v>
      </c>
      <c r="E2088" s="8"/>
      <c r="F2088" s="8"/>
      <c r="G2088" s="6">
        <v>17.0</v>
      </c>
      <c r="H2088" s="9">
        <v>39.0</v>
      </c>
      <c r="I2088" s="10">
        <v>12.0</v>
      </c>
      <c r="J2088" s="11">
        <v>0.0</v>
      </c>
      <c r="K2088" s="9">
        <v>85.8</v>
      </c>
      <c r="L2088" s="7" t="s">
        <v>17</v>
      </c>
    </row>
    <row r="2089" ht="15.75" customHeight="1">
      <c r="A2089" s="6">
        <v>11059.0</v>
      </c>
      <c r="B2089" s="7" t="s">
        <v>44</v>
      </c>
      <c r="C2089" s="8">
        <v>45411.0</v>
      </c>
      <c r="D2089" s="8">
        <v>45453.0</v>
      </c>
      <c r="E2089" s="8"/>
      <c r="F2089" s="8"/>
      <c r="G2089" s="6">
        <v>60.0</v>
      </c>
      <c r="H2089" s="9">
        <v>34.0</v>
      </c>
      <c r="I2089" s="10">
        <v>35.0</v>
      </c>
      <c r="J2089" s="11">
        <v>0.0</v>
      </c>
      <c r="K2089" s="9">
        <v>85.8</v>
      </c>
      <c r="L2089" s="7" t="s">
        <v>17</v>
      </c>
    </row>
    <row r="2090" ht="15.75" customHeight="1">
      <c r="A2090" s="6">
        <v>11060.0</v>
      </c>
      <c r="B2090" s="7" t="s">
        <v>85</v>
      </c>
      <c r="C2090" s="8">
        <v>45412.0</v>
      </c>
      <c r="D2090" s="8">
        <v>45440.0</v>
      </c>
      <c r="E2090" s="8">
        <v>45416.0</v>
      </c>
      <c r="F2090" s="8">
        <v>45427.0</v>
      </c>
      <c r="G2090" s="6">
        <v>60.0</v>
      </c>
      <c r="H2090" s="9">
        <v>34.0</v>
      </c>
      <c r="I2090" s="10">
        <v>4.0</v>
      </c>
      <c r="J2090" s="11">
        <v>0.0</v>
      </c>
      <c r="K2090" s="9">
        <v>10.98</v>
      </c>
      <c r="L2090" s="7" t="s">
        <v>17</v>
      </c>
    </row>
    <row r="2091" ht="15.75" customHeight="1">
      <c r="A2091" s="6">
        <v>11060.0</v>
      </c>
      <c r="B2091" s="7" t="s">
        <v>85</v>
      </c>
      <c r="C2091" s="8">
        <v>45412.0</v>
      </c>
      <c r="D2091" s="8">
        <v>45440.0</v>
      </c>
      <c r="E2091" s="8">
        <v>45416.0</v>
      </c>
      <c r="F2091" s="8">
        <v>45427.0</v>
      </c>
      <c r="G2091" s="6">
        <v>77.0</v>
      </c>
      <c r="H2091" s="9">
        <v>13.0</v>
      </c>
      <c r="I2091" s="10">
        <v>10.0</v>
      </c>
      <c r="J2091" s="11">
        <v>0.0</v>
      </c>
      <c r="K2091" s="9">
        <v>10.98</v>
      </c>
      <c r="L2091" s="7" t="s">
        <v>17</v>
      </c>
    </row>
    <row r="2092" ht="15.75" customHeight="1">
      <c r="A2092" s="6">
        <v>11061.0</v>
      </c>
      <c r="B2092" s="7" t="s">
        <v>94</v>
      </c>
      <c r="C2092" s="8">
        <v>45412.0</v>
      </c>
      <c r="D2092" s="8">
        <v>45454.0</v>
      </c>
      <c r="E2092" s="8"/>
      <c r="F2092" s="8"/>
      <c r="G2092" s="6">
        <v>60.0</v>
      </c>
      <c r="H2092" s="9">
        <v>34.0</v>
      </c>
      <c r="I2092" s="10">
        <v>15.0</v>
      </c>
      <c r="J2092" s="11">
        <v>0.0</v>
      </c>
      <c r="K2092" s="9">
        <v>14.01</v>
      </c>
      <c r="L2092" s="7" t="s">
        <v>13</v>
      </c>
    </row>
    <row r="2093" ht="15.75" customHeight="1">
      <c r="A2093" s="6">
        <v>11062.0</v>
      </c>
      <c r="B2093" s="7" t="s">
        <v>45</v>
      </c>
      <c r="C2093" s="8">
        <v>45412.0</v>
      </c>
      <c r="D2093" s="8">
        <v>45440.0</v>
      </c>
      <c r="E2093" s="8"/>
      <c r="F2093" s="8"/>
      <c r="G2093" s="6">
        <v>53.0</v>
      </c>
      <c r="H2093" s="9">
        <v>32.8</v>
      </c>
      <c r="I2093" s="10">
        <v>10.0</v>
      </c>
      <c r="J2093" s="11">
        <v>0.2</v>
      </c>
      <c r="K2093" s="9">
        <v>29.93</v>
      </c>
      <c r="L2093" s="7" t="s">
        <v>17</v>
      </c>
    </row>
    <row r="2094" ht="15.75" customHeight="1">
      <c r="A2094" s="6">
        <v>11062.0</v>
      </c>
      <c r="B2094" s="7" t="s">
        <v>45</v>
      </c>
      <c r="C2094" s="8">
        <v>45412.0</v>
      </c>
      <c r="D2094" s="8">
        <v>45440.0</v>
      </c>
      <c r="E2094" s="8"/>
      <c r="F2094" s="8"/>
      <c r="G2094" s="6">
        <v>70.0</v>
      </c>
      <c r="H2094" s="9">
        <v>15.0</v>
      </c>
      <c r="I2094" s="10">
        <v>12.0</v>
      </c>
      <c r="J2094" s="11">
        <v>0.2</v>
      </c>
      <c r="K2094" s="9">
        <v>29.93</v>
      </c>
      <c r="L2094" s="7" t="s">
        <v>17</v>
      </c>
    </row>
    <row r="2095" ht="15.75" customHeight="1">
      <c r="A2095" s="6">
        <v>11063.0</v>
      </c>
      <c r="B2095" s="7" t="s">
        <v>49</v>
      </c>
      <c r="C2095" s="8">
        <v>45412.0</v>
      </c>
      <c r="D2095" s="8">
        <v>45440.0</v>
      </c>
      <c r="E2095" s="8">
        <v>45418.0</v>
      </c>
      <c r="F2095" s="8">
        <v>45430.0</v>
      </c>
      <c r="G2095" s="6">
        <v>34.0</v>
      </c>
      <c r="H2095" s="9">
        <v>14.0</v>
      </c>
      <c r="I2095" s="10">
        <v>30.0</v>
      </c>
      <c r="J2095" s="11">
        <v>0.0</v>
      </c>
      <c r="K2095" s="9">
        <v>81.73</v>
      </c>
      <c r="L2095" s="7" t="s">
        <v>17</v>
      </c>
    </row>
    <row r="2096" ht="15.75" customHeight="1">
      <c r="A2096" s="6">
        <v>11063.0</v>
      </c>
      <c r="B2096" s="7" t="s">
        <v>49</v>
      </c>
      <c r="C2096" s="8">
        <v>45412.0</v>
      </c>
      <c r="D2096" s="8">
        <v>45440.0</v>
      </c>
      <c r="E2096" s="8">
        <v>45418.0</v>
      </c>
      <c r="F2096" s="8">
        <v>45430.0</v>
      </c>
      <c r="G2096" s="6">
        <v>40.0</v>
      </c>
      <c r="H2096" s="9">
        <v>18.4</v>
      </c>
      <c r="I2096" s="10">
        <v>40.0</v>
      </c>
      <c r="J2096" s="11">
        <v>0.1</v>
      </c>
      <c r="K2096" s="9">
        <v>81.73</v>
      </c>
      <c r="L2096" s="7" t="s">
        <v>17</v>
      </c>
    </row>
    <row r="2097" ht="15.75" customHeight="1">
      <c r="A2097" s="6">
        <v>11063.0</v>
      </c>
      <c r="B2097" s="7" t="s">
        <v>49</v>
      </c>
      <c r="C2097" s="8">
        <v>45412.0</v>
      </c>
      <c r="D2097" s="8">
        <v>45440.0</v>
      </c>
      <c r="E2097" s="8">
        <v>45418.0</v>
      </c>
      <c r="F2097" s="8">
        <v>45430.0</v>
      </c>
      <c r="G2097" s="6">
        <v>41.0</v>
      </c>
      <c r="H2097" s="9">
        <v>9.65</v>
      </c>
      <c r="I2097" s="10">
        <v>30.0</v>
      </c>
      <c r="J2097" s="11">
        <v>0.1</v>
      </c>
      <c r="K2097" s="9">
        <v>81.73</v>
      </c>
      <c r="L2097" s="7" t="s">
        <v>17</v>
      </c>
    </row>
    <row r="2098" ht="15.75" customHeight="1">
      <c r="A2098" s="6">
        <v>11064.0</v>
      </c>
      <c r="B2098" s="7" t="s">
        <v>60</v>
      </c>
      <c r="C2098" s="8">
        <v>45413.0</v>
      </c>
      <c r="D2098" s="8">
        <v>45441.0</v>
      </c>
      <c r="E2098" s="8">
        <v>45416.0</v>
      </c>
      <c r="F2098" s="8">
        <v>45427.0</v>
      </c>
      <c r="G2098" s="6">
        <v>17.0</v>
      </c>
      <c r="H2098" s="9">
        <v>39.0</v>
      </c>
      <c r="I2098" s="10">
        <v>77.0</v>
      </c>
      <c r="J2098" s="11">
        <v>0.1</v>
      </c>
      <c r="K2098" s="9">
        <v>30.09</v>
      </c>
      <c r="L2098" s="7" t="s">
        <v>15</v>
      </c>
    </row>
    <row r="2099" ht="15.75" customHeight="1">
      <c r="A2099" s="6">
        <v>11064.0</v>
      </c>
      <c r="B2099" s="7" t="s">
        <v>60</v>
      </c>
      <c r="C2099" s="8">
        <v>45413.0</v>
      </c>
      <c r="D2099" s="8">
        <v>45441.0</v>
      </c>
      <c r="E2099" s="8">
        <v>45416.0</v>
      </c>
      <c r="F2099" s="8">
        <v>45427.0</v>
      </c>
      <c r="G2099" s="6">
        <v>41.0</v>
      </c>
      <c r="H2099" s="9">
        <v>9.65</v>
      </c>
      <c r="I2099" s="10">
        <v>12.0</v>
      </c>
      <c r="J2099" s="11">
        <v>0.0</v>
      </c>
      <c r="K2099" s="9">
        <v>30.09</v>
      </c>
      <c r="L2099" s="7" t="s">
        <v>15</v>
      </c>
    </row>
    <row r="2100" ht="15.75" customHeight="1">
      <c r="A2100" s="6">
        <v>11064.0</v>
      </c>
      <c r="B2100" s="7" t="s">
        <v>60</v>
      </c>
      <c r="C2100" s="8">
        <v>45413.0</v>
      </c>
      <c r="D2100" s="8">
        <v>45441.0</v>
      </c>
      <c r="E2100" s="8">
        <v>45416.0</v>
      </c>
      <c r="F2100" s="8">
        <v>45427.0</v>
      </c>
      <c r="G2100" s="6">
        <v>53.0</v>
      </c>
      <c r="H2100" s="9">
        <v>32.8</v>
      </c>
      <c r="I2100" s="10">
        <v>25.0</v>
      </c>
      <c r="J2100" s="11">
        <v>0.1</v>
      </c>
      <c r="K2100" s="9">
        <v>30.09</v>
      </c>
      <c r="L2100" s="7" t="s">
        <v>15</v>
      </c>
    </row>
    <row r="2101" ht="15.75" customHeight="1">
      <c r="A2101" s="6">
        <v>11064.0</v>
      </c>
      <c r="B2101" s="7" t="s">
        <v>60</v>
      </c>
      <c r="C2101" s="8">
        <v>45413.0</v>
      </c>
      <c r="D2101" s="8">
        <v>45441.0</v>
      </c>
      <c r="E2101" s="8">
        <v>45416.0</v>
      </c>
      <c r="F2101" s="8">
        <v>45427.0</v>
      </c>
      <c r="G2101" s="6">
        <v>55.0</v>
      </c>
      <c r="H2101" s="9">
        <v>24.0</v>
      </c>
      <c r="I2101" s="10">
        <v>4.0</v>
      </c>
      <c r="J2101" s="11">
        <v>0.1</v>
      </c>
      <c r="K2101" s="9">
        <v>30.09</v>
      </c>
      <c r="L2101" s="7" t="s">
        <v>15</v>
      </c>
    </row>
    <row r="2102" ht="15.75" customHeight="1">
      <c r="A2102" s="6">
        <v>11064.0</v>
      </c>
      <c r="B2102" s="7" t="s">
        <v>60</v>
      </c>
      <c r="C2102" s="8">
        <v>45413.0</v>
      </c>
      <c r="D2102" s="8">
        <v>45441.0</v>
      </c>
      <c r="E2102" s="8">
        <v>45416.0</v>
      </c>
      <c r="F2102" s="8">
        <v>45427.0</v>
      </c>
      <c r="G2102" s="6">
        <v>68.0</v>
      </c>
      <c r="H2102" s="9">
        <v>12.5</v>
      </c>
      <c r="I2102" s="10">
        <v>55.0</v>
      </c>
      <c r="J2102" s="11">
        <v>0.0</v>
      </c>
      <c r="K2102" s="9">
        <v>30.09</v>
      </c>
      <c r="L2102" s="7" t="s">
        <v>15</v>
      </c>
    </row>
    <row r="2103" ht="15.75" customHeight="1">
      <c r="A2103" s="6">
        <v>11065.0</v>
      </c>
      <c r="B2103" s="7" t="s">
        <v>43</v>
      </c>
      <c r="C2103" s="8">
        <v>45413.0</v>
      </c>
      <c r="D2103" s="8">
        <v>45441.0</v>
      </c>
      <c r="E2103" s="8"/>
      <c r="F2103" s="8"/>
      <c r="G2103" s="6">
        <v>30.0</v>
      </c>
      <c r="H2103" s="9">
        <v>25.89</v>
      </c>
      <c r="I2103" s="10">
        <v>4.0</v>
      </c>
      <c r="J2103" s="11">
        <v>0.25</v>
      </c>
      <c r="K2103" s="9">
        <v>12.91</v>
      </c>
      <c r="L2103" s="7" t="s">
        <v>15</v>
      </c>
    </row>
    <row r="2104" ht="15.75" customHeight="1">
      <c r="A2104" s="6">
        <v>11065.0</v>
      </c>
      <c r="B2104" s="7" t="s">
        <v>43</v>
      </c>
      <c r="C2104" s="8">
        <v>45413.0</v>
      </c>
      <c r="D2104" s="8">
        <v>45441.0</v>
      </c>
      <c r="E2104" s="8"/>
      <c r="F2104" s="8"/>
      <c r="G2104" s="6">
        <v>54.0</v>
      </c>
      <c r="H2104" s="9">
        <v>7.45</v>
      </c>
      <c r="I2104" s="10">
        <v>20.0</v>
      </c>
      <c r="J2104" s="11">
        <v>0.25</v>
      </c>
      <c r="K2104" s="9">
        <v>12.91</v>
      </c>
      <c r="L2104" s="7" t="s">
        <v>15</v>
      </c>
    </row>
    <row r="2105" ht="15.75" customHeight="1">
      <c r="A2105" s="6">
        <v>11066.0</v>
      </c>
      <c r="B2105" s="7" t="s">
        <v>34</v>
      </c>
      <c r="C2105" s="8">
        <v>45413.0</v>
      </c>
      <c r="D2105" s="8">
        <v>45441.0</v>
      </c>
      <c r="E2105" s="8">
        <v>45416.0</v>
      </c>
      <c r="F2105" s="8">
        <v>45433.0</v>
      </c>
      <c r="G2105" s="6">
        <v>16.0</v>
      </c>
      <c r="H2105" s="9">
        <v>17.45</v>
      </c>
      <c r="I2105" s="10">
        <v>3.0</v>
      </c>
      <c r="J2105" s="11">
        <v>0.0</v>
      </c>
      <c r="K2105" s="9">
        <v>44.72</v>
      </c>
      <c r="L2105" s="7" t="s">
        <v>17</v>
      </c>
    </row>
    <row r="2106" ht="15.75" customHeight="1">
      <c r="A2106" s="6">
        <v>11066.0</v>
      </c>
      <c r="B2106" s="7" t="s">
        <v>34</v>
      </c>
      <c r="C2106" s="8">
        <v>45413.0</v>
      </c>
      <c r="D2106" s="8">
        <v>45441.0</v>
      </c>
      <c r="E2106" s="8">
        <v>45416.0</v>
      </c>
      <c r="F2106" s="8">
        <v>45433.0</v>
      </c>
      <c r="G2106" s="6">
        <v>19.0</v>
      </c>
      <c r="H2106" s="9">
        <v>9.2</v>
      </c>
      <c r="I2106" s="10">
        <v>42.0</v>
      </c>
      <c r="J2106" s="11">
        <v>0.0</v>
      </c>
      <c r="K2106" s="9">
        <v>44.72</v>
      </c>
      <c r="L2106" s="7" t="s">
        <v>17</v>
      </c>
    </row>
    <row r="2107" ht="15.75" customHeight="1">
      <c r="A2107" s="6">
        <v>11066.0</v>
      </c>
      <c r="B2107" s="7" t="s">
        <v>34</v>
      </c>
      <c r="C2107" s="8">
        <v>45413.0</v>
      </c>
      <c r="D2107" s="8">
        <v>45441.0</v>
      </c>
      <c r="E2107" s="8">
        <v>45416.0</v>
      </c>
      <c r="F2107" s="8">
        <v>45433.0</v>
      </c>
      <c r="G2107" s="6">
        <v>34.0</v>
      </c>
      <c r="H2107" s="9">
        <v>14.0</v>
      </c>
      <c r="I2107" s="10">
        <v>35.0</v>
      </c>
      <c r="J2107" s="11">
        <v>0.0</v>
      </c>
      <c r="K2107" s="9">
        <v>44.72</v>
      </c>
      <c r="L2107" s="7" t="s">
        <v>17</v>
      </c>
    </row>
    <row r="2108" ht="15.75" customHeight="1">
      <c r="A2108" s="6">
        <v>11067.0</v>
      </c>
      <c r="B2108" s="7" t="s">
        <v>72</v>
      </c>
      <c r="C2108" s="8">
        <v>45416.0</v>
      </c>
      <c r="D2108" s="8">
        <v>45430.0</v>
      </c>
      <c r="E2108" s="8">
        <v>45418.0</v>
      </c>
      <c r="F2108" s="8">
        <v>45426.0</v>
      </c>
      <c r="G2108" s="6">
        <v>41.0</v>
      </c>
      <c r="H2108" s="9">
        <v>9.65</v>
      </c>
      <c r="I2108" s="10">
        <v>9.0</v>
      </c>
      <c r="J2108" s="11">
        <v>0.0</v>
      </c>
      <c r="K2108" s="9">
        <v>7.98</v>
      </c>
      <c r="L2108" s="7" t="s">
        <v>17</v>
      </c>
    </row>
    <row r="2109" ht="15.75" customHeight="1">
      <c r="A2109" s="6">
        <v>11068.0</v>
      </c>
      <c r="B2109" s="7" t="s">
        <v>77</v>
      </c>
      <c r="C2109" s="8">
        <v>45416.0</v>
      </c>
      <c r="D2109" s="8">
        <v>45444.0</v>
      </c>
      <c r="E2109" s="8"/>
      <c r="F2109" s="8"/>
      <c r="G2109" s="6">
        <v>28.0</v>
      </c>
      <c r="H2109" s="9">
        <v>45.6</v>
      </c>
      <c r="I2109" s="10">
        <v>8.0</v>
      </c>
      <c r="J2109" s="11">
        <v>0.15</v>
      </c>
      <c r="K2109" s="9">
        <v>81.75</v>
      </c>
      <c r="L2109" s="7" t="s">
        <v>17</v>
      </c>
    </row>
    <row r="2110" ht="15.75" customHeight="1">
      <c r="A2110" s="6">
        <v>11068.0</v>
      </c>
      <c r="B2110" s="7" t="s">
        <v>77</v>
      </c>
      <c r="C2110" s="8">
        <v>45416.0</v>
      </c>
      <c r="D2110" s="8">
        <v>45444.0</v>
      </c>
      <c r="E2110" s="8"/>
      <c r="F2110" s="8"/>
      <c r="G2110" s="6">
        <v>43.0</v>
      </c>
      <c r="H2110" s="9">
        <v>46.0</v>
      </c>
      <c r="I2110" s="10">
        <v>36.0</v>
      </c>
      <c r="J2110" s="11">
        <v>0.15</v>
      </c>
      <c r="K2110" s="9">
        <v>81.75</v>
      </c>
      <c r="L2110" s="7" t="s">
        <v>17</v>
      </c>
    </row>
    <row r="2111" ht="15.75" customHeight="1">
      <c r="A2111" s="6">
        <v>11068.0</v>
      </c>
      <c r="B2111" s="7" t="s">
        <v>77</v>
      </c>
      <c r="C2111" s="8">
        <v>45416.0</v>
      </c>
      <c r="D2111" s="8">
        <v>45444.0</v>
      </c>
      <c r="E2111" s="8"/>
      <c r="F2111" s="8"/>
      <c r="G2111" s="6">
        <v>77.0</v>
      </c>
      <c r="H2111" s="9">
        <v>13.0</v>
      </c>
      <c r="I2111" s="10">
        <v>28.0</v>
      </c>
      <c r="J2111" s="11">
        <v>0.15</v>
      </c>
      <c r="K2111" s="9">
        <v>81.75</v>
      </c>
      <c r="L2111" s="7" t="s">
        <v>17</v>
      </c>
    </row>
    <row r="2112" ht="15.75" customHeight="1">
      <c r="A2112" s="6">
        <v>11069.0</v>
      </c>
      <c r="B2112" s="7" t="s">
        <v>38</v>
      </c>
      <c r="C2112" s="8">
        <v>45416.0</v>
      </c>
      <c r="D2112" s="8">
        <v>45444.0</v>
      </c>
      <c r="E2112" s="8">
        <v>45418.0</v>
      </c>
      <c r="F2112" s="8">
        <v>45436.0</v>
      </c>
      <c r="G2112" s="6">
        <v>39.0</v>
      </c>
      <c r="H2112" s="9">
        <v>18.0</v>
      </c>
      <c r="I2112" s="10">
        <v>20.0</v>
      </c>
      <c r="J2112" s="11">
        <v>0.0</v>
      </c>
      <c r="K2112" s="9">
        <v>15.67</v>
      </c>
      <c r="L2112" s="7" t="s">
        <v>17</v>
      </c>
    </row>
    <row r="2113" ht="15.75" customHeight="1">
      <c r="A2113" s="6">
        <v>11070.0</v>
      </c>
      <c r="B2113" s="7" t="s">
        <v>41</v>
      </c>
      <c r="C2113" s="8">
        <v>45417.0</v>
      </c>
      <c r="D2113" s="8">
        <v>45445.0</v>
      </c>
      <c r="E2113" s="8"/>
      <c r="F2113" s="8"/>
      <c r="G2113" s="6">
        <v>1.0</v>
      </c>
      <c r="H2113" s="9">
        <v>18.0</v>
      </c>
      <c r="I2113" s="10">
        <v>40.0</v>
      </c>
      <c r="J2113" s="11">
        <v>0.15</v>
      </c>
      <c r="K2113" s="9">
        <v>136.0</v>
      </c>
      <c r="L2113" s="7" t="s">
        <v>15</v>
      </c>
    </row>
    <row r="2114" ht="15.75" customHeight="1">
      <c r="A2114" s="6">
        <v>11070.0</v>
      </c>
      <c r="B2114" s="7" t="s">
        <v>41</v>
      </c>
      <c r="C2114" s="8">
        <v>45417.0</v>
      </c>
      <c r="D2114" s="8">
        <v>45445.0</v>
      </c>
      <c r="E2114" s="8"/>
      <c r="F2114" s="8"/>
      <c r="G2114" s="6">
        <v>2.0</v>
      </c>
      <c r="H2114" s="9">
        <v>19.0</v>
      </c>
      <c r="I2114" s="10">
        <v>20.0</v>
      </c>
      <c r="J2114" s="11">
        <v>0.15</v>
      </c>
      <c r="K2114" s="9">
        <v>136.0</v>
      </c>
      <c r="L2114" s="7" t="s">
        <v>15</v>
      </c>
    </row>
    <row r="2115" ht="15.75" customHeight="1">
      <c r="A2115" s="6">
        <v>11070.0</v>
      </c>
      <c r="B2115" s="7" t="s">
        <v>41</v>
      </c>
      <c r="C2115" s="8">
        <v>45417.0</v>
      </c>
      <c r="D2115" s="8">
        <v>45445.0</v>
      </c>
      <c r="E2115" s="8"/>
      <c r="F2115" s="8"/>
      <c r="G2115" s="6">
        <v>16.0</v>
      </c>
      <c r="H2115" s="9">
        <v>17.45</v>
      </c>
      <c r="I2115" s="10">
        <v>30.0</v>
      </c>
      <c r="J2115" s="11">
        <v>0.15</v>
      </c>
      <c r="K2115" s="9">
        <v>136.0</v>
      </c>
      <c r="L2115" s="7" t="s">
        <v>15</v>
      </c>
    </row>
    <row r="2116" ht="15.75" customHeight="1">
      <c r="A2116" s="6">
        <v>11070.0</v>
      </c>
      <c r="B2116" s="7" t="s">
        <v>41</v>
      </c>
      <c r="C2116" s="8">
        <v>45417.0</v>
      </c>
      <c r="D2116" s="8">
        <v>45445.0</v>
      </c>
      <c r="E2116" s="8"/>
      <c r="F2116" s="8"/>
      <c r="G2116" s="6">
        <v>31.0</v>
      </c>
      <c r="H2116" s="9">
        <v>12.5</v>
      </c>
      <c r="I2116" s="10">
        <v>20.0</v>
      </c>
      <c r="J2116" s="11">
        <v>0.0</v>
      </c>
      <c r="K2116" s="9">
        <v>136.0</v>
      </c>
      <c r="L2116" s="7" t="s">
        <v>15</v>
      </c>
    </row>
    <row r="2117" ht="15.75" customHeight="1">
      <c r="A2117" s="6">
        <v>11071.0</v>
      </c>
      <c r="B2117" s="7" t="s">
        <v>43</v>
      </c>
      <c r="C2117" s="8">
        <v>45417.0</v>
      </c>
      <c r="D2117" s="8">
        <v>45445.0</v>
      </c>
      <c r="E2117" s="8"/>
      <c r="F2117" s="8"/>
      <c r="G2117" s="6">
        <v>7.0</v>
      </c>
      <c r="H2117" s="9">
        <v>30.0</v>
      </c>
      <c r="I2117" s="10">
        <v>15.0</v>
      </c>
      <c r="J2117" s="11">
        <v>0.05</v>
      </c>
      <c r="K2117" s="9">
        <v>0.93</v>
      </c>
      <c r="L2117" s="7" t="s">
        <v>15</v>
      </c>
    </row>
    <row r="2118" ht="15.75" customHeight="1">
      <c r="A2118" s="6">
        <v>11071.0</v>
      </c>
      <c r="B2118" s="7" t="s">
        <v>43</v>
      </c>
      <c r="C2118" s="8">
        <v>45417.0</v>
      </c>
      <c r="D2118" s="8">
        <v>45445.0</v>
      </c>
      <c r="E2118" s="8"/>
      <c r="F2118" s="8"/>
      <c r="G2118" s="6">
        <v>13.0</v>
      </c>
      <c r="H2118" s="9">
        <v>6.0</v>
      </c>
      <c r="I2118" s="10">
        <v>10.0</v>
      </c>
      <c r="J2118" s="11">
        <v>0.05</v>
      </c>
      <c r="K2118" s="9">
        <v>0.93</v>
      </c>
      <c r="L2118" s="7" t="s">
        <v>15</v>
      </c>
    </row>
    <row r="2119" ht="15.75" customHeight="1">
      <c r="A2119" s="6">
        <v>11072.0</v>
      </c>
      <c r="B2119" s="7" t="s">
        <v>24</v>
      </c>
      <c r="C2119" s="8">
        <v>45417.0</v>
      </c>
      <c r="D2119" s="8">
        <v>45445.0</v>
      </c>
      <c r="E2119" s="8"/>
      <c r="F2119" s="8"/>
      <c r="G2119" s="6">
        <v>2.0</v>
      </c>
      <c r="H2119" s="9">
        <v>19.0</v>
      </c>
      <c r="I2119" s="10">
        <v>8.0</v>
      </c>
      <c r="J2119" s="11">
        <v>0.0</v>
      </c>
      <c r="K2119" s="9">
        <v>258.64</v>
      </c>
      <c r="L2119" s="7" t="s">
        <v>17</v>
      </c>
    </row>
    <row r="2120" ht="15.75" customHeight="1">
      <c r="A2120" s="6">
        <v>11072.0</v>
      </c>
      <c r="B2120" s="7" t="s">
        <v>24</v>
      </c>
      <c r="C2120" s="8">
        <v>45417.0</v>
      </c>
      <c r="D2120" s="8">
        <v>45445.0</v>
      </c>
      <c r="E2120" s="8"/>
      <c r="F2120" s="8"/>
      <c r="G2120" s="6">
        <v>41.0</v>
      </c>
      <c r="H2120" s="9">
        <v>9.65</v>
      </c>
      <c r="I2120" s="10">
        <v>40.0</v>
      </c>
      <c r="J2120" s="11">
        <v>0.0</v>
      </c>
      <c r="K2120" s="9">
        <v>258.64</v>
      </c>
      <c r="L2120" s="7" t="s">
        <v>17</v>
      </c>
    </row>
    <row r="2121" ht="15.75" customHeight="1">
      <c r="A2121" s="6">
        <v>11072.0</v>
      </c>
      <c r="B2121" s="7" t="s">
        <v>24</v>
      </c>
      <c r="C2121" s="8">
        <v>45417.0</v>
      </c>
      <c r="D2121" s="8">
        <v>45445.0</v>
      </c>
      <c r="E2121" s="8"/>
      <c r="F2121" s="8"/>
      <c r="G2121" s="6">
        <v>50.0</v>
      </c>
      <c r="H2121" s="9">
        <v>16.25</v>
      </c>
      <c r="I2121" s="10">
        <v>22.0</v>
      </c>
      <c r="J2121" s="11">
        <v>0.0</v>
      </c>
      <c r="K2121" s="9">
        <v>258.64</v>
      </c>
      <c r="L2121" s="7" t="s">
        <v>17</v>
      </c>
    </row>
    <row r="2122" ht="15.75" customHeight="1">
      <c r="A2122" s="6">
        <v>11072.0</v>
      </c>
      <c r="B2122" s="7" t="s">
        <v>24</v>
      </c>
      <c r="C2122" s="8">
        <v>45417.0</v>
      </c>
      <c r="D2122" s="8">
        <v>45445.0</v>
      </c>
      <c r="E2122" s="8"/>
      <c r="F2122" s="8"/>
      <c r="G2122" s="6">
        <v>64.0</v>
      </c>
      <c r="H2122" s="9">
        <v>33.25</v>
      </c>
      <c r="I2122" s="10">
        <v>130.0</v>
      </c>
      <c r="J2122" s="11">
        <v>0.0</v>
      </c>
      <c r="K2122" s="9">
        <v>258.64</v>
      </c>
      <c r="L2122" s="7" t="s">
        <v>17</v>
      </c>
    </row>
    <row r="2123" ht="15.75" customHeight="1">
      <c r="A2123" s="6">
        <v>11073.0</v>
      </c>
      <c r="B2123" s="7" t="s">
        <v>58</v>
      </c>
      <c r="C2123" s="8">
        <v>45417.0</v>
      </c>
      <c r="D2123" s="8">
        <v>45445.0</v>
      </c>
      <c r="E2123" s="8"/>
      <c r="F2123" s="8"/>
      <c r="G2123" s="6">
        <v>11.0</v>
      </c>
      <c r="H2123" s="9">
        <v>21.0</v>
      </c>
      <c r="I2123" s="10">
        <v>10.0</v>
      </c>
      <c r="J2123" s="11">
        <v>0.0</v>
      </c>
      <c r="K2123" s="9">
        <v>24.95</v>
      </c>
      <c r="L2123" s="7" t="s">
        <v>17</v>
      </c>
    </row>
    <row r="2124" ht="15.75" customHeight="1">
      <c r="A2124" s="6">
        <v>11073.0</v>
      </c>
      <c r="B2124" s="7" t="s">
        <v>58</v>
      </c>
      <c r="C2124" s="8">
        <v>45417.0</v>
      </c>
      <c r="D2124" s="8">
        <v>45445.0</v>
      </c>
      <c r="E2124" s="8"/>
      <c r="F2124" s="8"/>
      <c r="G2124" s="6">
        <v>24.0</v>
      </c>
      <c r="H2124" s="9">
        <v>4.5</v>
      </c>
      <c r="I2124" s="10">
        <v>20.0</v>
      </c>
      <c r="J2124" s="11">
        <v>0.0</v>
      </c>
      <c r="K2124" s="9">
        <v>24.95</v>
      </c>
      <c r="L2124" s="7" t="s">
        <v>17</v>
      </c>
    </row>
    <row r="2125" ht="15.75" customHeight="1">
      <c r="A2125" s="6">
        <v>11074.0</v>
      </c>
      <c r="B2125" s="7" t="s">
        <v>66</v>
      </c>
      <c r="C2125" s="8">
        <v>45418.0</v>
      </c>
      <c r="D2125" s="8">
        <v>45446.0</v>
      </c>
      <c r="E2125" s="8"/>
      <c r="F2125" s="8"/>
      <c r="G2125" s="6">
        <v>16.0</v>
      </c>
      <c r="H2125" s="9">
        <v>17.45</v>
      </c>
      <c r="I2125" s="10">
        <v>14.0</v>
      </c>
      <c r="J2125" s="11">
        <v>0.05</v>
      </c>
      <c r="K2125" s="9">
        <v>18.44</v>
      </c>
      <c r="L2125" s="7" t="s">
        <v>17</v>
      </c>
    </row>
    <row r="2126" ht="15.75" customHeight="1">
      <c r="A2126" s="6">
        <v>11075.0</v>
      </c>
      <c r="B2126" s="7" t="s">
        <v>21</v>
      </c>
      <c r="C2126" s="8">
        <v>45418.0</v>
      </c>
      <c r="D2126" s="8">
        <v>45446.0</v>
      </c>
      <c r="E2126" s="8"/>
      <c r="F2126" s="8"/>
      <c r="G2126" s="6">
        <v>2.0</v>
      </c>
      <c r="H2126" s="9">
        <v>19.0</v>
      </c>
      <c r="I2126" s="10">
        <v>10.0</v>
      </c>
      <c r="J2126" s="11">
        <v>0.15</v>
      </c>
      <c r="K2126" s="9">
        <v>6.19</v>
      </c>
      <c r="L2126" s="7" t="s">
        <v>17</v>
      </c>
    </row>
    <row r="2127" ht="15.75" customHeight="1">
      <c r="A2127" s="6">
        <v>11075.0</v>
      </c>
      <c r="B2127" s="7" t="s">
        <v>21</v>
      </c>
      <c r="C2127" s="8">
        <v>45418.0</v>
      </c>
      <c r="D2127" s="8">
        <v>45446.0</v>
      </c>
      <c r="E2127" s="8"/>
      <c r="F2127" s="8"/>
      <c r="G2127" s="6">
        <v>46.0</v>
      </c>
      <c r="H2127" s="9">
        <v>12.0</v>
      </c>
      <c r="I2127" s="10">
        <v>30.0</v>
      </c>
      <c r="J2127" s="11">
        <v>0.15</v>
      </c>
      <c r="K2127" s="9">
        <v>6.19</v>
      </c>
      <c r="L2127" s="7" t="s">
        <v>17</v>
      </c>
    </row>
    <row r="2128" ht="15.75" customHeight="1">
      <c r="A2128" s="6">
        <v>11075.0</v>
      </c>
      <c r="B2128" s="7" t="s">
        <v>21</v>
      </c>
      <c r="C2128" s="8">
        <v>45418.0</v>
      </c>
      <c r="D2128" s="8">
        <v>45446.0</v>
      </c>
      <c r="E2128" s="8"/>
      <c r="F2128" s="8"/>
      <c r="G2128" s="6">
        <v>76.0</v>
      </c>
      <c r="H2128" s="9">
        <v>18.0</v>
      </c>
      <c r="I2128" s="10">
        <v>2.0</v>
      </c>
      <c r="J2128" s="11">
        <v>0.15</v>
      </c>
      <c r="K2128" s="9">
        <v>6.19</v>
      </c>
      <c r="L2128" s="7" t="s">
        <v>17</v>
      </c>
    </row>
    <row r="2129" ht="15.75" customHeight="1">
      <c r="A2129" s="6">
        <v>11076.0</v>
      </c>
      <c r="B2129" s="7" t="s">
        <v>63</v>
      </c>
      <c r="C2129" s="8">
        <v>45418.0</v>
      </c>
      <c r="D2129" s="8">
        <v>45446.0</v>
      </c>
      <c r="E2129" s="8"/>
      <c r="F2129" s="8"/>
      <c r="G2129" s="6">
        <v>6.0</v>
      </c>
      <c r="H2129" s="9">
        <v>25.0</v>
      </c>
      <c r="I2129" s="10">
        <v>20.0</v>
      </c>
      <c r="J2129" s="11">
        <v>0.25</v>
      </c>
      <c r="K2129" s="9">
        <v>38.28</v>
      </c>
      <c r="L2129" s="7" t="s">
        <v>17</v>
      </c>
    </row>
    <row r="2130" ht="15.75" customHeight="1">
      <c r="A2130" s="6">
        <v>11076.0</v>
      </c>
      <c r="B2130" s="7" t="s">
        <v>63</v>
      </c>
      <c r="C2130" s="8">
        <v>45418.0</v>
      </c>
      <c r="D2130" s="8">
        <v>45446.0</v>
      </c>
      <c r="E2130" s="8"/>
      <c r="F2130" s="8"/>
      <c r="G2130" s="6">
        <v>14.0</v>
      </c>
      <c r="H2130" s="9">
        <v>23.25</v>
      </c>
      <c r="I2130" s="10">
        <v>20.0</v>
      </c>
      <c r="J2130" s="11">
        <v>0.25</v>
      </c>
      <c r="K2130" s="9">
        <v>38.28</v>
      </c>
      <c r="L2130" s="7" t="s">
        <v>17</v>
      </c>
    </row>
    <row r="2131" ht="15.75" customHeight="1">
      <c r="A2131" s="6">
        <v>11076.0</v>
      </c>
      <c r="B2131" s="7" t="s">
        <v>63</v>
      </c>
      <c r="C2131" s="8">
        <v>45418.0</v>
      </c>
      <c r="D2131" s="8">
        <v>45446.0</v>
      </c>
      <c r="E2131" s="8"/>
      <c r="F2131" s="8"/>
      <c r="G2131" s="6">
        <v>19.0</v>
      </c>
      <c r="H2131" s="9">
        <v>9.2</v>
      </c>
      <c r="I2131" s="10">
        <v>10.0</v>
      </c>
      <c r="J2131" s="11">
        <v>0.25</v>
      </c>
      <c r="K2131" s="9">
        <v>38.28</v>
      </c>
      <c r="L2131" s="7" t="s">
        <v>17</v>
      </c>
    </row>
    <row r="2132" ht="15.75" customHeight="1">
      <c r="A2132" s="6">
        <v>11077.0</v>
      </c>
      <c r="B2132" s="7" t="s">
        <v>28</v>
      </c>
      <c r="C2132" s="8">
        <v>45418.0</v>
      </c>
      <c r="D2132" s="8">
        <v>45446.0</v>
      </c>
      <c r="E2132" s="8"/>
      <c r="F2132" s="8"/>
      <c r="G2132" s="6">
        <v>2.0</v>
      </c>
      <c r="H2132" s="9">
        <v>19.0</v>
      </c>
      <c r="I2132" s="10">
        <v>24.0</v>
      </c>
      <c r="J2132" s="11">
        <v>0.2</v>
      </c>
      <c r="K2132" s="9">
        <v>8.53</v>
      </c>
      <c r="L2132" s="7" t="s">
        <v>17</v>
      </c>
    </row>
    <row r="2133" ht="15.75" customHeight="1">
      <c r="A2133" s="6">
        <v>11077.0</v>
      </c>
      <c r="B2133" s="7" t="s">
        <v>28</v>
      </c>
      <c r="C2133" s="8">
        <v>45418.0</v>
      </c>
      <c r="D2133" s="8">
        <v>45446.0</v>
      </c>
      <c r="E2133" s="8"/>
      <c r="F2133" s="8"/>
      <c r="G2133" s="6">
        <v>3.0</v>
      </c>
      <c r="H2133" s="9">
        <v>10.0</v>
      </c>
      <c r="I2133" s="10">
        <v>4.0</v>
      </c>
      <c r="J2133" s="11">
        <v>0.0</v>
      </c>
      <c r="K2133" s="9">
        <v>8.53</v>
      </c>
      <c r="L2133" s="7" t="s">
        <v>17</v>
      </c>
    </row>
    <row r="2134" ht="15.75" customHeight="1">
      <c r="A2134" s="6">
        <v>11077.0</v>
      </c>
      <c r="B2134" s="7" t="s">
        <v>28</v>
      </c>
      <c r="C2134" s="8">
        <v>45418.0</v>
      </c>
      <c r="D2134" s="8">
        <v>45446.0</v>
      </c>
      <c r="E2134" s="8"/>
      <c r="F2134" s="8"/>
      <c r="G2134" s="6">
        <v>4.0</v>
      </c>
      <c r="H2134" s="9">
        <v>22.0</v>
      </c>
      <c r="I2134" s="10">
        <v>1.0</v>
      </c>
      <c r="J2134" s="11">
        <v>0.0</v>
      </c>
      <c r="K2134" s="9">
        <v>8.53</v>
      </c>
      <c r="L2134" s="7" t="s">
        <v>17</v>
      </c>
    </row>
    <row r="2135" ht="15.75" customHeight="1">
      <c r="A2135" s="6">
        <v>11077.0</v>
      </c>
      <c r="B2135" s="7" t="s">
        <v>28</v>
      </c>
      <c r="C2135" s="8">
        <v>45418.0</v>
      </c>
      <c r="D2135" s="8">
        <v>45446.0</v>
      </c>
      <c r="E2135" s="8"/>
      <c r="F2135" s="8"/>
      <c r="G2135" s="6">
        <v>6.0</v>
      </c>
      <c r="H2135" s="9">
        <v>25.0</v>
      </c>
      <c r="I2135" s="10">
        <v>1.0</v>
      </c>
      <c r="J2135" s="11">
        <v>0.02</v>
      </c>
      <c r="K2135" s="9">
        <v>8.53</v>
      </c>
      <c r="L2135" s="7" t="s">
        <v>17</v>
      </c>
    </row>
    <row r="2136" ht="15.75" customHeight="1">
      <c r="A2136" s="6">
        <v>11077.0</v>
      </c>
      <c r="B2136" s="7" t="s">
        <v>28</v>
      </c>
      <c r="C2136" s="8">
        <v>45418.0</v>
      </c>
      <c r="D2136" s="8">
        <v>45446.0</v>
      </c>
      <c r="E2136" s="8"/>
      <c r="F2136" s="8"/>
      <c r="G2136" s="6">
        <v>7.0</v>
      </c>
      <c r="H2136" s="9">
        <v>30.0</v>
      </c>
      <c r="I2136" s="10">
        <v>1.0</v>
      </c>
      <c r="J2136" s="11">
        <v>0.05</v>
      </c>
      <c r="K2136" s="9">
        <v>8.53</v>
      </c>
      <c r="L2136" s="7" t="s">
        <v>17</v>
      </c>
    </row>
    <row r="2137" ht="15.75" customHeight="1">
      <c r="A2137" s="6">
        <v>11077.0</v>
      </c>
      <c r="B2137" s="7" t="s">
        <v>28</v>
      </c>
      <c r="C2137" s="8">
        <v>45418.0</v>
      </c>
      <c r="D2137" s="8">
        <v>45446.0</v>
      </c>
      <c r="E2137" s="8"/>
      <c r="F2137" s="8"/>
      <c r="G2137" s="6">
        <v>8.0</v>
      </c>
      <c r="H2137" s="9">
        <v>40.0</v>
      </c>
      <c r="I2137" s="10">
        <v>2.0</v>
      </c>
      <c r="J2137" s="11">
        <v>0.1</v>
      </c>
      <c r="K2137" s="9">
        <v>8.53</v>
      </c>
      <c r="L2137" s="7" t="s">
        <v>17</v>
      </c>
    </row>
    <row r="2138" ht="15.75" customHeight="1">
      <c r="A2138" s="6">
        <v>11077.0</v>
      </c>
      <c r="B2138" s="7" t="s">
        <v>28</v>
      </c>
      <c r="C2138" s="8">
        <v>45418.0</v>
      </c>
      <c r="D2138" s="8">
        <v>45446.0</v>
      </c>
      <c r="E2138" s="8"/>
      <c r="F2138" s="8"/>
      <c r="G2138" s="6">
        <v>10.0</v>
      </c>
      <c r="H2138" s="9">
        <v>31.0</v>
      </c>
      <c r="I2138" s="10">
        <v>1.0</v>
      </c>
      <c r="J2138" s="11">
        <v>0.0</v>
      </c>
      <c r="K2138" s="9">
        <v>8.53</v>
      </c>
      <c r="L2138" s="7" t="s">
        <v>17</v>
      </c>
    </row>
    <row r="2139" ht="15.75" customHeight="1">
      <c r="A2139" s="6">
        <v>11077.0</v>
      </c>
      <c r="B2139" s="7" t="s">
        <v>28</v>
      </c>
      <c r="C2139" s="8">
        <v>45418.0</v>
      </c>
      <c r="D2139" s="8">
        <v>45446.0</v>
      </c>
      <c r="E2139" s="8"/>
      <c r="F2139" s="8"/>
      <c r="G2139" s="6">
        <v>12.0</v>
      </c>
      <c r="H2139" s="9">
        <v>38.0</v>
      </c>
      <c r="I2139" s="10">
        <v>2.0</v>
      </c>
      <c r="J2139" s="11">
        <v>0.05</v>
      </c>
      <c r="K2139" s="9">
        <v>8.53</v>
      </c>
      <c r="L2139" s="7" t="s">
        <v>17</v>
      </c>
    </row>
    <row r="2140" ht="15.75" customHeight="1">
      <c r="A2140" s="6">
        <v>11077.0</v>
      </c>
      <c r="B2140" s="7" t="s">
        <v>28</v>
      </c>
      <c r="C2140" s="8">
        <v>45418.0</v>
      </c>
      <c r="D2140" s="8">
        <v>45446.0</v>
      </c>
      <c r="E2140" s="8"/>
      <c r="F2140" s="8"/>
      <c r="G2140" s="6">
        <v>13.0</v>
      </c>
      <c r="H2140" s="9">
        <v>6.0</v>
      </c>
      <c r="I2140" s="10">
        <v>4.0</v>
      </c>
      <c r="J2140" s="11">
        <v>0.0</v>
      </c>
      <c r="K2140" s="9">
        <v>8.53</v>
      </c>
      <c r="L2140" s="7" t="s">
        <v>17</v>
      </c>
    </row>
    <row r="2141" ht="15.75" customHeight="1">
      <c r="A2141" s="6">
        <v>11077.0</v>
      </c>
      <c r="B2141" s="7" t="s">
        <v>28</v>
      </c>
      <c r="C2141" s="8">
        <v>45418.0</v>
      </c>
      <c r="D2141" s="8">
        <v>45446.0</v>
      </c>
      <c r="E2141" s="8"/>
      <c r="F2141" s="8"/>
      <c r="G2141" s="6">
        <v>14.0</v>
      </c>
      <c r="H2141" s="9">
        <v>23.25</v>
      </c>
      <c r="I2141" s="10">
        <v>1.0</v>
      </c>
      <c r="J2141" s="11">
        <v>0.03</v>
      </c>
      <c r="K2141" s="9">
        <v>8.53</v>
      </c>
      <c r="L2141" s="7" t="s">
        <v>17</v>
      </c>
    </row>
    <row r="2142" ht="15.75" customHeight="1">
      <c r="A2142" s="6">
        <v>11077.0</v>
      </c>
      <c r="B2142" s="7" t="s">
        <v>28</v>
      </c>
      <c r="C2142" s="8">
        <v>45418.0</v>
      </c>
      <c r="D2142" s="8">
        <v>45446.0</v>
      </c>
      <c r="E2142" s="8"/>
      <c r="F2142" s="8"/>
      <c r="G2142" s="6">
        <v>16.0</v>
      </c>
      <c r="H2142" s="9">
        <v>17.45</v>
      </c>
      <c r="I2142" s="10">
        <v>2.0</v>
      </c>
      <c r="J2142" s="11">
        <v>0.03</v>
      </c>
      <c r="K2142" s="9">
        <v>8.53</v>
      </c>
      <c r="L2142" s="7" t="s">
        <v>17</v>
      </c>
    </row>
    <row r="2143" ht="15.75" customHeight="1">
      <c r="A2143" s="6">
        <v>11077.0</v>
      </c>
      <c r="B2143" s="7" t="s">
        <v>28</v>
      </c>
      <c r="C2143" s="8">
        <v>45418.0</v>
      </c>
      <c r="D2143" s="8">
        <v>45446.0</v>
      </c>
      <c r="E2143" s="8"/>
      <c r="F2143" s="8"/>
      <c r="G2143" s="6">
        <v>20.0</v>
      </c>
      <c r="H2143" s="9">
        <v>81.0</v>
      </c>
      <c r="I2143" s="10">
        <v>1.0</v>
      </c>
      <c r="J2143" s="11">
        <v>0.04</v>
      </c>
      <c r="K2143" s="9">
        <v>8.53</v>
      </c>
      <c r="L2143" s="7" t="s">
        <v>17</v>
      </c>
    </row>
    <row r="2144" ht="15.75" customHeight="1">
      <c r="A2144" s="6">
        <v>11077.0</v>
      </c>
      <c r="B2144" s="7" t="s">
        <v>28</v>
      </c>
      <c r="C2144" s="8">
        <v>45418.0</v>
      </c>
      <c r="D2144" s="8">
        <v>45446.0</v>
      </c>
      <c r="E2144" s="8"/>
      <c r="F2144" s="8"/>
      <c r="G2144" s="6">
        <v>23.0</v>
      </c>
      <c r="H2144" s="9">
        <v>9.0</v>
      </c>
      <c r="I2144" s="10">
        <v>2.0</v>
      </c>
      <c r="J2144" s="11">
        <v>0.0</v>
      </c>
      <c r="K2144" s="9">
        <v>8.53</v>
      </c>
      <c r="L2144" s="7" t="s">
        <v>17</v>
      </c>
    </row>
    <row r="2145" ht="15.75" customHeight="1">
      <c r="A2145" s="6">
        <v>11077.0</v>
      </c>
      <c r="B2145" s="7" t="s">
        <v>28</v>
      </c>
      <c r="C2145" s="8">
        <v>45418.0</v>
      </c>
      <c r="D2145" s="8">
        <v>45446.0</v>
      </c>
      <c r="E2145" s="8"/>
      <c r="F2145" s="8"/>
      <c r="G2145" s="6">
        <v>32.0</v>
      </c>
      <c r="H2145" s="9">
        <v>32.0</v>
      </c>
      <c r="I2145" s="10">
        <v>1.0</v>
      </c>
      <c r="J2145" s="11">
        <v>0.0</v>
      </c>
      <c r="K2145" s="9">
        <v>8.53</v>
      </c>
      <c r="L2145" s="7" t="s">
        <v>17</v>
      </c>
    </row>
    <row r="2146" ht="15.75" customHeight="1">
      <c r="A2146" s="6">
        <v>11077.0</v>
      </c>
      <c r="B2146" s="7" t="s">
        <v>28</v>
      </c>
      <c r="C2146" s="8">
        <v>45418.0</v>
      </c>
      <c r="D2146" s="8">
        <v>45446.0</v>
      </c>
      <c r="E2146" s="8"/>
      <c r="F2146" s="8"/>
      <c r="G2146" s="6">
        <v>39.0</v>
      </c>
      <c r="H2146" s="9">
        <v>18.0</v>
      </c>
      <c r="I2146" s="10">
        <v>2.0</v>
      </c>
      <c r="J2146" s="11">
        <v>0.05</v>
      </c>
      <c r="K2146" s="9">
        <v>8.53</v>
      </c>
      <c r="L2146" s="7" t="s">
        <v>17</v>
      </c>
    </row>
    <row r="2147" ht="15.75" customHeight="1">
      <c r="A2147" s="6">
        <v>11077.0</v>
      </c>
      <c r="B2147" s="7" t="s">
        <v>28</v>
      </c>
      <c r="C2147" s="8">
        <v>45418.0</v>
      </c>
      <c r="D2147" s="8">
        <v>45446.0</v>
      </c>
      <c r="E2147" s="8"/>
      <c r="F2147" s="8"/>
      <c r="G2147" s="6">
        <v>41.0</v>
      </c>
      <c r="H2147" s="9">
        <v>9.65</v>
      </c>
      <c r="I2147" s="10">
        <v>3.0</v>
      </c>
      <c r="J2147" s="11">
        <v>0.0</v>
      </c>
      <c r="K2147" s="9">
        <v>8.53</v>
      </c>
      <c r="L2147" s="7" t="s">
        <v>17</v>
      </c>
    </row>
    <row r="2148" ht="15.75" customHeight="1">
      <c r="A2148" s="6">
        <v>11077.0</v>
      </c>
      <c r="B2148" s="7" t="s">
        <v>28</v>
      </c>
      <c r="C2148" s="8">
        <v>45418.0</v>
      </c>
      <c r="D2148" s="8">
        <v>45446.0</v>
      </c>
      <c r="E2148" s="8"/>
      <c r="F2148" s="8"/>
      <c r="G2148" s="6">
        <v>46.0</v>
      </c>
      <c r="H2148" s="9">
        <v>12.0</v>
      </c>
      <c r="I2148" s="10">
        <v>3.0</v>
      </c>
      <c r="J2148" s="11">
        <v>0.02</v>
      </c>
      <c r="K2148" s="9">
        <v>8.53</v>
      </c>
      <c r="L2148" s="7" t="s">
        <v>17</v>
      </c>
    </row>
    <row r="2149" ht="15.75" customHeight="1">
      <c r="A2149" s="6">
        <v>11077.0</v>
      </c>
      <c r="B2149" s="7" t="s">
        <v>28</v>
      </c>
      <c r="C2149" s="8">
        <v>45418.0</v>
      </c>
      <c r="D2149" s="8">
        <v>45446.0</v>
      </c>
      <c r="E2149" s="8"/>
      <c r="F2149" s="8"/>
      <c r="G2149" s="6">
        <v>52.0</v>
      </c>
      <c r="H2149" s="9">
        <v>7.0</v>
      </c>
      <c r="I2149" s="10">
        <v>2.0</v>
      </c>
      <c r="J2149" s="11">
        <v>0.0</v>
      </c>
      <c r="K2149" s="9">
        <v>8.53</v>
      </c>
      <c r="L2149" s="7" t="s">
        <v>17</v>
      </c>
    </row>
    <row r="2150" ht="15.75" customHeight="1">
      <c r="A2150" s="6">
        <v>11077.0</v>
      </c>
      <c r="B2150" s="7" t="s">
        <v>28</v>
      </c>
      <c r="C2150" s="8">
        <v>45418.0</v>
      </c>
      <c r="D2150" s="8">
        <v>45446.0</v>
      </c>
      <c r="E2150" s="8"/>
      <c r="F2150" s="8"/>
      <c r="G2150" s="6">
        <v>55.0</v>
      </c>
      <c r="H2150" s="9">
        <v>24.0</v>
      </c>
      <c r="I2150" s="10">
        <v>2.0</v>
      </c>
      <c r="J2150" s="11">
        <v>0.0</v>
      </c>
      <c r="K2150" s="9">
        <v>8.53</v>
      </c>
      <c r="L2150" s="7" t="s">
        <v>17</v>
      </c>
    </row>
    <row r="2151" ht="15.75" customHeight="1">
      <c r="A2151" s="6">
        <v>11077.0</v>
      </c>
      <c r="B2151" s="7" t="s">
        <v>28</v>
      </c>
      <c r="C2151" s="8">
        <v>45418.0</v>
      </c>
      <c r="D2151" s="8">
        <v>45446.0</v>
      </c>
      <c r="E2151" s="8"/>
      <c r="F2151" s="8"/>
      <c r="G2151" s="6">
        <v>60.0</v>
      </c>
      <c r="H2151" s="9">
        <v>34.0</v>
      </c>
      <c r="I2151" s="10">
        <v>2.0</v>
      </c>
      <c r="J2151" s="11">
        <v>0.06</v>
      </c>
      <c r="K2151" s="9">
        <v>8.53</v>
      </c>
      <c r="L2151" s="7" t="s">
        <v>17</v>
      </c>
    </row>
    <row r="2152" ht="15.75" customHeight="1">
      <c r="A2152" s="6">
        <v>11077.0</v>
      </c>
      <c r="B2152" s="7" t="s">
        <v>28</v>
      </c>
      <c r="C2152" s="8">
        <v>45418.0</v>
      </c>
      <c r="D2152" s="8">
        <v>45446.0</v>
      </c>
      <c r="E2152" s="8"/>
      <c r="F2152" s="8"/>
      <c r="G2152" s="6">
        <v>64.0</v>
      </c>
      <c r="H2152" s="9">
        <v>33.25</v>
      </c>
      <c r="I2152" s="10">
        <v>2.0</v>
      </c>
      <c r="J2152" s="11">
        <v>0.03</v>
      </c>
      <c r="K2152" s="9">
        <v>8.53</v>
      </c>
      <c r="L2152" s="7" t="s">
        <v>17</v>
      </c>
    </row>
    <row r="2153" ht="15.75" customHeight="1">
      <c r="A2153" s="6">
        <v>11077.0</v>
      </c>
      <c r="B2153" s="7" t="s">
        <v>28</v>
      </c>
      <c r="C2153" s="8">
        <v>45418.0</v>
      </c>
      <c r="D2153" s="8">
        <v>45446.0</v>
      </c>
      <c r="E2153" s="8"/>
      <c r="F2153" s="8"/>
      <c r="G2153" s="6">
        <v>66.0</v>
      </c>
      <c r="H2153" s="9">
        <v>17.0</v>
      </c>
      <c r="I2153" s="10">
        <v>1.0</v>
      </c>
      <c r="J2153" s="11">
        <v>0.0</v>
      </c>
      <c r="K2153" s="9">
        <v>8.53</v>
      </c>
      <c r="L2153" s="7" t="s">
        <v>17</v>
      </c>
    </row>
    <row r="2154" ht="15.75" customHeight="1">
      <c r="A2154" s="6">
        <v>11077.0</v>
      </c>
      <c r="B2154" s="7" t="s">
        <v>28</v>
      </c>
      <c r="C2154" s="8">
        <v>45418.0</v>
      </c>
      <c r="D2154" s="8">
        <v>45446.0</v>
      </c>
      <c r="E2154" s="8"/>
      <c r="F2154" s="8"/>
      <c r="G2154" s="6">
        <v>73.0</v>
      </c>
      <c r="H2154" s="9">
        <v>15.0</v>
      </c>
      <c r="I2154" s="10">
        <v>2.0</v>
      </c>
      <c r="J2154" s="11">
        <v>0.01</v>
      </c>
      <c r="K2154" s="9">
        <v>8.53</v>
      </c>
      <c r="L2154" s="7" t="s">
        <v>17</v>
      </c>
    </row>
    <row r="2155" ht="15.75" customHeight="1">
      <c r="A2155" s="6">
        <v>11077.0</v>
      </c>
      <c r="B2155" s="7" t="s">
        <v>28</v>
      </c>
      <c r="C2155" s="8">
        <v>45418.0</v>
      </c>
      <c r="D2155" s="8">
        <v>45446.0</v>
      </c>
      <c r="E2155" s="8"/>
      <c r="F2155" s="8"/>
      <c r="G2155" s="6">
        <v>75.0</v>
      </c>
      <c r="H2155" s="9">
        <v>7.75</v>
      </c>
      <c r="I2155" s="10">
        <v>4.0</v>
      </c>
      <c r="J2155" s="11">
        <v>0.0</v>
      </c>
      <c r="K2155" s="9">
        <v>8.53</v>
      </c>
      <c r="L2155" s="7" t="s">
        <v>17</v>
      </c>
    </row>
    <row r="2156" ht="15.75" customHeight="1">
      <c r="A2156" s="6">
        <v>11077.0</v>
      </c>
      <c r="B2156" s="7" t="s">
        <v>28</v>
      </c>
      <c r="C2156" s="8">
        <v>45418.0</v>
      </c>
      <c r="D2156" s="8">
        <v>45446.0</v>
      </c>
      <c r="E2156" s="8"/>
      <c r="F2156" s="8"/>
      <c r="G2156" s="6">
        <v>77.0</v>
      </c>
      <c r="H2156" s="9">
        <v>13.0</v>
      </c>
      <c r="I2156" s="10">
        <v>2.0</v>
      </c>
      <c r="J2156" s="11">
        <v>0.0</v>
      </c>
      <c r="K2156" s="9">
        <v>8.53</v>
      </c>
      <c r="L2156" s="7" t="s">
        <v>17</v>
      </c>
    </row>
  </sheetData>
  <dataValidations>
    <dataValidation type="custom" allowBlank="1" showDropDown="1" sqref="C2:F2156">
      <formula1>OR(NOT(ISERROR(DATEVALUE(C2))), AND(ISNUMBER(C2), LEFT(CELL("format", C2))="D"))</formula1>
    </dataValidation>
    <dataValidation type="custom" allowBlank="1" showDropDown="1" sqref="A2:A2156 G2:H2156 J2:K2156">
      <formula1>AND(ISNUMBER(A2),(NOT(OR(NOT(ISERROR(DATEVALUE(A2))), AND(ISNUMBER(A2), LEFT(CELL("format", A2))="D")))))</formula1>
    </dataValidation>
    <dataValidation allowBlank="1" showDropDown="1" sqref="B2:B2156 L2:L2156"/>
  </dataValidation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67"/>
    <col customWidth="1" min="2" max="2" width="32.44"/>
    <col customWidth="1" min="3" max="3" width="18.56"/>
    <col customWidth="1" min="4" max="4" width="13.22"/>
    <col customWidth="1" min="5" max="5" width="14.11"/>
    <col customWidth="1" min="6" max="6" width="13.44"/>
    <col customWidth="1" min="7" max="7" width="13.67"/>
    <col customWidth="1" min="8" max="10" width="21.33"/>
    <col customWidth="1" min="11" max="11" width="14.56"/>
    <col customWidth="1" min="12" max="12" width="14.78"/>
    <col customWidth="1" min="13" max="13" width="49.89"/>
    <col customWidth="1" min="14" max="14" width="32.0"/>
    <col customWidth="1" min="15" max="15" width="13.0"/>
    <col customWidth="1" min="16" max="16" width="17.22"/>
    <col customWidth="1" min="17" max="22" width="10.44"/>
  </cols>
  <sheetData>
    <row r="1" ht="22.5" customHeight="1">
      <c r="A1" s="2" t="s">
        <v>6</v>
      </c>
      <c r="B1" s="2" t="s">
        <v>104</v>
      </c>
      <c r="C1" s="2" t="s">
        <v>105</v>
      </c>
      <c r="D1" s="2" t="s">
        <v>106</v>
      </c>
      <c r="E1" s="2" t="s">
        <v>107</v>
      </c>
      <c r="F1" s="2" t="s">
        <v>108</v>
      </c>
      <c r="G1" s="2" t="s">
        <v>109</v>
      </c>
      <c r="H1" s="5" t="s">
        <v>110</v>
      </c>
      <c r="I1" s="5" t="s">
        <v>111</v>
      </c>
      <c r="J1" s="5" t="s">
        <v>112</v>
      </c>
      <c r="K1" s="12" t="s">
        <v>113</v>
      </c>
      <c r="L1" s="2" t="s">
        <v>114</v>
      </c>
      <c r="M1" s="2" t="s">
        <v>115</v>
      </c>
      <c r="N1" s="2" t="s">
        <v>116</v>
      </c>
      <c r="O1" s="2" t="s">
        <v>117</v>
      </c>
      <c r="P1" s="2" t="s">
        <v>118</v>
      </c>
      <c r="Q1" s="13"/>
      <c r="R1" s="13"/>
      <c r="S1" s="13"/>
      <c r="T1" s="13"/>
      <c r="U1" s="13"/>
      <c r="V1" s="13"/>
    </row>
    <row r="2" ht="22.5" customHeight="1">
      <c r="A2" s="14">
        <v>1.0</v>
      </c>
      <c r="B2" s="14" t="s">
        <v>119</v>
      </c>
      <c r="C2" s="14" t="s">
        <v>120</v>
      </c>
      <c r="D2" s="14">
        <v>39.0</v>
      </c>
      <c r="E2" s="14">
        <v>0.0</v>
      </c>
      <c r="F2" s="14">
        <v>10.0</v>
      </c>
      <c r="G2" s="14">
        <v>0.0</v>
      </c>
      <c r="H2" s="15">
        <v>9.57420721650042</v>
      </c>
      <c r="I2" s="15">
        <v>12.15847606791405</v>
      </c>
      <c r="J2" s="15">
        <v>12.17757454185478</v>
      </c>
      <c r="K2" s="16">
        <v>4.5</v>
      </c>
      <c r="L2" s="14" t="s">
        <v>121</v>
      </c>
      <c r="M2" s="14" t="s">
        <v>122</v>
      </c>
      <c r="N2" s="14" t="s">
        <v>123</v>
      </c>
      <c r="O2" s="14" t="s">
        <v>124</v>
      </c>
      <c r="P2" s="14" t="s">
        <v>125</v>
      </c>
    </row>
    <row r="3" ht="22.5" customHeight="1">
      <c r="A3" s="14">
        <v>2.0</v>
      </c>
      <c r="B3" s="14" t="s">
        <v>126</v>
      </c>
      <c r="C3" s="14" t="s">
        <v>127</v>
      </c>
      <c r="D3" s="14">
        <v>17.0</v>
      </c>
      <c r="E3" s="14">
        <v>40.0</v>
      </c>
      <c r="F3" s="14">
        <v>25.0</v>
      </c>
      <c r="G3" s="14">
        <v>0.0</v>
      </c>
      <c r="H3" s="15">
        <v>9.768746876454799</v>
      </c>
      <c r="I3" s="15">
        <v>12.1462690439356</v>
      </c>
      <c r="J3" s="15">
        <v>11.93843713167143</v>
      </c>
      <c r="K3" s="16">
        <v>4.5</v>
      </c>
      <c r="L3" s="14" t="s">
        <v>121</v>
      </c>
      <c r="M3" s="14" t="s">
        <v>122</v>
      </c>
      <c r="N3" s="14" t="s">
        <v>123</v>
      </c>
      <c r="O3" s="14" t="s">
        <v>124</v>
      </c>
      <c r="P3" s="14" t="s">
        <v>125</v>
      </c>
    </row>
    <row r="4" ht="22.5" customHeight="1">
      <c r="A4" s="14">
        <v>3.0</v>
      </c>
      <c r="B4" s="14" t="s">
        <v>128</v>
      </c>
      <c r="C4" s="14" t="s">
        <v>129</v>
      </c>
      <c r="D4" s="14">
        <v>13.0</v>
      </c>
      <c r="E4" s="14">
        <v>70.0</v>
      </c>
      <c r="F4" s="14">
        <v>25.0</v>
      </c>
      <c r="G4" s="14">
        <v>0.0</v>
      </c>
      <c r="H4" s="15">
        <v>5.621819606201094</v>
      </c>
      <c r="I4" s="15">
        <v>6.399802633380168</v>
      </c>
      <c r="J4" s="15">
        <v>7.205917692973499</v>
      </c>
      <c r="K4" s="16">
        <v>5.0</v>
      </c>
      <c r="L4" s="14" t="s">
        <v>130</v>
      </c>
      <c r="M4" s="14" t="s">
        <v>131</v>
      </c>
      <c r="N4" s="14" t="s">
        <v>123</v>
      </c>
      <c r="O4" s="14" t="s">
        <v>124</v>
      </c>
      <c r="P4" s="14" t="s">
        <v>125</v>
      </c>
    </row>
    <row r="5" ht="22.5" customHeight="1">
      <c r="A5" s="14">
        <v>4.0</v>
      </c>
      <c r="B5" s="14" t="s">
        <v>132</v>
      </c>
      <c r="C5" s="14" t="s">
        <v>133</v>
      </c>
      <c r="D5" s="14">
        <v>53.0</v>
      </c>
      <c r="E5" s="14">
        <v>0.0</v>
      </c>
      <c r="F5" s="14">
        <v>0.0</v>
      </c>
      <c r="G5" s="14">
        <v>0.0</v>
      </c>
      <c r="H5" s="15">
        <v>12.12007337919884</v>
      </c>
      <c r="I5" s="15">
        <v>13.81047123968846</v>
      </c>
      <c r="J5" s="15">
        <v>14.37280156509104</v>
      </c>
      <c r="K5" s="16">
        <v>5.0</v>
      </c>
      <c r="L5" s="14" t="s">
        <v>130</v>
      </c>
      <c r="M5" s="14" t="s">
        <v>131</v>
      </c>
      <c r="N5" s="14" t="s">
        <v>134</v>
      </c>
      <c r="O5" s="14" t="s">
        <v>135</v>
      </c>
      <c r="P5" s="14" t="s">
        <v>136</v>
      </c>
    </row>
    <row r="6" ht="22.5" customHeight="1">
      <c r="A6" s="14">
        <v>5.0</v>
      </c>
      <c r="B6" s="14" t="s">
        <v>137</v>
      </c>
      <c r="C6" s="14" t="s">
        <v>138</v>
      </c>
      <c r="D6" s="14">
        <v>0.0</v>
      </c>
      <c r="E6" s="14">
        <v>0.0</v>
      </c>
      <c r="F6" s="14">
        <v>0.0</v>
      </c>
      <c r="G6" s="14">
        <v>1.0</v>
      </c>
      <c r="H6" s="15">
        <v>10.90590590335947</v>
      </c>
      <c r="I6" s="15">
        <v>14.6525825604433</v>
      </c>
      <c r="J6" s="15">
        <v>13.96337377805597</v>
      </c>
      <c r="K6" s="16">
        <v>4.5</v>
      </c>
      <c r="L6" s="14" t="s">
        <v>130</v>
      </c>
      <c r="M6" s="14" t="s">
        <v>131</v>
      </c>
      <c r="N6" s="14" t="s">
        <v>134</v>
      </c>
      <c r="O6" s="14" t="s">
        <v>135</v>
      </c>
      <c r="P6" s="14" t="s">
        <v>136</v>
      </c>
    </row>
    <row r="7" ht="22.5" customHeight="1">
      <c r="A7" s="14">
        <v>6.0</v>
      </c>
      <c r="B7" s="14" t="s">
        <v>139</v>
      </c>
      <c r="C7" s="14" t="s">
        <v>140</v>
      </c>
      <c r="D7" s="14">
        <v>120.0</v>
      </c>
      <c r="E7" s="14">
        <v>0.0</v>
      </c>
      <c r="F7" s="14">
        <v>25.0</v>
      </c>
      <c r="G7" s="14">
        <v>0.0</v>
      </c>
      <c r="H7" s="15">
        <v>13.64030257211835</v>
      </c>
      <c r="I7" s="15">
        <v>17.85110369883276</v>
      </c>
      <c r="J7" s="15">
        <v>17.24165930005776</v>
      </c>
      <c r="K7" s="16">
        <v>5.0</v>
      </c>
      <c r="L7" s="14" t="s">
        <v>130</v>
      </c>
      <c r="M7" s="14" t="s">
        <v>131</v>
      </c>
      <c r="N7" s="14" t="s">
        <v>141</v>
      </c>
      <c r="O7" s="14" t="s">
        <v>142</v>
      </c>
      <c r="P7" s="14" t="s">
        <v>136</v>
      </c>
    </row>
    <row r="8" ht="22.5" customHeight="1">
      <c r="A8" s="14">
        <v>8.0</v>
      </c>
      <c r="B8" s="14" t="s">
        <v>143</v>
      </c>
      <c r="C8" s="14" t="s">
        <v>144</v>
      </c>
      <c r="D8" s="14">
        <v>6.0</v>
      </c>
      <c r="E8" s="14">
        <v>0.0</v>
      </c>
      <c r="F8" s="14">
        <v>0.0</v>
      </c>
      <c r="G8" s="14">
        <v>0.0</v>
      </c>
      <c r="H8" s="15">
        <v>19.1717685658236</v>
      </c>
      <c r="I8" s="15">
        <v>26.10620486301352</v>
      </c>
      <c r="J8" s="15">
        <v>27.41770866671897</v>
      </c>
      <c r="K8" s="16">
        <v>5.0</v>
      </c>
      <c r="L8" s="14" t="s">
        <v>130</v>
      </c>
      <c r="M8" s="14" t="s">
        <v>131</v>
      </c>
      <c r="N8" s="14" t="s">
        <v>141</v>
      </c>
      <c r="O8" s="14" t="s">
        <v>142</v>
      </c>
      <c r="P8" s="14" t="s">
        <v>136</v>
      </c>
    </row>
    <row r="9" ht="22.5" customHeight="1">
      <c r="A9" s="14">
        <v>9.0</v>
      </c>
      <c r="B9" s="14" t="s">
        <v>145</v>
      </c>
      <c r="C9" s="14" t="s">
        <v>146</v>
      </c>
      <c r="D9" s="14">
        <v>29.0</v>
      </c>
      <c r="E9" s="14">
        <v>0.0</v>
      </c>
      <c r="F9" s="14">
        <v>0.0</v>
      </c>
      <c r="G9" s="14">
        <v>1.0</v>
      </c>
      <c r="H9" s="15"/>
      <c r="I9" s="15">
        <v>59.95980959351677</v>
      </c>
      <c r="J9" s="15">
        <v>72.66863294298405</v>
      </c>
      <c r="K9" s="16">
        <v>4.0</v>
      </c>
      <c r="L9" s="14" t="s">
        <v>147</v>
      </c>
      <c r="M9" s="14" t="s">
        <v>148</v>
      </c>
      <c r="N9" s="14" t="s">
        <v>149</v>
      </c>
      <c r="O9" s="14" t="s">
        <v>150</v>
      </c>
      <c r="P9" s="14" t="s">
        <v>151</v>
      </c>
    </row>
    <row r="10" ht="22.5" customHeight="1">
      <c r="A10" s="14">
        <v>7.0</v>
      </c>
      <c r="B10" s="14" t="s">
        <v>152</v>
      </c>
      <c r="C10" s="14" t="s">
        <v>153</v>
      </c>
      <c r="D10" s="14">
        <v>15.0</v>
      </c>
      <c r="E10" s="14">
        <v>0.0</v>
      </c>
      <c r="F10" s="14">
        <v>10.0</v>
      </c>
      <c r="G10" s="14">
        <v>0.0</v>
      </c>
      <c r="H10" s="15">
        <v>16.42997430877755</v>
      </c>
      <c r="I10" s="15">
        <v>21.39244625497752</v>
      </c>
      <c r="J10" s="15">
        <v>23.52222246293798</v>
      </c>
      <c r="K10" s="16">
        <v>4.5</v>
      </c>
      <c r="L10" s="14" t="s">
        <v>154</v>
      </c>
      <c r="M10" s="14" t="s">
        <v>155</v>
      </c>
      <c r="N10" s="14" t="s">
        <v>141</v>
      </c>
      <c r="O10" s="14" t="s">
        <v>142</v>
      </c>
      <c r="P10" s="14" t="s">
        <v>136</v>
      </c>
    </row>
    <row r="11" ht="22.5" customHeight="1">
      <c r="A11" s="14">
        <v>10.0</v>
      </c>
      <c r="B11" s="14" t="s">
        <v>156</v>
      </c>
      <c r="C11" s="14" t="s">
        <v>157</v>
      </c>
      <c r="D11" s="14">
        <v>31.0</v>
      </c>
      <c r="E11" s="14">
        <v>0.0</v>
      </c>
      <c r="F11" s="14">
        <v>0.0</v>
      </c>
      <c r="G11" s="14">
        <v>0.0</v>
      </c>
      <c r="H11" s="15">
        <v>16.07630730780615</v>
      </c>
      <c r="I11" s="15">
        <v>20.72721921738375</v>
      </c>
      <c r="J11" s="15">
        <v>20.9039462655477</v>
      </c>
      <c r="K11" s="16">
        <v>3.5</v>
      </c>
      <c r="L11" s="14" t="s">
        <v>158</v>
      </c>
      <c r="M11" s="14" t="s">
        <v>159</v>
      </c>
      <c r="N11" s="14" t="s">
        <v>149</v>
      </c>
      <c r="O11" s="14" t="s">
        <v>150</v>
      </c>
      <c r="P11" s="14" t="s">
        <v>151</v>
      </c>
    </row>
    <row r="12" ht="22.5" customHeight="1">
      <c r="A12" s="14">
        <v>11.0</v>
      </c>
      <c r="B12" s="14" t="s">
        <v>160</v>
      </c>
      <c r="C12" s="14" t="s">
        <v>161</v>
      </c>
      <c r="D12" s="14">
        <v>22.0</v>
      </c>
      <c r="E12" s="14">
        <v>30.0</v>
      </c>
      <c r="F12" s="14">
        <v>30.0</v>
      </c>
      <c r="G12" s="14">
        <v>0.0</v>
      </c>
      <c r="H12" s="15">
        <v>10.58231097127931</v>
      </c>
      <c r="I12" s="15">
        <v>12.90188125264171</v>
      </c>
      <c r="J12" s="15">
        <v>13.86836261133183</v>
      </c>
      <c r="K12" s="16">
        <v>5.0</v>
      </c>
      <c r="L12" s="14" t="s">
        <v>162</v>
      </c>
      <c r="M12" s="14" t="s">
        <v>163</v>
      </c>
      <c r="N12" s="14" t="s">
        <v>164</v>
      </c>
      <c r="O12" s="14" t="s">
        <v>165</v>
      </c>
      <c r="P12" s="14" t="s">
        <v>166</v>
      </c>
    </row>
    <row r="13" ht="22.5" customHeight="1">
      <c r="A13" s="14">
        <v>12.0</v>
      </c>
      <c r="B13" s="14" t="s">
        <v>167</v>
      </c>
      <c r="C13" s="14" t="s">
        <v>168</v>
      </c>
      <c r="D13" s="14">
        <v>86.0</v>
      </c>
      <c r="E13" s="14">
        <v>0.0</v>
      </c>
      <c r="F13" s="14">
        <v>0.0</v>
      </c>
      <c r="G13" s="14">
        <v>0.0</v>
      </c>
      <c r="H13" s="15">
        <v>20.01245109153167</v>
      </c>
      <c r="I13" s="15">
        <v>23.79216616733563</v>
      </c>
      <c r="J13" s="15">
        <v>25.0251095532265</v>
      </c>
      <c r="K13" s="16">
        <v>5.0</v>
      </c>
      <c r="L13" s="14" t="s">
        <v>162</v>
      </c>
      <c r="M13" s="14" t="s">
        <v>163</v>
      </c>
      <c r="N13" s="14" t="s">
        <v>164</v>
      </c>
      <c r="O13" s="14" t="s">
        <v>165</v>
      </c>
      <c r="P13" s="14" t="s">
        <v>166</v>
      </c>
    </row>
    <row r="14" ht="22.5" customHeight="1">
      <c r="A14" s="14">
        <v>13.0</v>
      </c>
      <c r="B14" s="14" t="s">
        <v>169</v>
      </c>
      <c r="C14" s="14" t="s">
        <v>170</v>
      </c>
      <c r="D14" s="14">
        <v>24.0</v>
      </c>
      <c r="E14" s="14">
        <v>0.0</v>
      </c>
      <c r="F14" s="14">
        <v>5.0</v>
      </c>
      <c r="G14" s="14">
        <v>0.0</v>
      </c>
      <c r="H14" s="15">
        <v>3.236727381542315</v>
      </c>
      <c r="I14" s="15">
        <v>3.865774948907549</v>
      </c>
      <c r="J14" s="15">
        <v>3.966387046558339</v>
      </c>
      <c r="K14" s="16">
        <v>4.0</v>
      </c>
      <c r="L14" s="14" t="s">
        <v>158</v>
      </c>
      <c r="M14" s="14" t="s">
        <v>159</v>
      </c>
      <c r="N14" s="14" t="s">
        <v>171</v>
      </c>
      <c r="O14" s="14" t="s">
        <v>172</v>
      </c>
      <c r="P14" s="14" t="s">
        <v>151</v>
      </c>
    </row>
    <row r="15" ht="22.5" customHeight="1">
      <c r="A15" s="14">
        <v>14.0</v>
      </c>
      <c r="B15" s="14" t="s">
        <v>173</v>
      </c>
      <c r="C15" s="14" t="s">
        <v>174</v>
      </c>
      <c r="D15" s="14">
        <v>35.0</v>
      </c>
      <c r="E15" s="14">
        <v>0.0</v>
      </c>
      <c r="F15" s="14">
        <v>0.0</v>
      </c>
      <c r="G15" s="14">
        <v>0.0</v>
      </c>
      <c r="H15" s="15">
        <v>13.95254082362384</v>
      </c>
      <c r="I15" s="15">
        <v>15.3805541684738</v>
      </c>
      <c r="J15" s="15">
        <v>15.34772580382087</v>
      </c>
      <c r="K15" s="16">
        <v>4.5</v>
      </c>
      <c r="L15" s="14" t="s">
        <v>154</v>
      </c>
      <c r="M15" s="14" t="s">
        <v>155</v>
      </c>
      <c r="N15" s="14" t="s">
        <v>171</v>
      </c>
      <c r="O15" s="14" t="s">
        <v>172</v>
      </c>
      <c r="P15" s="14" t="s">
        <v>151</v>
      </c>
    </row>
    <row r="16" ht="22.5" customHeight="1">
      <c r="A16" s="14">
        <v>15.0</v>
      </c>
      <c r="B16" s="14" t="s">
        <v>175</v>
      </c>
      <c r="C16" s="14" t="s">
        <v>176</v>
      </c>
      <c r="D16" s="14">
        <v>39.0</v>
      </c>
      <c r="E16" s="14">
        <v>0.0</v>
      </c>
      <c r="F16" s="14">
        <v>5.0</v>
      </c>
      <c r="G16" s="14">
        <v>0.0</v>
      </c>
      <c r="H16" s="15">
        <v>8.755916864823718</v>
      </c>
      <c r="I16" s="15">
        <v>10.78394742226449</v>
      </c>
      <c r="J16" s="17">
        <v>11.0</v>
      </c>
      <c r="K16" s="16">
        <v>4.5</v>
      </c>
      <c r="L16" s="14" t="s">
        <v>130</v>
      </c>
      <c r="M16" s="14" t="s">
        <v>131</v>
      </c>
      <c r="N16" s="14" t="s">
        <v>171</v>
      </c>
      <c r="O16" s="14" t="s">
        <v>172</v>
      </c>
      <c r="P16" s="14" t="s">
        <v>151</v>
      </c>
    </row>
    <row r="17" ht="22.5" customHeight="1">
      <c r="A17" s="14">
        <v>16.0</v>
      </c>
      <c r="B17" s="14" t="s">
        <v>177</v>
      </c>
      <c r="C17" s="14" t="s">
        <v>178</v>
      </c>
      <c r="D17" s="14">
        <v>29.0</v>
      </c>
      <c r="E17" s="14">
        <v>0.0</v>
      </c>
      <c r="F17" s="14">
        <v>10.0</v>
      </c>
      <c r="G17" s="14">
        <v>0.0</v>
      </c>
      <c r="H17" s="15">
        <v>9.80658008011813</v>
      </c>
      <c r="I17" s="15">
        <v>11.98504839280092</v>
      </c>
      <c r="J17" s="15">
        <v>12.6828397395982</v>
      </c>
      <c r="K17" s="16">
        <v>4.0</v>
      </c>
      <c r="L17" s="14" t="s">
        <v>179</v>
      </c>
      <c r="M17" s="14" t="s">
        <v>180</v>
      </c>
      <c r="N17" s="14" t="s">
        <v>181</v>
      </c>
      <c r="O17" s="14" t="s">
        <v>182</v>
      </c>
      <c r="P17" s="14" t="s">
        <v>183</v>
      </c>
    </row>
    <row r="18" ht="22.5" customHeight="1">
      <c r="A18" s="14">
        <v>17.0</v>
      </c>
      <c r="B18" s="14" t="s">
        <v>184</v>
      </c>
      <c r="C18" s="14" t="s">
        <v>185</v>
      </c>
      <c r="D18" s="14">
        <v>0.0</v>
      </c>
      <c r="E18" s="14">
        <v>0.0</v>
      </c>
      <c r="F18" s="14">
        <v>0.0</v>
      </c>
      <c r="G18" s="14">
        <v>1.0</v>
      </c>
      <c r="H18" s="15">
        <v>21.25377406334135</v>
      </c>
      <c r="I18" s="15">
        <v>24.8313050397111</v>
      </c>
      <c r="J18" s="15">
        <v>28.51916262854515</v>
      </c>
      <c r="K18" s="16">
        <v>5.0</v>
      </c>
      <c r="L18" s="14" t="s">
        <v>147</v>
      </c>
      <c r="M18" s="14" t="s">
        <v>148</v>
      </c>
      <c r="N18" s="14" t="s">
        <v>181</v>
      </c>
      <c r="O18" s="14" t="s">
        <v>182</v>
      </c>
      <c r="P18" s="14" t="s">
        <v>183</v>
      </c>
    </row>
    <row r="19" ht="22.5" customHeight="1">
      <c r="A19" s="14">
        <v>18.0</v>
      </c>
      <c r="B19" s="14" t="s">
        <v>186</v>
      </c>
      <c r="C19" s="14" t="s">
        <v>187</v>
      </c>
      <c r="D19" s="14">
        <v>42.0</v>
      </c>
      <c r="E19" s="14">
        <v>0.0</v>
      </c>
      <c r="F19" s="14">
        <v>0.0</v>
      </c>
      <c r="G19" s="14">
        <v>0.0</v>
      </c>
      <c r="H19" s="15">
        <v>32.46379819282845</v>
      </c>
      <c r="I19" s="15">
        <v>39.51966650610256</v>
      </c>
      <c r="J19" s="15">
        <v>41.27004984575846</v>
      </c>
      <c r="K19" s="16">
        <v>4.5</v>
      </c>
      <c r="L19" s="14" t="s">
        <v>158</v>
      </c>
      <c r="M19" s="14" t="s">
        <v>159</v>
      </c>
      <c r="N19" s="14" t="s">
        <v>181</v>
      </c>
      <c r="O19" s="14" t="s">
        <v>182</v>
      </c>
      <c r="P19" s="14" t="s">
        <v>183</v>
      </c>
    </row>
    <row r="20" ht="22.5" customHeight="1">
      <c r="A20" s="14">
        <v>19.0</v>
      </c>
      <c r="B20" s="14" t="s">
        <v>188</v>
      </c>
      <c r="C20" s="14" t="s">
        <v>189</v>
      </c>
      <c r="D20" s="14">
        <v>25.0</v>
      </c>
      <c r="E20" s="14">
        <v>0.0</v>
      </c>
      <c r="F20" s="14">
        <v>5.0</v>
      </c>
      <c r="G20" s="14">
        <v>0.0</v>
      </c>
      <c r="H20" s="15">
        <v>5.581200930000185</v>
      </c>
      <c r="I20" s="15">
        <v>5.901883682416998</v>
      </c>
      <c r="J20" s="15">
        <v>6.769656984026546</v>
      </c>
      <c r="K20" s="16">
        <v>4.0</v>
      </c>
      <c r="L20" s="14" t="s">
        <v>179</v>
      </c>
      <c r="M20" s="14" t="s">
        <v>180</v>
      </c>
      <c r="N20" s="14" t="s">
        <v>190</v>
      </c>
      <c r="O20" s="14" t="s">
        <v>191</v>
      </c>
      <c r="P20" s="14" t="s">
        <v>125</v>
      </c>
    </row>
    <row r="21" ht="15.75" customHeight="1">
      <c r="A21" s="14">
        <v>20.0</v>
      </c>
      <c r="B21" s="14" t="s">
        <v>192</v>
      </c>
      <c r="C21" s="14" t="s">
        <v>193</v>
      </c>
      <c r="D21" s="14">
        <v>40.0</v>
      </c>
      <c r="E21" s="14">
        <v>0.0</v>
      </c>
      <c r="F21" s="14">
        <v>0.0</v>
      </c>
      <c r="G21" s="14">
        <v>0.0</v>
      </c>
      <c r="H21" s="15">
        <v>45.94247438225027</v>
      </c>
      <c r="I21" s="15">
        <v>57.29342070995049</v>
      </c>
      <c r="J21" s="15">
        <v>62.82537597545986</v>
      </c>
      <c r="K21" s="16">
        <v>4.5</v>
      </c>
      <c r="L21" s="14" t="s">
        <v>179</v>
      </c>
      <c r="M21" s="14" t="s">
        <v>180</v>
      </c>
      <c r="N21" s="14" t="s">
        <v>190</v>
      </c>
      <c r="O21" s="14" t="s">
        <v>191</v>
      </c>
      <c r="P21" s="14" t="s">
        <v>125</v>
      </c>
    </row>
    <row r="22" ht="15.75" customHeight="1">
      <c r="A22" s="14">
        <v>21.0</v>
      </c>
      <c r="B22" s="14" t="s">
        <v>194</v>
      </c>
      <c r="C22" s="14" t="s">
        <v>195</v>
      </c>
      <c r="D22" s="14">
        <v>3.0</v>
      </c>
      <c r="E22" s="14">
        <v>40.0</v>
      </c>
      <c r="F22" s="14">
        <v>5.0</v>
      </c>
      <c r="G22" s="14">
        <v>0.0</v>
      </c>
      <c r="H22" s="15">
        <v>5.773836451784705</v>
      </c>
      <c r="I22" s="15">
        <v>6.725636111486227</v>
      </c>
      <c r="J22" s="15">
        <v>7.4598975934958</v>
      </c>
      <c r="K22" s="16">
        <v>5.0</v>
      </c>
      <c r="L22" s="14" t="s">
        <v>179</v>
      </c>
      <c r="M22" s="14" t="s">
        <v>180</v>
      </c>
      <c r="N22" s="14" t="s">
        <v>190</v>
      </c>
      <c r="O22" s="14" t="s">
        <v>191</v>
      </c>
      <c r="P22" s="14" t="s">
        <v>125</v>
      </c>
    </row>
    <row r="23" ht="15.75" customHeight="1">
      <c r="A23" s="14">
        <v>22.0</v>
      </c>
      <c r="B23" s="14" t="s">
        <v>196</v>
      </c>
      <c r="C23" s="14" t="s">
        <v>197</v>
      </c>
      <c r="D23" s="14">
        <v>104.0</v>
      </c>
      <c r="E23" s="14">
        <v>0.0</v>
      </c>
      <c r="F23" s="14">
        <v>25.0</v>
      </c>
      <c r="G23" s="14">
        <v>0.0</v>
      </c>
      <c r="H23" s="15">
        <v>11.70049217431567</v>
      </c>
      <c r="I23" s="15">
        <v>14.56814822279329</v>
      </c>
      <c r="J23" s="15">
        <v>16.39162679684157</v>
      </c>
      <c r="K23" s="16">
        <v>4.5</v>
      </c>
      <c r="L23" s="14" t="s">
        <v>198</v>
      </c>
      <c r="M23" s="14" t="s">
        <v>199</v>
      </c>
      <c r="N23" s="14" t="s">
        <v>200</v>
      </c>
      <c r="O23" s="14" t="s">
        <v>201</v>
      </c>
      <c r="P23" s="14" t="s">
        <v>202</v>
      </c>
    </row>
    <row r="24" ht="15.75" customHeight="1">
      <c r="A24" s="14">
        <v>23.0</v>
      </c>
      <c r="B24" s="14" t="s">
        <v>203</v>
      </c>
      <c r="C24" s="14" t="s">
        <v>204</v>
      </c>
      <c r="D24" s="14">
        <v>61.0</v>
      </c>
      <c r="E24" s="14">
        <v>0.0</v>
      </c>
      <c r="F24" s="14">
        <v>25.0</v>
      </c>
      <c r="G24" s="14">
        <v>0.0</v>
      </c>
      <c r="H24" s="15">
        <v>5.310194716089154</v>
      </c>
      <c r="I24" s="15">
        <v>5.989059128583596</v>
      </c>
      <c r="J24" s="15">
        <v>6.224885621645051</v>
      </c>
      <c r="K24" s="16">
        <v>4.0</v>
      </c>
      <c r="L24" s="14" t="s">
        <v>198</v>
      </c>
      <c r="M24" s="14" t="s">
        <v>199</v>
      </c>
      <c r="N24" s="14" t="s">
        <v>200</v>
      </c>
      <c r="O24" s="14" t="s">
        <v>201</v>
      </c>
      <c r="P24" s="14" t="s">
        <v>202</v>
      </c>
    </row>
    <row r="25" ht="15.75" customHeight="1">
      <c r="A25" s="14">
        <v>24.0</v>
      </c>
      <c r="B25" s="14" t="s">
        <v>205</v>
      </c>
      <c r="C25" s="14" t="s">
        <v>206</v>
      </c>
      <c r="D25" s="14">
        <v>20.0</v>
      </c>
      <c r="E25" s="14">
        <v>0.0</v>
      </c>
      <c r="F25" s="14">
        <v>0.0</v>
      </c>
      <c r="G25" s="14">
        <v>1.0</v>
      </c>
      <c r="H25" s="15">
        <v>2.681172459749432</v>
      </c>
      <c r="I25" s="15">
        <v>3.13178336293459</v>
      </c>
      <c r="J25" s="15">
        <v>3.177326314683628</v>
      </c>
      <c r="K25" s="18">
        <v>5.0</v>
      </c>
      <c r="L25" s="14" t="s">
        <v>179</v>
      </c>
      <c r="M25" s="14" t="s">
        <v>180</v>
      </c>
      <c r="N25" s="14" t="s">
        <v>207</v>
      </c>
      <c r="O25" s="14" t="s">
        <v>208</v>
      </c>
      <c r="P25" s="14" t="s">
        <v>209</v>
      </c>
    </row>
    <row r="26" ht="15.75" customHeight="1">
      <c r="A26" s="14">
        <v>25.0</v>
      </c>
      <c r="B26" s="14" t="s">
        <v>210</v>
      </c>
      <c r="C26" s="14" t="s">
        <v>211</v>
      </c>
      <c r="D26" s="14">
        <v>76.0</v>
      </c>
      <c r="E26" s="14">
        <v>0.0</v>
      </c>
      <c r="F26" s="14">
        <v>30.0</v>
      </c>
      <c r="G26" s="14">
        <v>0.0</v>
      </c>
      <c r="H26" s="17">
        <v>7.37004653349161</v>
      </c>
      <c r="I26" s="17">
        <v>8.13820033617657</v>
      </c>
      <c r="J26" s="17">
        <v>8.78227081503086</v>
      </c>
      <c r="K26" s="18">
        <v>5.0</v>
      </c>
      <c r="L26" s="14" t="s">
        <v>179</v>
      </c>
      <c r="M26" s="14" t="s">
        <v>180</v>
      </c>
      <c r="N26" s="14" t="s">
        <v>212</v>
      </c>
      <c r="O26" s="14" t="s">
        <v>213</v>
      </c>
      <c r="P26" s="14" t="s">
        <v>214</v>
      </c>
    </row>
    <row r="27" ht="15.75" customHeight="1">
      <c r="A27" s="14">
        <v>26.0</v>
      </c>
      <c r="B27" s="14" t="s">
        <v>215</v>
      </c>
      <c r="C27" s="14" t="s">
        <v>216</v>
      </c>
      <c r="D27" s="14">
        <v>15.0</v>
      </c>
      <c r="E27" s="14">
        <v>0.0</v>
      </c>
      <c r="F27" s="14">
        <v>0.0</v>
      </c>
      <c r="G27" s="14">
        <v>0.0</v>
      </c>
      <c r="H27" s="15">
        <v>17.26675607403464</v>
      </c>
      <c r="I27" s="15">
        <v>21.20896201264003</v>
      </c>
      <c r="J27" s="15">
        <v>22.7997719478329</v>
      </c>
      <c r="K27" s="16">
        <v>5.0</v>
      </c>
      <c r="L27" s="14" t="s">
        <v>179</v>
      </c>
      <c r="M27" s="14" t="s">
        <v>180</v>
      </c>
      <c r="N27" s="14" t="s">
        <v>217</v>
      </c>
      <c r="O27" s="14" t="s">
        <v>218</v>
      </c>
      <c r="P27" s="14" t="s">
        <v>219</v>
      </c>
    </row>
    <row r="28" ht="15.75" customHeight="1">
      <c r="A28" s="14">
        <v>27.0</v>
      </c>
      <c r="B28" s="14" t="s">
        <v>220</v>
      </c>
      <c r="C28" s="14" t="s">
        <v>221</v>
      </c>
      <c r="D28" s="14">
        <v>49.0</v>
      </c>
      <c r="E28" s="14">
        <v>0.0</v>
      </c>
      <c r="F28" s="14">
        <v>30.0</v>
      </c>
      <c r="G28" s="14">
        <v>0.0</v>
      </c>
      <c r="H28" s="15">
        <v>23.20562838693027</v>
      </c>
      <c r="I28" s="15">
        <v>32.29103981871121</v>
      </c>
      <c r="J28" s="15">
        <v>33.6929798603733</v>
      </c>
      <c r="K28" s="16">
        <v>5.0</v>
      </c>
      <c r="L28" s="14" t="s">
        <v>179</v>
      </c>
      <c r="M28" s="14" t="s">
        <v>180</v>
      </c>
      <c r="N28" s="14" t="s">
        <v>217</v>
      </c>
      <c r="O28" s="14" t="s">
        <v>218</v>
      </c>
      <c r="P28" s="14" t="s">
        <v>219</v>
      </c>
    </row>
    <row r="29" ht="15.75" customHeight="1">
      <c r="A29" s="14">
        <v>28.0</v>
      </c>
      <c r="B29" s="14" t="s">
        <v>222</v>
      </c>
      <c r="C29" s="14" t="s">
        <v>223</v>
      </c>
      <c r="D29" s="14">
        <v>26.0</v>
      </c>
      <c r="E29" s="14">
        <v>0.0</v>
      </c>
      <c r="F29" s="14">
        <v>0.0</v>
      </c>
      <c r="G29" s="14">
        <v>1.0</v>
      </c>
      <c r="H29" s="15">
        <v>27.51992272488583</v>
      </c>
      <c r="I29" s="15">
        <v>31.52644577812796</v>
      </c>
      <c r="J29" s="15">
        <v>34.18502760971532</v>
      </c>
      <c r="K29" s="16">
        <v>4.5</v>
      </c>
      <c r="L29" s="14" t="s">
        <v>154</v>
      </c>
      <c r="M29" s="14" t="s">
        <v>155</v>
      </c>
      <c r="N29" s="14" t="s">
        <v>224</v>
      </c>
      <c r="O29" s="14" t="s">
        <v>225</v>
      </c>
      <c r="P29" s="14" t="s">
        <v>219</v>
      </c>
    </row>
    <row r="30" ht="15.75" customHeight="1">
      <c r="A30" s="14">
        <v>29.0</v>
      </c>
      <c r="B30" s="14" t="s">
        <v>226</v>
      </c>
      <c r="C30" s="14" t="s">
        <v>227</v>
      </c>
      <c r="D30" s="14">
        <v>0.0</v>
      </c>
      <c r="E30" s="14">
        <v>0.0</v>
      </c>
      <c r="F30" s="14">
        <v>0.0</v>
      </c>
      <c r="G30" s="14">
        <v>1.0</v>
      </c>
      <c r="H30" s="15">
        <v>70.25945266050256</v>
      </c>
      <c r="I30" s="15">
        <v>80.85619496979716</v>
      </c>
      <c r="J30" s="15">
        <v>80.14595973444234</v>
      </c>
      <c r="K30" s="16">
        <v>5.0</v>
      </c>
      <c r="L30" s="14" t="s">
        <v>147</v>
      </c>
      <c r="M30" s="14" t="s">
        <v>148</v>
      </c>
      <c r="N30" s="14" t="s">
        <v>224</v>
      </c>
      <c r="O30" s="14" t="s">
        <v>225</v>
      </c>
      <c r="P30" s="14" t="s">
        <v>219</v>
      </c>
    </row>
    <row r="31" ht="15.75" customHeight="1">
      <c r="A31" s="14">
        <v>30.0</v>
      </c>
      <c r="B31" s="14" t="s">
        <v>228</v>
      </c>
      <c r="C31" s="14" t="s">
        <v>229</v>
      </c>
      <c r="D31" s="14">
        <v>10.0</v>
      </c>
      <c r="E31" s="14">
        <v>0.0</v>
      </c>
      <c r="F31" s="14">
        <v>15.0</v>
      </c>
      <c r="G31" s="14">
        <v>0.0</v>
      </c>
      <c r="H31" s="15">
        <v>13.41656867624053</v>
      </c>
      <c r="I31" s="15">
        <v>16.03885249262474</v>
      </c>
      <c r="J31" s="15">
        <v>17.03278509696461</v>
      </c>
      <c r="K31" s="16">
        <v>4.0</v>
      </c>
      <c r="L31" s="14" t="s">
        <v>158</v>
      </c>
      <c r="M31" s="14" t="s">
        <v>159</v>
      </c>
      <c r="N31" s="14" t="s">
        <v>230</v>
      </c>
      <c r="O31" s="14" t="s">
        <v>231</v>
      </c>
      <c r="P31" s="14" t="s">
        <v>219</v>
      </c>
    </row>
    <row r="32" ht="15.75" customHeight="1">
      <c r="A32" s="14">
        <v>31.0</v>
      </c>
      <c r="B32" s="14" t="s">
        <v>232</v>
      </c>
      <c r="C32" s="14" t="s">
        <v>233</v>
      </c>
      <c r="D32" s="14">
        <v>0.0</v>
      </c>
      <c r="E32" s="14">
        <v>70.0</v>
      </c>
      <c r="F32" s="14">
        <v>20.0</v>
      </c>
      <c r="G32" s="14">
        <v>0.0</v>
      </c>
      <c r="H32" s="15">
        <v>6.440319729937131</v>
      </c>
      <c r="I32" s="15">
        <v>7.937729254247186</v>
      </c>
      <c r="J32" s="15">
        <v>8.203054392060873</v>
      </c>
      <c r="K32" s="16">
        <v>5.0</v>
      </c>
      <c r="L32" s="14" t="s">
        <v>162</v>
      </c>
      <c r="M32" s="14" t="s">
        <v>163</v>
      </c>
      <c r="N32" s="14" t="s">
        <v>234</v>
      </c>
      <c r="O32" s="14" t="s">
        <v>235</v>
      </c>
      <c r="P32" s="14" t="s">
        <v>236</v>
      </c>
    </row>
    <row r="33" ht="15.75" customHeight="1">
      <c r="A33" s="14">
        <v>32.0</v>
      </c>
      <c r="B33" s="14" t="s">
        <v>237</v>
      </c>
      <c r="C33" s="14" t="s">
        <v>238</v>
      </c>
      <c r="D33" s="14">
        <v>9.0</v>
      </c>
      <c r="E33" s="14">
        <v>40.0</v>
      </c>
      <c r="F33" s="14">
        <v>25.0</v>
      </c>
      <c r="G33" s="14">
        <v>0.0</v>
      </c>
      <c r="H33" s="15">
        <v>14.6549246655173</v>
      </c>
      <c r="I33" s="15">
        <v>21.58120628356673</v>
      </c>
      <c r="J33" s="15">
        <v>21.42783354273614</v>
      </c>
      <c r="K33" s="18">
        <v>2.5</v>
      </c>
      <c r="L33" s="14" t="s">
        <v>162</v>
      </c>
      <c r="M33" s="14" t="s">
        <v>163</v>
      </c>
      <c r="N33" s="14" t="s">
        <v>234</v>
      </c>
      <c r="O33" s="14" t="s">
        <v>235</v>
      </c>
      <c r="P33" s="14" t="s">
        <v>236</v>
      </c>
    </row>
    <row r="34" ht="15.75" customHeight="1">
      <c r="A34" s="14">
        <v>33.0</v>
      </c>
      <c r="B34" s="14" t="s">
        <v>239</v>
      </c>
      <c r="C34" s="14" t="s">
        <v>240</v>
      </c>
      <c r="D34" s="14">
        <v>112.0</v>
      </c>
      <c r="E34" s="14">
        <v>0.0</v>
      </c>
      <c r="F34" s="14">
        <v>20.0</v>
      </c>
      <c r="G34" s="14">
        <v>0.0</v>
      </c>
      <c r="H34" s="15">
        <v>1.393847434174416</v>
      </c>
      <c r="I34" s="15">
        <v>1.559072297682999</v>
      </c>
      <c r="J34" s="15">
        <v>1.670163437002137</v>
      </c>
      <c r="K34" s="16">
        <v>4.0</v>
      </c>
      <c r="L34" s="14" t="s">
        <v>162</v>
      </c>
      <c r="M34" s="14" t="s">
        <v>163</v>
      </c>
      <c r="N34" s="14" t="s">
        <v>241</v>
      </c>
      <c r="O34" s="14" t="s">
        <v>242</v>
      </c>
      <c r="P34" s="14" t="s">
        <v>243</v>
      </c>
    </row>
    <row r="35" ht="15.75" customHeight="1">
      <c r="A35" s="14">
        <v>34.0</v>
      </c>
      <c r="B35" s="14" t="s">
        <v>244</v>
      </c>
      <c r="C35" s="14" t="s">
        <v>127</v>
      </c>
      <c r="D35" s="14">
        <v>111.0</v>
      </c>
      <c r="E35" s="14">
        <v>0.0</v>
      </c>
      <c r="F35" s="14">
        <v>15.0</v>
      </c>
      <c r="G35" s="14">
        <v>0.0</v>
      </c>
      <c r="H35" s="15">
        <v>8.233671910863722</v>
      </c>
      <c r="I35" s="15">
        <v>8.955654060944719</v>
      </c>
      <c r="J35" s="15">
        <v>10.07231560752464</v>
      </c>
      <c r="K35" s="16">
        <v>4.5</v>
      </c>
      <c r="L35" s="14" t="s">
        <v>121</v>
      </c>
      <c r="M35" s="14" t="s">
        <v>122</v>
      </c>
      <c r="N35" s="14" t="s">
        <v>245</v>
      </c>
      <c r="O35" s="14" t="s">
        <v>246</v>
      </c>
      <c r="P35" s="14" t="s">
        <v>136</v>
      </c>
    </row>
    <row r="36" ht="15.75" customHeight="1">
      <c r="A36" s="14">
        <v>35.0</v>
      </c>
      <c r="B36" s="14" t="s">
        <v>247</v>
      </c>
      <c r="C36" s="14" t="s">
        <v>127</v>
      </c>
      <c r="D36" s="14">
        <v>20.0</v>
      </c>
      <c r="E36" s="14">
        <v>0.0</v>
      </c>
      <c r="F36" s="14">
        <v>15.0</v>
      </c>
      <c r="G36" s="14">
        <v>0.0</v>
      </c>
      <c r="H36" s="15">
        <v>10.19869089002734</v>
      </c>
      <c r="I36" s="15">
        <v>11.76025310240205</v>
      </c>
      <c r="J36" s="15">
        <v>12.9261691959935</v>
      </c>
      <c r="K36" s="16">
        <v>4.5</v>
      </c>
      <c r="L36" s="14" t="s">
        <v>121</v>
      </c>
      <c r="M36" s="14" t="s">
        <v>122</v>
      </c>
      <c r="N36" s="14" t="s">
        <v>245</v>
      </c>
      <c r="O36" s="14" t="s">
        <v>246</v>
      </c>
      <c r="P36" s="14" t="s">
        <v>136</v>
      </c>
    </row>
    <row r="37" ht="15.75" customHeight="1">
      <c r="A37" s="14">
        <v>36.0</v>
      </c>
      <c r="B37" s="14" t="s">
        <v>248</v>
      </c>
      <c r="C37" s="14" t="s">
        <v>249</v>
      </c>
      <c r="D37" s="14">
        <v>112.0</v>
      </c>
      <c r="E37" s="14">
        <v>0.0</v>
      </c>
      <c r="F37" s="14">
        <v>20.0</v>
      </c>
      <c r="G37" s="14">
        <v>0.0</v>
      </c>
      <c r="H37" s="15">
        <v>9.768238429353477</v>
      </c>
      <c r="I37" s="15">
        <v>12.1524626868984</v>
      </c>
      <c r="J37" s="15">
        <v>11.68525365539565</v>
      </c>
      <c r="K37" s="16">
        <v>5.0</v>
      </c>
      <c r="L37" s="14" t="s">
        <v>158</v>
      </c>
      <c r="M37" s="14" t="s">
        <v>159</v>
      </c>
      <c r="N37" s="14" t="s">
        <v>250</v>
      </c>
      <c r="O37" s="14" t="s">
        <v>251</v>
      </c>
      <c r="P37" s="14" t="s">
        <v>202</v>
      </c>
    </row>
    <row r="38" ht="15.75" customHeight="1">
      <c r="A38" s="14">
        <v>37.0</v>
      </c>
      <c r="B38" s="14" t="s">
        <v>252</v>
      </c>
      <c r="C38" s="14" t="s">
        <v>253</v>
      </c>
      <c r="D38" s="14">
        <v>11.0</v>
      </c>
      <c r="E38" s="14">
        <v>50.0</v>
      </c>
      <c r="F38" s="14">
        <v>25.0</v>
      </c>
      <c r="G38" s="14">
        <v>0.0</v>
      </c>
      <c r="H38" s="15">
        <v>14.59372953780185</v>
      </c>
      <c r="I38" s="15">
        <v>15.96170586067597</v>
      </c>
      <c r="J38" s="15">
        <v>16.57649230348004</v>
      </c>
      <c r="K38" s="16">
        <v>4.5</v>
      </c>
      <c r="L38" s="14" t="s">
        <v>158</v>
      </c>
      <c r="M38" s="14" t="s">
        <v>159</v>
      </c>
      <c r="N38" s="14" t="s">
        <v>250</v>
      </c>
      <c r="O38" s="14" t="s">
        <v>251</v>
      </c>
      <c r="P38" s="14" t="s">
        <v>202</v>
      </c>
    </row>
    <row r="39" ht="15.75" customHeight="1">
      <c r="A39" s="14">
        <v>38.0</v>
      </c>
      <c r="B39" s="14" t="s">
        <v>254</v>
      </c>
      <c r="C39" s="14" t="s">
        <v>255</v>
      </c>
      <c r="D39" s="14">
        <v>17.0</v>
      </c>
      <c r="E39" s="14">
        <v>0.0</v>
      </c>
      <c r="F39" s="14">
        <v>15.0</v>
      </c>
      <c r="G39" s="14">
        <v>0.0</v>
      </c>
      <c r="H39" s="15">
        <v>133.3740767361435</v>
      </c>
      <c r="I39" s="15">
        <v>175.9515711052256</v>
      </c>
      <c r="J39" s="15">
        <v>192.1798413379474</v>
      </c>
      <c r="K39" s="16">
        <v>5.0</v>
      </c>
      <c r="L39" s="14" t="s">
        <v>121</v>
      </c>
      <c r="M39" s="14" t="s">
        <v>122</v>
      </c>
      <c r="N39" s="14" t="s">
        <v>256</v>
      </c>
      <c r="O39" s="14" t="s">
        <v>257</v>
      </c>
      <c r="P39" s="14" t="s">
        <v>258</v>
      </c>
    </row>
    <row r="40" ht="15.75" customHeight="1">
      <c r="A40" s="14">
        <v>39.0</v>
      </c>
      <c r="B40" s="14" t="s">
        <v>259</v>
      </c>
      <c r="C40" s="14" t="s">
        <v>260</v>
      </c>
      <c r="D40" s="14">
        <v>69.0</v>
      </c>
      <c r="E40" s="14">
        <v>0.0</v>
      </c>
      <c r="F40" s="14">
        <v>5.0</v>
      </c>
      <c r="G40" s="14">
        <v>0.0</v>
      </c>
      <c r="H40" s="15">
        <v>9.74351722644001</v>
      </c>
      <c r="I40" s="15">
        <v>11.73311441321758</v>
      </c>
      <c r="J40" s="15">
        <v>12.30172239831701</v>
      </c>
      <c r="K40" s="18">
        <v>2.0</v>
      </c>
      <c r="L40" s="14" t="s">
        <v>121</v>
      </c>
      <c r="M40" s="14" t="s">
        <v>122</v>
      </c>
      <c r="N40" s="14" t="s">
        <v>256</v>
      </c>
      <c r="O40" s="14" t="s">
        <v>257</v>
      </c>
      <c r="P40" s="14" t="s">
        <v>258</v>
      </c>
    </row>
    <row r="41" ht="15.75" customHeight="1">
      <c r="A41" s="14">
        <v>40.0</v>
      </c>
      <c r="B41" s="14" t="s">
        <v>261</v>
      </c>
      <c r="C41" s="14" t="s">
        <v>262</v>
      </c>
      <c r="D41" s="14">
        <v>123.0</v>
      </c>
      <c r="E41" s="14">
        <v>0.0</v>
      </c>
      <c r="F41" s="14">
        <v>30.0</v>
      </c>
      <c r="G41" s="14">
        <v>0.0</v>
      </c>
      <c r="H41" s="15">
        <v>9.680649108413853</v>
      </c>
      <c r="I41" s="15">
        <v>11.40496522707293</v>
      </c>
      <c r="J41" s="15">
        <v>12.44306999728684</v>
      </c>
      <c r="K41" s="16">
        <v>4.0</v>
      </c>
      <c r="L41" s="14" t="s">
        <v>158</v>
      </c>
      <c r="M41" s="14" t="s">
        <v>159</v>
      </c>
      <c r="N41" s="14" t="s">
        <v>263</v>
      </c>
      <c r="O41" s="14" t="s">
        <v>264</v>
      </c>
      <c r="P41" s="14" t="s">
        <v>136</v>
      </c>
    </row>
    <row r="42" ht="15.75" customHeight="1">
      <c r="A42" s="14">
        <v>41.0</v>
      </c>
      <c r="B42" s="14" t="s">
        <v>265</v>
      </c>
      <c r="C42" s="14" t="s">
        <v>266</v>
      </c>
      <c r="D42" s="14">
        <v>85.0</v>
      </c>
      <c r="E42" s="14">
        <v>0.0</v>
      </c>
      <c r="F42" s="14">
        <v>10.0</v>
      </c>
      <c r="G42" s="14">
        <v>0.0</v>
      </c>
      <c r="H42" s="15">
        <v>5.170198742240246</v>
      </c>
      <c r="I42" s="15">
        <v>6.549914856000671</v>
      </c>
      <c r="J42" s="15">
        <v>6.611787881935056</v>
      </c>
      <c r="K42" s="16">
        <v>4.5</v>
      </c>
      <c r="L42" s="14" t="s">
        <v>158</v>
      </c>
      <c r="M42" s="14" t="s">
        <v>159</v>
      </c>
      <c r="N42" s="14" t="s">
        <v>263</v>
      </c>
      <c r="O42" s="14" t="s">
        <v>264</v>
      </c>
      <c r="P42" s="14" t="s">
        <v>136</v>
      </c>
    </row>
    <row r="43" ht="15.75" customHeight="1">
      <c r="A43" s="14">
        <v>42.0</v>
      </c>
      <c r="B43" s="14" t="s">
        <v>267</v>
      </c>
      <c r="C43" s="14" t="s">
        <v>268</v>
      </c>
      <c r="D43" s="14">
        <v>26.0</v>
      </c>
      <c r="E43" s="14">
        <v>0.0</v>
      </c>
      <c r="F43" s="14">
        <v>0.0</v>
      </c>
      <c r="G43" s="14">
        <v>1.0</v>
      </c>
      <c r="H43" s="15">
        <v>7.81842588482263</v>
      </c>
      <c r="I43" s="15">
        <v>9.105641620756222</v>
      </c>
      <c r="J43" s="15">
        <v>9.647367139759815</v>
      </c>
      <c r="K43" s="16">
        <v>4.0</v>
      </c>
      <c r="L43" s="14" t="s">
        <v>198</v>
      </c>
      <c r="M43" s="14" t="s">
        <v>199</v>
      </c>
      <c r="N43" s="14" t="s">
        <v>269</v>
      </c>
      <c r="O43" s="14" t="s">
        <v>270</v>
      </c>
      <c r="P43" s="14" t="s">
        <v>270</v>
      </c>
    </row>
    <row r="44" ht="15.75" customHeight="1">
      <c r="A44" s="14">
        <v>43.0</v>
      </c>
      <c r="B44" s="14" t="s">
        <v>271</v>
      </c>
      <c r="C44" s="14" t="s">
        <v>272</v>
      </c>
      <c r="D44" s="14">
        <v>17.0</v>
      </c>
      <c r="E44" s="14">
        <v>10.0</v>
      </c>
      <c r="F44" s="14">
        <v>25.0</v>
      </c>
      <c r="G44" s="14">
        <v>0.0</v>
      </c>
      <c r="H44" s="15">
        <v>25.79491917842887</v>
      </c>
      <c r="I44" s="15">
        <v>30.96256563520915</v>
      </c>
      <c r="J44" s="15">
        <v>30.97984737536591</v>
      </c>
      <c r="K44" s="16">
        <v>5.0</v>
      </c>
      <c r="L44" s="14" t="s">
        <v>121</v>
      </c>
      <c r="M44" s="14" t="s">
        <v>122</v>
      </c>
      <c r="N44" s="14" t="s">
        <v>269</v>
      </c>
      <c r="O44" s="14" t="s">
        <v>270</v>
      </c>
      <c r="P44" s="14" t="s">
        <v>270</v>
      </c>
    </row>
    <row r="45" ht="15.75" customHeight="1">
      <c r="A45" s="14">
        <v>44.0</v>
      </c>
      <c r="B45" s="14" t="s">
        <v>273</v>
      </c>
      <c r="C45" s="14" t="s">
        <v>274</v>
      </c>
      <c r="D45" s="14">
        <v>27.0</v>
      </c>
      <c r="E45" s="14">
        <v>0.0</v>
      </c>
      <c r="F45" s="14">
        <v>15.0</v>
      </c>
      <c r="G45" s="14">
        <v>0.0</v>
      </c>
      <c r="H45" s="15">
        <v>10.65165144800949</v>
      </c>
      <c r="I45" s="15">
        <v>13.06032102841794</v>
      </c>
      <c r="J45" s="15">
        <v>12.2783151215172</v>
      </c>
      <c r="K45" s="16">
        <v>4.5</v>
      </c>
      <c r="L45" s="14" t="s">
        <v>130</v>
      </c>
      <c r="M45" s="14" t="s">
        <v>131</v>
      </c>
      <c r="N45" s="14" t="s">
        <v>269</v>
      </c>
      <c r="O45" s="14" t="s">
        <v>270</v>
      </c>
      <c r="P45" s="14" t="s">
        <v>270</v>
      </c>
    </row>
    <row r="46" ht="15.75" customHeight="1">
      <c r="A46" s="14">
        <v>45.0</v>
      </c>
      <c r="B46" s="14" t="s">
        <v>275</v>
      </c>
      <c r="C46" s="14" t="s">
        <v>276</v>
      </c>
      <c r="D46" s="14">
        <v>5.0</v>
      </c>
      <c r="E46" s="14">
        <v>70.0</v>
      </c>
      <c r="F46" s="14">
        <v>15.0</v>
      </c>
      <c r="G46" s="14">
        <v>0.0</v>
      </c>
      <c r="H46" s="15">
        <v>4.258565263418202</v>
      </c>
      <c r="I46" s="15">
        <v>5.965769821709686</v>
      </c>
      <c r="J46" s="15">
        <v>6.510592170749453</v>
      </c>
      <c r="K46" s="16">
        <v>4.0</v>
      </c>
      <c r="L46" s="14" t="s">
        <v>158</v>
      </c>
      <c r="M46" s="14" t="s">
        <v>159</v>
      </c>
      <c r="N46" s="14" t="s">
        <v>277</v>
      </c>
      <c r="O46" s="14" t="s">
        <v>278</v>
      </c>
      <c r="P46" s="14" t="s">
        <v>279</v>
      </c>
    </row>
    <row r="47" ht="15.75" customHeight="1">
      <c r="A47" s="14">
        <v>46.0</v>
      </c>
      <c r="B47" s="14" t="s">
        <v>280</v>
      </c>
      <c r="C47" s="14" t="s">
        <v>281</v>
      </c>
      <c r="D47" s="14">
        <v>95.0</v>
      </c>
      <c r="E47" s="14">
        <v>0.0</v>
      </c>
      <c r="F47" s="14">
        <v>0.0</v>
      </c>
      <c r="G47" s="14">
        <v>0.0</v>
      </c>
      <c r="H47" s="15">
        <v>6.266275015228162</v>
      </c>
      <c r="I47" s="15">
        <v>7.087990753200347</v>
      </c>
      <c r="J47" s="15">
        <v>8.247981556545598</v>
      </c>
      <c r="K47" s="16">
        <v>4.0</v>
      </c>
      <c r="L47" s="14" t="s">
        <v>158</v>
      </c>
      <c r="M47" s="14" t="s">
        <v>159</v>
      </c>
      <c r="N47" s="14" t="s">
        <v>277</v>
      </c>
      <c r="O47" s="14" t="s">
        <v>278</v>
      </c>
      <c r="P47" s="14" t="s">
        <v>279</v>
      </c>
    </row>
    <row r="48" ht="15.75" customHeight="1">
      <c r="A48" s="14">
        <v>47.0</v>
      </c>
      <c r="B48" s="14" t="s">
        <v>282</v>
      </c>
      <c r="C48" s="14" t="s">
        <v>283</v>
      </c>
      <c r="D48" s="14">
        <v>36.0</v>
      </c>
      <c r="E48" s="14">
        <v>0.0</v>
      </c>
      <c r="F48" s="14">
        <v>0.0</v>
      </c>
      <c r="G48" s="14">
        <v>0.0</v>
      </c>
      <c r="H48" s="15">
        <v>4.738900380455212</v>
      </c>
      <c r="I48" s="15">
        <v>6.577088330407349</v>
      </c>
      <c r="J48" s="15">
        <v>6.635130774237408</v>
      </c>
      <c r="K48" s="18">
        <v>3.5</v>
      </c>
      <c r="L48" s="14" t="s">
        <v>179</v>
      </c>
      <c r="M48" s="14" t="s">
        <v>180</v>
      </c>
      <c r="N48" s="14" t="s">
        <v>284</v>
      </c>
      <c r="O48" s="14" t="s">
        <v>285</v>
      </c>
      <c r="P48" s="14" t="s">
        <v>286</v>
      </c>
    </row>
    <row r="49" ht="15.75" customHeight="1">
      <c r="A49" s="14">
        <v>48.0</v>
      </c>
      <c r="B49" s="14" t="s">
        <v>287</v>
      </c>
      <c r="C49" s="14" t="s">
        <v>288</v>
      </c>
      <c r="D49" s="14">
        <v>15.0</v>
      </c>
      <c r="E49" s="14">
        <v>70.0</v>
      </c>
      <c r="F49" s="14">
        <v>25.0</v>
      </c>
      <c r="G49" s="14">
        <v>0.0</v>
      </c>
      <c r="H49" s="15"/>
      <c r="I49" s="15">
        <v>8.079671684865467</v>
      </c>
      <c r="J49" s="15">
        <v>8.20711597642962</v>
      </c>
      <c r="K49" s="16">
        <v>4.0</v>
      </c>
      <c r="L49" s="14" t="s">
        <v>179</v>
      </c>
      <c r="M49" s="14" t="s">
        <v>180</v>
      </c>
      <c r="N49" s="14" t="s">
        <v>284</v>
      </c>
      <c r="O49" s="14" t="s">
        <v>285</v>
      </c>
      <c r="P49" s="14" t="s">
        <v>286</v>
      </c>
    </row>
    <row r="50" ht="15.75" customHeight="1">
      <c r="A50" s="14">
        <v>49.0</v>
      </c>
      <c r="B50" s="14" t="s">
        <v>289</v>
      </c>
      <c r="C50" s="14" t="s">
        <v>290</v>
      </c>
      <c r="D50" s="14">
        <v>10.0</v>
      </c>
      <c r="E50" s="14">
        <v>60.0</v>
      </c>
      <c r="F50" s="14">
        <v>15.0</v>
      </c>
      <c r="G50" s="14">
        <v>0.0</v>
      </c>
      <c r="H50" s="15">
        <v>12.56663578543187</v>
      </c>
      <c r="I50" s="15">
        <v>13.04112285347258</v>
      </c>
      <c r="J50" s="15">
        <v>15.07459898647582</v>
      </c>
      <c r="K50" s="16">
        <v>4.5</v>
      </c>
      <c r="L50" s="14" t="s">
        <v>179</v>
      </c>
      <c r="M50" s="14" t="s">
        <v>180</v>
      </c>
      <c r="N50" s="14" t="s">
        <v>291</v>
      </c>
      <c r="O50" s="14" t="s">
        <v>292</v>
      </c>
      <c r="P50" s="14" t="s">
        <v>293</v>
      </c>
    </row>
    <row r="51" ht="15.75" customHeight="1">
      <c r="A51" s="14">
        <v>50.0</v>
      </c>
      <c r="B51" s="14" t="s">
        <v>294</v>
      </c>
      <c r="C51" s="14" t="s">
        <v>295</v>
      </c>
      <c r="D51" s="14">
        <v>65.0</v>
      </c>
      <c r="E51" s="14">
        <v>0.0</v>
      </c>
      <c r="F51" s="14">
        <v>30.0</v>
      </c>
      <c r="G51" s="14">
        <v>0.0</v>
      </c>
      <c r="H51" s="15">
        <v>9.682278644998226</v>
      </c>
      <c r="I51" s="15">
        <v>11.16021436262602</v>
      </c>
      <c r="J51" s="15">
        <v>12.64292203331873</v>
      </c>
      <c r="K51" s="16">
        <v>4.5</v>
      </c>
      <c r="L51" s="14" t="s">
        <v>179</v>
      </c>
      <c r="M51" s="14" t="s">
        <v>180</v>
      </c>
      <c r="N51" s="14" t="s">
        <v>291</v>
      </c>
      <c r="O51" s="14" t="s">
        <v>292</v>
      </c>
      <c r="P51" s="14" t="s">
        <v>293</v>
      </c>
    </row>
    <row r="52" ht="15.75" customHeight="1">
      <c r="A52" s="14">
        <v>51.0</v>
      </c>
      <c r="B52" s="14" t="s">
        <v>296</v>
      </c>
      <c r="C52" s="14" t="s">
        <v>297</v>
      </c>
      <c r="D52" s="14">
        <v>20.0</v>
      </c>
      <c r="E52" s="14">
        <v>0.0</v>
      </c>
      <c r="F52" s="14">
        <v>10.0</v>
      </c>
      <c r="G52" s="14">
        <v>0.0</v>
      </c>
      <c r="H52" s="15">
        <v>28.87532153735928</v>
      </c>
      <c r="I52" s="15">
        <v>36.88798026543043</v>
      </c>
      <c r="J52" s="15">
        <v>39.51416461840247</v>
      </c>
      <c r="K52" s="16">
        <v>4.5</v>
      </c>
      <c r="L52" s="14" t="s">
        <v>154</v>
      </c>
      <c r="M52" s="14" t="s">
        <v>155</v>
      </c>
      <c r="N52" s="14" t="s">
        <v>298</v>
      </c>
      <c r="O52" s="14" t="s">
        <v>299</v>
      </c>
      <c r="P52" s="14" t="s">
        <v>183</v>
      </c>
    </row>
    <row r="53" ht="15.75" customHeight="1">
      <c r="A53" s="14">
        <v>52.0</v>
      </c>
      <c r="B53" s="14" t="s">
        <v>300</v>
      </c>
      <c r="C53" s="14" t="s">
        <v>301</v>
      </c>
      <c r="D53" s="14">
        <v>38.0</v>
      </c>
      <c r="E53" s="14">
        <v>0.0</v>
      </c>
      <c r="F53" s="14">
        <v>25.0</v>
      </c>
      <c r="G53" s="14">
        <v>0.0</v>
      </c>
      <c r="H53" s="15">
        <v>3.853499958711652</v>
      </c>
      <c r="I53" s="15">
        <v>5.0017067127358</v>
      </c>
      <c r="J53" s="15">
        <v>5.222223442085737</v>
      </c>
      <c r="K53" s="18">
        <v>1.5</v>
      </c>
      <c r="L53" s="14" t="s">
        <v>198</v>
      </c>
      <c r="M53" s="14" t="s">
        <v>199</v>
      </c>
      <c r="N53" s="14" t="s">
        <v>298</v>
      </c>
      <c r="O53" s="14" t="s">
        <v>299</v>
      </c>
      <c r="P53" s="14" t="s">
        <v>183</v>
      </c>
    </row>
    <row r="54" ht="15.75" customHeight="1">
      <c r="A54" s="14">
        <v>53.0</v>
      </c>
      <c r="B54" s="14" t="s">
        <v>302</v>
      </c>
      <c r="C54" s="14" t="s">
        <v>303</v>
      </c>
      <c r="D54" s="14">
        <v>0.0</v>
      </c>
      <c r="E54" s="14">
        <v>0.0</v>
      </c>
      <c r="F54" s="14">
        <v>0.0</v>
      </c>
      <c r="G54" s="14">
        <v>1.0</v>
      </c>
      <c r="H54" s="15">
        <v>18.33322005628415</v>
      </c>
      <c r="I54" s="15">
        <v>21.81491555884456</v>
      </c>
      <c r="J54" s="15">
        <v>22.92637056529008</v>
      </c>
      <c r="K54" s="16">
        <v>4.0</v>
      </c>
      <c r="L54" s="14" t="s">
        <v>147</v>
      </c>
      <c r="M54" s="14" t="s">
        <v>148</v>
      </c>
      <c r="N54" s="14" t="s">
        <v>298</v>
      </c>
      <c r="O54" s="14" t="s">
        <v>299</v>
      </c>
      <c r="P54" s="14" t="s">
        <v>183</v>
      </c>
    </row>
    <row r="55" ht="15.75" customHeight="1">
      <c r="A55" s="14">
        <v>54.0</v>
      </c>
      <c r="B55" s="14" t="s">
        <v>304</v>
      </c>
      <c r="C55" s="14" t="s">
        <v>305</v>
      </c>
      <c r="D55" s="14">
        <v>21.0</v>
      </c>
      <c r="E55" s="14">
        <v>0.0</v>
      </c>
      <c r="F55" s="14">
        <v>10.0</v>
      </c>
      <c r="G55" s="14">
        <v>0.0</v>
      </c>
      <c r="H55" s="15">
        <v>4.309848919263988</v>
      </c>
      <c r="I55" s="15">
        <v>4.924447797110573</v>
      </c>
      <c r="J55" s="15">
        <v>4.884716454943995</v>
      </c>
      <c r="K55" s="16">
        <v>5.0</v>
      </c>
      <c r="L55" s="14" t="s">
        <v>147</v>
      </c>
      <c r="M55" s="14" t="s">
        <v>148</v>
      </c>
      <c r="N55" s="14" t="s">
        <v>306</v>
      </c>
      <c r="O55" s="14" t="s">
        <v>307</v>
      </c>
      <c r="P55" s="14" t="s">
        <v>308</v>
      </c>
    </row>
    <row r="56" ht="15.75" customHeight="1">
      <c r="A56" s="14">
        <v>55.0</v>
      </c>
      <c r="B56" s="14" t="s">
        <v>309</v>
      </c>
      <c r="C56" s="14" t="s">
        <v>310</v>
      </c>
      <c r="D56" s="14">
        <v>115.0</v>
      </c>
      <c r="E56" s="14">
        <v>0.0</v>
      </c>
      <c r="F56" s="14">
        <v>20.0</v>
      </c>
      <c r="G56" s="14">
        <v>0.0</v>
      </c>
      <c r="H56" s="15">
        <v>12.97496052325055</v>
      </c>
      <c r="I56" s="15">
        <v>14.92398776410591</v>
      </c>
      <c r="J56" s="15">
        <v>16.95998522105486</v>
      </c>
      <c r="K56" s="16">
        <v>4.5</v>
      </c>
      <c r="L56" s="14" t="s">
        <v>147</v>
      </c>
      <c r="M56" s="14" t="s">
        <v>148</v>
      </c>
      <c r="N56" s="14" t="s">
        <v>306</v>
      </c>
      <c r="O56" s="14" t="s">
        <v>307</v>
      </c>
      <c r="P56" s="14" t="s">
        <v>308</v>
      </c>
    </row>
    <row r="57" ht="15.75" customHeight="1">
      <c r="A57" s="14">
        <v>56.0</v>
      </c>
      <c r="B57" s="14" t="s">
        <v>311</v>
      </c>
      <c r="C57" s="14" t="s">
        <v>312</v>
      </c>
      <c r="D57" s="14">
        <v>21.0</v>
      </c>
      <c r="E57" s="14">
        <v>10.0</v>
      </c>
      <c r="F57" s="14">
        <v>30.0</v>
      </c>
      <c r="G57" s="14">
        <v>0.0</v>
      </c>
      <c r="H57" s="15">
        <v>21.50400559942403</v>
      </c>
      <c r="I57" s="15">
        <v>24.2834244081873</v>
      </c>
      <c r="J57" s="15">
        <v>27.53915851400681</v>
      </c>
      <c r="K57" s="16">
        <v>5.0</v>
      </c>
      <c r="L57" s="14" t="s">
        <v>198</v>
      </c>
      <c r="M57" s="14" t="s">
        <v>199</v>
      </c>
      <c r="N57" s="14" t="s">
        <v>313</v>
      </c>
      <c r="O57" s="14" t="s">
        <v>314</v>
      </c>
      <c r="P57" s="14" t="s">
        <v>236</v>
      </c>
    </row>
    <row r="58" ht="15.75" customHeight="1">
      <c r="A58" s="14">
        <v>57.0</v>
      </c>
      <c r="B58" s="14" t="s">
        <v>315</v>
      </c>
      <c r="C58" s="14" t="s">
        <v>312</v>
      </c>
      <c r="D58" s="14">
        <v>36.0</v>
      </c>
      <c r="E58" s="14">
        <v>0.0</v>
      </c>
      <c r="F58" s="14">
        <v>20.0</v>
      </c>
      <c r="G58" s="14">
        <v>0.0</v>
      </c>
      <c r="H58" s="15">
        <v>11.22950765860165</v>
      </c>
      <c r="I58" s="15">
        <v>13.0187090072947</v>
      </c>
      <c r="J58" s="15">
        <v>14.29534761959154</v>
      </c>
      <c r="K58" s="16">
        <v>5.0</v>
      </c>
      <c r="L58" s="14" t="s">
        <v>198</v>
      </c>
      <c r="M58" s="14" t="s">
        <v>199</v>
      </c>
      <c r="N58" s="14" t="s">
        <v>313</v>
      </c>
      <c r="O58" s="14" t="s">
        <v>314</v>
      </c>
      <c r="P58" s="14" t="s">
        <v>236</v>
      </c>
    </row>
    <row r="59" ht="15.75" customHeight="1">
      <c r="A59" s="14">
        <v>58.0</v>
      </c>
      <c r="B59" s="14" t="s">
        <v>316</v>
      </c>
      <c r="C59" s="14" t="s">
        <v>317</v>
      </c>
      <c r="D59" s="14">
        <v>62.0</v>
      </c>
      <c r="E59" s="14">
        <v>0.0</v>
      </c>
      <c r="F59" s="14">
        <v>20.0</v>
      </c>
      <c r="G59" s="14">
        <v>0.0</v>
      </c>
      <c r="H59" s="15">
        <v>6.388939316932207</v>
      </c>
      <c r="I59" s="15">
        <v>8.20844636489408</v>
      </c>
      <c r="J59" s="15">
        <v>8.683102192768331</v>
      </c>
      <c r="K59" s="16">
        <v>4.5</v>
      </c>
      <c r="L59" s="14" t="s">
        <v>158</v>
      </c>
      <c r="M59" s="14" t="s">
        <v>159</v>
      </c>
      <c r="N59" s="14" t="s">
        <v>318</v>
      </c>
      <c r="O59" s="14" t="s">
        <v>319</v>
      </c>
      <c r="P59" s="14" t="s">
        <v>258</v>
      </c>
    </row>
    <row r="60" ht="15.75" customHeight="1">
      <c r="A60" s="14">
        <v>59.0</v>
      </c>
      <c r="B60" s="14" t="s">
        <v>320</v>
      </c>
      <c r="C60" s="14" t="s">
        <v>321</v>
      </c>
      <c r="D60" s="14">
        <v>79.0</v>
      </c>
      <c r="E60" s="14">
        <v>0.0</v>
      </c>
      <c r="F60" s="14">
        <v>0.0</v>
      </c>
      <c r="G60" s="14">
        <v>0.0</v>
      </c>
      <c r="H60" s="15">
        <v>29.20351950859807</v>
      </c>
      <c r="I60" s="15">
        <v>35.20472566163114</v>
      </c>
      <c r="J60" s="15">
        <v>36.74863711016376</v>
      </c>
      <c r="K60" s="16">
        <v>4.0</v>
      </c>
      <c r="L60" s="14" t="s">
        <v>162</v>
      </c>
      <c r="M60" s="14" t="s">
        <v>163</v>
      </c>
      <c r="N60" s="14" t="s">
        <v>322</v>
      </c>
      <c r="O60" s="14" t="s">
        <v>323</v>
      </c>
      <c r="P60" s="14" t="s">
        <v>258</v>
      </c>
    </row>
    <row r="61" ht="15.75" customHeight="1">
      <c r="A61" s="14">
        <v>60.0</v>
      </c>
      <c r="B61" s="14" t="s">
        <v>324</v>
      </c>
      <c r="C61" s="14" t="s">
        <v>325</v>
      </c>
      <c r="D61" s="14">
        <v>19.0</v>
      </c>
      <c r="E61" s="14">
        <v>0.0</v>
      </c>
      <c r="F61" s="14">
        <v>0.0</v>
      </c>
      <c r="G61" s="14">
        <v>0.0</v>
      </c>
      <c r="H61" s="15">
        <v>17.66563492816901</v>
      </c>
      <c r="I61" s="15">
        <v>22.77098294614866</v>
      </c>
      <c r="J61" s="15">
        <v>22.49091154186432</v>
      </c>
      <c r="K61" s="16">
        <v>5.0</v>
      </c>
      <c r="L61" s="14" t="s">
        <v>162</v>
      </c>
      <c r="M61" s="14" t="s">
        <v>163</v>
      </c>
      <c r="N61" s="14" t="s">
        <v>322</v>
      </c>
      <c r="O61" s="14" t="s">
        <v>323</v>
      </c>
      <c r="P61" s="14" t="s">
        <v>258</v>
      </c>
    </row>
    <row r="62" ht="15.75" customHeight="1">
      <c r="A62" s="14">
        <v>61.0</v>
      </c>
      <c r="B62" s="14" t="s">
        <v>326</v>
      </c>
      <c r="C62" s="14" t="s">
        <v>327</v>
      </c>
      <c r="D62" s="14">
        <v>113.0</v>
      </c>
      <c r="E62" s="14">
        <v>0.0</v>
      </c>
      <c r="F62" s="14">
        <v>25.0</v>
      </c>
      <c r="G62" s="14">
        <v>0.0</v>
      </c>
      <c r="H62" s="15"/>
      <c r="I62" s="15">
        <v>17.1994544839071</v>
      </c>
      <c r="J62" s="15">
        <v>18.74487378767892</v>
      </c>
      <c r="K62" s="16">
        <v>4.5</v>
      </c>
      <c r="L62" s="14" t="s">
        <v>130</v>
      </c>
      <c r="M62" s="14" t="s">
        <v>131</v>
      </c>
      <c r="N62" s="14" t="s">
        <v>328</v>
      </c>
      <c r="O62" s="14" t="s">
        <v>329</v>
      </c>
      <c r="P62" s="14" t="s">
        <v>308</v>
      </c>
    </row>
    <row r="63" ht="15.75" customHeight="1">
      <c r="A63" s="14">
        <v>62.0</v>
      </c>
      <c r="B63" s="14" t="s">
        <v>330</v>
      </c>
      <c r="C63" s="14" t="s">
        <v>331</v>
      </c>
      <c r="D63" s="14">
        <v>17.0</v>
      </c>
      <c r="E63" s="14">
        <v>0.0</v>
      </c>
      <c r="F63" s="14">
        <v>0.0</v>
      </c>
      <c r="G63" s="14">
        <v>0.0</v>
      </c>
      <c r="H63" s="15">
        <v>29.35963319048223</v>
      </c>
      <c r="I63" s="15">
        <v>35.34792780930238</v>
      </c>
      <c r="J63" s="15">
        <v>34.88145014334921</v>
      </c>
      <c r="K63" s="16">
        <v>5.0</v>
      </c>
      <c r="L63" s="14" t="s">
        <v>179</v>
      </c>
      <c r="M63" s="14" t="s">
        <v>180</v>
      </c>
      <c r="N63" s="14" t="s">
        <v>328</v>
      </c>
      <c r="O63" s="14" t="s">
        <v>329</v>
      </c>
      <c r="P63" s="14" t="s">
        <v>308</v>
      </c>
    </row>
    <row r="64" ht="15.75" customHeight="1">
      <c r="A64" s="14">
        <v>63.0</v>
      </c>
      <c r="B64" s="14" t="s">
        <v>332</v>
      </c>
      <c r="C64" s="14" t="s">
        <v>333</v>
      </c>
      <c r="D64" s="14">
        <v>24.0</v>
      </c>
      <c r="E64" s="14">
        <v>0.0</v>
      </c>
      <c r="F64" s="14">
        <v>5.0</v>
      </c>
      <c r="G64" s="14">
        <v>0.0</v>
      </c>
      <c r="H64" s="15">
        <v>23.81372293243177</v>
      </c>
      <c r="I64" s="15">
        <v>27.72225705599012</v>
      </c>
      <c r="J64" s="15">
        <v>32.59198577176328</v>
      </c>
      <c r="K64" s="16">
        <v>5.0</v>
      </c>
      <c r="L64" s="14" t="s">
        <v>130</v>
      </c>
      <c r="M64" s="14" t="s">
        <v>131</v>
      </c>
      <c r="N64" s="14" t="s">
        <v>181</v>
      </c>
      <c r="O64" s="14" t="s">
        <v>182</v>
      </c>
      <c r="P64" s="14" t="s">
        <v>183</v>
      </c>
    </row>
    <row r="65" ht="15.75" customHeight="1">
      <c r="A65" s="14">
        <v>64.0</v>
      </c>
      <c r="B65" s="14" t="s">
        <v>334</v>
      </c>
      <c r="C65" s="14" t="s">
        <v>335</v>
      </c>
      <c r="D65" s="14">
        <v>22.0</v>
      </c>
      <c r="E65" s="14">
        <v>80.0</v>
      </c>
      <c r="F65" s="14">
        <v>30.0</v>
      </c>
      <c r="G65" s="14">
        <v>0.0</v>
      </c>
      <c r="H65" s="15">
        <v>19.36982256515803</v>
      </c>
      <c r="I65" s="15">
        <v>21.88572728319649</v>
      </c>
      <c r="J65" s="15">
        <v>22.7243427560192</v>
      </c>
      <c r="K65" s="18">
        <v>5.0</v>
      </c>
      <c r="L65" s="14" t="s">
        <v>198</v>
      </c>
      <c r="M65" s="14" t="s">
        <v>199</v>
      </c>
      <c r="N65" s="14" t="s">
        <v>224</v>
      </c>
      <c r="O65" s="14" t="s">
        <v>225</v>
      </c>
      <c r="P65" s="14" t="s">
        <v>219</v>
      </c>
    </row>
    <row r="66" ht="15.75" customHeight="1">
      <c r="A66" s="14">
        <v>65.0</v>
      </c>
      <c r="B66" s="14" t="s">
        <v>336</v>
      </c>
      <c r="C66" s="14" t="s">
        <v>337</v>
      </c>
      <c r="D66" s="14">
        <v>76.0</v>
      </c>
      <c r="E66" s="14">
        <v>0.0</v>
      </c>
      <c r="F66" s="14">
        <v>0.0</v>
      </c>
      <c r="G66" s="14">
        <v>0.0</v>
      </c>
      <c r="H66" s="15">
        <v>11.17410204428246</v>
      </c>
      <c r="I66" s="15">
        <v>13.21122243308426</v>
      </c>
      <c r="J66" s="15">
        <v>14.50738167716652</v>
      </c>
      <c r="K66" s="16">
        <v>5.0</v>
      </c>
      <c r="L66" s="14" t="s">
        <v>130</v>
      </c>
      <c r="M66" s="14" t="s">
        <v>131</v>
      </c>
      <c r="N66" s="14" t="s">
        <v>134</v>
      </c>
      <c r="O66" s="14" t="s">
        <v>135</v>
      </c>
      <c r="P66" s="14" t="s">
        <v>136</v>
      </c>
    </row>
    <row r="67" ht="15.75" customHeight="1">
      <c r="A67" s="14">
        <v>66.0</v>
      </c>
      <c r="B67" s="14" t="s">
        <v>338</v>
      </c>
      <c r="C67" s="14" t="s">
        <v>339</v>
      </c>
      <c r="D67" s="14">
        <v>4.0</v>
      </c>
      <c r="E67" s="14">
        <v>100.0</v>
      </c>
      <c r="F67" s="14">
        <v>20.0</v>
      </c>
      <c r="G67" s="14">
        <v>0.0</v>
      </c>
      <c r="H67" s="15">
        <v>9.717342771358489</v>
      </c>
      <c r="I67" s="15">
        <v>10.17313148772505</v>
      </c>
      <c r="J67" s="15">
        <v>11.66725139128572</v>
      </c>
      <c r="K67" s="16">
        <v>4.5</v>
      </c>
      <c r="L67" s="14" t="s">
        <v>130</v>
      </c>
      <c r="M67" s="14" t="s">
        <v>131</v>
      </c>
      <c r="N67" s="14" t="s">
        <v>134</v>
      </c>
      <c r="O67" s="14" t="s">
        <v>135</v>
      </c>
      <c r="P67" s="14" t="s">
        <v>136</v>
      </c>
    </row>
    <row r="68" ht="15.75" customHeight="1">
      <c r="A68" s="14">
        <v>67.0</v>
      </c>
      <c r="B68" s="14" t="s">
        <v>340</v>
      </c>
      <c r="C68" s="14" t="s">
        <v>127</v>
      </c>
      <c r="D68" s="14">
        <v>52.0</v>
      </c>
      <c r="E68" s="14">
        <v>0.0</v>
      </c>
      <c r="F68" s="14">
        <v>10.0</v>
      </c>
      <c r="G68" s="14">
        <v>0.0</v>
      </c>
      <c r="H68" s="15">
        <v>6.333578633879285</v>
      </c>
      <c r="I68" s="15">
        <v>10.352745389629</v>
      </c>
      <c r="J68" s="15">
        <v>9.44319275411339</v>
      </c>
      <c r="K68" s="16">
        <v>4.0</v>
      </c>
      <c r="L68" s="14" t="s">
        <v>121</v>
      </c>
      <c r="M68" s="14" t="s">
        <v>122</v>
      </c>
      <c r="N68" s="14" t="s">
        <v>245</v>
      </c>
      <c r="O68" s="14" t="s">
        <v>246</v>
      </c>
      <c r="P68" s="14" t="s">
        <v>136</v>
      </c>
    </row>
    <row r="69" ht="15.75" customHeight="1">
      <c r="A69" s="14">
        <v>68.0</v>
      </c>
      <c r="B69" s="14" t="s">
        <v>341</v>
      </c>
      <c r="C69" s="14" t="s">
        <v>342</v>
      </c>
      <c r="D69" s="14">
        <v>6.0</v>
      </c>
      <c r="E69" s="14">
        <v>10.0</v>
      </c>
      <c r="F69" s="14">
        <v>15.0</v>
      </c>
      <c r="G69" s="14">
        <v>0.0</v>
      </c>
      <c r="H69" s="15">
        <v>7.316656528525086</v>
      </c>
      <c r="I69" s="15">
        <v>8.50000038656812</v>
      </c>
      <c r="J69" s="15">
        <v>9.555031707593029</v>
      </c>
      <c r="K69" s="16">
        <v>4.5</v>
      </c>
      <c r="L69" s="14" t="s">
        <v>179</v>
      </c>
      <c r="M69" s="14" t="s">
        <v>180</v>
      </c>
      <c r="N69" s="14" t="s">
        <v>190</v>
      </c>
      <c r="O69" s="14" t="s">
        <v>191</v>
      </c>
      <c r="P69" s="14" t="s">
        <v>125</v>
      </c>
    </row>
    <row r="70" ht="15.75" customHeight="1">
      <c r="A70" s="14">
        <v>69.0</v>
      </c>
      <c r="B70" s="14" t="s">
        <v>343</v>
      </c>
      <c r="C70" s="14" t="s">
        <v>344</v>
      </c>
      <c r="D70" s="14">
        <v>26.0</v>
      </c>
      <c r="E70" s="14">
        <v>0.0</v>
      </c>
      <c r="F70" s="14">
        <v>15.0</v>
      </c>
      <c r="G70" s="14">
        <v>0.0</v>
      </c>
      <c r="H70" s="15">
        <v>20.71216182760377</v>
      </c>
      <c r="I70" s="15">
        <v>21.8242861155321</v>
      </c>
      <c r="J70" s="15">
        <v>24.68292145607358</v>
      </c>
      <c r="K70" s="16">
        <v>4.5</v>
      </c>
      <c r="L70" s="14" t="s">
        <v>162</v>
      </c>
      <c r="M70" s="14" t="s">
        <v>163</v>
      </c>
      <c r="N70" s="14" t="s">
        <v>241</v>
      </c>
      <c r="O70" s="14" t="s">
        <v>242</v>
      </c>
      <c r="P70" s="14" t="s">
        <v>243</v>
      </c>
    </row>
    <row r="71" ht="15.75" customHeight="1">
      <c r="A71" s="14">
        <v>70.0</v>
      </c>
      <c r="B71" s="14" t="s">
        <v>345</v>
      </c>
      <c r="C71" s="14" t="s">
        <v>346</v>
      </c>
      <c r="D71" s="14">
        <v>15.0</v>
      </c>
      <c r="E71" s="14">
        <v>10.0</v>
      </c>
      <c r="F71" s="14">
        <v>30.0</v>
      </c>
      <c r="G71" s="14">
        <v>0.0</v>
      </c>
      <c r="H71" s="15">
        <v>8.037520943986745</v>
      </c>
      <c r="I71" s="15">
        <v>9.79309409112476</v>
      </c>
      <c r="J71" s="15">
        <v>10.03280812091976</v>
      </c>
      <c r="K71" s="16">
        <v>4.5</v>
      </c>
      <c r="L71" s="14" t="s">
        <v>121</v>
      </c>
      <c r="M71" s="14" t="s">
        <v>122</v>
      </c>
      <c r="N71" s="14" t="s">
        <v>181</v>
      </c>
      <c r="O71" s="14" t="s">
        <v>182</v>
      </c>
      <c r="P71" s="14" t="s">
        <v>183</v>
      </c>
    </row>
    <row r="72" ht="15.75" customHeight="1">
      <c r="A72" s="14">
        <v>71.0</v>
      </c>
      <c r="B72" s="14" t="s">
        <v>347</v>
      </c>
      <c r="C72" s="14" t="s">
        <v>168</v>
      </c>
      <c r="D72" s="14">
        <v>26.0</v>
      </c>
      <c r="E72" s="14">
        <v>0.0</v>
      </c>
      <c r="F72" s="14">
        <v>0.0</v>
      </c>
      <c r="G72" s="14">
        <v>0.0</v>
      </c>
      <c r="H72" s="15">
        <v>12.00719028962714</v>
      </c>
      <c r="I72" s="15">
        <v>13.400366403089</v>
      </c>
      <c r="J72" s="15">
        <v>14.20977576248782</v>
      </c>
      <c r="K72" s="16">
        <v>5.0</v>
      </c>
      <c r="L72" s="14" t="s">
        <v>162</v>
      </c>
      <c r="M72" s="14" t="s">
        <v>163</v>
      </c>
      <c r="N72" s="14" t="s">
        <v>241</v>
      </c>
      <c r="O72" s="14" t="s">
        <v>242</v>
      </c>
      <c r="P72" s="14" t="s">
        <v>243</v>
      </c>
    </row>
    <row r="73" ht="15.75" customHeight="1">
      <c r="A73" s="14">
        <v>72.0</v>
      </c>
      <c r="B73" s="14" t="s">
        <v>348</v>
      </c>
      <c r="C73" s="14" t="s">
        <v>238</v>
      </c>
      <c r="D73" s="14">
        <v>14.0</v>
      </c>
      <c r="E73" s="14">
        <v>0.0</v>
      </c>
      <c r="F73" s="14">
        <v>0.0</v>
      </c>
      <c r="G73" s="14">
        <v>0.0</v>
      </c>
      <c r="H73" s="15">
        <v>19.20829333856568</v>
      </c>
      <c r="I73" s="15">
        <v>23.51933767865576</v>
      </c>
      <c r="J73" s="15">
        <v>24.35057898475153</v>
      </c>
      <c r="K73" s="16">
        <v>5.0</v>
      </c>
      <c r="L73" s="14" t="s">
        <v>162</v>
      </c>
      <c r="M73" s="14" t="s">
        <v>163</v>
      </c>
      <c r="N73" s="14" t="s">
        <v>234</v>
      </c>
      <c r="O73" s="14" t="s">
        <v>235</v>
      </c>
      <c r="P73" s="14" t="s">
        <v>236</v>
      </c>
    </row>
    <row r="74" ht="15.75" customHeight="1">
      <c r="A74" s="14">
        <v>73.0</v>
      </c>
      <c r="B74" s="14" t="s">
        <v>349</v>
      </c>
      <c r="C74" s="14" t="s">
        <v>350</v>
      </c>
      <c r="D74" s="14">
        <v>101.0</v>
      </c>
      <c r="E74" s="14">
        <v>0.0</v>
      </c>
      <c r="F74" s="14">
        <v>5.0</v>
      </c>
      <c r="G74" s="14">
        <v>0.0</v>
      </c>
      <c r="H74" s="15">
        <v>8.419818722181564</v>
      </c>
      <c r="I74" s="15">
        <v>9.692999362115618</v>
      </c>
      <c r="J74" s="15">
        <v>10.3801775746751</v>
      </c>
      <c r="K74" s="16">
        <v>4.0</v>
      </c>
      <c r="L74" s="14" t="s">
        <v>158</v>
      </c>
      <c r="M74" s="14" t="s">
        <v>159</v>
      </c>
      <c r="N74" s="14" t="s">
        <v>250</v>
      </c>
      <c r="O74" s="14" t="s">
        <v>251</v>
      </c>
      <c r="P74" s="14" t="s">
        <v>202</v>
      </c>
    </row>
    <row r="75" ht="15.75" customHeight="1">
      <c r="A75" s="14">
        <v>74.0</v>
      </c>
      <c r="B75" s="14" t="s">
        <v>351</v>
      </c>
      <c r="C75" s="14" t="s">
        <v>321</v>
      </c>
      <c r="D75" s="14">
        <v>4.0</v>
      </c>
      <c r="E75" s="14">
        <v>20.0</v>
      </c>
      <c r="F75" s="14">
        <v>5.0</v>
      </c>
      <c r="G75" s="14">
        <v>0.0</v>
      </c>
      <c r="H75" s="15">
        <v>5.667130123902985</v>
      </c>
      <c r="I75" s="15">
        <v>6.510240466628988</v>
      </c>
      <c r="J75" s="15">
        <v>7.717719032943149</v>
      </c>
      <c r="K75" s="16">
        <v>5.0</v>
      </c>
      <c r="L75" s="14" t="s">
        <v>154</v>
      </c>
      <c r="M75" s="14" t="s">
        <v>155</v>
      </c>
      <c r="N75" s="14" t="s">
        <v>149</v>
      </c>
      <c r="O75" s="14" t="s">
        <v>150</v>
      </c>
      <c r="P75" s="14" t="s">
        <v>151</v>
      </c>
    </row>
    <row r="76" ht="15.75" customHeight="1">
      <c r="A76" s="14">
        <v>75.0</v>
      </c>
      <c r="B76" s="14" t="s">
        <v>352</v>
      </c>
      <c r="C76" s="14" t="s">
        <v>353</v>
      </c>
      <c r="D76" s="14">
        <v>125.0</v>
      </c>
      <c r="E76" s="14">
        <v>0.0</v>
      </c>
      <c r="F76" s="14">
        <v>25.0</v>
      </c>
      <c r="G76" s="14">
        <v>0.0</v>
      </c>
      <c r="H76" s="15">
        <v>4.269033823250751</v>
      </c>
      <c r="I76" s="15">
        <v>5.355290471735264</v>
      </c>
      <c r="J76" s="15">
        <v>5.374051525284159</v>
      </c>
      <c r="K76" s="16">
        <v>5.0</v>
      </c>
      <c r="L76" s="14" t="s">
        <v>121</v>
      </c>
      <c r="M76" s="14" t="s">
        <v>122</v>
      </c>
      <c r="N76" s="14" t="s">
        <v>224</v>
      </c>
      <c r="O76" s="14" t="s">
        <v>225</v>
      </c>
      <c r="P76" s="14" t="s">
        <v>219</v>
      </c>
    </row>
    <row r="77" ht="15.75" customHeight="1">
      <c r="A77" s="14">
        <v>76.0</v>
      </c>
      <c r="B77" s="14" t="s">
        <v>354</v>
      </c>
      <c r="C77" s="14" t="s">
        <v>355</v>
      </c>
      <c r="D77" s="14">
        <v>57.0</v>
      </c>
      <c r="E77" s="14">
        <v>0.0</v>
      </c>
      <c r="F77" s="14">
        <v>20.0</v>
      </c>
      <c r="G77" s="14">
        <v>0.0</v>
      </c>
      <c r="H77" s="15">
        <v>10.19609255795939</v>
      </c>
      <c r="I77" s="15">
        <v>12.11545289547804</v>
      </c>
      <c r="J77" s="15">
        <v>12.15832249135989</v>
      </c>
      <c r="K77" s="16">
        <v>4.5</v>
      </c>
      <c r="L77" s="14" t="s">
        <v>121</v>
      </c>
      <c r="M77" s="14" t="s">
        <v>122</v>
      </c>
      <c r="N77" s="14" t="s">
        <v>291</v>
      </c>
      <c r="O77" s="14" t="s">
        <v>292</v>
      </c>
      <c r="P77" s="14" t="s">
        <v>293</v>
      </c>
    </row>
    <row r="78" ht="15.75" customHeight="1">
      <c r="A78" s="14">
        <v>77.0</v>
      </c>
      <c r="B78" s="14" t="s">
        <v>356</v>
      </c>
      <c r="C78" s="14" t="s">
        <v>357</v>
      </c>
      <c r="D78" s="14">
        <v>32.0</v>
      </c>
      <c r="E78" s="14">
        <v>0.0</v>
      </c>
      <c r="F78" s="14">
        <v>15.0</v>
      </c>
      <c r="G78" s="14">
        <v>0.0</v>
      </c>
      <c r="H78" s="15">
        <v>7.430272841618163</v>
      </c>
      <c r="I78" s="15">
        <v>7.539056452114137</v>
      </c>
      <c r="J78" s="15">
        <v>9.299025151343718</v>
      </c>
      <c r="K78" s="16">
        <v>4.5</v>
      </c>
      <c r="L78" s="14" t="s">
        <v>130</v>
      </c>
      <c r="M78" s="14" t="s">
        <v>131</v>
      </c>
      <c r="N78" s="14" t="s">
        <v>224</v>
      </c>
      <c r="O78" s="14" t="s">
        <v>225</v>
      </c>
      <c r="P78" s="14" t="s">
        <v>219</v>
      </c>
    </row>
    <row r="79" ht="15.75" customHeight="1">
      <c r="H79" s="19"/>
      <c r="I79" s="19"/>
      <c r="J79" s="19"/>
      <c r="K79" s="20"/>
    </row>
    <row r="80" ht="15.75" customHeight="1">
      <c r="H80" s="19"/>
      <c r="I80" s="19"/>
      <c r="J80" s="19"/>
      <c r="K80" s="20"/>
    </row>
    <row r="81" ht="15.75" customHeight="1">
      <c r="H81" s="19"/>
      <c r="I81" s="19"/>
      <c r="J81" s="19"/>
      <c r="K81" s="20"/>
    </row>
    <row r="82" ht="15.75" customHeight="1">
      <c r="H82" s="19"/>
      <c r="I82" s="19"/>
      <c r="J82" s="19"/>
      <c r="K82" s="20"/>
    </row>
    <row r="83" ht="15.75" customHeight="1">
      <c r="H83" s="19"/>
      <c r="I83" s="19"/>
      <c r="J83" s="19"/>
      <c r="K83" s="20"/>
    </row>
    <row r="84" ht="15.75" customHeight="1">
      <c r="H84" s="19"/>
      <c r="I84" s="19"/>
      <c r="J84" s="19"/>
      <c r="K84" s="20"/>
    </row>
    <row r="85" ht="15.75" customHeight="1">
      <c r="H85" s="19"/>
      <c r="I85" s="19"/>
      <c r="J85" s="19"/>
      <c r="K85" s="20"/>
    </row>
    <row r="86" ht="15.75" customHeight="1">
      <c r="H86" s="19"/>
      <c r="I86" s="19"/>
      <c r="J86" s="19"/>
      <c r="K86" s="20"/>
    </row>
    <row r="87" ht="15.75" customHeight="1">
      <c r="H87" s="19"/>
      <c r="I87" s="19"/>
      <c r="J87" s="19"/>
      <c r="K87" s="20"/>
    </row>
    <row r="88" ht="15.75" customHeight="1">
      <c r="H88" s="19"/>
      <c r="I88" s="19"/>
      <c r="J88" s="19"/>
      <c r="K88" s="20"/>
    </row>
    <row r="89" ht="15.75" customHeight="1">
      <c r="H89" s="19"/>
      <c r="I89" s="19"/>
      <c r="J89" s="19"/>
      <c r="K89" s="20"/>
    </row>
    <row r="90" ht="15.75" customHeight="1">
      <c r="H90" s="19"/>
      <c r="I90" s="19"/>
      <c r="J90" s="19"/>
      <c r="K90" s="20"/>
    </row>
    <row r="91" ht="15.75" customHeight="1">
      <c r="H91" s="19"/>
      <c r="I91" s="19"/>
      <c r="J91" s="19"/>
      <c r="K91" s="20"/>
    </row>
    <row r="92" ht="15.75" customHeight="1">
      <c r="H92" s="19"/>
      <c r="I92" s="19"/>
      <c r="J92" s="19"/>
      <c r="K92" s="20"/>
    </row>
    <row r="93" ht="15.75" customHeight="1">
      <c r="H93" s="19"/>
      <c r="I93" s="19"/>
      <c r="J93" s="19"/>
      <c r="K93" s="20"/>
    </row>
    <row r="94" ht="15.75" customHeight="1">
      <c r="H94" s="19"/>
      <c r="I94" s="19"/>
      <c r="J94" s="19"/>
      <c r="K94" s="20"/>
    </row>
    <row r="95" ht="15.75" customHeight="1">
      <c r="H95" s="19"/>
      <c r="I95" s="19"/>
      <c r="J95" s="19"/>
      <c r="K95" s="20"/>
    </row>
    <row r="96" ht="15.75" customHeight="1">
      <c r="H96" s="19"/>
      <c r="I96" s="19"/>
      <c r="J96" s="19"/>
      <c r="K96" s="20"/>
    </row>
    <row r="97" ht="15.75" customHeight="1">
      <c r="H97" s="19"/>
      <c r="I97" s="19"/>
      <c r="J97" s="19"/>
      <c r="K97" s="20"/>
    </row>
    <row r="98" ht="15.75" customHeight="1">
      <c r="H98" s="19"/>
      <c r="I98" s="19"/>
      <c r="J98" s="19"/>
      <c r="K98" s="20"/>
    </row>
    <row r="99" ht="15.75" customHeight="1">
      <c r="H99" s="19"/>
      <c r="I99" s="19"/>
      <c r="J99" s="19"/>
      <c r="K99" s="20"/>
    </row>
    <row r="100" ht="15.75" customHeight="1">
      <c r="H100" s="19"/>
      <c r="I100" s="19"/>
      <c r="J100" s="19"/>
      <c r="K100" s="20"/>
    </row>
    <row r="101" ht="15.75" customHeight="1">
      <c r="H101" s="19"/>
      <c r="I101" s="19"/>
      <c r="J101" s="19"/>
      <c r="K101" s="20"/>
    </row>
    <row r="102" ht="15.75" customHeight="1">
      <c r="H102" s="19"/>
      <c r="I102" s="19"/>
      <c r="J102" s="19"/>
      <c r="K102" s="20"/>
    </row>
    <row r="103" ht="15.75" customHeight="1">
      <c r="H103" s="19"/>
      <c r="I103" s="19"/>
      <c r="J103" s="19"/>
      <c r="K103" s="20"/>
    </row>
    <row r="104" ht="15.75" customHeight="1">
      <c r="H104" s="19"/>
      <c r="I104" s="19"/>
      <c r="J104" s="19"/>
      <c r="K104" s="20"/>
    </row>
    <row r="105" ht="15.75" customHeight="1">
      <c r="H105" s="19"/>
      <c r="I105" s="19"/>
      <c r="J105" s="19"/>
      <c r="K105" s="20"/>
    </row>
    <row r="106" ht="15.75" customHeight="1">
      <c r="H106" s="19"/>
      <c r="I106" s="19"/>
      <c r="J106" s="19"/>
      <c r="K106" s="20"/>
    </row>
    <row r="107" ht="15.75" customHeight="1">
      <c r="H107" s="19"/>
      <c r="I107" s="19"/>
      <c r="J107" s="19"/>
      <c r="K107" s="20"/>
    </row>
    <row r="108" ht="15.75" customHeight="1">
      <c r="H108" s="19"/>
      <c r="I108" s="19"/>
      <c r="J108" s="19"/>
      <c r="K108" s="20"/>
    </row>
    <row r="109" ht="15.75" customHeight="1">
      <c r="H109" s="19"/>
      <c r="I109" s="19"/>
      <c r="J109" s="19"/>
      <c r="K109" s="20"/>
    </row>
    <row r="110" ht="15.75" customHeight="1">
      <c r="H110" s="19"/>
      <c r="I110" s="19"/>
      <c r="J110" s="19"/>
      <c r="K110" s="20"/>
    </row>
    <row r="111" ht="15.75" customHeight="1">
      <c r="H111" s="19"/>
      <c r="I111" s="19"/>
      <c r="J111" s="19"/>
      <c r="K111" s="20"/>
    </row>
    <row r="112" ht="15.75" customHeight="1">
      <c r="H112" s="19"/>
      <c r="I112" s="19"/>
      <c r="J112" s="19"/>
      <c r="K112" s="20"/>
    </row>
    <row r="113" ht="15.75" customHeight="1">
      <c r="H113" s="19"/>
      <c r="I113" s="19"/>
      <c r="J113" s="19"/>
      <c r="K113" s="20"/>
    </row>
    <row r="114" ht="15.75" customHeight="1">
      <c r="H114" s="19"/>
      <c r="I114" s="19"/>
      <c r="J114" s="19"/>
      <c r="K114" s="20"/>
    </row>
    <row r="115" ht="15.75" customHeight="1">
      <c r="H115" s="19"/>
      <c r="I115" s="19"/>
      <c r="J115" s="19"/>
      <c r="K115" s="20"/>
    </row>
    <row r="116" ht="15.75" customHeight="1">
      <c r="H116" s="19"/>
      <c r="I116" s="19"/>
      <c r="J116" s="19"/>
      <c r="K116" s="20"/>
    </row>
    <row r="117" ht="15.75" customHeight="1">
      <c r="H117" s="19"/>
      <c r="I117" s="19"/>
      <c r="J117" s="19"/>
      <c r="K117" s="20"/>
    </row>
    <row r="118" ht="15.75" customHeight="1">
      <c r="H118" s="19"/>
      <c r="I118" s="19"/>
      <c r="J118" s="19"/>
      <c r="K118" s="20"/>
    </row>
    <row r="119" ht="15.75" customHeight="1">
      <c r="H119" s="19"/>
      <c r="I119" s="19"/>
      <c r="J119" s="19"/>
      <c r="K119" s="20"/>
    </row>
    <row r="120" ht="15.75" customHeight="1">
      <c r="H120" s="19"/>
      <c r="I120" s="19"/>
      <c r="J120" s="19"/>
      <c r="K120" s="20"/>
    </row>
    <row r="121" ht="15.75" customHeight="1">
      <c r="H121" s="19"/>
      <c r="I121" s="19"/>
      <c r="J121" s="19"/>
      <c r="K121" s="20"/>
    </row>
    <row r="122" ht="15.75" customHeight="1">
      <c r="H122" s="19"/>
      <c r="I122" s="19"/>
      <c r="J122" s="19"/>
      <c r="K122" s="20"/>
    </row>
    <row r="123" ht="15.75" customHeight="1">
      <c r="H123" s="19"/>
      <c r="I123" s="19"/>
      <c r="J123" s="19"/>
      <c r="K123" s="20"/>
    </row>
    <row r="124" ht="15.75" customHeight="1">
      <c r="H124" s="19"/>
      <c r="I124" s="19"/>
      <c r="J124" s="19"/>
      <c r="K124" s="20"/>
    </row>
    <row r="125" ht="15.75" customHeight="1">
      <c r="H125" s="19"/>
      <c r="I125" s="19"/>
      <c r="J125" s="19"/>
      <c r="K125" s="20"/>
    </row>
    <row r="126" ht="15.75" customHeight="1">
      <c r="H126" s="19"/>
      <c r="I126" s="19"/>
      <c r="J126" s="19"/>
      <c r="K126" s="20"/>
    </row>
    <row r="127" ht="15.75" customHeight="1">
      <c r="H127" s="19"/>
      <c r="I127" s="19"/>
      <c r="J127" s="19"/>
      <c r="K127" s="20"/>
    </row>
    <row r="128" ht="15.75" customHeight="1">
      <c r="H128" s="19"/>
      <c r="I128" s="19"/>
      <c r="J128" s="19"/>
      <c r="K128" s="20"/>
    </row>
    <row r="129" ht="15.75" customHeight="1">
      <c r="H129" s="19"/>
      <c r="I129" s="19"/>
      <c r="J129" s="19"/>
      <c r="K129" s="20"/>
    </row>
    <row r="130" ht="15.75" customHeight="1">
      <c r="H130" s="19"/>
      <c r="I130" s="19"/>
      <c r="J130" s="19"/>
      <c r="K130" s="20"/>
    </row>
    <row r="131" ht="15.75" customHeight="1">
      <c r="H131" s="19"/>
      <c r="I131" s="19"/>
      <c r="J131" s="19"/>
      <c r="K131" s="20"/>
    </row>
    <row r="132" ht="15.75" customHeight="1">
      <c r="H132" s="19"/>
      <c r="I132" s="19"/>
      <c r="J132" s="19"/>
      <c r="K132" s="20"/>
    </row>
    <row r="133" ht="15.75" customHeight="1">
      <c r="H133" s="19"/>
      <c r="I133" s="19"/>
      <c r="J133" s="19"/>
      <c r="K133" s="20"/>
    </row>
    <row r="134" ht="15.75" customHeight="1">
      <c r="H134" s="19"/>
      <c r="I134" s="19"/>
      <c r="J134" s="19"/>
      <c r="K134" s="20"/>
    </row>
    <row r="135" ht="15.75" customHeight="1">
      <c r="H135" s="19"/>
      <c r="I135" s="19"/>
      <c r="J135" s="19"/>
      <c r="K135" s="20"/>
    </row>
    <row r="136" ht="15.75" customHeight="1">
      <c r="H136" s="19"/>
      <c r="I136" s="19"/>
      <c r="J136" s="19"/>
      <c r="K136" s="20"/>
    </row>
    <row r="137" ht="15.75" customHeight="1">
      <c r="H137" s="19"/>
      <c r="I137" s="19"/>
      <c r="J137" s="19"/>
      <c r="K137" s="20"/>
    </row>
    <row r="138" ht="15.75" customHeight="1">
      <c r="H138" s="19"/>
      <c r="I138" s="19"/>
      <c r="J138" s="19"/>
      <c r="K138" s="20"/>
    </row>
    <row r="139" ht="15.75" customHeight="1">
      <c r="H139" s="19"/>
      <c r="I139" s="19"/>
      <c r="J139" s="19"/>
      <c r="K139" s="20"/>
    </row>
    <row r="140" ht="15.75" customHeight="1">
      <c r="H140" s="19"/>
      <c r="I140" s="19"/>
      <c r="J140" s="19"/>
      <c r="K140" s="20"/>
    </row>
    <row r="141" ht="15.75" customHeight="1">
      <c r="H141" s="19"/>
      <c r="I141" s="19"/>
      <c r="J141" s="19"/>
      <c r="K141" s="20"/>
    </row>
    <row r="142" ht="15.75" customHeight="1">
      <c r="H142" s="19"/>
      <c r="I142" s="19"/>
      <c r="J142" s="19"/>
      <c r="K142" s="20"/>
    </row>
    <row r="143" ht="15.75" customHeight="1">
      <c r="H143" s="19"/>
      <c r="I143" s="19"/>
      <c r="J143" s="19"/>
      <c r="K143" s="20"/>
    </row>
    <row r="144" ht="15.75" customHeight="1">
      <c r="H144" s="19"/>
      <c r="I144" s="19"/>
      <c r="J144" s="19"/>
      <c r="K144" s="20"/>
    </row>
    <row r="145" ht="15.75" customHeight="1">
      <c r="H145" s="19"/>
      <c r="I145" s="19"/>
      <c r="J145" s="19"/>
      <c r="K145" s="20"/>
    </row>
    <row r="146" ht="15.75" customHeight="1">
      <c r="H146" s="19"/>
      <c r="I146" s="19"/>
      <c r="J146" s="19"/>
      <c r="K146" s="20"/>
    </row>
    <row r="147" ht="15.75" customHeight="1">
      <c r="H147" s="19"/>
      <c r="I147" s="19"/>
      <c r="J147" s="19"/>
      <c r="K147" s="20"/>
    </row>
    <row r="148" ht="15.75" customHeight="1">
      <c r="H148" s="19"/>
      <c r="I148" s="19"/>
      <c r="J148" s="19"/>
      <c r="K148" s="20"/>
    </row>
    <row r="149" ht="15.75" customHeight="1">
      <c r="H149" s="19"/>
      <c r="I149" s="19"/>
      <c r="J149" s="19"/>
      <c r="K149" s="20"/>
    </row>
    <row r="150" ht="15.75" customHeight="1">
      <c r="H150" s="19"/>
      <c r="I150" s="19"/>
      <c r="J150" s="19"/>
      <c r="K150" s="20"/>
    </row>
    <row r="151" ht="15.75" customHeight="1">
      <c r="H151" s="19"/>
      <c r="I151" s="19"/>
      <c r="J151" s="19"/>
      <c r="K151" s="20"/>
    </row>
    <row r="152" ht="15.75" customHeight="1">
      <c r="H152" s="19"/>
      <c r="I152" s="19"/>
      <c r="J152" s="19"/>
      <c r="K152" s="20"/>
    </row>
    <row r="153" ht="15.75" customHeight="1">
      <c r="H153" s="19"/>
      <c r="I153" s="19"/>
      <c r="J153" s="19"/>
      <c r="K153" s="20"/>
    </row>
    <row r="154" ht="15.75" customHeight="1">
      <c r="H154" s="19"/>
      <c r="I154" s="19"/>
      <c r="J154" s="19"/>
      <c r="K154" s="20"/>
    </row>
    <row r="155" ht="15.75" customHeight="1">
      <c r="H155" s="19"/>
      <c r="I155" s="19"/>
      <c r="J155" s="19"/>
      <c r="K155" s="20"/>
    </row>
    <row r="156" ht="15.75" customHeight="1">
      <c r="H156" s="19"/>
      <c r="I156" s="19"/>
      <c r="J156" s="19"/>
      <c r="K156" s="20"/>
    </row>
    <row r="157" ht="15.75" customHeight="1">
      <c r="H157" s="19"/>
      <c r="I157" s="19"/>
      <c r="J157" s="19"/>
      <c r="K157" s="20"/>
    </row>
    <row r="158" ht="15.75" customHeight="1">
      <c r="H158" s="19"/>
      <c r="I158" s="19"/>
      <c r="J158" s="19"/>
      <c r="K158" s="20"/>
    </row>
    <row r="159" ht="15.75" customHeight="1">
      <c r="H159" s="19"/>
      <c r="I159" s="19"/>
      <c r="J159" s="19"/>
      <c r="K159" s="20"/>
    </row>
    <row r="160" ht="15.75" customHeight="1">
      <c r="H160" s="19"/>
      <c r="I160" s="19"/>
      <c r="J160" s="19"/>
      <c r="K160" s="20"/>
    </row>
    <row r="161" ht="15.75" customHeight="1">
      <c r="H161" s="19"/>
      <c r="I161" s="19"/>
      <c r="J161" s="19"/>
      <c r="K161" s="20"/>
    </row>
    <row r="162" ht="15.75" customHeight="1">
      <c r="H162" s="19"/>
      <c r="I162" s="19"/>
      <c r="J162" s="19"/>
      <c r="K162" s="20"/>
    </row>
    <row r="163" ht="15.75" customHeight="1">
      <c r="H163" s="19"/>
      <c r="I163" s="19"/>
      <c r="J163" s="19"/>
      <c r="K163" s="20"/>
    </row>
    <row r="164" ht="15.75" customHeight="1">
      <c r="H164" s="19"/>
      <c r="I164" s="19"/>
      <c r="J164" s="19"/>
      <c r="K164" s="20"/>
    </row>
    <row r="165" ht="15.75" customHeight="1">
      <c r="H165" s="19"/>
      <c r="I165" s="19"/>
      <c r="J165" s="19"/>
      <c r="K165" s="20"/>
    </row>
    <row r="166" ht="15.75" customHeight="1">
      <c r="H166" s="19"/>
      <c r="I166" s="19"/>
      <c r="J166" s="19"/>
      <c r="K166" s="20"/>
    </row>
    <row r="167" ht="15.75" customHeight="1">
      <c r="H167" s="19"/>
      <c r="I167" s="19"/>
      <c r="J167" s="19"/>
      <c r="K167" s="20"/>
    </row>
    <row r="168" ht="15.75" customHeight="1">
      <c r="H168" s="19"/>
      <c r="I168" s="19"/>
      <c r="J168" s="19"/>
      <c r="K168" s="20"/>
    </row>
    <row r="169" ht="15.75" customHeight="1">
      <c r="H169" s="19"/>
      <c r="I169" s="19"/>
      <c r="J169" s="19"/>
      <c r="K169" s="20"/>
    </row>
    <row r="170" ht="15.75" customHeight="1">
      <c r="H170" s="19"/>
      <c r="I170" s="19"/>
      <c r="J170" s="19"/>
      <c r="K170" s="20"/>
    </row>
    <row r="171" ht="15.75" customHeight="1">
      <c r="H171" s="19"/>
      <c r="I171" s="19"/>
      <c r="J171" s="19"/>
      <c r="K171" s="20"/>
    </row>
    <row r="172" ht="15.75" customHeight="1">
      <c r="H172" s="19"/>
      <c r="I172" s="19"/>
      <c r="J172" s="19"/>
      <c r="K172" s="20"/>
    </row>
    <row r="173" ht="15.75" customHeight="1">
      <c r="H173" s="19"/>
      <c r="I173" s="19"/>
      <c r="J173" s="19"/>
      <c r="K173" s="20"/>
    </row>
    <row r="174" ht="15.75" customHeight="1">
      <c r="H174" s="19"/>
      <c r="I174" s="19"/>
      <c r="J174" s="19"/>
      <c r="K174" s="20"/>
    </row>
    <row r="175" ht="15.75" customHeight="1">
      <c r="H175" s="19"/>
      <c r="I175" s="19"/>
      <c r="J175" s="19"/>
      <c r="K175" s="20"/>
    </row>
    <row r="176" ht="15.75" customHeight="1">
      <c r="H176" s="19"/>
      <c r="I176" s="19"/>
      <c r="J176" s="19"/>
      <c r="K176" s="20"/>
    </row>
    <row r="177" ht="15.75" customHeight="1">
      <c r="H177" s="19"/>
      <c r="I177" s="19"/>
      <c r="J177" s="19"/>
      <c r="K177" s="20"/>
    </row>
    <row r="178" ht="15.75" customHeight="1">
      <c r="H178" s="19"/>
      <c r="I178" s="19"/>
      <c r="J178" s="19"/>
      <c r="K178" s="20"/>
    </row>
    <row r="179" ht="15.75" customHeight="1">
      <c r="H179" s="19"/>
      <c r="I179" s="19"/>
      <c r="J179" s="19"/>
      <c r="K179" s="20"/>
    </row>
    <row r="180" ht="15.75" customHeight="1">
      <c r="H180" s="19"/>
      <c r="I180" s="19"/>
      <c r="J180" s="19"/>
      <c r="K180" s="20"/>
    </row>
    <row r="181" ht="15.75" customHeight="1">
      <c r="H181" s="19"/>
      <c r="I181" s="19"/>
      <c r="J181" s="19"/>
      <c r="K181" s="20"/>
    </row>
    <row r="182" ht="15.75" customHeight="1">
      <c r="H182" s="19"/>
      <c r="I182" s="19"/>
      <c r="J182" s="19"/>
      <c r="K182" s="20"/>
    </row>
    <row r="183" ht="15.75" customHeight="1">
      <c r="H183" s="19"/>
      <c r="I183" s="19"/>
      <c r="J183" s="19"/>
      <c r="K183" s="20"/>
    </row>
    <row r="184" ht="15.75" customHeight="1">
      <c r="H184" s="19"/>
      <c r="I184" s="19"/>
      <c r="J184" s="19"/>
      <c r="K184" s="20"/>
    </row>
    <row r="185" ht="15.75" customHeight="1">
      <c r="H185" s="19"/>
      <c r="I185" s="19"/>
      <c r="J185" s="19"/>
      <c r="K185" s="20"/>
    </row>
    <row r="186" ht="15.75" customHeight="1">
      <c r="H186" s="19"/>
      <c r="I186" s="19"/>
      <c r="J186" s="19"/>
      <c r="K186" s="20"/>
    </row>
    <row r="187" ht="15.75" customHeight="1">
      <c r="H187" s="19"/>
      <c r="I187" s="19"/>
      <c r="J187" s="19"/>
      <c r="K187" s="20"/>
    </row>
    <row r="188" ht="15.75" customHeight="1">
      <c r="H188" s="19"/>
      <c r="I188" s="19"/>
      <c r="J188" s="19"/>
      <c r="K188" s="20"/>
    </row>
    <row r="189" ht="15.75" customHeight="1">
      <c r="H189" s="19"/>
      <c r="I189" s="19"/>
      <c r="J189" s="19"/>
      <c r="K189" s="20"/>
    </row>
    <row r="190" ht="15.75" customHeight="1">
      <c r="H190" s="19"/>
      <c r="I190" s="19"/>
      <c r="J190" s="19"/>
      <c r="K190" s="20"/>
    </row>
    <row r="191" ht="15.75" customHeight="1">
      <c r="H191" s="19"/>
      <c r="I191" s="19"/>
      <c r="J191" s="19"/>
      <c r="K191" s="20"/>
    </row>
    <row r="192" ht="15.75" customHeight="1">
      <c r="H192" s="19"/>
      <c r="I192" s="19"/>
      <c r="J192" s="19"/>
      <c r="K192" s="20"/>
    </row>
    <row r="193" ht="15.75" customHeight="1">
      <c r="H193" s="19"/>
      <c r="I193" s="19"/>
      <c r="J193" s="19"/>
      <c r="K193" s="20"/>
    </row>
    <row r="194" ht="15.75" customHeight="1">
      <c r="H194" s="19"/>
      <c r="I194" s="19"/>
      <c r="J194" s="19"/>
      <c r="K194" s="20"/>
    </row>
    <row r="195" ht="15.75" customHeight="1">
      <c r="H195" s="19"/>
      <c r="I195" s="19"/>
      <c r="J195" s="19"/>
      <c r="K195" s="20"/>
    </row>
    <row r="196" ht="15.75" customHeight="1">
      <c r="H196" s="19"/>
      <c r="I196" s="19"/>
      <c r="J196" s="19"/>
      <c r="K196" s="20"/>
    </row>
    <row r="197" ht="15.75" customHeight="1">
      <c r="H197" s="19"/>
      <c r="I197" s="19"/>
      <c r="J197" s="19"/>
      <c r="K197" s="20"/>
    </row>
    <row r="198" ht="15.75" customHeight="1">
      <c r="H198" s="19"/>
      <c r="I198" s="19"/>
      <c r="J198" s="19"/>
      <c r="K198" s="20"/>
    </row>
    <row r="199" ht="15.75" customHeight="1">
      <c r="H199" s="19"/>
      <c r="I199" s="19"/>
      <c r="J199" s="19"/>
      <c r="K199" s="20"/>
    </row>
    <row r="200" ht="15.75" customHeight="1">
      <c r="H200" s="19"/>
      <c r="I200" s="19"/>
      <c r="J200" s="19"/>
      <c r="K200" s="20"/>
    </row>
    <row r="201" ht="15.75" customHeight="1">
      <c r="H201" s="19"/>
      <c r="I201" s="19"/>
      <c r="J201" s="19"/>
      <c r="K201" s="20"/>
    </row>
    <row r="202" ht="15.75" customHeight="1">
      <c r="H202" s="19"/>
      <c r="I202" s="19"/>
      <c r="J202" s="19"/>
      <c r="K202" s="20"/>
    </row>
    <row r="203" ht="15.75" customHeight="1">
      <c r="H203" s="19"/>
      <c r="I203" s="19"/>
      <c r="J203" s="19"/>
      <c r="K203" s="20"/>
    </row>
    <row r="204" ht="15.75" customHeight="1">
      <c r="H204" s="19"/>
      <c r="I204" s="19"/>
      <c r="J204" s="19"/>
      <c r="K204" s="20"/>
    </row>
    <row r="205" ht="15.75" customHeight="1">
      <c r="H205" s="19"/>
      <c r="I205" s="19"/>
      <c r="J205" s="19"/>
      <c r="K205" s="20"/>
    </row>
    <row r="206" ht="15.75" customHeight="1">
      <c r="H206" s="19"/>
      <c r="I206" s="19"/>
      <c r="J206" s="19"/>
      <c r="K206" s="20"/>
    </row>
    <row r="207" ht="15.75" customHeight="1">
      <c r="H207" s="19"/>
      <c r="I207" s="19"/>
      <c r="J207" s="19"/>
      <c r="K207" s="20"/>
    </row>
    <row r="208" ht="15.75" customHeight="1">
      <c r="H208" s="19"/>
      <c r="I208" s="19"/>
      <c r="J208" s="19"/>
      <c r="K208" s="20"/>
    </row>
    <row r="209" ht="15.75" customHeight="1">
      <c r="H209" s="19"/>
      <c r="I209" s="19"/>
      <c r="J209" s="19"/>
      <c r="K209" s="20"/>
    </row>
    <row r="210" ht="15.75" customHeight="1">
      <c r="H210" s="19"/>
      <c r="I210" s="19"/>
      <c r="J210" s="19"/>
      <c r="K210" s="20"/>
    </row>
    <row r="211" ht="15.75" customHeight="1">
      <c r="H211" s="19"/>
      <c r="I211" s="19"/>
      <c r="J211" s="19"/>
      <c r="K211" s="20"/>
    </row>
    <row r="212" ht="15.75" customHeight="1">
      <c r="H212" s="19"/>
      <c r="I212" s="19"/>
      <c r="J212" s="19"/>
      <c r="K212" s="20"/>
    </row>
    <row r="213" ht="15.75" customHeight="1">
      <c r="H213" s="19"/>
      <c r="I213" s="19"/>
      <c r="J213" s="19"/>
      <c r="K213" s="20"/>
    </row>
    <row r="214" ht="15.75" customHeight="1">
      <c r="H214" s="19"/>
      <c r="I214" s="19"/>
      <c r="J214" s="19"/>
      <c r="K214" s="20"/>
    </row>
    <row r="215" ht="15.75" customHeight="1">
      <c r="H215" s="19"/>
      <c r="I215" s="19"/>
      <c r="J215" s="19"/>
      <c r="K215" s="20"/>
    </row>
    <row r="216" ht="15.75" customHeight="1">
      <c r="H216" s="19"/>
      <c r="I216" s="19"/>
      <c r="J216" s="19"/>
      <c r="K216" s="20"/>
    </row>
    <row r="217" ht="15.75" customHeight="1">
      <c r="H217" s="19"/>
      <c r="I217" s="19"/>
      <c r="J217" s="19"/>
      <c r="K217" s="20"/>
    </row>
    <row r="218" ht="15.75" customHeight="1">
      <c r="H218" s="19"/>
      <c r="I218" s="19"/>
      <c r="J218" s="19"/>
      <c r="K218" s="20"/>
    </row>
    <row r="219" ht="15.75" customHeight="1">
      <c r="H219" s="19"/>
      <c r="I219" s="19"/>
      <c r="J219" s="19"/>
      <c r="K219" s="20"/>
    </row>
    <row r="220" ht="15.75" customHeight="1">
      <c r="H220" s="19"/>
      <c r="I220" s="19"/>
      <c r="J220" s="19"/>
      <c r="K220" s="20"/>
    </row>
    <row r="221" ht="15.75" customHeight="1">
      <c r="H221" s="19"/>
      <c r="I221" s="19"/>
      <c r="J221" s="19"/>
      <c r="K221" s="20"/>
    </row>
    <row r="222" ht="15.75" customHeight="1">
      <c r="H222" s="19"/>
      <c r="I222" s="19"/>
      <c r="J222" s="19"/>
      <c r="K222" s="20"/>
    </row>
    <row r="223" ht="15.75" customHeight="1">
      <c r="H223" s="19"/>
      <c r="I223" s="19"/>
      <c r="J223" s="19"/>
      <c r="K223" s="20"/>
    </row>
    <row r="224" ht="15.75" customHeight="1">
      <c r="H224" s="19"/>
      <c r="I224" s="19"/>
      <c r="J224" s="19"/>
      <c r="K224" s="20"/>
    </row>
    <row r="225" ht="15.75" customHeight="1">
      <c r="H225" s="19"/>
      <c r="I225" s="19"/>
      <c r="J225" s="19"/>
      <c r="K225" s="20"/>
    </row>
    <row r="226" ht="15.75" customHeight="1">
      <c r="H226" s="19"/>
      <c r="I226" s="19"/>
      <c r="J226" s="19"/>
      <c r="K226" s="20"/>
    </row>
    <row r="227" ht="15.75" customHeight="1">
      <c r="H227" s="19"/>
      <c r="I227" s="19"/>
      <c r="J227" s="19"/>
      <c r="K227" s="20"/>
    </row>
    <row r="228" ht="15.75" customHeight="1">
      <c r="H228" s="19"/>
      <c r="I228" s="19"/>
      <c r="J228" s="19"/>
      <c r="K228" s="20"/>
    </row>
    <row r="229" ht="15.75" customHeight="1">
      <c r="H229" s="19"/>
      <c r="I229" s="19"/>
      <c r="J229" s="19"/>
      <c r="K229" s="20"/>
    </row>
    <row r="230" ht="15.75" customHeight="1">
      <c r="H230" s="19"/>
      <c r="I230" s="19"/>
      <c r="J230" s="19"/>
      <c r="K230" s="20"/>
    </row>
    <row r="231" ht="15.75" customHeight="1">
      <c r="H231" s="19"/>
      <c r="I231" s="19"/>
      <c r="J231" s="19"/>
      <c r="K231" s="20"/>
    </row>
    <row r="232" ht="15.75" customHeight="1">
      <c r="H232" s="19"/>
      <c r="I232" s="19"/>
      <c r="J232" s="19"/>
      <c r="K232" s="20"/>
    </row>
    <row r="233" ht="15.75" customHeight="1">
      <c r="H233" s="19"/>
      <c r="I233" s="19"/>
      <c r="J233" s="19"/>
      <c r="K233" s="20"/>
    </row>
    <row r="234" ht="15.75" customHeight="1">
      <c r="H234" s="19"/>
      <c r="I234" s="19"/>
      <c r="J234" s="19"/>
      <c r="K234" s="20"/>
    </row>
    <row r="235" ht="15.75" customHeight="1">
      <c r="H235" s="19"/>
      <c r="I235" s="19"/>
      <c r="J235" s="19"/>
      <c r="K235" s="20"/>
    </row>
    <row r="236" ht="15.75" customHeight="1">
      <c r="H236" s="19"/>
      <c r="I236" s="19"/>
      <c r="J236" s="19"/>
      <c r="K236" s="20"/>
    </row>
    <row r="237" ht="15.75" customHeight="1">
      <c r="H237" s="19"/>
      <c r="I237" s="19"/>
      <c r="J237" s="19"/>
      <c r="K237" s="20"/>
    </row>
    <row r="238" ht="15.75" customHeight="1">
      <c r="H238" s="19"/>
      <c r="I238" s="19"/>
      <c r="J238" s="19"/>
      <c r="K238" s="20"/>
    </row>
    <row r="239" ht="15.75" customHeight="1">
      <c r="H239" s="19"/>
      <c r="I239" s="19"/>
      <c r="J239" s="19"/>
      <c r="K239" s="20"/>
    </row>
    <row r="240" ht="15.75" customHeight="1">
      <c r="H240" s="19"/>
      <c r="I240" s="19"/>
      <c r="J240" s="19"/>
      <c r="K240" s="20"/>
    </row>
    <row r="241" ht="15.75" customHeight="1">
      <c r="H241" s="19"/>
      <c r="I241" s="19"/>
      <c r="J241" s="19"/>
      <c r="K241" s="20"/>
    </row>
    <row r="242" ht="15.75" customHeight="1">
      <c r="H242" s="19"/>
      <c r="I242" s="19"/>
      <c r="J242" s="19"/>
      <c r="K242" s="20"/>
    </row>
    <row r="243" ht="15.75" customHeight="1">
      <c r="H243" s="19"/>
      <c r="I243" s="19"/>
      <c r="J243" s="19"/>
      <c r="K243" s="20"/>
    </row>
    <row r="244" ht="15.75" customHeight="1">
      <c r="H244" s="19"/>
      <c r="I244" s="19"/>
      <c r="J244" s="19"/>
      <c r="K244" s="20"/>
    </row>
    <row r="245" ht="15.75" customHeight="1">
      <c r="H245" s="19"/>
      <c r="I245" s="19"/>
      <c r="J245" s="19"/>
      <c r="K245" s="20"/>
    </row>
    <row r="246" ht="15.75" customHeight="1">
      <c r="H246" s="19"/>
      <c r="I246" s="19"/>
      <c r="J246" s="19"/>
      <c r="K246" s="20"/>
    </row>
    <row r="247" ht="15.75" customHeight="1">
      <c r="H247" s="19"/>
      <c r="I247" s="19"/>
      <c r="J247" s="19"/>
      <c r="K247" s="20"/>
    </row>
    <row r="248" ht="15.75" customHeight="1">
      <c r="H248" s="19"/>
      <c r="I248" s="19"/>
      <c r="J248" s="19"/>
      <c r="K248" s="20"/>
    </row>
    <row r="249" ht="15.75" customHeight="1">
      <c r="H249" s="19"/>
      <c r="I249" s="19"/>
      <c r="J249" s="19"/>
      <c r="K249" s="20"/>
    </row>
    <row r="250" ht="15.75" customHeight="1">
      <c r="H250" s="19"/>
      <c r="I250" s="19"/>
      <c r="J250" s="19"/>
      <c r="K250" s="20"/>
    </row>
    <row r="251" ht="15.75" customHeight="1">
      <c r="H251" s="19"/>
      <c r="I251" s="19"/>
      <c r="J251" s="19"/>
      <c r="K251" s="20"/>
    </row>
    <row r="252" ht="15.75" customHeight="1">
      <c r="H252" s="19"/>
      <c r="I252" s="19"/>
      <c r="J252" s="19"/>
      <c r="K252" s="20"/>
    </row>
    <row r="253" ht="15.75" customHeight="1">
      <c r="H253" s="19"/>
      <c r="I253" s="19"/>
      <c r="J253" s="19"/>
      <c r="K253" s="20"/>
    </row>
    <row r="254" ht="15.75" customHeight="1">
      <c r="H254" s="19"/>
      <c r="I254" s="19"/>
      <c r="J254" s="19"/>
      <c r="K254" s="20"/>
    </row>
    <row r="255" ht="15.75" customHeight="1">
      <c r="H255" s="19"/>
      <c r="I255" s="19"/>
      <c r="J255" s="19"/>
      <c r="K255" s="20"/>
    </row>
    <row r="256" ht="15.75" customHeight="1">
      <c r="H256" s="19"/>
      <c r="I256" s="19"/>
      <c r="J256" s="19"/>
      <c r="K256" s="20"/>
    </row>
    <row r="257" ht="15.75" customHeight="1">
      <c r="H257" s="19"/>
      <c r="I257" s="19"/>
      <c r="J257" s="19"/>
      <c r="K257" s="20"/>
    </row>
    <row r="258" ht="15.75" customHeight="1">
      <c r="H258" s="19"/>
      <c r="I258" s="19"/>
      <c r="J258" s="19"/>
      <c r="K258" s="20"/>
    </row>
    <row r="259" ht="15.75" customHeight="1">
      <c r="H259" s="19"/>
      <c r="I259" s="19"/>
      <c r="J259" s="19"/>
      <c r="K259" s="20"/>
    </row>
    <row r="260" ht="15.75" customHeight="1">
      <c r="H260" s="19"/>
      <c r="I260" s="19"/>
      <c r="J260" s="19"/>
      <c r="K260" s="20"/>
    </row>
    <row r="261" ht="15.75" customHeight="1">
      <c r="H261" s="19"/>
      <c r="I261" s="19"/>
      <c r="J261" s="19"/>
      <c r="K261" s="20"/>
    </row>
    <row r="262" ht="15.75" customHeight="1">
      <c r="H262" s="19"/>
      <c r="I262" s="19"/>
      <c r="J262" s="19"/>
      <c r="K262" s="20"/>
    </row>
    <row r="263" ht="15.75" customHeight="1">
      <c r="H263" s="19"/>
      <c r="I263" s="19"/>
      <c r="J263" s="19"/>
      <c r="K263" s="20"/>
    </row>
    <row r="264" ht="15.75" customHeight="1">
      <c r="H264" s="19"/>
      <c r="I264" s="19"/>
      <c r="J264" s="19"/>
      <c r="K264" s="20"/>
    </row>
    <row r="265" ht="15.75" customHeight="1">
      <c r="H265" s="19"/>
      <c r="I265" s="19"/>
      <c r="J265" s="19"/>
      <c r="K265" s="20"/>
    </row>
    <row r="266" ht="15.75" customHeight="1">
      <c r="H266" s="19"/>
      <c r="I266" s="19"/>
      <c r="J266" s="19"/>
      <c r="K266" s="20"/>
    </row>
    <row r="267" ht="15.75" customHeight="1">
      <c r="H267" s="19"/>
      <c r="I267" s="19"/>
      <c r="J267" s="19"/>
      <c r="K267" s="20"/>
    </row>
    <row r="268" ht="15.75" customHeight="1">
      <c r="H268" s="19"/>
      <c r="I268" s="19"/>
      <c r="J268" s="19"/>
      <c r="K268" s="20"/>
    </row>
    <row r="269" ht="15.75" customHeight="1">
      <c r="H269" s="19"/>
      <c r="I269" s="19"/>
      <c r="J269" s="19"/>
      <c r="K269" s="20"/>
    </row>
    <row r="270" ht="15.75" customHeight="1">
      <c r="H270" s="19"/>
      <c r="I270" s="19"/>
      <c r="J270" s="19"/>
      <c r="K270" s="20"/>
    </row>
    <row r="271" ht="15.75" customHeight="1">
      <c r="H271" s="19"/>
      <c r="I271" s="19"/>
      <c r="J271" s="19"/>
      <c r="K271" s="20"/>
    </row>
    <row r="272" ht="15.75" customHeight="1">
      <c r="H272" s="19"/>
      <c r="I272" s="19"/>
      <c r="J272" s="19"/>
      <c r="K272" s="20"/>
    </row>
    <row r="273" ht="15.75" customHeight="1">
      <c r="H273" s="19"/>
      <c r="I273" s="19"/>
      <c r="J273" s="19"/>
      <c r="K273" s="20"/>
    </row>
    <row r="274" ht="15.75" customHeight="1">
      <c r="H274" s="19"/>
      <c r="I274" s="19"/>
      <c r="J274" s="19"/>
      <c r="K274" s="20"/>
    </row>
    <row r="275" ht="15.75" customHeight="1">
      <c r="H275" s="19"/>
      <c r="I275" s="19"/>
      <c r="J275" s="19"/>
      <c r="K275" s="20"/>
    </row>
    <row r="276" ht="15.75" customHeight="1">
      <c r="H276" s="19"/>
      <c r="I276" s="19"/>
      <c r="J276" s="19"/>
      <c r="K276" s="20"/>
    </row>
    <row r="277" ht="15.75" customHeight="1">
      <c r="H277" s="19"/>
      <c r="I277" s="19"/>
      <c r="J277" s="19"/>
      <c r="K277" s="20"/>
    </row>
    <row r="278" ht="15.75" customHeight="1">
      <c r="H278" s="19"/>
      <c r="I278" s="19"/>
      <c r="J278" s="19"/>
      <c r="K278" s="20"/>
    </row>
    <row r="279" ht="15.75" customHeight="1">
      <c r="H279" s="19"/>
      <c r="I279" s="19"/>
      <c r="J279" s="19"/>
      <c r="K279" s="20"/>
    </row>
    <row r="280" ht="15.75" customHeight="1">
      <c r="H280" s="19"/>
      <c r="I280" s="19"/>
      <c r="J280" s="19"/>
      <c r="K280" s="20"/>
    </row>
    <row r="281" ht="15.75" customHeight="1">
      <c r="H281" s="19"/>
      <c r="I281" s="19"/>
      <c r="J281" s="19"/>
      <c r="K281" s="20"/>
    </row>
    <row r="282" ht="15.75" customHeight="1">
      <c r="H282" s="19"/>
      <c r="I282" s="19"/>
      <c r="J282" s="19"/>
      <c r="K282" s="20"/>
    </row>
    <row r="283" ht="15.75" customHeight="1">
      <c r="H283" s="19"/>
      <c r="I283" s="19"/>
      <c r="J283" s="19"/>
      <c r="K283" s="20"/>
    </row>
    <row r="284" ht="15.75" customHeight="1">
      <c r="H284" s="19"/>
      <c r="I284" s="19"/>
      <c r="J284" s="19"/>
      <c r="K284" s="20"/>
    </row>
    <row r="285" ht="15.75" customHeight="1">
      <c r="H285" s="19"/>
      <c r="I285" s="19"/>
      <c r="J285" s="19"/>
      <c r="K285" s="20"/>
    </row>
    <row r="286" ht="15.75" customHeight="1">
      <c r="H286" s="19"/>
      <c r="I286" s="19"/>
      <c r="J286" s="19"/>
      <c r="K286" s="20"/>
    </row>
    <row r="287" ht="15.75" customHeight="1">
      <c r="H287" s="19"/>
      <c r="I287" s="19"/>
      <c r="J287" s="19"/>
      <c r="K287" s="20"/>
    </row>
    <row r="288" ht="15.75" customHeight="1">
      <c r="H288" s="19"/>
      <c r="I288" s="19"/>
      <c r="J288" s="19"/>
      <c r="K288" s="20"/>
    </row>
    <row r="289" ht="15.75" customHeight="1">
      <c r="H289" s="19"/>
      <c r="I289" s="19"/>
      <c r="J289" s="19"/>
      <c r="K289" s="20"/>
    </row>
    <row r="290" ht="15.75" customHeight="1">
      <c r="H290" s="19"/>
      <c r="I290" s="19"/>
      <c r="J290" s="19"/>
      <c r="K290" s="20"/>
    </row>
    <row r="291" ht="15.75" customHeight="1">
      <c r="H291" s="19"/>
      <c r="I291" s="19"/>
      <c r="J291" s="19"/>
      <c r="K291" s="20"/>
    </row>
    <row r="292" ht="15.75" customHeight="1">
      <c r="H292" s="19"/>
      <c r="I292" s="19"/>
      <c r="J292" s="19"/>
      <c r="K292" s="20"/>
    </row>
    <row r="293" ht="15.75" customHeight="1">
      <c r="H293" s="19"/>
      <c r="I293" s="19"/>
      <c r="J293" s="19"/>
      <c r="K293" s="20"/>
    </row>
    <row r="294" ht="15.75" customHeight="1">
      <c r="H294" s="19"/>
      <c r="I294" s="19"/>
      <c r="J294" s="19"/>
      <c r="K294" s="20"/>
    </row>
    <row r="295" ht="15.75" customHeight="1">
      <c r="H295" s="19"/>
      <c r="I295" s="19"/>
      <c r="J295" s="19"/>
      <c r="K295" s="20"/>
    </row>
    <row r="296" ht="15.75" customHeight="1">
      <c r="H296" s="19"/>
      <c r="I296" s="19"/>
      <c r="J296" s="19"/>
      <c r="K296" s="20"/>
    </row>
    <row r="297" ht="15.75" customHeight="1">
      <c r="H297" s="19"/>
      <c r="I297" s="19"/>
      <c r="J297" s="19"/>
      <c r="K297" s="20"/>
    </row>
    <row r="298" ht="15.75" customHeight="1">
      <c r="H298" s="19"/>
      <c r="I298" s="19"/>
      <c r="J298" s="19"/>
      <c r="K298" s="20"/>
    </row>
    <row r="299" ht="15.75" customHeight="1">
      <c r="H299" s="19"/>
      <c r="I299" s="19"/>
      <c r="J299" s="19"/>
      <c r="K299" s="20"/>
    </row>
    <row r="300" ht="15.75" customHeight="1">
      <c r="H300" s="19"/>
      <c r="I300" s="19"/>
      <c r="J300" s="19"/>
      <c r="K300" s="20"/>
    </row>
    <row r="301" ht="15.75" customHeight="1">
      <c r="H301" s="19"/>
      <c r="I301" s="19"/>
      <c r="J301" s="19"/>
      <c r="K301" s="20"/>
    </row>
    <row r="302" ht="15.75" customHeight="1">
      <c r="H302" s="19"/>
      <c r="I302" s="19"/>
      <c r="J302" s="19"/>
      <c r="K302" s="20"/>
    </row>
    <row r="303" ht="15.75" customHeight="1">
      <c r="H303" s="19"/>
      <c r="I303" s="19"/>
      <c r="J303" s="19"/>
      <c r="K303" s="20"/>
    </row>
    <row r="304" ht="15.75" customHeight="1">
      <c r="H304" s="19"/>
      <c r="I304" s="19"/>
      <c r="J304" s="19"/>
      <c r="K304" s="20"/>
    </row>
    <row r="305" ht="15.75" customHeight="1">
      <c r="H305" s="19"/>
      <c r="I305" s="19"/>
      <c r="J305" s="19"/>
      <c r="K305" s="20"/>
    </row>
    <row r="306" ht="15.75" customHeight="1">
      <c r="H306" s="19"/>
      <c r="I306" s="19"/>
      <c r="J306" s="19"/>
      <c r="K306" s="20"/>
    </row>
    <row r="307" ht="15.75" customHeight="1">
      <c r="H307" s="19"/>
      <c r="I307" s="19"/>
      <c r="J307" s="19"/>
      <c r="K307" s="20"/>
    </row>
    <row r="308" ht="15.75" customHeight="1">
      <c r="H308" s="19"/>
      <c r="I308" s="19"/>
      <c r="J308" s="19"/>
      <c r="K308" s="20"/>
    </row>
    <row r="309" ht="15.75" customHeight="1">
      <c r="H309" s="19"/>
      <c r="I309" s="19"/>
      <c r="J309" s="19"/>
      <c r="K309" s="20"/>
    </row>
    <row r="310" ht="15.75" customHeight="1">
      <c r="H310" s="19"/>
      <c r="I310" s="19"/>
      <c r="J310" s="19"/>
      <c r="K310" s="20"/>
    </row>
    <row r="311" ht="15.75" customHeight="1">
      <c r="H311" s="19"/>
      <c r="I311" s="19"/>
      <c r="J311" s="19"/>
      <c r="K311" s="20"/>
    </row>
    <row r="312" ht="15.75" customHeight="1">
      <c r="H312" s="19"/>
      <c r="I312" s="19"/>
      <c r="J312" s="19"/>
      <c r="K312" s="20"/>
    </row>
    <row r="313" ht="15.75" customHeight="1">
      <c r="H313" s="19"/>
      <c r="I313" s="19"/>
      <c r="J313" s="19"/>
      <c r="K313" s="20"/>
    </row>
    <row r="314" ht="15.75" customHeight="1">
      <c r="H314" s="19"/>
      <c r="I314" s="19"/>
      <c r="J314" s="19"/>
      <c r="K314" s="20"/>
    </row>
    <row r="315" ht="15.75" customHeight="1">
      <c r="H315" s="19"/>
      <c r="I315" s="19"/>
      <c r="J315" s="19"/>
      <c r="K315" s="20"/>
    </row>
    <row r="316" ht="15.75" customHeight="1">
      <c r="H316" s="19"/>
      <c r="I316" s="19"/>
      <c r="J316" s="19"/>
      <c r="K316" s="20"/>
    </row>
    <row r="317" ht="15.75" customHeight="1">
      <c r="H317" s="19"/>
      <c r="I317" s="19"/>
      <c r="J317" s="19"/>
      <c r="K317" s="20"/>
    </row>
    <row r="318" ht="15.75" customHeight="1">
      <c r="H318" s="19"/>
      <c r="I318" s="19"/>
      <c r="J318" s="19"/>
      <c r="K318" s="20"/>
    </row>
    <row r="319" ht="15.75" customHeight="1">
      <c r="H319" s="19"/>
      <c r="I319" s="19"/>
      <c r="J319" s="19"/>
      <c r="K319" s="20"/>
    </row>
    <row r="320" ht="15.75" customHeight="1">
      <c r="H320" s="19"/>
      <c r="I320" s="19"/>
      <c r="J320" s="19"/>
      <c r="K320" s="20"/>
    </row>
    <row r="321" ht="15.75" customHeight="1">
      <c r="H321" s="19"/>
      <c r="I321" s="19"/>
      <c r="J321" s="19"/>
      <c r="K321" s="20"/>
    </row>
    <row r="322" ht="15.75" customHeight="1">
      <c r="H322" s="19"/>
      <c r="I322" s="19"/>
      <c r="J322" s="19"/>
      <c r="K322" s="20"/>
    </row>
    <row r="323" ht="15.75" customHeight="1">
      <c r="H323" s="19"/>
      <c r="I323" s="19"/>
      <c r="J323" s="19"/>
      <c r="K323" s="20"/>
    </row>
    <row r="324" ht="15.75" customHeight="1">
      <c r="H324" s="19"/>
      <c r="I324" s="19"/>
      <c r="J324" s="19"/>
      <c r="K324" s="20"/>
    </row>
    <row r="325" ht="15.75" customHeight="1">
      <c r="H325" s="19"/>
      <c r="I325" s="19"/>
      <c r="J325" s="19"/>
      <c r="K325" s="20"/>
    </row>
    <row r="326" ht="15.75" customHeight="1">
      <c r="H326" s="19"/>
      <c r="I326" s="19"/>
      <c r="J326" s="19"/>
      <c r="K326" s="20"/>
    </row>
    <row r="327" ht="15.75" customHeight="1">
      <c r="H327" s="19"/>
      <c r="I327" s="19"/>
      <c r="J327" s="19"/>
      <c r="K327" s="20"/>
    </row>
    <row r="328" ht="15.75" customHeight="1">
      <c r="H328" s="19"/>
      <c r="I328" s="19"/>
      <c r="J328" s="19"/>
      <c r="K328" s="20"/>
    </row>
    <row r="329" ht="15.75" customHeight="1">
      <c r="H329" s="19"/>
      <c r="I329" s="19"/>
      <c r="J329" s="19"/>
      <c r="K329" s="20"/>
    </row>
    <row r="330" ht="15.75" customHeight="1">
      <c r="H330" s="19"/>
      <c r="I330" s="19"/>
      <c r="J330" s="19"/>
      <c r="K330" s="20"/>
    </row>
    <row r="331" ht="15.75" customHeight="1">
      <c r="H331" s="19"/>
      <c r="I331" s="19"/>
      <c r="J331" s="19"/>
      <c r="K331" s="20"/>
    </row>
    <row r="332" ht="15.75" customHeight="1">
      <c r="H332" s="19"/>
      <c r="I332" s="19"/>
      <c r="J332" s="19"/>
      <c r="K332" s="20"/>
    </row>
    <row r="333" ht="15.75" customHeight="1">
      <c r="H333" s="19"/>
      <c r="I333" s="19"/>
      <c r="J333" s="19"/>
      <c r="K333" s="20"/>
    </row>
    <row r="334" ht="15.75" customHeight="1">
      <c r="H334" s="19"/>
      <c r="I334" s="19"/>
      <c r="J334" s="19"/>
      <c r="K334" s="20"/>
    </row>
    <row r="335" ht="15.75" customHeight="1">
      <c r="H335" s="19"/>
      <c r="I335" s="19"/>
      <c r="J335" s="19"/>
      <c r="K335" s="20"/>
    </row>
    <row r="336" ht="15.75" customHeight="1">
      <c r="H336" s="19"/>
      <c r="I336" s="19"/>
      <c r="J336" s="19"/>
      <c r="K336" s="20"/>
    </row>
    <row r="337" ht="15.75" customHeight="1">
      <c r="H337" s="19"/>
      <c r="I337" s="19"/>
      <c r="J337" s="19"/>
      <c r="K337" s="20"/>
    </row>
    <row r="338" ht="15.75" customHeight="1">
      <c r="H338" s="19"/>
      <c r="I338" s="19"/>
      <c r="J338" s="19"/>
      <c r="K338" s="20"/>
    </row>
    <row r="339" ht="15.75" customHeight="1">
      <c r="H339" s="19"/>
      <c r="I339" s="19"/>
      <c r="J339" s="19"/>
      <c r="K339" s="20"/>
    </row>
    <row r="340" ht="15.75" customHeight="1">
      <c r="H340" s="19"/>
      <c r="I340" s="19"/>
      <c r="J340" s="19"/>
      <c r="K340" s="20"/>
    </row>
    <row r="341" ht="15.75" customHeight="1">
      <c r="H341" s="19"/>
      <c r="I341" s="19"/>
      <c r="J341" s="19"/>
      <c r="K341" s="20"/>
    </row>
    <row r="342" ht="15.75" customHeight="1">
      <c r="H342" s="19"/>
      <c r="I342" s="19"/>
      <c r="J342" s="19"/>
      <c r="K342" s="20"/>
    </row>
    <row r="343" ht="15.75" customHeight="1">
      <c r="H343" s="19"/>
      <c r="I343" s="19"/>
      <c r="J343" s="19"/>
      <c r="K343" s="20"/>
    </row>
    <row r="344" ht="15.75" customHeight="1">
      <c r="H344" s="19"/>
      <c r="I344" s="19"/>
      <c r="J344" s="19"/>
      <c r="K344" s="20"/>
    </row>
    <row r="345" ht="15.75" customHeight="1">
      <c r="H345" s="19"/>
      <c r="I345" s="19"/>
      <c r="J345" s="19"/>
      <c r="K345" s="20"/>
    </row>
    <row r="346" ht="15.75" customHeight="1">
      <c r="H346" s="19"/>
      <c r="I346" s="19"/>
      <c r="J346" s="19"/>
      <c r="K346" s="20"/>
    </row>
    <row r="347" ht="15.75" customHeight="1">
      <c r="H347" s="19"/>
      <c r="I347" s="19"/>
      <c r="J347" s="19"/>
      <c r="K347" s="20"/>
    </row>
    <row r="348" ht="15.75" customHeight="1">
      <c r="H348" s="19"/>
      <c r="I348" s="19"/>
      <c r="J348" s="19"/>
      <c r="K348" s="20"/>
    </row>
    <row r="349" ht="15.75" customHeight="1">
      <c r="H349" s="19"/>
      <c r="I349" s="19"/>
      <c r="J349" s="19"/>
      <c r="K349" s="20"/>
    </row>
    <row r="350" ht="15.75" customHeight="1">
      <c r="H350" s="19"/>
      <c r="I350" s="19"/>
      <c r="J350" s="19"/>
      <c r="K350" s="20"/>
    </row>
    <row r="351" ht="15.75" customHeight="1">
      <c r="H351" s="19"/>
      <c r="I351" s="19"/>
      <c r="J351" s="19"/>
      <c r="K351" s="20"/>
    </row>
    <row r="352" ht="15.75" customHeight="1">
      <c r="H352" s="19"/>
      <c r="I352" s="19"/>
      <c r="J352" s="19"/>
      <c r="K352" s="20"/>
    </row>
    <row r="353" ht="15.75" customHeight="1">
      <c r="H353" s="19"/>
      <c r="I353" s="19"/>
      <c r="J353" s="19"/>
      <c r="K353" s="20"/>
    </row>
    <row r="354" ht="15.75" customHeight="1">
      <c r="H354" s="19"/>
      <c r="I354" s="19"/>
      <c r="J354" s="19"/>
      <c r="K354" s="20"/>
    </row>
    <row r="355" ht="15.75" customHeight="1">
      <c r="H355" s="19"/>
      <c r="I355" s="19"/>
      <c r="J355" s="19"/>
      <c r="K355" s="20"/>
    </row>
    <row r="356" ht="15.75" customHeight="1">
      <c r="H356" s="19"/>
      <c r="I356" s="19"/>
      <c r="J356" s="19"/>
      <c r="K356" s="20"/>
    </row>
    <row r="357" ht="15.75" customHeight="1">
      <c r="H357" s="19"/>
      <c r="I357" s="19"/>
      <c r="J357" s="19"/>
      <c r="K357" s="20"/>
    </row>
    <row r="358" ht="15.75" customHeight="1">
      <c r="H358" s="19"/>
      <c r="I358" s="19"/>
      <c r="J358" s="19"/>
      <c r="K358" s="20"/>
    </row>
    <row r="359" ht="15.75" customHeight="1">
      <c r="H359" s="19"/>
      <c r="I359" s="19"/>
      <c r="J359" s="19"/>
      <c r="K359" s="20"/>
    </row>
    <row r="360" ht="15.75" customHeight="1">
      <c r="H360" s="19"/>
      <c r="I360" s="19"/>
      <c r="J360" s="19"/>
      <c r="K360" s="20"/>
    </row>
    <row r="361" ht="15.75" customHeight="1">
      <c r="H361" s="19"/>
      <c r="I361" s="19"/>
      <c r="J361" s="19"/>
      <c r="K361" s="20"/>
    </row>
    <row r="362" ht="15.75" customHeight="1">
      <c r="H362" s="19"/>
      <c r="I362" s="19"/>
      <c r="J362" s="19"/>
      <c r="K362" s="20"/>
    </row>
    <row r="363" ht="15.75" customHeight="1">
      <c r="H363" s="19"/>
      <c r="I363" s="19"/>
      <c r="J363" s="19"/>
      <c r="K363" s="20"/>
    </row>
    <row r="364" ht="15.75" customHeight="1">
      <c r="H364" s="19"/>
      <c r="I364" s="19"/>
      <c r="J364" s="19"/>
      <c r="K364" s="20"/>
    </row>
    <row r="365" ht="15.75" customHeight="1">
      <c r="H365" s="19"/>
      <c r="I365" s="19"/>
      <c r="J365" s="19"/>
      <c r="K365" s="20"/>
    </row>
    <row r="366" ht="15.75" customHeight="1">
      <c r="H366" s="19"/>
      <c r="I366" s="19"/>
      <c r="J366" s="19"/>
      <c r="K366" s="20"/>
    </row>
    <row r="367" ht="15.75" customHeight="1">
      <c r="H367" s="19"/>
      <c r="I367" s="19"/>
      <c r="J367" s="19"/>
      <c r="K367" s="20"/>
    </row>
    <row r="368" ht="15.75" customHeight="1">
      <c r="H368" s="19"/>
      <c r="I368" s="19"/>
      <c r="J368" s="19"/>
      <c r="K368" s="20"/>
    </row>
    <row r="369" ht="15.75" customHeight="1">
      <c r="H369" s="19"/>
      <c r="I369" s="19"/>
      <c r="J369" s="19"/>
      <c r="K369" s="20"/>
    </row>
    <row r="370" ht="15.75" customHeight="1">
      <c r="H370" s="19"/>
      <c r="I370" s="19"/>
      <c r="J370" s="19"/>
      <c r="K370" s="20"/>
    </row>
    <row r="371" ht="15.75" customHeight="1">
      <c r="H371" s="19"/>
      <c r="I371" s="19"/>
      <c r="J371" s="19"/>
      <c r="K371" s="20"/>
    </row>
    <row r="372" ht="15.75" customHeight="1">
      <c r="H372" s="19"/>
      <c r="I372" s="19"/>
      <c r="J372" s="19"/>
      <c r="K372" s="20"/>
    </row>
    <row r="373" ht="15.75" customHeight="1">
      <c r="H373" s="19"/>
      <c r="I373" s="19"/>
      <c r="J373" s="19"/>
      <c r="K373" s="20"/>
    </row>
    <row r="374" ht="15.75" customHeight="1">
      <c r="H374" s="19"/>
      <c r="I374" s="19"/>
      <c r="J374" s="19"/>
      <c r="K374" s="20"/>
    </row>
    <row r="375" ht="15.75" customHeight="1">
      <c r="H375" s="19"/>
      <c r="I375" s="19"/>
      <c r="J375" s="19"/>
      <c r="K375" s="20"/>
    </row>
    <row r="376" ht="15.75" customHeight="1">
      <c r="H376" s="19"/>
      <c r="I376" s="19"/>
      <c r="J376" s="19"/>
      <c r="K376" s="20"/>
    </row>
    <row r="377" ht="15.75" customHeight="1">
      <c r="H377" s="19"/>
      <c r="I377" s="19"/>
      <c r="J377" s="19"/>
      <c r="K377" s="20"/>
    </row>
    <row r="378" ht="15.75" customHeight="1">
      <c r="H378" s="19"/>
      <c r="I378" s="19"/>
      <c r="J378" s="19"/>
      <c r="K378" s="20"/>
    </row>
    <row r="379" ht="15.75" customHeight="1">
      <c r="H379" s="19"/>
      <c r="I379" s="19"/>
      <c r="J379" s="19"/>
      <c r="K379" s="20"/>
    </row>
    <row r="380" ht="15.75" customHeight="1">
      <c r="H380" s="19"/>
      <c r="I380" s="19"/>
      <c r="J380" s="19"/>
      <c r="K380" s="20"/>
    </row>
    <row r="381" ht="15.75" customHeight="1">
      <c r="H381" s="19"/>
      <c r="I381" s="19"/>
      <c r="J381" s="19"/>
      <c r="K381" s="20"/>
    </row>
    <row r="382" ht="15.75" customHeight="1">
      <c r="H382" s="19"/>
      <c r="I382" s="19"/>
      <c r="J382" s="19"/>
      <c r="K382" s="20"/>
    </row>
    <row r="383" ht="15.75" customHeight="1">
      <c r="H383" s="19"/>
      <c r="I383" s="19"/>
      <c r="J383" s="19"/>
      <c r="K383" s="20"/>
    </row>
    <row r="384" ht="15.75" customHeight="1">
      <c r="H384" s="19"/>
      <c r="I384" s="19"/>
      <c r="J384" s="19"/>
      <c r="K384" s="20"/>
    </row>
    <row r="385" ht="15.75" customHeight="1">
      <c r="H385" s="19"/>
      <c r="I385" s="19"/>
      <c r="J385" s="19"/>
      <c r="K385" s="20"/>
    </row>
    <row r="386" ht="15.75" customHeight="1">
      <c r="H386" s="19"/>
      <c r="I386" s="19"/>
      <c r="J386" s="19"/>
      <c r="K386" s="20"/>
    </row>
    <row r="387" ht="15.75" customHeight="1">
      <c r="H387" s="19"/>
      <c r="I387" s="19"/>
      <c r="J387" s="19"/>
      <c r="K387" s="20"/>
    </row>
    <row r="388" ht="15.75" customHeight="1">
      <c r="H388" s="19"/>
      <c r="I388" s="19"/>
      <c r="J388" s="19"/>
      <c r="K388" s="20"/>
    </row>
    <row r="389" ht="15.75" customHeight="1">
      <c r="H389" s="19"/>
      <c r="I389" s="19"/>
      <c r="J389" s="19"/>
      <c r="K389" s="20"/>
    </row>
    <row r="390" ht="15.75" customHeight="1">
      <c r="H390" s="19"/>
      <c r="I390" s="19"/>
      <c r="J390" s="19"/>
      <c r="K390" s="20"/>
    </row>
    <row r="391" ht="15.75" customHeight="1">
      <c r="H391" s="19"/>
      <c r="I391" s="19"/>
      <c r="J391" s="19"/>
      <c r="K391" s="20"/>
    </row>
    <row r="392" ht="15.75" customHeight="1">
      <c r="H392" s="19"/>
      <c r="I392" s="19"/>
      <c r="J392" s="19"/>
      <c r="K392" s="20"/>
    </row>
    <row r="393" ht="15.75" customHeight="1">
      <c r="H393" s="19"/>
      <c r="I393" s="19"/>
      <c r="J393" s="19"/>
      <c r="K393" s="20"/>
    </row>
    <row r="394" ht="15.75" customHeight="1">
      <c r="H394" s="19"/>
      <c r="I394" s="19"/>
      <c r="J394" s="19"/>
      <c r="K394" s="20"/>
    </row>
    <row r="395" ht="15.75" customHeight="1">
      <c r="H395" s="19"/>
      <c r="I395" s="19"/>
      <c r="J395" s="19"/>
      <c r="K395" s="20"/>
    </row>
    <row r="396" ht="15.75" customHeight="1">
      <c r="H396" s="19"/>
      <c r="I396" s="19"/>
      <c r="J396" s="19"/>
      <c r="K396" s="20"/>
    </row>
    <row r="397" ht="15.75" customHeight="1">
      <c r="H397" s="19"/>
      <c r="I397" s="19"/>
      <c r="J397" s="19"/>
      <c r="K397" s="20"/>
    </row>
    <row r="398" ht="15.75" customHeight="1">
      <c r="H398" s="19"/>
      <c r="I398" s="19"/>
      <c r="J398" s="19"/>
      <c r="K398" s="20"/>
    </row>
    <row r="399" ht="15.75" customHeight="1">
      <c r="H399" s="19"/>
      <c r="I399" s="19"/>
      <c r="J399" s="19"/>
      <c r="K399" s="20"/>
    </row>
    <row r="400" ht="15.75" customHeight="1">
      <c r="H400" s="19"/>
      <c r="I400" s="19"/>
      <c r="J400" s="19"/>
      <c r="K400" s="20"/>
    </row>
    <row r="401" ht="15.75" customHeight="1">
      <c r="H401" s="19"/>
      <c r="I401" s="19"/>
      <c r="J401" s="19"/>
      <c r="K401" s="20"/>
    </row>
    <row r="402" ht="15.75" customHeight="1">
      <c r="H402" s="19"/>
      <c r="I402" s="19"/>
      <c r="J402" s="19"/>
      <c r="K402" s="20"/>
    </row>
    <row r="403" ht="15.75" customHeight="1">
      <c r="H403" s="19"/>
      <c r="I403" s="19"/>
      <c r="J403" s="19"/>
      <c r="K403" s="20"/>
    </row>
    <row r="404" ht="15.75" customHeight="1">
      <c r="H404" s="19"/>
      <c r="I404" s="19"/>
      <c r="J404" s="19"/>
      <c r="K404" s="20"/>
    </row>
    <row r="405" ht="15.75" customHeight="1">
      <c r="H405" s="19"/>
      <c r="I405" s="19"/>
      <c r="J405" s="19"/>
      <c r="K405" s="20"/>
    </row>
    <row r="406" ht="15.75" customHeight="1">
      <c r="H406" s="19"/>
      <c r="I406" s="19"/>
      <c r="J406" s="19"/>
      <c r="K406" s="20"/>
    </row>
    <row r="407" ht="15.75" customHeight="1">
      <c r="H407" s="19"/>
      <c r="I407" s="19"/>
      <c r="J407" s="19"/>
      <c r="K407" s="20"/>
    </row>
    <row r="408" ht="15.75" customHeight="1">
      <c r="H408" s="19"/>
      <c r="I408" s="19"/>
      <c r="J408" s="19"/>
      <c r="K408" s="20"/>
    </row>
    <row r="409" ht="15.75" customHeight="1">
      <c r="H409" s="19"/>
      <c r="I409" s="19"/>
      <c r="J409" s="19"/>
      <c r="K409" s="20"/>
    </row>
    <row r="410" ht="15.75" customHeight="1">
      <c r="H410" s="19"/>
      <c r="I410" s="19"/>
      <c r="J410" s="19"/>
      <c r="K410" s="20"/>
    </row>
    <row r="411" ht="15.75" customHeight="1">
      <c r="H411" s="19"/>
      <c r="I411" s="19"/>
      <c r="J411" s="19"/>
      <c r="K411" s="20"/>
    </row>
    <row r="412" ht="15.75" customHeight="1">
      <c r="H412" s="19"/>
      <c r="I412" s="19"/>
      <c r="J412" s="19"/>
      <c r="K412" s="20"/>
    </row>
    <row r="413" ht="15.75" customHeight="1">
      <c r="H413" s="19"/>
      <c r="I413" s="19"/>
      <c r="J413" s="19"/>
      <c r="K413" s="20"/>
    </row>
    <row r="414" ht="15.75" customHeight="1">
      <c r="H414" s="19"/>
      <c r="I414" s="19"/>
      <c r="J414" s="19"/>
      <c r="K414" s="20"/>
    </row>
    <row r="415" ht="15.75" customHeight="1">
      <c r="H415" s="19"/>
      <c r="I415" s="19"/>
      <c r="J415" s="19"/>
      <c r="K415" s="20"/>
    </row>
    <row r="416" ht="15.75" customHeight="1">
      <c r="H416" s="19"/>
      <c r="I416" s="19"/>
      <c r="J416" s="19"/>
      <c r="K416" s="20"/>
    </row>
    <row r="417" ht="15.75" customHeight="1">
      <c r="H417" s="19"/>
      <c r="I417" s="19"/>
      <c r="J417" s="19"/>
      <c r="K417" s="20"/>
    </row>
    <row r="418" ht="15.75" customHeight="1">
      <c r="H418" s="19"/>
      <c r="I418" s="19"/>
      <c r="J418" s="19"/>
      <c r="K418" s="20"/>
    </row>
    <row r="419" ht="15.75" customHeight="1">
      <c r="H419" s="19"/>
      <c r="I419" s="19"/>
      <c r="J419" s="19"/>
      <c r="K419" s="20"/>
    </row>
    <row r="420" ht="15.75" customHeight="1">
      <c r="H420" s="19"/>
      <c r="I420" s="19"/>
      <c r="J420" s="19"/>
      <c r="K420" s="20"/>
    </row>
    <row r="421" ht="15.75" customHeight="1">
      <c r="H421" s="19"/>
      <c r="I421" s="19"/>
      <c r="J421" s="19"/>
      <c r="K421" s="20"/>
    </row>
    <row r="422" ht="15.75" customHeight="1">
      <c r="H422" s="19"/>
      <c r="I422" s="19"/>
      <c r="J422" s="19"/>
      <c r="K422" s="20"/>
    </row>
    <row r="423" ht="15.75" customHeight="1">
      <c r="H423" s="19"/>
      <c r="I423" s="19"/>
      <c r="J423" s="19"/>
      <c r="K423" s="20"/>
    </row>
    <row r="424" ht="15.75" customHeight="1">
      <c r="H424" s="19"/>
      <c r="I424" s="19"/>
      <c r="J424" s="19"/>
      <c r="K424" s="20"/>
    </row>
    <row r="425" ht="15.75" customHeight="1">
      <c r="H425" s="19"/>
      <c r="I425" s="19"/>
      <c r="J425" s="19"/>
      <c r="K425" s="20"/>
    </row>
    <row r="426" ht="15.75" customHeight="1">
      <c r="H426" s="19"/>
      <c r="I426" s="19"/>
      <c r="J426" s="19"/>
      <c r="K426" s="20"/>
    </row>
    <row r="427" ht="15.75" customHeight="1">
      <c r="H427" s="19"/>
      <c r="I427" s="19"/>
      <c r="J427" s="19"/>
      <c r="K427" s="20"/>
    </row>
    <row r="428" ht="15.75" customHeight="1">
      <c r="H428" s="19"/>
      <c r="I428" s="19"/>
      <c r="J428" s="19"/>
      <c r="K428" s="20"/>
    </row>
    <row r="429" ht="15.75" customHeight="1">
      <c r="H429" s="19"/>
      <c r="I429" s="19"/>
      <c r="J429" s="19"/>
      <c r="K429" s="20"/>
    </row>
    <row r="430" ht="15.75" customHeight="1">
      <c r="H430" s="19"/>
      <c r="I430" s="19"/>
      <c r="J430" s="19"/>
      <c r="K430" s="20"/>
    </row>
    <row r="431" ht="15.75" customHeight="1">
      <c r="H431" s="19"/>
      <c r="I431" s="19"/>
      <c r="J431" s="19"/>
      <c r="K431" s="20"/>
    </row>
    <row r="432" ht="15.75" customHeight="1">
      <c r="H432" s="19"/>
      <c r="I432" s="19"/>
      <c r="J432" s="19"/>
      <c r="K432" s="20"/>
    </row>
    <row r="433" ht="15.75" customHeight="1">
      <c r="H433" s="19"/>
      <c r="I433" s="19"/>
      <c r="J433" s="19"/>
      <c r="K433" s="20"/>
    </row>
    <row r="434" ht="15.75" customHeight="1">
      <c r="H434" s="19"/>
      <c r="I434" s="19"/>
      <c r="J434" s="19"/>
      <c r="K434" s="20"/>
    </row>
    <row r="435" ht="15.75" customHeight="1">
      <c r="H435" s="19"/>
      <c r="I435" s="19"/>
      <c r="J435" s="19"/>
      <c r="K435" s="20"/>
    </row>
    <row r="436" ht="15.75" customHeight="1">
      <c r="H436" s="19"/>
      <c r="I436" s="19"/>
      <c r="J436" s="19"/>
      <c r="K436" s="20"/>
    </row>
    <row r="437" ht="15.75" customHeight="1">
      <c r="H437" s="19"/>
      <c r="I437" s="19"/>
      <c r="J437" s="19"/>
      <c r="K437" s="20"/>
    </row>
    <row r="438" ht="15.75" customHeight="1">
      <c r="H438" s="19"/>
      <c r="I438" s="19"/>
      <c r="J438" s="19"/>
      <c r="K438" s="20"/>
    </row>
    <row r="439" ht="15.75" customHeight="1">
      <c r="H439" s="19"/>
      <c r="I439" s="19"/>
      <c r="J439" s="19"/>
      <c r="K439" s="20"/>
    </row>
    <row r="440" ht="15.75" customHeight="1">
      <c r="H440" s="19"/>
      <c r="I440" s="19"/>
      <c r="J440" s="19"/>
      <c r="K440" s="20"/>
    </row>
    <row r="441" ht="15.75" customHeight="1">
      <c r="H441" s="19"/>
      <c r="I441" s="19"/>
      <c r="J441" s="19"/>
      <c r="K441" s="20"/>
    </row>
    <row r="442" ht="15.75" customHeight="1">
      <c r="H442" s="19"/>
      <c r="I442" s="19"/>
      <c r="J442" s="19"/>
      <c r="K442" s="20"/>
    </row>
    <row r="443" ht="15.75" customHeight="1">
      <c r="H443" s="19"/>
      <c r="I443" s="19"/>
      <c r="J443" s="19"/>
      <c r="K443" s="20"/>
    </row>
    <row r="444" ht="15.75" customHeight="1">
      <c r="H444" s="19"/>
      <c r="I444" s="19"/>
      <c r="J444" s="19"/>
      <c r="K444" s="20"/>
    </row>
    <row r="445" ht="15.75" customHeight="1">
      <c r="H445" s="19"/>
      <c r="I445" s="19"/>
      <c r="J445" s="19"/>
      <c r="K445" s="20"/>
    </row>
    <row r="446" ht="15.75" customHeight="1">
      <c r="H446" s="19"/>
      <c r="I446" s="19"/>
      <c r="J446" s="19"/>
      <c r="K446" s="20"/>
    </row>
    <row r="447" ht="15.75" customHeight="1">
      <c r="H447" s="19"/>
      <c r="I447" s="19"/>
      <c r="J447" s="19"/>
      <c r="K447" s="20"/>
    </row>
    <row r="448" ht="15.75" customHeight="1">
      <c r="H448" s="19"/>
      <c r="I448" s="19"/>
      <c r="J448" s="19"/>
      <c r="K448" s="20"/>
    </row>
    <row r="449" ht="15.75" customHeight="1">
      <c r="H449" s="19"/>
      <c r="I449" s="19"/>
      <c r="J449" s="19"/>
      <c r="K449" s="20"/>
    </row>
    <row r="450" ht="15.75" customHeight="1">
      <c r="H450" s="19"/>
      <c r="I450" s="19"/>
      <c r="J450" s="19"/>
      <c r="K450" s="20"/>
    </row>
    <row r="451" ht="15.75" customHeight="1">
      <c r="H451" s="19"/>
      <c r="I451" s="19"/>
      <c r="J451" s="19"/>
      <c r="K451" s="20"/>
    </row>
    <row r="452" ht="15.75" customHeight="1">
      <c r="H452" s="19"/>
      <c r="I452" s="19"/>
      <c r="J452" s="19"/>
      <c r="K452" s="20"/>
    </row>
    <row r="453" ht="15.75" customHeight="1">
      <c r="H453" s="19"/>
      <c r="I453" s="19"/>
      <c r="J453" s="19"/>
      <c r="K453" s="20"/>
    </row>
    <row r="454" ht="15.75" customHeight="1">
      <c r="H454" s="19"/>
      <c r="I454" s="19"/>
      <c r="J454" s="19"/>
      <c r="K454" s="20"/>
    </row>
    <row r="455" ht="15.75" customHeight="1">
      <c r="H455" s="19"/>
      <c r="I455" s="19"/>
      <c r="J455" s="19"/>
      <c r="K455" s="20"/>
    </row>
    <row r="456" ht="15.75" customHeight="1">
      <c r="H456" s="19"/>
      <c r="I456" s="19"/>
      <c r="J456" s="19"/>
      <c r="K456" s="20"/>
    </row>
    <row r="457" ht="15.75" customHeight="1">
      <c r="H457" s="19"/>
      <c r="I457" s="19"/>
      <c r="J457" s="19"/>
      <c r="K457" s="20"/>
    </row>
    <row r="458" ht="15.75" customHeight="1">
      <c r="H458" s="19"/>
      <c r="I458" s="19"/>
      <c r="J458" s="19"/>
      <c r="K458" s="20"/>
    </row>
    <row r="459" ht="15.75" customHeight="1">
      <c r="H459" s="19"/>
      <c r="I459" s="19"/>
      <c r="J459" s="19"/>
      <c r="K459" s="20"/>
    </row>
    <row r="460" ht="15.75" customHeight="1">
      <c r="H460" s="19"/>
      <c r="I460" s="19"/>
      <c r="J460" s="19"/>
      <c r="K460" s="20"/>
    </row>
    <row r="461" ht="15.75" customHeight="1">
      <c r="H461" s="19"/>
      <c r="I461" s="19"/>
      <c r="J461" s="19"/>
      <c r="K461" s="20"/>
    </row>
    <row r="462" ht="15.75" customHeight="1">
      <c r="H462" s="19"/>
      <c r="I462" s="19"/>
      <c r="J462" s="19"/>
      <c r="K462" s="20"/>
    </row>
    <row r="463" ht="15.75" customHeight="1">
      <c r="H463" s="19"/>
      <c r="I463" s="19"/>
      <c r="J463" s="19"/>
      <c r="K463" s="20"/>
    </row>
    <row r="464" ht="15.75" customHeight="1">
      <c r="H464" s="19"/>
      <c r="I464" s="19"/>
      <c r="J464" s="19"/>
      <c r="K464" s="20"/>
    </row>
    <row r="465" ht="15.75" customHeight="1">
      <c r="H465" s="19"/>
      <c r="I465" s="19"/>
      <c r="J465" s="19"/>
      <c r="K465" s="20"/>
    </row>
    <row r="466" ht="15.75" customHeight="1">
      <c r="H466" s="19"/>
      <c r="I466" s="19"/>
      <c r="J466" s="19"/>
      <c r="K466" s="20"/>
    </row>
    <row r="467" ht="15.75" customHeight="1">
      <c r="H467" s="19"/>
      <c r="I467" s="19"/>
      <c r="J467" s="19"/>
      <c r="K467" s="20"/>
    </row>
    <row r="468" ht="15.75" customHeight="1">
      <c r="H468" s="19"/>
      <c r="I468" s="19"/>
      <c r="J468" s="19"/>
      <c r="K468" s="20"/>
    </row>
    <row r="469" ht="15.75" customHeight="1">
      <c r="H469" s="19"/>
      <c r="I469" s="19"/>
      <c r="J469" s="19"/>
      <c r="K469" s="20"/>
    </row>
    <row r="470" ht="15.75" customHeight="1">
      <c r="H470" s="19"/>
      <c r="I470" s="19"/>
      <c r="J470" s="19"/>
      <c r="K470" s="20"/>
    </row>
    <row r="471" ht="15.75" customHeight="1">
      <c r="H471" s="19"/>
      <c r="I471" s="19"/>
      <c r="J471" s="19"/>
      <c r="K471" s="20"/>
    </row>
    <row r="472" ht="15.75" customHeight="1">
      <c r="H472" s="19"/>
      <c r="I472" s="19"/>
      <c r="J472" s="19"/>
      <c r="K472" s="20"/>
    </row>
    <row r="473" ht="15.75" customHeight="1">
      <c r="H473" s="19"/>
      <c r="I473" s="19"/>
      <c r="J473" s="19"/>
      <c r="K473" s="20"/>
    </row>
    <row r="474" ht="15.75" customHeight="1">
      <c r="H474" s="19"/>
      <c r="I474" s="19"/>
      <c r="J474" s="19"/>
      <c r="K474" s="20"/>
    </row>
    <row r="475" ht="15.75" customHeight="1">
      <c r="H475" s="19"/>
      <c r="I475" s="19"/>
      <c r="J475" s="19"/>
      <c r="K475" s="20"/>
    </row>
    <row r="476" ht="15.75" customHeight="1">
      <c r="H476" s="19"/>
      <c r="I476" s="19"/>
      <c r="J476" s="19"/>
      <c r="K476" s="20"/>
    </row>
    <row r="477" ht="15.75" customHeight="1">
      <c r="H477" s="19"/>
      <c r="I477" s="19"/>
      <c r="J477" s="19"/>
      <c r="K477" s="20"/>
    </row>
    <row r="478" ht="15.75" customHeight="1">
      <c r="H478" s="19"/>
      <c r="I478" s="19"/>
      <c r="J478" s="19"/>
      <c r="K478" s="20"/>
    </row>
    <row r="479" ht="15.75" customHeight="1">
      <c r="H479" s="19"/>
      <c r="I479" s="19"/>
      <c r="J479" s="19"/>
      <c r="K479" s="20"/>
    </row>
    <row r="480" ht="15.75" customHeight="1">
      <c r="H480" s="19"/>
      <c r="I480" s="19"/>
      <c r="J480" s="19"/>
      <c r="K480" s="20"/>
    </row>
    <row r="481" ht="15.75" customHeight="1">
      <c r="H481" s="19"/>
      <c r="I481" s="19"/>
      <c r="J481" s="19"/>
      <c r="K481" s="20"/>
    </row>
    <row r="482" ht="15.75" customHeight="1">
      <c r="H482" s="19"/>
      <c r="I482" s="19"/>
      <c r="J482" s="19"/>
      <c r="K482" s="20"/>
    </row>
    <row r="483" ht="15.75" customHeight="1">
      <c r="H483" s="19"/>
      <c r="I483" s="19"/>
      <c r="J483" s="19"/>
      <c r="K483" s="20"/>
    </row>
    <row r="484" ht="15.75" customHeight="1">
      <c r="H484" s="19"/>
      <c r="I484" s="19"/>
      <c r="J484" s="19"/>
      <c r="K484" s="20"/>
    </row>
    <row r="485" ht="15.75" customHeight="1">
      <c r="H485" s="19"/>
      <c r="I485" s="19"/>
      <c r="J485" s="19"/>
      <c r="K485" s="20"/>
    </row>
    <row r="486" ht="15.75" customHeight="1">
      <c r="H486" s="19"/>
      <c r="I486" s="19"/>
      <c r="J486" s="19"/>
      <c r="K486" s="20"/>
    </row>
    <row r="487" ht="15.75" customHeight="1">
      <c r="H487" s="19"/>
      <c r="I487" s="19"/>
      <c r="J487" s="19"/>
      <c r="K487" s="20"/>
    </row>
    <row r="488" ht="15.75" customHeight="1">
      <c r="H488" s="19"/>
      <c r="I488" s="19"/>
      <c r="J488" s="19"/>
      <c r="K488" s="20"/>
    </row>
    <row r="489" ht="15.75" customHeight="1">
      <c r="H489" s="19"/>
      <c r="I489" s="19"/>
      <c r="J489" s="19"/>
      <c r="K489" s="20"/>
    </row>
    <row r="490" ht="15.75" customHeight="1">
      <c r="H490" s="19"/>
      <c r="I490" s="19"/>
      <c r="J490" s="19"/>
      <c r="K490" s="20"/>
    </row>
    <row r="491" ht="15.75" customHeight="1">
      <c r="H491" s="19"/>
      <c r="I491" s="19"/>
      <c r="J491" s="19"/>
      <c r="K491" s="20"/>
    </row>
    <row r="492" ht="15.75" customHeight="1">
      <c r="H492" s="19"/>
      <c r="I492" s="19"/>
      <c r="J492" s="19"/>
      <c r="K492" s="20"/>
    </row>
    <row r="493" ht="15.75" customHeight="1">
      <c r="H493" s="19"/>
      <c r="I493" s="19"/>
      <c r="J493" s="19"/>
      <c r="K493" s="20"/>
    </row>
    <row r="494" ht="15.75" customHeight="1">
      <c r="H494" s="19"/>
      <c r="I494" s="19"/>
      <c r="J494" s="19"/>
      <c r="K494" s="20"/>
    </row>
    <row r="495" ht="15.75" customHeight="1">
      <c r="H495" s="19"/>
      <c r="I495" s="19"/>
      <c r="J495" s="19"/>
      <c r="K495" s="20"/>
    </row>
    <row r="496" ht="15.75" customHeight="1">
      <c r="H496" s="19"/>
      <c r="I496" s="19"/>
      <c r="J496" s="19"/>
      <c r="K496" s="20"/>
    </row>
    <row r="497" ht="15.75" customHeight="1">
      <c r="H497" s="19"/>
      <c r="I497" s="19"/>
      <c r="J497" s="19"/>
      <c r="K497" s="20"/>
    </row>
    <row r="498" ht="15.75" customHeight="1">
      <c r="H498" s="19"/>
      <c r="I498" s="19"/>
      <c r="J498" s="19"/>
      <c r="K498" s="20"/>
    </row>
    <row r="499" ht="15.75" customHeight="1">
      <c r="H499" s="19"/>
      <c r="I499" s="19"/>
      <c r="J499" s="19"/>
      <c r="K499" s="20"/>
    </row>
    <row r="500" ht="15.75" customHeight="1">
      <c r="H500" s="19"/>
      <c r="I500" s="19"/>
      <c r="J500" s="19"/>
      <c r="K500" s="20"/>
    </row>
    <row r="501" ht="15.75" customHeight="1">
      <c r="H501" s="19"/>
      <c r="I501" s="19"/>
      <c r="J501" s="19"/>
      <c r="K501" s="20"/>
    </row>
    <row r="502" ht="15.75" customHeight="1">
      <c r="H502" s="19"/>
      <c r="I502" s="19"/>
      <c r="J502" s="19"/>
      <c r="K502" s="20"/>
    </row>
    <row r="503" ht="15.75" customHeight="1">
      <c r="H503" s="19"/>
      <c r="I503" s="19"/>
      <c r="J503" s="19"/>
      <c r="K503" s="20"/>
    </row>
    <row r="504" ht="15.75" customHeight="1">
      <c r="H504" s="19"/>
      <c r="I504" s="19"/>
      <c r="J504" s="19"/>
      <c r="K504" s="20"/>
    </row>
    <row r="505" ht="15.75" customHeight="1">
      <c r="H505" s="19"/>
      <c r="I505" s="19"/>
      <c r="J505" s="19"/>
      <c r="K505" s="20"/>
    </row>
    <row r="506" ht="15.75" customHeight="1">
      <c r="H506" s="19"/>
      <c r="I506" s="19"/>
      <c r="J506" s="19"/>
      <c r="K506" s="20"/>
    </row>
    <row r="507" ht="15.75" customHeight="1">
      <c r="H507" s="19"/>
      <c r="I507" s="19"/>
      <c r="J507" s="19"/>
      <c r="K507" s="20"/>
    </row>
    <row r="508" ht="15.75" customHeight="1">
      <c r="H508" s="19"/>
      <c r="I508" s="19"/>
      <c r="J508" s="19"/>
      <c r="K508" s="20"/>
    </row>
    <row r="509" ht="15.75" customHeight="1">
      <c r="H509" s="19"/>
      <c r="I509" s="19"/>
      <c r="J509" s="19"/>
      <c r="K509" s="20"/>
    </row>
    <row r="510" ht="15.75" customHeight="1">
      <c r="H510" s="19"/>
      <c r="I510" s="19"/>
      <c r="J510" s="19"/>
      <c r="K510" s="20"/>
    </row>
    <row r="511" ht="15.75" customHeight="1">
      <c r="H511" s="19"/>
      <c r="I511" s="19"/>
      <c r="J511" s="19"/>
      <c r="K511" s="20"/>
    </row>
    <row r="512" ht="15.75" customHeight="1">
      <c r="H512" s="19"/>
      <c r="I512" s="19"/>
      <c r="J512" s="19"/>
      <c r="K512" s="20"/>
    </row>
    <row r="513" ht="15.75" customHeight="1">
      <c r="H513" s="19"/>
      <c r="I513" s="19"/>
      <c r="J513" s="19"/>
      <c r="K513" s="20"/>
    </row>
    <row r="514" ht="15.75" customHeight="1">
      <c r="H514" s="19"/>
      <c r="I514" s="19"/>
      <c r="J514" s="19"/>
      <c r="K514" s="20"/>
    </row>
    <row r="515" ht="15.75" customHeight="1">
      <c r="H515" s="19"/>
      <c r="I515" s="19"/>
      <c r="J515" s="19"/>
      <c r="K515" s="20"/>
    </row>
    <row r="516" ht="15.75" customHeight="1">
      <c r="H516" s="19"/>
      <c r="I516" s="19"/>
      <c r="J516" s="19"/>
      <c r="K516" s="20"/>
    </row>
    <row r="517" ht="15.75" customHeight="1">
      <c r="H517" s="19"/>
      <c r="I517" s="19"/>
      <c r="J517" s="19"/>
      <c r="K517" s="20"/>
    </row>
    <row r="518" ht="15.75" customHeight="1">
      <c r="H518" s="19"/>
      <c r="I518" s="19"/>
      <c r="J518" s="19"/>
      <c r="K518" s="20"/>
    </row>
    <row r="519" ht="15.75" customHeight="1">
      <c r="H519" s="19"/>
      <c r="I519" s="19"/>
      <c r="J519" s="19"/>
      <c r="K519" s="20"/>
    </row>
    <row r="520" ht="15.75" customHeight="1">
      <c r="H520" s="19"/>
      <c r="I520" s="19"/>
      <c r="J520" s="19"/>
      <c r="K520" s="20"/>
    </row>
    <row r="521" ht="15.75" customHeight="1">
      <c r="H521" s="19"/>
      <c r="I521" s="19"/>
      <c r="J521" s="19"/>
      <c r="K521" s="20"/>
    </row>
    <row r="522" ht="15.75" customHeight="1">
      <c r="H522" s="19"/>
      <c r="I522" s="19"/>
      <c r="J522" s="19"/>
      <c r="K522" s="20"/>
    </row>
    <row r="523" ht="15.75" customHeight="1">
      <c r="H523" s="19"/>
      <c r="I523" s="19"/>
      <c r="J523" s="19"/>
      <c r="K523" s="20"/>
    </row>
    <row r="524" ht="15.75" customHeight="1">
      <c r="H524" s="19"/>
      <c r="I524" s="19"/>
      <c r="J524" s="19"/>
      <c r="K524" s="20"/>
    </row>
    <row r="525" ht="15.75" customHeight="1">
      <c r="H525" s="19"/>
      <c r="I525" s="19"/>
      <c r="J525" s="19"/>
      <c r="K525" s="20"/>
    </row>
    <row r="526" ht="15.75" customHeight="1">
      <c r="H526" s="19"/>
      <c r="I526" s="19"/>
      <c r="J526" s="19"/>
      <c r="K526" s="20"/>
    </row>
    <row r="527" ht="15.75" customHeight="1">
      <c r="H527" s="19"/>
      <c r="I527" s="19"/>
      <c r="J527" s="19"/>
      <c r="K527" s="20"/>
    </row>
    <row r="528" ht="15.75" customHeight="1">
      <c r="H528" s="19"/>
      <c r="I528" s="19"/>
      <c r="J528" s="19"/>
      <c r="K528" s="20"/>
    </row>
    <row r="529" ht="15.75" customHeight="1">
      <c r="H529" s="19"/>
      <c r="I529" s="19"/>
      <c r="J529" s="19"/>
      <c r="K529" s="20"/>
    </row>
    <row r="530" ht="15.75" customHeight="1">
      <c r="H530" s="19"/>
      <c r="I530" s="19"/>
      <c r="J530" s="19"/>
      <c r="K530" s="20"/>
    </row>
    <row r="531" ht="15.75" customHeight="1">
      <c r="H531" s="19"/>
      <c r="I531" s="19"/>
      <c r="J531" s="19"/>
      <c r="K531" s="20"/>
    </row>
    <row r="532" ht="15.75" customHeight="1">
      <c r="H532" s="19"/>
      <c r="I532" s="19"/>
      <c r="J532" s="19"/>
      <c r="K532" s="20"/>
    </row>
    <row r="533" ht="15.75" customHeight="1">
      <c r="H533" s="19"/>
      <c r="I533" s="19"/>
      <c r="J533" s="19"/>
      <c r="K533" s="20"/>
    </row>
    <row r="534" ht="15.75" customHeight="1">
      <c r="H534" s="19"/>
      <c r="I534" s="19"/>
      <c r="J534" s="19"/>
      <c r="K534" s="20"/>
    </row>
    <row r="535" ht="15.75" customHeight="1">
      <c r="H535" s="19"/>
      <c r="I535" s="19"/>
      <c r="J535" s="19"/>
      <c r="K535" s="20"/>
    </row>
    <row r="536" ht="15.75" customHeight="1">
      <c r="H536" s="19"/>
      <c r="I536" s="19"/>
      <c r="J536" s="19"/>
      <c r="K536" s="20"/>
    </row>
    <row r="537" ht="15.75" customHeight="1">
      <c r="H537" s="19"/>
      <c r="I537" s="19"/>
      <c r="J537" s="19"/>
      <c r="K537" s="20"/>
    </row>
    <row r="538" ht="15.75" customHeight="1">
      <c r="H538" s="19"/>
      <c r="I538" s="19"/>
      <c r="J538" s="19"/>
      <c r="K538" s="20"/>
    </row>
    <row r="539" ht="15.75" customHeight="1">
      <c r="H539" s="19"/>
      <c r="I539" s="19"/>
      <c r="J539" s="19"/>
      <c r="K539" s="20"/>
    </row>
    <row r="540" ht="15.75" customHeight="1">
      <c r="H540" s="19"/>
      <c r="I540" s="19"/>
      <c r="J540" s="19"/>
      <c r="K540" s="20"/>
    </row>
    <row r="541" ht="15.75" customHeight="1">
      <c r="H541" s="19"/>
      <c r="I541" s="19"/>
      <c r="J541" s="19"/>
      <c r="K541" s="20"/>
    </row>
    <row r="542" ht="15.75" customHeight="1">
      <c r="H542" s="19"/>
      <c r="I542" s="19"/>
      <c r="J542" s="19"/>
      <c r="K542" s="20"/>
    </row>
    <row r="543" ht="15.75" customHeight="1">
      <c r="H543" s="19"/>
      <c r="I543" s="19"/>
      <c r="J543" s="19"/>
      <c r="K543" s="20"/>
    </row>
    <row r="544" ht="15.75" customHeight="1">
      <c r="H544" s="19"/>
      <c r="I544" s="19"/>
      <c r="J544" s="19"/>
      <c r="K544" s="20"/>
    </row>
    <row r="545" ht="15.75" customHeight="1">
      <c r="H545" s="19"/>
      <c r="I545" s="19"/>
      <c r="J545" s="19"/>
      <c r="K545" s="20"/>
    </row>
    <row r="546" ht="15.75" customHeight="1">
      <c r="H546" s="19"/>
      <c r="I546" s="19"/>
      <c r="J546" s="19"/>
      <c r="K546" s="20"/>
    </row>
    <row r="547" ht="15.75" customHeight="1">
      <c r="H547" s="19"/>
      <c r="I547" s="19"/>
      <c r="J547" s="19"/>
      <c r="K547" s="20"/>
    </row>
    <row r="548" ht="15.75" customHeight="1">
      <c r="H548" s="19"/>
      <c r="I548" s="19"/>
      <c r="J548" s="19"/>
      <c r="K548" s="20"/>
    </row>
    <row r="549" ht="15.75" customHeight="1">
      <c r="H549" s="19"/>
      <c r="I549" s="19"/>
      <c r="J549" s="19"/>
      <c r="K549" s="20"/>
    </row>
    <row r="550" ht="15.75" customHeight="1">
      <c r="H550" s="19"/>
      <c r="I550" s="19"/>
      <c r="J550" s="19"/>
      <c r="K550" s="20"/>
    </row>
    <row r="551" ht="15.75" customHeight="1">
      <c r="H551" s="19"/>
      <c r="I551" s="19"/>
      <c r="J551" s="19"/>
      <c r="K551" s="20"/>
    </row>
    <row r="552" ht="15.75" customHeight="1">
      <c r="H552" s="19"/>
      <c r="I552" s="19"/>
      <c r="J552" s="19"/>
      <c r="K552" s="20"/>
    </row>
    <row r="553" ht="15.75" customHeight="1">
      <c r="H553" s="19"/>
      <c r="I553" s="19"/>
      <c r="J553" s="19"/>
      <c r="K553" s="20"/>
    </row>
    <row r="554" ht="15.75" customHeight="1">
      <c r="H554" s="19"/>
      <c r="I554" s="19"/>
      <c r="J554" s="19"/>
      <c r="K554" s="20"/>
    </row>
    <row r="555" ht="15.75" customHeight="1">
      <c r="H555" s="19"/>
      <c r="I555" s="19"/>
      <c r="J555" s="19"/>
      <c r="K555" s="20"/>
    </row>
    <row r="556" ht="15.75" customHeight="1">
      <c r="H556" s="19"/>
      <c r="I556" s="19"/>
      <c r="J556" s="19"/>
      <c r="K556" s="20"/>
    </row>
    <row r="557" ht="15.75" customHeight="1">
      <c r="H557" s="19"/>
      <c r="I557" s="19"/>
      <c r="J557" s="19"/>
      <c r="K557" s="20"/>
    </row>
    <row r="558" ht="15.75" customHeight="1">
      <c r="H558" s="19"/>
      <c r="I558" s="19"/>
      <c r="J558" s="19"/>
      <c r="K558" s="20"/>
    </row>
    <row r="559" ht="15.75" customHeight="1">
      <c r="H559" s="19"/>
      <c r="I559" s="19"/>
      <c r="J559" s="19"/>
      <c r="K559" s="20"/>
    </row>
    <row r="560" ht="15.75" customHeight="1">
      <c r="H560" s="19"/>
      <c r="I560" s="19"/>
      <c r="J560" s="19"/>
      <c r="K560" s="20"/>
    </row>
    <row r="561" ht="15.75" customHeight="1">
      <c r="H561" s="19"/>
      <c r="I561" s="19"/>
      <c r="J561" s="19"/>
      <c r="K561" s="20"/>
    </row>
    <row r="562" ht="15.75" customHeight="1">
      <c r="H562" s="19"/>
      <c r="I562" s="19"/>
      <c r="J562" s="19"/>
      <c r="K562" s="20"/>
    </row>
    <row r="563" ht="15.75" customHeight="1">
      <c r="H563" s="19"/>
      <c r="I563" s="19"/>
      <c r="J563" s="19"/>
      <c r="K563" s="20"/>
    </row>
    <row r="564" ht="15.75" customHeight="1">
      <c r="H564" s="19"/>
      <c r="I564" s="19"/>
      <c r="J564" s="19"/>
      <c r="K564" s="20"/>
    </row>
    <row r="565" ht="15.75" customHeight="1">
      <c r="H565" s="19"/>
      <c r="I565" s="19"/>
      <c r="J565" s="19"/>
      <c r="K565" s="20"/>
    </row>
    <row r="566" ht="15.75" customHeight="1">
      <c r="H566" s="19"/>
      <c r="I566" s="19"/>
      <c r="J566" s="19"/>
      <c r="K566" s="20"/>
    </row>
    <row r="567" ht="15.75" customHeight="1">
      <c r="H567" s="19"/>
      <c r="I567" s="19"/>
      <c r="J567" s="19"/>
      <c r="K567" s="20"/>
    </row>
    <row r="568" ht="15.75" customHeight="1">
      <c r="H568" s="19"/>
      <c r="I568" s="19"/>
      <c r="J568" s="19"/>
      <c r="K568" s="20"/>
    </row>
    <row r="569" ht="15.75" customHeight="1">
      <c r="H569" s="19"/>
      <c r="I569" s="19"/>
      <c r="J569" s="19"/>
      <c r="K569" s="20"/>
    </row>
    <row r="570" ht="15.75" customHeight="1">
      <c r="H570" s="19"/>
      <c r="I570" s="19"/>
      <c r="J570" s="19"/>
      <c r="K570" s="20"/>
    </row>
    <row r="571" ht="15.75" customHeight="1">
      <c r="H571" s="19"/>
      <c r="I571" s="19"/>
      <c r="J571" s="19"/>
      <c r="K571" s="20"/>
    </row>
    <row r="572" ht="15.75" customHeight="1">
      <c r="H572" s="19"/>
      <c r="I572" s="19"/>
      <c r="J572" s="19"/>
      <c r="K572" s="20"/>
    </row>
    <row r="573" ht="15.75" customHeight="1">
      <c r="H573" s="19"/>
      <c r="I573" s="19"/>
      <c r="J573" s="19"/>
      <c r="K573" s="20"/>
    </row>
    <row r="574" ht="15.75" customHeight="1">
      <c r="H574" s="19"/>
      <c r="I574" s="19"/>
      <c r="J574" s="19"/>
      <c r="K574" s="20"/>
    </row>
    <row r="575" ht="15.75" customHeight="1">
      <c r="H575" s="19"/>
      <c r="I575" s="19"/>
      <c r="J575" s="19"/>
      <c r="K575" s="20"/>
    </row>
    <row r="576" ht="15.75" customHeight="1">
      <c r="H576" s="19"/>
      <c r="I576" s="19"/>
      <c r="J576" s="19"/>
      <c r="K576" s="20"/>
    </row>
    <row r="577" ht="15.75" customHeight="1">
      <c r="H577" s="19"/>
      <c r="I577" s="19"/>
      <c r="J577" s="19"/>
      <c r="K577" s="20"/>
    </row>
    <row r="578" ht="15.75" customHeight="1">
      <c r="H578" s="19"/>
      <c r="I578" s="19"/>
      <c r="J578" s="19"/>
      <c r="K578" s="20"/>
    </row>
    <row r="579" ht="15.75" customHeight="1">
      <c r="H579" s="19"/>
      <c r="I579" s="19"/>
      <c r="J579" s="19"/>
      <c r="K579" s="20"/>
    </row>
    <row r="580" ht="15.75" customHeight="1">
      <c r="H580" s="19"/>
      <c r="I580" s="19"/>
      <c r="J580" s="19"/>
      <c r="K580" s="20"/>
    </row>
    <row r="581" ht="15.75" customHeight="1">
      <c r="H581" s="19"/>
      <c r="I581" s="19"/>
      <c r="J581" s="19"/>
      <c r="K581" s="20"/>
    </row>
    <row r="582" ht="15.75" customHeight="1">
      <c r="H582" s="19"/>
      <c r="I582" s="19"/>
      <c r="J582" s="19"/>
      <c r="K582" s="20"/>
    </row>
    <row r="583" ht="15.75" customHeight="1">
      <c r="H583" s="19"/>
      <c r="I583" s="19"/>
      <c r="J583" s="19"/>
      <c r="K583" s="20"/>
    </row>
    <row r="584" ht="15.75" customHeight="1">
      <c r="H584" s="19"/>
      <c r="I584" s="19"/>
      <c r="J584" s="19"/>
      <c r="K584" s="20"/>
    </row>
    <row r="585" ht="15.75" customHeight="1">
      <c r="H585" s="19"/>
      <c r="I585" s="19"/>
      <c r="J585" s="19"/>
      <c r="K585" s="20"/>
    </row>
    <row r="586" ht="15.75" customHeight="1">
      <c r="H586" s="19"/>
      <c r="I586" s="19"/>
      <c r="J586" s="19"/>
      <c r="K586" s="20"/>
    </row>
    <row r="587" ht="15.75" customHeight="1">
      <c r="H587" s="19"/>
      <c r="I587" s="19"/>
      <c r="J587" s="19"/>
      <c r="K587" s="20"/>
    </row>
    <row r="588" ht="15.75" customHeight="1">
      <c r="H588" s="19"/>
      <c r="I588" s="19"/>
      <c r="J588" s="19"/>
      <c r="K588" s="20"/>
    </row>
    <row r="589" ht="15.75" customHeight="1">
      <c r="H589" s="19"/>
      <c r="I589" s="19"/>
      <c r="J589" s="19"/>
      <c r="K589" s="20"/>
    </row>
    <row r="590" ht="15.75" customHeight="1">
      <c r="H590" s="19"/>
      <c r="I590" s="19"/>
      <c r="J590" s="19"/>
      <c r="K590" s="20"/>
    </row>
    <row r="591" ht="15.75" customHeight="1">
      <c r="H591" s="19"/>
      <c r="I591" s="19"/>
      <c r="J591" s="19"/>
      <c r="K591" s="20"/>
    </row>
    <row r="592" ht="15.75" customHeight="1">
      <c r="H592" s="19"/>
      <c r="I592" s="19"/>
      <c r="J592" s="19"/>
      <c r="K592" s="20"/>
    </row>
    <row r="593" ht="15.75" customHeight="1">
      <c r="H593" s="19"/>
      <c r="I593" s="19"/>
      <c r="J593" s="19"/>
      <c r="K593" s="20"/>
    </row>
    <row r="594" ht="15.75" customHeight="1">
      <c r="H594" s="19"/>
      <c r="I594" s="19"/>
      <c r="J594" s="19"/>
      <c r="K594" s="20"/>
    </row>
    <row r="595" ht="15.75" customHeight="1">
      <c r="H595" s="19"/>
      <c r="I595" s="19"/>
      <c r="J595" s="19"/>
      <c r="K595" s="20"/>
    </row>
    <row r="596" ht="15.75" customHeight="1">
      <c r="H596" s="19"/>
      <c r="I596" s="19"/>
      <c r="J596" s="19"/>
      <c r="K596" s="20"/>
    </row>
    <row r="597" ht="15.75" customHeight="1">
      <c r="H597" s="19"/>
      <c r="I597" s="19"/>
      <c r="J597" s="19"/>
      <c r="K597" s="20"/>
    </row>
    <row r="598" ht="15.75" customHeight="1">
      <c r="H598" s="19"/>
      <c r="I598" s="19"/>
      <c r="J598" s="19"/>
      <c r="K598" s="20"/>
    </row>
    <row r="599" ht="15.75" customHeight="1">
      <c r="H599" s="19"/>
      <c r="I599" s="19"/>
      <c r="J599" s="19"/>
      <c r="K599" s="20"/>
    </row>
    <row r="600" ht="15.75" customHeight="1">
      <c r="H600" s="19"/>
      <c r="I600" s="19"/>
      <c r="J600" s="19"/>
      <c r="K600" s="20"/>
    </row>
    <row r="601" ht="15.75" customHeight="1">
      <c r="H601" s="19"/>
      <c r="I601" s="19"/>
      <c r="J601" s="19"/>
      <c r="K601" s="20"/>
    </row>
    <row r="602" ht="15.75" customHeight="1">
      <c r="H602" s="19"/>
      <c r="I602" s="19"/>
      <c r="J602" s="19"/>
      <c r="K602" s="20"/>
    </row>
    <row r="603" ht="15.75" customHeight="1">
      <c r="H603" s="19"/>
      <c r="I603" s="19"/>
      <c r="J603" s="19"/>
      <c r="K603" s="20"/>
    </row>
    <row r="604" ht="15.75" customHeight="1">
      <c r="H604" s="19"/>
      <c r="I604" s="19"/>
      <c r="J604" s="19"/>
      <c r="K604" s="20"/>
    </row>
    <row r="605" ht="15.75" customHeight="1">
      <c r="H605" s="19"/>
      <c r="I605" s="19"/>
      <c r="J605" s="19"/>
      <c r="K605" s="20"/>
    </row>
    <row r="606" ht="15.75" customHeight="1">
      <c r="H606" s="19"/>
      <c r="I606" s="19"/>
      <c r="J606" s="19"/>
      <c r="K606" s="20"/>
    </row>
    <row r="607" ht="15.75" customHeight="1">
      <c r="H607" s="19"/>
      <c r="I607" s="19"/>
      <c r="J607" s="19"/>
      <c r="K607" s="20"/>
    </row>
    <row r="608" ht="15.75" customHeight="1">
      <c r="H608" s="19"/>
      <c r="I608" s="19"/>
      <c r="J608" s="19"/>
      <c r="K608" s="20"/>
    </row>
    <row r="609" ht="15.75" customHeight="1">
      <c r="H609" s="19"/>
      <c r="I609" s="19"/>
      <c r="J609" s="19"/>
      <c r="K609" s="20"/>
    </row>
    <row r="610" ht="15.75" customHeight="1">
      <c r="H610" s="19"/>
      <c r="I610" s="19"/>
      <c r="J610" s="19"/>
      <c r="K610" s="20"/>
    </row>
    <row r="611" ht="15.75" customHeight="1">
      <c r="H611" s="19"/>
      <c r="I611" s="19"/>
      <c r="J611" s="19"/>
      <c r="K611" s="20"/>
    </row>
    <row r="612" ht="15.75" customHeight="1">
      <c r="H612" s="19"/>
      <c r="I612" s="19"/>
      <c r="J612" s="19"/>
      <c r="K612" s="20"/>
    </row>
    <row r="613" ht="15.75" customHeight="1">
      <c r="H613" s="19"/>
      <c r="I613" s="19"/>
      <c r="J613" s="19"/>
      <c r="K613" s="20"/>
    </row>
    <row r="614" ht="15.75" customHeight="1">
      <c r="H614" s="19"/>
      <c r="I614" s="19"/>
      <c r="J614" s="19"/>
      <c r="K614" s="20"/>
    </row>
    <row r="615" ht="15.75" customHeight="1">
      <c r="H615" s="19"/>
      <c r="I615" s="19"/>
      <c r="J615" s="19"/>
      <c r="K615" s="20"/>
    </row>
    <row r="616" ht="15.75" customHeight="1">
      <c r="H616" s="19"/>
      <c r="I616" s="19"/>
      <c r="J616" s="19"/>
      <c r="K616" s="20"/>
    </row>
    <row r="617" ht="15.75" customHeight="1">
      <c r="H617" s="19"/>
      <c r="I617" s="19"/>
      <c r="J617" s="19"/>
      <c r="K617" s="20"/>
    </row>
    <row r="618" ht="15.75" customHeight="1">
      <c r="H618" s="19"/>
      <c r="I618" s="19"/>
      <c r="J618" s="19"/>
      <c r="K618" s="20"/>
    </row>
    <row r="619" ht="15.75" customHeight="1">
      <c r="H619" s="19"/>
      <c r="I619" s="19"/>
      <c r="J619" s="19"/>
      <c r="K619" s="20"/>
    </row>
    <row r="620" ht="15.75" customHeight="1">
      <c r="H620" s="19"/>
      <c r="I620" s="19"/>
      <c r="J620" s="19"/>
      <c r="K620" s="20"/>
    </row>
    <row r="621" ht="15.75" customHeight="1">
      <c r="H621" s="19"/>
      <c r="I621" s="19"/>
      <c r="J621" s="19"/>
      <c r="K621" s="20"/>
    </row>
    <row r="622" ht="15.75" customHeight="1">
      <c r="H622" s="19"/>
      <c r="I622" s="19"/>
      <c r="J622" s="19"/>
      <c r="K622" s="20"/>
    </row>
    <row r="623" ht="15.75" customHeight="1">
      <c r="H623" s="19"/>
      <c r="I623" s="19"/>
      <c r="J623" s="19"/>
      <c r="K623" s="20"/>
    </row>
    <row r="624" ht="15.75" customHeight="1">
      <c r="H624" s="19"/>
      <c r="I624" s="19"/>
      <c r="J624" s="19"/>
      <c r="K624" s="20"/>
    </row>
    <row r="625" ht="15.75" customHeight="1">
      <c r="H625" s="19"/>
      <c r="I625" s="19"/>
      <c r="J625" s="19"/>
      <c r="K625" s="20"/>
    </row>
    <row r="626" ht="15.75" customHeight="1">
      <c r="H626" s="19"/>
      <c r="I626" s="19"/>
      <c r="J626" s="19"/>
      <c r="K626" s="20"/>
    </row>
    <row r="627" ht="15.75" customHeight="1">
      <c r="H627" s="19"/>
      <c r="I627" s="19"/>
      <c r="J627" s="19"/>
      <c r="K627" s="20"/>
    </row>
    <row r="628" ht="15.75" customHeight="1">
      <c r="H628" s="19"/>
      <c r="I628" s="19"/>
      <c r="J628" s="19"/>
      <c r="K628" s="20"/>
    </row>
    <row r="629" ht="15.75" customHeight="1">
      <c r="H629" s="19"/>
      <c r="I629" s="19"/>
      <c r="J629" s="19"/>
      <c r="K629" s="20"/>
    </row>
    <row r="630" ht="15.75" customHeight="1">
      <c r="H630" s="19"/>
      <c r="I630" s="19"/>
      <c r="J630" s="19"/>
      <c r="K630" s="20"/>
    </row>
    <row r="631" ht="15.75" customHeight="1">
      <c r="H631" s="19"/>
      <c r="I631" s="19"/>
      <c r="J631" s="19"/>
      <c r="K631" s="20"/>
    </row>
    <row r="632" ht="15.75" customHeight="1">
      <c r="H632" s="19"/>
      <c r="I632" s="19"/>
      <c r="J632" s="19"/>
      <c r="K632" s="20"/>
    </row>
    <row r="633" ht="15.75" customHeight="1">
      <c r="H633" s="19"/>
      <c r="I633" s="19"/>
      <c r="J633" s="19"/>
      <c r="K633" s="20"/>
    </row>
    <row r="634" ht="15.75" customHeight="1">
      <c r="H634" s="19"/>
      <c r="I634" s="19"/>
      <c r="J634" s="19"/>
      <c r="K634" s="20"/>
    </row>
    <row r="635" ht="15.75" customHeight="1">
      <c r="H635" s="19"/>
      <c r="I635" s="19"/>
      <c r="J635" s="19"/>
      <c r="K635" s="20"/>
    </row>
    <row r="636" ht="15.75" customHeight="1">
      <c r="H636" s="19"/>
      <c r="I636" s="19"/>
      <c r="J636" s="19"/>
      <c r="K636" s="20"/>
    </row>
    <row r="637" ht="15.75" customHeight="1">
      <c r="H637" s="19"/>
      <c r="I637" s="19"/>
      <c r="J637" s="19"/>
      <c r="K637" s="20"/>
    </row>
    <row r="638" ht="15.75" customHeight="1">
      <c r="H638" s="19"/>
      <c r="I638" s="19"/>
      <c r="J638" s="19"/>
      <c r="K638" s="20"/>
    </row>
    <row r="639" ht="15.75" customHeight="1">
      <c r="H639" s="19"/>
      <c r="I639" s="19"/>
      <c r="J639" s="19"/>
      <c r="K639" s="20"/>
    </row>
    <row r="640" ht="15.75" customHeight="1">
      <c r="H640" s="19"/>
      <c r="I640" s="19"/>
      <c r="J640" s="19"/>
      <c r="K640" s="20"/>
    </row>
    <row r="641" ht="15.75" customHeight="1">
      <c r="H641" s="19"/>
      <c r="I641" s="19"/>
      <c r="J641" s="19"/>
      <c r="K641" s="20"/>
    </row>
    <row r="642" ht="15.75" customHeight="1">
      <c r="H642" s="19"/>
      <c r="I642" s="19"/>
      <c r="J642" s="19"/>
      <c r="K642" s="20"/>
    </row>
    <row r="643" ht="15.75" customHeight="1">
      <c r="H643" s="19"/>
      <c r="I643" s="19"/>
      <c r="J643" s="19"/>
      <c r="K643" s="20"/>
    </row>
    <row r="644" ht="15.75" customHeight="1">
      <c r="H644" s="19"/>
      <c r="I644" s="19"/>
      <c r="J644" s="19"/>
      <c r="K644" s="20"/>
    </row>
    <row r="645" ht="15.75" customHeight="1">
      <c r="H645" s="19"/>
      <c r="I645" s="19"/>
      <c r="J645" s="19"/>
      <c r="K645" s="20"/>
    </row>
    <row r="646" ht="15.75" customHeight="1">
      <c r="H646" s="19"/>
      <c r="I646" s="19"/>
      <c r="J646" s="19"/>
      <c r="K646" s="20"/>
    </row>
    <row r="647" ht="15.75" customHeight="1">
      <c r="H647" s="19"/>
      <c r="I647" s="19"/>
      <c r="J647" s="19"/>
      <c r="K647" s="20"/>
    </row>
    <row r="648" ht="15.75" customHeight="1">
      <c r="H648" s="19"/>
      <c r="I648" s="19"/>
      <c r="J648" s="19"/>
      <c r="K648" s="20"/>
    </row>
    <row r="649" ht="15.75" customHeight="1">
      <c r="H649" s="19"/>
      <c r="I649" s="19"/>
      <c r="J649" s="19"/>
      <c r="K649" s="20"/>
    </row>
    <row r="650" ht="15.75" customHeight="1">
      <c r="H650" s="19"/>
      <c r="I650" s="19"/>
      <c r="J650" s="19"/>
      <c r="K650" s="20"/>
    </row>
    <row r="651" ht="15.75" customHeight="1">
      <c r="H651" s="19"/>
      <c r="I651" s="19"/>
      <c r="J651" s="19"/>
      <c r="K651" s="20"/>
    </row>
    <row r="652" ht="15.75" customHeight="1">
      <c r="H652" s="19"/>
      <c r="I652" s="19"/>
      <c r="J652" s="19"/>
      <c r="K652" s="20"/>
    </row>
    <row r="653" ht="15.75" customHeight="1">
      <c r="H653" s="19"/>
      <c r="I653" s="19"/>
      <c r="J653" s="19"/>
      <c r="K653" s="20"/>
    </row>
    <row r="654" ht="15.75" customHeight="1">
      <c r="H654" s="19"/>
      <c r="I654" s="19"/>
      <c r="J654" s="19"/>
      <c r="K654" s="20"/>
    </row>
    <row r="655" ht="15.75" customHeight="1">
      <c r="H655" s="19"/>
      <c r="I655" s="19"/>
      <c r="J655" s="19"/>
      <c r="K655" s="20"/>
    </row>
    <row r="656" ht="15.75" customHeight="1">
      <c r="H656" s="19"/>
      <c r="I656" s="19"/>
      <c r="J656" s="19"/>
      <c r="K656" s="20"/>
    </row>
    <row r="657" ht="15.75" customHeight="1">
      <c r="H657" s="19"/>
      <c r="I657" s="19"/>
      <c r="J657" s="19"/>
      <c r="K657" s="20"/>
    </row>
    <row r="658" ht="15.75" customHeight="1">
      <c r="H658" s="19"/>
      <c r="I658" s="19"/>
      <c r="J658" s="19"/>
      <c r="K658" s="20"/>
    </row>
    <row r="659" ht="15.75" customHeight="1">
      <c r="H659" s="19"/>
      <c r="I659" s="19"/>
      <c r="J659" s="19"/>
      <c r="K659" s="20"/>
    </row>
    <row r="660" ht="15.75" customHeight="1">
      <c r="H660" s="19"/>
      <c r="I660" s="19"/>
      <c r="J660" s="19"/>
      <c r="K660" s="20"/>
    </row>
    <row r="661" ht="15.75" customHeight="1">
      <c r="H661" s="19"/>
      <c r="I661" s="19"/>
      <c r="J661" s="19"/>
      <c r="K661" s="20"/>
    </row>
    <row r="662" ht="15.75" customHeight="1">
      <c r="H662" s="19"/>
      <c r="I662" s="19"/>
      <c r="J662" s="19"/>
      <c r="K662" s="20"/>
    </row>
    <row r="663" ht="15.75" customHeight="1">
      <c r="H663" s="19"/>
      <c r="I663" s="19"/>
      <c r="J663" s="19"/>
      <c r="K663" s="20"/>
    </row>
    <row r="664" ht="15.75" customHeight="1">
      <c r="H664" s="19"/>
      <c r="I664" s="19"/>
      <c r="J664" s="19"/>
      <c r="K664" s="20"/>
    </row>
    <row r="665" ht="15.75" customHeight="1">
      <c r="H665" s="19"/>
      <c r="I665" s="19"/>
      <c r="J665" s="19"/>
      <c r="K665" s="20"/>
    </row>
    <row r="666" ht="15.75" customHeight="1">
      <c r="H666" s="19"/>
      <c r="I666" s="19"/>
      <c r="J666" s="19"/>
      <c r="K666" s="20"/>
    </row>
    <row r="667" ht="15.75" customHeight="1">
      <c r="H667" s="19"/>
      <c r="I667" s="19"/>
      <c r="J667" s="19"/>
      <c r="K667" s="20"/>
    </row>
    <row r="668" ht="15.75" customHeight="1">
      <c r="H668" s="19"/>
      <c r="I668" s="19"/>
      <c r="J668" s="19"/>
      <c r="K668" s="20"/>
    </row>
    <row r="669" ht="15.75" customHeight="1">
      <c r="H669" s="19"/>
      <c r="I669" s="19"/>
      <c r="J669" s="19"/>
      <c r="K669" s="20"/>
    </row>
    <row r="670" ht="15.75" customHeight="1">
      <c r="H670" s="19"/>
      <c r="I670" s="19"/>
      <c r="J670" s="19"/>
      <c r="K670" s="20"/>
    </row>
    <row r="671" ht="15.75" customHeight="1">
      <c r="H671" s="19"/>
      <c r="I671" s="19"/>
      <c r="J671" s="19"/>
      <c r="K671" s="20"/>
    </row>
    <row r="672" ht="15.75" customHeight="1">
      <c r="H672" s="19"/>
      <c r="I672" s="19"/>
      <c r="J672" s="19"/>
      <c r="K672" s="20"/>
    </row>
    <row r="673" ht="15.75" customHeight="1">
      <c r="H673" s="19"/>
      <c r="I673" s="19"/>
      <c r="J673" s="19"/>
      <c r="K673" s="20"/>
    </row>
    <row r="674" ht="15.75" customHeight="1">
      <c r="H674" s="19"/>
      <c r="I674" s="19"/>
      <c r="J674" s="19"/>
      <c r="K674" s="20"/>
    </row>
    <row r="675" ht="15.75" customHeight="1">
      <c r="H675" s="19"/>
      <c r="I675" s="19"/>
      <c r="J675" s="19"/>
      <c r="K675" s="20"/>
    </row>
    <row r="676" ht="15.75" customHeight="1">
      <c r="H676" s="19"/>
      <c r="I676" s="19"/>
      <c r="J676" s="19"/>
      <c r="K676" s="20"/>
    </row>
    <row r="677" ht="15.75" customHeight="1">
      <c r="H677" s="19"/>
      <c r="I677" s="19"/>
      <c r="J677" s="19"/>
      <c r="K677" s="20"/>
    </row>
    <row r="678" ht="15.75" customHeight="1">
      <c r="H678" s="19"/>
      <c r="I678" s="19"/>
      <c r="J678" s="19"/>
      <c r="K678" s="20"/>
    </row>
    <row r="679" ht="15.75" customHeight="1">
      <c r="H679" s="19"/>
      <c r="I679" s="19"/>
      <c r="J679" s="19"/>
      <c r="K679" s="20"/>
    </row>
    <row r="680" ht="15.75" customHeight="1">
      <c r="H680" s="19"/>
      <c r="I680" s="19"/>
      <c r="J680" s="19"/>
      <c r="K680" s="20"/>
    </row>
    <row r="681" ht="15.75" customHeight="1">
      <c r="H681" s="19"/>
      <c r="I681" s="19"/>
      <c r="J681" s="19"/>
      <c r="K681" s="20"/>
    </row>
    <row r="682" ht="15.75" customHeight="1">
      <c r="H682" s="19"/>
      <c r="I682" s="19"/>
      <c r="J682" s="19"/>
      <c r="K682" s="20"/>
    </row>
    <row r="683" ht="15.75" customHeight="1">
      <c r="H683" s="19"/>
      <c r="I683" s="19"/>
      <c r="J683" s="19"/>
      <c r="K683" s="20"/>
    </row>
    <row r="684" ht="15.75" customHeight="1">
      <c r="H684" s="19"/>
      <c r="I684" s="19"/>
      <c r="J684" s="19"/>
      <c r="K684" s="20"/>
    </row>
    <row r="685" ht="15.75" customHeight="1">
      <c r="H685" s="19"/>
      <c r="I685" s="19"/>
      <c r="J685" s="19"/>
      <c r="K685" s="20"/>
    </row>
    <row r="686" ht="15.75" customHeight="1">
      <c r="H686" s="19"/>
      <c r="I686" s="19"/>
      <c r="J686" s="19"/>
      <c r="K686" s="20"/>
    </row>
    <row r="687" ht="15.75" customHeight="1">
      <c r="H687" s="19"/>
      <c r="I687" s="19"/>
      <c r="J687" s="19"/>
      <c r="K687" s="20"/>
    </row>
    <row r="688" ht="15.75" customHeight="1">
      <c r="H688" s="19"/>
      <c r="I688" s="19"/>
      <c r="J688" s="19"/>
      <c r="K688" s="20"/>
    </row>
    <row r="689" ht="15.75" customHeight="1">
      <c r="H689" s="19"/>
      <c r="I689" s="19"/>
      <c r="J689" s="19"/>
      <c r="K689" s="20"/>
    </row>
    <row r="690" ht="15.75" customHeight="1">
      <c r="H690" s="19"/>
      <c r="I690" s="19"/>
      <c r="J690" s="19"/>
      <c r="K690" s="20"/>
    </row>
    <row r="691" ht="15.75" customHeight="1">
      <c r="H691" s="19"/>
      <c r="I691" s="19"/>
      <c r="J691" s="19"/>
      <c r="K691" s="20"/>
    </row>
    <row r="692" ht="15.75" customHeight="1">
      <c r="H692" s="19"/>
      <c r="I692" s="19"/>
      <c r="J692" s="19"/>
      <c r="K692" s="20"/>
    </row>
    <row r="693" ht="15.75" customHeight="1">
      <c r="H693" s="19"/>
      <c r="I693" s="19"/>
      <c r="J693" s="19"/>
      <c r="K693" s="20"/>
    </row>
    <row r="694" ht="15.75" customHeight="1">
      <c r="H694" s="19"/>
      <c r="I694" s="19"/>
      <c r="J694" s="19"/>
      <c r="K694" s="20"/>
    </row>
    <row r="695" ht="15.75" customHeight="1">
      <c r="H695" s="19"/>
      <c r="I695" s="19"/>
      <c r="J695" s="19"/>
      <c r="K695" s="20"/>
    </row>
    <row r="696" ht="15.75" customHeight="1">
      <c r="H696" s="19"/>
      <c r="I696" s="19"/>
      <c r="J696" s="19"/>
      <c r="K696" s="20"/>
    </row>
    <row r="697" ht="15.75" customHeight="1">
      <c r="H697" s="19"/>
      <c r="I697" s="19"/>
      <c r="J697" s="19"/>
      <c r="K697" s="20"/>
    </row>
    <row r="698" ht="15.75" customHeight="1">
      <c r="H698" s="19"/>
      <c r="I698" s="19"/>
      <c r="J698" s="19"/>
      <c r="K698" s="20"/>
    </row>
    <row r="699" ht="15.75" customHeight="1">
      <c r="H699" s="19"/>
      <c r="I699" s="19"/>
      <c r="J699" s="19"/>
      <c r="K699" s="20"/>
    </row>
    <row r="700" ht="15.75" customHeight="1">
      <c r="H700" s="19"/>
      <c r="I700" s="19"/>
      <c r="J700" s="19"/>
      <c r="K700" s="20"/>
    </row>
    <row r="701" ht="15.75" customHeight="1">
      <c r="H701" s="19"/>
      <c r="I701" s="19"/>
      <c r="J701" s="19"/>
      <c r="K701" s="20"/>
    </row>
    <row r="702" ht="15.75" customHeight="1">
      <c r="H702" s="19"/>
      <c r="I702" s="19"/>
      <c r="J702" s="19"/>
      <c r="K702" s="20"/>
    </row>
    <row r="703" ht="15.75" customHeight="1">
      <c r="H703" s="19"/>
      <c r="I703" s="19"/>
      <c r="J703" s="19"/>
      <c r="K703" s="20"/>
    </row>
    <row r="704" ht="15.75" customHeight="1">
      <c r="H704" s="19"/>
      <c r="I704" s="19"/>
      <c r="J704" s="19"/>
      <c r="K704" s="20"/>
    </row>
    <row r="705" ht="15.75" customHeight="1">
      <c r="H705" s="19"/>
      <c r="I705" s="19"/>
      <c r="J705" s="19"/>
      <c r="K705" s="20"/>
    </row>
    <row r="706" ht="15.75" customHeight="1">
      <c r="H706" s="19"/>
      <c r="I706" s="19"/>
      <c r="J706" s="19"/>
      <c r="K706" s="20"/>
    </row>
    <row r="707" ht="15.75" customHeight="1">
      <c r="H707" s="19"/>
      <c r="I707" s="19"/>
      <c r="J707" s="19"/>
      <c r="K707" s="20"/>
    </row>
    <row r="708" ht="15.75" customHeight="1">
      <c r="H708" s="19"/>
      <c r="I708" s="19"/>
      <c r="J708" s="19"/>
      <c r="K708" s="20"/>
    </row>
    <row r="709" ht="15.75" customHeight="1">
      <c r="H709" s="19"/>
      <c r="I709" s="19"/>
      <c r="J709" s="19"/>
      <c r="K709" s="20"/>
    </row>
    <row r="710" ht="15.75" customHeight="1">
      <c r="H710" s="19"/>
      <c r="I710" s="19"/>
      <c r="J710" s="19"/>
      <c r="K710" s="20"/>
    </row>
    <row r="711" ht="15.75" customHeight="1">
      <c r="H711" s="19"/>
      <c r="I711" s="19"/>
      <c r="J711" s="19"/>
      <c r="K711" s="20"/>
    </row>
    <row r="712" ht="15.75" customHeight="1">
      <c r="H712" s="19"/>
      <c r="I712" s="19"/>
      <c r="J712" s="19"/>
      <c r="K712" s="20"/>
    </row>
    <row r="713" ht="15.75" customHeight="1">
      <c r="H713" s="19"/>
      <c r="I713" s="19"/>
      <c r="J713" s="19"/>
      <c r="K713" s="20"/>
    </row>
    <row r="714" ht="15.75" customHeight="1">
      <c r="H714" s="19"/>
      <c r="I714" s="19"/>
      <c r="J714" s="19"/>
      <c r="K714" s="20"/>
    </row>
    <row r="715" ht="15.75" customHeight="1">
      <c r="H715" s="19"/>
      <c r="I715" s="19"/>
      <c r="J715" s="19"/>
      <c r="K715" s="20"/>
    </row>
    <row r="716" ht="15.75" customHeight="1">
      <c r="H716" s="19"/>
      <c r="I716" s="19"/>
      <c r="J716" s="19"/>
      <c r="K716" s="20"/>
    </row>
    <row r="717" ht="15.75" customHeight="1">
      <c r="H717" s="19"/>
      <c r="I717" s="19"/>
      <c r="J717" s="19"/>
      <c r="K717" s="20"/>
    </row>
    <row r="718" ht="15.75" customHeight="1">
      <c r="H718" s="19"/>
      <c r="I718" s="19"/>
      <c r="J718" s="19"/>
      <c r="K718" s="20"/>
    </row>
    <row r="719" ht="15.75" customHeight="1">
      <c r="H719" s="19"/>
      <c r="I719" s="19"/>
      <c r="J719" s="19"/>
      <c r="K719" s="20"/>
    </row>
    <row r="720" ht="15.75" customHeight="1">
      <c r="H720" s="19"/>
      <c r="I720" s="19"/>
      <c r="J720" s="19"/>
      <c r="K720" s="20"/>
    </row>
    <row r="721" ht="15.75" customHeight="1">
      <c r="H721" s="19"/>
      <c r="I721" s="19"/>
      <c r="J721" s="19"/>
      <c r="K721" s="20"/>
    </row>
    <row r="722" ht="15.75" customHeight="1">
      <c r="H722" s="19"/>
      <c r="I722" s="19"/>
      <c r="J722" s="19"/>
      <c r="K722" s="20"/>
    </row>
    <row r="723" ht="15.75" customHeight="1">
      <c r="H723" s="19"/>
      <c r="I723" s="19"/>
      <c r="J723" s="19"/>
      <c r="K723" s="20"/>
    </row>
    <row r="724" ht="15.75" customHeight="1">
      <c r="H724" s="19"/>
      <c r="I724" s="19"/>
      <c r="J724" s="19"/>
      <c r="K724" s="20"/>
    </row>
    <row r="725" ht="15.75" customHeight="1">
      <c r="H725" s="19"/>
      <c r="I725" s="19"/>
      <c r="J725" s="19"/>
      <c r="K725" s="20"/>
    </row>
    <row r="726" ht="15.75" customHeight="1">
      <c r="H726" s="19"/>
      <c r="I726" s="19"/>
      <c r="J726" s="19"/>
      <c r="K726" s="20"/>
    </row>
    <row r="727" ht="15.75" customHeight="1">
      <c r="H727" s="19"/>
      <c r="I727" s="19"/>
      <c r="J727" s="19"/>
      <c r="K727" s="20"/>
    </row>
    <row r="728" ht="15.75" customHeight="1">
      <c r="H728" s="19"/>
      <c r="I728" s="19"/>
      <c r="J728" s="19"/>
      <c r="K728" s="20"/>
    </row>
    <row r="729" ht="15.75" customHeight="1">
      <c r="H729" s="19"/>
      <c r="I729" s="19"/>
      <c r="J729" s="19"/>
      <c r="K729" s="20"/>
    </row>
    <row r="730" ht="15.75" customHeight="1">
      <c r="H730" s="19"/>
      <c r="I730" s="19"/>
      <c r="J730" s="19"/>
      <c r="K730" s="20"/>
    </row>
    <row r="731" ht="15.75" customHeight="1">
      <c r="H731" s="19"/>
      <c r="I731" s="19"/>
      <c r="J731" s="19"/>
      <c r="K731" s="20"/>
    </row>
    <row r="732" ht="15.75" customHeight="1">
      <c r="H732" s="19"/>
      <c r="I732" s="19"/>
      <c r="J732" s="19"/>
      <c r="K732" s="20"/>
    </row>
    <row r="733" ht="15.75" customHeight="1">
      <c r="H733" s="19"/>
      <c r="I733" s="19"/>
      <c r="J733" s="19"/>
      <c r="K733" s="20"/>
    </row>
    <row r="734" ht="15.75" customHeight="1">
      <c r="H734" s="19"/>
      <c r="I734" s="19"/>
      <c r="J734" s="19"/>
      <c r="K734" s="20"/>
    </row>
    <row r="735" ht="15.75" customHeight="1">
      <c r="H735" s="19"/>
      <c r="I735" s="19"/>
      <c r="J735" s="19"/>
      <c r="K735" s="20"/>
    </row>
    <row r="736" ht="15.75" customHeight="1">
      <c r="H736" s="19"/>
      <c r="I736" s="19"/>
      <c r="J736" s="19"/>
      <c r="K736" s="20"/>
    </row>
    <row r="737" ht="15.75" customHeight="1">
      <c r="H737" s="19"/>
      <c r="I737" s="19"/>
      <c r="J737" s="19"/>
      <c r="K737" s="20"/>
    </row>
    <row r="738" ht="15.75" customHeight="1">
      <c r="H738" s="19"/>
      <c r="I738" s="19"/>
      <c r="J738" s="19"/>
      <c r="K738" s="20"/>
    </row>
    <row r="739" ht="15.75" customHeight="1">
      <c r="H739" s="19"/>
      <c r="I739" s="19"/>
      <c r="J739" s="19"/>
      <c r="K739" s="20"/>
    </row>
    <row r="740" ht="15.75" customHeight="1">
      <c r="H740" s="19"/>
      <c r="I740" s="19"/>
      <c r="J740" s="19"/>
      <c r="K740" s="20"/>
    </row>
    <row r="741" ht="15.75" customHeight="1">
      <c r="H741" s="19"/>
      <c r="I741" s="19"/>
      <c r="J741" s="19"/>
      <c r="K741" s="20"/>
    </row>
    <row r="742" ht="15.75" customHeight="1">
      <c r="H742" s="19"/>
      <c r="I742" s="19"/>
      <c r="J742" s="19"/>
      <c r="K742" s="20"/>
    </row>
    <row r="743" ht="15.75" customHeight="1">
      <c r="H743" s="19"/>
      <c r="I743" s="19"/>
      <c r="J743" s="19"/>
      <c r="K743" s="20"/>
    </row>
    <row r="744" ht="15.75" customHeight="1">
      <c r="H744" s="19"/>
      <c r="I744" s="19"/>
      <c r="J744" s="19"/>
      <c r="K744" s="20"/>
    </row>
    <row r="745" ht="15.75" customHeight="1">
      <c r="H745" s="19"/>
      <c r="I745" s="19"/>
      <c r="J745" s="19"/>
      <c r="K745" s="20"/>
    </row>
    <row r="746" ht="15.75" customHeight="1">
      <c r="H746" s="19"/>
      <c r="I746" s="19"/>
      <c r="J746" s="19"/>
      <c r="K746" s="20"/>
    </row>
    <row r="747" ht="15.75" customHeight="1">
      <c r="H747" s="19"/>
      <c r="I747" s="19"/>
      <c r="J747" s="19"/>
      <c r="K747" s="20"/>
    </row>
    <row r="748" ht="15.75" customHeight="1">
      <c r="H748" s="19"/>
      <c r="I748" s="19"/>
      <c r="J748" s="19"/>
      <c r="K748" s="20"/>
    </row>
    <row r="749" ht="15.75" customHeight="1">
      <c r="H749" s="19"/>
      <c r="I749" s="19"/>
      <c r="J749" s="19"/>
      <c r="K749" s="20"/>
    </row>
    <row r="750" ht="15.75" customHeight="1">
      <c r="H750" s="19"/>
      <c r="I750" s="19"/>
      <c r="J750" s="19"/>
      <c r="K750" s="20"/>
    </row>
    <row r="751" ht="15.75" customHeight="1">
      <c r="H751" s="19"/>
      <c r="I751" s="19"/>
      <c r="J751" s="19"/>
      <c r="K751" s="20"/>
    </row>
    <row r="752" ht="15.75" customHeight="1">
      <c r="H752" s="19"/>
      <c r="I752" s="19"/>
      <c r="J752" s="19"/>
      <c r="K752" s="20"/>
    </row>
    <row r="753" ht="15.75" customHeight="1">
      <c r="H753" s="19"/>
      <c r="I753" s="19"/>
      <c r="J753" s="19"/>
      <c r="K753" s="20"/>
    </row>
    <row r="754" ht="15.75" customHeight="1">
      <c r="H754" s="19"/>
      <c r="I754" s="19"/>
      <c r="J754" s="19"/>
      <c r="K754" s="20"/>
    </row>
    <row r="755" ht="15.75" customHeight="1">
      <c r="H755" s="19"/>
      <c r="I755" s="19"/>
      <c r="J755" s="19"/>
      <c r="K755" s="20"/>
    </row>
    <row r="756" ht="15.75" customHeight="1">
      <c r="H756" s="19"/>
      <c r="I756" s="19"/>
      <c r="J756" s="19"/>
      <c r="K756" s="20"/>
    </row>
    <row r="757" ht="15.75" customHeight="1">
      <c r="H757" s="19"/>
      <c r="I757" s="19"/>
      <c r="J757" s="19"/>
      <c r="K757" s="20"/>
    </row>
    <row r="758" ht="15.75" customHeight="1">
      <c r="H758" s="19"/>
      <c r="I758" s="19"/>
      <c r="J758" s="19"/>
      <c r="K758" s="20"/>
    </row>
    <row r="759" ht="15.75" customHeight="1">
      <c r="H759" s="19"/>
      <c r="I759" s="19"/>
      <c r="J759" s="19"/>
      <c r="K759" s="20"/>
    </row>
    <row r="760" ht="15.75" customHeight="1">
      <c r="H760" s="19"/>
      <c r="I760" s="19"/>
      <c r="J760" s="19"/>
      <c r="K760" s="20"/>
    </row>
    <row r="761" ht="15.75" customHeight="1">
      <c r="H761" s="19"/>
      <c r="I761" s="19"/>
      <c r="J761" s="19"/>
      <c r="K761" s="20"/>
    </row>
    <row r="762" ht="15.75" customHeight="1">
      <c r="H762" s="19"/>
      <c r="I762" s="19"/>
      <c r="J762" s="19"/>
      <c r="K762" s="20"/>
    </row>
    <row r="763" ht="15.75" customHeight="1">
      <c r="H763" s="19"/>
      <c r="I763" s="19"/>
      <c r="J763" s="19"/>
      <c r="K763" s="20"/>
    </row>
    <row r="764" ht="15.75" customHeight="1">
      <c r="H764" s="19"/>
      <c r="I764" s="19"/>
      <c r="J764" s="19"/>
      <c r="K764" s="20"/>
    </row>
    <row r="765" ht="15.75" customHeight="1">
      <c r="H765" s="19"/>
      <c r="I765" s="19"/>
      <c r="J765" s="19"/>
      <c r="K765" s="20"/>
    </row>
    <row r="766" ht="15.75" customHeight="1">
      <c r="H766" s="19"/>
      <c r="I766" s="19"/>
      <c r="J766" s="19"/>
      <c r="K766" s="20"/>
    </row>
    <row r="767" ht="15.75" customHeight="1">
      <c r="H767" s="19"/>
      <c r="I767" s="19"/>
      <c r="J767" s="19"/>
      <c r="K767" s="20"/>
    </row>
    <row r="768" ht="15.75" customHeight="1">
      <c r="H768" s="19"/>
      <c r="I768" s="19"/>
      <c r="J768" s="19"/>
      <c r="K768" s="20"/>
    </row>
    <row r="769" ht="15.75" customHeight="1">
      <c r="H769" s="19"/>
      <c r="I769" s="19"/>
      <c r="J769" s="19"/>
      <c r="K769" s="20"/>
    </row>
    <row r="770" ht="15.75" customHeight="1">
      <c r="H770" s="19"/>
      <c r="I770" s="19"/>
      <c r="J770" s="19"/>
      <c r="K770" s="20"/>
    </row>
    <row r="771" ht="15.75" customHeight="1">
      <c r="H771" s="19"/>
      <c r="I771" s="19"/>
      <c r="J771" s="19"/>
      <c r="K771" s="20"/>
    </row>
    <row r="772" ht="15.75" customHeight="1">
      <c r="H772" s="19"/>
      <c r="I772" s="19"/>
      <c r="J772" s="19"/>
      <c r="K772" s="20"/>
    </row>
    <row r="773" ht="15.75" customHeight="1">
      <c r="H773" s="19"/>
      <c r="I773" s="19"/>
      <c r="J773" s="19"/>
      <c r="K773" s="20"/>
    </row>
    <row r="774" ht="15.75" customHeight="1">
      <c r="H774" s="19"/>
      <c r="I774" s="19"/>
      <c r="J774" s="19"/>
      <c r="K774" s="20"/>
    </row>
    <row r="775" ht="15.75" customHeight="1">
      <c r="H775" s="19"/>
      <c r="I775" s="19"/>
      <c r="J775" s="19"/>
      <c r="K775" s="20"/>
    </row>
    <row r="776" ht="15.75" customHeight="1">
      <c r="H776" s="19"/>
      <c r="I776" s="19"/>
      <c r="J776" s="19"/>
      <c r="K776" s="20"/>
    </row>
    <row r="777" ht="15.75" customHeight="1">
      <c r="H777" s="19"/>
      <c r="I777" s="19"/>
      <c r="J777" s="19"/>
      <c r="K777" s="20"/>
    </row>
    <row r="778" ht="15.75" customHeight="1">
      <c r="H778" s="19"/>
      <c r="I778" s="19"/>
      <c r="J778" s="19"/>
      <c r="K778" s="20"/>
    </row>
    <row r="779" ht="15.75" customHeight="1">
      <c r="H779" s="19"/>
      <c r="I779" s="19"/>
      <c r="J779" s="19"/>
      <c r="K779" s="20"/>
    </row>
    <row r="780" ht="15.75" customHeight="1">
      <c r="H780" s="19"/>
      <c r="I780" s="19"/>
      <c r="J780" s="19"/>
      <c r="K780" s="20"/>
    </row>
    <row r="781" ht="15.75" customHeight="1">
      <c r="H781" s="19"/>
      <c r="I781" s="19"/>
      <c r="J781" s="19"/>
      <c r="K781" s="20"/>
    </row>
    <row r="782" ht="15.75" customHeight="1">
      <c r="H782" s="19"/>
      <c r="I782" s="19"/>
      <c r="J782" s="19"/>
      <c r="K782" s="20"/>
    </row>
    <row r="783" ht="15.75" customHeight="1">
      <c r="H783" s="19"/>
      <c r="I783" s="19"/>
      <c r="J783" s="19"/>
      <c r="K783" s="20"/>
    </row>
    <row r="784" ht="15.75" customHeight="1">
      <c r="H784" s="19"/>
      <c r="I784" s="19"/>
      <c r="J784" s="19"/>
      <c r="K784" s="20"/>
    </row>
    <row r="785" ht="15.75" customHeight="1">
      <c r="H785" s="19"/>
      <c r="I785" s="19"/>
      <c r="J785" s="19"/>
      <c r="K785" s="20"/>
    </row>
    <row r="786" ht="15.75" customHeight="1">
      <c r="H786" s="19"/>
      <c r="I786" s="19"/>
      <c r="J786" s="19"/>
      <c r="K786" s="20"/>
    </row>
    <row r="787" ht="15.75" customHeight="1">
      <c r="H787" s="19"/>
      <c r="I787" s="19"/>
      <c r="J787" s="19"/>
      <c r="K787" s="20"/>
    </row>
    <row r="788" ht="15.75" customHeight="1">
      <c r="H788" s="19"/>
      <c r="I788" s="19"/>
      <c r="J788" s="19"/>
      <c r="K788" s="20"/>
    </row>
    <row r="789" ht="15.75" customHeight="1">
      <c r="H789" s="19"/>
      <c r="I789" s="19"/>
      <c r="J789" s="19"/>
      <c r="K789" s="20"/>
    </row>
    <row r="790" ht="15.75" customHeight="1">
      <c r="H790" s="19"/>
      <c r="I790" s="19"/>
      <c r="J790" s="19"/>
      <c r="K790" s="20"/>
    </row>
    <row r="791" ht="15.75" customHeight="1">
      <c r="H791" s="19"/>
      <c r="I791" s="19"/>
      <c r="J791" s="19"/>
      <c r="K791" s="20"/>
    </row>
    <row r="792" ht="15.75" customHeight="1">
      <c r="H792" s="19"/>
      <c r="I792" s="19"/>
      <c r="J792" s="19"/>
      <c r="K792" s="20"/>
    </row>
    <row r="793" ht="15.75" customHeight="1">
      <c r="H793" s="19"/>
      <c r="I793" s="19"/>
      <c r="J793" s="19"/>
      <c r="K793" s="20"/>
    </row>
    <row r="794" ht="15.75" customHeight="1">
      <c r="H794" s="19"/>
      <c r="I794" s="19"/>
      <c r="J794" s="19"/>
      <c r="K794" s="20"/>
    </row>
    <row r="795" ht="15.75" customHeight="1">
      <c r="H795" s="19"/>
      <c r="I795" s="19"/>
      <c r="J795" s="19"/>
      <c r="K795" s="20"/>
    </row>
    <row r="796" ht="15.75" customHeight="1">
      <c r="H796" s="19"/>
      <c r="I796" s="19"/>
      <c r="J796" s="19"/>
      <c r="K796" s="20"/>
    </row>
    <row r="797" ht="15.75" customHeight="1">
      <c r="H797" s="19"/>
      <c r="I797" s="19"/>
      <c r="J797" s="19"/>
      <c r="K797" s="20"/>
    </row>
    <row r="798" ht="15.75" customHeight="1">
      <c r="H798" s="19"/>
      <c r="I798" s="19"/>
      <c r="J798" s="19"/>
      <c r="K798" s="20"/>
    </row>
    <row r="799" ht="15.75" customHeight="1">
      <c r="H799" s="19"/>
      <c r="I799" s="19"/>
      <c r="J799" s="19"/>
      <c r="K799" s="20"/>
    </row>
    <row r="800" ht="15.75" customHeight="1">
      <c r="H800" s="19"/>
      <c r="I800" s="19"/>
      <c r="J800" s="19"/>
      <c r="K800" s="20"/>
    </row>
    <row r="801" ht="15.75" customHeight="1">
      <c r="H801" s="19"/>
      <c r="I801" s="19"/>
      <c r="J801" s="19"/>
      <c r="K801" s="20"/>
    </row>
    <row r="802" ht="15.75" customHeight="1">
      <c r="H802" s="19"/>
      <c r="I802" s="19"/>
      <c r="J802" s="19"/>
      <c r="K802" s="20"/>
    </row>
    <row r="803" ht="15.75" customHeight="1">
      <c r="H803" s="19"/>
      <c r="I803" s="19"/>
      <c r="J803" s="19"/>
      <c r="K803" s="20"/>
    </row>
    <row r="804" ht="15.75" customHeight="1">
      <c r="H804" s="19"/>
      <c r="I804" s="19"/>
      <c r="J804" s="19"/>
      <c r="K804" s="20"/>
    </row>
    <row r="805" ht="15.75" customHeight="1">
      <c r="H805" s="19"/>
      <c r="I805" s="19"/>
      <c r="J805" s="19"/>
      <c r="K805" s="20"/>
    </row>
    <row r="806" ht="15.75" customHeight="1">
      <c r="H806" s="19"/>
      <c r="I806" s="19"/>
      <c r="J806" s="19"/>
      <c r="K806" s="20"/>
    </row>
    <row r="807" ht="15.75" customHeight="1">
      <c r="H807" s="19"/>
      <c r="I807" s="19"/>
      <c r="J807" s="19"/>
      <c r="K807" s="20"/>
    </row>
    <row r="808" ht="15.75" customHeight="1">
      <c r="H808" s="19"/>
      <c r="I808" s="19"/>
      <c r="J808" s="19"/>
      <c r="K808" s="20"/>
    </row>
    <row r="809" ht="15.75" customHeight="1">
      <c r="H809" s="19"/>
      <c r="I809" s="19"/>
      <c r="J809" s="19"/>
      <c r="K809" s="20"/>
    </row>
    <row r="810" ht="15.75" customHeight="1">
      <c r="H810" s="19"/>
      <c r="I810" s="19"/>
      <c r="J810" s="19"/>
      <c r="K810" s="20"/>
    </row>
    <row r="811" ht="15.75" customHeight="1">
      <c r="H811" s="19"/>
      <c r="I811" s="19"/>
      <c r="J811" s="19"/>
      <c r="K811" s="20"/>
    </row>
    <row r="812" ht="15.75" customHeight="1">
      <c r="H812" s="19"/>
      <c r="I812" s="19"/>
      <c r="J812" s="19"/>
      <c r="K812" s="20"/>
    </row>
    <row r="813" ht="15.75" customHeight="1">
      <c r="H813" s="19"/>
      <c r="I813" s="19"/>
      <c r="J813" s="19"/>
      <c r="K813" s="20"/>
    </row>
    <row r="814" ht="15.75" customHeight="1">
      <c r="H814" s="19"/>
      <c r="I814" s="19"/>
      <c r="J814" s="19"/>
      <c r="K814" s="20"/>
    </row>
    <row r="815" ht="15.75" customHeight="1">
      <c r="H815" s="19"/>
      <c r="I815" s="19"/>
      <c r="J815" s="19"/>
      <c r="K815" s="20"/>
    </row>
    <row r="816" ht="15.75" customHeight="1">
      <c r="H816" s="19"/>
      <c r="I816" s="19"/>
      <c r="J816" s="19"/>
      <c r="K816" s="20"/>
    </row>
    <row r="817" ht="15.75" customHeight="1">
      <c r="H817" s="19"/>
      <c r="I817" s="19"/>
      <c r="J817" s="19"/>
      <c r="K817" s="20"/>
    </row>
    <row r="818" ht="15.75" customHeight="1">
      <c r="H818" s="19"/>
      <c r="I818" s="19"/>
      <c r="J818" s="19"/>
      <c r="K818" s="20"/>
    </row>
    <row r="819" ht="15.75" customHeight="1">
      <c r="H819" s="19"/>
      <c r="I819" s="19"/>
      <c r="J819" s="19"/>
      <c r="K819" s="20"/>
    </row>
    <row r="820" ht="15.75" customHeight="1">
      <c r="H820" s="19"/>
      <c r="I820" s="19"/>
      <c r="J820" s="19"/>
      <c r="K820" s="20"/>
    </row>
    <row r="821" ht="15.75" customHeight="1">
      <c r="H821" s="19"/>
      <c r="I821" s="19"/>
      <c r="J821" s="19"/>
      <c r="K821" s="20"/>
    </row>
    <row r="822" ht="15.75" customHeight="1">
      <c r="H822" s="19"/>
      <c r="I822" s="19"/>
      <c r="J822" s="19"/>
      <c r="K822" s="20"/>
    </row>
    <row r="823" ht="15.75" customHeight="1">
      <c r="H823" s="19"/>
      <c r="I823" s="19"/>
      <c r="J823" s="19"/>
      <c r="K823" s="20"/>
    </row>
    <row r="824" ht="15.75" customHeight="1">
      <c r="H824" s="19"/>
      <c r="I824" s="19"/>
      <c r="J824" s="19"/>
      <c r="K824" s="20"/>
    </row>
    <row r="825" ht="15.75" customHeight="1">
      <c r="H825" s="19"/>
      <c r="I825" s="19"/>
      <c r="J825" s="19"/>
      <c r="K825" s="20"/>
    </row>
    <row r="826" ht="15.75" customHeight="1">
      <c r="H826" s="19"/>
      <c r="I826" s="19"/>
      <c r="J826" s="19"/>
      <c r="K826" s="20"/>
    </row>
    <row r="827" ht="15.75" customHeight="1">
      <c r="H827" s="19"/>
      <c r="I827" s="19"/>
      <c r="J827" s="19"/>
      <c r="K827" s="20"/>
    </row>
    <row r="828" ht="15.75" customHeight="1">
      <c r="H828" s="19"/>
      <c r="I828" s="19"/>
      <c r="J828" s="19"/>
      <c r="K828" s="20"/>
    </row>
    <row r="829" ht="15.75" customHeight="1">
      <c r="H829" s="19"/>
      <c r="I829" s="19"/>
      <c r="J829" s="19"/>
      <c r="K829" s="20"/>
    </row>
    <row r="830" ht="15.75" customHeight="1">
      <c r="H830" s="19"/>
      <c r="I830" s="19"/>
      <c r="J830" s="19"/>
      <c r="K830" s="20"/>
    </row>
    <row r="831" ht="15.75" customHeight="1">
      <c r="H831" s="19"/>
      <c r="I831" s="19"/>
      <c r="J831" s="19"/>
      <c r="K831" s="20"/>
    </row>
    <row r="832" ht="15.75" customHeight="1">
      <c r="H832" s="19"/>
      <c r="I832" s="19"/>
      <c r="J832" s="19"/>
      <c r="K832" s="20"/>
    </row>
    <row r="833" ht="15.75" customHeight="1">
      <c r="H833" s="19"/>
      <c r="I833" s="19"/>
      <c r="J833" s="19"/>
      <c r="K833" s="20"/>
    </row>
    <row r="834" ht="15.75" customHeight="1">
      <c r="H834" s="19"/>
      <c r="I834" s="19"/>
      <c r="J834" s="19"/>
      <c r="K834" s="20"/>
    </row>
    <row r="835" ht="15.75" customHeight="1">
      <c r="H835" s="19"/>
      <c r="I835" s="19"/>
      <c r="J835" s="19"/>
      <c r="K835" s="20"/>
    </row>
    <row r="836" ht="15.75" customHeight="1">
      <c r="H836" s="19"/>
      <c r="I836" s="19"/>
      <c r="J836" s="19"/>
      <c r="K836" s="20"/>
    </row>
    <row r="837" ht="15.75" customHeight="1">
      <c r="H837" s="19"/>
      <c r="I837" s="19"/>
      <c r="J837" s="19"/>
      <c r="K837" s="20"/>
    </row>
    <row r="838" ht="15.75" customHeight="1">
      <c r="H838" s="19"/>
      <c r="I838" s="19"/>
      <c r="J838" s="19"/>
      <c r="K838" s="20"/>
    </row>
    <row r="839" ht="15.75" customHeight="1">
      <c r="H839" s="19"/>
      <c r="I839" s="19"/>
      <c r="J839" s="19"/>
      <c r="K839" s="20"/>
    </row>
    <row r="840" ht="15.75" customHeight="1">
      <c r="H840" s="19"/>
      <c r="I840" s="19"/>
      <c r="J840" s="19"/>
      <c r="K840" s="20"/>
    </row>
    <row r="841" ht="15.75" customHeight="1">
      <c r="H841" s="19"/>
      <c r="I841" s="19"/>
      <c r="J841" s="19"/>
      <c r="K841" s="20"/>
    </row>
    <row r="842" ht="15.75" customHeight="1">
      <c r="H842" s="19"/>
      <c r="I842" s="19"/>
      <c r="J842" s="19"/>
      <c r="K842" s="20"/>
    </row>
    <row r="843" ht="15.75" customHeight="1">
      <c r="H843" s="19"/>
      <c r="I843" s="19"/>
      <c r="J843" s="19"/>
      <c r="K843" s="20"/>
    </row>
    <row r="844" ht="15.75" customHeight="1">
      <c r="H844" s="19"/>
      <c r="I844" s="19"/>
      <c r="J844" s="19"/>
      <c r="K844" s="20"/>
    </row>
    <row r="845" ht="15.75" customHeight="1">
      <c r="H845" s="19"/>
      <c r="I845" s="19"/>
      <c r="J845" s="19"/>
      <c r="K845" s="20"/>
    </row>
    <row r="846" ht="15.75" customHeight="1">
      <c r="H846" s="19"/>
      <c r="I846" s="19"/>
      <c r="J846" s="19"/>
      <c r="K846" s="20"/>
    </row>
    <row r="847" ht="15.75" customHeight="1">
      <c r="H847" s="19"/>
      <c r="I847" s="19"/>
      <c r="J847" s="19"/>
      <c r="K847" s="20"/>
    </row>
    <row r="848" ht="15.75" customHeight="1">
      <c r="H848" s="19"/>
      <c r="I848" s="19"/>
      <c r="J848" s="19"/>
      <c r="K848" s="20"/>
    </row>
    <row r="849" ht="15.75" customHeight="1">
      <c r="H849" s="19"/>
      <c r="I849" s="19"/>
      <c r="J849" s="19"/>
      <c r="K849" s="20"/>
    </row>
    <row r="850" ht="15.75" customHeight="1">
      <c r="H850" s="19"/>
      <c r="I850" s="19"/>
      <c r="J850" s="19"/>
      <c r="K850" s="20"/>
    </row>
    <row r="851" ht="15.75" customHeight="1">
      <c r="H851" s="19"/>
      <c r="I851" s="19"/>
      <c r="J851" s="19"/>
      <c r="K851" s="20"/>
    </row>
    <row r="852" ht="15.75" customHeight="1">
      <c r="H852" s="19"/>
      <c r="I852" s="19"/>
      <c r="J852" s="19"/>
      <c r="K852" s="20"/>
    </row>
    <row r="853" ht="15.75" customHeight="1">
      <c r="H853" s="19"/>
      <c r="I853" s="19"/>
      <c r="J853" s="19"/>
      <c r="K853" s="20"/>
    </row>
    <row r="854" ht="15.75" customHeight="1">
      <c r="H854" s="19"/>
      <c r="I854" s="19"/>
      <c r="J854" s="19"/>
      <c r="K854" s="20"/>
    </row>
    <row r="855" ht="15.75" customHeight="1">
      <c r="H855" s="19"/>
      <c r="I855" s="19"/>
      <c r="J855" s="19"/>
      <c r="K855" s="20"/>
    </row>
    <row r="856" ht="15.75" customHeight="1">
      <c r="H856" s="19"/>
      <c r="I856" s="19"/>
      <c r="J856" s="19"/>
      <c r="K856" s="20"/>
    </row>
    <row r="857" ht="15.75" customHeight="1">
      <c r="H857" s="19"/>
      <c r="I857" s="19"/>
      <c r="J857" s="19"/>
      <c r="K857" s="20"/>
    </row>
    <row r="858" ht="15.75" customHeight="1">
      <c r="H858" s="19"/>
      <c r="I858" s="19"/>
      <c r="J858" s="19"/>
      <c r="K858" s="20"/>
    </row>
    <row r="859" ht="15.75" customHeight="1">
      <c r="H859" s="19"/>
      <c r="I859" s="19"/>
      <c r="J859" s="19"/>
      <c r="K859" s="20"/>
    </row>
    <row r="860" ht="15.75" customHeight="1">
      <c r="H860" s="19"/>
      <c r="I860" s="19"/>
      <c r="J860" s="19"/>
      <c r="K860" s="20"/>
    </row>
    <row r="861" ht="15.75" customHeight="1">
      <c r="H861" s="19"/>
      <c r="I861" s="19"/>
      <c r="J861" s="19"/>
      <c r="K861" s="20"/>
    </row>
    <row r="862" ht="15.75" customHeight="1">
      <c r="H862" s="19"/>
      <c r="I862" s="19"/>
      <c r="J862" s="19"/>
      <c r="K862" s="20"/>
    </row>
    <row r="863" ht="15.75" customHeight="1">
      <c r="H863" s="19"/>
      <c r="I863" s="19"/>
      <c r="J863" s="19"/>
      <c r="K863" s="20"/>
    </row>
    <row r="864" ht="15.75" customHeight="1">
      <c r="H864" s="19"/>
      <c r="I864" s="19"/>
      <c r="J864" s="19"/>
      <c r="K864" s="20"/>
    </row>
    <row r="865" ht="15.75" customHeight="1">
      <c r="H865" s="19"/>
      <c r="I865" s="19"/>
      <c r="J865" s="19"/>
      <c r="K865" s="20"/>
    </row>
    <row r="866" ht="15.75" customHeight="1">
      <c r="H866" s="19"/>
      <c r="I866" s="19"/>
      <c r="J866" s="19"/>
      <c r="K866" s="20"/>
    </row>
    <row r="867" ht="15.75" customHeight="1">
      <c r="H867" s="19"/>
      <c r="I867" s="19"/>
      <c r="J867" s="19"/>
      <c r="K867" s="20"/>
    </row>
    <row r="868" ht="15.75" customHeight="1">
      <c r="H868" s="19"/>
      <c r="I868" s="19"/>
      <c r="J868" s="19"/>
      <c r="K868" s="20"/>
    </row>
    <row r="869" ht="15.75" customHeight="1">
      <c r="H869" s="19"/>
      <c r="I869" s="19"/>
      <c r="J869" s="19"/>
      <c r="K869" s="20"/>
    </row>
    <row r="870" ht="15.75" customHeight="1">
      <c r="H870" s="19"/>
      <c r="I870" s="19"/>
      <c r="J870" s="19"/>
      <c r="K870" s="20"/>
    </row>
    <row r="871" ht="15.75" customHeight="1">
      <c r="H871" s="19"/>
      <c r="I871" s="19"/>
      <c r="J871" s="19"/>
      <c r="K871" s="20"/>
    </row>
    <row r="872" ht="15.75" customHeight="1">
      <c r="H872" s="19"/>
      <c r="I872" s="19"/>
      <c r="J872" s="19"/>
      <c r="K872" s="20"/>
    </row>
    <row r="873" ht="15.75" customHeight="1">
      <c r="H873" s="19"/>
      <c r="I873" s="19"/>
      <c r="J873" s="19"/>
      <c r="K873" s="20"/>
    </row>
    <row r="874" ht="15.75" customHeight="1">
      <c r="H874" s="19"/>
      <c r="I874" s="19"/>
      <c r="J874" s="19"/>
      <c r="K874" s="20"/>
    </row>
    <row r="875" ht="15.75" customHeight="1">
      <c r="H875" s="19"/>
      <c r="I875" s="19"/>
      <c r="J875" s="19"/>
      <c r="K875" s="20"/>
    </row>
    <row r="876" ht="15.75" customHeight="1">
      <c r="H876" s="19"/>
      <c r="I876" s="19"/>
      <c r="J876" s="19"/>
      <c r="K876" s="20"/>
    </row>
    <row r="877" ht="15.75" customHeight="1">
      <c r="H877" s="19"/>
      <c r="I877" s="19"/>
      <c r="J877" s="19"/>
      <c r="K877" s="20"/>
    </row>
    <row r="878" ht="15.75" customHeight="1">
      <c r="H878" s="19"/>
      <c r="I878" s="19"/>
      <c r="J878" s="19"/>
      <c r="K878" s="20"/>
    </row>
    <row r="879" ht="15.75" customHeight="1">
      <c r="H879" s="19"/>
      <c r="I879" s="19"/>
      <c r="J879" s="19"/>
      <c r="K879" s="20"/>
    </row>
    <row r="880" ht="15.75" customHeight="1">
      <c r="H880" s="19"/>
      <c r="I880" s="19"/>
      <c r="J880" s="19"/>
      <c r="K880" s="20"/>
    </row>
    <row r="881" ht="15.75" customHeight="1">
      <c r="H881" s="19"/>
      <c r="I881" s="19"/>
      <c r="J881" s="19"/>
      <c r="K881" s="20"/>
    </row>
    <row r="882" ht="15.75" customHeight="1">
      <c r="H882" s="19"/>
      <c r="I882" s="19"/>
      <c r="J882" s="19"/>
      <c r="K882" s="20"/>
    </row>
    <row r="883" ht="15.75" customHeight="1">
      <c r="H883" s="19"/>
      <c r="I883" s="19"/>
      <c r="J883" s="19"/>
      <c r="K883" s="20"/>
    </row>
    <row r="884" ht="15.75" customHeight="1">
      <c r="H884" s="19"/>
      <c r="I884" s="19"/>
      <c r="J884" s="19"/>
      <c r="K884" s="20"/>
    </row>
    <row r="885" ht="15.75" customHeight="1">
      <c r="H885" s="19"/>
      <c r="I885" s="19"/>
      <c r="J885" s="19"/>
      <c r="K885" s="20"/>
    </row>
    <row r="886" ht="15.75" customHeight="1">
      <c r="H886" s="19"/>
      <c r="I886" s="19"/>
      <c r="J886" s="19"/>
      <c r="K886" s="20"/>
    </row>
    <row r="887" ht="15.75" customHeight="1">
      <c r="H887" s="19"/>
      <c r="I887" s="19"/>
      <c r="J887" s="19"/>
      <c r="K887" s="20"/>
    </row>
    <row r="888" ht="15.75" customHeight="1">
      <c r="H888" s="19"/>
      <c r="I888" s="19"/>
      <c r="J888" s="19"/>
      <c r="K888" s="20"/>
    </row>
    <row r="889" ht="15.75" customHeight="1">
      <c r="H889" s="19"/>
      <c r="I889" s="19"/>
      <c r="J889" s="19"/>
      <c r="K889" s="20"/>
    </row>
    <row r="890" ht="15.75" customHeight="1">
      <c r="H890" s="19"/>
      <c r="I890" s="19"/>
      <c r="J890" s="19"/>
      <c r="K890" s="20"/>
    </row>
    <row r="891" ht="15.75" customHeight="1">
      <c r="H891" s="19"/>
      <c r="I891" s="19"/>
      <c r="J891" s="19"/>
      <c r="K891" s="20"/>
    </row>
    <row r="892" ht="15.75" customHeight="1">
      <c r="H892" s="19"/>
      <c r="I892" s="19"/>
      <c r="J892" s="19"/>
      <c r="K892" s="20"/>
    </row>
    <row r="893" ht="15.75" customHeight="1">
      <c r="H893" s="19"/>
      <c r="I893" s="19"/>
      <c r="J893" s="19"/>
      <c r="K893" s="20"/>
    </row>
    <row r="894" ht="15.75" customHeight="1">
      <c r="H894" s="19"/>
      <c r="I894" s="19"/>
      <c r="J894" s="19"/>
      <c r="K894" s="20"/>
    </row>
    <row r="895" ht="15.75" customHeight="1">
      <c r="H895" s="19"/>
      <c r="I895" s="19"/>
      <c r="J895" s="19"/>
      <c r="K895" s="20"/>
    </row>
    <row r="896" ht="15.75" customHeight="1">
      <c r="H896" s="19"/>
      <c r="I896" s="19"/>
      <c r="J896" s="19"/>
      <c r="K896" s="20"/>
    </row>
    <row r="897" ht="15.75" customHeight="1">
      <c r="H897" s="19"/>
      <c r="I897" s="19"/>
      <c r="J897" s="19"/>
      <c r="K897" s="20"/>
    </row>
    <row r="898" ht="15.75" customHeight="1">
      <c r="H898" s="19"/>
      <c r="I898" s="19"/>
      <c r="J898" s="19"/>
      <c r="K898" s="20"/>
    </row>
    <row r="899" ht="15.75" customHeight="1">
      <c r="H899" s="19"/>
      <c r="I899" s="19"/>
      <c r="J899" s="19"/>
      <c r="K899" s="20"/>
    </row>
    <row r="900" ht="15.75" customHeight="1">
      <c r="H900" s="19"/>
      <c r="I900" s="19"/>
      <c r="J900" s="19"/>
      <c r="K900" s="20"/>
    </row>
    <row r="901" ht="15.75" customHeight="1">
      <c r="H901" s="19"/>
      <c r="I901" s="19"/>
      <c r="J901" s="19"/>
      <c r="K901" s="20"/>
    </row>
    <row r="902" ht="15.75" customHeight="1">
      <c r="H902" s="19"/>
      <c r="I902" s="19"/>
      <c r="J902" s="19"/>
      <c r="K902" s="20"/>
    </row>
    <row r="903" ht="15.75" customHeight="1">
      <c r="H903" s="19"/>
      <c r="I903" s="19"/>
      <c r="J903" s="19"/>
      <c r="K903" s="20"/>
    </row>
    <row r="904" ht="15.75" customHeight="1">
      <c r="H904" s="19"/>
      <c r="I904" s="19"/>
      <c r="J904" s="19"/>
      <c r="K904" s="20"/>
    </row>
    <row r="905" ht="15.75" customHeight="1">
      <c r="H905" s="19"/>
      <c r="I905" s="19"/>
      <c r="J905" s="19"/>
      <c r="K905" s="20"/>
    </row>
    <row r="906" ht="15.75" customHeight="1">
      <c r="H906" s="19"/>
      <c r="I906" s="19"/>
      <c r="J906" s="19"/>
      <c r="K906" s="20"/>
    </row>
    <row r="907" ht="15.75" customHeight="1">
      <c r="H907" s="19"/>
      <c r="I907" s="19"/>
      <c r="J907" s="19"/>
      <c r="K907" s="20"/>
    </row>
    <row r="908" ht="15.75" customHeight="1">
      <c r="H908" s="19"/>
      <c r="I908" s="19"/>
      <c r="J908" s="19"/>
      <c r="K908" s="20"/>
    </row>
    <row r="909" ht="15.75" customHeight="1">
      <c r="H909" s="19"/>
      <c r="I909" s="19"/>
      <c r="J909" s="19"/>
      <c r="K909" s="20"/>
    </row>
    <row r="910" ht="15.75" customHeight="1">
      <c r="H910" s="19"/>
      <c r="I910" s="19"/>
      <c r="J910" s="19"/>
      <c r="K910" s="20"/>
    </row>
    <row r="911" ht="15.75" customHeight="1">
      <c r="H911" s="19"/>
      <c r="I911" s="19"/>
      <c r="J911" s="19"/>
      <c r="K911" s="20"/>
    </row>
    <row r="912" ht="15.75" customHeight="1">
      <c r="H912" s="19"/>
      <c r="I912" s="19"/>
      <c r="J912" s="19"/>
      <c r="K912" s="20"/>
    </row>
    <row r="913" ht="15.75" customHeight="1">
      <c r="H913" s="19"/>
      <c r="I913" s="19"/>
      <c r="J913" s="19"/>
      <c r="K913" s="20"/>
    </row>
    <row r="914" ht="15.75" customHeight="1">
      <c r="H914" s="19"/>
      <c r="I914" s="19"/>
      <c r="J914" s="19"/>
      <c r="K914" s="20"/>
    </row>
    <row r="915" ht="15.75" customHeight="1">
      <c r="H915" s="19"/>
      <c r="I915" s="19"/>
      <c r="J915" s="19"/>
      <c r="K915" s="20"/>
    </row>
    <row r="916" ht="15.75" customHeight="1">
      <c r="H916" s="19"/>
      <c r="I916" s="19"/>
      <c r="J916" s="19"/>
      <c r="K916" s="20"/>
    </row>
    <row r="917" ht="15.75" customHeight="1">
      <c r="H917" s="19"/>
      <c r="I917" s="19"/>
      <c r="J917" s="19"/>
      <c r="K917" s="20"/>
    </row>
    <row r="918" ht="15.75" customHeight="1">
      <c r="H918" s="19"/>
      <c r="I918" s="19"/>
      <c r="J918" s="19"/>
      <c r="K918" s="20"/>
    </row>
    <row r="919" ht="15.75" customHeight="1">
      <c r="H919" s="19"/>
      <c r="I919" s="19"/>
      <c r="J919" s="19"/>
      <c r="K919" s="20"/>
    </row>
    <row r="920" ht="15.75" customHeight="1">
      <c r="H920" s="19"/>
      <c r="I920" s="19"/>
      <c r="J920" s="19"/>
      <c r="K920" s="20"/>
    </row>
    <row r="921" ht="15.75" customHeight="1">
      <c r="H921" s="19"/>
      <c r="I921" s="19"/>
      <c r="J921" s="19"/>
      <c r="K921" s="20"/>
    </row>
    <row r="922" ht="15.75" customHeight="1">
      <c r="H922" s="19"/>
      <c r="I922" s="19"/>
      <c r="J922" s="19"/>
      <c r="K922" s="20"/>
    </row>
    <row r="923" ht="15.75" customHeight="1">
      <c r="H923" s="19"/>
      <c r="I923" s="19"/>
      <c r="J923" s="19"/>
      <c r="K923" s="20"/>
    </row>
    <row r="924" ht="15.75" customHeight="1">
      <c r="H924" s="19"/>
      <c r="I924" s="19"/>
      <c r="J924" s="19"/>
      <c r="K924" s="20"/>
    </row>
    <row r="925" ht="15.75" customHeight="1">
      <c r="H925" s="19"/>
      <c r="I925" s="19"/>
      <c r="J925" s="19"/>
      <c r="K925" s="20"/>
    </row>
    <row r="926" ht="15.75" customHeight="1">
      <c r="H926" s="19"/>
      <c r="I926" s="19"/>
      <c r="J926" s="19"/>
      <c r="K926" s="20"/>
    </row>
    <row r="927" ht="15.75" customHeight="1">
      <c r="H927" s="19"/>
      <c r="I927" s="19"/>
      <c r="J927" s="19"/>
      <c r="K927" s="20"/>
    </row>
    <row r="928" ht="15.75" customHeight="1">
      <c r="H928" s="19"/>
      <c r="I928" s="19"/>
      <c r="J928" s="19"/>
      <c r="K928" s="20"/>
    </row>
    <row r="929" ht="15.75" customHeight="1">
      <c r="H929" s="19"/>
      <c r="I929" s="19"/>
      <c r="J929" s="19"/>
      <c r="K929" s="20"/>
    </row>
    <row r="930" ht="15.75" customHeight="1">
      <c r="H930" s="19"/>
      <c r="I930" s="19"/>
      <c r="J930" s="19"/>
      <c r="K930" s="20"/>
    </row>
    <row r="931" ht="15.75" customHeight="1">
      <c r="H931" s="19"/>
      <c r="I931" s="19"/>
      <c r="J931" s="19"/>
      <c r="K931" s="20"/>
    </row>
    <row r="932" ht="15.75" customHeight="1">
      <c r="H932" s="19"/>
      <c r="I932" s="19"/>
      <c r="J932" s="19"/>
      <c r="K932" s="20"/>
    </row>
    <row r="933" ht="15.75" customHeight="1">
      <c r="H933" s="19"/>
      <c r="I933" s="19"/>
      <c r="J933" s="19"/>
      <c r="K933" s="20"/>
    </row>
    <row r="934" ht="15.75" customHeight="1">
      <c r="H934" s="19"/>
      <c r="I934" s="19"/>
      <c r="J934" s="19"/>
      <c r="K934" s="20"/>
    </row>
    <row r="935" ht="15.75" customHeight="1">
      <c r="H935" s="19"/>
      <c r="I935" s="19"/>
      <c r="J935" s="19"/>
      <c r="K935" s="20"/>
    </row>
    <row r="936" ht="15.75" customHeight="1">
      <c r="H936" s="19"/>
      <c r="I936" s="19"/>
      <c r="J936" s="19"/>
      <c r="K936" s="20"/>
    </row>
    <row r="937" ht="15.75" customHeight="1">
      <c r="H937" s="19"/>
      <c r="I937" s="19"/>
      <c r="J937" s="19"/>
      <c r="K937" s="20"/>
    </row>
    <row r="938" ht="15.75" customHeight="1">
      <c r="H938" s="19"/>
      <c r="I938" s="19"/>
      <c r="J938" s="19"/>
      <c r="K938" s="20"/>
    </row>
    <row r="939" ht="15.75" customHeight="1">
      <c r="H939" s="19"/>
      <c r="I939" s="19"/>
      <c r="J939" s="19"/>
      <c r="K939" s="20"/>
    </row>
    <row r="940" ht="15.75" customHeight="1">
      <c r="H940" s="19"/>
      <c r="I940" s="19"/>
      <c r="J940" s="19"/>
      <c r="K940" s="20"/>
    </row>
    <row r="941" ht="15.75" customHeight="1">
      <c r="H941" s="19"/>
      <c r="I941" s="19"/>
      <c r="J941" s="19"/>
      <c r="K941" s="20"/>
    </row>
    <row r="942" ht="15.75" customHeight="1">
      <c r="H942" s="19"/>
      <c r="I942" s="19"/>
      <c r="J942" s="19"/>
      <c r="K942" s="20"/>
    </row>
    <row r="943" ht="15.75" customHeight="1">
      <c r="H943" s="19"/>
      <c r="I943" s="19"/>
      <c r="J943" s="19"/>
      <c r="K943" s="20"/>
    </row>
    <row r="944" ht="15.75" customHeight="1">
      <c r="H944" s="19"/>
      <c r="I944" s="19"/>
      <c r="J944" s="19"/>
      <c r="K944" s="20"/>
    </row>
    <row r="945" ht="15.75" customHeight="1">
      <c r="H945" s="19"/>
      <c r="I945" s="19"/>
      <c r="J945" s="19"/>
      <c r="K945" s="20"/>
    </row>
    <row r="946" ht="15.75" customHeight="1">
      <c r="H946" s="19"/>
      <c r="I946" s="19"/>
      <c r="J946" s="19"/>
      <c r="K946" s="20"/>
    </row>
    <row r="947" ht="15.75" customHeight="1">
      <c r="H947" s="19"/>
      <c r="I947" s="19"/>
      <c r="J947" s="19"/>
      <c r="K947" s="20"/>
    </row>
    <row r="948" ht="15.75" customHeight="1">
      <c r="H948" s="19"/>
      <c r="I948" s="19"/>
      <c r="J948" s="19"/>
      <c r="K948" s="20"/>
    </row>
    <row r="949" ht="15.75" customHeight="1">
      <c r="H949" s="19"/>
      <c r="I949" s="19"/>
      <c r="J949" s="19"/>
      <c r="K949" s="20"/>
    </row>
    <row r="950" ht="15.75" customHeight="1">
      <c r="H950" s="19"/>
      <c r="I950" s="19"/>
      <c r="J950" s="19"/>
      <c r="K950" s="20"/>
    </row>
    <row r="951" ht="15.75" customHeight="1">
      <c r="H951" s="19"/>
      <c r="I951" s="19"/>
      <c r="J951" s="19"/>
      <c r="K951" s="20"/>
    </row>
    <row r="952" ht="15.75" customHeight="1">
      <c r="H952" s="19"/>
      <c r="I952" s="19"/>
      <c r="J952" s="19"/>
      <c r="K952" s="20"/>
    </row>
    <row r="953" ht="15.75" customHeight="1">
      <c r="H953" s="19"/>
      <c r="I953" s="19"/>
      <c r="J953" s="19"/>
      <c r="K953" s="20"/>
    </row>
    <row r="954" ht="15.75" customHeight="1">
      <c r="H954" s="19"/>
      <c r="I954" s="19"/>
      <c r="J954" s="19"/>
      <c r="K954" s="20"/>
    </row>
    <row r="955" ht="15.75" customHeight="1">
      <c r="H955" s="19"/>
      <c r="I955" s="19"/>
      <c r="J955" s="19"/>
      <c r="K955" s="20"/>
    </row>
    <row r="956" ht="15.75" customHeight="1">
      <c r="H956" s="19"/>
      <c r="I956" s="19"/>
      <c r="J956" s="19"/>
      <c r="K956" s="20"/>
    </row>
    <row r="957" ht="15.75" customHeight="1">
      <c r="H957" s="19"/>
      <c r="I957" s="19"/>
      <c r="J957" s="19"/>
      <c r="K957" s="20"/>
    </row>
    <row r="958" ht="15.75" customHeight="1">
      <c r="H958" s="19"/>
      <c r="I958" s="19"/>
      <c r="J958" s="19"/>
      <c r="K958" s="20"/>
    </row>
    <row r="959" ht="15.75" customHeight="1">
      <c r="H959" s="19"/>
      <c r="I959" s="19"/>
      <c r="J959" s="19"/>
      <c r="K959" s="20"/>
    </row>
    <row r="960" ht="15.75" customHeight="1">
      <c r="H960" s="19"/>
      <c r="I960" s="19"/>
      <c r="J960" s="19"/>
      <c r="K960" s="20"/>
    </row>
    <row r="961" ht="15.75" customHeight="1">
      <c r="H961" s="19"/>
      <c r="I961" s="19"/>
      <c r="J961" s="19"/>
      <c r="K961" s="20"/>
    </row>
    <row r="962" ht="15.75" customHeight="1">
      <c r="H962" s="19"/>
      <c r="I962" s="19"/>
      <c r="J962" s="19"/>
      <c r="K962" s="20"/>
    </row>
    <row r="963" ht="15.75" customHeight="1">
      <c r="H963" s="19"/>
      <c r="I963" s="19"/>
      <c r="J963" s="19"/>
      <c r="K963" s="20"/>
    </row>
    <row r="964" ht="15.75" customHeight="1">
      <c r="H964" s="19"/>
      <c r="I964" s="19"/>
      <c r="J964" s="19"/>
      <c r="K964" s="20"/>
    </row>
    <row r="965" ht="15.75" customHeight="1">
      <c r="H965" s="19"/>
      <c r="I965" s="19"/>
      <c r="J965" s="19"/>
      <c r="K965" s="20"/>
    </row>
    <row r="966" ht="15.75" customHeight="1">
      <c r="H966" s="19"/>
      <c r="I966" s="19"/>
      <c r="J966" s="19"/>
      <c r="K966" s="20"/>
    </row>
    <row r="967" ht="15.75" customHeight="1">
      <c r="H967" s="19"/>
      <c r="I967" s="19"/>
      <c r="J967" s="19"/>
      <c r="K967" s="20"/>
    </row>
    <row r="968" ht="15.75" customHeight="1">
      <c r="H968" s="19"/>
      <c r="I968" s="19"/>
      <c r="J968" s="19"/>
      <c r="K968" s="20"/>
    </row>
    <row r="969" ht="15.75" customHeight="1">
      <c r="H969" s="19"/>
      <c r="I969" s="19"/>
      <c r="J969" s="19"/>
      <c r="K969" s="20"/>
    </row>
    <row r="970" ht="15.75" customHeight="1">
      <c r="H970" s="19"/>
      <c r="I970" s="19"/>
      <c r="J970" s="19"/>
      <c r="K970" s="20"/>
    </row>
    <row r="971" ht="15.75" customHeight="1">
      <c r="H971" s="19"/>
      <c r="I971" s="19"/>
      <c r="J971" s="19"/>
      <c r="K971" s="20"/>
    </row>
    <row r="972" ht="15.75" customHeight="1">
      <c r="H972" s="19"/>
      <c r="I972" s="19"/>
      <c r="J972" s="19"/>
      <c r="K972" s="20"/>
    </row>
    <row r="973" ht="15.75" customHeight="1">
      <c r="H973" s="19"/>
      <c r="I973" s="19"/>
      <c r="J973" s="19"/>
      <c r="K973" s="20"/>
    </row>
    <row r="974" ht="15.75" customHeight="1">
      <c r="H974" s="19"/>
      <c r="I974" s="19"/>
      <c r="J974" s="19"/>
      <c r="K974" s="20"/>
    </row>
    <row r="975" ht="15.75" customHeight="1">
      <c r="H975" s="19"/>
      <c r="I975" s="19"/>
      <c r="J975" s="19"/>
      <c r="K975" s="20"/>
    </row>
    <row r="976" ht="15.75" customHeight="1">
      <c r="H976" s="19"/>
      <c r="I976" s="19"/>
      <c r="J976" s="19"/>
      <c r="K976" s="20"/>
    </row>
    <row r="977" ht="15.75" customHeight="1">
      <c r="H977" s="19"/>
      <c r="I977" s="19"/>
      <c r="J977" s="19"/>
      <c r="K977" s="20"/>
    </row>
    <row r="978" ht="15.75" customHeight="1">
      <c r="H978" s="19"/>
      <c r="I978" s="19"/>
      <c r="J978" s="19"/>
      <c r="K978" s="20"/>
    </row>
    <row r="979" ht="15.75" customHeight="1">
      <c r="H979" s="19"/>
      <c r="I979" s="19"/>
      <c r="J979" s="19"/>
      <c r="K979" s="20"/>
    </row>
    <row r="980" ht="15.75" customHeight="1">
      <c r="H980" s="19"/>
      <c r="I980" s="19"/>
      <c r="J980" s="19"/>
      <c r="K980" s="20"/>
    </row>
    <row r="981" ht="15.75" customHeight="1">
      <c r="H981" s="19"/>
      <c r="I981" s="19"/>
      <c r="J981" s="19"/>
      <c r="K981" s="20"/>
    </row>
    <row r="982" ht="15.75" customHeight="1">
      <c r="H982" s="19"/>
      <c r="I982" s="19"/>
      <c r="J982" s="19"/>
      <c r="K982" s="20"/>
    </row>
    <row r="983" ht="15.75" customHeight="1">
      <c r="H983" s="19"/>
      <c r="I983" s="19"/>
      <c r="J983" s="19"/>
      <c r="K983" s="20"/>
    </row>
    <row r="984" ht="15.75" customHeight="1">
      <c r="H984" s="19"/>
      <c r="I984" s="19"/>
      <c r="J984" s="19"/>
      <c r="K984" s="20"/>
    </row>
    <row r="985" ht="15.75" customHeight="1">
      <c r="H985" s="19"/>
      <c r="I985" s="19"/>
      <c r="J985" s="19"/>
      <c r="K985" s="20"/>
    </row>
    <row r="986" ht="15.75" customHeight="1">
      <c r="H986" s="19"/>
      <c r="I986" s="19"/>
      <c r="J986" s="19"/>
      <c r="K986" s="20"/>
    </row>
    <row r="987" ht="15.75" customHeight="1">
      <c r="H987" s="19"/>
      <c r="I987" s="19"/>
      <c r="J987" s="19"/>
      <c r="K987" s="20"/>
    </row>
    <row r="988" ht="15.75" customHeight="1">
      <c r="H988" s="19"/>
      <c r="I988" s="19"/>
      <c r="J988" s="19"/>
      <c r="K988" s="20"/>
    </row>
    <row r="989" ht="15.75" customHeight="1">
      <c r="H989" s="19"/>
      <c r="I989" s="19"/>
      <c r="J989" s="19"/>
      <c r="K989" s="20"/>
    </row>
    <row r="990" ht="15.75" customHeight="1">
      <c r="H990" s="19"/>
      <c r="I990" s="19"/>
      <c r="J990" s="19"/>
      <c r="K990" s="20"/>
    </row>
    <row r="991" ht="15.75" customHeight="1">
      <c r="H991" s="19"/>
      <c r="I991" s="19"/>
      <c r="J991" s="19"/>
      <c r="K991" s="20"/>
    </row>
    <row r="992" ht="15.75" customHeight="1">
      <c r="H992" s="19"/>
      <c r="I992" s="19"/>
      <c r="J992" s="19"/>
      <c r="K992" s="20"/>
    </row>
    <row r="993" ht="15.75" customHeight="1">
      <c r="H993" s="19"/>
      <c r="I993" s="19"/>
      <c r="J993" s="19"/>
      <c r="K993" s="20"/>
    </row>
    <row r="994" ht="15.75" customHeight="1">
      <c r="H994" s="19"/>
      <c r="I994" s="19"/>
      <c r="J994" s="19"/>
      <c r="K994" s="20"/>
    </row>
    <row r="995" ht="15.75" customHeight="1">
      <c r="H995" s="19"/>
      <c r="I995" s="19"/>
      <c r="J995" s="19"/>
      <c r="K995" s="20"/>
    </row>
    <row r="996" ht="15.75" customHeight="1">
      <c r="H996" s="19"/>
      <c r="I996" s="19"/>
      <c r="J996" s="19"/>
      <c r="K996" s="20"/>
    </row>
    <row r="997" ht="15.75" customHeight="1">
      <c r="H997" s="19"/>
      <c r="I997" s="19"/>
      <c r="J997" s="19"/>
      <c r="K997" s="20"/>
    </row>
    <row r="998" ht="15.75" customHeight="1">
      <c r="H998" s="19"/>
      <c r="I998" s="19"/>
      <c r="J998" s="19"/>
      <c r="K998" s="20"/>
    </row>
    <row r="999" ht="15.75" customHeight="1">
      <c r="H999" s="19"/>
      <c r="I999" s="19"/>
      <c r="J999" s="19"/>
      <c r="K999" s="20"/>
    </row>
    <row r="1000" ht="15.75" customHeight="1">
      <c r="H1000" s="19"/>
      <c r="I1000" s="19"/>
      <c r="J1000" s="19"/>
      <c r="K1000" s="20"/>
    </row>
  </sheetData>
  <dataValidations>
    <dataValidation type="custom" allowBlank="1" showDropDown="1" sqref="H2:J78">
      <formula1>AND(ISNUMBER(H2),(NOT(OR(NOT(ISERROR(DATEVALUE(H2))), AND(ISNUMBER(H2), LEFT(CELL("format", H2))="D")))))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0"/>
    <col customWidth="1" min="2" max="2" width="32.44"/>
    <col customWidth="1" min="3" max="4" width="18.56"/>
    <col customWidth="1" min="5" max="5" width="25.56"/>
    <col customWidth="1" min="6" max="6" width="13.44"/>
    <col customWidth="1" min="7" max="7" width="13.67"/>
    <col customWidth="1" min="8" max="10" width="21.33"/>
  </cols>
  <sheetData>
    <row r="1" ht="15.75" customHeight="1">
      <c r="A1" s="4" t="s">
        <v>1</v>
      </c>
      <c r="B1" s="4" t="s">
        <v>358</v>
      </c>
      <c r="C1" s="4" t="s">
        <v>359</v>
      </c>
      <c r="D1" s="4" t="s">
        <v>360</v>
      </c>
      <c r="E1" s="4" t="s">
        <v>361</v>
      </c>
      <c r="F1" s="4" t="s">
        <v>362</v>
      </c>
      <c r="G1" s="4" t="s">
        <v>363</v>
      </c>
      <c r="H1" s="4" t="s">
        <v>364</v>
      </c>
      <c r="I1" s="4" t="s">
        <v>365</v>
      </c>
      <c r="J1" s="4" t="s">
        <v>366</v>
      </c>
    </row>
    <row r="2" ht="15.75" customHeight="1">
      <c r="A2" s="21" t="s">
        <v>100</v>
      </c>
      <c r="B2" s="21" t="s">
        <v>367</v>
      </c>
      <c r="C2" s="21" t="s">
        <v>368</v>
      </c>
      <c r="D2" s="21" t="s">
        <v>369</v>
      </c>
      <c r="E2" s="21" t="s">
        <v>370</v>
      </c>
      <c r="F2" s="21" t="s">
        <v>218</v>
      </c>
      <c r="G2" s="21" t="s">
        <v>371</v>
      </c>
      <c r="H2" s="15" t="s">
        <v>372</v>
      </c>
      <c r="I2" s="15" t="s">
        <v>219</v>
      </c>
      <c r="J2" s="15" t="s">
        <v>373</v>
      </c>
    </row>
    <row r="3" ht="15.75" customHeight="1">
      <c r="A3" s="21" t="s">
        <v>54</v>
      </c>
      <c r="B3" s="21" t="s">
        <v>374</v>
      </c>
      <c r="C3" s="21" t="s">
        <v>375</v>
      </c>
      <c r="D3" s="21" t="s">
        <v>376</v>
      </c>
      <c r="E3" s="21" t="s">
        <v>377</v>
      </c>
      <c r="F3" s="21" t="s">
        <v>378</v>
      </c>
      <c r="G3" s="21" t="s">
        <v>371</v>
      </c>
      <c r="H3" s="15" t="s">
        <v>379</v>
      </c>
      <c r="I3" s="15" t="s">
        <v>380</v>
      </c>
      <c r="J3" s="15" t="s">
        <v>381</v>
      </c>
    </row>
    <row r="4" ht="15.75" customHeight="1">
      <c r="A4" s="21" t="s">
        <v>74</v>
      </c>
      <c r="B4" s="21" t="s">
        <v>382</v>
      </c>
      <c r="C4" s="21" t="s">
        <v>383</v>
      </c>
      <c r="D4" s="21" t="s">
        <v>376</v>
      </c>
      <c r="E4" s="21" t="s">
        <v>384</v>
      </c>
      <c r="F4" s="21" t="s">
        <v>378</v>
      </c>
      <c r="G4" s="21" t="s">
        <v>371</v>
      </c>
      <c r="H4" s="15" t="s">
        <v>385</v>
      </c>
      <c r="I4" s="15" t="s">
        <v>380</v>
      </c>
      <c r="J4" s="15" t="s">
        <v>386</v>
      </c>
    </row>
    <row r="5" ht="15.75" customHeight="1">
      <c r="A5" s="21" t="s">
        <v>70</v>
      </c>
      <c r="B5" s="21" t="s">
        <v>387</v>
      </c>
      <c r="C5" s="21" t="s">
        <v>388</v>
      </c>
      <c r="D5" s="21" t="s">
        <v>369</v>
      </c>
      <c r="E5" s="21" t="s">
        <v>389</v>
      </c>
      <c r="F5" s="21" t="s">
        <v>124</v>
      </c>
      <c r="G5" s="21" t="s">
        <v>371</v>
      </c>
      <c r="H5" s="15" t="s">
        <v>390</v>
      </c>
      <c r="I5" s="15" t="s">
        <v>125</v>
      </c>
      <c r="J5" s="15" t="s">
        <v>391</v>
      </c>
    </row>
    <row r="6" ht="15.75" customHeight="1">
      <c r="A6" s="21" t="s">
        <v>40</v>
      </c>
      <c r="B6" s="21" t="s">
        <v>392</v>
      </c>
      <c r="C6" s="21" t="s">
        <v>393</v>
      </c>
      <c r="D6" s="21" t="s">
        <v>394</v>
      </c>
      <c r="E6" s="21" t="s">
        <v>395</v>
      </c>
      <c r="F6" s="21" t="s">
        <v>396</v>
      </c>
      <c r="G6" s="21" t="s">
        <v>371</v>
      </c>
      <c r="H6" s="15" t="s">
        <v>397</v>
      </c>
      <c r="I6" s="15" t="s">
        <v>202</v>
      </c>
      <c r="J6" s="15" t="s">
        <v>398</v>
      </c>
    </row>
    <row r="7" ht="15.75" customHeight="1">
      <c r="A7" s="21" t="s">
        <v>91</v>
      </c>
      <c r="B7" s="21" t="s">
        <v>399</v>
      </c>
      <c r="C7" s="21" t="s">
        <v>400</v>
      </c>
      <c r="D7" s="21" t="s">
        <v>369</v>
      </c>
      <c r="E7" s="21" t="s">
        <v>401</v>
      </c>
      <c r="F7" s="21" t="s">
        <v>402</v>
      </c>
      <c r="G7" s="21" t="s">
        <v>371</v>
      </c>
      <c r="H7" s="15" t="s">
        <v>403</v>
      </c>
      <c r="I7" s="15" t="s">
        <v>219</v>
      </c>
      <c r="J7" s="15" t="s">
        <v>404</v>
      </c>
    </row>
    <row r="8" ht="15.75" customHeight="1">
      <c r="A8" s="21" t="s">
        <v>30</v>
      </c>
      <c r="B8" s="21" t="s">
        <v>405</v>
      </c>
      <c r="C8" s="21" t="s">
        <v>406</v>
      </c>
      <c r="D8" s="21" t="s">
        <v>407</v>
      </c>
      <c r="E8" s="21" t="s">
        <v>408</v>
      </c>
      <c r="F8" s="21" t="s">
        <v>409</v>
      </c>
      <c r="G8" s="21" t="s">
        <v>371</v>
      </c>
      <c r="H8" s="15" t="s">
        <v>410</v>
      </c>
      <c r="I8" s="15" t="s">
        <v>258</v>
      </c>
      <c r="J8" s="15" t="s">
        <v>411</v>
      </c>
    </row>
    <row r="9" ht="15.75" customHeight="1">
      <c r="A9" s="21" t="s">
        <v>61</v>
      </c>
      <c r="B9" s="21" t="s">
        <v>412</v>
      </c>
      <c r="C9" s="21" t="s">
        <v>413</v>
      </c>
      <c r="D9" s="21" t="s">
        <v>376</v>
      </c>
      <c r="E9" s="21" t="s">
        <v>414</v>
      </c>
      <c r="F9" s="21" t="s">
        <v>415</v>
      </c>
      <c r="G9" s="21" t="s">
        <v>371</v>
      </c>
      <c r="H9" s="15" t="s">
        <v>416</v>
      </c>
      <c r="I9" s="15" t="s">
        <v>166</v>
      </c>
      <c r="J9" s="15" t="s">
        <v>417</v>
      </c>
    </row>
    <row r="10" ht="15.75" customHeight="1">
      <c r="A10" s="21" t="s">
        <v>63</v>
      </c>
      <c r="B10" s="21" t="s">
        <v>418</v>
      </c>
      <c r="C10" s="21" t="s">
        <v>419</v>
      </c>
      <c r="D10" s="21" t="s">
        <v>376</v>
      </c>
      <c r="E10" s="21" t="s">
        <v>420</v>
      </c>
      <c r="F10" s="21" t="s">
        <v>421</v>
      </c>
      <c r="G10" s="21" t="s">
        <v>371</v>
      </c>
      <c r="H10" s="15" t="s">
        <v>422</v>
      </c>
      <c r="I10" s="15" t="s">
        <v>258</v>
      </c>
      <c r="J10" s="15" t="s">
        <v>423</v>
      </c>
    </row>
    <row r="11" ht="15.75" customHeight="1">
      <c r="A11" s="21" t="s">
        <v>81</v>
      </c>
      <c r="B11" s="21" t="s">
        <v>424</v>
      </c>
      <c r="C11" s="21" t="s">
        <v>425</v>
      </c>
      <c r="D11" s="21" t="s">
        <v>426</v>
      </c>
      <c r="E11" s="21" t="s">
        <v>427</v>
      </c>
      <c r="F11" s="21" t="s">
        <v>428</v>
      </c>
      <c r="G11" s="21" t="s">
        <v>429</v>
      </c>
      <c r="H11" s="15" t="s">
        <v>430</v>
      </c>
      <c r="I11" s="15" t="s">
        <v>308</v>
      </c>
      <c r="J11" s="15" t="s">
        <v>431</v>
      </c>
    </row>
    <row r="12" ht="15.75" customHeight="1">
      <c r="A12" s="21" t="s">
        <v>46</v>
      </c>
      <c r="B12" s="21" t="s">
        <v>432</v>
      </c>
      <c r="C12" s="21" t="s">
        <v>433</v>
      </c>
      <c r="D12" s="21" t="s">
        <v>369</v>
      </c>
      <c r="E12" s="21" t="s">
        <v>434</v>
      </c>
      <c r="F12" s="21" t="s">
        <v>124</v>
      </c>
      <c r="G12" s="21" t="s">
        <v>371</v>
      </c>
      <c r="H12" s="15" t="s">
        <v>435</v>
      </c>
      <c r="I12" s="15" t="s">
        <v>125</v>
      </c>
      <c r="J12" s="15" t="s">
        <v>436</v>
      </c>
    </row>
    <row r="13" ht="15.75" customHeight="1">
      <c r="A13" s="21" t="s">
        <v>93</v>
      </c>
      <c r="B13" s="21" t="s">
        <v>437</v>
      </c>
      <c r="C13" s="21" t="s">
        <v>438</v>
      </c>
      <c r="D13" s="21" t="s">
        <v>439</v>
      </c>
      <c r="E13" s="21" t="s">
        <v>440</v>
      </c>
      <c r="F13" s="21" t="s">
        <v>441</v>
      </c>
      <c r="G13" s="21" t="s">
        <v>371</v>
      </c>
      <c r="H13" s="15" t="s">
        <v>442</v>
      </c>
      <c r="I13" s="15" t="s">
        <v>443</v>
      </c>
      <c r="J13" s="15" t="s">
        <v>444</v>
      </c>
    </row>
    <row r="14" ht="15.75" customHeight="1">
      <c r="A14" s="21" t="s">
        <v>25</v>
      </c>
      <c r="B14" s="21" t="s">
        <v>445</v>
      </c>
      <c r="C14" s="21" t="s">
        <v>446</v>
      </c>
      <c r="D14" s="21" t="s">
        <v>407</v>
      </c>
      <c r="E14" s="21" t="s">
        <v>447</v>
      </c>
      <c r="F14" s="21" t="s">
        <v>378</v>
      </c>
      <c r="G14" s="21" t="s">
        <v>371</v>
      </c>
      <c r="H14" s="15" t="s">
        <v>448</v>
      </c>
      <c r="I14" s="15" t="s">
        <v>380</v>
      </c>
      <c r="J14" s="15" t="s">
        <v>449</v>
      </c>
    </row>
    <row r="15" ht="15.75" customHeight="1">
      <c r="A15" s="21" t="s">
        <v>20</v>
      </c>
      <c r="B15" s="21" t="s">
        <v>450</v>
      </c>
      <c r="C15" s="21" t="s">
        <v>451</v>
      </c>
      <c r="D15" s="21" t="s">
        <v>376</v>
      </c>
      <c r="E15" s="21" t="s">
        <v>452</v>
      </c>
      <c r="F15" s="21" t="s">
        <v>453</v>
      </c>
      <c r="G15" s="21" t="s">
        <v>371</v>
      </c>
      <c r="H15" s="15" t="s">
        <v>454</v>
      </c>
      <c r="I15" s="15" t="s">
        <v>455</v>
      </c>
      <c r="J15" s="15" t="s">
        <v>456</v>
      </c>
    </row>
    <row r="16" ht="15.75" customHeight="1">
      <c r="A16" s="21" t="s">
        <v>47</v>
      </c>
      <c r="B16" s="21" t="s">
        <v>457</v>
      </c>
      <c r="C16" s="21" t="s">
        <v>458</v>
      </c>
      <c r="D16" s="21" t="s">
        <v>459</v>
      </c>
      <c r="E16" s="21" t="s">
        <v>460</v>
      </c>
      <c r="F16" s="21" t="s">
        <v>208</v>
      </c>
      <c r="G16" s="21" t="s">
        <v>461</v>
      </c>
      <c r="H16" s="15" t="s">
        <v>462</v>
      </c>
      <c r="I16" s="15" t="s">
        <v>209</v>
      </c>
      <c r="J16" s="15" t="s">
        <v>463</v>
      </c>
    </row>
    <row r="17" ht="15.75" customHeight="1">
      <c r="A17" s="21" t="s">
        <v>87</v>
      </c>
      <c r="B17" s="21" t="s">
        <v>464</v>
      </c>
      <c r="C17" s="21" t="s">
        <v>465</v>
      </c>
      <c r="D17" s="21" t="s">
        <v>369</v>
      </c>
      <c r="E17" s="21" t="s">
        <v>466</v>
      </c>
      <c r="F17" s="21" t="s">
        <v>124</v>
      </c>
      <c r="G17" s="21" t="s">
        <v>371</v>
      </c>
      <c r="H17" s="15" t="s">
        <v>467</v>
      </c>
      <c r="I17" s="15" t="s">
        <v>125</v>
      </c>
      <c r="J17" s="15" t="s">
        <v>468</v>
      </c>
    </row>
    <row r="18" ht="15.75" customHeight="1">
      <c r="A18" s="21" t="s">
        <v>72</v>
      </c>
      <c r="B18" s="21" t="s">
        <v>469</v>
      </c>
      <c r="C18" s="21" t="s">
        <v>470</v>
      </c>
      <c r="D18" s="21" t="s">
        <v>394</v>
      </c>
      <c r="E18" s="21" t="s">
        <v>471</v>
      </c>
      <c r="F18" s="21" t="s">
        <v>472</v>
      </c>
      <c r="G18" s="21" t="s">
        <v>371</v>
      </c>
      <c r="H18" s="15" t="s">
        <v>473</v>
      </c>
      <c r="I18" s="15" t="s">
        <v>219</v>
      </c>
      <c r="J18" s="15" t="s">
        <v>474</v>
      </c>
    </row>
    <row r="19" ht="15.75" customHeight="1">
      <c r="A19" s="21" t="s">
        <v>56</v>
      </c>
      <c r="B19" s="21" t="s">
        <v>475</v>
      </c>
      <c r="C19" s="21" t="s">
        <v>476</v>
      </c>
      <c r="D19" s="21" t="s">
        <v>376</v>
      </c>
      <c r="E19" s="21" t="s">
        <v>477</v>
      </c>
      <c r="F19" s="21" t="s">
        <v>478</v>
      </c>
      <c r="G19" s="21" t="s">
        <v>371</v>
      </c>
      <c r="H19" s="15" t="s">
        <v>479</v>
      </c>
      <c r="I19" s="15" t="s">
        <v>258</v>
      </c>
      <c r="J19" s="15" t="s">
        <v>480</v>
      </c>
    </row>
    <row r="20" ht="15.75" customHeight="1">
      <c r="A20" s="21" t="s">
        <v>73</v>
      </c>
      <c r="B20" s="21" t="s">
        <v>481</v>
      </c>
      <c r="C20" s="21" t="s">
        <v>482</v>
      </c>
      <c r="D20" s="21" t="s">
        <v>439</v>
      </c>
      <c r="E20" s="21" t="s">
        <v>483</v>
      </c>
      <c r="F20" s="21" t="s">
        <v>124</v>
      </c>
      <c r="G20" s="21" t="s">
        <v>371</v>
      </c>
      <c r="H20" s="15" t="s">
        <v>484</v>
      </c>
      <c r="I20" s="15" t="s">
        <v>125</v>
      </c>
      <c r="J20" s="15" t="s">
        <v>485</v>
      </c>
    </row>
    <row r="21" ht="15.75" customHeight="1">
      <c r="A21" s="21" t="s">
        <v>24</v>
      </c>
      <c r="B21" s="21" t="s">
        <v>486</v>
      </c>
      <c r="C21" s="21" t="s">
        <v>487</v>
      </c>
      <c r="D21" s="21" t="s">
        <v>488</v>
      </c>
      <c r="E21" s="21" t="s">
        <v>489</v>
      </c>
      <c r="F21" s="21" t="s">
        <v>213</v>
      </c>
      <c r="G21" s="21" t="s">
        <v>371</v>
      </c>
      <c r="H21" s="15" t="s">
        <v>490</v>
      </c>
      <c r="I21" s="15" t="s">
        <v>214</v>
      </c>
      <c r="J21" s="15" t="s">
        <v>491</v>
      </c>
    </row>
    <row r="22" ht="15.75" customHeight="1">
      <c r="A22" s="21" t="s">
        <v>67</v>
      </c>
      <c r="B22" s="21" t="s">
        <v>492</v>
      </c>
      <c r="C22" s="21" t="s">
        <v>493</v>
      </c>
      <c r="D22" s="21" t="s">
        <v>494</v>
      </c>
      <c r="E22" s="21" t="s">
        <v>495</v>
      </c>
      <c r="F22" s="21" t="s">
        <v>208</v>
      </c>
      <c r="G22" s="21" t="s">
        <v>461</v>
      </c>
      <c r="H22" s="15" t="s">
        <v>496</v>
      </c>
      <c r="I22" s="15" t="s">
        <v>209</v>
      </c>
      <c r="J22" s="15" t="s">
        <v>497</v>
      </c>
    </row>
    <row r="23" ht="15.75" customHeight="1">
      <c r="A23" s="21" t="s">
        <v>498</v>
      </c>
      <c r="B23" s="21" t="s">
        <v>499</v>
      </c>
      <c r="C23" s="21" t="s">
        <v>500</v>
      </c>
      <c r="D23" s="21" t="s">
        <v>426</v>
      </c>
      <c r="E23" s="21" t="s">
        <v>501</v>
      </c>
      <c r="F23" s="21" t="s">
        <v>415</v>
      </c>
      <c r="G23" s="21" t="s">
        <v>371</v>
      </c>
      <c r="H23" s="15" t="s">
        <v>502</v>
      </c>
      <c r="I23" s="15" t="s">
        <v>166</v>
      </c>
      <c r="J23" s="15" t="s">
        <v>503</v>
      </c>
    </row>
    <row r="24" ht="15.75" customHeight="1">
      <c r="A24" s="21" t="s">
        <v>83</v>
      </c>
      <c r="B24" s="21" t="s">
        <v>504</v>
      </c>
      <c r="C24" s="21" t="s">
        <v>505</v>
      </c>
      <c r="D24" s="21" t="s">
        <v>506</v>
      </c>
      <c r="E24" s="21" t="s">
        <v>507</v>
      </c>
      <c r="F24" s="21" t="s">
        <v>508</v>
      </c>
      <c r="G24" s="21" t="s">
        <v>371</v>
      </c>
      <c r="H24" s="15" t="s">
        <v>509</v>
      </c>
      <c r="I24" s="15" t="s">
        <v>258</v>
      </c>
      <c r="J24" s="15" t="s">
        <v>510</v>
      </c>
    </row>
    <row r="25" ht="15.75" customHeight="1">
      <c r="A25" s="21" t="s">
        <v>29</v>
      </c>
      <c r="B25" s="21" t="s">
        <v>511</v>
      </c>
      <c r="C25" s="21" t="s">
        <v>512</v>
      </c>
      <c r="D25" s="21" t="s">
        <v>376</v>
      </c>
      <c r="E25" s="21" t="s">
        <v>513</v>
      </c>
      <c r="F25" s="21" t="s">
        <v>514</v>
      </c>
      <c r="G25" s="21" t="s">
        <v>371</v>
      </c>
      <c r="H25" s="15" t="s">
        <v>515</v>
      </c>
      <c r="I25" s="15" t="s">
        <v>202</v>
      </c>
      <c r="J25" s="15" t="s">
        <v>516</v>
      </c>
    </row>
    <row r="26" ht="15.75" customHeight="1">
      <c r="A26" s="21" t="s">
        <v>32</v>
      </c>
      <c r="B26" s="21" t="s">
        <v>517</v>
      </c>
      <c r="C26" s="21" t="s">
        <v>518</v>
      </c>
      <c r="D26" s="21" t="s">
        <v>407</v>
      </c>
      <c r="E26" s="21" t="s">
        <v>519</v>
      </c>
      <c r="F26" s="21" t="s">
        <v>520</v>
      </c>
      <c r="G26" s="21" t="s">
        <v>371</v>
      </c>
      <c r="H26" s="17" t="s">
        <v>521</v>
      </c>
      <c r="I26" s="17" t="s">
        <v>219</v>
      </c>
      <c r="J26" s="17" t="s">
        <v>522</v>
      </c>
    </row>
    <row r="27" ht="15.75" customHeight="1">
      <c r="A27" s="21" t="s">
        <v>101</v>
      </c>
      <c r="B27" s="21" t="s">
        <v>523</v>
      </c>
      <c r="C27" s="21" t="s">
        <v>524</v>
      </c>
      <c r="D27" s="21" t="s">
        <v>407</v>
      </c>
      <c r="E27" s="21" t="s">
        <v>525</v>
      </c>
      <c r="F27" s="21" t="s">
        <v>478</v>
      </c>
      <c r="G27" s="21" t="s">
        <v>371</v>
      </c>
      <c r="H27" s="15" t="s">
        <v>479</v>
      </c>
      <c r="I27" s="15" t="s">
        <v>258</v>
      </c>
      <c r="J27" s="15" t="s">
        <v>526</v>
      </c>
    </row>
    <row r="28" ht="15.75" customHeight="1">
      <c r="A28" s="21" t="s">
        <v>85</v>
      </c>
      <c r="B28" s="21" t="s">
        <v>527</v>
      </c>
      <c r="C28" s="21" t="s">
        <v>528</v>
      </c>
      <c r="D28" s="21" t="s">
        <v>369</v>
      </c>
      <c r="E28" s="21" t="s">
        <v>529</v>
      </c>
      <c r="F28" s="21" t="s">
        <v>530</v>
      </c>
      <c r="G28" s="21" t="s">
        <v>371</v>
      </c>
      <c r="H28" s="15" t="s">
        <v>531</v>
      </c>
      <c r="I28" s="15" t="s">
        <v>236</v>
      </c>
      <c r="J28" s="15" t="s">
        <v>532</v>
      </c>
    </row>
    <row r="29" ht="15.75" customHeight="1">
      <c r="A29" s="21" t="s">
        <v>62</v>
      </c>
      <c r="B29" s="21" t="s">
        <v>533</v>
      </c>
      <c r="C29" s="21" t="s">
        <v>534</v>
      </c>
      <c r="D29" s="21" t="s">
        <v>488</v>
      </c>
      <c r="E29" s="21" t="s">
        <v>535</v>
      </c>
      <c r="F29" s="21" t="s">
        <v>536</v>
      </c>
      <c r="G29" s="21" t="s">
        <v>371</v>
      </c>
      <c r="H29" s="15" t="s">
        <v>537</v>
      </c>
      <c r="I29" s="15" t="s">
        <v>538</v>
      </c>
      <c r="J29" s="15" t="s">
        <v>539</v>
      </c>
    </row>
    <row r="30" ht="15.75" customHeight="1">
      <c r="A30" s="21" t="s">
        <v>75</v>
      </c>
      <c r="B30" s="21" t="s">
        <v>540</v>
      </c>
      <c r="C30" s="21" t="s">
        <v>541</v>
      </c>
      <c r="D30" s="21" t="s">
        <v>407</v>
      </c>
      <c r="E30" s="21" t="s">
        <v>542</v>
      </c>
      <c r="F30" s="21" t="s">
        <v>543</v>
      </c>
      <c r="G30" s="21" t="s">
        <v>371</v>
      </c>
      <c r="H30" s="15" t="s">
        <v>544</v>
      </c>
      <c r="I30" s="15" t="s">
        <v>166</v>
      </c>
      <c r="J30" s="15" t="s">
        <v>545</v>
      </c>
    </row>
    <row r="31" ht="15.75" customHeight="1">
      <c r="A31" s="21" t="s">
        <v>51</v>
      </c>
      <c r="B31" s="21" t="s">
        <v>546</v>
      </c>
      <c r="C31" s="21" t="s">
        <v>547</v>
      </c>
      <c r="D31" s="21" t="s">
        <v>488</v>
      </c>
      <c r="E31" s="21" t="s">
        <v>548</v>
      </c>
      <c r="F31" s="21" t="s">
        <v>549</v>
      </c>
      <c r="G31" s="21" t="s">
        <v>371</v>
      </c>
      <c r="H31" s="15" t="s">
        <v>550</v>
      </c>
      <c r="I31" s="15" t="s">
        <v>166</v>
      </c>
      <c r="J31" s="15" t="s">
        <v>551</v>
      </c>
    </row>
    <row r="32" ht="15.75" customHeight="1">
      <c r="A32" s="21" t="s">
        <v>86</v>
      </c>
      <c r="B32" s="21" t="s">
        <v>552</v>
      </c>
      <c r="C32" s="21" t="s">
        <v>553</v>
      </c>
      <c r="D32" s="21" t="s">
        <v>459</v>
      </c>
      <c r="E32" s="21" t="s">
        <v>554</v>
      </c>
      <c r="F32" s="21" t="s">
        <v>555</v>
      </c>
      <c r="G32" s="21" t="s">
        <v>461</v>
      </c>
      <c r="H32" s="15" t="s">
        <v>556</v>
      </c>
      <c r="I32" s="15" t="s">
        <v>209</v>
      </c>
      <c r="J32" s="15" t="s">
        <v>557</v>
      </c>
    </row>
    <row r="33" ht="15.75" customHeight="1">
      <c r="A33" s="21" t="s">
        <v>94</v>
      </c>
      <c r="B33" s="21" t="s">
        <v>558</v>
      </c>
      <c r="C33" s="21" t="s">
        <v>559</v>
      </c>
      <c r="D33" s="21" t="s">
        <v>407</v>
      </c>
      <c r="E33" s="21" t="s">
        <v>560</v>
      </c>
      <c r="F33" s="21" t="s">
        <v>561</v>
      </c>
      <c r="G33" s="21" t="s">
        <v>562</v>
      </c>
      <c r="H33" s="15" t="s">
        <v>563</v>
      </c>
      <c r="I33" s="15" t="s">
        <v>136</v>
      </c>
      <c r="J33" s="15" t="s">
        <v>564</v>
      </c>
    </row>
    <row r="34" ht="15.75" customHeight="1">
      <c r="A34" s="21" t="s">
        <v>33</v>
      </c>
      <c r="B34" s="21" t="s">
        <v>565</v>
      </c>
      <c r="C34" s="21" t="s">
        <v>566</v>
      </c>
      <c r="D34" s="21" t="s">
        <v>376</v>
      </c>
      <c r="E34" s="21" t="s">
        <v>567</v>
      </c>
      <c r="F34" s="21" t="s">
        <v>568</v>
      </c>
      <c r="G34" s="21" t="s">
        <v>569</v>
      </c>
      <c r="H34" s="15" t="s">
        <v>570</v>
      </c>
      <c r="I34" s="15" t="s">
        <v>571</v>
      </c>
      <c r="J34" s="15" t="s">
        <v>572</v>
      </c>
    </row>
    <row r="35" ht="15.75" customHeight="1">
      <c r="A35" s="21" t="s">
        <v>16</v>
      </c>
      <c r="B35" s="21" t="s">
        <v>573</v>
      </c>
      <c r="C35" s="21" t="s">
        <v>574</v>
      </c>
      <c r="D35" s="21" t="s">
        <v>426</v>
      </c>
      <c r="E35" s="21" t="s">
        <v>575</v>
      </c>
      <c r="F35" s="21" t="s">
        <v>576</v>
      </c>
      <c r="G35" s="21" t="s">
        <v>577</v>
      </c>
      <c r="H35" s="15" t="s">
        <v>578</v>
      </c>
      <c r="I35" s="15" t="s">
        <v>209</v>
      </c>
      <c r="J35" s="15" t="s">
        <v>579</v>
      </c>
    </row>
    <row r="36" ht="15.75" customHeight="1">
      <c r="A36" s="21" t="s">
        <v>23</v>
      </c>
      <c r="B36" s="21" t="s">
        <v>580</v>
      </c>
      <c r="C36" s="21" t="s">
        <v>581</v>
      </c>
      <c r="D36" s="21" t="s">
        <v>369</v>
      </c>
      <c r="E36" s="21" t="s">
        <v>582</v>
      </c>
      <c r="F36" s="21" t="s">
        <v>583</v>
      </c>
      <c r="G36" s="21" t="s">
        <v>584</v>
      </c>
      <c r="H36" s="15" t="s">
        <v>585</v>
      </c>
      <c r="I36" s="15" t="s">
        <v>571</v>
      </c>
      <c r="J36" s="15" t="s">
        <v>586</v>
      </c>
    </row>
    <row r="37" ht="15.75" customHeight="1">
      <c r="A37" s="21" t="s">
        <v>79</v>
      </c>
      <c r="B37" s="21" t="s">
        <v>587</v>
      </c>
      <c r="C37" s="21" t="s">
        <v>588</v>
      </c>
      <c r="D37" s="21" t="s">
        <v>369</v>
      </c>
      <c r="E37" s="21" t="s">
        <v>589</v>
      </c>
      <c r="F37" s="21" t="s">
        <v>590</v>
      </c>
      <c r="G37" s="21" t="s">
        <v>562</v>
      </c>
      <c r="H37" s="15" t="s">
        <v>591</v>
      </c>
      <c r="I37" s="15" t="s">
        <v>136</v>
      </c>
      <c r="J37" s="15" t="s">
        <v>592</v>
      </c>
    </row>
    <row r="38" ht="15.75" customHeight="1">
      <c r="A38" s="21" t="s">
        <v>49</v>
      </c>
      <c r="B38" s="21" t="s">
        <v>593</v>
      </c>
      <c r="C38" s="21" t="s">
        <v>594</v>
      </c>
      <c r="D38" s="21" t="s">
        <v>459</v>
      </c>
      <c r="E38" s="21" t="s">
        <v>595</v>
      </c>
      <c r="F38" s="21" t="s">
        <v>596</v>
      </c>
      <c r="G38" s="21" t="s">
        <v>597</v>
      </c>
      <c r="H38" s="15" t="s">
        <v>371</v>
      </c>
      <c r="I38" s="15" t="s">
        <v>598</v>
      </c>
      <c r="J38" s="15" t="s">
        <v>599</v>
      </c>
    </row>
    <row r="39" ht="15.75" customHeight="1">
      <c r="A39" s="21" t="s">
        <v>57</v>
      </c>
      <c r="B39" s="21" t="s">
        <v>600</v>
      </c>
      <c r="C39" s="21" t="s">
        <v>601</v>
      </c>
      <c r="D39" s="21" t="s">
        <v>407</v>
      </c>
      <c r="E39" s="21" t="s">
        <v>602</v>
      </c>
      <c r="F39" s="21" t="s">
        <v>603</v>
      </c>
      <c r="G39" s="21" t="s">
        <v>604</v>
      </c>
      <c r="H39" s="15" t="s">
        <v>605</v>
      </c>
      <c r="I39" s="15" t="s">
        <v>125</v>
      </c>
      <c r="J39" s="15" t="s">
        <v>606</v>
      </c>
    </row>
    <row r="40" ht="15.75" customHeight="1">
      <c r="A40" s="21" t="s">
        <v>59</v>
      </c>
      <c r="B40" s="21" t="s">
        <v>607</v>
      </c>
      <c r="C40" s="21" t="s">
        <v>608</v>
      </c>
      <c r="D40" s="21" t="s">
        <v>459</v>
      </c>
      <c r="E40" s="21" t="s">
        <v>609</v>
      </c>
      <c r="F40" s="21" t="s">
        <v>610</v>
      </c>
      <c r="G40" s="21" t="s">
        <v>371</v>
      </c>
      <c r="H40" s="15" t="s">
        <v>611</v>
      </c>
      <c r="I40" s="15" t="s">
        <v>219</v>
      </c>
      <c r="J40" s="15" t="s">
        <v>612</v>
      </c>
    </row>
    <row r="41" ht="15.75" customHeight="1">
      <c r="A41" s="21" t="s">
        <v>103</v>
      </c>
      <c r="B41" s="21" t="s">
        <v>613</v>
      </c>
      <c r="C41" s="21" t="s">
        <v>614</v>
      </c>
      <c r="D41" s="21" t="s">
        <v>369</v>
      </c>
      <c r="E41" s="21" t="s">
        <v>615</v>
      </c>
      <c r="F41" s="21" t="s">
        <v>616</v>
      </c>
      <c r="G41" s="21" t="s">
        <v>371</v>
      </c>
      <c r="H41" s="15" t="s">
        <v>617</v>
      </c>
      <c r="I41" s="15" t="s">
        <v>258</v>
      </c>
      <c r="J41" s="15" t="s">
        <v>618</v>
      </c>
    </row>
    <row r="42" ht="15.75" customHeight="1">
      <c r="A42" s="21" t="s">
        <v>68</v>
      </c>
      <c r="B42" s="21" t="s">
        <v>619</v>
      </c>
      <c r="C42" s="21" t="s">
        <v>620</v>
      </c>
      <c r="D42" s="21" t="s">
        <v>488</v>
      </c>
      <c r="E42" s="21" t="s">
        <v>621</v>
      </c>
      <c r="F42" s="21" t="s">
        <v>622</v>
      </c>
      <c r="G42" s="21" t="s">
        <v>371</v>
      </c>
      <c r="H42" s="15" t="s">
        <v>623</v>
      </c>
      <c r="I42" s="15" t="s">
        <v>258</v>
      </c>
      <c r="J42" s="15" t="s">
        <v>624</v>
      </c>
    </row>
    <row r="43" ht="15.75" customHeight="1">
      <c r="A43" s="21" t="s">
        <v>90</v>
      </c>
      <c r="B43" s="21" t="s">
        <v>625</v>
      </c>
      <c r="C43" s="21" t="s">
        <v>626</v>
      </c>
      <c r="D43" s="21" t="s">
        <v>494</v>
      </c>
      <c r="E43" s="21" t="s">
        <v>627</v>
      </c>
      <c r="F43" s="21" t="s">
        <v>628</v>
      </c>
      <c r="G43" s="21" t="s">
        <v>429</v>
      </c>
      <c r="H43" s="15" t="s">
        <v>629</v>
      </c>
      <c r="I43" s="15" t="s">
        <v>308</v>
      </c>
      <c r="J43" s="15" t="s">
        <v>630</v>
      </c>
    </row>
    <row r="44" ht="15.75" customHeight="1">
      <c r="A44" s="21" t="s">
        <v>89</v>
      </c>
      <c r="B44" s="21" t="s">
        <v>631</v>
      </c>
      <c r="C44" s="21" t="s">
        <v>632</v>
      </c>
      <c r="D44" s="21" t="s">
        <v>407</v>
      </c>
      <c r="E44" s="21" t="s">
        <v>633</v>
      </c>
      <c r="F44" s="21" t="s">
        <v>634</v>
      </c>
      <c r="G44" s="21" t="s">
        <v>635</v>
      </c>
      <c r="H44" s="15" t="s">
        <v>636</v>
      </c>
      <c r="I44" s="15" t="s">
        <v>136</v>
      </c>
      <c r="J44" s="15" t="s">
        <v>637</v>
      </c>
    </row>
    <row r="45" ht="15.75" customHeight="1">
      <c r="A45" s="21" t="s">
        <v>41</v>
      </c>
      <c r="B45" s="21" t="s">
        <v>638</v>
      </c>
      <c r="C45" s="21" t="s">
        <v>639</v>
      </c>
      <c r="D45" s="21" t="s">
        <v>369</v>
      </c>
      <c r="E45" s="21" t="s">
        <v>640</v>
      </c>
      <c r="F45" s="21" t="s">
        <v>641</v>
      </c>
      <c r="G45" s="21" t="s">
        <v>371</v>
      </c>
      <c r="H45" s="15" t="s">
        <v>642</v>
      </c>
      <c r="I45" s="15" t="s">
        <v>219</v>
      </c>
      <c r="J45" s="15" t="s">
        <v>643</v>
      </c>
    </row>
    <row r="46" ht="15.75" customHeight="1">
      <c r="A46" s="21" t="s">
        <v>97</v>
      </c>
      <c r="B46" s="21" t="s">
        <v>644</v>
      </c>
      <c r="C46" s="21" t="s">
        <v>645</v>
      </c>
      <c r="D46" s="21" t="s">
        <v>376</v>
      </c>
      <c r="E46" s="21" t="s">
        <v>646</v>
      </c>
      <c r="F46" s="21" t="s">
        <v>647</v>
      </c>
      <c r="G46" s="21" t="s">
        <v>648</v>
      </c>
      <c r="H46" s="15" t="s">
        <v>649</v>
      </c>
      <c r="I46" s="15" t="s">
        <v>136</v>
      </c>
      <c r="J46" s="15" t="s">
        <v>650</v>
      </c>
    </row>
    <row r="47" ht="15.75" customHeight="1">
      <c r="A47" s="21" t="s">
        <v>43</v>
      </c>
      <c r="B47" s="21" t="s">
        <v>651</v>
      </c>
      <c r="C47" s="21" t="s">
        <v>652</v>
      </c>
      <c r="D47" s="21" t="s">
        <v>426</v>
      </c>
      <c r="E47" s="21" t="s">
        <v>653</v>
      </c>
      <c r="F47" s="21" t="s">
        <v>654</v>
      </c>
      <c r="G47" s="21" t="s">
        <v>655</v>
      </c>
      <c r="H47" s="15" t="s">
        <v>656</v>
      </c>
      <c r="I47" s="15" t="s">
        <v>571</v>
      </c>
      <c r="J47" s="15" t="s">
        <v>657</v>
      </c>
    </row>
    <row r="48" ht="15.75" customHeight="1">
      <c r="A48" s="21" t="s">
        <v>82</v>
      </c>
      <c r="B48" s="21" t="s">
        <v>658</v>
      </c>
      <c r="C48" s="21" t="s">
        <v>659</v>
      </c>
      <c r="D48" s="21" t="s">
        <v>376</v>
      </c>
      <c r="E48" s="21" t="s">
        <v>660</v>
      </c>
      <c r="F48" s="21" t="s">
        <v>661</v>
      </c>
      <c r="G48" s="21" t="s">
        <v>662</v>
      </c>
      <c r="H48" s="15" t="s">
        <v>663</v>
      </c>
      <c r="I48" s="15" t="s">
        <v>571</v>
      </c>
      <c r="J48" s="15" t="s">
        <v>664</v>
      </c>
    </row>
    <row r="49" ht="15.75" customHeight="1">
      <c r="A49" s="21" t="s">
        <v>53</v>
      </c>
      <c r="B49" s="21" t="s">
        <v>665</v>
      </c>
      <c r="C49" s="21" t="s">
        <v>666</v>
      </c>
      <c r="D49" s="21" t="s">
        <v>488</v>
      </c>
      <c r="E49" s="21" t="s">
        <v>667</v>
      </c>
      <c r="F49" s="21" t="s">
        <v>668</v>
      </c>
      <c r="G49" s="21" t="s">
        <v>562</v>
      </c>
      <c r="H49" s="15" t="s">
        <v>669</v>
      </c>
      <c r="I49" s="15" t="s">
        <v>136</v>
      </c>
      <c r="J49" s="15" t="s">
        <v>670</v>
      </c>
    </row>
    <row r="50" ht="15.75" customHeight="1">
      <c r="A50" s="21" t="s">
        <v>37</v>
      </c>
      <c r="B50" s="21" t="s">
        <v>671</v>
      </c>
      <c r="C50" s="21" t="s">
        <v>672</v>
      </c>
      <c r="D50" s="21" t="s">
        <v>407</v>
      </c>
      <c r="E50" s="21" t="s">
        <v>673</v>
      </c>
      <c r="F50" s="21" t="s">
        <v>674</v>
      </c>
      <c r="G50" s="21" t="s">
        <v>371</v>
      </c>
      <c r="H50" s="15" t="s">
        <v>675</v>
      </c>
      <c r="I50" s="15" t="s">
        <v>236</v>
      </c>
      <c r="J50" s="15" t="s">
        <v>676</v>
      </c>
    </row>
    <row r="51" ht="15.75" customHeight="1">
      <c r="A51" s="21" t="s">
        <v>95</v>
      </c>
      <c r="B51" s="21" t="s">
        <v>677</v>
      </c>
      <c r="C51" s="21" t="s">
        <v>678</v>
      </c>
      <c r="D51" s="21" t="s">
        <v>439</v>
      </c>
      <c r="E51" s="21" t="s">
        <v>679</v>
      </c>
      <c r="F51" s="21" t="s">
        <v>680</v>
      </c>
      <c r="G51" s="21" t="s">
        <v>371</v>
      </c>
      <c r="H51" s="15" t="s">
        <v>681</v>
      </c>
      <c r="I51" s="15" t="s">
        <v>682</v>
      </c>
      <c r="J51" s="15" t="s">
        <v>683</v>
      </c>
    </row>
    <row r="52" ht="15.75" customHeight="1">
      <c r="A52" s="21" t="s">
        <v>64</v>
      </c>
      <c r="B52" s="21" t="s">
        <v>684</v>
      </c>
      <c r="C52" s="21" t="s">
        <v>685</v>
      </c>
      <c r="D52" s="21" t="s">
        <v>494</v>
      </c>
      <c r="E52" s="21" t="s">
        <v>686</v>
      </c>
      <c r="F52" s="21" t="s">
        <v>307</v>
      </c>
      <c r="G52" s="21" t="s">
        <v>687</v>
      </c>
      <c r="H52" s="15" t="s">
        <v>688</v>
      </c>
      <c r="I52" s="15" t="s">
        <v>308</v>
      </c>
      <c r="J52" s="15" t="s">
        <v>689</v>
      </c>
    </row>
    <row r="53" ht="15.75" customHeight="1">
      <c r="A53" s="21" t="s">
        <v>39</v>
      </c>
      <c r="B53" s="21" t="s">
        <v>690</v>
      </c>
      <c r="C53" s="21" t="s">
        <v>691</v>
      </c>
      <c r="D53" s="21" t="s">
        <v>494</v>
      </c>
      <c r="E53" s="21" t="s">
        <v>692</v>
      </c>
      <c r="F53" s="21" t="s">
        <v>693</v>
      </c>
      <c r="G53" s="21" t="s">
        <v>371</v>
      </c>
      <c r="H53" s="15" t="s">
        <v>694</v>
      </c>
      <c r="I53" s="15" t="s">
        <v>219</v>
      </c>
      <c r="J53" s="15" t="s">
        <v>695</v>
      </c>
    </row>
    <row r="54" ht="15.75" customHeight="1">
      <c r="A54" s="21" t="s">
        <v>92</v>
      </c>
      <c r="B54" s="21" t="s">
        <v>696</v>
      </c>
      <c r="C54" s="21" t="s">
        <v>697</v>
      </c>
      <c r="D54" s="21" t="s">
        <v>459</v>
      </c>
      <c r="E54" s="21" t="s">
        <v>698</v>
      </c>
      <c r="F54" s="21" t="s">
        <v>124</v>
      </c>
      <c r="G54" s="21" t="s">
        <v>371</v>
      </c>
      <c r="H54" s="15" t="s">
        <v>699</v>
      </c>
      <c r="I54" s="15" t="s">
        <v>125</v>
      </c>
      <c r="J54" s="15" t="s">
        <v>700</v>
      </c>
    </row>
    <row r="55" ht="15.75" customHeight="1">
      <c r="A55" s="21" t="s">
        <v>84</v>
      </c>
      <c r="B55" s="21" t="s">
        <v>701</v>
      </c>
      <c r="C55" s="21" t="s">
        <v>702</v>
      </c>
      <c r="D55" s="21" t="s">
        <v>439</v>
      </c>
      <c r="E55" s="21" t="s">
        <v>703</v>
      </c>
      <c r="F55" s="21" t="s">
        <v>441</v>
      </c>
      <c r="G55" s="21" t="s">
        <v>371</v>
      </c>
      <c r="H55" s="15" t="s">
        <v>442</v>
      </c>
      <c r="I55" s="15" t="s">
        <v>443</v>
      </c>
      <c r="J55" s="15" t="s">
        <v>704</v>
      </c>
    </row>
    <row r="56" ht="15.75" customHeight="1">
      <c r="A56" s="21" t="s">
        <v>52</v>
      </c>
      <c r="B56" s="21" t="s">
        <v>705</v>
      </c>
      <c r="C56" s="21" t="s">
        <v>706</v>
      </c>
      <c r="D56" s="21" t="s">
        <v>369</v>
      </c>
      <c r="E56" s="21" t="s">
        <v>707</v>
      </c>
      <c r="F56" s="21" t="s">
        <v>708</v>
      </c>
      <c r="G56" s="21" t="s">
        <v>709</v>
      </c>
      <c r="H56" s="15" t="s">
        <v>710</v>
      </c>
      <c r="I56" s="15" t="s">
        <v>136</v>
      </c>
      <c r="J56" s="15" t="s">
        <v>711</v>
      </c>
    </row>
    <row r="57" ht="15.75" customHeight="1">
      <c r="A57" s="21" t="s">
        <v>26</v>
      </c>
      <c r="B57" s="21" t="s">
        <v>712</v>
      </c>
      <c r="C57" s="21" t="s">
        <v>713</v>
      </c>
      <c r="D57" s="21" t="s">
        <v>376</v>
      </c>
      <c r="E57" s="21" t="s">
        <v>714</v>
      </c>
      <c r="F57" s="21" t="s">
        <v>715</v>
      </c>
      <c r="G57" s="21" t="s">
        <v>371</v>
      </c>
      <c r="H57" s="15" t="s">
        <v>716</v>
      </c>
      <c r="I57" s="15" t="s">
        <v>219</v>
      </c>
      <c r="J57" s="15" t="s">
        <v>717</v>
      </c>
    </row>
    <row r="58" ht="15.75" customHeight="1">
      <c r="A58" s="21" t="s">
        <v>718</v>
      </c>
      <c r="B58" s="21" t="s">
        <v>719</v>
      </c>
      <c r="C58" s="21" t="s">
        <v>720</v>
      </c>
      <c r="D58" s="21" t="s">
        <v>376</v>
      </c>
      <c r="E58" s="21" t="s">
        <v>721</v>
      </c>
      <c r="F58" s="21" t="s">
        <v>257</v>
      </c>
      <c r="G58" s="21" t="s">
        <v>371</v>
      </c>
      <c r="H58" s="15" t="s">
        <v>722</v>
      </c>
      <c r="I58" s="15" t="s">
        <v>258</v>
      </c>
      <c r="J58" s="15" t="s">
        <v>723</v>
      </c>
    </row>
    <row r="59" ht="15.75" customHeight="1">
      <c r="A59" s="21" t="s">
        <v>58</v>
      </c>
      <c r="B59" s="21" t="s">
        <v>724</v>
      </c>
      <c r="C59" s="21" t="s">
        <v>725</v>
      </c>
      <c r="D59" s="21" t="s">
        <v>369</v>
      </c>
      <c r="E59" s="21" t="s">
        <v>726</v>
      </c>
      <c r="F59" s="21" t="s">
        <v>378</v>
      </c>
      <c r="G59" s="21" t="s">
        <v>371</v>
      </c>
      <c r="H59" s="15" t="s">
        <v>727</v>
      </c>
      <c r="I59" s="15" t="s">
        <v>380</v>
      </c>
      <c r="J59" s="15" t="s">
        <v>728</v>
      </c>
    </row>
    <row r="60" ht="15.75" customHeight="1">
      <c r="A60" s="21" t="s">
        <v>69</v>
      </c>
      <c r="B60" s="21" t="s">
        <v>729</v>
      </c>
      <c r="C60" s="21" t="s">
        <v>730</v>
      </c>
      <c r="D60" s="21" t="s">
        <v>488</v>
      </c>
      <c r="E60" s="21" t="s">
        <v>731</v>
      </c>
      <c r="F60" s="21" t="s">
        <v>732</v>
      </c>
      <c r="G60" s="21" t="s">
        <v>371</v>
      </c>
      <c r="H60" s="15" t="s">
        <v>733</v>
      </c>
      <c r="I60" s="15" t="s">
        <v>214</v>
      </c>
      <c r="J60" s="15" t="s">
        <v>734</v>
      </c>
    </row>
    <row r="61" ht="15.75" customHeight="1">
      <c r="A61" s="21" t="s">
        <v>65</v>
      </c>
      <c r="B61" s="21" t="s">
        <v>735</v>
      </c>
      <c r="C61" s="21" t="s">
        <v>736</v>
      </c>
      <c r="D61" s="21" t="s">
        <v>369</v>
      </c>
      <c r="E61" s="21" t="s">
        <v>737</v>
      </c>
      <c r="F61" s="21" t="s">
        <v>536</v>
      </c>
      <c r="G61" s="21" t="s">
        <v>371</v>
      </c>
      <c r="H61" s="15" t="s">
        <v>738</v>
      </c>
      <c r="I61" s="15" t="s">
        <v>538</v>
      </c>
      <c r="J61" s="15" t="s">
        <v>739</v>
      </c>
    </row>
    <row r="62" ht="15.75" customHeight="1">
      <c r="A62" s="21" t="s">
        <v>27</v>
      </c>
      <c r="B62" s="21" t="s">
        <v>740</v>
      </c>
      <c r="C62" s="21" t="s">
        <v>741</v>
      </c>
      <c r="D62" s="21" t="s">
        <v>426</v>
      </c>
      <c r="E62" s="21" t="s">
        <v>742</v>
      </c>
      <c r="F62" s="22" t="s">
        <v>576</v>
      </c>
      <c r="G62" s="21" t="s">
        <v>577</v>
      </c>
      <c r="H62" s="15" t="s">
        <v>743</v>
      </c>
      <c r="I62" s="15" t="s">
        <v>209</v>
      </c>
      <c r="J62" s="15" t="s">
        <v>744</v>
      </c>
    </row>
    <row r="63" ht="15.75" customHeight="1">
      <c r="A63" s="21" t="s">
        <v>77</v>
      </c>
      <c r="B63" s="21" t="s">
        <v>745</v>
      </c>
      <c r="C63" s="21" t="s">
        <v>746</v>
      </c>
      <c r="D63" s="21" t="s">
        <v>494</v>
      </c>
      <c r="E63" s="21" t="s">
        <v>747</v>
      </c>
      <c r="F63" s="21" t="s">
        <v>208</v>
      </c>
      <c r="G63" s="21" t="s">
        <v>461</v>
      </c>
      <c r="H63" s="15" t="s">
        <v>748</v>
      </c>
      <c r="I63" s="15" t="s">
        <v>209</v>
      </c>
      <c r="J63" s="15" t="s">
        <v>749</v>
      </c>
    </row>
    <row r="64" ht="15.75" customHeight="1">
      <c r="A64" s="21" t="s">
        <v>36</v>
      </c>
      <c r="B64" s="21" t="s">
        <v>750</v>
      </c>
      <c r="C64" s="21" t="s">
        <v>751</v>
      </c>
      <c r="D64" s="21" t="s">
        <v>426</v>
      </c>
      <c r="E64" s="21" t="s">
        <v>752</v>
      </c>
      <c r="F64" s="21" t="s">
        <v>753</v>
      </c>
      <c r="G64" s="21" t="s">
        <v>371</v>
      </c>
      <c r="H64" s="15" t="s">
        <v>754</v>
      </c>
      <c r="I64" s="15" t="s">
        <v>219</v>
      </c>
      <c r="J64" s="15" t="s">
        <v>755</v>
      </c>
    </row>
    <row r="65" ht="15.75" customHeight="1">
      <c r="A65" s="21" t="s">
        <v>88</v>
      </c>
      <c r="B65" s="21" t="s">
        <v>756</v>
      </c>
      <c r="C65" s="21" t="s">
        <v>757</v>
      </c>
      <c r="D65" s="21" t="s">
        <v>369</v>
      </c>
      <c r="E65" s="21" t="s">
        <v>758</v>
      </c>
      <c r="F65" s="21" t="s">
        <v>441</v>
      </c>
      <c r="G65" s="21" t="s">
        <v>371</v>
      </c>
      <c r="H65" s="15" t="s">
        <v>442</v>
      </c>
      <c r="I65" s="15" t="s">
        <v>443</v>
      </c>
      <c r="J65" s="15" t="s">
        <v>759</v>
      </c>
    </row>
    <row r="66" ht="15.75" customHeight="1">
      <c r="A66" s="21" t="s">
        <v>28</v>
      </c>
      <c r="B66" s="21" t="s">
        <v>760</v>
      </c>
      <c r="C66" s="21" t="s">
        <v>761</v>
      </c>
      <c r="D66" s="21" t="s">
        <v>762</v>
      </c>
      <c r="E66" s="21" t="s">
        <v>763</v>
      </c>
      <c r="F66" s="21" t="s">
        <v>764</v>
      </c>
      <c r="G66" s="21" t="s">
        <v>765</v>
      </c>
      <c r="H66" s="15" t="s">
        <v>766</v>
      </c>
      <c r="I66" s="15" t="s">
        <v>136</v>
      </c>
      <c r="J66" s="15" t="s">
        <v>767</v>
      </c>
    </row>
    <row r="67" ht="15.75" customHeight="1">
      <c r="A67" s="21" t="s">
        <v>45</v>
      </c>
      <c r="B67" s="21" t="s">
        <v>768</v>
      </c>
      <c r="C67" s="21" t="s">
        <v>769</v>
      </c>
      <c r="D67" s="21" t="s">
        <v>459</v>
      </c>
      <c r="E67" s="21" t="s">
        <v>770</v>
      </c>
      <c r="F67" s="21" t="s">
        <v>771</v>
      </c>
      <c r="G67" s="21" t="s">
        <v>371</v>
      </c>
      <c r="H67" s="15" t="s">
        <v>772</v>
      </c>
      <c r="I67" s="15" t="s">
        <v>236</v>
      </c>
      <c r="J67" s="15" t="s">
        <v>773</v>
      </c>
    </row>
    <row r="68" ht="15.75" customHeight="1">
      <c r="A68" s="21" t="s">
        <v>44</v>
      </c>
      <c r="B68" s="21" t="s">
        <v>774</v>
      </c>
      <c r="C68" s="21" t="s">
        <v>775</v>
      </c>
      <c r="D68" s="21" t="s">
        <v>506</v>
      </c>
      <c r="E68" s="21" t="s">
        <v>776</v>
      </c>
      <c r="F68" s="21" t="s">
        <v>576</v>
      </c>
      <c r="G68" s="21" t="s">
        <v>577</v>
      </c>
      <c r="H68" s="15" t="s">
        <v>777</v>
      </c>
      <c r="I68" s="15" t="s">
        <v>209</v>
      </c>
      <c r="J68" s="15" t="s">
        <v>778</v>
      </c>
    </row>
    <row r="69" ht="15.75" customHeight="1">
      <c r="A69" s="21" t="s">
        <v>21</v>
      </c>
      <c r="B69" s="21" t="s">
        <v>779</v>
      </c>
      <c r="C69" s="21" t="s">
        <v>780</v>
      </c>
      <c r="D69" s="21" t="s">
        <v>488</v>
      </c>
      <c r="E69" s="21" t="s">
        <v>781</v>
      </c>
      <c r="F69" s="21" t="s">
        <v>782</v>
      </c>
      <c r="G69" s="21" t="s">
        <v>371</v>
      </c>
      <c r="H69" s="15" t="s">
        <v>783</v>
      </c>
      <c r="I69" s="15" t="s">
        <v>455</v>
      </c>
      <c r="J69" s="15" t="s">
        <v>784</v>
      </c>
    </row>
    <row r="70" ht="15.75" customHeight="1">
      <c r="A70" s="21" t="s">
        <v>42</v>
      </c>
      <c r="B70" s="21" t="s">
        <v>785</v>
      </c>
      <c r="C70" s="21" t="s">
        <v>786</v>
      </c>
      <c r="D70" s="21" t="s">
        <v>426</v>
      </c>
      <c r="E70" s="21" t="s">
        <v>787</v>
      </c>
      <c r="F70" s="21" t="s">
        <v>415</v>
      </c>
      <c r="G70" s="21" t="s">
        <v>371</v>
      </c>
      <c r="H70" s="15" t="s">
        <v>788</v>
      </c>
      <c r="I70" s="15" t="s">
        <v>166</v>
      </c>
      <c r="J70" s="15" t="s">
        <v>789</v>
      </c>
    </row>
    <row r="71" ht="15.75" customHeight="1">
      <c r="A71" s="21" t="s">
        <v>80</v>
      </c>
      <c r="B71" s="21" t="s">
        <v>790</v>
      </c>
      <c r="C71" s="21" t="s">
        <v>791</v>
      </c>
      <c r="D71" s="21" t="s">
        <v>376</v>
      </c>
      <c r="E71" s="21" t="s">
        <v>792</v>
      </c>
      <c r="F71" s="21" t="s">
        <v>793</v>
      </c>
      <c r="G71" s="21" t="s">
        <v>371</v>
      </c>
      <c r="H71" s="15" t="s">
        <v>794</v>
      </c>
      <c r="I71" s="15" t="s">
        <v>243</v>
      </c>
      <c r="J71" s="15" t="s">
        <v>795</v>
      </c>
    </row>
    <row r="72" ht="15.75" customHeight="1">
      <c r="A72" s="21" t="s">
        <v>60</v>
      </c>
      <c r="B72" s="21" t="s">
        <v>796</v>
      </c>
      <c r="C72" s="21" t="s">
        <v>797</v>
      </c>
      <c r="D72" s="21" t="s">
        <v>369</v>
      </c>
      <c r="E72" s="21" t="s">
        <v>798</v>
      </c>
      <c r="F72" s="21" t="s">
        <v>799</v>
      </c>
      <c r="G72" s="21" t="s">
        <v>800</v>
      </c>
      <c r="H72" s="15" t="s">
        <v>801</v>
      </c>
      <c r="I72" s="15" t="s">
        <v>136</v>
      </c>
      <c r="J72" s="15" t="s">
        <v>802</v>
      </c>
    </row>
    <row r="73" ht="15.75" customHeight="1">
      <c r="A73" s="21" t="s">
        <v>71</v>
      </c>
      <c r="B73" s="21" t="s">
        <v>803</v>
      </c>
      <c r="C73" s="21" t="s">
        <v>804</v>
      </c>
      <c r="D73" s="21" t="s">
        <v>488</v>
      </c>
      <c r="E73" s="21" t="s">
        <v>805</v>
      </c>
      <c r="F73" s="21" t="s">
        <v>124</v>
      </c>
      <c r="G73" s="21" t="s">
        <v>371</v>
      </c>
      <c r="H73" s="15" t="s">
        <v>806</v>
      </c>
      <c r="I73" s="15" t="s">
        <v>125</v>
      </c>
      <c r="J73" s="15" t="s">
        <v>807</v>
      </c>
    </row>
    <row r="74" ht="15.75" customHeight="1">
      <c r="A74" s="21" t="s">
        <v>66</v>
      </c>
      <c r="B74" s="21" t="s">
        <v>808</v>
      </c>
      <c r="C74" s="21" t="s">
        <v>809</v>
      </c>
      <c r="D74" s="21" t="s">
        <v>376</v>
      </c>
      <c r="E74" s="21" t="s">
        <v>810</v>
      </c>
      <c r="F74" s="21" t="s">
        <v>811</v>
      </c>
      <c r="G74" s="21" t="s">
        <v>371</v>
      </c>
      <c r="H74" s="15" t="s">
        <v>812</v>
      </c>
      <c r="I74" s="15" t="s">
        <v>279</v>
      </c>
      <c r="J74" s="15" t="s">
        <v>813</v>
      </c>
    </row>
    <row r="75" ht="15.75" customHeight="1">
      <c r="A75" s="21" t="s">
        <v>102</v>
      </c>
      <c r="B75" s="21" t="s">
        <v>814</v>
      </c>
      <c r="C75" s="21" t="s">
        <v>815</v>
      </c>
      <c r="D75" s="21" t="s">
        <v>407</v>
      </c>
      <c r="E75" s="21" t="s">
        <v>816</v>
      </c>
      <c r="F75" s="21" t="s">
        <v>257</v>
      </c>
      <c r="G75" s="21" t="s">
        <v>371</v>
      </c>
      <c r="H75" s="15" t="s">
        <v>817</v>
      </c>
      <c r="I75" s="15" t="s">
        <v>258</v>
      </c>
      <c r="J75" s="15" t="s">
        <v>818</v>
      </c>
    </row>
    <row r="76" ht="15.75" customHeight="1">
      <c r="A76" s="21" t="s">
        <v>35</v>
      </c>
      <c r="B76" s="21" t="s">
        <v>819</v>
      </c>
      <c r="C76" s="21" t="s">
        <v>820</v>
      </c>
      <c r="D76" s="21" t="s">
        <v>488</v>
      </c>
      <c r="E76" s="21" t="s">
        <v>821</v>
      </c>
      <c r="F76" s="21" t="s">
        <v>822</v>
      </c>
      <c r="G76" s="21" t="s">
        <v>823</v>
      </c>
      <c r="H76" s="15" t="s">
        <v>824</v>
      </c>
      <c r="I76" s="15" t="s">
        <v>136</v>
      </c>
      <c r="J76" s="15" t="s">
        <v>825</v>
      </c>
    </row>
    <row r="77" ht="15.75" customHeight="1">
      <c r="A77" s="21" t="s">
        <v>19</v>
      </c>
      <c r="B77" s="21" t="s">
        <v>826</v>
      </c>
      <c r="C77" s="21" t="s">
        <v>827</v>
      </c>
      <c r="D77" s="21" t="s">
        <v>426</v>
      </c>
      <c r="E77" s="21" t="s">
        <v>828</v>
      </c>
      <c r="F77" s="21" t="s">
        <v>829</v>
      </c>
      <c r="G77" s="21" t="s">
        <v>371</v>
      </c>
      <c r="H77" s="15" t="s">
        <v>830</v>
      </c>
      <c r="I77" s="15" t="s">
        <v>682</v>
      </c>
      <c r="J77" s="15" t="s">
        <v>831</v>
      </c>
    </row>
    <row r="78" ht="15.75" customHeight="1">
      <c r="A78" s="21" t="s">
        <v>55</v>
      </c>
      <c r="B78" s="21" t="s">
        <v>832</v>
      </c>
      <c r="C78" s="21" t="s">
        <v>833</v>
      </c>
      <c r="D78" s="21" t="s">
        <v>407</v>
      </c>
      <c r="E78" s="21" t="s">
        <v>834</v>
      </c>
      <c r="F78" s="21" t="s">
        <v>668</v>
      </c>
      <c r="G78" s="21" t="s">
        <v>562</v>
      </c>
      <c r="H78" s="15" t="s">
        <v>835</v>
      </c>
      <c r="I78" s="15" t="s">
        <v>136</v>
      </c>
      <c r="J78" s="15" t="s">
        <v>836</v>
      </c>
    </row>
    <row r="79" ht="15.75" customHeight="1">
      <c r="A79" s="21" t="s">
        <v>99</v>
      </c>
      <c r="B79" s="21" t="s">
        <v>837</v>
      </c>
      <c r="C79" s="21" t="s">
        <v>838</v>
      </c>
      <c r="D79" s="21" t="s">
        <v>494</v>
      </c>
      <c r="E79" s="21" t="s">
        <v>839</v>
      </c>
      <c r="F79" s="21" t="s">
        <v>840</v>
      </c>
      <c r="G79" s="21" t="s">
        <v>841</v>
      </c>
      <c r="H79" s="15" t="s">
        <v>842</v>
      </c>
      <c r="I79" s="15" t="s">
        <v>136</v>
      </c>
      <c r="J79" s="15" t="s">
        <v>843</v>
      </c>
    </row>
    <row r="80" ht="15.75" customHeight="1">
      <c r="A80" s="21" t="s">
        <v>14</v>
      </c>
      <c r="B80" s="21" t="s">
        <v>844</v>
      </c>
      <c r="C80" s="21" t="s">
        <v>845</v>
      </c>
      <c r="D80" s="21" t="s">
        <v>407</v>
      </c>
      <c r="E80" s="21" t="s">
        <v>846</v>
      </c>
      <c r="F80" s="21" t="s">
        <v>847</v>
      </c>
      <c r="G80" s="21" t="s">
        <v>371</v>
      </c>
      <c r="H80" s="15" t="s">
        <v>848</v>
      </c>
      <c r="I80" s="15" t="s">
        <v>219</v>
      </c>
      <c r="J80" s="15" t="s">
        <v>849</v>
      </c>
    </row>
    <row r="81" ht="15.75" customHeight="1">
      <c r="A81" s="21" t="s">
        <v>38</v>
      </c>
      <c r="B81" s="21" t="s">
        <v>850</v>
      </c>
      <c r="C81" s="21" t="s">
        <v>851</v>
      </c>
      <c r="D81" s="21" t="s">
        <v>376</v>
      </c>
      <c r="E81" s="21" t="s">
        <v>852</v>
      </c>
      <c r="F81" s="21" t="s">
        <v>378</v>
      </c>
      <c r="G81" s="21" t="s">
        <v>371</v>
      </c>
      <c r="H81" s="15" t="s">
        <v>727</v>
      </c>
      <c r="I81" s="15" t="s">
        <v>380</v>
      </c>
      <c r="J81" s="15" t="s">
        <v>853</v>
      </c>
    </row>
    <row r="82" ht="15.75" customHeight="1">
      <c r="A82" s="21" t="s">
        <v>48</v>
      </c>
      <c r="B82" s="21" t="s">
        <v>854</v>
      </c>
      <c r="C82" s="21" t="s">
        <v>855</v>
      </c>
      <c r="D82" s="21" t="s">
        <v>369</v>
      </c>
      <c r="E82" s="21" t="s">
        <v>856</v>
      </c>
      <c r="F82" s="21" t="s">
        <v>208</v>
      </c>
      <c r="G82" s="21" t="s">
        <v>461</v>
      </c>
      <c r="H82" s="15" t="s">
        <v>857</v>
      </c>
      <c r="I82" s="15" t="s">
        <v>209</v>
      </c>
      <c r="J82" s="15" t="s">
        <v>858</v>
      </c>
    </row>
    <row r="83" ht="15.75" customHeight="1">
      <c r="A83" s="21" t="s">
        <v>96</v>
      </c>
      <c r="B83" s="21" t="s">
        <v>859</v>
      </c>
      <c r="C83" s="21" t="s">
        <v>860</v>
      </c>
      <c r="D83" s="21" t="s">
        <v>459</v>
      </c>
      <c r="E83" s="21" t="s">
        <v>861</v>
      </c>
      <c r="F83" s="21" t="s">
        <v>862</v>
      </c>
      <c r="G83" s="21" t="s">
        <v>635</v>
      </c>
      <c r="H83" s="15" t="s">
        <v>863</v>
      </c>
      <c r="I83" s="15" t="s">
        <v>136</v>
      </c>
      <c r="J83" s="15" t="s">
        <v>864</v>
      </c>
    </row>
    <row r="84" ht="15.75" customHeight="1">
      <c r="A84" s="21" t="s">
        <v>76</v>
      </c>
      <c r="B84" s="21" t="s">
        <v>865</v>
      </c>
      <c r="C84" s="21" t="s">
        <v>866</v>
      </c>
      <c r="D84" s="21" t="s">
        <v>488</v>
      </c>
      <c r="E84" s="21" t="s">
        <v>867</v>
      </c>
      <c r="F84" s="21" t="s">
        <v>868</v>
      </c>
      <c r="G84" s="21" t="s">
        <v>371</v>
      </c>
      <c r="H84" s="15" t="s">
        <v>869</v>
      </c>
      <c r="I84" s="15" t="s">
        <v>279</v>
      </c>
      <c r="J84" s="15" t="s">
        <v>870</v>
      </c>
    </row>
    <row r="85" ht="15.75" customHeight="1">
      <c r="A85" s="21" t="s">
        <v>18</v>
      </c>
      <c r="B85" s="21" t="s">
        <v>871</v>
      </c>
      <c r="C85" s="21" t="s">
        <v>872</v>
      </c>
      <c r="D85" s="21" t="s">
        <v>439</v>
      </c>
      <c r="E85" s="21" t="s">
        <v>873</v>
      </c>
      <c r="F85" s="21" t="s">
        <v>874</v>
      </c>
      <c r="G85" s="21" t="s">
        <v>371</v>
      </c>
      <c r="H85" s="15" t="s">
        <v>875</v>
      </c>
      <c r="I85" s="15" t="s">
        <v>258</v>
      </c>
      <c r="J85" s="15" t="s">
        <v>876</v>
      </c>
    </row>
    <row r="86" ht="15.75" customHeight="1">
      <c r="A86" s="21" t="s">
        <v>12</v>
      </c>
      <c r="B86" s="21" t="s">
        <v>877</v>
      </c>
      <c r="C86" s="21" t="s">
        <v>878</v>
      </c>
      <c r="D86" s="21" t="s">
        <v>426</v>
      </c>
      <c r="E86" s="21" t="s">
        <v>879</v>
      </c>
      <c r="F86" s="21" t="s">
        <v>880</v>
      </c>
      <c r="G86" s="21" t="s">
        <v>371</v>
      </c>
      <c r="H86" s="15" t="s">
        <v>881</v>
      </c>
      <c r="I86" s="15" t="s">
        <v>258</v>
      </c>
      <c r="J86" s="15" t="s">
        <v>882</v>
      </c>
    </row>
    <row r="87" ht="15.75" customHeight="1">
      <c r="A87" s="21" t="s">
        <v>50</v>
      </c>
      <c r="B87" s="21" t="s">
        <v>883</v>
      </c>
      <c r="C87" s="21" t="s">
        <v>884</v>
      </c>
      <c r="D87" s="21" t="s">
        <v>369</v>
      </c>
      <c r="E87" s="21" t="s">
        <v>885</v>
      </c>
      <c r="F87" s="21" t="s">
        <v>886</v>
      </c>
      <c r="G87" s="21" t="s">
        <v>371</v>
      </c>
      <c r="H87" s="15" t="s">
        <v>887</v>
      </c>
      <c r="I87" s="15" t="s">
        <v>219</v>
      </c>
      <c r="J87" s="15" t="s">
        <v>888</v>
      </c>
    </row>
    <row r="88" ht="15.75" customHeight="1">
      <c r="A88" s="21" t="s">
        <v>31</v>
      </c>
      <c r="B88" s="21" t="s">
        <v>889</v>
      </c>
      <c r="C88" s="21" t="s">
        <v>890</v>
      </c>
      <c r="D88" s="21" t="s">
        <v>426</v>
      </c>
      <c r="E88" s="21" t="s">
        <v>891</v>
      </c>
      <c r="F88" s="21" t="s">
        <v>892</v>
      </c>
      <c r="G88" s="21" t="s">
        <v>371</v>
      </c>
      <c r="H88" s="15" t="s">
        <v>893</v>
      </c>
      <c r="I88" s="15" t="s">
        <v>293</v>
      </c>
      <c r="J88" s="15" t="s">
        <v>894</v>
      </c>
    </row>
    <row r="89" ht="15.75" customHeight="1">
      <c r="A89" s="21" t="s">
        <v>22</v>
      </c>
      <c r="B89" s="21" t="s">
        <v>895</v>
      </c>
      <c r="C89" s="21" t="s">
        <v>896</v>
      </c>
      <c r="D89" s="21" t="s">
        <v>488</v>
      </c>
      <c r="E89" s="21" t="s">
        <v>897</v>
      </c>
      <c r="F89" s="21" t="s">
        <v>898</v>
      </c>
      <c r="G89" s="21" t="s">
        <v>461</v>
      </c>
      <c r="H89" s="15" t="s">
        <v>899</v>
      </c>
      <c r="I89" s="15" t="s">
        <v>209</v>
      </c>
      <c r="J89" s="15" t="s">
        <v>900</v>
      </c>
    </row>
    <row r="90" ht="15.75" customHeight="1">
      <c r="A90" s="21" t="s">
        <v>34</v>
      </c>
      <c r="B90" s="21" t="s">
        <v>901</v>
      </c>
      <c r="C90" s="21" t="s">
        <v>902</v>
      </c>
      <c r="D90" s="21" t="s">
        <v>376</v>
      </c>
      <c r="E90" s="21" t="s">
        <v>903</v>
      </c>
      <c r="F90" s="21" t="s">
        <v>904</v>
      </c>
      <c r="G90" s="21" t="s">
        <v>635</v>
      </c>
      <c r="H90" s="15" t="s">
        <v>905</v>
      </c>
      <c r="I90" s="15" t="s">
        <v>136</v>
      </c>
      <c r="J90" s="15" t="s">
        <v>906</v>
      </c>
    </row>
    <row r="91" ht="15.75" customHeight="1">
      <c r="A91" s="21" t="s">
        <v>98</v>
      </c>
      <c r="B91" s="21" t="s">
        <v>907</v>
      </c>
      <c r="C91" s="21" t="s">
        <v>908</v>
      </c>
      <c r="D91" s="21" t="s">
        <v>909</v>
      </c>
      <c r="E91" s="21" t="s">
        <v>910</v>
      </c>
      <c r="F91" s="21" t="s">
        <v>911</v>
      </c>
      <c r="G91" s="21" t="s">
        <v>371</v>
      </c>
      <c r="H91" s="15" t="s">
        <v>912</v>
      </c>
      <c r="I91" s="15" t="s">
        <v>293</v>
      </c>
      <c r="J91" s="15" t="s">
        <v>913</v>
      </c>
    </row>
    <row r="92" ht="15.75" customHeight="1">
      <c r="A92" s="21" t="s">
        <v>78</v>
      </c>
      <c r="B92" s="21" t="s">
        <v>914</v>
      </c>
      <c r="C92" s="21" t="s">
        <v>915</v>
      </c>
      <c r="D92" s="21" t="s">
        <v>376</v>
      </c>
      <c r="E92" s="21" t="s">
        <v>916</v>
      </c>
      <c r="F92" s="21" t="s">
        <v>917</v>
      </c>
      <c r="G92" s="21" t="s">
        <v>371</v>
      </c>
      <c r="H92" s="15" t="s">
        <v>918</v>
      </c>
      <c r="I92" s="15" t="s">
        <v>919</v>
      </c>
      <c r="J92" s="15" t="s">
        <v>920</v>
      </c>
    </row>
    <row r="93" ht="15.75" customHeight="1">
      <c r="A93" s="21"/>
      <c r="B93" s="21"/>
      <c r="C93" s="21"/>
      <c r="D93" s="21"/>
      <c r="E93" s="21"/>
      <c r="F93" s="21"/>
      <c r="G93" s="21"/>
      <c r="H93" s="21"/>
      <c r="I93" s="21"/>
      <c r="J93" s="21"/>
    </row>
    <row r="94" ht="15.75" customHeight="1">
      <c r="A94" s="21"/>
      <c r="B94" s="21"/>
      <c r="C94" s="21"/>
      <c r="D94" s="21"/>
      <c r="E94" s="21"/>
      <c r="F94" s="21"/>
      <c r="G94" s="21"/>
      <c r="H94" s="21"/>
      <c r="I94" s="21"/>
      <c r="J94" s="21"/>
    </row>
    <row r="95" ht="15.75" customHeight="1">
      <c r="A95" s="21"/>
      <c r="B95" s="21"/>
      <c r="C95" s="21"/>
      <c r="D95" s="21"/>
      <c r="E95" s="21"/>
      <c r="F95" s="21"/>
      <c r="G95" s="21"/>
      <c r="H95" s="21"/>
      <c r="I95" s="21"/>
      <c r="J95" s="21"/>
    </row>
    <row r="96" ht="15.75" customHeight="1">
      <c r="A96" s="21"/>
      <c r="B96" s="21"/>
      <c r="C96" s="21"/>
      <c r="D96" s="21"/>
      <c r="E96" s="21"/>
      <c r="F96" s="21"/>
      <c r="G96" s="21"/>
      <c r="H96" s="21"/>
      <c r="I96" s="21"/>
      <c r="J96" s="21"/>
    </row>
    <row r="97" ht="15.75" customHeight="1">
      <c r="A97" s="21"/>
      <c r="B97" s="21"/>
      <c r="C97" s="21"/>
      <c r="D97" s="21"/>
      <c r="E97" s="21"/>
      <c r="F97" s="21"/>
      <c r="G97" s="21"/>
      <c r="H97" s="21"/>
      <c r="I97" s="21"/>
      <c r="J97" s="21"/>
    </row>
    <row r="98" ht="15.75" customHeight="1">
      <c r="A98" s="21"/>
      <c r="B98" s="21"/>
      <c r="C98" s="21"/>
      <c r="D98" s="21"/>
      <c r="E98" s="21"/>
      <c r="F98" s="21"/>
      <c r="G98" s="21"/>
      <c r="H98" s="21"/>
      <c r="I98" s="21"/>
      <c r="J98" s="21"/>
    </row>
    <row r="99" ht="15.75" customHeight="1">
      <c r="A99" s="21"/>
      <c r="B99" s="21"/>
      <c r="C99" s="21"/>
      <c r="D99" s="21"/>
      <c r="E99" s="21"/>
      <c r="F99" s="21"/>
      <c r="G99" s="21"/>
      <c r="H99" s="21"/>
      <c r="I99" s="21"/>
      <c r="J99" s="21"/>
    </row>
    <row r="100" ht="15.75" customHeight="1">
      <c r="A100" s="21"/>
      <c r="B100" s="21"/>
      <c r="C100" s="21"/>
      <c r="D100" s="21"/>
      <c r="E100" s="21"/>
      <c r="F100" s="21"/>
      <c r="G100" s="21"/>
      <c r="H100" s="21"/>
      <c r="I100" s="21"/>
      <c r="J100" s="21"/>
    </row>
    <row r="101" ht="15.75" customHeight="1">
      <c r="A101" s="21"/>
      <c r="B101" s="21"/>
      <c r="C101" s="21"/>
      <c r="D101" s="21"/>
      <c r="E101" s="21"/>
      <c r="F101" s="21"/>
      <c r="G101" s="21"/>
      <c r="H101" s="21"/>
      <c r="I101" s="21"/>
      <c r="J101" s="21"/>
    </row>
    <row r="102" ht="15.75" customHeight="1">
      <c r="A102" s="21"/>
      <c r="B102" s="21"/>
      <c r="C102" s="21"/>
      <c r="D102" s="21"/>
      <c r="E102" s="21"/>
      <c r="F102" s="21"/>
      <c r="G102" s="21"/>
      <c r="H102" s="21"/>
      <c r="I102" s="21"/>
      <c r="J102" s="21"/>
    </row>
    <row r="103" ht="15.75" customHeight="1">
      <c r="A103" s="21"/>
      <c r="B103" s="21"/>
      <c r="C103" s="21"/>
      <c r="D103" s="21"/>
      <c r="E103" s="21"/>
      <c r="F103" s="21"/>
      <c r="G103" s="21"/>
      <c r="H103" s="21"/>
      <c r="I103" s="21"/>
      <c r="J103" s="21"/>
    </row>
    <row r="104" ht="15.75" customHeight="1">
      <c r="A104" s="21"/>
      <c r="B104" s="21"/>
      <c r="C104" s="21"/>
      <c r="D104" s="21"/>
      <c r="E104" s="21"/>
      <c r="F104" s="21"/>
      <c r="G104" s="21"/>
      <c r="H104" s="21"/>
      <c r="I104" s="21"/>
      <c r="J104" s="21"/>
    </row>
    <row r="105" ht="15.75" customHeight="1">
      <c r="A105" s="21"/>
      <c r="B105" s="21"/>
      <c r="C105" s="21"/>
      <c r="D105" s="21"/>
      <c r="E105" s="21"/>
      <c r="F105" s="21"/>
      <c r="G105" s="21"/>
      <c r="H105" s="21"/>
      <c r="I105" s="21"/>
      <c r="J105" s="21"/>
    </row>
    <row r="106" ht="15.75" customHeight="1">
      <c r="A106" s="21"/>
      <c r="B106" s="21"/>
      <c r="C106" s="21"/>
      <c r="D106" s="21"/>
      <c r="E106" s="21"/>
      <c r="F106" s="21"/>
      <c r="G106" s="21"/>
      <c r="H106" s="21"/>
      <c r="I106" s="21"/>
      <c r="J106" s="21"/>
    </row>
    <row r="107" ht="15.75" customHeight="1">
      <c r="A107" s="21"/>
      <c r="B107" s="21"/>
      <c r="C107" s="21"/>
      <c r="D107" s="21"/>
      <c r="E107" s="21"/>
      <c r="F107" s="21"/>
      <c r="G107" s="21"/>
      <c r="H107" s="21"/>
      <c r="I107" s="21"/>
      <c r="J107" s="21"/>
    </row>
    <row r="108" ht="15.75" customHeight="1">
      <c r="A108" s="21"/>
      <c r="B108" s="21"/>
      <c r="C108" s="21"/>
      <c r="D108" s="21"/>
      <c r="E108" s="21"/>
      <c r="F108" s="21"/>
      <c r="G108" s="21"/>
      <c r="H108" s="21"/>
      <c r="I108" s="21"/>
      <c r="J108" s="21"/>
    </row>
    <row r="109" ht="15.75" customHeight="1">
      <c r="A109" s="21"/>
      <c r="B109" s="21"/>
      <c r="C109" s="21"/>
      <c r="D109" s="21"/>
      <c r="E109" s="21"/>
      <c r="F109" s="21"/>
      <c r="G109" s="21"/>
      <c r="H109" s="21"/>
      <c r="I109" s="21"/>
      <c r="J109" s="21"/>
    </row>
    <row r="110" ht="15.75" customHeight="1">
      <c r="A110" s="21"/>
      <c r="B110" s="21"/>
      <c r="C110" s="21"/>
      <c r="D110" s="21"/>
      <c r="E110" s="21"/>
      <c r="F110" s="21"/>
      <c r="G110" s="21"/>
      <c r="H110" s="21"/>
      <c r="I110" s="21"/>
      <c r="J110" s="21"/>
    </row>
    <row r="111" ht="15.75" customHeight="1">
      <c r="A111" s="21"/>
      <c r="B111" s="21"/>
      <c r="C111" s="21"/>
      <c r="D111" s="21"/>
      <c r="E111" s="21"/>
      <c r="F111" s="21"/>
      <c r="G111" s="21"/>
      <c r="H111" s="21"/>
      <c r="I111" s="21"/>
      <c r="J111" s="21"/>
    </row>
    <row r="112" ht="15.75" customHeight="1">
      <c r="A112" s="21"/>
      <c r="B112" s="21"/>
      <c r="C112" s="21"/>
      <c r="D112" s="21"/>
      <c r="E112" s="21"/>
      <c r="F112" s="21"/>
      <c r="G112" s="21"/>
      <c r="H112" s="21"/>
      <c r="I112" s="21"/>
      <c r="J112" s="21"/>
    </row>
    <row r="113" ht="15.75" customHeight="1">
      <c r="A113" s="21"/>
      <c r="B113" s="21"/>
      <c r="C113" s="21"/>
      <c r="D113" s="21"/>
      <c r="E113" s="21"/>
      <c r="F113" s="21"/>
      <c r="G113" s="21"/>
      <c r="H113" s="21"/>
      <c r="I113" s="21"/>
      <c r="J113" s="21"/>
    </row>
    <row r="114" ht="15.75" customHeight="1">
      <c r="A114" s="21"/>
      <c r="B114" s="21"/>
      <c r="C114" s="21"/>
      <c r="D114" s="21"/>
      <c r="E114" s="21"/>
      <c r="F114" s="21"/>
      <c r="G114" s="21"/>
      <c r="H114" s="21"/>
      <c r="I114" s="21"/>
      <c r="J114" s="21"/>
    </row>
    <row r="115" ht="15.75" customHeight="1">
      <c r="A115" s="21"/>
      <c r="B115" s="21"/>
      <c r="C115" s="21"/>
      <c r="D115" s="21"/>
      <c r="E115" s="21"/>
      <c r="F115" s="21"/>
      <c r="G115" s="21"/>
      <c r="H115" s="21"/>
      <c r="I115" s="21"/>
      <c r="J115" s="21"/>
    </row>
    <row r="116" ht="15.75" customHeight="1">
      <c r="A116" s="21"/>
      <c r="B116" s="21"/>
      <c r="C116" s="21"/>
      <c r="D116" s="21"/>
      <c r="E116" s="21"/>
      <c r="F116" s="21"/>
      <c r="G116" s="21"/>
      <c r="H116" s="21"/>
      <c r="I116" s="21"/>
      <c r="J116" s="21"/>
    </row>
    <row r="117" ht="15.75" customHeight="1">
      <c r="A117" s="21"/>
      <c r="B117" s="21"/>
      <c r="C117" s="21"/>
      <c r="D117" s="21"/>
      <c r="E117" s="21"/>
      <c r="F117" s="21"/>
      <c r="G117" s="21"/>
      <c r="H117" s="21"/>
      <c r="I117" s="21"/>
      <c r="J117" s="21"/>
    </row>
    <row r="118" ht="15.75" customHeight="1">
      <c r="A118" s="21"/>
      <c r="B118" s="21"/>
      <c r="C118" s="21"/>
      <c r="D118" s="21"/>
      <c r="E118" s="21"/>
      <c r="F118" s="21"/>
      <c r="G118" s="21"/>
      <c r="H118" s="21"/>
      <c r="I118" s="21"/>
      <c r="J118" s="21"/>
    </row>
    <row r="119" ht="15.75" customHeight="1">
      <c r="A119" s="21"/>
      <c r="B119" s="21"/>
      <c r="C119" s="21"/>
      <c r="D119" s="21"/>
      <c r="E119" s="21"/>
      <c r="F119" s="21"/>
      <c r="G119" s="21"/>
      <c r="H119" s="21"/>
      <c r="I119" s="21"/>
      <c r="J119" s="21"/>
    </row>
    <row r="120" ht="15.75" customHeight="1">
      <c r="A120" s="21"/>
      <c r="B120" s="21"/>
      <c r="C120" s="21"/>
      <c r="D120" s="21"/>
      <c r="E120" s="21"/>
      <c r="F120" s="21"/>
      <c r="G120" s="21"/>
      <c r="H120" s="21"/>
      <c r="I120" s="21"/>
      <c r="J120" s="21"/>
    </row>
    <row r="121" ht="15.75" customHeight="1">
      <c r="A121" s="21"/>
      <c r="B121" s="21"/>
      <c r="C121" s="21"/>
      <c r="D121" s="21"/>
      <c r="E121" s="21"/>
      <c r="F121" s="21"/>
      <c r="G121" s="21"/>
      <c r="H121" s="21"/>
      <c r="I121" s="21"/>
      <c r="J121" s="21"/>
    </row>
    <row r="122" ht="15.75" customHeight="1">
      <c r="A122" s="21"/>
      <c r="B122" s="21"/>
      <c r="C122" s="21"/>
      <c r="D122" s="21"/>
      <c r="E122" s="21"/>
      <c r="F122" s="21"/>
      <c r="G122" s="21"/>
      <c r="H122" s="21"/>
      <c r="I122" s="21"/>
      <c r="J122" s="21"/>
    </row>
    <row r="123" ht="15.75" customHeight="1">
      <c r="A123" s="21"/>
      <c r="B123" s="21"/>
      <c r="C123" s="21"/>
      <c r="D123" s="21"/>
      <c r="E123" s="21"/>
      <c r="F123" s="21"/>
      <c r="G123" s="21"/>
      <c r="H123" s="21"/>
      <c r="I123" s="21"/>
      <c r="J123" s="21"/>
    </row>
    <row r="124" ht="15.75" customHeight="1">
      <c r="A124" s="21"/>
      <c r="B124" s="21"/>
      <c r="C124" s="21"/>
      <c r="D124" s="21"/>
      <c r="E124" s="21"/>
      <c r="F124" s="21"/>
      <c r="G124" s="21"/>
      <c r="H124" s="21"/>
      <c r="I124" s="21"/>
      <c r="J124" s="21"/>
    </row>
    <row r="125" ht="15.75" customHeight="1">
      <c r="A125" s="21"/>
      <c r="B125" s="21"/>
      <c r="C125" s="21"/>
      <c r="D125" s="21"/>
      <c r="E125" s="21"/>
      <c r="F125" s="21"/>
      <c r="G125" s="21"/>
      <c r="H125" s="21"/>
      <c r="I125" s="21"/>
      <c r="J125" s="21"/>
    </row>
    <row r="126" ht="15.75" customHeight="1">
      <c r="A126" s="21"/>
      <c r="B126" s="21"/>
      <c r="C126" s="21"/>
      <c r="D126" s="21"/>
      <c r="E126" s="21"/>
      <c r="F126" s="21"/>
      <c r="G126" s="21"/>
      <c r="H126" s="21"/>
      <c r="I126" s="21"/>
      <c r="J126" s="21"/>
    </row>
    <row r="127" ht="15.75" customHeight="1">
      <c r="A127" s="21"/>
      <c r="B127" s="21"/>
      <c r="C127" s="21"/>
      <c r="D127" s="21"/>
      <c r="E127" s="21"/>
      <c r="F127" s="21"/>
      <c r="G127" s="21"/>
      <c r="H127" s="21"/>
      <c r="I127" s="21"/>
      <c r="J127" s="21"/>
    </row>
    <row r="128" ht="15.75" customHeight="1">
      <c r="A128" s="21"/>
      <c r="B128" s="21"/>
      <c r="C128" s="21"/>
      <c r="D128" s="21"/>
      <c r="E128" s="21"/>
      <c r="F128" s="21"/>
      <c r="G128" s="21"/>
      <c r="H128" s="21"/>
      <c r="I128" s="21"/>
      <c r="J128" s="21"/>
    </row>
    <row r="129" ht="15.75" customHeight="1">
      <c r="A129" s="21"/>
      <c r="B129" s="21"/>
      <c r="C129" s="21"/>
      <c r="D129" s="21"/>
      <c r="E129" s="21"/>
      <c r="F129" s="21"/>
      <c r="G129" s="21"/>
      <c r="H129" s="21"/>
      <c r="I129" s="21"/>
      <c r="J129" s="21"/>
    </row>
    <row r="130" ht="15.75" customHeight="1">
      <c r="A130" s="21"/>
      <c r="B130" s="21"/>
      <c r="C130" s="21"/>
      <c r="D130" s="21"/>
      <c r="E130" s="21"/>
      <c r="F130" s="21"/>
      <c r="G130" s="21"/>
      <c r="H130" s="21"/>
      <c r="I130" s="21"/>
      <c r="J130" s="21"/>
    </row>
    <row r="131" ht="15.75" customHeight="1">
      <c r="A131" s="21"/>
      <c r="B131" s="21"/>
      <c r="C131" s="21"/>
      <c r="D131" s="21"/>
      <c r="E131" s="21"/>
      <c r="F131" s="21"/>
      <c r="G131" s="21"/>
      <c r="H131" s="21"/>
      <c r="I131" s="21"/>
      <c r="J131" s="21"/>
    </row>
    <row r="132" ht="15.75" customHeight="1">
      <c r="A132" s="21"/>
      <c r="B132" s="21"/>
      <c r="C132" s="21"/>
      <c r="D132" s="21"/>
      <c r="E132" s="21"/>
      <c r="F132" s="21"/>
      <c r="G132" s="21"/>
      <c r="H132" s="21"/>
      <c r="I132" s="21"/>
      <c r="J132" s="21"/>
    </row>
    <row r="133" ht="15.75" customHeight="1">
      <c r="A133" s="21"/>
      <c r="B133" s="21"/>
      <c r="C133" s="21"/>
      <c r="D133" s="21"/>
      <c r="E133" s="21"/>
      <c r="F133" s="21"/>
      <c r="G133" s="21"/>
      <c r="H133" s="21"/>
      <c r="I133" s="21"/>
      <c r="J133" s="21"/>
    </row>
    <row r="134" ht="15.75" customHeight="1">
      <c r="A134" s="21"/>
      <c r="B134" s="21"/>
      <c r="C134" s="21"/>
      <c r="D134" s="21"/>
      <c r="E134" s="21"/>
      <c r="F134" s="21"/>
      <c r="G134" s="21"/>
      <c r="H134" s="21"/>
      <c r="I134" s="21"/>
      <c r="J134" s="21"/>
    </row>
    <row r="135" ht="15.75" customHeight="1">
      <c r="A135" s="21"/>
      <c r="B135" s="21"/>
      <c r="C135" s="21"/>
      <c r="D135" s="21"/>
      <c r="E135" s="21"/>
      <c r="F135" s="21"/>
      <c r="G135" s="21"/>
      <c r="H135" s="21"/>
      <c r="I135" s="21"/>
      <c r="J135" s="21"/>
    </row>
    <row r="136" ht="15.75" customHeight="1">
      <c r="A136" s="21"/>
      <c r="B136" s="21"/>
      <c r="C136" s="21"/>
      <c r="D136" s="21"/>
      <c r="E136" s="21"/>
      <c r="F136" s="21"/>
      <c r="G136" s="21"/>
      <c r="H136" s="21"/>
      <c r="I136" s="21"/>
      <c r="J136" s="21"/>
    </row>
    <row r="137" ht="15.75" customHeight="1">
      <c r="A137" s="21"/>
      <c r="B137" s="21"/>
      <c r="C137" s="21"/>
      <c r="D137" s="21"/>
      <c r="E137" s="21"/>
      <c r="F137" s="21"/>
      <c r="G137" s="21"/>
      <c r="H137" s="21"/>
      <c r="I137" s="21"/>
      <c r="J137" s="21"/>
    </row>
    <row r="138" ht="15.75" customHeight="1">
      <c r="A138" s="21"/>
      <c r="B138" s="21"/>
      <c r="C138" s="21"/>
      <c r="D138" s="21"/>
      <c r="E138" s="21"/>
      <c r="F138" s="21"/>
      <c r="G138" s="21"/>
      <c r="H138" s="21"/>
      <c r="I138" s="21"/>
      <c r="J138" s="21"/>
    </row>
    <row r="139" ht="15.75" customHeight="1">
      <c r="A139" s="21"/>
      <c r="B139" s="21"/>
      <c r="C139" s="21"/>
      <c r="D139" s="21"/>
      <c r="E139" s="21"/>
      <c r="F139" s="21"/>
      <c r="G139" s="21"/>
      <c r="H139" s="21"/>
      <c r="I139" s="21"/>
      <c r="J139" s="21"/>
    </row>
    <row r="140" ht="15.75" customHeight="1">
      <c r="A140" s="21"/>
      <c r="B140" s="21"/>
      <c r="C140" s="21"/>
      <c r="D140" s="21"/>
      <c r="E140" s="21"/>
      <c r="F140" s="21"/>
      <c r="G140" s="21"/>
      <c r="H140" s="21"/>
      <c r="I140" s="21"/>
      <c r="J140" s="21"/>
    </row>
    <row r="141" ht="15.75" customHeight="1">
      <c r="A141" s="21"/>
      <c r="B141" s="21"/>
      <c r="C141" s="21"/>
      <c r="D141" s="21"/>
      <c r="E141" s="21"/>
      <c r="F141" s="21"/>
      <c r="G141" s="21"/>
      <c r="H141" s="21"/>
      <c r="I141" s="21"/>
      <c r="J141" s="21"/>
    </row>
    <row r="142" ht="15.75" customHeight="1">
      <c r="A142" s="21"/>
      <c r="B142" s="21"/>
      <c r="C142" s="21"/>
      <c r="D142" s="21"/>
      <c r="E142" s="21"/>
      <c r="F142" s="21"/>
      <c r="G142" s="21"/>
      <c r="H142" s="21"/>
      <c r="I142" s="21"/>
      <c r="J142" s="21"/>
    </row>
    <row r="143" ht="15.75" customHeight="1">
      <c r="A143" s="21"/>
      <c r="B143" s="21"/>
      <c r="C143" s="21"/>
      <c r="D143" s="21"/>
      <c r="E143" s="21"/>
      <c r="F143" s="21"/>
      <c r="G143" s="21"/>
      <c r="H143" s="21"/>
      <c r="I143" s="21"/>
      <c r="J143" s="21"/>
    </row>
    <row r="144" ht="15.75" customHeight="1">
      <c r="A144" s="21"/>
      <c r="B144" s="21"/>
      <c r="C144" s="21"/>
      <c r="D144" s="21"/>
      <c r="E144" s="21"/>
      <c r="F144" s="21"/>
      <c r="G144" s="21"/>
      <c r="H144" s="21"/>
      <c r="I144" s="21"/>
      <c r="J144" s="21"/>
    </row>
    <row r="145" ht="15.75" customHeight="1">
      <c r="A145" s="21"/>
      <c r="B145" s="21"/>
      <c r="C145" s="21"/>
      <c r="D145" s="21"/>
      <c r="E145" s="21"/>
      <c r="F145" s="21"/>
      <c r="G145" s="21"/>
      <c r="H145" s="21"/>
      <c r="I145" s="21"/>
      <c r="J145" s="21"/>
    </row>
    <row r="146" ht="15.75" customHeight="1">
      <c r="A146" s="21"/>
      <c r="B146" s="21"/>
      <c r="C146" s="21"/>
      <c r="D146" s="21"/>
      <c r="E146" s="21"/>
      <c r="F146" s="21"/>
      <c r="G146" s="21"/>
      <c r="H146" s="21"/>
      <c r="I146" s="21"/>
      <c r="J146" s="21"/>
    </row>
    <row r="147" ht="15.75" customHeight="1">
      <c r="A147" s="21"/>
      <c r="B147" s="21"/>
      <c r="C147" s="21"/>
      <c r="D147" s="21"/>
      <c r="E147" s="21"/>
      <c r="F147" s="21"/>
      <c r="G147" s="21"/>
      <c r="H147" s="21"/>
      <c r="I147" s="21"/>
      <c r="J147" s="21"/>
    </row>
    <row r="148" ht="15.75" customHeight="1">
      <c r="A148" s="21"/>
      <c r="B148" s="21"/>
      <c r="C148" s="21"/>
      <c r="D148" s="21"/>
      <c r="E148" s="21"/>
      <c r="F148" s="21"/>
      <c r="G148" s="21"/>
      <c r="H148" s="21"/>
      <c r="I148" s="21"/>
      <c r="J148" s="21"/>
    </row>
    <row r="149" ht="15.75" customHeight="1">
      <c r="A149" s="21"/>
      <c r="B149" s="21"/>
      <c r="C149" s="21"/>
      <c r="D149" s="21"/>
      <c r="E149" s="21"/>
      <c r="F149" s="21"/>
      <c r="G149" s="21"/>
      <c r="H149" s="21"/>
      <c r="I149" s="21"/>
      <c r="J149" s="21"/>
    </row>
    <row r="150" ht="15.75" customHeight="1">
      <c r="A150" s="21"/>
      <c r="B150" s="21"/>
      <c r="C150" s="21"/>
      <c r="D150" s="21"/>
      <c r="E150" s="21"/>
      <c r="F150" s="21"/>
      <c r="G150" s="21"/>
      <c r="H150" s="21"/>
      <c r="I150" s="21"/>
      <c r="J150" s="21"/>
    </row>
    <row r="151" ht="15.75" customHeight="1">
      <c r="A151" s="21"/>
      <c r="B151" s="21"/>
      <c r="C151" s="21"/>
      <c r="D151" s="21"/>
      <c r="E151" s="21"/>
      <c r="F151" s="21"/>
      <c r="G151" s="21"/>
      <c r="H151" s="21"/>
      <c r="I151" s="21"/>
      <c r="J151" s="21"/>
    </row>
    <row r="152" ht="15.75" customHeight="1">
      <c r="A152" s="21"/>
      <c r="B152" s="21"/>
      <c r="C152" s="21"/>
      <c r="D152" s="21"/>
      <c r="E152" s="21"/>
      <c r="F152" s="21"/>
      <c r="G152" s="21"/>
      <c r="H152" s="21"/>
      <c r="I152" s="21"/>
      <c r="J152" s="21"/>
    </row>
    <row r="153" ht="15.75" customHeight="1">
      <c r="A153" s="21"/>
      <c r="B153" s="21"/>
      <c r="C153" s="21"/>
      <c r="D153" s="21"/>
      <c r="E153" s="21"/>
      <c r="F153" s="21"/>
      <c r="G153" s="21"/>
      <c r="H153" s="21"/>
      <c r="I153" s="21"/>
      <c r="J153" s="21"/>
    </row>
    <row r="154" ht="15.75" customHeight="1">
      <c r="A154" s="21"/>
      <c r="B154" s="21"/>
      <c r="C154" s="21"/>
      <c r="D154" s="21"/>
      <c r="E154" s="21"/>
      <c r="F154" s="21"/>
      <c r="G154" s="21"/>
      <c r="H154" s="21"/>
      <c r="I154" s="21"/>
      <c r="J154" s="21"/>
    </row>
    <row r="155" ht="15.75" customHeight="1">
      <c r="A155" s="21"/>
      <c r="B155" s="21"/>
      <c r="C155" s="21"/>
      <c r="D155" s="21"/>
      <c r="E155" s="21"/>
      <c r="F155" s="21"/>
      <c r="G155" s="21"/>
      <c r="H155" s="21"/>
      <c r="I155" s="21"/>
      <c r="J155" s="21"/>
    </row>
    <row r="156" ht="15.75" customHeight="1">
      <c r="A156" s="21"/>
      <c r="B156" s="21"/>
      <c r="C156" s="21"/>
      <c r="D156" s="21"/>
      <c r="E156" s="21"/>
      <c r="F156" s="21"/>
      <c r="G156" s="21"/>
      <c r="H156" s="21"/>
      <c r="I156" s="21"/>
      <c r="J156" s="21"/>
    </row>
    <row r="157" ht="15.75" customHeight="1">
      <c r="A157" s="21"/>
      <c r="B157" s="21"/>
      <c r="C157" s="21"/>
      <c r="D157" s="21"/>
      <c r="E157" s="21"/>
      <c r="F157" s="21"/>
      <c r="G157" s="21"/>
      <c r="H157" s="21"/>
      <c r="I157" s="21"/>
      <c r="J157" s="21"/>
    </row>
    <row r="158" ht="15.75" customHeight="1">
      <c r="A158" s="21"/>
      <c r="B158" s="21"/>
      <c r="C158" s="21"/>
      <c r="D158" s="21"/>
      <c r="E158" s="21"/>
      <c r="F158" s="21"/>
      <c r="G158" s="21"/>
      <c r="H158" s="21"/>
      <c r="I158" s="21"/>
      <c r="J158" s="21"/>
    </row>
    <row r="159" ht="15.75" customHeight="1">
      <c r="A159" s="21"/>
      <c r="B159" s="21"/>
      <c r="C159" s="21"/>
      <c r="D159" s="21"/>
      <c r="E159" s="21"/>
      <c r="F159" s="21"/>
      <c r="G159" s="21"/>
      <c r="H159" s="21"/>
      <c r="I159" s="21"/>
      <c r="J159" s="21"/>
    </row>
    <row r="160" ht="15.75" customHeight="1">
      <c r="A160" s="21"/>
      <c r="B160" s="21"/>
      <c r="C160" s="21"/>
      <c r="D160" s="21"/>
      <c r="E160" s="21"/>
      <c r="F160" s="21"/>
      <c r="G160" s="21"/>
      <c r="H160" s="21"/>
      <c r="I160" s="21"/>
      <c r="J160" s="21"/>
    </row>
    <row r="161" ht="15.75" customHeight="1">
      <c r="A161" s="21"/>
      <c r="B161" s="21"/>
      <c r="C161" s="21"/>
      <c r="D161" s="21"/>
      <c r="E161" s="21"/>
      <c r="F161" s="21"/>
      <c r="G161" s="21"/>
      <c r="H161" s="21"/>
      <c r="I161" s="21"/>
      <c r="J161" s="21"/>
    </row>
    <row r="162" ht="15.75" customHeight="1">
      <c r="A162" s="21"/>
      <c r="B162" s="21"/>
      <c r="C162" s="21"/>
      <c r="D162" s="21"/>
      <c r="E162" s="21"/>
      <c r="F162" s="21"/>
      <c r="G162" s="21"/>
      <c r="H162" s="21"/>
      <c r="I162" s="21"/>
      <c r="J162" s="21"/>
    </row>
    <row r="163" ht="15.75" customHeight="1">
      <c r="A163" s="21"/>
      <c r="B163" s="21"/>
      <c r="C163" s="21"/>
      <c r="D163" s="21"/>
      <c r="E163" s="21"/>
      <c r="F163" s="21"/>
      <c r="G163" s="21"/>
      <c r="H163" s="21"/>
      <c r="I163" s="21"/>
      <c r="J163" s="21"/>
    </row>
    <row r="164" ht="15.75" customHeight="1">
      <c r="A164" s="21"/>
      <c r="B164" s="21"/>
      <c r="C164" s="21"/>
      <c r="D164" s="21"/>
      <c r="E164" s="21"/>
      <c r="F164" s="21"/>
      <c r="G164" s="21"/>
      <c r="H164" s="21"/>
      <c r="I164" s="21"/>
      <c r="J164" s="21"/>
    </row>
    <row r="165" ht="15.75" customHeight="1">
      <c r="A165" s="21"/>
      <c r="B165" s="21"/>
      <c r="C165" s="21"/>
      <c r="D165" s="21"/>
      <c r="E165" s="21"/>
      <c r="F165" s="21"/>
      <c r="G165" s="21"/>
      <c r="H165" s="21"/>
      <c r="I165" s="21"/>
      <c r="J165" s="21"/>
    </row>
    <row r="166" ht="15.75" customHeight="1">
      <c r="A166" s="21"/>
      <c r="B166" s="21"/>
      <c r="C166" s="21"/>
      <c r="D166" s="21"/>
      <c r="E166" s="21"/>
      <c r="F166" s="21"/>
      <c r="G166" s="21"/>
      <c r="H166" s="21"/>
      <c r="I166" s="21"/>
      <c r="J166" s="21"/>
    </row>
    <row r="167" ht="15.75" customHeight="1">
      <c r="A167" s="21"/>
      <c r="B167" s="21"/>
      <c r="C167" s="21"/>
      <c r="D167" s="21"/>
      <c r="E167" s="21"/>
      <c r="F167" s="21"/>
      <c r="G167" s="21"/>
      <c r="H167" s="21"/>
      <c r="I167" s="21"/>
      <c r="J167" s="21"/>
    </row>
    <row r="168" ht="15.75" customHeight="1">
      <c r="A168" s="21"/>
      <c r="B168" s="21"/>
      <c r="C168" s="21"/>
      <c r="D168" s="21"/>
      <c r="E168" s="21"/>
      <c r="F168" s="21"/>
      <c r="G168" s="21"/>
      <c r="H168" s="21"/>
      <c r="I168" s="21"/>
      <c r="J168" s="21"/>
    </row>
    <row r="169" ht="15.75" customHeight="1">
      <c r="A169" s="21"/>
      <c r="B169" s="21"/>
      <c r="C169" s="21"/>
      <c r="D169" s="21"/>
      <c r="E169" s="21"/>
      <c r="F169" s="21"/>
      <c r="G169" s="21"/>
      <c r="H169" s="21"/>
      <c r="I169" s="21"/>
      <c r="J169" s="21"/>
    </row>
    <row r="170" ht="15.75" customHeight="1">
      <c r="A170" s="21"/>
      <c r="B170" s="21"/>
      <c r="C170" s="21"/>
      <c r="D170" s="21"/>
      <c r="E170" s="21"/>
      <c r="F170" s="21"/>
      <c r="G170" s="21"/>
      <c r="H170" s="21"/>
      <c r="I170" s="21"/>
      <c r="J170" s="21"/>
    </row>
    <row r="171" ht="15.75" customHeight="1">
      <c r="A171" s="21"/>
      <c r="B171" s="21"/>
      <c r="C171" s="21"/>
      <c r="D171" s="21"/>
      <c r="E171" s="21"/>
      <c r="F171" s="21"/>
      <c r="G171" s="21"/>
      <c r="H171" s="21"/>
      <c r="I171" s="21"/>
      <c r="J171" s="21"/>
    </row>
    <row r="172" ht="15.75" customHeight="1">
      <c r="A172" s="21"/>
      <c r="B172" s="21"/>
      <c r="C172" s="21"/>
      <c r="D172" s="21"/>
      <c r="E172" s="21"/>
      <c r="F172" s="21"/>
      <c r="G172" s="21"/>
      <c r="H172" s="21"/>
      <c r="I172" s="21"/>
      <c r="J172" s="21"/>
    </row>
    <row r="173" ht="15.75" customHeight="1">
      <c r="A173" s="21"/>
      <c r="B173" s="21"/>
      <c r="C173" s="21"/>
      <c r="D173" s="21"/>
      <c r="E173" s="21"/>
      <c r="F173" s="21"/>
      <c r="G173" s="21"/>
      <c r="H173" s="21"/>
      <c r="I173" s="21"/>
      <c r="J173" s="21"/>
    </row>
    <row r="174" ht="15.75" customHeight="1">
      <c r="A174" s="21"/>
      <c r="B174" s="21"/>
      <c r="C174" s="21"/>
      <c r="D174" s="21"/>
      <c r="E174" s="21"/>
      <c r="F174" s="21"/>
      <c r="G174" s="21"/>
      <c r="H174" s="21"/>
      <c r="I174" s="21"/>
      <c r="J174" s="21"/>
    </row>
    <row r="175" ht="15.75" customHeight="1">
      <c r="A175" s="21"/>
      <c r="B175" s="21"/>
      <c r="C175" s="21"/>
      <c r="D175" s="21"/>
      <c r="E175" s="21"/>
      <c r="F175" s="21"/>
      <c r="G175" s="21"/>
      <c r="H175" s="21"/>
      <c r="I175" s="21"/>
      <c r="J175" s="21"/>
    </row>
    <row r="176" ht="15.75" customHeight="1">
      <c r="A176" s="21"/>
      <c r="B176" s="21"/>
      <c r="C176" s="21"/>
      <c r="D176" s="21"/>
      <c r="E176" s="21"/>
      <c r="F176" s="21"/>
      <c r="G176" s="21"/>
      <c r="H176" s="21"/>
      <c r="I176" s="21"/>
      <c r="J176" s="21"/>
    </row>
    <row r="177" ht="15.75" customHeight="1">
      <c r="A177" s="21"/>
      <c r="B177" s="21"/>
      <c r="C177" s="21"/>
      <c r="D177" s="21"/>
      <c r="E177" s="21"/>
      <c r="F177" s="21"/>
      <c r="G177" s="21"/>
      <c r="H177" s="21"/>
      <c r="I177" s="21"/>
      <c r="J177" s="21"/>
    </row>
    <row r="178" ht="15.75" customHeight="1">
      <c r="A178" s="21"/>
      <c r="B178" s="21"/>
      <c r="C178" s="21"/>
      <c r="D178" s="21"/>
      <c r="E178" s="21"/>
      <c r="F178" s="21"/>
      <c r="G178" s="21"/>
      <c r="H178" s="21"/>
      <c r="I178" s="21"/>
      <c r="J178" s="21"/>
    </row>
    <row r="179" ht="15.75" customHeight="1">
      <c r="A179" s="21"/>
      <c r="B179" s="21"/>
      <c r="C179" s="21"/>
      <c r="D179" s="21"/>
      <c r="E179" s="21"/>
      <c r="F179" s="21"/>
      <c r="G179" s="21"/>
      <c r="H179" s="21"/>
      <c r="I179" s="21"/>
      <c r="J179" s="21"/>
    </row>
    <row r="180" ht="15.75" customHeight="1">
      <c r="A180" s="21"/>
      <c r="B180" s="21"/>
      <c r="C180" s="21"/>
      <c r="D180" s="21"/>
      <c r="E180" s="21"/>
      <c r="F180" s="21"/>
      <c r="G180" s="21"/>
      <c r="H180" s="21"/>
      <c r="I180" s="21"/>
      <c r="J180" s="21"/>
    </row>
    <row r="181" ht="15.75" customHeight="1">
      <c r="A181" s="21"/>
      <c r="B181" s="21"/>
      <c r="C181" s="21"/>
      <c r="D181" s="21"/>
      <c r="E181" s="21"/>
      <c r="F181" s="21"/>
      <c r="G181" s="21"/>
      <c r="H181" s="21"/>
      <c r="I181" s="21"/>
      <c r="J181" s="21"/>
    </row>
    <row r="182" ht="15.75" customHeight="1">
      <c r="A182" s="21"/>
      <c r="B182" s="21"/>
      <c r="C182" s="21"/>
      <c r="D182" s="21"/>
      <c r="E182" s="21"/>
      <c r="F182" s="21"/>
      <c r="G182" s="21"/>
      <c r="H182" s="21"/>
      <c r="I182" s="21"/>
      <c r="J182" s="21"/>
    </row>
    <row r="183" ht="15.75" customHeight="1">
      <c r="A183" s="21"/>
      <c r="B183" s="21"/>
      <c r="C183" s="21"/>
      <c r="D183" s="21"/>
      <c r="E183" s="21"/>
      <c r="F183" s="21"/>
      <c r="G183" s="21"/>
      <c r="H183" s="21"/>
      <c r="I183" s="21"/>
      <c r="J183" s="21"/>
    </row>
    <row r="184" ht="15.75" customHeight="1">
      <c r="A184" s="21"/>
      <c r="B184" s="21"/>
      <c r="C184" s="21"/>
      <c r="D184" s="21"/>
      <c r="E184" s="21"/>
      <c r="F184" s="21"/>
      <c r="G184" s="21"/>
      <c r="H184" s="21"/>
      <c r="I184" s="21"/>
      <c r="J184" s="21"/>
    </row>
    <row r="185" ht="15.75" customHeight="1">
      <c r="A185" s="21"/>
      <c r="B185" s="21"/>
      <c r="C185" s="21"/>
      <c r="D185" s="21"/>
      <c r="E185" s="21"/>
      <c r="F185" s="21"/>
      <c r="G185" s="21"/>
      <c r="H185" s="21"/>
      <c r="I185" s="21"/>
      <c r="J185" s="21"/>
    </row>
    <row r="186" ht="15.75" customHeight="1">
      <c r="A186" s="21"/>
      <c r="B186" s="21"/>
      <c r="C186" s="21"/>
      <c r="D186" s="21"/>
      <c r="E186" s="21"/>
      <c r="F186" s="21"/>
      <c r="G186" s="21"/>
      <c r="H186" s="21"/>
      <c r="I186" s="21"/>
      <c r="J186" s="21"/>
    </row>
    <row r="187" ht="15.75" customHeight="1">
      <c r="A187" s="21"/>
      <c r="B187" s="21"/>
      <c r="C187" s="21"/>
      <c r="D187" s="21"/>
      <c r="E187" s="21"/>
      <c r="F187" s="21"/>
      <c r="G187" s="21"/>
      <c r="H187" s="21"/>
      <c r="I187" s="21"/>
      <c r="J187" s="21"/>
    </row>
    <row r="188" ht="15.75" customHeight="1">
      <c r="A188" s="21"/>
      <c r="B188" s="21"/>
      <c r="C188" s="21"/>
      <c r="D188" s="21"/>
      <c r="E188" s="21"/>
      <c r="F188" s="21"/>
      <c r="G188" s="21"/>
      <c r="H188" s="21"/>
      <c r="I188" s="21"/>
      <c r="J188" s="21"/>
    </row>
    <row r="189" ht="15.75" customHeight="1">
      <c r="A189" s="21"/>
      <c r="B189" s="21"/>
      <c r="C189" s="21"/>
      <c r="D189" s="21"/>
      <c r="E189" s="21"/>
      <c r="F189" s="21"/>
      <c r="G189" s="21"/>
      <c r="H189" s="21"/>
      <c r="I189" s="21"/>
      <c r="J189" s="21"/>
    </row>
    <row r="190" ht="15.75" customHeight="1">
      <c r="A190" s="21"/>
      <c r="B190" s="21"/>
      <c r="C190" s="21"/>
      <c r="D190" s="21"/>
      <c r="E190" s="21"/>
      <c r="F190" s="21"/>
      <c r="G190" s="21"/>
      <c r="H190" s="21"/>
      <c r="I190" s="21"/>
      <c r="J190" s="21"/>
    </row>
    <row r="191" ht="15.75" customHeight="1">
      <c r="A191" s="21"/>
      <c r="B191" s="21"/>
      <c r="C191" s="21"/>
      <c r="D191" s="21"/>
      <c r="E191" s="21"/>
      <c r="F191" s="21"/>
      <c r="G191" s="21"/>
      <c r="H191" s="21"/>
      <c r="I191" s="21"/>
      <c r="J191" s="21"/>
    </row>
    <row r="192" ht="15.75" customHeight="1">
      <c r="A192" s="21"/>
      <c r="B192" s="21"/>
      <c r="C192" s="21"/>
      <c r="D192" s="21"/>
      <c r="E192" s="21"/>
      <c r="F192" s="21"/>
      <c r="G192" s="21"/>
      <c r="H192" s="21"/>
      <c r="I192" s="21"/>
      <c r="J192" s="21"/>
    </row>
    <row r="193" ht="15.75" customHeight="1">
      <c r="A193" s="21"/>
      <c r="B193" s="21"/>
      <c r="C193" s="21"/>
      <c r="D193" s="21"/>
      <c r="E193" s="21"/>
      <c r="F193" s="21"/>
      <c r="G193" s="21"/>
      <c r="H193" s="21"/>
      <c r="I193" s="21"/>
      <c r="J193" s="21"/>
    </row>
    <row r="194" ht="15.75" customHeight="1">
      <c r="A194" s="21"/>
      <c r="B194" s="21"/>
      <c r="C194" s="21"/>
      <c r="D194" s="21"/>
      <c r="E194" s="21"/>
      <c r="F194" s="21"/>
      <c r="G194" s="21"/>
      <c r="H194" s="21"/>
      <c r="I194" s="21"/>
      <c r="J194" s="21"/>
    </row>
    <row r="195" ht="15.75" customHeight="1">
      <c r="A195" s="21"/>
      <c r="B195" s="21"/>
      <c r="C195" s="21"/>
      <c r="D195" s="21"/>
      <c r="E195" s="21"/>
      <c r="F195" s="21"/>
      <c r="G195" s="21"/>
      <c r="H195" s="21"/>
      <c r="I195" s="21"/>
      <c r="J195" s="21"/>
    </row>
    <row r="196" ht="15.75" customHeight="1">
      <c r="A196" s="21"/>
      <c r="B196" s="21"/>
      <c r="C196" s="21"/>
      <c r="D196" s="21"/>
      <c r="E196" s="21"/>
      <c r="F196" s="21"/>
      <c r="G196" s="21"/>
      <c r="H196" s="21"/>
      <c r="I196" s="21"/>
      <c r="J196" s="21"/>
    </row>
    <row r="197" ht="15.75" customHeight="1">
      <c r="A197" s="21"/>
      <c r="B197" s="21"/>
      <c r="C197" s="21"/>
      <c r="D197" s="21"/>
      <c r="E197" s="21"/>
      <c r="F197" s="21"/>
      <c r="G197" s="21"/>
      <c r="H197" s="21"/>
      <c r="I197" s="21"/>
      <c r="J197" s="21"/>
    </row>
    <row r="198" ht="15.75" customHeight="1">
      <c r="A198" s="21"/>
      <c r="B198" s="21"/>
      <c r="C198" s="21"/>
      <c r="D198" s="21"/>
      <c r="E198" s="21"/>
      <c r="F198" s="21"/>
      <c r="G198" s="21"/>
      <c r="H198" s="21"/>
      <c r="I198" s="21"/>
      <c r="J198" s="21"/>
    </row>
    <row r="199" ht="15.75" customHeight="1">
      <c r="A199" s="21"/>
      <c r="B199" s="21"/>
      <c r="C199" s="21"/>
      <c r="D199" s="21"/>
      <c r="E199" s="21"/>
      <c r="F199" s="21"/>
      <c r="G199" s="21"/>
      <c r="H199" s="21"/>
      <c r="I199" s="21"/>
      <c r="J199" s="21"/>
    </row>
    <row r="200" ht="15.75" customHeight="1">
      <c r="A200" s="21"/>
      <c r="B200" s="21"/>
      <c r="C200" s="21"/>
      <c r="D200" s="21"/>
      <c r="E200" s="21"/>
      <c r="F200" s="21"/>
      <c r="G200" s="21"/>
      <c r="H200" s="21"/>
      <c r="I200" s="21"/>
      <c r="J200" s="21"/>
    </row>
    <row r="201" ht="15.75" customHeight="1">
      <c r="A201" s="21"/>
      <c r="B201" s="21"/>
      <c r="C201" s="21"/>
      <c r="D201" s="21"/>
      <c r="E201" s="21"/>
      <c r="F201" s="21"/>
      <c r="G201" s="21"/>
      <c r="H201" s="21"/>
      <c r="I201" s="21"/>
      <c r="J201" s="21"/>
    </row>
    <row r="202" ht="15.75" customHeight="1">
      <c r="A202" s="21"/>
      <c r="B202" s="21"/>
      <c r="C202" s="21"/>
      <c r="D202" s="21"/>
      <c r="E202" s="21"/>
      <c r="F202" s="21"/>
      <c r="G202" s="21"/>
      <c r="H202" s="21"/>
      <c r="I202" s="21"/>
      <c r="J202" s="21"/>
    </row>
    <row r="203" ht="15.75" customHeight="1">
      <c r="A203" s="21"/>
      <c r="B203" s="21"/>
      <c r="C203" s="21"/>
      <c r="D203" s="21"/>
      <c r="E203" s="21"/>
      <c r="F203" s="21"/>
      <c r="G203" s="21"/>
      <c r="H203" s="21"/>
      <c r="I203" s="21"/>
      <c r="J203" s="21"/>
    </row>
    <row r="204" ht="15.75" customHeight="1">
      <c r="A204" s="21"/>
      <c r="B204" s="21"/>
      <c r="C204" s="21"/>
      <c r="D204" s="21"/>
      <c r="E204" s="21"/>
      <c r="F204" s="21"/>
      <c r="G204" s="21"/>
      <c r="H204" s="21"/>
      <c r="I204" s="21"/>
      <c r="J204" s="21"/>
    </row>
    <row r="205" ht="15.75" customHeight="1">
      <c r="A205" s="21"/>
      <c r="B205" s="21"/>
      <c r="C205" s="21"/>
      <c r="D205" s="21"/>
      <c r="E205" s="21"/>
      <c r="F205" s="21"/>
      <c r="G205" s="21"/>
      <c r="H205" s="21"/>
      <c r="I205" s="21"/>
      <c r="J205" s="21"/>
    </row>
    <row r="206" ht="15.75" customHeight="1">
      <c r="A206" s="21"/>
      <c r="B206" s="21"/>
      <c r="C206" s="21"/>
      <c r="D206" s="21"/>
      <c r="E206" s="21"/>
      <c r="F206" s="21"/>
      <c r="G206" s="21"/>
      <c r="H206" s="21"/>
      <c r="I206" s="21"/>
      <c r="J206" s="21"/>
    </row>
    <row r="207" ht="15.75" customHeight="1">
      <c r="A207" s="21"/>
      <c r="B207" s="21"/>
      <c r="C207" s="21"/>
      <c r="D207" s="21"/>
      <c r="E207" s="21"/>
      <c r="F207" s="21"/>
      <c r="G207" s="21"/>
      <c r="H207" s="21"/>
      <c r="I207" s="21"/>
      <c r="J207" s="21"/>
    </row>
    <row r="208" ht="15.75" customHeight="1">
      <c r="A208" s="21"/>
      <c r="B208" s="21"/>
      <c r="C208" s="21"/>
      <c r="D208" s="21"/>
      <c r="E208" s="21"/>
      <c r="F208" s="21"/>
      <c r="G208" s="21"/>
      <c r="H208" s="21"/>
      <c r="I208" s="21"/>
      <c r="J208" s="21"/>
    </row>
    <row r="209" ht="15.75" customHeight="1">
      <c r="A209" s="21"/>
      <c r="B209" s="21"/>
      <c r="C209" s="21"/>
      <c r="D209" s="21"/>
      <c r="E209" s="21"/>
      <c r="F209" s="21"/>
      <c r="G209" s="21"/>
      <c r="H209" s="21"/>
      <c r="I209" s="21"/>
      <c r="J209" s="21"/>
    </row>
    <row r="210" ht="15.75" customHeight="1">
      <c r="A210" s="21"/>
      <c r="B210" s="21"/>
      <c r="C210" s="21"/>
      <c r="D210" s="21"/>
      <c r="E210" s="21"/>
      <c r="F210" s="21"/>
      <c r="G210" s="21"/>
      <c r="H210" s="21"/>
      <c r="I210" s="21"/>
      <c r="J210" s="21"/>
    </row>
    <row r="211" ht="15.75" customHeight="1">
      <c r="A211" s="21"/>
      <c r="B211" s="21"/>
      <c r="C211" s="21"/>
      <c r="D211" s="21"/>
      <c r="E211" s="21"/>
      <c r="F211" s="21"/>
      <c r="G211" s="21"/>
      <c r="H211" s="21"/>
      <c r="I211" s="21"/>
      <c r="J211" s="21"/>
    </row>
    <row r="212" ht="15.75" customHeight="1">
      <c r="A212" s="21"/>
      <c r="B212" s="21"/>
      <c r="C212" s="21"/>
      <c r="D212" s="21"/>
      <c r="E212" s="21"/>
      <c r="F212" s="21"/>
      <c r="G212" s="21"/>
      <c r="H212" s="21"/>
      <c r="I212" s="21"/>
      <c r="J212" s="21"/>
    </row>
    <row r="213" ht="15.75" customHeight="1">
      <c r="A213" s="21"/>
      <c r="B213" s="21"/>
      <c r="C213" s="21"/>
      <c r="D213" s="21"/>
      <c r="E213" s="21"/>
      <c r="F213" s="21"/>
      <c r="G213" s="21"/>
      <c r="H213" s="21"/>
      <c r="I213" s="21"/>
      <c r="J213" s="21"/>
    </row>
    <row r="214" ht="15.75" customHeight="1">
      <c r="A214" s="21"/>
      <c r="B214" s="21"/>
      <c r="C214" s="21"/>
      <c r="D214" s="21"/>
      <c r="E214" s="21"/>
      <c r="F214" s="21"/>
      <c r="G214" s="21"/>
      <c r="H214" s="21"/>
      <c r="I214" s="21"/>
      <c r="J214" s="21"/>
    </row>
    <row r="215" ht="15.75" customHeight="1">
      <c r="A215" s="21"/>
      <c r="B215" s="21"/>
      <c r="C215" s="21"/>
      <c r="D215" s="21"/>
      <c r="E215" s="21"/>
      <c r="F215" s="21"/>
      <c r="G215" s="21"/>
      <c r="H215" s="21"/>
      <c r="I215" s="21"/>
      <c r="J215" s="21"/>
    </row>
    <row r="216" ht="15.75" customHeight="1">
      <c r="A216" s="21"/>
      <c r="B216" s="21"/>
      <c r="C216" s="21"/>
      <c r="D216" s="21"/>
      <c r="E216" s="21"/>
      <c r="F216" s="21"/>
      <c r="G216" s="21"/>
      <c r="H216" s="21"/>
      <c r="I216" s="21"/>
      <c r="J216" s="21"/>
    </row>
    <row r="217" ht="15.75" customHeight="1">
      <c r="A217" s="21"/>
      <c r="B217" s="21"/>
      <c r="C217" s="21"/>
      <c r="D217" s="21"/>
      <c r="E217" s="21"/>
      <c r="F217" s="21"/>
      <c r="G217" s="21"/>
      <c r="H217" s="21"/>
      <c r="I217" s="21"/>
      <c r="J217" s="21"/>
    </row>
    <row r="218" ht="15.75" customHeight="1">
      <c r="A218" s="21"/>
      <c r="B218" s="21"/>
      <c r="C218" s="21"/>
      <c r="D218" s="21"/>
      <c r="E218" s="21"/>
      <c r="F218" s="21"/>
      <c r="G218" s="21"/>
      <c r="H218" s="21"/>
      <c r="I218" s="21"/>
      <c r="J218" s="21"/>
    </row>
    <row r="219" ht="15.75" customHeight="1">
      <c r="A219" s="21"/>
      <c r="B219" s="21"/>
      <c r="C219" s="21"/>
      <c r="D219" s="21"/>
      <c r="E219" s="21"/>
      <c r="F219" s="21"/>
      <c r="G219" s="21"/>
      <c r="H219" s="21"/>
      <c r="I219" s="21"/>
      <c r="J219" s="21"/>
    </row>
    <row r="220" ht="15.75" customHeight="1">
      <c r="A220" s="21"/>
      <c r="B220" s="21"/>
      <c r="C220" s="21"/>
      <c r="D220" s="21"/>
      <c r="E220" s="21"/>
      <c r="F220" s="21"/>
      <c r="G220" s="21"/>
      <c r="H220" s="21"/>
      <c r="I220" s="21"/>
      <c r="J220" s="21"/>
    </row>
    <row r="221" ht="15.75" customHeight="1">
      <c r="A221" s="21"/>
      <c r="B221" s="21"/>
      <c r="C221" s="21"/>
      <c r="D221" s="21"/>
      <c r="E221" s="21"/>
      <c r="F221" s="21"/>
      <c r="G221" s="21"/>
      <c r="H221" s="21"/>
      <c r="I221" s="21"/>
      <c r="J221" s="21"/>
    </row>
    <row r="222" ht="15.75" customHeight="1">
      <c r="A222" s="21"/>
      <c r="B222" s="21"/>
      <c r="C222" s="21"/>
      <c r="D222" s="21"/>
      <c r="E222" s="21"/>
      <c r="F222" s="21"/>
      <c r="G222" s="21"/>
      <c r="H222" s="21"/>
      <c r="I222" s="21"/>
      <c r="J222" s="21"/>
    </row>
    <row r="223" ht="15.75" customHeight="1">
      <c r="A223" s="21"/>
      <c r="B223" s="21"/>
      <c r="C223" s="21"/>
      <c r="D223" s="21"/>
      <c r="E223" s="21"/>
      <c r="F223" s="21"/>
      <c r="G223" s="21"/>
      <c r="H223" s="21"/>
      <c r="I223" s="21"/>
      <c r="J223" s="21"/>
    </row>
    <row r="224" ht="15.75" customHeight="1">
      <c r="A224" s="21"/>
      <c r="B224" s="21"/>
      <c r="C224" s="21"/>
      <c r="D224" s="21"/>
      <c r="E224" s="21"/>
      <c r="F224" s="21"/>
      <c r="G224" s="21"/>
      <c r="H224" s="21"/>
      <c r="I224" s="21"/>
      <c r="J224" s="21"/>
    </row>
    <row r="225" ht="15.75" customHeight="1">
      <c r="A225" s="21"/>
      <c r="B225" s="21"/>
      <c r="C225" s="21"/>
      <c r="D225" s="21"/>
      <c r="E225" s="21"/>
      <c r="F225" s="21"/>
      <c r="G225" s="21"/>
      <c r="H225" s="21"/>
      <c r="I225" s="21"/>
      <c r="J225" s="21"/>
    </row>
    <row r="226" ht="15.75" customHeight="1">
      <c r="A226" s="21"/>
      <c r="B226" s="21"/>
      <c r="C226" s="21"/>
      <c r="D226" s="21"/>
      <c r="E226" s="21"/>
      <c r="F226" s="21"/>
      <c r="G226" s="21"/>
      <c r="H226" s="21"/>
      <c r="I226" s="21"/>
      <c r="J226" s="21"/>
    </row>
    <row r="227" ht="15.75" customHeight="1">
      <c r="A227" s="21"/>
      <c r="B227" s="21"/>
      <c r="C227" s="21"/>
      <c r="D227" s="21"/>
      <c r="E227" s="21"/>
      <c r="F227" s="21"/>
      <c r="G227" s="21"/>
      <c r="H227" s="21"/>
      <c r="I227" s="21"/>
      <c r="J227" s="21"/>
    </row>
    <row r="228" ht="15.75" customHeight="1">
      <c r="A228" s="21"/>
      <c r="B228" s="21"/>
      <c r="C228" s="21"/>
      <c r="D228" s="21"/>
      <c r="E228" s="21"/>
      <c r="F228" s="21"/>
      <c r="G228" s="21"/>
      <c r="H228" s="21"/>
      <c r="I228" s="21"/>
      <c r="J228" s="21"/>
    </row>
    <row r="229" ht="15.75" customHeight="1">
      <c r="A229" s="21"/>
      <c r="B229" s="21"/>
      <c r="C229" s="21"/>
      <c r="D229" s="21"/>
      <c r="E229" s="21"/>
      <c r="F229" s="21"/>
      <c r="G229" s="21"/>
      <c r="H229" s="21"/>
      <c r="I229" s="21"/>
      <c r="J229" s="21"/>
    </row>
    <row r="230" ht="15.75" customHeight="1">
      <c r="A230" s="21"/>
      <c r="B230" s="21"/>
      <c r="C230" s="21"/>
      <c r="D230" s="21"/>
      <c r="E230" s="21"/>
      <c r="F230" s="21"/>
      <c r="G230" s="21"/>
      <c r="H230" s="21"/>
      <c r="I230" s="21"/>
      <c r="J230" s="21"/>
    </row>
    <row r="231" ht="15.75" customHeight="1">
      <c r="A231" s="21"/>
      <c r="B231" s="21"/>
      <c r="C231" s="21"/>
      <c r="D231" s="21"/>
      <c r="E231" s="21"/>
      <c r="F231" s="21"/>
      <c r="G231" s="21"/>
      <c r="H231" s="21"/>
      <c r="I231" s="21"/>
      <c r="J231" s="21"/>
    </row>
    <row r="232" ht="15.75" customHeight="1">
      <c r="A232" s="21"/>
      <c r="B232" s="21"/>
      <c r="C232" s="21"/>
      <c r="D232" s="21"/>
      <c r="E232" s="21"/>
      <c r="F232" s="21"/>
      <c r="G232" s="21"/>
      <c r="H232" s="21"/>
      <c r="I232" s="21"/>
      <c r="J232" s="21"/>
    </row>
    <row r="233" ht="15.75" customHeight="1">
      <c r="A233" s="21"/>
      <c r="B233" s="21"/>
      <c r="C233" s="21"/>
      <c r="D233" s="21"/>
      <c r="E233" s="21"/>
      <c r="F233" s="21"/>
      <c r="G233" s="21"/>
      <c r="H233" s="21"/>
      <c r="I233" s="21"/>
      <c r="J233" s="21"/>
    </row>
    <row r="234" ht="15.75" customHeight="1">
      <c r="A234" s="21"/>
      <c r="B234" s="21"/>
      <c r="C234" s="21"/>
      <c r="D234" s="21"/>
      <c r="E234" s="21"/>
      <c r="F234" s="21"/>
      <c r="G234" s="21"/>
      <c r="H234" s="21"/>
      <c r="I234" s="21"/>
      <c r="J234" s="21"/>
    </row>
    <row r="235" ht="15.75" customHeight="1">
      <c r="A235" s="21"/>
      <c r="B235" s="21"/>
      <c r="C235" s="21"/>
      <c r="D235" s="21"/>
      <c r="E235" s="21"/>
      <c r="F235" s="21"/>
      <c r="G235" s="21"/>
      <c r="H235" s="21"/>
      <c r="I235" s="21"/>
      <c r="J235" s="21"/>
    </row>
    <row r="236" ht="15.75" customHeight="1">
      <c r="A236" s="21"/>
      <c r="B236" s="21"/>
      <c r="C236" s="21"/>
      <c r="D236" s="21"/>
      <c r="E236" s="21"/>
      <c r="F236" s="21"/>
      <c r="G236" s="21"/>
      <c r="H236" s="21"/>
      <c r="I236" s="21"/>
      <c r="J236" s="21"/>
    </row>
    <row r="237" ht="15.75" customHeight="1">
      <c r="A237" s="21"/>
      <c r="B237" s="21"/>
      <c r="C237" s="21"/>
      <c r="D237" s="21"/>
      <c r="E237" s="21"/>
      <c r="F237" s="21"/>
      <c r="G237" s="21"/>
      <c r="H237" s="21"/>
      <c r="I237" s="21"/>
      <c r="J237" s="21"/>
    </row>
    <row r="238" ht="15.75" customHeight="1">
      <c r="A238" s="21"/>
      <c r="B238" s="21"/>
      <c r="C238" s="21"/>
      <c r="D238" s="21"/>
      <c r="E238" s="21"/>
      <c r="F238" s="21"/>
      <c r="G238" s="21"/>
      <c r="H238" s="21"/>
      <c r="I238" s="21"/>
      <c r="J238" s="21"/>
    </row>
    <row r="239" ht="15.75" customHeight="1">
      <c r="A239" s="21"/>
      <c r="B239" s="21"/>
      <c r="C239" s="21"/>
      <c r="D239" s="21"/>
      <c r="E239" s="21"/>
      <c r="F239" s="21"/>
      <c r="G239" s="21"/>
      <c r="H239" s="21"/>
      <c r="I239" s="21"/>
      <c r="J239" s="21"/>
    </row>
    <row r="240" ht="15.75" customHeight="1">
      <c r="A240" s="21"/>
      <c r="B240" s="21"/>
      <c r="C240" s="21"/>
      <c r="D240" s="21"/>
      <c r="E240" s="21"/>
      <c r="F240" s="21"/>
      <c r="G240" s="21"/>
      <c r="H240" s="21"/>
      <c r="I240" s="21"/>
      <c r="J240" s="21"/>
    </row>
    <row r="241" ht="15.75" customHeight="1">
      <c r="A241" s="21"/>
      <c r="B241" s="21"/>
      <c r="C241" s="21"/>
      <c r="D241" s="21"/>
      <c r="E241" s="21"/>
      <c r="F241" s="21"/>
      <c r="G241" s="21"/>
      <c r="H241" s="21"/>
      <c r="I241" s="21"/>
      <c r="J241" s="21"/>
    </row>
    <row r="242" ht="15.75" customHeight="1">
      <c r="A242" s="21"/>
      <c r="B242" s="21"/>
      <c r="C242" s="21"/>
      <c r="D242" s="21"/>
      <c r="E242" s="21"/>
      <c r="F242" s="21"/>
      <c r="G242" s="21"/>
      <c r="H242" s="21"/>
      <c r="I242" s="21"/>
      <c r="J242" s="21"/>
    </row>
    <row r="243" ht="15.75" customHeight="1">
      <c r="A243" s="21"/>
      <c r="B243" s="21"/>
      <c r="C243" s="21"/>
      <c r="D243" s="21"/>
      <c r="E243" s="21"/>
      <c r="F243" s="21"/>
      <c r="G243" s="21"/>
      <c r="H243" s="21"/>
      <c r="I243" s="21"/>
      <c r="J243" s="21"/>
    </row>
    <row r="244" ht="15.75" customHeight="1">
      <c r="A244" s="21"/>
      <c r="B244" s="21"/>
      <c r="C244" s="21"/>
      <c r="D244" s="21"/>
      <c r="E244" s="21"/>
      <c r="F244" s="21"/>
      <c r="G244" s="21"/>
      <c r="H244" s="21"/>
      <c r="I244" s="21"/>
      <c r="J244" s="21"/>
    </row>
    <row r="245" ht="15.75" customHeight="1">
      <c r="A245" s="21"/>
      <c r="B245" s="21"/>
      <c r="C245" s="21"/>
      <c r="D245" s="21"/>
      <c r="E245" s="21"/>
      <c r="F245" s="21"/>
      <c r="G245" s="21"/>
      <c r="H245" s="21"/>
      <c r="I245" s="21"/>
      <c r="J245" s="21"/>
    </row>
    <row r="246" ht="15.75" customHeight="1">
      <c r="A246" s="21"/>
      <c r="B246" s="21"/>
      <c r="C246" s="21"/>
      <c r="D246" s="21"/>
      <c r="E246" s="21"/>
      <c r="F246" s="21"/>
      <c r="G246" s="21"/>
      <c r="H246" s="21"/>
      <c r="I246" s="21"/>
      <c r="J246" s="21"/>
    </row>
    <row r="247" ht="15.75" customHeight="1">
      <c r="A247" s="21"/>
      <c r="B247" s="21"/>
      <c r="C247" s="21"/>
      <c r="D247" s="21"/>
      <c r="E247" s="21"/>
      <c r="F247" s="21"/>
      <c r="G247" s="21"/>
      <c r="H247" s="21"/>
      <c r="I247" s="21"/>
      <c r="J247" s="21"/>
    </row>
    <row r="248" ht="15.75" customHeight="1">
      <c r="A248" s="21"/>
      <c r="B248" s="21"/>
      <c r="C248" s="21"/>
      <c r="D248" s="21"/>
      <c r="E248" s="21"/>
      <c r="F248" s="21"/>
      <c r="G248" s="21"/>
      <c r="H248" s="21"/>
      <c r="I248" s="21"/>
      <c r="J248" s="21"/>
    </row>
    <row r="249" ht="15.75" customHeight="1">
      <c r="A249" s="21"/>
      <c r="B249" s="21"/>
      <c r="C249" s="21"/>
      <c r="D249" s="21"/>
      <c r="E249" s="21"/>
      <c r="F249" s="21"/>
      <c r="G249" s="21"/>
      <c r="H249" s="21"/>
      <c r="I249" s="21"/>
      <c r="J249" s="21"/>
    </row>
    <row r="250" ht="15.75" customHeight="1">
      <c r="A250" s="21"/>
      <c r="B250" s="21"/>
      <c r="C250" s="21"/>
      <c r="D250" s="21"/>
      <c r="E250" s="21"/>
      <c r="F250" s="21"/>
      <c r="G250" s="21"/>
      <c r="H250" s="21"/>
      <c r="I250" s="21"/>
      <c r="J250" s="21"/>
    </row>
    <row r="251" ht="15.75" customHeight="1">
      <c r="A251" s="21"/>
      <c r="B251" s="21"/>
      <c r="C251" s="21"/>
      <c r="D251" s="21"/>
      <c r="E251" s="21"/>
      <c r="F251" s="21"/>
      <c r="G251" s="21"/>
      <c r="H251" s="21"/>
      <c r="I251" s="21"/>
      <c r="J251" s="21"/>
    </row>
    <row r="252" ht="15.75" customHeight="1">
      <c r="A252" s="21"/>
      <c r="B252" s="21"/>
      <c r="C252" s="21"/>
      <c r="D252" s="21"/>
      <c r="E252" s="21"/>
      <c r="F252" s="21"/>
      <c r="G252" s="21"/>
      <c r="H252" s="21"/>
      <c r="I252" s="21"/>
      <c r="J252" s="21"/>
    </row>
    <row r="253" ht="15.75" customHeight="1">
      <c r="A253" s="21"/>
      <c r="B253" s="21"/>
      <c r="C253" s="21"/>
      <c r="D253" s="21"/>
      <c r="E253" s="21"/>
      <c r="F253" s="21"/>
      <c r="G253" s="21"/>
      <c r="H253" s="21"/>
      <c r="I253" s="21"/>
      <c r="J253" s="21"/>
    </row>
    <row r="254" ht="15.75" customHeight="1">
      <c r="A254" s="21"/>
      <c r="B254" s="21"/>
      <c r="C254" s="21"/>
      <c r="D254" s="21"/>
      <c r="E254" s="21"/>
      <c r="F254" s="21"/>
      <c r="G254" s="21"/>
      <c r="H254" s="21"/>
      <c r="I254" s="21"/>
      <c r="J254" s="21"/>
    </row>
    <row r="255" ht="15.75" customHeight="1">
      <c r="A255" s="21"/>
      <c r="B255" s="21"/>
      <c r="C255" s="21"/>
      <c r="D255" s="21"/>
      <c r="E255" s="21"/>
      <c r="F255" s="21"/>
      <c r="G255" s="21"/>
      <c r="H255" s="21"/>
      <c r="I255" s="21"/>
      <c r="J255" s="21"/>
    </row>
    <row r="256" ht="15.75" customHeight="1">
      <c r="A256" s="21"/>
      <c r="B256" s="21"/>
      <c r="C256" s="21"/>
      <c r="D256" s="21"/>
      <c r="E256" s="21"/>
      <c r="F256" s="21"/>
      <c r="G256" s="21"/>
      <c r="H256" s="21"/>
      <c r="I256" s="21"/>
      <c r="J256" s="21"/>
    </row>
    <row r="257" ht="15.75" customHeight="1">
      <c r="A257" s="21"/>
      <c r="B257" s="21"/>
      <c r="C257" s="21"/>
      <c r="D257" s="21"/>
      <c r="E257" s="21"/>
      <c r="F257" s="21"/>
      <c r="G257" s="21"/>
      <c r="H257" s="21"/>
      <c r="I257" s="21"/>
      <c r="J257" s="21"/>
    </row>
    <row r="258" ht="15.75" customHeight="1">
      <c r="A258" s="21"/>
      <c r="B258" s="21"/>
      <c r="C258" s="21"/>
      <c r="D258" s="21"/>
      <c r="E258" s="21"/>
      <c r="F258" s="21"/>
      <c r="G258" s="21"/>
      <c r="H258" s="21"/>
      <c r="I258" s="21"/>
      <c r="J258" s="21"/>
    </row>
    <row r="259" ht="15.75" customHeight="1">
      <c r="A259" s="21"/>
      <c r="B259" s="21"/>
      <c r="C259" s="21"/>
      <c r="D259" s="21"/>
      <c r="E259" s="21"/>
      <c r="F259" s="21"/>
      <c r="G259" s="21"/>
      <c r="H259" s="21"/>
      <c r="I259" s="21"/>
      <c r="J259" s="21"/>
    </row>
    <row r="260" ht="15.75" customHeight="1">
      <c r="A260" s="21"/>
      <c r="B260" s="21"/>
      <c r="C260" s="21"/>
      <c r="D260" s="21"/>
      <c r="E260" s="21"/>
      <c r="F260" s="21"/>
      <c r="G260" s="21"/>
      <c r="H260" s="21"/>
      <c r="I260" s="21"/>
      <c r="J260" s="21"/>
    </row>
    <row r="261" ht="15.75" customHeight="1">
      <c r="A261" s="21"/>
      <c r="B261" s="21"/>
      <c r="C261" s="21"/>
      <c r="D261" s="21"/>
      <c r="E261" s="21"/>
      <c r="F261" s="21"/>
      <c r="G261" s="21"/>
      <c r="H261" s="21"/>
      <c r="I261" s="21"/>
      <c r="J261" s="21"/>
    </row>
    <row r="262" ht="15.75" customHeight="1">
      <c r="A262" s="21"/>
      <c r="B262" s="21"/>
      <c r="C262" s="21"/>
      <c r="D262" s="21"/>
      <c r="E262" s="21"/>
      <c r="F262" s="21"/>
      <c r="G262" s="21"/>
      <c r="H262" s="21"/>
      <c r="I262" s="21"/>
      <c r="J262" s="21"/>
    </row>
    <row r="263" ht="15.75" customHeight="1">
      <c r="A263" s="21"/>
      <c r="B263" s="21"/>
      <c r="C263" s="21"/>
      <c r="D263" s="21"/>
      <c r="E263" s="21"/>
      <c r="F263" s="21"/>
      <c r="G263" s="21"/>
      <c r="H263" s="21"/>
      <c r="I263" s="21"/>
      <c r="J263" s="21"/>
    </row>
    <row r="264" ht="15.75" customHeight="1">
      <c r="A264" s="21"/>
      <c r="B264" s="21"/>
      <c r="C264" s="21"/>
      <c r="D264" s="21"/>
      <c r="E264" s="21"/>
      <c r="F264" s="21"/>
      <c r="G264" s="21"/>
      <c r="H264" s="21"/>
      <c r="I264" s="21"/>
      <c r="J264" s="21"/>
    </row>
    <row r="265" ht="15.75" customHeight="1">
      <c r="A265" s="21"/>
      <c r="B265" s="21"/>
      <c r="C265" s="21"/>
      <c r="D265" s="21"/>
      <c r="E265" s="21"/>
      <c r="F265" s="21"/>
      <c r="G265" s="21"/>
      <c r="H265" s="21"/>
      <c r="I265" s="21"/>
      <c r="J265" s="21"/>
    </row>
    <row r="266" ht="15.75" customHeight="1">
      <c r="A266" s="21"/>
      <c r="B266" s="21"/>
      <c r="C266" s="21"/>
      <c r="D266" s="21"/>
      <c r="E266" s="21"/>
      <c r="F266" s="21"/>
      <c r="G266" s="21"/>
      <c r="H266" s="21"/>
      <c r="I266" s="21"/>
      <c r="J266" s="21"/>
    </row>
    <row r="267" ht="15.75" customHeight="1">
      <c r="A267" s="21"/>
      <c r="B267" s="21"/>
      <c r="C267" s="21"/>
      <c r="D267" s="21"/>
      <c r="E267" s="21"/>
      <c r="F267" s="21"/>
      <c r="G267" s="21"/>
      <c r="H267" s="21"/>
      <c r="I267" s="21"/>
      <c r="J267" s="21"/>
    </row>
    <row r="268" ht="15.75" customHeight="1">
      <c r="A268" s="21"/>
      <c r="B268" s="21"/>
      <c r="C268" s="21"/>
      <c r="D268" s="21"/>
      <c r="E268" s="21"/>
      <c r="F268" s="21"/>
      <c r="G268" s="21"/>
      <c r="H268" s="21"/>
      <c r="I268" s="21"/>
      <c r="J268" s="21"/>
    </row>
    <row r="269" ht="15.75" customHeight="1">
      <c r="A269" s="21"/>
      <c r="B269" s="21"/>
      <c r="C269" s="21"/>
      <c r="D269" s="21"/>
      <c r="E269" s="21"/>
      <c r="F269" s="21"/>
      <c r="G269" s="21"/>
      <c r="H269" s="21"/>
      <c r="I269" s="21"/>
      <c r="J269" s="21"/>
    </row>
    <row r="270" ht="15.75" customHeight="1">
      <c r="A270" s="21"/>
      <c r="B270" s="21"/>
      <c r="C270" s="21"/>
      <c r="D270" s="21"/>
      <c r="E270" s="21"/>
      <c r="F270" s="21"/>
      <c r="G270" s="21"/>
      <c r="H270" s="21"/>
      <c r="I270" s="21"/>
      <c r="J270" s="21"/>
    </row>
    <row r="271" ht="15.75" customHeight="1">
      <c r="A271" s="21"/>
      <c r="B271" s="21"/>
      <c r="C271" s="21"/>
      <c r="D271" s="21"/>
      <c r="E271" s="21"/>
      <c r="F271" s="21"/>
      <c r="G271" s="21"/>
      <c r="H271" s="21"/>
      <c r="I271" s="21"/>
      <c r="J271" s="21"/>
    </row>
    <row r="272" ht="15.75" customHeight="1">
      <c r="A272" s="21"/>
      <c r="B272" s="21"/>
      <c r="C272" s="21"/>
      <c r="D272" s="21"/>
      <c r="E272" s="21"/>
      <c r="F272" s="21"/>
      <c r="G272" s="21"/>
      <c r="H272" s="21"/>
      <c r="I272" s="21"/>
      <c r="J272" s="21"/>
    </row>
    <row r="273" ht="15.75" customHeight="1">
      <c r="A273" s="21"/>
      <c r="B273" s="21"/>
      <c r="C273" s="21"/>
      <c r="D273" s="21"/>
      <c r="E273" s="21"/>
      <c r="F273" s="21"/>
      <c r="G273" s="21"/>
      <c r="H273" s="21"/>
      <c r="I273" s="21"/>
      <c r="J273" s="21"/>
    </row>
    <row r="274" ht="15.75" customHeight="1">
      <c r="A274" s="21"/>
      <c r="B274" s="21"/>
      <c r="C274" s="21"/>
      <c r="D274" s="21"/>
      <c r="E274" s="21"/>
      <c r="F274" s="21"/>
      <c r="G274" s="21"/>
      <c r="H274" s="21"/>
      <c r="I274" s="21"/>
      <c r="J274" s="21"/>
    </row>
    <row r="275" ht="15.75" customHeight="1">
      <c r="A275" s="21"/>
      <c r="B275" s="21"/>
      <c r="C275" s="21"/>
      <c r="D275" s="21"/>
      <c r="E275" s="21"/>
      <c r="F275" s="21"/>
      <c r="G275" s="21"/>
      <c r="H275" s="21"/>
      <c r="I275" s="21"/>
      <c r="J275" s="21"/>
    </row>
    <row r="276" ht="15.75" customHeight="1">
      <c r="A276" s="21"/>
      <c r="B276" s="21"/>
      <c r="C276" s="21"/>
      <c r="D276" s="21"/>
      <c r="E276" s="21"/>
      <c r="F276" s="21"/>
      <c r="G276" s="21"/>
      <c r="H276" s="21"/>
      <c r="I276" s="21"/>
      <c r="J276" s="21"/>
    </row>
    <row r="277" ht="15.75" customHeight="1">
      <c r="A277" s="21"/>
      <c r="B277" s="21"/>
      <c r="C277" s="21"/>
      <c r="D277" s="21"/>
      <c r="E277" s="21"/>
      <c r="F277" s="21"/>
      <c r="G277" s="21"/>
      <c r="H277" s="21"/>
      <c r="I277" s="21"/>
      <c r="J277" s="21"/>
    </row>
    <row r="278" ht="15.75" customHeight="1">
      <c r="A278" s="21"/>
      <c r="B278" s="21"/>
      <c r="C278" s="21"/>
      <c r="D278" s="21"/>
      <c r="E278" s="21"/>
      <c r="F278" s="21"/>
      <c r="G278" s="21"/>
      <c r="H278" s="21"/>
      <c r="I278" s="21"/>
      <c r="J278" s="21"/>
    </row>
    <row r="279" ht="15.75" customHeight="1">
      <c r="A279" s="21"/>
      <c r="B279" s="21"/>
      <c r="C279" s="21"/>
      <c r="D279" s="21"/>
      <c r="E279" s="21"/>
      <c r="F279" s="21"/>
      <c r="G279" s="21"/>
      <c r="H279" s="21"/>
      <c r="I279" s="21"/>
      <c r="J279" s="21"/>
    </row>
    <row r="280" ht="15.75" customHeight="1">
      <c r="A280" s="21"/>
      <c r="B280" s="21"/>
      <c r="C280" s="21"/>
      <c r="D280" s="21"/>
      <c r="E280" s="21"/>
      <c r="F280" s="21"/>
      <c r="G280" s="21"/>
      <c r="H280" s="21"/>
      <c r="I280" s="21"/>
      <c r="J280" s="21"/>
    </row>
    <row r="281" ht="15.75" customHeight="1">
      <c r="A281" s="21"/>
      <c r="B281" s="21"/>
      <c r="C281" s="21"/>
      <c r="D281" s="21"/>
      <c r="E281" s="21"/>
      <c r="F281" s="21"/>
      <c r="G281" s="21"/>
      <c r="H281" s="21"/>
      <c r="I281" s="21"/>
      <c r="J281" s="21"/>
    </row>
    <row r="282" ht="15.75" customHeight="1">
      <c r="A282" s="21"/>
      <c r="B282" s="21"/>
      <c r="C282" s="21"/>
      <c r="D282" s="21"/>
      <c r="E282" s="21"/>
      <c r="F282" s="21"/>
      <c r="G282" s="21"/>
      <c r="H282" s="21"/>
      <c r="I282" s="21"/>
      <c r="J282" s="21"/>
    </row>
    <row r="283" ht="15.75" customHeight="1">
      <c r="A283" s="21"/>
      <c r="B283" s="21"/>
      <c r="C283" s="21"/>
      <c r="D283" s="21"/>
      <c r="E283" s="21"/>
      <c r="F283" s="21"/>
      <c r="G283" s="21"/>
      <c r="H283" s="21"/>
      <c r="I283" s="21"/>
      <c r="J283" s="21"/>
    </row>
    <row r="284" ht="15.75" customHeight="1">
      <c r="A284" s="21"/>
      <c r="B284" s="21"/>
      <c r="C284" s="21"/>
      <c r="D284" s="21"/>
      <c r="E284" s="21"/>
      <c r="F284" s="21"/>
      <c r="G284" s="21"/>
      <c r="H284" s="21"/>
      <c r="I284" s="21"/>
      <c r="J284" s="21"/>
    </row>
    <row r="285" ht="15.75" customHeight="1">
      <c r="A285" s="21"/>
      <c r="B285" s="21"/>
      <c r="C285" s="21"/>
      <c r="D285" s="21"/>
      <c r="E285" s="21"/>
      <c r="F285" s="21"/>
      <c r="G285" s="21"/>
      <c r="H285" s="21"/>
      <c r="I285" s="21"/>
      <c r="J285" s="21"/>
    </row>
    <row r="286" ht="15.75" customHeight="1">
      <c r="A286" s="21"/>
      <c r="B286" s="21"/>
      <c r="C286" s="21"/>
      <c r="D286" s="21"/>
      <c r="E286" s="21"/>
      <c r="F286" s="21"/>
      <c r="G286" s="21"/>
      <c r="H286" s="21"/>
      <c r="I286" s="21"/>
      <c r="J286" s="21"/>
    </row>
    <row r="287" ht="15.75" customHeight="1">
      <c r="A287" s="21"/>
      <c r="B287" s="21"/>
      <c r="C287" s="21"/>
      <c r="D287" s="21"/>
      <c r="E287" s="21"/>
      <c r="F287" s="21"/>
      <c r="G287" s="21"/>
      <c r="H287" s="21"/>
      <c r="I287" s="21"/>
      <c r="J287" s="21"/>
    </row>
    <row r="288" ht="15.75" customHeight="1">
      <c r="A288" s="21"/>
      <c r="B288" s="21"/>
      <c r="C288" s="21"/>
      <c r="D288" s="21"/>
      <c r="E288" s="21"/>
      <c r="F288" s="21"/>
      <c r="G288" s="21"/>
      <c r="H288" s="21"/>
      <c r="I288" s="21"/>
      <c r="J288" s="21"/>
    </row>
    <row r="289" ht="15.75" customHeight="1">
      <c r="A289" s="21"/>
      <c r="B289" s="21"/>
      <c r="C289" s="21"/>
      <c r="D289" s="21"/>
      <c r="E289" s="21"/>
      <c r="F289" s="21"/>
      <c r="G289" s="21"/>
      <c r="H289" s="21"/>
      <c r="I289" s="21"/>
      <c r="J289" s="21"/>
    </row>
    <row r="290" ht="15.75" customHeight="1">
      <c r="A290" s="21"/>
      <c r="B290" s="21"/>
      <c r="C290" s="21"/>
      <c r="D290" s="21"/>
      <c r="E290" s="21"/>
      <c r="F290" s="21"/>
      <c r="G290" s="21"/>
      <c r="H290" s="21"/>
      <c r="I290" s="21"/>
      <c r="J290" s="21"/>
    </row>
    <row r="291" ht="15.75" customHeight="1">
      <c r="A291" s="21"/>
      <c r="B291" s="21"/>
      <c r="C291" s="21"/>
      <c r="D291" s="21"/>
      <c r="E291" s="21"/>
      <c r="F291" s="21"/>
      <c r="G291" s="21"/>
      <c r="H291" s="21"/>
      <c r="I291" s="21"/>
      <c r="J291" s="21"/>
    </row>
    <row r="292" ht="15.75" customHeight="1">
      <c r="A292" s="21"/>
      <c r="B292" s="21"/>
      <c r="C292" s="21"/>
      <c r="D292" s="21"/>
      <c r="E292" s="21"/>
      <c r="F292" s="21"/>
      <c r="G292" s="21"/>
      <c r="H292" s="21"/>
      <c r="I292" s="21"/>
      <c r="J292" s="21"/>
    </row>
    <row r="293" ht="15.75" customHeight="1">
      <c r="A293" s="21"/>
      <c r="B293" s="21"/>
      <c r="C293" s="21"/>
      <c r="D293" s="21"/>
      <c r="E293" s="21"/>
      <c r="F293" s="21"/>
      <c r="G293" s="21"/>
      <c r="H293" s="21"/>
      <c r="I293" s="21"/>
      <c r="J293" s="21"/>
    </row>
    <row r="294" ht="15.75" customHeight="1">
      <c r="A294" s="21"/>
      <c r="B294" s="21"/>
      <c r="C294" s="21"/>
      <c r="D294" s="21"/>
      <c r="E294" s="21"/>
      <c r="F294" s="21"/>
      <c r="G294" s="21"/>
      <c r="H294" s="21"/>
      <c r="I294" s="21"/>
      <c r="J294" s="21"/>
    </row>
    <row r="295" ht="15.75" customHeight="1">
      <c r="A295" s="21"/>
      <c r="B295" s="21"/>
      <c r="C295" s="21"/>
      <c r="D295" s="21"/>
      <c r="E295" s="21"/>
      <c r="F295" s="21"/>
      <c r="G295" s="21"/>
      <c r="H295" s="21"/>
      <c r="I295" s="21"/>
      <c r="J295" s="21"/>
    </row>
    <row r="296" ht="15.75" customHeight="1">
      <c r="A296" s="21"/>
      <c r="B296" s="21"/>
      <c r="C296" s="21"/>
      <c r="D296" s="21"/>
      <c r="E296" s="21"/>
      <c r="F296" s="21"/>
      <c r="G296" s="21"/>
      <c r="H296" s="21"/>
      <c r="I296" s="21"/>
      <c r="J296" s="21"/>
    </row>
    <row r="297" ht="15.75" customHeight="1">
      <c r="A297" s="21"/>
      <c r="B297" s="21"/>
      <c r="C297" s="21"/>
      <c r="D297" s="21"/>
      <c r="E297" s="21"/>
      <c r="F297" s="21"/>
      <c r="G297" s="21"/>
      <c r="H297" s="21"/>
      <c r="I297" s="21"/>
      <c r="J297" s="21"/>
    </row>
    <row r="298" ht="15.75" customHeight="1">
      <c r="A298" s="21"/>
      <c r="B298" s="21"/>
      <c r="C298" s="21"/>
      <c r="D298" s="21"/>
      <c r="E298" s="21"/>
      <c r="F298" s="21"/>
      <c r="G298" s="21"/>
      <c r="H298" s="21"/>
      <c r="I298" s="21"/>
      <c r="J298" s="21"/>
    </row>
    <row r="299" ht="15.75" customHeight="1">
      <c r="A299" s="21"/>
      <c r="B299" s="21"/>
      <c r="C299" s="21"/>
      <c r="D299" s="21"/>
      <c r="E299" s="21"/>
      <c r="F299" s="21"/>
      <c r="G299" s="21"/>
      <c r="H299" s="21"/>
      <c r="I299" s="21"/>
      <c r="J299" s="21"/>
    </row>
    <row r="300" ht="15.75" customHeight="1">
      <c r="A300" s="21"/>
      <c r="B300" s="21"/>
      <c r="C300" s="21"/>
      <c r="D300" s="21"/>
      <c r="E300" s="21"/>
      <c r="F300" s="21"/>
      <c r="G300" s="21"/>
      <c r="H300" s="21"/>
      <c r="I300" s="21"/>
      <c r="J300" s="21"/>
    </row>
    <row r="301" ht="15.75" customHeight="1">
      <c r="A301" s="21"/>
      <c r="B301" s="21"/>
      <c r="C301" s="21"/>
      <c r="D301" s="21"/>
      <c r="E301" s="21"/>
      <c r="F301" s="21"/>
      <c r="G301" s="21"/>
      <c r="H301" s="21"/>
      <c r="I301" s="21"/>
      <c r="J301" s="21"/>
    </row>
    <row r="302" ht="15.75" customHeight="1">
      <c r="A302" s="21"/>
      <c r="B302" s="21"/>
      <c r="C302" s="21"/>
      <c r="D302" s="21"/>
      <c r="E302" s="21"/>
      <c r="F302" s="21"/>
      <c r="G302" s="21"/>
      <c r="H302" s="21"/>
      <c r="I302" s="21"/>
      <c r="J302" s="21"/>
    </row>
    <row r="303" ht="15.75" customHeight="1">
      <c r="A303" s="21"/>
      <c r="B303" s="21"/>
      <c r="C303" s="21"/>
      <c r="D303" s="21"/>
      <c r="E303" s="21"/>
      <c r="F303" s="21"/>
      <c r="G303" s="21"/>
      <c r="H303" s="21"/>
      <c r="I303" s="21"/>
      <c r="J303" s="21"/>
    </row>
    <row r="304" ht="15.75" customHeight="1">
      <c r="A304" s="21"/>
      <c r="B304" s="21"/>
      <c r="C304" s="21"/>
      <c r="D304" s="21"/>
      <c r="E304" s="21"/>
      <c r="F304" s="21"/>
      <c r="G304" s="21"/>
      <c r="H304" s="21"/>
      <c r="I304" s="21"/>
      <c r="J304" s="21"/>
    </row>
    <row r="305" ht="15.75" customHeight="1">
      <c r="A305" s="21"/>
      <c r="B305" s="21"/>
      <c r="C305" s="21"/>
      <c r="D305" s="21"/>
      <c r="E305" s="21"/>
      <c r="F305" s="21"/>
      <c r="G305" s="21"/>
      <c r="H305" s="21"/>
      <c r="I305" s="21"/>
      <c r="J305" s="21"/>
    </row>
    <row r="306" ht="15.75" customHeight="1">
      <c r="A306" s="21"/>
      <c r="B306" s="21"/>
      <c r="C306" s="21"/>
      <c r="D306" s="21"/>
      <c r="E306" s="21"/>
      <c r="F306" s="21"/>
      <c r="G306" s="21"/>
      <c r="H306" s="21"/>
      <c r="I306" s="21"/>
      <c r="J306" s="21"/>
    </row>
    <row r="307" ht="15.75" customHeight="1">
      <c r="A307" s="21"/>
      <c r="B307" s="21"/>
      <c r="C307" s="21"/>
      <c r="D307" s="21"/>
      <c r="E307" s="21"/>
      <c r="F307" s="21"/>
      <c r="G307" s="21"/>
      <c r="H307" s="21"/>
      <c r="I307" s="21"/>
      <c r="J307" s="21"/>
    </row>
    <row r="308" ht="15.75" customHeight="1">
      <c r="A308" s="21"/>
      <c r="B308" s="21"/>
      <c r="C308" s="21"/>
      <c r="D308" s="21"/>
      <c r="E308" s="21"/>
      <c r="F308" s="21"/>
      <c r="G308" s="21"/>
      <c r="H308" s="21"/>
      <c r="I308" s="21"/>
      <c r="J308" s="21"/>
    </row>
    <row r="309" ht="15.75" customHeight="1">
      <c r="A309" s="21"/>
      <c r="B309" s="21"/>
      <c r="C309" s="21"/>
      <c r="D309" s="21"/>
      <c r="E309" s="21"/>
      <c r="F309" s="21"/>
      <c r="G309" s="21"/>
      <c r="H309" s="21"/>
      <c r="I309" s="21"/>
      <c r="J309" s="21"/>
    </row>
    <row r="310" ht="15.75" customHeight="1">
      <c r="A310" s="21"/>
      <c r="B310" s="21"/>
      <c r="C310" s="21"/>
      <c r="D310" s="21"/>
      <c r="E310" s="21"/>
      <c r="F310" s="21"/>
      <c r="G310" s="21"/>
      <c r="H310" s="21"/>
      <c r="I310" s="21"/>
      <c r="J310" s="21"/>
    </row>
    <row r="311" ht="15.75" customHeight="1">
      <c r="A311" s="21"/>
      <c r="B311" s="21"/>
      <c r="C311" s="21"/>
      <c r="D311" s="21"/>
      <c r="E311" s="21"/>
      <c r="F311" s="21"/>
      <c r="G311" s="21"/>
      <c r="H311" s="21"/>
      <c r="I311" s="21"/>
      <c r="J311" s="21"/>
    </row>
    <row r="312" ht="15.75" customHeight="1">
      <c r="A312" s="21"/>
      <c r="B312" s="21"/>
      <c r="C312" s="21"/>
      <c r="D312" s="21"/>
      <c r="E312" s="21"/>
      <c r="F312" s="21"/>
      <c r="G312" s="21"/>
      <c r="H312" s="21"/>
      <c r="I312" s="21"/>
      <c r="J312" s="21"/>
    </row>
    <row r="313" ht="15.75" customHeight="1">
      <c r="A313" s="21"/>
      <c r="B313" s="21"/>
      <c r="C313" s="21"/>
      <c r="D313" s="21"/>
      <c r="E313" s="21"/>
      <c r="F313" s="21"/>
      <c r="G313" s="21"/>
      <c r="H313" s="21"/>
      <c r="I313" s="21"/>
      <c r="J313" s="21"/>
    </row>
    <row r="314" ht="15.75" customHeight="1">
      <c r="A314" s="21"/>
      <c r="B314" s="21"/>
      <c r="C314" s="21"/>
      <c r="D314" s="21"/>
      <c r="E314" s="21"/>
      <c r="F314" s="21"/>
      <c r="G314" s="21"/>
      <c r="H314" s="21"/>
      <c r="I314" s="21"/>
      <c r="J314" s="21"/>
    </row>
    <row r="315" ht="15.75" customHeight="1">
      <c r="A315" s="21"/>
      <c r="B315" s="21"/>
      <c r="C315" s="21"/>
      <c r="D315" s="21"/>
      <c r="E315" s="21"/>
      <c r="F315" s="21"/>
      <c r="G315" s="21"/>
      <c r="H315" s="21"/>
      <c r="I315" s="21"/>
      <c r="J315" s="21"/>
    </row>
    <row r="316" ht="15.75" customHeight="1">
      <c r="A316" s="21"/>
      <c r="B316" s="21"/>
      <c r="C316" s="21"/>
      <c r="D316" s="21"/>
      <c r="E316" s="21"/>
      <c r="F316" s="21"/>
      <c r="G316" s="21"/>
      <c r="H316" s="21"/>
      <c r="I316" s="21"/>
      <c r="J316" s="21"/>
    </row>
    <row r="317" ht="15.75" customHeight="1">
      <c r="A317" s="21"/>
      <c r="B317" s="21"/>
      <c r="C317" s="21"/>
      <c r="D317" s="21"/>
      <c r="E317" s="21"/>
      <c r="F317" s="21"/>
      <c r="G317" s="21"/>
      <c r="H317" s="21"/>
      <c r="I317" s="21"/>
      <c r="J317" s="21"/>
    </row>
    <row r="318" ht="15.75" customHeight="1">
      <c r="A318" s="21"/>
      <c r="B318" s="21"/>
      <c r="C318" s="21"/>
      <c r="D318" s="21"/>
      <c r="E318" s="21"/>
      <c r="F318" s="21"/>
      <c r="G318" s="21"/>
      <c r="H318" s="21"/>
      <c r="I318" s="21"/>
      <c r="J318" s="21"/>
    </row>
    <row r="319" ht="15.75" customHeight="1">
      <c r="A319" s="21"/>
      <c r="B319" s="21"/>
      <c r="C319" s="21"/>
      <c r="D319" s="21"/>
      <c r="E319" s="21"/>
      <c r="F319" s="21"/>
      <c r="G319" s="21"/>
      <c r="H319" s="21"/>
      <c r="I319" s="21"/>
      <c r="J319" s="21"/>
    </row>
    <row r="320" ht="15.75" customHeight="1">
      <c r="A320" s="21"/>
      <c r="B320" s="21"/>
      <c r="C320" s="21"/>
      <c r="D320" s="21"/>
      <c r="E320" s="21"/>
      <c r="F320" s="21"/>
      <c r="G320" s="21"/>
      <c r="H320" s="21"/>
      <c r="I320" s="21"/>
      <c r="J320" s="21"/>
    </row>
    <row r="321" ht="15.75" customHeight="1">
      <c r="A321" s="21"/>
      <c r="B321" s="21"/>
      <c r="C321" s="21"/>
      <c r="D321" s="21"/>
      <c r="E321" s="21"/>
      <c r="F321" s="21"/>
      <c r="G321" s="21"/>
      <c r="H321" s="21"/>
      <c r="I321" s="21"/>
      <c r="J321" s="21"/>
    </row>
    <row r="322" ht="15.75" customHeight="1">
      <c r="A322" s="21"/>
      <c r="B322" s="21"/>
      <c r="C322" s="21"/>
      <c r="D322" s="21"/>
      <c r="E322" s="21"/>
      <c r="F322" s="21"/>
      <c r="G322" s="21"/>
      <c r="H322" s="21"/>
      <c r="I322" s="21"/>
      <c r="J322" s="21"/>
    </row>
    <row r="323" ht="15.75" customHeight="1">
      <c r="A323" s="21"/>
      <c r="B323" s="21"/>
      <c r="C323" s="21"/>
      <c r="D323" s="21"/>
      <c r="E323" s="21"/>
      <c r="F323" s="21"/>
      <c r="G323" s="21"/>
      <c r="H323" s="21"/>
      <c r="I323" s="21"/>
      <c r="J323" s="21"/>
    </row>
    <row r="324" ht="15.75" customHeight="1">
      <c r="A324" s="21"/>
      <c r="B324" s="21"/>
      <c r="C324" s="21"/>
      <c r="D324" s="21"/>
      <c r="E324" s="21"/>
      <c r="F324" s="21"/>
      <c r="G324" s="21"/>
      <c r="H324" s="21"/>
      <c r="I324" s="21"/>
      <c r="J324" s="21"/>
    </row>
    <row r="325" ht="15.75" customHeight="1">
      <c r="A325" s="21"/>
      <c r="B325" s="21"/>
      <c r="C325" s="21"/>
      <c r="D325" s="21"/>
      <c r="E325" s="21"/>
      <c r="F325" s="21"/>
      <c r="G325" s="21"/>
      <c r="H325" s="21"/>
      <c r="I325" s="21"/>
      <c r="J325" s="21"/>
    </row>
    <row r="326" ht="15.75" customHeight="1">
      <c r="A326" s="21"/>
      <c r="B326" s="21"/>
      <c r="C326" s="21"/>
      <c r="D326" s="21"/>
      <c r="E326" s="21"/>
      <c r="F326" s="21"/>
      <c r="G326" s="21"/>
      <c r="H326" s="21"/>
      <c r="I326" s="21"/>
      <c r="J326" s="21"/>
    </row>
    <row r="327" ht="15.75" customHeight="1">
      <c r="A327" s="21"/>
      <c r="B327" s="21"/>
      <c r="C327" s="21"/>
      <c r="D327" s="21"/>
      <c r="E327" s="21"/>
      <c r="F327" s="21"/>
      <c r="G327" s="21"/>
      <c r="H327" s="21"/>
      <c r="I327" s="21"/>
      <c r="J327" s="21"/>
    </row>
    <row r="328" ht="15.75" customHeight="1">
      <c r="A328" s="21"/>
      <c r="B328" s="21"/>
      <c r="C328" s="21"/>
      <c r="D328" s="21"/>
      <c r="E328" s="21"/>
      <c r="F328" s="21"/>
      <c r="G328" s="21"/>
      <c r="H328" s="21"/>
      <c r="I328" s="21"/>
      <c r="J328" s="21"/>
    </row>
    <row r="329" ht="15.75" customHeight="1">
      <c r="A329" s="21"/>
      <c r="B329" s="21"/>
      <c r="C329" s="21"/>
      <c r="D329" s="21"/>
      <c r="E329" s="21"/>
      <c r="F329" s="21"/>
      <c r="G329" s="21"/>
      <c r="H329" s="21"/>
      <c r="I329" s="21"/>
      <c r="J329" s="21"/>
    </row>
    <row r="330" ht="15.75" customHeight="1">
      <c r="A330" s="21"/>
      <c r="B330" s="21"/>
      <c r="C330" s="21"/>
      <c r="D330" s="21"/>
      <c r="E330" s="21"/>
      <c r="F330" s="21"/>
      <c r="G330" s="21"/>
      <c r="H330" s="21"/>
      <c r="I330" s="21"/>
      <c r="J330" s="21"/>
    </row>
    <row r="331" ht="15.75" customHeight="1">
      <c r="A331" s="21"/>
      <c r="B331" s="21"/>
      <c r="C331" s="21"/>
      <c r="D331" s="21"/>
      <c r="E331" s="21"/>
      <c r="F331" s="21"/>
      <c r="G331" s="21"/>
      <c r="H331" s="21"/>
      <c r="I331" s="21"/>
      <c r="J331" s="21"/>
    </row>
    <row r="332" ht="15.75" customHeight="1">
      <c r="A332" s="21"/>
      <c r="B332" s="21"/>
      <c r="C332" s="21"/>
      <c r="D332" s="21"/>
      <c r="E332" s="21"/>
      <c r="F332" s="21"/>
      <c r="G332" s="21"/>
      <c r="H332" s="21"/>
      <c r="I332" s="21"/>
      <c r="J332" s="21"/>
    </row>
    <row r="333" ht="15.75" customHeight="1">
      <c r="A333" s="21"/>
      <c r="B333" s="21"/>
      <c r="C333" s="21"/>
      <c r="D333" s="21"/>
      <c r="E333" s="21"/>
      <c r="F333" s="21"/>
      <c r="G333" s="21"/>
      <c r="H333" s="21"/>
      <c r="I333" s="21"/>
      <c r="J333" s="21"/>
    </row>
    <row r="334" ht="15.75" customHeight="1">
      <c r="A334" s="21"/>
      <c r="B334" s="21"/>
      <c r="C334" s="21"/>
      <c r="D334" s="21"/>
      <c r="E334" s="21"/>
      <c r="F334" s="21"/>
      <c r="G334" s="21"/>
      <c r="H334" s="21"/>
      <c r="I334" s="21"/>
      <c r="J334" s="21"/>
    </row>
    <row r="335" ht="15.75" customHeight="1">
      <c r="A335" s="21"/>
      <c r="B335" s="21"/>
      <c r="C335" s="21"/>
      <c r="D335" s="21"/>
      <c r="E335" s="21"/>
      <c r="F335" s="21"/>
      <c r="G335" s="21"/>
      <c r="H335" s="21"/>
      <c r="I335" s="21"/>
      <c r="J335" s="21"/>
    </row>
    <row r="336" ht="15.75" customHeight="1">
      <c r="A336" s="21"/>
      <c r="B336" s="21"/>
      <c r="C336" s="21"/>
      <c r="D336" s="21"/>
      <c r="E336" s="21"/>
      <c r="F336" s="21"/>
      <c r="G336" s="21"/>
      <c r="H336" s="21"/>
      <c r="I336" s="21"/>
      <c r="J336" s="21"/>
    </row>
    <row r="337" ht="15.75" customHeight="1">
      <c r="A337" s="21"/>
      <c r="B337" s="21"/>
      <c r="C337" s="21"/>
      <c r="D337" s="21"/>
      <c r="E337" s="21"/>
      <c r="F337" s="21"/>
      <c r="G337" s="21"/>
      <c r="H337" s="21"/>
      <c r="I337" s="21"/>
      <c r="J337" s="21"/>
    </row>
    <row r="338" ht="15.75" customHeight="1">
      <c r="A338" s="21"/>
      <c r="B338" s="21"/>
      <c r="C338" s="21"/>
      <c r="D338" s="21"/>
      <c r="E338" s="21"/>
      <c r="F338" s="21"/>
      <c r="G338" s="21"/>
      <c r="H338" s="21"/>
      <c r="I338" s="21"/>
      <c r="J338" s="21"/>
    </row>
    <row r="339" ht="15.75" customHeight="1">
      <c r="A339" s="21"/>
      <c r="B339" s="21"/>
      <c r="C339" s="21"/>
      <c r="D339" s="21"/>
      <c r="E339" s="21"/>
      <c r="F339" s="21"/>
      <c r="G339" s="21"/>
      <c r="H339" s="21"/>
      <c r="I339" s="21"/>
      <c r="J339" s="21"/>
    </row>
    <row r="340" ht="15.75" customHeight="1">
      <c r="A340" s="21"/>
      <c r="B340" s="21"/>
      <c r="C340" s="21"/>
      <c r="D340" s="21"/>
      <c r="E340" s="21"/>
      <c r="F340" s="21"/>
      <c r="G340" s="21"/>
      <c r="H340" s="21"/>
      <c r="I340" s="21"/>
      <c r="J340" s="21"/>
    </row>
    <row r="341" ht="15.75" customHeight="1">
      <c r="A341" s="21"/>
      <c r="B341" s="21"/>
      <c r="C341" s="21"/>
      <c r="D341" s="21"/>
      <c r="E341" s="21"/>
      <c r="F341" s="21"/>
      <c r="G341" s="21"/>
      <c r="H341" s="21"/>
      <c r="I341" s="21"/>
      <c r="J341" s="21"/>
    </row>
    <row r="342" ht="15.75" customHeight="1">
      <c r="A342" s="21"/>
      <c r="B342" s="21"/>
      <c r="C342" s="21"/>
      <c r="D342" s="21"/>
      <c r="E342" s="21"/>
      <c r="F342" s="21"/>
      <c r="G342" s="21"/>
      <c r="H342" s="21"/>
      <c r="I342" s="21"/>
      <c r="J342" s="21"/>
    </row>
    <row r="343" ht="15.75" customHeight="1">
      <c r="A343" s="21"/>
      <c r="B343" s="21"/>
      <c r="C343" s="21"/>
      <c r="D343" s="21"/>
      <c r="E343" s="21"/>
      <c r="F343" s="21"/>
      <c r="G343" s="21"/>
      <c r="H343" s="21"/>
      <c r="I343" s="21"/>
      <c r="J343" s="21"/>
    </row>
    <row r="344" ht="15.75" customHeight="1">
      <c r="A344" s="21"/>
      <c r="B344" s="21"/>
      <c r="C344" s="21"/>
      <c r="D344" s="21"/>
      <c r="E344" s="21"/>
      <c r="F344" s="21"/>
      <c r="G344" s="21"/>
      <c r="H344" s="21"/>
      <c r="I344" s="21"/>
      <c r="J344" s="21"/>
    </row>
    <row r="345" ht="15.75" customHeight="1">
      <c r="A345" s="21"/>
      <c r="B345" s="21"/>
      <c r="C345" s="21"/>
      <c r="D345" s="21"/>
      <c r="E345" s="21"/>
      <c r="F345" s="21"/>
      <c r="G345" s="21"/>
      <c r="H345" s="21"/>
      <c r="I345" s="21"/>
      <c r="J345" s="21"/>
    </row>
    <row r="346" ht="15.75" customHeight="1">
      <c r="A346" s="21"/>
      <c r="B346" s="21"/>
      <c r="C346" s="21"/>
      <c r="D346" s="21"/>
      <c r="E346" s="21"/>
      <c r="F346" s="21"/>
      <c r="G346" s="21"/>
      <c r="H346" s="21"/>
      <c r="I346" s="21"/>
      <c r="J346" s="21"/>
    </row>
    <row r="347" ht="15.75" customHeight="1">
      <c r="A347" s="21"/>
      <c r="B347" s="21"/>
      <c r="C347" s="21"/>
      <c r="D347" s="21"/>
      <c r="E347" s="21"/>
      <c r="F347" s="21"/>
      <c r="G347" s="21"/>
      <c r="H347" s="21"/>
      <c r="I347" s="21"/>
      <c r="J347" s="21"/>
    </row>
    <row r="348" ht="15.75" customHeight="1">
      <c r="A348" s="21"/>
      <c r="B348" s="21"/>
      <c r="C348" s="21"/>
      <c r="D348" s="21"/>
      <c r="E348" s="21"/>
      <c r="F348" s="21"/>
      <c r="G348" s="21"/>
      <c r="H348" s="21"/>
      <c r="I348" s="21"/>
      <c r="J348" s="21"/>
    </row>
    <row r="349" ht="15.75" customHeight="1">
      <c r="A349" s="21"/>
      <c r="B349" s="21"/>
      <c r="C349" s="21"/>
      <c r="D349" s="21"/>
      <c r="E349" s="21"/>
      <c r="F349" s="21"/>
      <c r="G349" s="21"/>
      <c r="H349" s="21"/>
      <c r="I349" s="21"/>
      <c r="J349" s="21"/>
    </row>
    <row r="350" ht="15.75" customHeight="1">
      <c r="A350" s="21"/>
      <c r="B350" s="21"/>
      <c r="C350" s="21"/>
      <c r="D350" s="21"/>
      <c r="E350" s="21"/>
      <c r="F350" s="21"/>
      <c r="G350" s="21"/>
      <c r="H350" s="21"/>
      <c r="I350" s="21"/>
      <c r="J350" s="21"/>
    </row>
    <row r="351" ht="15.75" customHeight="1">
      <c r="A351" s="21"/>
      <c r="B351" s="21"/>
      <c r="C351" s="21"/>
      <c r="D351" s="21"/>
      <c r="E351" s="21"/>
      <c r="F351" s="21"/>
      <c r="G351" s="21"/>
      <c r="H351" s="21"/>
      <c r="I351" s="21"/>
      <c r="J351" s="21"/>
    </row>
    <row r="352" ht="15.75" customHeight="1">
      <c r="A352" s="21"/>
      <c r="B352" s="21"/>
      <c r="C352" s="21"/>
      <c r="D352" s="21"/>
      <c r="E352" s="21"/>
      <c r="F352" s="21"/>
      <c r="G352" s="21"/>
      <c r="H352" s="21"/>
      <c r="I352" s="21"/>
      <c r="J352" s="21"/>
    </row>
    <row r="353" ht="15.75" customHeight="1">
      <c r="A353" s="21"/>
      <c r="B353" s="21"/>
      <c r="C353" s="21"/>
      <c r="D353" s="21"/>
      <c r="E353" s="21"/>
      <c r="F353" s="21"/>
      <c r="G353" s="21"/>
      <c r="H353" s="21"/>
      <c r="I353" s="21"/>
      <c r="J353" s="21"/>
    </row>
    <row r="354" ht="15.75" customHeight="1">
      <c r="A354" s="21"/>
      <c r="B354" s="21"/>
      <c r="C354" s="21"/>
      <c r="D354" s="21"/>
      <c r="E354" s="21"/>
      <c r="F354" s="21"/>
      <c r="G354" s="21"/>
      <c r="H354" s="21"/>
      <c r="I354" s="21"/>
      <c r="J354" s="21"/>
    </row>
    <row r="355" ht="15.75" customHeight="1">
      <c r="A355" s="21"/>
      <c r="B355" s="21"/>
      <c r="C355" s="21"/>
      <c r="D355" s="21"/>
      <c r="E355" s="21"/>
      <c r="F355" s="21"/>
      <c r="G355" s="21"/>
      <c r="H355" s="21"/>
      <c r="I355" s="21"/>
      <c r="J355" s="21"/>
    </row>
    <row r="356" ht="15.75" customHeight="1">
      <c r="A356" s="21"/>
      <c r="B356" s="21"/>
      <c r="C356" s="21"/>
      <c r="D356" s="21"/>
      <c r="E356" s="21"/>
      <c r="F356" s="21"/>
      <c r="G356" s="21"/>
      <c r="H356" s="21"/>
      <c r="I356" s="21"/>
      <c r="J356" s="21"/>
    </row>
    <row r="357" ht="15.75" customHeight="1">
      <c r="A357" s="21"/>
      <c r="B357" s="21"/>
      <c r="C357" s="21"/>
      <c r="D357" s="21"/>
      <c r="E357" s="21"/>
      <c r="F357" s="21"/>
      <c r="G357" s="21"/>
      <c r="H357" s="21"/>
      <c r="I357" s="21"/>
      <c r="J357" s="21"/>
    </row>
    <row r="358" ht="15.75" customHeight="1">
      <c r="A358" s="21"/>
      <c r="B358" s="21"/>
      <c r="C358" s="21"/>
      <c r="D358" s="21"/>
      <c r="E358" s="21"/>
      <c r="F358" s="21"/>
      <c r="G358" s="21"/>
      <c r="H358" s="21"/>
      <c r="I358" s="21"/>
      <c r="J358" s="21"/>
    </row>
    <row r="359" ht="15.75" customHeight="1">
      <c r="A359" s="21"/>
      <c r="B359" s="21"/>
      <c r="C359" s="21"/>
      <c r="D359" s="21"/>
      <c r="E359" s="21"/>
      <c r="F359" s="21"/>
      <c r="G359" s="21"/>
      <c r="H359" s="21"/>
      <c r="I359" s="21"/>
      <c r="J359" s="21"/>
    </row>
    <row r="360" ht="15.75" customHeight="1">
      <c r="A360" s="21"/>
      <c r="B360" s="21"/>
      <c r="C360" s="21"/>
      <c r="D360" s="21"/>
      <c r="E360" s="21"/>
      <c r="F360" s="21"/>
      <c r="G360" s="21"/>
      <c r="H360" s="21"/>
      <c r="I360" s="21"/>
      <c r="J360" s="21"/>
    </row>
    <row r="361" ht="15.75" customHeight="1">
      <c r="A361" s="21"/>
      <c r="B361" s="21"/>
      <c r="C361" s="21"/>
      <c r="D361" s="21"/>
      <c r="E361" s="21"/>
      <c r="F361" s="21"/>
      <c r="G361" s="21"/>
      <c r="H361" s="21"/>
      <c r="I361" s="21"/>
      <c r="J361" s="21"/>
    </row>
    <row r="362" ht="15.75" customHeight="1">
      <c r="A362" s="21"/>
      <c r="B362" s="21"/>
      <c r="C362" s="21"/>
      <c r="D362" s="21"/>
      <c r="E362" s="21"/>
      <c r="F362" s="21"/>
      <c r="G362" s="21"/>
      <c r="H362" s="21"/>
      <c r="I362" s="21"/>
      <c r="J362" s="21"/>
    </row>
    <row r="363" ht="15.75" customHeight="1">
      <c r="A363" s="21"/>
      <c r="B363" s="21"/>
      <c r="C363" s="21"/>
      <c r="D363" s="21"/>
      <c r="E363" s="21"/>
      <c r="F363" s="21"/>
      <c r="G363" s="21"/>
      <c r="H363" s="21"/>
      <c r="I363" s="21"/>
      <c r="J363" s="21"/>
    </row>
    <row r="364" ht="15.75" customHeight="1">
      <c r="A364" s="21"/>
      <c r="B364" s="21"/>
      <c r="C364" s="21"/>
      <c r="D364" s="21"/>
      <c r="E364" s="21"/>
      <c r="F364" s="21"/>
      <c r="G364" s="21"/>
      <c r="H364" s="21"/>
      <c r="I364" s="21"/>
      <c r="J364" s="21"/>
    </row>
    <row r="365" ht="15.75" customHeight="1">
      <c r="A365" s="21"/>
      <c r="B365" s="21"/>
      <c r="C365" s="21"/>
      <c r="D365" s="21"/>
      <c r="E365" s="21"/>
      <c r="F365" s="21"/>
      <c r="G365" s="21"/>
      <c r="H365" s="21"/>
      <c r="I365" s="21"/>
      <c r="J365" s="21"/>
    </row>
    <row r="366" ht="15.75" customHeight="1">
      <c r="A366" s="21"/>
      <c r="B366" s="21"/>
      <c r="C366" s="21"/>
      <c r="D366" s="21"/>
      <c r="E366" s="21"/>
      <c r="F366" s="21"/>
      <c r="G366" s="21"/>
      <c r="H366" s="21"/>
      <c r="I366" s="21"/>
      <c r="J366" s="21"/>
    </row>
    <row r="367" ht="15.75" customHeight="1">
      <c r="A367" s="21"/>
      <c r="B367" s="21"/>
      <c r="C367" s="21"/>
      <c r="D367" s="21"/>
      <c r="E367" s="21"/>
      <c r="F367" s="21"/>
      <c r="G367" s="21"/>
      <c r="H367" s="21"/>
      <c r="I367" s="21"/>
      <c r="J367" s="21"/>
    </row>
    <row r="368" ht="15.75" customHeight="1">
      <c r="A368" s="21"/>
      <c r="B368" s="21"/>
      <c r="C368" s="21"/>
      <c r="D368" s="21"/>
      <c r="E368" s="21"/>
      <c r="F368" s="21"/>
      <c r="G368" s="21"/>
      <c r="H368" s="21"/>
      <c r="I368" s="21"/>
      <c r="J368" s="21"/>
    </row>
    <row r="369" ht="15.75" customHeight="1">
      <c r="A369" s="21"/>
      <c r="B369" s="21"/>
      <c r="C369" s="21"/>
      <c r="D369" s="21"/>
      <c r="E369" s="21"/>
      <c r="F369" s="21"/>
      <c r="G369" s="21"/>
      <c r="H369" s="21"/>
      <c r="I369" s="21"/>
      <c r="J369" s="21"/>
    </row>
    <row r="370" ht="15.75" customHeight="1">
      <c r="A370" s="21"/>
      <c r="B370" s="21"/>
      <c r="C370" s="21"/>
      <c r="D370" s="21"/>
      <c r="E370" s="21"/>
      <c r="F370" s="21"/>
      <c r="G370" s="21"/>
      <c r="H370" s="21"/>
      <c r="I370" s="21"/>
      <c r="J370" s="21"/>
    </row>
    <row r="371" ht="15.75" customHeight="1">
      <c r="A371" s="21"/>
      <c r="B371" s="21"/>
      <c r="C371" s="21"/>
      <c r="D371" s="21"/>
      <c r="E371" s="21"/>
      <c r="F371" s="21"/>
      <c r="G371" s="21"/>
      <c r="H371" s="21"/>
      <c r="I371" s="21"/>
      <c r="J371" s="21"/>
    </row>
    <row r="372" ht="15.75" customHeight="1">
      <c r="A372" s="21"/>
      <c r="B372" s="21"/>
      <c r="C372" s="21"/>
      <c r="D372" s="21"/>
      <c r="E372" s="21"/>
      <c r="F372" s="21"/>
      <c r="G372" s="21"/>
      <c r="H372" s="21"/>
      <c r="I372" s="21"/>
      <c r="J372" s="21"/>
    </row>
    <row r="373" ht="15.75" customHeight="1">
      <c r="A373" s="21"/>
      <c r="B373" s="21"/>
      <c r="C373" s="21"/>
      <c r="D373" s="21"/>
      <c r="E373" s="21"/>
      <c r="F373" s="21"/>
      <c r="G373" s="21"/>
      <c r="H373" s="21"/>
      <c r="I373" s="21"/>
      <c r="J373" s="21"/>
    </row>
    <row r="374" ht="15.75" customHeight="1">
      <c r="A374" s="21"/>
      <c r="B374" s="21"/>
      <c r="C374" s="21"/>
      <c r="D374" s="21"/>
      <c r="E374" s="21"/>
      <c r="F374" s="21"/>
      <c r="G374" s="21"/>
      <c r="H374" s="21"/>
      <c r="I374" s="21"/>
      <c r="J374" s="21"/>
    </row>
    <row r="375" ht="15.75" customHeight="1">
      <c r="A375" s="21"/>
      <c r="B375" s="21"/>
      <c r="C375" s="21"/>
      <c r="D375" s="21"/>
      <c r="E375" s="21"/>
      <c r="F375" s="21"/>
      <c r="G375" s="21"/>
      <c r="H375" s="21"/>
      <c r="I375" s="21"/>
      <c r="J375" s="21"/>
    </row>
    <row r="376" ht="15.75" customHeight="1">
      <c r="A376" s="21"/>
      <c r="B376" s="21"/>
      <c r="C376" s="21"/>
      <c r="D376" s="21"/>
      <c r="E376" s="21"/>
      <c r="F376" s="21"/>
      <c r="G376" s="21"/>
      <c r="H376" s="21"/>
      <c r="I376" s="21"/>
      <c r="J376" s="21"/>
    </row>
    <row r="377" ht="15.75" customHeight="1">
      <c r="A377" s="21"/>
      <c r="B377" s="21"/>
      <c r="C377" s="21"/>
      <c r="D377" s="21"/>
      <c r="E377" s="21"/>
      <c r="F377" s="21"/>
      <c r="G377" s="21"/>
      <c r="H377" s="21"/>
      <c r="I377" s="21"/>
      <c r="J377" s="21"/>
    </row>
    <row r="378" ht="15.75" customHeight="1">
      <c r="A378" s="21"/>
      <c r="B378" s="21"/>
      <c r="C378" s="21"/>
      <c r="D378" s="21"/>
      <c r="E378" s="21"/>
      <c r="F378" s="21"/>
      <c r="G378" s="21"/>
      <c r="H378" s="21"/>
      <c r="I378" s="21"/>
      <c r="J378" s="21"/>
    </row>
    <row r="379" ht="15.75" customHeight="1">
      <c r="A379" s="21"/>
      <c r="B379" s="21"/>
      <c r="C379" s="21"/>
      <c r="D379" s="21"/>
      <c r="E379" s="21"/>
      <c r="F379" s="21"/>
      <c r="G379" s="21"/>
      <c r="H379" s="21"/>
      <c r="I379" s="21"/>
      <c r="J379" s="21"/>
    </row>
    <row r="380" ht="15.75" customHeight="1">
      <c r="A380" s="21"/>
      <c r="B380" s="21"/>
      <c r="C380" s="21"/>
      <c r="D380" s="21"/>
      <c r="E380" s="21"/>
      <c r="F380" s="21"/>
      <c r="G380" s="21"/>
      <c r="H380" s="21"/>
      <c r="I380" s="21"/>
      <c r="J380" s="21"/>
    </row>
    <row r="381" ht="15.75" customHeight="1">
      <c r="A381" s="21"/>
      <c r="B381" s="21"/>
      <c r="C381" s="21"/>
      <c r="D381" s="21"/>
      <c r="E381" s="21"/>
      <c r="F381" s="21"/>
      <c r="G381" s="21"/>
      <c r="H381" s="21"/>
      <c r="I381" s="21"/>
      <c r="J381" s="21"/>
    </row>
    <row r="382" ht="15.75" customHeight="1">
      <c r="A382" s="21"/>
      <c r="B382" s="21"/>
      <c r="C382" s="21"/>
      <c r="D382" s="21"/>
      <c r="E382" s="21"/>
      <c r="F382" s="21"/>
      <c r="G382" s="21"/>
      <c r="H382" s="21"/>
      <c r="I382" s="21"/>
      <c r="J382" s="21"/>
    </row>
    <row r="383" ht="15.75" customHeight="1">
      <c r="A383" s="21"/>
      <c r="B383" s="21"/>
      <c r="C383" s="21"/>
      <c r="D383" s="21"/>
      <c r="E383" s="21"/>
      <c r="F383" s="21"/>
      <c r="G383" s="21"/>
      <c r="H383" s="21"/>
      <c r="I383" s="21"/>
      <c r="J383" s="21"/>
    </row>
    <row r="384" ht="15.75" customHeight="1">
      <c r="A384" s="21"/>
      <c r="B384" s="21"/>
      <c r="C384" s="21"/>
      <c r="D384" s="21"/>
      <c r="E384" s="21"/>
      <c r="F384" s="21"/>
      <c r="G384" s="21"/>
      <c r="H384" s="21"/>
      <c r="I384" s="21"/>
      <c r="J384" s="21"/>
    </row>
    <row r="385" ht="15.75" customHeight="1">
      <c r="A385" s="21"/>
      <c r="B385" s="21"/>
      <c r="C385" s="21"/>
      <c r="D385" s="21"/>
      <c r="E385" s="21"/>
      <c r="F385" s="21"/>
      <c r="G385" s="21"/>
      <c r="H385" s="21"/>
      <c r="I385" s="21"/>
      <c r="J385" s="21"/>
    </row>
    <row r="386" ht="15.75" customHeight="1">
      <c r="A386" s="21"/>
      <c r="B386" s="21"/>
      <c r="C386" s="21"/>
      <c r="D386" s="21"/>
      <c r="E386" s="21"/>
      <c r="F386" s="21"/>
      <c r="G386" s="21"/>
      <c r="H386" s="21"/>
      <c r="I386" s="21"/>
      <c r="J386" s="21"/>
    </row>
    <row r="387" ht="15.75" customHeight="1">
      <c r="A387" s="21"/>
      <c r="B387" s="21"/>
      <c r="C387" s="21"/>
      <c r="D387" s="21"/>
      <c r="E387" s="21"/>
      <c r="F387" s="21"/>
      <c r="G387" s="21"/>
      <c r="H387" s="21"/>
      <c r="I387" s="21"/>
      <c r="J387" s="21"/>
    </row>
    <row r="388" ht="15.75" customHeight="1">
      <c r="A388" s="21"/>
      <c r="B388" s="21"/>
      <c r="C388" s="21"/>
      <c r="D388" s="21"/>
      <c r="E388" s="21"/>
      <c r="F388" s="21"/>
      <c r="G388" s="21"/>
      <c r="H388" s="21"/>
      <c r="I388" s="21"/>
      <c r="J388" s="21"/>
    </row>
    <row r="389" ht="15.75" customHeight="1">
      <c r="A389" s="21"/>
      <c r="B389" s="21"/>
      <c r="C389" s="21"/>
      <c r="D389" s="21"/>
      <c r="E389" s="21"/>
      <c r="F389" s="21"/>
      <c r="G389" s="21"/>
      <c r="H389" s="21"/>
      <c r="I389" s="21"/>
      <c r="J389" s="21"/>
    </row>
    <row r="390" ht="15.75" customHeight="1">
      <c r="A390" s="21"/>
      <c r="B390" s="21"/>
      <c r="C390" s="21"/>
      <c r="D390" s="21"/>
      <c r="E390" s="21"/>
      <c r="F390" s="21"/>
      <c r="G390" s="21"/>
      <c r="H390" s="21"/>
      <c r="I390" s="21"/>
      <c r="J390" s="21"/>
    </row>
    <row r="391" ht="15.75" customHeight="1">
      <c r="A391" s="21"/>
      <c r="B391" s="21"/>
      <c r="C391" s="21"/>
      <c r="D391" s="21"/>
      <c r="E391" s="21"/>
      <c r="F391" s="21"/>
      <c r="G391" s="21"/>
      <c r="H391" s="21"/>
      <c r="I391" s="21"/>
      <c r="J391" s="21"/>
    </row>
    <row r="392" ht="15.75" customHeight="1">
      <c r="A392" s="21"/>
      <c r="B392" s="21"/>
      <c r="C392" s="21"/>
      <c r="D392" s="21"/>
      <c r="E392" s="21"/>
      <c r="F392" s="21"/>
      <c r="G392" s="21"/>
      <c r="H392" s="21"/>
      <c r="I392" s="21"/>
      <c r="J392" s="21"/>
    </row>
    <row r="393" ht="15.75" customHeight="1">
      <c r="A393" s="21"/>
      <c r="B393" s="21"/>
      <c r="C393" s="21"/>
      <c r="D393" s="21"/>
      <c r="E393" s="21"/>
      <c r="F393" s="21"/>
      <c r="G393" s="21"/>
      <c r="H393" s="21"/>
      <c r="I393" s="21"/>
      <c r="J393" s="21"/>
    </row>
    <row r="394" ht="15.75" customHeight="1">
      <c r="A394" s="21"/>
      <c r="B394" s="21"/>
      <c r="C394" s="21"/>
      <c r="D394" s="21"/>
      <c r="E394" s="21"/>
      <c r="F394" s="21"/>
      <c r="G394" s="21"/>
      <c r="H394" s="21"/>
      <c r="I394" s="21"/>
      <c r="J394" s="21"/>
    </row>
    <row r="395" ht="15.75" customHeight="1">
      <c r="A395" s="21"/>
      <c r="B395" s="21"/>
      <c r="C395" s="21"/>
      <c r="D395" s="21"/>
      <c r="E395" s="21"/>
      <c r="F395" s="21"/>
      <c r="G395" s="21"/>
      <c r="H395" s="21"/>
      <c r="I395" s="21"/>
      <c r="J395" s="21"/>
    </row>
    <row r="396" ht="15.75" customHeight="1">
      <c r="A396" s="21"/>
      <c r="B396" s="21"/>
      <c r="C396" s="21"/>
      <c r="D396" s="21"/>
      <c r="E396" s="21"/>
      <c r="F396" s="21"/>
      <c r="G396" s="21"/>
      <c r="H396" s="21"/>
      <c r="I396" s="21"/>
      <c r="J396" s="21"/>
    </row>
    <row r="397" ht="15.75" customHeight="1">
      <c r="A397" s="21"/>
      <c r="B397" s="21"/>
      <c r="C397" s="21"/>
      <c r="D397" s="21"/>
      <c r="E397" s="21"/>
      <c r="F397" s="21"/>
      <c r="G397" s="21"/>
      <c r="H397" s="21"/>
      <c r="I397" s="21"/>
      <c r="J397" s="21"/>
    </row>
    <row r="398" ht="15.75" customHeight="1">
      <c r="A398" s="21"/>
      <c r="B398" s="21"/>
      <c r="C398" s="21"/>
      <c r="D398" s="21"/>
      <c r="E398" s="21"/>
      <c r="F398" s="21"/>
      <c r="G398" s="21"/>
      <c r="H398" s="21"/>
      <c r="I398" s="21"/>
      <c r="J398" s="21"/>
    </row>
    <row r="399" ht="15.75" customHeight="1">
      <c r="A399" s="21"/>
      <c r="B399" s="21"/>
      <c r="C399" s="21"/>
      <c r="D399" s="21"/>
      <c r="E399" s="21"/>
      <c r="F399" s="21"/>
      <c r="G399" s="21"/>
      <c r="H399" s="21"/>
      <c r="I399" s="21"/>
      <c r="J399" s="21"/>
    </row>
    <row r="400" ht="15.75" customHeight="1">
      <c r="A400" s="21"/>
      <c r="B400" s="21"/>
      <c r="C400" s="21"/>
      <c r="D400" s="21"/>
      <c r="E400" s="21"/>
      <c r="F400" s="21"/>
      <c r="G400" s="21"/>
      <c r="H400" s="21"/>
      <c r="I400" s="21"/>
      <c r="J400" s="21"/>
    </row>
    <row r="401" ht="15.75" customHeight="1">
      <c r="A401" s="21"/>
      <c r="B401" s="21"/>
      <c r="C401" s="21"/>
      <c r="D401" s="21"/>
      <c r="E401" s="21"/>
      <c r="F401" s="21"/>
      <c r="G401" s="21"/>
      <c r="H401" s="21"/>
      <c r="I401" s="21"/>
      <c r="J401" s="21"/>
    </row>
    <row r="402" ht="15.75" customHeight="1">
      <c r="A402" s="21"/>
      <c r="B402" s="21"/>
      <c r="C402" s="21"/>
      <c r="D402" s="21"/>
      <c r="E402" s="21"/>
      <c r="F402" s="21"/>
      <c r="G402" s="21"/>
      <c r="H402" s="21"/>
      <c r="I402" s="21"/>
      <c r="J402" s="21"/>
    </row>
    <row r="403" ht="15.75" customHeight="1">
      <c r="A403" s="21"/>
      <c r="B403" s="21"/>
      <c r="C403" s="21"/>
      <c r="D403" s="21"/>
      <c r="E403" s="21"/>
      <c r="F403" s="21"/>
      <c r="G403" s="21"/>
      <c r="H403" s="21"/>
      <c r="I403" s="21"/>
      <c r="J403" s="21"/>
    </row>
    <row r="404" ht="15.75" customHeight="1">
      <c r="A404" s="21"/>
      <c r="B404" s="21"/>
      <c r="C404" s="21"/>
      <c r="D404" s="21"/>
      <c r="E404" s="21"/>
      <c r="F404" s="21"/>
      <c r="G404" s="21"/>
      <c r="H404" s="21"/>
      <c r="I404" s="21"/>
      <c r="J404" s="21"/>
    </row>
    <row r="405" ht="15.75" customHeight="1">
      <c r="A405" s="21"/>
      <c r="B405" s="21"/>
      <c r="C405" s="21"/>
      <c r="D405" s="21"/>
      <c r="E405" s="21"/>
      <c r="F405" s="21"/>
      <c r="G405" s="21"/>
      <c r="H405" s="21"/>
      <c r="I405" s="21"/>
      <c r="J405" s="21"/>
    </row>
    <row r="406" ht="15.75" customHeight="1">
      <c r="A406" s="21"/>
      <c r="B406" s="21"/>
      <c r="C406" s="21"/>
      <c r="D406" s="21"/>
      <c r="E406" s="21"/>
      <c r="F406" s="21"/>
      <c r="G406" s="21"/>
      <c r="H406" s="21"/>
      <c r="I406" s="21"/>
      <c r="J406" s="21"/>
    </row>
    <row r="407" ht="15.75" customHeight="1">
      <c r="A407" s="21"/>
      <c r="B407" s="21"/>
      <c r="C407" s="21"/>
      <c r="D407" s="21"/>
      <c r="E407" s="21"/>
      <c r="F407" s="21"/>
      <c r="G407" s="21"/>
      <c r="H407" s="21"/>
      <c r="I407" s="21"/>
      <c r="J407" s="21"/>
    </row>
    <row r="408" ht="15.75" customHeight="1">
      <c r="A408" s="21"/>
      <c r="B408" s="21"/>
      <c r="C408" s="21"/>
      <c r="D408" s="21"/>
      <c r="E408" s="21"/>
      <c r="F408" s="21"/>
      <c r="G408" s="21"/>
      <c r="H408" s="21"/>
      <c r="I408" s="21"/>
      <c r="J408" s="21"/>
    </row>
    <row r="409" ht="15.75" customHeight="1">
      <c r="A409" s="21"/>
      <c r="B409" s="21"/>
      <c r="C409" s="21"/>
      <c r="D409" s="21"/>
      <c r="E409" s="21"/>
      <c r="F409" s="21"/>
      <c r="G409" s="21"/>
      <c r="H409" s="21"/>
      <c r="I409" s="21"/>
      <c r="J409" s="21"/>
    </row>
    <row r="410" ht="15.75" customHeight="1">
      <c r="A410" s="21"/>
      <c r="B410" s="21"/>
      <c r="C410" s="21"/>
      <c r="D410" s="21"/>
      <c r="E410" s="21"/>
      <c r="F410" s="21"/>
      <c r="G410" s="21"/>
      <c r="H410" s="21"/>
      <c r="I410" s="21"/>
      <c r="J410" s="21"/>
    </row>
    <row r="411" ht="15.75" customHeight="1">
      <c r="A411" s="21"/>
      <c r="B411" s="21"/>
      <c r="C411" s="21"/>
      <c r="D411" s="21"/>
      <c r="E411" s="21"/>
      <c r="F411" s="21"/>
      <c r="G411" s="21"/>
      <c r="H411" s="21"/>
      <c r="I411" s="21"/>
      <c r="J411" s="21"/>
    </row>
    <row r="412" ht="15.75" customHeight="1">
      <c r="A412" s="21"/>
      <c r="B412" s="21"/>
      <c r="C412" s="21"/>
      <c r="D412" s="21"/>
      <c r="E412" s="21"/>
      <c r="F412" s="21"/>
      <c r="G412" s="21"/>
      <c r="H412" s="21"/>
      <c r="I412" s="21"/>
      <c r="J412" s="21"/>
    </row>
    <row r="413" ht="15.75" customHeight="1">
      <c r="A413" s="21"/>
      <c r="B413" s="21"/>
      <c r="C413" s="21"/>
      <c r="D413" s="21"/>
      <c r="E413" s="21"/>
      <c r="F413" s="21"/>
      <c r="G413" s="21"/>
      <c r="H413" s="21"/>
      <c r="I413" s="21"/>
      <c r="J413" s="21"/>
    </row>
    <row r="414" ht="15.75" customHeight="1">
      <c r="A414" s="21"/>
      <c r="B414" s="21"/>
      <c r="C414" s="21"/>
      <c r="D414" s="21"/>
      <c r="E414" s="21"/>
      <c r="F414" s="21"/>
      <c r="G414" s="21"/>
      <c r="H414" s="21"/>
      <c r="I414" s="21"/>
      <c r="J414" s="21"/>
    </row>
    <row r="415" ht="15.75" customHeight="1">
      <c r="A415" s="21"/>
      <c r="B415" s="21"/>
      <c r="C415" s="21"/>
      <c r="D415" s="21"/>
      <c r="E415" s="21"/>
      <c r="F415" s="21"/>
      <c r="G415" s="21"/>
      <c r="H415" s="21"/>
      <c r="I415" s="21"/>
      <c r="J415" s="21"/>
    </row>
    <row r="416" ht="15.75" customHeight="1">
      <c r="A416" s="21"/>
      <c r="B416" s="21"/>
      <c r="C416" s="21"/>
      <c r="D416" s="21"/>
      <c r="E416" s="21"/>
      <c r="F416" s="21"/>
      <c r="G416" s="21"/>
      <c r="H416" s="21"/>
      <c r="I416" s="21"/>
      <c r="J416" s="21"/>
    </row>
    <row r="417" ht="15.75" customHeight="1">
      <c r="A417" s="21"/>
      <c r="B417" s="21"/>
      <c r="C417" s="21"/>
      <c r="D417" s="21"/>
      <c r="E417" s="21"/>
      <c r="F417" s="21"/>
      <c r="G417" s="21"/>
      <c r="H417" s="21"/>
      <c r="I417" s="21"/>
      <c r="J417" s="21"/>
    </row>
    <row r="418" ht="15.75" customHeight="1">
      <c r="A418" s="21"/>
      <c r="B418" s="21"/>
      <c r="C418" s="21"/>
      <c r="D418" s="21"/>
      <c r="E418" s="21"/>
      <c r="F418" s="21"/>
      <c r="G418" s="21"/>
      <c r="H418" s="21"/>
      <c r="I418" s="21"/>
      <c r="J418" s="21"/>
    </row>
    <row r="419" ht="15.75" customHeight="1">
      <c r="A419" s="21"/>
      <c r="B419" s="21"/>
      <c r="C419" s="21"/>
      <c r="D419" s="21"/>
      <c r="E419" s="21"/>
      <c r="F419" s="21"/>
      <c r="G419" s="21"/>
      <c r="H419" s="21"/>
      <c r="I419" s="21"/>
      <c r="J419" s="21"/>
    </row>
    <row r="420" ht="15.75" customHeight="1">
      <c r="A420" s="21"/>
      <c r="B420" s="21"/>
      <c r="C420" s="21"/>
      <c r="D420" s="21"/>
      <c r="E420" s="21"/>
      <c r="F420" s="21"/>
      <c r="G420" s="21"/>
      <c r="H420" s="21"/>
      <c r="I420" s="21"/>
      <c r="J420" s="21"/>
    </row>
    <row r="421" ht="15.75" customHeight="1">
      <c r="A421" s="21"/>
      <c r="B421" s="21"/>
      <c r="C421" s="21"/>
      <c r="D421" s="21"/>
      <c r="E421" s="21"/>
      <c r="F421" s="21"/>
      <c r="G421" s="21"/>
      <c r="H421" s="21"/>
      <c r="I421" s="21"/>
      <c r="J421" s="21"/>
    </row>
    <row r="422" ht="15.75" customHeight="1">
      <c r="A422" s="21"/>
      <c r="B422" s="21"/>
      <c r="C422" s="21"/>
      <c r="D422" s="21"/>
      <c r="E422" s="21"/>
      <c r="F422" s="21"/>
      <c r="G422" s="21"/>
      <c r="H422" s="21"/>
      <c r="I422" s="21"/>
      <c r="J422" s="21"/>
    </row>
    <row r="423" ht="15.75" customHeight="1">
      <c r="A423" s="21"/>
      <c r="B423" s="21"/>
      <c r="C423" s="21"/>
      <c r="D423" s="21"/>
      <c r="E423" s="21"/>
      <c r="F423" s="21"/>
      <c r="G423" s="21"/>
      <c r="H423" s="21"/>
      <c r="I423" s="21"/>
      <c r="J423" s="21"/>
    </row>
    <row r="424" ht="15.75" customHeight="1">
      <c r="A424" s="21"/>
      <c r="B424" s="21"/>
      <c r="C424" s="21"/>
      <c r="D424" s="21"/>
      <c r="E424" s="21"/>
      <c r="F424" s="21"/>
      <c r="G424" s="21"/>
      <c r="H424" s="21"/>
      <c r="I424" s="21"/>
      <c r="J424" s="21"/>
    </row>
    <row r="425" ht="15.75" customHeight="1">
      <c r="A425" s="21"/>
      <c r="B425" s="21"/>
      <c r="C425" s="21"/>
      <c r="D425" s="21"/>
      <c r="E425" s="21"/>
      <c r="F425" s="21"/>
      <c r="G425" s="21"/>
      <c r="H425" s="21"/>
      <c r="I425" s="21"/>
      <c r="J425" s="21"/>
    </row>
    <row r="426" ht="15.75" customHeight="1">
      <c r="A426" s="21"/>
      <c r="B426" s="21"/>
      <c r="C426" s="21"/>
      <c r="D426" s="21"/>
      <c r="E426" s="21"/>
      <c r="F426" s="21"/>
      <c r="G426" s="21"/>
      <c r="H426" s="21"/>
      <c r="I426" s="21"/>
      <c r="J426" s="21"/>
    </row>
    <row r="427" ht="15.75" customHeight="1">
      <c r="A427" s="21"/>
      <c r="B427" s="21"/>
      <c r="C427" s="21"/>
      <c r="D427" s="21"/>
      <c r="E427" s="21"/>
      <c r="F427" s="21"/>
      <c r="G427" s="21"/>
      <c r="H427" s="21"/>
      <c r="I427" s="21"/>
      <c r="J427" s="21"/>
    </row>
    <row r="428" ht="15.75" customHeight="1">
      <c r="A428" s="21"/>
      <c r="B428" s="21"/>
      <c r="C428" s="21"/>
      <c r="D428" s="21"/>
      <c r="E428" s="21"/>
      <c r="F428" s="21"/>
      <c r="G428" s="21"/>
      <c r="H428" s="21"/>
      <c r="I428" s="21"/>
      <c r="J428" s="21"/>
    </row>
    <row r="429" ht="15.75" customHeight="1">
      <c r="A429" s="21"/>
      <c r="B429" s="21"/>
      <c r="C429" s="21"/>
      <c r="D429" s="21"/>
      <c r="E429" s="21"/>
      <c r="F429" s="21"/>
      <c r="G429" s="21"/>
      <c r="H429" s="21"/>
      <c r="I429" s="21"/>
      <c r="J429" s="21"/>
    </row>
    <row r="430" ht="15.75" customHeight="1">
      <c r="A430" s="21"/>
      <c r="B430" s="21"/>
      <c r="C430" s="21"/>
      <c r="D430" s="21"/>
      <c r="E430" s="21"/>
      <c r="F430" s="21"/>
      <c r="G430" s="21"/>
      <c r="H430" s="21"/>
      <c r="I430" s="21"/>
      <c r="J430" s="21"/>
    </row>
    <row r="431" ht="15.75" customHeight="1">
      <c r="A431" s="21"/>
      <c r="B431" s="21"/>
      <c r="C431" s="21"/>
      <c r="D431" s="21"/>
      <c r="E431" s="21"/>
      <c r="F431" s="21"/>
      <c r="G431" s="21"/>
      <c r="H431" s="21"/>
      <c r="I431" s="21"/>
      <c r="J431" s="21"/>
    </row>
    <row r="432" ht="15.75" customHeight="1">
      <c r="A432" s="21"/>
      <c r="B432" s="21"/>
      <c r="C432" s="21"/>
      <c r="D432" s="21"/>
      <c r="E432" s="21"/>
      <c r="F432" s="21"/>
      <c r="G432" s="21"/>
      <c r="H432" s="21"/>
      <c r="I432" s="21"/>
      <c r="J432" s="21"/>
    </row>
    <row r="433" ht="15.75" customHeight="1">
      <c r="A433" s="21"/>
      <c r="B433" s="21"/>
      <c r="C433" s="21"/>
      <c r="D433" s="21"/>
      <c r="E433" s="21"/>
      <c r="F433" s="21"/>
      <c r="G433" s="21"/>
      <c r="H433" s="21"/>
      <c r="I433" s="21"/>
      <c r="J433" s="21"/>
    </row>
    <row r="434" ht="15.75" customHeight="1">
      <c r="A434" s="21"/>
      <c r="B434" s="21"/>
      <c r="C434" s="21"/>
      <c r="D434" s="21"/>
      <c r="E434" s="21"/>
      <c r="F434" s="21"/>
      <c r="G434" s="21"/>
      <c r="H434" s="21"/>
      <c r="I434" s="21"/>
      <c r="J434" s="21"/>
    </row>
    <row r="435" ht="15.75" customHeight="1">
      <c r="A435" s="21"/>
      <c r="B435" s="21"/>
      <c r="C435" s="21"/>
      <c r="D435" s="21"/>
      <c r="E435" s="21"/>
      <c r="F435" s="21"/>
      <c r="G435" s="21"/>
      <c r="H435" s="21"/>
      <c r="I435" s="21"/>
      <c r="J435" s="21"/>
    </row>
    <row r="436" ht="15.75" customHeight="1">
      <c r="A436" s="21"/>
      <c r="B436" s="21"/>
      <c r="C436" s="21"/>
      <c r="D436" s="21"/>
      <c r="E436" s="21"/>
      <c r="F436" s="21"/>
      <c r="G436" s="21"/>
      <c r="H436" s="21"/>
      <c r="I436" s="21"/>
      <c r="J436" s="21"/>
    </row>
    <row r="437" ht="15.75" customHeight="1">
      <c r="A437" s="21"/>
      <c r="B437" s="21"/>
      <c r="C437" s="21"/>
      <c r="D437" s="21"/>
      <c r="E437" s="21"/>
      <c r="F437" s="21"/>
      <c r="G437" s="21"/>
      <c r="H437" s="21"/>
      <c r="I437" s="21"/>
      <c r="J437" s="21"/>
    </row>
    <row r="438" ht="15.75" customHeight="1">
      <c r="A438" s="21"/>
      <c r="B438" s="21"/>
      <c r="C438" s="21"/>
      <c r="D438" s="21"/>
      <c r="E438" s="21"/>
      <c r="F438" s="21"/>
      <c r="G438" s="21"/>
      <c r="H438" s="21"/>
      <c r="I438" s="21"/>
      <c r="J438" s="21"/>
    </row>
    <row r="439" ht="15.75" customHeight="1">
      <c r="A439" s="21"/>
      <c r="B439" s="21"/>
      <c r="C439" s="21"/>
      <c r="D439" s="21"/>
      <c r="E439" s="21"/>
      <c r="F439" s="21"/>
      <c r="G439" s="21"/>
      <c r="H439" s="21"/>
      <c r="I439" s="21"/>
      <c r="J439" s="21"/>
    </row>
    <row r="440" ht="15.75" customHeight="1">
      <c r="A440" s="21"/>
      <c r="B440" s="21"/>
      <c r="C440" s="21"/>
      <c r="D440" s="21"/>
      <c r="E440" s="21"/>
      <c r="F440" s="21"/>
      <c r="G440" s="21"/>
      <c r="H440" s="21"/>
      <c r="I440" s="21"/>
      <c r="J440" s="21"/>
    </row>
    <row r="441" ht="15.75" customHeight="1">
      <c r="A441" s="21"/>
      <c r="B441" s="21"/>
      <c r="C441" s="21"/>
      <c r="D441" s="21"/>
      <c r="E441" s="21"/>
      <c r="F441" s="21"/>
      <c r="G441" s="21"/>
      <c r="H441" s="21"/>
      <c r="I441" s="21"/>
      <c r="J441" s="21"/>
    </row>
    <row r="442" ht="15.75" customHeight="1">
      <c r="A442" s="21"/>
      <c r="B442" s="21"/>
      <c r="C442" s="21"/>
      <c r="D442" s="21"/>
      <c r="E442" s="21"/>
      <c r="F442" s="21"/>
      <c r="G442" s="21"/>
      <c r="H442" s="21"/>
      <c r="I442" s="21"/>
      <c r="J442" s="21"/>
    </row>
    <row r="443" ht="15.75" customHeight="1">
      <c r="A443" s="21"/>
      <c r="B443" s="21"/>
      <c r="C443" s="21"/>
      <c r="D443" s="21"/>
      <c r="E443" s="21"/>
      <c r="F443" s="21"/>
      <c r="G443" s="21"/>
      <c r="H443" s="21"/>
      <c r="I443" s="21"/>
      <c r="J443" s="21"/>
    </row>
    <row r="444" ht="15.75" customHeight="1">
      <c r="A444" s="21"/>
      <c r="B444" s="21"/>
      <c r="C444" s="21"/>
      <c r="D444" s="21"/>
      <c r="E444" s="21"/>
      <c r="F444" s="21"/>
      <c r="G444" s="21"/>
      <c r="H444" s="21"/>
      <c r="I444" s="21"/>
      <c r="J444" s="21"/>
    </row>
    <row r="445" ht="15.75" customHeight="1">
      <c r="A445" s="21"/>
      <c r="B445" s="21"/>
      <c r="C445" s="21"/>
      <c r="D445" s="21"/>
      <c r="E445" s="21"/>
      <c r="F445" s="21"/>
      <c r="G445" s="21"/>
      <c r="H445" s="21"/>
      <c r="I445" s="21"/>
      <c r="J445" s="21"/>
    </row>
    <row r="446" ht="15.75" customHeight="1">
      <c r="A446" s="21"/>
      <c r="B446" s="21"/>
      <c r="C446" s="21"/>
      <c r="D446" s="21"/>
      <c r="E446" s="21"/>
      <c r="F446" s="21"/>
      <c r="G446" s="21"/>
      <c r="H446" s="21"/>
      <c r="I446" s="21"/>
      <c r="J446" s="21"/>
    </row>
    <row r="447" ht="15.75" customHeight="1">
      <c r="A447" s="21"/>
      <c r="B447" s="21"/>
      <c r="C447" s="21"/>
      <c r="D447" s="21"/>
      <c r="E447" s="21"/>
      <c r="F447" s="21"/>
      <c r="G447" s="21"/>
      <c r="H447" s="21"/>
      <c r="I447" s="21"/>
      <c r="J447" s="21"/>
    </row>
    <row r="448" ht="15.75" customHeight="1">
      <c r="A448" s="21"/>
      <c r="B448" s="21"/>
      <c r="C448" s="21"/>
      <c r="D448" s="21"/>
      <c r="E448" s="21"/>
      <c r="F448" s="21"/>
      <c r="G448" s="21"/>
      <c r="H448" s="21"/>
      <c r="I448" s="21"/>
      <c r="J448" s="21"/>
    </row>
    <row r="449" ht="15.75" customHeight="1">
      <c r="A449" s="21"/>
      <c r="B449" s="21"/>
      <c r="C449" s="21"/>
      <c r="D449" s="21"/>
      <c r="E449" s="21"/>
      <c r="F449" s="21"/>
      <c r="G449" s="21"/>
      <c r="H449" s="21"/>
      <c r="I449" s="21"/>
      <c r="J449" s="21"/>
    </row>
    <row r="450" ht="15.75" customHeight="1">
      <c r="A450" s="21"/>
      <c r="B450" s="21"/>
      <c r="C450" s="21"/>
      <c r="D450" s="21"/>
      <c r="E450" s="21"/>
      <c r="F450" s="21"/>
      <c r="G450" s="21"/>
      <c r="H450" s="21"/>
      <c r="I450" s="21"/>
      <c r="J450" s="21"/>
    </row>
    <row r="451" ht="15.75" customHeight="1">
      <c r="A451" s="21"/>
      <c r="B451" s="21"/>
      <c r="C451" s="21"/>
      <c r="D451" s="21"/>
      <c r="E451" s="21"/>
      <c r="F451" s="21"/>
      <c r="G451" s="21"/>
      <c r="H451" s="21"/>
      <c r="I451" s="21"/>
      <c r="J451" s="21"/>
    </row>
    <row r="452" ht="15.75" customHeight="1">
      <c r="A452" s="21"/>
      <c r="B452" s="21"/>
      <c r="C452" s="21"/>
      <c r="D452" s="21"/>
      <c r="E452" s="21"/>
      <c r="F452" s="21"/>
      <c r="G452" s="21"/>
      <c r="H452" s="21"/>
      <c r="I452" s="21"/>
      <c r="J452" s="21"/>
    </row>
    <row r="453" ht="15.75" customHeight="1">
      <c r="A453" s="21"/>
      <c r="B453" s="21"/>
      <c r="C453" s="21"/>
      <c r="D453" s="21"/>
      <c r="E453" s="21"/>
      <c r="F453" s="21"/>
      <c r="G453" s="21"/>
      <c r="H453" s="21"/>
      <c r="I453" s="21"/>
      <c r="J453" s="21"/>
    </row>
    <row r="454" ht="15.75" customHeight="1">
      <c r="A454" s="21"/>
      <c r="B454" s="21"/>
      <c r="C454" s="21"/>
      <c r="D454" s="21"/>
      <c r="E454" s="21"/>
      <c r="F454" s="21"/>
      <c r="G454" s="21"/>
      <c r="H454" s="21"/>
      <c r="I454" s="21"/>
      <c r="J454" s="21"/>
    </row>
    <row r="455" ht="15.75" customHeight="1">
      <c r="A455" s="21"/>
      <c r="B455" s="21"/>
      <c r="C455" s="21"/>
      <c r="D455" s="21"/>
      <c r="E455" s="21"/>
      <c r="F455" s="21"/>
      <c r="G455" s="21"/>
      <c r="H455" s="21"/>
      <c r="I455" s="21"/>
      <c r="J455" s="21"/>
    </row>
    <row r="456" ht="15.75" customHeight="1">
      <c r="A456" s="21"/>
      <c r="B456" s="21"/>
      <c r="C456" s="21"/>
      <c r="D456" s="21"/>
      <c r="E456" s="21"/>
      <c r="F456" s="21"/>
      <c r="G456" s="21"/>
      <c r="H456" s="21"/>
      <c r="I456" s="21"/>
      <c r="J456" s="21"/>
    </row>
    <row r="457" ht="15.75" customHeight="1">
      <c r="A457" s="21"/>
      <c r="B457" s="21"/>
      <c r="C457" s="21"/>
      <c r="D457" s="21"/>
      <c r="E457" s="21"/>
      <c r="F457" s="21"/>
      <c r="G457" s="21"/>
      <c r="H457" s="21"/>
      <c r="I457" s="21"/>
      <c r="J457" s="21"/>
    </row>
    <row r="458" ht="15.75" customHeight="1">
      <c r="A458" s="21"/>
      <c r="B458" s="21"/>
      <c r="C458" s="21"/>
      <c r="D458" s="21"/>
      <c r="E458" s="21"/>
      <c r="F458" s="21"/>
      <c r="G458" s="21"/>
      <c r="H458" s="21"/>
      <c r="I458" s="21"/>
      <c r="J458" s="21"/>
    </row>
    <row r="459" ht="15.75" customHeight="1">
      <c r="A459" s="21"/>
      <c r="B459" s="21"/>
      <c r="C459" s="21"/>
      <c r="D459" s="21"/>
      <c r="E459" s="21"/>
      <c r="F459" s="21"/>
      <c r="G459" s="21"/>
      <c r="H459" s="21"/>
      <c r="I459" s="21"/>
      <c r="J459" s="21"/>
    </row>
    <row r="460" ht="15.75" customHeight="1">
      <c r="A460" s="21"/>
      <c r="B460" s="21"/>
      <c r="C460" s="21"/>
      <c r="D460" s="21"/>
      <c r="E460" s="21"/>
      <c r="F460" s="21"/>
      <c r="G460" s="21"/>
      <c r="H460" s="21"/>
      <c r="I460" s="21"/>
      <c r="J460" s="21"/>
    </row>
    <row r="461" ht="15.75" customHeight="1">
      <c r="A461" s="21"/>
      <c r="B461" s="21"/>
      <c r="C461" s="21"/>
      <c r="D461" s="21"/>
      <c r="E461" s="21"/>
      <c r="F461" s="21"/>
      <c r="G461" s="21"/>
      <c r="H461" s="21"/>
      <c r="I461" s="21"/>
      <c r="J461" s="21"/>
    </row>
    <row r="462" ht="15.75" customHeight="1">
      <c r="A462" s="21"/>
      <c r="B462" s="21"/>
      <c r="C462" s="21"/>
      <c r="D462" s="21"/>
      <c r="E462" s="21"/>
      <c r="F462" s="21"/>
      <c r="G462" s="21"/>
      <c r="H462" s="21"/>
      <c r="I462" s="21"/>
      <c r="J462" s="21"/>
    </row>
    <row r="463" ht="15.75" customHeight="1">
      <c r="A463" s="21"/>
      <c r="B463" s="21"/>
      <c r="C463" s="21"/>
      <c r="D463" s="21"/>
      <c r="E463" s="21"/>
      <c r="F463" s="21"/>
      <c r="G463" s="21"/>
      <c r="H463" s="21"/>
      <c r="I463" s="21"/>
      <c r="J463" s="21"/>
    </row>
    <row r="464" ht="15.75" customHeight="1">
      <c r="A464" s="21"/>
      <c r="B464" s="21"/>
      <c r="C464" s="21"/>
      <c r="D464" s="21"/>
      <c r="E464" s="21"/>
      <c r="F464" s="21"/>
      <c r="G464" s="21"/>
      <c r="H464" s="21"/>
      <c r="I464" s="21"/>
      <c r="J464" s="21"/>
    </row>
    <row r="465" ht="15.75" customHeight="1">
      <c r="A465" s="21"/>
      <c r="B465" s="21"/>
      <c r="C465" s="21"/>
      <c r="D465" s="21"/>
      <c r="E465" s="21"/>
      <c r="F465" s="21"/>
      <c r="G465" s="21"/>
      <c r="H465" s="21"/>
      <c r="I465" s="21"/>
      <c r="J465" s="21"/>
    </row>
    <row r="466" ht="15.75" customHeight="1">
      <c r="A466" s="21"/>
      <c r="B466" s="21"/>
      <c r="C466" s="21"/>
      <c r="D466" s="21"/>
      <c r="E466" s="21"/>
      <c r="F466" s="21"/>
      <c r="G466" s="21"/>
      <c r="H466" s="21"/>
      <c r="I466" s="21"/>
      <c r="J466" s="21"/>
    </row>
    <row r="467" ht="15.75" customHeight="1">
      <c r="A467" s="21"/>
      <c r="B467" s="21"/>
      <c r="C467" s="21"/>
      <c r="D467" s="21"/>
      <c r="E467" s="21"/>
      <c r="F467" s="21"/>
      <c r="G467" s="21"/>
      <c r="H467" s="21"/>
      <c r="I467" s="21"/>
      <c r="J467" s="21"/>
    </row>
    <row r="468" ht="15.75" customHeight="1">
      <c r="A468" s="21"/>
      <c r="B468" s="21"/>
      <c r="C468" s="21"/>
      <c r="D468" s="21"/>
      <c r="E468" s="21"/>
      <c r="F468" s="21"/>
      <c r="G468" s="21"/>
      <c r="H468" s="21"/>
      <c r="I468" s="21"/>
      <c r="J468" s="21"/>
    </row>
    <row r="469" ht="15.75" customHeight="1">
      <c r="A469" s="21"/>
      <c r="B469" s="21"/>
      <c r="C469" s="21"/>
      <c r="D469" s="21"/>
      <c r="E469" s="21"/>
      <c r="F469" s="21"/>
      <c r="G469" s="21"/>
      <c r="H469" s="21"/>
      <c r="I469" s="21"/>
      <c r="J469" s="21"/>
    </row>
    <row r="470" ht="15.75" customHeight="1">
      <c r="A470" s="21"/>
      <c r="B470" s="21"/>
      <c r="C470" s="21"/>
      <c r="D470" s="21"/>
      <c r="E470" s="21"/>
      <c r="F470" s="21"/>
      <c r="G470" s="21"/>
      <c r="H470" s="21"/>
      <c r="I470" s="21"/>
      <c r="J470" s="21"/>
    </row>
    <row r="471" ht="15.75" customHeight="1">
      <c r="A471" s="21"/>
      <c r="B471" s="21"/>
      <c r="C471" s="21"/>
      <c r="D471" s="21"/>
      <c r="E471" s="21"/>
      <c r="F471" s="21"/>
      <c r="G471" s="21"/>
      <c r="H471" s="21"/>
      <c r="I471" s="21"/>
      <c r="J471" s="21"/>
    </row>
    <row r="472" ht="15.75" customHeight="1">
      <c r="A472" s="21"/>
      <c r="B472" s="21"/>
      <c r="C472" s="21"/>
      <c r="D472" s="21"/>
      <c r="E472" s="21"/>
      <c r="F472" s="21"/>
      <c r="G472" s="21"/>
      <c r="H472" s="21"/>
      <c r="I472" s="21"/>
      <c r="J472" s="21"/>
    </row>
    <row r="473" ht="15.75" customHeight="1">
      <c r="A473" s="21"/>
      <c r="B473" s="21"/>
      <c r="C473" s="21"/>
      <c r="D473" s="21"/>
      <c r="E473" s="21"/>
      <c r="F473" s="21"/>
      <c r="G473" s="21"/>
      <c r="H473" s="21"/>
      <c r="I473" s="21"/>
      <c r="J473" s="21"/>
    </row>
    <row r="474" ht="15.75" customHeight="1">
      <c r="A474" s="21"/>
      <c r="B474" s="21"/>
      <c r="C474" s="21"/>
      <c r="D474" s="21"/>
      <c r="E474" s="21"/>
      <c r="F474" s="21"/>
      <c r="G474" s="21"/>
      <c r="H474" s="21"/>
      <c r="I474" s="21"/>
      <c r="J474" s="21"/>
    </row>
    <row r="475" ht="15.75" customHeight="1">
      <c r="A475" s="21"/>
      <c r="B475" s="21"/>
      <c r="C475" s="21"/>
      <c r="D475" s="21"/>
      <c r="E475" s="21"/>
      <c r="F475" s="21"/>
      <c r="G475" s="21"/>
      <c r="H475" s="21"/>
      <c r="I475" s="21"/>
      <c r="J475" s="21"/>
    </row>
    <row r="476" ht="15.75" customHeight="1">
      <c r="A476" s="21"/>
      <c r="B476" s="21"/>
      <c r="C476" s="21"/>
      <c r="D476" s="21"/>
      <c r="E476" s="21"/>
      <c r="F476" s="21"/>
      <c r="G476" s="21"/>
      <c r="H476" s="21"/>
      <c r="I476" s="21"/>
      <c r="J476" s="21"/>
    </row>
    <row r="477" ht="15.75" customHeight="1">
      <c r="A477" s="21"/>
      <c r="B477" s="21"/>
      <c r="C477" s="21"/>
      <c r="D477" s="21"/>
      <c r="E477" s="21"/>
      <c r="F477" s="21"/>
      <c r="G477" s="21"/>
      <c r="H477" s="21"/>
      <c r="I477" s="21"/>
      <c r="J477" s="21"/>
    </row>
    <row r="478" ht="15.75" customHeight="1">
      <c r="A478" s="21"/>
      <c r="B478" s="21"/>
      <c r="C478" s="21"/>
      <c r="D478" s="21"/>
      <c r="E478" s="21"/>
      <c r="F478" s="21"/>
      <c r="G478" s="21"/>
      <c r="H478" s="21"/>
      <c r="I478" s="21"/>
      <c r="J478" s="21"/>
    </row>
    <row r="479" ht="15.75" customHeight="1">
      <c r="A479" s="21"/>
      <c r="B479" s="21"/>
      <c r="C479" s="21"/>
      <c r="D479" s="21"/>
      <c r="E479" s="21"/>
      <c r="F479" s="21"/>
      <c r="G479" s="21"/>
      <c r="H479" s="21"/>
      <c r="I479" s="21"/>
      <c r="J479" s="21"/>
    </row>
    <row r="480" ht="15.75" customHeight="1">
      <c r="A480" s="21"/>
      <c r="B480" s="21"/>
      <c r="C480" s="21"/>
      <c r="D480" s="21"/>
      <c r="E480" s="21"/>
      <c r="F480" s="21"/>
      <c r="G480" s="21"/>
      <c r="H480" s="21"/>
      <c r="I480" s="21"/>
      <c r="J480" s="21"/>
    </row>
    <row r="481" ht="15.75" customHeight="1">
      <c r="A481" s="21"/>
      <c r="B481" s="21"/>
      <c r="C481" s="21"/>
      <c r="D481" s="21"/>
      <c r="E481" s="21"/>
      <c r="F481" s="21"/>
      <c r="G481" s="21"/>
      <c r="H481" s="21"/>
      <c r="I481" s="21"/>
      <c r="J481" s="21"/>
    </row>
    <row r="482" ht="15.75" customHeight="1">
      <c r="A482" s="21"/>
      <c r="B482" s="21"/>
      <c r="C482" s="21"/>
      <c r="D482" s="21"/>
      <c r="E482" s="21"/>
      <c r="F482" s="21"/>
      <c r="G482" s="21"/>
      <c r="H482" s="21"/>
      <c r="I482" s="21"/>
      <c r="J482" s="21"/>
    </row>
    <row r="483" ht="15.75" customHeight="1">
      <c r="A483" s="21"/>
      <c r="B483" s="21"/>
      <c r="C483" s="21"/>
      <c r="D483" s="21"/>
      <c r="E483" s="21"/>
      <c r="F483" s="21"/>
      <c r="G483" s="21"/>
      <c r="H483" s="21"/>
      <c r="I483" s="21"/>
      <c r="J483" s="21"/>
    </row>
    <row r="484" ht="15.75" customHeight="1">
      <c r="A484" s="21"/>
      <c r="B484" s="21"/>
      <c r="C484" s="21"/>
      <c r="D484" s="21"/>
      <c r="E484" s="21"/>
      <c r="F484" s="21"/>
      <c r="G484" s="21"/>
      <c r="H484" s="21"/>
      <c r="I484" s="21"/>
      <c r="J484" s="21"/>
    </row>
    <row r="485" ht="15.75" customHeight="1">
      <c r="A485" s="21"/>
      <c r="B485" s="21"/>
      <c r="C485" s="21"/>
      <c r="D485" s="21"/>
      <c r="E485" s="21"/>
      <c r="F485" s="21"/>
      <c r="G485" s="21"/>
      <c r="H485" s="21"/>
      <c r="I485" s="21"/>
      <c r="J485" s="21"/>
    </row>
    <row r="486" ht="15.75" customHeight="1">
      <c r="A486" s="21"/>
      <c r="B486" s="21"/>
      <c r="C486" s="21"/>
      <c r="D486" s="21"/>
      <c r="E486" s="21"/>
      <c r="F486" s="21"/>
      <c r="G486" s="21"/>
      <c r="H486" s="21"/>
      <c r="I486" s="21"/>
      <c r="J486" s="21"/>
    </row>
    <row r="487" ht="15.75" customHeight="1">
      <c r="A487" s="21"/>
      <c r="B487" s="21"/>
      <c r="C487" s="21"/>
      <c r="D487" s="21"/>
      <c r="E487" s="21"/>
      <c r="F487" s="21"/>
      <c r="G487" s="21"/>
      <c r="H487" s="21"/>
      <c r="I487" s="21"/>
      <c r="J487" s="21"/>
    </row>
    <row r="488" ht="15.75" customHeight="1">
      <c r="A488" s="21"/>
      <c r="B488" s="21"/>
      <c r="C488" s="21"/>
      <c r="D488" s="21"/>
      <c r="E488" s="21"/>
      <c r="F488" s="21"/>
      <c r="G488" s="21"/>
      <c r="H488" s="21"/>
      <c r="I488" s="21"/>
      <c r="J488" s="21"/>
    </row>
    <row r="489" ht="15.75" customHeight="1">
      <c r="A489" s="21"/>
      <c r="B489" s="21"/>
      <c r="C489" s="21"/>
      <c r="D489" s="21"/>
      <c r="E489" s="21"/>
      <c r="F489" s="21"/>
      <c r="G489" s="21"/>
      <c r="H489" s="21"/>
      <c r="I489" s="21"/>
      <c r="J489" s="21"/>
    </row>
    <row r="490" ht="15.75" customHeight="1">
      <c r="A490" s="21"/>
      <c r="B490" s="21"/>
      <c r="C490" s="21"/>
      <c r="D490" s="21"/>
      <c r="E490" s="21"/>
      <c r="F490" s="21"/>
      <c r="G490" s="21"/>
      <c r="H490" s="21"/>
      <c r="I490" s="21"/>
      <c r="J490" s="21"/>
    </row>
    <row r="491" ht="15.75" customHeight="1">
      <c r="A491" s="21"/>
      <c r="B491" s="21"/>
      <c r="C491" s="21"/>
      <c r="D491" s="21"/>
      <c r="E491" s="21"/>
      <c r="F491" s="21"/>
      <c r="G491" s="21"/>
      <c r="H491" s="21"/>
      <c r="I491" s="21"/>
      <c r="J491" s="21"/>
    </row>
    <row r="492" ht="15.75" customHeight="1">
      <c r="A492" s="21"/>
      <c r="B492" s="21"/>
      <c r="C492" s="21"/>
      <c r="D492" s="21"/>
      <c r="E492" s="21"/>
      <c r="F492" s="21"/>
      <c r="G492" s="21"/>
      <c r="H492" s="21"/>
      <c r="I492" s="21"/>
      <c r="J492" s="21"/>
    </row>
    <row r="493" ht="15.75" customHeight="1">
      <c r="A493" s="21"/>
      <c r="B493" s="21"/>
      <c r="C493" s="21"/>
      <c r="D493" s="21"/>
      <c r="E493" s="21"/>
      <c r="F493" s="21"/>
      <c r="G493" s="21"/>
      <c r="H493" s="21"/>
      <c r="I493" s="21"/>
      <c r="J493" s="21"/>
    </row>
    <row r="494" ht="15.75" customHeight="1">
      <c r="A494" s="21"/>
      <c r="B494" s="21"/>
      <c r="C494" s="21"/>
      <c r="D494" s="21"/>
      <c r="E494" s="21"/>
      <c r="F494" s="21"/>
      <c r="G494" s="21"/>
      <c r="H494" s="21"/>
      <c r="I494" s="21"/>
      <c r="J494" s="21"/>
    </row>
    <row r="495" ht="15.75" customHeight="1">
      <c r="A495" s="21"/>
      <c r="B495" s="21"/>
      <c r="C495" s="21"/>
      <c r="D495" s="21"/>
      <c r="E495" s="21"/>
      <c r="F495" s="21"/>
      <c r="G495" s="21"/>
      <c r="H495" s="21"/>
      <c r="I495" s="21"/>
      <c r="J495" s="21"/>
    </row>
    <row r="496" ht="15.75" customHeight="1">
      <c r="A496" s="21"/>
      <c r="B496" s="21"/>
      <c r="C496" s="21"/>
      <c r="D496" s="21"/>
      <c r="E496" s="21"/>
      <c r="F496" s="21"/>
      <c r="G496" s="21"/>
      <c r="H496" s="21"/>
      <c r="I496" s="21"/>
      <c r="J496" s="21"/>
    </row>
    <row r="497" ht="15.75" customHeight="1">
      <c r="A497" s="21"/>
      <c r="B497" s="21"/>
      <c r="C497" s="21"/>
      <c r="D497" s="21"/>
      <c r="E497" s="21"/>
      <c r="F497" s="21"/>
      <c r="G497" s="21"/>
      <c r="H497" s="21"/>
      <c r="I497" s="21"/>
      <c r="J497" s="21"/>
    </row>
    <row r="498" ht="15.75" customHeight="1">
      <c r="A498" s="21"/>
      <c r="B498" s="21"/>
      <c r="C498" s="21"/>
      <c r="D498" s="21"/>
      <c r="E498" s="21"/>
      <c r="F498" s="21"/>
      <c r="G498" s="21"/>
      <c r="H498" s="21"/>
      <c r="I498" s="21"/>
      <c r="J498" s="21"/>
    </row>
    <row r="499" ht="15.75" customHeight="1">
      <c r="A499" s="21"/>
      <c r="B499" s="21"/>
      <c r="C499" s="21"/>
      <c r="D499" s="21"/>
      <c r="E499" s="21"/>
      <c r="F499" s="21"/>
      <c r="G499" s="21"/>
      <c r="H499" s="21"/>
      <c r="I499" s="21"/>
      <c r="J499" s="21"/>
    </row>
    <row r="500" ht="15.75" customHeight="1">
      <c r="A500" s="21"/>
      <c r="B500" s="21"/>
      <c r="C500" s="21"/>
      <c r="D500" s="21"/>
      <c r="E500" s="21"/>
      <c r="F500" s="21"/>
      <c r="G500" s="21"/>
      <c r="H500" s="21"/>
      <c r="I500" s="21"/>
      <c r="J500" s="21"/>
    </row>
    <row r="501" ht="15.75" customHeight="1">
      <c r="A501" s="21"/>
      <c r="B501" s="21"/>
      <c r="C501" s="21"/>
      <c r="D501" s="21"/>
      <c r="E501" s="21"/>
      <c r="F501" s="21"/>
      <c r="G501" s="21"/>
      <c r="H501" s="21"/>
      <c r="I501" s="21"/>
      <c r="J501" s="21"/>
    </row>
    <row r="502" ht="15.75" customHeight="1">
      <c r="A502" s="21"/>
      <c r="B502" s="21"/>
      <c r="C502" s="21"/>
      <c r="D502" s="21"/>
      <c r="E502" s="21"/>
      <c r="F502" s="21"/>
      <c r="G502" s="21"/>
      <c r="H502" s="21"/>
      <c r="I502" s="21"/>
      <c r="J502" s="21"/>
    </row>
    <row r="503" ht="15.75" customHeight="1">
      <c r="A503" s="21"/>
      <c r="B503" s="21"/>
      <c r="C503" s="21"/>
      <c r="D503" s="21"/>
      <c r="E503" s="21"/>
      <c r="F503" s="21"/>
      <c r="G503" s="21"/>
      <c r="H503" s="21"/>
      <c r="I503" s="21"/>
      <c r="J503" s="21"/>
    </row>
    <row r="504" ht="15.75" customHeight="1">
      <c r="A504" s="21"/>
      <c r="B504" s="21"/>
      <c r="C504" s="21"/>
      <c r="D504" s="21"/>
      <c r="E504" s="21"/>
      <c r="F504" s="21"/>
      <c r="G504" s="21"/>
      <c r="H504" s="21"/>
      <c r="I504" s="21"/>
      <c r="J504" s="21"/>
    </row>
    <row r="505" ht="15.75" customHeight="1">
      <c r="A505" s="21"/>
      <c r="B505" s="21"/>
      <c r="C505" s="21"/>
      <c r="D505" s="21"/>
      <c r="E505" s="21"/>
      <c r="F505" s="21"/>
      <c r="G505" s="21"/>
      <c r="H505" s="21"/>
      <c r="I505" s="21"/>
      <c r="J505" s="21"/>
    </row>
    <row r="506" ht="15.75" customHeight="1">
      <c r="A506" s="21"/>
      <c r="B506" s="21"/>
      <c r="C506" s="21"/>
      <c r="D506" s="21"/>
      <c r="E506" s="21"/>
      <c r="F506" s="21"/>
      <c r="G506" s="21"/>
      <c r="H506" s="21"/>
      <c r="I506" s="21"/>
      <c r="J506" s="21"/>
    </row>
    <row r="507" ht="15.75" customHeight="1">
      <c r="A507" s="21"/>
      <c r="B507" s="21"/>
      <c r="C507" s="21"/>
      <c r="D507" s="21"/>
      <c r="E507" s="21"/>
      <c r="F507" s="21"/>
      <c r="G507" s="21"/>
      <c r="H507" s="21"/>
      <c r="I507" s="21"/>
      <c r="J507" s="21"/>
    </row>
    <row r="508" ht="15.75" customHeight="1">
      <c r="A508" s="21"/>
      <c r="B508" s="21"/>
      <c r="C508" s="21"/>
      <c r="D508" s="21"/>
      <c r="E508" s="21"/>
      <c r="F508" s="21"/>
      <c r="G508" s="21"/>
      <c r="H508" s="21"/>
      <c r="I508" s="21"/>
      <c r="J508" s="21"/>
    </row>
    <row r="509" ht="15.75" customHeight="1">
      <c r="A509" s="21"/>
      <c r="B509" s="21"/>
      <c r="C509" s="21"/>
      <c r="D509" s="21"/>
      <c r="E509" s="21"/>
      <c r="F509" s="21"/>
      <c r="G509" s="21"/>
      <c r="H509" s="21"/>
      <c r="I509" s="21"/>
      <c r="J509" s="21"/>
    </row>
    <row r="510" ht="15.75" customHeight="1">
      <c r="A510" s="21"/>
      <c r="B510" s="21"/>
      <c r="C510" s="21"/>
      <c r="D510" s="21"/>
      <c r="E510" s="21"/>
      <c r="F510" s="21"/>
      <c r="G510" s="21"/>
      <c r="H510" s="21"/>
      <c r="I510" s="21"/>
      <c r="J510" s="21"/>
    </row>
    <row r="511" ht="15.75" customHeight="1">
      <c r="A511" s="21"/>
      <c r="B511" s="21"/>
      <c r="C511" s="21"/>
      <c r="D511" s="21"/>
      <c r="E511" s="21"/>
      <c r="F511" s="21"/>
      <c r="G511" s="21"/>
      <c r="H511" s="21"/>
      <c r="I511" s="21"/>
      <c r="J511" s="21"/>
    </row>
    <row r="512" ht="15.75" customHeight="1">
      <c r="A512" s="21"/>
      <c r="B512" s="21"/>
      <c r="C512" s="21"/>
      <c r="D512" s="21"/>
      <c r="E512" s="21"/>
      <c r="F512" s="21"/>
      <c r="G512" s="21"/>
      <c r="H512" s="21"/>
      <c r="I512" s="21"/>
      <c r="J512" s="21"/>
    </row>
    <row r="513" ht="15.75" customHeight="1">
      <c r="A513" s="21"/>
      <c r="B513" s="21"/>
      <c r="C513" s="21"/>
      <c r="D513" s="21"/>
      <c r="E513" s="21"/>
      <c r="F513" s="21"/>
      <c r="G513" s="21"/>
      <c r="H513" s="21"/>
      <c r="I513" s="21"/>
      <c r="J513" s="21"/>
    </row>
    <row r="514" ht="15.75" customHeight="1">
      <c r="A514" s="21"/>
      <c r="B514" s="21"/>
      <c r="C514" s="21"/>
      <c r="D514" s="21"/>
      <c r="E514" s="21"/>
      <c r="F514" s="21"/>
      <c r="G514" s="21"/>
      <c r="H514" s="21"/>
      <c r="I514" s="21"/>
      <c r="J514" s="21"/>
    </row>
    <row r="515" ht="15.75" customHeight="1">
      <c r="A515" s="21"/>
      <c r="B515" s="21"/>
      <c r="C515" s="21"/>
      <c r="D515" s="21"/>
      <c r="E515" s="21"/>
      <c r="F515" s="21"/>
      <c r="G515" s="21"/>
      <c r="H515" s="21"/>
      <c r="I515" s="21"/>
      <c r="J515" s="21"/>
    </row>
    <row r="516" ht="15.75" customHeight="1">
      <c r="A516" s="21"/>
      <c r="B516" s="21"/>
      <c r="C516" s="21"/>
      <c r="D516" s="21"/>
      <c r="E516" s="21"/>
      <c r="F516" s="21"/>
      <c r="G516" s="21"/>
      <c r="H516" s="21"/>
      <c r="I516" s="21"/>
      <c r="J516" s="21"/>
    </row>
    <row r="517" ht="15.75" customHeight="1">
      <c r="A517" s="21"/>
      <c r="B517" s="21"/>
      <c r="C517" s="21"/>
      <c r="D517" s="21"/>
      <c r="E517" s="21"/>
      <c r="F517" s="21"/>
      <c r="G517" s="21"/>
      <c r="H517" s="21"/>
      <c r="I517" s="21"/>
      <c r="J517" s="21"/>
    </row>
    <row r="518" ht="15.75" customHeight="1">
      <c r="A518" s="21"/>
      <c r="B518" s="21"/>
      <c r="C518" s="21"/>
      <c r="D518" s="21"/>
      <c r="E518" s="21"/>
      <c r="F518" s="21"/>
      <c r="G518" s="21"/>
      <c r="H518" s="21"/>
      <c r="I518" s="21"/>
      <c r="J518" s="21"/>
    </row>
    <row r="519" ht="15.75" customHeight="1">
      <c r="A519" s="21"/>
      <c r="B519" s="21"/>
      <c r="C519" s="21"/>
      <c r="D519" s="21"/>
      <c r="E519" s="21"/>
      <c r="F519" s="21"/>
      <c r="G519" s="21"/>
      <c r="H519" s="21"/>
      <c r="I519" s="21"/>
      <c r="J519" s="21"/>
    </row>
    <row r="520" ht="15.75" customHeight="1">
      <c r="A520" s="21"/>
      <c r="B520" s="21"/>
      <c r="C520" s="21"/>
      <c r="D520" s="21"/>
      <c r="E520" s="21"/>
      <c r="F520" s="21"/>
      <c r="G520" s="21"/>
      <c r="H520" s="21"/>
      <c r="I520" s="21"/>
      <c r="J520" s="21"/>
    </row>
    <row r="521" ht="15.75" customHeight="1">
      <c r="A521" s="21"/>
      <c r="B521" s="21"/>
      <c r="C521" s="21"/>
      <c r="D521" s="21"/>
      <c r="E521" s="21"/>
      <c r="F521" s="21"/>
      <c r="G521" s="21"/>
      <c r="H521" s="21"/>
      <c r="I521" s="21"/>
      <c r="J521" s="21"/>
    </row>
    <row r="522" ht="15.75" customHeight="1">
      <c r="A522" s="21"/>
      <c r="B522" s="21"/>
      <c r="C522" s="21"/>
      <c r="D522" s="21"/>
      <c r="E522" s="21"/>
      <c r="F522" s="21"/>
      <c r="G522" s="21"/>
      <c r="H522" s="21"/>
      <c r="I522" s="21"/>
      <c r="J522" s="21"/>
    </row>
    <row r="523" ht="15.75" customHeight="1">
      <c r="A523" s="21"/>
      <c r="B523" s="21"/>
      <c r="C523" s="21"/>
      <c r="D523" s="21"/>
      <c r="E523" s="21"/>
      <c r="F523" s="21"/>
      <c r="G523" s="21"/>
      <c r="H523" s="21"/>
      <c r="I523" s="21"/>
      <c r="J523" s="21"/>
    </row>
    <row r="524" ht="15.75" customHeight="1">
      <c r="A524" s="21"/>
      <c r="B524" s="21"/>
      <c r="C524" s="21"/>
      <c r="D524" s="21"/>
      <c r="E524" s="21"/>
      <c r="F524" s="21"/>
      <c r="G524" s="21"/>
      <c r="H524" s="21"/>
      <c r="I524" s="21"/>
      <c r="J524" s="21"/>
    </row>
    <row r="525" ht="15.75" customHeight="1">
      <c r="A525" s="21"/>
      <c r="B525" s="21"/>
      <c r="C525" s="21"/>
      <c r="D525" s="21"/>
      <c r="E525" s="21"/>
      <c r="F525" s="21"/>
      <c r="G525" s="21"/>
      <c r="H525" s="21"/>
      <c r="I525" s="21"/>
      <c r="J525" s="21"/>
    </row>
    <row r="526" ht="15.75" customHeight="1">
      <c r="A526" s="21"/>
      <c r="B526" s="21"/>
      <c r="C526" s="21"/>
      <c r="D526" s="21"/>
      <c r="E526" s="21"/>
      <c r="F526" s="21"/>
      <c r="G526" s="21"/>
      <c r="H526" s="21"/>
      <c r="I526" s="21"/>
      <c r="J526" s="21"/>
    </row>
    <row r="527" ht="15.75" customHeight="1">
      <c r="A527" s="21"/>
      <c r="B527" s="21"/>
      <c r="C527" s="21"/>
      <c r="D527" s="21"/>
      <c r="E527" s="21"/>
      <c r="F527" s="21"/>
      <c r="G527" s="21"/>
      <c r="H527" s="21"/>
      <c r="I527" s="21"/>
      <c r="J527" s="21"/>
    </row>
    <row r="528" ht="15.75" customHeight="1">
      <c r="A528" s="21"/>
      <c r="B528" s="21"/>
      <c r="C528" s="21"/>
      <c r="D528" s="21"/>
      <c r="E528" s="21"/>
      <c r="F528" s="21"/>
      <c r="G528" s="21"/>
      <c r="H528" s="21"/>
      <c r="I528" s="21"/>
      <c r="J528" s="21"/>
    </row>
    <row r="529" ht="15.75" customHeight="1">
      <c r="A529" s="21"/>
      <c r="B529" s="21"/>
      <c r="C529" s="21"/>
      <c r="D529" s="21"/>
      <c r="E529" s="21"/>
      <c r="F529" s="21"/>
      <c r="G529" s="21"/>
      <c r="H529" s="21"/>
      <c r="I529" s="21"/>
      <c r="J529" s="21"/>
    </row>
    <row r="530" ht="15.75" customHeight="1">
      <c r="A530" s="21"/>
      <c r="B530" s="21"/>
      <c r="C530" s="21"/>
      <c r="D530" s="21"/>
      <c r="E530" s="21"/>
      <c r="F530" s="21"/>
      <c r="G530" s="21"/>
      <c r="H530" s="21"/>
      <c r="I530" s="21"/>
      <c r="J530" s="21"/>
    </row>
    <row r="531" ht="15.75" customHeight="1">
      <c r="A531" s="21"/>
      <c r="B531" s="21"/>
      <c r="C531" s="21"/>
      <c r="D531" s="21"/>
      <c r="E531" s="21"/>
      <c r="F531" s="21"/>
      <c r="G531" s="21"/>
      <c r="H531" s="21"/>
      <c r="I531" s="21"/>
      <c r="J531" s="21"/>
    </row>
    <row r="532" ht="15.75" customHeight="1">
      <c r="A532" s="21"/>
      <c r="B532" s="21"/>
      <c r="C532" s="21"/>
      <c r="D532" s="21"/>
      <c r="E532" s="21"/>
      <c r="F532" s="21"/>
      <c r="G532" s="21"/>
      <c r="H532" s="21"/>
      <c r="I532" s="21"/>
      <c r="J532" s="21"/>
    </row>
    <row r="533" ht="15.75" customHeight="1">
      <c r="A533" s="21"/>
      <c r="B533" s="21"/>
      <c r="C533" s="21"/>
      <c r="D533" s="21"/>
      <c r="E533" s="21"/>
      <c r="F533" s="21"/>
      <c r="G533" s="21"/>
      <c r="H533" s="21"/>
      <c r="I533" s="21"/>
      <c r="J533" s="21"/>
    </row>
    <row r="534" ht="15.75" customHeight="1">
      <c r="A534" s="21"/>
      <c r="B534" s="21"/>
      <c r="C534" s="21"/>
      <c r="D534" s="21"/>
      <c r="E534" s="21"/>
      <c r="F534" s="21"/>
      <c r="G534" s="21"/>
      <c r="H534" s="21"/>
      <c r="I534" s="21"/>
      <c r="J534" s="21"/>
    </row>
    <row r="535" ht="15.75" customHeight="1">
      <c r="A535" s="21"/>
      <c r="B535" s="21"/>
      <c r="C535" s="21"/>
      <c r="D535" s="21"/>
      <c r="E535" s="21"/>
      <c r="F535" s="21"/>
      <c r="G535" s="21"/>
      <c r="H535" s="21"/>
      <c r="I535" s="21"/>
      <c r="J535" s="21"/>
    </row>
    <row r="536" ht="15.75" customHeight="1">
      <c r="A536" s="21"/>
      <c r="B536" s="21"/>
      <c r="C536" s="21"/>
      <c r="D536" s="21"/>
      <c r="E536" s="21"/>
      <c r="F536" s="21"/>
      <c r="G536" s="21"/>
      <c r="H536" s="21"/>
      <c r="I536" s="21"/>
      <c r="J536" s="21"/>
    </row>
    <row r="537" ht="15.75" customHeight="1">
      <c r="A537" s="21"/>
      <c r="B537" s="21"/>
      <c r="C537" s="21"/>
      <c r="D537" s="21"/>
      <c r="E537" s="21"/>
      <c r="F537" s="21"/>
      <c r="G537" s="21"/>
      <c r="H537" s="21"/>
      <c r="I537" s="21"/>
      <c r="J537" s="21"/>
    </row>
    <row r="538" ht="15.75" customHeight="1">
      <c r="A538" s="21"/>
      <c r="B538" s="21"/>
      <c r="C538" s="21"/>
      <c r="D538" s="21"/>
      <c r="E538" s="21"/>
      <c r="F538" s="21"/>
      <c r="G538" s="21"/>
      <c r="H538" s="21"/>
      <c r="I538" s="21"/>
      <c r="J538" s="21"/>
    </row>
    <row r="539" ht="15.75" customHeight="1">
      <c r="A539" s="21"/>
      <c r="B539" s="21"/>
      <c r="C539" s="21"/>
      <c r="D539" s="21"/>
      <c r="E539" s="21"/>
      <c r="F539" s="21"/>
      <c r="G539" s="21"/>
      <c r="H539" s="21"/>
      <c r="I539" s="21"/>
      <c r="J539" s="21"/>
    </row>
    <row r="540" ht="15.75" customHeight="1">
      <c r="A540" s="21"/>
      <c r="B540" s="21"/>
      <c r="C540" s="21"/>
      <c r="D540" s="21"/>
      <c r="E540" s="21"/>
      <c r="F540" s="21"/>
      <c r="G540" s="21"/>
      <c r="H540" s="21"/>
      <c r="I540" s="21"/>
      <c r="J540" s="21"/>
    </row>
    <row r="541" ht="15.75" customHeight="1">
      <c r="A541" s="21"/>
      <c r="B541" s="21"/>
      <c r="C541" s="21"/>
      <c r="D541" s="21"/>
      <c r="E541" s="21"/>
      <c r="F541" s="21"/>
      <c r="G541" s="21"/>
      <c r="H541" s="21"/>
      <c r="I541" s="21"/>
      <c r="J541" s="21"/>
    </row>
    <row r="542" ht="15.75" customHeight="1">
      <c r="A542" s="21"/>
      <c r="B542" s="21"/>
      <c r="C542" s="21"/>
      <c r="D542" s="21"/>
      <c r="E542" s="21"/>
      <c r="F542" s="21"/>
      <c r="G542" s="21"/>
      <c r="H542" s="21"/>
      <c r="I542" s="21"/>
      <c r="J542" s="21"/>
    </row>
    <row r="543" ht="15.75" customHeight="1">
      <c r="A543" s="21"/>
      <c r="B543" s="21"/>
      <c r="C543" s="21"/>
      <c r="D543" s="21"/>
      <c r="E543" s="21"/>
      <c r="F543" s="21"/>
      <c r="G543" s="21"/>
      <c r="H543" s="21"/>
      <c r="I543" s="21"/>
      <c r="J543" s="21"/>
    </row>
    <row r="544" ht="15.75" customHeight="1">
      <c r="A544" s="21"/>
      <c r="B544" s="21"/>
      <c r="C544" s="21"/>
      <c r="D544" s="21"/>
      <c r="E544" s="21"/>
      <c r="F544" s="21"/>
      <c r="G544" s="21"/>
      <c r="H544" s="21"/>
      <c r="I544" s="21"/>
      <c r="J544" s="21"/>
    </row>
    <row r="545" ht="15.75" customHeight="1">
      <c r="A545" s="21"/>
      <c r="B545" s="21"/>
      <c r="C545" s="21"/>
      <c r="D545" s="21"/>
      <c r="E545" s="21"/>
      <c r="F545" s="21"/>
      <c r="G545" s="21"/>
      <c r="H545" s="21"/>
      <c r="I545" s="21"/>
      <c r="J545" s="21"/>
    </row>
    <row r="546" ht="15.75" customHeight="1">
      <c r="A546" s="21"/>
      <c r="B546" s="21"/>
      <c r="C546" s="21"/>
      <c r="D546" s="21"/>
      <c r="E546" s="21"/>
      <c r="F546" s="21"/>
      <c r="G546" s="21"/>
      <c r="H546" s="21"/>
      <c r="I546" s="21"/>
      <c r="J546" s="21"/>
    </row>
    <row r="547" ht="15.75" customHeight="1">
      <c r="A547" s="21"/>
      <c r="B547" s="21"/>
      <c r="C547" s="21"/>
      <c r="D547" s="21"/>
      <c r="E547" s="21"/>
      <c r="F547" s="21"/>
      <c r="G547" s="21"/>
      <c r="H547" s="21"/>
      <c r="I547" s="21"/>
      <c r="J547" s="21"/>
    </row>
    <row r="548" ht="15.75" customHeight="1">
      <c r="A548" s="21"/>
      <c r="B548" s="21"/>
      <c r="C548" s="21"/>
      <c r="D548" s="21"/>
      <c r="E548" s="21"/>
      <c r="F548" s="21"/>
      <c r="G548" s="21"/>
      <c r="H548" s="21"/>
      <c r="I548" s="21"/>
      <c r="J548" s="21"/>
    </row>
    <row r="549" ht="15.75" customHeight="1">
      <c r="A549" s="21"/>
      <c r="B549" s="21"/>
      <c r="C549" s="21"/>
      <c r="D549" s="21"/>
      <c r="E549" s="21"/>
      <c r="F549" s="21"/>
      <c r="G549" s="21"/>
      <c r="H549" s="21"/>
      <c r="I549" s="21"/>
      <c r="J549" s="21"/>
    </row>
    <row r="550" ht="15.75" customHeight="1">
      <c r="A550" s="21"/>
      <c r="B550" s="21"/>
      <c r="C550" s="21"/>
      <c r="D550" s="21"/>
      <c r="E550" s="21"/>
      <c r="F550" s="21"/>
      <c r="G550" s="21"/>
      <c r="H550" s="21"/>
      <c r="I550" s="21"/>
      <c r="J550" s="21"/>
    </row>
    <row r="551" ht="15.75" customHeight="1">
      <c r="A551" s="21"/>
      <c r="B551" s="21"/>
      <c r="C551" s="21"/>
      <c r="D551" s="21"/>
      <c r="E551" s="21"/>
      <c r="F551" s="21"/>
      <c r="G551" s="21"/>
      <c r="H551" s="21"/>
      <c r="I551" s="21"/>
      <c r="J551" s="21"/>
    </row>
    <row r="552" ht="15.75" customHeight="1">
      <c r="A552" s="21"/>
      <c r="B552" s="21"/>
      <c r="C552" s="21"/>
      <c r="D552" s="21"/>
      <c r="E552" s="21"/>
      <c r="F552" s="21"/>
      <c r="G552" s="21"/>
      <c r="H552" s="21"/>
      <c r="I552" s="21"/>
      <c r="J552" s="21"/>
    </row>
    <row r="553" ht="15.75" customHeight="1">
      <c r="A553" s="21"/>
      <c r="B553" s="21"/>
      <c r="C553" s="21"/>
      <c r="D553" s="21"/>
      <c r="E553" s="21"/>
      <c r="F553" s="21"/>
      <c r="G553" s="21"/>
      <c r="H553" s="21"/>
      <c r="I553" s="21"/>
      <c r="J553" s="21"/>
    </row>
    <row r="554" ht="15.75" customHeight="1">
      <c r="A554" s="21"/>
      <c r="B554" s="21"/>
      <c r="C554" s="21"/>
      <c r="D554" s="21"/>
      <c r="E554" s="21"/>
      <c r="F554" s="21"/>
      <c r="G554" s="21"/>
      <c r="H554" s="21"/>
      <c r="I554" s="21"/>
      <c r="J554" s="21"/>
    </row>
    <row r="555" ht="15.75" customHeight="1">
      <c r="A555" s="21"/>
      <c r="B555" s="21"/>
      <c r="C555" s="21"/>
      <c r="D555" s="21"/>
      <c r="E555" s="21"/>
      <c r="F555" s="21"/>
      <c r="G555" s="21"/>
      <c r="H555" s="21"/>
      <c r="I555" s="21"/>
      <c r="J555" s="21"/>
    </row>
    <row r="556" ht="15.75" customHeight="1">
      <c r="A556" s="21"/>
      <c r="B556" s="21"/>
      <c r="C556" s="21"/>
      <c r="D556" s="21"/>
      <c r="E556" s="21"/>
      <c r="F556" s="21"/>
      <c r="G556" s="21"/>
      <c r="H556" s="21"/>
      <c r="I556" s="21"/>
      <c r="J556" s="21"/>
    </row>
    <row r="557" ht="15.75" customHeight="1">
      <c r="A557" s="21"/>
      <c r="B557" s="21"/>
      <c r="C557" s="21"/>
      <c r="D557" s="21"/>
      <c r="E557" s="21"/>
      <c r="F557" s="21"/>
      <c r="G557" s="21"/>
      <c r="H557" s="21"/>
      <c r="I557" s="21"/>
      <c r="J557" s="21"/>
    </row>
    <row r="558" ht="15.75" customHeight="1">
      <c r="A558" s="21"/>
      <c r="B558" s="21"/>
      <c r="C558" s="21"/>
      <c r="D558" s="21"/>
      <c r="E558" s="21"/>
      <c r="F558" s="21"/>
      <c r="G558" s="21"/>
      <c r="H558" s="21"/>
      <c r="I558" s="21"/>
      <c r="J558" s="21"/>
    </row>
    <row r="559" ht="15.75" customHeight="1">
      <c r="A559" s="21"/>
      <c r="B559" s="21"/>
      <c r="C559" s="21"/>
      <c r="D559" s="21"/>
      <c r="E559" s="21"/>
      <c r="F559" s="21"/>
      <c r="G559" s="21"/>
      <c r="H559" s="21"/>
      <c r="I559" s="21"/>
      <c r="J559" s="21"/>
    </row>
    <row r="560" ht="15.75" customHeight="1">
      <c r="A560" s="21"/>
      <c r="B560" s="21"/>
      <c r="C560" s="21"/>
      <c r="D560" s="21"/>
      <c r="E560" s="21"/>
      <c r="F560" s="21"/>
      <c r="G560" s="21"/>
      <c r="H560" s="21"/>
      <c r="I560" s="21"/>
      <c r="J560" s="21"/>
    </row>
    <row r="561" ht="15.75" customHeight="1">
      <c r="A561" s="21"/>
      <c r="B561" s="21"/>
      <c r="C561" s="21"/>
      <c r="D561" s="21"/>
      <c r="E561" s="21"/>
      <c r="F561" s="21"/>
      <c r="G561" s="21"/>
      <c r="H561" s="21"/>
      <c r="I561" s="21"/>
      <c r="J561" s="21"/>
    </row>
    <row r="562" ht="15.75" customHeight="1">
      <c r="A562" s="21"/>
      <c r="B562" s="21"/>
      <c r="C562" s="21"/>
      <c r="D562" s="21"/>
      <c r="E562" s="21"/>
      <c r="F562" s="21"/>
      <c r="G562" s="21"/>
      <c r="H562" s="21"/>
      <c r="I562" s="21"/>
      <c r="J562" s="21"/>
    </row>
    <row r="563" ht="15.75" customHeight="1">
      <c r="A563" s="21"/>
      <c r="B563" s="21"/>
      <c r="C563" s="21"/>
      <c r="D563" s="21"/>
      <c r="E563" s="21"/>
      <c r="F563" s="21"/>
      <c r="G563" s="21"/>
      <c r="H563" s="21"/>
      <c r="I563" s="21"/>
      <c r="J563" s="21"/>
    </row>
    <row r="564" ht="15.75" customHeight="1">
      <c r="A564" s="21"/>
      <c r="B564" s="21"/>
      <c r="C564" s="21"/>
      <c r="D564" s="21"/>
      <c r="E564" s="21"/>
      <c r="F564" s="21"/>
      <c r="G564" s="21"/>
      <c r="H564" s="21"/>
      <c r="I564" s="21"/>
      <c r="J564" s="21"/>
    </row>
    <row r="565" ht="15.75" customHeight="1">
      <c r="A565" s="21"/>
      <c r="B565" s="21"/>
      <c r="C565" s="21"/>
      <c r="D565" s="21"/>
      <c r="E565" s="21"/>
      <c r="F565" s="21"/>
      <c r="G565" s="21"/>
      <c r="H565" s="21"/>
      <c r="I565" s="21"/>
      <c r="J565" s="21"/>
    </row>
    <row r="566" ht="15.75" customHeight="1">
      <c r="A566" s="21"/>
      <c r="B566" s="21"/>
      <c r="C566" s="21"/>
      <c r="D566" s="21"/>
      <c r="E566" s="21"/>
      <c r="F566" s="21"/>
      <c r="G566" s="21"/>
      <c r="H566" s="21"/>
      <c r="I566" s="21"/>
      <c r="J566" s="21"/>
    </row>
    <row r="567" ht="15.75" customHeight="1">
      <c r="A567" s="21"/>
      <c r="B567" s="21"/>
      <c r="C567" s="21"/>
      <c r="D567" s="21"/>
      <c r="E567" s="21"/>
      <c r="F567" s="21"/>
      <c r="G567" s="21"/>
      <c r="H567" s="21"/>
      <c r="I567" s="21"/>
      <c r="J567" s="21"/>
    </row>
    <row r="568" ht="15.75" customHeight="1">
      <c r="A568" s="21"/>
      <c r="B568" s="21"/>
      <c r="C568" s="21"/>
      <c r="D568" s="21"/>
      <c r="E568" s="21"/>
      <c r="F568" s="21"/>
      <c r="G568" s="21"/>
      <c r="H568" s="21"/>
      <c r="I568" s="21"/>
      <c r="J568" s="21"/>
    </row>
    <row r="569" ht="15.75" customHeight="1">
      <c r="A569" s="21"/>
      <c r="B569" s="21"/>
      <c r="C569" s="21"/>
      <c r="D569" s="21"/>
      <c r="E569" s="21"/>
      <c r="F569" s="21"/>
      <c r="G569" s="21"/>
      <c r="H569" s="21"/>
      <c r="I569" s="21"/>
      <c r="J569" s="21"/>
    </row>
    <row r="570" ht="15.75" customHeight="1">
      <c r="A570" s="21"/>
      <c r="B570" s="21"/>
      <c r="C570" s="21"/>
      <c r="D570" s="21"/>
      <c r="E570" s="21"/>
      <c r="F570" s="21"/>
      <c r="G570" s="21"/>
      <c r="H570" s="21"/>
      <c r="I570" s="21"/>
      <c r="J570" s="21"/>
    </row>
    <row r="571" ht="15.75" customHeight="1">
      <c r="A571" s="21"/>
      <c r="B571" s="21"/>
      <c r="C571" s="21"/>
      <c r="D571" s="21"/>
      <c r="E571" s="21"/>
      <c r="F571" s="21"/>
      <c r="G571" s="21"/>
      <c r="H571" s="21"/>
      <c r="I571" s="21"/>
      <c r="J571" s="21"/>
    </row>
    <row r="572" ht="15.75" customHeight="1">
      <c r="A572" s="21"/>
      <c r="B572" s="21"/>
      <c r="C572" s="21"/>
      <c r="D572" s="21"/>
      <c r="E572" s="21"/>
      <c r="F572" s="21"/>
      <c r="G572" s="21"/>
      <c r="H572" s="21"/>
      <c r="I572" s="21"/>
      <c r="J572" s="21"/>
    </row>
    <row r="573" ht="15.75" customHeight="1">
      <c r="A573" s="21"/>
      <c r="B573" s="21"/>
      <c r="C573" s="21"/>
      <c r="D573" s="21"/>
      <c r="E573" s="21"/>
      <c r="F573" s="21"/>
      <c r="G573" s="21"/>
      <c r="H573" s="21"/>
      <c r="I573" s="21"/>
      <c r="J573" s="21"/>
    </row>
    <row r="574" ht="15.75" customHeight="1">
      <c r="A574" s="21"/>
      <c r="B574" s="21"/>
      <c r="C574" s="21"/>
      <c r="D574" s="21"/>
      <c r="E574" s="21"/>
      <c r="F574" s="21"/>
      <c r="G574" s="21"/>
      <c r="H574" s="21"/>
      <c r="I574" s="21"/>
      <c r="J574" s="21"/>
    </row>
    <row r="575" ht="15.75" customHeight="1">
      <c r="A575" s="21"/>
      <c r="B575" s="21"/>
      <c r="C575" s="21"/>
      <c r="D575" s="21"/>
      <c r="E575" s="21"/>
      <c r="F575" s="21"/>
      <c r="G575" s="21"/>
      <c r="H575" s="21"/>
      <c r="I575" s="21"/>
      <c r="J575" s="21"/>
    </row>
    <row r="576" ht="15.75" customHeight="1">
      <c r="A576" s="21"/>
      <c r="B576" s="21"/>
      <c r="C576" s="21"/>
      <c r="D576" s="21"/>
      <c r="E576" s="21"/>
      <c r="F576" s="21"/>
      <c r="G576" s="21"/>
      <c r="H576" s="21"/>
      <c r="I576" s="21"/>
      <c r="J576" s="21"/>
    </row>
    <row r="577" ht="15.75" customHeight="1">
      <c r="A577" s="21"/>
      <c r="B577" s="21"/>
      <c r="C577" s="21"/>
      <c r="D577" s="21"/>
      <c r="E577" s="21"/>
      <c r="F577" s="21"/>
      <c r="G577" s="21"/>
      <c r="H577" s="21"/>
      <c r="I577" s="21"/>
      <c r="J577" s="21"/>
    </row>
    <row r="578" ht="15.75" customHeight="1">
      <c r="A578" s="21"/>
      <c r="B578" s="21"/>
      <c r="C578" s="21"/>
      <c r="D578" s="21"/>
      <c r="E578" s="21"/>
      <c r="F578" s="21"/>
      <c r="G578" s="21"/>
      <c r="H578" s="21"/>
      <c r="I578" s="21"/>
      <c r="J578" s="21"/>
    </row>
    <row r="579" ht="15.75" customHeight="1">
      <c r="A579" s="21"/>
      <c r="B579" s="21"/>
      <c r="C579" s="21"/>
      <c r="D579" s="21"/>
      <c r="E579" s="21"/>
      <c r="F579" s="21"/>
      <c r="G579" s="21"/>
      <c r="H579" s="21"/>
      <c r="I579" s="21"/>
      <c r="J579" s="21"/>
    </row>
    <row r="580" ht="15.75" customHeight="1">
      <c r="A580" s="21"/>
      <c r="B580" s="21"/>
      <c r="C580" s="21"/>
      <c r="D580" s="21"/>
      <c r="E580" s="21"/>
      <c r="F580" s="21"/>
      <c r="G580" s="21"/>
      <c r="H580" s="21"/>
      <c r="I580" s="21"/>
      <c r="J580" s="21"/>
    </row>
    <row r="581" ht="15.75" customHeight="1">
      <c r="A581" s="21"/>
      <c r="B581" s="21"/>
      <c r="C581" s="21"/>
      <c r="D581" s="21"/>
      <c r="E581" s="21"/>
      <c r="F581" s="21"/>
      <c r="G581" s="21"/>
      <c r="H581" s="21"/>
      <c r="I581" s="21"/>
      <c r="J581" s="21"/>
    </row>
    <row r="582" ht="15.75" customHeight="1">
      <c r="A582" s="21"/>
      <c r="B582" s="21"/>
      <c r="C582" s="21"/>
      <c r="D582" s="21"/>
      <c r="E582" s="21"/>
      <c r="F582" s="21"/>
      <c r="G582" s="21"/>
      <c r="H582" s="21"/>
      <c r="I582" s="21"/>
      <c r="J582" s="21"/>
    </row>
    <row r="583" ht="15.75" customHeight="1">
      <c r="A583" s="21"/>
      <c r="B583" s="21"/>
      <c r="C583" s="21"/>
      <c r="D583" s="21"/>
      <c r="E583" s="21"/>
      <c r="F583" s="21"/>
      <c r="G583" s="21"/>
      <c r="H583" s="21"/>
      <c r="I583" s="21"/>
      <c r="J583" s="21"/>
    </row>
    <row r="584" ht="15.75" customHeight="1">
      <c r="A584" s="21"/>
      <c r="B584" s="21"/>
      <c r="C584" s="21"/>
      <c r="D584" s="21"/>
      <c r="E584" s="21"/>
      <c r="F584" s="21"/>
      <c r="G584" s="21"/>
      <c r="H584" s="21"/>
      <c r="I584" s="21"/>
      <c r="J584" s="21"/>
    </row>
    <row r="585" ht="15.75" customHeight="1">
      <c r="A585" s="21"/>
      <c r="B585" s="21"/>
      <c r="C585" s="21"/>
      <c r="D585" s="21"/>
      <c r="E585" s="21"/>
      <c r="F585" s="21"/>
      <c r="G585" s="21"/>
      <c r="H585" s="21"/>
      <c r="I585" s="21"/>
      <c r="J585" s="21"/>
    </row>
    <row r="586" ht="15.75" customHeight="1">
      <c r="A586" s="21"/>
      <c r="B586" s="21"/>
      <c r="C586" s="21"/>
      <c r="D586" s="21"/>
      <c r="E586" s="21"/>
      <c r="F586" s="21"/>
      <c r="G586" s="21"/>
      <c r="H586" s="21"/>
      <c r="I586" s="21"/>
      <c r="J586" s="21"/>
    </row>
    <row r="587" ht="15.75" customHeight="1">
      <c r="A587" s="21"/>
      <c r="B587" s="21"/>
      <c r="C587" s="21"/>
      <c r="D587" s="21"/>
      <c r="E587" s="21"/>
      <c r="F587" s="21"/>
      <c r="G587" s="21"/>
      <c r="H587" s="21"/>
      <c r="I587" s="21"/>
      <c r="J587" s="21"/>
    </row>
    <row r="588" ht="15.75" customHeight="1">
      <c r="A588" s="21"/>
      <c r="B588" s="21"/>
      <c r="C588" s="21"/>
      <c r="D588" s="21"/>
      <c r="E588" s="21"/>
      <c r="F588" s="21"/>
      <c r="G588" s="21"/>
      <c r="H588" s="21"/>
      <c r="I588" s="21"/>
      <c r="J588" s="21"/>
    </row>
    <row r="589" ht="15.75" customHeight="1">
      <c r="A589" s="21"/>
      <c r="B589" s="21"/>
      <c r="C589" s="21"/>
      <c r="D589" s="21"/>
      <c r="E589" s="21"/>
      <c r="F589" s="21"/>
      <c r="G589" s="21"/>
      <c r="H589" s="21"/>
      <c r="I589" s="21"/>
      <c r="J589" s="21"/>
    </row>
    <row r="590" ht="15.75" customHeight="1">
      <c r="A590" s="21"/>
      <c r="B590" s="21"/>
      <c r="C590" s="21"/>
      <c r="D590" s="21"/>
      <c r="E590" s="21"/>
      <c r="F590" s="21"/>
      <c r="G590" s="21"/>
      <c r="H590" s="21"/>
      <c r="I590" s="21"/>
      <c r="J590" s="21"/>
    </row>
    <row r="591" ht="15.75" customHeight="1">
      <c r="A591" s="21"/>
      <c r="B591" s="21"/>
      <c r="C591" s="21"/>
      <c r="D591" s="21"/>
      <c r="E591" s="21"/>
      <c r="F591" s="21"/>
      <c r="G591" s="21"/>
      <c r="H591" s="21"/>
      <c r="I591" s="21"/>
      <c r="J591" s="21"/>
    </row>
    <row r="592" ht="15.75" customHeight="1">
      <c r="A592" s="21"/>
      <c r="B592" s="21"/>
      <c r="C592" s="21"/>
      <c r="D592" s="21"/>
      <c r="E592" s="21"/>
      <c r="F592" s="21"/>
      <c r="G592" s="21"/>
      <c r="H592" s="21"/>
      <c r="I592" s="21"/>
      <c r="J592" s="21"/>
    </row>
    <row r="593" ht="15.75" customHeight="1">
      <c r="A593" s="21"/>
      <c r="B593" s="21"/>
      <c r="C593" s="21"/>
      <c r="D593" s="21"/>
      <c r="E593" s="21"/>
      <c r="F593" s="21"/>
      <c r="G593" s="21"/>
      <c r="H593" s="21"/>
      <c r="I593" s="21"/>
      <c r="J593" s="21"/>
    </row>
    <row r="594" ht="15.75" customHeight="1">
      <c r="A594" s="21"/>
      <c r="B594" s="21"/>
      <c r="C594" s="21"/>
      <c r="D594" s="21"/>
      <c r="E594" s="21"/>
      <c r="F594" s="21"/>
      <c r="G594" s="21"/>
      <c r="H594" s="21"/>
      <c r="I594" s="21"/>
      <c r="J594" s="21"/>
    </row>
    <row r="595" ht="15.75" customHeight="1">
      <c r="A595" s="21"/>
      <c r="B595" s="21"/>
      <c r="C595" s="21"/>
      <c r="D595" s="21"/>
      <c r="E595" s="21"/>
      <c r="F595" s="21"/>
      <c r="G595" s="21"/>
      <c r="H595" s="21"/>
      <c r="I595" s="21"/>
      <c r="J595" s="21"/>
    </row>
    <row r="596" ht="15.75" customHeight="1">
      <c r="A596" s="21"/>
      <c r="B596" s="21"/>
      <c r="C596" s="21"/>
      <c r="D596" s="21"/>
      <c r="E596" s="21"/>
      <c r="F596" s="21"/>
      <c r="G596" s="21"/>
      <c r="H596" s="21"/>
      <c r="I596" s="21"/>
      <c r="J596" s="21"/>
    </row>
    <row r="597" ht="15.75" customHeight="1">
      <c r="A597" s="21"/>
      <c r="B597" s="21"/>
      <c r="C597" s="21"/>
      <c r="D597" s="21"/>
      <c r="E597" s="21"/>
      <c r="F597" s="21"/>
      <c r="G597" s="21"/>
      <c r="H597" s="21"/>
      <c r="I597" s="21"/>
      <c r="J597" s="21"/>
    </row>
    <row r="598" ht="15.75" customHeight="1">
      <c r="A598" s="21"/>
      <c r="B598" s="21"/>
      <c r="C598" s="21"/>
      <c r="D598" s="21"/>
      <c r="E598" s="21"/>
      <c r="F598" s="21"/>
      <c r="G598" s="21"/>
      <c r="H598" s="21"/>
      <c r="I598" s="21"/>
      <c r="J598" s="21"/>
    </row>
    <row r="599" ht="15.75" customHeight="1">
      <c r="A599" s="21"/>
      <c r="B599" s="21"/>
      <c r="C599" s="21"/>
      <c r="D599" s="21"/>
      <c r="E599" s="21"/>
      <c r="F599" s="21"/>
      <c r="G599" s="21"/>
      <c r="H599" s="21"/>
      <c r="I599" s="21"/>
      <c r="J599" s="21"/>
    </row>
    <row r="600" ht="15.75" customHeight="1">
      <c r="A600" s="21"/>
      <c r="B600" s="21"/>
      <c r="C600" s="21"/>
      <c r="D600" s="21"/>
      <c r="E600" s="21"/>
      <c r="F600" s="21"/>
      <c r="G600" s="21"/>
      <c r="H600" s="21"/>
      <c r="I600" s="21"/>
      <c r="J600" s="21"/>
    </row>
    <row r="601" ht="15.75" customHeight="1">
      <c r="A601" s="21"/>
      <c r="B601" s="21"/>
      <c r="C601" s="21"/>
      <c r="D601" s="21"/>
      <c r="E601" s="21"/>
      <c r="F601" s="21"/>
      <c r="G601" s="21"/>
      <c r="H601" s="21"/>
      <c r="I601" s="21"/>
      <c r="J601" s="21"/>
    </row>
    <row r="602" ht="15.75" customHeight="1">
      <c r="A602" s="21"/>
      <c r="B602" s="21"/>
      <c r="C602" s="21"/>
      <c r="D602" s="21"/>
      <c r="E602" s="21"/>
      <c r="F602" s="21"/>
      <c r="G602" s="21"/>
      <c r="H602" s="21"/>
      <c r="I602" s="21"/>
      <c r="J602" s="21"/>
    </row>
    <row r="603" ht="15.75" customHeight="1">
      <c r="A603" s="21"/>
      <c r="B603" s="21"/>
      <c r="C603" s="21"/>
      <c r="D603" s="21"/>
      <c r="E603" s="21"/>
      <c r="F603" s="21"/>
      <c r="G603" s="21"/>
      <c r="H603" s="21"/>
      <c r="I603" s="21"/>
      <c r="J603" s="21"/>
    </row>
    <row r="604" ht="15.75" customHeight="1">
      <c r="A604" s="21"/>
      <c r="B604" s="21"/>
      <c r="C604" s="21"/>
      <c r="D604" s="21"/>
      <c r="E604" s="21"/>
      <c r="F604" s="21"/>
      <c r="G604" s="21"/>
      <c r="H604" s="21"/>
      <c r="I604" s="21"/>
      <c r="J604" s="21"/>
    </row>
    <row r="605" ht="15.75" customHeight="1">
      <c r="A605" s="21"/>
      <c r="B605" s="21"/>
      <c r="C605" s="21"/>
      <c r="D605" s="21"/>
      <c r="E605" s="21"/>
      <c r="F605" s="21"/>
      <c r="G605" s="21"/>
      <c r="H605" s="21"/>
      <c r="I605" s="21"/>
      <c r="J605" s="21"/>
    </row>
    <row r="606" ht="15.75" customHeight="1">
      <c r="A606" s="21"/>
      <c r="B606" s="21"/>
      <c r="C606" s="21"/>
      <c r="D606" s="21"/>
      <c r="E606" s="21"/>
      <c r="F606" s="21"/>
      <c r="G606" s="21"/>
      <c r="H606" s="21"/>
      <c r="I606" s="21"/>
      <c r="J606" s="21"/>
    </row>
    <row r="607" ht="15.75" customHeight="1">
      <c r="A607" s="21"/>
      <c r="B607" s="21"/>
      <c r="C607" s="21"/>
      <c r="D607" s="21"/>
      <c r="E607" s="21"/>
      <c r="F607" s="21"/>
      <c r="G607" s="21"/>
      <c r="H607" s="21"/>
      <c r="I607" s="21"/>
      <c r="J607" s="21"/>
    </row>
    <row r="608" ht="15.75" customHeight="1">
      <c r="A608" s="21"/>
      <c r="B608" s="21"/>
      <c r="C608" s="21"/>
      <c r="D608" s="21"/>
      <c r="E608" s="21"/>
      <c r="F608" s="21"/>
      <c r="G608" s="21"/>
      <c r="H608" s="21"/>
      <c r="I608" s="21"/>
      <c r="J608" s="21"/>
    </row>
    <row r="609" ht="15.75" customHeight="1">
      <c r="A609" s="21"/>
      <c r="B609" s="21"/>
      <c r="C609" s="21"/>
      <c r="D609" s="21"/>
      <c r="E609" s="21"/>
      <c r="F609" s="21"/>
      <c r="G609" s="21"/>
      <c r="H609" s="21"/>
      <c r="I609" s="21"/>
      <c r="J609" s="21"/>
    </row>
    <row r="610" ht="15.75" customHeight="1">
      <c r="A610" s="21"/>
      <c r="B610" s="21"/>
      <c r="C610" s="21"/>
      <c r="D610" s="21"/>
      <c r="E610" s="21"/>
      <c r="F610" s="21"/>
      <c r="G610" s="21"/>
      <c r="H610" s="21"/>
      <c r="I610" s="21"/>
      <c r="J610" s="21"/>
    </row>
    <row r="611" ht="15.75" customHeight="1">
      <c r="A611" s="21"/>
      <c r="B611" s="21"/>
      <c r="C611" s="21"/>
      <c r="D611" s="21"/>
      <c r="E611" s="21"/>
      <c r="F611" s="21"/>
      <c r="G611" s="21"/>
      <c r="H611" s="21"/>
      <c r="I611" s="21"/>
      <c r="J611" s="21"/>
    </row>
    <row r="612" ht="15.75" customHeight="1">
      <c r="A612" s="21"/>
      <c r="B612" s="21"/>
      <c r="C612" s="21"/>
      <c r="D612" s="21"/>
      <c r="E612" s="21"/>
      <c r="F612" s="21"/>
      <c r="G612" s="21"/>
      <c r="H612" s="21"/>
      <c r="I612" s="21"/>
      <c r="J612" s="21"/>
    </row>
    <row r="613" ht="15.75" customHeight="1">
      <c r="A613" s="21"/>
      <c r="B613" s="21"/>
      <c r="C613" s="21"/>
      <c r="D613" s="21"/>
      <c r="E613" s="21"/>
      <c r="F613" s="21"/>
      <c r="G613" s="21"/>
      <c r="H613" s="21"/>
      <c r="I613" s="21"/>
      <c r="J613" s="21"/>
    </row>
    <row r="614" ht="15.75" customHeight="1">
      <c r="A614" s="21"/>
      <c r="B614" s="21"/>
      <c r="C614" s="21"/>
      <c r="D614" s="21"/>
      <c r="E614" s="21"/>
      <c r="F614" s="21"/>
      <c r="G614" s="21"/>
      <c r="H614" s="21"/>
      <c r="I614" s="21"/>
      <c r="J614" s="21"/>
    </row>
    <row r="615" ht="15.75" customHeight="1">
      <c r="A615" s="21"/>
      <c r="B615" s="21"/>
      <c r="C615" s="21"/>
      <c r="D615" s="21"/>
      <c r="E615" s="21"/>
      <c r="F615" s="21"/>
      <c r="G615" s="21"/>
      <c r="H615" s="21"/>
      <c r="I615" s="21"/>
      <c r="J615" s="21"/>
    </row>
    <row r="616" ht="15.75" customHeight="1">
      <c r="A616" s="21"/>
      <c r="B616" s="21"/>
      <c r="C616" s="21"/>
      <c r="D616" s="21"/>
      <c r="E616" s="21"/>
      <c r="F616" s="21"/>
      <c r="G616" s="21"/>
      <c r="H616" s="21"/>
      <c r="I616" s="21"/>
      <c r="J616" s="21"/>
    </row>
    <row r="617" ht="15.75" customHeight="1">
      <c r="A617" s="21"/>
      <c r="B617" s="21"/>
      <c r="C617" s="21"/>
      <c r="D617" s="21"/>
      <c r="E617" s="21"/>
      <c r="F617" s="21"/>
      <c r="G617" s="21"/>
      <c r="H617" s="21"/>
      <c r="I617" s="21"/>
      <c r="J617" s="21"/>
    </row>
    <row r="618" ht="15.75" customHeight="1">
      <c r="A618" s="21"/>
      <c r="B618" s="21"/>
      <c r="C618" s="21"/>
      <c r="D618" s="21"/>
      <c r="E618" s="21"/>
      <c r="F618" s="21"/>
      <c r="G618" s="21"/>
      <c r="H618" s="21"/>
      <c r="I618" s="21"/>
      <c r="J618" s="21"/>
    </row>
    <row r="619" ht="15.75" customHeight="1">
      <c r="A619" s="21"/>
      <c r="B619" s="21"/>
      <c r="C619" s="21"/>
      <c r="D619" s="21"/>
      <c r="E619" s="21"/>
      <c r="F619" s="21"/>
      <c r="G619" s="21"/>
      <c r="H619" s="21"/>
      <c r="I619" s="21"/>
      <c r="J619" s="21"/>
    </row>
    <row r="620" ht="15.75" customHeight="1">
      <c r="A620" s="21"/>
      <c r="B620" s="21"/>
      <c r="C620" s="21"/>
      <c r="D620" s="21"/>
      <c r="E620" s="21"/>
      <c r="F620" s="21"/>
      <c r="G620" s="21"/>
      <c r="H620" s="21"/>
      <c r="I620" s="21"/>
      <c r="J620" s="21"/>
    </row>
    <row r="621" ht="15.75" customHeight="1">
      <c r="A621" s="21"/>
      <c r="B621" s="21"/>
      <c r="C621" s="21"/>
      <c r="D621" s="21"/>
      <c r="E621" s="21"/>
      <c r="F621" s="21"/>
      <c r="G621" s="21"/>
      <c r="H621" s="21"/>
      <c r="I621" s="21"/>
      <c r="J621" s="21"/>
    </row>
    <row r="622" ht="15.75" customHeight="1">
      <c r="A622" s="21"/>
      <c r="B622" s="21"/>
      <c r="C622" s="21"/>
      <c r="D622" s="21"/>
      <c r="E622" s="21"/>
      <c r="F622" s="21"/>
      <c r="G622" s="21"/>
      <c r="H622" s="21"/>
      <c r="I622" s="21"/>
      <c r="J622" s="21"/>
    </row>
    <row r="623" ht="15.75" customHeight="1">
      <c r="A623" s="21"/>
      <c r="B623" s="21"/>
      <c r="C623" s="21"/>
      <c r="D623" s="21"/>
      <c r="E623" s="21"/>
      <c r="F623" s="21"/>
      <c r="G623" s="21"/>
      <c r="H623" s="21"/>
      <c r="I623" s="21"/>
      <c r="J623" s="21"/>
    </row>
    <row r="624" ht="15.75" customHeight="1">
      <c r="A624" s="21"/>
      <c r="B624" s="21"/>
      <c r="C624" s="21"/>
      <c r="D624" s="21"/>
      <c r="E624" s="21"/>
      <c r="F624" s="21"/>
      <c r="G624" s="21"/>
      <c r="H624" s="21"/>
      <c r="I624" s="21"/>
      <c r="J624" s="21"/>
    </row>
    <row r="625" ht="15.75" customHeight="1">
      <c r="A625" s="21"/>
      <c r="B625" s="21"/>
      <c r="C625" s="21"/>
      <c r="D625" s="21"/>
      <c r="E625" s="21"/>
      <c r="F625" s="21"/>
      <c r="G625" s="21"/>
      <c r="H625" s="21"/>
      <c r="I625" s="21"/>
      <c r="J625" s="21"/>
    </row>
    <row r="626" ht="15.75" customHeight="1">
      <c r="A626" s="21"/>
      <c r="B626" s="21"/>
      <c r="C626" s="21"/>
      <c r="D626" s="21"/>
      <c r="E626" s="21"/>
      <c r="F626" s="21"/>
      <c r="G626" s="21"/>
      <c r="H626" s="21"/>
      <c r="I626" s="21"/>
      <c r="J626" s="21"/>
    </row>
    <row r="627" ht="15.75" customHeight="1">
      <c r="A627" s="21"/>
      <c r="B627" s="21"/>
      <c r="C627" s="21"/>
      <c r="D627" s="21"/>
      <c r="E627" s="21"/>
      <c r="F627" s="21"/>
      <c r="G627" s="21"/>
      <c r="H627" s="21"/>
      <c r="I627" s="21"/>
      <c r="J627" s="21"/>
    </row>
    <row r="628" ht="15.75" customHeight="1">
      <c r="A628" s="21"/>
      <c r="B628" s="21"/>
      <c r="C628" s="21"/>
      <c r="D628" s="21"/>
      <c r="E628" s="21"/>
      <c r="F628" s="21"/>
      <c r="G628" s="21"/>
      <c r="H628" s="21"/>
      <c r="I628" s="21"/>
      <c r="J628" s="21"/>
    </row>
    <row r="629" ht="15.75" customHeight="1">
      <c r="A629" s="21"/>
      <c r="B629" s="21"/>
      <c r="C629" s="21"/>
      <c r="D629" s="21"/>
      <c r="E629" s="21"/>
      <c r="F629" s="21"/>
      <c r="G629" s="21"/>
      <c r="H629" s="21"/>
      <c r="I629" s="21"/>
      <c r="J629" s="21"/>
    </row>
    <row r="630" ht="15.75" customHeight="1">
      <c r="A630" s="21"/>
      <c r="B630" s="21"/>
      <c r="C630" s="21"/>
      <c r="D630" s="21"/>
      <c r="E630" s="21"/>
      <c r="F630" s="21"/>
      <c r="G630" s="21"/>
      <c r="H630" s="21"/>
      <c r="I630" s="21"/>
      <c r="J630" s="21"/>
    </row>
    <row r="631" ht="15.75" customHeight="1">
      <c r="A631" s="21"/>
      <c r="B631" s="21"/>
      <c r="C631" s="21"/>
      <c r="D631" s="21"/>
      <c r="E631" s="21"/>
      <c r="F631" s="21"/>
      <c r="G631" s="21"/>
      <c r="H631" s="21"/>
      <c r="I631" s="21"/>
      <c r="J631" s="21"/>
    </row>
    <row r="632" ht="15.75" customHeight="1">
      <c r="A632" s="21"/>
      <c r="B632" s="21"/>
      <c r="C632" s="21"/>
      <c r="D632" s="21"/>
      <c r="E632" s="21"/>
      <c r="F632" s="21"/>
      <c r="G632" s="21"/>
      <c r="H632" s="21"/>
      <c r="I632" s="21"/>
      <c r="J632" s="21"/>
    </row>
    <row r="633" ht="15.75" customHeight="1">
      <c r="A633" s="21"/>
      <c r="B633" s="21"/>
      <c r="C633" s="21"/>
      <c r="D633" s="21"/>
      <c r="E633" s="21"/>
      <c r="F633" s="21"/>
      <c r="G633" s="21"/>
      <c r="H633" s="21"/>
      <c r="I633" s="21"/>
      <c r="J633" s="21"/>
    </row>
    <row r="634" ht="15.75" customHeight="1">
      <c r="A634" s="21"/>
      <c r="B634" s="21"/>
      <c r="C634" s="21"/>
      <c r="D634" s="21"/>
      <c r="E634" s="21"/>
      <c r="F634" s="21"/>
      <c r="G634" s="21"/>
      <c r="H634" s="21"/>
      <c r="I634" s="21"/>
      <c r="J634" s="21"/>
    </row>
    <row r="635" ht="15.75" customHeight="1">
      <c r="A635" s="21"/>
      <c r="B635" s="21"/>
      <c r="C635" s="21"/>
      <c r="D635" s="21"/>
      <c r="E635" s="21"/>
      <c r="F635" s="21"/>
      <c r="G635" s="21"/>
      <c r="H635" s="21"/>
      <c r="I635" s="21"/>
      <c r="J635" s="21"/>
    </row>
    <row r="636" ht="15.75" customHeight="1">
      <c r="A636" s="21"/>
      <c r="B636" s="21"/>
      <c r="C636" s="21"/>
      <c r="D636" s="21"/>
      <c r="E636" s="21"/>
      <c r="F636" s="21"/>
      <c r="G636" s="21"/>
      <c r="H636" s="21"/>
      <c r="I636" s="21"/>
      <c r="J636" s="21"/>
    </row>
    <row r="637" ht="15.75" customHeight="1">
      <c r="A637" s="21"/>
      <c r="B637" s="21"/>
      <c r="C637" s="21"/>
      <c r="D637" s="21"/>
      <c r="E637" s="21"/>
      <c r="F637" s="21"/>
      <c r="G637" s="21"/>
      <c r="H637" s="21"/>
      <c r="I637" s="21"/>
      <c r="J637" s="21"/>
    </row>
    <row r="638" ht="15.75" customHeight="1">
      <c r="A638" s="21"/>
      <c r="B638" s="21"/>
      <c r="C638" s="21"/>
      <c r="D638" s="21"/>
      <c r="E638" s="21"/>
      <c r="F638" s="21"/>
      <c r="G638" s="21"/>
      <c r="H638" s="21"/>
      <c r="I638" s="21"/>
      <c r="J638" s="21"/>
    </row>
    <row r="639" ht="15.75" customHeight="1">
      <c r="A639" s="21"/>
      <c r="B639" s="21"/>
      <c r="C639" s="21"/>
      <c r="D639" s="21"/>
      <c r="E639" s="21"/>
      <c r="F639" s="21"/>
      <c r="G639" s="21"/>
      <c r="H639" s="21"/>
      <c r="I639" s="21"/>
      <c r="J639" s="21"/>
    </row>
    <row r="640" ht="15.75" customHeight="1">
      <c r="A640" s="21"/>
      <c r="B640" s="21"/>
      <c r="C640" s="21"/>
      <c r="D640" s="21"/>
      <c r="E640" s="21"/>
      <c r="F640" s="21"/>
      <c r="G640" s="21"/>
      <c r="H640" s="21"/>
      <c r="I640" s="21"/>
      <c r="J640" s="21"/>
    </row>
    <row r="641" ht="15.75" customHeight="1">
      <c r="A641" s="21"/>
      <c r="B641" s="21"/>
      <c r="C641" s="21"/>
      <c r="D641" s="21"/>
      <c r="E641" s="21"/>
      <c r="F641" s="21"/>
      <c r="G641" s="21"/>
      <c r="H641" s="21"/>
      <c r="I641" s="21"/>
      <c r="J641" s="21"/>
    </row>
    <row r="642" ht="15.75" customHeight="1">
      <c r="A642" s="21"/>
      <c r="B642" s="21"/>
      <c r="C642" s="21"/>
      <c r="D642" s="21"/>
      <c r="E642" s="21"/>
      <c r="F642" s="21"/>
      <c r="G642" s="21"/>
      <c r="H642" s="21"/>
      <c r="I642" s="21"/>
      <c r="J642" s="21"/>
    </row>
    <row r="643" ht="15.75" customHeight="1">
      <c r="A643" s="21"/>
      <c r="B643" s="21"/>
      <c r="C643" s="21"/>
      <c r="D643" s="21"/>
      <c r="E643" s="21"/>
      <c r="F643" s="21"/>
      <c r="G643" s="21"/>
      <c r="H643" s="21"/>
      <c r="I643" s="21"/>
      <c r="J643" s="21"/>
    </row>
    <row r="644" ht="15.75" customHeight="1">
      <c r="A644" s="21"/>
      <c r="B644" s="21"/>
      <c r="C644" s="21"/>
      <c r="D644" s="21"/>
      <c r="E644" s="21"/>
      <c r="F644" s="21"/>
      <c r="G644" s="21"/>
      <c r="H644" s="21"/>
      <c r="I644" s="21"/>
      <c r="J644" s="21"/>
    </row>
    <row r="645" ht="15.75" customHeight="1">
      <c r="A645" s="21"/>
      <c r="B645" s="21"/>
      <c r="C645" s="21"/>
      <c r="D645" s="21"/>
      <c r="E645" s="21"/>
      <c r="F645" s="21"/>
      <c r="G645" s="21"/>
      <c r="H645" s="21"/>
      <c r="I645" s="21"/>
      <c r="J645" s="21"/>
    </row>
    <row r="646" ht="15.75" customHeight="1">
      <c r="A646" s="21"/>
      <c r="B646" s="21"/>
      <c r="C646" s="21"/>
      <c r="D646" s="21"/>
      <c r="E646" s="21"/>
      <c r="F646" s="21"/>
      <c r="G646" s="21"/>
      <c r="H646" s="21"/>
      <c r="I646" s="21"/>
      <c r="J646" s="21"/>
    </row>
    <row r="647" ht="15.75" customHeight="1">
      <c r="A647" s="21"/>
      <c r="B647" s="21"/>
      <c r="C647" s="21"/>
      <c r="D647" s="21"/>
      <c r="E647" s="21"/>
      <c r="F647" s="21"/>
      <c r="G647" s="21"/>
      <c r="H647" s="21"/>
      <c r="I647" s="21"/>
      <c r="J647" s="21"/>
    </row>
    <row r="648" ht="15.75" customHeight="1">
      <c r="A648" s="21"/>
      <c r="B648" s="21"/>
      <c r="C648" s="21"/>
      <c r="D648" s="21"/>
      <c r="E648" s="21"/>
      <c r="F648" s="21"/>
      <c r="G648" s="21"/>
      <c r="H648" s="21"/>
      <c r="I648" s="21"/>
      <c r="J648" s="21"/>
    </row>
    <row r="649" ht="15.75" customHeight="1">
      <c r="A649" s="21"/>
      <c r="B649" s="21"/>
      <c r="C649" s="21"/>
      <c r="D649" s="21"/>
      <c r="E649" s="21"/>
      <c r="F649" s="21"/>
      <c r="G649" s="21"/>
      <c r="H649" s="21"/>
      <c r="I649" s="21"/>
      <c r="J649" s="21"/>
    </row>
    <row r="650" ht="15.75" customHeight="1">
      <c r="A650" s="21"/>
      <c r="B650" s="21"/>
      <c r="C650" s="21"/>
      <c r="D650" s="21"/>
      <c r="E650" s="21"/>
      <c r="F650" s="21"/>
      <c r="G650" s="21"/>
      <c r="H650" s="21"/>
      <c r="I650" s="21"/>
      <c r="J650" s="21"/>
    </row>
    <row r="651" ht="15.75" customHeight="1">
      <c r="A651" s="21"/>
      <c r="B651" s="21"/>
      <c r="C651" s="21"/>
      <c r="D651" s="21"/>
      <c r="E651" s="21"/>
      <c r="F651" s="21"/>
      <c r="G651" s="21"/>
      <c r="H651" s="21"/>
      <c r="I651" s="21"/>
      <c r="J651" s="21"/>
    </row>
    <row r="652" ht="15.75" customHeight="1">
      <c r="A652" s="21"/>
      <c r="B652" s="21"/>
      <c r="C652" s="21"/>
      <c r="D652" s="21"/>
      <c r="E652" s="21"/>
      <c r="F652" s="21"/>
      <c r="G652" s="21"/>
      <c r="H652" s="21"/>
      <c r="I652" s="21"/>
      <c r="J652" s="21"/>
    </row>
    <row r="653" ht="15.75" customHeight="1">
      <c r="A653" s="21"/>
      <c r="B653" s="21"/>
      <c r="C653" s="21"/>
      <c r="D653" s="21"/>
      <c r="E653" s="21"/>
      <c r="F653" s="21"/>
      <c r="G653" s="21"/>
      <c r="H653" s="21"/>
      <c r="I653" s="21"/>
      <c r="J653" s="21"/>
    </row>
    <row r="654" ht="15.75" customHeight="1">
      <c r="A654" s="21"/>
      <c r="B654" s="21"/>
      <c r="C654" s="21"/>
      <c r="D654" s="21"/>
      <c r="E654" s="21"/>
      <c r="F654" s="21"/>
      <c r="G654" s="21"/>
      <c r="H654" s="21"/>
      <c r="I654" s="21"/>
      <c r="J654" s="21"/>
    </row>
    <row r="655" ht="15.75" customHeight="1">
      <c r="A655" s="21"/>
      <c r="B655" s="21"/>
      <c r="C655" s="21"/>
      <c r="D655" s="21"/>
      <c r="E655" s="21"/>
      <c r="F655" s="21"/>
      <c r="G655" s="21"/>
      <c r="H655" s="21"/>
      <c r="I655" s="21"/>
      <c r="J655" s="21"/>
    </row>
    <row r="656" ht="15.75" customHeight="1">
      <c r="A656" s="21"/>
      <c r="B656" s="21"/>
      <c r="C656" s="21"/>
      <c r="D656" s="21"/>
      <c r="E656" s="21"/>
      <c r="F656" s="21"/>
      <c r="G656" s="21"/>
      <c r="H656" s="21"/>
      <c r="I656" s="21"/>
      <c r="J656" s="21"/>
    </row>
    <row r="657" ht="15.75" customHeight="1">
      <c r="A657" s="21"/>
      <c r="B657" s="21"/>
      <c r="C657" s="21"/>
      <c r="D657" s="21"/>
      <c r="E657" s="21"/>
      <c r="F657" s="21"/>
      <c r="G657" s="21"/>
      <c r="H657" s="21"/>
      <c r="I657" s="21"/>
      <c r="J657" s="21"/>
    </row>
    <row r="658" ht="15.75" customHeight="1">
      <c r="A658" s="21"/>
      <c r="B658" s="21"/>
      <c r="C658" s="21"/>
      <c r="D658" s="21"/>
      <c r="E658" s="21"/>
      <c r="F658" s="21"/>
      <c r="G658" s="21"/>
      <c r="H658" s="21"/>
      <c r="I658" s="21"/>
      <c r="J658" s="21"/>
    </row>
    <row r="659" ht="15.75" customHeight="1">
      <c r="A659" s="21"/>
      <c r="B659" s="21"/>
      <c r="C659" s="21"/>
      <c r="D659" s="21"/>
      <c r="E659" s="21"/>
      <c r="F659" s="21"/>
      <c r="G659" s="21"/>
      <c r="H659" s="21"/>
      <c r="I659" s="21"/>
      <c r="J659" s="21"/>
    </row>
    <row r="660" ht="15.75" customHeight="1">
      <c r="A660" s="21"/>
      <c r="B660" s="21"/>
      <c r="C660" s="21"/>
      <c r="D660" s="21"/>
      <c r="E660" s="21"/>
      <c r="F660" s="21"/>
      <c r="G660" s="21"/>
      <c r="H660" s="21"/>
      <c r="I660" s="21"/>
      <c r="J660" s="21"/>
    </row>
    <row r="661" ht="15.75" customHeight="1">
      <c r="A661" s="21"/>
      <c r="B661" s="21"/>
      <c r="C661" s="21"/>
      <c r="D661" s="21"/>
      <c r="E661" s="21"/>
      <c r="F661" s="21"/>
      <c r="G661" s="21"/>
      <c r="H661" s="21"/>
      <c r="I661" s="21"/>
      <c r="J661" s="21"/>
    </row>
    <row r="662" ht="15.75" customHeight="1">
      <c r="A662" s="21"/>
      <c r="B662" s="21"/>
      <c r="C662" s="21"/>
      <c r="D662" s="21"/>
      <c r="E662" s="21"/>
      <c r="F662" s="21"/>
      <c r="G662" s="21"/>
      <c r="H662" s="21"/>
      <c r="I662" s="21"/>
      <c r="J662" s="21"/>
    </row>
    <row r="663" ht="15.75" customHeight="1">
      <c r="A663" s="21"/>
      <c r="B663" s="21"/>
      <c r="C663" s="21"/>
      <c r="D663" s="21"/>
      <c r="E663" s="21"/>
      <c r="F663" s="21"/>
      <c r="G663" s="21"/>
      <c r="H663" s="21"/>
      <c r="I663" s="21"/>
      <c r="J663" s="21"/>
    </row>
    <row r="664" ht="15.75" customHeight="1">
      <c r="A664" s="21"/>
      <c r="B664" s="21"/>
      <c r="C664" s="21"/>
      <c r="D664" s="21"/>
      <c r="E664" s="21"/>
      <c r="F664" s="21"/>
      <c r="G664" s="21"/>
      <c r="H664" s="21"/>
      <c r="I664" s="21"/>
      <c r="J664" s="21"/>
    </row>
    <row r="665" ht="15.75" customHeight="1">
      <c r="A665" s="21"/>
      <c r="B665" s="21"/>
      <c r="C665" s="21"/>
      <c r="D665" s="21"/>
      <c r="E665" s="21"/>
      <c r="F665" s="21"/>
      <c r="G665" s="21"/>
      <c r="H665" s="21"/>
      <c r="I665" s="21"/>
      <c r="J665" s="21"/>
    </row>
    <row r="666" ht="15.75" customHeight="1">
      <c r="A666" s="21"/>
      <c r="B666" s="21"/>
      <c r="C666" s="21"/>
      <c r="D666" s="21"/>
      <c r="E666" s="21"/>
      <c r="F666" s="21"/>
      <c r="G666" s="21"/>
      <c r="H666" s="21"/>
      <c r="I666" s="21"/>
      <c r="J666" s="21"/>
    </row>
    <row r="667" ht="15.75" customHeight="1">
      <c r="A667" s="21"/>
      <c r="B667" s="21"/>
      <c r="C667" s="21"/>
      <c r="D667" s="21"/>
      <c r="E667" s="21"/>
      <c r="F667" s="21"/>
      <c r="G667" s="21"/>
      <c r="H667" s="21"/>
      <c r="I667" s="21"/>
      <c r="J667" s="21"/>
    </row>
    <row r="668" ht="15.75" customHeight="1">
      <c r="A668" s="21"/>
      <c r="B668" s="21"/>
      <c r="C668" s="21"/>
      <c r="D668" s="21"/>
      <c r="E668" s="21"/>
      <c r="F668" s="21"/>
      <c r="G668" s="21"/>
      <c r="H668" s="21"/>
      <c r="I668" s="21"/>
      <c r="J668" s="21"/>
    </row>
    <row r="669" ht="15.75" customHeight="1">
      <c r="A669" s="21"/>
      <c r="B669" s="21"/>
      <c r="C669" s="21"/>
      <c r="D669" s="21"/>
      <c r="E669" s="21"/>
      <c r="F669" s="21"/>
      <c r="G669" s="21"/>
      <c r="H669" s="21"/>
      <c r="I669" s="21"/>
      <c r="J669" s="21"/>
    </row>
    <row r="670" ht="15.75" customHeight="1">
      <c r="A670" s="21"/>
      <c r="B670" s="21"/>
      <c r="C670" s="21"/>
      <c r="D670" s="21"/>
      <c r="E670" s="21"/>
      <c r="F670" s="21"/>
      <c r="G670" s="21"/>
      <c r="H670" s="21"/>
      <c r="I670" s="21"/>
      <c r="J670" s="21"/>
    </row>
    <row r="671" ht="15.75" customHeight="1">
      <c r="A671" s="21"/>
      <c r="B671" s="21"/>
      <c r="C671" s="21"/>
      <c r="D671" s="21"/>
      <c r="E671" s="21"/>
      <c r="F671" s="21"/>
      <c r="G671" s="21"/>
      <c r="H671" s="21"/>
      <c r="I671" s="21"/>
      <c r="J671" s="21"/>
    </row>
    <row r="672" ht="15.75" customHeight="1">
      <c r="A672" s="21"/>
      <c r="B672" s="21"/>
      <c r="C672" s="21"/>
      <c r="D672" s="21"/>
      <c r="E672" s="21"/>
      <c r="F672" s="21"/>
      <c r="G672" s="21"/>
      <c r="H672" s="21"/>
      <c r="I672" s="21"/>
      <c r="J672" s="21"/>
    </row>
    <row r="673" ht="15.75" customHeight="1">
      <c r="A673" s="21"/>
      <c r="B673" s="21"/>
      <c r="C673" s="21"/>
      <c r="D673" s="21"/>
      <c r="E673" s="21"/>
      <c r="F673" s="21"/>
      <c r="G673" s="21"/>
      <c r="H673" s="21"/>
      <c r="I673" s="21"/>
      <c r="J673" s="21"/>
    </row>
    <row r="674" ht="15.75" customHeight="1">
      <c r="A674" s="21"/>
      <c r="B674" s="21"/>
      <c r="C674" s="21"/>
      <c r="D674" s="21"/>
      <c r="E674" s="21"/>
      <c r="F674" s="21"/>
      <c r="G674" s="21"/>
      <c r="H674" s="21"/>
      <c r="I674" s="21"/>
      <c r="J674" s="21"/>
    </row>
    <row r="675" ht="15.75" customHeight="1">
      <c r="A675" s="21"/>
      <c r="B675" s="21"/>
      <c r="C675" s="21"/>
      <c r="D675" s="21"/>
      <c r="E675" s="21"/>
      <c r="F675" s="21"/>
      <c r="G675" s="21"/>
      <c r="H675" s="21"/>
      <c r="I675" s="21"/>
      <c r="J675" s="21"/>
    </row>
    <row r="676" ht="15.75" customHeight="1">
      <c r="A676" s="21"/>
      <c r="B676" s="21"/>
      <c r="C676" s="21"/>
      <c r="D676" s="21"/>
      <c r="E676" s="21"/>
      <c r="F676" s="21"/>
      <c r="G676" s="21"/>
      <c r="H676" s="21"/>
      <c r="I676" s="21"/>
      <c r="J676" s="21"/>
    </row>
    <row r="677" ht="15.75" customHeight="1">
      <c r="A677" s="21"/>
      <c r="B677" s="21"/>
      <c r="C677" s="21"/>
      <c r="D677" s="21"/>
      <c r="E677" s="21"/>
      <c r="F677" s="21"/>
      <c r="G677" s="21"/>
      <c r="H677" s="21"/>
      <c r="I677" s="21"/>
      <c r="J677" s="21"/>
    </row>
    <row r="678" ht="15.75" customHeight="1">
      <c r="A678" s="21"/>
      <c r="B678" s="21"/>
      <c r="C678" s="21"/>
      <c r="D678" s="21"/>
      <c r="E678" s="21"/>
      <c r="F678" s="21"/>
      <c r="G678" s="21"/>
      <c r="H678" s="21"/>
      <c r="I678" s="21"/>
      <c r="J678" s="21"/>
    </row>
    <row r="679" ht="15.75" customHeight="1">
      <c r="A679" s="21"/>
      <c r="B679" s="21"/>
      <c r="C679" s="21"/>
      <c r="D679" s="21"/>
      <c r="E679" s="21"/>
      <c r="F679" s="21"/>
      <c r="G679" s="21"/>
      <c r="H679" s="21"/>
      <c r="I679" s="21"/>
      <c r="J679" s="21"/>
    </row>
    <row r="680" ht="15.75" customHeight="1">
      <c r="A680" s="21"/>
      <c r="B680" s="21"/>
      <c r="C680" s="21"/>
      <c r="D680" s="21"/>
      <c r="E680" s="21"/>
      <c r="F680" s="21"/>
      <c r="G680" s="21"/>
      <c r="H680" s="21"/>
      <c r="I680" s="21"/>
      <c r="J680" s="21"/>
    </row>
    <row r="681" ht="15.75" customHeight="1">
      <c r="A681" s="21"/>
      <c r="B681" s="21"/>
      <c r="C681" s="21"/>
      <c r="D681" s="21"/>
      <c r="E681" s="21"/>
      <c r="F681" s="21"/>
      <c r="G681" s="21"/>
      <c r="H681" s="21"/>
      <c r="I681" s="21"/>
      <c r="J681" s="21"/>
    </row>
    <row r="682" ht="15.75" customHeight="1">
      <c r="A682" s="21"/>
      <c r="B682" s="21"/>
      <c r="C682" s="21"/>
      <c r="D682" s="21"/>
      <c r="E682" s="21"/>
      <c r="F682" s="21"/>
      <c r="G682" s="21"/>
      <c r="H682" s="21"/>
      <c r="I682" s="21"/>
      <c r="J682" s="21"/>
    </row>
    <row r="683" ht="15.75" customHeight="1">
      <c r="A683" s="21"/>
      <c r="B683" s="21"/>
      <c r="C683" s="21"/>
      <c r="D683" s="21"/>
      <c r="E683" s="21"/>
      <c r="F683" s="21"/>
      <c r="G683" s="21"/>
      <c r="H683" s="21"/>
      <c r="I683" s="21"/>
      <c r="J683" s="21"/>
    </row>
    <row r="684" ht="15.75" customHeight="1">
      <c r="A684" s="21"/>
      <c r="B684" s="21"/>
      <c r="C684" s="21"/>
      <c r="D684" s="21"/>
      <c r="E684" s="21"/>
      <c r="F684" s="21"/>
      <c r="G684" s="21"/>
      <c r="H684" s="21"/>
      <c r="I684" s="21"/>
      <c r="J684" s="21"/>
    </row>
    <row r="685" ht="15.75" customHeight="1">
      <c r="A685" s="21"/>
      <c r="B685" s="21"/>
      <c r="C685" s="21"/>
      <c r="D685" s="21"/>
      <c r="E685" s="21"/>
      <c r="F685" s="21"/>
      <c r="G685" s="21"/>
      <c r="H685" s="21"/>
      <c r="I685" s="21"/>
      <c r="J685" s="21"/>
    </row>
    <row r="686" ht="15.75" customHeight="1">
      <c r="A686" s="21"/>
      <c r="B686" s="21"/>
      <c r="C686" s="21"/>
      <c r="D686" s="21"/>
      <c r="E686" s="21"/>
      <c r="F686" s="21"/>
      <c r="G686" s="21"/>
      <c r="H686" s="21"/>
      <c r="I686" s="21"/>
      <c r="J686" s="21"/>
    </row>
    <row r="687" ht="15.75" customHeight="1">
      <c r="A687" s="21"/>
      <c r="B687" s="21"/>
      <c r="C687" s="21"/>
      <c r="D687" s="21"/>
      <c r="E687" s="21"/>
      <c r="F687" s="21"/>
      <c r="G687" s="21"/>
      <c r="H687" s="21"/>
      <c r="I687" s="21"/>
      <c r="J687" s="21"/>
    </row>
    <row r="688" ht="15.75" customHeight="1">
      <c r="A688" s="21"/>
      <c r="B688" s="21"/>
      <c r="C688" s="21"/>
      <c r="D688" s="21"/>
      <c r="E688" s="21"/>
      <c r="F688" s="21"/>
      <c r="G688" s="21"/>
      <c r="H688" s="21"/>
      <c r="I688" s="21"/>
      <c r="J688" s="21"/>
    </row>
    <row r="689" ht="15.75" customHeight="1">
      <c r="A689" s="21"/>
      <c r="B689" s="21"/>
      <c r="C689" s="21"/>
      <c r="D689" s="21"/>
      <c r="E689" s="21"/>
      <c r="F689" s="21"/>
      <c r="G689" s="21"/>
      <c r="H689" s="21"/>
      <c r="I689" s="21"/>
      <c r="J689" s="21"/>
    </row>
    <row r="690" ht="15.75" customHeight="1">
      <c r="A690" s="21"/>
      <c r="B690" s="21"/>
      <c r="C690" s="21"/>
      <c r="D690" s="21"/>
      <c r="E690" s="21"/>
      <c r="F690" s="21"/>
      <c r="G690" s="21"/>
      <c r="H690" s="21"/>
      <c r="I690" s="21"/>
      <c r="J690" s="21"/>
    </row>
    <row r="691" ht="15.75" customHeight="1">
      <c r="A691" s="21"/>
      <c r="B691" s="21"/>
      <c r="C691" s="21"/>
      <c r="D691" s="21"/>
      <c r="E691" s="21"/>
      <c r="F691" s="21"/>
      <c r="G691" s="21"/>
      <c r="H691" s="21"/>
      <c r="I691" s="21"/>
      <c r="J691" s="21"/>
    </row>
    <row r="692" ht="15.75" customHeight="1">
      <c r="A692" s="21"/>
      <c r="B692" s="21"/>
      <c r="C692" s="21"/>
      <c r="D692" s="21"/>
      <c r="E692" s="21"/>
      <c r="F692" s="21"/>
      <c r="G692" s="21"/>
      <c r="H692" s="21"/>
      <c r="I692" s="21"/>
      <c r="J692" s="21"/>
    </row>
    <row r="693" ht="15.75" customHeight="1">
      <c r="A693" s="21"/>
      <c r="B693" s="21"/>
      <c r="C693" s="21"/>
      <c r="D693" s="21"/>
      <c r="E693" s="21"/>
      <c r="F693" s="21"/>
      <c r="G693" s="21"/>
      <c r="H693" s="21"/>
      <c r="I693" s="21"/>
      <c r="J693" s="21"/>
    </row>
    <row r="694" ht="15.75" customHeight="1">
      <c r="A694" s="21"/>
      <c r="B694" s="21"/>
      <c r="C694" s="21"/>
      <c r="D694" s="21"/>
      <c r="E694" s="21"/>
      <c r="F694" s="21"/>
      <c r="G694" s="21"/>
      <c r="H694" s="21"/>
      <c r="I694" s="21"/>
      <c r="J694" s="21"/>
    </row>
    <row r="695" ht="15.75" customHeight="1">
      <c r="A695" s="21"/>
      <c r="B695" s="21"/>
      <c r="C695" s="21"/>
      <c r="D695" s="21"/>
      <c r="E695" s="21"/>
      <c r="F695" s="21"/>
      <c r="G695" s="21"/>
      <c r="H695" s="21"/>
      <c r="I695" s="21"/>
      <c r="J695" s="21"/>
    </row>
    <row r="696" ht="15.75" customHeight="1">
      <c r="A696" s="21"/>
      <c r="B696" s="21"/>
      <c r="C696" s="21"/>
      <c r="D696" s="21"/>
      <c r="E696" s="21"/>
      <c r="F696" s="21"/>
      <c r="G696" s="21"/>
      <c r="H696" s="21"/>
      <c r="I696" s="21"/>
      <c r="J696" s="21"/>
    </row>
    <row r="697" ht="15.75" customHeight="1">
      <c r="A697" s="21"/>
      <c r="B697" s="21"/>
      <c r="C697" s="21"/>
      <c r="D697" s="21"/>
      <c r="E697" s="21"/>
      <c r="F697" s="21"/>
      <c r="G697" s="21"/>
      <c r="H697" s="21"/>
      <c r="I697" s="21"/>
      <c r="J697" s="21"/>
    </row>
    <row r="698" ht="15.75" customHeight="1">
      <c r="A698" s="21"/>
      <c r="B698" s="21"/>
      <c r="C698" s="21"/>
      <c r="D698" s="21"/>
      <c r="E698" s="21"/>
      <c r="F698" s="21"/>
      <c r="G698" s="21"/>
      <c r="H698" s="21"/>
      <c r="I698" s="21"/>
      <c r="J698" s="21"/>
    </row>
    <row r="699" ht="15.75" customHeight="1">
      <c r="A699" s="21"/>
      <c r="B699" s="21"/>
      <c r="C699" s="21"/>
      <c r="D699" s="21"/>
      <c r="E699" s="21"/>
      <c r="F699" s="21"/>
      <c r="G699" s="21"/>
      <c r="H699" s="21"/>
      <c r="I699" s="21"/>
      <c r="J699" s="21"/>
    </row>
    <row r="700" ht="15.75" customHeight="1">
      <c r="A700" s="21"/>
      <c r="B700" s="21"/>
      <c r="C700" s="21"/>
      <c r="D700" s="21"/>
      <c r="E700" s="21"/>
      <c r="F700" s="21"/>
      <c r="G700" s="21"/>
      <c r="H700" s="21"/>
      <c r="I700" s="21"/>
      <c r="J700" s="21"/>
    </row>
    <row r="701" ht="15.75" customHeight="1">
      <c r="A701" s="21"/>
      <c r="B701" s="21"/>
      <c r="C701" s="21"/>
      <c r="D701" s="21"/>
      <c r="E701" s="21"/>
      <c r="F701" s="21"/>
      <c r="G701" s="21"/>
      <c r="H701" s="21"/>
      <c r="I701" s="21"/>
      <c r="J701" s="21"/>
    </row>
    <row r="702" ht="15.75" customHeight="1">
      <c r="A702" s="21"/>
      <c r="B702" s="21"/>
      <c r="C702" s="21"/>
      <c r="D702" s="21"/>
      <c r="E702" s="21"/>
      <c r="F702" s="21"/>
      <c r="G702" s="21"/>
      <c r="H702" s="21"/>
      <c r="I702" s="21"/>
      <c r="J702" s="21"/>
    </row>
    <row r="703" ht="15.75" customHeight="1">
      <c r="A703" s="21"/>
      <c r="B703" s="21"/>
      <c r="C703" s="21"/>
      <c r="D703" s="21"/>
      <c r="E703" s="21"/>
      <c r="F703" s="21"/>
      <c r="G703" s="21"/>
      <c r="H703" s="21"/>
      <c r="I703" s="21"/>
      <c r="J703" s="21"/>
    </row>
    <row r="704" ht="15.75" customHeight="1">
      <c r="A704" s="21"/>
      <c r="B704" s="21"/>
      <c r="C704" s="21"/>
      <c r="D704" s="21"/>
      <c r="E704" s="21"/>
      <c r="F704" s="21"/>
      <c r="G704" s="21"/>
      <c r="H704" s="21"/>
      <c r="I704" s="21"/>
      <c r="J704" s="21"/>
    </row>
    <row r="705" ht="15.75" customHeight="1">
      <c r="A705" s="21"/>
      <c r="B705" s="21"/>
      <c r="C705" s="21"/>
      <c r="D705" s="21"/>
      <c r="E705" s="21"/>
      <c r="F705" s="21"/>
      <c r="G705" s="21"/>
      <c r="H705" s="21"/>
      <c r="I705" s="21"/>
      <c r="J705" s="21"/>
    </row>
    <row r="706" ht="15.75" customHeight="1">
      <c r="A706" s="21"/>
      <c r="B706" s="21"/>
      <c r="C706" s="21"/>
      <c r="D706" s="21"/>
      <c r="E706" s="21"/>
      <c r="F706" s="21"/>
      <c r="G706" s="21"/>
      <c r="H706" s="21"/>
      <c r="I706" s="21"/>
      <c r="J706" s="21"/>
    </row>
    <row r="707" ht="15.75" customHeight="1">
      <c r="A707" s="21"/>
      <c r="B707" s="21"/>
      <c r="C707" s="21"/>
      <c r="D707" s="21"/>
      <c r="E707" s="21"/>
      <c r="F707" s="21"/>
      <c r="G707" s="21"/>
      <c r="H707" s="21"/>
      <c r="I707" s="21"/>
      <c r="J707" s="21"/>
    </row>
    <row r="708" ht="15.75" customHeight="1">
      <c r="A708" s="21"/>
      <c r="B708" s="21"/>
      <c r="C708" s="21"/>
      <c r="D708" s="21"/>
      <c r="E708" s="21"/>
      <c r="F708" s="21"/>
      <c r="G708" s="21"/>
      <c r="H708" s="21"/>
      <c r="I708" s="21"/>
      <c r="J708" s="21"/>
    </row>
    <row r="709" ht="15.75" customHeight="1">
      <c r="A709" s="21"/>
      <c r="B709" s="21"/>
      <c r="C709" s="21"/>
      <c r="D709" s="21"/>
      <c r="E709" s="21"/>
      <c r="F709" s="21"/>
      <c r="G709" s="21"/>
      <c r="H709" s="21"/>
      <c r="I709" s="21"/>
      <c r="J709" s="21"/>
    </row>
    <row r="710" ht="15.75" customHeight="1">
      <c r="A710" s="21"/>
      <c r="B710" s="21"/>
      <c r="C710" s="21"/>
      <c r="D710" s="21"/>
      <c r="E710" s="21"/>
      <c r="F710" s="21"/>
      <c r="G710" s="21"/>
      <c r="H710" s="21"/>
      <c r="I710" s="21"/>
      <c r="J710" s="21"/>
    </row>
    <row r="711" ht="15.75" customHeight="1">
      <c r="A711" s="21"/>
      <c r="B711" s="21"/>
      <c r="C711" s="21"/>
      <c r="D711" s="21"/>
      <c r="E711" s="21"/>
      <c r="F711" s="21"/>
      <c r="G711" s="21"/>
      <c r="H711" s="21"/>
      <c r="I711" s="21"/>
      <c r="J711" s="21"/>
    </row>
    <row r="712" ht="15.75" customHeight="1">
      <c r="A712" s="21"/>
      <c r="B712" s="21"/>
      <c r="C712" s="21"/>
      <c r="D712" s="21"/>
      <c r="E712" s="21"/>
      <c r="F712" s="21"/>
      <c r="G712" s="21"/>
      <c r="H712" s="21"/>
      <c r="I712" s="21"/>
      <c r="J712" s="21"/>
    </row>
    <row r="713" ht="15.75" customHeight="1">
      <c r="A713" s="21"/>
      <c r="B713" s="21"/>
      <c r="C713" s="21"/>
      <c r="D713" s="21"/>
      <c r="E713" s="21"/>
      <c r="F713" s="21"/>
      <c r="G713" s="21"/>
      <c r="H713" s="21"/>
      <c r="I713" s="21"/>
      <c r="J713" s="21"/>
    </row>
    <row r="714" ht="15.75" customHeight="1">
      <c r="A714" s="21"/>
      <c r="B714" s="21"/>
      <c r="C714" s="21"/>
      <c r="D714" s="21"/>
      <c r="E714" s="21"/>
      <c r="F714" s="21"/>
      <c r="G714" s="21"/>
      <c r="H714" s="21"/>
      <c r="I714" s="21"/>
      <c r="J714" s="21"/>
    </row>
    <row r="715" ht="15.75" customHeight="1">
      <c r="A715" s="21"/>
      <c r="B715" s="21"/>
      <c r="C715" s="21"/>
      <c r="D715" s="21"/>
      <c r="E715" s="21"/>
      <c r="F715" s="21"/>
      <c r="G715" s="21"/>
      <c r="H715" s="21"/>
      <c r="I715" s="21"/>
      <c r="J715" s="21"/>
    </row>
    <row r="716" ht="15.75" customHeight="1">
      <c r="A716" s="21"/>
      <c r="B716" s="21"/>
      <c r="C716" s="21"/>
      <c r="D716" s="21"/>
      <c r="E716" s="21"/>
      <c r="F716" s="21"/>
      <c r="G716" s="21"/>
      <c r="H716" s="21"/>
      <c r="I716" s="21"/>
      <c r="J716" s="21"/>
    </row>
    <row r="717" ht="15.75" customHeight="1">
      <c r="A717" s="21"/>
      <c r="B717" s="21"/>
      <c r="C717" s="21"/>
      <c r="D717" s="21"/>
      <c r="E717" s="21"/>
      <c r="F717" s="21"/>
      <c r="G717" s="21"/>
      <c r="H717" s="21"/>
      <c r="I717" s="21"/>
      <c r="J717" s="21"/>
    </row>
    <row r="718" ht="15.75" customHeight="1">
      <c r="A718" s="21"/>
      <c r="B718" s="21"/>
      <c r="C718" s="21"/>
      <c r="D718" s="21"/>
      <c r="E718" s="21"/>
      <c r="F718" s="21"/>
      <c r="G718" s="21"/>
      <c r="H718" s="21"/>
      <c r="I718" s="21"/>
      <c r="J718" s="21"/>
    </row>
    <row r="719" ht="15.75" customHeight="1">
      <c r="A719" s="21"/>
      <c r="B719" s="21"/>
      <c r="C719" s="21"/>
      <c r="D719" s="21"/>
      <c r="E719" s="21"/>
      <c r="F719" s="21"/>
      <c r="G719" s="21"/>
      <c r="H719" s="21"/>
      <c r="I719" s="21"/>
      <c r="J719" s="21"/>
    </row>
    <row r="720" ht="15.75" customHeight="1">
      <c r="A720" s="21"/>
      <c r="B720" s="21"/>
      <c r="C720" s="21"/>
      <c r="D720" s="21"/>
      <c r="E720" s="21"/>
      <c r="F720" s="21"/>
      <c r="G720" s="21"/>
      <c r="H720" s="21"/>
      <c r="I720" s="21"/>
      <c r="J720" s="21"/>
    </row>
    <row r="721" ht="15.75" customHeight="1">
      <c r="A721" s="21"/>
      <c r="B721" s="21"/>
      <c r="C721" s="21"/>
      <c r="D721" s="21"/>
      <c r="E721" s="21"/>
      <c r="F721" s="21"/>
      <c r="G721" s="21"/>
      <c r="H721" s="21"/>
      <c r="I721" s="21"/>
      <c r="J721" s="21"/>
    </row>
    <row r="722" ht="15.75" customHeight="1">
      <c r="A722" s="21"/>
      <c r="B722" s="21"/>
      <c r="C722" s="21"/>
      <c r="D722" s="21"/>
      <c r="E722" s="21"/>
      <c r="F722" s="21"/>
      <c r="G722" s="21"/>
      <c r="H722" s="21"/>
      <c r="I722" s="21"/>
      <c r="J722" s="21"/>
    </row>
    <row r="723" ht="15.75" customHeight="1">
      <c r="A723" s="21"/>
      <c r="B723" s="21"/>
      <c r="C723" s="21"/>
      <c r="D723" s="21"/>
      <c r="E723" s="21"/>
      <c r="F723" s="21"/>
      <c r="G723" s="21"/>
      <c r="H723" s="21"/>
      <c r="I723" s="21"/>
      <c r="J723" s="21"/>
    </row>
    <row r="724" ht="15.75" customHeight="1">
      <c r="A724" s="21"/>
      <c r="B724" s="21"/>
      <c r="C724" s="21"/>
      <c r="D724" s="21"/>
      <c r="E724" s="21"/>
      <c r="F724" s="21"/>
      <c r="G724" s="21"/>
      <c r="H724" s="21"/>
      <c r="I724" s="21"/>
      <c r="J724" s="21"/>
    </row>
    <row r="725" ht="15.75" customHeight="1">
      <c r="A725" s="21"/>
      <c r="B725" s="21"/>
      <c r="C725" s="21"/>
      <c r="D725" s="21"/>
      <c r="E725" s="21"/>
      <c r="F725" s="21"/>
      <c r="G725" s="21"/>
      <c r="H725" s="21"/>
      <c r="I725" s="21"/>
      <c r="J725" s="21"/>
    </row>
    <row r="726" ht="15.75" customHeight="1">
      <c r="A726" s="21"/>
      <c r="B726" s="21"/>
      <c r="C726" s="21"/>
      <c r="D726" s="21"/>
      <c r="E726" s="21"/>
      <c r="F726" s="21"/>
      <c r="G726" s="21"/>
      <c r="H726" s="21"/>
      <c r="I726" s="21"/>
      <c r="J726" s="21"/>
    </row>
    <row r="727" ht="15.75" customHeight="1">
      <c r="A727" s="21"/>
      <c r="B727" s="21"/>
      <c r="C727" s="21"/>
      <c r="D727" s="21"/>
      <c r="E727" s="21"/>
      <c r="F727" s="21"/>
      <c r="G727" s="21"/>
      <c r="H727" s="21"/>
      <c r="I727" s="21"/>
      <c r="J727" s="21"/>
    </row>
    <row r="728" ht="15.75" customHeight="1">
      <c r="A728" s="21"/>
      <c r="B728" s="21"/>
      <c r="C728" s="21"/>
      <c r="D728" s="21"/>
      <c r="E728" s="21"/>
      <c r="F728" s="21"/>
      <c r="G728" s="21"/>
      <c r="H728" s="21"/>
      <c r="I728" s="21"/>
      <c r="J728" s="21"/>
    </row>
    <row r="729" ht="15.75" customHeight="1">
      <c r="A729" s="21"/>
      <c r="B729" s="21"/>
      <c r="C729" s="21"/>
      <c r="D729" s="21"/>
      <c r="E729" s="21"/>
      <c r="F729" s="21"/>
      <c r="G729" s="21"/>
      <c r="H729" s="21"/>
      <c r="I729" s="21"/>
      <c r="J729" s="21"/>
    </row>
    <row r="730" ht="15.75" customHeight="1">
      <c r="A730" s="21"/>
      <c r="B730" s="21"/>
      <c r="C730" s="21"/>
      <c r="D730" s="21"/>
      <c r="E730" s="21"/>
      <c r="F730" s="21"/>
      <c r="G730" s="21"/>
      <c r="H730" s="21"/>
      <c r="I730" s="21"/>
      <c r="J730" s="21"/>
    </row>
    <row r="731" ht="15.75" customHeight="1">
      <c r="A731" s="21"/>
      <c r="B731" s="21"/>
      <c r="C731" s="21"/>
      <c r="D731" s="21"/>
      <c r="E731" s="21"/>
      <c r="F731" s="21"/>
      <c r="G731" s="21"/>
      <c r="H731" s="21"/>
      <c r="I731" s="21"/>
      <c r="J731" s="21"/>
    </row>
    <row r="732" ht="15.75" customHeight="1">
      <c r="A732" s="21"/>
      <c r="B732" s="21"/>
      <c r="C732" s="21"/>
      <c r="D732" s="21"/>
      <c r="E732" s="21"/>
      <c r="F732" s="21"/>
      <c r="G732" s="21"/>
      <c r="H732" s="21"/>
      <c r="I732" s="21"/>
      <c r="J732" s="21"/>
    </row>
    <row r="733" ht="15.75" customHeight="1">
      <c r="A733" s="21"/>
      <c r="B733" s="21"/>
      <c r="C733" s="21"/>
      <c r="D733" s="21"/>
      <c r="E733" s="21"/>
      <c r="F733" s="21"/>
      <c r="G733" s="21"/>
      <c r="H733" s="21"/>
      <c r="I733" s="21"/>
      <c r="J733" s="21"/>
    </row>
    <row r="734" ht="15.75" customHeight="1">
      <c r="A734" s="21"/>
      <c r="B734" s="21"/>
      <c r="C734" s="21"/>
      <c r="D734" s="21"/>
      <c r="E734" s="21"/>
      <c r="F734" s="21"/>
      <c r="G734" s="21"/>
      <c r="H734" s="21"/>
      <c r="I734" s="21"/>
      <c r="J734" s="21"/>
    </row>
    <row r="735" ht="15.75" customHeight="1">
      <c r="A735" s="21"/>
      <c r="B735" s="21"/>
      <c r="C735" s="21"/>
      <c r="D735" s="21"/>
      <c r="E735" s="21"/>
      <c r="F735" s="21"/>
      <c r="G735" s="21"/>
      <c r="H735" s="21"/>
      <c r="I735" s="21"/>
      <c r="J735" s="21"/>
    </row>
    <row r="736" ht="15.75" customHeight="1">
      <c r="A736" s="21"/>
      <c r="B736" s="21"/>
      <c r="C736" s="21"/>
      <c r="D736" s="21"/>
      <c r="E736" s="21"/>
      <c r="F736" s="21"/>
      <c r="G736" s="21"/>
      <c r="H736" s="21"/>
      <c r="I736" s="21"/>
      <c r="J736" s="21"/>
    </row>
    <row r="737" ht="15.75" customHeight="1">
      <c r="A737" s="21"/>
      <c r="B737" s="21"/>
      <c r="C737" s="21"/>
      <c r="D737" s="21"/>
      <c r="E737" s="21"/>
      <c r="F737" s="21"/>
      <c r="G737" s="21"/>
      <c r="H737" s="21"/>
      <c r="I737" s="21"/>
      <c r="J737" s="21"/>
    </row>
    <row r="738" ht="15.75" customHeight="1">
      <c r="A738" s="21"/>
      <c r="B738" s="21"/>
      <c r="C738" s="21"/>
      <c r="D738" s="21"/>
      <c r="E738" s="21"/>
      <c r="F738" s="21"/>
      <c r="G738" s="21"/>
      <c r="H738" s="21"/>
      <c r="I738" s="21"/>
      <c r="J738" s="21"/>
    </row>
    <row r="739" ht="15.75" customHeight="1">
      <c r="A739" s="21"/>
      <c r="B739" s="21"/>
      <c r="C739" s="21"/>
      <c r="D739" s="21"/>
      <c r="E739" s="21"/>
      <c r="F739" s="21"/>
      <c r="G739" s="21"/>
      <c r="H739" s="21"/>
      <c r="I739" s="21"/>
      <c r="J739" s="21"/>
    </row>
    <row r="740" ht="15.75" customHeight="1">
      <c r="A740" s="21"/>
      <c r="B740" s="21"/>
      <c r="C740" s="21"/>
      <c r="D740" s="21"/>
      <c r="E740" s="21"/>
      <c r="F740" s="21"/>
      <c r="G740" s="21"/>
      <c r="H740" s="21"/>
      <c r="I740" s="21"/>
      <c r="J740" s="21"/>
    </row>
    <row r="741" ht="15.75" customHeight="1">
      <c r="A741" s="21"/>
      <c r="B741" s="21"/>
      <c r="C741" s="21"/>
      <c r="D741" s="21"/>
      <c r="E741" s="21"/>
      <c r="F741" s="21"/>
      <c r="G741" s="21"/>
      <c r="H741" s="21"/>
      <c r="I741" s="21"/>
      <c r="J741" s="21"/>
    </row>
    <row r="742" ht="15.75" customHeight="1">
      <c r="A742" s="21"/>
      <c r="B742" s="21"/>
      <c r="C742" s="21"/>
      <c r="D742" s="21"/>
      <c r="E742" s="21"/>
      <c r="F742" s="21"/>
      <c r="G742" s="21"/>
      <c r="H742" s="21"/>
      <c r="I742" s="21"/>
      <c r="J742" s="21"/>
    </row>
    <row r="743" ht="15.75" customHeight="1">
      <c r="A743" s="21"/>
      <c r="B743" s="21"/>
      <c r="C743" s="21"/>
      <c r="D743" s="21"/>
      <c r="E743" s="21"/>
      <c r="F743" s="21"/>
      <c r="G743" s="21"/>
      <c r="H743" s="21"/>
      <c r="I743" s="21"/>
      <c r="J743" s="21"/>
    </row>
    <row r="744" ht="15.75" customHeight="1">
      <c r="A744" s="21"/>
      <c r="B744" s="21"/>
      <c r="C744" s="21"/>
      <c r="D744" s="21"/>
      <c r="E744" s="21"/>
      <c r="F744" s="21"/>
      <c r="G744" s="21"/>
      <c r="H744" s="21"/>
      <c r="I744" s="21"/>
      <c r="J744" s="21"/>
    </row>
    <row r="745" ht="15.75" customHeight="1">
      <c r="A745" s="21"/>
      <c r="B745" s="21"/>
      <c r="C745" s="21"/>
      <c r="D745" s="21"/>
      <c r="E745" s="21"/>
      <c r="F745" s="21"/>
      <c r="G745" s="21"/>
      <c r="H745" s="21"/>
      <c r="I745" s="21"/>
      <c r="J745" s="21"/>
    </row>
    <row r="746" ht="15.75" customHeight="1">
      <c r="A746" s="21"/>
      <c r="B746" s="21"/>
      <c r="C746" s="21"/>
      <c r="D746" s="21"/>
      <c r="E746" s="21"/>
      <c r="F746" s="21"/>
      <c r="G746" s="21"/>
      <c r="H746" s="21"/>
      <c r="I746" s="21"/>
      <c r="J746" s="21"/>
    </row>
    <row r="747" ht="15.75" customHeight="1">
      <c r="A747" s="21"/>
      <c r="B747" s="21"/>
      <c r="C747" s="21"/>
      <c r="D747" s="21"/>
      <c r="E747" s="21"/>
      <c r="F747" s="21"/>
      <c r="G747" s="21"/>
      <c r="H747" s="21"/>
      <c r="I747" s="21"/>
      <c r="J747" s="21"/>
    </row>
    <row r="748" ht="15.75" customHeight="1">
      <c r="A748" s="21"/>
      <c r="B748" s="21"/>
      <c r="C748" s="21"/>
      <c r="D748" s="21"/>
      <c r="E748" s="21"/>
      <c r="F748" s="21"/>
      <c r="G748" s="21"/>
      <c r="H748" s="21"/>
      <c r="I748" s="21"/>
      <c r="J748" s="21"/>
    </row>
    <row r="749" ht="15.75" customHeight="1">
      <c r="A749" s="21"/>
      <c r="B749" s="21"/>
      <c r="C749" s="21"/>
      <c r="D749" s="21"/>
      <c r="E749" s="21"/>
      <c r="F749" s="21"/>
      <c r="G749" s="21"/>
      <c r="H749" s="21"/>
      <c r="I749" s="21"/>
      <c r="J749" s="21"/>
    </row>
    <row r="750" ht="15.75" customHeight="1">
      <c r="A750" s="21"/>
      <c r="B750" s="21"/>
      <c r="C750" s="21"/>
      <c r="D750" s="21"/>
      <c r="E750" s="21"/>
      <c r="F750" s="21"/>
      <c r="G750" s="21"/>
      <c r="H750" s="21"/>
      <c r="I750" s="21"/>
      <c r="J750" s="21"/>
    </row>
    <row r="751" ht="15.75" customHeight="1">
      <c r="A751" s="21"/>
      <c r="B751" s="21"/>
      <c r="C751" s="21"/>
      <c r="D751" s="21"/>
      <c r="E751" s="21"/>
      <c r="F751" s="21"/>
      <c r="G751" s="21"/>
      <c r="H751" s="21"/>
      <c r="I751" s="21"/>
      <c r="J751" s="21"/>
    </row>
    <row r="752" ht="15.75" customHeight="1">
      <c r="A752" s="21"/>
      <c r="B752" s="21"/>
      <c r="C752" s="21"/>
      <c r="D752" s="21"/>
      <c r="E752" s="21"/>
      <c r="F752" s="21"/>
      <c r="G752" s="21"/>
      <c r="H752" s="21"/>
      <c r="I752" s="21"/>
      <c r="J752" s="21"/>
    </row>
    <row r="753" ht="15.75" customHeight="1">
      <c r="A753" s="21"/>
      <c r="B753" s="21"/>
      <c r="C753" s="21"/>
      <c r="D753" s="21"/>
      <c r="E753" s="21"/>
      <c r="F753" s="21"/>
      <c r="G753" s="21"/>
      <c r="H753" s="21"/>
      <c r="I753" s="21"/>
      <c r="J753" s="21"/>
    </row>
    <row r="754" ht="15.75" customHeight="1">
      <c r="A754" s="21"/>
      <c r="B754" s="21"/>
      <c r="C754" s="21"/>
      <c r="D754" s="21"/>
      <c r="E754" s="21"/>
      <c r="F754" s="21"/>
      <c r="G754" s="21"/>
      <c r="H754" s="21"/>
      <c r="I754" s="21"/>
      <c r="J754" s="21"/>
    </row>
    <row r="755" ht="15.75" customHeight="1">
      <c r="A755" s="21"/>
      <c r="B755" s="21"/>
      <c r="C755" s="21"/>
      <c r="D755" s="21"/>
      <c r="E755" s="21"/>
      <c r="F755" s="21"/>
      <c r="G755" s="21"/>
      <c r="H755" s="21"/>
      <c r="I755" s="21"/>
      <c r="J755" s="21"/>
    </row>
    <row r="756" ht="15.75" customHeight="1">
      <c r="A756" s="21"/>
      <c r="B756" s="21"/>
      <c r="C756" s="21"/>
      <c r="D756" s="21"/>
      <c r="E756" s="21"/>
      <c r="F756" s="21"/>
      <c r="G756" s="21"/>
      <c r="H756" s="21"/>
      <c r="I756" s="21"/>
      <c r="J756" s="21"/>
    </row>
    <row r="757" ht="15.75" customHeight="1">
      <c r="A757" s="21"/>
      <c r="B757" s="21"/>
      <c r="C757" s="21"/>
      <c r="D757" s="21"/>
      <c r="E757" s="21"/>
      <c r="F757" s="21"/>
      <c r="G757" s="21"/>
      <c r="H757" s="21"/>
      <c r="I757" s="21"/>
      <c r="J757" s="21"/>
    </row>
    <row r="758" ht="15.75" customHeight="1">
      <c r="A758" s="21"/>
      <c r="B758" s="21"/>
      <c r="C758" s="21"/>
      <c r="D758" s="21"/>
      <c r="E758" s="21"/>
      <c r="F758" s="21"/>
      <c r="G758" s="21"/>
      <c r="H758" s="21"/>
      <c r="I758" s="21"/>
      <c r="J758" s="21"/>
    </row>
    <row r="759" ht="15.75" customHeight="1">
      <c r="A759" s="21"/>
      <c r="B759" s="21"/>
      <c r="C759" s="21"/>
      <c r="D759" s="21"/>
      <c r="E759" s="21"/>
      <c r="F759" s="21"/>
      <c r="G759" s="21"/>
      <c r="H759" s="21"/>
      <c r="I759" s="21"/>
      <c r="J759" s="21"/>
    </row>
    <row r="760" ht="15.75" customHeight="1">
      <c r="A760" s="21"/>
      <c r="B760" s="21"/>
      <c r="C760" s="21"/>
      <c r="D760" s="21"/>
      <c r="E760" s="21"/>
      <c r="F760" s="21"/>
      <c r="G760" s="21"/>
      <c r="H760" s="21"/>
      <c r="I760" s="21"/>
      <c r="J760" s="21"/>
    </row>
    <row r="761" ht="15.75" customHeight="1">
      <c r="A761" s="21"/>
      <c r="B761" s="21"/>
      <c r="C761" s="21"/>
      <c r="D761" s="21"/>
      <c r="E761" s="21"/>
      <c r="F761" s="21"/>
      <c r="G761" s="21"/>
      <c r="H761" s="21"/>
      <c r="I761" s="21"/>
      <c r="J761" s="21"/>
    </row>
    <row r="762" ht="15.75" customHeight="1">
      <c r="A762" s="21"/>
      <c r="B762" s="21"/>
      <c r="C762" s="21"/>
      <c r="D762" s="21"/>
      <c r="E762" s="21"/>
      <c r="F762" s="21"/>
      <c r="G762" s="21"/>
      <c r="H762" s="21"/>
      <c r="I762" s="21"/>
      <c r="J762" s="21"/>
    </row>
    <row r="763" ht="15.75" customHeight="1">
      <c r="A763" s="21"/>
      <c r="B763" s="21"/>
      <c r="C763" s="21"/>
      <c r="D763" s="21"/>
      <c r="E763" s="21"/>
      <c r="F763" s="21"/>
      <c r="G763" s="21"/>
      <c r="H763" s="21"/>
      <c r="I763" s="21"/>
      <c r="J763" s="21"/>
    </row>
    <row r="764" ht="15.75" customHeight="1">
      <c r="A764" s="21"/>
      <c r="B764" s="21"/>
      <c r="C764" s="21"/>
      <c r="D764" s="21"/>
      <c r="E764" s="21"/>
      <c r="F764" s="21"/>
      <c r="G764" s="21"/>
      <c r="H764" s="21"/>
      <c r="I764" s="21"/>
      <c r="J764" s="21"/>
    </row>
    <row r="765" ht="15.75" customHeight="1">
      <c r="A765" s="21"/>
      <c r="B765" s="21"/>
      <c r="C765" s="21"/>
      <c r="D765" s="21"/>
      <c r="E765" s="21"/>
      <c r="F765" s="21"/>
      <c r="G765" s="21"/>
      <c r="H765" s="21"/>
      <c r="I765" s="21"/>
      <c r="J765" s="21"/>
    </row>
    <row r="766" ht="15.75" customHeight="1">
      <c r="A766" s="21"/>
      <c r="B766" s="21"/>
      <c r="C766" s="21"/>
      <c r="D766" s="21"/>
      <c r="E766" s="21"/>
      <c r="F766" s="21"/>
      <c r="G766" s="21"/>
      <c r="H766" s="21"/>
      <c r="I766" s="21"/>
      <c r="J766" s="21"/>
    </row>
    <row r="767" ht="15.75" customHeight="1">
      <c r="A767" s="21"/>
      <c r="B767" s="21"/>
      <c r="C767" s="21"/>
      <c r="D767" s="21"/>
      <c r="E767" s="21"/>
      <c r="F767" s="21"/>
      <c r="G767" s="21"/>
      <c r="H767" s="21"/>
      <c r="I767" s="21"/>
      <c r="J767" s="21"/>
    </row>
    <row r="768" ht="15.75" customHeight="1">
      <c r="A768" s="21"/>
      <c r="B768" s="21"/>
      <c r="C768" s="21"/>
      <c r="D768" s="21"/>
      <c r="E768" s="21"/>
      <c r="F768" s="21"/>
      <c r="G768" s="21"/>
      <c r="H768" s="21"/>
      <c r="I768" s="21"/>
      <c r="J768" s="21"/>
    </row>
    <row r="769" ht="15.75" customHeight="1">
      <c r="A769" s="21"/>
      <c r="B769" s="21"/>
      <c r="C769" s="21"/>
      <c r="D769" s="21"/>
      <c r="E769" s="21"/>
      <c r="F769" s="21"/>
      <c r="G769" s="21"/>
      <c r="H769" s="21"/>
      <c r="I769" s="21"/>
      <c r="J769" s="21"/>
    </row>
    <row r="770" ht="15.75" customHeight="1">
      <c r="A770" s="21"/>
      <c r="B770" s="21"/>
      <c r="C770" s="21"/>
      <c r="D770" s="21"/>
      <c r="E770" s="21"/>
      <c r="F770" s="21"/>
      <c r="G770" s="21"/>
      <c r="H770" s="21"/>
      <c r="I770" s="21"/>
      <c r="J770" s="21"/>
    </row>
    <row r="771" ht="15.75" customHeight="1">
      <c r="A771" s="21"/>
      <c r="B771" s="21"/>
      <c r="C771" s="21"/>
      <c r="D771" s="21"/>
      <c r="E771" s="21"/>
      <c r="F771" s="21"/>
      <c r="G771" s="21"/>
      <c r="H771" s="21"/>
      <c r="I771" s="21"/>
      <c r="J771" s="21"/>
    </row>
    <row r="772" ht="15.75" customHeight="1">
      <c r="A772" s="21"/>
      <c r="B772" s="21"/>
      <c r="C772" s="21"/>
      <c r="D772" s="21"/>
      <c r="E772" s="21"/>
      <c r="F772" s="21"/>
      <c r="G772" s="21"/>
      <c r="H772" s="21"/>
      <c r="I772" s="21"/>
      <c r="J772" s="21"/>
    </row>
    <row r="773" ht="15.75" customHeight="1">
      <c r="A773" s="21"/>
      <c r="B773" s="21"/>
      <c r="C773" s="21"/>
      <c r="D773" s="21"/>
      <c r="E773" s="21"/>
      <c r="F773" s="21"/>
      <c r="G773" s="21"/>
      <c r="H773" s="21"/>
      <c r="I773" s="21"/>
      <c r="J773" s="21"/>
    </row>
    <row r="774" ht="15.75" customHeight="1">
      <c r="A774" s="21"/>
      <c r="B774" s="21"/>
      <c r="C774" s="21"/>
      <c r="D774" s="21"/>
      <c r="E774" s="21"/>
      <c r="F774" s="21"/>
      <c r="G774" s="21"/>
      <c r="H774" s="21"/>
      <c r="I774" s="21"/>
      <c r="J774" s="21"/>
    </row>
    <row r="775" ht="15.75" customHeight="1">
      <c r="A775" s="21"/>
      <c r="B775" s="21"/>
      <c r="C775" s="21"/>
      <c r="D775" s="21"/>
      <c r="E775" s="21"/>
      <c r="F775" s="21"/>
      <c r="G775" s="21"/>
      <c r="H775" s="21"/>
      <c r="I775" s="21"/>
      <c r="J775" s="21"/>
    </row>
    <row r="776" ht="15.75" customHeight="1">
      <c r="A776" s="21"/>
      <c r="B776" s="21"/>
      <c r="C776" s="21"/>
      <c r="D776" s="21"/>
      <c r="E776" s="21"/>
      <c r="F776" s="21"/>
      <c r="G776" s="21"/>
      <c r="H776" s="21"/>
      <c r="I776" s="21"/>
      <c r="J776" s="21"/>
    </row>
    <row r="777" ht="15.75" customHeight="1">
      <c r="A777" s="21"/>
      <c r="B777" s="21"/>
      <c r="C777" s="21"/>
      <c r="D777" s="21"/>
      <c r="E777" s="21"/>
      <c r="F777" s="21"/>
      <c r="G777" s="21"/>
      <c r="H777" s="21"/>
      <c r="I777" s="21"/>
      <c r="J777" s="21"/>
    </row>
    <row r="778" ht="15.75" customHeight="1">
      <c r="A778" s="21"/>
      <c r="B778" s="21"/>
      <c r="C778" s="21"/>
      <c r="D778" s="21"/>
      <c r="E778" s="21"/>
      <c r="F778" s="21"/>
      <c r="G778" s="21"/>
      <c r="H778" s="21"/>
      <c r="I778" s="21"/>
      <c r="J778" s="21"/>
    </row>
    <row r="779" ht="15.75" customHeight="1">
      <c r="A779" s="21"/>
      <c r="B779" s="21"/>
      <c r="C779" s="21"/>
      <c r="D779" s="21"/>
      <c r="E779" s="21"/>
      <c r="F779" s="21"/>
      <c r="G779" s="21"/>
      <c r="H779" s="21"/>
      <c r="I779" s="21"/>
      <c r="J779" s="21"/>
    </row>
    <row r="780" ht="15.75" customHeight="1">
      <c r="A780" s="21"/>
      <c r="B780" s="21"/>
      <c r="C780" s="21"/>
      <c r="D780" s="21"/>
      <c r="E780" s="21"/>
      <c r="F780" s="21"/>
      <c r="G780" s="21"/>
      <c r="H780" s="21"/>
      <c r="I780" s="21"/>
      <c r="J780" s="21"/>
    </row>
    <row r="781" ht="15.75" customHeight="1">
      <c r="A781" s="21"/>
      <c r="B781" s="21"/>
      <c r="C781" s="21"/>
      <c r="D781" s="21"/>
      <c r="E781" s="21"/>
      <c r="F781" s="21"/>
      <c r="G781" s="21"/>
      <c r="H781" s="21"/>
      <c r="I781" s="21"/>
      <c r="J781" s="21"/>
    </row>
    <row r="782" ht="15.75" customHeight="1">
      <c r="A782" s="21"/>
      <c r="B782" s="21"/>
      <c r="C782" s="21"/>
      <c r="D782" s="21"/>
      <c r="E782" s="21"/>
      <c r="F782" s="21"/>
      <c r="G782" s="21"/>
      <c r="H782" s="21"/>
      <c r="I782" s="21"/>
      <c r="J782" s="21"/>
    </row>
    <row r="783" ht="15.75" customHeight="1">
      <c r="A783" s="21"/>
      <c r="B783" s="21"/>
      <c r="C783" s="21"/>
      <c r="D783" s="21"/>
      <c r="E783" s="21"/>
      <c r="F783" s="21"/>
      <c r="G783" s="21"/>
      <c r="H783" s="21"/>
      <c r="I783" s="21"/>
      <c r="J783" s="21"/>
    </row>
    <row r="784" ht="15.75" customHeight="1">
      <c r="A784" s="21"/>
      <c r="B784" s="21"/>
      <c r="C784" s="21"/>
      <c r="D784" s="21"/>
      <c r="E784" s="21"/>
      <c r="F784" s="21"/>
      <c r="G784" s="21"/>
      <c r="H784" s="21"/>
      <c r="I784" s="21"/>
      <c r="J784" s="21"/>
    </row>
    <row r="785" ht="15.75" customHeight="1">
      <c r="A785" s="21"/>
      <c r="B785" s="21"/>
      <c r="C785" s="21"/>
      <c r="D785" s="21"/>
      <c r="E785" s="21"/>
      <c r="F785" s="21"/>
      <c r="G785" s="21"/>
      <c r="H785" s="21"/>
      <c r="I785" s="21"/>
      <c r="J785" s="21"/>
    </row>
    <row r="786" ht="15.75" customHeight="1">
      <c r="A786" s="21"/>
      <c r="B786" s="21"/>
      <c r="C786" s="21"/>
      <c r="D786" s="21"/>
      <c r="E786" s="21"/>
      <c r="F786" s="21"/>
      <c r="G786" s="21"/>
      <c r="H786" s="21"/>
      <c r="I786" s="21"/>
      <c r="J786" s="21"/>
    </row>
    <row r="787" ht="15.75" customHeight="1">
      <c r="A787" s="21"/>
      <c r="B787" s="21"/>
      <c r="C787" s="21"/>
      <c r="D787" s="21"/>
      <c r="E787" s="21"/>
      <c r="F787" s="21"/>
      <c r="G787" s="21"/>
      <c r="H787" s="21"/>
      <c r="I787" s="21"/>
      <c r="J787" s="21"/>
    </row>
    <row r="788" ht="15.75" customHeight="1">
      <c r="A788" s="21"/>
      <c r="B788" s="21"/>
      <c r="C788" s="21"/>
      <c r="D788" s="21"/>
      <c r="E788" s="21"/>
      <c r="F788" s="21"/>
      <c r="G788" s="21"/>
      <c r="H788" s="21"/>
      <c r="I788" s="21"/>
      <c r="J788" s="21"/>
    </row>
    <row r="789" ht="15.75" customHeight="1">
      <c r="A789" s="21"/>
      <c r="B789" s="21"/>
      <c r="C789" s="21"/>
      <c r="D789" s="21"/>
      <c r="E789" s="21"/>
      <c r="F789" s="21"/>
      <c r="G789" s="21"/>
      <c r="H789" s="21"/>
      <c r="I789" s="21"/>
      <c r="J789" s="21"/>
    </row>
    <row r="790" ht="15.75" customHeight="1">
      <c r="A790" s="21"/>
      <c r="B790" s="21"/>
      <c r="C790" s="21"/>
      <c r="D790" s="21"/>
      <c r="E790" s="21"/>
      <c r="F790" s="21"/>
      <c r="G790" s="21"/>
      <c r="H790" s="21"/>
      <c r="I790" s="21"/>
      <c r="J790" s="21"/>
    </row>
    <row r="791" ht="15.75" customHeight="1">
      <c r="A791" s="21"/>
      <c r="B791" s="21"/>
      <c r="C791" s="21"/>
      <c r="D791" s="21"/>
      <c r="E791" s="21"/>
      <c r="F791" s="21"/>
      <c r="G791" s="21"/>
      <c r="H791" s="21"/>
      <c r="I791" s="21"/>
      <c r="J791" s="21"/>
    </row>
    <row r="792" ht="15.75" customHeight="1">
      <c r="A792" s="21"/>
      <c r="B792" s="21"/>
      <c r="C792" s="21"/>
      <c r="D792" s="21"/>
      <c r="E792" s="21"/>
      <c r="F792" s="21"/>
      <c r="G792" s="21"/>
      <c r="H792" s="21"/>
      <c r="I792" s="21"/>
      <c r="J792" s="21"/>
    </row>
    <row r="793" ht="15.75" customHeight="1">
      <c r="A793" s="21"/>
      <c r="B793" s="21"/>
      <c r="C793" s="21"/>
      <c r="D793" s="21"/>
      <c r="E793" s="21"/>
      <c r="F793" s="21"/>
      <c r="G793" s="21"/>
      <c r="H793" s="21"/>
      <c r="I793" s="21"/>
      <c r="J793" s="21"/>
    </row>
    <row r="794" ht="15.75" customHeight="1">
      <c r="A794" s="21"/>
      <c r="B794" s="21"/>
      <c r="C794" s="21"/>
      <c r="D794" s="21"/>
      <c r="E794" s="21"/>
      <c r="F794" s="21"/>
      <c r="G794" s="21"/>
      <c r="H794" s="21"/>
      <c r="I794" s="21"/>
      <c r="J794" s="21"/>
    </row>
    <row r="795" ht="15.75" customHeight="1">
      <c r="A795" s="21"/>
      <c r="B795" s="21"/>
      <c r="C795" s="21"/>
      <c r="D795" s="21"/>
      <c r="E795" s="21"/>
      <c r="F795" s="21"/>
      <c r="G795" s="21"/>
      <c r="H795" s="21"/>
      <c r="I795" s="21"/>
      <c r="J795" s="21"/>
    </row>
    <row r="796" ht="15.75" customHeight="1">
      <c r="A796" s="21"/>
      <c r="B796" s="21"/>
      <c r="C796" s="21"/>
      <c r="D796" s="21"/>
      <c r="E796" s="21"/>
      <c r="F796" s="21"/>
      <c r="G796" s="21"/>
      <c r="H796" s="21"/>
      <c r="I796" s="21"/>
      <c r="J796" s="21"/>
    </row>
    <row r="797" ht="15.75" customHeight="1">
      <c r="A797" s="21"/>
      <c r="B797" s="21"/>
      <c r="C797" s="21"/>
      <c r="D797" s="21"/>
      <c r="E797" s="21"/>
      <c r="F797" s="21"/>
      <c r="G797" s="21"/>
      <c r="H797" s="21"/>
      <c r="I797" s="21"/>
      <c r="J797" s="21"/>
    </row>
    <row r="798" ht="15.75" customHeight="1">
      <c r="A798" s="21"/>
      <c r="B798" s="21"/>
      <c r="C798" s="21"/>
      <c r="D798" s="21"/>
      <c r="E798" s="21"/>
      <c r="F798" s="21"/>
      <c r="G798" s="21"/>
      <c r="H798" s="21"/>
      <c r="I798" s="21"/>
      <c r="J798" s="21"/>
    </row>
    <row r="799" ht="15.75" customHeight="1">
      <c r="A799" s="21"/>
      <c r="B799" s="21"/>
      <c r="C799" s="21"/>
      <c r="D799" s="21"/>
      <c r="E799" s="21"/>
      <c r="F799" s="21"/>
      <c r="G799" s="21"/>
      <c r="H799" s="21"/>
      <c r="I799" s="21"/>
      <c r="J799" s="21"/>
    </row>
    <row r="800" ht="15.75" customHeight="1">
      <c r="A800" s="21"/>
      <c r="B800" s="21"/>
      <c r="C800" s="21"/>
      <c r="D800" s="21"/>
      <c r="E800" s="21"/>
      <c r="F800" s="21"/>
      <c r="G800" s="21"/>
      <c r="H800" s="21"/>
      <c r="I800" s="21"/>
      <c r="J800" s="21"/>
    </row>
    <row r="801" ht="15.75" customHeight="1">
      <c r="A801" s="21"/>
      <c r="B801" s="21"/>
      <c r="C801" s="21"/>
      <c r="D801" s="21"/>
      <c r="E801" s="21"/>
      <c r="F801" s="21"/>
      <c r="G801" s="21"/>
      <c r="H801" s="21"/>
      <c r="I801" s="21"/>
      <c r="J801" s="21"/>
    </row>
    <row r="802" ht="15.75" customHeight="1">
      <c r="A802" s="21"/>
      <c r="B802" s="21"/>
      <c r="C802" s="21"/>
      <c r="D802" s="21"/>
      <c r="E802" s="21"/>
      <c r="F802" s="21"/>
      <c r="G802" s="21"/>
      <c r="H802" s="21"/>
      <c r="I802" s="21"/>
      <c r="J802" s="21"/>
    </row>
    <row r="803" ht="15.75" customHeight="1">
      <c r="A803" s="21"/>
      <c r="B803" s="21"/>
      <c r="C803" s="21"/>
      <c r="D803" s="21"/>
      <c r="E803" s="21"/>
      <c r="F803" s="21"/>
      <c r="G803" s="21"/>
      <c r="H803" s="21"/>
      <c r="I803" s="21"/>
      <c r="J803" s="21"/>
    </row>
    <row r="804" ht="15.75" customHeight="1">
      <c r="A804" s="21"/>
      <c r="B804" s="21"/>
      <c r="C804" s="21"/>
      <c r="D804" s="21"/>
      <c r="E804" s="21"/>
      <c r="F804" s="21"/>
      <c r="G804" s="21"/>
      <c r="H804" s="21"/>
      <c r="I804" s="21"/>
      <c r="J804" s="21"/>
    </row>
    <row r="805" ht="15.75" customHeight="1">
      <c r="A805" s="21"/>
      <c r="B805" s="21"/>
      <c r="C805" s="21"/>
      <c r="D805" s="21"/>
      <c r="E805" s="21"/>
      <c r="F805" s="21"/>
      <c r="G805" s="21"/>
      <c r="H805" s="21"/>
      <c r="I805" s="21"/>
      <c r="J805" s="21"/>
    </row>
    <row r="806" ht="15.75" customHeight="1">
      <c r="A806" s="21"/>
      <c r="B806" s="21"/>
      <c r="C806" s="21"/>
      <c r="D806" s="21"/>
      <c r="E806" s="21"/>
      <c r="F806" s="21"/>
      <c r="G806" s="21"/>
      <c r="H806" s="21"/>
      <c r="I806" s="21"/>
      <c r="J806" s="21"/>
    </row>
    <row r="807" ht="15.75" customHeight="1">
      <c r="A807" s="21"/>
      <c r="B807" s="21"/>
      <c r="C807" s="21"/>
      <c r="D807" s="21"/>
      <c r="E807" s="21"/>
      <c r="F807" s="21"/>
      <c r="G807" s="21"/>
      <c r="H807" s="21"/>
      <c r="I807" s="21"/>
      <c r="J807" s="21"/>
    </row>
    <row r="808" ht="15.75" customHeight="1">
      <c r="A808" s="21"/>
      <c r="B808" s="21"/>
      <c r="C808" s="21"/>
      <c r="D808" s="21"/>
      <c r="E808" s="21"/>
      <c r="F808" s="21"/>
      <c r="G808" s="21"/>
      <c r="H808" s="21"/>
      <c r="I808" s="21"/>
      <c r="J808" s="21"/>
    </row>
    <row r="809" ht="15.75" customHeight="1">
      <c r="A809" s="21"/>
      <c r="B809" s="21"/>
      <c r="C809" s="21"/>
      <c r="D809" s="21"/>
      <c r="E809" s="21"/>
      <c r="F809" s="21"/>
      <c r="G809" s="21"/>
      <c r="H809" s="21"/>
      <c r="I809" s="21"/>
      <c r="J809" s="21"/>
    </row>
    <row r="810" ht="15.75" customHeight="1">
      <c r="A810" s="21"/>
      <c r="B810" s="21"/>
      <c r="C810" s="21"/>
      <c r="D810" s="21"/>
      <c r="E810" s="21"/>
      <c r="F810" s="21"/>
      <c r="G810" s="21"/>
      <c r="H810" s="21"/>
      <c r="I810" s="21"/>
      <c r="J810" s="21"/>
    </row>
    <row r="811" ht="15.75" customHeight="1">
      <c r="A811" s="21"/>
      <c r="B811" s="21"/>
      <c r="C811" s="21"/>
      <c r="D811" s="21"/>
      <c r="E811" s="21"/>
      <c r="F811" s="21"/>
      <c r="G811" s="21"/>
      <c r="H811" s="21"/>
      <c r="I811" s="21"/>
      <c r="J811" s="21"/>
    </row>
    <row r="812" ht="15.75" customHeight="1">
      <c r="A812" s="21"/>
      <c r="B812" s="21"/>
      <c r="C812" s="21"/>
      <c r="D812" s="21"/>
      <c r="E812" s="21"/>
      <c r="F812" s="21"/>
      <c r="G812" s="21"/>
      <c r="H812" s="21"/>
      <c r="I812" s="21"/>
      <c r="J812" s="21"/>
    </row>
    <row r="813" ht="15.75" customHeight="1">
      <c r="A813" s="21"/>
      <c r="B813" s="21"/>
      <c r="C813" s="21"/>
      <c r="D813" s="21"/>
      <c r="E813" s="21"/>
      <c r="F813" s="21"/>
      <c r="G813" s="21"/>
      <c r="H813" s="21"/>
      <c r="I813" s="21"/>
      <c r="J813" s="21"/>
    </row>
    <row r="814" ht="15.75" customHeight="1">
      <c r="A814" s="21"/>
      <c r="B814" s="21"/>
      <c r="C814" s="21"/>
      <c r="D814" s="21"/>
      <c r="E814" s="21"/>
      <c r="F814" s="21"/>
      <c r="G814" s="21"/>
      <c r="H814" s="21"/>
      <c r="I814" s="21"/>
      <c r="J814" s="21"/>
    </row>
    <row r="815" ht="15.75" customHeight="1">
      <c r="A815" s="21"/>
      <c r="B815" s="21"/>
      <c r="C815" s="21"/>
      <c r="D815" s="21"/>
      <c r="E815" s="21"/>
      <c r="F815" s="21"/>
      <c r="G815" s="21"/>
      <c r="H815" s="21"/>
      <c r="I815" s="21"/>
      <c r="J815" s="21"/>
    </row>
    <row r="816" ht="15.75" customHeight="1">
      <c r="A816" s="21"/>
      <c r="B816" s="21"/>
      <c r="C816" s="21"/>
      <c r="D816" s="21"/>
      <c r="E816" s="21"/>
      <c r="F816" s="21"/>
      <c r="G816" s="21"/>
      <c r="H816" s="21"/>
      <c r="I816" s="21"/>
      <c r="J816" s="21"/>
    </row>
    <row r="817" ht="15.75" customHeight="1">
      <c r="A817" s="21"/>
      <c r="B817" s="21"/>
      <c r="C817" s="21"/>
      <c r="D817" s="21"/>
      <c r="E817" s="21"/>
      <c r="F817" s="21"/>
      <c r="G817" s="21"/>
      <c r="H817" s="21"/>
      <c r="I817" s="21"/>
      <c r="J817" s="21"/>
    </row>
    <row r="818" ht="15.75" customHeight="1">
      <c r="A818" s="21"/>
      <c r="B818" s="21"/>
      <c r="C818" s="21"/>
      <c r="D818" s="21"/>
      <c r="E818" s="21"/>
      <c r="F818" s="21"/>
      <c r="G818" s="21"/>
      <c r="H818" s="21"/>
      <c r="I818" s="21"/>
      <c r="J818" s="21"/>
    </row>
    <row r="819" ht="15.75" customHeight="1">
      <c r="A819" s="21"/>
      <c r="B819" s="21"/>
      <c r="C819" s="21"/>
      <c r="D819" s="21"/>
      <c r="E819" s="21"/>
      <c r="F819" s="21"/>
      <c r="G819" s="21"/>
      <c r="H819" s="21"/>
      <c r="I819" s="21"/>
      <c r="J819" s="21"/>
    </row>
    <row r="820" ht="15.75" customHeight="1">
      <c r="A820" s="21"/>
      <c r="B820" s="21"/>
      <c r="C820" s="21"/>
      <c r="D820" s="21"/>
      <c r="E820" s="21"/>
      <c r="F820" s="21"/>
      <c r="G820" s="21"/>
      <c r="H820" s="21"/>
      <c r="I820" s="21"/>
      <c r="J820" s="21"/>
    </row>
    <row r="821" ht="15.75" customHeight="1">
      <c r="A821" s="21"/>
      <c r="B821" s="21"/>
      <c r="C821" s="21"/>
      <c r="D821" s="21"/>
      <c r="E821" s="21"/>
      <c r="F821" s="21"/>
      <c r="G821" s="21"/>
      <c r="H821" s="21"/>
      <c r="I821" s="21"/>
      <c r="J821" s="21"/>
    </row>
    <row r="822" ht="15.75" customHeight="1">
      <c r="A822" s="21"/>
      <c r="B822" s="21"/>
      <c r="C822" s="21"/>
      <c r="D822" s="21"/>
      <c r="E822" s="21"/>
      <c r="F822" s="21"/>
      <c r="G822" s="21"/>
      <c r="H822" s="21"/>
      <c r="I822" s="21"/>
      <c r="J822" s="21"/>
    </row>
    <row r="823" ht="15.75" customHeight="1">
      <c r="A823" s="21"/>
      <c r="B823" s="21"/>
      <c r="C823" s="21"/>
      <c r="D823" s="21"/>
      <c r="E823" s="21"/>
      <c r="F823" s="21"/>
      <c r="G823" s="21"/>
      <c r="H823" s="21"/>
      <c r="I823" s="21"/>
      <c r="J823" s="21"/>
    </row>
    <row r="824" ht="15.75" customHeight="1">
      <c r="A824" s="21"/>
      <c r="B824" s="21"/>
      <c r="C824" s="21"/>
      <c r="D824" s="21"/>
      <c r="E824" s="21"/>
      <c r="F824" s="21"/>
      <c r="G824" s="21"/>
      <c r="H824" s="21"/>
      <c r="I824" s="21"/>
      <c r="J824" s="21"/>
    </row>
    <row r="825" ht="15.75" customHeight="1">
      <c r="A825" s="21"/>
      <c r="B825" s="21"/>
      <c r="C825" s="21"/>
      <c r="D825" s="21"/>
      <c r="E825" s="21"/>
      <c r="F825" s="21"/>
      <c r="G825" s="21"/>
      <c r="H825" s="21"/>
      <c r="I825" s="21"/>
      <c r="J825" s="21"/>
    </row>
    <row r="826" ht="15.75" customHeight="1">
      <c r="A826" s="21"/>
      <c r="B826" s="21"/>
      <c r="C826" s="21"/>
      <c r="D826" s="21"/>
      <c r="E826" s="21"/>
      <c r="F826" s="21"/>
      <c r="G826" s="21"/>
      <c r="H826" s="21"/>
      <c r="I826" s="21"/>
      <c r="J826" s="21"/>
    </row>
    <row r="827" ht="15.75" customHeight="1">
      <c r="A827" s="21"/>
      <c r="B827" s="21"/>
      <c r="C827" s="21"/>
      <c r="D827" s="21"/>
      <c r="E827" s="21"/>
      <c r="F827" s="21"/>
      <c r="G827" s="21"/>
      <c r="H827" s="21"/>
      <c r="I827" s="21"/>
      <c r="J827" s="21"/>
    </row>
    <row r="828" ht="15.75" customHeight="1">
      <c r="A828" s="21"/>
      <c r="B828" s="21"/>
      <c r="C828" s="21"/>
      <c r="D828" s="21"/>
      <c r="E828" s="21"/>
      <c r="F828" s="21"/>
      <c r="G828" s="21"/>
      <c r="H828" s="21"/>
      <c r="I828" s="21"/>
      <c r="J828" s="21"/>
    </row>
    <row r="829" ht="15.75" customHeight="1">
      <c r="A829" s="21"/>
      <c r="B829" s="21"/>
      <c r="C829" s="21"/>
      <c r="D829" s="21"/>
      <c r="E829" s="21"/>
      <c r="F829" s="21"/>
      <c r="G829" s="21"/>
      <c r="H829" s="21"/>
      <c r="I829" s="21"/>
      <c r="J829" s="21"/>
    </row>
    <row r="830" ht="15.75" customHeight="1">
      <c r="A830" s="21"/>
      <c r="B830" s="21"/>
      <c r="C830" s="21"/>
      <c r="D830" s="21"/>
      <c r="E830" s="21"/>
      <c r="F830" s="21"/>
      <c r="G830" s="21"/>
      <c r="H830" s="21"/>
      <c r="I830" s="21"/>
      <c r="J830" s="21"/>
    </row>
    <row r="831" ht="15.75" customHeight="1">
      <c r="A831" s="21"/>
      <c r="B831" s="21"/>
      <c r="C831" s="21"/>
      <c r="D831" s="21"/>
      <c r="E831" s="21"/>
      <c r="F831" s="21"/>
      <c r="G831" s="21"/>
      <c r="H831" s="21"/>
      <c r="I831" s="21"/>
      <c r="J831" s="21"/>
    </row>
    <row r="832" ht="15.75" customHeight="1">
      <c r="A832" s="21"/>
      <c r="B832" s="21"/>
      <c r="C832" s="21"/>
      <c r="D832" s="21"/>
      <c r="E832" s="21"/>
      <c r="F832" s="21"/>
      <c r="G832" s="21"/>
      <c r="H832" s="21"/>
      <c r="I832" s="21"/>
      <c r="J832" s="21"/>
    </row>
    <row r="833" ht="15.75" customHeight="1">
      <c r="A833" s="21"/>
      <c r="B833" s="21"/>
      <c r="C833" s="21"/>
      <c r="D833" s="21"/>
      <c r="E833" s="21"/>
      <c r="F833" s="21"/>
      <c r="G833" s="21"/>
      <c r="H833" s="21"/>
      <c r="I833" s="21"/>
      <c r="J833" s="21"/>
    </row>
    <row r="834" ht="15.75" customHeight="1">
      <c r="A834" s="21"/>
      <c r="B834" s="21"/>
      <c r="C834" s="21"/>
      <c r="D834" s="21"/>
      <c r="E834" s="21"/>
      <c r="F834" s="21"/>
      <c r="G834" s="21"/>
      <c r="H834" s="21"/>
      <c r="I834" s="21"/>
      <c r="J834" s="21"/>
    </row>
    <row r="835" ht="15.75" customHeight="1">
      <c r="A835" s="21"/>
      <c r="B835" s="21"/>
      <c r="C835" s="21"/>
      <c r="D835" s="21"/>
      <c r="E835" s="21"/>
      <c r="F835" s="21"/>
      <c r="G835" s="21"/>
      <c r="H835" s="21"/>
      <c r="I835" s="21"/>
      <c r="J835" s="21"/>
    </row>
    <row r="836" ht="15.75" customHeight="1">
      <c r="A836" s="21"/>
      <c r="B836" s="21"/>
      <c r="C836" s="21"/>
      <c r="D836" s="21"/>
      <c r="E836" s="21"/>
      <c r="F836" s="21"/>
      <c r="G836" s="21"/>
      <c r="H836" s="21"/>
      <c r="I836" s="21"/>
      <c r="J836" s="21"/>
    </row>
    <row r="837" ht="15.75" customHeight="1">
      <c r="A837" s="21"/>
      <c r="B837" s="21"/>
      <c r="C837" s="21"/>
      <c r="D837" s="21"/>
      <c r="E837" s="21"/>
      <c r="F837" s="21"/>
      <c r="G837" s="21"/>
      <c r="H837" s="21"/>
      <c r="I837" s="21"/>
      <c r="J837" s="21"/>
    </row>
    <row r="838" ht="15.75" customHeight="1">
      <c r="A838" s="21"/>
      <c r="B838" s="21"/>
      <c r="C838" s="21"/>
      <c r="D838" s="21"/>
      <c r="E838" s="21"/>
      <c r="F838" s="21"/>
      <c r="G838" s="21"/>
      <c r="H838" s="21"/>
      <c r="I838" s="21"/>
      <c r="J838" s="21"/>
    </row>
    <row r="839" ht="15.75" customHeight="1">
      <c r="A839" s="21"/>
      <c r="B839" s="21"/>
      <c r="C839" s="21"/>
      <c r="D839" s="21"/>
      <c r="E839" s="21"/>
      <c r="F839" s="21"/>
      <c r="G839" s="21"/>
      <c r="H839" s="21"/>
      <c r="I839" s="21"/>
      <c r="J839" s="21"/>
    </row>
    <row r="840" ht="15.75" customHeight="1">
      <c r="A840" s="21"/>
      <c r="B840" s="21"/>
      <c r="C840" s="21"/>
      <c r="D840" s="21"/>
      <c r="E840" s="21"/>
      <c r="F840" s="21"/>
      <c r="G840" s="21"/>
      <c r="H840" s="21"/>
      <c r="I840" s="21"/>
      <c r="J840" s="21"/>
    </row>
    <row r="841" ht="15.75" customHeight="1">
      <c r="A841" s="21"/>
      <c r="B841" s="21"/>
      <c r="C841" s="21"/>
      <c r="D841" s="21"/>
      <c r="E841" s="21"/>
      <c r="F841" s="21"/>
      <c r="G841" s="21"/>
      <c r="H841" s="21"/>
      <c r="I841" s="21"/>
      <c r="J841" s="21"/>
    </row>
    <row r="842" ht="15.75" customHeight="1">
      <c r="A842" s="21"/>
      <c r="B842" s="21"/>
      <c r="C842" s="21"/>
      <c r="D842" s="21"/>
      <c r="E842" s="21"/>
      <c r="F842" s="21"/>
      <c r="G842" s="21"/>
      <c r="H842" s="21"/>
      <c r="I842" s="21"/>
      <c r="J842" s="21"/>
    </row>
    <row r="843" ht="15.75" customHeight="1">
      <c r="A843" s="21"/>
      <c r="B843" s="21"/>
      <c r="C843" s="21"/>
      <c r="D843" s="21"/>
      <c r="E843" s="21"/>
      <c r="F843" s="21"/>
      <c r="G843" s="21"/>
      <c r="H843" s="21"/>
      <c r="I843" s="21"/>
      <c r="J843" s="21"/>
    </row>
    <row r="844" ht="15.75" customHeight="1">
      <c r="A844" s="21"/>
      <c r="B844" s="21"/>
      <c r="C844" s="21"/>
      <c r="D844" s="21"/>
      <c r="E844" s="21"/>
      <c r="F844" s="21"/>
      <c r="G844" s="21"/>
      <c r="H844" s="21"/>
      <c r="I844" s="21"/>
      <c r="J844" s="21"/>
    </row>
    <row r="845" ht="15.75" customHeight="1">
      <c r="A845" s="21"/>
      <c r="B845" s="21"/>
      <c r="C845" s="21"/>
      <c r="D845" s="21"/>
      <c r="E845" s="21"/>
      <c r="F845" s="21"/>
      <c r="G845" s="21"/>
      <c r="H845" s="21"/>
      <c r="I845" s="21"/>
      <c r="J845" s="21"/>
    </row>
    <row r="846" ht="15.75" customHeight="1">
      <c r="A846" s="21"/>
      <c r="B846" s="21"/>
      <c r="C846" s="21"/>
      <c r="D846" s="21"/>
      <c r="E846" s="21"/>
      <c r="F846" s="21"/>
      <c r="G846" s="21"/>
      <c r="H846" s="21"/>
      <c r="I846" s="21"/>
      <c r="J846" s="21"/>
    </row>
    <row r="847" ht="15.75" customHeight="1">
      <c r="A847" s="21"/>
      <c r="B847" s="21"/>
      <c r="C847" s="21"/>
      <c r="D847" s="21"/>
      <c r="E847" s="21"/>
      <c r="F847" s="21"/>
      <c r="G847" s="21"/>
      <c r="H847" s="21"/>
      <c r="I847" s="21"/>
      <c r="J847" s="21"/>
    </row>
    <row r="848" ht="15.75" customHeight="1">
      <c r="A848" s="21"/>
      <c r="B848" s="21"/>
      <c r="C848" s="21"/>
      <c r="D848" s="21"/>
      <c r="E848" s="21"/>
      <c r="F848" s="21"/>
      <c r="G848" s="21"/>
      <c r="H848" s="21"/>
      <c r="I848" s="21"/>
      <c r="J848" s="21"/>
    </row>
    <row r="849" ht="15.75" customHeight="1">
      <c r="A849" s="21"/>
      <c r="B849" s="21"/>
      <c r="C849" s="21"/>
      <c r="D849" s="21"/>
      <c r="E849" s="21"/>
      <c r="F849" s="21"/>
      <c r="G849" s="21"/>
      <c r="H849" s="21"/>
      <c r="I849" s="21"/>
      <c r="J849" s="21"/>
    </row>
    <row r="850" ht="15.75" customHeight="1">
      <c r="A850" s="21"/>
      <c r="B850" s="21"/>
      <c r="C850" s="21"/>
      <c r="D850" s="21"/>
      <c r="E850" s="21"/>
      <c r="F850" s="21"/>
      <c r="G850" s="21"/>
      <c r="H850" s="21"/>
      <c r="I850" s="21"/>
      <c r="J850" s="21"/>
    </row>
    <row r="851" ht="15.75" customHeight="1">
      <c r="A851" s="21"/>
      <c r="B851" s="21"/>
      <c r="C851" s="21"/>
      <c r="D851" s="21"/>
      <c r="E851" s="21"/>
      <c r="F851" s="21"/>
      <c r="G851" s="21"/>
      <c r="H851" s="21"/>
      <c r="I851" s="21"/>
      <c r="J851" s="21"/>
    </row>
    <row r="852" ht="15.75" customHeight="1">
      <c r="A852" s="21"/>
      <c r="B852" s="21"/>
      <c r="C852" s="21"/>
      <c r="D852" s="21"/>
      <c r="E852" s="21"/>
      <c r="F852" s="21"/>
      <c r="G852" s="21"/>
      <c r="H852" s="21"/>
      <c r="I852" s="21"/>
      <c r="J852" s="21"/>
    </row>
    <row r="853" ht="15.75" customHeight="1">
      <c r="A853" s="21"/>
      <c r="B853" s="21"/>
      <c r="C853" s="21"/>
      <c r="D853" s="21"/>
      <c r="E853" s="21"/>
      <c r="F853" s="21"/>
      <c r="G853" s="21"/>
      <c r="H853" s="21"/>
      <c r="I853" s="21"/>
      <c r="J853" s="21"/>
    </row>
    <row r="854" ht="15.75" customHeight="1">
      <c r="A854" s="21"/>
      <c r="B854" s="21"/>
      <c r="C854" s="21"/>
      <c r="D854" s="21"/>
      <c r="E854" s="21"/>
      <c r="F854" s="21"/>
      <c r="G854" s="21"/>
      <c r="H854" s="21"/>
      <c r="I854" s="21"/>
      <c r="J854" s="21"/>
    </row>
    <row r="855" ht="15.75" customHeight="1">
      <c r="A855" s="21"/>
      <c r="B855" s="21"/>
      <c r="C855" s="21"/>
      <c r="D855" s="21"/>
      <c r="E855" s="21"/>
      <c r="F855" s="21"/>
      <c r="G855" s="21"/>
      <c r="H855" s="21"/>
      <c r="I855" s="21"/>
      <c r="J855" s="21"/>
    </row>
    <row r="856" ht="15.75" customHeight="1">
      <c r="A856" s="21"/>
      <c r="B856" s="21"/>
      <c r="C856" s="21"/>
      <c r="D856" s="21"/>
      <c r="E856" s="21"/>
      <c r="F856" s="21"/>
      <c r="G856" s="21"/>
      <c r="H856" s="21"/>
      <c r="I856" s="21"/>
      <c r="J856" s="21"/>
    </row>
    <row r="857" ht="15.75" customHeight="1">
      <c r="A857" s="21"/>
      <c r="B857" s="21"/>
      <c r="C857" s="21"/>
      <c r="D857" s="21"/>
      <c r="E857" s="21"/>
      <c r="F857" s="21"/>
      <c r="G857" s="21"/>
      <c r="H857" s="21"/>
      <c r="I857" s="21"/>
      <c r="J857" s="21"/>
    </row>
    <row r="858" ht="15.75" customHeight="1">
      <c r="A858" s="21"/>
      <c r="B858" s="21"/>
      <c r="C858" s="21"/>
      <c r="D858" s="21"/>
      <c r="E858" s="21"/>
      <c r="F858" s="21"/>
      <c r="G858" s="21"/>
      <c r="H858" s="21"/>
      <c r="I858" s="21"/>
      <c r="J858" s="21"/>
    </row>
    <row r="859" ht="15.75" customHeight="1">
      <c r="A859" s="21"/>
      <c r="B859" s="21"/>
      <c r="C859" s="21"/>
      <c r="D859" s="21"/>
      <c r="E859" s="21"/>
      <c r="F859" s="21"/>
      <c r="G859" s="21"/>
      <c r="H859" s="21"/>
      <c r="I859" s="21"/>
      <c r="J859" s="21"/>
    </row>
    <row r="860" ht="15.75" customHeight="1">
      <c r="A860" s="21"/>
      <c r="B860" s="21"/>
      <c r="C860" s="21"/>
      <c r="D860" s="21"/>
      <c r="E860" s="21"/>
      <c r="F860" s="21"/>
      <c r="G860" s="21"/>
      <c r="H860" s="21"/>
      <c r="I860" s="21"/>
      <c r="J860" s="21"/>
    </row>
    <row r="861" ht="15.75" customHeight="1">
      <c r="A861" s="21"/>
      <c r="B861" s="21"/>
      <c r="C861" s="21"/>
      <c r="D861" s="21"/>
      <c r="E861" s="21"/>
      <c r="F861" s="21"/>
      <c r="G861" s="21"/>
      <c r="H861" s="21"/>
      <c r="I861" s="21"/>
      <c r="J861" s="21"/>
    </row>
    <row r="862" ht="15.75" customHeight="1">
      <c r="A862" s="21"/>
      <c r="B862" s="21"/>
      <c r="C862" s="21"/>
      <c r="D862" s="21"/>
      <c r="E862" s="21"/>
      <c r="F862" s="21"/>
      <c r="G862" s="21"/>
      <c r="H862" s="21"/>
      <c r="I862" s="21"/>
      <c r="J862" s="21"/>
    </row>
    <row r="863" ht="15.75" customHeight="1">
      <c r="A863" s="21"/>
      <c r="B863" s="21"/>
      <c r="C863" s="21"/>
      <c r="D863" s="21"/>
      <c r="E863" s="21"/>
      <c r="F863" s="21"/>
      <c r="G863" s="21"/>
      <c r="H863" s="21"/>
      <c r="I863" s="21"/>
      <c r="J863" s="21"/>
    </row>
    <row r="864" ht="15.75" customHeight="1">
      <c r="A864" s="21"/>
      <c r="B864" s="21"/>
      <c r="C864" s="21"/>
      <c r="D864" s="21"/>
      <c r="E864" s="21"/>
      <c r="F864" s="21"/>
      <c r="G864" s="21"/>
      <c r="H864" s="21"/>
      <c r="I864" s="21"/>
      <c r="J864" s="21"/>
    </row>
    <row r="865" ht="15.75" customHeight="1">
      <c r="A865" s="21"/>
      <c r="B865" s="21"/>
      <c r="C865" s="21"/>
      <c r="D865" s="21"/>
      <c r="E865" s="21"/>
      <c r="F865" s="21"/>
      <c r="G865" s="21"/>
      <c r="H865" s="21"/>
      <c r="I865" s="21"/>
      <c r="J865" s="21"/>
    </row>
    <row r="866" ht="15.75" customHeight="1">
      <c r="A866" s="21"/>
      <c r="B866" s="21"/>
      <c r="C866" s="21"/>
      <c r="D866" s="21"/>
      <c r="E866" s="21"/>
      <c r="F866" s="21"/>
      <c r="G866" s="21"/>
      <c r="H866" s="21"/>
      <c r="I866" s="21"/>
      <c r="J866" s="21"/>
    </row>
    <row r="867" ht="15.75" customHeight="1">
      <c r="A867" s="21"/>
      <c r="B867" s="21"/>
      <c r="C867" s="21"/>
      <c r="D867" s="21"/>
      <c r="E867" s="21"/>
      <c r="F867" s="21"/>
      <c r="G867" s="21"/>
      <c r="H867" s="21"/>
      <c r="I867" s="21"/>
      <c r="J867" s="21"/>
    </row>
    <row r="868" ht="15.75" customHeight="1">
      <c r="A868" s="21"/>
      <c r="B868" s="21"/>
      <c r="C868" s="21"/>
      <c r="D868" s="21"/>
      <c r="E868" s="21"/>
      <c r="F868" s="21"/>
      <c r="G868" s="21"/>
      <c r="H868" s="21"/>
      <c r="I868" s="21"/>
      <c r="J868" s="21"/>
    </row>
    <row r="869" ht="15.75" customHeight="1">
      <c r="A869" s="21"/>
      <c r="B869" s="21"/>
      <c r="C869" s="21"/>
      <c r="D869" s="21"/>
      <c r="E869" s="21"/>
      <c r="F869" s="21"/>
      <c r="G869" s="21"/>
      <c r="H869" s="21"/>
      <c r="I869" s="21"/>
      <c r="J869" s="21"/>
    </row>
    <row r="870" ht="15.75" customHeight="1">
      <c r="A870" s="21"/>
      <c r="B870" s="21"/>
      <c r="C870" s="21"/>
      <c r="D870" s="21"/>
      <c r="E870" s="21"/>
      <c r="F870" s="21"/>
      <c r="G870" s="21"/>
      <c r="H870" s="21"/>
      <c r="I870" s="21"/>
      <c r="J870" s="21"/>
    </row>
    <row r="871" ht="15.75" customHeight="1">
      <c r="A871" s="21"/>
      <c r="B871" s="21"/>
      <c r="C871" s="21"/>
      <c r="D871" s="21"/>
      <c r="E871" s="21"/>
      <c r="F871" s="21"/>
      <c r="G871" s="21"/>
      <c r="H871" s="21"/>
      <c r="I871" s="21"/>
      <c r="J871" s="21"/>
    </row>
    <row r="872" ht="15.75" customHeight="1">
      <c r="A872" s="21"/>
      <c r="B872" s="21"/>
      <c r="C872" s="21"/>
      <c r="D872" s="21"/>
      <c r="E872" s="21"/>
      <c r="F872" s="21"/>
      <c r="G872" s="21"/>
      <c r="H872" s="21"/>
      <c r="I872" s="21"/>
      <c r="J872" s="21"/>
    </row>
    <row r="873" ht="15.75" customHeight="1">
      <c r="A873" s="21"/>
      <c r="B873" s="21"/>
      <c r="C873" s="21"/>
      <c r="D873" s="21"/>
      <c r="E873" s="21"/>
      <c r="F873" s="21"/>
      <c r="G873" s="21"/>
      <c r="H873" s="21"/>
      <c r="I873" s="21"/>
      <c r="J873" s="21"/>
    </row>
    <row r="874" ht="15.75" customHeight="1">
      <c r="A874" s="21"/>
      <c r="B874" s="21"/>
      <c r="C874" s="21"/>
      <c r="D874" s="21"/>
      <c r="E874" s="21"/>
      <c r="F874" s="21"/>
      <c r="G874" s="21"/>
      <c r="H874" s="21"/>
      <c r="I874" s="21"/>
      <c r="J874" s="21"/>
    </row>
    <row r="875" ht="15.75" customHeight="1">
      <c r="A875" s="21"/>
      <c r="B875" s="21"/>
      <c r="C875" s="21"/>
      <c r="D875" s="21"/>
      <c r="E875" s="21"/>
      <c r="F875" s="21"/>
      <c r="G875" s="21"/>
      <c r="H875" s="21"/>
      <c r="I875" s="21"/>
      <c r="J875" s="21"/>
    </row>
    <row r="876" ht="15.75" customHeight="1">
      <c r="A876" s="21"/>
      <c r="B876" s="21"/>
      <c r="C876" s="21"/>
      <c r="D876" s="21"/>
      <c r="E876" s="21"/>
      <c r="F876" s="21"/>
      <c r="G876" s="21"/>
      <c r="H876" s="21"/>
      <c r="I876" s="21"/>
      <c r="J876" s="21"/>
    </row>
    <row r="877" ht="15.75" customHeight="1">
      <c r="A877" s="21"/>
      <c r="B877" s="21"/>
      <c r="C877" s="21"/>
      <c r="D877" s="21"/>
      <c r="E877" s="21"/>
      <c r="F877" s="21"/>
      <c r="G877" s="21"/>
      <c r="H877" s="21"/>
      <c r="I877" s="21"/>
      <c r="J877" s="21"/>
    </row>
    <row r="878" ht="15.75" customHeight="1">
      <c r="A878" s="21"/>
      <c r="B878" s="21"/>
      <c r="C878" s="21"/>
      <c r="D878" s="21"/>
      <c r="E878" s="21"/>
      <c r="F878" s="21"/>
      <c r="G878" s="21"/>
      <c r="H878" s="21"/>
      <c r="I878" s="21"/>
      <c r="J878" s="21"/>
    </row>
    <row r="879" ht="15.75" customHeight="1">
      <c r="A879" s="21"/>
      <c r="B879" s="21"/>
      <c r="C879" s="21"/>
      <c r="D879" s="21"/>
      <c r="E879" s="21"/>
      <c r="F879" s="21"/>
      <c r="G879" s="21"/>
      <c r="H879" s="21"/>
      <c r="I879" s="21"/>
      <c r="J879" s="21"/>
    </row>
    <row r="880" ht="15.75" customHeight="1">
      <c r="A880" s="21"/>
      <c r="B880" s="21"/>
      <c r="C880" s="21"/>
      <c r="D880" s="21"/>
      <c r="E880" s="21"/>
      <c r="F880" s="21"/>
      <c r="G880" s="21"/>
      <c r="H880" s="21"/>
      <c r="I880" s="21"/>
      <c r="J880" s="21"/>
    </row>
    <row r="881" ht="15.75" customHeight="1">
      <c r="A881" s="21"/>
      <c r="B881" s="21"/>
      <c r="C881" s="21"/>
      <c r="D881" s="21"/>
      <c r="E881" s="21"/>
      <c r="F881" s="21"/>
      <c r="G881" s="21"/>
      <c r="H881" s="21"/>
      <c r="I881" s="21"/>
      <c r="J881" s="21"/>
    </row>
    <row r="882" ht="15.75" customHeight="1">
      <c r="A882" s="21"/>
      <c r="B882" s="21"/>
      <c r="C882" s="21"/>
      <c r="D882" s="21"/>
      <c r="E882" s="21"/>
      <c r="F882" s="21"/>
      <c r="G882" s="21"/>
      <c r="H882" s="21"/>
      <c r="I882" s="21"/>
      <c r="J882" s="21"/>
    </row>
    <row r="883" ht="15.75" customHeight="1">
      <c r="A883" s="21"/>
      <c r="B883" s="21"/>
      <c r="C883" s="21"/>
      <c r="D883" s="21"/>
      <c r="E883" s="21"/>
      <c r="F883" s="21"/>
      <c r="G883" s="21"/>
      <c r="H883" s="21"/>
      <c r="I883" s="21"/>
      <c r="J883" s="21"/>
    </row>
    <row r="884" ht="15.75" customHeight="1">
      <c r="A884" s="21"/>
      <c r="B884" s="21"/>
      <c r="C884" s="21"/>
      <c r="D884" s="21"/>
      <c r="E884" s="21"/>
      <c r="F884" s="21"/>
      <c r="G884" s="21"/>
      <c r="H884" s="21"/>
      <c r="I884" s="21"/>
      <c r="J884" s="21"/>
    </row>
    <row r="885" ht="15.75" customHeight="1">
      <c r="A885" s="21"/>
      <c r="B885" s="21"/>
      <c r="C885" s="21"/>
      <c r="D885" s="21"/>
      <c r="E885" s="21"/>
      <c r="F885" s="21"/>
      <c r="G885" s="21"/>
      <c r="H885" s="21"/>
      <c r="I885" s="21"/>
      <c r="J885" s="21"/>
    </row>
    <row r="886" ht="15.75" customHeight="1">
      <c r="A886" s="21"/>
      <c r="B886" s="21"/>
      <c r="C886" s="21"/>
      <c r="D886" s="21"/>
      <c r="E886" s="21"/>
      <c r="F886" s="21"/>
      <c r="G886" s="21"/>
      <c r="H886" s="21"/>
      <c r="I886" s="21"/>
      <c r="J886" s="21"/>
    </row>
    <row r="887" ht="15.75" customHeight="1">
      <c r="A887" s="21"/>
      <c r="B887" s="21"/>
      <c r="C887" s="21"/>
      <c r="D887" s="21"/>
      <c r="E887" s="21"/>
      <c r="F887" s="21"/>
      <c r="G887" s="21"/>
      <c r="H887" s="21"/>
      <c r="I887" s="21"/>
      <c r="J887" s="21"/>
    </row>
    <row r="888" ht="15.75" customHeight="1">
      <c r="A888" s="21"/>
      <c r="B888" s="21"/>
      <c r="C888" s="21"/>
      <c r="D888" s="21"/>
      <c r="E888" s="21"/>
      <c r="F888" s="21"/>
      <c r="G888" s="21"/>
      <c r="H888" s="21"/>
      <c r="I888" s="21"/>
      <c r="J888" s="21"/>
    </row>
    <row r="889" ht="15.75" customHeight="1">
      <c r="A889" s="21"/>
      <c r="B889" s="21"/>
      <c r="C889" s="21"/>
      <c r="D889" s="21"/>
      <c r="E889" s="21"/>
      <c r="F889" s="21"/>
      <c r="G889" s="21"/>
      <c r="H889" s="21"/>
      <c r="I889" s="21"/>
      <c r="J889" s="21"/>
    </row>
    <row r="890" ht="15.75" customHeight="1">
      <c r="A890" s="21"/>
      <c r="B890" s="21"/>
      <c r="C890" s="21"/>
      <c r="D890" s="21"/>
      <c r="E890" s="21"/>
      <c r="F890" s="21"/>
      <c r="G890" s="21"/>
      <c r="H890" s="21"/>
      <c r="I890" s="21"/>
      <c r="J890" s="21"/>
    </row>
    <row r="891" ht="15.75" customHeight="1">
      <c r="A891" s="21"/>
      <c r="B891" s="21"/>
      <c r="C891" s="21"/>
      <c r="D891" s="21"/>
      <c r="E891" s="21"/>
      <c r="F891" s="21"/>
      <c r="G891" s="21"/>
      <c r="H891" s="21"/>
      <c r="I891" s="21"/>
      <c r="J891" s="21"/>
    </row>
    <row r="892" ht="15.75" customHeight="1">
      <c r="A892" s="21"/>
      <c r="B892" s="21"/>
      <c r="C892" s="21"/>
      <c r="D892" s="21"/>
      <c r="E892" s="21"/>
      <c r="F892" s="21"/>
      <c r="G892" s="21"/>
      <c r="H892" s="21"/>
      <c r="I892" s="21"/>
      <c r="J892" s="21"/>
    </row>
    <row r="893" ht="15.75" customHeight="1">
      <c r="A893" s="21"/>
      <c r="B893" s="21"/>
      <c r="C893" s="21"/>
      <c r="D893" s="21"/>
      <c r="E893" s="21"/>
      <c r="F893" s="21"/>
      <c r="G893" s="21"/>
      <c r="H893" s="21"/>
      <c r="I893" s="21"/>
      <c r="J893" s="21"/>
    </row>
    <row r="894" ht="15.75" customHeight="1">
      <c r="A894" s="21"/>
      <c r="B894" s="21"/>
      <c r="C894" s="21"/>
      <c r="D894" s="21"/>
      <c r="E894" s="21"/>
      <c r="F894" s="21"/>
      <c r="G894" s="21"/>
      <c r="H894" s="21"/>
      <c r="I894" s="21"/>
      <c r="J894" s="21"/>
    </row>
    <row r="895" ht="15.75" customHeight="1">
      <c r="A895" s="21"/>
      <c r="B895" s="21"/>
      <c r="C895" s="21"/>
      <c r="D895" s="21"/>
      <c r="E895" s="21"/>
      <c r="F895" s="21"/>
      <c r="G895" s="21"/>
      <c r="H895" s="21"/>
      <c r="I895" s="21"/>
      <c r="J895" s="21"/>
    </row>
    <row r="896" ht="15.75" customHeight="1">
      <c r="A896" s="21"/>
      <c r="B896" s="21"/>
      <c r="C896" s="21"/>
      <c r="D896" s="21"/>
      <c r="E896" s="21"/>
      <c r="F896" s="21"/>
      <c r="G896" s="21"/>
      <c r="H896" s="21"/>
      <c r="I896" s="21"/>
      <c r="J896" s="21"/>
    </row>
    <row r="897" ht="15.75" customHeight="1">
      <c r="A897" s="21"/>
      <c r="B897" s="21"/>
      <c r="C897" s="21"/>
      <c r="D897" s="21"/>
      <c r="E897" s="21"/>
      <c r="F897" s="21"/>
      <c r="G897" s="21"/>
      <c r="H897" s="21"/>
      <c r="I897" s="21"/>
      <c r="J897" s="21"/>
    </row>
    <row r="898" ht="15.75" customHeight="1">
      <c r="A898" s="21"/>
      <c r="B898" s="21"/>
      <c r="C898" s="21"/>
      <c r="D898" s="21"/>
      <c r="E898" s="21"/>
      <c r="F898" s="21"/>
      <c r="G898" s="21"/>
      <c r="H898" s="21"/>
      <c r="I898" s="21"/>
      <c r="J898" s="21"/>
    </row>
    <row r="899" ht="15.75" customHeight="1">
      <c r="A899" s="21"/>
      <c r="B899" s="21"/>
      <c r="C899" s="21"/>
      <c r="D899" s="21"/>
      <c r="E899" s="21"/>
      <c r="F899" s="21"/>
      <c r="G899" s="21"/>
      <c r="H899" s="21"/>
      <c r="I899" s="21"/>
      <c r="J899" s="21"/>
    </row>
    <row r="900" ht="15.75" customHeight="1">
      <c r="A900" s="21"/>
      <c r="B900" s="21"/>
      <c r="C900" s="21"/>
      <c r="D900" s="21"/>
      <c r="E900" s="21"/>
      <c r="F900" s="21"/>
      <c r="G900" s="21"/>
      <c r="H900" s="21"/>
      <c r="I900" s="21"/>
      <c r="J900" s="21"/>
    </row>
    <row r="901" ht="15.75" customHeight="1">
      <c r="A901" s="21"/>
      <c r="B901" s="21"/>
      <c r="C901" s="21"/>
      <c r="D901" s="21"/>
      <c r="E901" s="21"/>
      <c r="F901" s="21"/>
      <c r="G901" s="21"/>
      <c r="H901" s="21"/>
      <c r="I901" s="21"/>
      <c r="J901" s="21"/>
    </row>
    <row r="902" ht="15.75" customHeight="1">
      <c r="A902" s="21"/>
      <c r="B902" s="21"/>
      <c r="C902" s="21"/>
      <c r="D902" s="21"/>
      <c r="E902" s="21"/>
      <c r="F902" s="21"/>
      <c r="G902" s="21"/>
      <c r="H902" s="21"/>
      <c r="I902" s="21"/>
      <c r="J902" s="21"/>
    </row>
    <row r="903" ht="15.75" customHeight="1">
      <c r="A903" s="21"/>
      <c r="B903" s="21"/>
      <c r="C903" s="21"/>
      <c r="D903" s="21"/>
      <c r="E903" s="21"/>
      <c r="F903" s="21"/>
      <c r="G903" s="21"/>
      <c r="H903" s="21"/>
      <c r="I903" s="21"/>
      <c r="J903" s="21"/>
    </row>
    <row r="904" ht="15.75" customHeight="1">
      <c r="A904" s="21"/>
      <c r="B904" s="21"/>
      <c r="C904" s="21"/>
      <c r="D904" s="21"/>
      <c r="E904" s="21"/>
      <c r="F904" s="21"/>
      <c r="G904" s="21"/>
      <c r="H904" s="21"/>
      <c r="I904" s="21"/>
      <c r="J904" s="21"/>
    </row>
    <row r="905" ht="15.75" customHeight="1">
      <c r="A905" s="21"/>
      <c r="B905" s="21"/>
      <c r="C905" s="21"/>
      <c r="D905" s="21"/>
      <c r="E905" s="21"/>
      <c r="F905" s="21"/>
      <c r="G905" s="21"/>
      <c r="H905" s="21"/>
      <c r="I905" s="21"/>
      <c r="J905" s="21"/>
    </row>
    <row r="906" ht="15.75" customHeight="1">
      <c r="A906" s="21"/>
      <c r="B906" s="21"/>
      <c r="C906" s="21"/>
      <c r="D906" s="21"/>
      <c r="E906" s="21"/>
      <c r="F906" s="21"/>
      <c r="G906" s="21"/>
      <c r="H906" s="21"/>
      <c r="I906" s="21"/>
      <c r="J906" s="21"/>
    </row>
    <row r="907" ht="15.75" customHeight="1">
      <c r="A907" s="21"/>
      <c r="B907" s="21"/>
      <c r="C907" s="21"/>
      <c r="D907" s="21"/>
      <c r="E907" s="21"/>
      <c r="F907" s="21"/>
      <c r="G907" s="21"/>
      <c r="H907" s="21"/>
      <c r="I907" s="21"/>
      <c r="J907" s="21"/>
    </row>
    <row r="908" ht="15.75" customHeight="1">
      <c r="A908" s="21"/>
      <c r="B908" s="21"/>
      <c r="C908" s="21"/>
      <c r="D908" s="21"/>
      <c r="E908" s="21"/>
      <c r="F908" s="21"/>
      <c r="G908" s="21"/>
      <c r="H908" s="21"/>
      <c r="I908" s="21"/>
      <c r="J908" s="21"/>
    </row>
    <row r="909" ht="15.75" customHeight="1">
      <c r="A909" s="21"/>
      <c r="B909" s="21"/>
      <c r="C909" s="21"/>
      <c r="D909" s="21"/>
      <c r="E909" s="21"/>
      <c r="F909" s="21"/>
      <c r="G909" s="21"/>
      <c r="H909" s="21"/>
      <c r="I909" s="21"/>
      <c r="J909" s="21"/>
    </row>
    <row r="910" ht="15.75" customHeight="1">
      <c r="A910" s="21"/>
      <c r="B910" s="21"/>
      <c r="C910" s="21"/>
      <c r="D910" s="21"/>
      <c r="E910" s="21"/>
      <c r="F910" s="21"/>
      <c r="G910" s="21"/>
      <c r="H910" s="21"/>
      <c r="I910" s="21"/>
      <c r="J910" s="21"/>
    </row>
    <row r="911" ht="15.75" customHeight="1">
      <c r="A911" s="21"/>
      <c r="B911" s="21"/>
      <c r="C911" s="21"/>
      <c r="D911" s="21"/>
      <c r="E911" s="21"/>
      <c r="F911" s="21"/>
      <c r="G911" s="21"/>
      <c r="H911" s="21"/>
      <c r="I911" s="21"/>
      <c r="J911" s="21"/>
    </row>
    <row r="912" ht="15.75" customHeight="1">
      <c r="A912" s="21"/>
      <c r="B912" s="21"/>
      <c r="C912" s="21"/>
      <c r="D912" s="21"/>
      <c r="E912" s="21"/>
      <c r="F912" s="21"/>
      <c r="G912" s="21"/>
      <c r="H912" s="21"/>
      <c r="I912" s="21"/>
      <c r="J912" s="21"/>
    </row>
    <row r="913" ht="15.75" customHeight="1">
      <c r="A913" s="21"/>
      <c r="B913" s="21"/>
      <c r="C913" s="21"/>
      <c r="D913" s="21"/>
      <c r="E913" s="21"/>
      <c r="F913" s="21"/>
      <c r="G913" s="21"/>
      <c r="H913" s="21"/>
      <c r="I913" s="21"/>
      <c r="J913" s="21"/>
    </row>
    <row r="914" ht="15.75" customHeight="1">
      <c r="A914" s="21"/>
      <c r="B914" s="21"/>
      <c r="C914" s="21"/>
      <c r="D914" s="21"/>
      <c r="E914" s="21"/>
      <c r="F914" s="21"/>
      <c r="G914" s="21"/>
      <c r="H914" s="21"/>
      <c r="I914" s="21"/>
      <c r="J914" s="21"/>
    </row>
    <row r="915" ht="15.75" customHeight="1">
      <c r="A915" s="21"/>
      <c r="B915" s="21"/>
      <c r="C915" s="21"/>
      <c r="D915" s="21"/>
      <c r="E915" s="21"/>
      <c r="F915" s="21"/>
      <c r="G915" s="21"/>
      <c r="H915" s="21"/>
      <c r="I915" s="21"/>
      <c r="J915" s="21"/>
    </row>
    <row r="916" ht="15.75" customHeight="1">
      <c r="A916" s="21"/>
      <c r="B916" s="21"/>
      <c r="C916" s="21"/>
      <c r="D916" s="21"/>
      <c r="E916" s="21"/>
      <c r="F916" s="21"/>
      <c r="G916" s="21"/>
      <c r="H916" s="21"/>
      <c r="I916" s="21"/>
      <c r="J916" s="21"/>
    </row>
    <row r="917" ht="15.75" customHeight="1">
      <c r="A917" s="21"/>
      <c r="B917" s="21"/>
      <c r="C917" s="21"/>
      <c r="D917" s="21"/>
      <c r="E917" s="21"/>
      <c r="F917" s="21"/>
      <c r="G917" s="21"/>
      <c r="H917" s="21"/>
      <c r="I917" s="21"/>
      <c r="J917" s="21"/>
    </row>
    <row r="918" ht="15.75" customHeight="1">
      <c r="A918" s="21"/>
      <c r="B918" s="21"/>
      <c r="C918" s="21"/>
      <c r="D918" s="21"/>
      <c r="E918" s="21"/>
      <c r="F918" s="21"/>
      <c r="G918" s="21"/>
      <c r="H918" s="21"/>
      <c r="I918" s="21"/>
      <c r="J918" s="21"/>
    </row>
    <row r="919" ht="15.75" customHeight="1">
      <c r="A919" s="21"/>
      <c r="B919" s="21"/>
      <c r="C919" s="21"/>
      <c r="D919" s="21"/>
      <c r="E919" s="21"/>
      <c r="F919" s="21"/>
      <c r="G919" s="21"/>
      <c r="H919" s="21"/>
      <c r="I919" s="21"/>
      <c r="J919" s="21"/>
    </row>
    <row r="920" ht="15.75" customHeight="1">
      <c r="A920" s="21"/>
      <c r="B920" s="21"/>
      <c r="C920" s="21"/>
      <c r="D920" s="21"/>
      <c r="E920" s="21"/>
      <c r="F920" s="21"/>
      <c r="G920" s="21"/>
      <c r="H920" s="21"/>
      <c r="I920" s="21"/>
      <c r="J920" s="21"/>
    </row>
    <row r="921" ht="15.75" customHeight="1">
      <c r="A921" s="21"/>
      <c r="B921" s="21"/>
      <c r="C921" s="21"/>
      <c r="D921" s="21"/>
      <c r="E921" s="21"/>
      <c r="F921" s="21"/>
      <c r="G921" s="21"/>
      <c r="H921" s="21"/>
      <c r="I921" s="21"/>
      <c r="J921" s="21"/>
    </row>
    <row r="922" ht="15.75" customHeight="1">
      <c r="A922" s="21"/>
      <c r="B922" s="21"/>
      <c r="C922" s="21"/>
      <c r="D922" s="21"/>
      <c r="E922" s="21"/>
      <c r="F922" s="21"/>
      <c r="G922" s="21"/>
      <c r="H922" s="21"/>
      <c r="I922" s="21"/>
      <c r="J922" s="21"/>
    </row>
    <row r="923" ht="15.75" customHeight="1">
      <c r="A923" s="21"/>
      <c r="B923" s="21"/>
      <c r="C923" s="21"/>
      <c r="D923" s="21"/>
      <c r="E923" s="21"/>
      <c r="F923" s="21"/>
      <c r="G923" s="21"/>
      <c r="H923" s="21"/>
      <c r="I923" s="21"/>
      <c r="J923" s="21"/>
    </row>
    <row r="924" ht="15.75" customHeight="1">
      <c r="A924" s="21"/>
      <c r="B924" s="21"/>
      <c r="C924" s="21"/>
      <c r="D924" s="21"/>
      <c r="E924" s="21"/>
      <c r="F924" s="21"/>
      <c r="G924" s="21"/>
      <c r="H924" s="21"/>
      <c r="I924" s="21"/>
      <c r="J924" s="21"/>
    </row>
    <row r="925" ht="15.75" customHeight="1">
      <c r="A925" s="21"/>
      <c r="B925" s="21"/>
      <c r="C925" s="21"/>
      <c r="D925" s="21"/>
      <c r="E925" s="21"/>
      <c r="F925" s="21"/>
      <c r="G925" s="21"/>
      <c r="H925" s="21"/>
      <c r="I925" s="21"/>
      <c r="J925" s="21"/>
    </row>
    <row r="926" ht="15.75" customHeight="1">
      <c r="A926" s="21"/>
      <c r="B926" s="21"/>
      <c r="C926" s="21"/>
      <c r="D926" s="21"/>
      <c r="E926" s="21"/>
      <c r="F926" s="21"/>
      <c r="G926" s="21"/>
      <c r="H926" s="21"/>
      <c r="I926" s="21"/>
      <c r="J926" s="21"/>
    </row>
    <row r="927" ht="15.75" customHeight="1">
      <c r="A927" s="21"/>
      <c r="B927" s="21"/>
      <c r="C927" s="21"/>
      <c r="D927" s="21"/>
      <c r="E927" s="21"/>
      <c r="F927" s="21"/>
      <c r="G927" s="21"/>
      <c r="H927" s="21"/>
      <c r="I927" s="21"/>
      <c r="J927" s="21"/>
    </row>
    <row r="928" ht="15.75" customHeight="1">
      <c r="A928" s="21"/>
      <c r="B928" s="21"/>
      <c r="C928" s="21"/>
      <c r="D928" s="21"/>
      <c r="E928" s="21"/>
      <c r="F928" s="21"/>
      <c r="G928" s="21"/>
      <c r="H928" s="21"/>
      <c r="I928" s="21"/>
      <c r="J928" s="21"/>
    </row>
    <row r="929" ht="15.75" customHeight="1">
      <c r="A929" s="21"/>
      <c r="B929" s="21"/>
      <c r="C929" s="21"/>
      <c r="D929" s="21"/>
      <c r="E929" s="21"/>
      <c r="F929" s="21"/>
      <c r="G929" s="21"/>
      <c r="H929" s="21"/>
      <c r="I929" s="21"/>
      <c r="J929" s="21"/>
    </row>
    <row r="930" ht="15.75" customHeight="1">
      <c r="A930" s="21"/>
      <c r="B930" s="21"/>
      <c r="C930" s="21"/>
      <c r="D930" s="21"/>
      <c r="E930" s="21"/>
      <c r="F930" s="21"/>
      <c r="G930" s="21"/>
      <c r="H930" s="21"/>
      <c r="I930" s="21"/>
      <c r="J930" s="21"/>
    </row>
    <row r="931" ht="15.75" customHeight="1">
      <c r="A931" s="21"/>
      <c r="B931" s="21"/>
      <c r="C931" s="21"/>
      <c r="D931" s="21"/>
      <c r="E931" s="21"/>
      <c r="F931" s="21"/>
      <c r="G931" s="21"/>
      <c r="H931" s="21"/>
      <c r="I931" s="21"/>
      <c r="J931" s="21"/>
    </row>
    <row r="932" ht="15.75" customHeight="1">
      <c r="A932" s="21"/>
      <c r="B932" s="21"/>
      <c r="C932" s="21"/>
      <c r="D932" s="21"/>
      <c r="E932" s="21"/>
      <c r="F932" s="21"/>
      <c r="G932" s="21"/>
      <c r="H932" s="21"/>
      <c r="I932" s="21"/>
      <c r="J932" s="21"/>
    </row>
    <row r="933" ht="15.75" customHeight="1">
      <c r="A933" s="21"/>
      <c r="B933" s="21"/>
      <c r="C933" s="21"/>
      <c r="D933" s="21"/>
      <c r="E933" s="21"/>
      <c r="F933" s="21"/>
      <c r="G933" s="21"/>
      <c r="H933" s="21"/>
      <c r="I933" s="21"/>
      <c r="J933" s="21"/>
    </row>
    <row r="934" ht="15.75" customHeight="1">
      <c r="A934" s="21"/>
      <c r="B934" s="21"/>
      <c r="C934" s="21"/>
      <c r="D934" s="21"/>
      <c r="E934" s="21"/>
      <c r="F934" s="21"/>
      <c r="G934" s="21"/>
      <c r="H934" s="21"/>
      <c r="I934" s="21"/>
      <c r="J934" s="21"/>
    </row>
    <row r="935" ht="15.75" customHeight="1">
      <c r="A935" s="21"/>
      <c r="B935" s="21"/>
      <c r="C935" s="21"/>
      <c r="D935" s="21"/>
      <c r="E935" s="21"/>
      <c r="F935" s="21"/>
      <c r="G935" s="21"/>
      <c r="H935" s="21"/>
      <c r="I935" s="21"/>
      <c r="J935" s="21"/>
    </row>
    <row r="936" ht="15.75" customHeight="1">
      <c r="A936" s="21"/>
      <c r="B936" s="21"/>
      <c r="C936" s="21"/>
      <c r="D936" s="21"/>
      <c r="E936" s="21"/>
      <c r="F936" s="21"/>
      <c r="G936" s="21"/>
      <c r="H936" s="21"/>
      <c r="I936" s="21"/>
      <c r="J936" s="21"/>
    </row>
    <row r="937" ht="15.75" customHeight="1">
      <c r="A937" s="21"/>
      <c r="B937" s="21"/>
      <c r="C937" s="21"/>
      <c r="D937" s="21"/>
      <c r="E937" s="21"/>
      <c r="F937" s="21"/>
      <c r="G937" s="21"/>
      <c r="H937" s="21"/>
      <c r="I937" s="21"/>
      <c r="J937" s="21"/>
    </row>
    <row r="938" ht="15.75" customHeight="1">
      <c r="A938" s="21"/>
      <c r="B938" s="21"/>
      <c r="C938" s="21"/>
      <c r="D938" s="21"/>
      <c r="E938" s="21"/>
      <c r="F938" s="21"/>
      <c r="G938" s="21"/>
      <c r="H938" s="21"/>
      <c r="I938" s="21"/>
      <c r="J938" s="21"/>
    </row>
    <row r="939" ht="15.75" customHeight="1">
      <c r="A939" s="21"/>
      <c r="B939" s="21"/>
      <c r="C939" s="21"/>
      <c r="D939" s="21"/>
      <c r="E939" s="21"/>
      <c r="F939" s="21"/>
      <c r="G939" s="21"/>
      <c r="H939" s="21"/>
      <c r="I939" s="21"/>
      <c r="J939" s="21"/>
    </row>
    <row r="940" ht="15.75" customHeight="1">
      <c r="A940" s="21"/>
      <c r="B940" s="21"/>
      <c r="C940" s="21"/>
      <c r="D940" s="21"/>
      <c r="E940" s="21"/>
      <c r="F940" s="21"/>
      <c r="G940" s="21"/>
      <c r="H940" s="21"/>
      <c r="I940" s="21"/>
      <c r="J940" s="21"/>
    </row>
    <row r="941" ht="15.75" customHeight="1">
      <c r="A941" s="21"/>
      <c r="B941" s="21"/>
      <c r="C941" s="21"/>
      <c r="D941" s="21"/>
      <c r="E941" s="21"/>
      <c r="F941" s="21"/>
      <c r="G941" s="21"/>
      <c r="H941" s="21"/>
      <c r="I941" s="21"/>
      <c r="J941" s="21"/>
    </row>
    <row r="942" ht="15.75" customHeight="1">
      <c r="A942" s="21"/>
      <c r="B942" s="21"/>
      <c r="C942" s="21"/>
      <c r="D942" s="21"/>
      <c r="E942" s="21"/>
      <c r="F942" s="21"/>
      <c r="G942" s="21"/>
      <c r="H942" s="21"/>
      <c r="I942" s="21"/>
      <c r="J942" s="21"/>
    </row>
    <row r="943" ht="15.75" customHeight="1">
      <c r="A943" s="21"/>
      <c r="B943" s="21"/>
      <c r="C943" s="21"/>
      <c r="D943" s="21"/>
      <c r="E943" s="21"/>
      <c r="F943" s="21"/>
      <c r="G943" s="21"/>
      <c r="H943" s="21"/>
      <c r="I943" s="21"/>
      <c r="J943" s="21"/>
    </row>
    <row r="944" ht="15.75" customHeight="1">
      <c r="A944" s="21"/>
      <c r="B944" s="21"/>
      <c r="C944" s="21"/>
      <c r="D944" s="21"/>
      <c r="E944" s="21"/>
      <c r="F944" s="21"/>
      <c r="G944" s="21"/>
      <c r="H944" s="21"/>
      <c r="I944" s="21"/>
      <c r="J944" s="21"/>
    </row>
    <row r="945" ht="15.75" customHeight="1">
      <c r="A945" s="21"/>
      <c r="B945" s="21"/>
      <c r="C945" s="21"/>
      <c r="D945" s="21"/>
      <c r="E945" s="21"/>
      <c r="F945" s="21"/>
      <c r="G945" s="21"/>
      <c r="H945" s="21"/>
      <c r="I945" s="21"/>
      <c r="J945" s="21"/>
    </row>
    <row r="946" ht="15.75" customHeight="1">
      <c r="A946" s="21"/>
      <c r="B946" s="21"/>
      <c r="C946" s="21"/>
      <c r="D946" s="21"/>
      <c r="E946" s="21"/>
      <c r="F946" s="21"/>
      <c r="G946" s="21"/>
      <c r="H946" s="21"/>
      <c r="I946" s="21"/>
      <c r="J946" s="21"/>
    </row>
    <row r="947" ht="15.75" customHeight="1">
      <c r="A947" s="21"/>
      <c r="B947" s="21"/>
      <c r="C947" s="21"/>
      <c r="D947" s="21"/>
      <c r="E947" s="21"/>
      <c r="F947" s="21"/>
      <c r="G947" s="21"/>
      <c r="H947" s="21"/>
      <c r="I947" s="21"/>
      <c r="J947" s="21"/>
    </row>
    <row r="948" ht="15.75" customHeight="1">
      <c r="A948" s="21"/>
      <c r="B948" s="21"/>
      <c r="C948" s="21"/>
      <c r="D948" s="21"/>
      <c r="E948" s="21"/>
      <c r="F948" s="21"/>
      <c r="G948" s="21"/>
      <c r="H948" s="21"/>
      <c r="I948" s="21"/>
      <c r="J948" s="21"/>
    </row>
    <row r="949" ht="15.75" customHeight="1">
      <c r="A949" s="21"/>
      <c r="B949" s="21"/>
      <c r="C949" s="21"/>
      <c r="D949" s="21"/>
      <c r="E949" s="21"/>
      <c r="F949" s="21"/>
      <c r="G949" s="21"/>
      <c r="H949" s="21"/>
      <c r="I949" s="21"/>
      <c r="J949" s="21"/>
    </row>
    <row r="950" ht="15.75" customHeight="1">
      <c r="A950" s="21"/>
      <c r="B950" s="21"/>
      <c r="C950" s="21"/>
      <c r="D950" s="21"/>
      <c r="E950" s="21"/>
      <c r="F950" s="21"/>
      <c r="G950" s="21"/>
      <c r="H950" s="21"/>
      <c r="I950" s="21"/>
      <c r="J950" s="21"/>
    </row>
    <row r="951" ht="15.75" customHeight="1">
      <c r="A951" s="21"/>
      <c r="B951" s="21"/>
      <c r="C951" s="21"/>
      <c r="D951" s="21"/>
      <c r="E951" s="21"/>
      <c r="F951" s="21"/>
      <c r="G951" s="21"/>
      <c r="H951" s="21"/>
      <c r="I951" s="21"/>
      <c r="J951" s="21"/>
    </row>
    <row r="952" ht="15.75" customHeight="1">
      <c r="A952" s="21"/>
      <c r="B952" s="21"/>
      <c r="C952" s="21"/>
      <c r="D952" s="21"/>
      <c r="E952" s="21"/>
      <c r="F952" s="21"/>
      <c r="G952" s="21"/>
      <c r="H952" s="21"/>
      <c r="I952" s="21"/>
      <c r="J952" s="21"/>
    </row>
    <row r="953" ht="15.75" customHeight="1">
      <c r="A953" s="21"/>
      <c r="B953" s="21"/>
      <c r="C953" s="21"/>
      <c r="D953" s="21"/>
      <c r="E953" s="21"/>
      <c r="F953" s="21"/>
      <c r="G953" s="21"/>
      <c r="H953" s="21"/>
      <c r="I953" s="21"/>
      <c r="J953" s="21"/>
    </row>
    <row r="954" ht="15.75" customHeight="1">
      <c r="A954" s="21"/>
      <c r="B954" s="21"/>
      <c r="C954" s="21"/>
      <c r="D954" s="21"/>
      <c r="E954" s="21"/>
      <c r="F954" s="21"/>
      <c r="G954" s="21"/>
      <c r="H954" s="21"/>
      <c r="I954" s="21"/>
      <c r="J954" s="21"/>
    </row>
    <row r="955" ht="15.75" customHeight="1">
      <c r="A955" s="21"/>
      <c r="B955" s="21"/>
      <c r="C955" s="21"/>
      <c r="D955" s="21"/>
      <c r="E955" s="21"/>
      <c r="F955" s="21"/>
      <c r="G955" s="21"/>
      <c r="H955" s="21"/>
      <c r="I955" s="21"/>
      <c r="J955" s="21"/>
    </row>
    <row r="956" ht="15.75" customHeight="1">
      <c r="A956" s="21"/>
      <c r="B956" s="21"/>
      <c r="C956" s="21"/>
      <c r="D956" s="21"/>
      <c r="E956" s="21"/>
      <c r="F956" s="21"/>
      <c r="G956" s="21"/>
      <c r="H956" s="21"/>
      <c r="I956" s="21"/>
      <c r="J956" s="21"/>
    </row>
    <row r="957" ht="15.75" customHeight="1">
      <c r="A957" s="21"/>
      <c r="B957" s="21"/>
      <c r="C957" s="21"/>
      <c r="D957" s="21"/>
      <c r="E957" s="21"/>
      <c r="F957" s="21"/>
      <c r="G957" s="21"/>
      <c r="H957" s="21"/>
      <c r="I957" s="21"/>
      <c r="J957" s="21"/>
    </row>
    <row r="958" ht="15.75" customHeight="1">
      <c r="A958" s="21"/>
      <c r="B958" s="21"/>
      <c r="C958" s="21"/>
      <c r="D958" s="21"/>
      <c r="E958" s="21"/>
      <c r="F958" s="21"/>
      <c r="G958" s="21"/>
      <c r="H958" s="21"/>
      <c r="I958" s="21"/>
      <c r="J958" s="21"/>
    </row>
    <row r="959" ht="15.75" customHeight="1">
      <c r="A959" s="21"/>
      <c r="B959" s="21"/>
      <c r="C959" s="21"/>
      <c r="D959" s="21"/>
      <c r="E959" s="21"/>
      <c r="F959" s="21"/>
      <c r="G959" s="21"/>
      <c r="H959" s="21"/>
      <c r="I959" s="21"/>
      <c r="J959" s="21"/>
    </row>
    <row r="960" ht="15.75" customHeight="1">
      <c r="A960" s="21"/>
      <c r="B960" s="21"/>
      <c r="C960" s="21"/>
      <c r="D960" s="21"/>
      <c r="E960" s="21"/>
      <c r="F960" s="21"/>
      <c r="G960" s="21"/>
      <c r="H960" s="21"/>
      <c r="I960" s="21"/>
      <c r="J960" s="21"/>
    </row>
    <row r="961" ht="15.75" customHeight="1">
      <c r="A961" s="21"/>
      <c r="B961" s="21"/>
      <c r="C961" s="21"/>
      <c r="D961" s="21"/>
      <c r="E961" s="21"/>
      <c r="F961" s="21"/>
      <c r="G961" s="21"/>
      <c r="H961" s="21"/>
      <c r="I961" s="21"/>
      <c r="J961" s="21"/>
    </row>
    <row r="962" ht="15.75" customHeight="1">
      <c r="A962" s="21"/>
      <c r="B962" s="21"/>
      <c r="C962" s="21"/>
      <c r="D962" s="21"/>
      <c r="E962" s="21"/>
      <c r="F962" s="21"/>
      <c r="G962" s="21"/>
      <c r="H962" s="21"/>
      <c r="I962" s="21"/>
      <c r="J962" s="21"/>
    </row>
    <row r="963" ht="15.75" customHeight="1">
      <c r="A963" s="21"/>
      <c r="B963" s="21"/>
      <c r="C963" s="21"/>
      <c r="D963" s="21"/>
      <c r="E963" s="21"/>
      <c r="F963" s="21"/>
      <c r="G963" s="21"/>
      <c r="H963" s="21"/>
      <c r="I963" s="21"/>
      <c r="J963" s="21"/>
    </row>
    <row r="964" ht="15.75" customHeight="1">
      <c r="A964" s="21"/>
      <c r="B964" s="21"/>
      <c r="C964" s="21"/>
      <c r="D964" s="21"/>
      <c r="E964" s="21"/>
      <c r="F964" s="21"/>
      <c r="G964" s="21"/>
      <c r="H964" s="21"/>
      <c r="I964" s="21"/>
      <c r="J964" s="21"/>
    </row>
    <row r="965" ht="15.75" customHeight="1">
      <c r="A965" s="21"/>
      <c r="B965" s="21"/>
      <c r="C965" s="21"/>
      <c r="D965" s="21"/>
      <c r="E965" s="21"/>
      <c r="F965" s="21"/>
      <c r="G965" s="21"/>
      <c r="H965" s="21"/>
      <c r="I965" s="21"/>
      <c r="J965" s="21"/>
    </row>
    <row r="966" ht="15.75" customHeight="1">
      <c r="A966" s="21"/>
      <c r="B966" s="21"/>
      <c r="C966" s="21"/>
      <c r="D966" s="21"/>
      <c r="E966" s="21"/>
      <c r="F966" s="21"/>
      <c r="G966" s="21"/>
      <c r="H966" s="21"/>
      <c r="I966" s="21"/>
      <c r="J966" s="21"/>
    </row>
    <row r="967" ht="15.75" customHeight="1">
      <c r="A967" s="21"/>
      <c r="B967" s="21"/>
      <c r="C967" s="21"/>
      <c r="D967" s="21"/>
      <c r="E967" s="21"/>
      <c r="F967" s="21"/>
      <c r="G967" s="21"/>
      <c r="H967" s="21"/>
      <c r="I967" s="21"/>
      <c r="J967" s="21"/>
    </row>
    <row r="968" ht="15.75" customHeight="1">
      <c r="A968" s="21"/>
      <c r="B968" s="21"/>
      <c r="C968" s="21"/>
      <c r="D968" s="21"/>
      <c r="E968" s="21"/>
      <c r="F968" s="21"/>
      <c r="G968" s="21"/>
      <c r="H968" s="21"/>
      <c r="I968" s="21"/>
      <c r="J968" s="21"/>
    </row>
    <row r="969" ht="15.75" customHeight="1">
      <c r="A969" s="21"/>
      <c r="B969" s="21"/>
      <c r="C969" s="21"/>
      <c r="D969" s="21"/>
      <c r="E969" s="21"/>
      <c r="F969" s="21"/>
      <c r="G969" s="21"/>
      <c r="H969" s="21"/>
      <c r="I969" s="21"/>
      <c r="J969" s="21"/>
    </row>
    <row r="970" ht="15.75" customHeight="1">
      <c r="A970" s="21"/>
      <c r="B970" s="21"/>
      <c r="C970" s="21"/>
      <c r="D970" s="21"/>
      <c r="E970" s="21"/>
      <c r="F970" s="21"/>
      <c r="G970" s="21"/>
      <c r="H970" s="21"/>
      <c r="I970" s="21"/>
      <c r="J970" s="21"/>
    </row>
    <row r="971" ht="15.75" customHeight="1">
      <c r="A971" s="21"/>
      <c r="B971" s="21"/>
      <c r="C971" s="21"/>
      <c r="D971" s="21"/>
      <c r="E971" s="21"/>
      <c r="F971" s="21"/>
      <c r="G971" s="21"/>
      <c r="H971" s="21"/>
      <c r="I971" s="21"/>
      <c r="J971" s="21"/>
    </row>
    <row r="972" ht="15.75" customHeight="1">
      <c r="A972" s="21"/>
      <c r="B972" s="21"/>
      <c r="C972" s="21"/>
      <c r="D972" s="21"/>
      <c r="E972" s="21"/>
      <c r="F972" s="21"/>
      <c r="G972" s="21"/>
      <c r="H972" s="21"/>
      <c r="I972" s="21"/>
      <c r="J972" s="21"/>
    </row>
    <row r="973" ht="15.75" customHeight="1">
      <c r="A973" s="21"/>
      <c r="B973" s="21"/>
      <c r="C973" s="21"/>
      <c r="D973" s="21"/>
      <c r="E973" s="21"/>
      <c r="F973" s="21"/>
      <c r="G973" s="21"/>
      <c r="H973" s="21"/>
      <c r="I973" s="21"/>
      <c r="J973" s="21"/>
    </row>
    <row r="974" ht="15.75" customHeight="1">
      <c r="A974" s="21"/>
      <c r="B974" s="21"/>
      <c r="C974" s="21"/>
      <c r="D974" s="21"/>
      <c r="E974" s="21"/>
      <c r="F974" s="21"/>
      <c r="G974" s="21"/>
      <c r="H974" s="21"/>
      <c r="I974" s="21"/>
      <c r="J974" s="21"/>
    </row>
    <row r="975" ht="15.75" customHeight="1">
      <c r="A975" s="21"/>
      <c r="B975" s="21"/>
      <c r="C975" s="21"/>
      <c r="D975" s="21"/>
      <c r="E975" s="21"/>
      <c r="F975" s="21"/>
      <c r="G975" s="21"/>
      <c r="H975" s="21"/>
      <c r="I975" s="21"/>
      <c r="J975" s="21"/>
    </row>
    <row r="976" ht="15.75" customHeight="1">
      <c r="A976" s="21"/>
      <c r="B976" s="21"/>
      <c r="C976" s="21"/>
      <c r="D976" s="21"/>
      <c r="E976" s="21"/>
      <c r="F976" s="21"/>
      <c r="G976" s="21"/>
      <c r="H976" s="21"/>
      <c r="I976" s="21"/>
      <c r="J976" s="21"/>
    </row>
    <row r="977" ht="15.75" customHeight="1">
      <c r="A977" s="21"/>
      <c r="B977" s="21"/>
      <c r="C977" s="21"/>
      <c r="D977" s="21"/>
      <c r="E977" s="21"/>
      <c r="F977" s="21"/>
      <c r="G977" s="21"/>
      <c r="H977" s="21"/>
      <c r="I977" s="21"/>
      <c r="J977" s="21"/>
    </row>
    <row r="978" ht="15.75" customHeight="1">
      <c r="A978" s="21"/>
      <c r="B978" s="21"/>
      <c r="C978" s="21"/>
      <c r="D978" s="21"/>
      <c r="E978" s="21"/>
      <c r="F978" s="21"/>
      <c r="G978" s="21"/>
      <c r="H978" s="21"/>
      <c r="I978" s="21"/>
      <c r="J978" s="21"/>
    </row>
    <row r="979" ht="15.75" customHeight="1">
      <c r="A979" s="21"/>
      <c r="B979" s="21"/>
      <c r="C979" s="21"/>
      <c r="D979" s="21"/>
      <c r="E979" s="21"/>
      <c r="F979" s="21"/>
      <c r="G979" s="21"/>
      <c r="H979" s="21"/>
      <c r="I979" s="21"/>
      <c r="J979" s="21"/>
    </row>
    <row r="980" ht="15.75" customHeight="1">
      <c r="A980" s="21"/>
      <c r="B980" s="21"/>
      <c r="C980" s="21"/>
      <c r="D980" s="21"/>
      <c r="E980" s="21"/>
      <c r="F980" s="21"/>
      <c r="G980" s="21"/>
      <c r="H980" s="21"/>
      <c r="I980" s="21"/>
      <c r="J980" s="21"/>
    </row>
    <row r="981" ht="15.75" customHeight="1">
      <c r="A981" s="21"/>
      <c r="B981" s="21"/>
      <c r="C981" s="21"/>
      <c r="D981" s="21"/>
      <c r="E981" s="21"/>
      <c r="F981" s="21"/>
      <c r="G981" s="21"/>
      <c r="H981" s="21"/>
      <c r="I981" s="21"/>
      <c r="J981" s="21"/>
    </row>
    <row r="982" ht="15.75" customHeight="1">
      <c r="A982" s="21"/>
      <c r="B982" s="21"/>
      <c r="C982" s="21"/>
      <c r="D982" s="21"/>
      <c r="E982" s="21"/>
      <c r="F982" s="21"/>
      <c r="G982" s="21"/>
      <c r="H982" s="21"/>
      <c r="I982" s="21"/>
      <c r="J982" s="21"/>
    </row>
    <row r="983" ht="15.75" customHeight="1">
      <c r="A983" s="21"/>
      <c r="B983" s="21"/>
      <c r="C983" s="21"/>
      <c r="D983" s="21"/>
      <c r="E983" s="21"/>
      <c r="F983" s="21"/>
      <c r="G983" s="21"/>
      <c r="H983" s="21"/>
      <c r="I983" s="21"/>
      <c r="J983" s="21"/>
    </row>
    <row r="984" ht="15.75" customHeight="1">
      <c r="A984" s="21"/>
      <c r="B984" s="21"/>
      <c r="C984" s="21"/>
      <c r="D984" s="21"/>
      <c r="E984" s="21"/>
      <c r="F984" s="21"/>
      <c r="G984" s="21"/>
      <c r="H984" s="21"/>
      <c r="I984" s="21"/>
      <c r="J984" s="21"/>
    </row>
    <row r="985" ht="15.75" customHeight="1">
      <c r="A985" s="21"/>
      <c r="B985" s="21"/>
      <c r="C985" s="21"/>
      <c r="D985" s="21"/>
      <c r="E985" s="21"/>
      <c r="F985" s="21"/>
      <c r="G985" s="21"/>
      <c r="H985" s="21"/>
      <c r="I985" s="21"/>
      <c r="J985" s="21"/>
    </row>
    <row r="986" ht="15.75" customHeight="1">
      <c r="A986" s="21"/>
      <c r="B986" s="21"/>
      <c r="C986" s="21"/>
      <c r="D986" s="21"/>
      <c r="E986" s="21"/>
      <c r="F986" s="21"/>
      <c r="G986" s="21"/>
      <c r="H986" s="21"/>
      <c r="I986" s="21"/>
      <c r="J986" s="21"/>
    </row>
    <row r="987" ht="15.75" customHeight="1">
      <c r="A987" s="21"/>
      <c r="B987" s="21"/>
      <c r="C987" s="21"/>
      <c r="D987" s="21"/>
      <c r="E987" s="21"/>
      <c r="F987" s="21"/>
      <c r="G987" s="21"/>
      <c r="H987" s="21"/>
      <c r="I987" s="21"/>
      <c r="J987" s="21"/>
    </row>
    <row r="988" ht="15.75" customHeight="1">
      <c r="A988" s="21"/>
      <c r="B988" s="21"/>
      <c r="C988" s="21"/>
      <c r="D988" s="21"/>
      <c r="E988" s="21"/>
      <c r="F988" s="21"/>
      <c r="G988" s="21"/>
      <c r="H988" s="21"/>
      <c r="I988" s="21"/>
      <c r="J988" s="21"/>
    </row>
    <row r="989" ht="15.75" customHeight="1">
      <c r="A989" s="21"/>
      <c r="B989" s="21"/>
      <c r="C989" s="21"/>
      <c r="D989" s="21"/>
      <c r="E989" s="21"/>
      <c r="F989" s="21"/>
      <c r="G989" s="21"/>
      <c r="H989" s="21"/>
      <c r="I989" s="21"/>
      <c r="J989" s="21"/>
    </row>
    <row r="990" ht="15.75" customHeight="1">
      <c r="A990" s="21"/>
      <c r="B990" s="21"/>
      <c r="C990" s="21"/>
      <c r="D990" s="21"/>
      <c r="E990" s="21"/>
      <c r="F990" s="21"/>
      <c r="G990" s="21"/>
      <c r="H990" s="21"/>
      <c r="I990" s="21"/>
      <c r="J990" s="21"/>
    </row>
    <row r="991" ht="15.75" customHeight="1">
      <c r="A991" s="21"/>
      <c r="B991" s="21"/>
      <c r="C991" s="21"/>
      <c r="D991" s="21"/>
      <c r="E991" s="21"/>
      <c r="F991" s="21"/>
      <c r="G991" s="21"/>
      <c r="H991" s="21"/>
      <c r="I991" s="21"/>
      <c r="J991" s="21"/>
    </row>
    <row r="992" ht="15.75" customHeight="1">
      <c r="A992" s="21"/>
      <c r="B992" s="21"/>
      <c r="C992" s="21"/>
      <c r="D992" s="21"/>
      <c r="E992" s="21"/>
      <c r="F992" s="21"/>
      <c r="G992" s="21"/>
      <c r="H992" s="21"/>
      <c r="I992" s="21"/>
      <c r="J992" s="21"/>
    </row>
    <row r="993" ht="15.75" customHeight="1">
      <c r="A993" s="21"/>
      <c r="B993" s="21"/>
      <c r="C993" s="21"/>
      <c r="D993" s="21"/>
      <c r="E993" s="21"/>
      <c r="F993" s="21"/>
      <c r="G993" s="21"/>
      <c r="H993" s="21"/>
      <c r="I993" s="21"/>
      <c r="J993" s="21"/>
    </row>
    <row r="994" ht="15.75" customHeight="1">
      <c r="A994" s="21"/>
      <c r="B994" s="21"/>
      <c r="C994" s="21"/>
      <c r="D994" s="21"/>
      <c r="E994" s="21"/>
      <c r="F994" s="21"/>
      <c r="G994" s="21"/>
      <c r="H994" s="21"/>
      <c r="I994" s="21"/>
      <c r="J994" s="21"/>
    </row>
    <row r="995" ht="15.75" customHeight="1">
      <c r="A995" s="21"/>
      <c r="B995" s="21"/>
      <c r="C995" s="21"/>
      <c r="D995" s="21"/>
      <c r="E995" s="21"/>
      <c r="F995" s="21"/>
      <c r="G995" s="21"/>
      <c r="H995" s="21"/>
      <c r="I995" s="21"/>
      <c r="J995" s="21"/>
    </row>
    <row r="996" ht="15.75" customHeight="1">
      <c r="A996" s="21"/>
      <c r="B996" s="21"/>
      <c r="C996" s="21"/>
      <c r="D996" s="21"/>
      <c r="E996" s="21"/>
      <c r="F996" s="21"/>
      <c r="G996" s="21"/>
      <c r="H996" s="21"/>
      <c r="I996" s="21"/>
      <c r="J996" s="21"/>
    </row>
    <row r="997" ht="15.75" customHeight="1">
      <c r="A997" s="21"/>
      <c r="B997" s="21"/>
      <c r="C997" s="21"/>
      <c r="D997" s="21"/>
      <c r="E997" s="21"/>
      <c r="F997" s="21"/>
      <c r="G997" s="21"/>
      <c r="H997" s="21"/>
      <c r="I997" s="21"/>
      <c r="J997" s="21"/>
    </row>
    <row r="998" ht="15.75" customHeight="1">
      <c r="A998" s="21"/>
      <c r="B998" s="21"/>
      <c r="C998" s="21"/>
      <c r="D998" s="21"/>
      <c r="E998" s="21"/>
      <c r="F998" s="21"/>
      <c r="G998" s="21"/>
      <c r="H998" s="21"/>
      <c r="I998" s="21"/>
      <c r="J998" s="21"/>
    </row>
    <row r="999" ht="15.75" customHeight="1">
      <c r="A999" s="21"/>
      <c r="B999" s="21"/>
      <c r="C999" s="21"/>
      <c r="D999" s="21"/>
      <c r="E999" s="21"/>
      <c r="F999" s="21"/>
      <c r="G999" s="21"/>
      <c r="H999" s="21"/>
      <c r="I999" s="21"/>
      <c r="J999" s="21"/>
    </row>
    <row r="1000" ht="15.75" customHeight="1">
      <c r="A1000" s="21"/>
      <c r="B1000" s="21"/>
      <c r="C1000" s="21"/>
      <c r="D1000" s="21"/>
      <c r="E1000" s="21"/>
      <c r="F1000" s="21"/>
      <c r="G1000" s="21"/>
      <c r="H1000" s="21"/>
      <c r="I1000" s="21"/>
      <c r="J1000" s="21"/>
    </row>
  </sheetData>
  <dataValidations>
    <dataValidation allowBlank="1" showDropDown="1" sqref="A2:J1000"/>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7.0"/>
    <col customWidth="1" min="3" max="3" width="30.22"/>
    <col customWidth="1" min="4" max="4" width="15.67"/>
    <col customWidth="1" min="5" max="5" width="13.89"/>
    <col customWidth="1" min="6" max="8" width="15.56"/>
    <col customWidth="1" min="9" max="9" width="35.33"/>
    <col customWidth="1" min="10" max="10" width="18.33"/>
    <col customWidth="1" min="11" max="11" width="19.11"/>
    <col customWidth="1" min="12" max="13" width="14.89"/>
    <col customWidth="1" min="14" max="14" width="19.44"/>
    <col customWidth="1" min="15" max="15" width="14.56"/>
    <col customWidth="1" min="16" max="16" width="20.22"/>
    <col customWidth="1" min="17" max="17" width="13.11"/>
    <col customWidth="1" min="18" max="18" width="13.67"/>
    <col customWidth="1" min="19" max="19" width="10.22"/>
    <col customWidth="1" min="20" max="20" width="17.67"/>
  </cols>
  <sheetData>
    <row r="1" ht="22.5" customHeight="1">
      <c r="A1" s="23" t="s">
        <v>0</v>
      </c>
      <c r="B1" s="2" t="s">
        <v>1</v>
      </c>
      <c r="C1" s="4" t="s">
        <v>921</v>
      </c>
      <c r="D1" s="3" t="s">
        <v>2</v>
      </c>
      <c r="E1" s="4" t="s">
        <v>922</v>
      </c>
      <c r="F1" s="4" t="s">
        <v>923</v>
      </c>
      <c r="G1" s="4" t="s">
        <v>924</v>
      </c>
      <c r="H1" s="2" t="s">
        <v>6</v>
      </c>
      <c r="I1" s="4" t="s">
        <v>104</v>
      </c>
      <c r="J1" s="4" t="s">
        <v>925</v>
      </c>
      <c r="K1" s="4" t="s">
        <v>926</v>
      </c>
      <c r="L1" s="4" t="s">
        <v>927</v>
      </c>
      <c r="M1" s="5" t="s">
        <v>7</v>
      </c>
      <c r="N1" s="4" t="s">
        <v>928</v>
      </c>
      <c r="O1" s="2" t="s">
        <v>8</v>
      </c>
      <c r="P1" s="2" t="s">
        <v>9</v>
      </c>
      <c r="Q1" s="2" t="s">
        <v>929</v>
      </c>
      <c r="R1" s="4" t="s">
        <v>930</v>
      </c>
      <c r="S1" s="2" t="s">
        <v>931</v>
      </c>
      <c r="T1" s="2" t="s">
        <v>932</v>
      </c>
    </row>
    <row r="2" ht="22.5" customHeight="1">
      <c r="A2" s="6">
        <v>10248.0</v>
      </c>
      <c r="B2" s="7" t="s">
        <v>12</v>
      </c>
      <c r="C2" s="24" t="str">
        <f>VLOOKUP(dynamic[customerID],customers[],2,FALSE)</f>
        <v>Vins et alcools Chevalier</v>
      </c>
      <c r="D2" s="24">
        <v>44746.0</v>
      </c>
      <c r="E2" s="6">
        <f>IFERROR(__xludf.DUMMYFUNCTION("COUNTUNIQUEIFS($A$2:$A2,$B$2:$B2,B2)"),1.0)</f>
        <v>1</v>
      </c>
      <c r="F2" s="6">
        <f t="shared" ref="F2:F2097" si="1">IF(E2=1, 0, D2 - INDEX($D$2:$D2,MATCH(1, ($B$2:$B2=B2)*($E$2:$E2=E2-1), 0)))
</f>
        <v>0</v>
      </c>
      <c r="G2" s="6" t="str">
        <f>IF(MINIFS(dynamic[orderDate], dynamic[customerID], B2) &gt;= DATE(2024,4,30)-120, 
     "New", 
     IF(MAXIFS(dynamic[orderCount], dynamic[customerID], B2)&lt;=2, 
        IF((DATE(2024,4,30) - MAXIFS(dynamic[orderDate], dynamic[customerID], B2)) &gt; 180, "Non-Returning", "Dormant"), 
        IF(AND(MAX(dynamic[sinceLastOrder]) &gt; 365, (DATE(2024,4,30) - MAXIFS(dynamic[orderDate], dynamic[customerID], B2)) &gt; 180), 
           "Dormant", "Regular")))</f>
        <v>Regular</v>
      </c>
      <c r="H2" s="6">
        <v>11.0</v>
      </c>
      <c r="I2" s="9" t="str">
        <f>VLOOKUP(dynamic[productID],products[],2,FALSE)</f>
        <v>Queso Cabrales</v>
      </c>
      <c r="J2" s="9" t="str">
        <f>VLOOKUP(dynamic[productID],products[],12,FALSE)</f>
        <v>Dairy Products</v>
      </c>
      <c r="K2" s="7" t="str">
        <f>IF(VLOOKUP(dynamic[productID],products[],7,FALSE)=1,"Discontinued","Current")</f>
        <v>Current</v>
      </c>
      <c r="L2" s="9">
        <f>VLOOKUP(dynamic[productID],products[],IF(YEAR(dynamic[orderDate])=2022,8,IF(YEAR(dynamic[orderDate])=2023,9,IF(YEAR(dynamic[orderDate])=2024,10,NA))),FALSE)</f>
        <v>10.58231097</v>
      </c>
      <c r="M2" s="9">
        <v>14.0</v>
      </c>
      <c r="N2" s="25">
        <f>(dynamic[orderPrice]-dynamic[productCost])/dynamic[productCost]</f>
        <v>0.3229624453</v>
      </c>
      <c r="O2" s="10">
        <v>12.0</v>
      </c>
      <c r="P2" s="25">
        <v>0.0</v>
      </c>
      <c r="Q2" s="9">
        <f>dynamic[orderPrice]*dynamic[orderQuantity]</f>
        <v>168</v>
      </c>
      <c r="R2" s="9">
        <f>dynamic[orderTotal]*(1-dynamic[discountApllied])</f>
        <v>168</v>
      </c>
      <c r="S2" s="9">
        <f>dynamic[revenue]-(dynamic[productCost]*dynamic[orderQuantity])</f>
        <v>41.01226834</v>
      </c>
      <c r="T2" s="25">
        <f>IFERROR(dynamic[profit]/dynamic[revenue], 0)</f>
        <v>0.2441206449</v>
      </c>
    </row>
    <row r="3" ht="22.5" customHeight="1">
      <c r="A3" s="6">
        <v>10248.0</v>
      </c>
      <c r="B3" s="7" t="s">
        <v>12</v>
      </c>
      <c r="C3" s="24" t="str">
        <f>VLOOKUP(dynamic[customerID],customers[],2,FALSE)</f>
        <v>Vins et alcools Chevalier</v>
      </c>
      <c r="D3" s="24">
        <v>44746.0</v>
      </c>
      <c r="E3" s="6">
        <f>IFERROR(__xludf.DUMMYFUNCTION("COUNTUNIQUEIFS($A$2:$A3,$B$2:$B3,B3)"),1.0)</f>
        <v>1</v>
      </c>
      <c r="F3" s="6">
        <f t="shared" si="1"/>
        <v>0</v>
      </c>
      <c r="G3" s="6" t="str">
        <f>IF(MINIFS(dynamic[orderDate], dynamic[customerID], B3) &gt;= DATE(2024,4,30)-120, 
     "New", 
     IF(MAXIFS(dynamic[orderCount], dynamic[customerID], B3)&lt;=2, 
        IF((DATE(2024,4,30) - MAXIFS(dynamic[orderDate], dynamic[customerID], B3)) &gt; 180, "Non-Returning", "Dormant"), 
        IF(AND(MAX(dynamic[sinceLastOrder]) &gt; 365, (DATE(2024,4,30) - MAXIFS(dynamic[orderDate], dynamic[customerID], B3)) &gt; 180), 
           "Dormant", "Regular")))</f>
        <v>Regular</v>
      </c>
      <c r="H3" s="6">
        <v>42.0</v>
      </c>
      <c r="I3" s="9" t="str">
        <f>VLOOKUP(dynamic[productID],products[],2,FALSE)</f>
        <v>Singaporean Hokkien Fried Mee</v>
      </c>
      <c r="J3" s="9" t="str">
        <f>VLOOKUP(dynamic[productID],products[],12,FALSE)</f>
        <v>Grains/Cereals</v>
      </c>
      <c r="K3" s="7" t="str">
        <f>IF(VLOOKUP(dynamic[productID],products[],7,FALSE)=1,"Discontinued","Current")</f>
        <v>Discontinued</v>
      </c>
      <c r="L3" s="9">
        <f>VLOOKUP(dynamic[productID],products[],IF(YEAR(dynamic[orderDate])=2022,8,IF(YEAR(dynamic[orderDate])=2023,9,IF(YEAR(dynamic[orderDate])=2024,10,NA))),FALSE)</f>
        <v>7.818425885</v>
      </c>
      <c r="M3" s="9">
        <v>9.8</v>
      </c>
      <c r="N3" s="25">
        <f>(dynamic[orderPrice]-dynamic[productCost])/dynamic[productCost]</f>
        <v>0.2534492421</v>
      </c>
      <c r="O3" s="10">
        <v>10.0</v>
      </c>
      <c r="P3" s="25">
        <v>0.0</v>
      </c>
      <c r="Q3" s="9">
        <f>dynamic[orderPrice]*dynamic[orderQuantity]</f>
        <v>98</v>
      </c>
      <c r="R3" s="9">
        <f>dynamic[orderTotal]*(1-dynamic[discountApllied])</f>
        <v>98</v>
      </c>
      <c r="S3" s="9">
        <f>dynamic[revenue]-(dynamic[productCost]*dynamic[orderQuantity])</f>
        <v>19.81574115</v>
      </c>
      <c r="T3" s="25">
        <f>IFERROR(dynamic[profit]/dynamic[revenue], 0)</f>
        <v>0.2022014403</v>
      </c>
    </row>
    <row r="4" ht="22.5" customHeight="1">
      <c r="A4" s="6">
        <v>10248.0</v>
      </c>
      <c r="B4" s="7" t="s">
        <v>12</v>
      </c>
      <c r="C4" s="24" t="str">
        <f>VLOOKUP(dynamic[customerID],customers[],2,FALSE)</f>
        <v>Vins et alcools Chevalier</v>
      </c>
      <c r="D4" s="24">
        <v>44746.0</v>
      </c>
      <c r="E4" s="6">
        <f>IFERROR(__xludf.DUMMYFUNCTION("COUNTUNIQUEIFS($A$2:$A4,$B$2:$B4,B4)"),1.0)</f>
        <v>1</v>
      </c>
      <c r="F4" s="6">
        <f t="shared" si="1"/>
        <v>0</v>
      </c>
      <c r="G4" s="6" t="str">
        <f>IF(MINIFS(dynamic[orderDate], dynamic[customerID], B4) &gt;= DATE(2024,4,30)-120, 
     "New", 
     IF(MAXIFS(dynamic[orderCount], dynamic[customerID], B4)&lt;=2, 
        IF((DATE(2024,4,30) - MAXIFS(dynamic[orderDate], dynamic[customerID], B4)) &gt; 180, "Non-Returning", "Dormant"), 
        IF(AND(MAX(dynamic[sinceLastOrder]) &gt; 365, (DATE(2024,4,30) - MAXIFS(dynamic[orderDate], dynamic[customerID], B4)) &gt; 180), 
           "Dormant", "Regular")))</f>
        <v>Regular</v>
      </c>
      <c r="H4" s="6">
        <v>72.0</v>
      </c>
      <c r="I4" s="9" t="str">
        <f>VLOOKUP(dynamic[productID],products[],2,FALSE)</f>
        <v>Mozzarella di Giovanni</v>
      </c>
      <c r="J4" s="9" t="str">
        <f>VLOOKUP(dynamic[productID],products[],12,FALSE)</f>
        <v>Dairy Products</v>
      </c>
      <c r="K4" s="7" t="str">
        <f>IF(VLOOKUP(dynamic[productID],products[],7,FALSE)=1,"Discontinued","Current")</f>
        <v>Current</v>
      </c>
      <c r="L4" s="9">
        <f>VLOOKUP(dynamic[productID],products[],IF(YEAR(dynamic[orderDate])=2022,8,IF(YEAR(dynamic[orderDate])=2023,9,IF(YEAR(dynamic[orderDate])=2024,10,NA))),FALSE)</f>
        <v>19.20829334</v>
      </c>
      <c r="M4" s="9">
        <v>34.8</v>
      </c>
      <c r="N4" s="25">
        <f>(dynamic[orderPrice]-dynamic[productCost])/dynamic[productCost]</f>
        <v>0.8117174382</v>
      </c>
      <c r="O4" s="10">
        <v>5.0</v>
      </c>
      <c r="P4" s="25">
        <v>0.0</v>
      </c>
      <c r="Q4" s="9">
        <f>dynamic[orderPrice]*dynamic[orderQuantity]</f>
        <v>174</v>
      </c>
      <c r="R4" s="9">
        <f>dynamic[orderTotal]*(1-dynamic[discountApllied])</f>
        <v>174</v>
      </c>
      <c r="S4" s="9">
        <f>dynamic[revenue]-(dynamic[productCost]*dynamic[orderQuantity])</f>
        <v>77.95853331</v>
      </c>
      <c r="T4" s="25">
        <f>IFERROR(dynamic[profit]/dynamic[revenue], 0)</f>
        <v>0.4480375477</v>
      </c>
    </row>
    <row r="5" ht="22.5" customHeight="1">
      <c r="A5" s="6">
        <v>10249.0</v>
      </c>
      <c r="B5" s="7" t="s">
        <v>14</v>
      </c>
      <c r="C5" s="24" t="str">
        <f>VLOOKUP(dynamic[customerID],customers[],2,FALSE)</f>
        <v>Toms Spezialitäten</v>
      </c>
      <c r="D5" s="24">
        <v>44747.0</v>
      </c>
      <c r="E5" s="6">
        <f>IFERROR(__xludf.DUMMYFUNCTION("COUNTUNIQUEIFS($A$2:$A5,$B$2:$B5,B5)"),1.0)</f>
        <v>1</v>
      </c>
      <c r="F5" s="6">
        <f t="shared" si="1"/>
        <v>0</v>
      </c>
      <c r="G5" s="6" t="str">
        <f>IF(MINIFS(dynamic[orderDate], dynamic[customerID], B5) &gt;= DATE(2024,4,30)-120, 
     "New", 
     IF(MAXIFS(dynamic[orderCount], dynamic[customerID], B5)&lt;=2, 
        IF((DATE(2024,4,30) - MAXIFS(dynamic[orderDate], dynamic[customerID], B5)) &gt; 180, "Non-Returning", "Dormant"), 
        IF(AND(MAX(dynamic[sinceLastOrder]) &gt; 365, (DATE(2024,4,30) - MAXIFS(dynamic[orderDate], dynamic[customerID], B5)) &gt; 180), 
           "Dormant", "Regular")))</f>
        <v>Regular</v>
      </c>
      <c r="H5" s="6">
        <v>14.0</v>
      </c>
      <c r="I5" s="9" t="str">
        <f>VLOOKUP(dynamic[productID],products[],2,FALSE)</f>
        <v>Tofu</v>
      </c>
      <c r="J5" s="9" t="str">
        <f>VLOOKUP(dynamic[productID],products[],12,FALSE)</f>
        <v>Produce</v>
      </c>
      <c r="K5" s="7" t="str">
        <f>IF(VLOOKUP(dynamic[productID],products[],7,FALSE)=1,"Discontinued","Current")</f>
        <v>Current</v>
      </c>
      <c r="L5" s="9">
        <f>VLOOKUP(dynamic[productID],products[],IF(YEAR(dynamic[orderDate])=2022,8,IF(YEAR(dynamic[orderDate])=2023,9,IF(YEAR(dynamic[orderDate])=2024,10,NA))),FALSE)</f>
        <v>13.95254082</v>
      </c>
      <c r="M5" s="9">
        <v>18.6</v>
      </c>
      <c r="N5" s="25">
        <f>(dynamic[orderPrice]-dynamic[productCost])/dynamic[productCost]</f>
        <v>0.333090527</v>
      </c>
      <c r="O5" s="10">
        <v>9.0</v>
      </c>
      <c r="P5" s="25">
        <v>0.0</v>
      </c>
      <c r="Q5" s="9">
        <f>dynamic[orderPrice]*dynamic[orderQuantity]</f>
        <v>167.4</v>
      </c>
      <c r="R5" s="9">
        <f>dynamic[orderTotal]*(1-dynamic[discountApllied])</f>
        <v>167.4</v>
      </c>
      <c r="S5" s="9">
        <f>dynamic[revenue]-(dynamic[productCost]*dynamic[orderQuantity])</f>
        <v>41.82713259</v>
      </c>
      <c r="T5" s="25">
        <f>IFERROR(dynamic[profit]/dynamic[revenue], 0)</f>
        <v>0.2498633966</v>
      </c>
    </row>
    <row r="6" ht="22.5" customHeight="1">
      <c r="A6" s="6">
        <v>10249.0</v>
      </c>
      <c r="B6" s="7" t="s">
        <v>14</v>
      </c>
      <c r="C6" s="24" t="str">
        <f>VLOOKUP(dynamic[customerID],customers[],2,FALSE)</f>
        <v>Toms Spezialitäten</v>
      </c>
      <c r="D6" s="24">
        <v>44747.0</v>
      </c>
      <c r="E6" s="6">
        <f>IFERROR(__xludf.DUMMYFUNCTION("COUNTUNIQUEIFS($A$2:$A6,$B$2:$B6,B6)"),1.0)</f>
        <v>1</v>
      </c>
      <c r="F6" s="6">
        <f t="shared" si="1"/>
        <v>0</v>
      </c>
      <c r="G6" s="6" t="str">
        <f>IF(MINIFS(dynamic[orderDate], dynamic[customerID], B6) &gt;= DATE(2024,4,30)-120, 
     "New", 
     IF(MAXIFS(dynamic[orderCount], dynamic[customerID], B6)&lt;=2, 
        IF((DATE(2024,4,30) - MAXIFS(dynamic[orderDate], dynamic[customerID], B6)) &gt; 180, "Non-Returning", "Dormant"), 
        IF(AND(MAX(dynamic[sinceLastOrder]) &gt; 365, (DATE(2024,4,30) - MAXIFS(dynamic[orderDate], dynamic[customerID], B6)) &gt; 180), 
           "Dormant", "Regular")))</f>
        <v>Regular</v>
      </c>
      <c r="H6" s="6">
        <v>51.0</v>
      </c>
      <c r="I6" s="9" t="str">
        <f>VLOOKUP(dynamic[productID],products[],2,FALSE)</f>
        <v>Manjimup Dried Apples</v>
      </c>
      <c r="J6" s="9" t="str">
        <f>VLOOKUP(dynamic[productID],products[],12,FALSE)</f>
        <v>Produce</v>
      </c>
      <c r="K6" s="7" t="str">
        <f>IF(VLOOKUP(dynamic[productID],products[],7,FALSE)=1,"Discontinued","Current")</f>
        <v>Current</v>
      </c>
      <c r="L6" s="9">
        <f>VLOOKUP(dynamic[productID],products[],IF(YEAR(dynamic[orderDate])=2022,8,IF(YEAR(dynamic[orderDate])=2023,9,IF(YEAR(dynamic[orderDate])=2024,10,NA))),FALSE)</f>
        <v>28.87532154</v>
      </c>
      <c r="M6" s="9">
        <v>42.4</v>
      </c>
      <c r="N6" s="25">
        <f>(dynamic[orderPrice]-dynamic[productCost])/dynamic[productCost]</f>
        <v>0.4683819172</v>
      </c>
      <c r="O6" s="10">
        <v>40.0</v>
      </c>
      <c r="P6" s="25">
        <v>0.0</v>
      </c>
      <c r="Q6" s="9">
        <f>dynamic[orderPrice]*dynamic[orderQuantity]</f>
        <v>1696</v>
      </c>
      <c r="R6" s="9">
        <f>dynamic[orderTotal]*(1-dynamic[discountApllied])</f>
        <v>1696</v>
      </c>
      <c r="S6" s="9">
        <f>dynamic[revenue]-(dynamic[productCost]*dynamic[orderQuantity])</f>
        <v>540.9871385</v>
      </c>
      <c r="T6" s="25">
        <f>IFERROR(dynamic[profit]/dynamic[revenue], 0)</f>
        <v>0.3189782656</v>
      </c>
    </row>
    <row r="7" ht="22.5" customHeight="1">
      <c r="A7" s="6">
        <v>10250.0</v>
      </c>
      <c r="B7" s="7" t="s">
        <v>16</v>
      </c>
      <c r="C7" s="24" t="str">
        <f>VLOOKUP(dynamic[customerID],customers[],2,FALSE)</f>
        <v>Hanari Carnes</v>
      </c>
      <c r="D7" s="24">
        <v>44750.0</v>
      </c>
      <c r="E7" s="6">
        <f>IFERROR(__xludf.DUMMYFUNCTION("COUNTUNIQUEIFS($A$2:$A7,$B$2:$B7,B7)"),1.0)</f>
        <v>1</v>
      </c>
      <c r="F7" s="6">
        <f t="shared" si="1"/>
        <v>0</v>
      </c>
      <c r="G7" s="6" t="str">
        <f>IF(MINIFS(dynamic[orderDate], dynamic[customerID], B7) &gt;= DATE(2024,4,30)-120, 
     "New", 
     IF(MAXIFS(dynamic[orderCount], dynamic[customerID], B7)&lt;=2, 
        IF((DATE(2024,4,30) - MAXIFS(dynamic[orderDate], dynamic[customerID], B7)) &gt; 180, "Non-Returning", "Dormant"), 
        IF(AND(MAX(dynamic[sinceLastOrder]) &gt; 365, (DATE(2024,4,30) - MAXIFS(dynamic[orderDate], dynamic[customerID], B7)) &gt; 180), 
           "Dormant", "Regular")))</f>
        <v>Regular</v>
      </c>
      <c r="H7" s="6">
        <v>41.0</v>
      </c>
      <c r="I7" s="9" t="str">
        <f>VLOOKUP(dynamic[productID],products[],2,FALSE)</f>
        <v>Jack's New England Clam Chowder</v>
      </c>
      <c r="J7" s="9" t="str">
        <f>VLOOKUP(dynamic[productID],products[],12,FALSE)</f>
        <v>Seafood</v>
      </c>
      <c r="K7" s="7" t="str">
        <f>IF(VLOOKUP(dynamic[productID],products[],7,FALSE)=1,"Discontinued","Current")</f>
        <v>Current</v>
      </c>
      <c r="L7" s="9">
        <f>VLOOKUP(dynamic[productID],products[],IF(YEAR(dynamic[orderDate])=2022,8,IF(YEAR(dynamic[orderDate])=2023,9,IF(YEAR(dynamic[orderDate])=2024,10,NA))),FALSE)</f>
        <v>5.170198742</v>
      </c>
      <c r="M7" s="9">
        <v>7.7</v>
      </c>
      <c r="N7" s="25">
        <f>(dynamic[orderPrice]-dynamic[productCost])/dynamic[productCost]</f>
        <v>0.4893044511</v>
      </c>
      <c r="O7" s="10">
        <v>10.0</v>
      </c>
      <c r="P7" s="25">
        <v>0.0</v>
      </c>
      <c r="Q7" s="9">
        <f>dynamic[orderPrice]*dynamic[orderQuantity]</f>
        <v>77</v>
      </c>
      <c r="R7" s="9">
        <f>dynamic[orderTotal]*(1-dynamic[discountApllied])</f>
        <v>77</v>
      </c>
      <c r="S7" s="9">
        <f>dynamic[revenue]-(dynamic[productCost]*dynamic[orderQuantity])</f>
        <v>25.29801258</v>
      </c>
      <c r="T7" s="25">
        <f>IFERROR(dynamic[profit]/dynamic[revenue], 0)</f>
        <v>0.3285456179</v>
      </c>
    </row>
    <row r="8" ht="22.5" customHeight="1">
      <c r="A8" s="6">
        <v>10250.0</v>
      </c>
      <c r="B8" s="7" t="s">
        <v>16</v>
      </c>
      <c r="C8" s="24" t="str">
        <f>VLOOKUP(dynamic[customerID],customers[],2,FALSE)</f>
        <v>Hanari Carnes</v>
      </c>
      <c r="D8" s="24">
        <v>44750.0</v>
      </c>
      <c r="E8" s="6">
        <f>IFERROR(__xludf.DUMMYFUNCTION("COUNTUNIQUEIFS($A$2:$A8,$B$2:$B8,B8)"),1.0)</f>
        <v>1</v>
      </c>
      <c r="F8" s="6">
        <f t="shared" si="1"/>
        <v>0</v>
      </c>
      <c r="G8" s="6" t="str">
        <f>IF(MINIFS(dynamic[orderDate], dynamic[customerID], B8) &gt;= DATE(2024,4,30)-120, 
     "New", 
     IF(MAXIFS(dynamic[orderCount], dynamic[customerID], B8)&lt;=2, 
        IF((DATE(2024,4,30) - MAXIFS(dynamic[orderDate], dynamic[customerID], B8)) &gt; 180, "Non-Returning", "Dormant"), 
        IF(AND(MAX(dynamic[sinceLastOrder]) &gt; 365, (DATE(2024,4,30) - MAXIFS(dynamic[orderDate], dynamic[customerID], B8)) &gt; 180), 
           "Dormant", "Regular")))</f>
        <v>Regular</v>
      </c>
      <c r="H8" s="6">
        <v>51.0</v>
      </c>
      <c r="I8" s="9" t="str">
        <f>VLOOKUP(dynamic[productID],products[],2,FALSE)</f>
        <v>Manjimup Dried Apples</v>
      </c>
      <c r="J8" s="9" t="str">
        <f>VLOOKUP(dynamic[productID],products[],12,FALSE)</f>
        <v>Produce</v>
      </c>
      <c r="K8" s="7" t="str">
        <f>IF(VLOOKUP(dynamic[productID],products[],7,FALSE)=1,"Discontinued","Current")</f>
        <v>Current</v>
      </c>
      <c r="L8" s="9">
        <f>VLOOKUP(dynamic[productID],products[],IF(YEAR(dynamic[orderDate])=2022,8,IF(YEAR(dynamic[orderDate])=2023,9,IF(YEAR(dynamic[orderDate])=2024,10,NA))),FALSE)</f>
        <v>28.87532154</v>
      </c>
      <c r="M8" s="9">
        <v>42.4</v>
      </c>
      <c r="N8" s="25">
        <f>(dynamic[orderPrice]-dynamic[productCost])/dynamic[productCost]</f>
        <v>0.4683819172</v>
      </c>
      <c r="O8" s="10">
        <v>35.0</v>
      </c>
      <c r="P8" s="25">
        <v>0.15</v>
      </c>
      <c r="Q8" s="9">
        <f>dynamic[orderPrice]*dynamic[orderQuantity]</f>
        <v>1484</v>
      </c>
      <c r="R8" s="9">
        <f>dynamic[orderTotal]*(1-dynamic[discountApllied])</f>
        <v>1261.4</v>
      </c>
      <c r="S8" s="9">
        <f>dynamic[revenue]-(dynamic[productCost]*dynamic[orderQuantity])</f>
        <v>250.7637462</v>
      </c>
      <c r="T8" s="25">
        <f>IFERROR(dynamic[profit]/dynamic[revenue], 0)</f>
        <v>0.1987979596</v>
      </c>
    </row>
    <row r="9" ht="22.5" customHeight="1">
      <c r="A9" s="6">
        <v>10250.0</v>
      </c>
      <c r="B9" s="7" t="s">
        <v>16</v>
      </c>
      <c r="C9" s="24" t="str">
        <f>VLOOKUP(dynamic[customerID],customers[],2,FALSE)</f>
        <v>Hanari Carnes</v>
      </c>
      <c r="D9" s="24">
        <v>44750.0</v>
      </c>
      <c r="E9" s="6">
        <f>IFERROR(__xludf.DUMMYFUNCTION("COUNTUNIQUEIFS($A$2:$A9,$B$2:$B9,B9)"),1.0)</f>
        <v>1</v>
      </c>
      <c r="F9" s="6">
        <f t="shared" si="1"/>
        <v>0</v>
      </c>
      <c r="G9" s="6" t="str">
        <f>IF(MINIFS(dynamic[orderDate], dynamic[customerID], B9) &gt;= DATE(2024,4,30)-120, 
     "New", 
     IF(MAXIFS(dynamic[orderCount], dynamic[customerID], B9)&lt;=2, 
        IF((DATE(2024,4,30) - MAXIFS(dynamic[orderDate], dynamic[customerID], B9)) &gt; 180, "Non-Returning", "Dormant"), 
        IF(AND(MAX(dynamic[sinceLastOrder]) &gt; 365, (DATE(2024,4,30) - MAXIFS(dynamic[orderDate], dynamic[customerID], B9)) &gt; 180), 
           "Dormant", "Regular")))</f>
        <v>Regular</v>
      </c>
      <c r="H9" s="6">
        <v>65.0</v>
      </c>
      <c r="I9" s="9" t="str">
        <f>VLOOKUP(dynamic[productID],products[],2,FALSE)</f>
        <v>Louisiana Fiery Hot Pepper Sauce</v>
      </c>
      <c r="J9" s="9" t="str">
        <f>VLOOKUP(dynamic[productID],products[],12,FALSE)</f>
        <v>Condiments</v>
      </c>
      <c r="K9" s="7" t="str">
        <f>IF(VLOOKUP(dynamic[productID],products[],7,FALSE)=1,"Discontinued","Current")</f>
        <v>Current</v>
      </c>
      <c r="L9" s="9">
        <f>VLOOKUP(dynamic[productID],products[],IF(YEAR(dynamic[orderDate])=2022,8,IF(YEAR(dynamic[orderDate])=2023,9,IF(YEAR(dynamic[orderDate])=2024,10,NA))),FALSE)</f>
        <v>11.17410204</v>
      </c>
      <c r="M9" s="9">
        <v>16.8</v>
      </c>
      <c r="N9" s="25">
        <f>(dynamic[orderPrice]-dynamic[productCost])/dynamic[productCost]</f>
        <v>0.503476515</v>
      </c>
      <c r="O9" s="10">
        <v>15.0</v>
      </c>
      <c r="P9" s="25">
        <v>0.15</v>
      </c>
      <c r="Q9" s="9">
        <f>dynamic[orderPrice]*dynamic[orderQuantity]</f>
        <v>252</v>
      </c>
      <c r="R9" s="9">
        <f>dynamic[orderTotal]*(1-dynamic[discountApllied])</f>
        <v>214.2</v>
      </c>
      <c r="S9" s="9">
        <f>dynamic[revenue]-(dynamic[productCost]*dynamic[orderQuantity])</f>
        <v>46.58846934</v>
      </c>
      <c r="T9" s="25">
        <f>IFERROR(dynamic[profit]/dynamic[revenue], 0)</f>
        <v>0.2174998568</v>
      </c>
    </row>
    <row r="10" ht="22.5" customHeight="1">
      <c r="A10" s="6">
        <v>10251.0</v>
      </c>
      <c r="B10" s="7" t="s">
        <v>18</v>
      </c>
      <c r="C10" s="24" t="str">
        <f>VLOOKUP(dynamic[customerID],customers[],2,FALSE)</f>
        <v>Victuailles en stock</v>
      </c>
      <c r="D10" s="24">
        <v>44750.0</v>
      </c>
      <c r="E10" s="6">
        <f>IFERROR(__xludf.DUMMYFUNCTION("COUNTUNIQUEIFS($A$2:$A10,$B$2:$B10,B10)"),1.0)</f>
        <v>1</v>
      </c>
      <c r="F10" s="6">
        <f t="shared" si="1"/>
        <v>0</v>
      </c>
      <c r="G10" s="6" t="str">
        <f>IF(MINIFS(dynamic[orderDate], dynamic[customerID], B10) &gt;= DATE(2024,4,30)-120, 
     "New", 
     IF(MAXIFS(dynamic[orderCount], dynamic[customerID], B10)&lt;=2, 
        IF((DATE(2024,4,30) - MAXIFS(dynamic[orderDate], dynamic[customerID], B10)) &gt; 180, "Non-Returning", "Dormant"), 
        IF(AND(MAX(dynamic[sinceLastOrder]) &gt; 365, (DATE(2024,4,30) - MAXIFS(dynamic[orderDate], dynamic[customerID], B10)) &gt; 180), 
           "Dormant", "Regular")))</f>
        <v>Regular</v>
      </c>
      <c r="H10" s="6">
        <v>22.0</v>
      </c>
      <c r="I10" s="9" t="str">
        <f>VLOOKUP(dynamic[productID],products[],2,FALSE)</f>
        <v>Gustaf's Knäckebröd</v>
      </c>
      <c r="J10" s="9" t="str">
        <f>VLOOKUP(dynamic[productID],products[],12,FALSE)</f>
        <v>Grains/Cereals</v>
      </c>
      <c r="K10" s="7" t="str">
        <f>IF(VLOOKUP(dynamic[productID],products[],7,FALSE)=1,"Discontinued","Current")</f>
        <v>Current</v>
      </c>
      <c r="L10" s="9">
        <f>VLOOKUP(dynamic[productID],products[],IF(YEAR(dynamic[orderDate])=2022,8,IF(YEAR(dynamic[orderDate])=2023,9,IF(YEAR(dynamic[orderDate])=2024,10,NA))),FALSE)</f>
        <v>11.70049217</v>
      </c>
      <c r="M10" s="9">
        <v>16.8</v>
      </c>
      <c r="N10" s="25">
        <f>(dynamic[orderPrice]-dynamic[productCost])/dynamic[productCost]</f>
        <v>0.4358370357</v>
      </c>
      <c r="O10" s="10">
        <v>6.0</v>
      </c>
      <c r="P10" s="25">
        <v>0.05</v>
      </c>
      <c r="Q10" s="9">
        <f>dynamic[orderPrice]*dynamic[orderQuantity]</f>
        <v>100.8</v>
      </c>
      <c r="R10" s="9">
        <f>dynamic[orderTotal]*(1-dynamic[discountApllied])</f>
        <v>95.76</v>
      </c>
      <c r="S10" s="9">
        <f>dynamic[revenue]-(dynamic[productCost]*dynamic[orderQuantity])</f>
        <v>25.55704695</v>
      </c>
      <c r="T10" s="25">
        <f>IFERROR(dynamic[profit]/dynamic[revenue], 0)</f>
        <v>0.2668864552</v>
      </c>
    </row>
    <row r="11" ht="22.5" customHeight="1">
      <c r="A11" s="6">
        <v>10251.0</v>
      </c>
      <c r="B11" s="7" t="s">
        <v>18</v>
      </c>
      <c r="C11" s="24" t="str">
        <f>VLOOKUP(dynamic[customerID],customers[],2,FALSE)</f>
        <v>Victuailles en stock</v>
      </c>
      <c r="D11" s="24">
        <v>44750.0</v>
      </c>
      <c r="E11" s="6">
        <f>IFERROR(__xludf.DUMMYFUNCTION("COUNTUNIQUEIFS($A$2:$A11,$B$2:$B11,B11)"),1.0)</f>
        <v>1</v>
      </c>
      <c r="F11" s="6">
        <f t="shared" si="1"/>
        <v>0</v>
      </c>
      <c r="G11" s="6" t="str">
        <f>IF(MINIFS(dynamic[orderDate], dynamic[customerID], B11) &gt;= DATE(2024,4,30)-120, 
     "New", 
     IF(MAXIFS(dynamic[orderCount], dynamic[customerID], B11)&lt;=2, 
        IF((DATE(2024,4,30) - MAXIFS(dynamic[orderDate], dynamic[customerID], B11)) &gt; 180, "Non-Returning", "Dormant"), 
        IF(AND(MAX(dynamic[sinceLastOrder]) &gt; 365, (DATE(2024,4,30) - MAXIFS(dynamic[orderDate], dynamic[customerID], B11)) &gt; 180), 
           "Dormant", "Regular")))</f>
        <v>Regular</v>
      </c>
      <c r="H11" s="6">
        <v>57.0</v>
      </c>
      <c r="I11" s="9" t="str">
        <f>VLOOKUP(dynamic[productID],products[],2,FALSE)</f>
        <v>Ravioli Angelo</v>
      </c>
      <c r="J11" s="9" t="str">
        <f>VLOOKUP(dynamic[productID],products[],12,FALSE)</f>
        <v>Grains/Cereals</v>
      </c>
      <c r="K11" s="7" t="str">
        <f>IF(VLOOKUP(dynamic[productID],products[],7,FALSE)=1,"Discontinued","Current")</f>
        <v>Current</v>
      </c>
      <c r="L11" s="9">
        <f>VLOOKUP(dynamic[productID],products[],IF(YEAR(dynamic[orderDate])=2022,8,IF(YEAR(dynamic[orderDate])=2023,9,IF(YEAR(dynamic[orderDate])=2024,10,NA))),FALSE)</f>
        <v>11.22950766</v>
      </c>
      <c r="M11" s="9">
        <v>15.6</v>
      </c>
      <c r="N11" s="25">
        <f>(dynamic[orderPrice]-dynamic[productCost])/dynamic[productCost]</f>
        <v>0.3891971469</v>
      </c>
      <c r="O11" s="10">
        <v>15.0</v>
      </c>
      <c r="P11" s="25">
        <v>0.05</v>
      </c>
      <c r="Q11" s="9">
        <f>dynamic[orderPrice]*dynamic[orderQuantity]</f>
        <v>234</v>
      </c>
      <c r="R11" s="9">
        <f>dynamic[orderTotal]*(1-dynamic[discountApllied])</f>
        <v>222.3</v>
      </c>
      <c r="S11" s="9">
        <f>dynamic[revenue]-(dynamic[productCost]*dynamic[orderQuantity])</f>
        <v>53.85738512</v>
      </c>
      <c r="T11" s="25">
        <f>IFERROR(dynamic[profit]/dynamic[revenue], 0)</f>
        <v>0.2422734373</v>
      </c>
    </row>
    <row r="12" ht="22.5" customHeight="1">
      <c r="A12" s="6">
        <v>10251.0</v>
      </c>
      <c r="B12" s="7" t="s">
        <v>18</v>
      </c>
      <c r="C12" s="24" t="str">
        <f>VLOOKUP(dynamic[customerID],customers[],2,FALSE)</f>
        <v>Victuailles en stock</v>
      </c>
      <c r="D12" s="24">
        <v>44750.0</v>
      </c>
      <c r="E12" s="6">
        <f>IFERROR(__xludf.DUMMYFUNCTION("COUNTUNIQUEIFS($A$2:$A12,$B$2:$B12,B12)"),1.0)</f>
        <v>1</v>
      </c>
      <c r="F12" s="6">
        <f t="shared" si="1"/>
        <v>0</v>
      </c>
      <c r="G12" s="6" t="str">
        <f>IF(MINIFS(dynamic[orderDate], dynamic[customerID], B12) &gt;= DATE(2024,4,30)-120, 
     "New", 
     IF(MAXIFS(dynamic[orderCount], dynamic[customerID], B12)&lt;=2, 
        IF((DATE(2024,4,30) - MAXIFS(dynamic[orderDate], dynamic[customerID], B12)) &gt; 180, "Non-Returning", "Dormant"), 
        IF(AND(MAX(dynamic[sinceLastOrder]) &gt; 365, (DATE(2024,4,30) - MAXIFS(dynamic[orderDate], dynamic[customerID], B12)) &gt; 180), 
           "Dormant", "Regular")))</f>
        <v>Regular</v>
      </c>
      <c r="H12" s="6">
        <v>65.0</v>
      </c>
      <c r="I12" s="9" t="str">
        <f>VLOOKUP(dynamic[productID],products[],2,FALSE)</f>
        <v>Louisiana Fiery Hot Pepper Sauce</v>
      </c>
      <c r="J12" s="9" t="str">
        <f>VLOOKUP(dynamic[productID],products[],12,FALSE)</f>
        <v>Condiments</v>
      </c>
      <c r="K12" s="7" t="str">
        <f>IF(VLOOKUP(dynamic[productID],products[],7,FALSE)=1,"Discontinued","Current")</f>
        <v>Current</v>
      </c>
      <c r="L12" s="9">
        <f>VLOOKUP(dynamic[productID],products[],IF(YEAR(dynamic[orderDate])=2022,8,IF(YEAR(dynamic[orderDate])=2023,9,IF(YEAR(dynamic[orderDate])=2024,10,NA))),FALSE)</f>
        <v>11.17410204</v>
      </c>
      <c r="M12" s="9">
        <v>16.8</v>
      </c>
      <c r="N12" s="25">
        <f>(dynamic[orderPrice]-dynamic[productCost])/dynamic[productCost]</f>
        <v>0.503476515</v>
      </c>
      <c r="O12" s="10">
        <v>20.0</v>
      </c>
      <c r="P12" s="25">
        <v>0.0</v>
      </c>
      <c r="Q12" s="9">
        <f>dynamic[orderPrice]*dynamic[orderQuantity]</f>
        <v>336</v>
      </c>
      <c r="R12" s="9">
        <f>dynamic[orderTotal]*(1-dynamic[discountApllied])</f>
        <v>336</v>
      </c>
      <c r="S12" s="9">
        <f>dynamic[revenue]-(dynamic[productCost]*dynamic[orderQuantity])</f>
        <v>112.5179591</v>
      </c>
      <c r="T12" s="25">
        <f>IFERROR(dynamic[profit]/dynamic[revenue], 0)</f>
        <v>0.3348748783</v>
      </c>
    </row>
    <row r="13" ht="22.5" customHeight="1">
      <c r="A13" s="6">
        <v>10252.0</v>
      </c>
      <c r="B13" s="7" t="s">
        <v>19</v>
      </c>
      <c r="C13" s="24" t="str">
        <f>VLOOKUP(dynamic[customerID],customers[],2,FALSE)</f>
        <v>Suprêmes délices</v>
      </c>
      <c r="D13" s="24">
        <v>44751.0</v>
      </c>
      <c r="E13" s="6">
        <f>IFERROR(__xludf.DUMMYFUNCTION("COUNTUNIQUEIFS($A$2:$A13,$B$2:$B13,B13)"),1.0)</f>
        <v>1</v>
      </c>
      <c r="F13" s="6">
        <f t="shared" si="1"/>
        <v>0</v>
      </c>
      <c r="G13" s="6" t="str">
        <f>IF(MINIFS(dynamic[orderDate], dynamic[customerID], B13) &gt;= DATE(2024,4,30)-120, 
     "New", 
     IF(MAXIFS(dynamic[orderCount], dynamic[customerID], B13)&lt;=2, 
        IF((DATE(2024,4,30) - MAXIFS(dynamic[orderDate], dynamic[customerID], B13)) &gt; 180, "Non-Returning", "Dormant"), 
        IF(AND(MAX(dynamic[sinceLastOrder]) &gt; 365, (DATE(2024,4,30) - MAXIFS(dynamic[orderDate], dynamic[customerID], B13)) &gt; 180), 
           "Dormant", "Regular")))</f>
        <v>Regular</v>
      </c>
      <c r="H13" s="6">
        <v>20.0</v>
      </c>
      <c r="I13" s="9" t="str">
        <f>VLOOKUP(dynamic[productID],products[],2,FALSE)</f>
        <v>Sir Rodney's Marmalade</v>
      </c>
      <c r="J13" s="9" t="str">
        <f>VLOOKUP(dynamic[productID],products[],12,FALSE)</f>
        <v>Confections</v>
      </c>
      <c r="K13" s="7" t="str">
        <f>IF(VLOOKUP(dynamic[productID],products[],7,FALSE)=1,"Discontinued","Current")</f>
        <v>Current</v>
      </c>
      <c r="L13" s="9">
        <f>VLOOKUP(dynamic[productID],products[],IF(YEAR(dynamic[orderDate])=2022,8,IF(YEAR(dynamic[orderDate])=2023,9,IF(YEAR(dynamic[orderDate])=2024,10,NA))),FALSE)</f>
        <v>45.94247438</v>
      </c>
      <c r="M13" s="9">
        <v>64.8</v>
      </c>
      <c r="N13" s="25">
        <f>(dynamic[orderPrice]-dynamic[productCost])/dynamic[productCost]</f>
        <v>0.4104595121</v>
      </c>
      <c r="O13" s="10">
        <v>40.0</v>
      </c>
      <c r="P13" s="25">
        <v>0.05</v>
      </c>
      <c r="Q13" s="9">
        <f>dynamic[orderPrice]*dynamic[orderQuantity]</f>
        <v>2592</v>
      </c>
      <c r="R13" s="9">
        <f>dynamic[orderTotal]*(1-dynamic[discountApllied])</f>
        <v>2462.4</v>
      </c>
      <c r="S13" s="9">
        <f>dynamic[revenue]-(dynamic[productCost]*dynamic[orderQuantity])</f>
        <v>624.7010247</v>
      </c>
      <c r="T13" s="25">
        <f>IFERROR(dynamic[profit]/dynamic[revenue], 0)</f>
        <v>0.2536959977</v>
      </c>
    </row>
    <row r="14" ht="22.5" customHeight="1">
      <c r="A14" s="6">
        <v>10252.0</v>
      </c>
      <c r="B14" s="7" t="s">
        <v>19</v>
      </c>
      <c r="C14" s="24" t="str">
        <f>VLOOKUP(dynamic[customerID],customers[],2,FALSE)</f>
        <v>Suprêmes délices</v>
      </c>
      <c r="D14" s="24">
        <v>44751.0</v>
      </c>
      <c r="E14" s="6">
        <f>IFERROR(__xludf.DUMMYFUNCTION("COUNTUNIQUEIFS($A$2:$A14,$B$2:$B14,B14)"),1.0)</f>
        <v>1</v>
      </c>
      <c r="F14" s="6">
        <f t="shared" si="1"/>
        <v>0</v>
      </c>
      <c r="G14" s="6" t="str">
        <f>IF(MINIFS(dynamic[orderDate], dynamic[customerID], B14) &gt;= DATE(2024,4,30)-120, 
     "New", 
     IF(MAXIFS(dynamic[orderCount], dynamic[customerID], B14)&lt;=2, 
        IF((DATE(2024,4,30) - MAXIFS(dynamic[orderDate], dynamic[customerID], B14)) &gt; 180, "Non-Returning", "Dormant"), 
        IF(AND(MAX(dynamic[sinceLastOrder]) &gt; 365, (DATE(2024,4,30) - MAXIFS(dynamic[orderDate], dynamic[customerID], B14)) &gt; 180), 
           "Dormant", "Regular")))</f>
        <v>Regular</v>
      </c>
      <c r="H14" s="6">
        <v>33.0</v>
      </c>
      <c r="I14" s="9" t="str">
        <f>VLOOKUP(dynamic[productID],products[],2,FALSE)</f>
        <v>Geitost</v>
      </c>
      <c r="J14" s="9" t="str">
        <f>VLOOKUP(dynamic[productID],products[],12,FALSE)</f>
        <v>Dairy Products</v>
      </c>
      <c r="K14" s="7" t="str">
        <f>IF(VLOOKUP(dynamic[productID],products[],7,FALSE)=1,"Discontinued","Current")</f>
        <v>Current</v>
      </c>
      <c r="L14" s="9">
        <f>VLOOKUP(dynamic[productID],products[],IF(YEAR(dynamic[orderDate])=2022,8,IF(YEAR(dynamic[orderDate])=2023,9,IF(YEAR(dynamic[orderDate])=2024,10,NA))),FALSE)</f>
        <v>1.393847434</v>
      </c>
      <c r="M14" s="9">
        <v>2.0</v>
      </c>
      <c r="N14" s="25">
        <f>(dynamic[orderPrice]-dynamic[productCost])/dynamic[productCost]</f>
        <v>0.4348772692</v>
      </c>
      <c r="O14" s="10">
        <v>25.0</v>
      </c>
      <c r="P14" s="25">
        <v>0.05</v>
      </c>
      <c r="Q14" s="9">
        <f>dynamic[orderPrice]*dynamic[orderQuantity]</f>
        <v>50</v>
      </c>
      <c r="R14" s="9">
        <f>dynamic[orderTotal]*(1-dynamic[discountApllied])</f>
        <v>47.5</v>
      </c>
      <c r="S14" s="9">
        <f>dynamic[revenue]-(dynamic[productCost]*dynamic[orderQuantity])</f>
        <v>12.65381415</v>
      </c>
      <c r="T14" s="25">
        <f>IFERROR(dynamic[profit]/dynamic[revenue], 0)</f>
        <v>0.2663960873</v>
      </c>
    </row>
    <row r="15" ht="22.5" customHeight="1">
      <c r="A15" s="6">
        <v>10252.0</v>
      </c>
      <c r="B15" s="7" t="s">
        <v>19</v>
      </c>
      <c r="C15" s="24" t="str">
        <f>VLOOKUP(dynamic[customerID],customers[],2,FALSE)</f>
        <v>Suprêmes délices</v>
      </c>
      <c r="D15" s="24">
        <v>44751.0</v>
      </c>
      <c r="E15" s="6">
        <f>IFERROR(__xludf.DUMMYFUNCTION("COUNTUNIQUEIFS($A$2:$A15,$B$2:$B15,B15)"),1.0)</f>
        <v>1</v>
      </c>
      <c r="F15" s="6">
        <f t="shared" si="1"/>
        <v>0</v>
      </c>
      <c r="G15" s="6" t="str">
        <f>IF(MINIFS(dynamic[orderDate], dynamic[customerID], B15) &gt;= DATE(2024,4,30)-120, 
     "New", 
     IF(MAXIFS(dynamic[orderCount], dynamic[customerID], B15)&lt;=2, 
        IF((DATE(2024,4,30) - MAXIFS(dynamic[orderDate], dynamic[customerID], B15)) &gt; 180, "Non-Returning", "Dormant"), 
        IF(AND(MAX(dynamic[sinceLastOrder]) &gt; 365, (DATE(2024,4,30) - MAXIFS(dynamic[orderDate], dynamic[customerID], B15)) &gt; 180), 
           "Dormant", "Regular")))</f>
        <v>Regular</v>
      </c>
      <c r="H15" s="6">
        <v>60.0</v>
      </c>
      <c r="I15" s="9" t="str">
        <f>VLOOKUP(dynamic[productID],products[],2,FALSE)</f>
        <v>Camembert Pierrot</v>
      </c>
      <c r="J15" s="9" t="str">
        <f>VLOOKUP(dynamic[productID],products[],12,FALSE)</f>
        <v>Dairy Products</v>
      </c>
      <c r="K15" s="7" t="str">
        <f>IF(VLOOKUP(dynamic[productID],products[],7,FALSE)=1,"Discontinued","Current")</f>
        <v>Current</v>
      </c>
      <c r="L15" s="9">
        <f>VLOOKUP(dynamic[productID],products[],IF(YEAR(dynamic[orderDate])=2022,8,IF(YEAR(dynamic[orderDate])=2023,9,IF(YEAR(dynamic[orderDate])=2024,10,NA))),FALSE)</f>
        <v>17.66563493</v>
      </c>
      <c r="M15" s="9">
        <v>27.2</v>
      </c>
      <c r="N15" s="25">
        <f>(dynamic[orderPrice]-dynamic[productCost])/dynamic[productCost]</f>
        <v>0.5397125612</v>
      </c>
      <c r="O15" s="10">
        <v>40.0</v>
      </c>
      <c r="P15" s="25">
        <v>0.0</v>
      </c>
      <c r="Q15" s="9">
        <f>dynamic[orderPrice]*dynamic[orderQuantity]</f>
        <v>1088</v>
      </c>
      <c r="R15" s="9">
        <f>dynamic[orderTotal]*(1-dynamic[discountApllied])</f>
        <v>1088</v>
      </c>
      <c r="S15" s="9">
        <f>dynamic[revenue]-(dynamic[productCost]*dynamic[orderQuantity])</f>
        <v>381.3746029</v>
      </c>
      <c r="T15" s="25">
        <f>IFERROR(dynamic[profit]/dynamic[revenue], 0)</f>
        <v>0.3505281276</v>
      </c>
    </row>
    <row r="16" ht="22.5" customHeight="1">
      <c r="A16" s="6">
        <v>10253.0</v>
      </c>
      <c r="B16" s="7" t="s">
        <v>16</v>
      </c>
      <c r="C16" s="24" t="str">
        <f>VLOOKUP(dynamic[customerID],customers[],2,FALSE)</f>
        <v>Hanari Carnes</v>
      </c>
      <c r="D16" s="24">
        <v>44752.0</v>
      </c>
      <c r="E16" s="6">
        <f>IFERROR(__xludf.DUMMYFUNCTION("COUNTUNIQUEIFS($A$2:$A16,$B$2:$B16,B16)"),2.0)</f>
        <v>2</v>
      </c>
      <c r="F16" s="6">
        <f t="shared" si="1"/>
        <v>2</v>
      </c>
      <c r="G16" s="6" t="str">
        <f>IF(MINIFS(dynamic[orderDate], dynamic[customerID], B16) &gt;= DATE(2024,4,30)-120, 
     "New", 
     IF(MAXIFS(dynamic[orderCount], dynamic[customerID], B16)&lt;=2, 
        IF((DATE(2024,4,30) - MAXIFS(dynamic[orderDate], dynamic[customerID], B16)) &gt; 180, "Non-Returning", "Dormant"), 
        IF(AND(MAX(dynamic[sinceLastOrder]) &gt; 365, (DATE(2024,4,30) - MAXIFS(dynamic[orderDate], dynamic[customerID], B16)) &gt; 180), 
           "Dormant", "Regular")))</f>
        <v>Regular</v>
      </c>
      <c r="H16" s="6">
        <v>31.0</v>
      </c>
      <c r="I16" s="9" t="str">
        <f>VLOOKUP(dynamic[productID],products[],2,FALSE)</f>
        <v>Gorgonzola Telino</v>
      </c>
      <c r="J16" s="9" t="str">
        <f>VLOOKUP(dynamic[productID],products[],12,FALSE)</f>
        <v>Dairy Products</v>
      </c>
      <c r="K16" s="7" t="str">
        <f>IF(VLOOKUP(dynamic[productID],products[],7,FALSE)=1,"Discontinued","Current")</f>
        <v>Current</v>
      </c>
      <c r="L16" s="9">
        <f>VLOOKUP(dynamic[productID],products[],IF(YEAR(dynamic[orderDate])=2022,8,IF(YEAR(dynamic[orderDate])=2023,9,IF(YEAR(dynamic[orderDate])=2024,10,NA))),FALSE)</f>
        <v>6.44031973</v>
      </c>
      <c r="M16" s="9">
        <v>10.0</v>
      </c>
      <c r="N16" s="25">
        <f>(dynamic[orderPrice]-dynamic[productCost])/dynamic[productCost]</f>
        <v>0.5527179425</v>
      </c>
      <c r="O16" s="10">
        <v>20.0</v>
      </c>
      <c r="P16" s="25">
        <v>0.0</v>
      </c>
      <c r="Q16" s="9">
        <f>dynamic[orderPrice]*dynamic[orderQuantity]</f>
        <v>200</v>
      </c>
      <c r="R16" s="9">
        <f>dynamic[orderTotal]*(1-dynamic[discountApllied])</f>
        <v>200</v>
      </c>
      <c r="S16" s="9">
        <f>dynamic[revenue]-(dynamic[productCost]*dynamic[orderQuantity])</f>
        <v>71.1936054</v>
      </c>
      <c r="T16" s="25">
        <f>IFERROR(dynamic[profit]/dynamic[revenue], 0)</f>
        <v>0.355968027</v>
      </c>
    </row>
    <row r="17" ht="22.5" customHeight="1">
      <c r="A17" s="6">
        <v>10253.0</v>
      </c>
      <c r="B17" s="7" t="s">
        <v>16</v>
      </c>
      <c r="C17" s="24" t="str">
        <f>VLOOKUP(dynamic[customerID],customers[],2,FALSE)</f>
        <v>Hanari Carnes</v>
      </c>
      <c r="D17" s="24">
        <v>44752.0</v>
      </c>
      <c r="E17" s="6">
        <f>IFERROR(__xludf.DUMMYFUNCTION("COUNTUNIQUEIFS($A$2:$A17,$B$2:$B17,B17)"),2.0)</f>
        <v>2</v>
      </c>
      <c r="F17" s="6">
        <f t="shared" si="1"/>
        <v>2</v>
      </c>
      <c r="G17" s="6" t="str">
        <f>IF(MINIFS(dynamic[orderDate], dynamic[customerID], B17) &gt;= DATE(2024,4,30)-120, 
     "New", 
     IF(MAXIFS(dynamic[orderCount], dynamic[customerID], B17)&lt;=2, 
        IF((DATE(2024,4,30) - MAXIFS(dynamic[orderDate], dynamic[customerID], B17)) &gt; 180, "Non-Returning", "Dormant"), 
        IF(AND(MAX(dynamic[sinceLastOrder]) &gt; 365, (DATE(2024,4,30) - MAXIFS(dynamic[orderDate], dynamic[customerID], B17)) &gt; 180), 
           "Dormant", "Regular")))</f>
        <v>Regular</v>
      </c>
      <c r="H17" s="6">
        <v>39.0</v>
      </c>
      <c r="I17" s="9" t="str">
        <f>VLOOKUP(dynamic[productID],products[],2,FALSE)</f>
        <v>Chartreuse verte</v>
      </c>
      <c r="J17" s="9" t="str">
        <f>VLOOKUP(dynamic[productID],products[],12,FALSE)</f>
        <v>Beverages</v>
      </c>
      <c r="K17" s="7" t="str">
        <f>IF(VLOOKUP(dynamic[productID],products[],7,FALSE)=1,"Discontinued","Current")</f>
        <v>Current</v>
      </c>
      <c r="L17" s="9">
        <f>VLOOKUP(dynamic[productID],products[],IF(YEAR(dynamic[orderDate])=2022,8,IF(YEAR(dynamic[orderDate])=2023,9,IF(YEAR(dynamic[orderDate])=2024,10,NA))),FALSE)</f>
        <v>9.743517226</v>
      </c>
      <c r="M17" s="9">
        <v>14.4</v>
      </c>
      <c r="N17" s="25">
        <f>(dynamic[orderPrice]-dynamic[productCost])/dynamic[productCost]</f>
        <v>0.4779057362</v>
      </c>
      <c r="O17" s="10">
        <v>42.0</v>
      </c>
      <c r="P17" s="25">
        <v>0.0</v>
      </c>
      <c r="Q17" s="9">
        <f>dynamic[orderPrice]*dynamic[orderQuantity]</f>
        <v>604.8</v>
      </c>
      <c r="R17" s="9">
        <f>dynamic[orderTotal]*(1-dynamic[discountApllied])</f>
        <v>604.8</v>
      </c>
      <c r="S17" s="9">
        <f>dynamic[revenue]-(dynamic[productCost]*dynamic[orderQuantity])</f>
        <v>195.5722765</v>
      </c>
      <c r="T17" s="25">
        <f>IFERROR(dynamic[profit]/dynamic[revenue], 0)</f>
        <v>0.3233668593</v>
      </c>
    </row>
    <row r="18" ht="22.5" customHeight="1">
      <c r="A18" s="6">
        <v>10253.0</v>
      </c>
      <c r="B18" s="7" t="s">
        <v>16</v>
      </c>
      <c r="C18" s="24" t="str">
        <f>VLOOKUP(dynamic[customerID],customers[],2,FALSE)</f>
        <v>Hanari Carnes</v>
      </c>
      <c r="D18" s="24">
        <v>44752.0</v>
      </c>
      <c r="E18" s="6">
        <f>IFERROR(__xludf.DUMMYFUNCTION("COUNTUNIQUEIFS($A$2:$A18,$B$2:$B18,B18)"),2.0)</f>
        <v>2</v>
      </c>
      <c r="F18" s="6">
        <f t="shared" si="1"/>
        <v>2</v>
      </c>
      <c r="G18" s="6" t="str">
        <f>IF(MINIFS(dynamic[orderDate], dynamic[customerID], B18) &gt;= DATE(2024,4,30)-120, 
     "New", 
     IF(MAXIFS(dynamic[orderCount], dynamic[customerID], B18)&lt;=2, 
        IF((DATE(2024,4,30) - MAXIFS(dynamic[orderDate], dynamic[customerID], B18)) &gt; 180, "Non-Returning", "Dormant"), 
        IF(AND(MAX(dynamic[sinceLastOrder]) &gt; 365, (DATE(2024,4,30) - MAXIFS(dynamic[orderDate], dynamic[customerID], B18)) &gt; 180), 
           "Dormant", "Regular")))</f>
        <v>Regular</v>
      </c>
      <c r="H18" s="6">
        <v>49.0</v>
      </c>
      <c r="I18" s="9" t="str">
        <f>VLOOKUP(dynamic[productID],products[],2,FALSE)</f>
        <v>Maxilaku</v>
      </c>
      <c r="J18" s="9" t="str">
        <f>VLOOKUP(dynamic[productID],products[],12,FALSE)</f>
        <v>Confections</v>
      </c>
      <c r="K18" s="7" t="str">
        <f>IF(VLOOKUP(dynamic[productID],products[],7,FALSE)=1,"Discontinued","Current")</f>
        <v>Current</v>
      </c>
      <c r="L18" s="9">
        <f>VLOOKUP(dynamic[productID],products[],IF(YEAR(dynamic[orderDate])=2022,8,IF(YEAR(dynamic[orderDate])=2023,9,IF(YEAR(dynamic[orderDate])=2024,10,NA))),FALSE)</f>
        <v>12.56663579</v>
      </c>
      <c r="M18" s="9">
        <v>16.0</v>
      </c>
      <c r="N18" s="25">
        <f>(dynamic[orderPrice]-dynamic[productCost])/dynamic[productCost]</f>
        <v>0.2732126779</v>
      </c>
      <c r="O18" s="10">
        <v>40.0</v>
      </c>
      <c r="P18" s="25">
        <v>0.0</v>
      </c>
      <c r="Q18" s="9">
        <f>dynamic[orderPrice]*dynamic[orderQuantity]</f>
        <v>640</v>
      </c>
      <c r="R18" s="9">
        <f>dynamic[orderTotal]*(1-dynamic[discountApllied])</f>
        <v>640</v>
      </c>
      <c r="S18" s="9">
        <f>dynamic[revenue]-(dynamic[productCost]*dynamic[orderQuantity])</f>
        <v>137.3345686</v>
      </c>
      <c r="T18" s="25">
        <f>IFERROR(dynamic[profit]/dynamic[revenue], 0)</f>
        <v>0.2145852634</v>
      </c>
    </row>
    <row r="19" ht="22.5" customHeight="1">
      <c r="A19" s="6">
        <v>10254.0</v>
      </c>
      <c r="B19" s="7" t="s">
        <v>20</v>
      </c>
      <c r="C19" s="24" t="str">
        <f>VLOOKUP(dynamic[customerID],customers[],2,FALSE)</f>
        <v>Chop-suey Chinese</v>
      </c>
      <c r="D19" s="24">
        <v>44753.0</v>
      </c>
      <c r="E19" s="6">
        <f>IFERROR(__xludf.DUMMYFUNCTION("COUNTUNIQUEIFS($A$2:$A19,$B$2:$B19,B19)"),1.0)</f>
        <v>1</v>
      </c>
      <c r="F19" s="6">
        <f t="shared" si="1"/>
        <v>0</v>
      </c>
      <c r="G19" s="6" t="str">
        <f>IF(MINIFS(dynamic[orderDate], dynamic[customerID], B19) &gt;= DATE(2024,4,30)-120, 
     "New", 
     IF(MAXIFS(dynamic[orderCount], dynamic[customerID], B19)&lt;=2, 
        IF((DATE(2024,4,30) - MAXIFS(dynamic[orderDate], dynamic[customerID], B19)) &gt; 180, "Non-Returning", "Dormant"), 
        IF(AND(MAX(dynamic[sinceLastOrder]) &gt; 365, (DATE(2024,4,30) - MAXIFS(dynamic[orderDate], dynamic[customerID], B19)) &gt; 180), 
           "Dormant", "Regular")))</f>
        <v>Regular</v>
      </c>
      <c r="H19" s="6">
        <v>24.0</v>
      </c>
      <c r="I19" s="9" t="str">
        <f>VLOOKUP(dynamic[productID],products[],2,FALSE)</f>
        <v>Brigadeiros Maravilhosos da Lilian</v>
      </c>
      <c r="J19" s="9" t="str">
        <f>VLOOKUP(dynamic[productID],products[],12,FALSE)</f>
        <v>Confections</v>
      </c>
      <c r="K19" s="7" t="str">
        <f>IF(VLOOKUP(dynamic[productID],products[],7,FALSE)=1,"Discontinued","Current")</f>
        <v>Discontinued</v>
      </c>
      <c r="L19" s="9">
        <f>VLOOKUP(dynamic[productID],products[],IF(YEAR(dynamic[orderDate])=2022,8,IF(YEAR(dynamic[orderDate])=2023,9,IF(YEAR(dynamic[orderDate])=2024,10,NA))),FALSE)</f>
        <v>2.68117246</v>
      </c>
      <c r="M19" s="9">
        <v>3.6</v>
      </c>
      <c r="N19" s="25">
        <f>(dynamic[orderPrice]-dynamic[productCost])/dynamic[productCost]</f>
        <v>0.3426961727</v>
      </c>
      <c r="O19" s="10">
        <v>15.0</v>
      </c>
      <c r="P19" s="25">
        <v>0.15</v>
      </c>
      <c r="Q19" s="9">
        <f>dynamic[orderPrice]*dynamic[orderQuantity]</f>
        <v>54</v>
      </c>
      <c r="R19" s="9">
        <f>dynamic[orderTotal]*(1-dynamic[discountApllied])</f>
        <v>45.9</v>
      </c>
      <c r="S19" s="9">
        <f>dynamic[revenue]-(dynamic[productCost]*dynamic[orderQuantity])</f>
        <v>5.682413104</v>
      </c>
      <c r="T19" s="25">
        <f>IFERROR(dynamic[profit]/dynamic[revenue], 0)</f>
        <v>0.1237998498</v>
      </c>
    </row>
    <row r="20" ht="22.5" customHeight="1">
      <c r="A20" s="6">
        <v>10254.0</v>
      </c>
      <c r="B20" s="7" t="s">
        <v>20</v>
      </c>
      <c r="C20" s="24" t="str">
        <f>VLOOKUP(dynamic[customerID],customers[],2,FALSE)</f>
        <v>Chop-suey Chinese</v>
      </c>
      <c r="D20" s="24">
        <v>44753.0</v>
      </c>
      <c r="E20" s="6">
        <f>IFERROR(__xludf.DUMMYFUNCTION("COUNTUNIQUEIFS($A$2:$A20,$B$2:$B20,B20)"),1.0)</f>
        <v>1</v>
      </c>
      <c r="F20" s="6">
        <f t="shared" si="1"/>
        <v>0</v>
      </c>
      <c r="G20" s="6" t="str">
        <f>IF(MINIFS(dynamic[orderDate], dynamic[customerID], B20) &gt;= DATE(2024,4,30)-120, 
     "New", 
     IF(MAXIFS(dynamic[orderCount], dynamic[customerID], B20)&lt;=2, 
        IF((DATE(2024,4,30) - MAXIFS(dynamic[orderDate], dynamic[customerID], B20)) &gt; 180, "Non-Returning", "Dormant"), 
        IF(AND(MAX(dynamic[sinceLastOrder]) &gt; 365, (DATE(2024,4,30) - MAXIFS(dynamic[orderDate], dynamic[customerID], B20)) &gt; 180), 
           "Dormant", "Regular")))</f>
        <v>Regular</v>
      </c>
      <c r="H20" s="6">
        <v>55.0</v>
      </c>
      <c r="I20" s="9" t="str">
        <f>VLOOKUP(dynamic[productID],products[],2,FALSE)</f>
        <v>Pâté chinois</v>
      </c>
      <c r="J20" s="9" t="str">
        <f>VLOOKUP(dynamic[productID],products[],12,FALSE)</f>
        <v>Meat/Poultry</v>
      </c>
      <c r="K20" s="7" t="str">
        <f>IF(VLOOKUP(dynamic[productID],products[],7,FALSE)=1,"Discontinued","Current")</f>
        <v>Current</v>
      </c>
      <c r="L20" s="9">
        <f>VLOOKUP(dynamic[productID],products[],IF(YEAR(dynamic[orderDate])=2022,8,IF(YEAR(dynamic[orderDate])=2023,9,IF(YEAR(dynamic[orderDate])=2024,10,NA))),FALSE)</f>
        <v>12.97496052</v>
      </c>
      <c r="M20" s="9">
        <v>19.2</v>
      </c>
      <c r="N20" s="25">
        <f>(dynamic[orderPrice]-dynamic[productCost])/dynamic[productCost]</f>
        <v>0.4797732884</v>
      </c>
      <c r="O20" s="10">
        <v>21.0</v>
      </c>
      <c r="P20" s="25">
        <v>0.15</v>
      </c>
      <c r="Q20" s="9">
        <f>dynamic[orderPrice]*dynamic[orderQuantity]</f>
        <v>403.2</v>
      </c>
      <c r="R20" s="9">
        <f>dynamic[orderTotal]*(1-dynamic[discountApllied])</f>
        <v>342.72</v>
      </c>
      <c r="S20" s="9">
        <f>dynamic[revenue]-(dynamic[productCost]*dynamic[orderQuantity])</f>
        <v>70.24582901</v>
      </c>
      <c r="T20" s="25">
        <f>IFERROR(dynamic[profit]/dynamic[revenue], 0)</f>
        <v>0.2049656542</v>
      </c>
    </row>
    <row r="21" ht="15.75" customHeight="1">
      <c r="A21" s="6">
        <v>10254.0</v>
      </c>
      <c r="B21" s="7" t="s">
        <v>20</v>
      </c>
      <c r="C21" s="24" t="str">
        <f>VLOOKUP(dynamic[customerID],customers[],2,FALSE)</f>
        <v>Chop-suey Chinese</v>
      </c>
      <c r="D21" s="24">
        <v>44753.0</v>
      </c>
      <c r="E21" s="6">
        <f>IFERROR(__xludf.DUMMYFUNCTION("COUNTUNIQUEIFS($A$2:$A21,$B$2:$B21,B21)"),1.0)</f>
        <v>1</v>
      </c>
      <c r="F21" s="6">
        <f t="shared" si="1"/>
        <v>0</v>
      </c>
      <c r="G21" s="6" t="str">
        <f>IF(MINIFS(dynamic[orderDate], dynamic[customerID], B21) &gt;= DATE(2024,4,30)-120, 
     "New", 
     IF(MAXIFS(dynamic[orderCount], dynamic[customerID], B21)&lt;=2, 
        IF((DATE(2024,4,30) - MAXIFS(dynamic[orderDate], dynamic[customerID], B21)) &gt; 180, "Non-Returning", "Dormant"), 
        IF(AND(MAX(dynamic[sinceLastOrder]) &gt; 365, (DATE(2024,4,30) - MAXIFS(dynamic[orderDate], dynamic[customerID], B21)) &gt; 180), 
           "Dormant", "Regular")))</f>
        <v>Regular</v>
      </c>
      <c r="H21" s="6">
        <v>74.0</v>
      </c>
      <c r="I21" s="9" t="str">
        <f>VLOOKUP(dynamic[productID],products[],2,FALSE)</f>
        <v>Longlife Tofu</v>
      </c>
      <c r="J21" s="9" t="str">
        <f>VLOOKUP(dynamic[productID],products[],12,FALSE)</f>
        <v>Produce</v>
      </c>
      <c r="K21" s="7" t="str">
        <f>IF(VLOOKUP(dynamic[productID],products[],7,FALSE)=1,"Discontinued","Current")</f>
        <v>Current</v>
      </c>
      <c r="L21" s="9">
        <f>VLOOKUP(dynamic[productID],products[],IF(YEAR(dynamic[orderDate])=2022,8,IF(YEAR(dynamic[orderDate])=2023,9,IF(YEAR(dynamic[orderDate])=2024,10,NA))),FALSE)</f>
        <v>5.667130124</v>
      </c>
      <c r="M21" s="9">
        <v>8.0</v>
      </c>
      <c r="N21" s="25">
        <f>(dynamic[orderPrice]-dynamic[productCost])/dynamic[productCost]</f>
        <v>0.4116492519</v>
      </c>
      <c r="O21" s="10">
        <v>21.0</v>
      </c>
      <c r="P21" s="25">
        <v>0.0</v>
      </c>
      <c r="Q21" s="9">
        <f>dynamic[orderPrice]*dynamic[orderQuantity]</f>
        <v>168</v>
      </c>
      <c r="R21" s="9">
        <f>dynamic[orderTotal]*(1-dynamic[discountApllied])</f>
        <v>168</v>
      </c>
      <c r="S21" s="9">
        <f>dynamic[revenue]-(dynamic[productCost]*dynamic[orderQuantity])</f>
        <v>48.9902674</v>
      </c>
      <c r="T21" s="25">
        <f>IFERROR(dynamic[profit]/dynamic[revenue], 0)</f>
        <v>0.2916087345</v>
      </c>
    </row>
    <row r="22" ht="15.75" customHeight="1">
      <c r="A22" s="6">
        <v>10255.0</v>
      </c>
      <c r="B22" s="7" t="s">
        <v>21</v>
      </c>
      <c r="C22" s="24" t="str">
        <f>VLOOKUP(dynamic[customerID],customers[],2,FALSE)</f>
        <v>Richter Supermarkt</v>
      </c>
      <c r="D22" s="24">
        <v>44754.0</v>
      </c>
      <c r="E22" s="6">
        <f>IFERROR(__xludf.DUMMYFUNCTION("COUNTUNIQUEIFS($A$2:$A22,$B$2:$B22,B22)"),1.0)</f>
        <v>1</v>
      </c>
      <c r="F22" s="6">
        <f t="shared" si="1"/>
        <v>0</v>
      </c>
      <c r="G22" s="6" t="str">
        <f>IF(MINIFS(dynamic[orderDate], dynamic[customerID], B22) &gt;= DATE(2024,4,30)-120, 
     "New", 
     IF(MAXIFS(dynamic[orderCount], dynamic[customerID], B22)&lt;=2, 
        IF((DATE(2024,4,30) - MAXIFS(dynamic[orderDate], dynamic[customerID], B22)) &gt; 180, "Non-Returning", "Dormant"), 
        IF(AND(MAX(dynamic[sinceLastOrder]) &gt; 365, (DATE(2024,4,30) - MAXIFS(dynamic[orderDate], dynamic[customerID], B22)) &gt; 180), 
           "Dormant", "Regular")))</f>
        <v>Regular</v>
      </c>
      <c r="H22" s="6">
        <v>2.0</v>
      </c>
      <c r="I22" s="9" t="str">
        <f>VLOOKUP(dynamic[productID],products[],2,FALSE)</f>
        <v>Chang</v>
      </c>
      <c r="J22" s="9" t="str">
        <f>VLOOKUP(dynamic[productID],products[],12,FALSE)</f>
        <v>Beverages</v>
      </c>
      <c r="K22" s="7" t="str">
        <f>IF(VLOOKUP(dynamic[productID],products[],7,FALSE)=1,"Discontinued","Current")</f>
        <v>Current</v>
      </c>
      <c r="L22" s="9">
        <f>VLOOKUP(dynamic[productID],products[],IF(YEAR(dynamic[orderDate])=2022,8,IF(YEAR(dynamic[orderDate])=2023,9,IF(YEAR(dynamic[orderDate])=2024,10,NA))),FALSE)</f>
        <v>9.768746876</v>
      </c>
      <c r="M22" s="9">
        <v>15.2</v>
      </c>
      <c r="N22" s="25">
        <f>(dynamic[orderPrice]-dynamic[productCost])/dynamic[productCost]</f>
        <v>0.5559825833</v>
      </c>
      <c r="O22" s="10">
        <v>20.0</v>
      </c>
      <c r="P22" s="25">
        <v>0.0</v>
      </c>
      <c r="Q22" s="9">
        <f>dynamic[orderPrice]*dynamic[orderQuantity]</f>
        <v>304</v>
      </c>
      <c r="R22" s="9">
        <f>dynamic[orderTotal]*(1-dynamic[discountApllied])</f>
        <v>304</v>
      </c>
      <c r="S22" s="9">
        <f>dynamic[revenue]-(dynamic[productCost]*dynamic[orderQuantity])</f>
        <v>108.6250625</v>
      </c>
      <c r="T22" s="25">
        <f>IFERROR(dynamic[profit]/dynamic[revenue], 0)</f>
        <v>0.3573192844</v>
      </c>
    </row>
    <row r="23" ht="15.75" customHeight="1">
      <c r="A23" s="6">
        <v>10255.0</v>
      </c>
      <c r="B23" s="7" t="s">
        <v>21</v>
      </c>
      <c r="C23" s="24" t="str">
        <f>VLOOKUP(dynamic[customerID],customers[],2,FALSE)</f>
        <v>Richter Supermarkt</v>
      </c>
      <c r="D23" s="24">
        <v>44754.0</v>
      </c>
      <c r="E23" s="6">
        <f>IFERROR(__xludf.DUMMYFUNCTION("COUNTUNIQUEIFS($A$2:$A23,$B$2:$B23,B23)"),1.0)</f>
        <v>1</v>
      </c>
      <c r="F23" s="6">
        <f t="shared" si="1"/>
        <v>0</v>
      </c>
      <c r="G23" s="6" t="str">
        <f>IF(MINIFS(dynamic[orderDate], dynamic[customerID], B23) &gt;= DATE(2024,4,30)-120, 
     "New", 
     IF(MAXIFS(dynamic[orderCount], dynamic[customerID], B23)&lt;=2, 
        IF((DATE(2024,4,30) - MAXIFS(dynamic[orderDate], dynamic[customerID], B23)) &gt; 180, "Non-Returning", "Dormant"), 
        IF(AND(MAX(dynamic[sinceLastOrder]) &gt; 365, (DATE(2024,4,30) - MAXIFS(dynamic[orderDate], dynamic[customerID], B23)) &gt; 180), 
           "Dormant", "Regular")))</f>
        <v>Regular</v>
      </c>
      <c r="H23" s="6">
        <v>16.0</v>
      </c>
      <c r="I23" s="9" t="str">
        <f>VLOOKUP(dynamic[productID],products[],2,FALSE)</f>
        <v>Pavlova</v>
      </c>
      <c r="J23" s="9" t="str">
        <f>VLOOKUP(dynamic[productID],products[],12,FALSE)</f>
        <v>Confections</v>
      </c>
      <c r="K23" s="7" t="str">
        <f>IF(VLOOKUP(dynamic[productID],products[],7,FALSE)=1,"Discontinued","Current")</f>
        <v>Current</v>
      </c>
      <c r="L23" s="9">
        <f>VLOOKUP(dynamic[productID],products[],IF(YEAR(dynamic[orderDate])=2022,8,IF(YEAR(dynamic[orderDate])=2023,9,IF(YEAR(dynamic[orderDate])=2024,10,NA))),FALSE)</f>
        <v>9.80658008</v>
      </c>
      <c r="M23" s="9">
        <v>13.9</v>
      </c>
      <c r="N23" s="25">
        <f>(dynamic[orderPrice]-dynamic[productCost])/dynamic[productCost]</f>
        <v>0.417415642</v>
      </c>
      <c r="O23" s="10">
        <v>35.0</v>
      </c>
      <c r="P23" s="25">
        <v>0.0</v>
      </c>
      <c r="Q23" s="9">
        <f>dynamic[orderPrice]*dynamic[orderQuantity]</f>
        <v>486.5</v>
      </c>
      <c r="R23" s="9">
        <f>dynamic[orderTotal]*(1-dynamic[discountApllied])</f>
        <v>486.5</v>
      </c>
      <c r="S23" s="9">
        <f>dynamic[revenue]-(dynamic[productCost]*dynamic[orderQuantity])</f>
        <v>143.2696972</v>
      </c>
      <c r="T23" s="25">
        <f>IFERROR(dynamic[profit]/dynamic[revenue], 0)</f>
        <v>0.2944906417</v>
      </c>
    </row>
    <row r="24" ht="15.75" customHeight="1">
      <c r="A24" s="6">
        <v>10255.0</v>
      </c>
      <c r="B24" s="7" t="s">
        <v>21</v>
      </c>
      <c r="C24" s="24" t="str">
        <f>VLOOKUP(dynamic[customerID],customers[],2,FALSE)</f>
        <v>Richter Supermarkt</v>
      </c>
      <c r="D24" s="24">
        <v>44754.0</v>
      </c>
      <c r="E24" s="6">
        <f>IFERROR(__xludf.DUMMYFUNCTION("COUNTUNIQUEIFS($A$2:$A24,$B$2:$B24,B24)"),1.0)</f>
        <v>1</v>
      </c>
      <c r="F24" s="6">
        <f t="shared" si="1"/>
        <v>0</v>
      </c>
      <c r="G24" s="6" t="str">
        <f>IF(MINIFS(dynamic[orderDate], dynamic[customerID], B24) &gt;= DATE(2024,4,30)-120, 
     "New", 
     IF(MAXIFS(dynamic[orderCount], dynamic[customerID], B24)&lt;=2, 
        IF((DATE(2024,4,30) - MAXIFS(dynamic[orderDate], dynamic[customerID], B24)) &gt; 180, "Non-Returning", "Dormant"), 
        IF(AND(MAX(dynamic[sinceLastOrder]) &gt; 365, (DATE(2024,4,30) - MAXIFS(dynamic[orderDate], dynamic[customerID], B24)) &gt; 180), 
           "Dormant", "Regular")))</f>
        <v>Regular</v>
      </c>
      <c r="H24" s="6">
        <v>36.0</v>
      </c>
      <c r="I24" s="9" t="str">
        <f>VLOOKUP(dynamic[productID],products[],2,FALSE)</f>
        <v>Inlagd Sill</v>
      </c>
      <c r="J24" s="9" t="str">
        <f>VLOOKUP(dynamic[productID],products[],12,FALSE)</f>
        <v>Seafood</v>
      </c>
      <c r="K24" s="7" t="str">
        <f>IF(VLOOKUP(dynamic[productID],products[],7,FALSE)=1,"Discontinued","Current")</f>
        <v>Current</v>
      </c>
      <c r="L24" s="9">
        <f>VLOOKUP(dynamic[productID],products[],IF(YEAR(dynamic[orderDate])=2022,8,IF(YEAR(dynamic[orderDate])=2023,9,IF(YEAR(dynamic[orderDate])=2024,10,NA))),FALSE)</f>
        <v>9.768238429</v>
      </c>
      <c r="M24" s="9">
        <v>15.2</v>
      </c>
      <c r="N24" s="25">
        <f>(dynamic[orderPrice]-dynamic[productCost])/dynamic[productCost]</f>
        <v>0.5560635738</v>
      </c>
      <c r="O24" s="10">
        <v>25.0</v>
      </c>
      <c r="P24" s="25">
        <v>0.0</v>
      </c>
      <c r="Q24" s="9">
        <f>dynamic[orderPrice]*dynamic[orderQuantity]</f>
        <v>380</v>
      </c>
      <c r="R24" s="9">
        <f>dynamic[orderTotal]*(1-dynamic[discountApllied])</f>
        <v>380</v>
      </c>
      <c r="S24" s="9">
        <f>dynamic[revenue]-(dynamic[productCost]*dynamic[orderQuantity])</f>
        <v>135.7940393</v>
      </c>
      <c r="T24" s="25">
        <f>IFERROR(dynamic[profit]/dynamic[revenue], 0)</f>
        <v>0.3573527349</v>
      </c>
    </row>
    <row r="25" ht="15.75" customHeight="1">
      <c r="A25" s="6">
        <v>10255.0</v>
      </c>
      <c r="B25" s="7" t="s">
        <v>21</v>
      </c>
      <c r="C25" s="24" t="str">
        <f>VLOOKUP(dynamic[customerID],customers[],2,FALSE)</f>
        <v>Richter Supermarkt</v>
      </c>
      <c r="D25" s="24">
        <v>44754.0</v>
      </c>
      <c r="E25" s="6">
        <f>IFERROR(__xludf.DUMMYFUNCTION("COUNTUNIQUEIFS($A$2:$A25,$B$2:$B25,B25)"),1.0)</f>
        <v>1</v>
      </c>
      <c r="F25" s="6">
        <f t="shared" si="1"/>
        <v>0</v>
      </c>
      <c r="G25" s="6" t="str">
        <f>IF(MINIFS(dynamic[orderDate], dynamic[customerID], B25) &gt;= DATE(2024,4,30)-120, 
     "New", 
     IF(MAXIFS(dynamic[orderCount], dynamic[customerID], B25)&lt;=2, 
        IF((DATE(2024,4,30) - MAXIFS(dynamic[orderDate], dynamic[customerID], B25)) &gt; 180, "Non-Returning", "Dormant"), 
        IF(AND(MAX(dynamic[sinceLastOrder]) &gt; 365, (DATE(2024,4,30) - MAXIFS(dynamic[orderDate], dynamic[customerID], B25)) &gt; 180), 
           "Dormant", "Regular")))</f>
        <v>Regular</v>
      </c>
      <c r="H25" s="6">
        <v>59.0</v>
      </c>
      <c r="I25" s="9" t="str">
        <f>VLOOKUP(dynamic[productID],products[],2,FALSE)</f>
        <v>Raclette Courdavault</v>
      </c>
      <c r="J25" s="9" t="str">
        <f>VLOOKUP(dynamic[productID],products[],12,FALSE)</f>
        <v>Dairy Products</v>
      </c>
      <c r="K25" s="7" t="str">
        <f>IF(VLOOKUP(dynamic[productID],products[],7,FALSE)=1,"Discontinued","Current")</f>
        <v>Current</v>
      </c>
      <c r="L25" s="9">
        <f>VLOOKUP(dynamic[productID],products[],IF(YEAR(dynamic[orderDate])=2022,8,IF(YEAR(dynamic[orderDate])=2023,9,IF(YEAR(dynamic[orderDate])=2024,10,NA))),FALSE)</f>
        <v>29.20351951</v>
      </c>
      <c r="M25" s="9">
        <v>44.0</v>
      </c>
      <c r="N25" s="25">
        <f>(dynamic[orderPrice]-dynamic[productCost])/dynamic[productCost]</f>
        <v>0.5066677147</v>
      </c>
      <c r="O25" s="10">
        <v>30.0</v>
      </c>
      <c r="P25" s="25">
        <v>0.0</v>
      </c>
      <c r="Q25" s="9">
        <f>dynamic[orderPrice]*dynamic[orderQuantity]</f>
        <v>1320</v>
      </c>
      <c r="R25" s="9">
        <f>dynamic[orderTotal]*(1-dynamic[discountApllied])</f>
        <v>1320</v>
      </c>
      <c r="S25" s="9">
        <f>dynamic[revenue]-(dynamic[productCost]*dynamic[orderQuantity])</f>
        <v>443.8944147</v>
      </c>
      <c r="T25" s="25">
        <f>IFERROR(dynamic[profit]/dynamic[revenue], 0)</f>
        <v>0.3362836475</v>
      </c>
    </row>
    <row r="26" ht="15.75" customHeight="1">
      <c r="A26" s="6">
        <v>10256.0</v>
      </c>
      <c r="B26" s="7" t="s">
        <v>22</v>
      </c>
      <c r="C26" s="24" t="str">
        <f>VLOOKUP(dynamic[customerID],customers[],2,FALSE)</f>
        <v>Wellington Importadora</v>
      </c>
      <c r="D26" s="24">
        <v>44757.0</v>
      </c>
      <c r="E26" s="6">
        <f>IFERROR(__xludf.DUMMYFUNCTION("COUNTUNIQUEIFS($A$2:$A26,$B$2:$B26,B26)"),1.0)</f>
        <v>1</v>
      </c>
      <c r="F26" s="6">
        <f t="shared" si="1"/>
        <v>0</v>
      </c>
      <c r="G26" s="6" t="str">
        <f>IF(MINIFS(dynamic[orderDate], dynamic[customerID], B26) &gt;= DATE(2024,4,30)-120, 
     "New", 
     IF(MAXIFS(dynamic[orderCount], dynamic[customerID], B26)&lt;=2, 
        IF((DATE(2024,4,30) - MAXIFS(dynamic[orderDate], dynamic[customerID], B26)) &gt; 180, "Non-Returning", "Dormant"), 
        IF(AND(MAX(dynamic[sinceLastOrder]) &gt; 365, (DATE(2024,4,30) - MAXIFS(dynamic[orderDate], dynamic[customerID], B26)) &gt; 180), 
           "Dormant", "Regular")))</f>
        <v>Regular</v>
      </c>
      <c r="H26" s="6">
        <v>53.0</v>
      </c>
      <c r="I26" s="9" t="str">
        <f>VLOOKUP(dynamic[productID],products[],2,FALSE)</f>
        <v>Perth Pasties</v>
      </c>
      <c r="J26" s="9" t="str">
        <f>VLOOKUP(dynamic[productID],products[],12,FALSE)</f>
        <v>Meat/Poultry</v>
      </c>
      <c r="K26" s="7" t="str">
        <f>IF(VLOOKUP(dynamic[productID],products[],7,FALSE)=1,"Discontinued","Current")</f>
        <v>Discontinued</v>
      </c>
      <c r="L26" s="9">
        <f>VLOOKUP(dynamic[productID],products[],IF(YEAR(dynamic[orderDate])=2022,8,IF(YEAR(dynamic[orderDate])=2023,9,IF(YEAR(dynamic[orderDate])=2024,10,NA))),FALSE)</f>
        <v>18.33322006</v>
      </c>
      <c r="M26" s="9">
        <v>26.2</v>
      </c>
      <c r="N26" s="25">
        <f>(dynamic[orderPrice]-dynamic[productCost])/dynamic[productCost]</f>
        <v>0.4290997391</v>
      </c>
      <c r="O26" s="10">
        <v>15.0</v>
      </c>
      <c r="P26" s="25">
        <v>0.0</v>
      </c>
      <c r="Q26" s="9">
        <f>dynamic[orderPrice]*dynamic[orderQuantity]</f>
        <v>393</v>
      </c>
      <c r="R26" s="9">
        <f>dynamic[orderTotal]*(1-dynamic[discountApllied])</f>
        <v>393</v>
      </c>
      <c r="S26" s="9">
        <f>dynamic[revenue]-(dynamic[productCost]*dynamic[orderQuantity])</f>
        <v>118.0016992</v>
      </c>
      <c r="T26" s="25">
        <f>IFERROR(dynamic[profit]/dynamic[revenue], 0)</f>
        <v>0.3002587765</v>
      </c>
    </row>
    <row r="27" ht="15.75" customHeight="1">
      <c r="A27" s="6">
        <v>10256.0</v>
      </c>
      <c r="B27" s="7" t="s">
        <v>22</v>
      </c>
      <c r="C27" s="24" t="str">
        <f>VLOOKUP(dynamic[customerID],customers[],2,FALSE)</f>
        <v>Wellington Importadora</v>
      </c>
      <c r="D27" s="24">
        <v>44757.0</v>
      </c>
      <c r="E27" s="6">
        <f>IFERROR(__xludf.DUMMYFUNCTION("COUNTUNIQUEIFS($A$2:$A27,$B$2:$B27,B27)"),1.0)</f>
        <v>1</v>
      </c>
      <c r="F27" s="6">
        <f t="shared" si="1"/>
        <v>0</v>
      </c>
      <c r="G27" s="6" t="str">
        <f>IF(MINIFS(dynamic[orderDate], dynamic[customerID], B27) &gt;= DATE(2024,4,30)-120, 
     "New", 
     IF(MAXIFS(dynamic[orderCount], dynamic[customerID], B27)&lt;=2, 
        IF((DATE(2024,4,30) - MAXIFS(dynamic[orderDate], dynamic[customerID], B27)) &gt; 180, "Non-Returning", "Dormant"), 
        IF(AND(MAX(dynamic[sinceLastOrder]) &gt; 365, (DATE(2024,4,30) - MAXIFS(dynamic[orderDate], dynamic[customerID], B27)) &gt; 180), 
           "Dormant", "Regular")))</f>
        <v>Regular</v>
      </c>
      <c r="H27" s="6">
        <v>77.0</v>
      </c>
      <c r="I27" s="9" t="str">
        <f>VLOOKUP(dynamic[productID],products[],2,FALSE)</f>
        <v>Original Frankfurter grüne Soße</v>
      </c>
      <c r="J27" s="9" t="str">
        <f>VLOOKUP(dynamic[productID],products[],12,FALSE)</f>
        <v>Condiments</v>
      </c>
      <c r="K27" s="7" t="str">
        <f>IF(VLOOKUP(dynamic[productID],products[],7,FALSE)=1,"Discontinued","Current")</f>
        <v>Current</v>
      </c>
      <c r="L27" s="9">
        <f>VLOOKUP(dynamic[productID],products[],IF(YEAR(dynamic[orderDate])=2022,8,IF(YEAR(dynamic[orderDate])=2023,9,IF(YEAR(dynamic[orderDate])=2024,10,NA))),FALSE)</f>
        <v>7.430272842</v>
      </c>
      <c r="M27" s="9">
        <v>10.4</v>
      </c>
      <c r="N27" s="25">
        <f>(dynamic[orderPrice]-dynamic[productCost])/dynamic[productCost]</f>
        <v>0.3996794225</v>
      </c>
      <c r="O27" s="10">
        <v>12.0</v>
      </c>
      <c r="P27" s="25">
        <v>0.0</v>
      </c>
      <c r="Q27" s="9">
        <f>dynamic[orderPrice]*dynamic[orderQuantity]</f>
        <v>124.8</v>
      </c>
      <c r="R27" s="9">
        <f>dynamic[orderTotal]*(1-dynamic[discountApllied])</f>
        <v>124.8</v>
      </c>
      <c r="S27" s="9">
        <f>dynamic[revenue]-(dynamic[productCost]*dynamic[orderQuantity])</f>
        <v>35.6367259</v>
      </c>
      <c r="T27" s="25">
        <f>IFERROR(dynamic[profit]/dynamic[revenue], 0)</f>
        <v>0.2855506883</v>
      </c>
    </row>
    <row r="28" ht="15.75" customHeight="1">
      <c r="A28" s="6">
        <v>10257.0</v>
      </c>
      <c r="B28" s="7" t="s">
        <v>23</v>
      </c>
      <c r="C28" s="24" t="str">
        <f>VLOOKUP(dynamic[customerID],customers[],2,FALSE)</f>
        <v>HILARION-Abastos</v>
      </c>
      <c r="D28" s="24">
        <v>44758.0</v>
      </c>
      <c r="E28" s="6">
        <f>IFERROR(__xludf.DUMMYFUNCTION("COUNTUNIQUEIFS($A$2:$A28,$B$2:$B28,B28)"),1.0)</f>
        <v>1</v>
      </c>
      <c r="F28" s="6">
        <f t="shared" si="1"/>
        <v>0</v>
      </c>
      <c r="G28" s="6" t="str">
        <f>IF(MINIFS(dynamic[orderDate], dynamic[customerID], B28) &gt;= DATE(2024,4,30)-120, 
     "New", 
     IF(MAXIFS(dynamic[orderCount], dynamic[customerID], B28)&lt;=2, 
        IF((DATE(2024,4,30) - MAXIFS(dynamic[orderDate], dynamic[customerID], B28)) &gt; 180, "Non-Returning", "Dormant"), 
        IF(AND(MAX(dynamic[sinceLastOrder]) &gt; 365, (DATE(2024,4,30) - MAXIFS(dynamic[orderDate], dynamic[customerID], B28)) &gt; 180), 
           "Dormant", "Regular")))</f>
        <v>Regular</v>
      </c>
      <c r="H28" s="6">
        <v>27.0</v>
      </c>
      <c r="I28" s="9" t="str">
        <f>VLOOKUP(dynamic[productID],products[],2,FALSE)</f>
        <v>Schoggi Schokolade</v>
      </c>
      <c r="J28" s="9" t="str">
        <f>VLOOKUP(dynamic[productID],products[],12,FALSE)</f>
        <v>Confections</v>
      </c>
      <c r="K28" s="7" t="str">
        <f>IF(VLOOKUP(dynamic[productID],products[],7,FALSE)=1,"Discontinued","Current")</f>
        <v>Current</v>
      </c>
      <c r="L28" s="9">
        <f>VLOOKUP(dynamic[productID],products[],IF(YEAR(dynamic[orderDate])=2022,8,IF(YEAR(dynamic[orderDate])=2023,9,IF(YEAR(dynamic[orderDate])=2024,10,NA))),FALSE)</f>
        <v>23.20562839</v>
      </c>
      <c r="M28" s="9">
        <v>35.1</v>
      </c>
      <c r="N28" s="25">
        <f>(dynamic[orderPrice]-dynamic[productCost])/dynamic[productCost]</f>
        <v>0.5125640821</v>
      </c>
      <c r="O28" s="10">
        <v>25.0</v>
      </c>
      <c r="P28" s="25">
        <v>0.0</v>
      </c>
      <c r="Q28" s="9">
        <f>dynamic[orderPrice]*dynamic[orderQuantity]</f>
        <v>877.5</v>
      </c>
      <c r="R28" s="9">
        <f>dynamic[orderTotal]*(1-dynamic[discountApllied])</f>
        <v>877.5</v>
      </c>
      <c r="S28" s="9">
        <f>dynamic[revenue]-(dynamic[productCost]*dynamic[orderQuantity])</f>
        <v>297.3592903</v>
      </c>
      <c r="T28" s="25">
        <f>IFERROR(dynamic[profit]/dynamic[revenue], 0)</f>
        <v>0.3388709861</v>
      </c>
    </row>
    <row r="29" ht="15.75" customHeight="1">
      <c r="A29" s="6">
        <v>10257.0</v>
      </c>
      <c r="B29" s="7" t="s">
        <v>23</v>
      </c>
      <c r="C29" s="24" t="str">
        <f>VLOOKUP(dynamic[customerID],customers[],2,FALSE)</f>
        <v>HILARION-Abastos</v>
      </c>
      <c r="D29" s="24">
        <v>44758.0</v>
      </c>
      <c r="E29" s="6">
        <f>IFERROR(__xludf.DUMMYFUNCTION("COUNTUNIQUEIFS($A$2:$A29,$B$2:$B29,B29)"),1.0)</f>
        <v>1</v>
      </c>
      <c r="F29" s="6">
        <f t="shared" si="1"/>
        <v>0</v>
      </c>
      <c r="G29" s="6" t="str">
        <f>IF(MINIFS(dynamic[orderDate], dynamic[customerID], B29) &gt;= DATE(2024,4,30)-120, 
     "New", 
     IF(MAXIFS(dynamic[orderCount], dynamic[customerID], B29)&lt;=2, 
        IF((DATE(2024,4,30) - MAXIFS(dynamic[orderDate], dynamic[customerID], B29)) &gt; 180, "Non-Returning", "Dormant"), 
        IF(AND(MAX(dynamic[sinceLastOrder]) &gt; 365, (DATE(2024,4,30) - MAXIFS(dynamic[orderDate], dynamic[customerID], B29)) &gt; 180), 
           "Dormant", "Regular")))</f>
        <v>Regular</v>
      </c>
      <c r="H29" s="6">
        <v>39.0</v>
      </c>
      <c r="I29" s="9" t="str">
        <f>VLOOKUP(dynamic[productID],products[],2,FALSE)</f>
        <v>Chartreuse verte</v>
      </c>
      <c r="J29" s="9" t="str">
        <f>VLOOKUP(dynamic[productID],products[],12,FALSE)</f>
        <v>Beverages</v>
      </c>
      <c r="K29" s="7" t="str">
        <f>IF(VLOOKUP(dynamic[productID],products[],7,FALSE)=1,"Discontinued","Current")</f>
        <v>Current</v>
      </c>
      <c r="L29" s="9">
        <f>VLOOKUP(dynamic[productID],products[],IF(YEAR(dynamic[orderDate])=2022,8,IF(YEAR(dynamic[orderDate])=2023,9,IF(YEAR(dynamic[orderDate])=2024,10,NA))),FALSE)</f>
        <v>9.743517226</v>
      </c>
      <c r="M29" s="9">
        <v>14.4</v>
      </c>
      <c r="N29" s="25">
        <f>(dynamic[orderPrice]-dynamic[productCost])/dynamic[productCost]</f>
        <v>0.4779057362</v>
      </c>
      <c r="O29" s="10">
        <v>6.0</v>
      </c>
      <c r="P29" s="25">
        <v>0.0</v>
      </c>
      <c r="Q29" s="9">
        <f>dynamic[orderPrice]*dynamic[orderQuantity]</f>
        <v>86.4</v>
      </c>
      <c r="R29" s="9">
        <f>dynamic[orderTotal]*(1-dynamic[discountApllied])</f>
        <v>86.4</v>
      </c>
      <c r="S29" s="9">
        <f>dynamic[revenue]-(dynamic[productCost]*dynamic[orderQuantity])</f>
        <v>27.93889664</v>
      </c>
      <c r="T29" s="25">
        <f>IFERROR(dynamic[profit]/dynamic[revenue], 0)</f>
        <v>0.3233668593</v>
      </c>
    </row>
    <row r="30" ht="15.75" customHeight="1">
      <c r="A30" s="6">
        <v>10257.0</v>
      </c>
      <c r="B30" s="7" t="s">
        <v>23</v>
      </c>
      <c r="C30" s="24" t="str">
        <f>VLOOKUP(dynamic[customerID],customers[],2,FALSE)</f>
        <v>HILARION-Abastos</v>
      </c>
      <c r="D30" s="24">
        <v>44758.0</v>
      </c>
      <c r="E30" s="6">
        <f>IFERROR(__xludf.DUMMYFUNCTION("COUNTUNIQUEIFS($A$2:$A30,$B$2:$B30,B30)"),1.0)</f>
        <v>1</v>
      </c>
      <c r="F30" s="6">
        <f t="shared" si="1"/>
        <v>0</v>
      </c>
      <c r="G30" s="6" t="str">
        <f>IF(MINIFS(dynamic[orderDate], dynamic[customerID], B30) &gt;= DATE(2024,4,30)-120, 
     "New", 
     IF(MAXIFS(dynamic[orderCount], dynamic[customerID], B30)&lt;=2, 
        IF((DATE(2024,4,30) - MAXIFS(dynamic[orderDate], dynamic[customerID], B30)) &gt; 180, "Non-Returning", "Dormant"), 
        IF(AND(MAX(dynamic[sinceLastOrder]) &gt; 365, (DATE(2024,4,30) - MAXIFS(dynamic[orderDate], dynamic[customerID], B30)) &gt; 180), 
           "Dormant", "Regular")))</f>
        <v>Regular</v>
      </c>
      <c r="H30" s="6">
        <v>77.0</v>
      </c>
      <c r="I30" s="9" t="str">
        <f>VLOOKUP(dynamic[productID],products[],2,FALSE)</f>
        <v>Original Frankfurter grüne Soße</v>
      </c>
      <c r="J30" s="9" t="str">
        <f>VLOOKUP(dynamic[productID],products[],12,FALSE)</f>
        <v>Condiments</v>
      </c>
      <c r="K30" s="7" t="str">
        <f>IF(VLOOKUP(dynamic[productID],products[],7,FALSE)=1,"Discontinued","Current")</f>
        <v>Current</v>
      </c>
      <c r="L30" s="9">
        <f>VLOOKUP(dynamic[productID],products[],IF(YEAR(dynamic[orderDate])=2022,8,IF(YEAR(dynamic[orderDate])=2023,9,IF(YEAR(dynamic[orderDate])=2024,10,NA))),FALSE)</f>
        <v>7.430272842</v>
      </c>
      <c r="M30" s="9">
        <v>10.4</v>
      </c>
      <c r="N30" s="25">
        <f>(dynamic[orderPrice]-dynamic[productCost])/dynamic[productCost]</f>
        <v>0.3996794225</v>
      </c>
      <c r="O30" s="10">
        <v>15.0</v>
      </c>
      <c r="P30" s="25">
        <v>0.0</v>
      </c>
      <c r="Q30" s="9">
        <f>dynamic[orderPrice]*dynamic[orderQuantity]</f>
        <v>156</v>
      </c>
      <c r="R30" s="9">
        <f>dynamic[orderTotal]*(1-dynamic[discountApllied])</f>
        <v>156</v>
      </c>
      <c r="S30" s="9">
        <f>dynamic[revenue]-(dynamic[productCost]*dynamic[orderQuantity])</f>
        <v>44.54590738</v>
      </c>
      <c r="T30" s="25">
        <f>IFERROR(dynamic[profit]/dynamic[revenue], 0)</f>
        <v>0.2855506883</v>
      </c>
    </row>
    <row r="31" ht="15.75" customHeight="1">
      <c r="A31" s="6">
        <v>10258.0</v>
      </c>
      <c r="B31" s="7" t="s">
        <v>24</v>
      </c>
      <c r="C31" s="24" t="str">
        <f>VLOOKUP(dynamic[customerID],customers[],2,FALSE)</f>
        <v>Ernst Handel</v>
      </c>
      <c r="D31" s="24">
        <v>44759.0</v>
      </c>
      <c r="E31" s="6">
        <f>IFERROR(__xludf.DUMMYFUNCTION("COUNTUNIQUEIFS($A$2:$A31,$B$2:$B31,B31)"),1.0)</f>
        <v>1</v>
      </c>
      <c r="F31" s="6">
        <f t="shared" si="1"/>
        <v>0</v>
      </c>
      <c r="G31" s="6" t="str">
        <f>IF(MINIFS(dynamic[orderDate], dynamic[customerID], B31) &gt;= DATE(2024,4,30)-120, 
     "New", 
     IF(MAXIFS(dynamic[orderCount], dynamic[customerID], B31)&lt;=2, 
        IF((DATE(2024,4,30) - MAXIFS(dynamic[orderDate], dynamic[customerID], B31)) &gt; 180, "Non-Returning", "Dormant"), 
        IF(AND(MAX(dynamic[sinceLastOrder]) &gt; 365, (DATE(2024,4,30) - MAXIFS(dynamic[orderDate], dynamic[customerID], B31)) &gt; 180), 
           "Dormant", "Regular")))</f>
        <v>Regular</v>
      </c>
      <c r="H31" s="6">
        <v>2.0</v>
      </c>
      <c r="I31" s="9" t="str">
        <f>VLOOKUP(dynamic[productID],products[],2,FALSE)</f>
        <v>Chang</v>
      </c>
      <c r="J31" s="9" t="str">
        <f>VLOOKUP(dynamic[productID],products[],12,FALSE)</f>
        <v>Beverages</v>
      </c>
      <c r="K31" s="7" t="str">
        <f>IF(VLOOKUP(dynamic[productID],products[],7,FALSE)=1,"Discontinued","Current")</f>
        <v>Current</v>
      </c>
      <c r="L31" s="9">
        <f>VLOOKUP(dynamic[productID],products[],IF(YEAR(dynamic[orderDate])=2022,8,IF(YEAR(dynamic[orderDate])=2023,9,IF(YEAR(dynamic[orderDate])=2024,10,NA))),FALSE)</f>
        <v>9.768746876</v>
      </c>
      <c r="M31" s="9">
        <v>15.2</v>
      </c>
      <c r="N31" s="25">
        <f>(dynamic[orderPrice]-dynamic[productCost])/dynamic[productCost]</f>
        <v>0.5559825833</v>
      </c>
      <c r="O31" s="10">
        <v>50.0</v>
      </c>
      <c r="P31" s="25">
        <v>0.2</v>
      </c>
      <c r="Q31" s="9">
        <f>dynamic[orderPrice]*dynamic[orderQuantity]</f>
        <v>760</v>
      </c>
      <c r="R31" s="9">
        <f>dynamic[orderTotal]*(1-dynamic[discountApllied])</f>
        <v>608</v>
      </c>
      <c r="S31" s="9">
        <f>dynamic[revenue]-(dynamic[productCost]*dynamic[orderQuantity])</f>
        <v>119.5626562</v>
      </c>
      <c r="T31" s="25">
        <f>IFERROR(dynamic[profit]/dynamic[revenue], 0)</f>
        <v>0.1966491056</v>
      </c>
    </row>
    <row r="32" ht="15.75" customHeight="1">
      <c r="A32" s="6">
        <v>10258.0</v>
      </c>
      <c r="B32" s="7" t="s">
        <v>24</v>
      </c>
      <c r="C32" s="24" t="str">
        <f>VLOOKUP(dynamic[customerID],customers[],2,FALSE)</f>
        <v>Ernst Handel</v>
      </c>
      <c r="D32" s="24">
        <v>44759.0</v>
      </c>
      <c r="E32" s="6">
        <f>IFERROR(__xludf.DUMMYFUNCTION("COUNTUNIQUEIFS($A$2:$A32,$B$2:$B32,B32)"),1.0)</f>
        <v>1</v>
      </c>
      <c r="F32" s="6">
        <f t="shared" si="1"/>
        <v>0</v>
      </c>
      <c r="G32" s="6" t="str">
        <f>IF(MINIFS(dynamic[orderDate], dynamic[customerID], B32) &gt;= DATE(2024,4,30)-120, 
     "New", 
     IF(MAXIFS(dynamic[orderCount], dynamic[customerID], B32)&lt;=2, 
        IF((DATE(2024,4,30) - MAXIFS(dynamic[orderDate], dynamic[customerID], B32)) &gt; 180, "Non-Returning", "Dormant"), 
        IF(AND(MAX(dynamic[sinceLastOrder]) &gt; 365, (DATE(2024,4,30) - MAXIFS(dynamic[orderDate], dynamic[customerID], B32)) &gt; 180), 
           "Dormant", "Regular")))</f>
        <v>Regular</v>
      </c>
      <c r="H32" s="6">
        <v>5.0</v>
      </c>
      <c r="I32" s="9" t="str">
        <f>VLOOKUP(dynamic[productID],products[],2,FALSE)</f>
        <v>Chef Anton's Gumbo Mix</v>
      </c>
      <c r="J32" s="9" t="str">
        <f>VLOOKUP(dynamic[productID],products[],12,FALSE)</f>
        <v>Condiments</v>
      </c>
      <c r="K32" s="7" t="str">
        <f>IF(VLOOKUP(dynamic[productID],products[],7,FALSE)=1,"Discontinued","Current")</f>
        <v>Discontinued</v>
      </c>
      <c r="L32" s="9">
        <f>VLOOKUP(dynamic[productID],products[],IF(YEAR(dynamic[orderDate])=2022,8,IF(YEAR(dynamic[orderDate])=2023,9,IF(YEAR(dynamic[orderDate])=2024,10,NA))),FALSE)</f>
        <v>10.9059059</v>
      </c>
      <c r="M32" s="9">
        <v>17.0</v>
      </c>
      <c r="N32" s="25">
        <f>(dynamic[orderPrice]-dynamic[productCost])/dynamic[productCost]</f>
        <v>0.5587884354</v>
      </c>
      <c r="O32" s="10">
        <v>65.0</v>
      </c>
      <c r="P32" s="25">
        <v>0.2</v>
      </c>
      <c r="Q32" s="9">
        <f>dynamic[orderPrice]*dynamic[orderQuantity]</f>
        <v>1105</v>
      </c>
      <c r="R32" s="9">
        <f>dynamic[orderTotal]*(1-dynamic[discountApllied])</f>
        <v>884</v>
      </c>
      <c r="S32" s="9">
        <f>dynamic[revenue]-(dynamic[productCost]*dynamic[orderQuantity])</f>
        <v>175.1161163</v>
      </c>
      <c r="T32" s="25">
        <f>IFERROR(dynamic[profit]/dynamic[revenue], 0)</f>
        <v>0.1980951542</v>
      </c>
    </row>
    <row r="33" ht="15.75" customHeight="1">
      <c r="A33" s="6">
        <v>10258.0</v>
      </c>
      <c r="B33" s="7" t="s">
        <v>24</v>
      </c>
      <c r="C33" s="24" t="str">
        <f>VLOOKUP(dynamic[customerID],customers[],2,FALSE)</f>
        <v>Ernst Handel</v>
      </c>
      <c r="D33" s="24">
        <v>44759.0</v>
      </c>
      <c r="E33" s="6">
        <f>IFERROR(__xludf.DUMMYFUNCTION("COUNTUNIQUEIFS($A$2:$A33,$B$2:$B33,B33)"),1.0)</f>
        <v>1</v>
      </c>
      <c r="F33" s="6">
        <f t="shared" si="1"/>
        <v>0</v>
      </c>
      <c r="G33" s="6" t="str">
        <f>IF(MINIFS(dynamic[orderDate], dynamic[customerID], B33) &gt;= DATE(2024,4,30)-120, 
     "New", 
     IF(MAXIFS(dynamic[orderCount], dynamic[customerID], B33)&lt;=2, 
        IF((DATE(2024,4,30) - MAXIFS(dynamic[orderDate], dynamic[customerID], B33)) &gt; 180, "Non-Returning", "Dormant"), 
        IF(AND(MAX(dynamic[sinceLastOrder]) &gt; 365, (DATE(2024,4,30) - MAXIFS(dynamic[orderDate], dynamic[customerID], B33)) &gt; 180), 
           "Dormant", "Regular")))</f>
        <v>Regular</v>
      </c>
      <c r="H33" s="6">
        <v>32.0</v>
      </c>
      <c r="I33" s="9" t="str">
        <f>VLOOKUP(dynamic[productID],products[],2,FALSE)</f>
        <v>Mascarpone Fabioli</v>
      </c>
      <c r="J33" s="9" t="str">
        <f>VLOOKUP(dynamic[productID],products[],12,FALSE)</f>
        <v>Dairy Products</v>
      </c>
      <c r="K33" s="7" t="str">
        <f>IF(VLOOKUP(dynamic[productID],products[],7,FALSE)=1,"Discontinued","Current")</f>
        <v>Current</v>
      </c>
      <c r="L33" s="9">
        <f>VLOOKUP(dynamic[productID],products[],IF(YEAR(dynamic[orderDate])=2022,8,IF(YEAR(dynamic[orderDate])=2023,9,IF(YEAR(dynamic[orderDate])=2024,10,NA))),FALSE)</f>
        <v>14.65492467</v>
      </c>
      <c r="M33" s="9">
        <v>25.6</v>
      </c>
      <c r="N33" s="25">
        <f>(dynamic[orderPrice]-dynamic[productCost])/dynamic[productCost]</f>
        <v>0.7468530603</v>
      </c>
      <c r="O33" s="10">
        <v>6.0</v>
      </c>
      <c r="P33" s="25">
        <v>0.2</v>
      </c>
      <c r="Q33" s="9">
        <f>dynamic[orderPrice]*dynamic[orderQuantity]</f>
        <v>153.6</v>
      </c>
      <c r="R33" s="9">
        <f>dynamic[orderTotal]*(1-dynamic[discountApllied])</f>
        <v>122.88</v>
      </c>
      <c r="S33" s="9">
        <f>dynamic[revenue]-(dynamic[productCost]*dynamic[orderQuantity])</f>
        <v>34.95045201</v>
      </c>
      <c r="T33" s="25">
        <f>IFERROR(dynamic[profit]/dynamic[revenue], 0)</f>
        <v>0.2844275066</v>
      </c>
    </row>
    <row r="34" ht="15.75" customHeight="1">
      <c r="A34" s="6">
        <v>10259.0</v>
      </c>
      <c r="B34" s="7" t="s">
        <v>25</v>
      </c>
      <c r="C34" s="24" t="str">
        <f>VLOOKUP(dynamic[customerID],customers[],2,FALSE)</f>
        <v>Centro comercial Moctezuma</v>
      </c>
      <c r="D34" s="24">
        <v>44760.0</v>
      </c>
      <c r="E34" s="6">
        <f>IFERROR(__xludf.DUMMYFUNCTION("COUNTUNIQUEIFS($A$2:$A34,$B$2:$B34,B34)"),1.0)</f>
        <v>1</v>
      </c>
      <c r="F34" s="6">
        <f t="shared" si="1"/>
        <v>0</v>
      </c>
      <c r="G34" s="6" t="str">
        <f>IF(MINIFS(dynamic[orderDate], dynamic[customerID], B34) &gt;= DATE(2024,4,30)-120, 
     "New", 
     IF(MAXIFS(dynamic[orderCount], dynamic[customerID], B34)&lt;=2, 
        IF((DATE(2024,4,30) - MAXIFS(dynamic[orderDate], dynamic[customerID], B34)) &gt; 180, "Non-Returning", "Dormant"), 
        IF(AND(MAX(dynamic[sinceLastOrder]) &gt; 365, (DATE(2024,4,30) - MAXIFS(dynamic[orderDate], dynamic[customerID], B34)) &gt; 180), 
           "Dormant", "Regular")))</f>
        <v>Non-Returning</v>
      </c>
      <c r="H34" s="6">
        <v>21.0</v>
      </c>
      <c r="I34" s="9" t="str">
        <f>VLOOKUP(dynamic[productID],products[],2,FALSE)</f>
        <v>Sir Rodney's Scones</v>
      </c>
      <c r="J34" s="9" t="str">
        <f>VLOOKUP(dynamic[productID],products[],12,FALSE)</f>
        <v>Confections</v>
      </c>
      <c r="K34" s="7" t="str">
        <f>IF(VLOOKUP(dynamic[productID],products[],7,FALSE)=1,"Discontinued","Current")</f>
        <v>Current</v>
      </c>
      <c r="L34" s="9">
        <f>VLOOKUP(dynamic[productID],products[],IF(YEAR(dynamic[orderDate])=2022,8,IF(YEAR(dynamic[orderDate])=2023,9,IF(YEAR(dynamic[orderDate])=2024,10,NA))),FALSE)</f>
        <v>5.773836452</v>
      </c>
      <c r="M34" s="9">
        <v>8.0</v>
      </c>
      <c r="N34" s="25">
        <f>(dynamic[orderPrice]-dynamic[productCost])/dynamic[productCost]</f>
        <v>0.3855605483</v>
      </c>
      <c r="O34" s="10">
        <v>10.0</v>
      </c>
      <c r="P34" s="25">
        <v>0.0</v>
      </c>
      <c r="Q34" s="9">
        <f>dynamic[orderPrice]*dynamic[orderQuantity]</f>
        <v>80</v>
      </c>
      <c r="R34" s="9">
        <f>dynamic[orderTotal]*(1-dynamic[discountApllied])</f>
        <v>80</v>
      </c>
      <c r="S34" s="9">
        <f>dynamic[revenue]-(dynamic[productCost]*dynamic[orderQuantity])</f>
        <v>22.26163548</v>
      </c>
      <c r="T34" s="25">
        <f>IFERROR(dynamic[profit]/dynamic[revenue], 0)</f>
        <v>0.2782704435</v>
      </c>
    </row>
    <row r="35" ht="15.75" customHeight="1">
      <c r="A35" s="6">
        <v>10259.0</v>
      </c>
      <c r="B35" s="7" t="s">
        <v>25</v>
      </c>
      <c r="C35" s="24" t="str">
        <f>VLOOKUP(dynamic[customerID],customers[],2,FALSE)</f>
        <v>Centro comercial Moctezuma</v>
      </c>
      <c r="D35" s="24">
        <v>44760.0</v>
      </c>
      <c r="E35" s="6">
        <f>IFERROR(__xludf.DUMMYFUNCTION("COUNTUNIQUEIFS($A$2:$A35,$B$2:$B35,B35)"),1.0)</f>
        <v>1</v>
      </c>
      <c r="F35" s="6">
        <f t="shared" si="1"/>
        <v>0</v>
      </c>
      <c r="G35" s="6" t="str">
        <f>IF(MINIFS(dynamic[orderDate], dynamic[customerID], B35) &gt;= DATE(2024,4,30)-120, 
     "New", 
     IF(MAXIFS(dynamic[orderCount], dynamic[customerID], B35)&lt;=2, 
        IF((DATE(2024,4,30) - MAXIFS(dynamic[orderDate], dynamic[customerID], B35)) &gt; 180, "Non-Returning", "Dormant"), 
        IF(AND(MAX(dynamic[sinceLastOrder]) &gt; 365, (DATE(2024,4,30) - MAXIFS(dynamic[orderDate], dynamic[customerID], B35)) &gt; 180), 
           "Dormant", "Regular")))</f>
        <v>Non-Returning</v>
      </c>
      <c r="H35" s="6">
        <v>37.0</v>
      </c>
      <c r="I35" s="9" t="str">
        <f>VLOOKUP(dynamic[productID],products[],2,FALSE)</f>
        <v>Gravad lax</v>
      </c>
      <c r="J35" s="9" t="str">
        <f>VLOOKUP(dynamic[productID],products[],12,FALSE)</f>
        <v>Seafood</v>
      </c>
      <c r="K35" s="7" t="str">
        <f>IF(VLOOKUP(dynamic[productID],products[],7,FALSE)=1,"Discontinued","Current")</f>
        <v>Current</v>
      </c>
      <c r="L35" s="9">
        <f>VLOOKUP(dynamic[productID],products[],IF(YEAR(dynamic[orderDate])=2022,8,IF(YEAR(dynamic[orderDate])=2023,9,IF(YEAR(dynamic[orderDate])=2024,10,NA))),FALSE)</f>
        <v>14.59372954</v>
      </c>
      <c r="M35" s="9">
        <v>20.8</v>
      </c>
      <c r="N35" s="25">
        <f>(dynamic[orderPrice]-dynamic[productCost])/dynamic[productCost]</f>
        <v>0.4252696644</v>
      </c>
      <c r="O35" s="10">
        <v>1.0</v>
      </c>
      <c r="P35" s="25">
        <v>0.0</v>
      </c>
      <c r="Q35" s="9">
        <f>dynamic[orderPrice]*dynamic[orderQuantity]</f>
        <v>20.8</v>
      </c>
      <c r="R35" s="9">
        <f>dynamic[orderTotal]*(1-dynamic[discountApllied])</f>
        <v>20.8</v>
      </c>
      <c r="S35" s="9">
        <f>dynamic[revenue]-(dynamic[productCost]*dynamic[orderQuantity])</f>
        <v>6.206270462</v>
      </c>
      <c r="T35" s="25">
        <f>IFERROR(dynamic[profit]/dynamic[revenue], 0)</f>
        <v>0.2983783876</v>
      </c>
    </row>
    <row r="36" ht="15.75" customHeight="1">
      <c r="A36" s="6">
        <v>10260.0</v>
      </c>
      <c r="B36" s="7" t="s">
        <v>26</v>
      </c>
      <c r="C36" s="24" t="str">
        <f>VLOOKUP(dynamic[customerID],customers[],2,FALSE)</f>
        <v>Ottilies Käseladen</v>
      </c>
      <c r="D36" s="24">
        <v>44761.0</v>
      </c>
      <c r="E36" s="6">
        <f>IFERROR(__xludf.DUMMYFUNCTION("COUNTUNIQUEIFS($A$2:$A36,$B$2:$B36,B36)"),1.0)</f>
        <v>1</v>
      </c>
      <c r="F36" s="6">
        <f t="shared" si="1"/>
        <v>0</v>
      </c>
      <c r="G36" s="6" t="str">
        <f>IF(MINIFS(dynamic[orderDate], dynamic[customerID], B36) &gt;= DATE(2024,4,30)-120, 
     "New", 
     IF(MAXIFS(dynamic[orderCount], dynamic[customerID], B36)&lt;=2, 
        IF((DATE(2024,4,30) - MAXIFS(dynamic[orderDate], dynamic[customerID], B36)) &gt; 180, "Non-Returning", "Dormant"), 
        IF(AND(MAX(dynamic[sinceLastOrder]) &gt; 365, (DATE(2024,4,30) - MAXIFS(dynamic[orderDate], dynamic[customerID], B36)) &gt; 180), 
           "Dormant", "Regular")))</f>
        <v>Regular</v>
      </c>
      <c r="H36" s="6">
        <v>41.0</v>
      </c>
      <c r="I36" s="9" t="str">
        <f>VLOOKUP(dynamic[productID],products[],2,FALSE)</f>
        <v>Jack's New England Clam Chowder</v>
      </c>
      <c r="J36" s="9" t="str">
        <f>VLOOKUP(dynamic[productID],products[],12,FALSE)</f>
        <v>Seafood</v>
      </c>
      <c r="K36" s="7" t="str">
        <f>IF(VLOOKUP(dynamic[productID],products[],7,FALSE)=1,"Discontinued","Current")</f>
        <v>Current</v>
      </c>
      <c r="L36" s="9">
        <f>VLOOKUP(dynamic[productID],products[],IF(YEAR(dynamic[orderDate])=2022,8,IF(YEAR(dynamic[orderDate])=2023,9,IF(YEAR(dynamic[orderDate])=2024,10,NA))),FALSE)</f>
        <v>5.170198742</v>
      </c>
      <c r="M36" s="9">
        <v>7.7</v>
      </c>
      <c r="N36" s="25">
        <f>(dynamic[orderPrice]-dynamic[productCost])/dynamic[productCost]</f>
        <v>0.4893044511</v>
      </c>
      <c r="O36" s="10">
        <v>16.0</v>
      </c>
      <c r="P36" s="25">
        <v>0.25</v>
      </c>
      <c r="Q36" s="9">
        <f>dynamic[orderPrice]*dynamic[orderQuantity]</f>
        <v>123.2</v>
      </c>
      <c r="R36" s="9">
        <f>dynamic[orderTotal]*(1-dynamic[discountApllied])</f>
        <v>92.4</v>
      </c>
      <c r="S36" s="9">
        <f>dynamic[revenue]-(dynamic[productCost]*dynamic[orderQuantity])</f>
        <v>9.676820124</v>
      </c>
      <c r="T36" s="25">
        <f>IFERROR(dynamic[profit]/dynamic[revenue], 0)</f>
        <v>0.1047274905</v>
      </c>
    </row>
    <row r="37" ht="15.75" customHeight="1">
      <c r="A37" s="6">
        <v>10260.0</v>
      </c>
      <c r="B37" s="7" t="s">
        <v>26</v>
      </c>
      <c r="C37" s="24" t="str">
        <f>VLOOKUP(dynamic[customerID],customers[],2,FALSE)</f>
        <v>Ottilies Käseladen</v>
      </c>
      <c r="D37" s="24">
        <v>44761.0</v>
      </c>
      <c r="E37" s="6">
        <f>IFERROR(__xludf.DUMMYFUNCTION("COUNTUNIQUEIFS($A$2:$A37,$B$2:$B37,B37)"),1.0)</f>
        <v>1</v>
      </c>
      <c r="F37" s="6">
        <f t="shared" si="1"/>
        <v>0</v>
      </c>
      <c r="G37" s="6" t="str">
        <f>IF(MINIFS(dynamic[orderDate], dynamic[customerID], B37) &gt;= DATE(2024,4,30)-120, 
     "New", 
     IF(MAXIFS(dynamic[orderCount], dynamic[customerID], B37)&lt;=2, 
        IF((DATE(2024,4,30) - MAXIFS(dynamic[orderDate], dynamic[customerID], B37)) &gt; 180, "Non-Returning", "Dormant"), 
        IF(AND(MAX(dynamic[sinceLastOrder]) &gt; 365, (DATE(2024,4,30) - MAXIFS(dynamic[orderDate], dynamic[customerID], B37)) &gt; 180), 
           "Dormant", "Regular")))</f>
        <v>Regular</v>
      </c>
      <c r="H37" s="6">
        <v>57.0</v>
      </c>
      <c r="I37" s="9" t="str">
        <f>VLOOKUP(dynamic[productID],products[],2,FALSE)</f>
        <v>Ravioli Angelo</v>
      </c>
      <c r="J37" s="9" t="str">
        <f>VLOOKUP(dynamic[productID],products[],12,FALSE)</f>
        <v>Grains/Cereals</v>
      </c>
      <c r="K37" s="7" t="str">
        <f>IF(VLOOKUP(dynamic[productID],products[],7,FALSE)=1,"Discontinued","Current")</f>
        <v>Current</v>
      </c>
      <c r="L37" s="9">
        <f>VLOOKUP(dynamic[productID],products[],IF(YEAR(dynamic[orderDate])=2022,8,IF(YEAR(dynamic[orderDate])=2023,9,IF(YEAR(dynamic[orderDate])=2024,10,NA))),FALSE)</f>
        <v>11.22950766</v>
      </c>
      <c r="M37" s="9">
        <v>15.6</v>
      </c>
      <c r="N37" s="25">
        <f>(dynamic[orderPrice]-dynamic[productCost])/dynamic[productCost]</f>
        <v>0.3891971469</v>
      </c>
      <c r="O37" s="10">
        <v>50.0</v>
      </c>
      <c r="P37" s="25">
        <v>0.0</v>
      </c>
      <c r="Q37" s="9">
        <f>dynamic[orderPrice]*dynamic[orderQuantity]</f>
        <v>780</v>
      </c>
      <c r="R37" s="9">
        <f>dynamic[orderTotal]*(1-dynamic[discountApllied])</f>
        <v>780</v>
      </c>
      <c r="S37" s="9">
        <f>dynamic[revenue]-(dynamic[productCost]*dynamic[orderQuantity])</f>
        <v>218.5246171</v>
      </c>
      <c r="T37" s="25">
        <f>IFERROR(dynamic[profit]/dynamic[revenue], 0)</f>
        <v>0.2801597655</v>
      </c>
    </row>
    <row r="38" ht="15.75" customHeight="1">
      <c r="A38" s="6">
        <v>10260.0</v>
      </c>
      <c r="B38" s="7" t="s">
        <v>26</v>
      </c>
      <c r="C38" s="24" t="str">
        <f>VLOOKUP(dynamic[customerID],customers[],2,FALSE)</f>
        <v>Ottilies Käseladen</v>
      </c>
      <c r="D38" s="24">
        <v>44761.0</v>
      </c>
      <c r="E38" s="6">
        <f>IFERROR(__xludf.DUMMYFUNCTION("COUNTUNIQUEIFS($A$2:$A38,$B$2:$B38,B38)"),1.0)</f>
        <v>1</v>
      </c>
      <c r="F38" s="6">
        <f t="shared" si="1"/>
        <v>0</v>
      </c>
      <c r="G38" s="6" t="str">
        <f>IF(MINIFS(dynamic[orderDate], dynamic[customerID], B38) &gt;= DATE(2024,4,30)-120, 
     "New", 
     IF(MAXIFS(dynamic[orderCount], dynamic[customerID], B38)&lt;=2, 
        IF((DATE(2024,4,30) - MAXIFS(dynamic[orderDate], dynamic[customerID], B38)) &gt; 180, "Non-Returning", "Dormant"), 
        IF(AND(MAX(dynamic[sinceLastOrder]) &gt; 365, (DATE(2024,4,30) - MAXIFS(dynamic[orderDate], dynamic[customerID], B38)) &gt; 180), 
           "Dormant", "Regular")))</f>
        <v>Regular</v>
      </c>
      <c r="H38" s="6">
        <v>62.0</v>
      </c>
      <c r="I38" s="9" t="str">
        <f>VLOOKUP(dynamic[productID],products[],2,FALSE)</f>
        <v>Tarte au sucre</v>
      </c>
      <c r="J38" s="9" t="str">
        <f>VLOOKUP(dynamic[productID],products[],12,FALSE)</f>
        <v>Confections</v>
      </c>
      <c r="K38" s="7" t="str">
        <f>IF(VLOOKUP(dynamic[productID],products[],7,FALSE)=1,"Discontinued","Current")</f>
        <v>Current</v>
      </c>
      <c r="L38" s="9">
        <f>VLOOKUP(dynamic[productID],products[],IF(YEAR(dynamic[orderDate])=2022,8,IF(YEAR(dynamic[orderDate])=2023,9,IF(YEAR(dynamic[orderDate])=2024,10,NA))),FALSE)</f>
        <v>29.35963319</v>
      </c>
      <c r="M38" s="9">
        <v>39.4</v>
      </c>
      <c r="N38" s="25">
        <f>(dynamic[orderPrice]-dynamic[productCost])/dynamic[productCost]</f>
        <v>0.3419786189</v>
      </c>
      <c r="O38" s="10">
        <v>15.0</v>
      </c>
      <c r="P38" s="25">
        <v>0.25</v>
      </c>
      <c r="Q38" s="9">
        <f>dynamic[orderPrice]*dynamic[orderQuantity]</f>
        <v>591</v>
      </c>
      <c r="R38" s="9">
        <f>dynamic[orderTotal]*(1-dynamic[discountApllied])</f>
        <v>443.25</v>
      </c>
      <c r="S38" s="9">
        <f>dynamic[revenue]-(dynamic[productCost]*dynamic[orderQuantity])</f>
        <v>2.855502143</v>
      </c>
      <c r="T38" s="25">
        <f>IFERROR(dynamic[profit]/dynamic[revenue], 0)</f>
        <v>0.006442193215</v>
      </c>
    </row>
    <row r="39" ht="15.75" customHeight="1">
      <c r="A39" s="6">
        <v>10260.0</v>
      </c>
      <c r="B39" s="7" t="s">
        <v>26</v>
      </c>
      <c r="C39" s="24" t="str">
        <f>VLOOKUP(dynamic[customerID],customers[],2,FALSE)</f>
        <v>Ottilies Käseladen</v>
      </c>
      <c r="D39" s="24">
        <v>44761.0</v>
      </c>
      <c r="E39" s="6">
        <f>IFERROR(__xludf.DUMMYFUNCTION("COUNTUNIQUEIFS($A$2:$A39,$B$2:$B39,B39)"),1.0)</f>
        <v>1</v>
      </c>
      <c r="F39" s="6">
        <f t="shared" si="1"/>
        <v>0</v>
      </c>
      <c r="G39" s="6" t="str">
        <f>IF(MINIFS(dynamic[orderDate], dynamic[customerID], B39) &gt;= DATE(2024,4,30)-120, 
     "New", 
     IF(MAXIFS(dynamic[orderCount], dynamic[customerID], B39)&lt;=2, 
        IF((DATE(2024,4,30) - MAXIFS(dynamic[orderDate], dynamic[customerID], B39)) &gt; 180, "Non-Returning", "Dormant"), 
        IF(AND(MAX(dynamic[sinceLastOrder]) &gt; 365, (DATE(2024,4,30) - MAXIFS(dynamic[orderDate], dynamic[customerID], B39)) &gt; 180), 
           "Dormant", "Regular")))</f>
        <v>Regular</v>
      </c>
      <c r="H39" s="6">
        <v>70.0</v>
      </c>
      <c r="I39" s="9" t="str">
        <f>VLOOKUP(dynamic[productID],products[],2,FALSE)</f>
        <v>Outback Lager</v>
      </c>
      <c r="J39" s="9" t="str">
        <f>VLOOKUP(dynamic[productID],products[],12,FALSE)</f>
        <v>Beverages</v>
      </c>
      <c r="K39" s="7" t="str">
        <f>IF(VLOOKUP(dynamic[productID],products[],7,FALSE)=1,"Discontinued","Current")</f>
        <v>Current</v>
      </c>
      <c r="L39" s="9">
        <f>VLOOKUP(dynamic[productID],products[],IF(YEAR(dynamic[orderDate])=2022,8,IF(YEAR(dynamic[orderDate])=2023,9,IF(YEAR(dynamic[orderDate])=2024,10,NA))),FALSE)</f>
        <v>8.037520944</v>
      </c>
      <c r="M39" s="9">
        <v>12.0</v>
      </c>
      <c r="N39" s="25">
        <f>(dynamic[orderPrice]-dynamic[productCost])/dynamic[productCost]</f>
        <v>0.4929976648</v>
      </c>
      <c r="O39" s="10">
        <v>21.0</v>
      </c>
      <c r="P39" s="25">
        <v>0.25</v>
      </c>
      <c r="Q39" s="9">
        <f>dynamic[orderPrice]*dynamic[orderQuantity]</f>
        <v>252</v>
      </c>
      <c r="R39" s="9">
        <f>dynamic[orderTotal]*(1-dynamic[discountApllied])</f>
        <v>189</v>
      </c>
      <c r="S39" s="9">
        <f>dynamic[revenue]-(dynamic[productCost]*dynamic[orderQuantity])</f>
        <v>20.21206018</v>
      </c>
      <c r="T39" s="25">
        <f>IFERROR(dynamic[profit]/dynamic[revenue], 0)</f>
        <v>0.1069421173</v>
      </c>
    </row>
    <row r="40" ht="15.75" customHeight="1">
      <c r="A40" s="6">
        <v>10261.0</v>
      </c>
      <c r="B40" s="7" t="s">
        <v>27</v>
      </c>
      <c r="C40" s="24" t="str">
        <f>VLOOKUP(dynamic[customerID],customers[],2,FALSE)</f>
        <v>Que Delícia</v>
      </c>
      <c r="D40" s="24">
        <v>44761.0</v>
      </c>
      <c r="E40" s="6">
        <f>IFERROR(__xludf.DUMMYFUNCTION("COUNTUNIQUEIFS($A$2:$A40,$B$2:$B40,B40)"),1.0)</f>
        <v>1</v>
      </c>
      <c r="F40" s="6">
        <f t="shared" si="1"/>
        <v>0</v>
      </c>
      <c r="G40" s="6" t="str">
        <f>IF(MINIFS(dynamic[orderDate], dynamic[customerID], B40) &gt;= DATE(2024,4,30)-120, 
     "New", 
     IF(MAXIFS(dynamic[orderCount], dynamic[customerID], B40)&lt;=2, 
        IF((DATE(2024,4,30) - MAXIFS(dynamic[orderDate], dynamic[customerID], B40)) &gt; 180, "Non-Returning", "Dormant"), 
        IF(AND(MAX(dynamic[sinceLastOrder]) &gt; 365, (DATE(2024,4,30) - MAXIFS(dynamic[orderDate], dynamic[customerID], B40)) &gt; 180), 
           "Dormant", "Regular")))</f>
        <v>Regular</v>
      </c>
      <c r="H40" s="6">
        <v>21.0</v>
      </c>
      <c r="I40" s="9" t="str">
        <f>VLOOKUP(dynamic[productID],products[],2,FALSE)</f>
        <v>Sir Rodney's Scones</v>
      </c>
      <c r="J40" s="9" t="str">
        <f>VLOOKUP(dynamic[productID],products[],12,FALSE)</f>
        <v>Confections</v>
      </c>
      <c r="K40" s="7" t="str">
        <f>IF(VLOOKUP(dynamic[productID],products[],7,FALSE)=1,"Discontinued","Current")</f>
        <v>Current</v>
      </c>
      <c r="L40" s="9">
        <f>VLOOKUP(dynamic[productID],products[],IF(YEAR(dynamic[orderDate])=2022,8,IF(YEAR(dynamic[orderDate])=2023,9,IF(YEAR(dynamic[orderDate])=2024,10,NA))),FALSE)</f>
        <v>5.773836452</v>
      </c>
      <c r="M40" s="9">
        <v>8.0</v>
      </c>
      <c r="N40" s="25">
        <f>(dynamic[orderPrice]-dynamic[productCost])/dynamic[productCost]</f>
        <v>0.3855605483</v>
      </c>
      <c r="O40" s="10">
        <v>20.0</v>
      </c>
      <c r="P40" s="25">
        <v>0.0</v>
      </c>
      <c r="Q40" s="9">
        <f>dynamic[orderPrice]*dynamic[orderQuantity]</f>
        <v>160</v>
      </c>
      <c r="R40" s="9">
        <f>dynamic[orderTotal]*(1-dynamic[discountApllied])</f>
        <v>160</v>
      </c>
      <c r="S40" s="9">
        <f>dynamic[revenue]-(dynamic[productCost]*dynamic[orderQuantity])</f>
        <v>44.52327096</v>
      </c>
      <c r="T40" s="25">
        <f>IFERROR(dynamic[profit]/dynamic[revenue], 0)</f>
        <v>0.2782704435</v>
      </c>
    </row>
    <row r="41" ht="15.75" customHeight="1">
      <c r="A41" s="6">
        <v>10261.0</v>
      </c>
      <c r="B41" s="7" t="s">
        <v>27</v>
      </c>
      <c r="C41" s="24" t="str">
        <f>VLOOKUP(dynamic[customerID],customers[],2,FALSE)</f>
        <v>Que Delícia</v>
      </c>
      <c r="D41" s="24">
        <v>44761.0</v>
      </c>
      <c r="E41" s="6">
        <f>IFERROR(__xludf.DUMMYFUNCTION("COUNTUNIQUEIFS($A$2:$A41,$B$2:$B41,B41)"),1.0)</f>
        <v>1</v>
      </c>
      <c r="F41" s="6">
        <f t="shared" si="1"/>
        <v>0</v>
      </c>
      <c r="G41" s="6" t="str">
        <f>IF(MINIFS(dynamic[orderDate], dynamic[customerID], B41) &gt;= DATE(2024,4,30)-120, 
     "New", 
     IF(MAXIFS(dynamic[orderCount], dynamic[customerID], B41)&lt;=2, 
        IF((DATE(2024,4,30) - MAXIFS(dynamic[orderDate], dynamic[customerID], B41)) &gt; 180, "Non-Returning", "Dormant"), 
        IF(AND(MAX(dynamic[sinceLastOrder]) &gt; 365, (DATE(2024,4,30) - MAXIFS(dynamic[orderDate], dynamic[customerID], B41)) &gt; 180), 
           "Dormant", "Regular")))</f>
        <v>Regular</v>
      </c>
      <c r="H41" s="6">
        <v>35.0</v>
      </c>
      <c r="I41" s="9" t="str">
        <f>VLOOKUP(dynamic[productID],products[],2,FALSE)</f>
        <v>Cold Brew Nitro</v>
      </c>
      <c r="J41" s="9" t="str">
        <f>VLOOKUP(dynamic[productID],products[],12,FALSE)</f>
        <v>Beverages</v>
      </c>
      <c r="K41" s="7" t="str">
        <f>IF(VLOOKUP(dynamic[productID],products[],7,FALSE)=1,"Discontinued","Current")</f>
        <v>Current</v>
      </c>
      <c r="L41" s="9">
        <f>VLOOKUP(dynamic[productID],products[],IF(YEAR(dynamic[orderDate])=2022,8,IF(YEAR(dynamic[orderDate])=2023,9,IF(YEAR(dynamic[orderDate])=2024,10,NA))),FALSE)</f>
        <v>10.19869089</v>
      </c>
      <c r="M41" s="9">
        <v>14.4</v>
      </c>
      <c r="N41" s="25">
        <f>(dynamic[orderPrice]-dynamic[productCost])/dynamic[productCost]</f>
        <v>0.4119459208</v>
      </c>
      <c r="O41" s="10">
        <v>20.0</v>
      </c>
      <c r="P41" s="25">
        <v>0.0</v>
      </c>
      <c r="Q41" s="9">
        <f>dynamic[orderPrice]*dynamic[orderQuantity]</f>
        <v>288</v>
      </c>
      <c r="R41" s="9">
        <f>dynamic[orderTotal]*(1-dynamic[discountApllied])</f>
        <v>288</v>
      </c>
      <c r="S41" s="9">
        <f>dynamic[revenue]-(dynamic[productCost]*dynamic[orderQuantity])</f>
        <v>84.0261822</v>
      </c>
      <c r="T41" s="25">
        <f>IFERROR(dynamic[profit]/dynamic[revenue], 0)</f>
        <v>0.2917575771</v>
      </c>
    </row>
    <row r="42" ht="15.75" customHeight="1">
      <c r="A42" s="6">
        <v>10262.0</v>
      </c>
      <c r="B42" s="7" t="s">
        <v>28</v>
      </c>
      <c r="C42" s="24" t="str">
        <f>VLOOKUP(dynamic[customerID],customers[],2,FALSE)</f>
        <v>Rattlesnake Canyon Grocery</v>
      </c>
      <c r="D42" s="24">
        <v>44764.0</v>
      </c>
      <c r="E42" s="6">
        <f>IFERROR(__xludf.DUMMYFUNCTION("COUNTUNIQUEIFS($A$2:$A42,$B$2:$B42,B42)"),1.0)</f>
        <v>1</v>
      </c>
      <c r="F42" s="6">
        <f t="shared" si="1"/>
        <v>0</v>
      </c>
      <c r="G42" s="6" t="str">
        <f>IF(MINIFS(dynamic[orderDate], dynamic[customerID], B42) &gt;= DATE(2024,4,30)-120, 
     "New", 
     IF(MAXIFS(dynamic[orderCount], dynamic[customerID], B42)&lt;=2, 
        IF((DATE(2024,4,30) - MAXIFS(dynamic[orderDate], dynamic[customerID], B42)) &gt; 180, "Non-Returning", "Dormant"), 
        IF(AND(MAX(dynamic[sinceLastOrder]) &gt; 365, (DATE(2024,4,30) - MAXIFS(dynamic[orderDate], dynamic[customerID], B42)) &gt; 180), 
           "Dormant", "Regular")))</f>
        <v>Regular</v>
      </c>
      <c r="H42" s="6">
        <v>5.0</v>
      </c>
      <c r="I42" s="9" t="str">
        <f>VLOOKUP(dynamic[productID],products[],2,FALSE)</f>
        <v>Chef Anton's Gumbo Mix</v>
      </c>
      <c r="J42" s="9" t="str">
        <f>VLOOKUP(dynamic[productID],products[],12,FALSE)</f>
        <v>Condiments</v>
      </c>
      <c r="K42" s="7" t="str">
        <f>IF(VLOOKUP(dynamic[productID],products[],7,FALSE)=1,"Discontinued","Current")</f>
        <v>Discontinued</v>
      </c>
      <c r="L42" s="9">
        <f>VLOOKUP(dynamic[productID],products[],IF(YEAR(dynamic[orderDate])=2022,8,IF(YEAR(dynamic[orderDate])=2023,9,IF(YEAR(dynamic[orderDate])=2024,10,NA))),FALSE)</f>
        <v>10.9059059</v>
      </c>
      <c r="M42" s="9">
        <v>17.0</v>
      </c>
      <c r="N42" s="25">
        <f>(dynamic[orderPrice]-dynamic[productCost])/dynamic[productCost]</f>
        <v>0.5587884354</v>
      </c>
      <c r="O42" s="10">
        <v>12.0</v>
      </c>
      <c r="P42" s="25">
        <v>0.2</v>
      </c>
      <c r="Q42" s="9">
        <f>dynamic[orderPrice]*dynamic[orderQuantity]</f>
        <v>204</v>
      </c>
      <c r="R42" s="9">
        <f>dynamic[orderTotal]*(1-dynamic[discountApllied])</f>
        <v>163.2</v>
      </c>
      <c r="S42" s="9">
        <f>dynamic[revenue]-(dynamic[productCost]*dynamic[orderQuantity])</f>
        <v>32.32912916</v>
      </c>
      <c r="T42" s="25">
        <f>IFERROR(dynamic[profit]/dynamic[revenue], 0)</f>
        <v>0.1980951542</v>
      </c>
    </row>
    <row r="43" ht="15.75" customHeight="1">
      <c r="A43" s="6">
        <v>10262.0</v>
      </c>
      <c r="B43" s="7" t="s">
        <v>28</v>
      </c>
      <c r="C43" s="24" t="str">
        <f>VLOOKUP(dynamic[customerID],customers[],2,FALSE)</f>
        <v>Rattlesnake Canyon Grocery</v>
      </c>
      <c r="D43" s="24">
        <v>44764.0</v>
      </c>
      <c r="E43" s="6">
        <f>IFERROR(__xludf.DUMMYFUNCTION("COUNTUNIQUEIFS($A$2:$A43,$B$2:$B43,B43)"),1.0)</f>
        <v>1</v>
      </c>
      <c r="F43" s="6">
        <f t="shared" si="1"/>
        <v>0</v>
      </c>
      <c r="G43" s="6" t="str">
        <f>IF(MINIFS(dynamic[orderDate], dynamic[customerID], B43) &gt;= DATE(2024,4,30)-120, 
     "New", 
     IF(MAXIFS(dynamic[orderCount], dynamic[customerID], B43)&lt;=2, 
        IF((DATE(2024,4,30) - MAXIFS(dynamic[orderDate], dynamic[customerID], B43)) &gt; 180, "Non-Returning", "Dormant"), 
        IF(AND(MAX(dynamic[sinceLastOrder]) &gt; 365, (DATE(2024,4,30) - MAXIFS(dynamic[orderDate], dynamic[customerID], B43)) &gt; 180), 
           "Dormant", "Regular")))</f>
        <v>Regular</v>
      </c>
      <c r="H43" s="6">
        <v>7.0</v>
      </c>
      <c r="I43" s="9" t="str">
        <f>VLOOKUP(dynamic[productID],products[],2,FALSE)</f>
        <v>Uncle Bob's Organic Dried Pears</v>
      </c>
      <c r="J43" s="9" t="str">
        <f>VLOOKUP(dynamic[productID],products[],12,FALSE)</f>
        <v>Produce</v>
      </c>
      <c r="K43" s="7" t="str">
        <f>IF(VLOOKUP(dynamic[productID],products[],7,FALSE)=1,"Discontinued","Current")</f>
        <v>Current</v>
      </c>
      <c r="L43" s="9">
        <f>VLOOKUP(dynamic[productID],products[],IF(YEAR(dynamic[orderDate])=2022,8,IF(YEAR(dynamic[orderDate])=2023,9,IF(YEAR(dynamic[orderDate])=2024,10,NA))),FALSE)</f>
        <v>16.42997431</v>
      </c>
      <c r="M43" s="9">
        <v>24.0</v>
      </c>
      <c r="N43" s="25">
        <f>(dynamic[orderPrice]-dynamic[productCost])/dynamic[productCost]</f>
        <v>0.4607448283</v>
      </c>
      <c r="O43" s="10">
        <v>15.0</v>
      </c>
      <c r="P43" s="25">
        <v>0.0</v>
      </c>
      <c r="Q43" s="9">
        <f>dynamic[orderPrice]*dynamic[orderQuantity]</f>
        <v>360</v>
      </c>
      <c r="R43" s="9">
        <f>dynamic[orderTotal]*(1-dynamic[discountApllied])</f>
        <v>360</v>
      </c>
      <c r="S43" s="9">
        <f>dynamic[revenue]-(dynamic[productCost]*dynamic[orderQuantity])</f>
        <v>113.5503854</v>
      </c>
      <c r="T43" s="25">
        <f>IFERROR(dynamic[profit]/dynamic[revenue], 0)</f>
        <v>0.3154177371</v>
      </c>
    </row>
    <row r="44" ht="15.75" customHeight="1">
      <c r="A44" s="6">
        <v>10262.0</v>
      </c>
      <c r="B44" s="7" t="s">
        <v>28</v>
      </c>
      <c r="C44" s="24" t="str">
        <f>VLOOKUP(dynamic[customerID],customers[],2,FALSE)</f>
        <v>Rattlesnake Canyon Grocery</v>
      </c>
      <c r="D44" s="24">
        <v>44764.0</v>
      </c>
      <c r="E44" s="6">
        <f>IFERROR(__xludf.DUMMYFUNCTION("COUNTUNIQUEIFS($A$2:$A44,$B$2:$B44,B44)"),1.0)</f>
        <v>1</v>
      </c>
      <c r="F44" s="6">
        <f t="shared" si="1"/>
        <v>0</v>
      </c>
      <c r="G44" s="6" t="str">
        <f>IF(MINIFS(dynamic[orderDate], dynamic[customerID], B44) &gt;= DATE(2024,4,30)-120, 
     "New", 
     IF(MAXIFS(dynamic[orderCount], dynamic[customerID], B44)&lt;=2, 
        IF((DATE(2024,4,30) - MAXIFS(dynamic[orderDate], dynamic[customerID], B44)) &gt; 180, "Non-Returning", "Dormant"), 
        IF(AND(MAX(dynamic[sinceLastOrder]) &gt; 365, (DATE(2024,4,30) - MAXIFS(dynamic[orderDate], dynamic[customerID], B44)) &gt; 180), 
           "Dormant", "Regular")))</f>
        <v>Regular</v>
      </c>
      <c r="H44" s="6">
        <v>56.0</v>
      </c>
      <c r="I44" s="9" t="str">
        <f>VLOOKUP(dynamic[productID],products[],2,FALSE)</f>
        <v>Gnocchi di nonna Alice</v>
      </c>
      <c r="J44" s="9" t="str">
        <f>VLOOKUP(dynamic[productID],products[],12,FALSE)</f>
        <v>Grains/Cereals</v>
      </c>
      <c r="K44" s="7" t="str">
        <f>IF(VLOOKUP(dynamic[productID],products[],7,FALSE)=1,"Discontinued","Current")</f>
        <v>Current</v>
      </c>
      <c r="L44" s="9">
        <f>VLOOKUP(dynamic[productID],products[],IF(YEAR(dynamic[orderDate])=2022,8,IF(YEAR(dynamic[orderDate])=2023,9,IF(YEAR(dynamic[orderDate])=2024,10,NA))),FALSE)</f>
        <v>21.5040056</v>
      </c>
      <c r="M44" s="9">
        <v>30.4</v>
      </c>
      <c r="N44" s="25">
        <f>(dynamic[orderPrice]-dynamic[productCost])/dynamic[productCost]</f>
        <v>0.4136901081</v>
      </c>
      <c r="O44" s="10">
        <v>2.0</v>
      </c>
      <c r="P44" s="25">
        <v>0.0</v>
      </c>
      <c r="Q44" s="9">
        <f>dynamic[orderPrice]*dynamic[orderQuantity]</f>
        <v>60.8</v>
      </c>
      <c r="R44" s="9">
        <f>dynamic[orderTotal]*(1-dynamic[discountApllied])</f>
        <v>60.8</v>
      </c>
      <c r="S44" s="9">
        <f>dynamic[revenue]-(dynamic[productCost]*dynamic[orderQuantity])</f>
        <v>17.7919888</v>
      </c>
      <c r="T44" s="25">
        <f>IFERROR(dynamic[profit]/dynamic[revenue], 0)</f>
        <v>0.2926313948</v>
      </c>
    </row>
    <row r="45" ht="15.75" customHeight="1">
      <c r="A45" s="6">
        <v>10263.0</v>
      </c>
      <c r="B45" s="7" t="s">
        <v>24</v>
      </c>
      <c r="C45" s="24" t="str">
        <f>VLOOKUP(dynamic[customerID],customers[],2,FALSE)</f>
        <v>Ernst Handel</v>
      </c>
      <c r="D45" s="24">
        <v>44765.0</v>
      </c>
      <c r="E45" s="6">
        <f>IFERROR(__xludf.DUMMYFUNCTION("COUNTUNIQUEIFS($A$2:$A45,$B$2:$B45,B45)"),2.0)</f>
        <v>2</v>
      </c>
      <c r="F45" s="6">
        <f t="shared" si="1"/>
        <v>6</v>
      </c>
      <c r="G45" s="6" t="str">
        <f>IF(MINIFS(dynamic[orderDate], dynamic[customerID], B45) &gt;= DATE(2024,4,30)-120, 
     "New", 
     IF(MAXIFS(dynamic[orderCount], dynamic[customerID], B45)&lt;=2, 
        IF((DATE(2024,4,30) - MAXIFS(dynamic[orderDate], dynamic[customerID], B45)) &gt; 180, "Non-Returning", "Dormant"), 
        IF(AND(MAX(dynamic[sinceLastOrder]) &gt; 365, (DATE(2024,4,30) - MAXIFS(dynamic[orderDate], dynamic[customerID], B45)) &gt; 180), 
           "Dormant", "Regular")))</f>
        <v>Regular</v>
      </c>
      <c r="H45" s="6">
        <v>16.0</v>
      </c>
      <c r="I45" s="9" t="str">
        <f>VLOOKUP(dynamic[productID],products[],2,FALSE)</f>
        <v>Pavlova</v>
      </c>
      <c r="J45" s="9" t="str">
        <f>VLOOKUP(dynamic[productID],products[],12,FALSE)</f>
        <v>Confections</v>
      </c>
      <c r="K45" s="7" t="str">
        <f>IF(VLOOKUP(dynamic[productID],products[],7,FALSE)=1,"Discontinued","Current")</f>
        <v>Current</v>
      </c>
      <c r="L45" s="9">
        <f>VLOOKUP(dynamic[productID],products[],IF(YEAR(dynamic[orderDate])=2022,8,IF(YEAR(dynamic[orderDate])=2023,9,IF(YEAR(dynamic[orderDate])=2024,10,NA))),FALSE)</f>
        <v>9.80658008</v>
      </c>
      <c r="M45" s="9">
        <v>13.9</v>
      </c>
      <c r="N45" s="25">
        <f>(dynamic[orderPrice]-dynamic[productCost])/dynamic[productCost]</f>
        <v>0.417415642</v>
      </c>
      <c r="O45" s="10">
        <v>60.0</v>
      </c>
      <c r="P45" s="25">
        <v>0.25</v>
      </c>
      <c r="Q45" s="9">
        <f>dynamic[orderPrice]*dynamic[orderQuantity]</f>
        <v>834</v>
      </c>
      <c r="R45" s="9">
        <f>dynamic[orderTotal]*(1-dynamic[discountApllied])</f>
        <v>625.5</v>
      </c>
      <c r="S45" s="9">
        <f>dynamic[revenue]-(dynamic[productCost]*dynamic[orderQuantity])</f>
        <v>37.10519519</v>
      </c>
      <c r="T45" s="25">
        <f>IFERROR(dynamic[profit]/dynamic[revenue], 0)</f>
        <v>0.05932085562</v>
      </c>
    </row>
    <row r="46" ht="15.75" customHeight="1">
      <c r="A46" s="6">
        <v>10263.0</v>
      </c>
      <c r="B46" s="7" t="s">
        <v>24</v>
      </c>
      <c r="C46" s="24" t="str">
        <f>VLOOKUP(dynamic[customerID],customers[],2,FALSE)</f>
        <v>Ernst Handel</v>
      </c>
      <c r="D46" s="24">
        <v>44765.0</v>
      </c>
      <c r="E46" s="6">
        <f>IFERROR(__xludf.DUMMYFUNCTION("COUNTUNIQUEIFS($A$2:$A46,$B$2:$B46,B46)"),2.0)</f>
        <v>2</v>
      </c>
      <c r="F46" s="6">
        <f t="shared" si="1"/>
        <v>6</v>
      </c>
      <c r="G46" s="6" t="str">
        <f>IF(MINIFS(dynamic[orderDate], dynamic[customerID], B46) &gt;= DATE(2024,4,30)-120, 
     "New", 
     IF(MAXIFS(dynamic[orderCount], dynamic[customerID], B46)&lt;=2, 
        IF((DATE(2024,4,30) - MAXIFS(dynamic[orderDate], dynamic[customerID], B46)) &gt; 180, "Non-Returning", "Dormant"), 
        IF(AND(MAX(dynamic[sinceLastOrder]) &gt; 365, (DATE(2024,4,30) - MAXIFS(dynamic[orderDate], dynamic[customerID], B46)) &gt; 180), 
           "Dormant", "Regular")))</f>
        <v>Regular</v>
      </c>
      <c r="H46" s="6">
        <v>24.0</v>
      </c>
      <c r="I46" s="9" t="str">
        <f>VLOOKUP(dynamic[productID],products[],2,FALSE)</f>
        <v>Brigadeiros Maravilhosos da Lilian</v>
      </c>
      <c r="J46" s="9" t="str">
        <f>VLOOKUP(dynamic[productID],products[],12,FALSE)</f>
        <v>Confections</v>
      </c>
      <c r="K46" s="7" t="str">
        <f>IF(VLOOKUP(dynamic[productID],products[],7,FALSE)=1,"Discontinued","Current")</f>
        <v>Discontinued</v>
      </c>
      <c r="L46" s="9">
        <f>VLOOKUP(dynamic[productID],products[],IF(YEAR(dynamic[orderDate])=2022,8,IF(YEAR(dynamic[orderDate])=2023,9,IF(YEAR(dynamic[orderDate])=2024,10,NA))),FALSE)</f>
        <v>2.68117246</v>
      </c>
      <c r="M46" s="9">
        <v>3.6</v>
      </c>
      <c r="N46" s="25">
        <f>(dynamic[orderPrice]-dynamic[productCost])/dynamic[productCost]</f>
        <v>0.3426961727</v>
      </c>
      <c r="O46" s="10">
        <v>28.0</v>
      </c>
      <c r="P46" s="25">
        <v>0.0</v>
      </c>
      <c r="Q46" s="9">
        <f>dynamic[orderPrice]*dynamic[orderQuantity]</f>
        <v>100.8</v>
      </c>
      <c r="R46" s="9">
        <f>dynamic[orderTotal]*(1-dynamic[discountApllied])</f>
        <v>100.8</v>
      </c>
      <c r="S46" s="9">
        <f>dynamic[revenue]-(dynamic[productCost]*dynamic[orderQuantity])</f>
        <v>25.72717113</v>
      </c>
      <c r="T46" s="25">
        <f>IFERROR(dynamic[profit]/dynamic[revenue], 0)</f>
        <v>0.2552298723</v>
      </c>
    </row>
    <row r="47" ht="15.75" customHeight="1">
      <c r="A47" s="6">
        <v>10263.0</v>
      </c>
      <c r="B47" s="7" t="s">
        <v>24</v>
      </c>
      <c r="C47" s="24" t="str">
        <f>VLOOKUP(dynamic[customerID],customers[],2,FALSE)</f>
        <v>Ernst Handel</v>
      </c>
      <c r="D47" s="24">
        <v>44765.0</v>
      </c>
      <c r="E47" s="6">
        <f>IFERROR(__xludf.DUMMYFUNCTION("COUNTUNIQUEIFS($A$2:$A47,$B$2:$B47,B47)"),2.0)</f>
        <v>2</v>
      </c>
      <c r="F47" s="6">
        <f t="shared" si="1"/>
        <v>6</v>
      </c>
      <c r="G47" s="6" t="str">
        <f>IF(MINIFS(dynamic[orderDate], dynamic[customerID], B47) &gt;= DATE(2024,4,30)-120, 
     "New", 
     IF(MAXIFS(dynamic[orderCount], dynamic[customerID], B47)&lt;=2, 
        IF((DATE(2024,4,30) - MAXIFS(dynamic[orderDate], dynamic[customerID], B47)) &gt; 180, "Non-Returning", "Dormant"), 
        IF(AND(MAX(dynamic[sinceLastOrder]) &gt; 365, (DATE(2024,4,30) - MAXIFS(dynamic[orderDate], dynamic[customerID], B47)) &gt; 180), 
           "Dormant", "Regular")))</f>
        <v>Regular</v>
      </c>
      <c r="H47" s="6">
        <v>30.0</v>
      </c>
      <c r="I47" s="9" t="str">
        <f>VLOOKUP(dynamic[productID],products[],2,FALSE)</f>
        <v>Nord-Ost Matjeshering</v>
      </c>
      <c r="J47" s="9" t="str">
        <f>VLOOKUP(dynamic[productID],products[],12,FALSE)</f>
        <v>Seafood</v>
      </c>
      <c r="K47" s="7" t="str">
        <f>IF(VLOOKUP(dynamic[productID],products[],7,FALSE)=1,"Discontinued","Current")</f>
        <v>Current</v>
      </c>
      <c r="L47" s="9">
        <f>VLOOKUP(dynamic[productID],products[],IF(YEAR(dynamic[orderDate])=2022,8,IF(YEAR(dynamic[orderDate])=2023,9,IF(YEAR(dynamic[orderDate])=2024,10,NA))),FALSE)</f>
        <v>13.41656868</v>
      </c>
      <c r="M47" s="9">
        <v>20.7</v>
      </c>
      <c r="N47" s="25">
        <f>(dynamic[orderPrice]-dynamic[productCost])/dynamic[productCost]</f>
        <v>0.5428684114</v>
      </c>
      <c r="O47" s="10">
        <v>60.0</v>
      </c>
      <c r="P47" s="25">
        <v>0.25</v>
      </c>
      <c r="Q47" s="9">
        <f>dynamic[orderPrice]*dynamic[orderQuantity]</f>
        <v>1242</v>
      </c>
      <c r="R47" s="9">
        <f>dynamic[orderTotal]*(1-dynamic[discountApllied])</f>
        <v>931.5</v>
      </c>
      <c r="S47" s="9">
        <f>dynamic[revenue]-(dynamic[productCost]*dynamic[orderQuantity])</f>
        <v>126.5058794</v>
      </c>
      <c r="T47" s="25">
        <f>IFERROR(dynamic[profit]/dynamic[revenue], 0)</f>
        <v>0.1358087809</v>
      </c>
    </row>
    <row r="48" ht="15.75" customHeight="1">
      <c r="A48" s="6">
        <v>10263.0</v>
      </c>
      <c r="B48" s="7" t="s">
        <v>24</v>
      </c>
      <c r="C48" s="24" t="str">
        <f>VLOOKUP(dynamic[customerID],customers[],2,FALSE)</f>
        <v>Ernst Handel</v>
      </c>
      <c r="D48" s="24">
        <v>44765.0</v>
      </c>
      <c r="E48" s="6">
        <f>IFERROR(__xludf.DUMMYFUNCTION("COUNTUNIQUEIFS($A$2:$A48,$B$2:$B48,B48)"),2.0)</f>
        <v>2</v>
      </c>
      <c r="F48" s="6">
        <f t="shared" si="1"/>
        <v>6</v>
      </c>
      <c r="G48" s="6" t="str">
        <f>IF(MINIFS(dynamic[orderDate], dynamic[customerID], B48) &gt;= DATE(2024,4,30)-120, 
     "New", 
     IF(MAXIFS(dynamic[orderCount], dynamic[customerID], B48)&lt;=2, 
        IF((DATE(2024,4,30) - MAXIFS(dynamic[orderDate], dynamic[customerID], B48)) &gt; 180, "Non-Returning", "Dormant"), 
        IF(AND(MAX(dynamic[sinceLastOrder]) &gt; 365, (DATE(2024,4,30) - MAXIFS(dynamic[orderDate], dynamic[customerID], B48)) &gt; 180), 
           "Dormant", "Regular")))</f>
        <v>Regular</v>
      </c>
      <c r="H48" s="6">
        <v>74.0</v>
      </c>
      <c r="I48" s="9" t="str">
        <f>VLOOKUP(dynamic[productID],products[],2,FALSE)</f>
        <v>Longlife Tofu</v>
      </c>
      <c r="J48" s="9" t="str">
        <f>VLOOKUP(dynamic[productID],products[],12,FALSE)</f>
        <v>Produce</v>
      </c>
      <c r="K48" s="7" t="str">
        <f>IF(VLOOKUP(dynamic[productID],products[],7,FALSE)=1,"Discontinued","Current")</f>
        <v>Current</v>
      </c>
      <c r="L48" s="9">
        <f>VLOOKUP(dynamic[productID],products[],IF(YEAR(dynamic[orderDate])=2022,8,IF(YEAR(dynamic[orderDate])=2023,9,IF(YEAR(dynamic[orderDate])=2024,10,NA))),FALSE)</f>
        <v>5.667130124</v>
      </c>
      <c r="M48" s="9">
        <v>8.0</v>
      </c>
      <c r="N48" s="25">
        <f>(dynamic[orderPrice]-dynamic[productCost])/dynamic[productCost]</f>
        <v>0.4116492519</v>
      </c>
      <c r="O48" s="10">
        <v>36.0</v>
      </c>
      <c r="P48" s="25">
        <v>0.25</v>
      </c>
      <c r="Q48" s="9">
        <f>dynamic[orderPrice]*dynamic[orderQuantity]</f>
        <v>288</v>
      </c>
      <c r="R48" s="9">
        <f>dynamic[orderTotal]*(1-dynamic[discountApllied])</f>
        <v>216</v>
      </c>
      <c r="S48" s="9">
        <f>dynamic[revenue]-(dynamic[productCost]*dynamic[orderQuantity])</f>
        <v>11.98331554</v>
      </c>
      <c r="T48" s="25">
        <f>IFERROR(dynamic[profit]/dynamic[revenue], 0)</f>
        <v>0.05547831268</v>
      </c>
    </row>
    <row r="49" ht="15.75" customHeight="1">
      <c r="A49" s="6">
        <v>10264.0</v>
      </c>
      <c r="B49" s="7" t="s">
        <v>29</v>
      </c>
      <c r="C49" s="24" t="str">
        <f>VLOOKUP(dynamic[customerID],customers[],2,FALSE)</f>
        <v>Folk och fä HB</v>
      </c>
      <c r="D49" s="24">
        <v>44766.0</v>
      </c>
      <c r="E49" s="6">
        <f>IFERROR(__xludf.DUMMYFUNCTION("COUNTUNIQUEIFS($A$2:$A49,$B$2:$B49,B49)"),1.0)</f>
        <v>1</v>
      </c>
      <c r="F49" s="6">
        <f t="shared" si="1"/>
        <v>0</v>
      </c>
      <c r="G49" s="6" t="str">
        <f>IF(MINIFS(dynamic[orderDate], dynamic[customerID], B49) &gt;= DATE(2024,4,30)-120, 
     "New", 
     IF(MAXIFS(dynamic[orderCount], dynamic[customerID], B49)&lt;=2, 
        IF((DATE(2024,4,30) - MAXIFS(dynamic[orderDate], dynamic[customerID], B49)) &gt; 180, "Non-Returning", "Dormant"), 
        IF(AND(MAX(dynamic[sinceLastOrder]) &gt; 365, (DATE(2024,4,30) - MAXIFS(dynamic[orderDate], dynamic[customerID], B49)) &gt; 180), 
           "Dormant", "Regular")))</f>
        <v>Regular</v>
      </c>
      <c r="H49" s="6">
        <v>2.0</v>
      </c>
      <c r="I49" s="9" t="str">
        <f>VLOOKUP(dynamic[productID],products[],2,FALSE)</f>
        <v>Chang</v>
      </c>
      <c r="J49" s="9" t="str">
        <f>VLOOKUP(dynamic[productID],products[],12,FALSE)</f>
        <v>Beverages</v>
      </c>
      <c r="K49" s="7" t="str">
        <f>IF(VLOOKUP(dynamic[productID],products[],7,FALSE)=1,"Discontinued","Current")</f>
        <v>Current</v>
      </c>
      <c r="L49" s="9">
        <f>VLOOKUP(dynamic[productID],products[],IF(YEAR(dynamic[orderDate])=2022,8,IF(YEAR(dynamic[orderDate])=2023,9,IF(YEAR(dynamic[orderDate])=2024,10,NA))),FALSE)</f>
        <v>9.768746876</v>
      </c>
      <c r="M49" s="9">
        <v>15.2</v>
      </c>
      <c r="N49" s="25">
        <f>(dynamic[orderPrice]-dynamic[productCost])/dynamic[productCost]</f>
        <v>0.5559825833</v>
      </c>
      <c r="O49" s="10">
        <v>35.0</v>
      </c>
      <c r="P49" s="25">
        <v>0.0</v>
      </c>
      <c r="Q49" s="9">
        <f>dynamic[orderPrice]*dynamic[orderQuantity]</f>
        <v>532</v>
      </c>
      <c r="R49" s="9">
        <f>dynamic[orderTotal]*(1-dynamic[discountApllied])</f>
        <v>532</v>
      </c>
      <c r="S49" s="9">
        <f>dynamic[revenue]-(dynamic[productCost]*dynamic[orderQuantity])</f>
        <v>190.0938593</v>
      </c>
      <c r="T49" s="25">
        <f>IFERROR(dynamic[profit]/dynamic[revenue], 0)</f>
        <v>0.3573192844</v>
      </c>
    </row>
    <row r="50" ht="15.75" customHeight="1">
      <c r="A50" s="6">
        <v>10264.0</v>
      </c>
      <c r="B50" s="7" t="s">
        <v>29</v>
      </c>
      <c r="C50" s="24" t="str">
        <f>VLOOKUP(dynamic[customerID],customers[],2,FALSE)</f>
        <v>Folk och fä HB</v>
      </c>
      <c r="D50" s="24">
        <v>44766.0</v>
      </c>
      <c r="E50" s="6">
        <f>IFERROR(__xludf.DUMMYFUNCTION("COUNTUNIQUEIFS($A$2:$A50,$B$2:$B50,B50)"),1.0)</f>
        <v>1</v>
      </c>
      <c r="F50" s="6">
        <f t="shared" si="1"/>
        <v>0</v>
      </c>
      <c r="G50" s="6" t="str">
        <f>IF(MINIFS(dynamic[orderDate], dynamic[customerID], B50) &gt;= DATE(2024,4,30)-120, 
     "New", 
     IF(MAXIFS(dynamic[orderCount], dynamic[customerID], B50)&lt;=2, 
        IF((DATE(2024,4,30) - MAXIFS(dynamic[orderDate], dynamic[customerID], B50)) &gt; 180, "Non-Returning", "Dormant"), 
        IF(AND(MAX(dynamic[sinceLastOrder]) &gt; 365, (DATE(2024,4,30) - MAXIFS(dynamic[orderDate], dynamic[customerID], B50)) &gt; 180), 
           "Dormant", "Regular")))</f>
        <v>Regular</v>
      </c>
      <c r="H50" s="6">
        <v>41.0</v>
      </c>
      <c r="I50" s="9" t="str">
        <f>VLOOKUP(dynamic[productID],products[],2,FALSE)</f>
        <v>Jack's New England Clam Chowder</v>
      </c>
      <c r="J50" s="9" t="str">
        <f>VLOOKUP(dynamic[productID],products[],12,FALSE)</f>
        <v>Seafood</v>
      </c>
      <c r="K50" s="7" t="str">
        <f>IF(VLOOKUP(dynamic[productID],products[],7,FALSE)=1,"Discontinued","Current")</f>
        <v>Current</v>
      </c>
      <c r="L50" s="9">
        <f>VLOOKUP(dynamic[productID],products[],IF(YEAR(dynamic[orderDate])=2022,8,IF(YEAR(dynamic[orderDate])=2023,9,IF(YEAR(dynamic[orderDate])=2024,10,NA))),FALSE)</f>
        <v>5.170198742</v>
      </c>
      <c r="M50" s="9">
        <v>7.7</v>
      </c>
      <c r="N50" s="25">
        <f>(dynamic[orderPrice]-dynamic[productCost])/dynamic[productCost]</f>
        <v>0.4893044511</v>
      </c>
      <c r="O50" s="10">
        <v>25.0</v>
      </c>
      <c r="P50" s="25">
        <v>0.15</v>
      </c>
      <c r="Q50" s="9">
        <f>dynamic[orderPrice]*dynamic[orderQuantity]</f>
        <v>192.5</v>
      </c>
      <c r="R50" s="9">
        <f>dynamic[orderTotal]*(1-dynamic[discountApllied])</f>
        <v>163.625</v>
      </c>
      <c r="S50" s="9">
        <f>dynamic[revenue]-(dynamic[productCost]*dynamic[orderQuantity])</f>
        <v>34.37003144</v>
      </c>
      <c r="T50" s="25">
        <f>IFERROR(dynamic[profit]/dynamic[revenue], 0)</f>
        <v>0.2100536681</v>
      </c>
    </row>
    <row r="51" ht="15.75" customHeight="1">
      <c r="A51" s="6">
        <v>10265.0</v>
      </c>
      <c r="B51" s="7" t="s">
        <v>30</v>
      </c>
      <c r="C51" s="24" t="str">
        <f>VLOOKUP(dynamic[customerID],customers[],2,FALSE)</f>
        <v>Blondesddsl père et fils</v>
      </c>
      <c r="D51" s="24">
        <v>44767.0</v>
      </c>
      <c r="E51" s="6">
        <f>IFERROR(__xludf.DUMMYFUNCTION("COUNTUNIQUEIFS($A$2:$A51,$B$2:$B51,B51)"),1.0)</f>
        <v>1</v>
      </c>
      <c r="F51" s="6">
        <f t="shared" si="1"/>
        <v>0</v>
      </c>
      <c r="G51" s="6" t="str">
        <f>IF(MINIFS(dynamic[orderDate], dynamic[customerID], B51) &gt;= DATE(2024,4,30)-120, 
     "New", 
     IF(MAXIFS(dynamic[orderCount], dynamic[customerID], B51)&lt;=2, 
        IF((DATE(2024,4,30) - MAXIFS(dynamic[orderDate], dynamic[customerID], B51)) &gt; 180, "Non-Returning", "Dormant"), 
        IF(AND(MAX(dynamic[sinceLastOrder]) &gt; 365, (DATE(2024,4,30) - MAXIFS(dynamic[orderDate], dynamic[customerID], B51)) &gt; 180), 
           "Dormant", "Regular")))</f>
        <v>Regular</v>
      </c>
      <c r="H51" s="6">
        <v>17.0</v>
      </c>
      <c r="I51" s="9" t="str">
        <f>VLOOKUP(dynamic[productID],products[],2,FALSE)</f>
        <v>Alice Mutton</v>
      </c>
      <c r="J51" s="9" t="str">
        <f>VLOOKUP(dynamic[productID],products[],12,FALSE)</f>
        <v>Meat/Poultry</v>
      </c>
      <c r="K51" s="7" t="str">
        <f>IF(VLOOKUP(dynamic[productID],products[],7,FALSE)=1,"Discontinued","Current")</f>
        <v>Discontinued</v>
      </c>
      <c r="L51" s="9">
        <f>VLOOKUP(dynamic[productID],products[],IF(YEAR(dynamic[orderDate])=2022,8,IF(YEAR(dynamic[orderDate])=2023,9,IF(YEAR(dynamic[orderDate])=2024,10,NA))),FALSE)</f>
        <v>21.25377406</v>
      </c>
      <c r="M51" s="9">
        <v>31.2</v>
      </c>
      <c r="N51" s="25">
        <f>(dynamic[orderPrice]-dynamic[productCost])/dynamic[productCost]</f>
        <v>0.4679745775</v>
      </c>
      <c r="O51" s="10">
        <v>30.0</v>
      </c>
      <c r="P51" s="25">
        <v>0.0</v>
      </c>
      <c r="Q51" s="9">
        <f>dynamic[orderPrice]*dynamic[orderQuantity]</f>
        <v>936</v>
      </c>
      <c r="R51" s="9">
        <f>dynamic[orderTotal]*(1-dynamic[discountApllied])</f>
        <v>936</v>
      </c>
      <c r="S51" s="9">
        <f>dynamic[revenue]-(dynamic[productCost]*dynamic[orderQuantity])</f>
        <v>298.3867781</v>
      </c>
      <c r="T51" s="25">
        <f>IFERROR(dynamic[profit]/dynamic[revenue], 0)</f>
        <v>0.3187892928</v>
      </c>
    </row>
    <row r="52" ht="15.75" customHeight="1">
      <c r="A52" s="6">
        <v>10265.0</v>
      </c>
      <c r="B52" s="7" t="s">
        <v>30</v>
      </c>
      <c r="C52" s="24" t="str">
        <f>VLOOKUP(dynamic[customerID],customers[],2,FALSE)</f>
        <v>Blondesddsl père et fils</v>
      </c>
      <c r="D52" s="24">
        <v>44767.0</v>
      </c>
      <c r="E52" s="6">
        <f>IFERROR(__xludf.DUMMYFUNCTION("COUNTUNIQUEIFS($A$2:$A52,$B$2:$B52,B52)"),1.0)</f>
        <v>1</v>
      </c>
      <c r="F52" s="6">
        <f t="shared" si="1"/>
        <v>0</v>
      </c>
      <c r="G52" s="6" t="str">
        <f>IF(MINIFS(dynamic[orderDate], dynamic[customerID], B52) &gt;= DATE(2024,4,30)-120, 
     "New", 
     IF(MAXIFS(dynamic[orderCount], dynamic[customerID], B52)&lt;=2, 
        IF((DATE(2024,4,30) - MAXIFS(dynamic[orderDate], dynamic[customerID], B52)) &gt; 180, "Non-Returning", "Dormant"), 
        IF(AND(MAX(dynamic[sinceLastOrder]) &gt; 365, (DATE(2024,4,30) - MAXIFS(dynamic[orderDate], dynamic[customerID], B52)) &gt; 180), 
           "Dormant", "Regular")))</f>
        <v>Regular</v>
      </c>
      <c r="H52" s="6">
        <v>70.0</v>
      </c>
      <c r="I52" s="9" t="str">
        <f>VLOOKUP(dynamic[productID],products[],2,FALSE)</f>
        <v>Outback Lager</v>
      </c>
      <c r="J52" s="9" t="str">
        <f>VLOOKUP(dynamic[productID],products[],12,FALSE)</f>
        <v>Beverages</v>
      </c>
      <c r="K52" s="7" t="str">
        <f>IF(VLOOKUP(dynamic[productID],products[],7,FALSE)=1,"Discontinued","Current")</f>
        <v>Current</v>
      </c>
      <c r="L52" s="9">
        <f>VLOOKUP(dynamic[productID],products[],IF(YEAR(dynamic[orderDate])=2022,8,IF(YEAR(dynamic[orderDate])=2023,9,IF(YEAR(dynamic[orderDate])=2024,10,NA))),FALSE)</f>
        <v>8.037520944</v>
      </c>
      <c r="M52" s="9">
        <v>12.0</v>
      </c>
      <c r="N52" s="25">
        <f>(dynamic[orderPrice]-dynamic[productCost])/dynamic[productCost]</f>
        <v>0.4929976648</v>
      </c>
      <c r="O52" s="10">
        <v>20.0</v>
      </c>
      <c r="P52" s="25">
        <v>0.0</v>
      </c>
      <c r="Q52" s="9">
        <f>dynamic[orderPrice]*dynamic[orderQuantity]</f>
        <v>240</v>
      </c>
      <c r="R52" s="9">
        <f>dynamic[orderTotal]*(1-dynamic[discountApllied])</f>
        <v>240</v>
      </c>
      <c r="S52" s="9">
        <f>dynamic[revenue]-(dynamic[productCost]*dynamic[orderQuantity])</f>
        <v>79.24958112</v>
      </c>
      <c r="T52" s="25">
        <f>IFERROR(dynamic[profit]/dynamic[revenue], 0)</f>
        <v>0.330206588</v>
      </c>
    </row>
    <row r="53" ht="15.75" customHeight="1">
      <c r="A53" s="6">
        <v>10266.0</v>
      </c>
      <c r="B53" s="7" t="s">
        <v>31</v>
      </c>
      <c r="C53" s="24" t="str">
        <f>VLOOKUP(dynamic[customerID],customers[],2,FALSE)</f>
        <v>Wartian Herkku</v>
      </c>
      <c r="D53" s="24">
        <v>44768.0</v>
      </c>
      <c r="E53" s="6">
        <f>IFERROR(__xludf.DUMMYFUNCTION("COUNTUNIQUEIFS($A$2:$A53,$B$2:$B53,B53)"),1.0)</f>
        <v>1</v>
      </c>
      <c r="F53" s="6">
        <f t="shared" si="1"/>
        <v>0</v>
      </c>
      <c r="G53" s="6" t="str">
        <f>IF(MINIFS(dynamic[orderDate], dynamic[customerID], B53) &gt;= DATE(2024,4,30)-120, 
     "New", 
     IF(MAXIFS(dynamic[orderCount], dynamic[customerID], B53)&lt;=2, 
        IF((DATE(2024,4,30) - MAXIFS(dynamic[orderDate], dynamic[customerID], B53)) &gt; 180, "Non-Returning", "Dormant"), 
        IF(AND(MAX(dynamic[sinceLastOrder]) &gt; 365, (DATE(2024,4,30) - MAXIFS(dynamic[orderDate], dynamic[customerID], B53)) &gt; 180), 
           "Dormant", "Regular")))</f>
        <v>Regular</v>
      </c>
      <c r="H53" s="6">
        <v>12.0</v>
      </c>
      <c r="I53" s="9" t="str">
        <f>VLOOKUP(dynamic[productID],products[],2,FALSE)</f>
        <v>Queso Manchego La Pastora</v>
      </c>
      <c r="J53" s="9" t="str">
        <f>VLOOKUP(dynamic[productID],products[],12,FALSE)</f>
        <v>Dairy Products</v>
      </c>
      <c r="K53" s="7" t="str">
        <f>IF(VLOOKUP(dynamic[productID],products[],7,FALSE)=1,"Discontinued","Current")</f>
        <v>Current</v>
      </c>
      <c r="L53" s="9">
        <f>VLOOKUP(dynamic[productID],products[],IF(YEAR(dynamic[orderDate])=2022,8,IF(YEAR(dynamic[orderDate])=2023,9,IF(YEAR(dynamic[orderDate])=2024,10,NA))),FALSE)</f>
        <v>20.01245109</v>
      </c>
      <c r="M53" s="9">
        <v>30.4</v>
      </c>
      <c r="N53" s="25">
        <f>(dynamic[orderPrice]-dynamic[productCost])/dynamic[productCost]</f>
        <v>0.5190543058</v>
      </c>
      <c r="O53" s="10">
        <v>12.0</v>
      </c>
      <c r="P53" s="25">
        <v>0.05</v>
      </c>
      <c r="Q53" s="9">
        <f>dynamic[orderPrice]*dynamic[orderQuantity]</f>
        <v>364.8</v>
      </c>
      <c r="R53" s="9">
        <f>dynamic[orderTotal]*(1-dynamic[discountApllied])</f>
        <v>346.56</v>
      </c>
      <c r="S53" s="9">
        <f>dynamic[revenue]-(dynamic[productCost]*dynamic[orderQuantity])</f>
        <v>106.4105869</v>
      </c>
      <c r="T53" s="25">
        <f>IFERROR(dynamic[profit]/dynamic[revenue], 0)</f>
        <v>0.3070480924</v>
      </c>
    </row>
    <row r="54" ht="15.75" customHeight="1">
      <c r="A54" s="6">
        <v>10267.0</v>
      </c>
      <c r="B54" s="7" t="s">
        <v>32</v>
      </c>
      <c r="C54" s="24" t="str">
        <f>VLOOKUP(dynamic[customerID],customers[],2,FALSE)</f>
        <v>Frankenversand</v>
      </c>
      <c r="D54" s="24">
        <v>44771.0</v>
      </c>
      <c r="E54" s="6">
        <f>IFERROR(__xludf.DUMMYFUNCTION("COUNTUNIQUEIFS($A$2:$A54,$B$2:$B54,B54)"),1.0)</f>
        <v>1</v>
      </c>
      <c r="F54" s="6">
        <f t="shared" si="1"/>
        <v>0</v>
      </c>
      <c r="G54" s="6" t="str">
        <f>IF(MINIFS(dynamic[orderDate], dynamic[customerID], B54) &gt;= DATE(2024,4,30)-120, 
     "New", 
     IF(MAXIFS(dynamic[orderCount], dynamic[customerID], B54)&lt;=2, 
        IF((DATE(2024,4,30) - MAXIFS(dynamic[orderDate], dynamic[customerID], B54)) &gt; 180, "Non-Returning", "Dormant"), 
        IF(AND(MAX(dynamic[sinceLastOrder]) &gt; 365, (DATE(2024,4,30) - MAXIFS(dynamic[orderDate], dynamic[customerID], B54)) &gt; 180), 
           "Dormant", "Regular")))</f>
        <v>Regular</v>
      </c>
      <c r="H54" s="6">
        <v>40.0</v>
      </c>
      <c r="I54" s="9" t="str">
        <f>VLOOKUP(dynamic[productID],products[],2,FALSE)</f>
        <v>Boston Crab Meat</v>
      </c>
      <c r="J54" s="9" t="str">
        <f>VLOOKUP(dynamic[productID],products[],12,FALSE)</f>
        <v>Seafood</v>
      </c>
      <c r="K54" s="7" t="str">
        <f>IF(VLOOKUP(dynamic[productID],products[],7,FALSE)=1,"Discontinued","Current")</f>
        <v>Current</v>
      </c>
      <c r="L54" s="9">
        <f>VLOOKUP(dynamic[productID],products[],IF(YEAR(dynamic[orderDate])=2022,8,IF(YEAR(dynamic[orderDate])=2023,9,IF(YEAR(dynamic[orderDate])=2024,10,NA))),FALSE)</f>
        <v>9.680649108</v>
      </c>
      <c r="M54" s="9">
        <v>14.7</v>
      </c>
      <c r="N54" s="25">
        <f>(dynamic[orderPrice]-dynamic[productCost])/dynamic[productCost]</f>
        <v>0.5184932162</v>
      </c>
      <c r="O54" s="10">
        <v>50.0</v>
      </c>
      <c r="P54" s="25">
        <v>0.0</v>
      </c>
      <c r="Q54" s="9">
        <f>dynamic[orderPrice]*dynamic[orderQuantity]</f>
        <v>735</v>
      </c>
      <c r="R54" s="9">
        <f>dynamic[orderTotal]*(1-dynamic[discountApllied])</f>
        <v>735</v>
      </c>
      <c r="S54" s="9">
        <f>dynamic[revenue]-(dynamic[productCost]*dynamic[orderQuantity])</f>
        <v>250.9675446</v>
      </c>
      <c r="T54" s="25">
        <f>IFERROR(dynamic[profit]/dynamic[revenue], 0)</f>
        <v>0.3414524416</v>
      </c>
    </row>
    <row r="55" ht="15.75" customHeight="1">
      <c r="A55" s="6">
        <v>10267.0</v>
      </c>
      <c r="B55" s="7" t="s">
        <v>32</v>
      </c>
      <c r="C55" s="24" t="str">
        <f>VLOOKUP(dynamic[customerID],customers[],2,FALSE)</f>
        <v>Frankenversand</v>
      </c>
      <c r="D55" s="24">
        <v>44771.0</v>
      </c>
      <c r="E55" s="6">
        <f>IFERROR(__xludf.DUMMYFUNCTION("COUNTUNIQUEIFS($A$2:$A55,$B$2:$B55,B55)"),1.0)</f>
        <v>1</v>
      </c>
      <c r="F55" s="6">
        <f t="shared" si="1"/>
        <v>0</v>
      </c>
      <c r="G55" s="6" t="str">
        <f>IF(MINIFS(dynamic[orderDate], dynamic[customerID], B55) &gt;= DATE(2024,4,30)-120, 
     "New", 
     IF(MAXIFS(dynamic[orderCount], dynamic[customerID], B55)&lt;=2, 
        IF((DATE(2024,4,30) - MAXIFS(dynamic[orderDate], dynamic[customerID], B55)) &gt; 180, "Non-Returning", "Dormant"), 
        IF(AND(MAX(dynamic[sinceLastOrder]) &gt; 365, (DATE(2024,4,30) - MAXIFS(dynamic[orderDate], dynamic[customerID], B55)) &gt; 180), 
           "Dormant", "Regular")))</f>
        <v>Regular</v>
      </c>
      <c r="H55" s="6">
        <v>59.0</v>
      </c>
      <c r="I55" s="9" t="str">
        <f>VLOOKUP(dynamic[productID],products[],2,FALSE)</f>
        <v>Raclette Courdavault</v>
      </c>
      <c r="J55" s="9" t="str">
        <f>VLOOKUP(dynamic[productID],products[],12,FALSE)</f>
        <v>Dairy Products</v>
      </c>
      <c r="K55" s="7" t="str">
        <f>IF(VLOOKUP(dynamic[productID],products[],7,FALSE)=1,"Discontinued","Current")</f>
        <v>Current</v>
      </c>
      <c r="L55" s="9">
        <f>VLOOKUP(dynamic[productID],products[],IF(YEAR(dynamic[orderDate])=2022,8,IF(YEAR(dynamic[orderDate])=2023,9,IF(YEAR(dynamic[orderDate])=2024,10,NA))),FALSE)</f>
        <v>29.20351951</v>
      </c>
      <c r="M55" s="9">
        <v>44.0</v>
      </c>
      <c r="N55" s="25">
        <f>(dynamic[orderPrice]-dynamic[productCost])/dynamic[productCost]</f>
        <v>0.5066677147</v>
      </c>
      <c r="O55" s="10">
        <v>70.0</v>
      </c>
      <c r="P55" s="25">
        <v>0.15</v>
      </c>
      <c r="Q55" s="9">
        <f>dynamic[orderPrice]*dynamic[orderQuantity]</f>
        <v>3080</v>
      </c>
      <c r="R55" s="9">
        <f>dynamic[orderTotal]*(1-dynamic[discountApllied])</f>
        <v>2618</v>
      </c>
      <c r="S55" s="9">
        <f>dynamic[revenue]-(dynamic[productCost]*dynamic[orderQuantity])</f>
        <v>573.7536344</v>
      </c>
      <c r="T55" s="25">
        <f>IFERROR(dynamic[profit]/dynamic[revenue], 0)</f>
        <v>0.2191572324</v>
      </c>
    </row>
    <row r="56" ht="15.75" customHeight="1">
      <c r="A56" s="6">
        <v>10267.0</v>
      </c>
      <c r="B56" s="7" t="s">
        <v>32</v>
      </c>
      <c r="C56" s="24" t="str">
        <f>VLOOKUP(dynamic[customerID],customers[],2,FALSE)</f>
        <v>Frankenversand</v>
      </c>
      <c r="D56" s="24">
        <v>44771.0</v>
      </c>
      <c r="E56" s="6">
        <f>IFERROR(__xludf.DUMMYFUNCTION("COUNTUNIQUEIFS($A$2:$A56,$B$2:$B56,B56)"),1.0)</f>
        <v>1</v>
      </c>
      <c r="F56" s="6">
        <f t="shared" si="1"/>
        <v>0</v>
      </c>
      <c r="G56" s="6" t="str">
        <f>IF(MINIFS(dynamic[orderDate], dynamic[customerID], B56) &gt;= DATE(2024,4,30)-120, 
     "New", 
     IF(MAXIFS(dynamic[orderCount], dynamic[customerID], B56)&lt;=2, 
        IF((DATE(2024,4,30) - MAXIFS(dynamic[orderDate], dynamic[customerID], B56)) &gt; 180, "Non-Returning", "Dormant"), 
        IF(AND(MAX(dynamic[sinceLastOrder]) &gt; 365, (DATE(2024,4,30) - MAXIFS(dynamic[orderDate], dynamic[customerID], B56)) &gt; 180), 
           "Dormant", "Regular")))</f>
        <v>Regular</v>
      </c>
      <c r="H56" s="6">
        <v>76.0</v>
      </c>
      <c r="I56" s="9" t="str">
        <f>VLOOKUP(dynamic[productID],products[],2,FALSE)</f>
        <v>Lakkalikööri</v>
      </c>
      <c r="J56" s="9" t="str">
        <f>VLOOKUP(dynamic[productID],products[],12,FALSE)</f>
        <v>Beverages</v>
      </c>
      <c r="K56" s="7" t="str">
        <f>IF(VLOOKUP(dynamic[productID],products[],7,FALSE)=1,"Discontinued","Current")</f>
        <v>Current</v>
      </c>
      <c r="L56" s="9">
        <f>VLOOKUP(dynamic[productID],products[],IF(YEAR(dynamic[orderDate])=2022,8,IF(YEAR(dynamic[orderDate])=2023,9,IF(YEAR(dynamic[orderDate])=2024,10,NA))),FALSE)</f>
        <v>10.19609256</v>
      </c>
      <c r="M56" s="9">
        <v>14.4</v>
      </c>
      <c r="N56" s="25">
        <f>(dynamic[orderPrice]-dynamic[productCost])/dynamic[productCost]</f>
        <v>0.4123057356</v>
      </c>
      <c r="O56" s="10">
        <v>15.0</v>
      </c>
      <c r="P56" s="25">
        <v>0.15</v>
      </c>
      <c r="Q56" s="9">
        <f>dynamic[orderPrice]*dynamic[orderQuantity]</f>
        <v>216</v>
      </c>
      <c r="R56" s="9">
        <f>dynamic[orderTotal]*(1-dynamic[discountApllied])</f>
        <v>183.6</v>
      </c>
      <c r="S56" s="9">
        <f>dynamic[revenue]-(dynamic[productCost]*dynamic[orderQuantity])</f>
        <v>30.65861163</v>
      </c>
      <c r="T56" s="25">
        <f>IFERROR(dynamic[profit]/dynamic[revenue], 0)</f>
        <v>0.1669859021</v>
      </c>
    </row>
    <row r="57" ht="15.75" customHeight="1">
      <c r="A57" s="6">
        <v>10268.0</v>
      </c>
      <c r="B57" s="7" t="s">
        <v>33</v>
      </c>
      <c r="C57" s="24" t="str">
        <f>VLOOKUP(dynamic[customerID],customers[],2,FALSE)</f>
        <v>GROSELLA-Restaurante</v>
      </c>
      <c r="D57" s="24">
        <v>44772.0</v>
      </c>
      <c r="E57" s="6">
        <f>IFERROR(__xludf.DUMMYFUNCTION("COUNTUNIQUEIFS($A$2:$A57,$B$2:$B57,B57)"),1.0)</f>
        <v>1</v>
      </c>
      <c r="F57" s="6">
        <f t="shared" si="1"/>
        <v>0</v>
      </c>
      <c r="G57" s="6" t="str">
        <f>IF(MINIFS(dynamic[orderDate], dynamic[customerID], B57) &gt;= DATE(2024,4,30)-120, 
     "New", 
     IF(MAXIFS(dynamic[orderCount], dynamic[customerID], B57)&lt;=2, 
        IF((DATE(2024,4,30) - MAXIFS(dynamic[orderDate], dynamic[customerID], B57)) &gt; 180, "Non-Returning", "Dormant"), 
        IF(AND(MAX(dynamic[sinceLastOrder]) &gt; 365, (DATE(2024,4,30) - MAXIFS(dynamic[orderDate], dynamic[customerID], B57)) &gt; 180), 
           "Dormant", "Regular")))</f>
        <v>Dormant</v>
      </c>
      <c r="H57" s="6">
        <v>29.0</v>
      </c>
      <c r="I57" s="9" t="str">
        <f>VLOOKUP(dynamic[productID],products[],2,FALSE)</f>
        <v>Thüringer Rostbratwurst</v>
      </c>
      <c r="J57" s="9" t="str">
        <f>VLOOKUP(dynamic[productID],products[],12,FALSE)</f>
        <v>Meat/Poultry</v>
      </c>
      <c r="K57" s="7" t="str">
        <f>IF(VLOOKUP(dynamic[productID],products[],7,FALSE)=1,"Discontinued","Current")</f>
        <v>Discontinued</v>
      </c>
      <c r="L57" s="9">
        <f>VLOOKUP(dynamic[productID],products[],IF(YEAR(dynamic[orderDate])=2022,8,IF(YEAR(dynamic[orderDate])=2023,9,IF(YEAR(dynamic[orderDate])=2024,10,NA))),FALSE)</f>
        <v>70.25945266</v>
      </c>
      <c r="M57" s="9">
        <v>99.0</v>
      </c>
      <c r="N57" s="25">
        <f>(dynamic[orderPrice]-dynamic[productCost])/dynamic[productCost]</f>
        <v>0.4090630691</v>
      </c>
      <c r="O57" s="10">
        <v>10.0</v>
      </c>
      <c r="P57" s="25">
        <v>0.0</v>
      </c>
      <c r="Q57" s="9">
        <f>dynamic[orderPrice]*dynamic[orderQuantity]</f>
        <v>990</v>
      </c>
      <c r="R57" s="9">
        <f>dynamic[orderTotal]*(1-dynamic[discountApllied])</f>
        <v>990</v>
      </c>
      <c r="S57" s="9">
        <f>dynamic[revenue]-(dynamic[productCost]*dynamic[orderQuantity])</f>
        <v>287.4054734</v>
      </c>
      <c r="T57" s="25">
        <f>IFERROR(dynamic[profit]/dynamic[revenue], 0)</f>
        <v>0.290308559</v>
      </c>
    </row>
    <row r="58" ht="15.75" customHeight="1">
      <c r="A58" s="6">
        <v>10268.0</v>
      </c>
      <c r="B58" s="7" t="s">
        <v>33</v>
      </c>
      <c r="C58" s="24" t="str">
        <f>VLOOKUP(dynamic[customerID],customers[],2,FALSE)</f>
        <v>GROSELLA-Restaurante</v>
      </c>
      <c r="D58" s="24">
        <v>44772.0</v>
      </c>
      <c r="E58" s="6">
        <f>IFERROR(__xludf.DUMMYFUNCTION("COUNTUNIQUEIFS($A$2:$A58,$B$2:$B58,B58)"),1.0)</f>
        <v>1</v>
      </c>
      <c r="F58" s="6">
        <f t="shared" si="1"/>
        <v>0</v>
      </c>
      <c r="G58" s="6" t="str">
        <f>IF(MINIFS(dynamic[orderDate], dynamic[customerID], B58) &gt;= DATE(2024,4,30)-120, 
     "New", 
     IF(MAXIFS(dynamic[orderCount], dynamic[customerID], B58)&lt;=2, 
        IF((DATE(2024,4,30) - MAXIFS(dynamic[orderDate], dynamic[customerID], B58)) &gt; 180, "Non-Returning", "Dormant"), 
        IF(AND(MAX(dynamic[sinceLastOrder]) &gt; 365, (DATE(2024,4,30) - MAXIFS(dynamic[orderDate], dynamic[customerID], B58)) &gt; 180), 
           "Dormant", "Regular")))</f>
        <v>Dormant</v>
      </c>
      <c r="H58" s="6">
        <v>72.0</v>
      </c>
      <c r="I58" s="9" t="str">
        <f>VLOOKUP(dynamic[productID],products[],2,FALSE)</f>
        <v>Mozzarella di Giovanni</v>
      </c>
      <c r="J58" s="9" t="str">
        <f>VLOOKUP(dynamic[productID],products[],12,FALSE)</f>
        <v>Dairy Products</v>
      </c>
      <c r="K58" s="7" t="str">
        <f>IF(VLOOKUP(dynamic[productID],products[],7,FALSE)=1,"Discontinued","Current")</f>
        <v>Current</v>
      </c>
      <c r="L58" s="9">
        <f>VLOOKUP(dynamic[productID],products[],IF(YEAR(dynamic[orderDate])=2022,8,IF(YEAR(dynamic[orderDate])=2023,9,IF(YEAR(dynamic[orderDate])=2024,10,NA))),FALSE)</f>
        <v>19.20829334</v>
      </c>
      <c r="M58" s="9">
        <v>27.8</v>
      </c>
      <c r="N58" s="25">
        <f>(dynamic[orderPrice]-dynamic[productCost])/dynamic[productCost]</f>
        <v>0.4472915167</v>
      </c>
      <c r="O58" s="10">
        <v>4.0</v>
      </c>
      <c r="P58" s="25">
        <v>0.0</v>
      </c>
      <c r="Q58" s="9">
        <f>dynamic[orderPrice]*dynamic[orderQuantity]</f>
        <v>111.2</v>
      </c>
      <c r="R58" s="9">
        <f>dynamic[orderTotal]*(1-dynamic[discountApllied])</f>
        <v>111.2</v>
      </c>
      <c r="S58" s="9">
        <f>dynamic[revenue]-(dynamic[productCost]*dynamic[orderQuantity])</f>
        <v>34.36682665</v>
      </c>
      <c r="T58" s="25">
        <f>IFERROR(dynamic[profit]/dynamic[revenue], 0)</f>
        <v>0.3090541965</v>
      </c>
    </row>
    <row r="59" ht="15.75" customHeight="1">
      <c r="A59" s="6">
        <v>10269.0</v>
      </c>
      <c r="B59" s="7" t="s">
        <v>34</v>
      </c>
      <c r="C59" s="24" t="str">
        <f>VLOOKUP(dynamic[customerID],customers[],2,FALSE)</f>
        <v>White Clover Markets</v>
      </c>
      <c r="D59" s="24">
        <v>44773.0</v>
      </c>
      <c r="E59" s="6">
        <f>IFERROR(__xludf.DUMMYFUNCTION("COUNTUNIQUEIFS($A$2:$A59,$B$2:$B59,B59)"),1.0)</f>
        <v>1</v>
      </c>
      <c r="F59" s="6">
        <f t="shared" si="1"/>
        <v>0</v>
      </c>
      <c r="G59" s="6" t="str">
        <f>IF(MINIFS(dynamic[orderDate], dynamic[customerID], B59) &gt;= DATE(2024,4,30)-120, 
     "New", 
     IF(MAXIFS(dynamic[orderCount], dynamic[customerID], B59)&lt;=2, 
        IF((DATE(2024,4,30) - MAXIFS(dynamic[orderDate], dynamic[customerID], B59)) &gt; 180, "Non-Returning", "Dormant"), 
        IF(AND(MAX(dynamic[sinceLastOrder]) &gt; 365, (DATE(2024,4,30) - MAXIFS(dynamic[orderDate], dynamic[customerID], B59)) &gt; 180), 
           "Dormant", "Regular")))</f>
        <v>Regular</v>
      </c>
      <c r="H59" s="6">
        <v>33.0</v>
      </c>
      <c r="I59" s="9" t="str">
        <f>VLOOKUP(dynamic[productID],products[],2,FALSE)</f>
        <v>Geitost</v>
      </c>
      <c r="J59" s="9" t="str">
        <f>VLOOKUP(dynamic[productID],products[],12,FALSE)</f>
        <v>Dairy Products</v>
      </c>
      <c r="K59" s="7" t="str">
        <f>IF(VLOOKUP(dynamic[productID],products[],7,FALSE)=1,"Discontinued","Current")</f>
        <v>Current</v>
      </c>
      <c r="L59" s="9">
        <f>VLOOKUP(dynamic[productID],products[],IF(YEAR(dynamic[orderDate])=2022,8,IF(YEAR(dynamic[orderDate])=2023,9,IF(YEAR(dynamic[orderDate])=2024,10,NA))),FALSE)</f>
        <v>1.393847434</v>
      </c>
      <c r="M59" s="9">
        <v>2.0</v>
      </c>
      <c r="N59" s="25">
        <f>(dynamic[orderPrice]-dynamic[productCost])/dynamic[productCost]</f>
        <v>0.4348772692</v>
      </c>
      <c r="O59" s="10">
        <v>60.0</v>
      </c>
      <c r="P59" s="25">
        <v>0.05</v>
      </c>
      <c r="Q59" s="9">
        <f>dynamic[orderPrice]*dynamic[orderQuantity]</f>
        <v>120</v>
      </c>
      <c r="R59" s="9">
        <f>dynamic[orderTotal]*(1-dynamic[discountApllied])</f>
        <v>114</v>
      </c>
      <c r="S59" s="9">
        <f>dynamic[revenue]-(dynamic[productCost]*dynamic[orderQuantity])</f>
        <v>30.36915395</v>
      </c>
      <c r="T59" s="25">
        <f>IFERROR(dynamic[profit]/dynamic[revenue], 0)</f>
        <v>0.2663960873</v>
      </c>
    </row>
    <row r="60" ht="15.75" customHeight="1">
      <c r="A60" s="6">
        <v>10269.0</v>
      </c>
      <c r="B60" s="7" t="s">
        <v>34</v>
      </c>
      <c r="C60" s="24" t="str">
        <f>VLOOKUP(dynamic[customerID],customers[],2,FALSE)</f>
        <v>White Clover Markets</v>
      </c>
      <c r="D60" s="24">
        <v>44773.0</v>
      </c>
      <c r="E60" s="6">
        <f>IFERROR(__xludf.DUMMYFUNCTION("COUNTUNIQUEIFS($A$2:$A60,$B$2:$B60,B60)"),1.0)</f>
        <v>1</v>
      </c>
      <c r="F60" s="6">
        <f t="shared" si="1"/>
        <v>0</v>
      </c>
      <c r="G60" s="6" t="str">
        <f>IF(MINIFS(dynamic[orderDate], dynamic[customerID], B60) &gt;= DATE(2024,4,30)-120, 
     "New", 
     IF(MAXIFS(dynamic[orderCount], dynamic[customerID], B60)&lt;=2, 
        IF((DATE(2024,4,30) - MAXIFS(dynamic[orderDate], dynamic[customerID], B60)) &gt; 180, "Non-Returning", "Dormant"), 
        IF(AND(MAX(dynamic[sinceLastOrder]) &gt; 365, (DATE(2024,4,30) - MAXIFS(dynamic[orderDate], dynamic[customerID], B60)) &gt; 180), 
           "Dormant", "Regular")))</f>
        <v>Regular</v>
      </c>
      <c r="H60" s="6">
        <v>72.0</v>
      </c>
      <c r="I60" s="9" t="str">
        <f>VLOOKUP(dynamic[productID],products[],2,FALSE)</f>
        <v>Mozzarella di Giovanni</v>
      </c>
      <c r="J60" s="9" t="str">
        <f>VLOOKUP(dynamic[productID],products[],12,FALSE)</f>
        <v>Dairy Products</v>
      </c>
      <c r="K60" s="7" t="str">
        <f>IF(VLOOKUP(dynamic[productID],products[],7,FALSE)=1,"Discontinued","Current")</f>
        <v>Current</v>
      </c>
      <c r="L60" s="9">
        <f>VLOOKUP(dynamic[productID],products[],IF(YEAR(dynamic[orderDate])=2022,8,IF(YEAR(dynamic[orderDate])=2023,9,IF(YEAR(dynamic[orderDate])=2024,10,NA))),FALSE)</f>
        <v>19.20829334</v>
      </c>
      <c r="M60" s="9">
        <v>27.8</v>
      </c>
      <c r="N60" s="25">
        <f>(dynamic[orderPrice]-dynamic[productCost])/dynamic[productCost]</f>
        <v>0.4472915167</v>
      </c>
      <c r="O60" s="10">
        <v>20.0</v>
      </c>
      <c r="P60" s="25">
        <v>0.05</v>
      </c>
      <c r="Q60" s="9">
        <f>dynamic[orderPrice]*dynamic[orderQuantity]</f>
        <v>556</v>
      </c>
      <c r="R60" s="9">
        <f>dynamic[orderTotal]*(1-dynamic[discountApllied])</f>
        <v>528.2</v>
      </c>
      <c r="S60" s="9">
        <f>dynamic[revenue]-(dynamic[productCost]*dynamic[orderQuantity])</f>
        <v>144.0341332</v>
      </c>
      <c r="T60" s="25">
        <f>IFERROR(dynamic[profit]/dynamic[revenue], 0)</f>
        <v>0.2726886278</v>
      </c>
    </row>
    <row r="61" ht="15.75" customHeight="1">
      <c r="A61" s="6">
        <v>10270.0</v>
      </c>
      <c r="B61" s="7" t="s">
        <v>31</v>
      </c>
      <c r="C61" s="24" t="str">
        <f>VLOOKUP(dynamic[customerID],customers[],2,FALSE)</f>
        <v>Wartian Herkku</v>
      </c>
      <c r="D61" s="24">
        <v>44774.0</v>
      </c>
      <c r="E61" s="6">
        <f>IFERROR(__xludf.DUMMYFUNCTION("COUNTUNIQUEIFS($A$2:$A61,$B$2:$B61,B61)"),2.0)</f>
        <v>2</v>
      </c>
      <c r="F61" s="6">
        <f t="shared" si="1"/>
        <v>6</v>
      </c>
      <c r="G61" s="6" t="str">
        <f>IF(MINIFS(dynamic[orderDate], dynamic[customerID], B61) &gt;= DATE(2024,4,30)-120, 
     "New", 
     IF(MAXIFS(dynamic[orderCount], dynamic[customerID], B61)&lt;=2, 
        IF((DATE(2024,4,30) - MAXIFS(dynamic[orderDate], dynamic[customerID], B61)) &gt; 180, "Non-Returning", "Dormant"), 
        IF(AND(MAX(dynamic[sinceLastOrder]) &gt; 365, (DATE(2024,4,30) - MAXIFS(dynamic[orderDate], dynamic[customerID], B61)) &gt; 180), 
           "Dormant", "Regular")))</f>
        <v>Regular</v>
      </c>
      <c r="H61" s="6">
        <v>36.0</v>
      </c>
      <c r="I61" s="9" t="str">
        <f>VLOOKUP(dynamic[productID],products[],2,FALSE)</f>
        <v>Inlagd Sill</v>
      </c>
      <c r="J61" s="9" t="str">
        <f>VLOOKUP(dynamic[productID],products[],12,FALSE)</f>
        <v>Seafood</v>
      </c>
      <c r="K61" s="7" t="str">
        <f>IF(VLOOKUP(dynamic[productID],products[],7,FALSE)=1,"Discontinued","Current")</f>
        <v>Current</v>
      </c>
      <c r="L61" s="9">
        <f>VLOOKUP(dynamic[productID],products[],IF(YEAR(dynamic[orderDate])=2022,8,IF(YEAR(dynamic[orderDate])=2023,9,IF(YEAR(dynamic[orderDate])=2024,10,NA))),FALSE)</f>
        <v>9.768238429</v>
      </c>
      <c r="M61" s="9">
        <v>15.2</v>
      </c>
      <c r="N61" s="25">
        <f>(dynamic[orderPrice]-dynamic[productCost])/dynamic[productCost]</f>
        <v>0.5560635738</v>
      </c>
      <c r="O61" s="10">
        <v>30.0</v>
      </c>
      <c r="P61" s="25">
        <v>0.0</v>
      </c>
      <c r="Q61" s="9">
        <f>dynamic[orderPrice]*dynamic[orderQuantity]</f>
        <v>456</v>
      </c>
      <c r="R61" s="9">
        <f>dynamic[orderTotal]*(1-dynamic[discountApllied])</f>
        <v>456</v>
      </c>
      <c r="S61" s="9">
        <f>dynamic[revenue]-(dynamic[productCost]*dynamic[orderQuantity])</f>
        <v>162.9528471</v>
      </c>
      <c r="T61" s="25">
        <f>IFERROR(dynamic[profit]/dynamic[revenue], 0)</f>
        <v>0.3573527349</v>
      </c>
    </row>
    <row r="62" ht="15.75" customHeight="1">
      <c r="A62" s="6">
        <v>10270.0</v>
      </c>
      <c r="B62" s="7" t="s">
        <v>31</v>
      </c>
      <c r="C62" s="24" t="str">
        <f>VLOOKUP(dynamic[customerID],customers[],2,FALSE)</f>
        <v>Wartian Herkku</v>
      </c>
      <c r="D62" s="24">
        <v>44774.0</v>
      </c>
      <c r="E62" s="6">
        <f>IFERROR(__xludf.DUMMYFUNCTION("COUNTUNIQUEIFS($A$2:$A62,$B$2:$B62,B62)"),2.0)</f>
        <v>2</v>
      </c>
      <c r="F62" s="6">
        <f t="shared" si="1"/>
        <v>6</v>
      </c>
      <c r="G62" s="6" t="str">
        <f>IF(MINIFS(dynamic[orderDate], dynamic[customerID], B62) &gt;= DATE(2024,4,30)-120, 
     "New", 
     IF(MAXIFS(dynamic[orderCount], dynamic[customerID], B62)&lt;=2, 
        IF((DATE(2024,4,30) - MAXIFS(dynamic[orderDate], dynamic[customerID], B62)) &gt; 180, "Non-Returning", "Dormant"), 
        IF(AND(MAX(dynamic[sinceLastOrder]) &gt; 365, (DATE(2024,4,30) - MAXIFS(dynamic[orderDate], dynamic[customerID], B62)) &gt; 180), 
           "Dormant", "Regular")))</f>
        <v>Regular</v>
      </c>
      <c r="H62" s="6">
        <v>43.0</v>
      </c>
      <c r="I62" s="9" t="str">
        <f>VLOOKUP(dynamic[productID],products[],2,FALSE)</f>
        <v>Ipoh Coffee</v>
      </c>
      <c r="J62" s="9" t="str">
        <f>VLOOKUP(dynamic[productID],products[],12,FALSE)</f>
        <v>Beverages</v>
      </c>
      <c r="K62" s="7" t="str">
        <f>IF(VLOOKUP(dynamic[productID],products[],7,FALSE)=1,"Discontinued","Current")</f>
        <v>Current</v>
      </c>
      <c r="L62" s="9">
        <f>VLOOKUP(dynamic[productID],products[],IF(YEAR(dynamic[orderDate])=2022,8,IF(YEAR(dynamic[orderDate])=2023,9,IF(YEAR(dynamic[orderDate])=2024,10,NA))),FALSE)</f>
        <v>25.79491918</v>
      </c>
      <c r="M62" s="9">
        <v>36.8</v>
      </c>
      <c r="N62" s="25">
        <f>(dynamic[orderPrice]-dynamic[productCost])/dynamic[productCost]</f>
        <v>0.4266375384</v>
      </c>
      <c r="O62" s="10">
        <v>25.0</v>
      </c>
      <c r="P62" s="25">
        <v>0.0</v>
      </c>
      <c r="Q62" s="9">
        <f>dynamic[orderPrice]*dynamic[orderQuantity]</f>
        <v>920</v>
      </c>
      <c r="R62" s="9">
        <f>dynamic[orderTotal]*(1-dynamic[discountApllied])</f>
        <v>920</v>
      </c>
      <c r="S62" s="9">
        <f>dynamic[revenue]-(dynamic[productCost]*dynamic[orderQuantity])</f>
        <v>275.1270205</v>
      </c>
      <c r="T62" s="25">
        <f>IFERROR(dynamic[profit]/dynamic[revenue], 0)</f>
        <v>0.2990511093</v>
      </c>
    </row>
    <row r="63" ht="15.75" customHeight="1">
      <c r="A63" s="6">
        <v>10271.0</v>
      </c>
      <c r="B63" s="7" t="s">
        <v>35</v>
      </c>
      <c r="C63" s="24" t="str">
        <f>VLOOKUP(dynamic[customerID],customers[],2,FALSE)</f>
        <v>Split Rail Beer &amp; Ale</v>
      </c>
      <c r="D63" s="24">
        <v>44774.0</v>
      </c>
      <c r="E63" s="6">
        <f>IFERROR(__xludf.DUMMYFUNCTION("COUNTUNIQUEIFS($A$2:$A63,$B$2:$B63,B63)"),1.0)</f>
        <v>1</v>
      </c>
      <c r="F63" s="6">
        <f t="shared" si="1"/>
        <v>0</v>
      </c>
      <c r="G63" s="6" t="str">
        <f>IF(MINIFS(dynamic[orderDate], dynamic[customerID], B63) &gt;= DATE(2024,4,30)-120, 
     "New", 
     IF(MAXIFS(dynamic[orderCount], dynamic[customerID], B63)&lt;=2, 
        IF((DATE(2024,4,30) - MAXIFS(dynamic[orderDate], dynamic[customerID], B63)) &gt; 180, "Non-Returning", "Dormant"), 
        IF(AND(MAX(dynamic[sinceLastOrder]) &gt; 365, (DATE(2024,4,30) - MAXIFS(dynamic[orderDate], dynamic[customerID], B63)) &gt; 180), 
           "Dormant", "Regular")))</f>
        <v>Regular</v>
      </c>
      <c r="H63" s="6">
        <v>33.0</v>
      </c>
      <c r="I63" s="9" t="str">
        <f>VLOOKUP(dynamic[productID],products[],2,FALSE)</f>
        <v>Geitost</v>
      </c>
      <c r="J63" s="9" t="str">
        <f>VLOOKUP(dynamic[productID],products[],12,FALSE)</f>
        <v>Dairy Products</v>
      </c>
      <c r="K63" s="7" t="str">
        <f>IF(VLOOKUP(dynamic[productID],products[],7,FALSE)=1,"Discontinued","Current")</f>
        <v>Current</v>
      </c>
      <c r="L63" s="9">
        <f>VLOOKUP(dynamic[productID],products[],IF(YEAR(dynamic[orderDate])=2022,8,IF(YEAR(dynamic[orderDate])=2023,9,IF(YEAR(dynamic[orderDate])=2024,10,NA))),FALSE)</f>
        <v>1.393847434</v>
      </c>
      <c r="M63" s="9">
        <v>2.0</v>
      </c>
      <c r="N63" s="25">
        <f>(dynamic[orderPrice]-dynamic[productCost])/dynamic[productCost]</f>
        <v>0.4348772692</v>
      </c>
      <c r="O63" s="10">
        <v>24.0</v>
      </c>
      <c r="P63" s="25">
        <v>0.0</v>
      </c>
      <c r="Q63" s="9">
        <f>dynamic[orderPrice]*dynamic[orderQuantity]</f>
        <v>48</v>
      </c>
      <c r="R63" s="9">
        <f>dynamic[orderTotal]*(1-dynamic[discountApllied])</f>
        <v>48</v>
      </c>
      <c r="S63" s="9">
        <f>dynamic[revenue]-(dynamic[productCost]*dynamic[orderQuantity])</f>
        <v>14.54766158</v>
      </c>
      <c r="T63" s="25">
        <f>IFERROR(dynamic[profit]/dynamic[revenue], 0)</f>
        <v>0.3030762829</v>
      </c>
    </row>
    <row r="64" ht="15.75" customHeight="1">
      <c r="A64" s="6">
        <v>10272.0</v>
      </c>
      <c r="B64" s="7" t="s">
        <v>28</v>
      </c>
      <c r="C64" s="24" t="str">
        <f>VLOOKUP(dynamic[customerID],customers[],2,FALSE)</f>
        <v>Rattlesnake Canyon Grocery</v>
      </c>
      <c r="D64" s="24">
        <v>44775.0</v>
      </c>
      <c r="E64" s="6">
        <f>IFERROR(__xludf.DUMMYFUNCTION("COUNTUNIQUEIFS($A$2:$A64,$B$2:$B64,B64)"),2.0)</f>
        <v>2</v>
      </c>
      <c r="F64" s="6">
        <f t="shared" si="1"/>
        <v>11</v>
      </c>
      <c r="G64" s="6" t="str">
        <f>IF(MINIFS(dynamic[orderDate], dynamic[customerID], B64) &gt;= DATE(2024,4,30)-120, 
     "New", 
     IF(MAXIFS(dynamic[orderCount], dynamic[customerID], B64)&lt;=2, 
        IF((DATE(2024,4,30) - MAXIFS(dynamic[orderDate], dynamic[customerID], B64)) &gt; 180, "Non-Returning", "Dormant"), 
        IF(AND(MAX(dynamic[sinceLastOrder]) &gt; 365, (DATE(2024,4,30) - MAXIFS(dynamic[orderDate], dynamic[customerID], B64)) &gt; 180), 
           "Dormant", "Regular")))</f>
        <v>Regular</v>
      </c>
      <c r="H64" s="6">
        <v>20.0</v>
      </c>
      <c r="I64" s="9" t="str">
        <f>VLOOKUP(dynamic[productID],products[],2,FALSE)</f>
        <v>Sir Rodney's Marmalade</v>
      </c>
      <c r="J64" s="9" t="str">
        <f>VLOOKUP(dynamic[productID],products[],12,FALSE)</f>
        <v>Confections</v>
      </c>
      <c r="K64" s="7" t="str">
        <f>IF(VLOOKUP(dynamic[productID],products[],7,FALSE)=1,"Discontinued","Current")</f>
        <v>Current</v>
      </c>
      <c r="L64" s="9">
        <f>VLOOKUP(dynamic[productID],products[],IF(YEAR(dynamic[orderDate])=2022,8,IF(YEAR(dynamic[orderDate])=2023,9,IF(YEAR(dynamic[orderDate])=2024,10,NA))),FALSE)</f>
        <v>45.94247438</v>
      </c>
      <c r="M64" s="9">
        <v>64.8</v>
      </c>
      <c r="N64" s="25">
        <f>(dynamic[orderPrice]-dynamic[productCost])/dynamic[productCost]</f>
        <v>0.4104595121</v>
      </c>
      <c r="O64" s="10">
        <v>6.0</v>
      </c>
      <c r="P64" s="25">
        <v>0.0</v>
      </c>
      <c r="Q64" s="9">
        <f>dynamic[orderPrice]*dynamic[orderQuantity]</f>
        <v>388.8</v>
      </c>
      <c r="R64" s="9">
        <f>dynamic[orderTotal]*(1-dynamic[discountApllied])</f>
        <v>388.8</v>
      </c>
      <c r="S64" s="9">
        <f>dynamic[revenue]-(dynamic[productCost]*dynamic[orderQuantity])</f>
        <v>113.1451537</v>
      </c>
      <c r="T64" s="25">
        <f>IFERROR(dynamic[profit]/dynamic[revenue], 0)</f>
        <v>0.2910111978</v>
      </c>
    </row>
    <row r="65" ht="15.75" customHeight="1">
      <c r="A65" s="6">
        <v>10272.0</v>
      </c>
      <c r="B65" s="7" t="s">
        <v>28</v>
      </c>
      <c r="C65" s="24" t="str">
        <f>VLOOKUP(dynamic[customerID],customers[],2,FALSE)</f>
        <v>Rattlesnake Canyon Grocery</v>
      </c>
      <c r="D65" s="24">
        <v>44775.0</v>
      </c>
      <c r="E65" s="6">
        <f>IFERROR(__xludf.DUMMYFUNCTION("COUNTUNIQUEIFS($A$2:$A65,$B$2:$B65,B65)"),2.0)</f>
        <v>2</v>
      </c>
      <c r="F65" s="6">
        <f t="shared" si="1"/>
        <v>11</v>
      </c>
      <c r="G65" s="6" t="str">
        <f>IF(MINIFS(dynamic[orderDate], dynamic[customerID], B65) &gt;= DATE(2024,4,30)-120, 
     "New", 
     IF(MAXIFS(dynamic[orderCount], dynamic[customerID], B65)&lt;=2, 
        IF((DATE(2024,4,30) - MAXIFS(dynamic[orderDate], dynamic[customerID], B65)) &gt; 180, "Non-Returning", "Dormant"), 
        IF(AND(MAX(dynamic[sinceLastOrder]) &gt; 365, (DATE(2024,4,30) - MAXIFS(dynamic[orderDate], dynamic[customerID], B65)) &gt; 180), 
           "Dormant", "Regular")))</f>
        <v>Regular</v>
      </c>
      <c r="H65" s="6">
        <v>31.0</v>
      </c>
      <c r="I65" s="9" t="str">
        <f>VLOOKUP(dynamic[productID],products[],2,FALSE)</f>
        <v>Gorgonzola Telino</v>
      </c>
      <c r="J65" s="9" t="str">
        <f>VLOOKUP(dynamic[productID],products[],12,FALSE)</f>
        <v>Dairy Products</v>
      </c>
      <c r="K65" s="7" t="str">
        <f>IF(VLOOKUP(dynamic[productID],products[],7,FALSE)=1,"Discontinued","Current")</f>
        <v>Current</v>
      </c>
      <c r="L65" s="9">
        <f>VLOOKUP(dynamic[productID],products[],IF(YEAR(dynamic[orderDate])=2022,8,IF(YEAR(dynamic[orderDate])=2023,9,IF(YEAR(dynamic[orderDate])=2024,10,NA))),FALSE)</f>
        <v>6.44031973</v>
      </c>
      <c r="M65" s="9">
        <v>10.0</v>
      </c>
      <c r="N65" s="25">
        <f>(dynamic[orderPrice]-dynamic[productCost])/dynamic[productCost]</f>
        <v>0.5527179425</v>
      </c>
      <c r="O65" s="10">
        <v>40.0</v>
      </c>
      <c r="P65" s="25">
        <v>0.0</v>
      </c>
      <c r="Q65" s="9">
        <f>dynamic[orderPrice]*dynamic[orderQuantity]</f>
        <v>400</v>
      </c>
      <c r="R65" s="9">
        <f>dynamic[orderTotal]*(1-dynamic[discountApllied])</f>
        <v>400</v>
      </c>
      <c r="S65" s="9">
        <f>dynamic[revenue]-(dynamic[productCost]*dynamic[orderQuantity])</f>
        <v>142.3872108</v>
      </c>
      <c r="T65" s="25">
        <f>IFERROR(dynamic[profit]/dynamic[revenue], 0)</f>
        <v>0.355968027</v>
      </c>
    </row>
    <row r="66" ht="15.75" customHeight="1">
      <c r="A66" s="6">
        <v>10272.0</v>
      </c>
      <c r="B66" s="7" t="s">
        <v>28</v>
      </c>
      <c r="C66" s="24" t="str">
        <f>VLOOKUP(dynamic[customerID],customers[],2,FALSE)</f>
        <v>Rattlesnake Canyon Grocery</v>
      </c>
      <c r="D66" s="24">
        <v>44775.0</v>
      </c>
      <c r="E66" s="6">
        <f>IFERROR(__xludf.DUMMYFUNCTION("COUNTUNIQUEIFS($A$2:$A66,$B$2:$B66,B66)"),2.0)</f>
        <v>2</v>
      </c>
      <c r="F66" s="6">
        <f t="shared" si="1"/>
        <v>11</v>
      </c>
      <c r="G66" s="6" t="str">
        <f>IF(MINIFS(dynamic[orderDate], dynamic[customerID], B66) &gt;= DATE(2024,4,30)-120, 
     "New", 
     IF(MAXIFS(dynamic[orderCount], dynamic[customerID], B66)&lt;=2, 
        IF((DATE(2024,4,30) - MAXIFS(dynamic[orderDate], dynamic[customerID], B66)) &gt; 180, "Non-Returning", "Dormant"), 
        IF(AND(MAX(dynamic[sinceLastOrder]) &gt; 365, (DATE(2024,4,30) - MAXIFS(dynamic[orderDate], dynamic[customerID], B66)) &gt; 180), 
           "Dormant", "Regular")))</f>
        <v>Regular</v>
      </c>
      <c r="H66" s="6">
        <v>72.0</v>
      </c>
      <c r="I66" s="9" t="str">
        <f>VLOOKUP(dynamic[productID],products[],2,FALSE)</f>
        <v>Mozzarella di Giovanni</v>
      </c>
      <c r="J66" s="9" t="str">
        <f>VLOOKUP(dynamic[productID],products[],12,FALSE)</f>
        <v>Dairy Products</v>
      </c>
      <c r="K66" s="7" t="str">
        <f>IF(VLOOKUP(dynamic[productID],products[],7,FALSE)=1,"Discontinued","Current")</f>
        <v>Current</v>
      </c>
      <c r="L66" s="9">
        <f>VLOOKUP(dynamic[productID],products[],IF(YEAR(dynamic[orderDate])=2022,8,IF(YEAR(dynamic[orderDate])=2023,9,IF(YEAR(dynamic[orderDate])=2024,10,NA))),FALSE)</f>
        <v>19.20829334</v>
      </c>
      <c r="M66" s="9">
        <v>27.8</v>
      </c>
      <c r="N66" s="25">
        <f>(dynamic[orderPrice]-dynamic[productCost])/dynamic[productCost]</f>
        <v>0.4472915167</v>
      </c>
      <c r="O66" s="10">
        <v>24.0</v>
      </c>
      <c r="P66" s="25">
        <v>0.0</v>
      </c>
      <c r="Q66" s="9">
        <f>dynamic[orderPrice]*dynamic[orderQuantity]</f>
        <v>667.2</v>
      </c>
      <c r="R66" s="9">
        <f>dynamic[orderTotal]*(1-dynamic[discountApllied])</f>
        <v>667.2</v>
      </c>
      <c r="S66" s="9">
        <f>dynamic[revenue]-(dynamic[productCost]*dynamic[orderQuantity])</f>
        <v>206.2009599</v>
      </c>
      <c r="T66" s="25">
        <f>IFERROR(dynamic[profit]/dynamic[revenue], 0)</f>
        <v>0.3090541965</v>
      </c>
    </row>
    <row r="67" ht="15.75" customHeight="1">
      <c r="A67" s="6">
        <v>10273.0</v>
      </c>
      <c r="B67" s="7" t="s">
        <v>36</v>
      </c>
      <c r="C67" s="24" t="str">
        <f>VLOOKUP(dynamic[customerID],customers[],2,FALSE)</f>
        <v>QUICK-Stop</v>
      </c>
      <c r="D67" s="24">
        <v>44778.0</v>
      </c>
      <c r="E67" s="6">
        <f>IFERROR(__xludf.DUMMYFUNCTION("COUNTUNIQUEIFS($A$2:$A67,$B$2:$B67,B67)"),1.0)</f>
        <v>1</v>
      </c>
      <c r="F67" s="6">
        <f t="shared" si="1"/>
        <v>0</v>
      </c>
      <c r="G67" s="6" t="str">
        <f>IF(MINIFS(dynamic[orderDate], dynamic[customerID], B67) &gt;= DATE(2024,4,30)-120, 
     "New", 
     IF(MAXIFS(dynamic[orderCount], dynamic[customerID], B67)&lt;=2, 
        IF((DATE(2024,4,30) - MAXIFS(dynamic[orderDate], dynamic[customerID], B67)) &gt; 180, "Non-Returning", "Dormant"), 
        IF(AND(MAX(dynamic[sinceLastOrder]) &gt; 365, (DATE(2024,4,30) - MAXIFS(dynamic[orderDate], dynamic[customerID], B67)) &gt; 180), 
           "Dormant", "Regular")))</f>
        <v>Regular</v>
      </c>
      <c r="H67" s="6">
        <v>10.0</v>
      </c>
      <c r="I67" s="9" t="str">
        <f>VLOOKUP(dynamic[productID],products[],2,FALSE)</f>
        <v>Ikura</v>
      </c>
      <c r="J67" s="9" t="str">
        <f>VLOOKUP(dynamic[productID],products[],12,FALSE)</f>
        <v>Seafood</v>
      </c>
      <c r="K67" s="7" t="str">
        <f>IF(VLOOKUP(dynamic[productID],products[],7,FALSE)=1,"Discontinued","Current")</f>
        <v>Current</v>
      </c>
      <c r="L67" s="9">
        <f>VLOOKUP(dynamic[productID],products[],IF(YEAR(dynamic[orderDate])=2022,8,IF(YEAR(dynamic[orderDate])=2023,9,IF(YEAR(dynamic[orderDate])=2024,10,NA))),FALSE)</f>
        <v>16.07630731</v>
      </c>
      <c r="M67" s="9">
        <v>24.8</v>
      </c>
      <c r="N67" s="25">
        <f>(dynamic[orderPrice]-dynamic[productCost])/dynamic[productCost]</f>
        <v>0.5426428175</v>
      </c>
      <c r="O67" s="10">
        <v>24.0</v>
      </c>
      <c r="P67" s="25">
        <v>0.05</v>
      </c>
      <c r="Q67" s="9">
        <f>dynamic[orderPrice]*dynamic[orderQuantity]</f>
        <v>595.2</v>
      </c>
      <c r="R67" s="9">
        <f>dynamic[orderTotal]*(1-dynamic[discountApllied])</f>
        <v>565.44</v>
      </c>
      <c r="S67" s="9">
        <f>dynamic[revenue]-(dynamic[productCost]*dynamic[orderQuantity])</f>
        <v>179.6086246</v>
      </c>
      <c r="T67" s="25">
        <f>IFERROR(dynamic[profit]/dynamic[revenue], 0)</f>
        <v>0.3176440022</v>
      </c>
    </row>
    <row r="68" ht="15.75" customHeight="1">
      <c r="A68" s="6">
        <v>10273.0</v>
      </c>
      <c r="B68" s="7" t="s">
        <v>36</v>
      </c>
      <c r="C68" s="24" t="str">
        <f>VLOOKUP(dynamic[customerID],customers[],2,FALSE)</f>
        <v>QUICK-Stop</v>
      </c>
      <c r="D68" s="24">
        <v>44778.0</v>
      </c>
      <c r="E68" s="6">
        <f>IFERROR(__xludf.DUMMYFUNCTION("COUNTUNIQUEIFS($A$2:$A68,$B$2:$B68,B68)"),1.0)</f>
        <v>1</v>
      </c>
      <c r="F68" s="6">
        <f t="shared" si="1"/>
        <v>0</v>
      </c>
      <c r="G68" s="6" t="str">
        <f>IF(MINIFS(dynamic[orderDate], dynamic[customerID], B68) &gt;= DATE(2024,4,30)-120, 
     "New", 
     IF(MAXIFS(dynamic[orderCount], dynamic[customerID], B68)&lt;=2, 
        IF((DATE(2024,4,30) - MAXIFS(dynamic[orderDate], dynamic[customerID], B68)) &gt; 180, "Non-Returning", "Dormant"), 
        IF(AND(MAX(dynamic[sinceLastOrder]) &gt; 365, (DATE(2024,4,30) - MAXIFS(dynamic[orderDate], dynamic[customerID], B68)) &gt; 180), 
           "Dormant", "Regular")))</f>
        <v>Regular</v>
      </c>
      <c r="H68" s="6">
        <v>31.0</v>
      </c>
      <c r="I68" s="9" t="str">
        <f>VLOOKUP(dynamic[productID],products[],2,FALSE)</f>
        <v>Gorgonzola Telino</v>
      </c>
      <c r="J68" s="9" t="str">
        <f>VLOOKUP(dynamic[productID],products[],12,FALSE)</f>
        <v>Dairy Products</v>
      </c>
      <c r="K68" s="7" t="str">
        <f>IF(VLOOKUP(dynamic[productID],products[],7,FALSE)=1,"Discontinued","Current")</f>
        <v>Current</v>
      </c>
      <c r="L68" s="9">
        <f>VLOOKUP(dynamic[productID],products[],IF(YEAR(dynamic[orderDate])=2022,8,IF(YEAR(dynamic[orderDate])=2023,9,IF(YEAR(dynamic[orderDate])=2024,10,NA))),FALSE)</f>
        <v>6.44031973</v>
      </c>
      <c r="M68" s="9">
        <v>10.0</v>
      </c>
      <c r="N68" s="25">
        <f>(dynamic[orderPrice]-dynamic[productCost])/dynamic[productCost]</f>
        <v>0.5527179425</v>
      </c>
      <c r="O68" s="10">
        <v>15.0</v>
      </c>
      <c r="P68" s="25">
        <v>0.05</v>
      </c>
      <c r="Q68" s="9">
        <f>dynamic[orderPrice]*dynamic[orderQuantity]</f>
        <v>150</v>
      </c>
      <c r="R68" s="9">
        <f>dynamic[orderTotal]*(1-dynamic[discountApllied])</f>
        <v>142.5</v>
      </c>
      <c r="S68" s="9">
        <f>dynamic[revenue]-(dynamic[productCost]*dynamic[orderQuantity])</f>
        <v>45.89520405</v>
      </c>
      <c r="T68" s="25">
        <f>IFERROR(dynamic[profit]/dynamic[revenue], 0)</f>
        <v>0.3220716074</v>
      </c>
    </row>
    <row r="69" ht="15.75" customHeight="1">
      <c r="A69" s="6">
        <v>10273.0</v>
      </c>
      <c r="B69" s="7" t="s">
        <v>36</v>
      </c>
      <c r="C69" s="24" t="str">
        <f>VLOOKUP(dynamic[customerID],customers[],2,FALSE)</f>
        <v>QUICK-Stop</v>
      </c>
      <c r="D69" s="24">
        <v>44778.0</v>
      </c>
      <c r="E69" s="6">
        <f>IFERROR(__xludf.DUMMYFUNCTION("COUNTUNIQUEIFS($A$2:$A69,$B$2:$B69,B69)"),1.0)</f>
        <v>1</v>
      </c>
      <c r="F69" s="6">
        <f t="shared" si="1"/>
        <v>0</v>
      </c>
      <c r="G69" s="6" t="str">
        <f>IF(MINIFS(dynamic[orderDate], dynamic[customerID], B69) &gt;= DATE(2024,4,30)-120, 
     "New", 
     IF(MAXIFS(dynamic[orderCount], dynamic[customerID], B69)&lt;=2, 
        IF((DATE(2024,4,30) - MAXIFS(dynamic[orderDate], dynamic[customerID], B69)) &gt; 180, "Non-Returning", "Dormant"), 
        IF(AND(MAX(dynamic[sinceLastOrder]) &gt; 365, (DATE(2024,4,30) - MAXIFS(dynamic[orderDate], dynamic[customerID], B69)) &gt; 180), 
           "Dormant", "Regular")))</f>
        <v>Regular</v>
      </c>
      <c r="H69" s="6">
        <v>33.0</v>
      </c>
      <c r="I69" s="9" t="str">
        <f>VLOOKUP(dynamic[productID],products[],2,FALSE)</f>
        <v>Geitost</v>
      </c>
      <c r="J69" s="9" t="str">
        <f>VLOOKUP(dynamic[productID],products[],12,FALSE)</f>
        <v>Dairy Products</v>
      </c>
      <c r="K69" s="7" t="str">
        <f>IF(VLOOKUP(dynamic[productID],products[],7,FALSE)=1,"Discontinued","Current")</f>
        <v>Current</v>
      </c>
      <c r="L69" s="9">
        <f>VLOOKUP(dynamic[productID],products[],IF(YEAR(dynamic[orderDate])=2022,8,IF(YEAR(dynamic[orderDate])=2023,9,IF(YEAR(dynamic[orderDate])=2024,10,NA))),FALSE)</f>
        <v>1.393847434</v>
      </c>
      <c r="M69" s="9">
        <v>2.0</v>
      </c>
      <c r="N69" s="25">
        <f>(dynamic[orderPrice]-dynamic[productCost])/dynamic[productCost]</f>
        <v>0.4348772692</v>
      </c>
      <c r="O69" s="10">
        <v>20.0</v>
      </c>
      <c r="P69" s="25">
        <v>0.0</v>
      </c>
      <c r="Q69" s="9">
        <f>dynamic[orderPrice]*dynamic[orderQuantity]</f>
        <v>40</v>
      </c>
      <c r="R69" s="9">
        <f>dynamic[orderTotal]*(1-dynamic[discountApllied])</f>
        <v>40</v>
      </c>
      <c r="S69" s="9">
        <f>dynamic[revenue]-(dynamic[productCost]*dynamic[orderQuantity])</f>
        <v>12.12305132</v>
      </c>
      <c r="T69" s="25">
        <f>IFERROR(dynamic[profit]/dynamic[revenue], 0)</f>
        <v>0.3030762829</v>
      </c>
    </row>
    <row r="70" ht="15.75" customHeight="1">
      <c r="A70" s="6">
        <v>10273.0</v>
      </c>
      <c r="B70" s="7" t="s">
        <v>36</v>
      </c>
      <c r="C70" s="24" t="str">
        <f>VLOOKUP(dynamic[customerID],customers[],2,FALSE)</f>
        <v>QUICK-Stop</v>
      </c>
      <c r="D70" s="24">
        <v>44778.0</v>
      </c>
      <c r="E70" s="6">
        <f>IFERROR(__xludf.DUMMYFUNCTION("COUNTUNIQUEIFS($A$2:$A70,$B$2:$B70,B70)"),1.0)</f>
        <v>1</v>
      </c>
      <c r="F70" s="6">
        <f t="shared" si="1"/>
        <v>0</v>
      </c>
      <c r="G70" s="6" t="str">
        <f>IF(MINIFS(dynamic[orderDate], dynamic[customerID], B70) &gt;= DATE(2024,4,30)-120, 
     "New", 
     IF(MAXIFS(dynamic[orderCount], dynamic[customerID], B70)&lt;=2, 
        IF((DATE(2024,4,30) - MAXIFS(dynamic[orderDate], dynamic[customerID], B70)) &gt; 180, "Non-Returning", "Dormant"), 
        IF(AND(MAX(dynamic[sinceLastOrder]) &gt; 365, (DATE(2024,4,30) - MAXIFS(dynamic[orderDate], dynamic[customerID], B70)) &gt; 180), 
           "Dormant", "Regular")))</f>
        <v>Regular</v>
      </c>
      <c r="H70" s="6">
        <v>40.0</v>
      </c>
      <c r="I70" s="9" t="str">
        <f>VLOOKUP(dynamic[productID],products[],2,FALSE)</f>
        <v>Boston Crab Meat</v>
      </c>
      <c r="J70" s="9" t="str">
        <f>VLOOKUP(dynamic[productID],products[],12,FALSE)</f>
        <v>Seafood</v>
      </c>
      <c r="K70" s="7" t="str">
        <f>IF(VLOOKUP(dynamic[productID],products[],7,FALSE)=1,"Discontinued","Current")</f>
        <v>Current</v>
      </c>
      <c r="L70" s="9">
        <f>VLOOKUP(dynamic[productID],products[],IF(YEAR(dynamic[orderDate])=2022,8,IF(YEAR(dynamic[orderDate])=2023,9,IF(YEAR(dynamic[orderDate])=2024,10,NA))),FALSE)</f>
        <v>9.680649108</v>
      </c>
      <c r="M70" s="9">
        <v>14.7</v>
      </c>
      <c r="N70" s="25">
        <f>(dynamic[orderPrice]-dynamic[productCost])/dynamic[productCost]</f>
        <v>0.5184932162</v>
      </c>
      <c r="O70" s="10">
        <v>60.0</v>
      </c>
      <c r="P70" s="25">
        <v>0.05</v>
      </c>
      <c r="Q70" s="9">
        <f>dynamic[orderPrice]*dynamic[orderQuantity]</f>
        <v>882</v>
      </c>
      <c r="R70" s="9">
        <f>dynamic[orderTotal]*(1-dynamic[discountApllied])</f>
        <v>837.9</v>
      </c>
      <c r="S70" s="9">
        <f>dynamic[revenue]-(dynamic[productCost]*dynamic[orderQuantity])</f>
        <v>257.0610535</v>
      </c>
      <c r="T70" s="25">
        <f>IFERROR(dynamic[profit]/dynamic[revenue], 0)</f>
        <v>0.3067920438</v>
      </c>
    </row>
    <row r="71" ht="15.75" customHeight="1">
      <c r="A71" s="6">
        <v>10273.0</v>
      </c>
      <c r="B71" s="7" t="s">
        <v>36</v>
      </c>
      <c r="C71" s="24" t="str">
        <f>VLOOKUP(dynamic[customerID],customers[],2,FALSE)</f>
        <v>QUICK-Stop</v>
      </c>
      <c r="D71" s="24">
        <v>44778.0</v>
      </c>
      <c r="E71" s="6">
        <f>IFERROR(__xludf.DUMMYFUNCTION("COUNTUNIQUEIFS($A$2:$A71,$B$2:$B71,B71)"),1.0)</f>
        <v>1</v>
      </c>
      <c r="F71" s="6">
        <f t="shared" si="1"/>
        <v>0</v>
      </c>
      <c r="G71" s="6" t="str">
        <f>IF(MINIFS(dynamic[orderDate], dynamic[customerID], B71) &gt;= DATE(2024,4,30)-120, 
     "New", 
     IF(MAXIFS(dynamic[orderCount], dynamic[customerID], B71)&lt;=2, 
        IF((DATE(2024,4,30) - MAXIFS(dynamic[orderDate], dynamic[customerID], B71)) &gt; 180, "Non-Returning", "Dormant"), 
        IF(AND(MAX(dynamic[sinceLastOrder]) &gt; 365, (DATE(2024,4,30) - MAXIFS(dynamic[orderDate], dynamic[customerID], B71)) &gt; 180), 
           "Dormant", "Regular")))</f>
        <v>Regular</v>
      </c>
      <c r="H71" s="6">
        <v>76.0</v>
      </c>
      <c r="I71" s="9" t="str">
        <f>VLOOKUP(dynamic[productID],products[],2,FALSE)</f>
        <v>Lakkalikööri</v>
      </c>
      <c r="J71" s="9" t="str">
        <f>VLOOKUP(dynamic[productID],products[],12,FALSE)</f>
        <v>Beverages</v>
      </c>
      <c r="K71" s="7" t="str">
        <f>IF(VLOOKUP(dynamic[productID],products[],7,FALSE)=1,"Discontinued","Current")</f>
        <v>Current</v>
      </c>
      <c r="L71" s="9">
        <f>VLOOKUP(dynamic[productID],products[],IF(YEAR(dynamic[orderDate])=2022,8,IF(YEAR(dynamic[orderDate])=2023,9,IF(YEAR(dynamic[orderDate])=2024,10,NA))),FALSE)</f>
        <v>10.19609256</v>
      </c>
      <c r="M71" s="9">
        <v>14.4</v>
      </c>
      <c r="N71" s="25">
        <f>(dynamic[orderPrice]-dynamic[productCost])/dynamic[productCost]</f>
        <v>0.4123057356</v>
      </c>
      <c r="O71" s="10">
        <v>33.0</v>
      </c>
      <c r="P71" s="25">
        <v>0.05</v>
      </c>
      <c r="Q71" s="9">
        <f>dynamic[orderPrice]*dynamic[orderQuantity]</f>
        <v>475.2</v>
      </c>
      <c r="R71" s="9">
        <f>dynamic[orderTotal]*(1-dynamic[discountApllied])</f>
        <v>451.44</v>
      </c>
      <c r="S71" s="9">
        <f>dynamic[revenue]-(dynamic[productCost]*dynamic[orderQuantity])</f>
        <v>114.9689456</v>
      </c>
      <c r="T71" s="25">
        <f>IFERROR(dynamic[profit]/dynamic[revenue], 0)</f>
        <v>0.2546715966</v>
      </c>
    </row>
    <row r="72" ht="15.75" customHeight="1">
      <c r="A72" s="6">
        <v>10274.0</v>
      </c>
      <c r="B72" s="7" t="s">
        <v>12</v>
      </c>
      <c r="C72" s="24" t="str">
        <f>VLOOKUP(dynamic[customerID],customers[],2,FALSE)</f>
        <v>Vins et alcools Chevalier</v>
      </c>
      <c r="D72" s="24">
        <v>44779.0</v>
      </c>
      <c r="E72" s="6">
        <f>IFERROR(__xludf.DUMMYFUNCTION("COUNTUNIQUEIFS($A$2:$A72,$B$2:$B72,B72)"),2.0)</f>
        <v>2</v>
      </c>
      <c r="F72" s="6">
        <f t="shared" si="1"/>
        <v>33</v>
      </c>
      <c r="G72" s="6" t="str">
        <f>IF(MINIFS(dynamic[orderDate], dynamic[customerID], B72) &gt;= DATE(2024,4,30)-120, 
     "New", 
     IF(MAXIFS(dynamic[orderCount], dynamic[customerID], B72)&lt;=2, 
        IF((DATE(2024,4,30) - MAXIFS(dynamic[orderDate], dynamic[customerID], B72)) &gt; 180, "Non-Returning", "Dormant"), 
        IF(AND(MAX(dynamic[sinceLastOrder]) &gt; 365, (DATE(2024,4,30) - MAXIFS(dynamic[orderDate], dynamic[customerID], B72)) &gt; 180), 
           "Dormant", "Regular")))</f>
        <v>Regular</v>
      </c>
      <c r="H72" s="6">
        <v>71.0</v>
      </c>
      <c r="I72" s="9" t="str">
        <f>VLOOKUP(dynamic[productID],products[],2,FALSE)</f>
        <v>Flotemysost</v>
      </c>
      <c r="J72" s="9" t="str">
        <f>VLOOKUP(dynamic[productID],products[],12,FALSE)</f>
        <v>Dairy Products</v>
      </c>
      <c r="K72" s="7" t="str">
        <f>IF(VLOOKUP(dynamic[productID],products[],7,FALSE)=1,"Discontinued","Current")</f>
        <v>Current</v>
      </c>
      <c r="L72" s="9">
        <f>VLOOKUP(dynamic[productID],products[],IF(YEAR(dynamic[orderDate])=2022,8,IF(YEAR(dynamic[orderDate])=2023,9,IF(YEAR(dynamic[orderDate])=2024,10,NA))),FALSE)</f>
        <v>12.00719029</v>
      </c>
      <c r="M72" s="9">
        <v>17.2</v>
      </c>
      <c r="N72" s="25">
        <f>(dynamic[orderPrice]-dynamic[productCost])/dynamic[productCost]</f>
        <v>0.4324750075</v>
      </c>
      <c r="O72" s="10">
        <v>20.0</v>
      </c>
      <c r="P72" s="25">
        <v>0.0</v>
      </c>
      <c r="Q72" s="9">
        <f>dynamic[orderPrice]*dynamic[orderQuantity]</f>
        <v>344</v>
      </c>
      <c r="R72" s="9">
        <f>dynamic[orderTotal]*(1-dynamic[discountApllied])</f>
        <v>344</v>
      </c>
      <c r="S72" s="9">
        <f>dynamic[revenue]-(dynamic[productCost]*dynamic[orderQuantity])</f>
        <v>103.8561942</v>
      </c>
      <c r="T72" s="25">
        <f>IFERROR(dynamic[profit]/dynamic[revenue], 0)</f>
        <v>0.3019075413</v>
      </c>
    </row>
    <row r="73" ht="15.75" customHeight="1">
      <c r="A73" s="6">
        <v>10274.0</v>
      </c>
      <c r="B73" s="7" t="s">
        <v>12</v>
      </c>
      <c r="C73" s="24" t="str">
        <f>VLOOKUP(dynamic[customerID],customers[],2,FALSE)</f>
        <v>Vins et alcools Chevalier</v>
      </c>
      <c r="D73" s="24">
        <v>44779.0</v>
      </c>
      <c r="E73" s="6">
        <f>IFERROR(__xludf.DUMMYFUNCTION("COUNTUNIQUEIFS($A$2:$A73,$B$2:$B73,B73)"),2.0)</f>
        <v>2</v>
      </c>
      <c r="F73" s="6">
        <f t="shared" si="1"/>
        <v>33</v>
      </c>
      <c r="G73" s="6" t="str">
        <f>IF(MINIFS(dynamic[orderDate], dynamic[customerID], B73) &gt;= DATE(2024,4,30)-120, 
     "New", 
     IF(MAXIFS(dynamic[orderCount], dynamic[customerID], B73)&lt;=2, 
        IF((DATE(2024,4,30) - MAXIFS(dynamic[orderDate], dynamic[customerID], B73)) &gt; 180, "Non-Returning", "Dormant"), 
        IF(AND(MAX(dynamic[sinceLastOrder]) &gt; 365, (DATE(2024,4,30) - MAXIFS(dynamic[orderDate], dynamic[customerID], B73)) &gt; 180), 
           "Dormant", "Regular")))</f>
        <v>Regular</v>
      </c>
      <c r="H73" s="6">
        <v>72.0</v>
      </c>
      <c r="I73" s="9" t="str">
        <f>VLOOKUP(dynamic[productID],products[],2,FALSE)</f>
        <v>Mozzarella di Giovanni</v>
      </c>
      <c r="J73" s="9" t="str">
        <f>VLOOKUP(dynamic[productID],products[],12,FALSE)</f>
        <v>Dairy Products</v>
      </c>
      <c r="K73" s="7" t="str">
        <f>IF(VLOOKUP(dynamic[productID],products[],7,FALSE)=1,"Discontinued","Current")</f>
        <v>Current</v>
      </c>
      <c r="L73" s="9">
        <f>VLOOKUP(dynamic[productID],products[],IF(YEAR(dynamic[orderDate])=2022,8,IF(YEAR(dynamic[orderDate])=2023,9,IF(YEAR(dynamic[orderDate])=2024,10,NA))),FALSE)</f>
        <v>19.20829334</v>
      </c>
      <c r="M73" s="9">
        <v>27.8</v>
      </c>
      <c r="N73" s="25">
        <f>(dynamic[orderPrice]-dynamic[productCost])/dynamic[productCost]</f>
        <v>0.4472915167</v>
      </c>
      <c r="O73" s="10">
        <v>7.0</v>
      </c>
      <c r="P73" s="25">
        <v>0.0</v>
      </c>
      <c r="Q73" s="9">
        <f>dynamic[orderPrice]*dynamic[orderQuantity]</f>
        <v>194.6</v>
      </c>
      <c r="R73" s="9">
        <f>dynamic[orderTotal]*(1-dynamic[discountApllied])</f>
        <v>194.6</v>
      </c>
      <c r="S73" s="9">
        <f>dynamic[revenue]-(dynamic[productCost]*dynamic[orderQuantity])</f>
        <v>60.14194663</v>
      </c>
      <c r="T73" s="25">
        <f>IFERROR(dynamic[profit]/dynamic[revenue], 0)</f>
        <v>0.3090541965</v>
      </c>
    </row>
    <row r="74" ht="15.75" customHeight="1">
      <c r="A74" s="6">
        <v>10275.0</v>
      </c>
      <c r="B74" s="7" t="s">
        <v>37</v>
      </c>
      <c r="C74" s="24" t="str">
        <f>VLOOKUP(dynamic[customerID],customers[],2,FALSE)</f>
        <v>Magazzini Alimentari Riuniti</v>
      </c>
      <c r="D74" s="24">
        <v>44780.0</v>
      </c>
      <c r="E74" s="6">
        <f>IFERROR(__xludf.DUMMYFUNCTION("COUNTUNIQUEIFS($A$2:$A74,$B$2:$B74,B74)"),1.0)</f>
        <v>1</v>
      </c>
      <c r="F74" s="6">
        <f t="shared" si="1"/>
        <v>0</v>
      </c>
      <c r="G74" s="6" t="str">
        <f>IF(MINIFS(dynamic[orderDate], dynamic[customerID], B74) &gt;= DATE(2024,4,30)-120, 
     "New", 
     IF(MAXIFS(dynamic[orderCount], dynamic[customerID], B74)&lt;=2, 
        IF((DATE(2024,4,30) - MAXIFS(dynamic[orderDate], dynamic[customerID], B74)) &gt; 180, "Non-Returning", "Dormant"), 
        IF(AND(MAX(dynamic[sinceLastOrder]) &gt; 365, (DATE(2024,4,30) - MAXIFS(dynamic[orderDate], dynamic[customerID], B74)) &gt; 180), 
           "Dormant", "Regular")))</f>
        <v>Regular</v>
      </c>
      <c r="H74" s="6">
        <v>24.0</v>
      </c>
      <c r="I74" s="9" t="str">
        <f>VLOOKUP(dynamic[productID],products[],2,FALSE)</f>
        <v>Brigadeiros Maravilhosos da Lilian</v>
      </c>
      <c r="J74" s="9" t="str">
        <f>VLOOKUP(dynamic[productID],products[],12,FALSE)</f>
        <v>Confections</v>
      </c>
      <c r="K74" s="7" t="str">
        <f>IF(VLOOKUP(dynamic[productID],products[],7,FALSE)=1,"Discontinued","Current")</f>
        <v>Discontinued</v>
      </c>
      <c r="L74" s="9">
        <f>VLOOKUP(dynamic[productID],products[],IF(YEAR(dynamic[orderDate])=2022,8,IF(YEAR(dynamic[orderDate])=2023,9,IF(YEAR(dynamic[orderDate])=2024,10,NA))),FALSE)</f>
        <v>2.68117246</v>
      </c>
      <c r="M74" s="9">
        <v>3.6</v>
      </c>
      <c r="N74" s="25">
        <f>(dynamic[orderPrice]-dynamic[productCost])/dynamic[productCost]</f>
        <v>0.3426961727</v>
      </c>
      <c r="O74" s="10">
        <v>12.0</v>
      </c>
      <c r="P74" s="25">
        <v>0.05</v>
      </c>
      <c r="Q74" s="9">
        <f>dynamic[orderPrice]*dynamic[orderQuantity]</f>
        <v>43.2</v>
      </c>
      <c r="R74" s="9">
        <f>dynamic[orderTotal]*(1-dynamic[discountApllied])</f>
        <v>41.04</v>
      </c>
      <c r="S74" s="9">
        <f>dynamic[revenue]-(dynamic[productCost]*dynamic[orderQuantity])</f>
        <v>8.865930483</v>
      </c>
      <c r="T74" s="25">
        <f>IFERROR(dynamic[profit]/dynamic[revenue], 0)</f>
        <v>0.2160314445</v>
      </c>
    </row>
    <row r="75" ht="15.75" customHeight="1">
      <c r="A75" s="6">
        <v>10275.0</v>
      </c>
      <c r="B75" s="7" t="s">
        <v>37</v>
      </c>
      <c r="C75" s="24" t="str">
        <f>VLOOKUP(dynamic[customerID],customers[],2,FALSE)</f>
        <v>Magazzini Alimentari Riuniti</v>
      </c>
      <c r="D75" s="24">
        <v>44780.0</v>
      </c>
      <c r="E75" s="6">
        <f>IFERROR(__xludf.DUMMYFUNCTION("COUNTUNIQUEIFS($A$2:$A75,$B$2:$B75,B75)"),1.0)</f>
        <v>1</v>
      </c>
      <c r="F75" s="6">
        <f t="shared" si="1"/>
        <v>0</v>
      </c>
      <c r="G75" s="6" t="str">
        <f>IF(MINIFS(dynamic[orderDate], dynamic[customerID], B75) &gt;= DATE(2024,4,30)-120, 
     "New", 
     IF(MAXIFS(dynamic[orderCount], dynamic[customerID], B75)&lt;=2, 
        IF((DATE(2024,4,30) - MAXIFS(dynamic[orderDate], dynamic[customerID], B75)) &gt; 180, "Non-Returning", "Dormant"), 
        IF(AND(MAX(dynamic[sinceLastOrder]) &gt; 365, (DATE(2024,4,30) - MAXIFS(dynamic[orderDate], dynamic[customerID], B75)) &gt; 180), 
           "Dormant", "Regular")))</f>
        <v>Regular</v>
      </c>
      <c r="H75" s="6">
        <v>59.0</v>
      </c>
      <c r="I75" s="9" t="str">
        <f>VLOOKUP(dynamic[productID],products[],2,FALSE)</f>
        <v>Raclette Courdavault</v>
      </c>
      <c r="J75" s="9" t="str">
        <f>VLOOKUP(dynamic[productID],products[],12,FALSE)</f>
        <v>Dairy Products</v>
      </c>
      <c r="K75" s="7" t="str">
        <f>IF(VLOOKUP(dynamic[productID],products[],7,FALSE)=1,"Discontinued","Current")</f>
        <v>Current</v>
      </c>
      <c r="L75" s="9">
        <f>VLOOKUP(dynamic[productID],products[],IF(YEAR(dynamic[orderDate])=2022,8,IF(YEAR(dynamic[orderDate])=2023,9,IF(YEAR(dynamic[orderDate])=2024,10,NA))),FALSE)</f>
        <v>29.20351951</v>
      </c>
      <c r="M75" s="9">
        <v>44.0</v>
      </c>
      <c r="N75" s="25">
        <f>(dynamic[orderPrice]-dynamic[productCost])/dynamic[productCost]</f>
        <v>0.5066677147</v>
      </c>
      <c r="O75" s="10">
        <v>6.0</v>
      </c>
      <c r="P75" s="25">
        <v>0.05</v>
      </c>
      <c r="Q75" s="9">
        <f>dynamic[orderPrice]*dynamic[orderQuantity]</f>
        <v>264</v>
      </c>
      <c r="R75" s="9">
        <f>dynamic[orderTotal]*(1-dynamic[discountApllied])</f>
        <v>250.8</v>
      </c>
      <c r="S75" s="9">
        <f>dynamic[revenue]-(dynamic[productCost]*dynamic[orderQuantity])</f>
        <v>75.57888295</v>
      </c>
      <c r="T75" s="25">
        <f>IFERROR(dynamic[profit]/dynamic[revenue], 0)</f>
        <v>0.3013512079</v>
      </c>
    </row>
    <row r="76" ht="15.75" customHeight="1">
      <c r="A76" s="6">
        <v>10276.0</v>
      </c>
      <c r="B76" s="7" t="s">
        <v>38</v>
      </c>
      <c r="C76" s="24" t="str">
        <f>VLOOKUP(dynamic[customerID],customers[],2,FALSE)</f>
        <v>Tortuga Restaurante</v>
      </c>
      <c r="D76" s="24">
        <v>44781.0</v>
      </c>
      <c r="E76" s="6">
        <f>IFERROR(__xludf.DUMMYFUNCTION("COUNTUNIQUEIFS($A$2:$A76,$B$2:$B76,B76)"),1.0)</f>
        <v>1</v>
      </c>
      <c r="F76" s="6">
        <f t="shared" si="1"/>
        <v>0</v>
      </c>
      <c r="G76" s="6" t="str">
        <f>IF(MINIFS(dynamic[orderDate], dynamic[customerID], B76) &gt;= DATE(2024,4,30)-120, 
     "New", 
     IF(MAXIFS(dynamic[orderCount], dynamic[customerID], B76)&lt;=2, 
        IF((DATE(2024,4,30) - MAXIFS(dynamic[orderDate], dynamic[customerID], B76)) &gt; 180, "Non-Returning", "Dormant"), 
        IF(AND(MAX(dynamic[sinceLastOrder]) &gt; 365, (DATE(2024,4,30) - MAXIFS(dynamic[orderDate], dynamic[customerID], B76)) &gt; 180), 
           "Dormant", "Regular")))</f>
        <v>Regular</v>
      </c>
      <c r="H76" s="6">
        <v>10.0</v>
      </c>
      <c r="I76" s="9" t="str">
        <f>VLOOKUP(dynamic[productID],products[],2,FALSE)</f>
        <v>Ikura</v>
      </c>
      <c r="J76" s="9" t="str">
        <f>VLOOKUP(dynamic[productID],products[],12,FALSE)</f>
        <v>Seafood</v>
      </c>
      <c r="K76" s="7" t="str">
        <f>IF(VLOOKUP(dynamic[productID],products[],7,FALSE)=1,"Discontinued","Current")</f>
        <v>Current</v>
      </c>
      <c r="L76" s="9">
        <f>VLOOKUP(dynamic[productID],products[],IF(YEAR(dynamic[orderDate])=2022,8,IF(YEAR(dynamic[orderDate])=2023,9,IF(YEAR(dynamic[orderDate])=2024,10,NA))),FALSE)</f>
        <v>16.07630731</v>
      </c>
      <c r="M76" s="9">
        <v>24.8</v>
      </c>
      <c r="N76" s="25">
        <f>(dynamic[orderPrice]-dynamic[productCost])/dynamic[productCost]</f>
        <v>0.5426428175</v>
      </c>
      <c r="O76" s="10">
        <v>15.0</v>
      </c>
      <c r="P76" s="25">
        <v>0.0</v>
      </c>
      <c r="Q76" s="9">
        <f>dynamic[orderPrice]*dynamic[orderQuantity]</f>
        <v>372</v>
      </c>
      <c r="R76" s="9">
        <f>dynamic[orderTotal]*(1-dynamic[discountApllied])</f>
        <v>372</v>
      </c>
      <c r="S76" s="9">
        <f>dynamic[revenue]-(dynamic[productCost]*dynamic[orderQuantity])</f>
        <v>130.8553904</v>
      </c>
      <c r="T76" s="25">
        <f>IFERROR(dynamic[profit]/dynamic[revenue], 0)</f>
        <v>0.3517618021</v>
      </c>
    </row>
    <row r="77" ht="15.75" customHeight="1">
      <c r="A77" s="6">
        <v>10276.0</v>
      </c>
      <c r="B77" s="7" t="s">
        <v>38</v>
      </c>
      <c r="C77" s="24" t="str">
        <f>VLOOKUP(dynamic[customerID],customers[],2,FALSE)</f>
        <v>Tortuga Restaurante</v>
      </c>
      <c r="D77" s="24">
        <v>44781.0</v>
      </c>
      <c r="E77" s="6">
        <f>IFERROR(__xludf.DUMMYFUNCTION("COUNTUNIQUEIFS($A$2:$A77,$B$2:$B77,B77)"),1.0)</f>
        <v>1</v>
      </c>
      <c r="F77" s="6">
        <f t="shared" si="1"/>
        <v>0</v>
      </c>
      <c r="G77" s="6" t="str">
        <f>IF(MINIFS(dynamic[orderDate], dynamic[customerID], B77) &gt;= DATE(2024,4,30)-120, 
     "New", 
     IF(MAXIFS(dynamic[orderCount], dynamic[customerID], B77)&lt;=2, 
        IF((DATE(2024,4,30) - MAXIFS(dynamic[orderDate], dynamic[customerID], B77)) &gt; 180, "Non-Returning", "Dormant"), 
        IF(AND(MAX(dynamic[sinceLastOrder]) &gt; 365, (DATE(2024,4,30) - MAXIFS(dynamic[orderDate], dynamic[customerID], B77)) &gt; 180), 
           "Dormant", "Regular")))</f>
        <v>Regular</v>
      </c>
      <c r="H77" s="6">
        <v>13.0</v>
      </c>
      <c r="I77" s="9" t="str">
        <f>VLOOKUP(dynamic[productID],products[],2,FALSE)</f>
        <v>Konbu</v>
      </c>
      <c r="J77" s="9" t="str">
        <f>VLOOKUP(dynamic[productID],products[],12,FALSE)</f>
        <v>Seafood</v>
      </c>
      <c r="K77" s="7" t="str">
        <f>IF(VLOOKUP(dynamic[productID],products[],7,FALSE)=1,"Discontinued","Current")</f>
        <v>Current</v>
      </c>
      <c r="L77" s="9">
        <f>VLOOKUP(dynamic[productID],products[],IF(YEAR(dynamic[orderDate])=2022,8,IF(YEAR(dynamic[orderDate])=2023,9,IF(YEAR(dynamic[orderDate])=2024,10,NA))),FALSE)</f>
        <v>3.236727382</v>
      </c>
      <c r="M77" s="9">
        <v>4.8</v>
      </c>
      <c r="N77" s="25">
        <f>(dynamic[orderPrice]-dynamic[productCost])/dynamic[productCost]</f>
        <v>0.4829793907</v>
      </c>
      <c r="O77" s="10">
        <v>10.0</v>
      </c>
      <c r="P77" s="25">
        <v>0.0</v>
      </c>
      <c r="Q77" s="9">
        <f>dynamic[orderPrice]*dynamic[orderQuantity]</f>
        <v>48</v>
      </c>
      <c r="R77" s="9">
        <f>dynamic[orderTotal]*(1-dynamic[discountApllied])</f>
        <v>48</v>
      </c>
      <c r="S77" s="9">
        <f>dynamic[revenue]-(dynamic[productCost]*dynamic[orderQuantity])</f>
        <v>15.63272618</v>
      </c>
      <c r="T77" s="25">
        <f>IFERROR(dynamic[profit]/dynamic[revenue], 0)</f>
        <v>0.3256817955</v>
      </c>
    </row>
    <row r="78" ht="15.75" customHeight="1">
      <c r="A78" s="6">
        <v>10277.0</v>
      </c>
      <c r="B78" s="7" t="s">
        <v>39</v>
      </c>
      <c r="C78" s="24" t="str">
        <f>VLOOKUP(dynamic[customerID],customers[],2,FALSE)</f>
        <v>Morgenstern Gesundkost</v>
      </c>
      <c r="D78" s="24">
        <v>44782.0</v>
      </c>
      <c r="E78" s="6">
        <f>IFERROR(__xludf.DUMMYFUNCTION("COUNTUNIQUEIFS($A$2:$A78,$B$2:$B78,B78)"),1.0)</f>
        <v>1</v>
      </c>
      <c r="F78" s="6">
        <f t="shared" si="1"/>
        <v>0</v>
      </c>
      <c r="G78" s="6" t="str">
        <f>IF(MINIFS(dynamic[orderDate], dynamic[customerID], B78) &gt;= DATE(2024,4,30)-120, 
     "New", 
     IF(MAXIFS(dynamic[orderCount], dynamic[customerID], B78)&lt;=2, 
        IF((DATE(2024,4,30) - MAXIFS(dynamic[orderDate], dynamic[customerID], B78)) &gt; 180, "Non-Returning", "Dormant"), 
        IF(AND(MAX(dynamic[sinceLastOrder]) &gt; 365, (DATE(2024,4,30) - MAXIFS(dynamic[orderDate], dynamic[customerID], B78)) &gt; 180), 
           "Dormant", "Regular")))</f>
        <v>Regular</v>
      </c>
      <c r="H78" s="6">
        <v>28.0</v>
      </c>
      <c r="I78" s="9" t="str">
        <f>VLOOKUP(dynamic[productID],products[],2,FALSE)</f>
        <v>Rössle Sauerkraut</v>
      </c>
      <c r="J78" s="9" t="str">
        <f>VLOOKUP(dynamic[productID],products[],12,FALSE)</f>
        <v>Produce</v>
      </c>
      <c r="K78" s="7" t="str">
        <f>IF(VLOOKUP(dynamic[productID],products[],7,FALSE)=1,"Discontinued","Current")</f>
        <v>Discontinued</v>
      </c>
      <c r="L78" s="9">
        <f>VLOOKUP(dynamic[productID],products[],IF(YEAR(dynamic[orderDate])=2022,8,IF(YEAR(dynamic[orderDate])=2023,9,IF(YEAR(dynamic[orderDate])=2024,10,NA))),FALSE)</f>
        <v>27.51992272</v>
      </c>
      <c r="M78" s="9">
        <v>36.4</v>
      </c>
      <c r="N78" s="25">
        <f>(dynamic[orderPrice]-dynamic[productCost])/dynamic[productCost]</f>
        <v>0.3226781326</v>
      </c>
      <c r="O78" s="10">
        <v>20.0</v>
      </c>
      <c r="P78" s="25">
        <v>0.0</v>
      </c>
      <c r="Q78" s="9">
        <f>dynamic[orderPrice]*dynamic[orderQuantity]</f>
        <v>728</v>
      </c>
      <c r="R78" s="9">
        <f>dynamic[orderTotal]*(1-dynamic[discountApllied])</f>
        <v>728</v>
      </c>
      <c r="S78" s="9">
        <f>dynamic[revenue]-(dynamic[productCost]*dynamic[orderQuantity])</f>
        <v>177.6015455</v>
      </c>
      <c r="T78" s="25">
        <f>IFERROR(dynamic[profit]/dynamic[revenue], 0)</f>
        <v>0.2439581669</v>
      </c>
    </row>
    <row r="79" ht="15.75" customHeight="1">
      <c r="A79" s="6">
        <v>10277.0</v>
      </c>
      <c r="B79" s="7" t="s">
        <v>39</v>
      </c>
      <c r="C79" s="24" t="str">
        <f>VLOOKUP(dynamic[customerID],customers[],2,FALSE)</f>
        <v>Morgenstern Gesundkost</v>
      </c>
      <c r="D79" s="24">
        <v>44782.0</v>
      </c>
      <c r="E79" s="6">
        <f>IFERROR(__xludf.DUMMYFUNCTION("COUNTUNIQUEIFS($A$2:$A79,$B$2:$B79,B79)"),1.0)</f>
        <v>1</v>
      </c>
      <c r="F79" s="6">
        <f t="shared" si="1"/>
        <v>0</v>
      </c>
      <c r="G79" s="6" t="str">
        <f>IF(MINIFS(dynamic[orderDate], dynamic[customerID], B79) &gt;= DATE(2024,4,30)-120, 
     "New", 
     IF(MAXIFS(dynamic[orderCount], dynamic[customerID], B79)&lt;=2, 
        IF((DATE(2024,4,30) - MAXIFS(dynamic[orderDate], dynamic[customerID], B79)) &gt; 180, "Non-Returning", "Dormant"), 
        IF(AND(MAX(dynamic[sinceLastOrder]) &gt; 365, (DATE(2024,4,30) - MAXIFS(dynamic[orderDate], dynamic[customerID], B79)) &gt; 180), 
           "Dormant", "Regular")))</f>
        <v>Regular</v>
      </c>
      <c r="H79" s="6">
        <v>62.0</v>
      </c>
      <c r="I79" s="9" t="str">
        <f>VLOOKUP(dynamic[productID],products[],2,FALSE)</f>
        <v>Tarte au sucre</v>
      </c>
      <c r="J79" s="9" t="str">
        <f>VLOOKUP(dynamic[productID],products[],12,FALSE)</f>
        <v>Confections</v>
      </c>
      <c r="K79" s="7" t="str">
        <f>IF(VLOOKUP(dynamic[productID],products[],7,FALSE)=1,"Discontinued","Current")</f>
        <v>Current</v>
      </c>
      <c r="L79" s="9">
        <f>VLOOKUP(dynamic[productID],products[],IF(YEAR(dynamic[orderDate])=2022,8,IF(YEAR(dynamic[orderDate])=2023,9,IF(YEAR(dynamic[orderDate])=2024,10,NA))),FALSE)</f>
        <v>29.35963319</v>
      </c>
      <c r="M79" s="9">
        <v>39.4</v>
      </c>
      <c r="N79" s="25">
        <f>(dynamic[orderPrice]-dynamic[productCost])/dynamic[productCost]</f>
        <v>0.3419786189</v>
      </c>
      <c r="O79" s="10">
        <v>12.0</v>
      </c>
      <c r="P79" s="25">
        <v>0.0</v>
      </c>
      <c r="Q79" s="9">
        <f>dynamic[orderPrice]*dynamic[orderQuantity]</f>
        <v>472.8</v>
      </c>
      <c r="R79" s="9">
        <f>dynamic[orderTotal]*(1-dynamic[discountApllied])</f>
        <v>472.8</v>
      </c>
      <c r="S79" s="9">
        <f>dynamic[revenue]-(dynamic[productCost]*dynamic[orderQuantity])</f>
        <v>120.4844017</v>
      </c>
      <c r="T79" s="25">
        <f>IFERROR(dynamic[profit]/dynamic[revenue], 0)</f>
        <v>0.2548316449</v>
      </c>
    </row>
    <row r="80" ht="15.75" customHeight="1">
      <c r="A80" s="6">
        <v>10278.0</v>
      </c>
      <c r="B80" s="7" t="s">
        <v>40</v>
      </c>
      <c r="C80" s="24" t="str">
        <f>VLOOKUP(dynamic[customerID],customers[],2,FALSE)</f>
        <v>Berglunds snabbköp</v>
      </c>
      <c r="D80" s="24">
        <v>44785.0</v>
      </c>
      <c r="E80" s="6">
        <f>IFERROR(__xludf.DUMMYFUNCTION("COUNTUNIQUEIFS($A$2:$A80,$B$2:$B80,B80)"),1.0)</f>
        <v>1</v>
      </c>
      <c r="F80" s="6">
        <f t="shared" si="1"/>
        <v>0</v>
      </c>
      <c r="G80" s="6" t="str">
        <f>IF(MINIFS(dynamic[orderDate], dynamic[customerID], B80) &gt;= DATE(2024,4,30)-120, 
     "New", 
     IF(MAXIFS(dynamic[orderCount], dynamic[customerID], B80)&lt;=2, 
        IF((DATE(2024,4,30) - MAXIFS(dynamic[orderDate], dynamic[customerID], B80)) &gt; 180, "Non-Returning", "Dormant"), 
        IF(AND(MAX(dynamic[sinceLastOrder]) &gt; 365, (DATE(2024,4,30) - MAXIFS(dynamic[orderDate], dynamic[customerID], B80)) &gt; 180), 
           "Dormant", "Regular")))</f>
        <v>Regular</v>
      </c>
      <c r="H80" s="6">
        <v>44.0</v>
      </c>
      <c r="I80" s="9" t="str">
        <f>VLOOKUP(dynamic[productID],products[],2,FALSE)</f>
        <v>Gula Malacca</v>
      </c>
      <c r="J80" s="9" t="str">
        <f>VLOOKUP(dynamic[productID],products[],12,FALSE)</f>
        <v>Condiments</v>
      </c>
      <c r="K80" s="7" t="str">
        <f>IF(VLOOKUP(dynamic[productID],products[],7,FALSE)=1,"Discontinued","Current")</f>
        <v>Current</v>
      </c>
      <c r="L80" s="9">
        <f>VLOOKUP(dynamic[productID],products[],IF(YEAR(dynamic[orderDate])=2022,8,IF(YEAR(dynamic[orderDate])=2023,9,IF(YEAR(dynamic[orderDate])=2024,10,NA))),FALSE)</f>
        <v>10.65165145</v>
      </c>
      <c r="M80" s="9">
        <v>15.5</v>
      </c>
      <c r="N80" s="25">
        <f>(dynamic[orderPrice]-dynamic[productCost])/dynamic[productCost]</f>
        <v>0.4551734138</v>
      </c>
      <c r="O80" s="10">
        <v>16.0</v>
      </c>
      <c r="P80" s="25">
        <v>0.0</v>
      </c>
      <c r="Q80" s="9">
        <f>dynamic[orderPrice]*dynamic[orderQuantity]</f>
        <v>248</v>
      </c>
      <c r="R80" s="9">
        <f>dynamic[orderTotal]*(1-dynamic[discountApllied])</f>
        <v>248</v>
      </c>
      <c r="S80" s="9">
        <f>dynamic[revenue]-(dynamic[productCost]*dynamic[orderQuantity])</f>
        <v>77.57357683</v>
      </c>
      <c r="T80" s="25">
        <f>IFERROR(dynamic[profit]/dynamic[revenue], 0)</f>
        <v>0.3127966808</v>
      </c>
    </row>
    <row r="81" ht="15.75" customHeight="1">
      <c r="A81" s="6">
        <v>10278.0</v>
      </c>
      <c r="B81" s="7" t="s">
        <v>40</v>
      </c>
      <c r="C81" s="24" t="str">
        <f>VLOOKUP(dynamic[customerID],customers[],2,FALSE)</f>
        <v>Berglunds snabbköp</v>
      </c>
      <c r="D81" s="24">
        <v>44785.0</v>
      </c>
      <c r="E81" s="6">
        <f>IFERROR(__xludf.DUMMYFUNCTION("COUNTUNIQUEIFS($A$2:$A81,$B$2:$B81,B81)"),1.0)</f>
        <v>1</v>
      </c>
      <c r="F81" s="6">
        <f t="shared" si="1"/>
        <v>0</v>
      </c>
      <c r="G81" s="6" t="str">
        <f>IF(MINIFS(dynamic[orderDate], dynamic[customerID], B81) &gt;= DATE(2024,4,30)-120, 
     "New", 
     IF(MAXIFS(dynamic[orderCount], dynamic[customerID], B81)&lt;=2, 
        IF((DATE(2024,4,30) - MAXIFS(dynamic[orderDate], dynamic[customerID], B81)) &gt; 180, "Non-Returning", "Dormant"), 
        IF(AND(MAX(dynamic[sinceLastOrder]) &gt; 365, (DATE(2024,4,30) - MAXIFS(dynamic[orderDate], dynamic[customerID], B81)) &gt; 180), 
           "Dormant", "Regular")))</f>
        <v>Regular</v>
      </c>
      <c r="H81" s="6">
        <v>59.0</v>
      </c>
      <c r="I81" s="9" t="str">
        <f>VLOOKUP(dynamic[productID],products[],2,FALSE)</f>
        <v>Raclette Courdavault</v>
      </c>
      <c r="J81" s="9" t="str">
        <f>VLOOKUP(dynamic[productID],products[],12,FALSE)</f>
        <v>Dairy Products</v>
      </c>
      <c r="K81" s="7" t="str">
        <f>IF(VLOOKUP(dynamic[productID],products[],7,FALSE)=1,"Discontinued","Current")</f>
        <v>Current</v>
      </c>
      <c r="L81" s="9">
        <f>VLOOKUP(dynamic[productID],products[],IF(YEAR(dynamic[orderDate])=2022,8,IF(YEAR(dynamic[orderDate])=2023,9,IF(YEAR(dynamic[orderDate])=2024,10,NA))),FALSE)</f>
        <v>29.20351951</v>
      </c>
      <c r="M81" s="9">
        <v>44.0</v>
      </c>
      <c r="N81" s="25">
        <f>(dynamic[orderPrice]-dynamic[productCost])/dynamic[productCost]</f>
        <v>0.5066677147</v>
      </c>
      <c r="O81" s="10">
        <v>15.0</v>
      </c>
      <c r="P81" s="25">
        <v>0.0</v>
      </c>
      <c r="Q81" s="9">
        <f>dynamic[orderPrice]*dynamic[orderQuantity]</f>
        <v>660</v>
      </c>
      <c r="R81" s="9">
        <f>dynamic[orderTotal]*(1-dynamic[discountApllied])</f>
        <v>660</v>
      </c>
      <c r="S81" s="9">
        <f>dynamic[revenue]-(dynamic[productCost]*dynamic[orderQuantity])</f>
        <v>221.9472074</v>
      </c>
      <c r="T81" s="25">
        <f>IFERROR(dynamic[profit]/dynamic[revenue], 0)</f>
        <v>0.3362836475</v>
      </c>
    </row>
    <row r="82" ht="15.75" customHeight="1">
      <c r="A82" s="6">
        <v>10278.0</v>
      </c>
      <c r="B82" s="7" t="s">
        <v>40</v>
      </c>
      <c r="C82" s="24" t="str">
        <f>VLOOKUP(dynamic[customerID],customers[],2,FALSE)</f>
        <v>Berglunds snabbköp</v>
      </c>
      <c r="D82" s="24">
        <v>44785.0</v>
      </c>
      <c r="E82" s="6">
        <f>IFERROR(__xludf.DUMMYFUNCTION("COUNTUNIQUEIFS($A$2:$A82,$B$2:$B82,B82)"),1.0)</f>
        <v>1</v>
      </c>
      <c r="F82" s="6">
        <f t="shared" si="1"/>
        <v>0</v>
      </c>
      <c r="G82" s="6" t="str">
        <f>IF(MINIFS(dynamic[orderDate], dynamic[customerID], B82) &gt;= DATE(2024,4,30)-120, 
     "New", 
     IF(MAXIFS(dynamic[orderCount], dynamic[customerID], B82)&lt;=2, 
        IF((DATE(2024,4,30) - MAXIFS(dynamic[orderDate], dynamic[customerID], B82)) &gt; 180, "Non-Returning", "Dormant"), 
        IF(AND(MAX(dynamic[sinceLastOrder]) &gt; 365, (DATE(2024,4,30) - MAXIFS(dynamic[orderDate], dynamic[customerID], B82)) &gt; 180), 
           "Dormant", "Regular")))</f>
        <v>Regular</v>
      </c>
      <c r="H82" s="6">
        <v>63.0</v>
      </c>
      <c r="I82" s="9" t="str">
        <f>VLOOKUP(dynamic[productID],products[],2,FALSE)</f>
        <v>Vegie-spread</v>
      </c>
      <c r="J82" s="9" t="str">
        <f>VLOOKUP(dynamic[productID],products[],12,FALSE)</f>
        <v>Condiments</v>
      </c>
      <c r="K82" s="7" t="str">
        <f>IF(VLOOKUP(dynamic[productID],products[],7,FALSE)=1,"Discontinued","Current")</f>
        <v>Current</v>
      </c>
      <c r="L82" s="9">
        <f>VLOOKUP(dynamic[productID],products[],IF(YEAR(dynamic[orderDate])=2022,8,IF(YEAR(dynamic[orderDate])=2023,9,IF(YEAR(dynamic[orderDate])=2024,10,NA))),FALSE)</f>
        <v>23.81372293</v>
      </c>
      <c r="M82" s="9">
        <v>35.1</v>
      </c>
      <c r="N82" s="25">
        <f>(dynamic[orderPrice]-dynamic[productCost])/dynamic[productCost]</f>
        <v>0.4739400513</v>
      </c>
      <c r="O82" s="10">
        <v>8.0</v>
      </c>
      <c r="P82" s="25">
        <v>0.0</v>
      </c>
      <c r="Q82" s="9">
        <f>dynamic[orderPrice]*dynamic[orderQuantity]</f>
        <v>280.8</v>
      </c>
      <c r="R82" s="9">
        <f>dynamic[orderTotal]*(1-dynamic[discountApllied])</f>
        <v>280.8</v>
      </c>
      <c r="S82" s="9">
        <f>dynamic[revenue]-(dynamic[productCost]*dynamic[orderQuantity])</f>
        <v>90.29021654</v>
      </c>
      <c r="T82" s="25">
        <f>IFERROR(dynamic[profit]/dynamic[revenue], 0)</f>
        <v>0.3215463552</v>
      </c>
    </row>
    <row r="83" ht="15.75" customHeight="1">
      <c r="A83" s="6">
        <v>10278.0</v>
      </c>
      <c r="B83" s="7" t="s">
        <v>40</v>
      </c>
      <c r="C83" s="24" t="str">
        <f>VLOOKUP(dynamic[customerID],customers[],2,FALSE)</f>
        <v>Berglunds snabbköp</v>
      </c>
      <c r="D83" s="24">
        <v>44785.0</v>
      </c>
      <c r="E83" s="6">
        <f>IFERROR(__xludf.DUMMYFUNCTION("COUNTUNIQUEIFS($A$2:$A83,$B$2:$B83,B83)"),1.0)</f>
        <v>1</v>
      </c>
      <c r="F83" s="6">
        <f t="shared" si="1"/>
        <v>0</v>
      </c>
      <c r="G83" s="6" t="str">
        <f>IF(MINIFS(dynamic[orderDate], dynamic[customerID], B83) &gt;= DATE(2024,4,30)-120, 
     "New", 
     IF(MAXIFS(dynamic[orderCount], dynamic[customerID], B83)&lt;=2, 
        IF((DATE(2024,4,30) - MAXIFS(dynamic[orderDate], dynamic[customerID], B83)) &gt; 180, "Non-Returning", "Dormant"), 
        IF(AND(MAX(dynamic[sinceLastOrder]) &gt; 365, (DATE(2024,4,30) - MAXIFS(dynamic[orderDate], dynamic[customerID], B83)) &gt; 180), 
           "Dormant", "Regular")))</f>
        <v>Regular</v>
      </c>
      <c r="H83" s="6">
        <v>73.0</v>
      </c>
      <c r="I83" s="9" t="str">
        <f>VLOOKUP(dynamic[productID],products[],2,FALSE)</f>
        <v>Röd Kaviar</v>
      </c>
      <c r="J83" s="9" t="str">
        <f>VLOOKUP(dynamic[productID],products[],12,FALSE)</f>
        <v>Seafood</v>
      </c>
      <c r="K83" s="7" t="str">
        <f>IF(VLOOKUP(dynamic[productID],products[],7,FALSE)=1,"Discontinued","Current")</f>
        <v>Current</v>
      </c>
      <c r="L83" s="9">
        <f>VLOOKUP(dynamic[productID],products[],IF(YEAR(dynamic[orderDate])=2022,8,IF(YEAR(dynamic[orderDate])=2023,9,IF(YEAR(dynamic[orderDate])=2024,10,NA))),FALSE)</f>
        <v>8.419818722</v>
      </c>
      <c r="M83" s="9">
        <v>12.0</v>
      </c>
      <c r="N83" s="25">
        <f>(dynamic[orderPrice]-dynamic[productCost])/dynamic[productCost]</f>
        <v>0.4252088312</v>
      </c>
      <c r="O83" s="10">
        <v>25.0</v>
      </c>
      <c r="P83" s="25">
        <v>0.0</v>
      </c>
      <c r="Q83" s="9">
        <f>dynamic[orderPrice]*dynamic[orderQuantity]</f>
        <v>300</v>
      </c>
      <c r="R83" s="9">
        <f>dynamic[orderTotal]*(1-dynamic[discountApllied])</f>
        <v>300</v>
      </c>
      <c r="S83" s="9">
        <f>dynamic[revenue]-(dynamic[productCost]*dynamic[orderQuantity])</f>
        <v>89.50453195</v>
      </c>
      <c r="T83" s="25">
        <f>IFERROR(dynamic[profit]/dynamic[revenue], 0)</f>
        <v>0.2983484398</v>
      </c>
    </row>
    <row r="84" ht="15.75" customHeight="1">
      <c r="A84" s="6">
        <v>10279.0</v>
      </c>
      <c r="B84" s="7" t="s">
        <v>41</v>
      </c>
      <c r="C84" s="24" t="str">
        <f>VLOOKUP(dynamic[customerID],customers[],2,FALSE)</f>
        <v>Lehmanns Marktstand</v>
      </c>
      <c r="D84" s="24">
        <v>44786.0</v>
      </c>
      <c r="E84" s="6">
        <f>IFERROR(__xludf.DUMMYFUNCTION("COUNTUNIQUEIFS($A$2:$A84,$B$2:$B84,B84)"),1.0)</f>
        <v>1</v>
      </c>
      <c r="F84" s="6">
        <f t="shared" si="1"/>
        <v>0</v>
      </c>
      <c r="G84" s="6" t="str">
        <f>IF(MINIFS(dynamic[orderDate], dynamic[customerID], B84) &gt;= DATE(2024,4,30)-120, 
     "New", 
     IF(MAXIFS(dynamic[orderCount], dynamic[customerID], B84)&lt;=2, 
        IF((DATE(2024,4,30) - MAXIFS(dynamic[orderDate], dynamic[customerID], B84)) &gt; 180, "Non-Returning", "Dormant"), 
        IF(AND(MAX(dynamic[sinceLastOrder]) &gt; 365, (DATE(2024,4,30) - MAXIFS(dynamic[orderDate], dynamic[customerID], B84)) &gt; 180), 
           "Dormant", "Regular")))</f>
        <v>Regular</v>
      </c>
      <c r="H84" s="6">
        <v>17.0</v>
      </c>
      <c r="I84" s="9" t="str">
        <f>VLOOKUP(dynamic[productID],products[],2,FALSE)</f>
        <v>Alice Mutton</v>
      </c>
      <c r="J84" s="9" t="str">
        <f>VLOOKUP(dynamic[productID],products[],12,FALSE)</f>
        <v>Meat/Poultry</v>
      </c>
      <c r="K84" s="7" t="str">
        <f>IF(VLOOKUP(dynamic[productID],products[],7,FALSE)=1,"Discontinued","Current")</f>
        <v>Discontinued</v>
      </c>
      <c r="L84" s="9">
        <f>VLOOKUP(dynamic[productID],products[],IF(YEAR(dynamic[orderDate])=2022,8,IF(YEAR(dynamic[orderDate])=2023,9,IF(YEAR(dynamic[orderDate])=2024,10,NA))),FALSE)</f>
        <v>21.25377406</v>
      </c>
      <c r="M84" s="9">
        <v>31.2</v>
      </c>
      <c r="N84" s="25">
        <f>(dynamic[orderPrice]-dynamic[productCost])/dynamic[productCost]</f>
        <v>0.4679745775</v>
      </c>
      <c r="O84" s="10">
        <v>15.0</v>
      </c>
      <c r="P84" s="25">
        <v>0.25</v>
      </c>
      <c r="Q84" s="9">
        <f>dynamic[orderPrice]*dynamic[orderQuantity]</f>
        <v>468</v>
      </c>
      <c r="R84" s="9">
        <f>dynamic[orderTotal]*(1-dynamic[discountApllied])</f>
        <v>351</v>
      </c>
      <c r="S84" s="9">
        <f>dynamic[revenue]-(dynamic[productCost]*dynamic[orderQuantity])</f>
        <v>32.19338905</v>
      </c>
      <c r="T84" s="25">
        <f>IFERROR(dynamic[profit]/dynamic[revenue], 0)</f>
        <v>0.09171905712</v>
      </c>
    </row>
    <row r="85" ht="15.75" customHeight="1">
      <c r="A85" s="6">
        <v>10280.0</v>
      </c>
      <c r="B85" s="7" t="s">
        <v>40</v>
      </c>
      <c r="C85" s="24" t="str">
        <f>VLOOKUP(dynamic[customerID],customers[],2,FALSE)</f>
        <v>Berglunds snabbköp</v>
      </c>
      <c r="D85" s="24">
        <v>44787.0</v>
      </c>
      <c r="E85" s="6">
        <f>IFERROR(__xludf.DUMMYFUNCTION("COUNTUNIQUEIFS($A$2:$A85,$B$2:$B85,B85)"),2.0)</f>
        <v>2</v>
      </c>
      <c r="F85" s="6">
        <f t="shared" si="1"/>
        <v>2</v>
      </c>
      <c r="G85" s="6" t="str">
        <f>IF(MINIFS(dynamic[orderDate], dynamic[customerID], B85) &gt;= DATE(2024,4,30)-120, 
     "New", 
     IF(MAXIFS(dynamic[orderCount], dynamic[customerID], B85)&lt;=2, 
        IF((DATE(2024,4,30) - MAXIFS(dynamic[orderDate], dynamic[customerID], B85)) &gt; 180, "Non-Returning", "Dormant"), 
        IF(AND(MAX(dynamic[sinceLastOrder]) &gt; 365, (DATE(2024,4,30) - MAXIFS(dynamic[orderDate], dynamic[customerID], B85)) &gt; 180), 
           "Dormant", "Regular")))</f>
        <v>Regular</v>
      </c>
      <c r="H85" s="6">
        <v>24.0</v>
      </c>
      <c r="I85" s="9" t="str">
        <f>VLOOKUP(dynamic[productID],products[],2,FALSE)</f>
        <v>Brigadeiros Maravilhosos da Lilian</v>
      </c>
      <c r="J85" s="9" t="str">
        <f>VLOOKUP(dynamic[productID],products[],12,FALSE)</f>
        <v>Confections</v>
      </c>
      <c r="K85" s="7" t="str">
        <f>IF(VLOOKUP(dynamic[productID],products[],7,FALSE)=1,"Discontinued","Current")</f>
        <v>Discontinued</v>
      </c>
      <c r="L85" s="9">
        <f>VLOOKUP(dynamic[productID],products[],IF(YEAR(dynamic[orderDate])=2022,8,IF(YEAR(dynamic[orderDate])=2023,9,IF(YEAR(dynamic[orderDate])=2024,10,NA))),FALSE)</f>
        <v>2.68117246</v>
      </c>
      <c r="M85" s="9">
        <v>3.6</v>
      </c>
      <c r="N85" s="25">
        <f>(dynamic[orderPrice]-dynamic[productCost])/dynamic[productCost]</f>
        <v>0.3426961727</v>
      </c>
      <c r="O85" s="10">
        <v>12.0</v>
      </c>
      <c r="P85" s="25">
        <v>0.0</v>
      </c>
      <c r="Q85" s="9">
        <f>dynamic[orderPrice]*dynamic[orderQuantity]</f>
        <v>43.2</v>
      </c>
      <c r="R85" s="9">
        <f>dynamic[orderTotal]*(1-dynamic[discountApllied])</f>
        <v>43.2</v>
      </c>
      <c r="S85" s="9">
        <f>dynamic[revenue]-(dynamic[productCost]*dynamic[orderQuantity])</f>
        <v>11.02593048</v>
      </c>
      <c r="T85" s="25">
        <f>IFERROR(dynamic[profit]/dynamic[revenue], 0)</f>
        <v>0.2552298723</v>
      </c>
    </row>
    <row r="86" ht="15.75" customHeight="1">
      <c r="A86" s="6">
        <v>10280.0</v>
      </c>
      <c r="B86" s="7" t="s">
        <v>40</v>
      </c>
      <c r="C86" s="24" t="str">
        <f>VLOOKUP(dynamic[customerID],customers[],2,FALSE)</f>
        <v>Berglunds snabbköp</v>
      </c>
      <c r="D86" s="24">
        <v>44787.0</v>
      </c>
      <c r="E86" s="6">
        <f>IFERROR(__xludf.DUMMYFUNCTION("COUNTUNIQUEIFS($A$2:$A86,$B$2:$B86,B86)"),2.0)</f>
        <v>2</v>
      </c>
      <c r="F86" s="6">
        <f t="shared" si="1"/>
        <v>2</v>
      </c>
      <c r="G86" s="6" t="str">
        <f>IF(MINIFS(dynamic[orderDate], dynamic[customerID], B86) &gt;= DATE(2024,4,30)-120, 
     "New", 
     IF(MAXIFS(dynamic[orderCount], dynamic[customerID], B86)&lt;=2, 
        IF((DATE(2024,4,30) - MAXIFS(dynamic[orderDate], dynamic[customerID], B86)) &gt; 180, "Non-Returning", "Dormant"), 
        IF(AND(MAX(dynamic[sinceLastOrder]) &gt; 365, (DATE(2024,4,30) - MAXIFS(dynamic[orderDate], dynamic[customerID], B86)) &gt; 180), 
           "Dormant", "Regular")))</f>
        <v>Regular</v>
      </c>
      <c r="H86" s="6">
        <v>55.0</v>
      </c>
      <c r="I86" s="9" t="str">
        <f>VLOOKUP(dynamic[productID],products[],2,FALSE)</f>
        <v>Pâté chinois</v>
      </c>
      <c r="J86" s="9" t="str">
        <f>VLOOKUP(dynamic[productID],products[],12,FALSE)</f>
        <v>Meat/Poultry</v>
      </c>
      <c r="K86" s="7" t="str">
        <f>IF(VLOOKUP(dynamic[productID],products[],7,FALSE)=1,"Discontinued","Current")</f>
        <v>Current</v>
      </c>
      <c r="L86" s="9">
        <f>VLOOKUP(dynamic[productID],products[],IF(YEAR(dynamic[orderDate])=2022,8,IF(YEAR(dynamic[orderDate])=2023,9,IF(YEAR(dynamic[orderDate])=2024,10,NA))),FALSE)</f>
        <v>12.97496052</v>
      </c>
      <c r="M86" s="9">
        <v>19.2</v>
      </c>
      <c r="N86" s="25">
        <f>(dynamic[orderPrice]-dynamic[productCost])/dynamic[productCost]</f>
        <v>0.4797732884</v>
      </c>
      <c r="O86" s="10">
        <v>20.0</v>
      </c>
      <c r="P86" s="25">
        <v>0.0</v>
      </c>
      <c r="Q86" s="9">
        <f>dynamic[orderPrice]*dynamic[orderQuantity]</f>
        <v>384</v>
      </c>
      <c r="R86" s="9">
        <f>dynamic[orderTotal]*(1-dynamic[discountApllied])</f>
        <v>384</v>
      </c>
      <c r="S86" s="9">
        <f>dynamic[revenue]-(dynamic[productCost]*dynamic[orderQuantity])</f>
        <v>124.5007895</v>
      </c>
      <c r="T86" s="25">
        <f>IFERROR(dynamic[profit]/dynamic[revenue], 0)</f>
        <v>0.3242208061</v>
      </c>
    </row>
    <row r="87" ht="15.75" customHeight="1">
      <c r="A87" s="6">
        <v>10280.0</v>
      </c>
      <c r="B87" s="7" t="s">
        <v>40</v>
      </c>
      <c r="C87" s="24" t="str">
        <f>VLOOKUP(dynamic[customerID],customers[],2,FALSE)</f>
        <v>Berglunds snabbköp</v>
      </c>
      <c r="D87" s="24">
        <v>44787.0</v>
      </c>
      <c r="E87" s="6">
        <f>IFERROR(__xludf.DUMMYFUNCTION("COUNTUNIQUEIFS($A$2:$A87,$B$2:$B87,B87)"),2.0)</f>
        <v>2</v>
      </c>
      <c r="F87" s="6">
        <f t="shared" si="1"/>
        <v>2</v>
      </c>
      <c r="G87" s="6" t="str">
        <f>IF(MINIFS(dynamic[orderDate], dynamic[customerID], B87) &gt;= DATE(2024,4,30)-120, 
     "New", 
     IF(MAXIFS(dynamic[orderCount], dynamic[customerID], B87)&lt;=2, 
        IF((DATE(2024,4,30) - MAXIFS(dynamic[orderDate], dynamic[customerID], B87)) &gt; 180, "Non-Returning", "Dormant"), 
        IF(AND(MAX(dynamic[sinceLastOrder]) &gt; 365, (DATE(2024,4,30) - MAXIFS(dynamic[orderDate], dynamic[customerID], B87)) &gt; 180), 
           "Dormant", "Regular")))</f>
        <v>Regular</v>
      </c>
      <c r="H87" s="6">
        <v>75.0</v>
      </c>
      <c r="I87" s="9" t="str">
        <f>VLOOKUP(dynamic[productID],products[],2,FALSE)</f>
        <v>Rhönbräu Klosterbier</v>
      </c>
      <c r="J87" s="9" t="str">
        <f>VLOOKUP(dynamic[productID],products[],12,FALSE)</f>
        <v>Beverages</v>
      </c>
      <c r="K87" s="7" t="str">
        <f>IF(VLOOKUP(dynamic[productID],products[],7,FALSE)=1,"Discontinued","Current")</f>
        <v>Current</v>
      </c>
      <c r="L87" s="9">
        <f>VLOOKUP(dynamic[productID],products[],IF(YEAR(dynamic[orderDate])=2022,8,IF(YEAR(dynamic[orderDate])=2023,9,IF(YEAR(dynamic[orderDate])=2024,10,NA))),FALSE)</f>
        <v>4.269033823</v>
      </c>
      <c r="M87" s="9">
        <v>6.2</v>
      </c>
      <c r="N87" s="25">
        <f>(dynamic[orderPrice]-dynamic[productCost])/dynamic[productCost]</f>
        <v>0.4523192499</v>
      </c>
      <c r="O87" s="10">
        <v>30.0</v>
      </c>
      <c r="P87" s="25">
        <v>0.0</v>
      </c>
      <c r="Q87" s="9">
        <f>dynamic[orderPrice]*dynamic[orderQuantity]</f>
        <v>186</v>
      </c>
      <c r="R87" s="9">
        <f>dynamic[orderTotal]*(1-dynamic[discountApllied])</f>
        <v>186</v>
      </c>
      <c r="S87" s="9">
        <f>dynamic[revenue]-(dynamic[productCost]*dynamic[orderQuantity])</f>
        <v>57.9289853</v>
      </c>
      <c r="T87" s="25">
        <f>IFERROR(dynamic[profit]/dynamic[revenue], 0)</f>
        <v>0.3114461575</v>
      </c>
    </row>
    <row r="88" ht="15.75" customHeight="1">
      <c r="A88" s="6">
        <v>10281.0</v>
      </c>
      <c r="B88" s="7" t="s">
        <v>42</v>
      </c>
      <c r="C88" s="24" t="str">
        <f>VLOOKUP(dynamic[customerID],customers[],2,FALSE)</f>
        <v>Romero y tomillo</v>
      </c>
      <c r="D88" s="24">
        <v>44787.0</v>
      </c>
      <c r="E88" s="6">
        <f>IFERROR(__xludf.DUMMYFUNCTION("COUNTUNIQUEIFS($A$2:$A88,$B$2:$B88,B88)"),1.0)</f>
        <v>1</v>
      </c>
      <c r="F88" s="6">
        <f t="shared" si="1"/>
        <v>0</v>
      </c>
      <c r="G88" s="6" t="str">
        <f>IF(MINIFS(dynamic[orderDate], dynamic[customerID], B88) &gt;= DATE(2024,4,30)-120, 
     "New", 
     IF(MAXIFS(dynamic[orderCount], dynamic[customerID], B88)&lt;=2, 
        IF((DATE(2024,4,30) - MAXIFS(dynamic[orderDate], dynamic[customerID], B88)) &gt; 180, "Non-Returning", "Dormant"), 
        IF(AND(MAX(dynamic[sinceLastOrder]) &gt; 365, (DATE(2024,4,30) - MAXIFS(dynamic[orderDate], dynamic[customerID], B88)) &gt; 180), 
           "Dormant", "Regular")))</f>
        <v>Regular</v>
      </c>
      <c r="H88" s="6">
        <v>19.0</v>
      </c>
      <c r="I88" s="9" t="str">
        <f>VLOOKUP(dynamic[productID],products[],2,FALSE)</f>
        <v>Teatime Chocolate Biscuits</v>
      </c>
      <c r="J88" s="9" t="str">
        <f>VLOOKUP(dynamic[productID],products[],12,FALSE)</f>
        <v>Confections</v>
      </c>
      <c r="K88" s="7" t="str">
        <f>IF(VLOOKUP(dynamic[productID],products[],7,FALSE)=1,"Discontinued","Current")</f>
        <v>Current</v>
      </c>
      <c r="L88" s="9">
        <f>VLOOKUP(dynamic[productID],products[],IF(YEAR(dynamic[orderDate])=2022,8,IF(YEAR(dynamic[orderDate])=2023,9,IF(YEAR(dynamic[orderDate])=2024,10,NA))),FALSE)</f>
        <v>5.58120093</v>
      </c>
      <c r="M88" s="9">
        <v>7.3</v>
      </c>
      <c r="N88" s="25">
        <f>(dynamic[orderPrice]-dynamic[productCost])/dynamic[productCost]</f>
        <v>0.3079622274</v>
      </c>
      <c r="O88" s="10">
        <v>1.0</v>
      </c>
      <c r="P88" s="25">
        <v>0.0</v>
      </c>
      <c r="Q88" s="9">
        <f>dynamic[orderPrice]*dynamic[orderQuantity]</f>
        <v>7.3</v>
      </c>
      <c r="R88" s="9">
        <f>dynamic[orderTotal]*(1-dynamic[discountApllied])</f>
        <v>7.3</v>
      </c>
      <c r="S88" s="9">
        <f>dynamic[revenue]-(dynamic[productCost]*dynamic[orderQuantity])</f>
        <v>1.71879907</v>
      </c>
      <c r="T88" s="25">
        <f>IFERROR(dynamic[profit]/dynamic[revenue], 0)</f>
        <v>0.2354519274</v>
      </c>
    </row>
    <row r="89" ht="15.75" customHeight="1">
      <c r="A89" s="6">
        <v>10281.0</v>
      </c>
      <c r="B89" s="7" t="s">
        <v>42</v>
      </c>
      <c r="C89" s="24" t="str">
        <f>VLOOKUP(dynamic[customerID],customers[],2,FALSE)</f>
        <v>Romero y tomillo</v>
      </c>
      <c r="D89" s="24">
        <v>44787.0</v>
      </c>
      <c r="E89" s="6">
        <f>IFERROR(__xludf.DUMMYFUNCTION("COUNTUNIQUEIFS($A$2:$A89,$B$2:$B89,B89)"),1.0)</f>
        <v>1</v>
      </c>
      <c r="F89" s="6">
        <f t="shared" si="1"/>
        <v>0</v>
      </c>
      <c r="G89" s="6" t="str">
        <f>IF(MINIFS(dynamic[orderDate], dynamic[customerID], B89) &gt;= DATE(2024,4,30)-120, 
     "New", 
     IF(MAXIFS(dynamic[orderCount], dynamic[customerID], B89)&lt;=2, 
        IF((DATE(2024,4,30) - MAXIFS(dynamic[orderDate], dynamic[customerID], B89)) &gt; 180, "Non-Returning", "Dormant"), 
        IF(AND(MAX(dynamic[sinceLastOrder]) &gt; 365, (DATE(2024,4,30) - MAXIFS(dynamic[orderDate], dynamic[customerID], B89)) &gt; 180), 
           "Dormant", "Regular")))</f>
        <v>Regular</v>
      </c>
      <c r="H89" s="6">
        <v>24.0</v>
      </c>
      <c r="I89" s="9" t="str">
        <f>VLOOKUP(dynamic[productID],products[],2,FALSE)</f>
        <v>Brigadeiros Maravilhosos da Lilian</v>
      </c>
      <c r="J89" s="9" t="str">
        <f>VLOOKUP(dynamic[productID],products[],12,FALSE)</f>
        <v>Confections</v>
      </c>
      <c r="K89" s="7" t="str">
        <f>IF(VLOOKUP(dynamic[productID],products[],7,FALSE)=1,"Discontinued","Current")</f>
        <v>Discontinued</v>
      </c>
      <c r="L89" s="9">
        <f>VLOOKUP(dynamic[productID],products[],IF(YEAR(dynamic[orderDate])=2022,8,IF(YEAR(dynamic[orderDate])=2023,9,IF(YEAR(dynamic[orderDate])=2024,10,NA))),FALSE)</f>
        <v>2.68117246</v>
      </c>
      <c r="M89" s="9">
        <v>3.6</v>
      </c>
      <c r="N89" s="25">
        <f>(dynamic[orderPrice]-dynamic[productCost])/dynamic[productCost]</f>
        <v>0.3426961727</v>
      </c>
      <c r="O89" s="10">
        <v>6.0</v>
      </c>
      <c r="P89" s="25">
        <v>0.0</v>
      </c>
      <c r="Q89" s="9">
        <f>dynamic[orderPrice]*dynamic[orderQuantity]</f>
        <v>21.6</v>
      </c>
      <c r="R89" s="9">
        <f>dynamic[orderTotal]*(1-dynamic[discountApllied])</f>
        <v>21.6</v>
      </c>
      <c r="S89" s="9">
        <f>dynamic[revenue]-(dynamic[productCost]*dynamic[orderQuantity])</f>
        <v>5.512965242</v>
      </c>
      <c r="T89" s="25">
        <f>IFERROR(dynamic[profit]/dynamic[revenue], 0)</f>
        <v>0.2552298723</v>
      </c>
    </row>
    <row r="90" ht="15.75" customHeight="1">
      <c r="A90" s="6">
        <v>10281.0</v>
      </c>
      <c r="B90" s="7" t="s">
        <v>42</v>
      </c>
      <c r="C90" s="24" t="str">
        <f>VLOOKUP(dynamic[customerID],customers[],2,FALSE)</f>
        <v>Romero y tomillo</v>
      </c>
      <c r="D90" s="24">
        <v>44787.0</v>
      </c>
      <c r="E90" s="6">
        <f>IFERROR(__xludf.DUMMYFUNCTION("COUNTUNIQUEIFS($A$2:$A90,$B$2:$B90,B90)"),1.0)</f>
        <v>1</v>
      </c>
      <c r="F90" s="6">
        <f t="shared" si="1"/>
        <v>0</v>
      </c>
      <c r="G90" s="6" t="str">
        <f>IF(MINIFS(dynamic[orderDate], dynamic[customerID], B90) &gt;= DATE(2024,4,30)-120, 
     "New", 
     IF(MAXIFS(dynamic[orderCount], dynamic[customerID], B90)&lt;=2, 
        IF((DATE(2024,4,30) - MAXIFS(dynamic[orderDate], dynamic[customerID], B90)) &gt; 180, "Non-Returning", "Dormant"), 
        IF(AND(MAX(dynamic[sinceLastOrder]) &gt; 365, (DATE(2024,4,30) - MAXIFS(dynamic[orderDate], dynamic[customerID], B90)) &gt; 180), 
           "Dormant", "Regular")))</f>
        <v>Regular</v>
      </c>
      <c r="H90" s="6">
        <v>35.0</v>
      </c>
      <c r="I90" s="9" t="str">
        <f>VLOOKUP(dynamic[productID],products[],2,FALSE)</f>
        <v>Cold Brew Nitro</v>
      </c>
      <c r="J90" s="9" t="str">
        <f>VLOOKUP(dynamic[productID],products[],12,FALSE)</f>
        <v>Beverages</v>
      </c>
      <c r="K90" s="7" t="str">
        <f>IF(VLOOKUP(dynamic[productID],products[],7,FALSE)=1,"Discontinued","Current")</f>
        <v>Current</v>
      </c>
      <c r="L90" s="9">
        <f>VLOOKUP(dynamic[productID],products[],IF(YEAR(dynamic[orderDate])=2022,8,IF(YEAR(dynamic[orderDate])=2023,9,IF(YEAR(dynamic[orderDate])=2024,10,NA))),FALSE)</f>
        <v>10.19869089</v>
      </c>
      <c r="M90" s="9">
        <v>14.4</v>
      </c>
      <c r="N90" s="25">
        <f>(dynamic[orderPrice]-dynamic[productCost])/dynamic[productCost]</f>
        <v>0.4119459208</v>
      </c>
      <c r="O90" s="10">
        <v>4.0</v>
      </c>
      <c r="P90" s="25">
        <v>0.0</v>
      </c>
      <c r="Q90" s="9">
        <f>dynamic[orderPrice]*dynamic[orderQuantity]</f>
        <v>57.6</v>
      </c>
      <c r="R90" s="9">
        <f>dynamic[orderTotal]*(1-dynamic[discountApllied])</f>
        <v>57.6</v>
      </c>
      <c r="S90" s="9">
        <f>dynamic[revenue]-(dynamic[productCost]*dynamic[orderQuantity])</f>
        <v>16.80523644</v>
      </c>
      <c r="T90" s="25">
        <f>IFERROR(dynamic[profit]/dynamic[revenue], 0)</f>
        <v>0.2917575771</v>
      </c>
    </row>
    <row r="91" ht="15.75" customHeight="1">
      <c r="A91" s="6">
        <v>10282.0</v>
      </c>
      <c r="B91" s="7" t="s">
        <v>42</v>
      </c>
      <c r="C91" s="24" t="str">
        <f>VLOOKUP(dynamic[customerID],customers[],2,FALSE)</f>
        <v>Romero y tomillo</v>
      </c>
      <c r="D91" s="24">
        <v>44788.0</v>
      </c>
      <c r="E91" s="6">
        <f>IFERROR(__xludf.DUMMYFUNCTION("COUNTUNIQUEIFS($A$2:$A91,$B$2:$B91,B91)"),2.0)</f>
        <v>2</v>
      </c>
      <c r="F91" s="6">
        <f t="shared" si="1"/>
        <v>1</v>
      </c>
      <c r="G91" s="6" t="str">
        <f>IF(MINIFS(dynamic[orderDate], dynamic[customerID], B91) &gt;= DATE(2024,4,30)-120, 
     "New", 
     IF(MAXIFS(dynamic[orderCount], dynamic[customerID], B91)&lt;=2, 
        IF((DATE(2024,4,30) - MAXIFS(dynamic[orderDate], dynamic[customerID], B91)) &gt; 180, "Non-Returning", "Dormant"), 
        IF(AND(MAX(dynamic[sinceLastOrder]) &gt; 365, (DATE(2024,4,30) - MAXIFS(dynamic[orderDate], dynamic[customerID], B91)) &gt; 180), 
           "Dormant", "Regular")))</f>
        <v>Regular</v>
      </c>
      <c r="H91" s="6">
        <v>30.0</v>
      </c>
      <c r="I91" s="9" t="str">
        <f>VLOOKUP(dynamic[productID],products[],2,FALSE)</f>
        <v>Nord-Ost Matjeshering</v>
      </c>
      <c r="J91" s="9" t="str">
        <f>VLOOKUP(dynamic[productID],products[],12,FALSE)</f>
        <v>Seafood</v>
      </c>
      <c r="K91" s="7" t="str">
        <f>IF(VLOOKUP(dynamic[productID],products[],7,FALSE)=1,"Discontinued","Current")</f>
        <v>Current</v>
      </c>
      <c r="L91" s="9">
        <f>VLOOKUP(dynamic[productID],products[],IF(YEAR(dynamic[orderDate])=2022,8,IF(YEAR(dynamic[orderDate])=2023,9,IF(YEAR(dynamic[orderDate])=2024,10,NA))),FALSE)</f>
        <v>13.41656868</v>
      </c>
      <c r="M91" s="9">
        <v>20.7</v>
      </c>
      <c r="N91" s="25">
        <f>(dynamic[orderPrice]-dynamic[productCost])/dynamic[productCost]</f>
        <v>0.5428684114</v>
      </c>
      <c r="O91" s="10">
        <v>6.0</v>
      </c>
      <c r="P91" s="25">
        <v>0.0</v>
      </c>
      <c r="Q91" s="9">
        <f>dynamic[orderPrice]*dynamic[orderQuantity]</f>
        <v>124.2</v>
      </c>
      <c r="R91" s="9">
        <f>dynamic[orderTotal]*(1-dynamic[discountApllied])</f>
        <v>124.2</v>
      </c>
      <c r="S91" s="9">
        <f>dynamic[revenue]-(dynamic[productCost]*dynamic[orderQuantity])</f>
        <v>43.70058794</v>
      </c>
      <c r="T91" s="25">
        <f>IFERROR(dynamic[profit]/dynamic[revenue], 0)</f>
        <v>0.3518565857</v>
      </c>
    </row>
    <row r="92" ht="15.75" customHeight="1">
      <c r="A92" s="6">
        <v>10282.0</v>
      </c>
      <c r="B92" s="7" t="s">
        <v>42</v>
      </c>
      <c r="C92" s="24" t="str">
        <f>VLOOKUP(dynamic[customerID],customers[],2,FALSE)</f>
        <v>Romero y tomillo</v>
      </c>
      <c r="D92" s="24">
        <v>44788.0</v>
      </c>
      <c r="E92" s="6">
        <f>IFERROR(__xludf.DUMMYFUNCTION("COUNTUNIQUEIFS($A$2:$A92,$B$2:$B92,B92)"),2.0)</f>
        <v>2</v>
      </c>
      <c r="F92" s="6">
        <f t="shared" si="1"/>
        <v>1</v>
      </c>
      <c r="G92" s="6" t="str">
        <f>IF(MINIFS(dynamic[orderDate], dynamic[customerID], B92) &gt;= DATE(2024,4,30)-120, 
     "New", 
     IF(MAXIFS(dynamic[orderCount], dynamic[customerID], B92)&lt;=2, 
        IF((DATE(2024,4,30) - MAXIFS(dynamic[orderDate], dynamic[customerID], B92)) &gt; 180, "Non-Returning", "Dormant"), 
        IF(AND(MAX(dynamic[sinceLastOrder]) &gt; 365, (DATE(2024,4,30) - MAXIFS(dynamic[orderDate], dynamic[customerID], B92)) &gt; 180), 
           "Dormant", "Regular")))</f>
        <v>Regular</v>
      </c>
      <c r="H92" s="6">
        <v>57.0</v>
      </c>
      <c r="I92" s="9" t="str">
        <f>VLOOKUP(dynamic[productID],products[],2,FALSE)</f>
        <v>Ravioli Angelo</v>
      </c>
      <c r="J92" s="9" t="str">
        <f>VLOOKUP(dynamic[productID],products[],12,FALSE)</f>
        <v>Grains/Cereals</v>
      </c>
      <c r="K92" s="7" t="str">
        <f>IF(VLOOKUP(dynamic[productID],products[],7,FALSE)=1,"Discontinued","Current")</f>
        <v>Current</v>
      </c>
      <c r="L92" s="9">
        <f>VLOOKUP(dynamic[productID],products[],IF(YEAR(dynamic[orderDate])=2022,8,IF(YEAR(dynamic[orderDate])=2023,9,IF(YEAR(dynamic[orderDate])=2024,10,NA))),FALSE)</f>
        <v>11.22950766</v>
      </c>
      <c r="M92" s="9">
        <v>15.6</v>
      </c>
      <c r="N92" s="25">
        <f>(dynamic[orderPrice]-dynamic[productCost])/dynamic[productCost]</f>
        <v>0.3891971469</v>
      </c>
      <c r="O92" s="10">
        <v>2.0</v>
      </c>
      <c r="P92" s="25">
        <v>0.0</v>
      </c>
      <c r="Q92" s="9">
        <f>dynamic[orderPrice]*dynamic[orderQuantity]</f>
        <v>31.2</v>
      </c>
      <c r="R92" s="9">
        <f>dynamic[orderTotal]*(1-dynamic[discountApllied])</f>
        <v>31.2</v>
      </c>
      <c r="S92" s="9">
        <f>dynamic[revenue]-(dynamic[productCost]*dynamic[orderQuantity])</f>
        <v>8.740984683</v>
      </c>
      <c r="T92" s="25">
        <f>IFERROR(dynamic[profit]/dynamic[revenue], 0)</f>
        <v>0.2801597655</v>
      </c>
    </row>
    <row r="93" ht="15.75" customHeight="1">
      <c r="A93" s="6">
        <v>10283.0</v>
      </c>
      <c r="B93" s="7" t="s">
        <v>43</v>
      </c>
      <c r="C93" s="24" t="str">
        <f>VLOOKUP(dynamic[customerID],customers[],2,FALSE)</f>
        <v>LILA-Supermercado</v>
      </c>
      <c r="D93" s="24">
        <v>44789.0</v>
      </c>
      <c r="E93" s="6">
        <f>IFERROR(__xludf.DUMMYFUNCTION("COUNTUNIQUEIFS($A$2:$A93,$B$2:$B93,B93)"),1.0)</f>
        <v>1</v>
      </c>
      <c r="F93" s="6">
        <f t="shared" si="1"/>
        <v>0</v>
      </c>
      <c r="G93" s="6" t="str">
        <f>IF(MINIFS(dynamic[orderDate], dynamic[customerID], B93) &gt;= DATE(2024,4,30)-120, 
     "New", 
     IF(MAXIFS(dynamic[orderCount], dynamic[customerID], B93)&lt;=2, 
        IF((DATE(2024,4,30) - MAXIFS(dynamic[orderDate], dynamic[customerID], B93)) &gt; 180, "Non-Returning", "Dormant"), 
        IF(AND(MAX(dynamic[sinceLastOrder]) &gt; 365, (DATE(2024,4,30) - MAXIFS(dynamic[orderDate], dynamic[customerID], B93)) &gt; 180), 
           "Dormant", "Regular")))</f>
        <v>Regular</v>
      </c>
      <c r="H93" s="6">
        <v>15.0</v>
      </c>
      <c r="I93" s="9" t="str">
        <f>VLOOKUP(dynamic[productID],products[],2,FALSE)</f>
        <v>Genen Shouyu</v>
      </c>
      <c r="J93" s="9" t="str">
        <f>VLOOKUP(dynamic[productID],products[],12,FALSE)</f>
        <v>Condiments</v>
      </c>
      <c r="K93" s="7" t="str">
        <f>IF(VLOOKUP(dynamic[productID],products[],7,FALSE)=1,"Discontinued","Current")</f>
        <v>Current</v>
      </c>
      <c r="L93" s="9">
        <f>VLOOKUP(dynamic[productID],products[],IF(YEAR(dynamic[orderDate])=2022,8,IF(YEAR(dynamic[orderDate])=2023,9,IF(YEAR(dynamic[orderDate])=2024,10,NA))),FALSE)</f>
        <v>8.755916865</v>
      </c>
      <c r="M93" s="9">
        <v>12.4</v>
      </c>
      <c r="N93" s="25">
        <f>(dynamic[orderPrice]-dynamic[productCost])/dynamic[productCost]</f>
        <v>0.4161852141</v>
      </c>
      <c r="O93" s="10">
        <v>20.0</v>
      </c>
      <c r="P93" s="25">
        <v>0.0</v>
      </c>
      <c r="Q93" s="9">
        <f>dynamic[orderPrice]*dynamic[orderQuantity]</f>
        <v>248</v>
      </c>
      <c r="R93" s="9">
        <f>dynamic[orderTotal]*(1-dynamic[discountApllied])</f>
        <v>248</v>
      </c>
      <c r="S93" s="9">
        <f>dynamic[revenue]-(dynamic[productCost]*dynamic[orderQuantity])</f>
        <v>72.8816627</v>
      </c>
      <c r="T93" s="25">
        <f>IFERROR(dynamic[profit]/dynamic[revenue], 0)</f>
        <v>0.2938776722</v>
      </c>
    </row>
    <row r="94" ht="15.75" customHeight="1">
      <c r="A94" s="6">
        <v>10283.0</v>
      </c>
      <c r="B94" s="7" t="s">
        <v>43</v>
      </c>
      <c r="C94" s="24" t="str">
        <f>VLOOKUP(dynamic[customerID],customers[],2,FALSE)</f>
        <v>LILA-Supermercado</v>
      </c>
      <c r="D94" s="24">
        <v>44789.0</v>
      </c>
      <c r="E94" s="6">
        <f>IFERROR(__xludf.DUMMYFUNCTION("COUNTUNIQUEIFS($A$2:$A94,$B$2:$B94,B94)"),1.0)</f>
        <v>1</v>
      </c>
      <c r="F94" s="6">
        <f t="shared" si="1"/>
        <v>0</v>
      </c>
      <c r="G94" s="6" t="str">
        <f>IF(MINIFS(dynamic[orderDate], dynamic[customerID], B94) &gt;= DATE(2024,4,30)-120, 
     "New", 
     IF(MAXIFS(dynamic[orderCount], dynamic[customerID], B94)&lt;=2, 
        IF((DATE(2024,4,30) - MAXIFS(dynamic[orderDate], dynamic[customerID], B94)) &gt; 180, "Non-Returning", "Dormant"), 
        IF(AND(MAX(dynamic[sinceLastOrder]) &gt; 365, (DATE(2024,4,30) - MAXIFS(dynamic[orderDate], dynamic[customerID], B94)) &gt; 180), 
           "Dormant", "Regular")))</f>
        <v>Regular</v>
      </c>
      <c r="H94" s="6">
        <v>19.0</v>
      </c>
      <c r="I94" s="9" t="str">
        <f>VLOOKUP(dynamic[productID],products[],2,FALSE)</f>
        <v>Teatime Chocolate Biscuits</v>
      </c>
      <c r="J94" s="9" t="str">
        <f>VLOOKUP(dynamic[productID],products[],12,FALSE)</f>
        <v>Confections</v>
      </c>
      <c r="K94" s="7" t="str">
        <f>IF(VLOOKUP(dynamic[productID],products[],7,FALSE)=1,"Discontinued","Current")</f>
        <v>Current</v>
      </c>
      <c r="L94" s="9">
        <f>VLOOKUP(dynamic[productID],products[],IF(YEAR(dynamic[orderDate])=2022,8,IF(YEAR(dynamic[orderDate])=2023,9,IF(YEAR(dynamic[orderDate])=2024,10,NA))),FALSE)</f>
        <v>5.58120093</v>
      </c>
      <c r="M94" s="9">
        <v>7.3</v>
      </c>
      <c r="N94" s="25">
        <f>(dynamic[orderPrice]-dynamic[productCost])/dynamic[productCost]</f>
        <v>0.3079622274</v>
      </c>
      <c r="O94" s="10">
        <v>18.0</v>
      </c>
      <c r="P94" s="25">
        <v>0.0</v>
      </c>
      <c r="Q94" s="9">
        <f>dynamic[orderPrice]*dynamic[orderQuantity]</f>
        <v>131.4</v>
      </c>
      <c r="R94" s="9">
        <f>dynamic[orderTotal]*(1-dynamic[discountApllied])</f>
        <v>131.4</v>
      </c>
      <c r="S94" s="9">
        <f>dynamic[revenue]-(dynamic[productCost]*dynamic[orderQuantity])</f>
        <v>30.93838326</v>
      </c>
      <c r="T94" s="25">
        <f>IFERROR(dynamic[profit]/dynamic[revenue], 0)</f>
        <v>0.2354519274</v>
      </c>
    </row>
    <row r="95" ht="15.75" customHeight="1">
      <c r="A95" s="6">
        <v>10283.0</v>
      </c>
      <c r="B95" s="7" t="s">
        <v>43</v>
      </c>
      <c r="C95" s="24" t="str">
        <f>VLOOKUP(dynamic[customerID],customers[],2,FALSE)</f>
        <v>LILA-Supermercado</v>
      </c>
      <c r="D95" s="24">
        <v>44789.0</v>
      </c>
      <c r="E95" s="6">
        <f>IFERROR(__xludf.DUMMYFUNCTION("COUNTUNIQUEIFS($A$2:$A95,$B$2:$B95,B95)"),1.0)</f>
        <v>1</v>
      </c>
      <c r="F95" s="6">
        <f t="shared" si="1"/>
        <v>0</v>
      </c>
      <c r="G95" s="6" t="str">
        <f>IF(MINIFS(dynamic[orderDate], dynamic[customerID], B95) &gt;= DATE(2024,4,30)-120, 
     "New", 
     IF(MAXIFS(dynamic[orderCount], dynamic[customerID], B95)&lt;=2, 
        IF((DATE(2024,4,30) - MAXIFS(dynamic[orderDate], dynamic[customerID], B95)) &gt; 180, "Non-Returning", "Dormant"), 
        IF(AND(MAX(dynamic[sinceLastOrder]) &gt; 365, (DATE(2024,4,30) - MAXIFS(dynamic[orderDate], dynamic[customerID], B95)) &gt; 180), 
           "Dormant", "Regular")))</f>
        <v>Regular</v>
      </c>
      <c r="H95" s="6">
        <v>60.0</v>
      </c>
      <c r="I95" s="9" t="str">
        <f>VLOOKUP(dynamic[productID],products[],2,FALSE)</f>
        <v>Camembert Pierrot</v>
      </c>
      <c r="J95" s="9" t="str">
        <f>VLOOKUP(dynamic[productID],products[],12,FALSE)</f>
        <v>Dairy Products</v>
      </c>
      <c r="K95" s="7" t="str">
        <f>IF(VLOOKUP(dynamic[productID],products[],7,FALSE)=1,"Discontinued","Current")</f>
        <v>Current</v>
      </c>
      <c r="L95" s="9">
        <f>VLOOKUP(dynamic[productID],products[],IF(YEAR(dynamic[orderDate])=2022,8,IF(YEAR(dynamic[orderDate])=2023,9,IF(YEAR(dynamic[orderDate])=2024,10,NA))),FALSE)</f>
        <v>17.66563493</v>
      </c>
      <c r="M95" s="9">
        <v>27.2</v>
      </c>
      <c r="N95" s="25">
        <f>(dynamic[orderPrice]-dynamic[productCost])/dynamic[productCost]</f>
        <v>0.5397125612</v>
      </c>
      <c r="O95" s="10">
        <v>35.0</v>
      </c>
      <c r="P95" s="25">
        <v>0.0</v>
      </c>
      <c r="Q95" s="9">
        <f>dynamic[orderPrice]*dynamic[orderQuantity]</f>
        <v>952</v>
      </c>
      <c r="R95" s="9">
        <f>dynamic[orderTotal]*(1-dynamic[discountApllied])</f>
        <v>952</v>
      </c>
      <c r="S95" s="9">
        <f>dynamic[revenue]-(dynamic[productCost]*dynamic[orderQuantity])</f>
        <v>333.7027775</v>
      </c>
      <c r="T95" s="25">
        <f>IFERROR(dynamic[profit]/dynamic[revenue], 0)</f>
        <v>0.3505281276</v>
      </c>
    </row>
    <row r="96" ht="15.75" customHeight="1">
      <c r="A96" s="6">
        <v>10283.0</v>
      </c>
      <c r="B96" s="7" t="s">
        <v>43</v>
      </c>
      <c r="C96" s="24" t="str">
        <f>VLOOKUP(dynamic[customerID],customers[],2,FALSE)</f>
        <v>LILA-Supermercado</v>
      </c>
      <c r="D96" s="24">
        <v>44789.0</v>
      </c>
      <c r="E96" s="6">
        <f>IFERROR(__xludf.DUMMYFUNCTION("COUNTUNIQUEIFS($A$2:$A96,$B$2:$B96,B96)"),1.0)</f>
        <v>1</v>
      </c>
      <c r="F96" s="6">
        <f t="shared" si="1"/>
        <v>0</v>
      </c>
      <c r="G96" s="6" t="str">
        <f>IF(MINIFS(dynamic[orderDate], dynamic[customerID], B96) &gt;= DATE(2024,4,30)-120, 
     "New", 
     IF(MAXIFS(dynamic[orderCount], dynamic[customerID], B96)&lt;=2, 
        IF((DATE(2024,4,30) - MAXIFS(dynamic[orderDate], dynamic[customerID], B96)) &gt; 180, "Non-Returning", "Dormant"), 
        IF(AND(MAX(dynamic[sinceLastOrder]) &gt; 365, (DATE(2024,4,30) - MAXIFS(dynamic[orderDate], dynamic[customerID], B96)) &gt; 180), 
           "Dormant", "Regular")))</f>
        <v>Regular</v>
      </c>
      <c r="H96" s="6">
        <v>72.0</v>
      </c>
      <c r="I96" s="9" t="str">
        <f>VLOOKUP(dynamic[productID],products[],2,FALSE)</f>
        <v>Mozzarella di Giovanni</v>
      </c>
      <c r="J96" s="9" t="str">
        <f>VLOOKUP(dynamic[productID],products[],12,FALSE)</f>
        <v>Dairy Products</v>
      </c>
      <c r="K96" s="7" t="str">
        <f>IF(VLOOKUP(dynamic[productID],products[],7,FALSE)=1,"Discontinued","Current")</f>
        <v>Current</v>
      </c>
      <c r="L96" s="9">
        <f>VLOOKUP(dynamic[productID],products[],IF(YEAR(dynamic[orderDate])=2022,8,IF(YEAR(dynamic[orderDate])=2023,9,IF(YEAR(dynamic[orderDate])=2024,10,NA))),FALSE)</f>
        <v>19.20829334</v>
      </c>
      <c r="M96" s="9">
        <v>27.8</v>
      </c>
      <c r="N96" s="25">
        <f>(dynamic[orderPrice]-dynamic[productCost])/dynamic[productCost]</f>
        <v>0.4472915167</v>
      </c>
      <c r="O96" s="10">
        <v>3.0</v>
      </c>
      <c r="P96" s="25">
        <v>0.0</v>
      </c>
      <c r="Q96" s="9">
        <f>dynamic[orderPrice]*dynamic[orderQuantity]</f>
        <v>83.4</v>
      </c>
      <c r="R96" s="9">
        <f>dynamic[orderTotal]*(1-dynamic[discountApllied])</f>
        <v>83.4</v>
      </c>
      <c r="S96" s="9">
        <f>dynamic[revenue]-(dynamic[productCost]*dynamic[orderQuantity])</f>
        <v>25.77511998</v>
      </c>
      <c r="T96" s="25">
        <f>IFERROR(dynamic[profit]/dynamic[revenue], 0)</f>
        <v>0.3090541965</v>
      </c>
    </row>
    <row r="97" ht="15.75" customHeight="1">
      <c r="A97" s="6">
        <v>10284.0</v>
      </c>
      <c r="B97" s="7" t="s">
        <v>41</v>
      </c>
      <c r="C97" s="24" t="str">
        <f>VLOOKUP(dynamic[customerID],customers[],2,FALSE)</f>
        <v>Lehmanns Marktstand</v>
      </c>
      <c r="D97" s="24">
        <v>44792.0</v>
      </c>
      <c r="E97" s="6">
        <f>IFERROR(__xludf.DUMMYFUNCTION("COUNTUNIQUEIFS($A$2:$A97,$B$2:$B97,B97)"),2.0)</f>
        <v>2</v>
      </c>
      <c r="F97" s="6">
        <f t="shared" si="1"/>
        <v>6</v>
      </c>
      <c r="G97" s="6" t="str">
        <f>IF(MINIFS(dynamic[orderDate], dynamic[customerID], B97) &gt;= DATE(2024,4,30)-120, 
     "New", 
     IF(MAXIFS(dynamic[orderCount], dynamic[customerID], B97)&lt;=2, 
        IF((DATE(2024,4,30) - MAXIFS(dynamic[orderDate], dynamic[customerID], B97)) &gt; 180, "Non-Returning", "Dormant"), 
        IF(AND(MAX(dynamic[sinceLastOrder]) &gt; 365, (DATE(2024,4,30) - MAXIFS(dynamic[orderDate], dynamic[customerID], B97)) &gt; 180), 
           "Dormant", "Regular")))</f>
        <v>Regular</v>
      </c>
      <c r="H97" s="6">
        <v>27.0</v>
      </c>
      <c r="I97" s="9" t="str">
        <f>VLOOKUP(dynamic[productID],products[],2,FALSE)</f>
        <v>Schoggi Schokolade</v>
      </c>
      <c r="J97" s="9" t="str">
        <f>VLOOKUP(dynamic[productID],products[],12,FALSE)</f>
        <v>Confections</v>
      </c>
      <c r="K97" s="7" t="str">
        <f>IF(VLOOKUP(dynamic[productID],products[],7,FALSE)=1,"Discontinued","Current")</f>
        <v>Current</v>
      </c>
      <c r="L97" s="9">
        <f>VLOOKUP(dynamic[productID],products[],IF(YEAR(dynamic[orderDate])=2022,8,IF(YEAR(dynamic[orderDate])=2023,9,IF(YEAR(dynamic[orderDate])=2024,10,NA))),FALSE)</f>
        <v>23.20562839</v>
      </c>
      <c r="M97" s="9">
        <v>35.1</v>
      </c>
      <c r="N97" s="25">
        <f>(dynamic[orderPrice]-dynamic[productCost])/dynamic[productCost]</f>
        <v>0.5125640821</v>
      </c>
      <c r="O97" s="10">
        <v>15.0</v>
      </c>
      <c r="P97" s="25">
        <v>0.25</v>
      </c>
      <c r="Q97" s="9">
        <f>dynamic[orderPrice]*dynamic[orderQuantity]</f>
        <v>526.5</v>
      </c>
      <c r="R97" s="9">
        <f>dynamic[orderTotal]*(1-dynamic[discountApllied])</f>
        <v>394.875</v>
      </c>
      <c r="S97" s="9">
        <f>dynamic[revenue]-(dynamic[productCost]*dynamic[orderQuantity])</f>
        <v>46.7905742</v>
      </c>
      <c r="T97" s="25">
        <f>IFERROR(dynamic[profit]/dynamic[revenue], 0)</f>
        <v>0.1184946482</v>
      </c>
    </row>
    <row r="98" ht="15.75" customHeight="1">
      <c r="A98" s="6">
        <v>10284.0</v>
      </c>
      <c r="B98" s="7" t="s">
        <v>41</v>
      </c>
      <c r="C98" s="24" t="str">
        <f>VLOOKUP(dynamic[customerID],customers[],2,FALSE)</f>
        <v>Lehmanns Marktstand</v>
      </c>
      <c r="D98" s="24">
        <v>44792.0</v>
      </c>
      <c r="E98" s="6">
        <f>IFERROR(__xludf.DUMMYFUNCTION("COUNTUNIQUEIFS($A$2:$A98,$B$2:$B98,B98)"),2.0)</f>
        <v>2</v>
      </c>
      <c r="F98" s="6">
        <f t="shared" si="1"/>
        <v>6</v>
      </c>
      <c r="G98" s="6" t="str">
        <f>IF(MINIFS(dynamic[orderDate], dynamic[customerID], B98) &gt;= DATE(2024,4,30)-120, 
     "New", 
     IF(MAXIFS(dynamic[orderCount], dynamic[customerID], B98)&lt;=2, 
        IF((DATE(2024,4,30) - MAXIFS(dynamic[orderDate], dynamic[customerID], B98)) &gt; 180, "Non-Returning", "Dormant"), 
        IF(AND(MAX(dynamic[sinceLastOrder]) &gt; 365, (DATE(2024,4,30) - MAXIFS(dynamic[orderDate], dynamic[customerID], B98)) &gt; 180), 
           "Dormant", "Regular")))</f>
        <v>Regular</v>
      </c>
      <c r="H98" s="6">
        <v>44.0</v>
      </c>
      <c r="I98" s="9" t="str">
        <f>VLOOKUP(dynamic[productID],products[],2,FALSE)</f>
        <v>Gula Malacca</v>
      </c>
      <c r="J98" s="9" t="str">
        <f>VLOOKUP(dynamic[productID],products[],12,FALSE)</f>
        <v>Condiments</v>
      </c>
      <c r="K98" s="7" t="str">
        <f>IF(VLOOKUP(dynamic[productID],products[],7,FALSE)=1,"Discontinued","Current")</f>
        <v>Current</v>
      </c>
      <c r="L98" s="9">
        <f>VLOOKUP(dynamic[productID],products[],IF(YEAR(dynamic[orderDate])=2022,8,IF(YEAR(dynamic[orderDate])=2023,9,IF(YEAR(dynamic[orderDate])=2024,10,NA))),FALSE)</f>
        <v>10.65165145</v>
      </c>
      <c r="M98" s="9">
        <v>15.5</v>
      </c>
      <c r="N98" s="25">
        <f>(dynamic[orderPrice]-dynamic[productCost])/dynamic[productCost]</f>
        <v>0.4551734138</v>
      </c>
      <c r="O98" s="10">
        <v>21.0</v>
      </c>
      <c r="P98" s="25">
        <v>0.0</v>
      </c>
      <c r="Q98" s="9">
        <f>dynamic[orderPrice]*dynamic[orderQuantity]</f>
        <v>325.5</v>
      </c>
      <c r="R98" s="9">
        <f>dynamic[orderTotal]*(1-dynamic[discountApllied])</f>
        <v>325.5</v>
      </c>
      <c r="S98" s="9">
        <f>dynamic[revenue]-(dynamic[productCost]*dynamic[orderQuantity])</f>
        <v>101.8153196</v>
      </c>
      <c r="T98" s="25">
        <f>IFERROR(dynamic[profit]/dynamic[revenue], 0)</f>
        <v>0.3127966808</v>
      </c>
    </row>
    <row r="99" ht="15.75" customHeight="1">
      <c r="A99" s="6">
        <v>10284.0</v>
      </c>
      <c r="B99" s="7" t="s">
        <v>41</v>
      </c>
      <c r="C99" s="24" t="str">
        <f>VLOOKUP(dynamic[customerID],customers[],2,FALSE)</f>
        <v>Lehmanns Marktstand</v>
      </c>
      <c r="D99" s="24">
        <v>44792.0</v>
      </c>
      <c r="E99" s="6">
        <f>IFERROR(__xludf.DUMMYFUNCTION("COUNTUNIQUEIFS($A$2:$A99,$B$2:$B99,B99)"),2.0)</f>
        <v>2</v>
      </c>
      <c r="F99" s="6">
        <f t="shared" si="1"/>
        <v>6</v>
      </c>
      <c r="G99" s="6" t="str">
        <f>IF(MINIFS(dynamic[orderDate], dynamic[customerID], B99) &gt;= DATE(2024,4,30)-120, 
     "New", 
     IF(MAXIFS(dynamic[orderCount], dynamic[customerID], B99)&lt;=2, 
        IF((DATE(2024,4,30) - MAXIFS(dynamic[orderDate], dynamic[customerID], B99)) &gt; 180, "Non-Returning", "Dormant"), 
        IF(AND(MAX(dynamic[sinceLastOrder]) &gt; 365, (DATE(2024,4,30) - MAXIFS(dynamic[orderDate], dynamic[customerID], B99)) &gt; 180), 
           "Dormant", "Regular")))</f>
        <v>Regular</v>
      </c>
      <c r="H99" s="6">
        <v>60.0</v>
      </c>
      <c r="I99" s="9" t="str">
        <f>VLOOKUP(dynamic[productID],products[],2,FALSE)</f>
        <v>Camembert Pierrot</v>
      </c>
      <c r="J99" s="9" t="str">
        <f>VLOOKUP(dynamic[productID],products[],12,FALSE)</f>
        <v>Dairy Products</v>
      </c>
      <c r="K99" s="7" t="str">
        <f>IF(VLOOKUP(dynamic[productID],products[],7,FALSE)=1,"Discontinued","Current")</f>
        <v>Current</v>
      </c>
      <c r="L99" s="9">
        <f>VLOOKUP(dynamic[productID],products[],IF(YEAR(dynamic[orderDate])=2022,8,IF(YEAR(dynamic[orderDate])=2023,9,IF(YEAR(dynamic[orderDate])=2024,10,NA))),FALSE)</f>
        <v>17.66563493</v>
      </c>
      <c r="M99" s="9">
        <v>27.2</v>
      </c>
      <c r="N99" s="25">
        <f>(dynamic[orderPrice]-dynamic[productCost])/dynamic[productCost]</f>
        <v>0.5397125612</v>
      </c>
      <c r="O99" s="10">
        <v>20.0</v>
      </c>
      <c r="P99" s="25">
        <v>0.25</v>
      </c>
      <c r="Q99" s="9">
        <f>dynamic[orderPrice]*dynamic[orderQuantity]</f>
        <v>544</v>
      </c>
      <c r="R99" s="9">
        <f>dynamic[orderTotal]*(1-dynamic[discountApllied])</f>
        <v>408</v>
      </c>
      <c r="S99" s="9">
        <f>dynamic[revenue]-(dynamic[productCost]*dynamic[orderQuantity])</f>
        <v>54.68730144</v>
      </c>
      <c r="T99" s="25">
        <f>IFERROR(dynamic[profit]/dynamic[revenue], 0)</f>
        <v>0.1340375035</v>
      </c>
    </row>
    <row r="100" ht="15.75" customHeight="1">
      <c r="A100" s="6">
        <v>10284.0</v>
      </c>
      <c r="B100" s="7" t="s">
        <v>41</v>
      </c>
      <c r="C100" s="24" t="str">
        <f>VLOOKUP(dynamic[customerID],customers[],2,FALSE)</f>
        <v>Lehmanns Marktstand</v>
      </c>
      <c r="D100" s="24">
        <v>44792.0</v>
      </c>
      <c r="E100" s="6">
        <f>IFERROR(__xludf.DUMMYFUNCTION("COUNTUNIQUEIFS($A$2:$A100,$B$2:$B100,B100)"),2.0)</f>
        <v>2</v>
      </c>
      <c r="F100" s="6">
        <f t="shared" si="1"/>
        <v>6</v>
      </c>
      <c r="G100" s="6" t="str">
        <f>IF(MINIFS(dynamic[orderDate], dynamic[customerID], B100) &gt;= DATE(2024,4,30)-120, 
     "New", 
     IF(MAXIFS(dynamic[orderCount], dynamic[customerID], B100)&lt;=2, 
        IF((DATE(2024,4,30) - MAXIFS(dynamic[orderDate], dynamic[customerID], B100)) &gt; 180, "Non-Returning", "Dormant"), 
        IF(AND(MAX(dynamic[sinceLastOrder]) &gt; 365, (DATE(2024,4,30) - MAXIFS(dynamic[orderDate], dynamic[customerID], B100)) &gt; 180), 
           "Dormant", "Regular")))</f>
        <v>Regular</v>
      </c>
      <c r="H100" s="6">
        <v>67.0</v>
      </c>
      <c r="I100" s="9" t="str">
        <f>VLOOKUP(dynamic[productID],products[],2,FALSE)</f>
        <v>Laughing Lumberjack Lager</v>
      </c>
      <c r="J100" s="9" t="str">
        <f>VLOOKUP(dynamic[productID],products[],12,FALSE)</f>
        <v>Beverages</v>
      </c>
      <c r="K100" s="7" t="str">
        <f>IF(VLOOKUP(dynamic[productID],products[],7,FALSE)=1,"Discontinued","Current")</f>
        <v>Current</v>
      </c>
      <c r="L100" s="9">
        <f>VLOOKUP(dynamic[productID],products[],IF(YEAR(dynamic[orderDate])=2022,8,IF(YEAR(dynamic[orderDate])=2023,9,IF(YEAR(dynamic[orderDate])=2024,10,NA))),FALSE)</f>
        <v>6.333578634</v>
      </c>
      <c r="M100" s="9">
        <v>11.2</v>
      </c>
      <c r="N100" s="25">
        <f>(dynamic[orderPrice]-dynamic[productCost])/dynamic[productCost]</f>
        <v>0.7683525614</v>
      </c>
      <c r="O100" s="10">
        <v>5.0</v>
      </c>
      <c r="P100" s="25">
        <v>0.25</v>
      </c>
      <c r="Q100" s="9">
        <f>dynamic[orderPrice]*dynamic[orderQuantity]</f>
        <v>56</v>
      </c>
      <c r="R100" s="9">
        <f>dynamic[orderTotal]*(1-dynamic[discountApllied])</f>
        <v>42</v>
      </c>
      <c r="S100" s="9">
        <f>dynamic[revenue]-(dynamic[productCost]*dynamic[orderQuantity])</f>
        <v>10.33210683</v>
      </c>
      <c r="T100" s="25">
        <f>IFERROR(dynamic[profit]/dynamic[revenue], 0)</f>
        <v>0.2460025436</v>
      </c>
    </row>
    <row r="101" ht="15.75" customHeight="1">
      <c r="A101" s="6">
        <v>10285.0</v>
      </c>
      <c r="B101" s="7" t="s">
        <v>36</v>
      </c>
      <c r="C101" s="24" t="str">
        <f>VLOOKUP(dynamic[customerID],customers[],2,FALSE)</f>
        <v>QUICK-Stop</v>
      </c>
      <c r="D101" s="24">
        <v>44793.0</v>
      </c>
      <c r="E101" s="6">
        <f>IFERROR(__xludf.DUMMYFUNCTION("COUNTUNIQUEIFS($A$2:$A101,$B$2:$B101,B101)"),2.0)</f>
        <v>2</v>
      </c>
      <c r="F101" s="6">
        <f t="shared" si="1"/>
        <v>15</v>
      </c>
      <c r="G101" s="6" t="str">
        <f>IF(MINIFS(dynamic[orderDate], dynamic[customerID], B101) &gt;= DATE(2024,4,30)-120, 
     "New", 
     IF(MAXIFS(dynamic[orderCount], dynamic[customerID], B101)&lt;=2, 
        IF((DATE(2024,4,30) - MAXIFS(dynamic[orderDate], dynamic[customerID], B101)) &gt; 180, "Non-Returning", "Dormant"), 
        IF(AND(MAX(dynamic[sinceLastOrder]) &gt; 365, (DATE(2024,4,30) - MAXIFS(dynamic[orderDate], dynamic[customerID], B101)) &gt; 180), 
           "Dormant", "Regular")))</f>
        <v>Regular</v>
      </c>
      <c r="H101" s="6">
        <v>1.0</v>
      </c>
      <c r="I101" s="9" t="str">
        <f>VLOOKUP(dynamic[productID],products[],2,FALSE)</f>
        <v>Chai</v>
      </c>
      <c r="J101" s="9" t="str">
        <f>VLOOKUP(dynamic[productID],products[],12,FALSE)</f>
        <v>Beverages</v>
      </c>
      <c r="K101" s="7" t="str">
        <f>IF(VLOOKUP(dynamic[productID],products[],7,FALSE)=1,"Discontinued","Current")</f>
        <v>Current</v>
      </c>
      <c r="L101" s="9">
        <f>VLOOKUP(dynamic[productID],products[],IF(YEAR(dynamic[orderDate])=2022,8,IF(YEAR(dynamic[orderDate])=2023,9,IF(YEAR(dynamic[orderDate])=2024,10,NA))),FALSE)</f>
        <v>9.574207217</v>
      </c>
      <c r="M101" s="9">
        <v>14.4</v>
      </c>
      <c r="N101" s="25">
        <f>(dynamic[orderPrice]-dynamic[productCost])/dynamic[productCost]</f>
        <v>0.5040409795</v>
      </c>
      <c r="O101" s="10">
        <v>45.0</v>
      </c>
      <c r="P101" s="25">
        <v>0.2</v>
      </c>
      <c r="Q101" s="9">
        <f>dynamic[orderPrice]*dynamic[orderQuantity]</f>
        <v>648</v>
      </c>
      <c r="R101" s="9">
        <f>dynamic[orderTotal]*(1-dynamic[discountApllied])</f>
        <v>518.4</v>
      </c>
      <c r="S101" s="9">
        <f>dynamic[revenue]-(dynamic[productCost]*dynamic[orderQuantity])</f>
        <v>87.56067526</v>
      </c>
      <c r="T101" s="25">
        <f>IFERROR(dynamic[profit]/dynamic[revenue], 0)</f>
        <v>0.1689056236</v>
      </c>
    </row>
    <row r="102" ht="15.75" customHeight="1">
      <c r="A102" s="6">
        <v>10285.0</v>
      </c>
      <c r="B102" s="7" t="s">
        <v>36</v>
      </c>
      <c r="C102" s="24" t="str">
        <f>VLOOKUP(dynamic[customerID],customers[],2,FALSE)</f>
        <v>QUICK-Stop</v>
      </c>
      <c r="D102" s="24">
        <v>44793.0</v>
      </c>
      <c r="E102" s="6">
        <f>IFERROR(__xludf.DUMMYFUNCTION("COUNTUNIQUEIFS($A$2:$A102,$B$2:$B102,B102)"),2.0)</f>
        <v>2</v>
      </c>
      <c r="F102" s="6">
        <f t="shared" si="1"/>
        <v>15</v>
      </c>
      <c r="G102" s="6" t="str">
        <f>IF(MINIFS(dynamic[orderDate], dynamic[customerID], B102) &gt;= DATE(2024,4,30)-120, 
     "New", 
     IF(MAXIFS(dynamic[orderCount], dynamic[customerID], B102)&lt;=2, 
        IF((DATE(2024,4,30) - MAXIFS(dynamic[orderDate], dynamic[customerID], B102)) &gt; 180, "Non-Returning", "Dormant"), 
        IF(AND(MAX(dynamic[sinceLastOrder]) &gt; 365, (DATE(2024,4,30) - MAXIFS(dynamic[orderDate], dynamic[customerID], B102)) &gt; 180), 
           "Dormant", "Regular")))</f>
        <v>Regular</v>
      </c>
      <c r="H102" s="6">
        <v>40.0</v>
      </c>
      <c r="I102" s="9" t="str">
        <f>VLOOKUP(dynamic[productID],products[],2,FALSE)</f>
        <v>Boston Crab Meat</v>
      </c>
      <c r="J102" s="9" t="str">
        <f>VLOOKUP(dynamic[productID],products[],12,FALSE)</f>
        <v>Seafood</v>
      </c>
      <c r="K102" s="7" t="str">
        <f>IF(VLOOKUP(dynamic[productID],products[],7,FALSE)=1,"Discontinued","Current")</f>
        <v>Current</v>
      </c>
      <c r="L102" s="9">
        <f>VLOOKUP(dynamic[productID],products[],IF(YEAR(dynamic[orderDate])=2022,8,IF(YEAR(dynamic[orderDate])=2023,9,IF(YEAR(dynamic[orderDate])=2024,10,NA))),FALSE)</f>
        <v>9.680649108</v>
      </c>
      <c r="M102" s="9">
        <v>14.7</v>
      </c>
      <c r="N102" s="25">
        <f>(dynamic[orderPrice]-dynamic[productCost])/dynamic[productCost]</f>
        <v>0.5184932162</v>
      </c>
      <c r="O102" s="10">
        <v>40.0</v>
      </c>
      <c r="P102" s="25">
        <v>0.2</v>
      </c>
      <c r="Q102" s="9">
        <f>dynamic[orderPrice]*dynamic[orderQuantity]</f>
        <v>588</v>
      </c>
      <c r="R102" s="9">
        <f>dynamic[orderTotal]*(1-dynamic[discountApllied])</f>
        <v>470.4</v>
      </c>
      <c r="S102" s="9">
        <f>dynamic[revenue]-(dynamic[productCost]*dynamic[orderQuantity])</f>
        <v>83.17403566</v>
      </c>
      <c r="T102" s="25">
        <f>IFERROR(dynamic[profit]/dynamic[revenue], 0)</f>
        <v>0.176815552</v>
      </c>
    </row>
    <row r="103" ht="15.75" customHeight="1">
      <c r="A103" s="6">
        <v>10285.0</v>
      </c>
      <c r="B103" s="7" t="s">
        <v>36</v>
      </c>
      <c r="C103" s="24" t="str">
        <f>VLOOKUP(dynamic[customerID],customers[],2,FALSE)</f>
        <v>QUICK-Stop</v>
      </c>
      <c r="D103" s="24">
        <v>44793.0</v>
      </c>
      <c r="E103" s="6">
        <f>IFERROR(__xludf.DUMMYFUNCTION("COUNTUNIQUEIFS($A$2:$A103,$B$2:$B103,B103)"),2.0)</f>
        <v>2</v>
      </c>
      <c r="F103" s="6">
        <f t="shared" si="1"/>
        <v>15</v>
      </c>
      <c r="G103" s="6" t="str">
        <f>IF(MINIFS(dynamic[orderDate], dynamic[customerID], B103) &gt;= DATE(2024,4,30)-120, 
     "New", 
     IF(MAXIFS(dynamic[orderCount], dynamic[customerID], B103)&lt;=2, 
        IF((DATE(2024,4,30) - MAXIFS(dynamic[orderDate], dynamic[customerID], B103)) &gt; 180, "Non-Returning", "Dormant"), 
        IF(AND(MAX(dynamic[sinceLastOrder]) &gt; 365, (DATE(2024,4,30) - MAXIFS(dynamic[orderDate], dynamic[customerID], B103)) &gt; 180), 
           "Dormant", "Regular")))</f>
        <v>Regular</v>
      </c>
      <c r="H103" s="6">
        <v>53.0</v>
      </c>
      <c r="I103" s="9" t="str">
        <f>VLOOKUP(dynamic[productID],products[],2,FALSE)</f>
        <v>Perth Pasties</v>
      </c>
      <c r="J103" s="9" t="str">
        <f>VLOOKUP(dynamic[productID],products[],12,FALSE)</f>
        <v>Meat/Poultry</v>
      </c>
      <c r="K103" s="7" t="str">
        <f>IF(VLOOKUP(dynamic[productID],products[],7,FALSE)=1,"Discontinued","Current")</f>
        <v>Discontinued</v>
      </c>
      <c r="L103" s="9">
        <f>VLOOKUP(dynamic[productID],products[],IF(YEAR(dynamic[orderDate])=2022,8,IF(YEAR(dynamic[orderDate])=2023,9,IF(YEAR(dynamic[orderDate])=2024,10,NA))),FALSE)</f>
        <v>18.33322006</v>
      </c>
      <c r="M103" s="9">
        <v>26.2</v>
      </c>
      <c r="N103" s="25">
        <f>(dynamic[orderPrice]-dynamic[productCost])/dynamic[productCost]</f>
        <v>0.4290997391</v>
      </c>
      <c r="O103" s="10">
        <v>36.0</v>
      </c>
      <c r="P103" s="25">
        <v>0.2</v>
      </c>
      <c r="Q103" s="9">
        <f>dynamic[orderPrice]*dynamic[orderQuantity]</f>
        <v>943.2</v>
      </c>
      <c r="R103" s="9">
        <f>dynamic[orderTotal]*(1-dynamic[discountApllied])</f>
        <v>754.56</v>
      </c>
      <c r="S103" s="9">
        <f>dynamic[revenue]-(dynamic[productCost]*dynamic[orderQuantity])</f>
        <v>94.56407797</v>
      </c>
      <c r="T103" s="25">
        <f>IFERROR(dynamic[profit]/dynamic[revenue], 0)</f>
        <v>0.1253234706</v>
      </c>
    </row>
    <row r="104" ht="15.75" customHeight="1">
      <c r="A104" s="6">
        <v>10286.0</v>
      </c>
      <c r="B104" s="7" t="s">
        <v>36</v>
      </c>
      <c r="C104" s="24" t="str">
        <f>VLOOKUP(dynamic[customerID],customers[],2,FALSE)</f>
        <v>QUICK-Stop</v>
      </c>
      <c r="D104" s="24">
        <v>44794.0</v>
      </c>
      <c r="E104" s="6">
        <f>IFERROR(__xludf.DUMMYFUNCTION("COUNTUNIQUEIFS($A$2:$A104,$B$2:$B104,B104)"),3.0)</f>
        <v>3</v>
      </c>
      <c r="F104" s="6">
        <f t="shared" si="1"/>
        <v>1</v>
      </c>
      <c r="G104" s="6" t="str">
        <f>IF(MINIFS(dynamic[orderDate], dynamic[customerID], B104) &gt;= DATE(2024,4,30)-120, 
     "New", 
     IF(MAXIFS(dynamic[orderCount], dynamic[customerID], B104)&lt;=2, 
        IF((DATE(2024,4,30) - MAXIFS(dynamic[orderDate], dynamic[customerID], B104)) &gt; 180, "Non-Returning", "Dormant"), 
        IF(AND(MAX(dynamic[sinceLastOrder]) &gt; 365, (DATE(2024,4,30) - MAXIFS(dynamic[orderDate], dynamic[customerID], B104)) &gt; 180), 
           "Dormant", "Regular")))</f>
        <v>Regular</v>
      </c>
      <c r="H104" s="6">
        <v>35.0</v>
      </c>
      <c r="I104" s="9" t="str">
        <f>VLOOKUP(dynamic[productID],products[],2,FALSE)</f>
        <v>Cold Brew Nitro</v>
      </c>
      <c r="J104" s="9" t="str">
        <f>VLOOKUP(dynamic[productID],products[],12,FALSE)</f>
        <v>Beverages</v>
      </c>
      <c r="K104" s="7" t="str">
        <f>IF(VLOOKUP(dynamic[productID],products[],7,FALSE)=1,"Discontinued","Current")</f>
        <v>Current</v>
      </c>
      <c r="L104" s="9">
        <f>VLOOKUP(dynamic[productID],products[],IF(YEAR(dynamic[orderDate])=2022,8,IF(YEAR(dynamic[orderDate])=2023,9,IF(YEAR(dynamic[orderDate])=2024,10,NA))),FALSE)</f>
        <v>10.19869089</v>
      </c>
      <c r="M104" s="9">
        <v>14.4</v>
      </c>
      <c r="N104" s="25">
        <f>(dynamic[orderPrice]-dynamic[productCost])/dynamic[productCost]</f>
        <v>0.4119459208</v>
      </c>
      <c r="O104" s="10">
        <v>100.0</v>
      </c>
      <c r="P104" s="25">
        <v>0.0</v>
      </c>
      <c r="Q104" s="9">
        <f>dynamic[orderPrice]*dynamic[orderQuantity]</f>
        <v>1440</v>
      </c>
      <c r="R104" s="9">
        <f>dynamic[orderTotal]*(1-dynamic[discountApllied])</f>
        <v>1440</v>
      </c>
      <c r="S104" s="9">
        <f>dynamic[revenue]-(dynamic[productCost]*dynamic[orderQuantity])</f>
        <v>420.130911</v>
      </c>
      <c r="T104" s="25">
        <f>IFERROR(dynamic[profit]/dynamic[revenue], 0)</f>
        <v>0.2917575771</v>
      </c>
    </row>
    <row r="105" ht="15.75" customHeight="1">
      <c r="A105" s="6">
        <v>10286.0</v>
      </c>
      <c r="B105" s="7" t="s">
        <v>36</v>
      </c>
      <c r="C105" s="24" t="str">
        <f>VLOOKUP(dynamic[customerID],customers[],2,FALSE)</f>
        <v>QUICK-Stop</v>
      </c>
      <c r="D105" s="24">
        <v>44794.0</v>
      </c>
      <c r="E105" s="6">
        <f>IFERROR(__xludf.DUMMYFUNCTION("COUNTUNIQUEIFS($A$2:$A105,$B$2:$B105,B105)"),3.0)</f>
        <v>3</v>
      </c>
      <c r="F105" s="6">
        <f t="shared" si="1"/>
        <v>1</v>
      </c>
      <c r="G105" s="6" t="str">
        <f>IF(MINIFS(dynamic[orderDate], dynamic[customerID], B105) &gt;= DATE(2024,4,30)-120, 
     "New", 
     IF(MAXIFS(dynamic[orderCount], dynamic[customerID], B105)&lt;=2, 
        IF((DATE(2024,4,30) - MAXIFS(dynamic[orderDate], dynamic[customerID], B105)) &gt; 180, "Non-Returning", "Dormant"), 
        IF(AND(MAX(dynamic[sinceLastOrder]) &gt; 365, (DATE(2024,4,30) - MAXIFS(dynamic[orderDate], dynamic[customerID], B105)) &gt; 180), 
           "Dormant", "Regular")))</f>
        <v>Regular</v>
      </c>
      <c r="H105" s="6">
        <v>62.0</v>
      </c>
      <c r="I105" s="9" t="str">
        <f>VLOOKUP(dynamic[productID],products[],2,FALSE)</f>
        <v>Tarte au sucre</v>
      </c>
      <c r="J105" s="9" t="str">
        <f>VLOOKUP(dynamic[productID],products[],12,FALSE)</f>
        <v>Confections</v>
      </c>
      <c r="K105" s="7" t="str">
        <f>IF(VLOOKUP(dynamic[productID],products[],7,FALSE)=1,"Discontinued","Current")</f>
        <v>Current</v>
      </c>
      <c r="L105" s="9">
        <f>VLOOKUP(dynamic[productID],products[],IF(YEAR(dynamic[orderDate])=2022,8,IF(YEAR(dynamic[orderDate])=2023,9,IF(YEAR(dynamic[orderDate])=2024,10,NA))),FALSE)</f>
        <v>29.35963319</v>
      </c>
      <c r="M105" s="9">
        <v>39.4</v>
      </c>
      <c r="N105" s="25">
        <f>(dynamic[orderPrice]-dynamic[productCost])/dynamic[productCost]</f>
        <v>0.3419786189</v>
      </c>
      <c r="O105" s="10">
        <v>40.0</v>
      </c>
      <c r="P105" s="25">
        <v>0.0</v>
      </c>
      <c r="Q105" s="9">
        <f>dynamic[orderPrice]*dynamic[orderQuantity]</f>
        <v>1576</v>
      </c>
      <c r="R105" s="9">
        <f>dynamic[orderTotal]*(1-dynamic[discountApllied])</f>
        <v>1576</v>
      </c>
      <c r="S105" s="9">
        <f>dynamic[revenue]-(dynamic[productCost]*dynamic[orderQuantity])</f>
        <v>401.6146724</v>
      </c>
      <c r="T105" s="25">
        <f>IFERROR(dynamic[profit]/dynamic[revenue], 0)</f>
        <v>0.2548316449</v>
      </c>
    </row>
    <row r="106" ht="15.75" customHeight="1">
      <c r="A106" s="6">
        <v>10287.0</v>
      </c>
      <c r="B106" s="7" t="s">
        <v>44</v>
      </c>
      <c r="C106" s="24" t="str">
        <f>VLOOKUP(dynamic[customerID],customers[],2,FALSE)</f>
        <v>Ricardo Adocicados</v>
      </c>
      <c r="D106" s="24">
        <v>44795.0</v>
      </c>
      <c r="E106" s="6">
        <f>IFERROR(__xludf.DUMMYFUNCTION("COUNTUNIQUEIFS($A$2:$A106,$B$2:$B106,B106)"),1.0)</f>
        <v>1</v>
      </c>
      <c r="F106" s="6">
        <f t="shared" si="1"/>
        <v>0</v>
      </c>
      <c r="G106" s="6" t="str">
        <f>IF(MINIFS(dynamic[orderDate], dynamic[customerID], B106) &gt;= DATE(2024,4,30)-120, 
     "New", 
     IF(MAXIFS(dynamic[orderCount], dynamic[customerID], B106)&lt;=2, 
        IF((DATE(2024,4,30) - MAXIFS(dynamic[orderDate], dynamic[customerID], B106)) &gt; 180, "Non-Returning", "Dormant"), 
        IF(AND(MAX(dynamic[sinceLastOrder]) &gt; 365, (DATE(2024,4,30) - MAXIFS(dynamic[orderDate], dynamic[customerID], B106)) &gt; 180), 
           "Dormant", "Regular")))</f>
        <v>Regular</v>
      </c>
      <c r="H106" s="6">
        <v>16.0</v>
      </c>
      <c r="I106" s="9" t="str">
        <f>VLOOKUP(dynamic[productID],products[],2,FALSE)</f>
        <v>Pavlova</v>
      </c>
      <c r="J106" s="9" t="str">
        <f>VLOOKUP(dynamic[productID],products[],12,FALSE)</f>
        <v>Confections</v>
      </c>
      <c r="K106" s="7" t="str">
        <f>IF(VLOOKUP(dynamic[productID],products[],7,FALSE)=1,"Discontinued","Current")</f>
        <v>Current</v>
      </c>
      <c r="L106" s="9">
        <f>VLOOKUP(dynamic[productID],products[],IF(YEAR(dynamic[orderDate])=2022,8,IF(YEAR(dynamic[orderDate])=2023,9,IF(YEAR(dynamic[orderDate])=2024,10,NA))),FALSE)</f>
        <v>9.80658008</v>
      </c>
      <c r="M106" s="9">
        <v>13.9</v>
      </c>
      <c r="N106" s="25">
        <f>(dynamic[orderPrice]-dynamic[productCost])/dynamic[productCost]</f>
        <v>0.417415642</v>
      </c>
      <c r="O106" s="10">
        <v>40.0</v>
      </c>
      <c r="P106" s="25">
        <v>0.15</v>
      </c>
      <c r="Q106" s="9">
        <f>dynamic[orderPrice]*dynamic[orderQuantity]</f>
        <v>556</v>
      </c>
      <c r="R106" s="9">
        <f>dynamic[orderTotal]*(1-dynamic[discountApllied])</f>
        <v>472.6</v>
      </c>
      <c r="S106" s="9">
        <f>dynamic[revenue]-(dynamic[productCost]*dynamic[orderQuantity])</f>
        <v>80.3367968</v>
      </c>
      <c r="T106" s="25">
        <f>IFERROR(dynamic[profit]/dynamic[revenue], 0)</f>
        <v>0.1699889903</v>
      </c>
    </row>
    <row r="107" ht="15.75" customHeight="1">
      <c r="A107" s="6">
        <v>10287.0</v>
      </c>
      <c r="B107" s="7" t="s">
        <v>44</v>
      </c>
      <c r="C107" s="24" t="str">
        <f>VLOOKUP(dynamic[customerID],customers[],2,FALSE)</f>
        <v>Ricardo Adocicados</v>
      </c>
      <c r="D107" s="24">
        <v>44795.0</v>
      </c>
      <c r="E107" s="6">
        <f>IFERROR(__xludf.DUMMYFUNCTION("COUNTUNIQUEIFS($A$2:$A107,$B$2:$B107,B107)"),1.0)</f>
        <v>1</v>
      </c>
      <c r="F107" s="6">
        <f t="shared" si="1"/>
        <v>0</v>
      </c>
      <c r="G107" s="6" t="str">
        <f>IF(MINIFS(dynamic[orderDate], dynamic[customerID], B107) &gt;= DATE(2024,4,30)-120, 
     "New", 
     IF(MAXIFS(dynamic[orderCount], dynamic[customerID], B107)&lt;=2, 
        IF((DATE(2024,4,30) - MAXIFS(dynamic[orderDate], dynamic[customerID], B107)) &gt; 180, "Non-Returning", "Dormant"), 
        IF(AND(MAX(dynamic[sinceLastOrder]) &gt; 365, (DATE(2024,4,30) - MAXIFS(dynamic[orderDate], dynamic[customerID], B107)) &gt; 180), 
           "Dormant", "Regular")))</f>
        <v>Regular</v>
      </c>
      <c r="H107" s="6">
        <v>34.0</v>
      </c>
      <c r="I107" s="9" t="str">
        <f>VLOOKUP(dynamic[productID],products[],2,FALSE)</f>
        <v>Sasquatch Ale</v>
      </c>
      <c r="J107" s="9" t="str">
        <f>VLOOKUP(dynamic[productID],products[],12,FALSE)</f>
        <v>Beverages</v>
      </c>
      <c r="K107" s="7" t="str">
        <f>IF(VLOOKUP(dynamic[productID],products[],7,FALSE)=1,"Discontinued","Current")</f>
        <v>Current</v>
      </c>
      <c r="L107" s="9">
        <f>VLOOKUP(dynamic[productID],products[],IF(YEAR(dynamic[orderDate])=2022,8,IF(YEAR(dynamic[orderDate])=2023,9,IF(YEAR(dynamic[orderDate])=2024,10,NA))),FALSE)</f>
        <v>8.233671911</v>
      </c>
      <c r="M107" s="9">
        <v>11.2</v>
      </c>
      <c r="N107" s="25">
        <f>(dynamic[orderPrice]-dynamic[productCost])/dynamic[productCost]</f>
        <v>0.3602679486</v>
      </c>
      <c r="O107" s="10">
        <v>20.0</v>
      </c>
      <c r="P107" s="25">
        <v>0.0</v>
      </c>
      <c r="Q107" s="9">
        <f>dynamic[orderPrice]*dynamic[orderQuantity]</f>
        <v>224</v>
      </c>
      <c r="R107" s="9">
        <f>dynamic[orderTotal]*(1-dynamic[discountApllied])</f>
        <v>224</v>
      </c>
      <c r="S107" s="9">
        <f>dynamic[revenue]-(dynamic[productCost]*dynamic[orderQuantity])</f>
        <v>59.32656178</v>
      </c>
      <c r="T107" s="25">
        <f>IFERROR(dynamic[profit]/dynamic[revenue], 0)</f>
        <v>0.2648507222</v>
      </c>
    </row>
    <row r="108" ht="15.75" customHeight="1">
      <c r="A108" s="6">
        <v>10287.0</v>
      </c>
      <c r="B108" s="7" t="s">
        <v>44</v>
      </c>
      <c r="C108" s="24" t="str">
        <f>VLOOKUP(dynamic[customerID],customers[],2,FALSE)</f>
        <v>Ricardo Adocicados</v>
      </c>
      <c r="D108" s="24">
        <v>44795.0</v>
      </c>
      <c r="E108" s="6">
        <f>IFERROR(__xludf.DUMMYFUNCTION("COUNTUNIQUEIFS($A$2:$A108,$B$2:$B108,B108)"),1.0)</f>
        <v>1</v>
      </c>
      <c r="F108" s="6">
        <f t="shared" si="1"/>
        <v>0</v>
      </c>
      <c r="G108" s="6" t="str">
        <f>IF(MINIFS(dynamic[orderDate], dynamic[customerID], B108) &gt;= DATE(2024,4,30)-120, 
     "New", 
     IF(MAXIFS(dynamic[orderCount], dynamic[customerID], B108)&lt;=2, 
        IF((DATE(2024,4,30) - MAXIFS(dynamic[orderDate], dynamic[customerID], B108)) &gt; 180, "Non-Returning", "Dormant"), 
        IF(AND(MAX(dynamic[sinceLastOrder]) &gt; 365, (DATE(2024,4,30) - MAXIFS(dynamic[orderDate], dynamic[customerID], B108)) &gt; 180), 
           "Dormant", "Regular")))</f>
        <v>Regular</v>
      </c>
      <c r="H108" s="6">
        <v>46.0</v>
      </c>
      <c r="I108" s="9" t="str">
        <f>VLOOKUP(dynamic[productID],products[],2,FALSE)</f>
        <v>Spegesild</v>
      </c>
      <c r="J108" s="9" t="str">
        <f>VLOOKUP(dynamic[productID],products[],12,FALSE)</f>
        <v>Seafood</v>
      </c>
      <c r="K108" s="7" t="str">
        <f>IF(VLOOKUP(dynamic[productID],products[],7,FALSE)=1,"Discontinued","Current")</f>
        <v>Current</v>
      </c>
      <c r="L108" s="9">
        <f>VLOOKUP(dynamic[productID],products[],IF(YEAR(dynamic[orderDate])=2022,8,IF(YEAR(dynamic[orderDate])=2023,9,IF(YEAR(dynamic[orderDate])=2024,10,NA))),FALSE)</f>
        <v>6.266275015</v>
      </c>
      <c r="M108" s="9">
        <v>9.6</v>
      </c>
      <c r="N108" s="25">
        <f>(dynamic[orderPrice]-dynamic[productCost])/dynamic[productCost]</f>
        <v>0.5320106406</v>
      </c>
      <c r="O108" s="10">
        <v>15.0</v>
      </c>
      <c r="P108" s="25">
        <v>0.15</v>
      </c>
      <c r="Q108" s="9">
        <f>dynamic[orderPrice]*dynamic[orderQuantity]</f>
        <v>144</v>
      </c>
      <c r="R108" s="9">
        <f>dynamic[orderTotal]*(1-dynamic[discountApllied])</f>
        <v>122.4</v>
      </c>
      <c r="S108" s="9">
        <f>dynamic[revenue]-(dynamic[productCost]*dynamic[orderQuantity])</f>
        <v>28.40587477</v>
      </c>
      <c r="T108" s="25">
        <f>IFERROR(dynamic[profit]/dynamic[revenue], 0)</f>
        <v>0.2320741403</v>
      </c>
    </row>
    <row r="109" ht="15.75" customHeight="1">
      <c r="A109" s="6">
        <v>10288.0</v>
      </c>
      <c r="B109" s="7" t="s">
        <v>45</v>
      </c>
      <c r="C109" s="24" t="str">
        <f>VLOOKUP(dynamic[customerID],customers[],2,FALSE)</f>
        <v>Reggiani Caseifici</v>
      </c>
      <c r="D109" s="24">
        <v>44796.0</v>
      </c>
      <c r="E109" s="6">
        <f>IFERROR(__xludf.DUMMYFUNCTION("COUNTUNIQUEIFS($A$2:$A109,$B$2:$B109,B109)"),1.0)</f>
        <v>1</v>
      </c>
      <c r="F109" s="6">
        <f t="shared" si="1"/>
        <v>0</v>
      </c>
      <c r="G109" s="6" t="str">
        <f>IF(MINIFS(dynamic[orderDate], dynamic[customerID], B109) &gt;= DATE(2024,4,30)-120, 
     "New", 
     IF(MAXIFS(dynamic[orderCount], dynamic[customerID], B109)&lt;=2, 
        IF((DATE(2024,4,30) - MAXIFS(dynamic[orderDate], dynamic[customerID], B109)) &gt; 180, "Non-Returning", "Dormant"), 
        IF(AND(MAX(dynamic[sinceLastOrder]) &gt; 365, (DATE(2024,4,30) - MAXIFS(dynamic[orderDate], dynamic[customerID], B109)) &gt; 180), 
           "Dormant", "Regular")))</f>
        <v>Regular</v>
      </c>
      <c r="H109" s="6">
        <v>54.0</v>
      </c>
      <c r="I109" s="9" t="str">
        <f>VLOOKUP(dynamic[productID],products[],2,FALSE)</f>
        <v>Tourtière</v>
      </c>
      <c r="J109" s="9" t="str">
        <f>VLOOKUP(dynamic[productID],products[],12,FALSE)</f>
        <v>Meat/Poultry</v>
      </c>
      <c r="K109" s="7" t="str">
        <f>IF(VLOOKUP(dynamic[productID],products[],7,FALSE)=1,"Discontinued","Current")</f>
        <v>Current</v>
      </c>
      <c r="L109" s="9">
        <f>VLOOKUP(dynamic[productID],products[],IF(YEAR(dynamic[orderDate])=2022,8,IF(YEAR(dynamic[orderDate])=2023,9,IF(YEAR(dynamic[orderDate])=2024,10,NA))),FALSE)</f>
        <v>4.309848919</v>
      </c>
      <c r="M109" s="9">
        <v>5.9</v>
      </c>
      <c r="N109" s="25">
        <f>(dynamic[orderPrice]-dynamic[productCost])/dynamic[productCost]</f>
        <v>0.3689574996</v>
      </c>
      <c r="O109" s="10">
        <v>10.0</v>
      </c>
      <c r="P109" s="25">
        <v>0.1</v>
      </c>
      <c r="Q109" s="9">
        <f>dynamic[orderPrice]*dynamic[orderQuantity]</f>
        <v>59</v>
      </c>
      <c r="R109" s="9">
        <f>dynamic[orderTotal]*(1-dynamic[discountApllied])</f>
        <v>53.1</v>
      </c>
      <c r="S109" s="9">
        <f>dynamic[revenue]-(dynamic[productCost]*dynamic[orderQuantity])</f>
        <v>10.00151081</v>
      </c>
      <c r="T109" s="25">
        <f>IFERROR(dynamic[profit]/dynamic[revenue], 0)</f>
        <v>0.1883523693</v>
      </c>
    </row>
    <row r="110" ht="15.75" customHeight="1">
      <c r="A110" s="6">
        <v>10288.0</v>
      </c>
      <c r="B110" s="7" t="s">
        <v>45</v>
      </c>
      <c r="C110" s="24" t="str">
        <f>VLOOKUP(dynamic[customerID],customers[],2,FALSE)</f>
        <v>Reggiani Caseifici</v>
      </c>
      <c r="D110" s="24">
        <v>44796.0</v>
      </c>
      <c r="E110" s="6">
        <f>IFERROR(__xludf.DUMMYFUNCTION("COUNTUNIQUEIFS($A$2:$A110,$B$2:$B110,B110)"),1.0)</f>
        <v>1</v>
      </c>
      <c r="F110" s="6">
        <f t="shared" si="1"/>
        <v>0</v>
      </c>
      <c r="G110" s="6" t="str">
        <f>IF(MINIFS(dynamic[orderDate], dynamic[customerID], B110) &gt;= DATE(2024,4,30)-120, 
     "New", 
     IF(MAXIFS(dynamic[orderCount], dynamic[customerID], B110)&lt;=2, 
        IF((DATE(2024,4,30) - MAXIFS(dynamic[orderDate], dynamic[customerID], B110)) &gt; 180, "Non-Returning", "Dormant"), 
        IF(AND(MAX(dynamic[sinceLastOrder]) &gt; 365, (DATE(2024,4,30) - MAXIFS(dynamic[orderDate], dynamic[customerID], B110)) &gt; 180), 
           "Dormant", "Regular")))</f>
        <v>Regular</v>
      </c>
      <c r="H110" s="6">
        <v>68.0</v>
      </c>
      <c r="I110" s="9" t="str">
        <f>VLOOKUP(dynamic[productID],products[],2,FALSE)</f>
        <v>Scottish Longbreads</v>
      </c>
      <c r="J110" s="9" t="str">
        <f>VLOOKUP(dynamic[productID],products[],12,FALSE)</f>
        <v>Confections</v>
      </c>
      <c r="K110" s="7" t="str">
        <f>IF(VLOOKUP(dynamic[productID],products[],7,FALSE)=1,"Discontinued","Current")</f>
        <v>Current</v>
      </c>
      <c r="L110" s="9">
        <f>VLOOKUP(dynamic[productID],products[],IF(YEAR(dynamic[orderDate])=2022,8,IF(YEAR(dynamic[orderDate])=2023,9,IF(YEAR(dynamic[orderDate])=2024,10,NA))),FALSE)</f>
        <v>7.316656529</v>
      </c>
      <c r="M110" s="9">
        <v>10.0</v>
      </c>
      <c r="N110" s="25">
        <f>(dynamic[orderPrice]-dynamic[productCost])/dynamic[productCost]</f>
        <v>0.3667444906</v>
      </c>
      <c r="O110" s="10">
        <v>3.0</v>
      </c>
      <c r="P110" s="25">
        <v>0.1</v>
      </c>
      <c r="Q110" s="9">
        <f>dynamic[orderPrice]*dynamic[orderQuantity]</f>
        <v>30</v>
      </c>
      <c r="R110" s="9">
        <f>dynamic[orderTotal]*(1-dynamic[discountApllied])</f>
        <v>27</v>
      </c>
      <c r="S110" s="9">
        <f>dynamic[revenue]-(dynamic[productCost]*dynamic[orderQuantity])</f>
        <v>5.050030414</v>
      </c>
      <c r="T110" s="25">
        <f>IFERROR(dynamic[profit]/dynamic[revenue], 0)</f>
        <v>0.1870381635</v>
      </c>
    </row>
    <row r="111" ht="15.75" customHeight="1">
      <c r="A111" s="6">
        <v>10289.0</v>
      </c>
      <c r="B111" s="7" t="s">
        <v>46</v>
      </c>
      <c r="C111" s="24" t="str">
        <f>VLOOKUP(dynamic[customerID],customers[],2,FALSE)</f>
        <v>B's Beverages</v>
      </c>
      <c r="D111" s="24">
        <v>44799.0</v>
      </c>
      <c r="E111" s="6">
        <f>IFERROR(__xludf.DUMMYFUNCTION("COUNTUNIQUEIFS($A$2:$A111,$B$2:$B111,B111)"),1.0)</f>
        <v>1</v>
      </c>
      <c r="F111" s="6">
        <f t="shared" si="1"/>
        <v>0</v>
      </c>
      <c r="G111" s="6" t="str">
        <f>IF(MINIFS(dynamic[orderDate], dynamic[customerID], B111) &gt;= DATE(2024,4,30)-120, 
     "New", 
     IF(MAXIFS(dynamic[orderCount], dynamic[customerID], B111)&lt;=2, 
        IF((DATE(2024,4,30) - MAXIFS(dynamic[orderDate], dynamic[customerID], B111)) &gt; 180, "Non-Returning", "Dormant"), 
        IF(AND(MAX(dynamic[sinceLastOrder]) &gt; 365, (DATE(2024,4,30) - MAXIFS(dynamic[orderDate], dynamic[customerID], B111)) &gt; 180), 
           "Dormant", "Regular")))</f>
        <v>Regular</v>
      </c>
      <c r="H111" s="6">
        <v>3.0</v>
      </c>
      <c r="I111" s="9" t="str">
        <f>VLOOKUP(dynamic[productID],products[],2,FALSE)</f>
        <v>Aniseed Syrup</v>
      </c>
      <c r="J111" s="9" t="str">
        <f>VLOOKUP(dynamic[productID],products[],12,FALSE)</f>
        <v>Condiments</v>
      </c>
      <c r="K111" s="7" t="str">
        <f>IF(VLOOKUP(dynamic[productID],products[],7,FALSE)=1,"Discontinued","Current")</f>
        <v>Current</v>
      </c>
      <c r="L111" s="9">
        <f>VLOOKUP(dynamic[productID],products[],IF(YEAR(dynamic[orderDate])=2022,8,IF(YEAR(dynamic[orderDate])=2023,9,IF(YEAR(dynamic[orderDate])=2024,10,NA))),FALSE)</f>
        <v>5.621819606</v>
      </c>
      <c r="M111" s="9">
        <v>8.0</v>
      </c>
      <c r="N111" s="25">
        <f>(dynamic[orderPrice]-dynamic[productCost])/dynamic[productCost]</f>
        <v>0.4230268063</v>
      </c>
      <c r="O111" s="10">
        <v>30.0</v>
      </c>
      <c r="P111" s="25">
        <v>0.0</v>
      </c>
      <c r="Q111" s="9">
        <f>dynamic[orderPrice]*dynamic[orderQuantity]</f>
        <v>240</v>
      </c>
      <c r="R111" s="9">
        <f>dynamic[orderTotal]*(1-dynamic[discountApllied])</f>
        <v>240</v>
      </c>
      <c r="S111" s="9">
        <f>dynamic[revenue]-(dynamic[productCost]*dynamic[orderQuantity])</f>
        <v>71.34541181</v>
      </c>
      <c r="T111" s="25">
        <f>IFERROR(dynamic[profit]/dynamic[revenue], 0)</f>
        <v>0.2972725492</v>
      </c>
    </row>
    <row r="112" ht="15.75" customHeight="1">
      <c r="A112" s="6">
        <v>10289.0</v>
      </c>
      <c r="B112" s="7" t="s">
        <v>46</v>
      </c>
      <c r="C112" s="24" t="str">
        <f>VLOOKUP(dynamic[customerID],customers[],2,FALSE)</f>
        <v>B's Beverages</v>
      </c>
      <c r="D112" s="24">
        <v>44799.0</v>
      </c>
      <c r="E112" s="6">
        <f>IFERROR(__xludf.DUMMYFUNCTION("COUNTUNIQUEIFS($A$2:$A112,$B$2:$B112,B112)"),1.0)</f>
        <v>1</v>
      </c>
      <c r="F112" s="6">
        <f t="shared" si="1"/>
        <v>0</v>
      </c>
      <c r="G112" s="6" t="str">
        <f>IF(MINIFS(dynamic[orderDate], dynamic[customerID], B112) &gt;= DATE(2024,4,30)-120, 
     "New", 
     IF(MAXIFS(dynamic[orderCount], dynamic[customerID], B112)&lt;=2, 
        IF((DATE(2024,4,30) - MAXIFS(dynamic[orderDate], dynamic[customerID], B112)) &gt; 180, "Non-Returning", "Dormant"), 
        IF(AND(MAX(dynamic[sinceLastOrder]) &gt; 365, (DATE(2024,4,30) - MAXIFS(dynamic[orderDate], dynamic[customerID], B112)) &gt; 180), 
           "Dormant", "Regular")))</f>
        <v>Regular</v>
      </c>
      <c r="H112" s="6">
        <v>64.0</v>
      </c>
      <c r="I112" s="9" t="str">
        <f>VLOOKUP(dynamic[productID],products[],2,FALSE)</f>
        <v>Lukas' leckere Sauerteigweggla</v>
      </c>
      <c r="J112" s="9" t="str">
        <f>VLOOKUP(dynamic[productID],products[],12,FALSE)</f>
        <v>Grains/Cereals</v>
      </c>
      <c r="K112" s="7" t="str">
        <f>IF(VLOOKUP(dynamic[productID],products[],7,FALSE)=1,"Discontinued","Current")</f>
        <v>Current</v>
      </c>
      <c r="L112" s="9">
        <f>VLOOKUP(dynamic[productID],products[],IF(YEAR(dynamic[orderDate])=2022,8,IF(YEAR(dynamic[orderDate])=2023,9,IF(YEAR(dynamic[orderDate])=2024,10,NA))),FALSE)</f>
        <v>19.36982257</v>
      </c>
      <c r="M112" s="9">
        <v>26.6</v>
      </c>
      <c r="N112" s="25">
        <f>(dynamic[orderPrice]-dynamic[productCost])/dynamic[productCost]</f>
        <v>0.3732701944</v>
      </c>
      <c r="O112" s="10">
        <v>9.0</v>
      </c>
      <c r="P112" s="25">
        <v>0.0</v>
      </c>
      <c r="Q112" s="9">
        <f>dynamic[orderPrice]*dynamic[orderQuantity]</f>
        <v>239.4</v>
      </c>
      <c r="R112" s="9">
        <f>dynamic[orderTotal]*(1-dynamic[discountApllied])</f>
        <v>239.4</v>
      </c>
      <c r="S112" s="9">
        <f>dynamic[revenue]-(dynamic[productCost]*dynamic[orderQuantity])</f>
        <v>65.07159691</v>
      </c>
      <c r="T112" s="25">
        <f>IFERROR(dynamic[profit]/dynamic[revenue], 0)</f>
        <v>0.2718111818</v>
      </c>
    </row>
    <row r="113" ht="15.75" customHeight="1">
      <c r="A113" s="6">
        <v>10290.0</v>
      </c>
      <c r="B113" s="7" t="s">
        <v>47</v>
      </c>
      <c r="C113" s="24" t="str">
        <f>VLOOKUP(dynamic[customerID],customers[],2,FALSE)</f>
        <v>Comércio Mineiro</v>
      </c>
      <c r="D113" s="24">
        <v>44800.0</v>
      </c>
      <c r="E113" s="6">
        <f>IFERROR(__xludf.DUMMYFUNCTION("COUNTUNIQUEIFS($A$2:$A113,$B$2:$B113,B113)"),1.0)</f>
        <v>1</v>
      </c>
      <c r="F113" s="6">
        <f t="shared" si="1"/>
        <v>0</v>
      </c>
      <c r="G113" s="6" t="str">
        <f>IF(MINIFS(dynamic[orderDate], dynamic[customerID], B113) &gt;= DATE(2024,4,30)-120, 
     "New", 
     IF(MAXIFS(dynamic[orderCount], dynamic[customerID], B113)&lt;=2, 
        IF((DATE(2024,4,30) - MAXIFS(dynamic[orderDate], dynamic[customerID], B113)) &gt; 180, "Non-Returning", "Dormant"), 
        IF(AND(MAX(dynamic[sinceLastOrder]) &gt; 365, (DATE(2024,4,30) - MAXIFS(dynamic[orderDate], dynamic[customerID], B113)) &gt; 180), 
           "Dormant", "Regular")))</f>
        <v>Regular</v>
      </c>
      <c r="H113" s="6">
        <v>5.0</v>
      </c>
      <c r="I113" s="9" t="str">
        <f>VLOOKUP(dynamic[productID],products[],2,FALSE)</f>
        <v>Chef Anton's Gumbo Mix</v>
      </c>
      <c r="J113" s="9" t="str">
        <f>VLOOKUP(dynamic[productID],products[],12,FALSE)</f>
        <v>Condiments</v>
      </c>
      <c r="K113" s="7" t="str">
        <f>IF(VLOOKUP(dynamic[productID],products[],7,FALSE)=1,"Discontinued","Current")</f>
        <v>Discontinued</v>
      </c>
      <c r="L113" s="9">
        <f>VLOOKUP(dynamic[productID],products[],IF(YEAR(dynamic[orderDate])=2022,8,IF(YEAR(dynamic[orderDate])=2023,9,IF(YEAR(dynamic[orderDate])=2024,10,NA))),FALSE)</f>
        <v>10.9059059</v>
      </c>
      <c r="M113" s="9">
        <v>17.0</v>
      </c>
      <c r="N113" s="25">
        <f>(dynamic[orderPrice]-dynamic[productCost])/dynamic[productCost]</f>
        <v>0.5587884354</v>
      </c>
      <c r="O113" s="10">
        <v>20.0</v>
      </c>
      <c r="P113" s="25">
        <v>0.0</v>
      </c>
      <c r="Q113" s="9">
        <f>dynamic[orderPrice]*dynamic[orderQuantity]</f>
        <v>340</v>
      </c>
      <c r="R113" s="9">
        <f>dynamic[orderTotal]*(1-dynamic[discountApllied])</f>
        <v>340</v>
      </c>
      <c r="S113" s="9">
        <f>dynamic[revenue]-(dynamic[productCost]*dynamic[orderQuantity])</f>
        <v>121.8818819</v>
      </c>
      <c r="T113" s="25">
        <f>IFERROR(dynamic[profit]/dynamic[revenue], 0)</f>
        <v>0.3584761233</v>
      </c>
    </row>
    <row r="114" ht="15.75" customHeight="1">
      <c r="A114" s="6">
        <v>10290.0</v>
      </c>
      <c r="B114" s="7" t="s">
        <v>47</v>
      </c>
      <c r="C114" s="24" t="str">
        <f>VLOOKUP(dynamic[customerID],customers[],2,FALSE)</f>
        <v>Comércio Mineiro</v>
      </c>
      <c r="D114" s="24">
        <v>44800.0</v>
      </c>
      <c r="E114" s="6">
        <f>IFERROR(__xludf.DUMMYFUNCTION("COUNTUNIQUEIFS($A$2:$A114,$B$2:$B114,B114)"),1.0)</f>
        <v>1</v>
      </c>
      <c r="F114" s="6">
        <f t="shared" si="1"/>
        <v>0</v>
      </c>
      <c r="G114" s="6" t="str">
        <f>IF(MINIFS(dynamic[orderDate], dynamic[customerID], B114) &gt;= DATE(2024,4,30)-120, 
     "New", 
     IF(MAXIFS(dynamic[orderCount], dynamic[customerID], B114)&lt;=2, 
        IF((DATE(2024,4,30) - MAXIFS(dynamic[orderDate], dynamic[customerID], B114)) &gt; 180, "Non-Returning", "Dormant"), 
        IF(AND(MAX(dynamic[sinceLastOrder]) &gt; 365, (DATE(2024,4,30) - MAXIFS(dynamic[orderDate], dynamic[customerID], B114)) &gt; 180), 
           "Dormant", "Regular")))</f>
        <v>Regular</v>
      </c>
      <c r="H114" s="6">
        <v>29.0</v>
      </c>
      <c r="I114" s="9" t="str">
        <f>VLOOKUP(dynamic[productID],products[],2,FALSE)</f>
        <v>Thüringer Rostbratwurst</v>
      </c>
      <c r="J114" s="9" t="str">
        <f>VLOOKUP(dynamic[productID],products[],12,FALSE)</f>
        <v>Meat/Poultry</v>
      </c>
      <c r="K114" s="7" t="str">
        <f>IF(VLOOKUP(dynamic[productID],products[],7,FALSE)=1,"Discontinued","Current")</f>
        <v>Discontinued</v>
      </c>
      <c r="L114" s="9">
        <f>VLOOKUP(dynamic[productID],products[],IF(YEAR(dynamic[orderDate])=2022,8,IF(YEAR(dynamic[orderDate])=2023,9,IF(YEAR(dynamic[orderDate])=2024,10,NA))),FALSE)</f>
        <v>70.25945266</v>
      </c>
      <c r="M114" s="9">
        <v>99.0</v>
      </c>
      <c r="N114" s="25">
        <f>(dynamic[orderPrice]-dynamic[productCost])/dynamic[productCost]</f>
        <v>0.4090630691</v>
      </c>
      <c r="O114" s="10">
        <v>15.0</v>
      </c>
      <c r="P114" s="25">
        <v>0.0</v>
      </c>
      <c r="Q114" s="9">
        <f>dynamic[orderPrice]*dynamic[orderQuantity]</f>
        <v>1485</v>
      </c>
      <c r="R114" s="9">
        <f>dynamic[orderTotal]*(1-dynamic[discountApllied])</f>
        <v>1485</v>
      </c>
      <c r="S114" s="9">
        <f>dynamic[revenue]-(dynamic[productCost]*dynamic[orderQuantity])</f>
        <v>431.1082101</v>
      </c>
      <c r="T114" s="25">
        <f>IFERROR(dynamic[profit]/dynamic[revenue], 0)</f>
        <v>0.290308559</v>
      </c>
    </row>
    <row r="115" ht="15.75" customHeight="1">
      <c r="A115" s="6">
        <v>10290.0</v>
      </c>
      <c r="B115" s="7" t="s">
        <v>47</v>
      </c>
      <c r="C115" s="24" t="str">
        <f>VLOOKUP(dynamic[customerID],customers[],2,FALSE)</f>
        <v>Comércio Mineiro</v>
      </c>
      <c r="D115" s="24">
        <v>44800.0</v>
      </c>
      <c r="E115" s="6">
        <f>IFERROR(__xludf.DUMMYFUNCTION("COUNTUNIQUEIFS($A$2:$A115,$B$2:$B115,B115)"),1.0)</f>
        <v>1</v>
      </c>
      <c r="F115" s="6">
        <f t="shared" si="1"/>
        <v>0</v>
      </c>
      <c r="G115" s="6" t="str">
        <f>IF(MINIFS(dynamic[orderDate], dynamic[customerID], B115) &gt;= DATE(2024,4,30)-120, 
     "New", 
     IF(MAXIFS(dynamic[orderCount], dynamic[customerID], B115)&lt;=2, 
        IF((DATE(2024,4,30) - MAXIFS(dynamic[orderDate], dynamic[customerID], B115)) &gt; 180, "Non-Returning", "Dormant"), 
        IF(AND(MAX(dynamic[sinceLastOrder]) &gt; 365, (DATE(2024,4,30) - MAXIFS(dynamic[orderDate], dynamic[customerID], B115)) &gt; 180), 
           "Dormant", "Regular")))</f>
        <v>Regular</v>
      </c>
      <c r="H115" s="6">
        <v>49.0</v>
      </c>
      <c r="I115" s="9" t="str">
        <f>VLOOKUP(dynamic[productID],products[],2,FALSE)</f>
        <v>Maxilaku</v>
      </c>
      <c r="J115" s="9" t="str">
        <f>VLOOKUP(dynamic[productID],products[],12,FALSE)</f>
        <v>Confections</v>
      </c>
      <c r="K115" s="7" t="str">
        <f>IF(VLOOKUP(dynamic[productID],products[],7,FALSE)=1,"Discontinued","Current")</f>
        <v>Current</v>
      </c>
      <c r="L115" s="9">
        <f>VLOOKUP(dynamic[productID],products[],IF(YEAR(dynamic[orderDate])=2022,8,IF(YEAR(dynamic[orderDate])=2023,9,IF(YEAR(dynamic[orderDate])=2024,10,NA))),FALSE)</f>
        <v>12.56663579</v>
      </c>
      <c r="M115" s="9">
        <v>16.0</v>
      </c>
      <c r="N115" s="25">
        <f>(dynamic[orderPrice]-dynamic[productCost])/dynamic[productCost]</f>
        <v>0.2732126779</v>
      </c>
      <c r="O115" s="10">
        <v>15.0</v>
      </c>
      <c r="P115" s="25">
        <v>0.0</v>
      </c>
      <c r="Q115" s="9">
        <f>dynamic[orderPrice]*dynamic[orderQuantity]</f>
        <v>240</v>
      </c>
      <c r="R115" s="9">
        <f>dynamic[orderTotal]*(1-dynamic[discountApllied])</f>
        <v>240</v>
      </c>
      <c r="S115" s="9">
        <f>dynamic[revenue]-(dynamic[productCost]*dynamic[orderQuantity])</f>
        <v>51.50046322</v>
      </c>
      <c r="T115" s="25">
        <f>IFERROR(dynamic[profit]/dynamic[revenue], 0)</f>
        <v>0.2145852634</v>
      </c>
    </row>
    <row r="116" ht="15.75" customHeight="1">
      <c r="A116" s="6">
        <v>10290.0</v>
      </c>
      <c r="B116" s="7" t="s">
        <v>47</v>
      </c>
      <c r="C116" s="24" t="str">
        <f>VLOOKUP(dynamic[customerID],customers[],2,FALSE)</f>
        <v>Comércio Mineiro</v>
      </c>
      <c r="D116" s="24">
        <v>44800.0</v>
      </c>
      <c r="E116" s="6">
        <f>IFERROR(__xludf.DUMMYFUNCTION("COUNTUNIQUEIFS($A$2:$A116,$B$2:$B116,B116)"),1.0)</f>
        <v>1</v>
      </c>
      <c r="F116" s="6">
        <f t="shared" si="1"/>
        <v>0</v>
      </c>
      <c r="G116" s="6" t="str">
        <f>IF(MINIFS(dynamic[orderDate], dynamic[customerID], B116) &gt;= DATE(2024,4,30)-120, 
     "New", 
     IF(MAXIFS(dynamic[orderCount], dynamic[customerID], B116)&lt;=2, 
        IF((DATE(2024,4,30) - MAXIFS(dynamic[orderDate], dynamic[customerID], B116)) &gt; 180, "Non-Returning", "Dormant"), 
        IF(AND(MAX(dynamic[sinceLastOrder]) &gt; 365, (DATE(2024,4,30) - MAXIFS(dynamic[orderDate], dynamic[customerID], B116)) &gt; 180), 
           "Dormant", "Regular")))</f>
        <v>Regular</v>
      </c>
      <c r="H116" s="6">
        <v>77.0</v>
      </c>
      <c r="I116" s="9" t="str">
        <f>VLOOKUP(dynamic[productID],products[],2,FALSE)</f>
        <v>Original Frankfurter grüne Soße</v>
      </c>
      <c r="J116" s="9" t="str">
        <f>VLOOKUP(dynamic[productID],products[],12,FALSE)</f>
        <v>Condiments</v>
      </c>
      <c r="K116" s="7" t="str">
        <f>IF(VLOOKUP(dynamic[productID],products[],7,FALSE)=1,"Discontinued","Current")</f>
        <v>Current</v>
      </c>
      <c r="L116" s="9">
        <f>VLOOKUP(dynamic[productID],products[],IF(YEAR(dynamic[orderDate])=2022,8,IF(YEAR(dynamic[orderDate])=2023,9,IF(YEAR(dynamic[orderDate])=2024,10,NA))),FALSE)</f>
        <v>7.430272842</v>
      </c>
      <c r="M116" s="9">
        <v>10.4</v>
      </c>
      <c r="N116" s="25">
        <f>(dynamic[orderPrice]-dynamic[productCost])/dynamic[productCost]</f>
        <v>0.3996794225</v>
      </c>
      <c r="O116" s="10">
        <v>10.0</v>
      </c>
      <c r="P116" s="25">
        <v>0.0</v>
      </c>
      <c r="Q116" s="9">
        <f>dynamic[orderPrice]*dynamic[orderQuantity]</f>
        <v>104</v>
      </c>
      <c r="R116" s="9">
        <f>dynamic[orderTotal]*(1-dynamic[discountApllied])</f>
        <v>104</v>
      </c>
      <c r="S116" s="9">
        <f>dynamic[revenue]-(dynamic[productCost]*dynamic[orderQuantity])</f>
        <v>29.69727158</v>
      </c>
      <c r="T116" s="25">
        <f>IFERROR(dynamic[profit]/dynamic[revenue], 0)</f>
        <v>0.2855506883</v>
      </c>
    </row>
    <row r="117" ht="15.75" customHeight="1">
      <c r="A117" s="6">
        <v>10291.0</v>
      </c>
      <c r="B117" s="7" t="s">
        <v>27</v>
      </c>
      <c r="C117" s="24" t="str">
        <f>VLOOKUP(dynamic[customerID],customers[],2,FALSE)</f>
        <v>Que Delícia</v>
      </c>
      <c r="D117" s="24">
        <v>44800.0</v>
      </c>
      <c r="E117" s="6">
        <f>IFERROR(__xludf.DUMMYFUNCTION("COUNTUNIQUEIFS($A$2:$A117,$B$2:$B117,B117)"),2.0)</f>
        <v>2</v>
      </c>
      <c r="F117" s="6">
        <f t="shared" si="1"/>
        <v>39</v>
      </c>
      <c r="G117" s="6" t="str">
        <f>IF(MINIFS(dynamic[orderDate], dynamic[customerID], B117) &gt;= DATE(2024,4,30)-120, 
     "New", 
     IF(MAXIFS(dynamic[orderCount], dynamic[customerID], B117)&lt;=2, 
        IF((DATE(2024,4,30) - MAXIFS(dynamic[orderDate], dynamic[customerID], B117)) &gt; 180, "Non-Returning", "Dormant"), 
        IF(AND(MAX(dynamic[sinceLastOrder]) &gt; 365, (DATE(2024,4,30) - MAXIFS(dynamic[orderDate], dynamic[customerID], B117)) &gt; 180), 
           "Dormant", "Regular")))</f>
        <v>Regular</v>
      </c>
      <c r="H117" s="6">
        <v>13.0</v>
      </c>
      <c r="I117" s="9" t="str">
        <f>VLOOKUP(dynamic[productID],products[],2,FALSE)</f>
        <v>Konbu</v>
      </c>
      <c r="J117" s="9" t="str">
        <f>VLOOKUP(dynamic[productID],products[],12,FALSE)</f>
        <v>Seafood</v>
      </c>
      <c r="K117" s="7" t="str">
        <f>IF(VLOOKUP(dynamic[productID],products[],7,FALSE)=1,"Discontinued","Current")</f>
        <v>Current</v>
      </c>
      <c r="L117" s="9">
        <f>VLOOKUP(dynamic[productID],products[],IF(YEAR(dynamic[orderDate])=2022,8,IF(YEAR(dynamic[orderDate])=2023,9,IF(YEAR(dynamic[orderDate])=2024,10,NA))),FALSE)</f>
        <v>3.236727382</v>
      </c>
      <c r="M117" s="9">
        <v>4.8</v>
      </c>
      <c r="N117" s="25">
        <f>(dynamic[orderPrice]-dynamic[productCost])/dynamic[productCost]</f>
        <v>0.4829793907</v>
      </c>
      <c r="O117" s="10">
        <v>20.0</v>
      </c>
      <c r="P117" s="25">
        <v>0.1</v>
      </c>
      <c r="Q117" s="9">
        <f>dynamic[orderPrice]*dynamic[orderQuantity]</f>
        <v>96</v>
      </c>
      <c r="R117" s="9">
        <f>dynamic[orderTotal]*(1-dynamic[discountApllied])</f>
        <v>86.4</v>
      </c>
      <c r="S117" s="9">
        <f>dynamic[revenue]-(dynamic[productCost]*dynamic[orderQuantity])</f>
        <v>21.66545237</v>
      </c>
      <c r="T117" s="25">
        <f>IFERROR(dynamic[profit]/dynamic[revenue], 0)</f>
        <v>0.2507575506</v>
      </c>
    </row>
    <row r="118" ht="15.75" customHeight="1">
      <c r="A118" s="6">
        <v>10291.0</v>
      </c>
      <c r="B118" s="7" t="s">
        <v>27</v>
      </c>
      <c r="C118" s="24" t="str">
        <f>VLOOKUP(dynamic[customerID],customers[],2,FALSE)</f>
        <v>Que Delícia</v>
      </c>
      <c r="D118" s="24">
        <v>44800.0</v>
      </c>
      <c r="E118" s="6">
        <f>IFERROR(__xludf.DUMMYFUNCTION("COUNTUNIQUEIFS($A$2:$A118,$B$2:$B118,B118)"),2.0)</f>
        <v>2</v>
      </c>
      <c r="F118" s="6">
        <f t="shared" si="1"/>
        <v>39</v>
      </c>
      <c r="G118" s="6" t="str">
        <f>IF(MINIFS(dynamic[orderDate], dynamic[customerID], B118) &gt;= DATE(2024,4,30)-120, 
     "New", 
     IF(MAXIFS(dynamic[orderCount], dynamic[customerID], B118)&lt;=2, 
        IF((DATE(2024,4,30) - MAXIFS(dynamic[orderDate], dynamic[customerID], B118)) &gt; 180, "Non-Returning", "Dormant"), 
        IF(AND(MAX(dynamic[sinceLastOrder]) &gt; 365, (DATE(2024,4,30) - MAXIFS(dynamic[orderDate], dynamic[customerID], B118)) &gt; 180), 
           "Dormant", "Regular")))</f>
        <v>Regular</v>
      </c>
      <c r="H118" s="6">
        <v>44.0</v>
      </c>
      <c r="I118" s="9" t="str">
        <f>VLOOKUP(dynamic[productID],products[],2,FALSE)</f>
        <v>Gula Malacca</v>
      </c>
      <c r="J118" s="9" t="str">
        <f>VLOOKUP(dynamic[productID],products[],12,FALSE)</f>
        <v>Condiments</v>
      </c>
      <c r="K118" s="7" t="str">
        <f>IF(VLOOKUP(dynamic[productID],products[],7,FALSE)=1,"Discontinued","Current")</f>
        <v>Current</v>
      </c>
      <c r="L118" s="9">
        <f>VLOOKUP(dynamic[productID],products[],IF(YEAR(dynamic[orderDate])=2022,8,IF(YEAR(dynamic[orderDate])=2023,9,IF(YEAR(dynamic[orderDate])=2024,10,NA))),FALSE)</f>
        <v>10.65165145</v>
      </c>
      <c r="M118" s="9">
        <v>15.5</v>
      </c>
      <c r="N118" s="25">
        <f>(dynamic[orderPrice]-dynamic[productCost])/dynamic[productCost]</f>
        <v>0.4551734138</v>
      </c>
      <c r="O118" s="10">
        <v>24.0</v>
      </c>
      <c r="P118" s="25">
        <v>0.1</v>
      </c>
      <c r="Q118" s="9">
        <f>dynamic[orderPrice]*dynamic[orderQuantity]</f>
        <v>372</v>
      </c>
      <c r="R118" s="9">
        <f>dynamic[orderTotal]*(1-dynamic[discountApllied])</f>
        <v>334.8</v>
      </c>
      <c r="S118" s="9">
        <f>dynamic[revenue]-(dynamic[productCost]*dynamic[orderQuantity])</f>
        <v>79.16036525</v>
      </c>
      <c r="T118" s="25">
        <f>IFERROR(dynamic[profit]/dynamic[revenue], 0)</f>
        <v>0.2364407564</v>
      </c>
    </row>
    <row r="119" ht="15.75" customHeight="1">
      <c r="A119" s="6">
        <v>10291.0</v>
      </c>
      <c r="B119" s="7" t="s">
        <v>27</v>
      </c>
      <c r="C119" s="24" t="str">
        <f>VLOOKUP(dynamic[customerID],customers[],2,FALSE)</f>
        <v>Que Delícia</v>
      </c>
      <c r="D119" s="24">
        <v>44800.0</v>
      </c>
      <c r="E119" s="6">
        <f>IFERROR(__xludf.DUMMYFUNCTION("COUNTUNIQUEIFS($A$2:$A119,$B$2:$B119,B119)"),2.0)</f>
        <v>2</v>
      </c>
      <c r="F119" s="6">
        <f t="shared" si="1"/>
        <v>39</v>
      </c>
      <c r="G119" s="6" t="str">
        <f>IF(MINIFS(dynamic[orderDate], dynamic[customerID], B119) &gt;= DATE(2024,4,30)-120, 
     "New", 
     IF(MAXIFS(dynamic[orderCount], dynamic[customerID], B119)&lt;=2, 
        IF((DATE(2024,4,30) - MAXIFS(dynamic[orderDate], dynamic[customerID], B119)) &gt; 180, "Non-Returning", "Dormant"), 
        IF(AND(MAX(dynamic[sinceLastOrder]) &gt; 365, (DATE(2024,4,30) - MAXIFS(dynamic[orderDate], dynamic[customerID], B119)) &gt; 180), 
           "Dormant", "Regular")))</f>
        <v>Regular</v>
      </c>
      <c r="H119" s="6">
        <v>51.0</v>
      </c>
      <c r="I119" s="9" t="str">
        <f>VLOOKUP(dynamic[productID],products[],2,FALSE)</f>
        <v>Manjimup Dried Apples</v>
      </c>
      <c r="J119" s="9" t="str">
        <f>VLOOKUP(dynamic[productID],products[],12,FALSE)</f>
        <v>Produce</v>
      </c>
      <c r="K119" s="7" t="str">
        <f>IF(VLOOKUP(dynamic[productID],products[],7,FALSE)=1,"Discontinued","Current")</f>
        <v>Current</v>
      </c>
      <c r="L119" s="9">
        <f>VLOOKUP(dynamic[productID],products[],IF(YEAR(dynamic[orderDate])=2022,8,IF(YEAR(dynamic[orderDate])=2023,9,IF(YEAR(dynamic[orderDate])=2024,10,NA))),FALSE)</f>
        <v>28.87532154</v>
      </c>
      <c r="M119" s="9">
        <v>42.4</v>
      </c>
      <c r="N119" s="25">
        <f>(dynamic[orderPrice]-dynamic[productCost])/dynamic[productCost]</f>
        <v>0.4683819172</v>
      </c>
      <c r="O119" s="10">
        <v>2.0</v>
      </c>
      <c r="P119" s="25">
        <v>0.1</v>
      </c>
      <c r="Q119" s="9">
        <f>dynamic[orderPrice]*dynamic[orderQuantity]</f>
        <v>84.8</v>
      </c>
      <c r="R119" s="9">
        <f>dynamic[orderTotal]*(1-dynamic[discountApllied])</f>
        <v>76.32</v>
      </c>
      <c r="S119" s="9">
        <f>dynamic[revenue]-(dynamic[productCost]*dynamic[orderQuantity])</f>
        <v>18.56935693</v>
      </c>
      <c r="T119" s="25">
        <f>IFERROR(dynamic[profit]/dynamic[revenue], 0)</f>
        <v>0.243309184</v>
      </c>
    </row>
    <row r="120" ht="15.75" customHeight="1">
      <c r="A120" s="6">
        <v>10292.0</v>
      </c>
      <c r="B120" s="7" t="s">
        <v>48</v>
      </c>
      <c r="C120" s="24" t="str">
        <f>VLOOKUP(dynamic[customerID],customers[],2,FALSE)</f>
        <v>Tradição Hipermercados</v>
      </c>
      <c r="D120" s="24">
        <v>44801.0</v>
      </c>
      <c r="E120" s="6">
        <f>IFERROR(__xludf.DUMMYFUNCTION("COUNTUNIQUEIFS($A$2:$A120,$B$2:$B120,B120)"),1.0)</f>
        <v>1</v>
      </c>
      <c r="F120" s="6">
        <f t="shared" si="1"/>
        <v>0</v>
      </c>
      <c r="G120" s="6" t="str">
        <f>IF(MINIFS(dynamic[orderDate], dynamic[customerID], B120) &gt;= DATE(2024,4,30)-120, 
     "New", 
     IF(MAXIFS(dynamic[orderCount], dynamic[customerID], B120)&lt;=2, 
        IF((DATE(2024,4,30) - MAXIFS(dynamic[orderDate], dynamic[customerID], B120)) &gt; 180, "Non-Returning", "Dormant"), 
        IF(AND(MAX(dynamic[sinceLastOrder]) &gt; 365, (DATE(2024,4,30) - MAXIFS(dynamic[orderDate], dynamic[customerID], B120)) &gt; 180), 
           "Dormant", "Regular")))</f>
        <v>Regular</v>
      </c>
      <c r="H120" s="6">
        <v>20.0</v>
      </c>
      <c r="I120" s="9" t="str">
        <f>VLOOKUP(dynamic[productID],products[],2,FALSE)</f>
        <v>Sir Rodney's Marmalade</v>
      </c>
      <c r="J120" s="9" t="str">
        <f>VLOOKUP(dynamic[productID],products[],12,FALSE)</f>
        <v>Confections</v>
      </c>
      <c r="K120" s="7" t="str">
        <f>IF(VLOOKUP(dynamic[productID],products[],7,FALSE)=1,"Discontinued","Current")</f>
        <v>Current</v>
      </c>
      <c r="L120" s="9">
        <f>VLOOKUP(dynamic[productID],products[],IF(YEAR(dynamic[orderDate])=2022,8,IF(YEAR(dynamic[orderDate])=2023,9,IF(YEAR(dynamic[orderDate])=2024,10,NA))),FALSE)</f>
        <v>45.94247438</v>
      </c>
      <c r="M120" s="9">
        <v>64.8</v>
      </c>
      <c r="N120" s="25">
        <f>(dynamic[orderPrice]-dynamic[productCost])/dynamic[productCost]</f>
        <v>0.4104595121</v>
      </c>
      <c r="O120" s="10">
        <v>20.0</v>
      </c>
      <c r="P120" s="25">
        <v>0.0</v>
      </c>
      <c r="Q120" s="9">
        <f>dynamic[orderPrice]*dynamic[orderQuantity]</f>
        <v>1296</v>
      </c>
      <c r="R120" s="9">
        <f>dynamic[orderTotal]*(1-dynamic[discountApllied])</f>
        <v>1296</v>
      </c>
      <c r="S120" s="9">
        <f>dynamic[revenue]-(dynamic[productCost]*dynamic[orderQuantity])</f>
        <v>377.1505124</v>
      </c>
      <c r="T120" s="25">
        <f>IFERROR(dynamic[profit]/dynamic[revenue], 0)</f>
        <v>0.2910111978</v>
      </c>
    </row>
    <row r="121" ht="15.75" customHeight="1">
      <c r="A121" s="6">
        <v>10293.0</v>
      </c>
      <c r="B121" s="7" t="s">
        <v>38</v>
      </c>
      <c r="C121" s="24" t="str">
        <f>VLOOKUP(dynamic[customerID],customers[],2,FALSE)</f>
        <v>Tortuga Restaurante</v>
      </c>
      <c r="D121" s="24">
        <v>44802.0</v>
      </c>
      <c r="E121" s="6">
        <f>IFERROR(__xludf.DUMMYFUNCTION("COUNTUNIQUEIFS($A$2:$A121,$B$2:$B121,B121)"),2.0)</f>
        <v>2</v>
      </c>
      <c r="F121" s="6">
        <f t="shared" si="1"/>
        <v>21</v>
      </c>
      <c r="G121" s="6" t="str">
        <f>IF(MINIFS(dynamic[orderDate], dynamic[customerID], B121) &gt;= DATE(2024,4,30)-120, 
     "New", 
     IF(MAXIFS(dynamic[orderCount], dynamic[customerID], B121)&lt;=2, 
        IF((DATE(2024,4,30) - MAXIFS(dynamic[orderDate], dynamic[customerID], B121)) &gt; 180, "Non-Returning", "Dormant"), 
        IF(AND(MAX(dynamic[sinceLastOrder]) &gt; 365, (DATE(2024,4,30) - MAXIFS(dynamic[orderDate], dynamic[customerID], B121)) &gt; 180), 
           "Dormant", "Regular")))</f>
        <v>Regular</v>
      </c>
      <c r="H121" s="6">
        <v>18.0</v>
      </c>
      <c r="I121" s="9" t="str">
        <f>VLOOKUP(dynamic[productID],products[],2,FALSE)</f>
        <v>Carnarvon Tigers</v>
      </c>
      <c r="J121" s="9" t="str">
        <f>VLOOKUP(dynamic[productID],products[],12,FALSE)</f>
        <v>Seafood</v>
      </c>
      <c r="K121" s="7" t="str">
        <f>IF(VLOOKUP(dynamic[productID],products[],7,FALSE)=1,"Discontinued","Current")</f>
        <v>Current</v>
      </c>
      <c r="L121" s="9">
        <f>VLOOKUP(dynamic[productID],products[],IF(YEAR(dynamic[orderDate])=2022,8,IF(YEAR(dynamic[orderDate])=2023,9,IF(YEAR(dynamic[orderDate])=2024,10,NA))),FALSE)</f>
        <v>32.46379819</v>
      </c>
      <c r="M121" s="9">
        <v>50.0</v>
      </c>
      <c r="N121" s="25">
        <f>(dynamic[orderPrice]-dynamic[productCost])/dynamic[productCost]</f>
        <v>0.5401771445</v>
      </c>
      <c r="O121" s="10">
        <v>12.0</v>
      </c>
      <c r="P121" s="25">
        <v>0.0</v>
      </c>
      <c r="Q121" s="9">
        <f>dynamic[orderPrice]*dynamic[orderQuantity]</f>
        <v>600</v>
      </c>
      <c r="R121" s="9">
        <f>dynamic[orderTotal]*(1-dynamic[discountApllied])</f>
        <v>600</v>
      </c>
      <c r="S121" s="9">
        <f>dynamic[revenue]-(dynamic[productCost]*dynamic[orderQuantity])</f>
        <v>210.4344217</v>
      </c>
      <c r="T121" s="25">
        <f>IFERROR(dynamic[profit]/dynamic[revenue], 0)</f>
        <v>0.3507240361</v>
      </c>
    </row>
    <row r="122" ht="15.75" customHeight="1">
      <c r="A122" s="6">
        <v>10293.0</v>
      </c>
      <c r="B122" s="7" t="s">
        <v>38</v>
      </c>
      <c r="C122" s="24" t="str">
        <f>VLOOKUP(dynamic[customerID],customers[],2,FALSE)</f>
        <v>Tortuga Restaurante</v>
      </c>
      <c r="D122" s="24">
        <v>44802.0</v>
      </c>
      <c r="E122" s="6">
        <f>IFERROR(__xludf.DUMMYFUNCTION("COUNTUNIQUEIFS($A$2:$A122,$B$2:$B122,B122)"),2.0)</f>
        <v>2</v>
      </c>
      <c r="F122" s="6">
        <f t="shared" si="1"/>
        <v>21</v>
      </c>
      <c r="G122" s="6" t="str">
        <f>IF(MINIFS(dynamic[orderDate], dynamic[customerID], B122) &gt;= DATE(2024,4,30)-120, 
     "New", 
     IF(MAXIFS(dynamic[orderCount], dynamic[customerID], B122)&lt;=2, 
        IF((DATE(2024,4,30) - MAXIFS(dynamic[orderDate], dynamic[customerID], B122)) &gt; 180, "Non-Returning", "Dormant"), 
        IF(AND(MAX(dynamic[sinceLastOrder]) &gt; 365, (DATE(2024,4,30) - MAXIFS(dynamic[orderDate], dynamic[customerID], B122)) &gt; 180), 
           "Dormant", "Regular")))</f>
        <v>Regular</v>
      </c>
      <c r="H122" s="6">
        <v>24.0</v>
      </c>
      <c r="I122" s="9" t="str">
        <f>VLOOKUP(dynamic[productID],products[],2,FALSE)</f>
        <v>Brigadeiros Maravilhosos da Lilian</v>
      </c>
      <c r="J122" s="9" t="str">
        <f>VLOOKUP(dynamic[productID],products[],12,FALSE)</f>
        <v>Confections</v>
      </c>
      <c r="K122" s="7" t="str">
        <f>IF(VLOOKUP(dynamic[productID],products[],7,FALSE)=1,"Discontinued","Current")</f>
        <v>Discontinued</v>
      </c>
      <c r="L122" s="9">
        <f>VLOOKUP(dynamic[productID],products[],IF(YEAR(dynamic[orderDate])=2022,8,IF(YEAR(dynamic[orderDate])=2023,9,IF(YEAR(dynamic[orderDate])=2024,10,NA))),FALSE)</f>
        <v>2.68117246</v>
      </c>
      <c r="M122" s="9">
        <v>3.6</v>
      </c>
      <c r="N122" s="25">
        <f>(dynamic[orderPrice]-dynamic[productCost])/dynamic[productCost]</f>
        <v>0.3426961727</v>
      </c>
      <c r="O122" s="10">
        <v>10.0</v>
      </c>
      <c r="P122" s="25">
        <v>0.0</v>
      </c>
      <c r="Q122" s="9">
        <f>dynamic[orderPrice]*dynamic[orderQuantity]</f>
        <v>36</v>
      </c>
      <c r="R122" s="9">
        <f>dynamic[orderTotal]*(1-dynamic[discountApllied])</f>
        <v>36</v>
      </c>
      <c r="S122" s="9">
        <f>dynamic[revenue]-(dynamic[productCost]*dynamic[orderQuantity])</f>
        <v>9.188275403</v>
      </c>
      <c r="T122" s="25">
        <f>IFERROR(dynamic[profit]/dynamic[revenue], 0)</f>
        <v>0.2552298723</v>
      </c>
    </row>
    <row r="123" ht="15.75" customHeight="1">
      <c r="A123" s="6">
        <v>10293.0</v>
      </c>
      <c r="B123" s="7" t="s">
        <v>38</v>
      </c>
      <c r="C123" s="24" t="str">
        <f>VLOOKUP(dynamic[customerID],customers[],2,FALSE)</f>
        <v>Tortuga Restaurante</v>
      </c>
      <c r="D123" s="24">
        <v>44802.0</v>
      </c>
      <c r="E123" s="6">
        <f>IFERROR(__xludf.DUMMYFUNCTION("COUNTUNIQUEIFS($A$2:$A123,$B$2:$B123,B123)"),2.0)</f>
        <v>2</v>
      </c>
      <c r="F123" s="6">
        <f t="shared" si="1"/>
        <v>21</v>
      </c>
      <c r="G123" s="6" t="str">
        <f>IF(MINIFS(dynamic[orderDate], dynamic[customerID], B123) &gt;= DATE(2024,4,30)-120, 
     "New", 
     IF(MAXIFS(dynamic[orderCount], dynamic[customerID], B123)&lt;=2, 
        IF((DATE(2024,4,30) - MAXIFS(dynamic[orderDate], dynamic[customerID], B123)) &gt; 180, "Non-Returning", "Dormant"), 
        IF(AND(MAX(dynamic[sinceLastOrder]) &gt; 365, (DATE(2024,4,30) - MAXIFS(dynamic[orderDate], dynamic[customerID], B123)) &gt; 180), 
           "Dormant", "Regular")))</f>
        <v>Regular</v>
      </c>
      <c r="H123" s="6">
        <v>63.0</v>
      </c>
      <c r="I123" s="9" t="str">
        <f>VLOOKUP(dynamic[productID],products[],2,FALSE)</f>
        <v>Vegie-spread</v>
      </c>
      <c r="J123" s="9" t="str">
        <f>VLOOKUP(dynamic[productID],products[],12,FALSE)</f>
        <v>Condiments</v>
      </c>
      <c r="K123" s="7" t="str">
        <f>IF(VLOOKUP(dynamic[productID],products[],7,FALSE)=1,"Discontinued","Current")</f>
        <v>Current</v>
      </c>
      <c r="L123" s="9">
        <f>VLOOKUP(dynamic[productID],products[],IF(YEAR(dynamic[orderDate])=2022,8,IF(YEAR(dynamic[orderDate])=2023,9,IF(YEAR(dynamic[orderDate])=2024,10,NA))),FALSE)</f>
        <v>23.81372293</v>
      </c>
      <c r="M123" s="9">
        <v>35.1</v>
      </c>
      <c r="N123" s="25">
        <f>(dynamic[orderPrice]-dynamic[productCost])/dynamic[productCost]</f>
        <v>0.4739400513</v>
      </c>
      <c r="O123" s="10">
        <v>5.0</v>
      </c>
      <c r="P123" s="25">
        <v>0.0</v>
      </c>
      <c r="Q123" s="9">
        <f>dynamic[orderPrice]*dynamic[orderQuantity]</f>
        <v>175.5</v>
      </c>
      <c r="R123" s="9">
        <f>dynamic[orderTotal]*(1-dynamic[discountApllied])</f>
        <v>175.5</v>
      </c>
      <c r="S123" s="9">
        <f>dynamic[revenue]-(dynamic[productCost]*dynamic[orderQuantity])</f>
        <v>56.43138534</v>
      </c>
      <c r="T123" s="25">
        <f>IFERROR(dynamic[profit]/dynamic[revenue], 0)</f>
        <v>0.3215463552</v>
      </c>
    </row>
    <row r="124" ht="15.75" customHeight="1">
      <c r="A124" s="6">
        <v>10293.0</v>
      </c>
      <c r="B124" s="7" t="s">
        <v>38</v>
      </c>
      <c r="C124" s="24" t="str">
        <f>VLOOKUP(dynamic[customerID],customers[],2,FALSE)</f>
        <v>Tortuga Restaurante</v>
      </c>
      <c r="D124" s="24">
        <v>44802.0</v>
      </c>
      <c r="E124" s="6">
        <f>IFERROR(__xludf.DUMMYFUNCTION("COUNTUNIQUEIFS($A$2:$A124,$B$2:$B124,B124)"),2.0)</f>
        <v>2</v>
      </c>
      <c r="F124" s="6">
        <f t="shared" si="1"/>
        <v>21</v>
      </c>
      <c r="G124" s="6" t="str">
        <f>IF(MINIFS(dynamic[orderDate], dynamic[customerID], B124) &gt;= DATE(2024,4,30)-120, 
     "New", 
     IF(MAXIFS(dynamic[orderCount], dynamic[customerID], B124)&lt;=2, 
        IF((DATE(2024,4,30) - MAXIFS(dynamic[orderDate], dynamic[customerID], B124)) &gt; 180, "Non-Returning", "Dormant"), 
        IF(AND(MAX(dynamic[sinceLastOrder]) &gt; 365, (DATE(2024,4,30) - MAXIFS(dynamic[orderDate], dynamic[customerID], B124)) &gt; 180), 
           "Dormant", "Regular")))</f>
        <v>Regular</v>
      </c>
      <c r="H124" s="6">
        <v>75.0</v>
      </c>
      <c r="I124" s="9" t="str">
        <f>VLOOKUP(dynamic[productID],products[],2,FALSE)</f>
        <v>Rhönbräu Klosterbier</v>
      </c>
      <c r="J124" s="9" t="str">
        <f>VLOOKUP(dynamic[productID],products[],12,FALSE)</f>
        <v>Beverages</v>
      </c>
      <c r="K124" s="7" t="str">
        <f>IF(VLOOKUP(dynamic[productID],products[],7,FALSE)=1,"Discontinued","Current")</f>
        <v>Current</v>
      </c>
      <c r="L124" s="9">
        <f>VLOOKUP(dynamic[productID],products[],IF(YEAR(dynamic[orderDate])=2022,8,IF(YEAR(dynamic[orderDate])=2023,9,IF(YEAR(dynamic[orderDate])=2024,10,NA))),FALSE)</f>
        <v>4.269033823</v>
      </c>
      <c r="M124" s="9">
        <v>6.2</v>
      </c>
      <c r="N124" s="25">
        <f>(dynamic[orderPrice]-dynamic[productCost])/dynamic[productCost]</f>
        <v>0.4523192499</v>
      </c>
      <c r="O124" s="10">
        <v>6.0</v>
      </c>
      <c r="P124" s="25">
        <v>0.0</v>
      </c>
      <c r="Q124" s="9">
        <f>dynamic[orderPrice]*dynamic[orderQuantity]</f>
        <v>37.2</v>
      </c>
      <c r="R124" s="9">
        <f>dynamic[orderTotal]*(1-dynamic[discountApllied])</f>
        <v>37.2</v>
      </c>
      <c r="S124" s="9">
        <f>dynamic[revenue]-(dynamic[productCost]*dynamic[orderQuantity])</f>
        <v>11.58579706</v>
      </c>
      <c r="T124" s="25">
        <f>IFERROR(dynamic[profit]/dynamic[revenue], 0)</f>
        <v>0.3114461575</v>
      </c>
    </row>
    <row r="125" ht="15.75" customHeight="1">
      <c r="A125" s="6">
        <v>10294.0</v>
      </c>
      <c r="B125" s="7" t="s">
        <v>28</v>
      </c>
      <c r="C125" s="24" t="str">
        <f>VLOOKUP(dynamic[customerID],customers[],2,FALSE)</f>
        <v>Rattlesnake Canyon Grocery</v>
      </c>
      <c r="D125" s="24">
        <v>44803.0</v>
      </c>
      <c r="E125" s="6">
        <f>IFERROR(__xludf.DUMMYFUNCTION("COUNTUNIQUEIFS($A$2:$A125,$B$2:$B125,B125)"),3.0)</f>
        <v>3</v>
      </c>
      <c r="F125" s="6">
        <f t="shared" si="1"/>
        <v>28</v>
      </c>
      <c r="G125" s="6" t="str">
        <f>IF(MINIFS(dynamic[orderDate], dynamic[customerID], B125) &gt;= DATE(2024,4,30)-120, 
     "New", 
     IF(MAXIFS(dynamic[orderCount], dynamic[customerID], B125)&lt;=2, 
        IF((DATE(2024,4,30) - MAXIFS(dynamic[orderDate], dynamic[customerID], B125)) &gt; 180, "Non-Returning", "Dormant"), 
        IF(AND(MAX(dynamic[sinceLastOrder]) &gt; 365, (DATE(2024,4,30) - MAXIFS(dynamic[orderDate], dynamic[customerID], B125)) &gt; 180), 
           "Dormant", "Regular")))</f>
        <v>Regular</v>
      </c>
      <c r="H125" s="6">
        <v>1.0</v>
      </c>
      <c r="I125" s="9" t="str">
        <f>VLOOKUP(dynamic[productID],products[],2,FALSE)</f>
        <v>Chai</v>
      </c>
      <c r="J125" s="9" t="str">
        <f>VLOOKUP(dynamic[productID],products[],12,FALSE)</f>
        <v>Beverages</v>
      </c>
      <c r="K125" s="7" t="str">
        <f>IF(VLOOKUP(dynamic[productID],products[],7,FALSE)=1,"Discontinued","Current")</f>
        <v>Current</v>
      </c>
      <c r="L125" s="9">
        <f>VLOOKUP(dynamic[productID],products[],IF(YEAR(dynamic[orderDate])=2022,8,IF(YEAR(dynamic[orderDate])=2023,9,IF(YEAR(dynamic[orderDate])=2024,10,NA))),FALSE)</f>
        <v>9.574207217</v>
      </c>
      <c r="M125" s="9">
        <v>14.4</v>
      </c>
      <c r="N125" s="25">
        <f>(dynamic[orderPrice]-dynamic[productCost])/dynamic[productCost]</f>
        <v>0.5040409795</v>
      </c>
      <c r="O125" s="10">
        <v>18.0</v>
      </c>
      <c r="P125" s="25">
        <v>0.0</v>
      </c>
      <c r="Q125" s="9">
        <f>dynamic[orderPrice]*dynamic[orderQuantity]</f>
        <v>259.2</v>
      </c>
      <c r="R125" s="9">
        <f>dynamic[orderTotal]*(1-dynamic[discountApllied])</f>
        <v>259.2</v>
      </c>
      <c r="S125" s="9">
        <f>dynamic[revenue]-(dynamic[productCost]*dynamic[orderQuantity])</f>
        <v>86.8642701</v>
      </c>
      <c r="T125" s="25">
        <f>IFERROR(dynamic[profit]/dynamic[revenue], 0)</f>
        <v>0.3351244989</v>
      </c>
    </row>
    <row r="126" ht="15.75" customHeight="1">
      <c r="A126" s="6">
        <v>10294.0</v>
      </c>
      <c r="B126" s="7" t="s">
        <v>28</v>
      </c>
      <c r="C126" s="24" t="str">
        <f>VLOOKUP(dynamic[customerID],customers[],2,FALSE)</f>
        <v>Rattlesnake Canyon Grocery</v>
      </c>
      <c r="D126" s="24">
        <v>44803.0</v>
      </c>
      <c r="E126" s="6">
        <f>IFERROR(__xludf.DUMMYFUNCTION("COUNTUNIQUEIFS($A$2:$A126,$B$2:$B126,B126)"),3.0)</f>
        <v>3</v>
      </c>
      <c r="F126" s="6">
        <f t="shared" si="1"/>
        <v>28</v>
      </c>
      <c r="G126" s="6" t="str">
        <f>IF(MINIFS(dynamic[orderDate], dynamic[customerID], B126) &gt;= DATE(2024,4,30)-120, 
     "New", 
     IF(MAXIFS(dynamic[orderCount], dynamic[customerID], B126)&lt;=2, 
        IF((DATE(2024,4,30) - MAXIFS(dynamic[orderDate], dynamic[customerID], B126)) &gt; 180, "Non-Returning", "Dormant"), 
        IF(AND(MAX(dynamic[sinceLastOrder]) &gt; 365, (DATE(2024,4,30) - MAXIFS(dynamic[orderDate], dynamic[customerID], B126)) &gt; 180), 
           "Dormant", "Regular")))</f>
        <v>Regular</v>
      </c>
      <c r="H126" s="6">
        <v>17.0</v>
      </c>
      <c r="I126" s="9" t="str">
        <f>VLOOKUP(dynamic[productID],products[],2,FALSE)</f>
        <v>Alice Mutton</v>
      </c>
      <c r="J126" s="9" t="str">
        <f>VLOOKUP(dynamic[productID],products[],12,FALSE)</f>
        <v>Meat/Poultry</v>
      </c>
      <c r="K126" s="7" t="str">
        <f>IF(VLOOKUP(dynamic[productID],products[],7,FALSE)=1,"Discontinued","Current")</f>
        <v>Discontinued</v>
      </c>
      <c r="L126" s="9">
        <f>VLOOKUP(dynamic[productID],products[],IF(YEAR(dynamic[orderDate])=2022,8,IF(YEAR(dynamic[orderDate])=2023,9,IF(YEAR(dynamic[orderDate])=2024,10,NA))),FALSE)</f>
        <v>21.25377406</v>
      </c>
      <c r="M126" s="9">
        <v>31.2</v>
      </c>
      <c r="N126" s="25">
        <f>(dynamic[orderPrice]-dynamic[productCost])/dynamic[productCost]</f>
        <v>0.4679745775</v>
      </c>
      <c r="O126" s="10">
        <v>15.0</v>
      </c>
      <c r="P126" s="25">
        <v>0.0</v>
      </c>
      <c r="Q126" s="9">
        <f>dynamic[orderPrice]*dynamic[orderQuantity]</f>
        <v>468</v>
      </c>
      <c r="R126" s="9">
        <f>dynamic[orderTotal]*(1-dynamic[discountApllied])</f>
        <v>468</v>
      </c>
      <c r="S126" s="9">
        <f>dynamic[revenue]-(dynamic[productCost]*dynamic[orderQuantity])</f>
        <v>149.193389</v>
      </c>
      <c r="T126" s="25">
        <f>IFERROR(dynamic[profit]/dynamic[revenue], 0)</f>
        <v>0.3187892928</v>
      </c>
    </row>
    <row r="127" ht="15.75" customHeight="1">
      <c r="A127" s="6">
        <v>10294.0</v>
      </c>
      <c r="B127" s="7" t="s">
        <v>28</v>
      </c>
      <c r="C127" s="24" t="str">
        <f>VLOOKUP(dynamic[customerID],customers[],2,FALSE)</f>
        <v>Rattlesnake Canyon Grocery</v>
      </c>
      <c r="D127" s="24">
        <v>44803.0</v>
      </c>
      <c r="E127" s="6">
        <f>IFERROR(__xludf.DUMMYFUNCTION("COUNTUNIQUEIFS($A$2:$A127,$B$2:$B127,B127)"),3.0)</f>
        <v>3</v>
      </c>
      <c r="F127" s="6">
        <f t="shared" si="1"/>
        <v>28</v>
      </c>
      <c r="G127" s="6" t="str">
        <f>IF(MINIFS(dynamic[orderDate], dynamic[customerID], B127) &gt;= DATE(2024,4,30)-120, 
     "New", 
     IF(MAXIFS(dynamic[orderCount], dynamic[customerID], B127)&lt;=2, 
        IF((DATE(2024,4,30) - MAXIFS(dynamic[orderDate], dynamic[customerID], B127)) &gt; 180, "Non-Returning", "Dormant"), 
        IF(AND(MAX(dynamic[sinceLastOrder]) &gt; 365, (DATE(2024,4,30) - MAXIFS(dynamic[orderDate], dynamic[customerID], B127)) &gt; 180), 
           "Dormant", "Regular")))</f>
        <v>Regular</v>
      </c>
      <c r="H127" s="6">
        <v>43.0</v>
      </c>
      <c r="I127" s="9" t="str">
        <f>VLOOKUP(dynamic[productID],products[],2,FALSE)</f>
        <v>Ipoh Coffee</v>
      </c>
      <c r="J127" s="9" t="str">
        <f>VLOOKUP(dynamic[productID],products[],12,FALSE)</f>
        <v>Beverages</v>
      </c>
      <c r="K127" s="7" t="str">
        <f>IF(VLOOKUP(dynamic[productID],products[],7,FALSE)=1,"Discontinued","Current")</f>
        <v>Current</v>
      </c>
      <c r="L127" s="9">
        <f>VLOOKUP(dynamic[productID],products[],IF(YEAR(dynamic[orderDate])=2022,8,IF(YEAR(dynamic[orderDate])=2023,9,IF(YEAR(dynamic[orderDate])=2024,10,NA))),FALSE)</f>
        <v>25.79491918</v>
      </c>
      <c r="M127" s="9">
        <v>36.8</v>
      </c>
      <c r="N127" s="25">
        <f>(dynamic[orderPrice]-dynamic[productCost])/dynamic[productCost]</f>
        <v>0.4266375384</v>
      </c>
      <c r="O127" s="10">
        <v>15.0</v>
      </c>
      <c r="P127" s="25">
        <v>0.0</v>
      </c>
      <c r="Q127" s="9">
        <f>dynamic[orderPrice]*dynamic[orderQuantity]</f>
        <v>552</v>
      </c>
      <c r="R127" s="9">
        <f>dynamic[orderTotal]*(1-dynamic[discountApllied])</f>
        <v>552</v>
      </c>
      <c r="S127" s="9">
        <f>dynamic[revenue]-(dynamic[productCost]*dynamic[orderQuantity])</f>
        <v>165.0762123</v>
      </c>
      <c r="T127" s="25">
        <f>IFERROR(dynamic[profit]/dynamic[revenue], 0)</f>
        <v>0.2990511093</v>
      </c>
    </row>
    <row r="128" ht="15.75" customHeight="1">
      <c r="A128" s="6">
        <v>10294.0</v>
      </c>
      <c r="B128" s="7" t="s">
        <v>28</v>
      </c>
      <c r="C128" s="24" t="str">
        <f>VLOOKUP(dynamic[customerID],customers[],2,FALSE)</f>
        <v>Rattlesnake Canyon Grocery</v>
      </c>
      <c r="D128" s="24">
        <v>44803.0</v>
      </c>
      <c r="E128" s="6">
        <f>IFERROR(__xludf.DUMMYFUNCTION("COUNTUNIQUEIFS($A$2:$A128,$B$2:$B128,B128)"),3.0)</f>
        <v>3</v>
      </c>
      <c r="F128" s="6">
        <f t="shared" si="1"/>
        <v>28</v>
      </c>
      <c r="G128" s="6" t="str">
        <f>IF(MINIFS(dynamic[orderDate], dynamic[customerID], B128) &gt;= DATE(2024,4,30)-120, 
     "New", 
     IF(MAXIFS(dynamic[orderCount], dynamic[customerID], B128)&lt;=2, 
        IF((DATE(2024,4,30) - MAXIFS(dynamic[orderDate], dynamic[customerID], B128)) &gt; 180, "Non-Returning", "Dormant"), 
        IF(AND(MAX(dynamic[sinceLastOrder]) &gt; 365, (DATE(2024,4,30) - MAXIFS(dynamic[orderDate], dynamic[customerID], B128)) &gt; 180), 
           "Dormant", "Regular")))</f>
        <v>Regular</v>
      </c>
      <c r="H128" s="6">
        <v>60.0</v>
      </c>
      <c r="I128" s="9" t="str">
        <f>VLOOKUP(dynamic[productID],products[],2,FALSE)</f>
        <v>Camembert Pierrot</v>
      </c>
      <c r="J128" s="9" t="str">
        <f>VLOOKUP(dynamic[productID],products[],12,FALSE)</f>
        <v>Dairy Products</v>
      </c>
      <c r="K128" s="7" t="str">
        <f>IF(VLOOKUP(dynamic[productID],products[],7,FALSE)=1,"Discontinued","Current")</f>
        <v>Current</v>
      </c>
      <c r="L128" s="9">
        <f>VLOOKUP(dynamic[productID],products[],IF(YEAR(dynamic[orderDate])=2022,8,IF(YEAR(dynamic[orderDate])=2023,9,IF(YEAR(dynamic[orderDate])=2024,10,NA))),FALSE)</f>
        <v>17.66563493</v>
      </c>
      <c r="M128" s="9">
        <v>27.2</v>
      </c>
      <c r="N128" s="25">
        <f>(dynamic[orderPrice]-dynamic[productCost])/dynamic[productCost]</f>
        <v>0.5397125612</v>
      </c>
      <c r="O128" s="10">
        <v>21.0</v>
      </c>
      <c r="P128" s="25">
        <v>0.0</v>
      </c>
      <c r="Q128" s="9">
        <f>dynamic[orderPrice]*dynamic[orderQuantity]</f>
        <v>571.2</v>
      </c>
      <c r="R128" s="9">
        <f>dynamic[orderTotal]*(1-dynamic[discountApllied])</f>
        <v>571.2</v>
      </c>
      <c r="S128" s="9">
        <f>dynamic[revenue]-(dynamic[productCost]*dynamic[orderQuantity])</f>
        <v>200.2216665</v>
      </c>
      <c r="T128" s="25">
        <f>IFERROR(dynamic[profit]/dynamic[revenue], 0)</f>
        <v>0.3505281276</v>
      </c>
    </row>
    <row r="129" ht="15.75" customHeight="1">
      <c r="A129" s="6">
        <v>10294.0</v>
      </c>
      <c r="B129" s="7" t="s">
        <v>28</v>
      </c>
      <c r="C129" s="24" t="str">
        <f>VLOOKUP(dynamic[customerID],customers[],2,FALSE)</f>
        <v>Rattlesnake Canyon Grocery</v>
      </c>
      <c r="D129" s="24">
        <v>44803.0</v>
      </c>
      <c r="E129" s="6">
        <f>IFERROR(__xludf.DUMMYFUNCTION("COUNTUNIQUEIFS($A$2:$A129,$B$2:$B129,B129)"),3.0)</f>
        <v>3</v>
      </c>
      <c r="F129" s="6">
        <f t="shared" si="1"/>
        <v>28</v>
      </c>
      <c r="G129" s="6" t="str">
        <f>IF(MINIFS(dynamic[orderDate], dynamic[customerID], B129) &gt;= DATE(2024,4,30)-120, 
     "New", 
     IF(MAXIFS(dynamic[orderCount], dynamic[customerID], B129)&lt;=2, 
        IF((DATE(2024,4,30) - MAXIFS(dynamic[orderDate], dynamic[customerID], B129)) &gt; 180, "Non-Returning", "Dormant"), 
        IF(AND(MAX(dynamic[sinceLastOrder]) &gt; 365, (DATE(2024,4,30) - MAXIFS(dynamic[orderDate], dynamic[customerID], B129)) &gt; 180), 
           "Dormant", "Regular")))</f>
        <v>Regular</v>
      </c>
      <c r="H129" s="6">
        <v>75.0</v>
      </c>
      <c r="I129" s="9" t="str">
        <f>VLOOKUP(dynamic[productID],products[],2,FALSE)</f>
        <v>Rhönbräu Klosterbier</v>
      </c>
      <c r="J129" s="9" t="str">
        <f>VLOOKUP(dynamic[productID],products[],12,FALSE)</f>
        <v>Beverages</v>
      </c>
      <c r="K129" s="7" t="str">
        <f>IF(VLOOKUP(dynamic[productID],products[],7,FALSE)=1,"Discontinued","Current")</f>
        <v>Current</v>
      </c>
      <c r="L129" s="9">
        <f>VLOOKUP(dynamic[productID],products[],IF(YEAR(dynamic[orderDate])=2022,8,IF(YEAR(dynamic[orderDate])=2023,9,IF(YEAR(dynamic[orderDate])=2024,10,NA))),FALSE)</f>
        <v>4.269033823</v>
      </c>
      <c r="M129" s="9">
        <v>6.2</v>
      </c>
      <c r="N129" s="25">
        <f>(dynamic[orderPrice]-dynamic[productCost])/dynamic[productCost]</f>
        <v>0.4523192499</v>
      </c>
      <c r="O129" s="10">
        <v>6.0</v>
      </c>
      <c r="P129" s="25">
        <v>0.0</v>
      </c>
      <c r="Q129" s="9">
        <f>dynamic[orderPrice]*dynamic[orderQuantity]</f>
        <v>37.2</v>
      </c>
      <c r="R129" s="9">
        <f>dynamic[orderTotal]*(1-dynamic[discountApllied])</f>
        <v>37.2</v>
      </c>
      <c r="S129" s="9">
        <f>dynamic[revenue]-(dynamic[productCost]*dynamic[orderQuantity])</f>
        <v>11.58579706</v>
      </c>
      <c r="T129" s="25">
        <f>IFERROR(dynamic[profit]/dynamic[revenue], 0)</f>
        <v>0.3114461575</v>
      </c>
    </row>
    <row r="130" ht="15.75" customHeight="1">
      <c r="A130" s="6">
        <v>10295.0</v>
      </c>
      <c r="B130" s="7" t="s">
        <v>12</v>
      </c>
      <c r="C130" s="24" t="str">
        <f>VLOOKUP(dynamic[customerID],customers[],2,FALSE)</f>
        <v>Vins et alcools Chevalier</v>
      </c>
      <c r="D130" s="24">
        <v>44806.0</v>
      </c>
      <c r="E130" s="6">
        <f>IFERROR(__xludf.DUMMYFUNCTION("COUNTUNIQUEIFS($A$2:$A130,$B$2:$B130,B130)"),3.0)</f>
        <v>3</v>
      </c>
      <c r="F130" s="6">
        <f t="shared" si="1"/>
        <v>27</v>
      </c>
      <c r="G130" s="6" t="str">
        <f>IF(MINIFS(dynamic[orderDate], dynamic[customerID], B130) &gt;= DATE(2024,4,30)-120, 
     "New", 
     IF(MAXIFS(dynamic[orderCount], dynamic[customerID], B130)&lt;=2, 
        IF((DATE(2024,4,30) - MAXIFS(dynamic[orderDate], dynamic[customerID], B130)) &gt; 180, "Non-Returning", "Dormant"), 
        IF(AND(MAX(dynamic[sinceLastOrder]) &gt; 365, (DATE(2024,4,30) - MAXIFS(dynamic[orderDate], dynamic[customerID], B130)) &gt; 180), 
           "Dormant", "Regular")))</f>
        <v>Regular</v>
      </c>
      <c r="H130" s="6">
        <v>56.0</v>
      </c>
      <c r="I130" s="9" t="str">
        <f>VLOOKUP(dynamic[productID],products[],2,FALSE)</f>
        <v>Gnocchi di nonna Alice</v>
      </c>
      <c r="J130" s="9" t="str">
        <f>VLOOKUP(dynamic[productID],products[],12,FALSE)</f>
        <v>Grains/Cereals</v>
      </c>
      <c r="K130" s="7" t="str">
        <f>IF(VLOOKUP(dynamic[productID],products[],7,FALSE)=1,"Discontinued","Current")</f>
        <v>Current</v>
      </c>
      <c r="L130" s="9">
        <f>VLOOKUP(dynamic[productID],products[],IF(YEAR(dynamic[orderDate])=2022,8,IF(YEAR(dynamic[orderDate])=2023,9,IF(YEAR(dynamic[orderDate])=2024,10,NA))),FALSE)</f>
        <v>21.5040056</v>
      </c>
      <c r="M130" s="9">
        <v>30.4</v>
      </c>
      <c r="N130" s="25">
        <f>(dynamic[orderPrice]-dynamic[productCost])/dynamic[productCost]</f>
        <v>0.4136901081</v>
      </c>
      <c r="O130" s="10">
        <v>4.0</v>
      </c>
      <c r="P130" s="25">
        <v>0.0</v>
      </c>
      <c r="Q130" s="9">
        <f>dynamic[orderPrice]*dynamic[orderQuantity]</f>
        <v>121.6</v>
      </c>
      <c r="R130" s="9">
        <f>dynamic[orderTotal]*(1-dynamic[discountApllied])</f>
        <v>121.6</v>
      </c>
      <c r="S130" s="9">
        <f>dynamic[revenue]-(dynamic[productCost]*dynamic[orderQuantity])</f>
        <v>35.5839776</v>
      </c>
      <c r="T130" s="25">
        <f>IFERROR(dynamic[profit]/dynamic[revenue], 0)</f>
        <v>0.2926313948</v>
      </c>
    </row>
    <row r="131" ht="15.75" customHeight="1">
      <c r="A131" s="6">
        <v>10296.0</v>
      </c>
      <c r="B131" s="7" t="s">
        <v>43</v>
      </c>
      <c r="C131" s="24" t="str">
        <f>VLOOKUP(dynamic[customerID],customers[],2,FALSE)</f>
        <v>LILA-Supermercado</v>
      </c>
      <c r="D131" s="24">
        <v>44807.0</v>
      </c>
      <c r="E131" s="6">
        <f>IFERROR(__xludf.DUMMYFUNCTION("COUNTUNIQUEIFS($A$2:$A131,$B$2:$B131,B131)"),2.0)</f>
        <v>2</v>
      </c>
      <c r="F131" s="6">
        <f t="shared" si="1"/>
        <v>18</v>
      </c>
      <c r="G131" s="6" t="str">
        <f>IF(MINIFS(dynamic[orderDate], dynamic[customerID], B131) &gt;= DATE(2024,4,30)-120, 
     "New", 
     IF(MAXIFS(dynamic[orderCount], dynamic[customerID], B131)&lt;=2, 
        IF((DATE(2024,4,30) - MAXIFS(dynamic[orderDate], dynamic[customerID], B131)) &gt; 180, "Non-Returning", "Dormant"), 
        IF(AND(MAX(dynamic[sinceLastOrder]) &gt; 365, (DATE(2024,4,30) - MAXIFS(dynamic[orderDate], dynamic[customerID], B131)) &gt; 180), 
           "Dormant", "Regular")))</f>
        <v>Regular</v>
      </c>
      <c r="H131" s="6">
        <v>11.0</v>
      </c>
      <c r="I131" s="9" t="str">
        <f>VLOOKUP(dynamic[productID],products[],2,FALSE)</f>
        <v>Queso Cabrales</v>
      </c>
      <c r="J131" s="9" t="str">
        <f>VLOOKUP(dynamic[productID],products[],12,FALSE)</f>
        <v>Dairy Products</v>
      </c>
      <c r="K131" s="7" t="str">
        <f>IF(VLOOKUP(dynamic[productID],products[],7,FALSE)=1,"Discontinued","Current")</f>
        <v>Current</v>
      </c>
      <c r="L131" s="9">
        <f>VLOOKUP(dynamic[productID],products[],IF(YEAR(dynamic[orderDate])=2022,8,IF(YEAR(dynamic[orderDate])=2023,9,IF(YEAR(dynamic[orderDate])=2024,10,NA))),FALSE)</f>
        <v>10.58231097</v>
      </c>
      <c r="M131" s="9">
        <v>16.8</v>
      </c>
      <c r="N131" s="25">
        <f>(dynamic[orderPrice]-dynamic[productCost])/dynamic[productCost]</f>
        <v>0.5875549344</v>
      </c>
      <c r="O131" s="10">
        <v>12.0</v>
      </c>
      <c r="P131" s="25">
        <v>0.0</v>
      </c>
      <c r="Q131" s="9">
        <f>dynamic[orderPrice]*dynamic[orderQuantity]</f>
        <v>201.6</v>
      </c>
      <c r="R131" s="9">
        <f>dynamic[orderTotal]*(1-dynamic[discountApllied])</f>
        <v>201.6</v>
      </c>
      <c r="S131" s="9">
        <f>dynamic[revenue]-(dynamic[productCost]*dynamic[orderQuantity])</f>
        <v>74.61226834</v>
      </c>
      <c r="T131" s="25">
        <f>IFERROR(dynamic[profit]/dynamic[revenue], 0)</f>
        <v>0.3701005374</v>
      </c>
    </row>
    <row r="132" ht="15.75" customHeight="1">
      <c r="A132" s="6">
        <v>10296.0</v>
      </c>
      <c r="B132" s="7" t="s">
        <v>43</v>
      </c>
      <c r="C132" s="24" t="str">
        <f>VLOOKUP(dynamic[customerID],customers[],2,FALSE)</f>
        <v>LILA-Supermercado</v>
      </c>
      <c r="D132" s="24">
        <v>44807.0</v>
      </c>
      <c r="E132" s="6">
        <f>IFERROR(__xludf.DUMMYFUNCTION("COUNTUNIQUEIFS($A$2:$A132,$B$2:$B132,B132)"),2.0)</f>
        <v>2</v>
      </c>
      <c r="F132" s="6">
        <f t="shared" si="1"/>
        <v>18</v>
      </c>
      <c r="G132" s="6" t="str">
        <f>IF(MINIFS(dynamic[orderDate], dynamic[customerID], B132) &gt;= DATE(2024,4,30)-120, 
     "New", 
     IF(MAXIFS(dynamic[orderCount], dynamic[customerID], B132)&lt;=2, 
        IF((DATE(2024,4,30) - MAXIFS(dynamic[orderDate], dynamic[customerID], B132)) &gt; 180, "Non-Returning", "Dormant"), 
        IF(AND(MAX(dynamic[sinceLastOrder]) &gt; 365, (DATE(2024,4,30) - MAXIFS(dynamic[orderDate], dynamic[customerID], B132)) &gt; 180), 
           "Dormant", "Regular")))</f>
        <v>Regular</v>
      </c>
      <c r="H132" s="6">
        <v>16.0</v>
      </c>
      <c r="I132" s="9" t="str">
        <f>VLOOKUP(dynamic[productID],products[],2,FALSE)</f>
        <v>Pavlova</v>
      </c>
      <c r="J132" s="9" t="str">
        <f>VLOOKUP(dynamic[productID],products[],12,FALSE)</f>
        <v>Confections</v>
      </c>
      <c r="K132" s="7" t="str">
        <f>IF(VLOOKUP(dynamic[productID],products[],7,FALSE)=1,"Discontinued","Current")</f>
        <v>Current</v>
      </c>
      <c r="L132" s="9">
        <f>VLOOKUP(dynamic[productID],products[],IF(YEAR(dynamic[orderDate])=2022,8,IF(YEAR(dynamic[orderDate])=2023,9,IF(YEAR(dynamic[orderDate])=2024,10,NA))),FALSE)</f>
        <v>9.80658008</v>
      </c>
      <c r="M132" s="9">
        <v>13.9</v>
      </c>
      <c r="N132" s="25">
        <f>(dynamic[orderPrice]-dynamic[productCost])/dynamic[productCost]</f>
        <v>0.417415642</v>
      </c>
      <c r="O132" s="10">
        <v>30.0</v>
      </c>
      <c r="P132" s="25">
        <v>0.0</v>
      </c>
      <c r="Q132" s="9">
        <f>dynamic[orderPrice]*dynamic[orderQuantity]</f>
        <v>417</v>
      </c>
      <c r="R132" s="9">
        <f>dynamic[orderTotal]*(1-dynamic[discountApllied])</f>
        <v>417</v>
      </c>
      <c r="S132" s="9">
        <f>dynamic[revenue]-(dynamic[productCost]*dynamic[orderQuantity])</f>
        <v>122.8025976</v>
      </c>
      <c r="T132" s="25">
        <f>IFERROR(dynamic[profit]/dynamic[revenue], 0)</f>
        <v>0.2944906417</v>
      </c>
    </row>
    <row r="133" ht="15.75" customHeight="1">
      <c r="A133" s="6">
        <v>10296.0</v>
      </c>
      <c r="B133" s="7" t="s">
        <v>43</v>
      </c>
      <c r="C133" s="24" t="str">
        <f>VLOOKUP(dynamic[customerID],customers[],2,FALSE)</f>
        <v>LILA-Supermercado</v>
      </c>
      <c r="D133" s="24">
        <v>44807.0</v>
      </c>
      <c r="E133" s="6">
        <f>IFERROR(__xludf.DUMMYFUNCTION("COUNTUNIQUEIFS($A$2:$A133,$B$2:$B133,B133)"),2.0)</f>
        <v>2</v>
      </c>
      <c r="F133" s="6">
        <f t="shared" si="1"/>
        <v>18</v>
      </c>
      <c r="G133" s="6" t="str">
        <f>IF(MINIFS(dynamic[orderDate], dynamic[customerID], B133) &gt;= DATE(2024,4,30)-120, 
     "New", 
     IF(MAXIFS(dynamic[orderCount], dynamic[customerID], B133)&lt;=2, 
        IF((DATE(2024,4,30) - MAXIFS(dynamic[orderDate], dynamic[customerID], B133)) &gt; 180, "Non-Returning", "Dormant"), 
        IF(AND(MAX(dynamic[sinceLastOrder]) &gt; 365, (DATE(2024,4,30) - MAXIFS(dynamic[orderDate], dynamic[customerID], B133)) &gt; 180), 
           "Dormant", "Regular")))</f>
        <v>Regular</v>
      </c>
      <c r="H133" s="6">
        <v>69.0</v>
      </c>
      <c r="I133" s="9" t="str">
        <f>VLOOKUP(dynamic[productID],products[],2,FALSE)</f>
        <v>Gudbrandsdalsost</v>
      </c>
      <c r="J133" s="9" t="str">
        <f>VLOOKUP(dynamic[productID],products[],12,FALSE)</f>
        <v>Dairy Products</v>
      </c>
      <c r="K133" s="7" t="str">
        <f>IF(VLOOKUP(dynamic[productID],products[],7,FALSE)=1,"Discontinued","Current")</f>
        <v>Current</v>
      </c>
      <c r="L133" s="9">
        <f>VLOOKUP(dynamic[productID],products[],IF(YEAR(dynamic[orderDate])=2022,8,IF(YEAR(dynamic[orderDate])=2023,9,IF(YEAR(dynamic[orderDate])=2024,10,NA))),FALSE)</f>
        <v>20.71216183</v>
      </c>
      <c r="M133" s="9">
        <v>28.8</v>
      </c>
      <c r="N133" s="25">
        <f>(dynamic[orderPrice]-dynamic[productCost])/dynamic[productCost]</f>
        <v>0.3904873977</v>
      </c>
      <c r="O133" s="10">
        <v>15.0</v>
      </c>
      <c r="P133" s="25">
        <v>0.0</v>
      </c>
      <c r="Q133" s="9">
        <f>dynamic[orderPrice]*dynamic[orderQuantity]</f>
        <v>432</v>
      </c>
      <c r="R133" s="9">
        <f>dynamic[orderTotal]*(1-dynamic[discountApllied])</f>
        <v>432</v>
      </c>
      <c r="S133" s="9">
        <f>dynamic[revenue]-(dynamic[productCost]*dynamic[orderQuantity])</f>
        <v>121.3175726</v>
      </c>
      <c r="T133" s="25">
        <f>IFERROR(dynamic[profit]/dynamic[revenue], 0)</f>
        <v>0.2808277143</v>
      </c>
    </row>
    <row r="134" ht="15.75" customHeight="1">
      <c r="A134" s="6">
        <v>10297.0</v>
      </c>
      <c r="B134" s="7" t="s">
        <v>30</v>
      </c>
      <c r="C134" s="24" t="str">
        <f>VLOOKUP(dynamic[customerID],customers[],2,FALSE)</f>
        <v>Blondesddsl père et fils</v>
      </c>
      <c r="D134" s="24">
        <v>44808.0</v>
      </c>
      <c r="E134" s="6">
        <f>IFERROR(__xludf.DUMMYFUNCTION("COUNTUNIQUEIFS($A$2:$A134,$B$2:$B134,B134)"),2.0)</f>
        <v>2</v>
      </c>
      <c r="F134" s="6">
        <f t="shared" si="1"/>
        <v>41</v>
      </c>
      <c r="G134" s="6" t="str">
        <f>IF(MINIFS(dynamic[orderDate], dynamic[customerID], B134) &gt;= DATE(2024,4,30)-120, 
     "New", 
     IF(MAXIFS(dynamic[orderCount], dynamic[customerID], B134)&lt;=2, 
        IF((DATE(2024,4,30) - MAXIFS(dynamic[orderDate], dynamic[customerID], B134)) &gt; 180, "Non-Returning", "Dormant"), 
        IF(AND(MAX(dynamic[sinceLastOrder]) &gt; 365, (DATE(2024,4,30) - MAXIFS(dynamic[orderDate], dynamic[customerID], B134)) &gt; 180), 
           "Dormant", "Regular")))</f>
        <v>Regular</v>
      </c>
      <c r="H134" s="6">
        <v>39.0</v>
      </c>
      <c r="I134" s="9" t="str">
        <f>VLOOKUP(dynamic[productID],products[],2,FALSE)</f>
        <v>Chartreuse verte</v>
      </c>
      <c r="J134" s="9" t="str">
        <f>VLOOKUP(dynamic[productID],products[],12,FALSE)</f>
        <v>Beverages</v>
      </c>
      <c r="K134" s="7" t="str">
        <f>IF(VLOOKUP(dynamic[productID],products[],7,FALSE)=1,"Discontinued","Current")</f>
        <v>Current</v>
      </c>
      <c r="L134" s="9">
        <f>VLOOKUP(dynamic[productID],products[],IF(YEAR(dynamic[orderDate])=2022,8,IF(YEAR(dynamic[orderDate])=2023,9,IF(YEAR(dynamic[orderDate])=2024,10,NA))),FALSE)</f>
        <v>9.743517226</v>
      </c>
      <c r="M134" s="9">
        <v>14.4</v>
      </c>
      <c r="N134" s="25">
        <f>(dynamic[orderPrice]-dynamic[productCost])/dynamic[productCost]</f>
        <v>0.4779057362</v>
      </c>
      <c r="O134" s="10">
        <v>60.0</v>
      </c>
      <c r="P134" s="25">
        <v>0.0</v>
      </c>
      <c r="Q134" s="9">
        <f>dynamic[orderPrice]*dynamic[orderQuantity]</f>
        <v>864</v>
      </c>
      <c r="R134" s="9">
        <f>dynamic[orderTotal]*(1-dynamic[discountApllied])</f>
        <v>864</v>
      </c>
      <c r="S134" s="9">
        <f>dynamic[revenue]-(dynamic[productCost]*dynamic[orderQuantity])</f>
        <v>279.3889664</v>
      </c>
      <c r="T134" s="25">
        <f>IFERROR(dynamic[profit]/dynamic[revenue], 0)</f>
        <v>0.3233668593</v>
      </c>
    </row>
    <row r="135" ht="15.75" customHeight="1">
      <c r="A135" s="6">
        <v>10297.0</v>
      </c>
      <c r="B135" s="7" t="s">
        <v>30</v>
      </c>
      <c r="C135" s="24" t="str">
        <f>VLOOKUP(dynamic[customerID],customers[],2,FALSE)</f>
        <v>Blondesddsl père et fils</v>
      </c>
      <c r="D135" s="24">
        <v>44808.0</v>
      </c>
      <c r="E135" s="6">
        <f>IFERROR(__xludf.DUMMYFUNCTION("COUNTUNIQUEIFS($A$2:$A135,$B$2:$B135,B135)"),2.0)</f>
        <v>2</v>
      </c>
      <c r="F135" s="6">
        <f t="shared" si="1"/>
        <v>41</v>
      </c>
      <c r="G135" s="6" t="str">
        <f>IF(MINIFS(dynamic[orderDate], dynamic[customerID], B135) &gt;= DATE(2024,4,30)-120, 
     "New", 
     IF(MAXIFS(dynamic[orderCount], dynamic[customerID], B135)&lt;=2, 
        IF((DATE(2024,4,30) - MAXIFS(dynamic[orderDate], dynamic[customerID], B135)) &gt; 180, "Non-Returning", "Dormant"), 
        IF(AND(MAX(dynamic[sinceLastOrder]) &gt; 365, (DATE(2024,4,30) - MAXIFS(dynamic[orderDate], dynamic[customerID], B135)) &gt; 180), 
           "Dormant", "Regular")))</f>
        <v>Regular</v>
      </c>
      <c r="H135" s="6">
        <v>72.0</v>
      </c>
      <c r="I135" s="9" t="str">
        <f>VLOOKUP(dynamic[productID],products[],2,FALSE)</f>
        <v>Mozzarella di Giovanni</v>
      </c>
      <c r="J135" s="9" t="str">
        <f>VLOOKUP(dynamic[productID],products[],12,FALSE)</f>
        <v>Dairy Products</v>
      </c>
      <c r="K135" s="7" t="str">
        <f>IF(VLOOKUP(dynamic[productID],products[],7,FALSE)=1,"Discontinued","Current")</f>
        <v>Current</v>
      </c>
      <c r="L135" s="9">
        <f>VLOOKUP(dynamic[productID],products[],IF(YEAR(dynamic[orderDate])=2022,8,IF(YEAR(dynamic[orderDate])=2023,9,IF(YEAR(dynamic[orderDate])=2024,10,NA))),FALSE)</f>
        <v>19.20829334</v>
      </c>
      <c r="M135" s="9">
        <v>27.8</v>
      </c>
      <c r="N135" s="25">
        <f>(dynamic[orderPrice]-dynamic[productCost])/dynamic[productCost]</f>
        <v>0.4472915167</v>
      </c>
      <c r="O135" s="10">
        <v>20.0</v>
      </c>
      <c r="P135" s="25">
        <v>0.0</v>
      </c>
      <c r="Q135" s="9">
        <f>dynamic[orderPrice]*dynamic[orderQuantity]</f>
        <v>556</v>
      </c>
      <c r="R135" s="9">
        <f>dynamic[orderTotal]*(1-dynamic[discountApllied])</f>
        <v>556</v>
      </c>
      <c r="S135" s="9">
        <f>dynamic[revenue]-(dynamic[productCost]*dynamic[orderQuantity])</f>
        <v>171.8341332</v>
      </c>
      <c r="T135" s="25">
        <f>IFERROR(dynamic[profit]/dynamic[revenue], 0)</f>
        <v>0.3090541965</v>
      </c>
    </row>
    <row r="136" ht="15.75" customHeight="1">
      <c r="A136" s="6">
        <v>10298.0</v>
      </c>
      <c r="B136" s="7" t="s">
        <v>49</v>
      </c>
      <c r="C136" s="24" t="str">
        <f>VLOOKUP(dynamic[customerID],customers[],2,FALSE)</f>
        <v>Hungry Owl All-Night Grocers</v>
      </c>
      <c r="D136" s="24">
        <v>44809.0</v>
      </c>
      <c r="E136" s="6">
        <f>IFERROR(__xludf.DUMMYFUNCTION("COUNTUNIQUEIFS($A$2:$A136,$B$2:$B136,B136)"),1.0)</f>
        <v>1</v>
      </c>
      <c r="F136" s="6">
        <f t="shared" si="1"/>
        <v>0</v>
      </c>
      <c r="G136" s="6" t="str">
        <f>IF(MINIFS(dynamic[orderDate], dynamic[customerID], B136) &gt;= DATE(2024,4,30)-120, 
     "New", 
     IF(MAXIFS(dynamic[orderCount], dynamic[customerID], B136)&lt;=2, 
        IF((DATE(2024,4,30) - MAXIFS(dynamic[orderDate], dynamic[customerID], B136)) &gt; 180, "Non-Returning", "Dormant"), 
        IF(AND(MAX(dynamic[sinceLastOrder]) &gt; 365, (DATE(2024,4,30) - MAXIFS(dynamic[orderDate], dynamic[customerID], B136)) &gt; 180), 
           "Dormant", "Regular")))</f>
        <v>Regular</v>
      </c>
      <c r="H136" s="6">
        <v>2.0</v>
      </c>
      <c r="I136" s="9" t="str">
        <f>VLOOKUP(dynamic[productID],products[],2,FALSE)</f>
        <v>Chang</v>
      </c>
      <c r="J136" s="9" t="str">
        <f>VLOOKUP(dynamic[productID],products[],12,FALSE)</f>
        <v>Beverages</v>
      </c>
      <c r="K136" s="7" t="str">
        <f>IF(VLOOKUP(dynamic[productID],products[],7,FALSE)=1,"Discontinued","Current")</f>
        <v>Current</v>
      </c>
      <c r="L136" s="9">
        <f>VLOOKUP(dynamic[productID],products[],IF(YEAR(dynamic[orderDate])=2022,8,IF(YEAR(dynamic[orderDate])=2023,9,IF(YEAR(dynamic[orderDate])=2024,10,NA))),FALSE)</f>
        <v>9.768746876</v>
      </c>
      <c r="M136" s="9">
        <v>15.2</v>
      </c>
      <c r="N136" s="25">
        <f>(dynamic[orderPrice]-dynamic[productCost])/dynamic[productCost]</f>
        <v>0.5559825833</v>
      </c>
      <c r="O136" s="10">
        <v>40.0</v>
      </c>
      <c r="P136" s="25">
        <v>0.0</v>
      </c>
      <c r="Q136" s="9">
        <f>dynamic[orderPrice]*dynamic[orderQuantity]</f>
        <v>608</v>
      </c>
      <c r="R136" s="9">
        <f>dynamic[orderTotal]*(1-dynamic[discountApllied])</f>
        <v>608</v>
      </c>
      <c r="S136" s="9">
        <f>dynamic[revenue]-(dynamic[productCost]*dynamic[orderQuantity])</f>
        <v>217.2501249</v>
      </c>
      <c r="T136" s="25">
        <f>IFERROR(dynamic[profit]/dynamic[revenue], 0)</f>
        <v>0.3573192844</v>
      </c>
    </row>
    <row r="137" ht="15.75" customHeight="1">
      <c r="A137" s="6">
        <v>10298.0</v>
      </c>
      <c r="B137" s="7" t="s">
        <v>49</v>
      </c>
      <c r="C137" s="24" t="str">
        <f>VLOOKUP(dynamic[customerID],customers[],2,FALSE)</f>
        <v>Hungry Owl All-Night Grocers</v>
      </c>
      <c r="D137" s="24">
        <v>44809.0</v>
      </c>
      <c r="E137" s="6">
        <f>IFERROR(__xludf.DUMMYFUNCTION("COUNTUNIQUEIFS($A$2:$A137,$B$2:$B137,B137)"),1.0)</f>
        <v>1</v>
      </c>
      <c r="F137" s="6">
        <f t="shared" si="1"/>
        <v>0</v>
      </c>
      <c r="G137" s="6" t="str">
        <f>IF(MINIFS(dynamic[orderDate], dynamic[customerID], B137) &gt;= DATE(2024,4,30)-120, 
     "New", 
     IF(MAXIFS(dynamic[orderCount], dynamic[customerID], B137)&lt;=2, 
        IF((DATE(2024,4,30) - MAXIFS(dynamic[orderDate], dynamic[customerID], B137)) &gt; 180, "Non-Returning", "Dormant"), 
        IF(AND(MAX(dynamic[sinceLastOrder]) &gt; 365, (DATE(2024,4,30) - MAXIFS(dynamic[orderDate], dynamic[customerID], B137)) &gt; 180), 
           "Dormant", "Regular")))</f>
        <v>Regular</v>
      </c>
      <c r="H137" s="6">
        <v>36.0</v>
      </c>
      <c r="I137" s="9" t="str">
        <f>VLOOKUP(dynamic[productID],products[],2,FALSE)</f>
        <v>Inlagd Sill</v>
      </c>
      <c r="J137" s="9" t="str">
        <f>VLOOKUP(dynamic[productID],products[],12,FALSE)</f>
        <v>Seafood</v>
      </c>
      <c r="K137" s="7" t="str">
        <f>IF(VLOOKUP(dynamic[productID],products[],7,FALSE)=1,"Discontinued","Current")</f>
        <v>Current</v>
      </c>
      <c r="L137" s="9">
        <f>VLOOKUP(dynamic[productID],products[],IF(YEAR(dynamic[orderDate])=2022,8,IF(YEAR(dynamic[orderDate])=2023,9,IF(YEAR(dynamic[orderDate])=2024,10,NA))),FALSE)</f>
        <v>9.768238429</v>
      </c>
      <c r="M137" s="9">
        <v>15.2</v>
      </c>
      <c r="N137" s="25">
        <f>(dynamic[orderPrice]-dynamic[productCost])/dynamic[productCost]</f>
        <v>0.5560635738</v>
      </c>
      <c r="O137" s="10">
        <v>40.0</v>
      </c>
      <c r="P137" s="25">
        <v>0.25</v>
      </c>
      <c r="Q137" s="9">
        <f>dynamic[orderPrice]*dynamic[orderQuantity]</f>
        <v>608</v>
      </c>
      <c r="R137" s="9">
        <f>dynamic[orderTotal]*(1-dynamic[discountApllied])</f>
        <v>456</v>
      </c>
      <c r="S137" s="9">
        <f>dynamic[revenue]-(dynamic[productCost]*dynamic[orderQuantity])</f>
        <v>65.27046283</v>
      </c>
      <c r="T137" s="25">
        <f>IFERROR(dynamic[profit]/dynamic[revenue], 0)</f>
        <v>0.1431369799</v>
      </c>
    </row>
    <row r="138" ht="15.75" customHeight="1">
      <c r="A138" s="6">
        <v>10298.0</v>
      </c>
      <c r="B138" s="7" t="s">
        <v>49</v>
      </c>
      <c r="C138" s="24" t="str">
        <f>VLOOKUP(dynamic[customerID],customers[],2,FALSE)</f>
        <v>Hungry Owl All-Night Grocers</v>
      </c>
      <c r="D138" s="24">
        <v>44809.0</v>
      </c>
      <c r="E138" s="6">
        <f>IFERROR(__xludf.DUMMYFUNCTION("COUNTUNIQUEIFS($A$2:$A138,$B$2:$B138,B138)"),1.0)</f>
        <v>1</v>
      </c>
      <c r="F138" s="6">
        <f t="shared" si="1"/>
        <v>0</v>
      </c>
      <c r="G138" s="6" t="str">
        <f>IF(MINIFS(dynamic[orderDate], dynamic[customerID], B138) &gt;= DATE(2024,4,30)-120, 
     "New", 
     IF(MAXIFS(dynamic[orderCount], dynamic[customerID], B138)&lt;=2, 
        IF((DATE(2024,4,30) - MAXIFS(dynamic[orderDate], dynamic[customerID], B138)) &gt; 180, "Non-Returning", "Dormant"), 
        IF(AND(MAX(dynamic[sinceLastOrder]) &gt; 365, (DATE(2024,4,30) - MAXIFS(dynamic[orderDate], dynamic[customerID], B138)) &gt; 180), 
           "Dormant", "Regular")))</f>
        <v>Regular</v>
      </c>
      <c r="H138" s="6">
        <v>59.0</v>
      </c>
      <c r="I138" s="9" t="str">
        <f>VLOOKUP(dynamic[productID],products[],2,FALSE)</f>
        <v>Raclette Courdavault</v>
      </c>
      <c r="J138" s="9" t="str">
        <f>VLOOKUP(dynamic[productID],products[],12,FALSE)</f>
        <v>Dairy Products</v>
      </c>
      <c r="K138" s="7" t="str">
        <f>IF(VLOOKUP(dynamic[productID],products[],7,FALSE)=1,"Discontinued","Current")</f>
        <v>Current</v>
      </c>
      <c r="L138" s="9">
        <f>VLOOKUP(dynamic[productID],products[],IF(YEAR(dynamic[orderDate])=2022,8,IF(YEAR(dynamic[orderDate])=2023,9,IF(YEAR(dynamic[orderDate])=2024,10,NA))),FALSE)</f>
        <v>29.20351951</v>
      </c>
      <c r="M138" s="9">
        <v>44.0</v>
      </c>
      <c r="N138" s="25">
        <f>(dynamic[orderPrice]-dynamic[productCost])/dynamic[productCost]</f>
        <v>0.5066677147</v>
      </c>
      <c r="O138" s="10">
        <v>30.0</v>
      </c>
      <c r="P138" s="25">
        <v>0.25</v>
      </c>
      <c r="Q138" s="9">
        <f>dynamic[orderPrice]*dynamic[orderQuantity]</f>
        <v>1320</v>
      </c>
      <c r="R138" s="9">
        <f>dynamic[orderTotal]*(1-dynamic[discountApllied])</f>
        <v>990</v>
      </c>
      <c r="S138" s="9">
        <f>dynamic[revenue]-(dynamic[productCost]*dynamic[orderQuantity])</f>
        <v>113.8944147</v>
      </c>
      <c r="T138" s="25">
        <f>IFERROR(dynamic[profit]/dynamic[revenue], 0)</f>
        <v>0.1150448634</v>
      </c>
    </row>
    <row r="139" ht="15.75" customHeight="1">
      <c r="A139" s="6">
        <v>10298.0</v>
      </c>
      <c r="B139" s="7" t="s">
        <v>49</v>
      </c>
      <c r="C139" s="24" t="str">
        <f>VLOOKUP(dynamic[customerID],customers[],2,FALSE)</f>
        <v>Hungry Owl All-Night Grocers</v>
      </c>
      <c r="D139" s="24">
        <v>44809.0</v>
      </c>
      <c r="E139" s="6">
        <f>IFERROR(__xludf.DUMMYFUNCTION("COUNTUNIQUEIFS($A$2:$A139,$B$2:$B139,B139)"),1.0)</f>
        <v>1</v>
      </c>
      <c r="F139" s="6">
        <f t="shared" si="1"/>
        <v>0</v>
      </c>
      <c r="G139" s="6" t="str">
        <f>IF(MINIFS(dynamic[orderDate], dynamic[customerID], B139) &gt;= DATE(2024,4,30)-120, 
     "New", 
     IF(MAXIFS(dynamic[orderCount], dynamic[customerID], B139)&lt;=2, 
        IF((DATE(2024,4,30) - MAXIFS(dynamic[orderDate], dynamic[customerID], B139)) &gt; 180, "Non-Returning", "Dormant"), 
        IF(AND(MAX(dynamic[sinceLastOrder]) &gt; 365, (DATE(2024,4,30) - MAXIFS(dynamic[orderDate], dynamic[customerID], B139)) &gt; 180), 
           "Dormant", "Regular")))</f>
        <v>Regular</v>
      </c>
      <c r="H139" s="6">
        <v>62.0</v>
      </c>
      <c r="I139" s="9" t="str">
        <f>VLOOKUP(dynamic[productID],products[],2,FALSE)</f>
        <v>Tarte au sucre</v>
      </c>
      <c r="J139" s="9" t="str">
        <f>VLOOKUP(dynamic[productID],products[],12,FALSE)</f>
        <v>Confections</v>
      </c>
      <c r="K139" s="7" t="str">
        <f>IF(VLOOKUP(dynamic[productID],products[],7,FALSE)=1,"Discontinued","Current")</f>
        <v>Current</v>
      </c>
      <c r="L139" s="9">
        <f>VLOOKUP(dynamic[productID],products[],IF(YEAR(dynamic[orderDate])=2022,8,IF(YEAR(dynamic[orderDate])=2023,9,IF(YEAR(dynamic[orderDate])=2024,10,NA))),FALSE)</f>
        <v>29.35963319</v>
      </c>
      <c r="M139" s="9">
        <v>39.4</v>
      </c>
      <c r="N139" s="25">
        <f>(dynamic[orderPrice]-dynamic[productCost])/dynamic[productCost]</f>
        <v>0.3419786189</v>
      </c>
      <c r="O139" s="10">
        <v>15.0</v>
      </c>
      <c r="P139" s="25">
        <v>0.0</v>
      </c>
      <c r="Q139" s="9">
        <f>dynamic[orderPrice]*dynamic[orderQuantity]</f>
        <v>591</v>
      </c>
      <c r="R139" s="9">
        <f>dynamic[orderTotal]*(1-dynamic[discountApllied])</f>
        <v>591</v>
      </c>
      <c r="S139" s="9">
        <f>dynamic[revenue]-(dynamic[productCost]*dynamic[orderQuantity])</f>
        <v>150.6055021</v>
      </c>
      <c r="T139" s="25">
        <f>IFERROR(dynamic[profit]/dynamic[revenue], 0)</f>
        <v>0.2548316449</v>
      </c>
    </row>
    <row r="140" ht="15.75" customHeight="1">
      <c r="A140" s="6">
        <v>10299.0</v>
      </c>
      <c r="B140" s="7" t="s">
        <v>44</v>
      </c>
      <c r="C140" s="24" t="str">
        <f>VLOOKUP(dynamic[customerID],customers[],2,FALSE)</f>
        <v>Ricardo Adocicados</v>
      </c>
      <c r="D140" s="24">
        <v>44810.0</v>
      </c>
      <c r="E140" s="6">
        <f>IFERROR(__xludf.DUMMYFUNCTION("COUNTUNIQUEIFS($A$2:$A140,$B$2:$B140,B140)"),2.0)</f>
        <v>2</v>
      </c>
      <c r="F140" s="6">
        <f t="shared" si="1"/>
        <v>15</v>
      </c>
      <c r="G140" s="6" t="str">
        <f>IF(MINIFS(dynamic[orderDate], dynamic[customerID], B140) &gt;= DATE(2024,4,30)-120, 
     "New", 
     IF(MAXIFS(dynamic[orderCount], dynamic[customerID], B140)&lt;=2, 
        IF((DATE(2024,4,30) - MAXIFS(dynamic[orderDate], dynamic[customerID], B140)) &gt; 180, "Non-Returning", "Dormant"), 
        IF(AND(MAX(dynamic[sinceLastOrder]) &gt; 365, (DATE(2024,4,30) - MAXIFS(dynamic[orderDate], dynamic[customerID], B140)) &gt; 180), 
           "Dormant", "Regular")))</f>
        <v>Regular</v>
      </c>
      <c r="H140" s="6">
        <v>19.0</v>
      </c>
      <c r="I140" s="9" t="str">
        <f>VLOOKUP(dynamic[productID],products[],2,FALSE)</f>
        <v>Teatime Chocolate Biscuits</v>
      </c>
      <c r="J140" s="9" t="str">
        <f>VLOOKUP(dynamic[productID],products[],12,FALSE)</f>
        <v>Confections</v>
      </c>
      <c r="K140" s="7" t="str">
        <f>IF(VLOOKUP(dynamic[productID],products[],7,FALSE)=1,"Discontinued","Current")</f>
        <v>Current</v>
      </c>
      <c r="L140" s="9">
        <f>VLOOKUP(dynamic[productID],products[],IF(YEAR(dynamic[orderDate])=2022,8,IF(YEAR(dynamic[orderDate])=2023,9,IF(YEAR(dynamic[orderDate])=2024,10,NA))),FALSE)</f>
        <v>5.58120093</v>
      </c>
      <c r="M140" s="9">
        <v>7.3</v>
      </c>
      <c r="N140" s="25">
        <f>(dynamic[orderPrice]-dynamic[productCost])/dynamic[productCost]</f>
        <v>0.3079622274</v>
      </c>
      <c r="O140" s="10">
        <v>15.0</v>
      </c>
      <c r="P140" s="25">
        <v>0.0</v>
      </c>
      <c r="Q140" s="9">
        <f>dynamic[orderPrice]*dynamic[orderQuantity]</f>
        <v>109.5</v>
      </c>
      <c r="R140" s="9">
        <f>dynamic[orderTotal]*(1-dynamic[discountApllied])</f>
        <v>109.5</v>
      </c>
      <c r="S140" s="9">
        <f>dynamic[revenue]-(dynamic[productCost]*dynamic[orderQuantity])</f>
        <v>25.78198605</v>
      </c>
      <c r="T140" s="25">
        <f>IFERROR(dynamic[profit]/dynamic[revenue], 0)</f>
        <v>0.2354519274</v>
      </c>
    </row>
    <row r="141" ht="15.75" customHeight="1">
      <c r="A141" s="6">
        <v>10299.0</v>
      </c>
      <c r="B141" s="7" t="s">
        <v>44</v>
      </c>
      <c r="C141" s="24" t="str">
        <f>VLOOKUP(dynamic[customerID],customers[],2,FALSE)</f>
        <v>Ricardo Adocicados</v>
      </c>
      <c r="D141" s="24">
        <v>44810.0</v>
      </c>
      <c r="E141" s="6">
        <f>IFERROR(__xludf.DUMMYFUNCTION("COUNTUNIQUEIFS($A$2:$A141,$B$2:$B141,B141)"),2.0)</f>
        <v>2</v>
      </c>
      <c r="F141" s="6">
        <f t="shared" si="1"/>
        <v>15</v>
      </c>
      <c r="G141" s="6" t="str">
        <f>IF(MINIFS(dynamic[orderDate], dynamic[customerID], B141) &gt;= DATE(2024,4,30)-120, 
     "New", 
     IF(MAXIFS(dynamic[orderCount], dynamic[customerID], B141)&lt;=2, 
        IF((DATE(2024,4,30) - MAXIFS(dynamic[orderDate], dynamic[customerID], B141)) &gt; 180, "Non-Returning", "Dormant"), 
        IF(AND(MAX(dynamic[sinceLastOrder]) &gt; 365, (DATE(2024,4,30) - MAXIFS(dynamic[orderDate], dynamic[customerID], B141)) &gt; 180), 
           "Dormant", "Regular")))</f>
        <v>Regular</v>
      </c>
      <c r="H141" s="6">
        <v>70.0</v>
      </c>
      <c r="I141" s="9" t="str">
        <f>VLOOKUP(dynamic[productID],products[],2,FALSE)</f>
        <v>Outback Lager</v>
      </c>
      <c r="J141" s="9" t="str">
        <f>VLOOKUP(dynamic[productID],products[],12,FALSE)</f>
        <v>Beverages</v>
      </c>
      <c r="K141" s="7" t="str">
        <f>IF(VLOOKUP(dynamic[productID],products[],7,FALSE)=1,"Discontinued","Current")</f>
        <v>Current</v>
      </c>
      <c r="L141" s="9">
        <f>VLOOKUP(dynamic[productID],products[],IF(YEAR(dynamic[orderDate])=2022,8,IF(YEAR(dynamic[orderDate])=2023,9,IF(YEAR(dynamic[orderDate])=2024,10,NA))),FALSE)</f>
        <v>8.037520944</v>
      </c>
      <c r="M141" s="9">
        <v>12.0</v>
      </c>
      <c r="N141" s="25">
        <f>(dynamic[orderPrice]-dynamic[productCost])/dynamic[productCost]</f>
        <v>0.4929976648</v>
      </c>
      <c r="O141" s="10">
        <v>20.0</v>
      </c>
      <c r="P141" s="25">
        <v>0.0</v>
      </c>
      <c r="Q141" s="9">
        <f>dynamic[orderPrice]*dynamic[orderQuantity]</f>
        <v>240</v>
      </c>
      <c r="R141" s="9">
        <f>dynamic[orderTotal]*(1-dynamic[discountApllied])</f>
        <v>240</v>
      </c>
      <c r="S141" s="9">
        <f>dynamic[revenue]-(dynamic[productCost]*dynamic[orderQuantity])</f>
        <v>79.24958112</v>
      </c>
      <c r="T141" s="25">
        <f>IFERROR(dynamic[profit]/dynamic[revenue], 0)</f>
        <v>0.330206588</v>
      </c>
    </row>
    <row r="142" ht="15.75" customHeight="1">
      <c r="A142" s="6">
        <v>10300.0</v>
      </c>
      <c r="B142" s="7" t="s">
        <v>37</v>
      </c>
      <c r="C142" s="24" t="str">
        <f>VLOOKUP(dynamic[customerID],customers[],2,FALSE)</f>
        <v>Magazzini Alimentari Riuniti</v>
      </c>
      <c r="D142" s="24">
        <v>44813.0</v>
      </c>
      <c r="E142" s="6">
        <f>IFERROR(__xludf.DUMMYFUNCTION("COUNTUNIQUEIFS($A$2:$A142,$B$2:$B142,B142)"),2.0)</f>
        <v>2</v>
      </c>
      <c r="F142" s="6">
        <f t="shared" si="1"/>
        <v>33</v>
      </c>
      <c r="G142" s="6" t="str">
        <f>IF(MINIFS(dynamic[orderDate], dynamic[customerID], B142) &gt;= DATE(2024,4,30)-120, 
     "New", 
     IF(MAXIFS(dynamic[orderCount], dynamic[customerID], B142)&lt;=2, 
        IF((DATE(2024,4,30) - MAXIFS(dynamic[orderDate], dynamic[customerID], B142)) &gt; 180, "Non-Returning", "Dormant"), 
        IF(AND(MAX(dynamic[sinceLastOrder]) &gt; 365, (DATE(2024,4,30) - MAXIFS(dynamic[orderDate], dynamic[customerID], B142)) &gt; 180), 
           "Dormant", "Regular")))</f>
        <v>Regular</v>
      </c>
      <c r="H142" s="6">
        <v>66.0</v>
      </c>
      <c r="I142" s="9" t="str">
        <f>VLOOKUP(dynamic[productID],products[],2,FALSE)</f>
        <v>Louisiana Hot Spiced Okra</v>
      </c>
      <c r="J142" s="9" t="str">
        <f>VLOOKUP(dynamic[productID],products[],12,FALSE)</f>
        <v>Condiments</v>
      </c>
      <c r="K142" s="7" t="str">
        <f>IF(VLOOKUP(dynamic[productID],products[],7,FALSE)=1,"Discontinued","Current")</f>
        <v>Current</v>
      </c>
      <c r="L142" s="9">
        <f>VLOOKUP(dynamic[productID],products[],IF(YEAR(dynamic[orderDate])=2022,8,IF(YEAR(dynamic[orderDate])=2023,9,IF(YEAR(dynamic[orderDate])=2024,10,NA))),FALSE)</f>
        <v>9.717342771</v>
      </c>
      <c r="M142" s="9">
        <v>13.6</v>
      </c>
      <c r="N142" s="25">
        <f>(dynamic[orderPrice]-dynamic[productCost])/dynamic[productCost]</f>
        <v>0.3995595627</v>
      </c>
      <c r="O142" s="10">
        <v>30.0</v>
      </c>
      <c r="P142" s="25">
        <v>0.0</v>
      </c>
      <c r="Q142" s="9">
        <f>dynamic[orderPrice]*dynamic[orderQuantity]</f>
        <v>408</v>
      </c>
      <c r="R142" s="9">
        <f>dynamic[orderTotal]*(1-dynamic[discountApllied])</f>
        <v>408</v>
      </c>
      <c r="S142" s="9">
        <f>dynamic[revenue]-(dynamic[productCost]*dynamic[orderQuantity])</f>
        <v>116.4797169</v>
      </c>
      <c r="T142" s="25">
        <f>IFERROR(dynamic[profit]/dynamic[revenue], 0)</f>
        <v>0.2854895021</v>
      </c>
    </row>
    <row r="143" ht="15.75" customHeight="1">
      <c r="A143" s="6">
        <v>10300.0</v>
      </c>
      <c r="B143" s="7" t="s">
        <v>37</v>
      </c>
      <c r="C143" s="24" t="str">
        <f>VLOOKUP(dynamic[customerID],customers[],2,FALSE)</f>
        <v>Magazzini Alimentari Riuniti</v>
      </c>
      <c r="D143" s="24">
        <v>44813.0</v>
      </c>
      <c r="E143" s="6">
        <f>IFERROR(__xludf.DUMMYFUNCTION("COUNTUNIQUEIFS($A$2:$A143,$B$2:$B143,B143)"),2.0)</f>
        <v>2</v>
      </c>
      <c r="F143" s="6">
        <f t="shared" si="1"/>
        <v>33</v>
      </c>
      <c r="G143" s="6" t="str">
        <f>IF(MINIFS(dynamic[orderDate], dynamic[customerID], B143) &gt;= DATE(2024,4,30)-120, 
     "New", 
     IF(MAXIFS(dynamic[orderCount], dynamic[customerID], B143)&lt;=2, 
        IF((DATE(2024,4,30) - MAXIFS(dynamic[orderDate], dynamic[customerID], B143)) &gt; 180, "Non-Returning", "Dormant"), 
        IF(AND(MAX(dynamic[sinceLastOrder]) &gt; 365, (DATE(2024,4,30) - MAXIFS(dynamic[orderDate], dynamic[customerID], B143)) &gt; 180), 
           "Dormant", "Regular")))</f>
        <v>Regular</v>
      </c>
      <c r="H143" s="6">
        <v>68.0</v>
      </c>
      <c r="I143" s="9" t="str">
        <f>VLOOKUP(dynamic[productID],products[],2,FALSE)</f>
        <v>Scottish Longbreads</v>
      </c>
      <c r="J143" s="9" t="str">
        <f>VLOOKUP(dynamic[productID],products[],12,FALSE)</f>
        <v>Confections</v>
      </c>
      <c r="K143" s="7" t="str">
        <f>IF(VLOOKUP(dynamic[productID],products[],7,FALSE)=1,"Discontinued","Current")</f>
        <v>Current</v>
      </c>
      <c r="L143" s="9">
        <f>VLOOKUP(dynamic[productID],products[],IF(YEAR(dynamic[orderDate])=2022,8,IF(YEAR(dynamic[orderDate])=2023,9,IF(YEAR(dynamic[orderDate])=2024,10,NA))),FALSE)</f>
        <v>7.316656529</v>
      </c>
      <c r="M143" s="9">
        <v>10.0</v>
      </c>
      <c r="N143" s="25">
        <f>(dynamic[orderPrice]-dynamic[productCost])/dynamic[productCost]</f>
        <v>0.3667444906</v>
      </c>
      <c r="O143" s="10">
        <v>20.0</v>
      </c>
      <c r="P143" s="25">
        <v>0.0</v>
      </c>
      <c r="Q143" s="9">
        <f>dynamic[orderPrice]*dynamic[orderQuantity]</f>
        <v>200</v>
      </c>
      <c r="R143" s="9">
        <f>dynamic[orderTotal]*(1-dynamic[discountApllied])</f>
        <v>200</v>
      </c>
      <c r="S143" s="9">
        <f>dynamic[revenue]-(dynamic[productCost]*dynamic[orderQuantity])</f>
        <v>53.66686943</v>
      </c>
      <c r="T143" s="25">
        <f>IFERROR(dynamic[profit]/dynamic[revenue], 0)</f>
        <v>0.2683343471</v>
      </c>
    </row>
    <row r="144" ht="15.75" customHeight="1">
      <c r="A144" s="6">
        <v>10301.0</v>
      </c>
      <c r="B144" s="7" t="s">
        <v>50</v>
      </c>
      <c r="C144" s="24" t="str">
        <f>VLOOKUP(dynamic[customerID],customers[],2,FALSE)</f>
        <v>Die Wandernde Kuh</v>
      </c>
      <c r="D144" s="24">
        <v>44813.0</v>
      </c>
      <c r="E144" s="6">
        <f>IFERROR(__xludf.DUMMYFUNCTION("COUNTUNIQUEIFS($A$2:$A144,$B$2:$B144,B144)"),1.0)</f>
        <v>1</v>
      </c>
      <c r="F144" s="6">
        <f t="shared" si="1"/>
        <v>0</v>
      </c>
      <c r="G144" s="6" t="str">
        <f>IF(MINIFS(dynamic[orderDate], dynamic[customerID], B144) &gt;= DATE(2024,4,30)-120, 
     "New", 
     IF(MAXIFS(dynamic[orderCount], dynamic[customerID], B144)&lt;=2, 
        IF((DATE(2024,4,30) - MAXIFS(dynamic[orderDate], dynamic[customerID], B144)) &gt; 180, "Non-Returning", "Dormant"), 
        IF(AND(MAX(dynamic[sinceLastOrder]) &gt; 365, (DATE(2024,4,30) - MAXIFS(dynamic[orderDate], dynamic[customerID], B144)) &gt; 180), 
           "Dormant", "Regular")))</f>
        <v>Regular</v>
      </c>
      <c r="H144" s="6">
        <v>40.0</v>
      </c>
      <c r="I144" s="9" t="str">
        <f>VLOOKUP(dynamic[productID],products[],2,FALSE)</f>
        <v>Boston Crab Meat</v>
      </c>
      <c r="J144" s="9" t="str">
        <f>VLOOKUP(dynamic[productID],products[],12,FALSE)</f>
        <v>Seafood</v>
      </c>
      <c r="K144" s="7" t="str">
        <f>IF(VLOOKUP(dynamic[productID],products[],7,FALSE)=1,"Discontinued","Current")</f>
        <v>Current</v>
      </c>
      <c r="L144" s="9">
        <f>VLOOKUP(dynamic[productID],products[],IF(YEAR(dynamic[orderDate])=2022,8,IF(YEAR(dynamic[orderDate])=2023,9,IF(YEAR(dynamic[orderDate])=2024,10,NA))),FALSE)</f>
        <v>9.680649108</v>
      </c>
      <c r="M144" s="9">
        <v>14.7</v>
      </c>
      <c r="N144" s="25">
        <f>(dynamic[orderPrice]-dynamic[productCost])/dynamic[productCost]</f>
        <v>0.5184932162</v>
      </c>
      <c r="O144" s="10">
        <v>10.0</v>
      </c>
      <c r="P144" s="25">
        <v>0.0</v>
      </c>
      <c r="Q144" s="9">
        <f>dynamic[orderPrice]*dynamic[orderQuantity]</f>
        <v>147</v>
      </c>
      <c r="R144" s="9">
        <f>dynamic[orderTotal]*(1-dynamic[discountApllied])</f>
        <v>147</v>
      </c>
      <c r="S144" s="9">
        <f>dynamic[revenue]-(dynamic[productCost]*dynamic[orderQuantity])</f>
        <v>50.19350892</v>
      </c>
      <c r="T144" s="25">
        <f>IFERROR(dynamic[profit]/dynamic[revenue], 0)</f>
        <v>0.3414524416</v>
      </c>
    </row>
    <row r="145" ht="15.75" customHeight="1">
      <c r="A145" s="6">
        <v>10301.0</v>
      </c>
      <c r="B145" s="7" t="s">
        <v>50</v>
      </c>
      <c r="C145" s="24" t="str">
        <f>VLOOKUP(dynamic[customerID],customers[],2,FALSE)</f>
        <v>Die Wandernde Kuh</v>
      </c>
      <c r="D145" s="24">
        <v>44813.0</v>
      </c>
      <c r="E145" s="6">
        <f>IFERROR(__xludf.DUMMYFUNCTION("COUNTUNIQUEIFS($A$2:$A145,$B$2:$B145,B145)"),1.0)</f>
        <v>1</v>
      </c>
      <c r="F145" s="6">
        <f t="shared" si="1"/>
        <v>0</v>
      </c>
      <c r="G145" s="6" t="str">
        <f>IF(MINIFS(dynamic[orderDate], dynamic[customerID], B145) &gt;= DATE(2024,4,30)-120, 
     "New", 
     IF(MAXIFS(dynamic[orderCount], dynamic[customerID], B145)&lt;=2, 
        IF((DATE(2024,4,30) - MAXIFS(dynamic[orderDate], dynamic[customerID], B145)) &gt; 180, "Non-Returning", "Dormant"), 
        IF(AND(MAX(dynamic[sinceLastOrder]) &gt; 365, (DATE(2024,4,30) - MAXIFS(dynamic[orderDate], dynamic[customerID], B145)) &gt; 180), 
           "Dormant", "Regular")))</f>
        <v>Regular</v>
      </c>
      <c r="H145" s="6">
        <v>56.0</v>
      </c>
      <c r="I145" s="9" t="str">
        <f>VLOOKUP(dynamic[productID],products[],2,FALSE)</f>
        <v>Gnocchi di nonna Alice</v>
      </c>
      <c r="J145" s="9" t="str">
        <f>VLOOKUP(dynamic[productID],products[],12,FALSE)</f>
        <v>Grains/Cereals</v>
      </c>
      <c r="K145" s="7" t="str">
        <f>IF(VLOOKUP(dynamic[productID],products[],7,FALSE)=1,"Discontinued","Current")</f>
        <v>Current</v>
      </c>
      <c r="L145" s="9">
        <f>VLOOKUP(dynamic[productID],products[],IF(YEAR(dynamic[orderDate])=2022,8,IF(YEAR(dynamic[orderDate])=2023,9,IF(YEAR(dynamic[orderDate])=2024,10,NA))),FALSE)</f>
        <v>21.5040056</v>
      </c>
      <c r="M145" s="9">
        <v>30.4</v>
      </c>
      <c r="N145" s="25">
        <f>(dynamic[orderPrice]-dynamic[productCost])/dynamic[productCost]</f>
        <v>0.4136901081</v>
      </c>
      <c r="O145" s="10">
        <v>20.0</v>
      </c>
      <c r="P145" s="25">
        <v>0.0</v>
      </c>
      <c r="Q145" s="9">
        <f>dynamic[orderPrice]*dynamic[orderQuantity]</f>
        <v>608</v>
      </c>
      <c r="R145" s="9">
        <f>dynamic[orderTotal]*(1-dynamic[discountApllied])</f>
        <v>608</v>
      </c>
      <c r="S145" s="9">
        <f>dynamic[revenue]-(dynamic[productCost]*dynamic[orderQuantity])</f>
        <v>177.919888</v>
      </c>
      <c r="T145" s="25">
        <f>IFERROR(dynamic[profit]/dynamic[revenue], 0)</f>
        <v>0.2926313948</v>
      </c>
    </row>
    <row r="146" ht="15.75" customHeight="1">
      <c r="A146" s="6">
        <v>10302.0</v>
      </c>
      <c r="B146" s="7" t="s">
        <v>19</v>
      </c>
      <c r="C146" s="24" t="str">
        <f>VLOOKUP(dynamic[customerID],customers[],2,FALSE)</f>
        <v>Suprêmes délices</v>
      </c>
      <c r="D146" s="24">
        <v>44814.0</v>
      </c>
      <c r="E146" s="6">
        <f>IFERROR(__xludf.DUMMYFUNCTION("COUNTUNIQUEIFS($A$2:$A146,$B$2:$B146,B146)"),2.0)</f>
        <v>2</v>
      </c>
      <c r="F146" s="6">
        <f t="shared" si="1"/>
        <v>63</v>
      </c>
      <c r="G146" s="6" t="str">
        <f>IF(MINIFS(dynamic[orderDate], dynamic[customerID], B146) &gt;= DATE(2024,4,30)-120, 
     "New", 
     IF(MAXIFS(dynamic[orderCount], dynamic[customerID], B146)&lt;=2, 
        IF((DATE(2024,4,30) - MAXIFS(dynamic[orderDate], dynamic[customerID], B146)) &gt; 180, "Non-Returning", "Dormant"), 
        IF(AND(MAX(dynamic[sinceLastOrder]) &gt; 365, (DATE(2024,4,30) - MAXIFS(dynamic[orderDate], dynamic[customerID], B146)) &gt; 180), 
           "Dormant", "Regular")))</f>
        <v>Regular</v>
      </c>
      <c r="H146" s="6">
        <v>17.0</v>
      </c>
      <c r="I146" s="9" t="str">
        <f>VLOOKUP(dynamic[productID],products[],2,FALSE)</f>
        <v>Alice Mutton</v>
      </c>
      <c r="J146" s="9" t="str">
        <f>VLOOKUP(dynamic[productID],products[],12,FALSE)</f>
        <v>Meat/Poultry</v>
      </c>
      <c r="K146" s="7" t="str">
        <f>IF(VLOOKUP(dynamic[productID],products[],7,FALSE)=1,"Discontinued","Current")</f>
        <v>Discontinued</v>
      </c>
      <c r="L146" s="9">
        <f>VLOOKUP(dynamic[productID],products[],IF(YEAR(dynamic[orderDate])=2022,8,IF(YEAR(dynamic[orderDate])=2023,9,IF(YEAR(dynamic[orderDate])=2024,10,NA))),FALSE)</f>
        <v>21.25377406</v>
      </c>
      <c r="M146" s="9">
        <v>31.2</v>
      </c>
      <c r="N146" s="25">
        <f>(dynamic[orderPrice]-dynamic[productCost])/dynamic[productCost]</f>
        <v>0.4679745775</v>
      </c>
      <c r="O146" s="10">
        <v>40.0</v>
      </c>
      <c r="P146" s="25">
        <v>0.0</v>
      </c>
      <c r="Q146" s="9">
        <f>dynamic[orderPrice]*dynamic[orderQuantity]</f>
        <v>1248</v>
      </c>
      <c r="R146" s="9">
        <f>dynamic[orderTotal]*(1-dynamic[discountApllied])</f>
        <v>1248</v>
      </c>
      <c r="S146" s="9">
        <f>dynamic[revenue]-(dynamic[productCost]*dynamic[orderQuantity])</f>
        <v>397.8490375</v>
      </c>
      <c r="T146" s="25">
        <f>IFERROR(dynamic[profit]/dynamic[revenue], 0)</f>
        <v>0.3187892928</v>
      </c>
    </row>
    <row r="147" ht="15.75" customHeight="1">
      <c r="A147" s="6">
        <v>10302.0</v>
      </c>
      <c r="B147" s="7" t="s">
        <v>19</v>
      </c>
      <c r="C147" s="24" t="str">
        <f>VLOOKUP(dynamic[customerID],customers[],2,FALSE)</f>
        <v>Suprêmes délices</v>
      </c>
      <c r="D147" s="24">
        <v>44814.0</v>
      </c>
      <c r="E147" s="6">
        <f>IFERROR(__xludf.DUMMYFUNCTION("COUNTUNIQUEIFS($A$2:$A147,$B$2:$B147,B147)"),2.0)</f>
        <v>2</v>
      </c>
      <c r="F147" s="6">
        <f t="shared" si="1"/>
        <v>63</v>
      </c>
      <c r="G147" s="6" t="str">
        <f>IF(MINIFS(dynamic[orderDate], dynamic[customerID], B147) &gt;= DATE(2024,4,30)-120, 
     "New", 
     IF(MAXIFS(dynamic[orderCount], dynamic[customerID], B147)&lt;=2, 
        IF((DATE(2024,4,30) - MAXIFS(dynamic[orderDate], dynamic[customerID], B147)) &gt; 180, "Non-Returning", "Dormant"), 
        IF(AND(MAX(dynamic[sinceLastOrder]) &gt; 365, (DATE(2024,4,30) - MAXIFS(dynamic[orderDate], dynamic[customerID], B147)) &gt; 180), 
           "Dormant", "Regular")))</f>
        <v>Regular</v>
      </c>
      <c r="H147" s="6">
        <v>28.0</v>
      </c>
      <c r="I147" s="9" t="str">
        <f>VLOOKUP(dynamic[productID],products[],2,FALSE)</f>
        <v>Rössle Sauerkraut</v>
      </c>
      <c r="J147" s="9" t="str">
        <f>VLOOKUP(dynamic[productID],products[],12,FALSE)</f>
        <v>Produce</v>
      </c>
      <c r="K147" s="7" t="str">
        <f>IF(VLOOKUP(dynamic[productID],products[],7,FALSE)=1,"Discontinued","Current")</f>
        <v>Discontinued</v>
      </c>
      <c r="L147" s="9">
        <f>VLOOKUP(dynamic[productID],products[],IF(YEAR(dynamic[orderDate])=2022,8,IF(YEAR(dynamic[orderDate])=2023,9,IF(YEAR(dynamic[orderDate])=2024,10,NA))),FALSE)</f>
        <v>27.51992272</v>
      </c>
      <c r="M147" s="9">
        <v>36.4</v>
      </c>
      <c r="N147" s="25">
        <f>(dynamic[orderPrice]-dynamic[productCost])/dynamic[productCost]</f>
        <v>0.3226781326</v>
      </c>
      <c r="O147" s="10">
        <v>28.0</v>
      </c>
      <c r="P147" s="25">
        <v>0.0</v>
      </c>
      <c r="Q147" s="9">
        <f>dynamic[orderPrice]*dynamic[orderQuantity]</f>
        <v>1019.2</v>
      </c>
      <c r="R147" s="9">
        <f>dynamic[orderTotal]*(1-dynamic[discountApllied])</f>
        <v>1019.2</v>
      </c>
      <c r="S147" s="9">
        <f>dynamic[revenue]-(dynamic[productCost]*dynamic[orderQuantity])</f>
        <v>248.6421637</v>
      </c>
      <c r="T147" s="25">
        <f>IFERROR(dynamic[profit]/dynamic[revenue], 0)</f>
        <v>0.2439581669</v>
      </c>
    </row>
    <row r="148" ht="15.75" customHeight="1">
      <c r="A148" s="6">
        <v>10302.0</v>
      </c>
      <c r="B148" s="7" t="s">
        <v>19</v>
      </c>
      <c r="C148" s="24" t="str">
        <f>VLOOKUP(dynamic[customerID],customers[],2,FALSE)</f>
        <v>Suprêmes délices</v>
      </c>
      <c r="D148" s="24">
        <v>44814.0</v>
      </c>
      <c r="E148" s="6">
        <f>IFERROR(__xludf.DUMMYFUNCTION("COUNTUNIQUEIFS($A$2:$A148,$B$2:$B148,B148)"),2.0)</f>
        <v>2</v>
      </c>
      <c r="F148" s="6">
        <f t="shared" si="1"/>
        <v>63</v>
      </c>
      <c r="G148" s="6" t="str">
        <f>IF(MINIFS(dynamic[orderDate], dynamic[customerID], B148) &gt;= DATE(2024,4,30)-120, 
     "New", 
     IF(MAXIFS(dynamic[orderCount], dynamic[customerID], B148)&lt;=2, 
        IF((DATE(2024,4,30) - MAXIFS(dynamic[orderDate], dynamic[customerID], B148)) &gt; 180, "Non-Returning", "Dormant"), 
        IF(AND(MAX(dynamic[sinceLastOrder]) &gt; 365, (DATE(2024,4,30) - MAXIFS(dynamic[orderDate], dynamic[customerID], B148)) &gt; 180), 
           "Dormant", "Regular")))</f>
        <v>Regular</v>
      </c>
      <c r="H148" s="6">
        <v>43.0</v>
      </c>
      <c r="I148" s="9" t="str">
        <f>VLOOKUP(dynamic[productID],products[],2,FALSE)</f>
        <v>Ipoh Coffee</v>
      </c>
      <c r="J148" s="9" t="str">
        <f>VLOOKUP(dynamic[productID],products[],12,FALSE)</f>
        <v>Beverages</v>
      </c>
      <c r="K148" s="7" t="str">
        <f>IF(VLOOKUP(dynamic[productID],products[],7,FALSE)=1,"Discontinued","Current")</f>
        <v>Current</v>
      </c>
      <c r="L148" s="9">
        <f>VLOOKUP(dynamic[productID],products[],IF(YEAR(dynamic[orderDate])=2022,8,IF(YEAR(dynamic[orderDate])=2023,9,IF(YEAR(dynamic[orderDate])=2024,10,NA))),FALSE)</f>
        <v>25.79491918</v>
      </c>
      <c r="M148" s="9">
        <v>36.8</v>
      </c>
      <c r="N148" s="25">
        <f>(dynamic[orderPrice]-dynamic[productCost])/dynamic[productCost]</f>
        <v>0.4266375384</v>
      </c>
      <c r="O148" s="10">
        <v>12.0</v>
      </c>
      <c r="P148" s="25">
        <v>0.0</v>
      </c>
      <c r="Q148" s="9">
        <f>dynamic[orderPrice]*dynamic[orderQuantity]</f>
        <v>441.6</v>
      </c>
      <c r="R148" s="9">
        <f>dynamic[orderTotal]*(1-dynamic[discountApllied])</f>
        <v>441.6</v>
      </c>
      <c r="S148" s="9">
        <f>dynamic[revenue]-(dynamic[productCost]*dynamic[orderQuantity])</f>
        <v>132.0609699</v>
      </c>
      <c r="T148" s="25">
        <f>IFERROR(dynamic[profit]/dynamic[revenue], 0)</f>
        <v>0.2990511093</v>
      </c>
    </row>
    <row r="149" ht="15.75" customHeight="1">
      <c r="A149" s="6">
        <v>10303.0</v>
      </c>
      <c r="B149" s="7" t="s">
        <v>51</v>
      </c>
      <c r="C149" s="24" t="str">
        <f>VLOOKUP(dynamic[customerID],customers[],2,FALSE)</f>
        <v>Godos Cocina Típica</v>
      </c>
      <c r="D149" s="24">
        <v>44815.0</v>
      </c>
      <c r="E149" s="6">
        <f>IFERROR(__xludf.DUMMYFUNCTION("COUNTUNIQUEIFS($A$2:$A149,$B$2:$B149,B149)"),1.0)</f>
        <v>1</v>
      </c>
      <c r="F149" s="6">
        <f t="shared" si="1"/>
        <v>0</v>
      </c>
      <c r="G149" s="6" t="str">
        <f>IF(MINIFS(dynamic[orderDate], dynamic[customerID], B149) &gt;= DATE(2024,4,30)-120, 
     "New", 
     IF(MAXIFS(dynamic[orderCount], dynamic[customerID], B149)&lt;=2, 
        IF((DATE(2024,4,30) - MAXIFS(dynamic[orderDate], dynamic[customerID], B149)) &gt; 180, "Non-Returning", "Dormant"), 
        IF(AND(MAX(dynamic[sinceLastOrder]) &gt; 365, (DATE(2024,4,30) - MAXIFS(dynamic[orderDate], dynamic[customerID], B149)) &gt; 180), 
           "Dormant", "Regular")))</f>
        <v>Regular</v>
      </c>
      <c r="H149" s="6">
        <v>40.0</v>
      </c>
      <c r="I149" s="9" t="str">
        <f>VLOOKUP(dynamic[productID],products[],2,FALSE)</f>
        <v>Boston Crab Meat</v>
      </c>
      <c r="J149" s="9" t="str">
        <f>VLOOKUP(dynamic[productID],products[],12,FALSE)</f>
        <v>Seafood</v>
      </c>
      <c r="K149" s="7" t="str">
        <f>IF(VLOOKUP(dynamic[productID],products[],7,FALSE)=1,"Discontinued","Current")</f>
        <v>Current</v>
      </c>
      <c r="L149" s="9">
        <f>VLOOKUP(dynamic[productID],products[],IF(YEAR(dynamic[orderDate])=2022,8,IF(YEAR(dynamic[orderDate])=2023,9,IF(YEAR(dynamic[orderDate])=2024,10,NA))),FALSE)</f>
        <v>9.680649108</v>
      </c>
      <c r="M149" s="9">
        <v>14.7</v>
      </c>
      <c r="N149" s="25">
        <f>(dynamic[orderPrice]-dynamic[productCost])/dynamic[productCost]</f>
        <v>0.5184932162</v>
      </c>
      <c r="O149" s="10">
        <v>40.0</v>
      </c>
      <c r="P149" s="25">
        <v>0.1</v>
      </c>
      <c r="Q149" s="9">
        <f>dynamic[orderPrice]*dynamic[orderQuantity]</f>
        <v>588</v>
      </c>
      <c r="R149" s="9">
        <f>dynamic[orderTotal]*(1-dynamic[discountApllied])</f>
        <v>529.2</v>
      </c>
      <c r="S149" s="9">
        <f>dynamic[revenue]-(dynamic[productCost]*dynamic[orderQuantity])</f>
        <v>141.9740357</v>
      </c>
      <c r="T149" s="25">
        <f>IFERROR(dynamic[profit]/dynamic[revenue], 0)</f>
        <v>0.2682804907</v>
      </c>
    </row>
    <row r="150" ht="15.75" customHeight="1">
      <c r="A150" s="6">
        <v>10303.0</v>
      </c>
      <c r="B150" s="7" t="s">
        <v>51</v>
      </c>
      <c r="C150" s="24" t="str">
        <f>VLOOKUP(dynamic[customerID],customers[],2,FALSE)</f>
        <v>Godos Cocina Típica</v>
      </c>
      <c r="D150" s="24">
        <v>44815.0</v>
      </c>
      <c r="E150" s="6">
        <f>IFERROR(__xludf.DUMMYFUNCTION("COUNTUNIQUEIFS($A$2:$A150,$B$2:$B150,B150)"),1.0)</f>
        <v>1</v>
      </c>
      <c r="F150" s="6">
        <f t="shared" si="1"/>
        <v>0</v>
      </c>
      <c r="G150" s="6" t="str">
        <f>IF(MINIFS(dynamic[orderDate], dynamic[customerID], B150) &gt;= DATE(2024,4,30)-120, 
     "New", 
     IF(MAXIFS(dynamic[orderCount], dynamic[customerID], B150)&lt;=2, 
        IF((DATE(2024,4,30) - MAXIFS(dynamic[orderDate], dynamic[customerID], B150)) &gt; 180, "Non-Returning", "Dormant"), 
        IF(AND(MAX(dynamic[sinceLastOrder]) &gt; 365, (DATE(2024,4,30) - MAXIFS(dynamic[orderDate], dynamic[customerID], B150)) &gt; 180), 
           "Dormant", "Regular")))</f>
        <v>Regular</v>
      </c>
      <c r="H150" s="6">
        <v>65.0</v>
      </c>
      <c r="I150" s="9" t="str">
        <f>VLOOKUP(dynamic[productID],products[],2,FALSE)</f>
        <v>Louisiana Fiery Hot Pepper Sauce</v>
      </c>
      <c r="J150" s="9" t="str">
        <f>VLOOKUP(dynamic[productID],products[],12,FALSE)</f>
        <v>Condiments</v>
      </c>
      <c r="K150" s="7" t="str">
        <f>IF(VLOOKUP(dynamic[productID],products[],7,FALSE)=1,"Discontinued","Current")</f>
        <v>Current</v>
      </c>
      <c r="L150" s="9">
        <f>VLOOKUP(dynamic[productID],products[],IF(YEAR(dynamic[orderDate])=2022,8,IF(YEAR(dynamic[orderDate])=2023,9,IF(YEAR(dynamic[orderDate])=2024,10,NA))),FALSE)</f>
        <v>11.17410204</v>
      </c>
      <c r="M150" s="9">
        <v>16.8</v>
      </c>
      <c r="N150" s="25">
        <f>(dynamic[orderPrice]-dynamic[productCost])/dynamic[productCost]</f>
        <v>0.503476515</v>
      </c>
      <c r="O150" s="10">
        <v>30.0</v>
      </c>
      <c r="P150" s="25">
        <v>0.1</v>
      </c>
      <c r="Q150" s="9">
        <f>dynamic[orderPrice]*dynamic[orderQuantity]</f>
        <v>504</v>
      </c>
      <c r="R150" s="9">
        <f>dynamic[orderTotal]*(1-dynamic[discountApllied])</f>
        <v>453.6</v>
      </c>
      <c r="S150" s="9">
        <f>dynamic[revenue]-(dynamic[productCost]*dynamic[orderQuantity])</f>
        <v>118.3769387</v>
      </c>
      <c r="T150" s="25">
        <f>IFERROR(dynamic[profit]/dynamic[revenue], 0)</f>
        <v>0.260972087</v>
      </c>
    </row>
    <row r="151" ht="15.75" customHeight="1">
      <c r="A151" s="6">
        <v>10303.0</v>
      </c>
      <c r="B151" s="7" t="s">
        <v>51</v>
      </c>
      <c r="C151" s="24" t="str">
        <f>VLOOKUP(dynamic[customerID],customers[],2,FALSE)</f>
        <v>Godos Cocina Típica</v>
      </c>
      <c r="D151" s="24">
        <v>44815.0</v>
      </c>
      <c r="E151" s="6">
        <f>IFERROR(__xludf.DUMMYFUNCTION("COUNTUNIQUEIFS($A$2:$A151,$B$2:$B151,B151)"),1.0)</f>
        <v>1</v>
      </c>
      <c r="F151" s="6">
        <f t="shared" si="1"/>
        <v>0</v>
      </c>
      <c r="G151" s="6" t="str">
        <f>IF(MINIFS(dynamic[orderDate], dynamic[customerID], B151) &gt;= DATE(2024,4,30)-120, 
     "New", 
     IF(MAXIFS(dynamic[orderCount], dynamic[customerID], B151)&lt;=2, 
        IF((DATE(2024,4,30) - MAXIFS(dynamic[orderDate], dynamic[customerID], B151)) &gt; 180, "Non-Returning", "Dormant"), 
        IF(AND(MAX(dynamic[sinceLastOrder]) &gt; 365, (DATE(2024,4,30) - MAXIFS(dynamic[orderDate], dynamic[customerID], B151)) &gt; 180), 
           "Dormant", "Regular")))</f>
        <v>Regular</v>
      </c>
      <c r="H151" s="6">
        <v>68.0</v>
      </c>
      <c r="I151" s="9" t="str">
        <f>VLOOKUP(dynamic[productID],products[],2,FALSE)</f>
        <v>Scottish Longbreads</v>
      </c>
      <c r="J151" s="9" t="str">
        <f>VLOOKUP(dynamic[productID],products[],12,FALSE)</f>
        <v>Confections</v>
      </c>
      <c r="K151" s="7" t="str">
        <f>IF(VLOOKUP(dynamic[productID],products[],7,FALSE)=1,"Discontinued","Current")</f>
        <v>Current</v>
      </c>
      <c r="L151" s="9">
        <f>VLOOKUP(dynamic[productID],products[],IF(YEAR(dynamic[orderDate])=2022,8,IF(YEAR(dynamic[orderDate])=2023,9,IF(YEAR(dynamic[orderDate])=2024,10,NA))),FALSE)</f>
        <v>7.316656529</v>
      </c>
      <c r="M151" s="9">
        <v>10.0</v>
      </c>
      <c r="N151" s="25">
        <f>(dynamic[orderPrice]-dynamic[productCost])/dynamic[productCost]</f>
        <v>0.3667444906</v>
      </c>
      <c r="O151" s="10">
        <v>15.0</v>
      </c>
      <c r="P151" s="25">
        <v>0.1</v>
      </c>
      <c r="Q151" s="9">
        <f>dynamic[orderPrice]*dynamic[orderQuantity]</f>
        <v>150</v>
      </c>
      <c r="R151" s="9">
        <f>dynamic[orderTotal]*(1-dynamic[discountApllied])</f>
        <v>135</v>
      </c>
      <c r="S151" s="9">
        <f>dynamic[revenue]-(dynamic[productCost]*dynamic[orderQuantity])</f>
        <v>25.25015207</v>
      </c>
      <c r="T151" s="25">
        <f>IFERROR(dynamic[profit]/dynamic[revenue], 0)</f>
        <v>0.1870381635</v>
      </c>
    </row>
    <row r="152" ht="15.75" customHeight="1">
      <c r="A152" s="6">
        <v>10304.0</v>
      </c>
      <c r="B152" s="7" t="s">
        <v>38</v>
      </c>
      <c r="C152" s="24" t="str">
        <f>VLOOKUP(dynamic[customerID],customers[],2,FALSE)</f>
        <v>Tortuga Restaurante</v>
      </c>
      <c r="D152" s="24">
        <v>44816.0</v>
      </c>
      <c r="E152" s="6">
        <f>IFERROR(__xludf.DUMMYFUNCTION("COUNTUNIQUEIFS($A$2:$A152,$B$2:$B152,B152)"),3.0)</f>
        <v>3</v>
      </c>
      <c r="F152" s="6">
        <f t="shared" si="1"/>
        <v>14</v>
      </c>
      <c r="G152" s="6" t="str">
        <f>IF(MINIFS(dynamic[orderDate], dynamic[customerID], B152) &gt;= DATE(2024,4,30)-120, 
     "New", 
     IF(MAXIFS(dynamic[orderCount], dynamic[customerID], B152)&lt;=2, 
        IF((DATE(2024,4,30) - MAXIFS(dynamic[orderDate], dynamic[customerID], B152)) &gt; 180, "Non-Returning", "Dormant"), 
        IF(AND(MAX(dynamic[sinceLastOrder]) &gt; 365, (DATE(2024,4,30) - MAXIFS(dynamic[orderDate], dynamic[customerID], B152)) &gt; 180), 
           "Dormant", "Regular")))</f>
        <v>Regular</v>
      </c>
      <c r="H152" s="6">
        <v>49.0</v>
      </c>
      <c r="I152" s="9" t="str">
        <f>VLOOKUP(dynamic[productID],products[],2,FALSE)</f>
        <v>Maxilaku</v>
      </c>
      <c r="J152" s="9" t="str">
        <f>VLOOKUP(dynamic[productID],products[],12,FALSE)</f>
        <v>Confections</v>
      </c>
      <c r="K152" s="7" t="str">
        <f>IF(VLOOKUP(dynamic[productID],products[],7,FALSE)=1,"Discontinued","Current")</f>
        <v>Current</v>
      </c>
      <c r="L152" s="9">
        <f>VLOOKUP(dynamic[productID],products[],IF(YEAR(dynamic[orderDate])=2022,8,IF(YEAR(dynamic[orderDate])=2023,9,IF(YEAR(dynamic[orderDate])=2024,10,NA))),FALSE)</f>
        <v>12.56663579</v>
      </c>
      <c r="M152" s="9">
        <v>16.0</v>
      </c>
      <c r="N152" s="25">
        <f>(dynamic[orderPrice]-dynamic[productCost])/dynamic[productCost]</f>
        <v>0.2732126779</v>
      </c>
      <c r="O152" s="10">
        <v>30.0</v>
      </c>
      <c r="P152" s="25">
        <v>0.0</v>
      </c>
      <c r="Q152" s="9">
        <f>dynamic[orderPrice]*dynamic[orderQuantity]</f>
        <v>480</v>
      </c>
      <c r="R152" s="9">
        <f>dynamic[orderTotal]*(1-dynamic[discountApllied])</f>
        <v>480</v>
      </c>
      <c r="S152" s="9">
        <f>dynamic[revenue]-(dynamic[productCost]*dynamic[orderQuantity])</f>
        <v>103.0009264</v>
      </c>
      <c r="T152" s="25">
        <f>IFERROR(dynamic[profit]/dynamic[revenue], 0)</f>
        <v>0.2145852634</v>
      </c>
    </row>
    <row r="153" ht="15.75" customHeight="1">
      <c r="A153" s="6">
        <v>10304.0</v>
      </c>
      <c r="B153" s="7" t="s">
        <v>38</v>
      </c>
      <c r="C153" s="24" t="str">
        <f>VLOOKUP(dynamic[customerID],customers[],2,FALSE)</f>
        <v>Tortuga Restaurante</v>
      </c>
      <c r="D153" s="24">
        <v>44816.0</v>
      </c>
      <c r="E153" s="6">
        <f>IFERROR(__xludf.DUMMYFUNCTION("COUNTUNIQUEIFS($A$2:$A153,$B$2:$B153,B153)"),3.0)</f>
        <v>3</v>
      </c>
      <c r="F153" s="6">
        <f t="shared" si="1"/>
        <v>14</v>
      </c>
      <c r="G153" s="6" t="str">
        <f>IF(MINIFS(dynamic[orderDate], dynamic[customerID], B153) &gt;= DATE(2024,4,30)-120, 
     "New", 
     IF(MAXIFS(dynamic[orderCount], dynamic[customerID], B153)&lt;=2, 
        IF((DATE(2024,4,30) - MAXIFS(dynamic[orderDate], dynamic[customerID], B153)) &gt; 180, "Non-Returning", "Dormant"), 
        IF(AND(MAX(dynamic[sinceLastOrder]) &gt; 365, (DATE(2024,4,30) - MAXIFS(dynamic[orderDate], dynamic[customerID], B153)) &gt; 180), 
           "Dormant", "Regular")))</f>
        <v>Regular</v>
      </c>
      <c r="H153" s="6">
        <v>59.0</v>
      </c>
      <c r="I153" s="9" t="str">
        <f>VLOOKUP(dynamic[productID],products[],2,FALSE)</f>
        <v>Raclette Courdavault</v>
      </c>
      <c r="J153" s="9" t="str">
        <f>VLOOKUP(dynamic[productID],products[],12,FALSE)</f>
        <v>Dairy Products</v>
      </c>
      <c r="K153" s="7" t="str">
        <f>IF(VLOOKUP(dynamic[productID],products[],7,FALSE)=1,"Discontinued","Current")</f>
        <v>Current</v>
      </c>
      <c r="L153" s="9">
        <f>VLOOKUP(dynamic[productID],products[],IF(YEAR(dynamic[orderDate])=2022,8,IF(YEAR(dynamic[orderDate])=2023,9,IF(YEAR(dynamic[orderDate])=2024,10,NA))),FALSE)</f>
        <v>29.20351951</v>
      </c>
      <c r="M153" s="9">
        <v>44.0</v>
      </c>
      <c r="N153" s="25">
        <f>(dynamic[orderPrice]-dynamic[productCost])/dynamic[productCost]</f>
        <v>0.5066677147</v>
      </c>
      <c r="O153" s="10">
        <v>10.0</v>
      </c>
      <c r="P153" s="25">
        <v>0.0</v>
      </c>
      <c r="Q153" s="9">
        <f>dynamic[orderPrice]*dynamic[orderQuantity]</f>
        <v>440</v>
      </c>
      <c r="R153" s="9">
        <f>dynamic[orderTotal]*(1-dynamic[discountApllied])</f>
        <v>440</v>
      </c>
      <c r="S153" s="9">
        <f>dynamic[revenue]-(dynamic[productCost]*dynamic[orderQuantity])</f>
        <v>147.9648049</v>
      </c>
      <c r="T153" s="25">
        <f>IFERROR(dynamic[profit]/dynamic[revenue], 0)</f>
        <v>0.3362836475</v>
      </c>
    </row>
    <row r="154" ht="15.75" customHeight="1">
      <c r="A154" s="6">
        <v>10304.0</v>
      </c>
      <c r="B154" s="7" t="s">
        <v>38</v>
      </c>
      <c r="C154" s="24" t="str">
        <f>VLOOKUP(dynamic[customerID],customers[],2,FALSE)</f>
        <v>Tortuga Restaurante</v>
      </c>
      <c r="D154" s="24">
        <v>44816.0</v>
      </c>
      <c r="E154" s="6">
        <f>IFERROR(__xludf.DUMMYFUNCTION("COUNTUNIQUEIFS($A$2:$A154,$B$2:$B154,B154)"),3.0)</f>
        <v>3</v>
      </c>
      <c r="F154" s="6">
        <f t="shared" si="1"/>
        <v>14</v>
      </c>
      <c r="G154" s="6" t="str">
        <f>IF(MINIFS(dynamic[orderDate], dynamic[customerID], B154) &gt;= DATE(2024,4,30)-120, 
     "New", 
     IF(MAXIFS(dynamic[orderCount], dynamic[customerID], B154)&lt;=2, 
        IF((DATE(2024,4,30) - MAXIFS(dynamic[orderDate], dynamic[customerID], B154)) &gt; 180, "Non-Returning", "Dormant"), 
        IF(AND(MAX(dynamic[sinceLastOrder]) &gt; 365, (DATE(2024,4,30) - MAXIFS(dynamic[orderDate], dynamic[customerID], B154)) &gt; 180), 
           "Dormant", "Regular")))</f>
        <v>Regular</v>
      </c>
      <c r="H154" s="6">
        <v>71.0</v>
      </c>
      <c r="I154" s="9" t="str">
        <f>VLOOKUP(dynamic[productID],products[],2,FALSE)</f>
        <v>Flotemysost</v>
      </c>
      <c r="J154" s="9" t="str">
        <f>VLOOKUP(dynamic[productID],products[],12,FALSE)</f>
        <v>Dairy Products</v>
      </c>
      <c r="K154" s="7" t="str">
        <f>IF(VLOOKUP(dynamic[productID],products[],7,FALSE)=1,"Discontinued","Current")</f>
        <v>Current</v>
      </c>
      <c r="L154" s="9">
        <f>VLOOKUP(dynamic[productID],products[],IF(YEAR(dynamic[orderDate])=2022,8,IF(YEAR(dynamic[orderDate])=2023,9,IF(YEAR(dynamic[orderDate])=2024,10,NA))),FALSE)</f>
        <v>12.00719029</v>
      </c>
      <c r="M154" s="9">
        <v>17.2</v>
      </c>
      <c r="N154" s="25">
        <f>(dynamic[orderPrice]-dynamic[productCost])/dynamic[productCost]</f>
        <v>0.4324750075</v>
      </c>
      <c r="O154" s="10">
        <v>2.0</v>
      </c>
      <c r="P154" s="25">
        <v>0.0</v>
      </c>
      <c r="Q154" s="9">
        <f>dynamic[orderPrice]*dynamic[orderQuantity]</f>
        <v>34.4</v>
      </c>
      <c r="R154" s="9">
        <f>dynamic[orderTotal]*(1-dynamic[discountApllied])</f>
        <v>34.4</v>
      </c>
      <c r="S154" s="9">
        <f>dynamic[revenue]-(dynamic[productCost]*dynamic[orderQuantity])</f>
        <v>10.38561942</v>
      </c>
      <c r="T154" s="25">
        <f>IFERROR(dynamic[profit]/dynamic[revenue], 0)</f>
        <v>0.3019075413</v>
      </c>
    </row>
    <row r="155" ht="15.75" customHeight="1">
      <c r="A155" s="6">
        <v>10305.0</v>
      </c>
      <c r="B155" s="7" t="s">
        <v>52</v>
      </c>
      <c r="C155" s="24" t="str">
        <f>VLOOKUP(dynamic[customerID],customers[],2,FALSE)</f>
        <v>Old World Delicatessen</v>
      </c>
      <c r="D155" s="24">
        <v>44817.0</v>
      </c>
      <c r="E155" s="6">
        <f>IFERROR(__xludf.DUMMYFUNCTION("COUNTUNIQUEIFS($A$2:$A155,$B$2:$B155,B155)"),1.0)</f>
        <v>1</v>
      </c>
      <c r="F155" s="6">
        <f t="shared" si="1"/>
        <v>0</v>
      </c>
      <c r="G155" s="6" t="str">
        <f>IF(MINIFS(dynamic[orderDate], dynamic[customerID], B155) &gt;= DATE(2024,4,30)-120, 
     "New", 
     IF(MAXIFS(dynamic[orderCount], dynamic[customerID], B155)&lt;=2, 
        IF((DATE(2024,4,30) - MAXIFS(dynamic[orderDate], dynamic[customerID], B155)) &gt; 180, "Non-Returning", "Dormant"), 
        IF(AND(MAX(dynamic[sinceLastOrder]) &gt; 365, (DATE(2024,4,30) - MAXIFS(dynamic[orderDate], dynamic[customerID], B155)) &gt; 180), 
           "Dormant", "Regular")))</f>
        <v>Regular</v>
      </c>
      <c r="H155" s="6">
        <v>18.0</v>
      </c>
      <c r="I155" s="9" t="str">
        <f>VLOOKUP(dynamic[productID],products[],2,FALSE)</f>
        <v>Carnarvon Tigers</v>
      </c>
      <c r="J155" s="9" t="str">
        <f>VLOOKUP(dynamic[productID],products[],12,FALSE)</f>
        <v>Seafood</v>
      </c>
      <c r="K155" s="7" t="str">
        <f>IF(VLOOKUP(dynamic[productID],products[],7,FALSE)=1,"Discontinued","Current")</f>
        <v>Current</v>
      </c>
      <c r="L155" s="9">
        <f>VLOOKUP(dynamic[productID],products[],IF(YEAR(dynamic[orderDate])=2022,8,IF(YEAR(dynamic[orderDate])=2023,9,IF(YEAR(dynamic[orderDate])=2024,10,NA))),FALSE)</f>
        <v>32.46379819</v>
      </c>
      <c r="M155" s="9">
        <v>50.0</v>
      </c>
      <c r="N155" s="25">
        <f>(dynamic[orderPrice]-dynamic[productCost])/dynamic[productCost]</f>
        <v>0.5401771445</v>
      </c>
      <c r="O155" s="10">
        <v>25.0</v>
      </c>
      <c r="P155" s="25">
        <v>0.1</v>
      </c>
      <c r="Q155" s="9">
        <f>dynamic[orderPrice]*dynamic[orderQuantity]</f>
        <v>1250</v>
      </c>
      <c r="R155" s="9">
        <f>dynamic[orderTotal]*(1-dynamic[discountApllied])</f>
        <v>1125</v>
      </c>
      <c r="S155" s="9">
        <f>dynamic[revenue]-(dynamic[productCost]*dynamic[orderQuantity])</f>
        <v>313.4050452</v>
      </c>
      <c r="T155" s="25">
        <f>IFERROR(dynamic[profit]/dynamic[revenue], 0)</f>
        <v>0.2785822624</v>
      </c>
    </row>
    <row r="156" ht="15.75" customHeight="1">
      <c r="A156" s="6">
        <v>10305.0</v>
      </c>
      <c r="B156" s="7" t="s">
        <v>52</v>
      </c>
      <c r="C156" s="24" t="str">
        <f>VLOOKUP(dynamic[customerID],customers[],2,FALSE)</f>
        <v>Old World Delicatessen</v>
      </c>
      <c r="D156" s="24">
        <v>44817.0</v>
      </c>
      <c r="E156" s="6">
        <f>IFERROR(__xludf.DUMMYFUNCTION("COUNTUNIQUEIFS($A$2:$A156,$B$2:$B156,B156)"),1.0)</f>
        <v>1</v>
      </c>
      <c r="F156" s="6">
        <f t="shared" si="1"/>
        <v>0</v>
      </c>
      <c r="G156" s="6" t="str">
        <f>IF(MINIFS(dynamic[orderDate], dynamic[customerID], B156) &gt;= DATE(2024,4,30)-120, 
     "New", 
     IF(MAXIFS(dynamic[orderCount], dynamic[customerID], B156)&lt;=2, 
        IF((DATE(2024,4,30) - MAXIFS(dynamic[orderDate], dynamic[customerID], B156)) &gt; 180, "Non-Returning", "Dormant"), 
        IF(AND(MAX(dynamic[sinceLastOrder]) &gt; 365, (DATE(2024,4,30) - MAXIFS(dynamic[orderDate], dynamic[customerID], B156)) &gt; 180), 
           "Dormant", "Regular")))</f>
        <v>Regular</v>
      </c>
      <c r="H156" s="6">
        <v>29.0</v>
      </c>
      <c r="I156" s="9" t="str">
        <f>VLOOKUP(dynamic[productID],products[],2,FALSE)</f>
        <v>Thüringer Rostbratwurst</v>
      </c>
      <c r="J156" s="9" t="str">
        <f>VLOOKUP(dynamic[productID],products[],12,FALSE)</f>
        <v>Meat/Poultry</v>
      </c>
      <c r="K156" s="7" t="str">
        <f>IF(VLOOKUP(dynamic[productID],products[],7,FALSE)=1,"Discontinued","Current")</f>
        <v>Discontinued</v>
      </c>
      <c r="L156" s="9">
        <f>VLOOKUP(dynamic[productID],products[],IF(YEAR(dynamic[orderDate])=2022,8,IF(YEAR(dynamic[orderDate])=2023,9,IF(YEAR(dynamic[orderDate])=2024,10,NA))),FALSE)</f>
        <v>70.25945266</v>
      </c>
      <c r="M156" s="9">
        <v>99.0</v>
      </c>
      <c r="N156" s="25">
        <f>(dynamic[orderPrice]-dynamic[productCost])/dynamic[productCost]</f>
        <v>0.4090630691</v>
      </c>
      <c r="O156" s="10">
        <v>25.0</v>
      </c>
      <c r="P156" s="25">
        <v>0.1</v>
      </c>
      <c r="Q156" s="9">
        <f>dynamic[orderPrice]*dynamic[orderQuantity]</f>
        <v>2475</v>
      </c>
      <c r="R156" s="9">
        <f>dynamic[orderTotal]*(1-dynamic[discountApllied])</f>
        <v>2227.5</v>
      </c>
      <c r="S156" s="9">
        <f>dynamic[revenue]-(dynamic[productCost]*dynamic[orderQuantity])</f>
        <v>471.0136835</v>
      </c>
      <c r="T156" s="25">
        <f>IFERROR(dynamic[profit]/dynamic[revenue], 0)</f>
        <v>0.2114539544</v>
      </c>
    </row>
    <row r="157" ht="15.75" customHeight="1">
      <c r="A157" s="6">
        <v>10305.0</v>
      </c>
      <c r="B157" s="7" t="s">
        <v>52</v>
      </c>
      <c r="C157" s="24" t="str">
        <f>VLOOKUP(dynamic[customerID],customers[],2,FALSE)</f>
        <v>Old World Delicatessen</v>
      </c>
      <c r="D157" s="24">
        <v>44817.0</v>
      </c>
      <c r="E157" s="6">
        <f>IFERROR(__xludf.DUMMYFUNCTION("COUNTUNIQUEIFS($A$2:$A157,$B$2:$B157,B157)"),1.0)</f>
        <v>1</v>
      </c>
      <c r="F157" s="6">
        <f t="shared" si="1"/>
        <v>0</v>
      </c>
      <c r="G157" s="6" t="str">
        <f>IF(MINIFS(dynamic[orderDate], dynamic[customerID], B157) &gt;= DATE(2024,4,30)-120, 
     "New", 
     IF(MAXIFS(dynamic[orderCount], dynamic[customerID], B157)&lt;=2, 
        IF((DATE(2024,4,30) - MAXIFS(dynamic[orderDate], dynamic[customerID], B157)) &gt; 180, "Non-Returning", "Dormant"), 
        IF(AND(MAX(dynamic[sinceLastOrder]) &gt; 365, (DATE(2024,4,30) - MAXIFS(dynamic[orderDate], dynamic[customerID], B157)) &gt; 180), 
           "Dormant", "Regular")))</f>
        <v>Regular</v>
      </c>
      <c r="H157" s="6">
        <v>39.0</v>
      </c>
      <c r="I157" s="9" t="str">
        <f>VLOOKUP(dynamic[productID],products[],2,FALSE)</f>
        <v>Chartreuse verte</v>
      </c>
      <c r="J157" s="9" t="str">
        <f>VLOOKUP(dynamic[productID],products[],12,FALSE)</f>
        <v>Beverages</v>
      </c>
      <c r="K157" s="7" t="str">
        <f>IF(VLOOKUP(dynamic[productID],products[],7,FALSE)=1,"Discontinued","Current")</f>
        <v>Current</v>
      </c>
      <c r="L157" s="9">
        <f>VLOOKUP(dynamic[productID],products[],IF(YEAR(dynamic[orderDate])=2022,8,IF(YEAR(dynamic[orderDate])=2023,9,IF(YEAR(dynamic[orderDate])=2024,10,NA))),FALSE)</f>
        <v>9.743517226</v>
      </c>
      <c r="M157" s="9">
        <v>14.4</v>
      </c>
      <c r="N157" s="25">
        <f>(dynamic[orderPrice]-dynamic[productCost])/dynamic[productCost]</f>
        <v>0.4779057362</v>
      </c>
      <c r="O157" s="10">
        <v>30.0</v>
      </c>
      <c r="P157" s="25">
        <v>0.1</v>
      </c>
      <c r="Q157" s="9">
        <f>dynamic[orderPrice]*dynamic[orderQuantity]</f>
        <v>432</v>
      </c>
      <c r="R157" s="9">
        <f>dynamic[orderTotal]*(1-dynamic[discountApllied])</f>
        <v>388.8</v>
      </c>
      <c r="S157" s="9">
        <f>dynamic[revenue]-(dynamic[productCost]*dynamic[orderQuantity])</f>
        <v>96.49448321</v>
      </c>
      <c r="T157" s="25">
        <f>IFERROR(dynamic[profit]/dynamic[revenue], 0)</f>
        <v>0.2481853992</v>
      </c>
    </row>
    <row r="158" ht="15.75" customHeight="1">
      <c r="A158" s="6">
        <v>10306.0</v>
      </c>
      <c r="B158" s="7" t="s">
        <v>42</v>
      </c>
      <c r="C158" s="24" t="str">
        <f>VLOOKUP(dynamic[customerID],customers[],2,FALSE)</f>
        <v>Romero y tomillo</v>
      </c>
      <c r="D158" s="24">
        <v>44820.0</v>
      </c>
      <c r="E158" s="6">
        <f>IFERROR(__xludf.DUMMYFUNCTION("COUNTUNIQUEIFS($A$2:$A158,$B$2:$B158,B158)"),3.0)</f>
        <v>3</v>
      </c>
      <c r="F158" s="6">
        <f t="shared" si="1"/>
        <v>32</v>
      </c>
      <c r="G158" s="6" t="str">
        <f>IF(MINIFS(dynamic[orderDate], dynamic[customerID], B158) &gt;= DATE(2024,4,30)-120, 
     "New", 
     IF(MAXIFS(dynamic[orderCount], dynamic[customerID], B158)&lt;=2, 
        IF((DATE(2024,4,30) - MAXIFS(dynamic[orderDate], dynamic[customerID], B158)) &gt; 180, "Non-Returning", "Dormant"), 
        IF(AND(MAX(dynamic[sinceLastOrder]) &gt; 365, (DATE(2024,4,30) - MAXIFS(dynamic[orderDate], dynamic[customerID], B158)) &gt; 180), 
           "Dormant", "Regular")))</f>
        <v>Regular</v>
      </c>
      <c r="H158" s="6">
        <v>30.0</v>
      </c>
      <c r="I158" s="9" t="str">
        <f>VLOOKUP(dynamic[productID],products[],2,FALSE)</f>
        <v>Nord-Ost Matjeshering</v>
      </c>
      <c r="J158" s="9" t="str">
        <f>VLOOKUP(dynamic[productID],products[],12,FALSE)</f>
        <v>Seafood</v>
      </c>
      <c r="K158" s="7" t="str">
        <f>IF(VLOOKUP(dynamic[productID],products[],7,FALSE)=1,"Discontinued","Current")</f>
        <v>Current</v>
      </c>
      <c r="L158" s="9">
        <f>VLOOKUP(dynamic[productID],products[],IF(YEAR(dynamic[orderDate])=2022,8,IF(YEAR(dynamic[orderDate])=2023,9,IF(YEAR(dynamic[orderDate])=2024,10,NA))),FALSE)</f>
        <v>13.41656868</v>
      </c>
      <c r="M158" s="9">
        <v>20.7</v>
      </c>
      <c r="N158" s="25">
        <f>(dynamic[orderPrice]-dynamic[productCost])/dynamic[productCost]</f>
        <v>0.5428684114</v>
      </c>
      <c r="O158" s="10">
        <v>10.0</v>
      </c>
      <c r="P158" s="25">
        <v>0.0</v>
      </c>
      <c r="Q158" s="9">
        <f>dynamic[orderPrice]*dynamic[orderQuantity]</f>
        <v>207</v>
      </c>
      <c r="R158" s="9">
        <f>dynamic[orderTotal]*(1-dynamic[discountApllied])</f>
        <v>207</v>
      </c>
      <c r="S158" s="9">
        <f>dynamic[revenue]-(dynamic[productCost]*dynamic[orderQuantity])</f>
        <v>72.83431324</v>
      </c>
      <c r="T158" s="25">
        <f>IFERROR(dynamic[profit]/dynamic[revenue], 0)</f>
        <v>0.3518565857</v>
      </c>
    </row>
    <row r="159" ht="15.75" customHeight="1">
      <c r="A159" s="6">
        <v>10306.0</v>
      </c>
      <c r="B159" s="7" t="s">
        <v>42</v>
      </c>
      <c r="C159" s="24" t="str">
        <f>VLOOKUP(dynamic[customerID],customers[],2,FALSE)</f>
        <v>Romero y tomillo</v>
      </c>
      <c r="D159" s="24">
        <v>44820.0</v>
      </c>
      <c r="E159" s="6">
        <f>IFERROR(__xludf.DUMMYFUNCTION("COUNTUNIQUEIFS($A$2:$A159,$B$2:$B159,B159)"),3.0)</f>
        <v>3</v>
      </c>
      <c r="F159" s="6">
        <f t="shared" si="1"/>
        <v>32</v>
      </c>
      <c r="G159" s="6" t="str">
        <f>IF(MINIFS(dynamic[orderDate], dynamic[customerID], B159) &gt;= DATE(2024,4,30)-120, 
     "New", 
     IF(MAXIFS(dynamic[orderCount], dynamic[customerID], B159)&lt;=2, 
        IF((DATE(2024,4,30) - MAXIFS(dynamic[orderDate], dynamic[customerID], B159)) &gt; 180, "Non-Returning", "Dormant"), 
        IF(AND(MAX(dynamic[sinceLastOrder]) &gt; 365, (DATE(2024,4,30) - MAXIFS(dynamic[orderDate], dynamic[customerID], B159)) &gt; 180), 
           "Dormant", "Regular")))</f>
        <v>Regular</v>
      </c>
      <c r="H159" s="6">
        <v>53.0</v>
      </c>
      <c r="I159" s="9" t="str">
        <f>VLOOKUP(dynamic[productID],products[],2,FALSE)</f>
        <v>Perth Pasties</v>
      </c>
      <c r="J159" s="9" t="str">
        <f>VLOOKUP(dynamic[productID],products[],12,FALSE)</f>
        <v>Meat/Poultry</v>
      </c>
      <c r="K159" s="7" t="str">
        <f>IF(VLOOKUP(dynamic[productID],products[],7,FALSE)=1,"Discontinued","Current")</f>
        <v>Discontinued</v>
      </c>
      <c r="L159" s="9">
        <f>VLOOKUP(dynamic[productID],products[],IF(YEAR(dynamic[orderDate])=2022,8,IF(YEAR(dynamic[orderDate])=2023,9,IF(YEAR(dynamic[orderDate])=2024,10,NA))),FALSE)</f>
        <v>18.33322006</v>
      </c>
      <c r="M159" s="9">
        <v>26.2</v>
      </c>
      <c r="N159" s="25">
        <f>(dynamic[orderPrice]-dynamic[productCost])/dynamic[productCost]</f>
        <v>0.4290997391</v>
      </c>
      <c r="O159" s="10">
        <v>10.0</v>
      </c>
      <c r="P159" s="25">
        <v>0.0</v>
      </c>
      <c r="Q159" s="9">
        <f>dynamic[orderPrice]*dynamic[orderQuantity]</f>
        <v>262</v>
      </c>
      <c r="R159" s="9">
        <f>dynamic[orderTotal]*(1-dynamic[discountApllied])</f>
        <v>262</v>
      </c>
      <c r="S159" s="9">
        <f>dynamic[revenue]-(dynamic[productCost]*dynamic[orderQuantity])</f>
        <v>78.66779944</v>
      </c>
      <c r="T159" s="25">
        <f>IFERROR(dynamic[profit]/dynamic[revenue], 0)</f>
        <v>0.3002587765</v>
      </c>
    </row>
    <row r="160" ht="15.75" customHeight="1">
      <c r="A160" s="6">
        <v>10306.0</v>
      </c>
      <c r="B160" s="7" t="s">
        <v>42</v>
      </c>
      <c r="C160" s="24" t="str">
        <f>VLOOKUP(dynamic[customerID],customers[],2,FALSE)</f>
        <v>Romero y tomillo</v>
      </c>
      <c r="D160" s="24">
        <v>44820.0</v>
      </c>
      <c r="E160" s="6">
        <f>IFERROR(__xludf.DUMMYFUNCTION("COUNTUNIQUEIFS($A$2:$A160,$B$2:$B160,B160)"),3.0)</f>
        <v>3</v>
      </c>
      <c r="F160" s="6">
        <f t="shared" si="1"/>
        <v>32</v>
      </c>
      <c r="G160" s="6" t="str">
        <f>IF(MINIFS(dynamic[orderDate], dynamic[customerID], B160) &gt;= DATE(2024,4,30)-120, 
     "New", 
     IF(MAXIFS(dynamic[orderCount], dynamic[customerID], B160)&lt;=2, 
        IF((DATE(2024,4,30) - MAXIFS(dynamic[orderDate], dynamic[customerID], B160)) &gt; 180, "Non-Returning", "Dormant"), 
        IF(AND(MAX(dynamic[sinceLastOrder]) &gt; 365, (DATE(2024,4,30) - MAXIFS(dynamic[orderDate], dynamic[customerID], B160)) &gt; 180), 
           "Dormant", "Regular")))</f>
        <v>Regular</v>
      </c>
      <c r="H160" s="6">
        <v>54.0</v>
      </c>
      <c r="I160" s="9" t="str">
        <f>VLOOKUP(dynamic[productID],products[],2,FALSE)</f>
        <v>Tourtière</v>
      </c>
      <c r="J160" s="9" t="str">
        <f>VLOOKUP(dynamic[productID],products[],12,FALSE)</f>
        <v>Meat/Poultry</v>
      </c>
      <c r="K160" s="7" t="str">
        <f>IF(VLOOKUP(dynamic[productID],products[],7,FALSE)=1,"Discontinued","Current")</f>
        <v>Current</v>
      </c>
      <c r="L160" s="9">
        <f>VLOOKUP(dynamic[productID],products[],IF(YEAR(dynamic[orderDate])=2022,8,IF(YEAR(dynamic[orderDate])=2023,9,IF(YEAR(dynamic[orderDate])=2024,10,NA))),FALSE)</f>
        <v>4.309848919</v>
      </c>
      <c r="M160" s="9">
        <v>5.9</v>
      </c>
      <c r="N160" s="25">
        <f>(dynamic[orderPrice]-dynamic[productCost])/dynamic[productCost]</f>
        <v>0.3689574996</v>
      </c>
      <c r="O160" s="10">
        <v>5.0</v>
      </c>
      <c r="P160" s="25">
        <v>0.0</v>
      </c>
      <c r="Q160" s="9">
        <f>dynamic[orderPrice]*dynamic[orderQuantity]</f>
        <v>29.5</v>
      </c>
      <c r="R160" s="9">
        <f>dynamic[orderTotal]*(1-dynamic[discountApllied])</f>
        <v>29.5</v>
      </c>
      <c r="S160" s="9">
        <f>dynamic[revenue]-(dynamic[productCost]*dynamic[orderQuantity])</f>
        <v>7.950755404</v>
      </c>
      <c r="T160" s="25">
        <f>IFERROR(dynamic[profit]/dynamic[revenue], 0)</f>
        <v>0.2695171323</v>
      </c>
    </row>
    <row r="161" ht="15.75" customHeight="1">
      <c r="A161" s="6">
        <v>10307.0</v>
      </c>
      <c r="B161" s="7" t="s">
        <v>53</v>
      </c>
      <c r="C161" s="24" t="str">
        <f>VLOOKUP(dynamic[customerID],customers[],2,FALSE)</f>
        <v>Lonesome Pine Restaurant</v>
      </c>
      <c r="D161" s="24">
        <v>44821.0</v>
      </c>
      <c r="E161" s="6">
        <f>IFERROR(__xludf.DUMMYFUNCTION("COUNTUNIQUEIFS($A$2:$A161,$B$2:$B161,B161)"),1.0)</f>
        <v>1</v>
      </c>
      <c r="F161" s="6">
        <f t="shared" si="1"/>
        <v>0</v>
      </c>
      <c r="G161" s="6" t="str">
        <f>IF(MINIFS(dynamic[orderDate], dynamic[customerID], B161) &gt;= DATE(2024,4,30)-120, 
     "New", 
     IF(MAXIFS(dynamic[orderCount], dynamic[customerID], B161)&lt;=2, 
        IF((DATE(2024,4,30) - MAXIFS(dynamic[orderDate], dynamic[customerID], B161)) &gt; 180, "Non-Returning", "Dormant"), 
        IF(AND(MAX(dynamic[sinceLastOrder]) &gt; 365, (DATE(2024,4,30) - MAXIFS(dynamic[orderDate], dynamic[customerID], B161)) &gt; 180), 
           "Dormant", "Regular")))</f>
        <v>Regular</v>
      </c>
      <c r="H161" s="6">
        <v>62.0</v>
      </c>
      <c r="I161" s="9" t="str">
        <f>VLOOKUP(dynamic[productID],products[],2,FALSE)</f>
        <v>Tarte au sucre</v>
      </c>
      <c r="J161" s="9" t="str">
        <f>VLOOKUP(dynamic[productID],products[],12,FALSE)</f>
        <v>Confections</v>
      </c>
      <c r="K161" s="7" t="str">
        <f>IF(VLOOKUP(dynamic[productID],products[],7,FALSE)=1,"Discontinued","Current")</f>
        <v>Current</v>
      </c>
      <c r="L161" s="9">
        <f>VLOOKUP(dynamic[productID],products[],IF(YEAR(dynamic[orderDate])=2022,8,IF(YEAR(dynamic[orderDate])=2023,9,IF(YEAR(dynamic[orderDate])=2024,10,NA))),FALSE)</f>
        <v>29.35963319</v>
      </c>
      <c r="M161" s="9">
        <v>39.4</v>
      </c>
      <c r="N161" s="25">
        <f>(dynamic[orderPrice]-dynamic[productCost])/dynamic[productCost]</f>
        <v>0.3419786189</v>
      </c>
      <c r="O161" s="10">
        <v>10.0</v>
      </c>
      <c r="P161" s="25">
        <v>0.0</v>
      </c>
      <c r="Q161" s="9">
        <f>dynamic[orderPrice]*dynamic[orderQuantity]</f>
        <v>394</v>
      </c>
      <c r="R161" s="9">
        <f>dynamic[orderTotal]*(1-dynamic[discountApllied])</f>
        <v>394</v>
      </c>
      <c r="S161" s="9">
        <f>dynamic[revenue]-(dynamic[productCost]*dynamic[orderQuantity])</f>
        <v>100.4036681</v>
      </c>
      <c r="T161" s="25">
        <f>IFERROR(dynamic[profit]/dynamic[revenue], 0)</f>
        <v>0.2548316449</v>
      </c>
    </row>
    <row r="162" ht="15.75" customHeight="1">
      <c r="A162" s="6">
        <v>10307.0</v>
      </c>
      <c r="B162" s="7" t="s">
        <v>53</v>
      </c>
      <c r="C162" s="24" t="str">
        <f>VLOOKUP(dynamic[customerID],customers[],2,FALSE)</f>
        <v>Lonesome Pine Restaurant</v>
      </c>
      <c r="D162" s="24">
        <v>44821.0</v>
      </c>
      <c r="E162" s="6">
        <f>IFERROR(__xludf.DUMMYFUNCTION("COUNTUNIQUEIFS($A$2:$A162,$B$2:$B162,B162)"),1.0)</f>
        <v>1</v>
      </c>
      <c r="F162" s="6">
        <f t="shared" si="1"/>
        <v>0</v>
      </c>
      <c r="G162" s="6" t="str">
        <f>IF(MINIFS(dynamic[orderDate], dynamic[customerID], B162) &gt;= DATE(2024,4,30)-120, 
     "New", 
     IF(MAXIFS(dynamic[orderCount], dynamic[customerID], B162)&lt;=2, 
        IF((DATE(2024,4,30) - MAXIFS(dynamic[orderDate], dynamic[customerID], B162)) &gt; 180, "Non-Returning", "Dormant"), 
        IF(AND(MAX(dynamic[sinceLastOrder]) &gt; 365, (DATE(2024,4,30) - MAXIFS(dynamic[orderDate], dynamic[customerID], B162)) &gt; 180), 
           "Dormant", "Regular")))</f>
        <v>Regular</v>
      </c>
      <c r="H162" s="6">
        <v>68.0</v>
      </c>
      <c r="I162" s="9" t="str">
        <f>VLOOKUP(dynamic[productID],products[],2,FALSE)</f>
        <v>Scottish Longbreads</v>
      </c>
      <c r="J162" s="9" t="str">
        <f>VLOOKUP(dynamic[productID],products[],12,FALSE)</f>
        <v>Confections</v>
      </c>
      <c r="K162" s="7" t="str">
        <f>IF(VLOOKUP(dynamic[productID],products[],7,FALSE)=1,"Discontinued","Current")</f>
        <v>Current</v>
      </c>
      <c r="L162" s="9">
        <f>VLOOKUP(dynamic[productID],products[],IF(YEAR(dynamic[orderDate])=2022,8,IF(YEAR(dynamic[orderDate])=2023,9,IF(YEAR(dynamic[orderDate])=2024,10,NA))),FALSE)</f>
        <v>7.316656529</v>
      </c>
      <c r="M162" s="9">
        <v>10.0</v>
      </c>
      <c r="N162" s="25">
        <f>(dynamic[orderPrice]-dynamic[productCost])/dynamic[productCost]</f>
        <v>0.3667444906</v>
      </c>
      <c r="O162" s="10">
        <v>3.0</v>
      </c>
      <c r="P162" s="25">
        <v>0.0</v>
      </c>
      <c r="Q162" s="9">
        <f>dynamic[orderPrice]*dynamic[orderQuantity]</f>
        <v>30</v>
      </c>
      <c r="R162" s="9">
        <f>dynamic[orderTotal]*(1-dynamic[discountApllied])</f>
        <v>30</v>
      </c>
      <c r="S162" s="9">
        <f>dynamic[revenue]-(dynamic[productCost]*dynamic[orderQuantity])</f>
        <v>8.050030414</v>
      </c>
      <c r="T162" s="25">
        <f>IFERROR(dynamic[profit]/dynamic[revenue], 0)</f>
        <v>0.2683343471</v>
      </c>
    </row>
    <row r="163" ht="15.75" customHeight="1">
      <c r="A163" s="6">
        <v>10308.0</v>
      </c>
      <c r="B163" s="7" t="s">
        <v>54</v>
      </c>
      <c r="C163" s="24" t="str">
        <f>VLOOKUP(dynamic[customerID],customers[],2,FALSE)</f>
        <v>Ana Trujillo Emparedados y helados</v>
      </c>
      <c r="D163" s="24">
        <v>44822.0</v>
      </c>
      <c r="E163" s="6">
        <f>IFERROR(__xludf.DUMMYFUNCTION("COUNTUNIQUEIFS($A$2:$A163,$B$2:$B163,B163)"),1.0)</f>
        <v>1</v>
      </c>
      <c r="F163" s="6">
        <f t="shared" si="1"/>
        <v>0</v>
      </c>
      <c r="G163" s="6" t="str">
        <f>IF(MINIFS(dynamic[orderDate], dynamic[customerID], B163) &gt;= DATE(2024,4,30)-120, 
     "New", 
     IF(MAXIFS(dynamic[orderCount], dynamic[customerID], B163)&lt;=2, 
        IF((DATE(2024,4,30) - MAXIFS(dynamic[orderDate], dynamic[customerID], B163)) &gt; 180, "Non-Returning", "Dormant"), 
        IF(AND(MAX(dynamic[sinceLastOrder]) &gt; 365, (DATE(2024,4,30) - MAXIFS(dynamic[orderDate], dynamic[customerID], B163)) &gt; 180), 
           "Dormant", "Regular")))</f>
        <v>Regular</v>
      </c>
      <c r="H163" s="6">
        <v>69.0</v>
      </c>
      <c r="I163" s="9" t="str">
        <f>VLOOKUP(dynamic[productID],products[],2,FALSE)</f>
        <v>Gudbrandsdalsost</v>
      </c>
      <c r="J163" s="9" t="str">
        <f>VLOOKUP(dynamic[productID],products[],12,FALSE)</f>
        <v>Dairy Products</v>
      </c>
      <c r="K163" s="7" t="str">
        <f>IF(VLOOKUP(dynamic[productID],products[],7,FALSE)=1,"Discontinued","Current")</f>
        <v>Current</v>
      </c>
      <c r="L163" s="9">
        <f>VLOOKUP(dynamic[productID],products[],IF(YEAR(dynamic[orderDate])=2022,8,IF(YEAR(dynamic[orderDate])=2023,9,IF(YEAR(dynamic[orderDate])=2024,10,NA))),FALSE)</f>
        <v>20.71216183</v>
      </c>
      <c r="M163" s="9">
        <v>28.8</v>
      </c>
      <c r="N163" s="25">
        <f>(dynamic[orderPrice]-dynamic[productCost])/dynamic[productCost]</f>
        <v>0.3904873977</v>
      </c>
      <c r="O163" s="10">
        <v>1.0</v>
      </c>
      <c r="P163" s="25">
        <v>0.0</v>
      </c>
      <c r="Q163" s="9">
        <f>dynamic[orderPrice]*dynamic[orderQuantity]</f>
        <v>28.8</v>
      </c>
      <c r="R163" s="9">
        <f>dynamic[orderTotal]*(1-dynamic[discountApllied])</f>
        <v>28.8</v>
      </c>
      <c r="S163" s="9">
        <f>dynamic[revenue]-(dynamic[productCost]*dynamic[orderQuantity])</f>
        <v>8.087838172</v>
      </c>
      <c r="T163" s="25">
        <f>IFERROR(dynamic[profit]/dynamic[revenue], 0)</f>
        <v>0.2808277143</v>
      </c>
    </row>
    <row r="164" ht="15.75" customHeight="1">
      <c r="A164" s="6">
        <v>10308.0</v>
      </c>
      <c r="B164" s="7" t="s">
        <v>54</v>
      </c>
      <c r="C164" s="24" t="str">
        <f>VLOOKUP(dynamic[customerID],customers[],2,FALSE)</f>
        <v>Ana Trujillo Emparedados y helados</v>
      </c>
      <c r="D164" s="24">
        <v>44822.0</v>
      </c>
      <c r="E164" s="6">
        <f>IFERROR(__xludf.DUMMYFUNCTION("COUNTUNIQUEIFS($A$2:$A164,$B$2:$B164,B164)"),1.0)</f>
        <v>1</v>
      </c>
      <c r="F164" s="6">
        <f t="shared" si="1"/>
        <v>0</v>
      </c>
      <c r="G164" s="6" t="str">
        <f>IF(MINIFS(dynamic[orderDate], dynamic[customerID], B164) &gt;= DATE(2024,4,30)-120, 
     "New", 
     IF(MAXIFS(dynamic[orderCount], dynamic[customerID], B164)&lt;=2, 
        IF((DATE(2024,4,30) - MAXIFS(dynamic[orderDate], dynamic[customerID], B164)) &gt; 180, "Non-Returning", "Dormant"), 
        IF(AND(MAX(dynamic[sinceLastOrder]) &gt; 365, (DATE(2024,4,30) - MAXIFS(dynamic[orderDate], dynamic[customerID], B164)) &gt; 180), 
           "Dormant", "Regular")))</f>
        <v>Regular</v>
      </c>
      <c r="H164" s="6">
        <v>70.0</v>
      </c>
      <c r="I164" s="9" t="str">
        <f>VLOOKUP(dynamic[productID],products[],2,FALSE)</f>
        <v>Outback Lager</v>
      </c>
      <c r="J164" s="9" t="str">
        <f>VLOOKUP(dynamic[productID],products[],12,FALSE)</f>
        <v>Beverages</v>
      </c>
      <c r="K164" s="7" t="str">
        <f>IF(VLOOKUP(dynamic[productID],products[],7,FALSE)=1,"Discontinued","Current")</f>
        <v>Current</v>
      </c>
      <c r="L164" s="9">
        <f>VLOOKUP(dynamic[productID],products[],IF(YEAR(dynamic[orderDate])=2022,8,IF(YEAR(dynamic[orderDate])=2023,9,IF(YEAR(dynamic[orderDate])=2024,10,NA))),FALSE)</f>
        <v>8.037520944</v>
      </c>
      <c r="M164" s="9">
        <v>12.0</v>
      </c>
      <c r="N164" s="25">
        <f>(dynamic[orderPrice]-dynamic[productCost])/dynamic[productCost]</f>
        <v>0.4929976648</v>
      </c>
      <c r="O164" s="10">
        <v>5.0</v>
      </c>
      <c r="P164" s="25">
        <v>0.0</v>
      </c>
      <c r="Q164" s="9">
        <f>dynamic[orderPrice]*dynamic[orderQuantity]</f>
        <v>60</v>
      </c>
      <c r="R164" s="9">
        <f>dynamic[orderTotal]*(1-dynamic[discountApllied])</f>
        <v>60</v>
      </c>
      <c r="S164" s="9">
        <f>dynamic[revenue]-(dynamic[productCost]*dynamic[orderQuantity])</f>
        <v>19.81239528</v>
      </c>
      <c r="T164" s="25">
        <f>IFERROR(dynamic[profit]/dynamic[revenue], 0)</f>
        <v>0.330206588</v>
      </c>
    </row>
    <row r="165" ht="15.75" customHeight="1">
      <c r="A165" s="6">
        <v>10309.0</v>
      </c>
      <c r="B165" s="7" t="s">
        <v>49</v>
      </c>
      <c r="C165" s="24" t="str">
        <f>VLOOKUP(dynamic[customerID],customers[],2,FALSE)</f>
        <v>Hungry Owl All-Night Grocers</v>
      </c>
      <c r="D165" s="24">
        <v>44823.0</v>
      </c>
      <c r="E165" s="6">
        <f>IFERROR(__xludf.DUMMYFUNCTION("COUNTUNIQUEIFS($A$2:$A165,$B$2:$B165,B165)"),2.0)</f>
        <v>2</v>
      </c>
      <c r="F165" s="6">
        <f t="shared" si="1"/>
        <v>14</v>
      </c>
      <c r="G165" s="6" t="str">
        <f>IF(MINIFS(dynamic[orderDate], dynamic[customerID], B165) &gt;= DATE(2024,4,30)-120, 
     "New", 
     IF(MAXIFS(dynamic[orderCount], dynamic[customerID], B165)&lt;=2, 
        IF((DATE(2024,4,30) - MAXIFS(dynamic[orderDate], dynamic[customerID], B165)) &gt; 180, "Non-Returning", "Dormant"), 
        IF(AND(MAX(dynamic[sinceLastOrder]) &gt; 365, (DATE(2024,4,30) - MAXIFS(dynamic[orderDate], dynamic[customerID], B165)) &gt; 180), 
           "Dormant", "Regular")))</f>
        <v>Regular</v>
      </c>
      <c r="H165" s="6">
        <v>4.0</v>
      </c>
      <c r="I165" s="9" t="str">
        <f>VLOOKUP(dynamic[productID],products[],2,FALSE)</f>
        <v>Chef Anton's Cajun Seasoning</v>
      </c>
      <c r="J165" s="9" t="str">
        <f>VLOOKUP(dynamic[productID],products[],12,FALSE)</f>
        <v>Condiments</v>
      </c>
      <c r="K165" s="7" t="str">
        <f>IF(VLOOKUP(dynamic[productID],products[],7,FALSE)=1,"Discontinued","Current")</f>
        <v>Current</v>
      </c>
      <c r="L165" s="9">
        <f>VLOOKUP(dynamic[productID],products[],IF(YEAR(dynamic[orderDate])=2022,8,IF(YEAR(dynamic[orderDate])=2023,9,IF(YEAR(dynamic[orderDate])=2024,10,NA))),FALSE)</f>
        <v>12.12007338</v>
      </c>
      <c r="M165" s="9">
        <v>17.6</v>
      </c>
      <c r="N165" s="25">
        <f>(dynamic[orderPrice]-dynamic[productCost])/dynamic[productCost]</f>
        <v>0.4521364227</v>
      </c>
      <c r="O165" s="10">
        <v>20.0</v>
      </c>
      <c r="P165" s="25">
        <v>0.0</v>
      </c>
      <c r="Q165" s="9">
        <f>dynamic[orderPrice]*dynamic[orderQuantity]</f>
        <v>352</v>
      </c>
      <c r="R165" s="9">
        <f>dynamic[orderTotal]*(1-dynamic[discountApllied])</f>
        <v>352</v>
      </c>
      <c r="S165" s="9">
        <f>dynamic[revenue]-(dynamic[productCost]*dynamic[orderQuantity])</f>
        <v>109.5985324</v>
      </c>
      <c r="T165" s="25">
        <f>IFERROR(dynamic[profit]/dynamic[revenue], 0)</f>
        <v>0.3113594671</v>
      </c>
    </row>
    <row r="166" ht="15.75" customHeight="1">
      <c r="A166" s="6">
        <v>10309.0</v>
      </c>
      <c r="B166" s="7" t="s">
        <v>49</v>
      </c>
      <c r="C166" s="24" t="str">
        <f>VLOOKUP(dynamic[customerID],customers[],2,FALSE)</f>
        <v>Hungry Owl All-Night Grocers</v>
      </c>
      <c r="D166" s="24">
        <v>44823.0</v>
      </c>
      <c r="E166" s="6">
        <f>IFERROR(__xludf.DUMMYFUNCTION("COUNTUNIQUEIFS($A$2:$A166,$B$2:$B166,B166)"),2.0)</f>
        <v>2</v>
      </c>
      <c r="F166" s="6">
        <f t="shared" si="1"/>
        <v>14</v>
      </c>
      <c r="G166" s="6" t="str">
        <f>IF(MINIFS(dynamic[orderDate], dynamic[customerID], B166) &gt;= DATE(2024,4,30)-120, 
     "New", 
     IF(MAXIFS(dynamic[orderCount], dynamic[customerID], B166)&lt;=2, 
        IF((DATE(2024,4,30) - MAXIFS(dynamic[orderDate], dynamic[customerID], B166)) &gt; 180, "Non-Returning", "Dormant"), 
        IF(AND(MAX(dynamic[sinceLastOrder]) &gt; 365, (DATE(2024,4,30) - MAXIFS(dynamic[orderDate], dynamic[customerID], B166)) &gt; 180), 
           "Dormant", "Regular")))</f>
        <v>Regular</v>
      </c>
      <c r="H166" s="6">
        <v>6.0</v>
      </c>
      <c r="I166" s="9" t="str">
        <f>VLOOKUP(dynamic[productID],products[],2,FALSE)</f>
        <v>Grandma's Boysenberry Spread</v>
      </c>
      <c r="J166" s="9" t="str">
        <f>VLOOKUP(dynamic[productID],products[],12,FALSE)</f>
        <v>Condiments</v>
      </c>
      <c r="K166" s="7" t="str">
        <f>IF(VLOOKUP(dynamic[productID],products[],7,FALSE)=1,"Discontinued","Current")</f>
        <v>Current</v>
      </c>
      <c r="L166" s="9">
        <f>VLOOKUP(dynamic[productID],products[],IF(YEAR(dynamic[orderDate])=2022,8,IF(YEAR(dynamic[orderDate])=2023,9,IF(YEAR(dynamic[orderDate])=2024,10,NA))),FALSE)</f>
        <v>13.64030257</v>
      </c>
      <c r="M166" s="9">
        <v>20.0</v>
      </c>
      <c r="N166" s="25">
        <f>(dynamic[orderPrice]-dynamic[productCost])/dynamic[productCost]</f>
        <v>0.4662431346</v>
      </c>
      <c r="O166" s="10">
        <v>30.0</v>
      </c>
      <c r="P166" s="25">
        <v>0.0</v>
      </c>
      <c r="Q166" s="9">
        <f>dynamic[orderPrice]*dynamic[orderQuantity]</f>
        <v>600</v>
      </c>
      <c r="R166" s="9">
        <f>dynamic[orderTotal]*(1-dynamic[discountApllied])</f>
        <v>600</v>
      </c>
      <c r="S166" s="9">
        <f>dynamic[revenue]-(dynamic[productCost]*dynamic[orderQuantity])</f>
        <v>190.7909228</v>
      </c>
      <c r="T166" s="25">
        <f>IFERROR(dynamic[profit]/dynamic[revenue], 0)</f>
        <v>0.3179848714</v>
      </c>
    </row>
    <row r="167" ht="15.75" customHeight="1">
      <c r="A167" s="6">
        <v>10309.0</v>
      </c>
      <c r="B167" s="7" t="s">
        <v>49</v>
      </c>
      <c r="C167" s="24" t="str">
        <f>VLOOKUP(dynamic[customerID],customers[],2,FALSE)</f>
        <v>Hungry Owl All-Night Grocers</v>
      </c>
      <c r="D167" s="24">
        <v>44823.0</v>
      </c>
      <c r="E167" s="6">
        <f>IFERROR(__xludf.DUMMYFUNCTION("COUNTUNIQUEIFS($A$2:$A167,$B$2:$B167,B167)"),2.0)</f>
        <v>2</v>
      </c>
      <c r="F167" s="6">
        <f t="shared" si="1"/>
        <v>14</v>
      </c>
      <c r="G167" s="6" t="str">
        <f>IF(MINIFS(dynamic[orderDate], dynamic[customerID], B167) &gt;= DATE(2024,4,30)-120, 
     "New", 
     IF(MAXIFS(dynamic[orderCount], dynamic[customerID], B167)&lt;=2, 
        IF((DATE(2024,4,30) - MAXIFS(dynamic[orderDate], dynamic[customerID], B167)) &gt; 180, "Non-Returning", "Dormant"), 
        IF(AND(MAX(dynamic[sinceLastOrder]) &gt; 365, (DATE(2024,4,30) - MAXIFS(dynamic[orderDate], dynamic[customerID], B167)) &gt; 180), 
           "Dormant", "Regular")))</f>
        <v>Regular</v>
      </c>
      <c r="H167" s="6">
        <v>42.0</v>
      </c>
      <c r="I167" s="9" t="str">
        <f>VLOOKUP(dynamic[productID],products[],2,FALSE)</f>
        <v>Singaporean Hokkien Fried Mee</v>
      </c>
      <c r="J167" s="9" t="str">
        <f>VLOOKUP(dynamic[productID],products[],12,FALSE)</f>
        <v>Grains/Cereals</v>
      </c>
      <c r="K167" s="7" t="str">
        <f>IF(VLOOKUP(dynamic[productID],products[],7,FALSE)=1,"Discontinued","Current")</f>
        <v>Discontinued</v>
      </c>
      <c r="L167" s="9">
        <f>VLOOKUP(dynamic[productID],products[],IF(YEAR(dynamic[orderDate])=2022,8,IF(YEAR(dynamic[orderDate])=2023,9,IF(YEAR(dynamic[orderDate])=2024,10,NA))),FALSE)</f>
        <v>7.818425885</v>
      </c>
      <c r="M167" s="9">
        <v>11.2</v>
      </c>
      <c r="N167" s="25">
        <f>(dynamic[orderPrice]-dynamic[productCost])/dynamic[productCost]</f>
        <v>0.4325134196</v>
      </c>
      <c r="O167" s="10">
        <v>2.0</v>
      </c>
      <c r="P167" s="25">
        <v>0.0</v>
      </c>
      <c r="Q167" s="9">
        <f>dynamic[orderPrice]*dynamic[orderQuantity]</f>
        <v>22.4</v>
      </c>
      <c r="R167" s="9">
        <f>dynamic[orderTotal]*(1-dynamic[discountApllied])</f>
        <v>22.4</v>
      </c>
      <c r="S167" s="9">
        <f>dynamic[revenue]-(dynamic[productCost]*dynamic[orderQuantity])</f>
        <v>6.76314823</v>
      </c>
      <c r="T167" s="25">
        <f>IFERROR(dynamic[profit]/dynamic[revenue], 0)</f>
        <v>0.3019262603</v>
      </c>
    </row>
    <row r="168" ht="15.75" customHeight="1">
      <c r="A168" s="6">
        <v>10309.0</v>
      </c>
      <c r="B168" s="7" t="s">
        <v>49</v>
      </c>
      <c r="C168" s="24" t="str">
        <f>VLOOKUP(dynamic[customerID],customers[],2,FALSE)</f>
        <v>Hungry Owl All-Night Grocers</v>
      </c>
      <c r="D168" s="24">
        <v>44823.0</v>
      </c>
      <c r="E168" s="6">
        <f>IFERROR(__xludf.DUMMYFUNCTION("COUNTUNIQUEIFS($A$2:$A168,$B$2:$B168,B168)"),2.0)</f>
        <v>2</v>
      </c>
      <c r="F168" s="6">
        <f t="shared" si="1"/>
        <v>14</v>
      </c>
      <c r="G168" s="6" t="str">
        <f>IF(MINIFS(dynamic[orderDate], dynamic[customerID], B168) &gt;= DATE(2024,4,30)-120, 
     "New", 
     IF(MAXIFS(dynamic[orderCount], dynamic[customerID], B168)&lt;=2, 
        IF((DATE(2024,4,30) - MAXIFS(dynamic[orderDate], dynamic[customerID], B168)) &gt; 180, "Non-Returning", "Dormant"), 
        IF(AND(MAX(dynamic[sinceLastOrder]) &gt; 365, (DATE(2024,4,30) - MAXIFS(dynamic[orderDate], dynamic[customerID], B168)) &gt; 180), 
           "Dormant", "Regular")))</f>
        <v>Regular</v>
      </c>
      <c r="H168" s="6">
        <v>43.0</v>
      </c>
      <c r="I168" s="9" t="str">
        <f>VLOOKUP(dynamic[productID],products[],2,FALSE)</f>
        <v>Ipoh Coffee</v>
      </c>
      <c r="J168" s="9" t="str">
        <f>VLOOKUP(dynamic[productID],products[],12,FALSE)</f>
        <v>Beverages</v>
      </c>
      <c r="K168" s="7" t="str">
        <f>IF(VLOOKUP(dynamic[productID],products[],7,FALSE)=1,"Discontinued","Current")</f>
        <v>Current</v>
      </c>
      <c r="L168" s="9">
        <f>VLOOKUP(dynamic[productID],products[],IF(YEAR(dynamic[orderDate])=2022,8,IF(YEAR(dynamic[orderDate])=2023,9,IF(YEAR(dynamic[orderDate])=2024,10,NA))),FALSE)</f>
        <v>25.79491918</v>
      </c>
      <c r="M168" s="9">
        <v>36.8</v>
      </c>
      <c r="N168" s="25">
        <f>(dynamic[orderPrice]-dynamic[productCost])/dynamic[productCost]</f>
        <v>0.4266375384</v>
      </c>
      <c r="O168" s="10">
        <v>20.0</v>
      </c>
      <c r="P168" s="25">
        <v>0.0</v>
      </c>
      <c r="Q168" s="9">
        <f>dynamic[orderPrice]*dynamic[orderQuantity]</f>
        <v>736</v>
      </c>
      <c r="R168" s="9">
        <f>dynamic[orderTotal]*(1-dynamic[discountApllied])</f>
        <v>736</v>
      </c>
      <c r="S168" s="9">
        <f>dynamic[revenue]-(dynamic[productCost]*dynamic[orderQuantity])</f>
        <v>220.1016164</v>
      </c>
      <c r="T168" s="25">
        <f>IFERROR(dynamic[profit]/dynamic[revenue], 0)</f>
        <v>0.2990511093</v>
      </c>
    </row>
    <row r="169" ht="15.75" customHeight="1">
      <c r="A169" s="6">
        <v>10309.0</v>
      </c>
      <c r="B169" s="7" t="s">
        <v>49</v>
      </c>
      <c r="C169" s="24" t="str">
        <f>VLOOKUP(dynamic[customerID],customers[],2,FALSE)</f>
        <v>Hungry Owl All-Night Grocers</v>
      </c>
      <c r="D169" s="24">
        <v>44823.0</v>
      </c>
      <c r="E169" s="6">
        <f>IFERROR(__xludf.DUMMYFUNCTION("COUNTUNIQUEIFS($A$2:$A169,$B$2:$B169,B169)"),2.0)</f>
        <v>2</v>
      </c>
      <c r="F169" s="6">
        <f t="shared" si="1"/>
        <v>14</v>
      </c>
      <c r="G169" s="6" t="str">
        <f>IF(MINIFS(dynamic[orderDate], dynamic[customerID], B169) &gt;= DATE(2024,4,30)-120, 
     "New", 
     IF(MAXIFS(dynamic[orderCount], dynamic[customerID], B169)&lt;=2, 
        IF((DATE(2024,4,30) - MAXIFS(dynamic[orderDate], dynamic[customerID], B169)) &gt; 180, "Non-Returning", "Dormant"), 
        IF(AND(MAX(dynamic[sinceLastOrder]) &gt; 365, (DATE(2024,4,30) - MAXIFS(dynamic[orderDate], dynamic[customerID], B169)) &gt; 180), 
           "Dormant", "Regular")))</f>
        <v>Regular</v>
      </c>
      <c r="H169" s="6">
        <v>71.0</v>
      </c>
      <c r="I169" s="9" t="str">
        <f>VLOOKUP(dynamic[productID],products[],2,FALSE)</f>
        <v>Flotemysost</v>
      </c>
      <c r="J169" s="9" t="str">
        <f>VLOOKUP(dynamic[productID],products[],12,FALSE)</f>
        <v>Dairy Products</v>
      </c>
      <c r="K169" s="7" t="str">
        <f>IF(VLOOKUP(dynamic[productID],products[],7,FALSE)=1,"Discontinued","Current")</f>
        <v>Current</v>
      </c>
      <c r="L169" s="9">
        <f>VLOOKUP(dynamic[productID],products[],IF(YEAR(dynamic[orderDate])=2022,8,IF(YEAR(dynamic[orderDate])=2023,9,IF(YEAR(dynamic[orderDate])=2024,10,NA))),FALSE)</f>
        <v>12.00719029</v>
      </c>
      <c r="M169" s="9">
        <v>17.2</v>
      </c>
      <c r="N169" s="25">
        <f>(dynamic[orderPrice]-dynamic[productCost])/dynamic[productCost]</f>
        <v>0.4324750075</v>
      </c>
      <c r="O169" s="10">
        <v>3.0</v>
      </c>
      <c r="P169" s="25">
        <v>0.0</v>
      </c>
      <c r="Q169" s="9">
        <f>dynamic[orderPrice]*dynamic[orderQuantity]</f>
        <v>51.6</v>
      </c>
      <c r="R169" s="9">
        <f>dynamic[orderTotal]*(1-dynamic[discountApllied])</f>
        <v>51.6</v>
      </c>
      <c r="S169" s="9">
        <f>dynamic[revenue]-(dynamic[productCost]*dynamic[orderQuantity])</f>
        <v>15.57842913</v>
      </c>
      <c r="T169" s="25">
        <f>IFERROR(dynamic[profit]/dynamic[revenue], 0)</f>
        <v>0.3019075413</v>
      </c>
    </row>
    <row r="170" ht="15.75" customHeight="1">
      <c r="A170" s="6">
        <v>10310.0</v>
      </c>
      <c r="B170" s="7" t="s">
        <v>55</v>
      </c>
      <c r="C170" s="24" t="str">
        <f>VLOOKUP(dynamic[customerID],customers[],2,FALSE)</f>
        <v>The Big Cheese</v>
      </c>
      <c r="D170" s="24">
        <v>44824.0</v>
      </c>
      <c r="E170" s="6">
        <f>IFERROR(__xludf.DUMMYFUNCTION("COUNTUNIQUEIFS($A$2:$A170,$B$2:$B170,B170)"),1.0)</f>
        <v>1</v>
      </c>
      <c r="F170" s="6">
        <f t="shared" si="1"/>
        <v>0</v>
      </c>
      <c r="G170" s="6" t="str">
        <f>IF(MINIFS(dynamic[orderDate], dynamic[customerID], B170) &gt;= DATE(2024,4,30)-120, 
     "New", 
     IF(MAXIFS(dynamic[orderCount], dynamic[customerID], B170)&lt;=2, 
        IF((DATE(2024,4,30) - MAXIFS(dynamic[orderDate], dynamic[customerID], B170)) &gt; 180, "Non-Returning", "Dormant"), 
        IF(AND(MAX(dynamic[sinceLastOrder]) &gt; 365, (DATE(2024,4,30) - MAXIFS(dynamic[orderDate], dynamic[customerID], B170)) &gt; 180), 
           "Dormant", "Regular")))</f>
        <v>Regular</v>
      </c>
      <c r="H170" s="6">
        <v>16.0</v>
      </c>
      <c r="I170" s="9" t="str">
        <f>VLOOKUP(dynamic[productID],products[],2,FALSE)</f>
        <v>Pavlova</v>
      </c>
      <c r="J170" s="9" t="str">
        <f>VLOOKUP(dynamic[productID],products[],12,FALSE)</f>
        <v>Confections</v>
      </c>
      <c r="K170" s="7" t="str">
        <f>IF(VLOOKUP(dynamic[productID],products[],7,FALSE)=1,"Discontinued","Current")</f>
        <v>Current</v>
      </c>
      <c r="L170" s="9">
        <f>VLOOKUP(dynamic[productID],products[],IF(YEAR(dynamic[orderDate])=2022,8,IF(YEAR(dynamic[orderDate])=2023,9,IF(YEAR(dynamic[orderDate])=2024,10,NA))),FALSE)</f>
        <v>9.80658008</v>
      </c>
      <c r="M170" s="9">
        <v>13.9</v>
      </c>
      <c r="N170" s="25">
        <f>(dynamic[orderPrice]-dynamic[productCost])/dynamic[productCost]</f>
        <v>0.417415642</v>
      </c>
      <c r="O170" s="10">
        <v>10.0</v>
      </c>
      <c r="P170" s="25">
        <v>0.0</v>
      </c>
      <c r="Q170" s="9">
        <f>dynamic[orderPrice]*dynamic[orderQuantity]</f>
        <v>139</v>
      </c>
      <c r="R170" s="9">
        <f>dynamic[orderTotal]*(1-dynamic[discountApllied])</f>
        <v>139</v>
      </c>
      <c r="S170" s="9">
        <f>dynamic[revenue]-(dynamic[productCost]*dynamic[orderQuantity])</f>
        <v>40.9341992</v>
      </c>
      <c r="T170" s="25">
        <f>IFERROR(dynamic[profit]/dynamic[revenue], 0)</f>
        <v>0.2944906417</v>
      </c>
    </row>
    <row r="171" ht="15.75" customHeight="1">
      <c r="A171" s="6">
        <v>10310.0</v>
      </c>
      <c r="B171" s="7" t="s">
        <v>55</v>
      </c>
      <c r="C171" s="24" t="str">
        <f>VLOOKUP(dynamic[customerID],customers[],2,FALSE)</f>
        <v>The Big Cheese</v>
      </c>
      <c r="D171" s="24">
        <v>44824.0</v>
      </c>
      <c r="E171" s="6">
        <f>IFERROR(__xludf.DUMMYFUNCTION("COUNTUNIQUEIFS($A$2:$A171,$B$2:$B171,B171)"),1.0)</f>
        <v>1</v>
      </c>
      <c r="F171" s="6">
        <f t="shared" si="1"/>
        <v>0</v>
      </c>
      <c r="G171" s="6" t="str">
        <f>IF(MINIFS(dynamic[orderDate], dynamic[customerID], B171) &gt;= DATE(2024,4,30)-120, 
     "New", 
     IF(MAXIFS(dynamic[orderCount], dynamic[customerID], B171)&lt;=2, 
        IF((DATE(2024,4,30) - MAXIFS(dynamic[orderDate], dynamic[customerID], B171)) &gt; 180, "Non-Returning", "Dormant"), 
        IF(AND(MAX(dynamic[sinceLastOrder]) &gt; 365, (DATE(2024,4,30) - MAXIFS(dynamic[orderDate], dynamic[customerID], B171)) &gt; 180), 
           "Dormant", "Regular")))</f>
        <v>Regular</v>
      </c>
      <c r="H171" s="6">
        <v>62.0</v>
      </c>
      <c r="I171" s="9" t="str">
        <f>VLOOKUP(dynamic[productID],products[],2,FALSE)</f>
        <v>Tarte au sucre</v>
      </c>
      <c r="J171" s="9" t="str">
        <f>VLOOKUP(dynamic[productID],products[],12,FALSE)</f>
        <v>Confections</v>
      </c>
      <c r="K171" s="7" t="str">
        <f>IF(VLOOKUP(dynamic[productID],products[],7,FALSE)=1,"Discontinued","Current")</f>
        <v>Current</v>
      </c>
      <c r="L171" s="9">
        <f>VLOOKUP(dynamic[productID],products[],IF(YEAR(dynamic[orderDate])=2022,8,IF(YEAR(dynamic[orderDate])=2023,9,IF(YEAR(dynamic[orderDate])=2024,10,NA))),FALSE)</f>
        <v>29.35963319</v>
      </c>
      <c r="M171" s="9">
        <v>39.4</v>
      </c>
      <c r="N171" s="25">
        <f>(dynamic[orderPrice]-dynamic[productCost])/dynamic[productCost]</f>
        <v>0.3419786189</v>
      </c>
      <c r="O171" s="10">
        <v>5.0</v>
      </c>
      <c r="P171" s="25">
        <v>0.0</v>
      </c>
      <c r="Q171" s="9">
        <f>dynamic[orderPrice]*dynamic[orderQuantity]</f>
        <v>197</v>
      </c>
      <c r="R171" s="9">
        <f>dynamic[orderTotal]*(1-dynamic[discountApllied])</f>
        <v>197</v>
      </c>
      <c r="S171" s="9">
        <f>dynamic[revenue]-(dynamic[productCost]*dynamic[orderQuantity])</f>
        <v>50.20183405</v>
      </c>
      <c r="T171" s="25">
        <f>IFERROR(dynamic[profit]/dynamic[revenue], 0)</f>
        <v>0.2548316449</v>
      </c>
    </row>
    <row r="172" ht="15.75" customHeight="1">
      <c r="A172" s="6">
        <v>10311.0</v>
      </c>
      <c r="B172" s="7" t="s">
        <v>56</v>
      </c>
      <c r="C172" s="24" t="str">
        <f>VLOOKUP(dynamic[customerID],customers[],2,FALSE)</f>
        <v>Du monde entier</v>
      </c>
      <c r="D172" s="24">
        <v>44824.0</v>
      </c>
      <c r="E172" s="6">
        <f>IFERROR(__xludf.DUMMYFUNCTION("COUNTUNIQUEIFS($A$2:$A172,$B$2:$B172,B172)"),1.0)</f>
        <v>1</v>
      </c>
      <c r="F172" s="6">
        <f t="shared" si="1"/>
        <v>0</v>
      </c>
      <c r="G172" s="6" t="str">
        <f>IF(MINIFS(dynamic[orderDate], dynamic[customerID], B172) &gt;= DATE(2024,4,30)-120, 
     "New", 
     IF(MAXIFS(dynamic[orderCount], dynamic[customerID], B172)&lt;=2, 
        IF((DATE(2024,4,30) - MAXIFS(dynamic[orderDate], dynamic[customerID], B172)) &gt; 180, "Non-Returning", "Dormant"), 
        IF(AND(MAX(dynamic[sinceLastOrder]) &gt; 365, (DATE(2024,4,30) - MAXIFS(dynamic[orderDate], dynamic[customerID], B172)) &gt; 180), 
           "Dormant", "Regular")))</f>
        <v>Regular</v>
      </c>
      <c r="H172" s="6">
        <v>42.0</v>
      </c>
      <c r="I172" s="9" t="str">
        <f>VLOOKUP(dynamic[productID],products[],2,FALSE)</f>
        <v>Singaporean Hokkien Fried Mee</v>
      </c>
      <c r="J172" s="9" t="str">
        <f>VLOOKUP(dynamic[productID],products[],12,FALSE)</f>
        <v>Grains/Cereals</v>
      </c>
      <c r="K172" s="7" t="str">
        <f>IF(VLOOKUP(dynamic[productID],products[],7,FALSE)=1,"Discontinued","Current")</f>
        <v>Discontinued</v>
      </c>
      <c r="L172" s="9">
        <f>VLOOKUP(dynamic[productID],products[],IF(YEAR(dynamic[orderDate])=2022,8,IF(YEAR(dynamic[orderDate])=2023,9,IF(YEAR(dynamic[orderDate])=2024,10,NA))),FALSE)</f>
        <v>7.818425885</v>
      </c>
      <c r="M172" s="9">
        <v>11.2</v>
      </c>
      <c r="N172" s="25">
        <f>(dynamic[orderPrice]-dynamic[productCost])/dynamic[productCost]</f>
        <v>0.4325134196</v>
      </c>
      <c r="O172" s="10">
        <v>6.0</v>
      </c>
      <c r="P172" s="25">
        <v>0.0</v>
      </c>
      <c r="Q172" s="9">
        <f>dynamic[orderPrice]*dynamic[orderQuantity]</f>
        <v>67.2</v>
      </c>
      <c r="R172" s="9">
        <f>dynamic[orderTotal]*(1-dynamic[discountApllied])</f>
        <v>67.2</v>
      </c>
      <c r="S172" s="9">
        <f>dynamic[revenue]-(dynamic[productCost]*dynamic[orderQuantity])</f>
        <v>20.28944469</v>
      </c>
      <c r="T172" s="25">
        <f>IFERROR(dynamic[profit]/dynamic[revenue], 0)</f>
        <v>0.3019262603</v>
      </c>
    </row>
    <row r="173" ht="15.75" customHeight="1">
      <c r="A173" s="6">
        <v>10311.0</v>
      </c>
      <c r="B173" s="7" t="s">
        <v>56</v>
      </c>
      <c r="C173" s="24" t="str">
        <f>VLOOKUP(dynamic[customerID],customers[],2,FALSE)</f>
        <v>Du monde entier</v>
      </c>
      <c r="D173" s="24">
        <v>44824.0</v>
      </c>
      <c r="E173" s="6">
        <f>IFERROR(__xludf.DUMMYFUNCTION("COUNTUNIQUEIFS($A$2:$A173,$B$2:$B173,B173)"),1.0)</f>
        <v>1</v>
      </c>
      <c r="F173" s="6">
        <f t="shared" si="1"/>
        <v>0</v>
      </c>
      <c r="G173" s="6" t="str">
        <f>IF(MINIFS(dynamic[orderDate], dynamic[customerID], B173) &gt;= DATE(2024,4,30)-120, 
     "New", 
     IF(MAXIFS(dynamic[orderCount], dynamic[customerID], B173)&lt;=2, 
        IF((DATE(2024,4,30) - MAXIFS(dynamic[orderDate], dynamic[customerID], B173)) &gt; 180, "Non-Returning", "Dormant"), 
        IF(AND(MAX(dynamic[sinceLastOrder]) &gt; 365, (DATE(2024,4,30) - MAXIFS(dynamic[orderDate], dynamic[customerID], B173)) &gt; 180), 
           "Dormant", "Regular")))</f>
        <v>Regular</v>
      </c>
      <c r="H173" s="6">
        <v>69.0</v>
      </c>
      <c r="I173" s="9" t="str">
        <f>VLOOKUP(dynamic[productID],products[],2,FALSE)</f>
        <v>Gudbrandsdalsost</v>
      </c>
      <c r="J173" s="9" t="str">
        <f>VLOOKUP(dynamic[productID],products[],12,FALSE)</f>
        <v>Dairy Products</v>
      </c>
      <c r="K173" s="7" t="str">
        <f>IF(VLOOKUP(dynamic[productID],products[],7,FALSE)=1,"Discontinued","Current")</f>
        <v>Current</v>
      </c>
      <c r="L173" s="9">
        <f>VLOOKUP(dynamic[productID],products[],IF(YEAR(dynamic[orderDate])=2022,8,IF(YEAR(dynamic[orderDate])=2023,9,IF(YEAR(dynamic[orderDate])=2024,10,NA))),FALSE)</f>
        <v>20.71216183</v>
      </c>
      <c r="M173" s="9">
        <v>28.8</v>
      </c>
      <c r="N173" s="25">
        <f>(dynamic[orderPrice]-dynamic[productCost])/dynamic[productCost]</f>
        <v>0.3904873977</v>
      </c>
      <c r="O173" s="10">
        <v>7.0</v>
      </c>
      <c r="P173" s="25">
        <v>0.0</v>
      </c>
      <c r="Q173" s="9">
        <f>dynamic[orderPrice]*dynamic[orderQuantity]</f>
        <v>201.6</v>
      </c>
      <c r="R173" s="9">
        <f>dynamic[orderTotal]*(1-dynamic[discountApllied])</f>
        <v>201.6</v>
      </c>
      <c r="S173" s="9">
        <f>dynamic[revenue]-(dynamic[productCost]*dynamic[orderQuantity])</f>
        <v>56.61486721</v>
      </c>
      <c r="T173" s="25">
        <f>IFERROR(dynamic[profit]/dynamic[revenue], 0)</f>
        <v>0.2808277143</v>
      </c>
    </row>
    <row r="174" ht="15.75" customHeight="1">
      <c r="A174" s="6">
        <v>10312.0</v>
      </c>
      <c r="B174" s="7" t="s">
        <v>50</v>
      </c>
      <c r="C174" s="24" t="str">
        <f>VLOOKUP(dynamic[customerID],customers[],2,FALSE)</f>
        <v>Die Wandernde Kuh</v>
      </c>
      <c r="D174" s="24">
        <v>44827.0</v>
      </c>
      <c r="E174" s="6">
        <f>IFERROR(__xludf.DUMMYFUNCTION("COUNTUNIQUEIFS($A$2:$A174,$B$2:$B174,B174)"),2.0)</f>
        <v>2</v>
      </c>
      <c r="F174" s="6">
        <f t="shared" si="1"/>
        <v>14</v>
      </c>
      <c r="G174" s="6" t="str">
        <f>IF(MINIFS(dynamic[orderDate], dynamic[customerID], B174) &gt;= DATE(2024,4,30)-120, 
     "New", 
     IF(MAXIFS(dynamic[orderCount], dynamic[customerID], B174)&lt;=2, 
        IF((DATE(2024,4,30) - MAXIFS(dynamic[orderDate], dynamic[customerID], B174)) &gt; 180, "Non-Returning", "Dormant"), 
        IF(AND(MAX(dynamic[sinceLastOrder]) &gt; 365, (DATE(2024,4,30) - MAXIFS(dynamic[orderDate], dynamic[customerID], B174)) &gt; 180), 
           "Dormant", "Regular")))</f>
        <v>Regular</v>
      </c>
      <c r="H174" s="6">
        <v>28.0</v>
      </c>
      <c r="I174" s="9" t="str">
        <f>VLOOKUP(dynamic[productID],products[],2,FALSE)</f>
        <v>Rössle Sauerkraut</v>
      </c>
      <c r="J174" s="9" t="str">
        <f>VLOOKUP(dynamic[productID],products[],12,FALSE)</f>
        <v>Produce</v>
      </c>
      <c r="K174" s="7" t="str">
        <f>IF(VLOOKUP(dynamic[productID],products[],7,FALSE)=1,"Discontinued","Current")</f>
        <v>Discontinued</v>
      </c>
      <c r="L174" s="9">
        <f>VLOOKUP(dynamic[productID],products[],IF(YEAR(dynamic[orderDate])=2022,8,IF(YEAR(dynamic[orderDate])=2023,9,IF(YEAR(dynamic[orderDate])=2024,10,NA))),FALSE)</f>
        <v>27.51992272</v>
      </c>
      <c r="M174" s="9">
        <v>36.4</v>
      </c>
      <c r="N174" s="25">
        <f>(dynamic[orderPrice]-dynamic[productCost])/dynamic[productCost]</f>
        <v>0.3226781326</v>
      </c>
      <c r="O174" s="10">
        <v>4.0</v>
      </c>
      <c r="P174" s="25">
        <v>0.0</v>
      </c>
      <c r="Q174" s="9">
        <f>dynamic[orderPrice]*dynamic[orderQuantity]</f>
        <v>145.6</v>
      </c>
      <c r="R174" s="9">
        <f>dynamic[orderTotal]*(1-dynamic[discountApllied])</f>
        <v>145.6</v>
      </c>
      <c r="S174" s="9">
        <f>dynamic[revenue]-(dynamic[productCost]*dynamic[orderQuantity])</f>
        <v>35.5203091</v>
      </c>
      <c r="T174" s="25">
        <f>IFERROR(dynamic[profit]/dynamic[revenue], 0)</f>
        <v>0.2439581669</v>
      </c>
    </row>
    <row r="175" ht="15.75" customHeight="1">
      <c r="A175" s="6">
        <v>10312.0</v>
      </c>
      <c r="B175" s="7" t="s">
        <v>50</v>
      </c>
      <c r="C175" s="24" t="str">
        <f>VLOOKUP(dynamic[customerID],customers[],2,FALSE)</f>
        <v>Die Wandernde Kuh</v>
      </c>
      <c r="D175" s="24">
        <v>44827.0</v>
      </c>
      <c r="E175" s="6">
        <f>IFERROR(__xludf.DUMMYFUNCTION("COUNTUNIQUEIFS($A$2:$A175,$B$2:$B175,B175)"),2.0)</f>
        <v>2</v>
      </c>
      <c r="F175" s="6">
        <f t="shared" si="1"/>
        <v>14</v>
      </c>
      <c r="G175" s="6" t="str">
        <f>IF(MINIFS(dynamic[orderDate], dynamic[customerID], B175) &gt;= DATE(2024,4,30)-120, 
     "New", 
     IF(MAXIFS(dynamic[orderCount], dynamic[customerID], B175)&lt;=2, 
        IF((DATE(2024,4,30) - MAXIFS(dynamic[orderDate], dynamic[customerID], B175)) &gt; 180, "Non-Returning", "Dormant"), 
        IF(AND(MAX(dynamic[sinceLastOrder]) &gt; 365, (DATE(2024,4,30) - MAXIFS(dynamic[orderDate], dynamic[customerID], B175)) &gt; 180), 
           "Dormant", "Regular")))</f>
        <v>Regular</v>
      </c>
      <c r="H175" s="6">
        <v>43.0</v>
      </c>
      <c r="I175" s="9" t="str">
        <f>VLOOKUP(dynamic[productID],products[],2,FALSE)</f>
        <v>Ipoh Coffee</v>
      </c>
      <c r="J175" s="9" t="str">
        <f>VLOOKUP(dynamic[productID],products[],12,FALSE)</f>
        <v>Beverages</v>
      </c>
      <c r="K175" s="7" t="str">
        <f>IF(VLOOKUP(dynamic[productID],products[],7,FALSE)=1,"Discontinued","Current")</f>
        <v>Current</v>
      </c>
      <c r="L175" s="9">
        <f>VLOOKUP(dynamic[productID],products[],IF(YEAR(dynamic[orderDate])=2022,8,IF(YEAR(dynamic[orderDate])=2023,9,IF(YEAR(dynamic[orderDate])=2024,10,NA))),FALSE)</f>
        <v>25.79491918</v>
      </c>
      <c r="M175" s="9">
        <v>36.8</v>
      </c>
      <c r="N175" s="25">
        <f>(dynamic[orderPrice]-dynamic[productCost])/dynamic[productCost]</f>
        <v>0.4266375384</v>
      </c>
      <c r="O175" s="10">
        <v>24.0</v>
      </c>
      <c r="P175" s="25">
        <v>0.0</v>
      </c>
      <c r="Q175" s="9">
        <f>dynamic[orderPrice]*dynamic[orderQuantity]</f>
        <v>883.2</v>
      </c>
      <c r="R175" s="9">
        <f>dynamic[orderTotal]*(1-dynamic[discountApllied])</f>
        <v>883.2</v>
      </c>
      <c r="S175" s="9">
        <f>dynamic[revenue]-(dynamic[productCost]*dynamic[orderQuantity])</f>
        <v>264.1219397</v>
      </c>
      <c r="T175" s="25">
        <f>IFERROR(dynamic[profit]/dynamic[revenue], 0)</f>
        <v>0.2990511093</v>
      </c>
    </row>
    <row r="176" ht="15.75" customHeight="1">
      <c r="A176" s="6">
        <v>10312.0</v>
      </c>
      <c r="B176" s="7" t="s">
        <v>50</v>
      </c>
      <c r="C176" s="24" t="str">
        <f>VLOOKUP(dynamic[customerID],customers[],2,FALSE)</f>
        <v>Die Wandernde Kuh</v>
      </c>
      <c r="D176" s="24">
        <v>44827.0</v>
      </c>
      <c r="E176" s="6">
        <f>IFERROR(__xludf.DUMMYFUNCTION("COUNTUNIQUEIFS($A$2:$A176,$B$2:$B176,B176)"),2.0)</f>
        <v>2</v>
      </c>
      <c r="F176" s="6">
        <f t="shared" si="1"/>
        <v>14</v>
      </c>
      <c r="G176" s="6" t="str">
        <f>IF(MINIFS(dynamic[orderDate], dynamic[customerID], B176) &gt;= DATE(2024,4,30)-120, 
     "New", 
     IF(MAXIFS(dynamic[orderCount], dynamic[customerID], B176)&lt;=2, 
        IF((DATE(2024,4,30) - MAXIFS(dynamic[orderDate], dynamic[customerID], B176)) &gt; 180, "Non-Returning", "Dormant"), 
        IF(AND(MAX(dynamic[sinceLastOrder]) &gt; 365, (DATE(2024,4,30) - MAXIFS(dynamic[orderDate], dynamic[customerID], B176)) &gt; 180), 
           "Dormant", "Regular")))</f>
        <v>Regular</v>
      </c>
      <c r="H176" s="6">
        <v>53.0</v>
      </c>
      <c r="I176" s="9" t="str">
        <f>VLOOKUP(dynamic[productID],products[],2,FALSE)</f>
        <v>Perth Pasties</v>
      </c>
      <c r="J176" s="9" t="str">
        <f>VLOOKUP(dynamic[productID],products[],12,FALSE)</f>
        <v>Meat/Poultry</v>
      </c>
      <c r="K176" s="7" t="str">
        <f>IF(VLOOKUP(dynamic[productID],products[],7,FALSE)=1,"Discontinued","Current")</f>
        <v>Discontinued</v>
      </c>
      <c r="L176" s="9">
        <f>VLOOKUP(dynamic[productID],products[],IF(YEAR(dynamic[orderDate])=2022,8,IF(YEAR(dynamic[orderDate])=2023,9,IF(YEAR(dynamic[orderDate])=2024,10,NA))),FALSE)</f>
        <v>18.33322006</v>
      </c>
      <c r="M176" s="9">
        <v>26.2</v>
      </c>
      <c r="N176" s="25">
        <f>(dynamic[orderPrice]-dynamic[productCost])/dynamic[productCost]</f>
        <v>0.4290997391</v>
      </c>
      <c r="O176" s="10">
        <v>20.0</v>
      </c>
      <c r="P176" s="25">
        <v>0.0</v>
      </c>
      <c r="Q176" s="9">
        <f>dynamic[orderPrice]*dynamic[orderQuantity]</f>
        <v>524</v>
      </c>
      <c r="R176" s="9">
        <f>dynamic[orderTotal]*(1-dynamic[discountApllied])</f>
        <v>524</v>
      </c>
      <c r="S176" s="9">
        <f>dynamic[revenue]-(dynamic[productCost]*dynamic[orderQuantity])</f>
        <v>157.3355989</v>
      </c>
      <c r="T176" s="25">
        <f>IFERROR(dynamic[profit]/dynamic[revenue], 0)</f>
        <v>0.3002587765</v>
      </c>
    </row>
    <row r="177" ht="15.75" customHeight="1">
      <c r="A177" s="6">
        <v>10312.0</v>
      </c>
      <c r="B177" s="7" t="s">
        <v>50</v>
      </c>
      <c r="C177" s="24" t="str">
        <f>VLOOKUP(dynamic[customerID],customers[],2,FALSE)</f>
        <v>Die Wandernde Kuh</v>
      </c>
      <c r="D177" s="24">
        <v>44827.0</v>
      </c>
      <c r="E177" s="6">
        <f>IFERROR(__xludf.DUMMYFUNCTION("COUNTUNIQUEIFS($A$2:$A177,$B$2:$B177,B177)"),2.0)</f>
        <v>2</v>
      </c>
      <c r="F177" s="6">
        <f t="shared" si="1"/>
        <v>14</v>
      </c>
      <c r="G177" s="6" t="str">
        <f>IF(MINIFS(dynamic[orderDate], dynamic[customerID], B177) &gt;= DATE(2024,4,30)-120, 
     "New", 
     IF(MAXIFS(dynamic[orderCount], dynamic[customerID], B177)&lt;=2, 
        IF((DATE(2024,4,30) - MAXIFS(dynamic[orderDate], dynamic[customerID], B177)) &gt; 180, "Non-Returning", "Dormant"), 
        IF(AND(MAX(dynamic[sinceLastOrder]) &gt; 365, (DATE(2024,4,30) - MAXIFS(dynamic[orderDate], dynamic[customerID], B177)) &gt; 180), 
           "Dormant", "Regular")))</f>
        <v>Regular</v>
      </c>
      <c r="H177" s="6">
        <v>75.0</v>
      </c>
      <c r="I177" s="9" t="str">
        <f>VLOOKUP(dynamic[productID],products[],2,FALSE)</f>
        <v>Rhönbräu Klosterbier</v>
      </c>
      <c r="J177" s="9" t="str">
        <f>VLOOKUP(dynamic[productID],products[],12,FALSE)</f>
        <v>Beverages</v>
      </c>
      <c r="K177" s="7" t="str">
        <f>IF(VLOOKUP(dynamic[productID],products[],7,FALSE)=1,"Discontinued","Current")</f>
        <v>Current</v>
      </c>
      <c r="L177" s="9">
        <f>VLOOKUP(dynamic[productID],products[],IF(YEAR(dynamic[orderDate])=2022,8,IF(YEAR(dynamic[orderDate])=2023,9,IF(YEAR(dynamic[orderDate])=2024,10,NA))),FALSE)</f>
        <v>4.269033823</v>
      </c>
      <c r="M177" s="9">
        <v>6.2</v>
      </c>
      <c r="N177" s="25">
        <f>(dynamic[orderPrice]-dynamic[productCost])/dynamic[productCost]</f>
        <v>0.4523192499</v>
      </c>
      <c r="O177" s="10">
        <v>10.0</v>
      </c>
      <c r="P177" s="25">
        <v>0.0</v>
      </c>
      <c r="Q177" s="9">
        <f>dynamic[orderPrice]*dynamic[orderQuantity]</f>
        <v>62</v>
      </c>
      <c r="R177" s="9">
        <f>dynamic[orderTotal]*(1-dynamic[discountApllied])</f>
        <v>62</v>
      </c>
      <c r="S177" s="9">
        <f>dynamic[revenue]-(dynamic[productCost]*dynamic[orderQuantity])</f>
        <v>19.30966177</v>
      </c>
      <c r="T177" s="25">
        <f>IFERROR(dynamic[profit]/dynamic[revenue], 0)</f>
        <v>0.3114461575</v>
      </c>
    </row>
    <row r="178" ht="15.75" customHeight="1">
      <c r="A178" s="6">
        <v>10313.0</v>
      </c>
      <c r="B178" s="7" t="s">
        <v>36</v>
      </c>
      <c r="C178" s="24" t="str">
        <f>VLOOKUP(dynamic[customerID],customers[],2,FALSE)</f>
        <v>QUICK-Stop</v>
      </c>
      <c r="D178" s="24">
        <v>44828.0</v>
      </c>
      <c r="E178" s="6">
        <f>IFERROR(__xludf.DUMMYFUNCTION("COUNTUNIQUEIFS($A$2:$A178,$B$2:$B178,B178)"),4.0)</f>
        <v>4</v>
      </c>
      <c r="F178" s="6">
        <f t="shared" si="1"/>
        <v>34</v>
      </c>
      <c r="G178" s="6" t="str">
        <f>IF(MINIFS(dynamic[orderDate], dynamic[customerID], B178) &gt;= DATE(2024,4,30)-120, 
     "New", 
     IF(MAXIFS(dynamic[orderCount], dynamic[customerID], B178)&lt;=2, 
        IF((DATE(2024,4,30) - MAXIFS(dynamic[orderDate], dynamic[customerID], B178)) &gt; 180, "Non-Returning", "Dormant"), 
        IF(AND(MAX(dynamic[sinceLastOrder]) &gt; 365, (DATE(2024,4,30) - MAXIFS(dynamic[orderDate], dynamic[customerID], B178)) &gt; 180), 
           "Dormant", "Regular")))</f>
        <v>Regular</v>
      </c>
      <c r="H178" s="6">
        <v>36.0</v>
      </c>
      <c r="I178" s="9" t="str">
        <f>VLOOKUP(dynamic[productID],products[],2,FALSE)</f>
        <v>Inlagd Sill</v>
      </c>
      <c r="J178" s="9" t="str">
        <f>VLOOKUP(dynamic[productID],products[],12,FALSE)</f>
        <v>Seafood</v>
      </c>
      <c r="K178" s="7" t="str">
        <f>IF(VLOOKUP(dynamic[productID],products[],7,FALSE)=1,"Discontinued","Current")</f>
        <v>Current</v>
      </c>
      <c r="L178" s="9">
        <f>VLOOKUP(dynamic[productID],products[],IF(YEAR(dynamic[orderDate])=2022,8,IF(YEAR(dynamic[orderDate])=2023,9,IF(YEAR(dynamic[orderDate])=2024,10,NA))),FALSE)</f>
        <v>9.768238429</v>
      </c>
      <c r="M178" s="9">
        <v>15.2</v>
      </c>
      <c r="N178" s="25">
        <f>(dynamic[orderPrice]-dynamic[productCost])/dynamic[productCost]</f>
        <v>0.5560635738</v>
      </c>
      <c r="O178" s="10">
        <v>12.0</v>
      </c>
      <c r="P178" s="25">
        <v>0.0</v>
      </c>
      <c r="Q178" s="9">
        <f>dynamic[orderPrice]*dynamic[orderQuantity]</f>
        <v>182.4</v>
      </c>
      <c r="R178" s="9">
        <f>dynamic[orderTotal]*(1-dynamic[discountApllied])</f>
        <v>182.4</v>
      </c>
      <c r="S178" s="9">
        <f>dynamic[revenue]-(dynamic[productCost]*dynamic[orderQuantity])</f>
        <v>65.18113885</v>
      </c>
      <c r="T178" s="25">
        <f>IFERROR(dynamic[profit]/dynamic[revenue], 0)</f>
        <v>0.3573527349</v>
      </c>
    </row>
    <row r="179" ht="15.75" customHeight="1">
      <c r="A179" s="6">
        <v>10314.0</v>
      </c>
      <c r="B179" s="7" t="s">
        <v>28</v>
      </c>
      <c r="C179" s="24" t="str">
        <f>VLOOKUP(dynamic[customerID],customers[],2,FALSE)</f>
        <v>Rattlesnake Canyon Grocery</v>
      </c>
      <c r="D179" s="24">
        <v>44829.0</v>
      </c>
      <c r="E179" s="6">
        <f>IFERROR(__xludf.DUMMYFUNCTION("COUNTUNIQUEIFS($A$2:$A179,$B$2:$B179,B179)"),4.0)</f>
        <v>4</v>
      </c>
      <c r="F179" s="6">
        <f t="shared" si="1"/>
        <v>26</v>
      </c>
      <c r="G179" s="6" t="str">
        <f>IF(MINIFS(dynamic[orderDate], dynamic[customerID], B179) &gt;= DATE(2024,4,30)-120, 
     "New", 
     IF(MAXIFS(dynamic[orderCount], dynamic[customerID], B179)&lt;=2, 
        IF((DATE(2024,4,30) - MAXIFS(dynamic[orderDate], dynamic[customerID], B179)) &gt; 180, "Non-Returning", "Dormant"), 
        IF(AND(MAX(dynamic[sinceLastOrder]) &gt; 365, (DATE(2024,4,30) - MAXIFS(dynamic[orderDate], dynamic[customerID], B179)) &gt; 180), 
           "Dormant", "Regular")))</f>
        <v>Regular</v>
      </c>
      <c r="H179" s="6">
        <v>32.0</v>
      </c>
      <c r="I179" s="9" t="str">
        <f>VLOOKUP(dynamic[productID],products[],2,FALSE)</f>
        <v>Mascarpone Fabioli</v>
      </c>
      <c r="J179" s="9" t="str">
        <f>VLOOKUP(dynamic[productID],products[],12,FALSE)</f>
        <v>Dairy Products</v>
      </c>
      <c r="K179" s="7" t="str">
        <f>IF(VLOOKUP(dynamic[productID],products[],7,FALSE)=1,"Discontinued","Current")</f>
        <v>Current</v>
      </c>
      <c r="L179" s="9">
        <f>VLOOKUP(dynamic[productID],products[],IF(YEAR(dynamic[orderDate])=2022,8,IF(YEAR(dynamic[orderDate])=2023,9,IF(YEAR(dynamic[orderDate])=2024,10,NA))),FALSE)</f>
        <v>14.65492467</v>
      </c>
      <c r="M179" s="9">
        <v>25.6</v>
      </c>
      <c r="N179" s="25">
        <f>(dynamic[orderPrice]-dynamic[productCost])/dynamic[productCost]</f>
        <v>0.7468530603</v>
      </c>
      <c r="O179" s="10">
        <v>40.0</v>
      </c>
      <c r="P179" s="25">
        <v>0.1</v>
      </c>
      <c r="Q179" s="9">
        <f>dynamic[orderPrice]*dynamic[orderQuantity]</f>
        <v>1024</v>
      </c>
      <c r="R179" s="9">
        <f>dynamic[orderTotal]*(1-dynamic[discountApllied])</f>
        <v>921.6</v>
      </c>
      <c r="S179" s="9">
        <f>dynamic[revenue]-(dynamic[productCost]*dynamic[orderQuantity])</f>
        <v>335.4030134</v>
      </c>
      <c r="T179" s="25">
        <f>IFERROR(dynamic[profit]/dynamic[revenue], 0)</f>
        <v>0.3639355614</v>
      </c>
    </row>
    <row r="180" ht="15.75" customHeight="1">
      <c r="A180" s="6">
        <v>10314.0</v>
      </c>
      <c r="B180" s="7" t="s">
        <v>28</v>
      </c>
      <c r="C180" s="24" t="str">
        <f>VLOOKUP(dynamic[customerID],customers[],2,FALSE)</f>
        <v>Rattlesnake Canyon Grocery</v>
      </c>
      <c r="D180" s="24">
        <v>44829.0</v>
      </c>
      <c r="E180" s="6">
        <f>IFERROR(__xludf.DUMMYFUNCTION("COUNTUNIQUEIFS($A$2:$A180,$B$2:$B180,B180)"),4.0)</f>
        <v>4</v>
      </c>
      <c r="F180" s="6">
        <f t="shared" si="1"/>
        <v>26</v>
      </c>
      <c r="G180" s="6" t="str">
        <f>IF(MINIFS(dynamic[orderDate], dynamic[customerID], B180) &gt;= DATE(2024,4,30)-120, 
     "New", 
     IF(MAXIFS(dynamic[orderCount], dynamic[customerID], B180)&lt;=2, 
        IF((DATE(2024,4,30) - MAXIFS(dynamic[orderDate], dynamic[customerID], B180)) &gt; 180, "Non-Returning", "Dormant"), 
        IF(AND(MAX(dynamic[sinceLastOrder]) &gt; 365, (DATE(2024,4,30) - MAXIFS(dynamic[orderDate], dynamic[customerID], B180)) &gt; 180), 
           "Dormant", "Regular")))</f>
        <v>Regular</v>
      </c>
      <c r="H180" s="6">
        <v>58.0</v>
      </c>
      <c r="I180" s="9" t="str">
        <f>VLOOKUP(dynamic[productID],products[],2,FALSE)</f>
        <v>Escargots de Bourgogne</v>
      </c>
      <c r="J180" s="9" t="str">
        <f>VLOOKUP(dynamic[productID],products[],12,FALSE)</f>
        <v>Seafood</v>
      </c>
      <c r="K180" s="7" t="str">
        <f>IF(VLOOKUP(dynamic[productID],products[],7,FALSE)=1,"Discontinued","Current")</f>
        <v>Current</v>
      </c>
      <c r="L180" s="9">
        <f>VLOOKUP(dynamic[productID],products[],IF(YEAR(dynamic[orderDate])=2022,8,IF(YEAR(dynamic[orderDate])=2023,9,IF(YEAR(dynamic[orderDate])=2024,10,NA))),FALSE)</f>
        <v>6.388939317</v>
      </c>
      <c r="M180" s="9">
        <v>10.6</v>
      </c>
      <c r="N180" s="25">
        <f>(dynamic[orderPrice]-dynamic[productCost])/dynamic[productCost]</f>
        <v>0.6591173392</v>
      </c>
      <c r="O180" s="10">
        <v>30.0</v>
      </c>
      <c r="P180" s="25">
        <v>0.1</v>
      </c>
      <c r="Q180" s="9">
        <f>dynamic[orderPrice]*dynamic[orderQuantity]</f>
        <v>318</v>
      </c>
      <c r="R180" s="9">
        <f>dynamic[orderTotal]*(1-dynamic[discountApllied])</f>
        <v>286.2</v>
      </c>
      <c r="S180" s="9">
        <f>dynamic[revenue]-(dynamic[productCost]*dynamic[orderQuantity])</f>
        <v>94.53182049</v>
      </c>
      <c r="T180" s="25">
        <f>IFERROR(dynamic[profit]/dynamic[revenue], 0)</f>
        <v>0.330299862</v>
      </c>
    </row>
    <row r="181" ht="15.75" customHeight="1">
      <c r="A181" s="6">
        <v>10314.0</v>
      </c>
      <c r="B181" s="7" t="s">
        <v>28</v>
      </c>
      <c r="C181" s="24" t="str">
        <f>VLOOKUP(dynamic[customerID],customers[],2,FALSE)</f>
        <v>Rattlesnake Canyon Grocery</v>
      </c>
      <c r="D181" s="24">
        <v>44829.0</v>
      </c>
      <c r="E181" s="6">
        <f>IFERROR(__xludf.DUMMYFUNCTION("COUNTUNIQUEIFS($A$2:$A181,$B$2:$B181,B181)"),4.0)</f>
        <v>4</v>
      </c>
      <c r="F181" s="6">
        <f t="shared" si="1"/>
        <v>26</v>
      </c>
      <c r="G181" s="6" t="str">
        <f>IF(MINIFS(dynamic[orderDate], dynamic[customerID], B181) &gt;= DATE(2024,4,30)-120, 
     "New", 
     IF(MAXIFS(dynamic[orderCount], dynamic[customerID], B181)&lt;=2, 
        IF((DATE(2024,4,30) - MAXIFS(dynamic[orderDate], dynamic[customerID], B181)) &gt; 180, "Non-Returning", "Dormant"), 
        IF(AND(MAX(dynamic[sinceLastOrder]) &gt; 365, (DATE(2024,4,30) - MAXIFS(dynamic[orderDate], dynamic[customerID], B181)) &gt; 180), 
           "Dormant", "Regular")))</f>
        <v>Regular</v>
      </c>
      <c r="H181" s="6">
        <v>62.0</v>
      </c>
      <c r="I181" s="9" t="str">
        <f>VLOOKUP(dynamic[productID],products[],2,FALSE)</f>
        <v>Tarte au sucre</v>
      </c>
      <c r="J181" s="9" t="str">
        <f>VLOOKUP(dynamic[productID],products[],12,FALSE)</f>
        <v>Confections</v>
      </c>
      <c r="K181" s="7" t="str">
        <f>IF(VLOOKUP(dynamic[productID],products[],7,FALSE)=1,"Discontinued","Current")</f>
        <v>Current</v>
      </c>
      <c r="L181" s="9">
        <f>VLOOKUP(dynamic[productID],products[],IF(YEAR(dynamic[orderDate])=2022,8,IF(YEAR(dynamic[orderDate])=2023,9,IF(YEAR(dynamic[orderDate])=2024,10,NA))),FALSE)</f>
        <v>29.35963319</v>
      </c>
      <c r="M181" s="9">
        <v>39.4</v>
      </c>
      <c r="N181" s="25">
        <f>(dynamic[orderPrice]-dynamic[productCost])/dynamic[productCost]</f>
        <v>0.3419786189</v>
      </c>
      <c r="O181" s="10">
        <v>25.0</v>
      </c>
      <c r="P181" s="25">
        <v>0.1</v>
      </c>
      <c r="Q181" s="9">
        <f>dynamic[orderPrice]*dynamic[orderQuantity]</f>
        <v>985</v>
      </c>
      <c r="R181" s="9">
        <f>dynamic[orderTotal]*(1-dynamic[discountApllied])</f>
        <v>886.5</v>
      </c>
      <c r="S181" s="9">
        <f>dynamic[revenue]-(dynamic[productCost]*dynamic[orderQuantity])</f>
        <v>152.5091702</v>
      </c>
      <c r="T181" s="25">
        <f>IFERROR(dynamic[profit]/dynamic[revenue], 0)</f>
        <v>0.172035161</v>
      </c>
    </row>
    <row r="182" ht="15.75" customHeight="1">
      <c r="A182" s="6">
        <v>10315.0</v>
      </c>
      <c r="B182" s="7" t="s">
        <v>57</v>
      </c>
      <c r="C182" s="24" t="str">
        <f>VLOOKUP(dynamic[customerID],customers[],2,FALSE)</f>
        <v>Island Trading</v>
      </c>
      <c r="D182" s="24">
        <v>44830.0</v>
      </c>
      <c r="E182" s="6">
        <f>IFERROR(__xludf.DUMMYFUNCTION("COUNTUNIQUEIFS($A$2:$A182,$B$2:$B182,B182)"),1.0)</f>
        <v>1</v>
      </c>
      <c r="F182" s="6">
        <f t="shared" si="1"/>
        <v>0</v>
      </c>
      <c r="G182" s="6" t="str">
        <f>IF(MINIFS(dynamic[orderDate], dynamic[customerID], B182) &gt;= DATE(2024,4,30)-120, 
     "New", 
     IF(MAXIFS(dynamic[orderCount], dynamic[customerID], B182)&lt;=2, 
        IF((DATE(2024,4,30) - MAXIFS(dynamic[orderDate], dynamic[customerID], B182)) &gt; 180, "Non-Returning", "Dormant"), 
        IF(AND(MAX(dynamic[sinceLastOrder]) &gt; 365, (DATE(2024,4,30) - MAXIFS(dynamic[orderDate], dynamic[customerID], B182)) &gt; 180), 
           "Dormant", "Regular")))</f>
        <v>Regular</v>
      </c>
      <c r="H182" s="6">
        <v>34.0</v>
      </c>
      <c r="I182" s="9" t="str">
        <f>VLOOKUP(dynamic[productID],products[],2,FALSE)</f>
        <v>Sasquatch Ale</v>
      </c>
      <c r="J182" s="9" t="str">
        <f>VLOOKUP(dynamic[productID],products[],12,FALSE)</f>
        <v>Beverages</v>
      </c>
      <c r="K182" s="7" t="str">
        <f>IF(VLOOKUP(dynamic[productID],products[],7,FALSE)=1,"Discontinued","Current")</f>
        <v>Current</v>
      </c>
      <c r="L182" s="9">
        <f>VLOOKUP(dynamic[productID],products[],IF(YEAR(dynamic[orderDate])=2022,8,IF(YEAR(dynamic[orderDate])=2023,9,IF(YEAR(dynamic[orderDate])=2024,10,NA))),FALSE)</f>
        <v>8.233671911</v>
      </c>
      <c r="M182" s="9">
        <v>11.2</v>
      </c>
      <c r="N182" s="25">
        <f>(dynamic[orderPrice]-dynamic[productCost])/dynamic[productCost]</f>
        <v>0.3602679486</v>
      </c>
      <c r="O182" s="10">
        <v>14.0</v>
      </c>
      <c r="P182" s="25">
        <v>0.0</v>
      </c>
      <c r="Q182" s="9">
        <f>dynamic[orderPrice]*dynamic[orderQuantity]</f>
        <v>156.8</v>
      </c>
      <c r="R182" s="9">
        <f>dynamic[orderTotal]*(1-dynamic[discountApllied])</f>
        <v>156.8</v>
      </c>
      <c r="S182" s="9">
        <f>dynamic[revenue]-(dynamic[productCost]*dynamic[orderQuantity])</f>
        <v>41.52859325</v>
      </c>
      <c r="T182" s="25">
        <f>IFERROR(dynamic[profit]/dynamic[revenue], 0)</f>
        <v>0.2648507222</v>
      </c>
    </row>
    <row r="183" ht="15.75" customHeight="1">
      <c r="A183" s="6">
        <v>10315.0</v>
      </c>
      <c r="B183" s="7" t="s">
        <v>57</v>
      </c>
      <c r="C183" s="24" t="str">
        <f>VLOOKUP(dynamic[customerID],customers[],2,FALSE)</f>
        <v>Island Trading</v>
      </c>
      <c r="D183" s="24">
        <v>44830.0</v>
      </c>
      <c r="E183" s="6">
        <f>IFERROR(__xludf.DUMMYFUNCTION("COUNTUNIQUEIFS($A$2:$A183,$B$2:$B183,B183)"),1.0)</f>
        <v>1</v>
      </c>
      <c r="F183" s="6">
        <f t="shared" si="1"/>
        <v>0</v>
      </c>
      <c r="G183" s="6" t="str">
        <f>IF(MINIFS(dynamic[orderDate], dynamic[customerID], B183) &gt;= DATE(2024,4,30)-120, 
     "New", 
     IF(MAXIFS(dynamic[orderCount], dynamic[customerID], B183)&lt;=2, 
        IF((DATE(2024,4,30) - MAXIFS(dynamic[orderDate], dynamic[customerID], B183)) &gt; 180, "Non-Returning", "Dormant"), 
        IF(AND(MAX(dynamic[sinceLastOrder]) &gt; 365, (DATE(2024,4,30) - MAXIFS(dynamic[orderDate], dynamic[customerID], B183)) &gt; 180), 
           "Dormant", "Regular")))</f>
        <v>Regular</v>
      </c>
      <c r="H183" s="6">
        <v>70.0</v>
      </c>
      <c r="I183" s="9" t="str">
        <f>VLOOKUP(dynamic[productID],products[],2,FALSE)</f>
        <v>Outback Lager</v>
      </c>
      <c r="J183" s="9" t="str">
        <f>VLOOKUP(dynamic[productID],products[],12,FALSE)</f>
        <v>Beverages</v>
      </c>
      <c r="K183" s="7" t="str">
        <f>IF(VLOOKUP(dynamic[productID],products[],7,FALSE)=1,"Discontinued","Current")</f>
        <v>Current</v>
      </c>
      <c r="L183" s="9">
        <f>VLOOKUP(dynamic[productID],products[],IF(YEAR(dynamic[orderDate])=2022,8,IF(YEAR(dynamic[orderDate])=2023,9,IF(YEAR(dynamic[orderDate])=2024,10,NA))),FALSE)</f>
        <v>8.037520944</v>
      </c>
      <c r="M183" s="9">
        <v>12.0</v>
      </c>
      <c r="N183" s="25">
        <f>(dynamic[orderPrice]-dynamic[productCost])/dynamic[productCost]</f>
        <v>0.4929976648</v>
      </c>
      <c r="O183" s="10">
        <v>30.0</v>
      </c>
      <c r="P183" s="25">
        <v>0.0</v>
      </c>
      <c r="Q183" s="9">
        <f>dynamic[orderPrice]*dynamic[orderQuantity]</f>
        <v>360</v>
      </c>
      <c r="R183" s="9">
        <f>dynamic[orderTotal]*(1-dynamic[discountApllied])</f>
        <v>360</v>
      </c>
      <c r="S183" s="9">
        <f>dynamic[revenue]-(dynamic[productCost]*dynamic[orderQuantity])</f>
        <v>118.8743717</v>
      </c>
      <c r="T183" s="25">
        <f>IFERROR(dynamic[profit]/dynamic[revenue], 0)</f>
        <v>0.330206588</v>
      </c>
    </row>
    <row r="184" ht="15.75" customHeight="1">
      <c r="A184" s="6">
        <v>10316.0</v>
      </c>
      <c r="B184" s="7" t="s">
        <v>28</v>
      </c>
      <c r="C184" s="24" t="str">
        <f>VLOOKUP(dynamic[customerID],customers[],2,FALSE)</f>
        <v>Rattlesnake Canyon Grocery</v>
      </c>
      <c r="D184" s="24">
        <v>44831.0</v>
      </c>
      <c r="E184" s="6">
        <f>IFERROR(__xludf.DUMMYFUNCTION("COUNTUNIQUEIFS($A$2:$A184,$B$2:$B184,B184)"),5.0)</f>
        <v>5</v>
      </c>
      <c r="F184" s="6">
        <f t="shared" si="1"/>
        <v>2</v>
      </c>
      <c r="G184" s="6" t="str">
        <f>IF(MINIFS(dynamic[orderDate], dynamic[customerID], B184) &gt;= DATE(2024,4,30)-120, 
     "New", 
     IF(MAXIFS(dynamic[orderCount], dynamic[customerID], B184)&lt;=2, 
        IF((DATE(2024,4,30) - MAXIFS(dynamic[orderDate], dynamic[customerID], B184)) &gt; 180, "Non-Returning", "Dormant"), 
        IF(AND(MAX(dynamic[sinceLastOrder]) &gt; 365, (DATE(2024,4,30) - MAXIFS(dynamic[orderDate], dynamic[customerID], B184)) &gt; 180), 
           "Dormant", "Regular")))</f>
        <v>Regular</v>
      </c>
      <c r="H184" s="6">
        <v>41.0</v>
      </c>
      <c r="I184" s="9" t="str">
        <f>VLOOKUP(dynamic[productID],products[],2,FALSE)</f>
        <v>Jack's New England Clam Chowder</v>
      </c>
      <c r="J184" s="9" t="str">
        <f>VLOOKUP(dynamic[productID],products[],12,FALSE)</f>
        <v>Seafood</v>
      </c>
      <c r="K184" s="7" t="str">
        <f>IF(VLOOKUP(dynamic[productID],products[],7,FALSE)=1,"Discontinued","Current")</f>
        <v>Current</v>
      </c>
      <c r="L184" s="9">
        <f>VLOOKUP(dynamic[productID],products[],IF(YEAR(dynamic[orderDate])=2022,8,IF(YEAR(dynamic[orderDate])=2023,9,IF(YEAR(dynamic[orderDate])=2024,10,NA))),FALSE)</f>
        <v>5.170198742</v>
      </c>
      <c r="M184" s="9">
        <v>7.7</v>
      </c>
      <c r="N184" s="25">
        <f>(dynamic[orderPrice]-dynamic[productCost])/dynamic[productCost]</f>
        <v>0.4893044511</v>
      </c>
      <c r="O184" s="10">
        <v>10.0</v>
      </c>
      <c r="P184" s="25">
        <v>0.0</v>
      </c>
      <c r="Q184" s="9">
        <f>dynamic[orderPrice]*dynamic[orderQuantity]</f>
        <v>77</v>
      </c>
      <c r="R184" s="9">
        <f>dynamic[orderTotal]*(1-dynamic[discountApllied])</f>
        <v>77</v>
      </c>
      <c r="S184" s="9">
        <f>dynamic[revenue]-(dynamic[productCost]*dynamic[orderQuantity])</f>
        <v>25.29801258</v>
      </c>
      <c r="T184" s="25">
        <f>IFERROR(dynamic[profit]/dynamic[revenue], 0)</f>
        <v>0.3285456179</v>
      </c>
    </row>
    <row r="185" ht="15.75" customHeight="1">
      <c r="A185" s="6">
        <v>10316.0</v>
      </c>
      <c r="B185" s="7" t="s">
        <v>28</v>
      </c>
      <c r="C185" s="24" t="str">
        <f>VLOOKUP(dynamic[customerID],customers[],2,FALSE)</f>
        <v>Rattlesnake Canyon Grocery</v>
      </c>
      <c r="D185" s="24">
        <v>44831.0</v>
      </c>
      <c r="E185" s="6">
        <f>IFERROR(__xludf.DUMMYFUNCTION("COUNTUNIQUEIFS($A$2:$A185,$B$2:$B185,B185)"),5.0)</f>
        <v>5</v>
      </c>
      <c r="F185" s="6">
        <f t="shared" si="1"/>
        <v>2</v>
      </c>
      <c r="G185" s="6" t="str">
        <f>IF(MINIFS(dynamic[orderDate], dynamic[customerID], B185) &gt;= DATE(2024,4,30)-120, 
     "New", 
     IF(MAXIFS(dynamic[orderCount], dynamic[customerID], B185)&lt;=2, 
        IF((DATE(2024,4,30) - MAXIFS(dynamic[orderDate], dynamic[customerID], B185)) &gt; 180, "Non-Returning", "Dormant"), 
        IF(AND(MAX(dynamic[sinceLastOrder]) &gt; 365, (DATE(2024,4,30) - MAXIFS(dynamic[orderDate], dynamic[customerID], B185)) &gt; 180), 
           "Dormant", "Regular")))</f>
        <v>Regular</v>
      </c>
      <c r="H185" s="6">
        <v>62.0</v>
      </c>
      <c r="I185" s="9" t="str">
        <f>VLOOKUP(dynamic[productID],products[],2,FALSE)</f>
        <v>Tarte au sucre</v>
      </c>
      <c r="J185" s="9" t="str">
        <f>VLOOKUP(dynamic[productID],products[],12,FALSE)</f>
        <v>Confections</v>
      </c>
      <c r="K185" s="7" t="str">
        <f>IF(VLOOKUP(dynamic[productID],products[],7,FALSE)=1,"Discontinued","Current")</f>
        <v>Current</v>
      </c>
      <c r="L185" s="9">
        <f>VLOOKUP(dynamic[productID],products[],IF(YEAR(dynamic[orderDate])=2022,8,IF(YEAR(dynamic[orderDate])=2023,9,IF(YEAR(dynamic[orderDate])=2024,10,NA))),FALSE)</f>
        <v>29.35963319</v>
      </c>
      <c r="M185" s="9">
        <v>39.4</v>
      </c>
      <c r="N185" s="25">
        <f>(dynamic[orderPrice]-dynamic[productCost])/dynamic[productCost]</f>
        <v>0.3419786189</v>
      </c>
      <c r="O185" s="10">
        <v>70.0</v>
      </c>
      <c r="P185" s="25">
        <v>0.0</v>
      </c>
      <c r="Q185" s="9">
        <f>dynamic[orderPrice]*dynamic[orderQuantity]</f>
        <v>2758</v>
      </c>
      <c r="R185" s="9">
        <f>dynamic[orderTotal]*(1-dynamic[discountApllied])</f>
        <v>2758</v>
      </c>
      <c r="S185" s="9">
        <f>dynamic[revenue]-(dynamic[productCost]*dynamic[orderQuantity])</f>
        <v>702.8256767</v>
      </c>
      <c r="T185" s="25">
        <f>IFERROR(dynamic[profit]/dynamic[revenue], 0)</f>
        <v>0.2548316449</v>
      </c>
    </row>
    <row r="186" ht="15.75" customHeight="1">
      <c r="A186" s="6">
        <v>10317.0</v>
      </c>
      <c r="B186" s="7" t="s">
        <v>53</v>
      </c>
      <c r="C186" s="24" t="str">
        <f>VLOOKUP(dynamic[customerID],customers[],2,FALSE)</f>
        <v>Lonesome Pine Restaurant</v>
      </c>
      <c r="D186" s="24">
        <v>44834.0</v>
      </c>
      <c r="E186" s="6">
        <f>IFERROR(__xludf.DUMMYFUNCTION("COUNTUNIQUEIFS($A$2:$A186,$B$2:$B186,B186)"),2.0)</f>
        <v>2</v>
      </c>
      <c r="F186" s="6">
        <f t="shared" si="1"/>
        <v>13</v>
      </c>
      <c r="G186" s="6" t="str">
        <f>IF(MINIFS(dynamic[orderDate], dynamic[customerID], B186) &gt;= DATE(2024,4,30)-120, 
     "New", 
     IF(MAXIFS(dynamic[orderCount], dynamic[customerID], B186)&lt;=2, 
        IF((DATE(2024,4,30) - MAXIFS(dynamic[orderDate], dynamic[customerID], B186)) &gt; 180, "Non-Returning", "Dormant"), 
        IF(AND(MAX(dynamic[sinceLastOrder]) &gt; 365, (DATE(2024,4,30) - MAXIFS(dynamic[orderDate], dynamic[customerID], B186)) &gt; 180), 
           "Dormant", "Regular")))</f>
        <v>Regular</v>
      </c>
      <c r="H186" s="6">
        <v>1.0</v>
      </c>
      <c r="I186" s="9" t="str">
        <f>VLOOKUP(dynamic[productID],products[],2,FALSE)</f>
        <v>Chai</v>
      </c>
      <c r="J186" s="9" t="str">
        <f>VLOOKUP(dynamic[productID],products[],12,FALSE)</f>
        <v>Beverages</v>
      </c>
      <c r="K186" s="7" t="str">
        <f>IF(VLOOKUP(dynamic[productID],products[],7,FALSE)=1,"Discontinued","Current")</f>
        <v>Current</v>
      </c>
      <c r="L186" s="9">
        <f>VLOOKUP(dynamic[productID],products[],IF(YEAR(dynamic[orderDate])=2022,8,IF(YEAR(dynamic[orderDate])=2023,9,IF(YEAR(dynamic[orderDate])=2024,10,NA))),FALSE)</f>
        <v>9.574207217</v>
      </c>
      <c r="M186" s="9">
        <v>14.4</v>
      </c>
      <c r="N186" s="25">
        <f>(dynamic[orderPrice]-dynamic[productCost])/dynamic[productCost]</f>
        <v>0.5040409795</v>
      </c>
      <c r="O186" s="10">
        <v>20.0</v>
      </c>
      <c r="P186" s="25">
        <v>0.0</v>
      </c>
      <c r="Q186" s="9">
        <f>dynamic[orderPrice]*dynamic[orderQuantity]</f>
        <v>288</v>
      </c>
      <c r="R186" s="9">
        <f>dynamic[orderTotal]*(1-dynamic[discountApllied])</f>
        <v>288</v>
      </c>
      <c r="S186" s="9">
        <f>dynamic[revenue]-(dynamic[productCost]*dynamic[orderQuantity])</f>
        <v>96.51585567</v>
      </c>
      <c r="T186" s="25">
        <f>IFERROR(dynamic[profit]/dynamic[revenue], 0)</f>
        <v>0.3351244989</v>
      </c>
    </row>
    <row r="187" ht="15.75" customHeight="1">
      <c r="A187" s="6">
        <v>10318.0</v>
      </c>
      <c r="B187" s="7" t="s">
        <v>57</v>
      </c>
      <c r="C187" s="24" t="str">
        <f>VLOOKUP(dynamic[customerID],customers[],2,FALSE)</f>
        <v>Island Trading</v>
      </c>
      <c r="D187" s="24">
        <v>44835.0</v>
      </c>
      <c r="E187" s="6">
        <f>IFERROR(__xludf.DUMMYFUNCTION("COUNTUNIQUEIFS($A$2:$A187,$B$2:$B187,B187)"),2.0)</f>
        <v>2</v>
      </c>
      <c r="F187" s="6">
        <f t="shared" si="1"/>
        <v>5</v>
      </c>
      <c r="G187" s="6" t="str">
        <f>IF(MINIFS(dynamic[orderDate], dynamic[customerID], B187) &gt;= DATE(2024,4,30)-120, 
     "New", 
     IF(MAXIFS(dynamic[orderCount], dynamic[customerID], B187)&lt;=2, 
        IF((DATE(2024,4,30) - MAXIFS(dynamic[orderDate], dynamic[customerID], B187)) &gt; 180, "Non-Returning", "Dormant"), 
        IF(AND(MAX(dynamic[sinceLastOrder]) &gt; 365, (DATE(2024,4,30) - MAXIFS(dynamic[orderDate], dynamic[customerID], B187)) &gt; 180), 
           "Dormant", "Regular")))</f>
        <v>Regular</v>
      </c>
      <c r="H187" s="6">
        <v>41.0</v>
      </c>
      <c r="I187" s="9" t="str">
        <f>VLOOKUP(dynamic[productID],products[],2,FALSE)</f>
        <v>Jack's New England Clam Chowder</v>
      </c>
      <c r="J187" s="9" t="str">
        <f>VLOOKUP(dynamic[productID],products[],12,FALSE)</f>
        <v>Seafood</v>
      </c>
      <c r="K187" s="7" t="str">
        <f>IF(VLOOKUP(dynamic[productID],products[],7,FALSE)=1,"Discontinued","Current")</f>
        <v>Current</v>
      </c>
      <c r="L187" s="9">
        <f>VLOOKUP(dynamic[productID],products[],IF(YEAR(dynamic[orderDate])=2022,8,IF(YEAR(dynamic[orderDate])=2023,9,IF(YEAR(dynamic[orderDate])=2024,10,NA))),FALSE)</f>
        <v>5.170198742</v>
      </c>
      <c r="M187" s="9">
        <v>7.7</v>
      </c>
      <c r="N187" s="25">
        <f>(dynamic[orderPrice]-dynamic[productCost])/dynamic[productCost]</f>
        <v>0.4893044511</v>
      </c>
      <c r="O187" s="10">
        <v>20.0</v>
      </c>
      <c r="P187" s="25">
        <v>0.0</v>
      </c>
      <c r="Q187" s="9">
        <f>dynamic[orderPrice]*dynamic[orderQuantity]</f>
        <v>154</v>
      </c>
      <c r="R187" s="9">
        <f>dynamic[orderTotal]*(1-dynamic[discountApllied])</f>
        <v>154</v>
      </c>
      <c r="S187" s="9">
        <f>dynamic[revenue]-(dynamic[productCost]*dynamic[orderQuantity])</f>
        <v>50.59602516</v>
      </c>
      <c r="T187" s="25">
        <f>IFERROR(dynamic[profit]/dynamic[revenue], 0)</f>
        <v>0.3285456179</v>
      </c>
    </row>
    <row r="188" ht="15.75" customHeight="1">
      <c r="A188" s="6">
        <v>10318.0</v>
      </c>
      <c r="B188" s="7" t="s">
        <v>57</v>
      </c>
      <c r="C188" s="24" t="str">
        <f>VLOOKUP(dynamic[customerID],customers[],2,FALSE)</f>
        <v>Island Trading</v>
      </c>
      <c r="D188" s="24">
        <v>44835.0</v>
      </c>
      <c r="E188" s="6">
        <f>IFERROR(__xludf.DUMMYFUNCTION("COUNTUNIQUEIFS($A$2:$A188,$B$2:$B188,B188)"),2.0)</f>
        <v>2</v>
      </c>
      <c r="F188" s="6">
        <f t="shared" si="1"/>
        <v>5</v>
      </c>
      <c r="G188" s="6" t="str">
        <f>IF(MINIFS(dynamic[orderDate], dynamic[customerID], B188) &gt;= DATE(2024,4,30)-120, 
     "New", 
     IF(MAXIFS(dynamic[orderCount], dynamic[customerID], B188)&lt;=2, 
        IF((DATE(2024,4,30) - MAXIFS(dynamic[orderDate], dynamic[customerID], B188)) &gt; 180, "Non-Returning", "Dormant"), 
        IF(AND(MAX(dynamic[sinceLastOrder]) &gt; 365, (DATE(2024,4,30) - MAXIFS(dynamic[orderDate], dynamic[customerID], B188)) &gt; 180), 
           "Dormant", "Regular")))</f>
        <v>Regular</v>
      </c>
      <c r="H188" s="6">
        <v>76.0</v>
      </c>
      <c r="I188" s="9" t="str">
        <f>VLOOKUP(dynamic[productID],products[],2,FALSE)</f>
        <v>Lakkalikööri</v>
      </c>
      <c r="J188" s="9" t="str">
        <f>VLOOKUP(dynamic[productID],products[],12,FALSE)</f>
        <v>Beverages</v>
      </c>
      <c r="K188" s="7" t="str">
        <f>IF(VLOOKUP(dynamic[productID],products[],7,FALSE)=1,"Discontinued","Current")</f>
        <v>Current</v>
      </c>
      <c r="L188" s="9">
        <f>VLOOKUP(dynamic[productID],products[],IF(YEAR(dynamic[orderDate])=2022,8,IF(YEAR(dynamic[orderDate])=2023,9,IF(YEAR(dynamic[orderDate])=2024,10,NA))),FALSE)</f>
        <v>10.19609256</v>
      </c>
      <c r="M188" s="9">
        <v>14.4</v>
      </c>
      <c r="N188" s="25">
        <f>(dynamic[orderPrice]-dynamic[productCost])/dynamic[productCost]</f>
        <v>0.4123057356</v>
      </c>
      <c r="O188" s="10">
        <v>6.0</v>
      </c>
      <c r="P188" s="25">
        <v>0.0</v>
      </c>
      <c r="Q188" s="9">
        <f>dynamic[orderPrice]*dynamic[orderQuantity]</f>
        <v>86.4</v>
      </c>
      <c r="R188" s="9">
        <f>dynamic[orderTotal]*(1-dynamic[discountApllied])</f>
        <v>86.4</v>
      </c>
      <c r="S188" s="9">
        <f>dynamic[revenue]-(dynamic[productCost]*dynamic[orderQuantity])</f>
        <v>25.22344465</v>
      </c>
      <c r="T188" s="25">
        <f>IFERROR(dynamic[profit]/dynamic[revenue], 0)</f>
        <v>0.2919380168</v>
      </c>
    </row>
    <row r="189" ht="15.75" customHeight="1">
      <c r="A189" s="6">
        <v>10319.0</v>
      </c>
      <c r="B189" s="7" t="s">
        <v>38</v>
      </c>
      <c r="C189" s="24" t="str">
        <f>VLOOKUP(dynamic[customerID],customers[],2,FALSE)</f>
        <v>Tortuga Restaurante</v>
      </c>
      <c r="D189" s="24">
        <v>44836.0</v>
      </c>
      <c r="E189" s="6">
        <f>IFERROR(__xludf.DUMMYFUNCTION("COUNTUNIQUEIFS($A$2:$A189,$B$2:$B189,B189)"),4.0)</f>
        <v>4</v>
      </c>
      <c r="F189" s="6">
        <f t="shared" si="1"/>
        <v>20</v>
      </c>
      <c r="G189" s="6" t="str">
        <f>IF(MINIFS(dynamic[orderDate], dynamic[customerID], B189) &gt;= DATE(2024,4,30)-120, 
     "New", 
     IF(MAXIFS(dynamic[orderCount], dynamic[customerID], B189)&lt;=2, 
        IF((DATE(2024,4,30) - MAXIFS(dynamic[orderDate], dynamic[customerID], B189)) &gt; 180, "Non-Returning", "Dormant"), 
        IF(AND(MAX(dynamic[sinceLastOrder]) &gt; 365, (DATE(2024,4,30) - MAXIFS(dynamic[orderDate], dynamic[customerID], B189)) &gt; 180), 
           "Dormant", "Regular")))</f>
        <v>Regular</v>
      </c>
      <c r="H189" s="6">
        <v>17.0</v>
      </c>
      <c r="I189" s="9" t="str">
        <f>VLOOKUP(dynamic[productID],products[],2,FALSE)</f>
        <v>Alice Mutton</v>
      </c>
      <c r="J189" s="9" t="str">
        <f>VLOOKUP(dynamic[productID],products[],12,FALSE)</f>
        <v>Meat/Poultry</v>
      </c>
      <c r="K189" s="7" t="str">
        <f>IF(VLOOKUP(dynamic[productID],products[],7,FALSE)=1,"Discontinued","Current")</f>
        <v>Discontinued</v>
      </c>
      <c r="L189" s="9">
        <f>VLOOKUP(dynamic[productID],products[],IF(YEAR(dynamic[orderDate])=2022,8,IF(YEAR(dynamic[orderDate])=2023,9,IF(YEAR(dynamic[orderDate])=2024,10,NA))),FALSE)</f>
        <v>21.25377406</v>
      </c>
      <c r="M189" s="9">
        <v>31.2</v>
      </c>
      <c r="N189" s="25">
        <f>(dynamic[orderPrice]-dynamic[productCost])/dynamic[productCost]</f>
        <v>0.4679745775</v>
      </c>
      <c r="O189" s="10">
        <v>8.0</v>
      </c>
      <c r="P189" s="25">
        <v>0.0</v>
      </c>
      <c r="Q189" s="9">
        <f>dynamic[orderPrice]*dynamic[orderQuantity]</f>
        <v>249.6</v>
      </c>
      <c r="R189" s="9">
        <f>dynamic[orderTotal]*(1-dynamic[discountApllied])</f>
        <v>249.6</v>
      </c>
      <c r="S189" s="9">
        <f>dynamic[revenue]-(dynamic[productCost]*dynamic[orderQuantity])</f>
        <v>79.56980749</v>
      </c>
      <c r="T189" s="25">
        <f>IFERROR(dynamic[profit]/dynamic[revenue], 0)</f>
        <v>0.3187892928</v>
      </c>
    </row>
    <row r="190" ht="15.75" customHeight="1">
      <c r="A190" s="6">
        <v>10319.0</v>
      </c>
      <c r="B190" s="7" t="s">
        <v>38</v>
      </c>
      <c r="C190" s="24" t="str">
        <f>VLOOKUP(dynamic[customerID],customers[],2,FALSE)</f>
        <v>Tortuga Restaurante</v>
      </c>
      <c r="D190" s="24">
        <v>44836.0</v>
      </c>
      <c r="E190" s="6">
        <f>IFERROR(__xludf.DUMMYFUNCTION("COUNTUNIQUEIFS($A$2:$A190,$B$2:$B190,B190)"),4.0)</f>
        <v>4</v>
      </c>
      <c r="F190" s="6">
        <f t="shared" si="1"/>
        <v>20</v>
      </c>
      <c r="G190" s="6" t="str">
        <f>IF(MINIFS(dynamic[orderDate], dynamic[customerID], B190) &gt;= DATE(2024,4,30)-120, 
     "New", 
     IF(MAXIFS(dynamic[orderCount], dynamic[customerID], B190)&lt;=2, 
        IF((DATE(2024,4,30) - MAXIFS(dynamic[orderDate], dynamic[customerID], B190)) &gt; 180, "Non-Returning", "Dormant"), 
        IF(AND(MAX(dynamic[sinceLastOrder]) &gt; 365, (DATE(2024,4,30) - MAXIFS(dynamic[orderDate], dynamic[customerID], B190)) &gt; 180), 
           "Dormant", "Regular")))</f>
        <v>Regular</v>
      </c>
      <c r="H190" s="6">
        <v>28.0</v>
      </c>
      <c r="I190" s="9" t="str">
        <f>VLOOKUP(dynamic[productID],products[],2,FALSE)</f>
        <v>Rössle Sauerkraut</v>
      </c>
      <c r="J190" s="9" t="str">
        <f>VLOOKUP(dynamic[productID],products[],12,FALSE)</f>
        <v>Produce</v>
      </c>
      <c r="K190" s="7" t="str">
        <f>IF(VLOOKUP(dynamic[productID],products[],7,FALSE)=1,"Discontinued","Current")</f>
        <v>Discontinued</v>
      </c>
      <c r="L190" s="9">
        <f>VLOOKUP(dynamic[productID],products[],IF(YEAR(dynamic[orderDate])=2022,8,IF(YEAR(dynamic[orderDate])=2023,9,IF(YEAR(dynamic[orderDate])=2024,10,NA))),FALSE)</f>
        <v>27.51992272</v>
      </c>
      <c r="M190" s="9">
        <v>36.4</v>
      </c>
      <c r="N190" s="25">
        <f>(dynamic[orderPrice]-dynamic[productCost])/dynamic[productCost]</f>
        <v>0.3226781326</v>
      </c>
      <c r="O190" s="10">
        <v>14.0</v>
      </c>
      <c r="P190" s="25">
        <v>0.0</v>
      </c>
      <c r="Q190" s="9">
        <f>dynamic[orderPrice]*dynamic[orderQuantity]</f>
        <v>509.6</v>
      </c>
      <c r="R190" s="9">
        <f>dynamic[orderTotal]*(1-dynamic[discountApllied])</f>
        <v>509.6</v>
      </c>
      <c r="S190" s="9">
        <f>dynamic[revenue]-(dynamic[productCost]*dynamic[orderQuantity])</f>
        <v>124.3210819</v>
      </c>
      <c r="T190" s="25">
        <f>IFERROR(dynamic[profit]/dynamic[revenue], 0)</f>
        <v>0.2439581669</v>
      </c>
    </row>
    <row r="191" ht="15.75" customHeight="1">
      <c r="A191" s="6">
        <v>10319.0</v>
      </c>
      <c r="B191" s="7" t="s">
        <v>38</v>
      </c>
      <c r="C191" s="24" t="str">
        <f>VLOOKUP(dynamic[customerID],customers[],2,FALSE)</f>
        <v>Tortuga Restaurante</v>
      </c>
      <c r="D191" s="24">
        <v>44836.0</v>
      </c>
      <c r="E191" s="6">
        <f>IFERROR(__xludf.DUMMYFUNCTION("COUNTUNIQUEIFS($A$2:$A191,$B$2:$B191,B191)"),4.0)</f>
        <v>4</v>
      </c>
      <c r="F191" s="6">
        <f t="shared" si="1"/>
        <v>20</v>
      </c>
      <c r="G191" s="6" t="str">
        <f>IF(MINIFS(dynamic[orderDate], dynamic[customerID], B191) &gt;= DATE(2024,4,30)-120, 
     "New", 
     IF(MAXIFS(dynamic[orderCount], dynamic[customerID], B191)&lt;=2, 
        IF((DATE(2024,4,30) - MAXIFS(dynamic[orderDate], dynamic[customerID], B191)) &gt; 180, "Non-Returning", "Dormant"), 
        IF(AND(MAX(dynamic[sinceLastOrder]) &gt; 365, (DATE(2024,4,30) - MAXIFS(dynamic[orderDate], dynamic[customerID], B191)) &gt; 180), 
           "Dormant", "Regular")))</f>
        <v>Regular</v>
      </c>
      <c r="H191" s="6">
        <v>76.0</v>
      </c>
      <c r="I191" s="9" t="str">
        <f>VLOOKUP(dynamic[productID],products[],2,FALSE)</f>
        <v>Lakkalikööri</v>
      </c>
      <c r="J191" s="9" t="str">
        <f>VLOOKUP(dynamic[productID],products[],12,FALSE)</f>
        <v>Beverages</v>
      </c>
      <c r="K191" s="7" t="str">
        <f>IF(VLOOKUP(dynamic[productID],products[],7,FALSE)=1,"Discontinued","Current")</f>
        <v>Current</v>
      </c>
      <c r="L191" s="9">
        <f>VLOOKUP(dynamic[productID],products[],IF(YEAR(dynamic[orderDate])=2022,8,IF(YEAR(dynamic[orderDate])=2023,9,IF(YEAR(dynamic[orderDate])=2024,10,NA))),FALSE)</f>
        <v>10.19609256</v>
      </c>
      <c r="M191" s="9">
        <v>14.4</v>
      </c>
      <c r="N191" s="25">
        <f>(dynamic[orderPrice]-dynamic[productCost])/dynamic[productCost]</f>
        <v>0.4123057356</v>
      </c>
      <c r="O191" s="10">
        <v>30.0</v>
      </c>
      <c r="P191" s="25">
        <v>0.0</v>
      </c>
      <c r="Q191" s="9">
        <f>dynamic[orderPrice]*dynamic[orderQuantity]</f>
        <v>432</v>
      </c>
      <c r="R191" s="9">
        <f>dynamic[orderTotal]*(1-dynamic[discountApllied])</f>
        <v>432</v>
      </c>
      <c r="S191" s="9">
        <f>dynamic[revenue]-(dynamic[productCost]*dynamic[orderQuantity])</f>
        <v>126.1172233</v>
      </c>
      <c r="T191" s="25">
        <f>IFERROR(dynamic[profit]/dynamic[revenue], 0)</f>
        <v>0.2919380168</v>
      </c>
    </row>
    <row r="192" ht="15.75" customHeight="1">
      <c r="A192" s="6">
        <v>10320.0</v>
      </c>
      <c r="B192" s="7" t="s">
        <v>31</v>
      </c>
      <c r="C192" s="24" t="str">
        <f>VLOOKUP(dynamic[customerID],customers[],2,FALSE)</f>
        <v>Wartian Herkku</v>
      </c>
      <c r="D192" s="24">
        <v>44837.0</v>
      </c>
      <c r="E192" s="6">
        <f>IFERROR(__xludf.DUMMYFUNCTION("COUNTUNIQUEIFS($A$2:$A192,$B$2:$B192,B192)"),3.0)</f>
        <v>3</v>
      </c>
      <c r="F192" s="6">
        <f t="shared" si="1"/>
        <v>63</v>
      </c>
      <c r="G192" s="6" t="str">
        <f>IF(MINIFS(dynamic[orderDate], dynamic[customerID], B192) &gt;= DATE(2024,4,30)-120, 
     "New", 
     IF(MAXIFS(dynamic[orderCount], dynamic[customerID], B192)&lt;=2, 
        IF((DATE(2024,4,30) - MAXIFS(dynamic[orderDate], dynamic[customerID], B192)) &gt; 180, "Non-Returning", "Dormant"), 
        IF(AND(MAX(dynamic[sinceLastOrder]) &gt; 365, (DATE(2024,4,30) - MAXIFS(dynamic[orderDate], dynamic[customerID], B192)) &gt; 180), 
           "Dormant", "Regular")))</f>
        <v>Regular</v>
      </c>
      <c r="H192" s="6">
        <v>71.0</v>
      </c>
      <c r="I192" s="9" t="str">
        <f>VLOOKUP(dynamic[productID],products[],2,FALSE)</f>
        <v>Flotemysost</v>
      </c>
      <c r="J192" s="9" t="str">
        <f>VLOOKUP(dynamic[productID],products[],12,FALSE)</f>
        <v>Dairy Products</v>
      </c>
      <c r="K192" s="7" t="str">
        <f>IF(VLOOKUP(dynamic[productID],products[],7,FALSE)=1,"Discontinued","Current")</f>
        <v>Current</v>
      </c>
      <c r="L192" s="9">
        <f>VLOOKUP(dynamic[productID],products[],IF(YEAR(dynamic[orderDate])=2022,8,IF(YEAR(dynamic[orderDate])=2023,9,IF(YEAR(dynamic[orderDate])=2024,10,NA))),FALSE)</f>
        <v>12.00719029</v>
      </c>
      <c r="M192" s="9">
        <v>17.2</v>
      </c>
      <c r="N192" s="25">
        <f>(dynamic[orderPrice]-dynamic[productCost])/dynamic[productCost]</f>
        <v>0.4324750075</v>
      </c>
      <c r="O192" s="10">
        <v>30.0</v>
      </c>
      <c r="P192" s="25">
        <v>0.0</v>
      </c>
      <c r="Q192" s="9">
        <f>dynamic[orderPrice]*dynamic[orderQuantity]</f>
        <v>516</v>
      </c>
      <c r="R192" s="9">
        <f>dynamic[orderTotal]*(1-dynamic[discountApllied])</f>
        <v>516</v>
      </c>
      <c r="S192" s="9">
        <f>dynamic[revenue]-(dynamic[productCost]*dynamic[orderQuantity])</f>
        <v>155.7842913</v>
      </c>
      <c r="T192" s="25">
        <f>IFERROR(dynamic[profit]/dynamic[revenue], 0)</f>
        <v>0.3019075413</v>
      </c>
    </row>
    <row r="193" ht="15.75" customHeight="1">
      <c r="A193" s="6">
        <v>10321.0</v>
      </c>
      <c r="B193" s="7" t="s">
        <v>57</v>
      </c>
      <c r="C193" s="24" t="str">
        <f>VLOOKUP(dynamic[customerID],customers[],2,FALSE)</f>
        <v>Island Trading</v>
      </c>
      <c r="D193" s="24">
        <v>44837.0</v>
      </c>
      <c r="E193" s="6">
        <f>IFERROR(__xludf.DUMMYFUNCTION("COUNTUNIQUEIFS($A$2:$A193,$B$2:$B193,B193)"),3.0)</f>
        <v>3</v>
      </c>
      <c r="F193" s="6">
        <f t="shared" si="1"/>
        <v>2</v>
      </c>
      <c r="G193" s="6" t="str">
        <f>IF(MINIFS(dynamic[orderDate], dynamic[customerID], B193) &gt;= DATE(2024,4,30)-120, 
     "New", 
     IF(MAXIFS(dynamic[orderCount], dynamic[customerID], B193)&lt;=2, 
        IF((DATE(2024,4,30) - MAXIFS(dynamic[orderDate], dynamic[customerID], B193)) &gt; 180, "Non-Returning", "Dormant"), 
        IF(AND(MAX(dynamic[sinceLastOrder]) &gt; 365, (DATE(2024,4,30) - MAXIFS(dynamic[orderDate], dynamic[customerID], B193)) &gt; 180), 
           "Dormant", "Regular")))</f>
        <v>Regular</v>
      </c>
      <c r="H193" s="6">
        <v>35.0</v>
      </c>
      <c r="I193" s="9" t="str">
        <f>VLOOKUP(dynamic[productID],products[],2,FALSE)</f>
        <v>Cold Brew Nitro</v>
      </c>
      <c r="J193" s="9" t="str">
        <f>VLOOKUP(dynamic[productID],products[],12,FALSE)</f>
        <v>Beverages</v>
      </c>
      <c r="K193" s="7" t="str">
        <f>IF(VLOOKUP(dynamic[productID],products[],7,FALSE)=1,"Discontinued","Current")</f>
        <v>Current</v>
      </c>
      <c r="L193" s="9">
        <f>VLOOKUP(dynamic[productID],products[],IF(YEAR(dynamic[orderDate])=2022,8,IF(YEAR(dynamic[orderDate])=2023,9,IF(YEAR(dynamic[orderDate])=2024,10,NA))),FALSE)</f>
        <v>10.19869089</v>
      </c>
      <c r="M193" s="9">
        <v>14.4</v>
      </c>
      <c r="N193" s="25">
        <f>(dynamic[orderPrice]-dynamic[productCost])/dynamic[productCost]</f>
        <v>0.4119459208</v>
      </c>
      <c r="O193" s="10">
        <v>10.0</v>
      </c>
      <c r="P193" s="25">
        <v>0.0</v>
      </c>
      <c r="Q193" s="9">
        <f>dynamic[orderPrice]*dynamic[orderQuantity]</f>
        <v>144</v>
      </c>
      <c r="R193" s="9">
        <f>dynamic[orderTotal]*(1-dynamic[discountApllied])</f>
        <v>144</v>
      </c>
      <c r="S193" s="9">
        <f>dynamic[revenue]-(dynamic[productCost]*dynamic[orderQuantity])</f>
        <v>42.0130911</v>
      </c>
      <c r="T193" s="25">
        <f>IFERROR(dynamic[profit]/dynamic[revenue], 0)</f>
        <v>0.2917575771</v>
      </c>
    </row>
    <row r="194" ht="15.75" customHeight="1">
      <c r="A194" s="6">
        <v>10322.0</v>
      </c>
      <c r="B194" s="7" t="s">
        <v>58</v>
      </c>
      <c r="C194" s="24" t="str">
        <f>VLOOKUP(dynamic[customerID],customers[],2,FALSE)</f>
        <v>Pericles Comidas clásicas</v>
      </c>
      <c r="D194" s="24">
        <v>44838.0</v>
      </c>
      <c r="E194" s="6">
        <f>IFERROR(__xludf.DUMMYFUNCTION("COUNTUNIQUEIFS($A$2:$A194,$B$2:$B194,B194)"),1.0)</f>
        <v>1</v>
      </c>
      <c r="F194" s="6">
        <f t="shared" si="1"/>
        <v>0</v>
      </c>
      <c r="G194" s="6" t="str">
        <f>IF(MINIFS(dynamic[orderDate], dynamic[customerID], B194) &gt;= DATE(2024,4,30)-120, 
     "New", 
     IF(MAXIFS(dynamic[orderCount], dynamic[customerID], B194)&lt;=2, 
        IF((DATE(2024,4,30) - MAXIFS(dynamic[orderDate], dynamic[customerID], B194)) &gt; 180, "Non-Returning", "Dormant"), 
        IF(AND(MAX(dynamic[sinceLastOrder]) &gt; 365, (DATE(2024,4,30) - MAXIFS(dynamic[orderDate], dynamic[customerID], B194)) &gt; 180), 
           "Dormant", "Regular")))</f>
        <v>Regular</v>
      </c>
      <c r="H194" s="6">
        <v>52.0</v>
      </c>
      <c r="I194" s="9" t="str">
        <f>VLOOKUP(dynamic[productID],products[],2,FALSE)</f>
        <v>Filo Mix</v>
      </c>
      <c r="J194" s="9" t="str">
        <f>VLOOKUP(dynamic[productID],products[],12,FALSE)</f>
        <v>Grains/Cereals</v>
      </c>
      <c r="K194" s="7" t="str">
        <f>IF(VLOOKUP(dynamic[productID],products[],7,FALSE)=1,"Discontinued","Current")</f>
        <v>Current</v>
      </c>
      <c r="L194" s="9">
        <f>VLOOKUP(dynamic[productID],products[],IF(YEAR(dynamic[orderDate])=2022,8,IF(YEAR(dynamic[orderDate])=2023,9,IF(YEAR(dynamic[orderDate])=2024,10,NA))),FALSE)</f>
        <v>3.853499959</v>
      </c>
      <c r="M194" s="9">
        <v>5.6</v>
      </c>
      <c r="N194" s="25">
        <f>(dynamic[orderPrice]-dynamic[productCost])/dynamic[productCost]</f>
        <v>0.4532243571</v>
      </c>
      <c r="O194" s="10">
        <v>20.0</v>
      </c>
      <c r="P194" s="25">
        <v>0.0</v>
      </c>
      <c r="Q194" s="9">
        <f>dynamic[orderPrice]*dynamic[orderQuantity]</f>
        <v>112</v>
      </c>
      <c r="R194" s="9">
        <f>dynamic[orderTotal]*(1-dynamic[discountApllied])</f>
        <v>112</v>
      </c>
      <c r="S194" s="9">
        <f>dynamic[revenue]-(dynamic[productCost]*dynamic[orderQuantity])</f>
        <v>34.93000083</v>
      </c>
      <c r="T194" s="25">
        <f>IFERROR(dynamic[profit]/dynamic[revenue], 0)</f>
        <v>0.3118750074</v>
      </c>
    </row>
    <row r="195" ht="15.75" customHeight="1">
      <c r="A195" s="6">
        <v>10323.0</v>
      </c>
      <c r="B195" s="7" t="s">
        <v>59</v>
      </c>
      <c r="C195" s="24" t="str">
        <f>VLOOKUP(dynamic[customerID],customers[],2,FALSE)</f>
        <v>Königlich Essen</v>
      </c>
      <c r="D195" s="24">
        <v>44841.0</v>
      </c>
      <c r="E195" s="6">
        <f>IFERROR(__xludf.DUMMYFUNCTION("COUNTUNIQUEIFS($A$2:$A195,$B$2:$B195,B195)"),1.0)</f>
        <v>1</v>
      </c>
      <c r="F195" s="6">
        <f t="shared" si="1"/>
        <v>0</v>
      </c>
      <c r="G195" s="6" t="str">
        <f>IF(MINIFS(dynamic[orderDate], dynamic[customerID], B195) &gt;= DATE(2024,4,30)-120, 
     "New", 
     IF(MAXIFS(dynamic[orderCount], dynamic[customerID], B195)&lt;=2, 
        IF((DATE(2024,4,30) - MAXIFS(dynamic[orderDate], dynamic[customerID], B195)) &gt; 180, "Non-Returning", "Dormant"), 
        IF(AND(MAX(dynamic[sinceLastOrder]) &gt; 365, (DATE(2024,4,30) - MAXIFS(dynamic[orderDate], dynamic[customerID], B195)) &gt; 180), 
           "Dormant", "Regular")))</f>
        <v>Regular</v>
      </c>
      <c r="H195" s="6">
        <v>15.0</v>
      </c>
      <c r="I195" s="9" t="str">
        <f>VLOOKUP(dynamic[productID],products[],2,FALSE)</f>
        <v>Genen Shouyu</v>
      </c>
      <c r="J195" s="9" t="str">
        <f>VLOOKUP(dynamic[productID],products[],12,FALSE)</f>
        <v>Condiments</v>
      </c>
      <c r="K195" s="7" t="str">
        <f>IF(VLOOKUP(dynamic[productID],products[],7,FALSE)=1,"Discontinued","Current")</f>
        <v>Current</v>
      </c>
      <c r="L195" s="9">
        <f>VLOOKUP(dynamic[productID],products[],IF(YEAR(dynamic[orderDate])=2022,8,IF(YEAR(dynamic[orderDate])=2023,9,IF(YEAR(dynamic[orderDate])=2024,10,NA))),FALSE)</f>
        <v>8.755916865</v>
      </c>
      <c r="M195" s="9">
        <v>12.4</v>
      </c>
      <c r="N195" s="25">
        <f>(dynamic[orderPrice]-dynamic[productCost])/dynamic[productCost]</f>
        <v>0.4161852141</v>
      </c>
      <c r="O195" s="10">
        <v>5.0</v>
      </c>
      <c r="P195" s="25">
        <v>0.0</v>
      </c>
      <c r="Q195" s="9">
        <f>dynamic[orderPrice]*dynamic[orderQuantity]</f>
        <v>62</v>
      </c>
      <c r="R195" s="9">
        <f>dynamic[orderTotal]*(1-dynamic[discountApllied])</f>
        <v>62</v>
      </c>
      <c r="S195" s="9">
        <f>dynamic[revenue]-(dynamic[productCost]*dynamic[orderQuantity])</f>
        <v>18.22041568</v>
      </c>
      <c r="T195" s="25">
        <f>IFERROR(dynamic[profit]/dynamic[revenue], 0)</f>
        <v>0.2938776722</v>
      </c>
    </row>
    <row r="196" ht="15.75" customHeight="1">
      <c r="A196" s="6">
        <v>10323.0</v>
      </c>
      <c r="B196" s="7" t="s">
        <v>59</v>
      </c>
      <c r="C196" s="24" t="str">
        <f>VLOOKUP(dynamic[customerID],customers[],2,FALSE)</f>
        <v>Königlich Essen</v>
      </c>
      <c r="D196" s="24">
        <v>44841.0</v>
      </c>
      <c r="E196" s="6">
        <f>IFERROR(__xludf.DUMMYFUNCTION("COUNTUNIQUEIFS($A$2:$A196,$B$2:$B196,B196)"),1.0)</f>
        <v>1</v>
      </c>
      <c r="F196" s="6">
        <f t="shared" si="1"/>
        <v>0</v>
      </c>
      <c r="G196" s="6" t="str">
        <f>IF(MINIFS(dynamic[orderDate], dynamic[customerID], B196) &gt;= DATE(2024,4,30)-120, 
     "New", 
     IF(MAXIFS(dynamic[orderCount], dynamic[customerID], B196)&lt;=2, 
        IF((DATE(2024,4,30) - MAXIFS(dynamic[orderDate], dynamic[customerID], B196)) &gt; 180, "Non-Returning", "Dormant"), 
        IF(AND(MAX(dynamic[sinceLastOrder]) &gt; 365, (DATE(2024,4,30) - MAXIFS(dynamic[orderDate], dynamic[customerID], B196)) &gt; 180), 
           "Dormant", "Regular")))</f>
        <v>Regular</v>
      </c>
      <c r="H196" s="6">
        <v>25.0</v>
      </c>
      <c r="I196" s="9" t="str">
        <f>VLOOKUP(dynamic[productID],products[],2,FALSE)</f>
        <v>HM Köstliche Kaiserschmarrn Knödelchen</v>
      </c>
      <c r="J196" s="9" t="str">
        <f>VLOOKUP(dynamic[productID],products[],12,FALSE)</f>
        <v>Confections</v>
      </c>
      <c r="K196" s="7" t="str">
        <f>IF(VLOOKUP(dynamic[productID],products[],7,FALSE)=1,"Discontinued","Current")</f>
        <v>Current</v>
      </c>
      <c r="L196" s="9">
        <f>VLOOKUP(dynamic[productID],products[],IF(YEAR(dynamic[orderDate])=2022,8,IF(YEAR(dynamic[orderDate])=2023,9,IF(YEAR(dynamic[orderDate])=2024,10,NA))),FALSE)</f>
        <v>7.370046533</v>
      </c>
      <c r="M196" s="9">
        <v>11.2</v>
      </c>
      <c r="N196" s="25">
        <f>(dynamic[orderPrice]-dynamic[productCost])/dynamic[productCost]</f>
        <v>0.5196647605</v>
      </c>
      <c r="O196" s="10">
        <v>4.0</v>
      </c>
      <c r="P196" s="25">
        <v>0.0</v>
      </c>
      <c r="Q196" s="9">
        <f>dynamic[orderPrice]*dynamic[orderQuantity]</f>
        <v>44.8</v>
      </c>
      <c r="R196" s="9">
        <f>dynamic[orderTotal]*(1-dynamic[discountApllied])</f>
        <v>44.8</v>
      </c>
      <c r="S196" s="9">
        <f>dynamic[revenue]-(dynamic[productCost]*dynamic[orderQuantity])</f>
        <v>15.31981387</v>
      </c>
      <c r="T196" s="25">
        <f>IFERROR(dynamic[profit]/dynamic[revenue], 0)</f>
        <v>0.3419601309</v>
      </c>
    </row>
    <row r="197" ht="15.75" customHeight="1">
      <c r="A197" s="6">
        <v>10323.0</v>
      </c>
      <c r="B197" s="7" t="s">
        <v>59</v>
      </c>
      <c r="C197" s="24" t="str">
        <f>VLOOKUP(dynamic[customerID],customers[],2,FALSE)</f>
        <v>Königlich Essen</v>
      </c>
      <c r="D197" s="24">
        <v>44841.0</v>
      </c>
      <c r="E197" s="6">
        <f>IFERROR(__xludf.DUMMYFUNCTION("COUNTUNIQUEIFS($A$2:$A197,$B$2:$B197,B197)"),1.0)</f>
        <v>1</v>
      </c>
      <c r="F197" s="6">
        <f t="shared" si="1"/>
        <v>0</v>
      </c>
      <c r="G197" s="6" t="str">
        <f>IF(MINIFS(dynamic[orderDate], dynamic[customerID], B197) &gt;= DATE(2024,4,30)-120, 
     "New", 
     IF(MAXIFS(dynamic[orderCount], dynamic[customerID], B197)&lt;=2, 
        IF((DATE(2024,4,30) - MAXIFS(dynamic[orderDate], dynamic[customerID], B197)) &gt; 180, "Non-Returning", "Dormant"), 
        IF(AND(MAX(dynamic[sinceLastOrder]) &gt; 365, (DATE(2024,4,30) - MAXIFS(dynamic[orderDate], dynamic[customerID], B197)) &gt; 180), 
           "Dormant", "Regular")))</f>
        <v>Regular</v>
      </c>
      <c r="H197" s="6">
        <v>39.0</v>
      </c>
      <c r="I197" s="9" t="str">
        <f>VLOOKUP(dynamic[productID],products[],2,FALSE)</f>
        <v>Chartreuse verte</v>
      </c>
      <c r="J197" s="9" t="str">
        <f>VLOOKUP(dynamic[productID],products[],12,FALSE)</f>
        <v>Beverages</v>
      </c>
      <c r="K197" s="7" t="str">
        <f>IF(VLOOKUP(dynamic[productID],products[],7,FALSE)=1,"Discontinued","Current")</f>
        <v>Current</v>
      </c>
      <c r="L197" s="9">
        <f>VLOOKUP(dynamic[productID],products[],IF(YEAR(dynamic[orderDate])=2022,8,IF(YEAR(dynamic[orderDate])=2023,9,IF(YEAR(dynamic[orderDate])=2024,10,NA))),FALSE)</f>
        <v>9.743517226</v>
      </c>
      <c r="M197" s="9">
        <v>14.4</v>
      </c>
      <c r="N197" s="25">
        <f>(dynamic[orderPrice]-dynamic[productCost])/dynamic[productCost]</f>
        <v>0.4779057362</v>
      </c>
      <c r="O197" s="10">
        <v>4.0</v>
      </c>
      <c r="P197" s="25">
        <v>0.0</v>
      </c>
      <c r="Q197" s="9">
        <f>dynamic[orderPrice]*dynamic[orderQuantity]</f>
        <v>57.6</v>
      </c>
      <c r="R197" s="9">
        <f>dynamic[orderTotal]*(1-dynamic[discountApllied])</f>
        <v>57.6</v>
      </c>
      <c r="S197" s="9">
        <f>dynamic[revenue]-(dynamic[productCost]*dynamic[orderQuantity])</f>
        <v>18.62593109</v>
      </c>
      <c r="T197" s="25">
        <f>IFERROR(dynamic[profit]/dynamic[revenue], 0)</f>
        <v>0.3233668593</v>
      </c>
    </row>
    <row r="198" ht="15.75" customHeight="1">
      <c r="A198" s="6">
        <v>10324.0</v>
      </c>
      <c r="B198" s="7" t="s">
        <v>60</v>
      </c>
      <c r="C198" s="24" t="str">
        <f>VLOOKUP(dynamic[customerID],customers[],2,FALSE)</f>
        <v>Save-a-lot Markets</v>
      </c>
      <c r="D198" s="24">
        <v>44842.0</v>
      </c>
      <c r="E198" s="6">
        <f>IFERROR(__xludf.DUMMYFUNCTION("COUNTUNIQUEIFS($A$2:$A198,$B$2:$B198,B198)"),1.0)</f>
        <v>1</v>
      </c>
      <c r="F198" s="6">
        <f t="shared" si="1"/>
        <v>0</v>
      </c>
      <c r="G198" s="6" t="str">
        <f>IF(MINIFS(dynamic[orderDate], dynamic[customerID], B198) &gt;= DATE(2024,4,30)-120, 
     "New", 
     IF(MAXIFS(dynamic[orderCount], dynamic[customerID], B198)&lt;=2, 
        IF((DATE(2024,4,30) - MAXIFS(dynamic[orderDate], dynamic[customerID], B198)) &gt; 180, "Non-Returning", "Dormant"), 
        IF(AND(MAX(dynamic[sinceLastOrder]) &gt; 365, (DATE(2024,4,30) - MAXIFS(dynamic[orderDate], dynamic[customerID], B198)) &gt; 180), 
           "Dormant", "Regular")))</f>
        <v>Regular</v>
      </c>
      <c r="H198" s="6">
        <v>16.0</v>
      </c>
      <c r="I198" s="9" t="str">
        <f>VLOOKUP(dynamic[productID],products[],2,FALSE)</f>
        <v>Pavlova</v>
      </c>
      <c r="J198" s="9" t="str">
        <f>VLOOKUP(dynamic[productID],products[],12,FALSE)</f>
        <v>Confections</v>
      </c>
      <c r="K198" s="7" t="str">
        <f>IF(VLOOKUP(dynamic[productID],products[],7,FALSE)=1,"Discontinued","Current")</f>
        <v>Current</v>
      </c>
      <c r="L198" s="9">
        <f>VLOOKUP(dynamic[productID],products[],IF(YEAR(dynamic[orderDate])=2022,8,IF(YEAR(dynamic[orderDate])=2023,9,IF(YEAR(dynamic[orderDate])=2024,10,NA))),FALSE)</f>
        <v>9.80658008</v>
      </c>
      <c r="M198" s="9">
        <v>13.9</v>
      </c>
      <c r="N198" s="25">
        <f>(dynamic[orderPrice]-dynamic[productCost])/dynamic[productCost]</f>
        <v>0.417415642</v>
      </c>
      <c r="O198" s="10">
        <v>21.0</v>
      </c>
      <c r="P198" s="25">
        <v>0.15</v>
      </c>
      <c r="Q198" s="9">
        <f>dynamic[orderPrice]*dynamic[orderQuantity]</f>
        <v>291.9</v>
      </c>
      <c r="R198" s="9">
        <f>dynamic[orderTotal]*(1-dynamic[discountApllied])</f>
        <v>248.115</v>
      </c>
      <c r="S198" s="9">
        <f>dynamic[revenue]-(dynamic[productCost]*dynamic[orderQuantity])</f>
        <v>42.17681832</v>
      </c>
      <c r="T198" s="25">
        <f>IFERROR(dynamic[profit]/dynamic[revenue], 0)</f>
        <v>0.1699889903</v>
      </c>
    </row>
    <row r="199" ht="15.75" customHeight="1">
      <c r="A199" s="6">
        <v>10324.0</v>
      </c>
      <c r="B199" s="7" t="s">
        <v>60</v>
      </c>
      <c r="C199" s="24" t="str">
        <f>VLOOKUP(dynamic[customerID],customers[],2,FALSE)</f>
        <v>Save-a-lot Markets</v>
      </c>
      <c r="D199" s="24">
        <v>44842.0</v>
      </c>
      <c r="E199" s="6">
        <f>IFERROR(__xludf.DUMMYFUNCTION("COUNTUNIQUEIFS($A$2:$A199,$B$2:$B199,B199)"),1.0)</f>
        <v>1</v>
      </c>
      <c r="F199" s="6">
        <f t="shared" si="1"/>
        <v>0</v>
      </c>
      <c r="G199" s="6" t="str">
        <f>IF(MINIFS(dynamic[orderDate], dynamic[customerID], B199) &gt;= DATE(2024,4,30)-120, 
     "New", 
     IF(MAXIFS(dynamic[orderCount], dynamic[customerID], B199)&lt;=2, 
        IF((DATE(2024,4,30) - MAXIFS(dynamic[orderDate], dynamic[customerID], B199)) &gt; 180, "Non-Returning", "Dormant"), 
        IF(AND(MAX(dynamic[sinceLastOrder]) &gt; 365, (DATE(2024,4,30) - MAXIFS(dynamic[orderDate], dynamic[customerID], B199)) &gt; 180), 
           "Dormant", "Regular")))</f>
        <v>Regular</v>
      </c>
      <c r="H199" s="6">
        <v>35.0</v>
      </c>
      <c r="I199" s="9" t="str">
        <f>VLOOKUP(dynamic[productID],products[],2,FALSE)</f>
        <v>Cold Brew Nitro</v>
      </c>
      <c r="J199" s="9" t="str">
        <f>VLOOKUP(dynamic[productID],products[],12,FALSE)</f>
        <v>Beverages</v>
      </c>
      <c r="K199" s="7" t="str">
        <f>IF(VLOOKUP(dynamic[productID],products[],7,FALSE)=1,"Discontinued","Current")</f>
        <v>Current</v>
      </c>
      <c r="L199" s="9">
        <f>VLOOKUP(dynamic[productID],products[],IF(YEAR(dynamic[orderDate])=2022,8,IF(YEAR(dynamic[orderDate])=2023,9,IF(YEAR(dynamic[orderDate])=2024,10,NA))),FALSE)</f>
        <v>10.19869089</v>
      </c>
      <c r="M199" s="9">
        <v>14.4</v>
      </c>
      <c r="N199" s="25">
        <f>(dynamic[orderPrice]-dynamic[productCost])/dynamic[productCost]</f>
        <v>0.4119459208</v>
      </c>
      <c r="O199" s="10">
        <v>70.0</v>
      </c>
      <c r="P199" s="25">
        <v>0.15</v>
      </c>
      <c r="Q199" s="9">
        <f>dynamic[orderPrice]*dynamic[orderQuantity]</f>
        <v>1008</v>
      </c>
      <c r="R199" s="9">
        <f>dynamic[orderTotal]*(1-dynamic[discountApllied])</f>
        <v>856.8</v>
      </c>
      <c r="S199" s="9">
        <f>dynamic[revenue]-(dynamic[productCost]*dynamic[orderQuantity])</f>
        <v>142.8916377</v>
      </c>
      <c r="T199" s="25">
        <f>IFERROR(dynamic[profit]/dynamic[revenue], 0)</f>
        <v>0.1667736201</v>
      </c>
    </row>
    <row r="200" ht="15.75" customHeight="1">
      <c r="A200" s="6">
        <v>10324.0</v>
      </c>
      <c r="B200" s="7" t="s">
        <v>60</v>
      </c>
      <c r="C200" s="24" t="str">
        <f>VLOOKUP(dynamic[customerID],customers[],2,FALSE)</f>
        <v>Save-a-lot Markets</v>
      </c>
      <c r="D200" s="24">
        <v>44842.0</v>
      </c>
      <c r="E200" s="6">
        <f>IFERROR(__xludf.DUMMYFUNCTION("COUNTUNIQUEIFS($A$2:$A200,$B$2:$B200,B200)"),1.0)</f>
        <v>1</v>
      </c>
      <c r="F200" s="6">
        <f t="shared" si="1"/>
        <v>0</v>
      </c>
      <c r="G200" s="6" t="str">
        <f>IF(MINIFS(dynamic[orderDate], dynamic[customerID], B200) &gt;= DATE(2024,4,30)-120, 
     "New", 
     IF(MAXIFS(dynamic[orderCount], dynamic[customerID], B200)&lt;=2, 
        IF((DATE(2024,4,30) - MAXIFS(dynamic[orderDate], dynamic[customerID], B200)) &gt; 180, "Non-Returning", "Dormant"), 
        IF(AND(MAX(dynamic[sinceLastOrder]) &gt; 365, (DATE(2024,4,30) - MAXIFS(dynamic[orderDate], dynamic[customerID], B200)) &gt; 180), 
           "Dormant", "Regular")))</f>
        <v>Regular</v>
      </c>
      <c r="H200" s="6">
        <v>46.0</v>
      </c>
      <c r="I200" s="9" t="str">
        <f>VLOOKUP(dynamic[productID],products[],2,FALSE)</f>
        <v>Spegesild</v>
      </c>
      <c r="J200" s="9" t="str">
        <f>VLOOKUP(dynamic[productID],products[],12,FALSE)</f>
        <v>Seafood</v>
      </c>
      <c r="K200" s="7" t="str">
        <f>IF(VLOOKUP(dynamic[productID],products[],7,FALSE)=1,"Discontinued","Current")</f>
        <v>Current</v>
      </c>
      <c r="L200" s="9">
        <f>VLOOKUP(dynamic[productID],products[],IF(YEAR(dynamic[orderDate])=2022,8,IF(YEAR(dynamic[orderDate])=2023,9,IF(YEAR(dynamic[orderDate])=2024,10,NA))),FALSE)</f>
        <v>6.266275015</v>
      </c>
      <c r="M200" s="9">
        <v>9.6</v>
      </c>
      <c r="N200" s="25">
        <f>(dynamic[orderPrice]-dynamic[productCost])/dynamic[productCost]</f>
        <v>0.5320106406</v>
      </c>
      <c r="O200" s="10">
        <v>30.0</v>
      </c>
      <c r="P200" s="25">
        <v>0.0</v>
      </c>
      <c r="Q200" s="9">
        <f>dynamic[orderPrice]*dynamic[orderQuantity]</f>
        <v>288</v>
      </c>
      <c r="R200" s="9">
        <f>dynamic[orderTotal]*(1-dynamic[discountApllied])</f>
        <v>288</v>
      </c>
      <c r="S200" s="9">
        <f>dynamic[revenue]-(dynamic[productCost]*dynamic[orderQuantity])</f>
        <v>100.0117495</v>
      </c>
      <c r="T200" s="25">
        <f>IFERROR(dynamic[profit]/dynamic[revenue], 0)</f>
        <v>0.3472630192</v>
      </c>
    </row>
    <row r="201" ht="15.75" customHeight="1">
      <c r="A201" s="6">
        <v>10324.0</v>
      </c>
      <c r="B201" s="7" t="s">
        <v>60</v>
      </c>
      <c r="C201" s="24" t="str">
        <f>VLOOKUP(dynamic[customerID],customers[],2,FALSE)</f>
        <v>Save-a-lot Markets</v>
      </c>
      <c r="D201" s="24">
        <v>44842.0</v>
      </c>
      <c r="E201" s="6">
        <f>IFERROR(__xludf.DUMMYFUNCTION("COUNTUNIQUEIFS($A$2:$A201,$B$2:$B201,B201)"),1.0)</f>
        <v>1</v>
      </c>
      <c r="F201" s="6">
        <f t="shared" si="1"/>
        <v>0</v>
      </c>
      <c r="G201" s="6" t="str">
        <f>IF(MINIFS(dynamic[orderDate], dynamic[customerID], B201) &gt;= DATE(2024,4,30)-120, 
     "New", 
     IF(MAXIFS(dynamic[orderCount], dynamic[customerID], B201)&lt;=2, 
        IF((DATE(2024,4,30) - MAXIFS(dynamic[orderDate], dynamic[customerID], B201)) &gt; 180, "Non-Returning", "Dormant"), 
        IF(AND(MAX(dynamic[sinceLastOrder]) &gt; 365, (DATE(2024,4,30) - MAXIFS(dynamic[orderDate], dynamic[customerID], B201)) &gt; 180), 
           "Dormant", "Regular")))</f>
        <v>Regular</v>
      </c>
      <c r="H201" s="6">
        <v>59.0</v>
      </c>
      <c r="I201" s="9" t="str">
        <f>VLOOKUP(dynamic[productID],products[],2,FALSE)</f>
        <v>Raclette Courdavault</v>
      </c>
      <c r="J201" s="9" t="str">
        <f>VLOOKUP(dynamic[productID],products[],12,FALSE)</f>
        <v>Dairy Products</v>
      </c>
      <c r="K201" s="7" t="str">
        <f>IF(VLOOKUP(dynamic[productID],products[],7,FALSE)=1,"Discontinued","Current")</f>
        <v>Current</v>
      </c>
      <c r="L201" s="9">
        <f>VLOOKUP(dynamic[productID],products[],IF(YEAR(dynamic[orderDate])=2022,8,IF(YEAR(dynamic[orderDate])=2023,9,IF(YEAR(dynamic[orderDate])=2024,10,NA))),FALSE)</f>
        <v>29.20351951</v>
      </c>
      <c r="M201" s="9">
        <v>44.0</v>
      </c>
      <c r="N201" s="25">
        <f>(dynamic[orderPrice]-dynamic[productCost])/dynamic[productCost]</f>
        <v>0.5066677147</v>
      </c>
      <c r="O201" s="10">
        <v>40.0</v>
      </c>
      <c r="P201" s="25">
        <v>0.15</v>
      </c>
      <c r="Q201" s="9">
        <f>dynamic[orderPrice]*dynamic[orderQuantity]</f>
        <v>1760</v>
      </c>
      <c r="R201" s="9">
        <f>dynamic[orderTotal]*(1-dynamic[discountApllied])</f>
        <v>1496</v>
      </c>
      <c r="S201" s="9">
        <f>dynamic[revenue]-(dynamic[productCost]*dynamic[orderQuantity])</f>
        <v>327.8592197</v>
      </c>
      <c r="T201" s="25">
        <f>IFERROR(dynamic[profit]/dynamic[revenue], 0)</f>
        <v>0.2191572324</v>
      </c>
    </row>
    <row r="202" ht="15.75" customHeight="1">
      <c r="A202" s="6">
        <v>10324.0</v>
      </c>
      <c r="B202" s="7" t="s">
        <v>60</v>
      </c>
      <c r="C202" s="24" t="str">
        <f>VLOOKUP(dynamic[customerID],customers[],2,FALSE)</f>
        <v>Save-a-lot Markets</v>
      </c>
      <c r="D202" s="24">
        <v>44842.0</v>
      </c>
      <c r="E202" s="6">
        <f>IFERROR(__xludf.DUMMYFUNCTION("COUNTUNIQUEIFS($A$2:$A202,$B$2:$B202,B202)"),1.0)</f>
        <v>1</v>
      </c>
      <c r="F202" s="6">
        <f t="shared" si="1"/>
        <v>0</v>
      </c>
      <c r="G202" s="6" t="str">
        <f>IF(MINIFS(dynamic[orderDate], dynamic[customerID], B202) &gt;= DATE(2024,4,30)-120, 
     "New", 
     IF(MAXIFS(dynamic[orderCount], dynamic[customerID], B202)&lt;=2, 
        IF((DATE(2024,4,30) - MAXIFS(dynamic[orderDate], dynamic[customerID], B202)) &gt; 180, "Non-Returning", "Dormant"), 
        IF(AND(MAX(dynamic[sinceLastOrder]) &gt; 365, (DATE(2024,4,30) - MAXIFS(dynamic[orderDate], dynamic[customerID], B202)) &gt; 180), 
           "Dormant", "Regular")))</f>
        <v>Regular</v>
      </c>
      <c r="H202" s="6">
        <v>63.0</v>
      </c>
      <c r="I202" s="9" t="str">
        <f>VLOOKUP(dynamic[productID],products[],2,FALSE)</f>
        <v>Vegie-spread</v>
      </c>
      <c r="J202" s="9" t="str">
        <f>VLOOKUP(dynamic[productID],products[],12,FALSE)</f>
        <v>Condiments</v>
      </c>
      <c r="K202" s="7" t="str">
        <f>IF(VLOOKUP(dynamic[productID],products[],7,FALSE)=1,"Discontinued","Current")</f>
        <v>Current</v>
      </c>
      <c r="L202" s="9">
        <f>VLOOKUP(dynamic[productID],products[],IF(YEAR(dynamic[orderDate])=2022,8,IF(YEAR(dynamic[orderDate])=2023,9,IF(YEAR(dynamic[orderDate])=2024,10,NA))),FALSE)</f>
        <v>23.81372293</v>
      </c>
      <c r="M202" s="9">
        <v>35.1</v>
      </c>
      <c r="N202" s="25">
        <f>(dynamic[orderPrice]-dynamic[productCost])/dynamic[productCost]</f>
        <v>0.4739400513</v>
      </c>
      <c r="O202" s="10">
        <v>80.0</v>
      </c>
      <c r="P202" s="25">
        <v>0.15</v>
      </c>
      <c r="Q202" s="9">
        <f>dynamic[orderPrice]*dynamic[orderQuantity]</f>
        <v>2808</v>
      </c>
      <c r="R202" s="9">
        <f>dynamic[orderTotal]*(1-dynamic[discountApllied])</f>
        <v>2386.8</v>
      </c>
      <c r="S202" s="9">
        <f>dynamic[revenue]-(dynamic[productCost]*dynamic[orderQuantity])</f>
        <v>481.7021654</v>
      </c>
      <c r="T202" s="25">
        <f>IFERROR(dynamic[profit]/dynamic[revenue], 0)</f>
        <v>0.2018192414</v>
      </c>
    </row>
    <row r="203" ht="15.75" customHeight="1">
      <c r="A203" s="6">
        <v>10325.0</v>
      </c>
      <c r="B203" s="7" t="s">
        <v>59</v>
      </c>
      <c r="C203" s="24" t="str">
        <f>VLOOKUP(dynamic[customerID],customers[],2,FALSE)</f>
        <v>Königlich Essen</v>
      </c>
      <c r="D203" s="24">
        <v>44843.0</v>
      </c>
      <c r="E203" s="6">
        <f>IFERROR(__xludf.DUMMYFUNCTION("COUNTUNIQUEIFS($A$2:$A203,$B$2:$B203,B203)"),2.0)</f>
        <v>2</v>
      </c>
      <c r="F203" s="6">
        <f t="shared" si="1"/>
        <v>2</v>
      </c>
      <c r="G203" s="6" t="str">
        <f>IF(MINIFS(dynamic[orderDate], dynamic[customerID], B203) &gt;= DATE(2024,4,30)-120, 
     "New", 
     IF(MAXIFS(dynamic[orderCount], dynamic[customerID], B203)&lt;=2, 
        IF((DATE(2024,4,30) - MAXIFS(dynamic[orderDate], dynamic[customerID], B203)) &gt; 180, "Non-Returning", "Dormant"), 
        IF(AND(MAX(dynamic[sinceLastOrder]) &gt; 365, (DATE(2024,4,30) - MAXIFS(dynamic[orderDate], dynamic[customerID], B203)) &gt; 180), 
           "Dormant", "Regular")))</f>
        <v>Regular</v>
      </c>
      <c r="H203" s="6">
        <v>6.0</v>
      </c>
      <c r="I203" s="9" t="str">
        <f>VLOOKUP(dynamic[productID],products[],2,FALSE)</f>
        <v>Grandma's Boysenberry Spread</v>
      </c>
      <c r="J203" s="9" t="str">
        <f>VLOOKUP(dynamic[productID],products[],12,FALSE)</f>
        <v>Condiments</v>
      </c>
      <c r="K203" s="7" t="str">
        <f>IF(VLOOKUP(dynamic[productID],products[],7,FALSE)=1,"Discontinued","Current")</f>
        <v>Current</v>
      </c>
      <c r="L203" s="9">
        <f>VLOOKUP(dynamic[productID],products[],IF(YEAR(dynamic[orderDate])=2022,8,IF(YEAR(dynamic[orderDate])=2023,9,IF(YEAR(dynamic[orderDate])=2024,10,NA))),FALSE)</f>
        <v>13.64030257</v>
      </c>
      <c r="M203" s="9">
        <v>20.0</v>
      </c>
      <c r="N203" s="25">
        <f>(dynamic[orderPrice]-dynamic[productCost])/dynamic[productCost]</f>
        <v>0.4662431346</v>
      </c>
      <c r="O203" s="10">
        <v>6.0</v>
      </c>
      <c r="P203" s="25">
        <v>0.0</v>
      </c>
      <c r="Q203" s="9">
        <f>dynamic[orderPrice]*dynamic[orderQuantity]</f>
        <v>120</v>
      </c>
      <c r="R203" s="9">
        <f>dynamic[orderTotal]*(1-dynamic[discountApllied])</f>
        <v>120</v>
      </c>
      <c r="S203" s="9">
        <f>dynamic[revenue]-(dynamic[productCost]*dynamic[orderQuantity])</f>
        <v>38.15818457</v>
      </c>
      <c r="T203" s="25">
        <f>IFERROR(dynamic[profit]/dynamic[revenue], 0)</f>
        <v>0.3179848714</v>
      </c>
    </row>
    <row r="204" ht="15.75" customHeight="1">
      <c r="A204" s="6">
        <v>10325.0</v>
      </c>
      <c r="B204" s="7" t="s">
        <v>59</v>
      </c>
      <c r="C204" s="24" t="str">
        <f>VLOOKUP(dynamic[customerID],customers[],2,FALSE)</f>
        <v>Königlich Essen</v>
      </c>
      <c r="D204" s="24">
        <v>44843.0</v>
      </c>
      <c r="E204" s="6">
        <f>IFERROR(__xludf.DUMMYFUNCTION("COUNTUNIQUEIFS($A$2:$A204,$B$2:$B204,B204)"),2.0)</f>
        <v>2</v>
      </c>
      <c r="F204" s="6">
        <f t="shared" si="1"/>
        <v>2</v>
      </c>
      <c r="G204" s="6" t="str">
        <f>IF(MINIFS(dynamic[orderDate], dynamic[customerID], B204) &gt;= DATE(2024,4,30)-120, 
     "New", 
     IF(MAXIFS(dynamic[orderCount], dynamic[customerID], B204)&lt;=2, 
        IF((DATE(2024,4,30) - MAXIFS(dynamic[orderDate], dynamic[customerID], B204)) &gt; 180, "Non-Returning", "Dormant"), 
        IF(AND(MAX(dynamic[sinceLastOrder]) &gt; 365, (DATE(2024,4,30) - MAXIFS(dynamic[orderDate], dynamic[customerID], B204)) &gt; 180), 
           "Dormant", "Regular")))</f>
        <v>Regular</v>
      </c>
      <c r="H204" s="6">
        <v>13.0</v>
      </c>
      <c r="I204" s="9" t="str">
        <f>VLOOKUP(dynamic[productID],products[],2,FALSE)</f>
        <v>Konbu</v>
      </c>
      <c r="J204" s="9" t="str">
        <f>VLOOKUP(dynamic[productID],products[],12,FALSE)</f>
        <v>Seafood</v>
      </c>
      <c r="K204" s="7" t="str">
        <f>IF(VLOOKUP(dynamic[productID],products[],7,FALSE)=1,"Discontinued","Current")</f>
        <v>Current</v>
      </c>
      <c r="L204" s="9">
        <f>VLOOKUP(dynamic[productID],products[],IF(YEAR(dynamic[orderDate])=2022,8,IF(YEAR(dynamic[orderDate])=2023,9,IF(YEAR(dynamic[orderDate])=2024,10,NA))),FALSE)</f>
        <v>3.236727382</v>
      </c>
      <c r="M204" s="9">
        <v>4.8</v>
      </c>
      <c r="N204" s="25">
        <f>(dynamic[orderPrice]-dynamic[productCost])/dynamic[productCost]</f>
        <v>0.4829793907</v>
      </c>
      <c r="O204" s="10">
        <v>12.0</v>
      </c>
      <c r="P204" s="25">
        <v>0.0</v>
      </c>
      <c r="Q204" s="9">
        <f>dynamic[orderPrice]*dynamic[orderQuantity]</f>
        <v>57.6</v>
      </c>
      <c r="R204" s="9">
        <f>dynamic[orderTotal]*(1-dynamic[discountApllied])</f>
        <v>57.6</v>
      </c>
      <c r="S204" s="9">
        <f>dynamic[revenue]-(dynamic[productCost]*dynamic[orderQuantity])</f>
        <v>18.75927142</v>
      </c>
      <c r="T204" s="25">
        <f>IFERROR(dynamic[profit]/dynamic[revenue], 0)</f>
        <v>0.3256817955</v>
      </c>
    </row>
    <row r="205" ht="15.75" customHeight="1">
      <c r="A205" s="6">
        <v>10325.0</v>
      </c>
      <c r="B205" s="7" t="s">
        <v>59</v>
      </c>
      <c r="C205" s="24" t="str">
        <f>VLOOKUP(dynamic[customerID],customers[],2,FALSE)</f>
        <v>Königlich Essen</v>
      </c>
      <c r="D205" s="24">
        <v>44843.0</v>
      </c>
      <c r="E205" s="6">
        <f>IFERROR(__xludf.DUMMYFUNCTION("COUNTUNIQUEIFS($A$2:$A205,$B$2:$B205,B205)"),2.0)</f>
        <v>2</v>
      </c>
      <c r="F205" s="6">
        <f t="shared" si="1"/>
        <v>2</v>
      </c>
      <c r="G205" s="6" t="str">
        <f>IF(MINIFS(dynamic[orderDate], dynamic[customerID], B205) &gt;= DATE(2024,4,30)-120, 
     "New", 
     IF(MAXIFS(dynamic[orderCount], dynamic[customerID], B205)&lt;=2, 
        IF((DATE(2024,4,30) - MAXIFS(dynamic[orderDate], dynamic[customerID], B205)) &gt; 180, "Non-Returning", "Dormant"), 
        IF(AND(MAX(dynamic[sinceLastOrder]) &gt; 365, (DATE(2024,4,30) - MAXIFS(dynamic[orderDate], dynamic[customerID], B205)) &gt; 180), 
           "Dormant", "Regular")))</f>
        <v>Regular</v>
      </c>
      <c r="H205" s="6">
        <v>14.0</v>
      </c>
      <c r="I205" s="9" t="str">
        <f>VLOOKUP(dynamic[productID],products[],2,FALSE)</f>
        <v>Tofu</v>
      </c>
      <c r="J205" s="9" t="str">
        <f>VLOOKUP(dynamic[productID],products[],12,FALSE)</f>
        <v>Produce</v>
      </c>
      <c r="K205" s="7" t="str">
        <f>IF(VLOOKUP(dynamic[productID],products[],7,FALSE)=1,"Discontinued","Current")</f>
        <v>Current</v>
      </c>
      <c r="L205" s="9">
        <f>VLOOKUP(dynamic[productID],products[],IF(YEAR(dynamic[orderDate])=2022,8,IF(YEAR(dynamic[orderDate])=2023,9,IF(YEAR(dynamic[orderDate])=2024,10,NA))),FALSE)</f>
        <v>13.95254082</v>
      </c>
      <c r="M205" s="9">
        <v>18.6</v>
      </c>
      <c r="N205" s="25">
        <f>(dynamic[orderPrice]-dynamic[productCost])/dynamic[productCost]</f>
        <v>0.333090527</v>
      </c>
      <c r="O205" s="10">
        <v>9.0</v>
      </c>
      <c r="P205" s="25">
        <v>0.0</v>
      </c>
      <c r="Q205" s="9">
        <f>dynamic[orderPrice]*dynamic[orderQuantity]</f>
        <v>167.4</v>
      </c>
      <c r="R205" s="9">
        <f>dynamic[orderTotal]*(1-dynamic[discountApllied])</f>
        <v>167.4</v>
      </c>
      <c r="S205" s="9">
        <f>dynamic[revenue]-(dynamic[productCost]*dynamic[orderQuantity])</f>
        <v>41.82713259</v>
      </c>
      <c r="T205" s="25">
        <f>IFERROR(dynamic[profit]/dynamic[revenue], 0)</f>
        <v>0.2498633966</v>
      </c>
    </row>
    <row r="206" ht="15.75" customHeight="1">
      <c r="A206" s="6">
        <v>10325.0</v>
      </c>
      <c r="B206" s="7" t="s">
        <v>59</v>
      </c>
      <c r="C206" s="24" t="str">
        <f>VLOOKUP(dynamic[customerID],customers[],2,FALSE)</f>
        <v>Königlich Essen</v>
      </c>
      <c r="D206" s="24">
        <v>44843.0</v>
      </c>
      <c r="E206" s="6">
        <f>IFERROR(__xludf.DUMMYFUNCTION("COUNTUNIQUEIFS($A$2:$A206,$B$2:$B206,B206)"),2.0)</f>
        <v>2</v>
      </c>
      <c r="F206" s="6">
        <f t="shared" si="1"/>
        <v>2</v>
      </c>
      <c r="G206" s="6" t="str">
        <f>IF(MINIFS(dynamic[orderDate], dynamic[customerID], B206) &gt;= DATE(2024,4,30)-120, 
     "New", 
     IF(MAXIFS(dynamic[orderCount], dynamic[customerID], B206)&lt;=2, 
        IF((DATE(2024,4,30) - MAXIFS(dynamic[orderDate], dynamic[customerID], B206)) &gt; 180, "Non-Returning", "Dormant"), 
        IF(AND(MAX(dynamic[sinceLastOrder]) &gt; 365, (DATE(2024,4,30) - MAXIFS(dynamic[orderDate], dynamic[customerID], B206)) &gt; 180), 
           "Dormant", "Regular")))</f>
        <v>Regular</v>
      </c>
      <c r="H206" s="6">
        <v>31.0</v>
      </c>
      <c r="I206" s="9" t="str">
        <f>VLOOKUP(dynamic[productID],products[],2,FALSE)</f>
        <v>Gorgonzola Telino</v>
      </c>
      <c r="J206" s="9" t="str">
        <f>VLOOKUP(dynamic[productID],products[],12,FALSE)</f>
        <v>Dairy Products</v>
      </c>
      <c r="K206" s="7" t="str">
        <f>IF(VLOOKUP(dynamic[productID],products[],7,FALSE)=1,"Discontinued","Current")</f>
        <v>Current</v>
      </c>
      <c r="L206" s="9">
        <f>VLOOKUP(dynamic[productID],products[],IF(YEAR(dynamic[orderDate])=2022,8,IF(YEAR(dynamic[orderDate])=2023,9,IF(YEAR(dynamic[orderDate])=2024,10,NA))),FALSE)</f>
        <v>6.44031973</v>
      </c>
      <c r="M206" s="9">
        <v>10.0</v>
      </c>
      <c r="N206" s="25">
        <f>(dynamic[orderPrice]-dynamic[productCost])/dynamic[productCost]</f>
        <v>0.5527179425</v>
      </c>
      <c r="O206" s="10">
        <v>4.0</v>
      </c>
      <c r="P206" s="25">
        <v>0.0</v>
      </c>
      <c r="Q206" s="9">
        <f>dynamic[orderPrice]*dynamic[orderQuantity]</f>
        <v>40</v>
      </c>
      <c r="R206" s="9">
        <f>dynamic[orderTotal]*(1-dynamic[discountApllied])</f>
        <v>40</v>
      </c>
      <c r="S206" s="9">
        <f>dynamic[revenue]-(dynamic[productCost]*dynamic[orderQuantity])</f>
        <v>14.23872108</v>
      </c>
      <c r="T206" s="25">
        <f>IFERROR(dynamic[profit]/dynamic[revenue], 0)</f>
        <v>0.355968027</v>
      </c>
    </row>
    <row r="207" ht="15.75" customHeight="1">
      <c r="A207" s="6">
        <v>10325.0</v>
      </c>
      <c r="B207" s="7" t="s">
        <v>59</v>
      </c>
      <c r="C207" s="24" t="str">
        <f>VLOOKUP(dynamic[customerID],customers[],2,FALSE)</f>
        <v>Königlich Essen</v>
      </c>
      <c r="D207" s="24">
        <v>44843.0</v>
      </c>
      <c r="E207" s="6">
        <f>IFERROR(__xludf.DUMMYFUNCTION("COUNTUNIQUEIFS($A$2:$A207,$B$2:$B207,B207)"),2.0)</f>
        <v>2</v>
      </c>
      <c r="F207" s="6">
        <f t="shared" si="1"/>
        <v>2</v>
      </c>
      <c r="G207" s="6" t="str">
        <f>IF(MINIFS(dynamic[orderDate], dynamic[customerID], B207) &gt;= DATE(2024,4,30)-120, 
     "New", 
     IF(MAXIFS(dynamic[orderCount], dynamic[customerID], B207)&lt;=2, 
        IF((DATE(2024,4,30) - MAXIFS(dynamic[orderDate], dynamic[customerID], B207)) &gt; 180, "Non-Returning", "Dormant"), 
        IF(AND(MAX(dynamic[sinceLastOrder]) &gt; 365, (DATE(2024,4,30) - MAXIFS(dynamic[orderDate], dynamic[customerID], B207)) &gt; 180), 
           "Dormant", "Regular")))</f>
        <v>Regular</v>
      </c>
      <c r="H207" s="6">
        <v>72.0</v>
      </c>
      <c r="I207" s="9" t="str">
        <f>VLOOKUP(dynamic[productID],products[],2,FALSE)</f>
        <v>Mozzarella di Giovanni</v>
      </c>
      <c r="J207" s="9" t="str">
        <f>VLOOKUP(dynamic[productID],products[],12,FALSE)</f>
        <v>Dairy Products</v>
      </c>
      <c r="K207" s="7" t="str">
        <f>IF(VLOOKUP(dynamic[productID],products[],7,FALSE)=1,"Discontinued","Current")</f>
        <v>Current</v>
      </c>
      <c r="L207" s="9">
        <f>VLOOKUP(dynamic[productID],products[],IF(YEAR(dynamic[orderDate])=2022,8,IF(YEAR(dynamic[orderDate])=2023,9,IF(YEAR(dynamic[orderDate])=2024,10,NA))),FALSE)</f>
        <v>19.20829334</v>
      </c>
      <c r="M207" s="9">
        <v>27.8</v>
      </c>
      <c r="N207" s="25">
        <f>(dynamic[orderPrice]-dynamic[productCost])/dynamic[productCost]</f>
        <v>0.4472915167</v>
      </c>
      <c r="O207" s="10">
        <v>40.0</v>
      </c>
      <c r="P207" s="25">
        <v>0.0</v>
      </c>
      <c r="Q207" s="9">
        <f>dynamic[orderPrice]*dynamic[orderQuantity]</f>
        <v>1112</v>
      </c>
      <c r="R207" s="9">
        <f>dynamic[orderTotal]*(1-dynamic[discountApllied])</f>
        <v>1112</v>
      </c>
      <c r="S207" s="9">
        <f>dynamic[revenue]-(dynamic[productCost]*dynamic[orderQuantity])</f>
        <v>343.6682665</v>
      </c>
      <c r="T207" s="25">
        <f>IFERROR(dynamic[profit]/dynamic[revenue], 0)</f>
        <v>0.3090541965</v>
      </c>
    </row>
    <row r="208" ht="15.75" customHeight="1">
      <c r="A208" s="6">
        <v>10326.0</v>
      </c>
      <c r="B208" s="7" t="s">
        <v>61</v>
      </c>
      <c r="C208" s="24" t="str">
        <f>VLOOKUP(dynamic[customerID],customers[],2,FALSE)</f>
        <v>Bólido Comidas preparadas</v>
      </c>
      <c r="D208" s="24">
        <v>44844.0</v>
      </c>
      <c r="E208" s="6">
        <f>IFERROR(__xludf.DUMMYFUNCTION("COUNTUNIQUEIFS($A$2:$A208,$B$2:$B208,B208)"),1.0)</f>
        <v>1</v>
      </c>
      <c r="F208" s="6">
        <f t="shared" si="1"/>
        <v>0</v>
      </c>
      <c r="G208" s="6" t="str">
        <f>IF(MINIFS(dynamic[orderDate], dynamic[customerID], B208) &gt;= DATE(2024,4,30)-120, 
     "New", 
     IF(MAXIFS(dynamic[orderCount], dynamic[customerID], B208)&lt;=2, 
        IF((DATE(2024,4,30) - MAXIFS(dynamic[orderDate], dynamic[customerID], B208)) &gt; 180, "Non-Returning", "Dormant"), 
        IF(AND(MAX(dynamic[sinceLastOrder]) &gt; 365, (DATE(2024,4,30) - MAXIFS(dynamic[orderDate], dynamic[customerID], B208)) &gt; 180), 
           "Dormant", "Regular")))</f>
        <v>Regular</v>
      </c>
      <c r="H208" s="6">
        <v>4.0</v>
      </c>
      <c r="I208" s="9" t="str">
        <f>VLOOKUP(dynamic[productID],products[],2,FALSE)</f>
        <v>Chef Anton's Cajun Seasoning</v>
      </c>
      <c r="J208" s="9" t="str">
        <f>VLOOKUP(dynamic[productID],products[],12,FALSE)</f>
        <v>Condiments</v>
      </c>
      <c r="K208" s="7" t="str">
        <f>IF(VLOOKUP(dynamic[productID],products[],7,FALSE)=1,"Discontinued","Current")</f>
        <v>Current</v>
      </c>
      <c r="L208" s="9">
        <f>VLOOKUP(dynamic[productID],products[],IF(YEAR(dynamic[orderDate])=2022,8,IF(YEAR(dynamic[orderDate])=2023,9,IF(YEAR(dynamic[orderDate])=2024,10,NA))),FALSE)</f>
        <v>12.12007338</v>
      </c>
      <c r="M208" s="9">
        <v>17.6</v>
      </c>
      <c r="N208" s="25">
        <f>(dynamic[orderPrice]-dynamic[productCost])/dynamic[productCost]</f>
        <v>0.4521364227</v>
      </c>
      <c r="O208" s="10">
        <v>24.0</v>
      </c>
      <c r="P208" s="25">
        <v>0.0</v>
      </c>
      <c r="Q208" s="9">
        <f>dynamic[orderPrice]*dynamic[orderQuantity]</f>
        <v>422.4</v>
      </c>
      <c r="R208" s="9">
        <f>dynamic[orderTotal]*(1-dynamic[discountApllied])</f>
        <v>422.4</v>
      </c>
      <c r="S208" s="9">
        <f>dynamic[revenue]-(dynamic[productCost]*dynamic[orderQuantity])</f>
        <v>131.5182389</v>
      </c>
      <c r="T208" s="25">
        <f>IFERROR(dynamic[profit]/dynamic[revenue], 0)</f>
        <v>0.3113594671</v>
      </c>
    </row>
    <row r="209" ht="15.75" customHeight="1">
      <c r="A209" s="6">
        <v>10326.0</v>
      </c>
      <c r="B209" s="7" t="s">
        <v>61</v>
      </c>
      <c r="C209" s="24" t="str">
        <f>VLOOKUP(dynamic[customerID],customers[],2,FALSE)</f>
        <v>Bólido Comidas preparadas</v>
      </c>
      <c r="D209" s="24">
        <v>44844.0</v>
      </c>
      <c r="E209" s="6">
        <f>IFERROR(__xludf.DUMMYFUNCTION("COUNTUNIQUEIFS($A$2:$A209,$B$2:$B209,B209)"),1.0)</f>
        <v>1</v>
      </c>
      <c r="F209" s="6">
        <f t="shared" si="1"/>
        <v>0</v>
      </c>
      <c r="G209" s="6" t="str">
        <f>IF(MINIFS(dynamic[orderDate], dynamic[customerID], B209) &gt;= DATE(2024,4,30)-120, 
     "New", 
     IF(MAXIFS(dynamic[orderCount], dynamic[customerID], B209)&lt;=2, 
        IF((DATE(2024,4,30) - MAXIFS(dynamic[orderDate], dynamic[customerID], B209)) &gt; 180, "Non-Returning", "Dormant"), 
        IF(AND(MAX(dynamic[sinceLastOrder]) &gt; 365, (DATE(2024,4,30) - MAXIFS(dynamic[orderDate], dynamic[customerID], B209)) &gt; 180), 
           "Dormant", "Regular")))</f>
        <v>Regular</v>
      </c>
      <c r="H209" s="6">
        <v>57.0</v>
      </c>
      <c r="I209" s="9" t="str">
        <f>VLOOKUP(dynamic[productID],products[],2,FALSE)</f>
        <v>Ravioli Angelo</v>
      </c>
      <c r="J209" s="9" t="str">
        <f>VLOOKUP(dynamic[productID],products[],12,FALSE)</f>
        <v>Grains/Cereals</v>
      </c>
      <c r="K209" s="7" t="str">
        <f>IF(VLOOKUP(dynamic[productID],products[],7,FALSE)=1,"Discontinued","Current")</f>
        <v>Current</v>
      </c>
      <c r="L209" s="9">
        <f>VLOOKUP(dynamic[productID],products[],IF(YEAR(dynamic[orderDate])=2022,8,IF(YEAR(dynamic[orderDate])=2023,9,IF(YEAR(dynamic[orderDate])=2024,10,NA))),FALSE)</f>
        <v>11.22950766</v>
      </c>
      <c r="M209" s="9">
        <v>15.6</v>
      </c>
      <c r="N209" s="25">
        <f>(dynamic[orderPrice]-dynamic[productCost])/dynamic[productCost]</f>
        <v>0.3891971469</v>
      </c>
      <c r="O209" s="10">
        <v>16.0</v>
      </c>
      <c r="P209" s="25">
        <v>0.0</v>
      </c>
      <c r="Q209" s="9">
        <f>dynamic[orderPrice]*dynamic[orderQuantity]</f>
        <v>249.6</v>
      </c>
      <c r="R209" s="9">
        <f>dynamic[orderTotal]*(1-dynamic[discountApllied])</f>
        <v>249.6</v>
      </c>
      <c r="S209" s="9">
        <f>dynamic[revenue]-(dynamic[productCost]*dynamic[orderQuantity])</f>
        <v>69.92787746</v>
      </c>
      <c r="T209" s="25">
        <f>IFERROR(dynamic[profit]/dynamic[revenue], 0)</f>
        <v>0.2801597655</v>
      </c>
    </row>
    <row r="210" ht="15.75" customHeight="1">
      <c r="A210" s="6">
        <v>10326.0</v>
      </c>
      <c r="B210" s="7" t="s">
        <v>61</v>
      </c>
      <c r="C210" s="24" t="str">
        <f>VLOOKUP(dynamic[customerID],customers[],2,FALSE)</f>
        <v>Bólido Comidas preparadas</v>
      </c>
      <c r="D210" s="24">
        <v>44844.0</v>
      </c>
      <c r="E210" s="6">
        <f>IFERROR(__xludf.DUMMYFUNCTION("COUNTUNIQUEIFS($A$2:$A210,$B$2:$B210,B210)"),1.0)</f>
        <v>1</v>
      </c>
      <c r="F210" s="6">
        <f t="shared" si="1"/>
        <v>0</v>
      </c>
      <c r="G210" s="6" t="str">
        <f>IF(MINIFS(dynamic[orderDate], dynamic[customerID], B210) &gt;= DATE(2024,4,30)-120, 
     "New", 
     IF(MAXIFS(dynamic[orderCount], dynamic[customerID], B210)&lt;=2, 
        IF((DATE(2024,4,30) - MAXIFS(dynamic[orderDate], dynamic[customerID], B210)) &gt; 180, "Non-Returning", "Dormant"), 
        IF(AND(MAX(dynamic[sinceLastOrder]) &gt; 365, (DATE(2024,4,30) - MAXIFS(dynamic[orderDate], dynamic[customerID], B210)) &gt; 180), 
           "Dormant", "Regular")))</f>
        <v>Regular</v>
      </c>
      <c r="H210" s="6">
        <v>75.0</v>
      </c>
      <c r="I210" s="9" t="str">
        <f>VLOOKUP(dynamic[productID],products[],2,FALSE)</f>
        <v>Rhönbräu Klosterbier</v>
      </c>
      <c r="J210" s="9" t="str">
        <f>VLOOKUP(dynamic[productID],products[],12,FALSE)</f>
        <v>Beverages</v>
      </c>
      <c r="K210" s="7" t="str">
        <f>IF(VLOOKUP(dynamic[productID],products[],7,FALSE)=1,"Discontinued","Current")</f>
        <v>Current</v>
      </c>
      <c r="L210" s="9">
        <f>VLOOKUP(dynamic[productID],products[],IF(YEAR(dynamic[orderDate])=2022,8,IF(YEAR(dynamic[orderDate])=2023,9,IF(YEAR(dynamic[orderDate])=2024,10,NA))),FALSE)</f>
        <v>4.269033823</v>
      </c>
      <c r="M210" s="9">
        <v>6.2</v>
      </c>
      <c r="N210" s="25">
        <f>(dynamic[orderPrice]-dynamic[productCost])/dynamic[productCost]</f>
        <v>0.4523192499</v>
      </c>
      <c r="O210" s="10">
        <v>50.0</v>
      </c>
      <c r="P210" s="25">
        <v>0.0</v>
      </c>
      <c r="Q210" s="9">
        <f>dynamic[orderPrice]*dynamic[orderQuantity]</f>
        <v>310</v>
      </c>
      <c r="R210" s="9">
        <f>dynamic[orderTotal]*(1-dynamic[discountApllied])</f>
        <v>310</v>
      </c>
      <c r="S210" s="9">
        <f>dynamic[revenue]-(dynamic[productCost]*dynamic[orderQuantity])</f>
        <v>96.54830884</v>
      </c>
      <c r="T210" s="25">
        <f>IFERROR(dynamic[profit]/dynamic[revenue], 0)</f>
        <v>0.3114461575</v>
      </c>
    </row>
    <row r="211" ht="15.75" customHeight="1">
      <c r="A211" s="6">
        <v>10327.0</v>
      </c>
      <c r="B211" s="7" t="s">
        <v>29</v>
      </c>
      <c r="C211" s="24" t="str">
        <f>VLOOKUP(dynamic[customerID],customers[],2,FALSE)</f>
        <v>Folk och fä HB</v>
      </c>
      <c r="D211" s="24">
        <v>44845.0</v>
      </c>
      <c r="E211" s="6">
        <f>IFERROR(__xludf.DUMMYFUNCTION("COUNTUNIQUEIFS($A$2:$A211,$B$2:$B211,B211)"),2.0)</f>
        <v>2</v>
      </c>
      <c r="F211" s="6">
        <f t="shared" si="1"/>
        <v>79</v>
      </c>
      <c r="G211" s="6" t="str">
        <f>IF(MINIFS(dynamic[orderDate], dynamic[customerID], B211) &gt;= DATE(2024,4,30)-120, 
     "New", 
     IF(MAXIFS(dynamic[orderCount], dynamic[customerID], B211)&lt;=2, 
        IF((DATE(2024,4,30) - MAXIFS(dynamic[orderDate], dynamic[customerID], B211)) &gt; 180, "Non-Returning", "Dormant"), 
        IF(AND(MAX(dynamic[sinceLastOrder]) &gt; 365, (DATE(2024,4,30) - MAXIFS(dynamic[orderDate], dynamic[customerID], B211)) &gt; 180), 
           "Dormant", "Regular")))</f>
        <v>Regular</v>
      </c>
      <c r="H211" s="6">
        <v>2.0</v>
      </c>
      <c r="I211" s="9" t="str">
        <f>VLOOKUP(dynamic[productID],products[],2,FALSE)</f>
        <v>Chang</v>
      </c>
      <c r="J211" s="9" t="str">
        <f>VLOOKUP(dynamic[productID],products[],12,FALSE)</f>
        <v>Beverages</v>
      </c>
      <c r="K211" s="7" t="str">
        <f>IF(VLOOKUP(dynamic[productID],products[],7,FALSE)=1,"Discontinued","Current")</f>
        <v>Current</v>
      </c>
      <c r="L211" s="9">
        <f>VLOOKUP(dynamic[productID],products[],IF(YEAR(dynamic[orderDate])=2022,8,IF(YEAR(dynamic[orderDate])=2023,9,IF(YEAR(dynamic[orderDate])=2024,10,NA))),FALSE)</f>
        <v>9.768746876</v>
      </c>
      <c r="M211" s="9">
        <v>15.2</v>
      </c>
      <c r="N211" s="25">
        <f>(dynamic[orderPrice]-dynamic[productCost])/dynamic[productCost]</f>
        <v>0.5559825833</v>
      </c>
      <c r="O211" s="10">
        <v>25.0</v>
      </c>
      <c r="P211" s="25">
        <v>0.2</v>
      </c>
      <c r="Q211" s="9">
        <f>dynamic[orderPrice]*dynamic[orderQuantity]</f>
        <v>380</v>
      </c>
      <c r="R211" s="9">
        <f>dynamic[orderTotal]*(1-dynamic[discountApllied])</f>
        <v>304</v>
      </c>
      <c r="S211" s="9">
        <f>dynamic[revenue]-(dynamic[productCost]*dynamic[orderQuantity])</f>
        <v>59.78132809</v>
      </c>
      <c r="T211" s="25">
        <f>IFERROR(dynamic[profit]/dynamic[revenue], 0)</f>
        <v>0.1966491056</v>
      </c>
    </row>
    <row r="212" ht="15.75" customHeight="1">
      <c r="A212" s="6">
        <v>10327.0</v>
      </c>
      <c r="B212" s="7" t="s">
        <v>29</v>
      </c>
      <c r="C212" s="24" t="str">
        <f>VLOOKUP(dynamic[customerID],customers[],2,FALSE)</f>
        <v>Folk och fä HB</v>
      </c>
      <c r="D212" s="24">
        <v>44845.0</v>
      </c>
      <c r="E212" s="6">
        <f>IFERROR(__xludf.DUMMYFUNCTION("COUNTUNIQUEIFS($A$2:$A212,$B$2:$B212,B212)"),2.0)</f>
        <v>2</v>
      </c>
      <c r="F212" s="6">
        <f t="shared" si="1"/>
        <v>79</v>
      </c>
      <c r="G212" s="6" t="str">
        <f>IF(MINIFS(dynamic[orderDate], dynamic[customerID], B212) &gt;= DATE(2024,4,30)-120, 
     "New", 
     IF(MAXIFS(dynamic[orderCount], dynamic[customerID], B212)&lt;=2, 
        IF((DATE(2024,4,30) - MAXIFS(dynamic[orderDate], dynamic[customerID], B212)) &gt; 180, "Non-Returning", "Dormant"), 
        IF(AND(MAX(dynamic[sinceLastOrder]) &gt; 365, (DATE(2024,4,30) - MAXIFS(dynamic[orderDate], dynamic[customerID], B212)) &gt; 180), 
           "Dormant", "Regular")))</f>
        <v>Regular</v>
      </c>
      <c r="H212" s="6">
        <v>11.0</v>
      </c>
      <c r="I212" s="9" t="str">
        <f>VLOOKUP(dynamic[productID],products[],2,FALSE)</f>
        <v>Queso Cabrales</v>
      </c>
      <c r="J212" s="9" t="str">
        <f>VLOOKUP(dynamic[productID],products[],12,FALSE)</f>
        <v>Dairy Products</v>
      </c>
      <c r="K212" s="7" t="str">
        <f>IF(VLOOKUP(dynamic[productID],products[],7,FALSE)=1,"Discontinued","Current")</f>
        <v>Current</v>
      </c>
      <c r="L212" s="9">
        <f>VLOOKUP(dynamic[productID],products[],IF(YEAR(dynamic[orderDate])=2022,8,IF(YEAR(dynamic[orderDate])=2023,9,IF(YEAR(dynamic[orderDate])=2024,10,NA))),FALSE)</f>
        <v>10.58231097</v>
      </c>
      <c r="M212" s="9">
        <v>16.8</v>
      </c>
      <c r="N212" s="25">
        <f>(dynamic[orderPrice]-dynamic[productCost])/dynamic[productCost]</f>
        <v>0.5875549344</v>
      </c>
      <c r="O212" s="10">
        <v>50.0</v>
      </c>
      <c r="P212" s="25">
        <v>0.2</v>
      </c>
      <c r="Q212" s="9">
        <f>dynamic[orderPrice]*dynamic[orderQuantity]</f>
        <v>840</v>
      </c>
      <c r="R212" s="9">
        <f>dynamic[orderTotal]*(1-dynamic[discountApllied])</f>
        <v>672</v>
      </c>
      <c r="S212" s="9">
        <f>dynamic[revenue]-(dynamic[productCost]*dynamic[orderQuantity])</f>
        <v>142.8844514</v>
      </c>
      <c r="T212" s="25">
        <f>IFERROR(dynamic[profit]/dynamic[revenue], 0)</f>
        <v>0.2126256718</v>
      </c>
    </row>
    <row r="213" ht="15.75" customHeight="1">
      <c r="A213" s="6">
        <v>10327.0</v>
      </c>
      <c r="B213" s="7" t="s">
        <v>29</v>
      </c>
      <c r="C213" s="24" t="str">
        <f>VLOOKUP(dynamic[customerID],customers[],2,FALSE)</f>
        <v>Folk och fä HB</v>
      </c>
      <c r="D213" s="24">
        <v>44845.0</v>
      </c>
      <c r="E213" s="6">
        <f>IFERROR(__xludf.DUMMYFUNCTION("COUNTUNIQUEIFS($A$2:$A213,$B$2:$B213,B213)"),2.0)</f>
        <v>2</v>
      </c>
      <c r="F213" s="6">
        <f t="shared" si="1"/>
        <v>79</v>
      </c>
      <c r="G213" s="6" t="str">
        <f>IF(MINIFS(dynamic[orderDate], dynamic[customerID], B213) &gt;= DATE(2024,4,30)-120, 
     "New", 
     IF(MAXIFS(dynamic[orderCount], dynamic[customerID], B213)&lt;=2, 
        IF((DATE(2024,4,30) - MAXIFS(dynamic[orderDate], dynamic[customerID], B213)) &gt; 180, "Non-Returning", "Dormant"), 
        IF(AND(MAX(dynamic[sinceLastOrder]) &gt; 365, (DATE(2024,4,30) - MAXIFS(dynamic[orderDate], dynamic[customerID], B213)) &gt; 180), 
           "Dormant", "Regular")))</f>
        <v>Regular</v>
      </c>
      <c r="H213" s="6">
        <v>30.0</v>
      </c>
      <c r="I213" s="9" t="str">
        <f>VLOOKUP(dynamic[productID],products[],2,FALSE)</f>
        <v>Nord-Ost Matjeshering</v>
      </c>
      <c r="J213" s="9" t="str">
        <f>VLOOKUP(dynamic[productID],products[],12,FALSE)</f>
        <v>Seafood</v>
      </c>
      <c r="K213" s="7" t="str">
        <f>IF(VLOOKUP(dynamic[productID],products[],7,FALSE)=1,"Discontinued","Current")</f>
        <v>Current</v>
      </c>
      <c r="L213" s="9">
        <f>VLOOKUP(dynamic[productID],products[],IF(YEAR(dynamic[orderDate])=2022,8,IF(YEAR(dynamic[orderDate])=2023,9,IF(YEAR(dynamic[orderDate])=2024,10,NA))),FALSE)</f>
        <v>13.41656868</v>
      </c>
      <c r="M213" s="9">
        <v>20.7</v>
      </c>
      <c r="N213" s="25">
        <f>(dynamic[orderPrice]-dynamic[productCost])/dynamic[productCost]</f>
        <v>0.5428684114</v>
      </c>
      <c r="O213" s="10">
        <v>35.0</v>
      </c>
      <c r="P213" s="25">
        <v>0.2</v>
      </c>
      <c r="Q213" s="9">
        <f>dynamic[orderPrice]*dynamic[orderQuantity]</f>
        <v>724.5</v>
      </c>
      <c r="R213" s="9">
        <f>dynamic[orderTotal]*(1-dynamic[discountApllied])</f>
        <v>579.6</v>
      </c>
      <c r="S213" s="9">
        <f>dynamic[revenue]-(dynamic[productCost]*dynamic[orderQuantity])</f>
        <v>110.0200963</v>
      </c>
      <c r="T213" s="25">
        <f>IFERROR(dynamic[profit]/dynamic[revenue], 0)</f>
        <v>0.1898207321</v>
      </c>
    </row>
    <row r="214" ht="15.75" customHeight="1">
      <c r="A214" s="6">
        <v>10327.0</v>
      </c>
      <c r="B214" s="7" t="s">
        <v>29</v>
      </c>
      <c r="C214" s="24" t="str">
        <f>VLOOKUP(dynamic[customerID],customers[],2,FALSE)</f>
        <v>Folk och fä HB</v>
      </c>
      <c r="D214" s="24">
        <v>44845.0</v>
      </c>
      <c r="E214" s="6">
        <f>IFERROR(__xludf.DUMMYFUNCTION("COUNTUNIQUEIFS($A$2:$A214,$B$2:$B214,B214)"),2.0)</f>
        <v>2</v>
      </c>
      <c r="F214" s="6">
        <f t="shared" si="1"/>
        <v>79</v>
      </c>
      <c r="G214" s="6" t="str">
        <f>IF(MINIFS(dynamic[orderDate], dynamic[customerID], B214) &gt;= DATE(2024,4,30)-120, 
     "New", 
     IF(MAXIFS(dynamic[orderCount], dynamic[customerID], B214)&lt;=2, 
        IF((DATE(2024,4,30) - MAXIFS(dynamic[orderDate], dynamic[customerID], B214)) &gt; 180, "Non-Returning", "Dormant"), 
        IF(AND(MAX(dynamic[sinceLastOrder]) &gt; 365, (DATE(2024,4,30) - MAXIFS(dynamic[orderDate], dynamic[customerID], B214)) &gt; 180), 
           "Dormant", "Regular")))</f>
        <v>Regular</v>
      </c>
      <c r="H214" s="6">
        <v>58.0</v>
      </c>
      <c r="I214" s="9" t="str">
        <f>VLOOKUP(dynamic[productID],products[],2,FALSE)</f>
        <v>Escargots de Bourgogne</v>
      </c>
      <c r="J214" s="9" t="str">
        <f>VLOOKUP(dynamic[productID],products[],12,FALSE)</f>
        <v>Seafood</v>
      </c>
      <c r="K214" s="7" t="str">
        <f>IF(VLOOKUP(dynamic[productID],products[],7,FALSE)=1,"Discontinued","Current")</f>
        <v>Current</v>
      </c>
      <c r="L214" s="9">
        <f>VLOOKUP(dynamic[productID],products[],IF(YEAR(dynamic[orderDate])=2022,8,IF(YEAR(dynamic[orderDate])=2023,9,IF(YEAR(dynamic[orderDate])=2024,10,NA))),FALSE)</f>
        <v>6.388939317</v>
      </c>
      <c r="M214" s="9">
        <v>10.6</v>
      </c>
      <c r="N214" s="25">
        <f>(dynamic[orderPrice]-dynamic[productCost])/dynamic[productCost]</f>
        <v>0.6591173392</v>
      </c>
      <c r="O214" s="10">
        <v>30.0</v>
      </c>
      <c r="P214" s="25">
        <v>0.2</v>
      </c>
      <c r="Q214" s="9">
        <f>dynamic[orderPrice]*dynamic[orderQuantity]</f>
        <v>318</v>
      </c>
      <c r="R214" s="9">
        <f>dynamic[orderTotal]*(1-dynamic[discountApllied])</f>
        <v>254.4</v>
      </c>
      <c r="S214" s="9">
        <f>dynamic[revenue]-(dynamic[productCost]*dynamic[orderQuantity])</f>
        <v>62.73182049</v>
      </c>
      <c r="T214" s="25">
        <f>IFERROR(dynamic[profit]/dynamic[revenue], 0)</f>
        <v>0.2465873447</v>
      </c>
    </row>
    <row r="215" ht="15.75" customHeight="1">
      <c r="A215" s="6">
        <v>10328.0</v>
      </c>
      <c r="B215" s="7" t="s">
        <v>62</v>
      </c>
      <c r="C215" s="24" t="str">
        <f>VLOOKUP(dynamic[customerID],customers[],2,FALSE)</f>
        <v>Furia Bacalhau e Frutos do Mar</v>
      </c>
      <c r="D215" s="24">
        <v>44848.0</v>
      </c>
      <c r="E215" s="6">
        <f>IFERROR(__xludf.DUMMYFUNCTION("COUNTUNIQUEIFS($A$2:$A215,$B$2:$B215,B215)"),1.0)</f>
        <v>1</v>
      </c>
      <c r="F215" s="6">
        <f t="shared" si="1"/>
        <v>0</v>
      </c>
      <c r="G215" s="6" t="str">
        <f>IF(MINIFS(dynamic[orderDate], dynamic[customerID], B215) &gt;= DATE(2024,4,30)-120, 
     "New", 
     IF(MAXIFS(dynamic[orderCount], dynamic[customerID], B215)&lt;=2, 
        IF((DATE(2024,4,30) - MAXIFS(dynamic[orderDate], dynamic[customerID], B215)) &gt; 180, "Non-Returning", "Dormant"), 
        IF(AND(MAX(dynamic[sinceLastOrder]) &gt; 365, (DATE(2024,4,30) - MAXIFS(dynamic[orderDate], dynamic[customerID], B215)) &gt; 180), 
           "Dormant", "Regular")))</f>
        <v>Regular</v>
      </c>
      <c r="H215" s="6">
        <v>59.0</v>
      </c>
      <c r="I215" s="9" t="str">
        <f>VLOOKUP(dynamic[productID],products[],2,FALSE)</f>
        <v>Raclette Courdavault</v>
      </c>
      <c r="J215" s="9" t="str">
        <f>VLOOKUP(dynamic[productID],products[],12,FALSE)</f>
        <v>Dairy Products</v>
      </c>
      <c r="K215" s="7" t="str">
        <f>IF(VLOOKUP(dynamic[productID],products[],7,FALSE)=1,"Discontinued","Current")</f>
        <v>Current</v>
      </c>
      <c r="L215" s="9">
        <f>VLOOKUP(dynamic[productID],products[],IF(YEAR(dynamic[orderDate])=2022,8,IF(YEAR(dynamic[orderDate])=2023,9,IF(YEAR(dynamic[orderDate])=2024,10,NA))),FALSE)</f>
        <v>29.20351951</v>
      </c>
      <c r="M215" s="9">
        <v>44.0</v>
      </c>
      <c r="N215" s="25">
        <f>(dynamic[orderPrice]-dynamic[productCost])/dynamic[productCost]</f>
        <v>0.5066677147</v>
      </c>
      <c r="O215" s="10">
        <v>9.0</v>
      </c>
      <c r="P215" s="25">
        <v>0.0</v>
      </c>
      <c r="Q215" s="9">
        <f>dynamic[orderPrice]*dynamic[orderQuantity]</f>
        <v>396</v>
      </c>
      <c r="R215" s="9">
        <f>dynamic[orderTotal]*(1-dynamic[discountApllied])</f>
        <v>396</v>
      </c>
      <c r="S215" s="9">
        <f>dynamic[revenue]-(dynamic[productCost]*dynamic[orderQuantity])</f>
        <v>133.1683244</v>
      </c>
      <c r="T215" s="25">
        <f>IFERROR(dynamic[profit]/dynamic[revenue], 0)</f>
        <v>0.3362836475</v>
      </c>
    </row>
    <row r="216" ht="15.75" customHeight="1">
      <c r="A216" s="6">
        <v>10328.0</v>
      </c>
      <c r="B216" s="7" t="s">
        <v>62</v>
      </c>
      <c r="C216" s="24" t="str">
        <f>VLOOKUP(dynamic[customerID],customers[],2,FALSE)</f>
        <v>Furia Bacalhau e Frutos do Mar</v>
      </c>
      <c r="D216" s="24">
        <v>44848.0</v>
      </c>
      <c r="E216" s="6">
        <f>IFERROR(__xludf.DUMMYFUNCTION("COUNTUNIQUEIFS($A$2:$A216,$B$2:$B216,B216)"),1.0)</f>
        <v>1</v>
      </c>
      <c r="F216" s="6">
        <f t="shared" si="1"/>
        <v>0</v>
      </c>
      <c r="G216" s="6" t="str">
        <f>IF(MINIFS(dynamic[orderDate], dynamic[customerID], B216) &gt;= DATE(2024,4,30)-120, 
     "New", 
     IF(MAXIFS(dynamic[orderCount], dynamic[customerID], B216)&lt;=2, 
        IF((DATE(2024,4,30) - MAXIFS(dynamic[orderDate], dynamic[customerID], B216)) &gt; 180, "Non-Returning", "Dormant"), 
        IF(AND(MAX(dynamic[sinceLastOrder]) &gt; 365, (DATE(2024,4,30) - MAXIFS(dynamic[orderDate], dynamic[customerID], B216)) &gt; 180), 
           "Dormant", "Regular")))</f>
        <v>Regular</v>
      </c>
      <c r="H216" s="6">
        <v>65.0</v>
      </c>
      <c r="I216" s="9" t="str">
        <f>VLOOKUP(dynamic[productID],products[],2,FALSE)</f>
        <v>Louisiana Fiery Hot Pepper Sauce</v>
      </c>
      <c r="J216" s="9" t="str">
        <f>VLOOKUP(dynamic[productID],products[],12,FALSE)</f>
        <v>Condiments</v>
      </c>
      <c r="K216" s="7" t="str">
        <f>IF(VLOOKUP(dynamic[productID],products[],7,FALSE)=1,"Discontinued","Current")</f>
        <v>Current</v>
      </c>
      <c r="L216" s="9">
        <f>VLOOKUP(dynamic[productID],products[],IF(YEAR(dynamic[orderDate])=2022,8,IF(YEAR(dynamic[orderDate])=2023,9,IF(YEAR(dynamic[orderDate])=2024,10,NA))),FALSE)</f>
        <v>11.17410204</v>
      </c>
      <c r="M216" s="9">
        <v>16.8</v>
      </c>
      <c r="N216" s="25">
        <f>(dynamic[orderPrice]-dynamic[productCost])/dynamic[productCost]</f>
        <v>0.503476515</v>
      </c>
      <c r="O216" s="10">
        <v>40.0</v>
      </c>
      <c r="P216" s="25">
        <v>0.0</v>
      </c>
      <c r="Q216" s="9">
        <f>dynamic[orderPrice]*dynamic[orderQuantity]</f>
        <v>672</v>
      </c>
      <c r="R216" s="9">
        <f>dynamic[orderTotal]*(1-dynamic[discountApllied])</f>
        <v>672</v>
      </c>
      <c r="S216" s="9">
        <f>dynamic[revenue]-(dynamic[productCost]*dynamic[orderQuantity])</f>
        <v>225.0359182</v>
      </c>
      <c r="T216" s="25">
        <f>IFERROR(dynamic[profit]/dynamic[revenue], 0)</f>
        <v>0.3348748783</v>
      </c>
    </row>
    <row r="217" ht="15.75" customHeight="1">
      <c r="A217" s="6">
        <v>10328.0</v>
      </c>
      <c r="B217" s="7" t="s">
        <v>62</v>
      </c>
      <c r="C217" s="24" t="str">
        <f>VLOOKUP(dynamic[customerID],customers[],2,FALSE)</f>
        <v>Furia Bacalhau e Frutos do Mar</v>
      </c>
      <c r="D217" s="24">
        <v>44848.0</v>
      </c>
      <c r="E217" s="6">
        <f>IFERROR(__xludf.DUMMYFUNCTION("COUNTUNIQUEIFS($A$2:$A217,$B$2:$B217,B217)"),1.0)</f>
        <v>1</v>
      </c>
      <c r="F217" s="6">
        <f t="shared" si="1"/>
        <v>0</v>
      </c>
      <c r="G217" s="6" t="str">
        <f>IF(MINIFS(dynamic[orderDate], dynamic[customerID], B217) &gt;= DATE(2024,4,30)-120, 
     "New", 
     IF(MAXIFS(dynamic[orderCount], dynamic[customerID], B217)&lt;=2, 
        IF((DATE(2024,4,30) - MAXIFS(dynamic[orderDate], dynamic[customerID], B217)) &gt; 180, "Non-Returning", "Dormant"), 
        IF(AND(MAX(dynamic[sinceLastOrder]) &gt; 365, (DATE(2024,4,30) - MAXIFS(dynamic[orderDate], dynamic[customerID], B217)) &gt; 180), 
           "Dormant", "Regular")))</f>
        <v>Regular</v>
      </c>
      <c r="H217" s="6">
        <v>68.0</v>
      </c>
      <c r="I217" s="9" t="str">
        <f>VLOOKUP(dynamic[productID],products[],2,FALSE)</f>
        <v>Scottish Longbreads</v>
      </c>
      <c r="J217" s="9" t="str">
        <f>VLOOKUP(dynamic[productID],products[],12,FALSE)</f>
        <v>Confections</v>
      </c>
      <c r="K217" s="7" t="str">
        <f>IF(VLOOKUP(dynamic[productID],products[],7,FALSE)=1,"Discontinued","Current")</f>
        <v>Current</v>
      </c>
      <c r="L217" s="9">
        <f>VLOOKUP(dynamic[productID],products[],IF(YEAR(dynamic[orderDate])=2022,8,IF(YEAR(dynamic[orderDate])=2023,9,IF(YEAR(dynamic[orderDate])=2024,10,NA))),FALSE)</f>
        <v>7.316656529</v>
      </c>
      <c r="M217" s="9">
        <v>10.0</v>
      </c>
      <c r="N217" s="25">
        <f>(dynamic[orderPrice]-dynamic[productCost])/dynamic[productCost]</f>
        <v>0.3667444906</v>
      </c>
      <c r="O217" s="10">
        <v>10.0</v>
      </c>
      <c r="P217" s="25">
        <v>0.0</v>
      </c>
      <c r="Q217" s="9">
        <f>dynamic[orderPrice]*dynamic[orderQuantity]</f>
        <v>100</v>
      </c>
      <c r="R217" s="9">
        <f>dynamic[orderTotal]*(1-dynamic[discountApllied])</f>
        <v>100</v>
      </c>
      <c r="S217" s="9">
        <f>dynamic[revenue]-(dynamic[productCost]*dynamic[orderQuantity])</f>
        <v>26.83343471</v>
      </c>
      <c r="T217" s="25">
        <f>IFERROR(dynamic[profit]/dynamic[revenue], 0)</f>
        <v>0.2683343471</v>
      </c>
    </row>
    <row r="218" ht="15.75" customHeight="1">
      <c r="A218" s="6">
        <v>10329.0</v>
      </c>
      <c r="B218" s="7" t="s">
        <v>35</v>
      </c>
      <c r="C218" s="24" t="str">
        <f>VLOOKUP(dynamic[customerID],customers[],2,FALSE)</f>
        <v>Split Rail Beer &amp; Ale</v>
      </c>
      <c r="D218" s="24">
        <v>44849.0</v>
      </c>
      <c r="E218" s="6">
        <f>IFERROR(__xludf.DUMMYFUNCTION("COUNTUNIQUEIFS($A$2:$A218,$B$2:$B218,B218)"),2.0)</f>
        <v>2</v>
      </c>
      <c r="F218" s="6">
        <f t="shared" si="1"/>
        <v>75</v>
      </c>
      <c r="G218" s="6" t="str">
        <f>IF(MINIFS(dynamic[orderDate], dynamic[customerID], B218) &gt;= DATE(2024,4,30)-120, 
     "New", 
     IF(MAXIFS(dynamic[orderCount], dynamic[customerID], B218)&lt;=2, 
        IF((DATE(2024,4,30) - MAXIFS(dynamic[orderDate], dynamic[customerID], B218)) &gt; 180, "Non-Returning", "Dormant"), 
        IF(AND(MAX(dynamic[sinceLastOrder]) &gt; 365, (DATE(2024,4,30) - MAXIFS(dynamic[orderDate], dynamic[customerID], B218)) &gt; 180), 
           "Dormant", "Regular")))</f>
        <v>Regular</v>
      </c>
      <c r="H218" s="6">
        <v>19.0</v>
      </c>
      <c r="I218" s="9" t="str">
        <f>VLOOKUP(dynamic[productID],products[],2,FALSE)</f>
        <v>Teatime Chocolate Biscuits</v>
      </c>
      <c r="J218" s="9" t="str">
        <f>VLOOKUP(dynamic[productID],products[],12,FALSE)</f>
        <v>Confections</v>
      </c>
      <c r="K218" s="7" t="str">
        <f>IF(VLOOKUP(dynamic[productID],products[],7,FALSE)=1,"Discontinued","Current")</f>
        <v>Current</v>
      </c>
      <c r="L218" s="9">
        <f>VLOOKUP(dynamic[productID],products[],IF(YEAR(dynamic[orderDate])=2022,8,IF(YEAR(dynamic[orderDate])=2023,9,IF(YEAR(dynamic[orderDate])=2024,10,NA))),FALSE)</f>
        <v>5.58120093</v>
      </c>
      <c r="M218" s="9">
        <v>7.3</v>
      </c>
      <c r="N218" s="25">
        <f>(dynamic[orderPrice]-dynamic[productCost])/dynamic[productCost]</f>
        <v>0.3079622274</v>
      </c>
      <c r="O218" s="10">
        <v>10.0</v>
      </c>
      <c r="P218" s="25">
        <v>0.05</v>
      </c>
      <c r="Q218" s="9">
        <f>dynamic[orderPrice]*dynamic[orderQuantity]</f>
        <v>73</v>
      </c>
      <c r="R218" s="9">
        <f>dynamic[orderTotal]*(1-dynamic[discountApllied])</f>
        <v>69.35</v>
      </c>
      <c r="S218" s="9">
        <f>dynamic[revenue]-(dynamic[productCost]*dynamic[orderQuantity])</f>
        <v>13.5379907</v>
      </c>
      <c r="T218" s="25">
        <f>IFERROR(dynamic[profit]/dynamic[revenue], 0)</f>
        <v>0.1952125552</v>
      </c>
    </row>
    <row r="219" ht="15.75" customHeight="1">
      <c r="A219" s="6">
        <v>10329.0</v>
      </c>
      <c r="B219" s="7" t="s">
        <v>35</v>
      </c>
      <c r="C219" s="24" t="str">
        <f>VLOOKUP(dynamic[customerID],customers[],2,FALSE)</f>
        <v>Split Rail Beer &amp; Ale</v>
      </c>
      <c r="D219" s="24">
        <v>44849.0</v>
      </c>
      <c r="E219" s="6">
        <f>IFERROR(__xludf.DUMMYFUNCTION("COUNTUNIQUEIFS($A$2:$A219,$B$2:$B219,B219)"),2.0)</f>
        <v>2</v>
      </c>
      <c r="F219" s="6">
        <f t="shared" si="1"/>
        <v>75</v>
      </c>
      <c r="G219" s="6" t="str">
        <f>IF(MINIFS(dynamic[orderDate], dynamic[customerID], B219) &gt;= DATE(2024,4,30)-120, 
     "New", 
     IF(MAXIFS(dynamic[orderCount], dynamic[customerID], B219)&lt;=2, 
        IF((DATE(2024,4,30) - MAXIFS(dynamic[orderDate], dynamic[customerID], B219)) &gt; 180, "Non-Returning", "Dormant"), 
        IF(AND(MAX(dynamic[sinceLastOrder]) &gt; 365, (DATE(2024,4,30) - MAXIFS(dynamic[orderDate], dynamic[customerID], B219)) &gt; 180), 
           "Dormant", "Regular")))</f>
        <v>Regular</v>
      </c>
      <c r="H219" s="6">
        <v>30.0</v>
      </c>
      <c r="I219" s="9" t="str">
        <f>VLOOKUP(dynamic[productID],products[],2,FALSE)</f>
        <v>Nord-Ost Matjeshering</v>
      </c>
      <c r="J219" s="9" t="str">
        <f>VLOOKUP(dynamic[productID],products[],12,FALSE)</f>
        <v>Seafood</v>
      </c>
      <c r="K219" s="7" t="str">
        <f>IF(VLOOKUP(dynamic[productID],products[],7,FALSE)=1,"Discontinued","Current")</f>
        <v>Current</v>
      </c>
      <c r="L219" s="9">
        <f>VLOOKUP(dynamic[productID],products[],IF(YEAR(dynamic[orderDate])=2022,8,IF(YEAR(dynamic[orderDate])=2023,9,IF(YEAR(dynamic[orderDate])=2024,10,NA))),FALSE)</f>
        <v>13.41656868</v>
      </c>
      <c r="M219" s="9">
        <v>20.7</v>
      </c>
      <c r="N219" s="25">
        <f>(dynamic[orderPrice]-dynamic[productCost])/dynamic[productCost]</f>
        <v>0.5428684114</v>
      </c>
      <c r="O219" s="10">
        <v>8.0</v>
      </c>
      <c r="P219" s="25">
        <v>0.05</v>
      </c>
      <c r="Q219" s="9">
        <f>dynamic[orderPrice]*dynamic[orderQuantity]</f>
        <v>165.6</v>
      </c>
      <c r="R219" s="9">
        <f>dynamic[orderTotal]*(1-dynamic[discountApllied])</f>
        <v>157.32</v>
      </c>
      <c r="S219" s="9">
        <f>dynamic[revenue]-(dynamic[productCost]*dynamic[orderQuantity])</f>
        <v>49.98745059</v>
      </c>
      <c r="T219" s="25">
        <f>IFERROR(dynamic[profit]/dynamic[revenue], 0)</f>
        <v>0.3177437744</v>
      </c>
    </row>
    <row r="220" ht="15.75" customHeight="1">
      <c r="A220" s="6">
        <v>10329.0</v>
      </c>
      <c r="B220" s="7" t="s">
        <v>35</v>
      </c>
      <c r="C220" s="24" t="str">
        <f>VLOOKUP(dynamic[customerID],customers[],2,FALSE)</f>
        <v>Split Rail Beer &amp; Ale</v>
      </c>
      <c r="D220" s="24">
        <v>44849.0</v>
      </c>
      <c r="E220" s="6">
        <f>IFERROR(__xludf.DUMMYFUNCTION("COUNTUNIQUEIFS($A$2:$A220,$B$2:$B220,B220)"),2.0)</f>
        <v>2</v>
      </c>
      <c r="F220" s="6">
        <f t="shared" si="1"/>
        <v>75</v>
      </c>
      <c r="G220" s="6" t="str">
        <f>IF(MINIFS(dynamic[orderDate], dynamic[customerID], B220) &gt;= DATE(2024,4,30)-120, 
     "New", 
     IF(MAXIFS(dynamic[orderCount], dynamic[customerID], B220)&lt;=2, 
        IF((DATE(2024,4,30) - MAXIFS(dynamic[orderDate], dynamic[customerID], B220)) &gt; 180, "Non-Returning", "Dormant"), 
        IF(AND(MAX(dynamic[sinceLastOrder]) &gt; 365, (DATE(2024,4,30) - MAXIFS(dynamic[orderDate], dynamic[customerID], B220)) &gt; 180), 
           "Dormant", "Regular")))</f>
        <v>Regular</v>
      </c>
      <c r="H220" s="6">
        <v>38.0</v>
      </c>
      <c r="I220" s="9" t="str">
        <f>VLOOKUP(dynamic[productID],products[],2,FALSE)</f>
        <v>Côte de Blaye</v>
      </c>
      <c r="J220" s="9" t="str">
        <f>VLOOKUP(dynamic[productID],products[],12,FALSE)</f>
        <v>Beverages</v>
      </c>
      <c r="K220" s="7" t="str">
        <f>IF(VLOOKUP(dynamic[productID],products[],7,FALSE)=1,"Discontinued","Current")</f>
        <v>Current</v>
      </c>
      <c r="L220" s="9">
        <f>VLOOKUP(dynamic[productID],products[],IF(YEAR(dynamic[orderDate])=2022,8,IF(YEAR(dynamic[orderDate])=2023,9,IF(YEAR(dynamic[orderDate])=2024,10,NA))),FALSE)</f>
        <v>133.3740767</v>
      </c>
      <c r="M220" s="9">
        <v>210.8</v>
      </c>
      <c r="N220" s="25">
        <f>(dynamic[orderPrice]-dynamic[productCost])/dynamic[productCost]</f>
        <v>0.5805170327</v>
      </c>
      <c r="O220" s="10">
        <v>20.0</v>
      </c>
      <c r="P220" s="25">
        <v>0.05</v>
      </c>
      <c r="Q220" s="9">
        <f>dynamic[orderPrice]*dynamic[orderQuantity]</f>
        <v>4216</v>
      </c>
      <c r="R220" s="9">
        <f>dynamic[orderTotal]*(1-dynamic[discountApllied])</f>
        <v>4005.2</v>
      </c>
      <c r="S220" s="9">
        <f>dynamic[revenue]-(dynamic[productCost]*dynamic[orderQuantity])</f>
        <v>1337.718465</v>
      </c>
      <c r="T220" s="25">
        <f>IFERROR(dynamic[profit]/dynamic[revenue], 0)</f>
        <v>0.3339954223</v>
      </c>
    </row>
    <row r="221" ht="15.75" customHeight="1">
      <c r="A221" s="6">
        <v>10329.0</v>
      </c>
      <c r="B221" s="7" t="s">
        <v>35</v>
      </c>
      <c r="C221" s="24" t="str">
        <f>VLOOKUP(dynamic[customerID],customers[],2,FALSE)</f>
        <v>Split Rail Beer &amp; Ale</v>
      </c>
      <c r="D221" s="24">
        <v>44849.0</v>
      </c>
      <c r="E221" s="6">
        <f>IFERROR(__xludf.DUMMYFUNCTION("COUNTUNIQUEIFS($A$2:$A221,$B$2:$B221,B221)"),2.0)</f>
        <v>2</v>
      </c>
      <c r="F221" s="6">
        <f t="shared" si="1"/>
        <v>75</v>
      </c>
      <c r="G221" s="6" t="str">
        <f>IF(MINIFS(dynamic[orderDate], dynamic[customerID], B221) &gt;= DATE(2024,4,30)-120, 
     "New", 
     IF(MAXIFS(dynamic[orderCount], dynamic[customerID], B221)&lt;=2, 
        IF((DATE(2024,4,30) - MAXIFS(dynamic[orderDate], dynamic[customerID], B221)) &gt; 180, "Non-Returning", "Dormant"), 
        IF(AND(MAX(dynamic[sinceLastOrder]) &gt; 365, (DATE(2024,4,30) - MAXIFS(dynamic[orderDate], dynamic[customerID], B221)) &gt; 180), 
           "Dormant", "Regular")))</f>
        <v>Regular</v>
      </c>
      <c r="H221" s="6">
        <v>56.0</v>
      </c>
      <c r="I221" s="9" t="str">
        <f>VLOOKUP(dynamic[productID],products[],2,FALSE)</f>
        <v>Gnocchi di nonna Alice</v>
      </c>
      <c r="J221" s="9" t="str">
        <f>VLOOKUP(dynamic[productID],products[],12,FALSE)</f>
        <v>Grains/Cereals</v>
      </c>
      <c r="K221" s="7" t="str">
        <f>IF(VLOOKUP(dynamic[productID],products[],7,FALSE)=1,"Discontinued","Current")</f>
        <v>Current</v>
      </c>
      <c r="L221" s="9">
        <f>VLOOKUP(dynamic[productID],products[],IF(YEAR(dynamic[orderDate])=2022,8,IF(YEAR(dynamic[orderDate])=2023,9,IF(YEAR(dynamic[orderDate])=2024,10,NA))),FALSE)</f>
        <v>21.5040056</v>
      </c>
      <c r="M221" s="9">
        <v>30.4</v>
      </c>
      <c r="N221" s="25">
        <f>(dynamic[orderPrice]-dynamic[productCost])/dynamic[productCost]</f>
        <v>0.4136901081</v>
      </c>
      <c r="O221" s="10">
        <v>12.0</v>
      </c>
      <c r="P221" s="25">
        <v>0.05</v>
      </c>
      <c r="Q221" s="9">
        <f>dynamic[orderPrice]*dynamic[orderQuantity]</f>
        <v>364.8</v>
      </c>
      <c r="R221" s="9">
        <f>dynamic[orderTotal]*(1-dynamic[discountApllied])</f>
        <v>346.56</v>
      </c>
      <c r="S221" s="9">
        <f>dynamic[revenue]-(dynamic[productCost]*dynamic[orderQuantity])</f>
        <v>88.51193281</v>
      </c>
      <c r="T221" s="25">
        <f>IFERROR(dynamic[profit]/dynamic[revenue], 0)</f>
        <v>0.2554014682</v>
      </c>
    </row>
    <row r="222" ht="15.75" customHeight="1">
      <c r="A222" s="6">
        <v>10330.0</v>
      </c>
      <c r="B222" s="7" t="s">
        <v>43</v>
      </c>
      <c r="C222" s="24" t="str">
        <f>VLOOKUP(dynamic[customerID],customers[],2,FALSE)</f>
        <v>LILA-Supermercado</v>
      </c>
      <c r="D222" s="24">
        <v>44850.0</v>
      </c>
      <c r="E222" s="6">
        <f>IFERROR(__xludf.DUMMYFUNCTION("COUNTUNIQUEIFS($A$2:$A222,$B$2:$B222,B222)"),3.0)</f>
        <v>3</v>
      </c>
      <c r="F222" s="6">
        <f t="shared" si="1"/>
        <v>43</v>
      </c>
      <c r="G222" s="6" t="str">
        <f>IF(MINIFS(dynamic[orderDate], dynamic[customerID], B222) &gt;= DATE(2024,4,30)-120, 
     "New", 
     IF(MAXIFS(dynamic[orderCount], dynamic[customerID], B222)&lt;=2, 
        IF((DATE(2024,4,30) - MAXIFS(dynamic[orderDate], dynamic[customerID], B222)) &gt; 180, "Non-Returning", "Dormant"), 
        IF(AND(MAX(dynamic[sinceLastOrder]) &gt; 365, (DATE(2024,4,30) - MAXIFS(dynamic[orderDate], dynamic[customerID], B222)) &gt; 180), 
           "Dormant", "Regular")))</f>
        <v>Regular</v>
      </c>
      <c r="H222" s="6">
        <v>26.0</v>
      </c>
      <c r="I222" s="9" t="str">
        <f>VLOOKUP(dynamic[productID],products[],2,FALSE)</f>
        <v>NuNuCa Nuß-Nougat-Creme</v>
      </c>
      <c r="J222" s="9" t="str">
        <f>VLOOKUP(dynamic[productID],products[],12,FALSE)</f>
        <v>Confections</v>
      </c>
      <c r="K222" s="7" t="str">
        <f>IF(VLOOKUP(dynamic[productID],products[],7,FALSE)=1,"Discontinued","Current")</f>
        <v>Current</v>
      </c>
      <c r="L222" s="9">
        <f>VLOOKUP(dynamic[productID],products[],IF(YEAR(dynamic[orderDate])=2022,8,IF(YEAR(dynamic[orderDate])=2023,9,IF(YEAR(dynamic[orderDate])=2024,10,NA))),FALSE)</f>
        <v>17.26675607</v>
      </c>
      <c r="M222" s="9">
        <v>24.9</v>
      </c>
      <c r="N222" s="25">
        <f>(dynamic[orderPrice]-dynamic[productCost])/dynamic[productCost]</f>
        <v>0.442077475</v>
      </c>
      <c r="O222" s="10">
        <v>50.0</v>
      </c>
      <c r="P222" s="25">
        <v>0.15</v>
      </c>
      <c r="Q222" s="9">
        <f>dynamic[orderPrice]*dynamic[orderQuantity]</f>
        <v>1245</v>
      </c>
      <c r="R222" s="9">
        <f>dynamic[orderTotal]*(1-dynamic[discountApllied])</f>
        <v>1058.25</v>
      </c>
      <c r="S222" s="9">
        <f>dynamic[revenue]-(dynamic[productCost]*dynamic[orderQuantity])</f>
        <v>194.9121963</v>
      </c>
      <c r="T222" s="25">
        <f>IFERROR(dynamic[profit]/dynamic[revenue], 0)</f>
        <v>0.184183507</v>
      </c>
    </row>
    <row r="223" ht="15.75" customHeight="1">
      <c r="A223" s="6">
        <v>10330.0</v>
      </c>
      <c r="B223" s="7" t="s">
        <v>43</v>
      </c>
      <c r="C223" s="24" t="str">
        <f>VLOOKUP(dynamic[customerID],customers[],2,FALSE)</f>
        <v>LILA-Supermercado</v>
      </c>
      <c r="D223" s="24">
        <v>44850.0</v>
      </c>
      <c r="E223" s="6">
        <f>IFERROR(__xludf.DUMMYFUNCTION("COUNTUNIQUEIFS($A$2:$A223,$B$2:$B223,B223)"),3.0)</f>
        <v>3</v>
      </c>
      <c r="F223" s="6">
        <f t="shared" si="1"/>
        <v>43</v>
      </c>
      <c r="G223" s="6" t="str">
        <f>IF(MINIFS(dynamic[orderDate], dynamic[customerID], B223) &gt;= DATE(2024,4,30)-120, 
     "New", 
     IF(MAXIFS(dynamic[orderCount], dynamic[customerID], B223)&lt;=2, 
        IF((DATE(2024,4,30) - MAXIFS(dynamic[orderDate], dynamic[customerID], B223)) &gt; 180, "Non-Returning", "Dormant"), 
        IF(AND(MAX(dynamic[sinceLastOrder]) &gt; 365, (DATE(2024,4,30) - MAXIFS(dynamic[orderDate], dynamic[customerID], B223)) &gt; 180), 
           "Dormant", "Regular")))</f>
        <v>Regular</v>
      </c>
      <c r="H223" s="6">
        <v>72.0</v>
      </c>
      <c r="I223" s="9" t="str">
        <f>VLOOKUP(dynamic[productID],products[],2,FALSE)</f>
        <v>Mozzarella di Giovanni</v>
      </c>
      <c r="J223" s="9" t="str">
        <f>VLOOKUP(dynamic[productID],products[],12,FALSE)</f>
        <v>Dairy Products</v>
      </c>
      <c r="K223" s="7" t="str">
        <f>IF(VLOOKUP(dynamic[productID],products[],7,FALSE)=1,"Discontinued","Current")</f>
        <v>Current</v>
      </c>
      <c r="L223" s="9">
        <f>VLOOKUP(dynamic[productID],products[],IF(YEAR(dynamic[orderDate])=2022,8,IF(YEAR(dynamic[orderDate])=2023,9,IF(YEAR(dynamic[orderDate])=2024,10,NA))),FALSE)</f>
        <v>19.20829334</v>
      </c>
      <c r="M223" s="9">
        <v>27.8</v>
      </c>
      <c r="N223" s="25">
        <f>(dynamic[orderPrice]-dynamic[productCost])/dynamic[productCost]</f>
        <v>0.4472915167</v>
      </c>
      <c r="O223" s="10">
        <v>25.0</v>
      </c>
      <c r="P223" s="25">
        <v>0.15</v>
      </c>
      <c r="Q223" s="9">
        <f>dynamic[orderPrice]*dynamic[orderQuantity]</f>
        <v>695</v>
      </c>
      <c r="R223" s="9">
        <f>dynamic[orderTotal]*(1-dynamic[discountApllied])</f>
        <v>590.75</v>
      </c>
      <c r="S223" s="9">
        <f>dynamic[revenue]-(dynamic[productCost]*dynamic[orderQuantity])</f>
        <v>110.5426665</v>
      </c>
      <c r="T223" s="25">
        <f>IFERROR(dynamic[profit]/dynamic[revenue], 0)</f>
        <v>0.1871225841</v>
      </c>
    </row>
    <row r="224" ht="15.75" customHeight="1">
      <c r="A224" s="6">
        <v>10331.0</v>
      </c>
      <c r="B224" s="7" t="s">
        <v>63</v>
      </c>
      <c r="C224" s="24" t="str">
        <f>VLOOKUP(dynamic[customerID],customers[],2,FALSE)</f>
        <v>Bon app'</v>
      </c>
      <c r="D224" s="24">
        <v>44850.0</v>
      </c>
      <c r="E224" s="6">
        <f>IFERROR(__xludf.DUMMYFUNCTION("COUNTUNIQUEIFS($A$2:$A224,$B$2:$B224,B224)"),1.0)</f>
        <v>1</v>
      </c>
      <c r="F224" s="6">
        <f t="shared" si="1"/>
        <v>0</v>
      </c>
      <c r="G224" s="6" t="str">
        <f>IF(MINIFS(dynamic[orderDate], dynamic[customerID], B224) &gt;= DATE(2024,4,30)-120, 
     "New", 
     IF(MAXIFS(dynamic[orderCount], dynamic[customerID], B224)&lt;=2, 
        IF((DATE(2024,4,30) - MAXIFS(dynamic[orderDate], dynamic[customerID], B224)) &gt; 180, "Non-Returning", "Dormant"), 
        IF(AND(MAX(dynamic[sinceLastOrder]) &gt; 365, (DATE(2024,4,30) - MAXIFS(dynamic[orderDate], dynamic[customerID], B224)) &gt; 180), 
           "Dormant", "Regular")))</f>
        <v>Regular</v>
      </c>
      <c r="H224" s="6">
        <v>54.0</v>
      </c>
      <c r="I224" s="9" t="str">
        <f>VLOOKUP(dynamic[productID],products[],2,FALSE)</f>
        <v>Tourtière</v>
      </c>
      <c r="J224" s="9" t="str">
        <f>VLOOKUP(dynamic[productID],products[],12,FALSE)</f>
        <v>Meat/Poultry</v>
      </c>
      <c r="K224" s="7" t="str">
        <f>IF(VLOOKUP(dynamic[productID],products[],7,FALSE)=1,"Discontinued","Current")</f>
        <v>Current</v>
      </c>
      <c r="L224" s="9">
        <f>VLOOKUP(dynamic[productID],products[],IF(YEAR(dynamic[orderDate])=2022,8,IF(YEAR(dynamic[orderDate])=2023,9,IF(YEAR(dynamic[orderDate])=2024,10,NA))),FALSE)</f>
        <v>4.309848919</v>
      </c>
      <c r="M224" s="9">
        <v>5.9</v>
      </c>
      <c r="N224" s="25">
        <f>(dynamic[orderPrice]-dynamic[productCost])/dynamic[productCost]</f>
        <v>0.3689574996</v>
      </c>
      <c r="O224" s="10">
        <v>15.0</v>
      </c>
      <c r="P224" s="25">
        <v>0.0</v>
      </c>
      <c r="Q224" s="9">
        <f>dynamic[orderPrice]*dynamic[orderQuantity]</f>
        <v>88.5</v>
      </c>
      <c r="R224" s="9">
        <f>dynamic[orderTotal]*(1-dynamic[discountApllied])</f>
        <v>88.5</v>
      </c>
      <c r="S224" s="9">
        <f>dynamic[revenue]-(dynamic[productCost]*dynamic[orderQuantity])</f>
        <v>23.85226621</v>
      </c>
      <c r="T224" s="25">
        <f>IFERROR(dynamic[profit]/dynamic[revenue], 0)</f>
        <v>0.2695171323</v>
      </c>
    </row>
    <row r="225" ht="15.75" customHeight="1">
      <c r="A225" s="6">
        <v>10332.0</v>
      </c>
      <c r="B225" s="7" t="s">
        <v>64</v>
      </c>
      <c r="C225" s="24" t="str">
        <f>VLOOKUP(dynamic[customerID],customers[],2,FALSE)</f>
        <v>Mère Paillarde</v>
      </c>
      <c r="D225" s="24">
        <v>44851.0</v>
      </c>
      <c r="E225" s="6">
        <f>IFERROR(__xludf.DUMMYFUNCTION("COUNTUNIQUEIFS($A$2:$A225,$B$2:$B225,B225)"),1.0)</f>
        <v>1</v>
      </c>
      <c r="F225" s="6">
        <f t="shared" si="1"/>
        <v>0</v>
      </c>
      <c r="G225" s="6" t="str">
        <f>IF(MINIFS(dynamic[orderDate], dynamic[customerID], B225) &gt;= DATE(2024,4,30)-120, 
     "New", 
     IF(MAXIFS(dynamic[orderCount], dynamic[customerID], B225)&lt;=2, 
        IF((DATE(2024,4,30) - MAXIFS(dynamic[orderDate], dynamic[customerID], B225)) &gt; 180, "Non-Returning", "Dormant"), 
        IF(AND(MAX(dynamic[sinceLastOrder]) &gt; 365, (DATE(2024,4,30) - MAXIFS(dynamic[orderDate], dynamic[customerID], B225)) &gt; 180), 
           "Dormant", "Regular")))</f>
        <v>Dormant</v>
      </c>
      <c r="H225" s="6">
        <v>18.0</v>
      </c>
      <c r="I225" s="9" t="str">
        <f>VLOOKUP(dynamic[productID],products[],2,FALSE)</f>
        <v>Carnarvon Tigers</v>
      </c>
      <c r="J225" s="9" t="str">
        <f>VLOOKUP(dynamic[productID],products[],12,FALSE)</f>
        <v>Seafood</v>
      </c>
      <c r="K225" s="7" t="str">
        <f>IF(VLOOKUP(dynamic[productID],products[],7,FALSE)=1,"Discontinued","Current")</f>
        <v>Current</v>
      </c>
      <c r="L225" s="9">
        <f>VLOOKUP(dynamic[productID],products[],IF(YEAR(dynamic[orderDate])=2022,8,IF(YEAR(dynamic[orderDate])=2023,9,IF(YEAR(dynamic[orderDate])=2024,10,NA))),FALSE)</f>
        <v>32.46379819</v>
      </c>
      <c r="M225" s="9">
        <v>50.0</v>
      </c>
      <c r="N225" s="25">
        <f>(dynamic[orderPrice]-dynamic[productCost])/dynamic[productCost]</f>
        <v>0.5401771445</v>
      </c>
      <c r="O225" s="10">
        <v>40.0</v>
      </c>
      <c r="P225" s="25">
        <v>0.2</v>
      </c>
      <c r="Q225" s="9">
        <f>dynamic[orderPrice]*dynamic[orderQuantity]</f>
        <v>2000</v>
      </c>
      <c r="R225" s="9">
        <f>dynamic[orderTotal]*(1-dynamic[discountApllied])</f>
        <v>1600</v>
      </c>
      <c r="S225" s="9">
        <f>dynamic[revenue]-(dynamic[productCost]*dynamic[orderQuantity])</f>
        <v>301.4480723</v>
      </c>
      <c r="T225" s="25">
        <f>IFERROR(dynamic[profit]/dynamic[revenue], 0)</f>
        <v>0.1884050452</v>
      </c>
    </row>
    <row r="226" ht="15.75" customHeight="1">
      <c r="A226" s="6">
        <v>10332.0</v>
      </c>
      <c r="B226" s="7" t="s">
        <v>64</v>
      </c>
      <c r="C226" s="24" t="str">
        <f>VLOOKUP(dynamic[customerID],customers[],2,FALSE)</f>
        <v>Mère Paillarde</v>
      </c>
      <c r="D226" s="24">
        <v>44851.0</v>
      </c>
      <c r="E226" s="6">
        <f>IFERROR(__xludf.DUMMYFUNCTION("COUNTUNIQUEIFS($A$2:$A226,$B$2:$B226,B226)"),1.0)</f>
        <v>1</v>
      </c>
      <c r="F226" s="6">
        <f t="shared" si="1"/>
        <v>0</v>
      </c>
      <c r="G226" s="6" t="str">
        <f>IF(MINIFS(dynamic[orderDate], dynamic[customerID], B226) &gt;= DATE(2024,4,30)-120, 
     "New", 
     IF(MAXIFS(dynamic[orderCount], dynamic[customerID], B226)&lt;=2, 
        IF((DATE(2024,4,30) - MAXIFS(dynamic[orderDate], dynamic[customerID], B226)) &gt; 180, "Non-Returning", "Dormant"), 
        IF(AND(MAX(dynamic[sinceLastOrder]) &gt; 365, (DATE(2024,4,30) - MAXIFS(dynamic[orderDate], dynamic[customerID], B226)) &gt; 180), 
           "Dormant", "Regular")))</f>
        <v>Dormant</v>
      </c>
      <c r="H226" s="6">
        <v>42.0</v>
      </c>
      <c r="I226" s="9" t="str">
        <f>VLOOKUP(dynamic[productID],products[],2,FALSE)</f>
        <v>Singaporean Hokkien Fried Mee</v>
      </c>
      <c r="J226" s="9" t="str">
        <f>VLOOKUP(dynamic[productID],products[],12,FALSE)</f>
        <v>Grains/Cereals</v>
      </c>
      <c r="K226" s="7" t="str">
        <f>IF(VLOOKUP(dynamic[productID],products[],7,FALSE)=1,"Discontinued","Current")</f>
        <v>Discontinued</v>
      </c>
      <c r="L226" s="9">
        <f>VLOOKUP(dynamic[productID],products[],IF(YEAR(dynamic[orderDate])=2022,8,IF(YEAR(dynamic[orderDate])=2023,9,IF(YEAR(dynamic[orderDate])=2024,10,NA))),FALSE)</f>
        <v>7.818425885</v>
      </c>
      <c r="M226" s="9">
        <v>11.2</v>
      </c>
      <c r="N226" s="25">
        <f>(dynamic[orderPrice]-dynamic[productCost])/dynamic[productCost]</f>
        <v>0.4325134196</v>
      </c>
      <c r="O226" s="10">
        <v>10.0</v>
      </c>
      <c r="P226" s="25">
        <v>0.2</v>
      </c>
      <c r="Q226" s="9">
        <f>dynamic[orderPrice]*dynamic[orderQuantity]</f>
        <v>112</v>
      </c>
      <c r="R226" s="9">
        <f>dynamic[orderTotal]*(1-dynamic[discountApllied])</f>
        <v>89.6</v>
      </c>
      <c r="S226" s="9">
        <f>dynamic[revenue]-(dynamic[productCost]*dynamic[orderQuantity])</f>
        <v>11.41574115</v>
      </c>
      <c r="T226" s="25">
        <f>IFERROR(dynamic[profit]/dynamic[revenue], 0)</f>
        <v>0.1274078254</v>
      </c>
    </row>
    <row r="227" ht="15.75" customHeight="1">
      <c r="A227" s="6">
        <v>10332.0</v>
      </c>
      <c r="B227" s="7" t="s">
        <v>64</v>
      </c>
      <c r="C227" s="24" t="str">
        <f>VLOOKUP(dynamic[customerID],customers[],2,FALSE)</f>
        <v>Mère Paillarde</v>
      </c>
      <c r="D227" s="24">
        <v>44851.0</v>
      </c>
      <c r="E227" s="6">
        <f>IFERROR(__xludf.DUMMYFUNCTION("COUNTUNIQUEIFS($A$2:$A227,$B$2:$B227,B227)"),1.0)</f>
        <v>1</v>
      </c>
      <c r="F227" s="6">
        <f t="shared" si="1"/>
        <v>0</v>
      </c>
      <c r="G227" s="6" t="str">
        <f>IF(MINIFS(dynamic[orderDate], dynamic[customerID], B227) &gt;= DATE(2024,4,30)-120, 
     "New", 
     IF(MAXIFS(dynamic[orderCount], dynamic[customerID], B227)&lt;=2, 
        IF((DATE(2024,4,30) - MAXIFS(dynamic[orderDate], dynamic[customerID], B227)) &gt; 180, "Non-Returning", "Dormant"), 
        IF(AND(MAX(dynamic[sinceLastOrder]) &gt; 365, (DATE(2024,4,30) - MAXIFS(dynamic[orderDate], dynamic[customerID], B227)) &gt; 180), 
           "Dormant", "Regular")))</f>
        <v>Dormant</v>
      </c>
      <c r="H227" s="6">
        <v>47.0</v>
      </c>
      <c r="I227" s="9" t="str">
        <f>VLOOKUP(dynamic[productID],products[],2,FALSE)</f>
        <v>Zaanse koeken</v>
      </c>
      <c r="J227" s="9" t="str">
        <f>VLOOKUP(dynamic[productID],products[],12,FALSE)</f>
        <v>Confections</v>
      </c>
      <c r="K227" s="7" t="str">
        <f>IF(VLOOKUP(dynamic[productID],products[],7,FALSE)=1,"Discontinued","Current")</f>
        <v>Current</v>
      </c>
      <c r="L227" s="9">
        <f>VLOOKUP(dynamic[productID],products[],IF(YEAR(dynamic[orderDate])=2022,8,IF(YEAR(dynamic[orderDate])=2023,9,IF(YEAR(dynamic[orderDate])=2024,10,NA))),FALSE)</f>
        <v>4.73890038</v>
      </c>
      <c r="M227" s="9">
        <v>7.6</v>
      </c>
      <c r="N227" s="25">
        <f>(dynamic[orderPrice]-dynamic[productCost])/dynamic[productCost]</f>
        <v>0.6037475764</v>
      </c>
      <c r="O227" s="10">
        <v>16.0</v>
      </c>
      <c r="P227" s="25">
        <v>0.2</v>
      </c>
      <c r="Q227" s="9">
        <f>dynamic[orderPrice]*dynamic[orderQuantity]</f>
        <v>121.6</v>
      </c>
      <c r="R227" s="9">
        <f>dynamic[orderTotal]*(1-dynamic[discountApllied])</f>
        <v>97.28</v>
      </c>
      <c r="S227" s="9">
        <f>dynamic[revenue]-(dynamic[productCost]*dynamic[orderQuantity])</f>
        <v>21.45759391</v>
      </c>
      <c r="T227" s="25">
        <f>IFERROR(dynamic[profit]/dynamic[revenue], 0)</f>
        <v>0.2205755953</v>
      </c>
    </row>
    <row r="228" ht="15.75" customHeight="1">
      <c r="A228" s="6">
        <v>10333.0</v>
      </c>
      <c r="B228" s="7" t="s">
        <v>31</v>
      </c>
      <c r="C228" s="24" t="str">
        <f>VLOOKUP(dynamic[customerID],customers[],2,FALSE)</f>
        <v>Wartian Herkku</v>
      </c>
      <c r="D228" s="24">
        <v>44852.0</v>
      </c>
      <c r="E228" s="6">
        <f>IFERROR(__xludf.DUMMYFUNCTION("COUNTUNIQUEIFS($A$2:$A228,$B$2:$B228,B228)"),4.0)</f>
        <v>4</v>
      </c>
      <c r="F228" s="6">
        <f t="shared" si="1"/>
        <v>15</v>
      </c>
      <c r="G228" s="6" t="str">
        <f>IF(MINIFS(dynamic[orderDate], dynamic[customerID], B228) &gt;= DATE(2024,4,30)-120, 
     "New", 
     IF(MAXIFS(dynamic[orderCount], dynamic[customerID], B228)&lt;=2, 
        IF((DATE(2024,4,30) - MAXIFS(dynamic[orderDate], dynamic[customerID], B228)) &gt; 180, "Non-Returning", "Dormant"), 
        IF(AND(MAX(dynamic[sinceLastOrder]) &gt; 365, (DATE(2024,4,30) - MAXIFS(dynamic[orderDate], dynamic[customerID], B228)) &gt; 180), 
           "Dormant", "Regular")))</f>
        <v>Regular</v>
      </c>
      <c r="H228" s="6">
        <v>14.0</v>
      </c>
      <c r="I228" s="9" t="str">
        <f>VLOOKUP(dynamic[productID],products[],2,FALSE)</f>
        <v>Tofu</v>
      </c>
      <c r="J228" s="9" t="str">
        <f>VLOOKUP(dynamic[productID],products[],12,FALSE)</f>
        <v>Produce</v>
      </c>
      <c r="K228" s="7" t="str">
        <f>IF(VLOOKUP(dynamic[productID],products[],7,FALSE)=1,"Discontinued","Current")</f>
        <v>Current</v>
      </c>
      <c r="L228" s="9">
        <f>VLOOKUP(dynamic[productID],products[],IF(YEAR(dynamic[orderDate])=2022,8,IF(YEAR(dynamic[orderDate])=2023,9,IF(YEAR(dynamic[orderDate])=2024,10,NA))),FALSE)</f>
        <v>13.95254082</v>
      </c>
      <c r="M228" s="9">
        <v>18.6</v>
      </c>
      <c r="N228" s="25">
        <f>(dynamic[orderPrice]-dynamic[productCost])/dynamic[productCost]</f>
        <v>0.333090527</v>
      </c>
      <c r="O228" s="10">
        <v>10.0</v>
      </c>
      <c r="P228" s="25">
        <v>0.0</v>
      </c>
      <c r="Q228" s="9">
        <f>dynamic[orderPrice]*dynamic[orderQuantity]</f>
        <v>186</v>
      </c>
      <c r="R228" s="9">
        <f>dynamic[orderTotal]*(1-dynamic[discountApllied])</f>
        <v>186</v>
      </c>
      <c r="S228" s="9">
        <f>dynamic[revenue]-(dynamic[productCost]*dynamic[orderQuantity])</f>
        <v>46.47459176</v>
      </c>
      <c r="T228" s="25">
        <f>IFERROR(dynamic[profit]/dynamic[revenue], 0)</f>
        <v>0.2498633966</v>
      </c>
    </row>
    <row r="229" ht="15.75" customHeight="1">
      <c r="A229" s="6">
        <v>10333.0</v>
      </c>
      <c r="B229" s="7" t="s">
        <v>31</v>
      </c>
      <c r="C229" s="24" t="str">
        <f>VLOOKUP(dynamic[customerID],customers[],2,FALSE)</f>
        <v>Wartian Herkku</v>
      </c>
      <c r="D229" s="24">
        <v>44852.0</v>
      </c>
      <c r="E229" s="6">
        <f>IFERROR(__xludf.DUMMYFUNCTION("COUNTUNIQUEIFS($A$2:$A229,$B$2:$B229,B229)"),4.0)</f>
        <v>4</v>
      </c>
      <c r="F229" s="6">
        <f t="shared" si="1"/>
        <v>15</v>
      </c>
      <c r="G229" s="6" t="str">
        <f>IF(MINIFS(dynamic[orderDate], dynamic[customerID], B229) &gt;= DATE(2024,4,30)-120, 
     "New", 
     IF(MAXIFS(dynamic[orderCount], dynamic[customerID], B229)&lt;=2, 
        IF((DATE(2024,4,30) - MAXIFS(dynamic[orderDate], dynamic[customerID], B229)) &gt; 180, "Non-Returning", "Dormant"), 
        IF(AND(MAX(dynamic[sinceLastOrder]) &gt; 365, (DATE(2024,4,30) - MAXIFS(dynamic[orderDate], dynamic[customerID], B229)) &gt; 180), 
           "Dormant", "Regular")))</f>
        <v>Regular</v>
      </c>
      <c r="H229" s="6">
        <v>21.0</v>
      </c>
      <c r="I229" s="9" t="str">
        <f>VLOOKUP(dynamic[productID],products[],2,FALSE)</f>
        <v>Sir Rodney's Scones</v>
      </c>
      <c r="J229" s="9" t="str">
        <f>VLOOKUP(dynamic[productID],products[],12,FALSE)</f>
        <v>Confections</v>
      </c>
      <c r="K229" s="7" t="str">
        <f>IF(VLOOKUP(dynamic[productID],products[],7,FALSE)=1,"Discontinued","Current")</f>
        <v>Current</v>
      </c>
      <c r="L229" s="9">
        <f>VLOOKUP(dynamic[productID],products[],IF(YEAR(dynamic[orderDate])=2022,8,IF(YEAR(dynamic[orderDate])=2023,9,IF(YEAR(dynamic[orderDate])=2024,10,NA))),FALSE)</f>
        <v>5.773836452</v>
      </c>
      <c r="M229" s="9">
        <v>8.0</v>
      </c>
      <c r="N229" s="25">
        <f>(dynamic[orderPrice]-dynamic[productCost])/dynamic[productCost]</f>
        <v>0.3855605483</v>
      </c>
      <c r="O229" s="10">
        <v>10.0</v>
      </c>
      <c r="P229" s="25">
        <v>0.1</v>
      </c>
      <c r="Q229" s="9">
        <f>dynamic[orderPrice]*dynamic[orderQuantity]</f>
        <v>80</v>
      </c>
      <c r="R229" s="9">
        <f>dynamic[orderTotal]*(1-dynamic[discountApllied])</f>
        <v>72</v>
      </c>
      <c r="S229" s="9">
        <f>dynamic[revenue]-(dynamic[productCost]*dynamic[orderQuantity])</f>
        <v>14.26163548</v>
      </c>
      <c r="T229" s="25">
        <f>IFERROR(dynamic[profit]/dynamic[revenue], 0)</f>
        <v>0.1980782706</v>
      </c>
    </row>
    <row r="230" ht="15.75" customHeight="1">
      <c r="A230" s="6">
        <v>10333.0</v>
      </c>
      <c r="B230" s="7" t="s">
        <v>31</v>
      </c>
      <c r="C230" s="24" t="str">
        <f>VLOOKUP(dynamic[customerID],customers[],2,FALSE)</f>
        <v>Wartian Herkku</v>
      </c>
      <c r="D230" s="24">
        <v>44852.0</v>
      </c>
      <c r="E230" s="6">
        <f>IFERROR(__xludf.DUMMYFUNCTION("COUNTUNIQUEIFS($A$2:$A230,$B$2:$B230,B230)"),4.0)</f>
        <v>4</v>
      </c>
      <c r="F230" s="6">
        <f t="shared" si="1"/>
        <v>15</v>
      </c>
      <c r="G230" s="6" t="str">
        <f>IF(MINIFS(dynamic[orderDate], dynamic[customerID], B230) &gt;= DATE(2024,4,30)-120, 
     "New", 
     IF(MAXIFS(dynamic[orderCount], dynamic[customerID], B230)&lt;=2, 
        IF((DATE(2024,4,30) - MAXIFS(dynamic[orderDate], dynamic[customerID], B230)) &gt; 180, "Non-Returning", "Dormant"), 
        IF(AND(MAX(dynamic[sinceLastOrder]) &gt; 365, (DATE(2024,4,30) - MAXIFS(dynamic[orderDate], dynamic[customerID], B230)) &gt; 180), 
           "Dormant", "Regular")))</f>
        <v>Regular</v>
      </c>
      <c r="H230" s="6">
        <v>71.0</v>
      </c>
      <c r="I230" s="9" t="str">
        <f>VLOOKUP(dynamic[productID],products[],2,FALSE)</f>
        <v>Flotemysost</v>
      </c>
      <c r="J230" s="9" t="str">
        <f>VLOOKUP(dynamic[productID],products[],12,FALSE)</f>
        <v>Dairy Products</v>
      </c>
      <c r="K230" s="7" t="str">
        <f>IF(VLOOKUP(dynamic[productID],products[],7,FALSE)=1,"Discontinued","Current")</f>
        <v>Current</v>
      </c>
      <c r="L230" s="9">
        <f>VLOOKUP(dynamic[productID],products[],IF(YEAR(dynamic[orderDate])=2022,8,IF(YEAR(dynamic[orderDate])=2023,9,IF(YEAR(dynamic[orderDate])=2024,10,NA))),FALSE)</f>
        <v>12.00719029</v>
      </c>
      <c r="M230" s="9">
        <v>17.2</v>
      </c>
      <c r="N230" s="25">
        <f>(dynamic[orderPrice]-dynamic[productCost])/dynamic[productCost]</f>
        <v>0.4324750075</v>
      </c>
      <c r="O230" s="10">
        <v>40.0</v>
      </c>
      <c r="P230" s="25">
        <v>0.1</v>
      </c>
      <c r="Q230" s="9">
        <f>dynamic[orderPrice]*dynamic[orderQuantity]</f>
        <v>688</v>
      </c>
      <c r="R230" s="9">
        <f>dynamic[orderTotal]*(1-dynamic[discountApllied])</f>
        <v>619.2</v>
      </c>
      <c r="S230" s="9">
        <f>dynamic[revenue]-(dynamic[productCost]*dynamic[orderQuantity])</f>
        <v>138.9123884</v>
      </c>
      <c r="T230" s="25">
        <f>IFERROR(dynamic[profit]/dynamic[revenue], 0)</f>
        <v>0.2243417126</v>
      </c>
    </row>
    <row r="231" ht="15.75" customHeight="1">
      <c r="A231" s="6">
        <v>10334.0</v>
      </c>
      <c r="B231" s="7" t="s">
        <v>18</v>
      </c>
      <c r="C231" s="24" t="str">
        <f>VLOOKUP(dynamic[customerID],customers[],2,FALSE)</f>
        <v>Victuailles en stock</v>
      </c>
      <c r="D231" s="24">
        <v>44855.0</v>
      </c>
      <c r="E231" s="6">
        <f>IFERROR(__xludf.DUMMYFUNCTION("COUNTUNIQUEIFS($A$2:$A231,$B$2:$B231,B231)"),2.0)</f>
        <v>2</v>
      </c>
      <c r="F231" s="6">
        <f t="shared" si="1"/>
        <v>105</v>
      </c>
      <c r="G231" s="6" t="str">
        <f>IF(MINIFS(dynamic[orderDate], dynamic[customerID], B231) &gt;= DATE(2024,4,30)-120, 
     "New", 
     IF(MAXIFS(dynamic[orderCount], dynamic[customerID], B231)&lt;=2, 
        IF((DATE(2024,4,30) - MAXIFS(dynamic[orderDate], dynamic[customerID], B231)) &gt; 180, "Non-Returning", "Dormant"), 
        IF(AND(MAX(dynamic[sinceLastOrder]) &gt; 365, (DATE(2024,4,30) - MAXIFS(dynamic[orderDate], dynamic[customerID], B231)) &gt; 180), 
           "Dormant", "Regular")))</f>
        <v>Regular</v>
      </c>
      <c r="H231" s="6">
        <v>52.0</v>
      </c>
      <c r="I231" s="9" t="str">
        <f>VLOOKUP(dynamic[productID],products[],2,FALSE)</f>
        <v>Filo Mix</v>
      </c>
      <c r="J231" s="9" t="str">
        <f>VLOOKUP(dynamic[productID],products[],12,FALSE)</f>
        <v>Grains/Cereals</v>
      </c>
      <c r="K231" s="7" t="str">
        <f>IF(VLOOKUP(dynamic[productID],products[],7,FALSE)=1,"Discontinued","Current")</f>
        <v>Current</v>
      </c>
      <c r="L231" s="9">
        <f>VLOOKUP(dynamic[productID],products[],IF(YEAR(dynamic[orderDate])=2022,8,IF(YEAR(dynamic[orderDate])=2023,9,IF(YEAR(dynamic[orderDate])=2024,10,NA))),FALSE)</f>
        <v>3.853499959</v>
      </c>
      <c r="M231" s="9">
        <v>5.6</v>
      </c>
      <c r="N231" s="25">
        <f>(dynamic[orderPrice]-dynamic[productCost])/dynamic[productCost]</f>
        <v>0.4532243571</v>
      </c>
      <c r="O231" s="10">
        <v>8.0</v>
      </c>
      <c r="P231" s="25">
        <v>0.0</v>
      </c>
      <c r="Q231" s="9">
        <f>dynamic[orderPrice]*dynamic[orderQuantity]</f>
        <v>44.8</v>
      </c>
      <c r="R231" s="9">
        <f>dynamic[orderTotal]*(1-dynamic[discountApllied])</f>
        <v>44.8</v>
      </c>
      <c r="S231" s="9">
        <f>dynamic[revenue]-(dynamic[productCost]*dynamic[orderQuantity])</f>
        <v>13.97200033</v>
      </c>
      <c r="T231" s="25">
        <f>IFERROR(dynamic[profit]/dynamic[revenue], 0)</f>
        <v>0.3118750074</v>
      </c>
    </row>
    <row r="232" ht="15.75" customHeight="1">
      <c r="A232" s="6">
        <v>10334.0</v>
      </c>
      <c r="B232" s="7" t="s">
        <v>18</v>
      </c>
      <c r="C232" s="24" t="str">
        <f>VLOOKUP(dynamic[customerID],customers[],2,FALSE)</f>
        <v>Victuailles en stock</v>
      </c>
      <c r="D232" s="24">
        <v>44855.0</v>
      </c>
      <c r="E232" s="6">
        <f>IFERROR(__xludf.DUMMYFUNCTION("COUNTUNIQUEIFS($A$2:$A232,$B$2:$B232,B232)"),2.0)</f>
        <v>2</v>
      </c>
      <c r="F232" s="6">
        <f t="shared" si="1"/>
        <v>105</v>
      </c>
      <c r="G232" s="6" t="str">
        <f>IF(MINIFS(dynamic[orderDate], dynamic[customerID], B232) &gt;= DATE(2024,4,30)-120, 
     "New", 
     IF(MAXIFS(dynamic[orderCount], dynamic[customerID], B232)&lt;=2, 
        IF((DATE(2024,4,30) - MAXIFS(dynamic[orderDate], dynamic[customerID], B232)) &gt; 180, "Non-Returning", "Dormant"), 
        IF(AND(MAX(dynamic[sinceLastOrder]) &gt; 365, (DATE(2024,4,30) - MAXIFS(dynamic[orderDate], dynamic[customerID], B232)) &gt; 180), 
           "Dormant", "Regular")))</f>
        <v>Regular</v>
      </c>
      <c r="H232" s="6">
        <v>68.0</v>
      </c>
      <c r="I232" s="9" t="str">
        <f>VLOOKUP(dynamic[productID],products[],2,FALSE)</f>
        <v>Scottish Longbreads</v>
      </c>
      <c r="J232" s="9" t="str">
        <f>VLOOKUP(dynamic[productID],products[],12,FALSE)</f>
        <v>Confections</v>
      </c>
      <c r="K232" s="7" t="str">
        <f>IF(VLOOKUP(dynamic[productID],products[],7,FALSE)=1,"Discontinued","Current")</f>
        <v>Current</v>
      </c>
      <c r="L232" s="9">
        <f>VLOOKUP(dynamic[productID],products[],IF(YEAR(dynamic[orderDate])=2022,8,IF(YEAR(dynamic[orderDate])=2023,9,IF(YEAR(dynamic[orderDate])=2024,10,NA))),FALSE)</f>
        <v>7.316656529</v>
      </c>
      <c r="M232" s="9">
        <v>10.0</v>
      </c>
      <c r="N232" s="25">
        <f>(dynamic[orderPrice]-dynamic[productCost])/dynamic[productCost]</f>
        <v>0.3667444906</v>
      </c>
      <c r="O232" s="10">
        <v>10.0</v>
      </c>
      <c r="P232" s="25">
        <v>0.0</v>
      </c>
      <c r="Q232" s="9">
        <f>dynamic[orderPrice]*dynamic[orderQuantity]</f>
        <v>100</v>
      </c>
      <c r="R232" s="9">
        <f>dynamic[orderTotal]*(1-dynamic[discountApllied])</f>
        <v>100</v>
      </c>
      <c r="S232" s="9">
        <f>dynamic[revenue]-(dynamic[productCost]*dynamic[orderQuantity])</f>
        <v>26.83343471</v>
      </c>
      <c r="T232" s="25">
        <f>IFERROR(dynamic[profit]/dynamic[revenue], 0)</f>
        <v>0.2683343471</v>
      </c>
    </row>
    <row r="233" ht="15.75" customHeight="1">
      <c r="A233" s="6">
        <v>10335.0</v>
      </c>
      <c r="B233" s="7" t="s">
        <v>49</v>
      </c>
      <c r="C233" s="24" t="str">
        <f>VLOOKUP(dynamic[customerID],customers[],2,FALSE)</f>
        <v>Hungry Owl All-Night Grocers</v>
      </c>
      <c r="D233" s="24">
        <v>44856.0</v>
      </c>
      <c r="E233" s="6">
        <f>IFERROR(__xludf.DUMMYFUNCTION("COUNTUNIQUEIFS($A$2:$A233,$B$2:$B233,B233)"),3.0)</f>
        <v>3</v>
      </c>
      <c r="F233" s="6">
        <f t="shared" si="1"/>
        <v>33</v>
      </c>
      <c r="G233" s="6" t="str">
        <f>IF(MINIFS(dynamic[orderDate], dynamic[customerID], B233) &gt;= DATE(2024,4,30)-120, 
     "New", 
     IF(MAXIFS(dynamic[orderCount], dynamic[customerID], B233)&lt;=2, 
        IF((DATE(2024,4,30) - MAXIFS(dynamic[orderDate], dynamic[customerID], B233)) &gt; 180, "Non-Returning", "Dormant"), 
        IF(AND(MAX(dynamic[sinceLastOrder]) &gt; 365, (DATE(2024,4,30) - MAXIFS(dynamic[orderDate], dynamic[customerID], B233)) &gt; 180), 
           "Dormant", "Regular")))</f>
        <v>Regular</v>
      </c>
      <c r="H233" s="6">
        <v>2.0</v>
      </c>
      <c r="I233" s="9" t="str">
        <f>VLOOKUP(dynamic[productID],products[],2,FALSE)</f>
        <v>Chang</v>
      </c>
      <c r="J233" s="9" t="str">
        <f>VLOOKUP(dynamic[productID],products[],12,FALSE)</f>
        <v>Beverages</v>
      </c>
      <c r="K233" s="7" t="str">
        <f>IF(VLOOKUP(dynamic[productID],products[],7,FALSE)=1,"Discontinued","Current")</f>
        <v>Current</v>
      </c>
      <c r="L233" s="9">
        <f>VLOOKUP(dynamic[productID],products[],IF(YEAR(dynamic[orderDate])=2022,8,IF(YEAR(dynamic[orderDate])=2023,9,IF(YEAR(dynamic[orderDate])=2024,10,NA))),FALSE)</f>
        <v>9.768746876</v>
      </c>
      <c r="M233" s="9">
        <v>15.2</v>
      </c>
      <c r="N233" s="25">
        <f>(dynamic[orderPrice]-dynamic[productCost])/dynamic[productCost]</f>
        <v>0.5559825833</v>
      </c>
      <c r="O233" s="10">
        <v>7.0</v>
      </c>
      <c r="P233" s="25">
        <v>0.2</v>
      </c>
      <c r="Q233" s="9">
        <f>dynamic[orderPrice]*dynamic[orderQuantity]</f>
        <v>106.4</v>
      </c>
      <c r="R233" s="9">
        <f>dynamic[orderTotal]*(1-dynamic[discountApllied])</f>
        <v>85.12</v>
      </c>
      <c r="S233" s="9">
        <f>dynamic[revenue]-(dynamic[productCost]*dynamic[orderQuantity])</f>
        <v>16.73877186</v>
      </c>
      <c r="T233" s="25">
        <f>IFERROR(dynamic[profit]/dynamic[revenue], 0)</f>
        <v>0.1966491056</v>
      </c>
    </row>
    <row r="234" ht="15.75" customHeight="1">
      <c r="A234" s="6">
        <v>10335.0</v>
      </c>
      <c r="B234" s="7" t="s">
        <v>49</v>
      </c>
      <c r="C234" s="24" t="str">
        <f>VLOOKUP(dynamic[customerID],customers[],2,FALSE)</f>
        <v>Hungry Owl All-Night Grocers</v>
      </c>
      <c r="D234" s="24">
        <v>44856.0</v>
      </c>
      <c r="E234" s="6">
        <f>IFERROR(__xludf.DUMMYFUNCTION("COUNTUNIQUEIFS($A$2:$A234,$B$2:$B234,B234)"),3.0)</f>
        <v>3</v>
      </c>
      <c r="F234" s="6">
        <f t="shared" si="1"/>
        <v>33</v>
      </c>
      <c r="G234" s="6" t="str">
        <f>IF(MINIFS(dynamic[orderDate], dynamic[customerID], B234) &gt;= DATE(2024,4,30)-120, 
     "New", 
     IF(MAXIFS(dynamic[orderCount], dynamic[customerID], B234)&lt;=2, 
        IF((DATE(2024,4,30) - MAXIFS(dynamic[orderDate], dynamic[customerID], B234)) &gt; 180, "Non-Returning", "Dormant"), 
        IF(AND(MAX(dynamic[sinceLastOrder]) &gt; 365, (DATE(2024,4,30) - MAXIFS(dynamic[orderDate], dynamic[customerID], B234)) &gt; 180), 
           "Dormant", "Regular")))</f>
        <v>Regular</v>
      </c>
      <c r="H234" s="6">
        <v>31.0</v>
      </c>
      <c r="I234" s="9" t="str">
        <f>VLOOKUP(dynamic[productID],products[],2,FALSE)</f>
        <v>Gorgonzola Telino</v>
      </c>
      <c r="J234" s="9" t="str">
        <f>VLOOKUP(dynamic[productID],products[],12,FALSE)</f>
        <v>Dairy Products</v>
      </c>
      <c r="K234" s="7" t="str">
        <f>IF(VLOOKUP(dynamic[productID],products[],7,FALSE)=1,"Discontinued","Current")</f>
        <v>Current</v>
      </c>
      <c r="L234" s="9">
        <f>VLOOKUP(dynamic[productID],products[],IF(YEAR(dynamic[orderDate])=2022,8,IF(YEAR(dynamic[orderDate])=2023,9,IF(YEAR(dynamic[orderDate])=2024,10,NA))),FALSE)</f>
        <v>6.44031973</v>
      </c>
      <c r="M234" s="9">
        <v>10.0</v>
      </c>
      <c r="N234" s="25">
        <f>(dynamic[orderPrice]-dynamic[productCost])/dynamic[productCost]</f>
        <v>0.5527179425</v>
      </c>
      <c r="O234" s="10">
        <v>25.0</v>
      </c>
      <c r="P234" s="25">
        <v>0.2</v>
      </c>
      <c r="Q234" s="9">
        <f>dynamic[orderPrice]*dynamic[orderQuantity]</f>
        <v>250</v>
      </c>
      <c r="R234" s="9">
        <f>dynamic[orderTotal]*(1-dynamic[discountApllied])</f>
        <v>200</v>
      </c>
      <c r="S234" s="9">
        <f>dynamic[revenue]-(dynamic[productCost]*dynamic[orderQuantity])</f>
        <v>38.99200675</v>
      </c>
      <c r="T234" s="25">
        <f>IFERROR(dynamic[profit]/dynamic[revenue], 0)</f>
        <v>0.1949600338</v>
      </c>
    </row>
    <row r="235" ht="15.75" customHeight="1">
      <c r="A235" s="6">
        <v>10335.0</v>
      </c>
      <c r="B235" s="7" t="s">
        <v>49</v>
      </c>
      <c r="C235" s="24" t="str">
        <f>VLOOKUP(dynamic[customerID],customers[],2,FALSE)</f>
        <v>Hungry Owl All-Night Grocers</v>
      </c>
      <c r="D235" s="24">
        <v>44856.0</v>
      </c>
      <c r="E235" s="6">
        <f>IFERROR(__xludf.DUMMYFUNCTION("COUNTUNIQUEIFS($A$2:$A235,$B$2:$B235,B235)"),3.0)</f>
        <v>3</v>
      </c>
      <c r="F235" s="6">
        <f t="shared" si="1"/>
        <v>33</v>
      </c>
      <c r="G235" s="6" t="str">
        <f>IF(MINIFS(dynamic[orderDate], dynamic[customerID], B235) &gt;= DATE(2024,4,30)-120, 
     "New", 
     IF(MAXIFS(dynamic[orderCount], dynamic[customerID], B235)&lt;=2, 
        IF((DATE(2024,4,30) - MAXIFS(dynamic[orderDate], dynamic[customerID], B235)) &gt; 180, "Non-Returning", "Dormant"), 
        IF(AND(MAX(dynamic[sinceLastOrder]) &gt; 365, (DATE(2024,4,30) - MAXIFS(dynamic[orderDate], dynamic[customerID], B235)) &gt; 180), 
           "Dormant", "Regular")))</f>
        <v>Regular</v>
      </c>
      <c r="H235" s="6">
        <v>32.0</v>
      </c>
      <c r="I235" s="9" t="str">
        <f>VLOOKUP(dynamic[productID],products[],2,FALSE)</f>
        <v>Mascarpone Fabioli</v>
      </c>
      <c r="J235" s="9" t="str">
        <f>VLOOKUP(dynamic[productID],products[],12,FALSE)</f>
        <v>Dairy Products</v>
      </c>
      <c r="K235" s="7" t="str">
        <f>IF(VLOOKUP(dynamic[productID],products[],7,FALSE)=1,"Discontinued","Current")</f>
        <v>Current</v>
      </c>
      <c r="L235" s="9">
        <f>VLOOKUP(dynamic[productID],products[],IF(YEAR(dynamic[orderDate])=2022,8,IF(YEAR(dynamic[orderDate])=2023,9,IF(YEAR(dynamic[orderDate])=2024,10,NA))),FALSE)</f>
        <v>14.65492467</v>
      </c>
      <c r="M235" s="9">
        <v>25.6</v>
      </c>
      <c r="N235" s="25">
        <f>(dynamic[orderPrice]-dynamic[productCost])/dynamic[productCost]</f>
        <v>0.7468530603</v>
      </c>
      <c r="O235" s="10">
        <v>6.0</v>
      </c>
      <c r="P235" s="25">
        <v>0.2</v>
      </c>
      <c r="Q235" s="9">
        <f>dynamic[orderPrice]*dynamic[orderQuantity]</f>
        <v>153.6</v>
      </c>
      <c r="R235" s="9">
        <f>dynamic[orderTotal]*(1-dynamic[discountApllied])</f>
        <v>122.88</v>
      </c>
      <c r="S235" s="9">
        <f>dynamic[revenue]-(dynamic[productCost]*dynamic[orderQuantity])</f>
        <v>34.95045201</v>
      </c>
      <c r="T235" s="25">
        <f>IFERROR(dynamic[profit]/dynamic[revenue], 0)</f>
        <v>0.2844275066</v>
      </c>
    </row>
    <row r="236" ht="15.75" customHeight="1">
      <c r="A236" s="6">
        <v>10335.0</v>
      </c>
      <c r="B236" s="7" t="s">
        <v>49</v>
      </c>
      <c r="C236" s="24" t="str">
        <f>VLOOKUP(dynamic[customerID],customers[],2,FALSE)</f>
        <v>Hungry Owl All-Night Grocers</v>
      </c>
      <c r="D236" s="24">
        <v>44856.0</v>
      </c>
      <c r="E236" s="6">
        <f>IFERROR(__xludf.DUMMYFUNCTION("COUNTUNIQUEIFS($A$2:$A236,$B$2:$B236,B236)"),3.0)</f>
        <v>3</v>
      </c>
      <c r="F236" s="6">
        <f t="shared" si="1"/>
        <v>33</v>
      </c>
      <c r="G236" s="6" t="str">
        <f>IF(MINIFS(dynamic[orderDate], dynamic[customerID], B236) &gt;= DATE(2024,4,30)-120, 
     "New", 
     IF(MAXIFS(dynamic[orderCount], dynamic[customerID], B236)&lt;=2, 
        IF((DATE(2024,4,30) - MAXIFS(dynamic[orderDate], dynamic[customerID], B236)) &gt; 180, "Non-Returning", "Dormant"), 
        IF(AND(MAX(dynamic[sinceLastOrder]) &gt; 365, (DATE(2024,4,30) - MAXIFS(dynamic[orderDate], dynamic[customerID], B236)) &gt; 180), 
           "Dormant", "Regular")))</f>
        <v>Regular</v>
      </c>
      <c r="H236" s="6">
        <v>51.0</v>
      </c>
      <c r="I236" s="9" t="str">
        <f>VLOOKUP(dynamic[productID],products[],2,FALSE)</f>
        <v>Manjimup Dried Apples</v>
      </c>
      <c r="J236" s="9" t="str">
        <f>VLOOKUP(dynamic[productID],products[],12,FALSE)</f>
        <v>Produce</v>
      </c>
      <c r="K236" s="7" t="str">
        <f>IF(VLOOKUP(dynamic[productID],products[],7,FALSE)=1,"Discontinued","Current")</f>
        <v>Current</v>
      </c>
      <c r="L236" s="9">
        <f>VLOOKUP(dynamic[productID],products[],IF(YEAR(dynamic[orderDate])=2022,8,IF(YEAR(dynamic[orderDate])=2023,9,IF(YEAR(dynamic[orderDate])=2024,10,NA))),FALSE)</f>
        <v>28.87532154</v>
      </c>
      <c r="M236" s="9">
        <v>42.4</v>
      </c>
      <c r="N236" s="25">
        <f>(dynamic[orderPrice]-dynamic[productCost])/dynamic[productCost]</f>
        <v>0.4683819172</v>
      </c>
      <c r="O236" s="10">
        <v>48.0</v>
      </c>
      <c r="P236" s="25">
        <v>0.2</v>
      </c>
      <c r="Q236" s="9">
        <f>dynamic[orderPrice]*dynamic[orderQuantity]</f>
        <v>2035.2</v>
      </c>
      <c r="R236" s="9">
        <f>dynamic[orderTotal]*(1-dynamic[discountApllied])</f>
        <v>1628.16</v>
      </c>
      <c r="S236" s="9">
        <f>dynamic[revenue]-(dynamic[productCost]*dynamic[orderQuantity])</f>
        <v>242.1445662</v>
      </c>
      <c r="T236" s="25">
        <f>IFERROR(dynamic[profit]/dynamic[revenue], 0)</f>
        <v>0.148722832</v>
      </c>
    </row>
    <row r="237" ht="15.75" customHeight="1">
      <c r="A237" s="6">
        <v>10336.0</v>
      </c>
      <c r="B237" s="7" t="s">
        <v>65</v>
      </c>
      <c r="C237" s="24" t="str">
        <f>VLOOKUP(dynamic[customerID],customers[],2,FALSE)</f>
        <v>Princesa Isabel Vinhos</v>
      </c>
      <c r="D237" s="24">
        <v>44857.0</v>
      </c>
      <c r="E237" s="6">
        <f>IFERROR(__xludf.DUMMYFUNCTION("COUNTUNIQUEIFS($A$2:$A237,$B$2:$B237,B237)"),1.0)</f>
        <v>1</v>
      </c>
      <c r="F237" s="6">
        <f t="shared" si="1"/>
        <v>0</v>
      </c>
      <c r="G237" s="6" t="str">
        <f>IF(MINIFS(dynamic[orderDate], dynamic[customerID], B237) &gt;= DATE(2024,4,30)-120, 
     "New", 
     IF(MAXIFS(dynamic[orderCount], dynamic[customerID], B237)&lt;=2, 
        IF((DATE(2024,4,30) - MAXIFS(dynamic[orderDate], dynamic[customerID], B237)) &gt; 180, "Non-Returning", "Dormant"), 
        IF(AND(MAX(dynamic[sinceLastOrder]) &gt; 365, (DATE(2024,4,30) - MAXIFS(dynamic[orderDate], dynamic[customerID], B237)) &gt; 180), 
           "Dormant", "Regular")))</f>
        <v>Regular</v>
      </c>
      <c r="H237" s="6">
        <v>4.0</v>
      </c>
      <c r="I237" s="9" t="str">
        <f>VLOOKUP(dynamic[productID],products[],2,FALSE)</f>
        <v>Chef Anton's Cajun Seasoning</v>
      </c>
      <c r="J237" s="9" t="str">
        <f>VLOOKUP(dynamic[productID],products[],12,FALSE)</f>
        <v>Condiments</v>
      </c>
      <c r="K237" s="7" t="str">
        <f>IF(VLOOKUP(dynamic[productID],products[],7,FALSE)=1,"Discontinued","Current")</f>
        <v>Current</v>
      </c>
      <c r="L237" s="9">
        <f>VLOOKUP(dynamic[productID],products[],IF(YEAR(dynamic[orderDate])=2022,8,IF(YEAR(dynamic[orderDate])=2023,9,IF(YEAR(dynamic[orderDate])=2024,10,NA))),FALSE)</f>
        <v>12.12007338</v>
      </c>
      <c r="M237" s="9">
        <v>17.6</v>
      </c>
      <c r="N237" s="25">
        <f>(dynamic[orderPrice]-dynamic[productCost])/dynamic[productCost]</f>
        <v>0.4521364227</v>
      </c>
      <c r="O237" s="10">
        <v>18.0</v>
      </c>
      <c r="P237" s="25">
        <v>0.1</v>
      </c>
      <c r="Q237" s="9">
        <f>dynamic[orderPrice]*dynamic[orderQuantity]</f>
        <v>316.8</v>
      </c>
      <c r="R237" s="9">
        <f>dynamic[orderTotal]*(1-dynamic[discountApllied])</f>
        <v>285.12</v>
      </c>
      <c r="S237" s="9">
        <f>dynamic[revenue]-(dynamic[productCost]*dynamic[orderQuantity])</f>
        <v>66.95867917</v>
      </c>
      <c r="T237" s="25">
        <f>IFERROR(dynamic[profit]/dynamic[revenue], 0)</f>
        <v>0.2348438523</v>
      </c>
    </row>
    <row r="238" ht="15.75" customHeight="1">
      <c r="A238" s="6">
        <v>10337.0</v>
      </c>
      <c r="B238" s="7" t="s">
        <v>32</v>
      </c>
      <c r="C238" s="24" t="str">
        <f>VLOOKUP(dynamic[customerID],customers[],2,FALSE)</f>
        <v>Frankenversand</v>
      </c>
      <c r="D238" s="24">
        <v>44858.0</v>
      </c>
      <c r="E238" s="6">
        <f>IFERROR(__xludf.DUMMYFUNCTION("COUNTUNIQUEIFS($A$2:$A238,$B$2:$B238,B238)"),2.0)</f>
        <v>2</v>
      </c>
      <c r="F238" s="6">
        <f t="shared" si="1"/>
        <v>87</v>
      </c>
      <c r="G238" s="6" t="str">
        <f>IF(MINIFS(dynamic[orderDate], dynamic[customerID], B238) &gt;= DATE(2024,4,30)-120, 
     "New", 
     IF(MAXIFS(dynamic[orderCount], dynamic[customerID], B238)&lt;=2, 
        IF((DATE(2024,4,30) - MAXIFS(dynamic[orderDate], dynamic[customerID], B238)) &gt; 180, "Non-Returning", "Dormant"), 
        IF(AND(MAX(dynamic[sinceLastOrder]) &gt; 365, (DATE(2024,4,30) - MAXIFS(dynamic[orderDate], dynamic[customerID], B238)) &gt; 180), 
           "Dormant", "Regular")))</f>
        <v>Regular</v>
      </c>
      <c r="H238" s="6">
        <v>23.0</v>
      </c>
      <c r="I238" s="9" t="str">
        <f>VLOOKUP(dynamic[productID],products[],2,FALSE)</f>
        <v>Tunnbröd</v>
      </c>
      <c r="J238" s="9" t="str">
        <f>VLOOKUP(dynamic[productID],products[],12,FALSE)</f>
        <v>Grains/Cereals</v>
      </c>
      <c r="K238" s="7" t="str">
        <f>IF(VLOOKUP(dynamic[productID],products[],7,FALSE)=1,"Discontinued","Current")</f>
        <v>Current</v>
      </c>
      <c r="L238" s="9">
        <f>VLOOKUP(dynamic[productID],products[],IF(YEAR(dynamic[orderDate])=2022,8,IF(YEAR(dynamic[orderDate])=2023,9,IF(YEAR(dynamic[orderDate])=2024,10,NA))),FALSE)</f>
        <v>5.310194716</v>
      </c>
      <c r="M238" s="9">
        <v>7.2</v>
      </c>
      <c r="N238" s="25">
        <f>(dynamic[orderPrice]-dynamic[productCost])/dynamic[productCost]</f>
        <v>0.3558824836</v>
      </c>
      <c r="O238" s="10">
        <v>40.0</v>
      </c>
      <c r="P238" s="25">
        <v>0.0</v>
      </c>
      <c r="Q238" s="9">
        <f>dynamic[orderPrice]*dynamic[orderQuantity]</f>
        <v>288</v>
      </c>
      <c r="R238" s="9">
        <f>dynamic[orderTotal]*(1-dynamic[discountApllied])</f>
        <v>288</v>
      </c>
      <c r="S238" s="9">
        <f>dynamic[revenue]-(dynamic[productCost]*dynamic[orderQuantity])</f>
        <v>75.59221136</v>
      </c>
      <c r="T238" s="25">
        <f>IFERROR(dynamic[profit]/dynamic[revenue], 0)</f>
        <v>0.2624729561</v>
      </c>
    </row>
    <row r="239" ht="15.75" customHeight="1">
      <c r="A239" s="6">
        <v>10337.0</v>
      </c>
      <c r="B239" s="7" t="s">
        <v>32</v>
      </c>
      <c r="C239" s="24" t="str">
        <f>VLOOKUP(dynamic[customerID],customers[],2,FALSE)</f>
        <v>Frankenversand</v>
      </c>
      <c r="D239" s="24">
        <v>44858.0</v>
      </c>
      <c r="E239" s="6">
        <f>IFERROR(__xludf.DUMMYFUNCTION("COUNTUNIQUEIFS($A$2:$A239,$B$2:$B239,B239)"),2.0)</f>
        <v>2</v>
      </c>
      <c r="F239" s="6">
        <f t="shared" si="1"/>
        <v>87</v>
      </c>
      <c r="G239" s="6" t="str">
        <f>IF(MINIFS(dynamic[orderDate], dynamic[customerID], B239) &gt;= DATE(2024,4,30)-120, 
     "New", 
     IF(MAXIFS(dynamic[orderCount], dynamic[customerID], B239)&lt;=2, 
        IF((DATE(2024,4,30) - MAXIFS(dynamic[orderDate], dynamic[customerID], B239)) &gt; 180, "Non-Returning", "Dormant"), 
        IF(AND(MAX(dynamic[sinceLastOrder]) &gt; 365, (DATE(2024,4,30) - MAXIFS(dynamic[orderDate], dynamic[customerID], B239)) &gt; 180), 
           "Dormant", "Regular")))</f>
        <v>Regular</v>
      </c>
      <c r="H239" s="6">
        <v>26.0</v>
      </c>
      <c r="I239" s="9" t="str">
        <f>VLOOKUP(dynamic[productID],products[],2,FALSE)</f>
        <v>NuNuCa Nuß-Nougat-Creme</v>
      </c>
      <c r="J239" s="9" t="str">
        <f>VLOOKUP(dynamic[productID],products[],12,FALSE)</f>
        <v>Confections</v>
      </c>
      <c r="K239" s="7" t="str">
        <f>IF(VLOOKUP(dynamic[productID],products[],7,FALSE)=1,"Discontinued","Current")</f>
        <v>Current</v>
      </c>
      <c r="L239" s="9">
        <f>VLOOKUP(dynamic[productID],products[],IF(YEAR(dynamic[orderDate])=2022,8,IF(YEAR(dynamic[orderDate])=2023,9,IF(YEAR(dynamic[orderDate])=2024,10,NA))),FALSE)</f>
        <v>17.26675607</v>
      </c>
      <c r="M239" s="9">
        <v>24.9</v>
      </c>
      <c r="N239" s="25">
        <f>(dynamic[orderPrice]-dynamic[productCost])/dynamic[productCost]</f>
        <v>0.442077475</v>
      </c>
      <c r="O239" s="10">
        <v>24.0</v>
      </c>
      <c r="P239" s="25">
        <v>0.0</v>
      </c>
      <c r="Q239" s="9">
        <f>dynamic[orderPrice]*dynamic[orderQuantity]</f>
        <v>597.6</v>
      </c>
      <c r="R239" s="9">
        <f>dynamic[orderTotal]*(1-dynamic[discountApllied])</f>
        <v>597.6</v>
      </c>
      <c r="S239" s="9">
        <f>dynamic[revenue]-(dynamic[productCost]*dynamic[orderQuantity])</f>
        <v>183.1978542</v>
      </c>
      <c r="T239" s="25">
        <f>IFERROR(dynamic[profit]/dynamic[revenue], 0)</f>
        <v>0.306555981</v>
      </c>
    </row>
    <row r="240" ht="15.75" customHeight="1">
      <c r="A240" s="6">
        <v>10337.0</v>
      </c>
      <c r="B240" s="7" t="s">
        <v>32</v>
      </c>
      <c r="C240" s="24" t="str">
        <f>VLOOKUP(dynamic[customerID],customers[],2,FALSE)</f>
        <v>Frankenversand</v>
      </c>
      <c r="D240" s="24">
        <v>44858.0</v>
      </c>
      <c r="E240" s="6">
        <f>IFERROR(__xludf.DUMMYFUNCTION("COUNTUNIQUEIFS($A$2:$A240,$B$2:$B240,B240)"),2.0)</f>
        <v>2</v>
      </c>
      <c r="F240" s="6">
        <f t="shared" si="1"/>
        <v>87</v>
      </c>
      <c r="G240" s="6" t="str">
        <f>IF(MINIFS(dynamic[orderDate], dynamic[customerID], B240) &gt;= DATE(2024,4,30)-120, 
     "New", 
     IF(MAXIFS(dynamic[orderCount], dynamic[customerID], B240)&lt;=2, 
        IF((DATE(2024,4,30) - MAXIFS(dynamic[orderDate], dynamic[customerID], B240)) &gt; 180, "Non-Returning", "Dormant"), 
        IF(AND(MAX(dynamic[sinceLastOrder]) &gt; 365, (DATE(2024,4,30) - MAXIFS(dynamic[orderDate], dynamic[customerID], B240)) &gt; 180), 
           "Dormant", "Regular")))</f>
        <v>Regular</v>
      </c>
      <c r="H240" s="6">
        <v>36.0</v>
      </c>
      <c r="I240" s="9" t="str">
        <f>VLOOKUP(dynamic[productID],products[],2,FALSE)</f>
        <v>Inlagd Sill</v>
      </c>
      <c r="J240" s="9" t="str">
        <f>VLOOKUP(dynamic[productID],products[],12,FALSE)</f>
        <v>Seafood</v>
      </c>
      <c r="K240" s="7" t="str">
        <f>IF(VLOOKUP(dynamic[productID],products[],7,FALSE)=1,"Discontinued","Current")</f>
        <v>Current</v>
      </c>
      <c r="L240" s="9">
        <f>VLOOKUP(dynamic[productID],products[],IF(YEAR(dynamic[orderDate])=2022,8,IF(YEAR(dynamic[orderDate])=2023,9,IF(YEAR(dynamic[orderDate])=2024,10,NA))),FALSE)</f>
        <v>9.768238429</v>
      </c>
      <c r="M240" s="9">
        <v>15.2</v>
      </c>
      <c r="N240" s="25">
        <f>(dynamic[orderPrice]-dynamic[productCost])/dynamic[productCost]</f>
        <v>0.5560635738</v>
      </c>
      <c r="O240" s="10">
        <v>20.0</v>
      </c>
      <c r="P240" s="25">
        <v>0.0</v>
      </c>
      <c r="Q240" s="9">
        <f>dynamic[orderPrice]*dynamic[orderQuantity]</f>
        <v>304</v>
      </c>
      <c r="R240" s="9">
        <f>dynamic[orderTotal]*(1-dynamic[discountApllied])</f>
        <v>304</v>
      </c>
      <c r="S240" s="9">
        <f>dynamic[revenue]-(dynamic[productCost]*dynamic[orderQuantity])</f>
        <v>108.6352314</v>
      </c>
      <c r="T240" s="25">
        <f>IFERROR(dynamic[profit]/dynamic[revenue], 0)</f>
        <v>0.3573527349</v>
      </c>
    </row>
    <row r="241" ht="15.75" customHeight="1">
      <c r="A241" s="6">
        <v>10337.0</v>
      </c>
      <c r="B241" s="7" t="s">
        <v>32</v>
      </c>
      <c r="C241" s="24" t="str">
        <f>VLOOKUP(dynamic[customerID],customers[],2,FALSE)</f>
        <v>Frankenversand</v>
      </c>
      <c r="D241" s="24">
        <v>44858.0</v>
      </c>
      <c r="E241" s="6">
        <f>IFERROR(__xludf.DUMMYFUNCTION("COUNTUNIQUEIFS($A$2:$A241,$B$2:$B241,B241)"),2.0)</f>
        <v>2</v>
      </c>
      <c r="F241" s="6">
        <f t="shared" si="1"/>
        <v>87</v>
      </c>
      <c r="G241" s="6" t="str">
        <f>IF(MINIFS(dynamic[orderDate], dynamic[customerID], B241) &gt;= DATE(2024,4,30)-120, 
     "New", 
     IF(MAXIFS(dynamic[orderCount], dynamic[customerID], B241)&lt;=2, 
        IF((DATE(2024,4,30) - MAXIFS(dynamic[orderDate], dynamic[customerID], B241)) &gt; 180, "Non-Returning", "Dormant"), 
        IF(AND(MAX(dynamic[sinceLastOrder]) &gt; 365, (DATE(2024,4,30) - MAXIFS(dynamic[orderDate], dynamic[customerID], B241)) &gt; 180), 
           "Dormant", "Regular")))</f>
        <v>Regular</v>
      </c>
      <c r="H241" s="6">
        <v>37.0</v>
      </c>
      <c r="I241" s="9" t="str">
        <f>VLOOKUP(dynamic[productID],products[],2,FALSE)</f>
        <v>Gravad lax</v>
      </c>
      <c r="J241" s="9" t="str">
        <f>VLOOKUP(dynamic[productID],products[],12,FALSE)</f>
        <v>Seafood</v>
      </c>
      <c r="K241" s="7" t="str">
        <f>IF(VLOOKUP(dynamic[productID],products[],7,FALSE)=1,"Discontinued","Current")</f>
        <v>Current</v>
      </c>
      <c r="L241" s="9">
        <f>VLOOKUP(dynamic[productID],products[],IF(YEAR(dynamic[orderDate])=2022,8,IF(YEAR(dynamic[orderDate])=2023,9,IF(YEAR(dynamic[orderDate])=2024,10,NA))),FALSE)</f>
        <v>14.59372954</v>
      </c>
      <c r="M241" s="9">
        <v>20.8</v>
      </c>
      <c r="N241" s="25">
        <f>(dynamic[orderPrice]-dynamic[productCost])/dynamic[productCost]</f>
        <v>0.4252696644</v>
      </c>
      <c r="O241" s="10">
        <v>28.0</v>
      </c>
      <c r="P241" s="25">
        <v>0.0</v>
      </c>
      <c r="Q241" s="9">
        <f>dynamic[orderPrice]*dynamic[orderQuantity]</f>
        <v>582.4</v>
      </c>
      <c r="R241" s="9">
        <f>dynamic[orderTotal]*(1-dynamic[discountApllied])</f>
        <v>582.4</v>
      </c>
      <c r="S241" s="9">
        <f>dynamic[revenue]-(dynamic[productCost]*dynamic[orderQuantity])</f>
        <v>173.7755729</v>
      </c>
      <c r="T241" s="25">
        <f>IFERROR(dynamic[profit]/dynamic[revenue], 0)</f>
        <v>0.2983783876</v>
      </c>
    </row>
    <row r="242" ht="15.75" customHeight="1">
      <c r="A242" s="6">
        <v>10337.0</v>
      </c>
      <c r="B242" s="7" t="s">
        <v>32</v>
      </c>
      <c r="C242" s="24" t="str">
        <f>VLOOKUP(dynamic[customerID],customers[],2,FALSE)</f>
        <v>Frankenversand</v>
      </c>
      <c r="D242" s="24">
        <v>44858.0</v>
      </c>
      <c r="E242" s="6">
        <f>IFERROR(__xludf.DUMMYFUNCTION("COUNTUNIQUEIFS($A$2:$A242,$B$2:$B242,B242)"),2.0)</f>
        <v>2</v>
      </c>
      <c r="F242" s="6">
        <f t="shared" si="1"/>
        <v>87</v>
      </c>
      <c r="G242" s="6" t="str">
        <f>IF(MINIFS(dynamic[orderDate], dynamic[customerID], B242) &gt;= DATE(2024,4,30)-120, 
     "New", 
     IF(MAXIFS(dynamic[orderCount], dynamic[customerID], B242)&lt;=2, 
        IF((DATE(2024,4,30) - MAXIFS(dynamic[orderDate], dynamic[customerID], B242)) &gt; 180, "Non-Returning", "Dormant"), 
        IF(AND(MAX(dynamic[sinceLastOrder]) &gt; 365, (DATE(2024,4,30) - MAXIFS(dynamic[orderDate], dynamic[customerID], B242)) &gt; 180), 
           "Dormant", "Regular")))</f>
        <v>Regular</v>
      </c>
      <c r="H242" s="6">
        <v>72.0</v>
      </c>
      <c r="I242" s="9" t="str">
        <f>VLOOKUP(dynamic[productID],products[],2,FALSE)</f>
        <v>Mozzarella di Giovanni</v>
      </c>
      <c r="J242" s="9" t="str">
        <f>VLOOKUP(dynamic[productID],products[],12,FALSE)</f>
        <v>Dairy Products</v>
      </c>
      <c r="K242" s="7" t="str">
        <f>IF(VLOOKUP(dynamic[productID],products[],7,FALSE)=1,"Discontinued","Current")</f>
        <v>Current</v>
      </c>
      <c r="L242" s="9">
        <f>VLOOKUP(dynamic[productID],products[],IF(YEAR(dynamic[orderDate])=2022,8,IF(YEAR(dynamic[orderDate])=2023,9,IF(YEAR(dynamic[orderDate])=2024,10,NA))),FALSE)</f>
        <v>19.20829334</v>
      </c>
      <c r="M242" s="9">
        <v>27.8</v>
      </c>
      <c r="N242" s="25">
        <f>(dynamic[orderPrice]-dynamic[productCost])/dynamic[productCost]</f>
        <v>0.4472915167</v>
      </c>
      <c r="O242" s="10">
        <v>25.0</v>
      </c>
      <c r="P242" s="25">
        <v>0.0</v>
      </c>
      <c r="Q242" s="9">
        <f>dynamic[orderPrice]*dynamic[orderQuantity]</f>
        <v>695</v>
      </c>
      <c r="R242" s="9">
        <f>dynamic[orderTotal]*(1-dynamic[discountApllied])</f>
        <v>695</v>
      </c>
      <c r="S242" s="9">
        <f>dynamic[revenue]-(dynamic[productCost]*dynamic[orderQuantity])</f>
        <v>214.7926665</v>
      </c>
      <c r="T242" s="25">
        <f>IFERROR(dynamic[profit]/dynamic[revenue], 0)</f>
        <v>0.3090541965</v>
      </c>
    </row>
    <row r="243" ht="15.75" customHeight="1">
      <c r="A243" s="6">
        <v>10338.0</v>
      </c>
      <c r="B243" s="7" t="s">
        <v>52</v>
      </c>
      <c r="C243" s="24" t="str">
        <f>VLOOKUP(dynamic[customerID],customers[],2,FALSE)</f>
        <v>Old World Delicatessen</v>
      </c>
      <c r="D243" s="24">
        <v>44859.0</v>
      </c>
      <c r="E243" s="6">
        <f>IFERROR(__xludf.DUMMYFUNCTION("COUNTUNIQUEIFS($A$2:$A243,$B$2:$B243,B243)"),2.0)</f>
        <v>2</v>
      </c>
      <c r="F243" s="6">
        <f t="shared" si="1"/>
        <v>42</v>
      </c>
      <c r="G243" s="6" t="str">
        <f>IF(MINIFS(dynamic[orderDate], dynamic[customerID], B243) &gt;= DATE(2024,4,30)-120, 
     "New", 
     IF(MAXIFS(dynamic[orderCount], dynamic[customerID], B243)&lt;=2, 
        IF((DATE(2024,4,30) - MAXIFS(dynamic[orderDate], dynamic[customerID], B243)) &gt; 180, "Non-Returning", "Dormant"), 
        IF(AND(MAX(dynamic[sinceLastOrder]) &gt; 365, (DATE(2024,4,30) - MAXIFS(dynamic[orderDate], dynamic[customerID], B243)) &gt; 180), 
           "Dormant", "Regular")))</f>
        <v>Regular</v>
      </c>
      <c r="H243" s="6">
        <v>17.0</v>
      </c>
      <c r="I243" s="9" t="str">
        <f>VLOOKUP(dynamic[productID],products[],2,FALSE)</f>
        <v>Alice Mutton</v>
      </c>
      <c r="J243" s="9" t="str">
        <f>VLOOKUP(dynamic[productID],products[],12,FALSE)</f>
        <v>Meat/Poultry</v>
      </c>
      <c r="K243" s="7" t="str">
        <f>IF(VLOOKUP(dynamic[productID],products[],7,FALSE)=1,"Discontinued","Current")</f>
        <v>Discontinued</v>
      </c>
      <c r="L243" s="9">
        <f>VLOOKUP(dynamic[productID],products[],IF(YEAR(dynamic[orderDate])=2022,8,IF(YEAR(dynamic[orderDate])=2023,9,IF(YEAR(dynamic[orderDate])=2024,10,NA))),FALSE)</f>
        <v>21.25377406</v>
      </c>
      <c r="M243" s="9">
        <v>31.2</v>
      </c>
      <c r="N243" s="25">
        <f>(dynamic[orderPrice]-dynamic[productCost])/dynamic[productCost]</f>
        <v>0.4679745775</v>
      </c>
      <c r="O243" s="10">
        <v>20.0</v>
      </c>
      <c r="P243" s="25">
        <v>0.0</v>
      </c>
      <c r="Q243" s="9">
        <f>dynamic[orderPrice]*dynamic[orderQuantity]</f>
        <v>624</v>
      </c>
      <c r="R243" s="9">
        <f>dynamic[orderTotal]*(1-dynamic[discountApllied])</f>
        <v>624</v>
      </c>
      <c r="S243" s="9">
        <f>dynamic[revenue]-(dynamic[productCost]*dynamic[orderQuantity])</f>
        <v>198.9245187</v>
      </c>
      <c r="T243" s="25">
        <f>IFERROR(dynamic[profit]/dynamic[revenue], 0)</f>
        <v>0.3187892928</v>
      </c>
    </row>
    <row r="244" ht="15.75" customHeight="1">
      <c r="A244" s="6">
        <v>10338.0</v>
      </c>
      <c r="B244" s="7" t="s">
        <v>52</v>
      </c>
      <c r="C244" s="24" t="str">
        <f>VLOOKUP(dynamic[customerID],customers[],2,FALSE)</f>
        <v>Old World Delicatessen</v>
      </c>
      <c r="D244" s="24">
        <v>44859.0</v>
      </c>
      <c r="E244" s="6">
        <f>IFERROR(__xludf.DUMMYFUNCTION("COUNTUNIQUEIFS($A$2:$A244,$B$2:$B244,B244)"),2.0)</f>
        <v>2</v>
      </c>
      <c r="F244" s="6">
        <f t="shared" si="1"/>
        <v>42</v>
      </c>
      <c r="G244" s="6" t="str">
        <f>IF(MINIFS(dynamic[orderDate], dynamic[customerID], B244) &gt;= DATE(2024,4,30)-120, 
     "New", 
     IF(MAXIFS(dynamic[orderCount], dynamic[customerID], B244)&lt;=2, 
        IF((DATE(2024,4,30) - MAXIFS(dynamic[orderDate], dynamic[customerID], B244)) &gt; 180, "Non-Returning", "Dormant"), 
        IF(AND(MAX(dynamic[sinceLastOrder]) &gt; 365, (DATE(2024,4,30) - MAXIFS(dynamic[orderDate], dynamic[customerID], B244)) &gt; 180), 
           "Dormant", "Regular")))</f>
        <v>Regular</v>
      </c>
      <c r="H244" s="6">
        <v>30.0</v>
      </c>
      <c r="I244" s="9" t="str">
        <f>VLOOKUP(dynamic[productID],products[],2,FALSE)</f>
        <v>Nord-Ost Matjeshering</v>
      </c>
      <c r="J244" s="9" t="str">
        <f>VLOOKUP(dynamic[productID],products[],12,FALSE)</f>
        <v>Seafood</v>
      </c>
      <c r="K244" s="7" t="str">
        <f>IF(VLOOKUP(dynamic[productID],products[],7,FALSE)=1,"Discontinued","Current")</f>
        <v>Current</v>
      </c>
      <c r="L244" s="9">
        <f>VLOOKUP(dynamic[productID],products[],IF(YEAR(dynamic[orderDate])=2022,8,IF(YEAR(dynamic[orderDate])=2023,9,IF(YEAR(dynamic[orderDate])=2024,10,NA))),FALSE)</f>
        <v>13.41656868</v>
      </c>
      <c r="M244" s="9">
        <v>20.7</v>
      </c>
      <c r="N244" s="25">
        <f>(dynamic[orderPrice]-dynamic[productCost])/dynamic[productCost]</f>
        <v>0.5428684114</v>
      </c>
      <c r="O244" s="10">
        <v>15.0</v>
      </c>
      <c r="P244" s="25">
        <v>0.0</v>
      </c>
      <c r="Q244" s="9">
        <f>dynamic[orderPrice]*dynamic[orderQuantity]</f>
        <v>310.5</v>
      </c>
      <c r="R244" s="9">
        <f>dynamic[orderTotal]*(1-dynamic[discountApllied])</f>
        <v>310.5</v>
      </c>
      <c r="S244" s="9">
        <f>dynamic[revenue]-(dynamic[productCost]*dynamic[orderQuantity])</f>
        <v>109.2514699</v>
      </c>
      <c r="T244" s="25">
        <f>IFERROR(dynamic[profit]/dynamic[revenue], 0)</f>
        <v>0.3518565857</v>
      </c>
    </row>
    <row r="245" ht="15.75" customHeight="1">
      <c r="A245" s="6">
        <v>10339.0</v>
      </c>
      <c r="B245" s="7" t="s">
        <v>64</v>
      </c>
      <c r="C245" s="24" t="str">
        <f>VLOOKUP(dynamic[customerID],customers[],2,FALSE)</f>
        <v>Mère Paillarde</v>
      </c>
      <c r="D245" s="24">
        <v>44862.0</v>
      </c>
      <c r="E245" s="6">
        <f>IFERROR(__xludf.DUMMYFUNCTION("COUNTUNIQUEIFS($A$2:$A245,$B$2:$B245,B245)"),2.0)</f>
        <v>2</v>
      </c>
      <c r="F245" s="6">
        <f t="shared" si="1"/>
        <v>11</v>
      </c>
      <c r="G245" s="6" t="str">
        <f>IF(MINIFS(dynamic[orderDate], dynamic[customerID], B245) &gt;= DATE(2024,4,30)-120, 
     "New", 
     IF(MAXIFS(dynamic[orderCount], dynamic[customerID], B245)&lt;=2, 
        IF((DATE(2024,4,30) - MAXIFS(dynamic[orderDate], dynamic[customerID], B245)) &gt; 180, "Non-Returning", "Dormant"), 
        IF(AND(MAX(dynamic[sinceLastOrder]) &gt; 365, (DATE(2024,4,30) - MAXIFS(dynamic[orderDate], dynamic[customerID], B245)) &gt; 180), 
           "Dormant", "Regular")))</f>
        <v>Dormant</v>
      </c>
      <c r="H245" s="6">
        <v>4.0</v>
      </c>
      <c r="I245" s="9" t="str">
        <f>VLOOKUP(dynamic[productID],products[],2,FALSE)</f>
        <v>Chef Anton's Cajun Seasoning</v>
      </c>
      <c r="J245" s="9" t="str">
        <f>VLOOKUP(dynamic[productID],products[],12,FALSE)</f>
        <v>Condiments</v>
      </c>
      <c r="K245" s="7" t="str">
        <f>IF(VLOOKUP(dynamic[productID],products[],7,FALSE)=1,"Discontinued","Current")</f>
        <v>Current</v>
      </c>
      <c r="L245" s="9">
        <f>VLOOKUP(dynamic[productID],products[],IF(YEAR(dynamic[orderDate])=2022,8,IF(YEAR(dynamic[orderDate])=2023,9,IF(YEAR(dynamic[orderDate])=2024,10,NA))),FALSE)</f>
        <v>12.12007338</v>
      </c>
      <c r="M245" s="9">
        <v>17.6</v>
      </c>
      <c r="N245" s="25">
        <f>(dynamic[orderPrice]-dynamic[productCost])/dynamic[productCost]</f>
        <v>0.4521364227</v>
      </c>
      <c r="O245" s="10">
        <v>10.0</v>
      </c>
      <c r="P245" s="25">
        <v>0.0</v>
      </c>
      <c r="Q245" s="9">
        <f>dynamic[orderPrice]*dynamic[orderQuantity]</f>
        <v>176</v>
      </c>
      <c r="R245" s="9">
        <f>dynamic[orderTotal]*(1-dynamic[discountApllied])</f>
        <v>176</v>
      </c>
      <c r="S245" s="9">
        <f>dynamic[revenue]-(dynamic[productCost]*dynamic[orderQuantity])</f>
        <v>54.79926621</v>
      </c>
      <c r="T245" s="25">
        <f>IFERROR(dynamic[profit]/dynamic[revenue], 0)</f>
        <v>0.3113594671</v>
      </c>
    </row>
    <row r="246" ht="15.75" customHeight="1">
      <c r="A246" s="6">
        <v>10339.0</v>
      </c>
      <c r="B246" s="7" t="s">
        <v>64</v>
      </c>
      <c r="C246" s="24" t="str">
        <f>VLOOKUP(dynamic[customerID],customers[],2,FALSE)</f>
        <v>Mère Paillarde</v>
      </c>
      <c r="D246" s="24">
        <v>44862.0</v>
      </c>
      <c r="E246" s="6">
        <f>IFERROR(__xludf.DUMMYFUNCTION("COUNTUNIQUEIFS($A$2:$A246,$B$2:$B246,B246)"),2.0)</f>
        <v>2</v>
      </c>
      <c r="F246" s="6">
        <f t="shared" si="1"/>
        <v>11</v>
      </c>
      <c r="G246" s="6" t="str">
        <f>IF(MINIFS(dynamic[orderDate], dynamic[customerID], B246) &gt;= DATE(2024,4,30)-120, 
     "New", 
     IF(MAXIFS(dynamic[orderCount], dynamic[customerID], B246)&lt;=2, 
        IF((DATE(2024,4,30) - MAXIFS(dynamic[orderDate], dynamic[customerID], B246)) &gt; 180, "Non-Returning", "Dormant"), 
        IF(AND(MAX(dynamic[sinceLastOrder]) &gt; 365, (DATE(2024,4,30) - MAXIFS(dynamic[orderDate], dynamic[customerID], B246)) &gt; 180), 
           "Dormant", "Regular")))</f>
        <v>Dormant</v>
      </c>
      <c r="H246" s="6">
        <v>17.0</v>
      </c>
      <c r="I246" s="9" t="str">
        <f>VLOOKUP(dynamic[productID],products[],2,FALSE)</f>
        <v>Alice Mutton</v>
      </c>
      <c r="J246" s="9" t="str">
        <f>VLOOKUP(dynamic[productID],products[],12,FALSE)</f>
        <v>Meat/Poultry</v>
      </c>
      <c r="K246" s="7" t="str">
        <f>IF(VLOOKUP(dynamic[productID],products[],7,FALSE)=1,"Discontinued","Current")</f>
        <v>Discontinued</v>
      </c>
      <c r="L246" s="9">
        <f>VLOOKUP(dynamic[productID],products[],IF(YEAR(dynamic[orderDate])=2022,8,IF(YEAR(dynamic[orderDate])=2023,9,IF(YEAR(dynamic[orderDate])=2024,10,NA))),FALSE)</f>
        <v>21.25377406</v>
      </c>
      <c r="M246" s="9">
        <v>31.2</v>
      </c>
      <c r="N246" s="25">
        <f>(dynamic[orderPrice]-dynamic[productCost])/dynamic[productCost]</f>
        <v>0.4679745775</v>
      </c>
      <c r="O246" s="10">
        <v>70.0</v>
      </c>
      <c r="P246" s="25">
        <v>0.05</v>
      </c>
      <c r="Q246" s="9">
        <f>dynamic[orderPrice]*dynamic[orderQuantity]</f>
        <v>2184</v>
      </c>
      <c r="R246" s="9">
        <f>dynamic[orderTotal]*(1-dynamic[discountApllied])</f>
        <v>2074.8</v>
      </c>
      <c r="S246" s="9">
        <f>dynamic[revenue]-(dynamic[productCost]*dynamic[orderQuantity])</f>
        <v>587.0358156</v>
      </c>
      <c r="T246" s="25">
        <f>IFERROR(dynamic[profit]/dynamic[revenue], 0)</f>
        <v>0.2829360977</v>
      </c>
    </row>
    <row r="247" ht="15.75" customHeight="1">
      <c r="A247" s="6">
        <v>10339.0</v>
      </c>
      <c r="B247" s="7" t="s">
        <v>64</v>
      </c>
      <c r="C247" s="24" t="str">
        <f>VLOOKUP(dynamic[customerID],customers[],2,FALSE)</f>
        <v>Mère Paillarde</v>
      </c>
      <c r="D247" s="24">
        <v>44862.0</v>
      </c>
      <c r="E247" s="6">
        <f>IFERROR(__xludf.DUMMYFUNCTION("COUNTUNIQUEIFS($A$2:$A247,$B$2:$B247,B247)"),2.0)</f>
        <v>2</v>
      </c>
      <c r="F247" s="6">
        <f t="shared" si="1"/>
        <v>11</v>
      </c>
      <c r="G247" s="6" t="str">
        <f>IF(MINIFS(dynamic[orderDate], dynamic[customerID], B247) &gt;= DATE(2024,4,30)-120, 
     "New", 
     IF(MAXIFS(dynamic[orderCount], dynamic[customerID], B247)&lt;=2, 
        IF((DATE(2024,4,30) - MAXIFS(dynamic[orderDate], dynamic[customerID], B247)) &gt; 180, "Non-Returning", "Dormant"), 
        IF(AND(MAX(dynamic[sinceLastOrder]) &gt; 365, (DATE(2024,4,30) - MAXIFS(dynamic[orderDate], dynamic[customerID], B247)) &gt; 180), 
           "Dormant", "Regular")))</f>
        <v>Dormant</v>
      </c>
      <c r="H247" s="6">
        <v>62.0</v>
      </c>
      <c r="I247" s="9" t="str">
        <f>VLOOKUP(dynamic[productID],products[],2,FALSE)</f>
        <v>Tarte au sucre</v>
      </c>
      <c r="J247" s="9" t="str">
        <f>VLOOKUP(dynamic[productID],products[],12,FALSE)</f>
        <v>Confections</v>
      </c>
      <c r="K247" s="7" t="str">
        <f>IF(VLOOKUP(dynamic[productID],products[],7,FALSE)=1,"Discontinued","Current")</f>
        <v>Current</v>
      </c>
      <c r="L247" s="9">
        <f>VLOOKUP(dynamic[productID],products[],IF(YEAR(dynamic[orderDate])=2022,8,IF(YEAR(dynamic[orderDate])=2023,9,IF(YEAR(dynamic[orderDate])=2024,10,NA))),FALSE)</f>
        <v>29.35963319</v>
      </c>
      <c r="M247" s="9">
        <v>39.4</v>
      </c>
      <c r="N247" s="25">
        <f>(dynamic[orderPrice]-dynamic[productCost])/dynamic[productCost]</f>
        <v>0.3419786189</v>
      </c>
      <c r="O247" s="10">
        <v>28.0</v>
      </c>
      <c r="P247" s="25">
        <v>0.0</v>
      </c>
      <c r="Q247" s="9">
        <f>dynamic[orderPrice]*dynamic[orderQuantity]</f>
        <v>1103.2</v>
      </c>
      <c r="R247" s="9">
        <f>dynamic[orderTotal]*(1-dynamic[discountApllied])</f>
        <v>1103.2</v>
      </c>
      <c r="S247" s="9">
        <f>dynamic[revenue]-(dynamic[productCost]*dynamic[orderQuantity])</f>
        <v>281.1302707</v>
      </c>
      <c r="T247" s="25">
        <f>IFERROR(dynamic[profit]/dynamic[revenue], 0)</f>
        <v>0.2548316449</v>
      </c>
    </row>
    <row r="248" ht="15.75" customHeight="1">
      <c r="A248" s="6">
        <v>10340.0</v>
      </c>
      <c r="B248" s="7" t="s">
        <v>63</v>
      </c>
      <c r="C248" s="24" t="str">
        <f>VLOOKUP(dynamic[customerID],customers[],2,FALSE)</f>
        <v>Bon app'</v>
      </c>
      <c r="D248" s="24">
        <v>44863.0</v>
      </c>
      <c r="E248" s="6">
        <f>IFERROR(__xludf.DUMMYFUNCTION("COUNTUNIQUEIFS($A$2:$A248,$B$2:$B248,B248)"),2.0)</f>
        <v>2</v>
      </c>
      <c r="F248" s="6">
        <f t="shared" si="1"/>
        <v>13</v>
      </c>
      <c r="G248" s="6" t="str">
        <f>IF(MINIFS(dynamic[orderDate], dynamic[customerID], B248) &gt;= DATE(2024,4,30)-120, 
     "New", 
     IF(MAXIFS(dynamic[orderCount], dynamic[customerID], B248)&lt;=2, 
        IF((DATE(2024,4,30) - MAXIFS(dynamic[orderDate], dynamic[customerID], B248)) &gt; 180, "Non-Returning", "Dormant"), 
        IF(AND(MAX(dynamic[sinceLastOrder]) &gt; 365, (DATE(2024,4,30) - MAXIFS(dynamic[orderDate], dynamic[customerID], B248)) &gt; 180), 
           "Dormant", "Regular")))</f>
        <v>Regular</v>
      </c>
      <c r="H248" s="6">
        <v>18.0</v>
      </c>
      <c r="I248" s="9" t="str">
        <f>VLOOKUP(dynamic[productID],products[],2,FALSE)</f>
        <v>Carnarvon Tigers</v>
      </c>
      <c r="J248" s="9" t="str">
        <f>VLOOKUP(dynamic[productID],products[],12,FALSE)</f>
        <v>Seafood</v>
      </c>
      <c r="K248" s="7" t="str">
        <f>IF(VLOOKUP(dynamic[productID],products[],7,FALSE)=1,"Discontinued","Current")</f>
        <v>Current</v>
      </c>
      <c r="L248" s="9">
        <f>VLOOKUP(dynamic[productID],products[],IF(YEAR(dynamic[orderDate])=2022,8,IF(YEAR(dynamic[orderDate])=2023,9,IF(YEAR(dynamic[orderDate])=2024,10,NA))),FALSE)</f>
        <v>32.46379819</v>
      </c>
      <c r="M248" s="9">
        <v>50.0</v>
      </c>
      <c r="N248" s="25">
        <f>(dynamic[orderPrice]-dynamic[productCost])/dynamic[productCost]</f>
        <v>0.5401771445</v>
      </c>
      <c r="O248" s="10">
        <v>20.0</v>
      </c>
      <c r="P248" s="25">
        <v>0.05</v>
      </c>
      <c r="Q248" s="9">
        <f>dynamic[orderPrice]*dynamic[orderQuantity]</f>
        <v>1000</v>
      </c>
      <c r="R248" s="9">
        <f>dynamic[orderTotal]*(1-dynamic[discountApllied])</f>
        <v>950</v>
      </c>
      <c r="S248" s="9">
        <f>dynamic[revenue]-(dynamic[productCost]*dynamic[orderQuantity])</f>
        <v>300.7240361</v>
      </c>
      <c r="T248" s="25">
        <f>IFERROR(dynamic[profit]/dynamic[revenue], 0)</f>
        <v>0.316551617</v>
      </c>
    </row>
    <row r="249" ht="15.75" customHeight="1">
      <c r="A249" s="6">
        <v>10340.0</v>
      </c>
      <c r="B249" s="7" t="s">
        <v>63</v>
      </c>
      <c r="C249" s="24" t="str">
        <f>VLOOKUP(dynamic[customerID],customers[],2,FALSE)</f>
        <v>Bon app'</v>
      </c>
      <c r="D249" s="24">
        <v>44863.0</v>
      </c>
      <c r="E249" s="6">
        <f>IFERROR(__xludf.DUMMYFUNCTION("COUNTUNIQUEIFS($A$2:$A249,$B$2:$B249,B249)"),2.0)</f>
        <v>2</v>
      </c>
      <c r="F249" s="6">
        <f t="shared" si="1"/>
        <v>13</v>
      </c>
      <c r="G249" s="6" t="str">
        <f>IF(MINIFS(dynamic[orderDate], dynamic[customerID], B249) &gt;= DATE(2024,4,30)-120, 
     "New", 
     IF(MAXIFS(dynamic[orderCount], dynamic[customerID], B249)&lt;=2, 
        IF((DATE(2024,4,30) - MAXIFS(dynamic[orderDate], dynamic[customerID], B249)) &gt; 180, "Non-Returning", "Dormant"), 
        IF(AND(MAX(dynamic[sinceLastOrder]) &gt; 365, (DATE(2024,4,30) - MAXIFS(dynamic[orderDate], dynamic[customerID], B249)) &gt; 180), 
           "Dormant", "Regular")))</f>
        <v>Regular</v>
      </c>
      <c r="H249" s="6">
        <v>41.0</v>
      </c>
      <c r="I249" s="9" t="str">
        <f>VLOOKUP(dynamic[productID],products[],2,FALSE)</f>
        <v>Jack's New England Clam Chowder</v>
      </c>
      <c r="J249" s="9" t="str">
        <f>VLOOKUP(dynamic[productID],products[],12,FALSE)</f>
        <v>Seafood</v>
      </c>
      <c r="K249" s="7" t="str">
        <f>IF(VLOOKUP(dynamic[productID],products[],7,FALSE)=1,"Discontinued","Current")</f>
        <v>Current</v>
      </c>
      <c r="L249" s="9">
        <f>VLOOKUP(dynamic[productID],products[],IF(YEAR(dynamic[orderDate])=2022,8,IF(YEAR(dynamic[orderDate])=2023,9,IF(YEAR(dynamic[orderDate])=2024,10,NA))),FALSE)</f>
        <v>5.170198742</v>
      </c>
      <c r="M249" s="9">
        <v>7.7</v>
      </c>
      <c r="N249" s="25">
        <f>(dynamic[orderPrice]-dynamic[productCost])/dynamic[productCost]</f>
        <v>0.4893044511</v>
      </c>
      <c r="O249" s="10">
        <v>12.0</v>
      </c>
      <c r="P249" s="25">
        <v>0.05</v>
      </c>
      <c r="Q249" s="9">
        <f>dynamic[orderPrice]*dynamic[orderQuantity]</f>
        <v>92.4</v>
      </c>
      <c r="R249" s="9">
        <f>dynamic[orderTotal]*(1-dynamic[discountApllied])</f>
        <v>87.78</v>
      </c>
      <c r="S249" s="9">
        <f>dynamic[revenue]-(dynamic[productCost]*dynamic[orderQuantity])</f>
        <v>25.73761509</v>
      </c>
      <c r="T249" s="25">
        <f>IFERROR(dynamic[profit]/dynamic[revenue], 0)</f>
        <v>0.2932059136</v>
      </c>
    </row>
    <row r="250" ht="15.75" customHeight="1">
      <c r="A250" s="6">
        <v>10340.0</v>
      </c>
      <c r="B250" s="7" t="s">
        <v>63</v>
      </c>
      <c r="C250" s="24" t="str">
        <f>VLOOKUP(dynamic[customerID],customers[],2,FALSE)</f>
        <v>Bon app'</v>
      </c>
      <c r="D250" s="24">
        <v>44863.0</v>
      </c>
      <c r="E250" s="6">
        <f>IFERROR(__xludf.DUMMYFUNCTION("COUNTUNIQUEIFS($A$2:$A250,$B$2:$B250,B250)"),2.0)</f>
        <v>2</v>
      </c>
      <c r="F250" s="6">
        <f t="shared" si="1"/>
        <v>13</v>
      </c>
      <c r="G250" s="6" t="str">
        <f>IF(MINIFS(dynamic[orderDate], dynamic[customerID], B250) &gt;= DATE(2024,4,30)-120, 
     "New", 
     IF(MAXIFS(dynamic[orderCount], dynamic[customerID], B250)&lt;=2, 
        IF((DATE(2024,4,30) - MAXIFS(dynamic[orderDate], dynamic[customerID], B250)) &gt; 180, "Non-Returning", "Dormant"), 
        IF(AND(MAX(dynamic[sinceLastOrder]) &gt; 365, (DATE(2024,4,30) - MAXIFS(dynamic[orderDate], dynamic[customerID], B250)) &gt; 180), 
           "Dormant", "Regular")))</f>
        <v>Regular</v>
      </c>
      <c r="H250" s="6">
        <v>43.0</v>
      </c>
      <c r="I250" s="9" t="str">
        <f>VLOOKUP(dynamic[productID],products[],2,FALSE)</f>
        <v>Ipoh Coffee</v>
      </c>
      <c r="J250" s="9" t="str">
        <f>VLOOKUP(dynamic[productID],products[],12,FALSE)</f>
        <v>Beverages</v>
      </c>
      <c r="K250" s="7" t="str">
        <f>IF(VLOOKUP(dynamic[productID],products[],7,FALSE)=1,"Discontinued","Current")</f>
        <v>Current</v>
      </c>
      <c r="L250" s="9">
        <f>VLOOKUP(dynamic[productID],products[],IF(YEAR(dynamic[orderDate])=2022,8,IF(YEAR(dynamic[orderDate])=2023,9,IF(YEAR(dynamic[orderDate])=2024,10,NA))),FALSE)</f>
        <v>25.79491918</v>
      </c>
      <c r="M250" s="9">
        <v>36.8</v>
      </c>
      <c r="N250" s="25">
        <f>(dynamic[orderPrice]-dynamic[productCost])/dynamic[productCost]</f>
        <v>0.4266375384</v>
      </c>
      <c r="O250" s="10">
        <v>40.0</v>
      </c>
      <c r="P250" s="25">
        <v>0.05</v>
      </c>
      <c r="Q250" s="9">
        <f>dynamic[orderPrice]*dynamic[orderQuantity]</f>
        <v>1472</v>
      </c>
      <c r="R250" s="9">
        <f>dynamic[orderTotal]*(1-dynamic[discountApllied])</f>
        <v>1398.4</v>
      </c>
      <c r="S250" s="9">
        <f>dynamic[revenue]-(dynamic[productCost]*dynamic[orderQuantity])</f>
        <v>366.6032329</v>
      </c>
      <c r="T250" s="25">
        <f>IFERROR(dynamic[profit]/dynamic[revenue], 0)</f>
        <v>0.2621590624</v>
      </c>
    </row>
    <row r="251" ht="15.75" customHeight="1">
      <c r="A251" s="6">
        <v>10341.0</v>
      </c>
      <c r="B251" s="7" t="s">
        <v>66</v>
      </c>
      <c r="C251" s="24" t="str">
        <f>VLOOKUP(dynamic[customerID],customers[],2,FALSE)</f>
        <v>Simons bistro</v>
      </c>
      <c r="D251" s="24">
        <v>44863.0</v>
      </c>
      <c r="E251" s="6">
        <f>IFERROR(__xludf.DUMMYFUNCTION("COUNTUNIQUEIFS($A$2:$A251,$B$2:$B251,B251)"),1.0)</f>
        <v>1</v>
      </c>
      <c r="F251" s="6">
        <f t="shared" si="1"/>
        <v>0</v>
      </c>
      <c r="G251" s="6" t="str">
        <f>IF(MINIFS(dynamic[orderDate], dynamic[customerID], B251) &gt;= DATE(2024,4,30)-120, 
     "New", 
     IF(MAXIFS(dynamic[orderCount], dynamic[customerID], B251)&lt;=2, 
        IF((DATE(2024,4,30) - MAXIFS(dynamic[orderDate], dynamic[customerID], B251)) &gt; 180, "Non-Returning", "Dormant"), 
        IF(AND(MAX(dynamic[sinceLastOrder]) &gt; 365, (DATE(2024,4,30) - MAXIFS(dynamic[orderDate], dynamic[customerID], B251)) &gt; 180), 
           "Dormant", "Regular")))</f>
        <v>Regular</v>
      </c>
      <c r="H251" s="6">
        <v>33.0</v>
      </c>
      <c r="I251" s="9" t="str">
        <f>VLOOKUP(dynamic[productID],products[],2,FALSE)</f>
        <v>Geitost</v>
      </c>
      <c r="J251" s="9" t="str">
        <f>VLOOKUP(dynamic[productID],products[],12,FALSE)</f>
        <v>Dairy Products</v>
      </c>
      <c r="K251" s="7" t="str">
        <f>IF(VLOOKUP(dynamic[productID],products[],7,FALSE)=1,"Discontinued","Current")</f>
        <v>Current</v>
      </c>
      <c r="L251" s="9">
        <f>VLOOKUP(dynamic[productID],products[],IF(YEAR(dynamic[orderDate])=2022,8,IF(YEAR(dynamic[orderDate])=2023,9,IF(YEAR(dynamic[orderDate])=2024,10,NA))),FALSE)</f>
        <v>1.393847434</v>
      </c>
      <c r="M251" s="9">
        <v>2.0</v>
      </c>
      <c r="N251" s="25">
        <f>(dynamic[orderPrice]-dynamic[productCost])/dynamic[productCost]</f>
        <v>0.4348772692</v>
      </c>
      <c r="O251" s="10">
        <v>8.0</v>
      </c>
      <c r="P251" s="25">
        <v>0.0</v>
      </c>
      <c r="Q251" s="9">
        <f>dynamic[orderPrice]*dynamic[orderQuantity]</f>
        <v>16</v>
      </c>
      <c r="R251" s="9">
        <f>dynamic[orderTotal]*(1-dynamic[discountApllied])</f>
        <v>16</v>
      </c>
      <c r="S251" s="9">
        <f>dynamic[revenue]-(dynamic[productCost]*dynamic[orderQuantity])</f>
        <v>4.849220527</v>
      </c>
      <c r="T251" s="25">
        <f>IFERROR(dynamic[profit]/dynamic[revenue], 0)</f>
        <v>0.3030762829</v>
      </c>
    </row>
    <row r="252" ht="15.75" customHeight="1">
      <c r="A252" s="6">
        <v>10341.0</v>
      </c>
      <c r="B252" s="7" t="s">
        <v>66</v>
      </c>
      <c r="C252" s="24" t="str">
        <f>VLOOKUP(dynamic[customerID],customers[],2,FALSE)</f>
        <v>Simons bistro</v>
      </c>
      <c r="D252" s="24">
        <v>44863.0</v>
      </c>
      <c r="E252" s="6">
        <f>IFERROR(__xludf.DUMMYFUNCTION("COUNTUNIQUEIFS($A$2:$A252,$B$2:$B252,B252)"),1.0)</f>
        <v>1</v>
      </c>
      <c r="F252" s="6">
        <f t="shared" si="1"/>
        <v>0</v>
      </c>
      <c r="G252" s="6" t="str">
        <f>IF(MINIFS(dynamic[orderDate], dynamic[customerID], B252) &gt;= DATE(2024,4,30)-120, 
     "New", 
     IF(MAXIFS(dynamic[orderCount], dynamic[customerID], B252)&lt;=2, 
        IF((DATE(2024,4,30) - MAXIFS(dynamic[orderDate], dynamic[customerID], B252)) &gt; 180, "Non-Returning", "Dormant"), 
        IF(AND(MAX(dynamic[sinceLastOrder]) &gt; 365, (DATE(2024,4,30) - MAXIFS(dynamic[orderDate], dynamic[customerID], B252)) &gt; 180), 
           "Dormant", "Regular")))</f>
        <v>Regular</v>
      </c>
      <c r="H252" s="6">
        <v>59.0</v>
      </c>
      <c r="I252" s="9" t="str">
        <f>VLOOKUP(dynamic[productID],products[],2,FALSE)</f>
        <v>Raclette Courdavault</v>
      </c>
      <c r="J252" s="9" t="str">
        <f>VLOOKUP(dynamic[productID],products[],12,FALSE)</f>
        <v>Dairy Products</v>
      </c>
      <c r="K252" s="7" t="str">
        <f>IF(VLOOKUP(dynamic[productID],products[],7,FALSE)=1,"Discontinued","Current")</f>
        <v>Current</v>
      </c>
      <c r="L252" s="9">
        <f>VLOOKUP(dynamic[productID],products[],IF(YEAR(dynamic[orderDate])=2022,8,IF(YEAR(dynamic[orderDate])=2023,9,IF(YEAR(dynamic[orderDate])=2024,10,NA))),FALSE)</f>
        <v>29.20351951</v>
      </c>
      <c r="M252" s="9">
        <v>44.0</v>
      </c>
      <c r="N252" s="25">
        <f>(dynamic[orderPrice]-dynamic[productCost])/dynamic[productCost]</f>
        <v>0.5066677147</v>
      </c>
      <c r="O252" s="10">
        <v>9.0</v>
      </c>
      <c r="P252" s="25">
        <v>0.15</v>
      </c>
      <c r="Q252" s="9">
        <f>dynamic[orderPrice]*dynamic[orderQuantity]</f>
        <v>396</v>
      </c>
      <c r="R252" s="9">
        <f>dynamic[orderTotal]*(1-dynamic[discountApllied])</f>
        <v>336.6</v>
      </c>
      <c r="S252" s="9">
        <f>dynamic[revenue]-(dynamic[productCost]*dynamic[orderQuantity])</f>
        <v>73.76832442</v>
      </c>
      <c r="T252" s="25">
        <f>IFERROR(dynamic[profit]/dynamic[revenue], 0)</f>
        <v>0.2191572324</v>
      </c>
    </row>
    <row r="253" ht="15.75" customHeight="1">
      <c r="A253" s="6">
        <v>10342.0</v>
      </c>
      <c r="B253" s="7" t="s">
        <v>32</v>
      </c>
      <c r="C253" s="24" t="str">
        <f>VLOOKUP(dynamic[customerID],customers[],2,FALSE)</f>
        <v>Frankenversand</v>
      </c>
      <c r="D253" s="24">
        <v>44864.0</v>
      </c>
      <c r="E253" s="6">
        <f>IFERROR(__xludf.DUMMYFUNCTION("COUNTUNIQUEIFS($A$2:$A253,$B$2:$B253,B253)"),3.0)</f>
        <v>3</v>
      </c>
      <c r="F253" s="6">
        <f t="shared" si="1"/>
        <v>6</v>
      </c>
      <c r="G253" s="6" t="str">
        <f>IF(MINIFS(dynamic[orderDate], dynamic[customerID], B253) &gt;= DATE(2024,4,30)-120, 
     "New", 
     IF(MAXIFS(dynamic[orderCount], dynamic[customerID], B253)&lt;=2, 
        IF((DATE(2024,4,30) - MAXIFS(dynamic[orderDate], dynamic[customerID], B253)) &gt; 180, "Non-Returning", "Dormant"), 
        IF(AND(MAX(dynamic[sinceLastOrder]) &gt; 365, (DATE(2024,4,30) - MAXIFS(dynamic[orderDate], dynamic[customerID], B253)) &gt; 180), 
           "Dormant", "Regular")))</f>
        <v>Regular</v>
      </c>
      <c r="H253" s="6">
        <v>2.0</v>
      </c>
      <c r="I253" s="9" t="str">
        <f>VLOOKUP(dynamic[productID],products[],2,FALSE)</f>
        <v>Chang</v>
      </c>
      <c r="J253" s="9" t="str">
        <f>VLOOKUP(dynamic[productID],products[],12,FALSE)</f>
        <v>Beverages</v>
      </c>
      <c r="K253" s="7" t="str">
        <f>IF(VLOOKUP(dynamic[productID],products[],7,FALSE)=1,"Discontinued","Current")</f>
        <v>Current</v>
      </c>
      <c r="L253" s="9">
        <f>VLOOKUP(dynamic[productID],products[],IF(YEAR(dynamic[orderDate])=2022,8,IF(YEAR(dynamic[orderDate])=2023,9,IF(YEAR(dynamic[orderDate])=2024,10,NA))),FALSE)</f>
        <v>9.768746876</v>
      </c>
      <c r="M253" s="9">
        <v>15.2</v>
      </c>
      <c r="N253" s="25">
        <f>(dynamic[orderPrice]-dynamic[productCost])/dynamic[productCost]</f>
        <v>0.5559825833</v>
      </c>
      <c r="O253" s="10">
        <v>24.0</v>
      </c>
      <c r="P253" s="25">
        <v>0.2</v>
      </c>
      <c r="Q253" s="9">
        <f>dynamic[orderPrice]*dynamic[orderQuantity]</f>
        <v>364.8</v>
      </c>
      <c r="R253" s="9">
        <f>dynamic[orderTotal]*(1-dynamic[discountApllied])</f>
        <v>291.84</v>
      </c>
      <c r="S253" s="9">
        <f>dynamic[revenue]-(dynamic[productCost]*dynamic[orderQuantity])</f>
        <v>57.39007497</v>
      </c>
      <c r="T253" s="25">
        <f>IFERROR(dynamic[profit]/dynamic[revenue], 0)</f>
        <v>0.1966491056</v>
      </c>
    </row>
    <row r="254" ht="15.75" customHeight="1">
      <c r="A254" s="6">
        <v>10342.0</v>
      </c>
      <c r="B254" s="7" t="s">
        <v>32</v>
      </c>
      <c r="C254" s="24" t="str">
        <f>VLOOKUP(dynamic[customerID],customers[],2,FALSE)</f>
        <v>Frankenversand</v>
      </c>
      <c r="D254" s="24">
        <v>44864.0</v>
      </c>
      <c r="E254" s="6">
        <f>IFERROR(__xludf.DUMMYFUNCTION("COUNTUNIQUEIFS($A$2:$A254,$B$2:$B254,B254)"),3.0)</f>
        <v>3</v>
      </c>
      <c r="F254" s="6">
        <f t="shared" si="1"/>
        <v>6</v>
      </c>
      <c r="G254" s="6" t="str">
        <f>IF(MINIFS(dynamic[orderDate], dynamic[customerID], B254) &gt;= DATE(2024,4,30)-120, 
     "New", 
     IF(MAXIFS(dynamic[orderCount], dynamic[customerID], B254)&lt;=2, 
        IF((DATE(2024,4,30) - MAXIFS(dynamic[orderDate], dynamic[customerID], B254)) &gt; 180, "Non-Returning", "Dormant"), 
        IF(AND(MAX(dynamic[sinceLastOrder]) &gt; 365, (DATE(2024,4,30) - MAXIFS(dynamic[orderDate], dynamic[customerID], B254)) &gt; 180), 
           "Dormant", "Regular")))</f>
        <v>Regular</v>
      </c>
      <c r="H254" s="6">
        <v>31.0</v>
      </c>
      <c r="I254" s="9" t="str">
        <f>VLOOKUP(dynamic[productID],products[],2,FALSE)</f>
        <v>Gorgonzola Telino</v>
      </c>
      <c r="J254" s="9" t="str">
        <f>VLOOKUP(dynamic[productID],products[],12,FALSE)</f>
        <v>Dairy Products</v>
      </c>
      <c r="K254" s="7" t="str">
        <f>IF(VLOOKUP(dynamic[productID],products[],7,FALSE)=1,"Discontinued","Current")</f>
        <v>Current</v>
      </c>
      <c r="L254" s="9">
        <f>VLOOKUP(dynamic[productID],products[],IF(YEAR(dynamic[orderDate])=2022,8,IF(YEAR(dynamic[orderDate])=2023,9,IF(YEAR(dynamic[orderDate])=2024,10,NA))),FALSE)</f>
        <v>6.44031973</v>
      </c>
      <c r="M254" s="9">
        <v>10.0</v>
      </c>
      <c r="N254" s="25">
        <f>(dynamic[orderPrice]-dynamic[productCost])/dynamic[productCost]</f>
        <v>0.5527179425</v>
      </c>
      <c r="O254" s="10">
        <v>56.0</v>
      </c>
      <c r="P254" s="25">
        <v>0.2</v>
      </c>
      <c r="Q254" s="9">
        <f>dynamic[orderPrice]*dynamic[orderQuantity]</f>
        <v>560</v>
      </c>
      <c r="R254" s="9">
        <f>dynamic[orderTotal]*(1-dynamic[discountApllied])</f>
        <v>448</v>
      </c>
      <c r="S254" s="9">
        <f>dynamic[revenue]-(dynamic[productCost]*dynamic[orderQuantity])</f>
        <v>87.34209512</v>
      </c>
      <c r="T254" s="25">
        <f>IFERROR(dynamic[profit]/dynamic[revenue], 0)</f>
        <v>0.1949600338</v>
      </c>
    </row>
    <row r="255" ht="15.75" customHeight="1">
      <c r="A255" s="6">
        <v>10342.0</v>
      </c>
      <c r="B255" s="7" t="s">
        <v>32</v>
      </c>
      <c r="C255" s="24" t="str">
        <f>VLOOKUP(dynamic[customerID],customers[],2,FALSE)</f>
        <v>Frankenversand</v>
      </c>
      <c r="D255" s="24">
        <v>44864.0</v>
      </c>
      <c r="E255" s="6">
        <f>IFERROR(__xludf.DUMMYFUNCTION("COUNTUNIQUEIFS($A$2:$A255,$B$2:$B255,B255)"),3.0)</f>
        <v>3</v>
      </c>
      <c r="F255" s="6">
        <f t="shared" si="1"/>
        <v>6</v>
      </c>
      <c r="G255" s="6" t="str">
        <f>IF(MINIFS(dynamic[orderDate], dynamic[customerID], B255) &gt;= DATE(2024,4,30)-120, 
     "New", 
     IF(MAXIFS(dynamic[orderCount], dynamic[customerID], B255)&lt;=2, 
        IF((DATE(2024,4,30) - MAXIFS(dynamic[orderDate], dynamic[customerID], B255)) &gt; 180, "Non-Returning", "Dormant"), 
        IF(AND(MAX(dynamic[sinceLastOrder]) &gt; 365, (DATE(2024,4,30) - MAXIFS(dynamic[orderDate], dynamic[customerID], B255)) &gt; 180), 
           "Dormant", "Regular")))</f>
        <v>Regular</v>
      </c>
      <c r="H255" s="6">
        <v>36.0</v>
      </c>
      <c r="I255" s="9" t="str">
        <f>VLOOKUP(dynamic[productID],products[],2,FALSE)</f>
        <v>Inlagd Sill</v>
      </c>
      <c r="J255" s="9" t="str">
        <f>VLOOKUP(dynamic[productID],products[],12,FALSE)</f>
        <v>Seafood</v>
      </c>
      <c r="K255" s="7" t="str">
        <f>IF(VLOOKUP(dynamic[productID],products[],7,FALSE)=1,"Discontinued","Current")</f>
        <v>Current</v>
      </c>
      <c r="L255" s="9">
        <f>VLOOKUP(dynamic[productID],products[],IF(YEAR(dynamic[orderDate])=2022,8,IF(YEAR(dynamic[orderDate])=2023,9,IF(YEAR(dynamic[orderDate])=2024,10,NA))),FALSE)</f>
        <v>9.768238429</v>
      </c>
      <c r="M255" s="9">
        <v>15.2</v>
      </c>
      <c r="N255" s="25">
        <f>(dynamic[orderPrice]-dynamic[productCost])/dynamic[productCost]</f>
        <v>0.5560635738</v>
      </c>
      <c r="O255" s="10">
        <v>40.0</v>
      </c>
      <c r="P255" s="25">
        <v>0.2</v>
      </c>
      <c r="Q255" s="9">
        <f>dynamic[orderPrice]*dynamic[orderQuantity]</f>
        <v>608</v>
      </c>
      <c r="R255" s="9">
        <f>dynamic[orderTotal]*(1-dynamic[discountApllied])</f>
        <v>486.4</v>
      </c>
      <c r="S255" s="9">
        <f>dynamic[revenue]-(dynamic[productCost]*dynamic[orderQuantity])</f>
        <v>95.67046283</v>
      </c>
      <c r="T255" s="25">
        <f>IFERROR(dynamic[profit]/dynamic[revenue], 0)</f>
        <v>0.1966909186</v>
      </c>
    </row>
    <row r="256" ht="15.75" customHeight="1">
      <c r="A256" s="6">
        <v>10342.0</v>
      </c>
      <c r="B256" s="7" t="s">
        <v>32</v>
      </c>
      <c r="C256" s="24" t="str">
        <f>VLOOKUP(dynamic[customerID],customers[],2,FALSE)</f>
        <v>Frankenversand</v>
      </c>
      <c r="D256" s="24">
        <v>44864.0</v>
      </c>
      <c r="E256" s="6">
        <f>IFERROR(__xludf.DUMMYFUNCTION("COUNTUNIQUEIFS($A$2:$A256,$B$2:$B256,B256)"),3.0)</f>
        <v>3</v>
      </c>
      <c r="F256" s="6">
        <f t="shared" si="1"/>
        <v>6</v>
      </c>
      <c r="G256" s="6" t="str">
        <f>IF(MINIFS(dynamic[orderDate], dynamic[customerID], B256) &gt;= DATE(2024,4,30)-120, 
     "New", 
     IF(MAXIFS(dynamic[orderCount], dynamic[customerID], B256)&lt;=2, 
        IF((DATE(2024,4,30) - MAXIFS(dynamic[orderDate], dynamic[customerID], B256)) &gt; 180, "Non-Returning", "Dormant"), 
        IF(AND(MAX(dynamic[sinceLastOrder]) &gt; 365, (DATE(2024,4,30) - MAXIFS(dynamic[orderDate], dynamic[customerID], B256)) &gt; 180), 
           "Dormant", "Regular")))</f>
        <v>Regular</v>
      </c>
      <c r="H256" s="6">
        <v>55.0</v>
      </c>
      <c r="I256" s="9" t="str">
        <f>VLOOKUP(dynamic[productID],products[],2,FALSE)</f>
        <v>Pâté chinois</v>
      </c>
      <c r="J256" s="9" t="str">
        <f>VLOOKUP(dynamic[productID],products[],12,FALSE)</f>
        <v>Meat/Poultry</v>
      </c>
      <c r="K256" s="7" t="str">
        <f>IF(VLOOKUP(dynamic[productID],products[],7,FALSE)=1,"Discontinued","Current")</f>
        <v>Current</v>
      </c>
      <c r="L256" s="9">
        <f>VLOOKUP(dynamic[productID],products[],IF(YEAR(dynamic[orderDate])=2022,8,IF(YEAR(dynamic[orderDate])=2023,9,IF(YEAR(dynamic[orderDate])=2024,10,NA))),FALSE)</f>
        <v>12.97496052</v>
      </c>
      <c r="M256" s="9">
        <v>19.2</v>
      </c>
      <c r="N256" s="25">
        <f>(dynamic[orderPrice]-dynamic[productCost])/dynamic[productCost]</f>
        <v>0.4797732884</v>
      </c>
      <c r="O256" s="10">
        <v>40.0</v>
      </c>
      <c r="P256" s="25">
        <v>0.2</v>
      </c>
      <c r="Q256" s="9">
        <f>dynamic[orderPrice]*dynamic[orderQuantity]</f>
        <v>768</v>
      </c>
      <c r="R256" s="9">
        <f>dynamic[orderTotal]*(1-dynamic[discountApllied])</f>
        <v>614.4</v>
      </c>
      <c r="S256" s="9">
        <f>dynamic[revenue]-(dynamic[productCost]*dynamic[orderQuantity])</f>
        <v>95.40157907</v>
      </c>
      <c r="T256" s="25">
        <f>IFERROR(dynamic[profit]/dynamic[revenue], 0)</f>
        <v>0.1552760076</v>
      </c>
    </row>
    <row r="257" ht="15.75" customHeight="1">
      <c r="A257" s="6">
        <v>10343.0</v>
      </c>
      <c r="B257" s="7" t="s">
        <v>41</v>
      </c>
      <c r="C257" s="24" t="str">
        <f>VLOOKUP(dynamic[customerID],customers[],2,FALSE)</f>
        <v>Lehmanns Marktstand</v>
      </c>
      <c r="D257" s="24">
        <v>44865.0</v>
      </c>
      <c r="E257" s="6">
        <f>IFERROR(__xludf.DUMMYFUNCTION("COUNTUNIQUEIFS($A$2:$A257,$B$2:$B257,B257)"),3.0)</f>
        <v>3</v>
      </c>
      <c r="F257" s="6">
        <f t="shared" si="1"/>
        <v>73</v>
      </c>
      <c r="G257" s="6" t="str">
        <f>IF(MINIFS(dynamic[orderDate], dynamic[customerID], B257) &gt;= DATE(2024,4,30)-120, 
     "New", 
     IF(MAXIFS(dynamic[orderCount], dynamic[customerID], B257)&lt;=2, 
        IF((DATE(2024,4,30) - MAXIFS(dynamic[orderDate], dynamic[customerID], B257)) &gt; 180, "Non-Returning", "Dormant"), 
        IF(AND(MAX(dynamic[sinceLastOrder]) &gt; 365, (DATE(2024,4,30) - MAXIFS(dynamic[orderDate], dynamic[customerID], B257)) &gt; 180), 
           "Dormant", "Regular")))</f>
        <v>Regular</v>
      </c>
      <c r="H257" s="6">
        <v>64.0</v>
      </c>
      <c r="I257" s="9" t="str">
        <f>VLOOKUP(dynamic[productID],products[],2,FALSE)</f>
        <v>Lukas' leckere Sauerteigweggla</v>
      </c>
      <c r="J257" s="9" t="str">
        <f>VLOOKUP(dynamic[productID],products[],12,FALSE)</f>
        <v>Grains/Cereals</v>
      </c>
      <c r="K257" s="7" t="str">
        <f>IF(VLOOKUP(dynamic[productID],products[],7,FALSE)=1,"Discontinued","Current")</f>
        <v>Current</v>
      </c>
      <c r="L257" s="9">
        <f>VLOOKUP(dynamic[productID],products[],IF(YEAR(dynamic[orderDate])=2022,8,IF(YEAR(dynamic[orderDate])=2023,9,IF(YEAR(dynamic[orderDate])=2024,10,NA))),FALSE)</f>
        <v>19.36982257</v>
      </c>
      <c r="M257" s="9">
        <v>26.6</v>
      </c>
      <c r="N257" s="25">
        <f>(dynamic[orderPrice]-dynamic[productCost])/dynamic[productCost]</f>
        <v>0.3732701944</v>
      </c>
      <c r="O257" s="10">
        <v>50.0</v>
      </c>
      <c r="P257" s="25">
        <v>0.0</v>
      </c>
      <c r="Q257" s="9">
        <f>dynamic[orderPrice]*dynamic[orderQuantity]</f>
        <v>1330</v>
      </c>
      <c r="R257" s="9">
        <f>dynamic[orderTotal]*(1-dynamic[discountApllied])</f>
        <v>1330</v>
      </c>
      <c r="S257" s="9">
        <f>dynamic[revenue]-(dynamic[productCost]*dynamic[orderQuantity])</f>
        <v>361.5088717</v>
      </c>
      <c r="T257" s="25">
        <f>IFERROR(dynamic[profit]/dynamic[revenue], 0)</f>
        <v>0.2718111818</v>
      </c>
    </row>
    <row r="258" ht="15.75" customHeight="1">
      <c r="A258" s="6">
        <v>10343.0</v>
      </c>
      <c r="B258" s="7" t="s">
        <v>41</v>
      </c>
      <c r="C258" s="24" t="str">
        <f>VLOOKUP(dynamic[customerID],customers[],2,FALSE)</f>
        <v>Lehmanns Marktstand</v>
      </c>
      <c r="D258" s="24">
        <v>44865.0</v>
      </c>
      <c r="E258" s="6">
        <f>IFERROR(__xludf.DUMMYFUNCTION("COUNTUNIQUEIFS($A$2:$A258,$B$2:$B258,B258)"),3.0)</f>
        <v>3</v>
      </c>
      <c r="F258" s="6">
        <f t="shared" si="1"/>
        <v>73</v>
      </c>
      <c r="G258" s="6" t="str">
        <f>IF(MINIFS(dynamic[orderDate], dynamic[customerID], B258) &gt;= DATE(2024,4,30)-120, 
     "New", 
     IF(MAXIFS(dynamic[orderCount], dynamic[customerID], B258)&lt;=2, 
        IF((DATE(2024,4,30) - MAXIFS(dynamic[orderDate], dynamic[customerID], B258)) &gt; 180, "Non-Returning", "Dormant"), 
        IF(AND(MAX(dynamic[sinceLastOrder]) &gt; 365, (DATE(2024,4,30) - MAXIFS(dynamic[orderDate], dynamic[customerID], B258)) &gt; 180), 
           "Dormant", "Regular")))</f>
        <v>Regular</v>
      </c>
      <c r="H258" s="6">
        <v>68.0</v>
      </c>
      <c r="I258" s="9" t="str">
        <f>VLOOKUP(dynamic[productID],products[],2,FALSE)</f>
        <v>Scottish Longbreads</v>
      </c>
      <c r="J258" s="9" t="str">
        <f>VLOOKUP(dynamic[productID],products[],12,FALSE)</f>
        <v>Confections</v>
      </c>
      <c r="K258" s="7" t="str">
        <f>IF(VLOOKUP(dynamic[productID],products[],7,FALSE)=1,"Discontinued","Current")</f>
        <v>Current</v>
      </c>
      <c r="L258" s="9">
        <f>VLOOKUP(dynamic[productID],products[],IF(YEAR(dynamic[orderDate])=2022,8,IF(YEAR(dynamic[orderDate])=2023,9,IF(YEAR(dynamic[orderDate])=2024,10,NA))),FALSE)</f>
        <v>7.316656529</v>
      </c>
      <c r="M258" s="9">
        <v>10.0</v>
      </c>
      <c r="N258" s="25">
        <f>(dynamic[orderPrice]-dynamic[productCost])/dynamic[productCost]</f>
        <v>0.3667444906</v>
      </c>
      <c r="O258" s="10">
        <v>4.0</v>
      </c>
      <c r="P258" s="25">
        <v>0.05</v>
      </c>
      <c r="Q258" s="9">
        <f>dynamic[orderPrice]*dynamic[orderQuantity]</f>
        <v>40</v>
      </c>
      <c r="R258" s="9">
        <f>dynamic[orderTotal]*(1-dynamic[discountApllied])</f>
        <v>38</v>
      </c>
      <c r="S258" s="9">
        <f>dynamic[revenue]-(dynamic[productCost]*dynamic[orderQuantity])</f>
        <v>8.733373886</v>
      </c>
      <c r="T258" s="25">
        <f>IFERROR(dynamic[profit]/dynamic[revenue], 0)</f>
        <v>0.2298256286</v>
      </c>
    </row>
    <row r="259" ht="15.75" customHeight="1">
      <c r="A259" s="6">
        <v>10343.0</v>
      </c>
      <c r="B259" s="7" t="s">
        <v>41</v>
      </c>
      <c r="C259" s="24" t="str">
        <f>VLOOKUP(dynamic[customerID],customers[],2,FALSE)</f>
        <v>Lehmanns Marktstand</v>
      </c>
      <c r="D259" s="24">
        <v>44865.0</v>
      </c>
      <c r="E259" s="6">
        <f>IFERROR(__xludf.DUMMYFUNCTION("COUNTUNIQUEIFS($A$2:$A259,$B$2:$B259,B259)"),3.0)</f>
        <v>3</v>
      </c>
      <c r="F259" s="6">
        <f t="shared" si="1"/>
        <v>73</v>
      </c>
      <c r="G259" s="6" t="str">
        <f>IF(MINIFS(dynamic[orderDate], dynamic[customerID], B259) &gt;= DATE(2024,4,30)-120, 
     "New", 
     IF(MAXIFS(dynamic[orderCount], dynamic[customerID], B259)&lt;=2, 
        IF((DATE(2024,4,30) - MAXIFS(dynamic[orderDate], dynamic[customerID], B259)) &gt; 180, "Non-Returning", "Dormant"), 
        IF(AND(MAX(dynamic[sinceLastOrder]) &gt; 365, (DATE(2024,4,30) - MAXIFS(dynamic[orderDate], dynamic[customerID], B259)) &gt; 180), 
           "Dormant", "Regular")))</f>
        <v>Regular</v>
      </c>
      <c r="H259" s="6">
        <v>76.0</v>
      </c>
      <c r="I259" s="9" t="str">
        <f>VLOOKUP(dynamic[productID],products[],2,FALSE)</f>
        <v>Lakkalikööri</v>
      </c>
      <c r="J259" s="9" t="str">
        <f>VLOOKUP(dynamic[productID],products[],12,FALSE)</f>
        <v>Beverages</v>
      </c>
      <c r="K259" s="7" t="str">
        <f>IF(VLOOKUP(dynamic[productID],products[],7,FALSE)=1,"Discontinued","Current")</f>
        <v>Current</v>
      </c>
      <c r="L259" s="9">
        <f>VLOOKUP(dynamic[productID],products[],IF(YEAR(dynamic[orderDate])=2022,8,IF(YEAR(dynamic[orderDate])=2023,9,IF(YEAR(dynamic[orderDate])=2024,10,NA))),FALSE)</f>
        <v>10.19609256</v>
      </c>
      <c r="M259" s="9">
        <v>14.4</v>
      </c>
      <c r="N259" s="25">
        <f>(dynamic[orderPrice]-dynamic[productCost])/dynamic[productCost]</f>
        <v>0.4123057356</v>
      </c>
      <c r="O259" s="10">
        <v>15.0</v>
      </c>
      <c r="P259" s="25">
        <v>0.0</v>
      </c>
      <c r="Q259" s="9">
        <f>dynamic[orderPrice]*dynamic[orderQuantity]</f>
        <v>216</v>
      </c>
      <c r="R259" s="9">
        <f>dynamic[orderTotal]*(1-dynamic[discountApllied])</f>
        <v>216</v>
      </c>
      <c r="S259" s="9">
        <f>dynamic[revenue]-(dynamic[productCost]*dynamic[orderQuantity])</f>
        <v>63.05861163</v>
      </c>
      <c r="T259" s="25">
        <f>IFERROR(dynamic[profit]/dynamic[revenue], 0)</f>
        <v>0.2919380168</v>
      </c>
    </row>
    <row r="260" ht="15.75" customHeight="1">
      <c r="A260" s="6">
        <v>10344.0</v>
      </c>
      <c r="B260" s="7" t="s">
        <v>34</v>
      </c>
      <c r="C260" s="24" t="str">
        <f>VLOOKUP(dynamic[customerID],customers[],2,FALSE)</f>
        <v>White Clover Markets</v>
      </c>
      <c r="D260" s="24">
        <v>44866.0</v>
      </c>
      <c r="E260" s="6">
        <f>IFERROR(__xludf.DUMMYFUNCTION("COUNTUNIQUEIFS($A$2:$A260,$B$2:$B260,B260)"),2.0)</f>
        <v>2</v>
      </c>
      <c r="F260" s="6">
        <f t="shared" si="1"/>
        <v>93</v>
      </c>
      <c r="G260" s="6" t="str">
        <f>IF(MINIFS(dynamic[orderDate], dynamic[customerID], B260) &gt;= DATE(2024,4,30)-120, 
     "New", 
     IF(MAXIFS(dynamic[orderCount], dynamic[customerID], B260)&lt;=2, 
        IF((DATE(2024,4,30) - MAXIFS(dynamic[orderDate], dynamic[customerID], B260)) &gt; 180, "Non-Returning", "Dormant"), 
        IF(AND(MAX(dynamic[sinceLastOrder]) &gt; 365, (DATE(2024,4,30) - MAXIFS(dynamic[orderDate], dynamic[customerID], B260)) &gt; 180), 
           "Dormant", "Regular")))</f>
        <v>Regular</v>
      </c>
      <c r="H260" s="6">
        <v>4.0</v>
      </c>
      <c r="I260" s="9" t="str">
        <f>VLOOKUP(dynamic[productID],products[],2,FALSE)</f>
        <v>Chef Anton's Cajun Seasoning</v>
      </c>
      <c r="J260" s="9" t="str">
        <f>VLOOKUP(dynamic[productID],products[],12,FALSE)</f>
        <v>Condiments</v>
      </c>
      <c r="K260" s="7" t="str">
        <f>IF(VLOOKUP(dynamic[productID],products[],7,FALSE)=1,"Discontinued","Current")</f>
        <v>Current</v>
      </c>
      <c r="L260" s="9">
        <f>VLOOKUP(dynamic[productID],products[],IF(YEAR(dynamic[orderDate])=2022,8,IF(YEAR(dynamic[orderDate])=2023,9,IF(YEAR(dynamic[orderDate])=2024,10,NA))),FALSE)</f>
        <v>12.12007338</v>
      </c>
      <c r="M260" s="9">
        <v>17.6</v>
      </c>
      <c r="N260" s="25">
        <f>(dynamic[orderPrice]-dynamic[productCost])/dynamic[productCost]</f>
        <v>0.4521364227</v>
      </c>
      <c r="O260" s="10">
        <v>35.0</v>
      </c>
      <c r="P260" s="25">
        <v>0.0</v>
      </c>
      <c r="Q260" s="9">
        <f>dynamic[orderPrice]*dynamic[orderQuantity]</f>
        <v>616</v>
      </c>
      <c r="R260" s="9">
        <f>dynamic[orderTotal]*(1-dynamic[discountApllied])</f>
        <v>616</v>
      </c>
      <c r="S260" s="9">
        <f>dynamic[revenue]-(dynamic[productCost]*dynamic[orderQuantity])</f>
        <v>191.7974317</v>
      </c>
      <c r="T260" s="25">
        <f>IFERROR(dynamic[profit]/dynamic[revenue], 0)</f>
        <v>0.3113594671</v>
      </c>
    </row>
    <row r="261" ht="15.75" customHeight="1">
      <c r="A261" s="6">
        <v>10344.0</v>
      </c>
      <c r="B261" s="7" t="s">
        <v>34</v>
      </c>
      <c r="C261" s="24" t="str">
        <f>VLOOKUP(dynamic[customerID],customers[],2,FALSE)</f>
        <v>White Clover Markets</v>
      </c>
      <c r="D261" s="24">
        <v>44866.0</v>
      </c>
      <c r="E261" s="6">
        <f>IFERROR(__xludf.DUMMYFUNCTION("COUNTUNIQUEIFS($A$2:$A261,$B$2:$B261,B261)"),2.0)</f>
        <v>2</v>
      </c>
      <c r="F261" s="6">
        <f t="shared" si="1"/>
        <v>93</v>
      </c>
      <c r="G261" s="6" t="str">
        <f>IF(MINIFS(dynamic[orderDate], dynamic[customerID], B261) &gt;= DATE(2024,4,30)-120, 
     "New", 
     IF(MAXIFS(dynamic[orderCount], dynamic[customerID], B261)&lt;=2, 
        IF((DATE(2024,4,30) - MAXIFS(dynamic[orderDate], dynamic[customerID], B261)) &gt; 180, "Non-Returning", "Dormant"), 
        IF(AND(MAX(dynamic[sinceLastOrder]) &gt; 365, (DATE(2024,4,30) - MAXIFS(dynamic[orderDate], dynamic[customerID], B261)) &gt; 180), 
           "Dormant", "Regular")))</f>
        <v>Regular</v>
      </c>
      <c r="H261" s="6">
        <v>8.0</v>
      </c>
      <c r="I261" s="9" t="str">
        <f>VLOOKUP(dynamic[productID],products[],2,FALSE)</f>
        <v>Northwoods Cranberry Sauce</v>
      </c>
      <c r="J261" s="9" t="str">
        <f>VLOOKUP(dynamic[productID],products[],12,FALSE)</f>
        <v>Condiments</v>
      </c>
      <c r="K261" s="7" t="str">
        <f>IF(VLOOKUP(dynamic[productID],products[],7,FALSE)=1,"Discontinued","Current")</f>
        <v>Current</v>
      </c>
      <c r="L261" s="9">
        <f>VLOOKUP(dynamic[productID],products[],IF(YEAR(dynamic[orderDate])=2022,8,IF(YEAR(dynamic[orderDate])=2023,9,IF(YEAR(dynamic[orderDate])=2024,10,NA))),FALSE)</f>
        <v>19.17176857</v>
      </c>
      <c r="M261" s="9">
        <v>32.0</v>
      </c>
      <c r="N261" s="25">
        <f>(dynamic[orderPrice]-dynamic[productCost])/dynamic[productCost]</f>
        <v>0.6691209207</v>
      </c>
      <c r="O261" s="10">
        <v>70.0</v>
      </c>
      <c r="P261" s="25">
        <v>0.25</v>
      </c>
      <c r="Q261" s="9">
        <f>dynamic[orderPrice]*dynamic[orderQuantity]</f>
        <v>2240</v>
      </c>
      <c r="R261" s="9">
        <f>dynamic[orderTotal]*(1-dynamic[discountApllied])</f>
        <v>1680</v>
      </c>
      <c r="S261" s="9">
        <f>dynamic[revenue]-(dynamic[productCost]*dynamic[orderQuantity])</f>
        <v>337.9762004</v>
      </c>
      <c r="T261" s="25">
        <f>IFERROR(dynamic[profit]/dynamic[revenue], 0)</f>
        <v>0.2011763098</v>
      </c>
    </row>
    <row r="262" ht="15.75" customHeight="1">
      <c r="A262" s="6">
        <v>10345.0</v>
      </c>
      <c r="B262" s="7" t="s">
        <v>36</v>
      </c>
      <c r="C262" s="24" t="str">
        <f>VLOOKUP(dynamic[customerID],customers[],2,FALSE)</f>
        <v>QUICK-Stop</v>
      </c>
      <c r="D262" s="24">
        <v>44869.0</v>
      </c>
      <c r="E262" s="6">
        <f>IFERROR(__xludf.DUMMYFUNCTION("COUNTUNIQUEIFS($A$2:$A262,$B$2:$B262,B262)"),5.0)</f>
        <v>5</v>
      </c>
      <c r="F262" s="6">
        <f t="shared" si="1"/>
        <v>41</v>
      </c>
      <c r="G262" s="6" t="str">
        <f>IF(MINIFS(dynamic[orderDate], dynamic[customerID], B262) &gt;= DATE(2024,4,30)-120, 
     "New", 
     IF(MAXIFS(dynamic[orderCount], dynamic[customerID], B262)&lt;=2, 
        IF((DATE(2024,4,30) - MAXIFS(dynamic[orderDate], dynamic[customerID], B262)) &gt; 180, "Non-Returning", "Dormant"), 
        IF(AND(MAX(dynamic[sinceLastOrder]) &gt; 365, (DATE(2024,4,30) - MAXIFS(dynamic[orderDate], dynamic[customerID], B262)) &gt; 180), 
           "Dormant", "Regular")))</f>
        <v>Regular</v>
      </c>
      <c r="H262" s="6">
        <v>8.0</v>
      </c>
      <c r="I262" s="9" t="str">
        <f>VLOOKUP(dynamic[productID],products[],2,FALSE)</f>
        <v>Northwoods Cranberry Sauce</v>
      </c>
      <c r="J262" s="9" t="str">
        <f>VLOOKUP(dynamic[productID],products[],12,FALSE)</f>
        <v>Condiments</v>
      </c>
      <c r="K262" s="7" t="str">
        <f>IF(VLOOKUP(dynamic[productID],products[],7,FALSE)=1,"Discontinued","Current")</f>
        <v>Current</v>
      </c>
      <c r="L262" s="9">
        <f>VLOOKUP(dynamic[productID],products[],IF(YEAR(dynamic[orderDate])=2022,8,IF(YEAR(dynamic[orderDate])=2023,9,IF(YEAR(dynamic[orderDate])=2024,10,NA))),FALSE)</f>
        <v>19.17176857</v>
      </c>
      <c r="M262" s="9">
        <v>32.0</v>
      </c>
      <c r="N262" s="25">
        <f>(dynamic[orderPrice]-dynamic[productCost])/dynamic[productCost]</f>
        <v>0.6691209207</v>
      </c>
      <c r="O262" s="10">
        <v>70.0</v>
      </c>
      <c r="P262" s="25">
        <v>0.0</v>
      </c>
      <c r="Q262" s="9">
        <f>dynamic[orderPrice]*dynamic[orderQuantity]</f>
        <v>2240</v>
      </c>
      <c r="R262" s="9">
        <f>dynamic[orderTotal]*(1-dynamic[discountApllied])</f>
        <v>2240</v>
      </c>
      <c r="S262" s="9">
        <f>dynamic[revenue]-(dynamic[productCost]*dynamic[orderQuantity])</f>
        <v>897.9762004</v>
      </c>
      <c r="T262" s="25">
        <f>IFERROR(dynamic[profit]/dynamic[revenue], 0)</f>
        <v>0.4008822323</v>
      </c>
    </row>
    <row r="263" ht="15.75" customHeight="1">
      <c r="A263" s="6">
        <v>10345.0</v>
      </c>
      <c r="B263" s="7" t="s">
        <v>36</v>
      </c>
      <c r="C263" s="24" t="str">
        <f>VLOOKUP(dynamic[customerID],customers[],2,FALSE)</f>
        <v>QUICK-Stop</v>
      </c>
      <c r="D263" s="24">
        <v>44869.0</v>
      </c>
      <c r="E263" s="6">
        <f>IFERROR(__xludf.DUMMYFUNCTION("COUNTUNIQUEIFS($A$2:$A263,$B$2:$B263,B263)"),5.0)</f>
        <v>5</v>
      </c>
      <c r="F263" s="6">
        <f t="shared" si="1"/>
        <v>41</v>
      </c>
      <c r="G263" s="6" t="str">
        <f>IF(MINIFS(dynamic[orderDate], dynamic[customerID], B263) &gt;= DATE(2024,4,30)-120, 
     "New", 
     IF(MAXIFS(dynamic[orderCount], dynamic[customerID], B263)&lt;=2, 
        IF((DATE(2024,4,30) - MAXIFS(dynamic[orderDate], dynamic[customerID], B263)) &gt; 180, "Non-Returning", "Dormant"), 
        IF(AND(MAX(dynamic[sinceLastOrder]) &gt; 365, (DATE(2024,4,30) - MAXIFS(dynamic[orderDate], dynamic[customerID], B263)) &gt; 180), 
           "Dormant", "Regular")))</f>
        <v>Regular</v>
      </c>
      <c r="H263" s="6">
        <v>19.0</v>
      </c>
      <c r="I263" s="9" t="str">
        <f>VLOOKUP(dynamic[productID],products[],2,FALSE)</f>
        <v>Teatime Chocolate Biscuits</v>
      </c>
      <c r="J263" s="9" t="str">
        <f>VLOOKUP(dynamic[productID],products[],12,FALSE)</f>
        <v>Confections</v>
      </c>
      <c r="K263" s="7" t="str">
        <f>IF(VLOOKUP(dynamic[productID],products[],7,FALSE)=1,"Discontinued","Current")</f>
        <v>Current</v>
      </c>
      <c r="L263" s="9">
        <f>VLOOKUP(dynamic[productID],products[],IF(YEAR(dynamic[orderDate])=2022,8,IF(YEAR(dynamic[orderDate])=2023,9,IF(YEAR(dynamic[orderDate])=2024,10,NA))),FALSE)</f>
        <v>5.58120093</v>
      </c>
      <c r="M263" s="9">
        <v>7.3</v>
      </c>
      <c r="N263" s="25">
        <f>(dynamic[orderPrice]-dynamic[productCost])/dynamic[productCost]</f>
        <v>0.3079622274</v>
      </c>
      <c r="O263" s="10">
        <v>80.0</v>
      </c>
      <c r="P263" s="25">
        <v>0.0</v>
      </c>
      <c r="Q263" s="9">
        <f>dynamic[orderPrice]*dynamic[orderQuantity]</f>
        <v>584</v>
      </c>
      <c r="R263" s="9">
        <f>dynamic[orderTotal]*(1-dynamic[discountApllied])</f>
        <v>584</v>
      </c>
      <c r="S263" s="9">
        <f>dynamic[revenue]-(dynamic[productCost]*dynamic[orderQuantity])</f>
        <v>137.5039256</v>
      </c>
      <c r="T263" s="25">
        <f>IFERROR(dynamic[profit]/dynamic[revenue], 0)</f>
        <v>0.2354519274</v>
      </c>
    </row>
    <row r="264" ht="15.75" customHeight="1">
      <c r="A264" s="6">
        <v>10345.0</v>
      </c>
      <c r="B264" s="7" t="s">
        <v>36</v>
      </c>
      <c r="C264" s="24" t="str">
        <f>VLOOKUP(dynamic[customerID],customers[],2,FALSE)</f>
        <v>QUICK-Stop</v>
      </c>
      <c r="D264" s="24">
        <v>44869.0</v>
      </c>
      <c r="E264" s="6">
        <f>IFERROR(__xludf.DUMMYFUNCTION("COUNTUNIQUEIFS($A$2:$A264,$B$2:$B264,B264)"),5.0)</f>
        <v>5</v>
      </c>
      <c r="F264" s="6">
        <f t="shared" si="1"/>
        <v>41</v>
      </c>
      <c r="G264" s="6" t="str">
        <f>IF(MINIFS(dynamic[orderDate], dynamic[customerID], B264) &gt;= DATE(2024,4,30)-120, 
     "New", 
     IF(MAXIFS(dynamic[orderCount], dynamic[customerID], B264)&lt;=2, 
        IF((DATE(2024,4,30) - MAXIFS(dynamic[orderDate], dynamic[customerID], B264)) &gt; 180, "Non-Returning", "Dormant"), 
        IF(AND(MAX(dynamic[sinceLastOrder]) &gt; 365, (DATE(2024,4,30) - MAXIFS(dynamic[orderDate], dynamic[customerID], B264)) &gt; 180), 
           "Dormant", "Regular")))</f>
        <v>Regular</v>
      </c>
      <c r="H264" s="6">
        <v>42.0</v>
      </c>
      <c r="I264" s="9" t="str">
        <f>VLOOKUP(dynamic[productID],products[],2,FALSE)</f>
        <v>Singaporean Hokkien Fried Mee</v>
      </c>
      <c r="J264" s="9" t="str">
        <f>VLOOKUP(dynamic[productID],products[],12,FALSE)</f>
        <v>Grains/Cereals</v>
      </c>
      <c r="K264" s="7" t="str">
        <f>IF(VLOOKUP(dynamic[productID],products[],7,FALSE)=1,"Discontinued","Current")</f>
        <v>Discontinued</v>
      </c>
      <c r="L264" s="9">
        <f>VLOOKUP(dynamic[productID],products[],IF(YEAR(dynamic[orderDate])=2022,8,IF(YEAR(dynamic[orderDate])=2023,9,IF(YEAR(dynamic[orderDate])=2024,10,NA))),FALSE)</f>
        <v>7.818425885</v>
      </c>
      <c r="M264" s="9">
        <v>11.2</v>
      </c>
      <c r="N264" s="25">
        <f>(dynamic[orderPrice]-dynamic[productCost])/dynamic[productCost]</f>
        <v>0.4325134196</v>
      </c>
      <c r="O264" s="10">
        <v>9.0</v>
      </c>
      <c r="P264" s="25">
        <v>0.0</v>
      </c>
      <c r="Q264" s="9">
        <f>dynamic[orderPrice]*dynamic[orderQuantity]</f>
        <v>100.8</v>
      </c>
      <c r="R264" s="9">
        <f>dynamic[orderTotal]*(1-dynamic[discountApllied])</f>
        <v>100.8</v>
      </c>
      <c r="S264" s="9">
        <f>dynamic[revenue]-(dynamic[productCost]*dynamic[orderQuantity])</f>
        <v>30.43416704</v>
      </c>
      <c r="T264" s="25">
        <f>IFERROR(dynamic[profit]/dynamic[revenue], 0)</f>
        <v>0.3019262603</v>
      </c>
    </row>
    <row r="265" ht="15.75" customHeight="1">
      <c r="A265" s="6">
        <v>10346.0</v>
      </c>
      <c r="B265" s="7" t="s">
        <v>28</v>
      </c>
      <c r="C265" s="24" t="str">
        <f>VLOOKUP(dynamic[customerID],customers[],2,FALSE)</f>
        <v>Rattlesnake Canyon Grocery</v>
      </c>
      <c r="D265" s="24">
        <v>44870.0</v>
      </c>
      <c r="E265" s="6">
        <f>IFERROR(__xludf.DUMMYFUNCTION("COUNTUNIQUEIFS($A$2:$A265,$B$2:$B265,B265)"),6.0)</f>
        <v>6</v>
      </c>
      <c r="F265" s="6">
        <f t="shared" si="1"/>
        <v>39</v>
      </c>
      <c r="G265" s="6" t="str">
        <f>IF(MINIFS(dynamic[orderDate], dynamic[customerID], B265) &gt;= DATE(2024,4,30)-120, 
     "New", 
     IF(MAXIFS(dynamic[orderCount], dynamic[customerID], B265)&lt;=2, 
        IF((DATE(2024,4,30) - MAXIFS(dynamic[orderDate], dynamic[customerID], B265)) &gt; 180, "Non-Returning", "Dormant"), 
        IF(AND(MAX(dynamic[sinceLastOrder]) &gt; 365, (DATE(2024,4,30) - MAXIFS(dynamic[orderDate], dynamic[customerID], B265)) &gt; 180), 
           "Dormant", "Regular")))</f>
        <v>Regular</v>
      </c>
      <c r="H265" s="6">
        <v>17.0</v>
      </c>
      <c r="I265" s="9" t="str">
        <f>VLOOKUP(dynamic[productID],products[],2,FALSE)</f>
        <v>Alice Mutton</v>
      </c>
      <c r="J265" s="9" t="str">
        <f>VLOOKUP(dynamic[productID],products[],12,FALSE)</f>
        <v>Meat/Poultry</v>
      </c>
      <c r="K265" s="7" t="str">
        <f>IF(VLOOKUP(dynamic[productID],products[],7,FALSE)=1,"Discontinued","Current")</f>
        <v>Discontinued</v>
      </c>
      <c r="L265" s="9">
        <f>VLOOKUP(dynamic[productID],products[],IF(YEAR(dynamic[orderDate])=2022,8,IF(YEAR(dynamic[orderDate])=2023,9,IF(YEAR(dynamic[orderDate])=2024,10,NA))),FALSE)</f>
        <v>21.25377406</v>
      </c>
      <c r="M265" s="9">
        <v>31.2</v>
      </c>
      <c r="N265" s="25">
        <f>(dynamic[orderPrice]-dynamic[productCost])/dynamic[productCost]</f>
        <v>0.4679745775</v>
      </c>
      <c r="O265" s="10">
        <v>36.0</v>
      </c>
      <c r="P265" s="25">
        <v>0.1</v>
      </c>
      <c r="Q265" s="9">
        <f>dynamic[orderPrice]*dynamic[orderQuantity]</f>
        <v>1123.2</v>
      </c>
      <c r="R265" s="9">
        <f>dynamic[orderTotal]*(1-dynamic[discountApllied])</f>
        <v>1010.88</v>
      </c>
      <c r="S265" s="9">
        <f>dynamic[revenue]-(dynamic[productCost]*dynamic[orderQuantity])</f>
        <v>245.7441337</v>
      </c>
      <c r="T265" s="25">
        <f>IFERROR(dynamic[profit]/dynamic[revenue], 0)</f>
        <v>0.2430992143</v>
      </c>
    </row>
    <row r="266" ht="15.75" customHeight="1">
      <c r="A266" s="6">
        <v>10346.0</v>
      </c>
      <c r="B266" s="7" t="s">
        <v>28</v>
      </c>
      <c r="C266" s="24" t="str">
        <f>VLOOKUP(dynamic[customerID],customers[],2,FALSE)</f>
        <v>Rattlesnake Canyon Grocery</v>
      </c>
      <c r="D266" s="24">
        <v>44870.0</v>
      </c>
      <c r="E266" s="6">
        <f>IFERROR(__xludf.DUMMYFUNCTION("COUNTUNIQUEIFS($A$2:$A266,$B$2:$B266,B266)"),6.0)</f>
        <v>6</v>
      </c>
      <c r="F266" s="6">
        <f t="shared" si="1"/>
        <v>39</v>
      </c>
      <c r="G266" s="6" t="str">
        <f>IF(MINIFS(dynamic[orderDate], dynamic[customerID], B266) &gt;= DATE(2024,4,30)-120, 
     "New", 
     IF(MAXIFS(dynamic[orderCount], dynamic[customerID], B266)&lt;=2, 
        IF((DATE(2024,4,30) - MAXIFS(dynamic[orderDate], dynamic[customerID], B266)) &gt; 180, "Non-Returning", "Dormant"), 
        IF(AND(MAX(dynamic[sinceLastOrder]) &gt; 365, (DATE(2024,4,30) - MAXIFS(dynamic[orderDate], dynamic[customerID], B266)) &gt; 180), 
           "Dormant", "Regular")))</f>
        <v>Regular</v>
      </c>
      <c r="H266" s="6">
        <v>56.0</v>
      </c>
      <c r="I266" s="9" t="str">
        <f>VLOOKUP(dynamic[productID],products[],2,FALSE)</f>
        <v>Gnocchi di nonna Alice</v>
      </c>
      <c r="J266" s="9" t="str">
        <f>VLOOKUP(dynamic[productID],products[],12,FALSE)</f>
        <v>Grains/Cereals</v>
      </c>
      <c r="K266" s="7" t="str">
        <f>IF(VLOOKUP(dynamic[productID],products[],7,FALSE)=1,"Discontinued","Current")</f>
        <v>Current</v>
      </c>
      <c r="L266" s="9">
        <f>VLOOKUP(dynamic[productID],products[],IF(YEAR(dynamic[orderDate])=2022,8,IF(YEAR(dynamic[orderDate])=2023,9,IF(YEAR(dynamic[orderDate])=2024,10,NA))),FALSE)</f>
        <v>21.5040056</v>
      </c>
      <c r="M266" s="9">
        <v>30.4</v>
      </c>
      <c r="N266" s="25">
        <f>(dynamic[orderPrice]-dynamic[productCost])/dynamic[productCost]</f>
        <v>0.4136901081</v>
      </c>
      <c r="O266" s="10">
        <v>20.0</v>
      </c>
      <c r="P266" s="25">
        <v>0.0</v>
      </c>
      <c r="Q266" s="9">
        <f>dynamic[orderPrice]*dynamic[orderQuantity]</f>
        <v>608</v>
      </c>
      <c r="R266" s="9">
        <f>dynamic[orderTotal]*(1-dynamic[discountApllied])</f>
        <v>608</v>
      </c>
      <c r="S266" s="9">
        <f>dynamic[revenue]-(dynamic[productCost]*dynamic[orderQuantity])</f>
        <v>177.919888</v>
      </c>
      <c r="T266" s="25">
        <f>IFERROR(dynamic[profit]/dynamic[revenue], 0)</f>
        <v>0.2926313948</v>
      </c>
    </row>
    <row r="267" ht="15.75" customHeight="1">
      <c r="A267" s="6">
        <v>10347.0</v>
      </c>
      <c r="B267" s="7" t="s">
        <v>67</v>
      </c>
      <c r="C267" s="24" t="str">
        <f>VLOOKUP(dynamic[customerID],customers[],2,FALSE)</f>
        <v>Familia Arquibaldo</v>
      </c>
      <c r="D267" s="24">
        <v>44871.0</v>
      </c>
      <c r="E267" s="6">
        <f>IFERROR(__xludf.DUMMYFUNCTION("COUNTUNIQUEIFS($A$2:$A267,$B$2:$B267,B267)"),1.0)</f>
        <v>1</v>
      </c>
      <c r="F267" s="6">
        <f t="shared" si="1"/>
        <v>0</v>
      </c>
      <c r="G267" s="6" t="str">
        <f>IF(MINIFS(dynamic[orderDate], dynamic[customerID], B267) &gt;= DATE(2024,4,30)-120, 
     "New", 
     IF(MAXIFS(dynamic[orderCount], dynamic[customerID], B267)&lt;=2, 
        IF((DATE(2024,4,30) - MAXIFS(dynamic[orderDate], dynamic[customerID], B267)) &gt; 180, "Non-Returning", "Dormant"), 
        IF(AND(MAX(dynamic[sinceLastOrder]) &gt; 365, (DATE(2024,4,30) - MAXIFS(dynamic[orderDate], dynamic[customerID], B267)) &gt; 180), 
           "Dormant", "Regular")))</f>
        <v>Dormant</v>
      </c>
      <c r="H267" s="6">
        <v>25.0</v>
      </c>
      <c r="I267" s="9" t="str">
        <f>VLOOKUP(dynamic[productID],products[],2,FALSE)</f>
        <v>HM Köstliche Kaiserschmarrn Knödelchen</v>
      </c>
      <c r="J267" s="9" t="str">
        <f>VLOOKUP(dynamic[productID],products[],12,FALSE)</f>
        <v>Confections</v>
      </c>
      <c r="K267" s="7" t="str">
        <f>IF(VLOOKUP(dynamic[productID],products[],7,FALSE)=1,"Discontinued","Current")</f>
        <v>Current</v>
      </c>
      <c r="L267" s="9">
        <f>VLOOKUP(dynamic[productID],products[],IF(YEAR(dynamic[orderDate])=2022,8,IF(YEAR(dynamic[orderDate])=2023,9,IF(YEAR(dynamic[orderDate])=2024,10,NA))),FALSE)</f>
        <v>7.370046533</v>
      </c>
      <c r="M267" s="9">
        <v>11.2</v>
      </c>
      <c r="N267" s="25">
        <f>(dynamic[orderPrice]-dynamic[productCost])/dynamic[productCost]</f>
        <v>0.5196647605</v>
      </c>
      <c r="O267" s="10">
        <v>10.0</v>
      </c>
      <c r="P267" s="25">
        <v>0.0</v>
      </c>
      <c r="Q267" s="9">
        <f>dynamic[orderPrice]*dynamic[orderQuantity]</f>
        <v>112</v>
      </c>
      <c r="R267" s="9">
        <f>dynamic[orderTotal]*(1-dynamic[discountApllied])</f>
        <v>112</v>
      </c>
      <c r="S267" s="9">
        <f>dynamic[revenue]-(dynamic[productCost]*dynamic[orderQuantity])</f>
        <v>38.29953467</v>
      </c>
      <c r="T267" s="25">
        <f>IFERROR(dynamic[profit]/dynamic[revenue], 0)</f>
        <v>0.3419601309</v>
      </c>
    </row>
    <row r="268" ht="15.75" customHeight="1">
      <c r="A268" s="6">
        <v>10347.0</v>
      </c>
      <c r="B268" s="7" t="s">
        <v>67</v>
      </c>
      <c r="C268" s="24" t="str">
        <f>VLOOKUP(dynamic[customerID],customers[],2,FALSE)</f>
        <v>Familia Arquibaldo</v>
      </c>
      <c r="D268" s="24">
        <v>44871.0</v>
      </c>
      <c r="E268" s="6">
        <f>IFERROR(__xludf.DUMMYFUNCTION("COUNTUNIQUEIFS($A$2:$A268,$B$2:$B268,B268)"),1.0)</f>
        <v>1</v>
      </c>
      <c r="F268" s="6">
        <f t="shared" si="1"/>
        <v>0</v>
      </c>
      <c r="G268" s="6" t="str">
        <f>IF(MINIFS(dynamic[orderDate], dynamic[customerID], B268) &gt;= DATE(2024,4,30)-120, 
     "New", 
     IF(MAXIFS(dynamic[orderCount], dynamic[customerID], B268)&lt;=2, 
        IF((DATE(2024,4,30) - MAXIFS(dynamic[orderDate], dynamic[customerID], B268)) &gt; 180, "Non-Returning", "Dormant"), 
        IF(AND(MAX(dynamic[sinceLastOrder]) &gt; 365, (DATE(2024,4,30) - MAXIFS(dynamic[orderDate], dynamic[customerID], B268)) &gt; 180), 
           "Dormant", "Regular")))</f>
        <v>Dormant</v>
      </c>
      <c r="H268" s="6">
        <v>39.0</v>
      </c>
      <c r="I268" s="9" t="str">
        <f>VLOOKUP(dynamic[productID],products[],2,FALSE)</f>
        <v>Chartreuse verte</v>
      </c>
      <c r="J268" s="9" t="str">
        <f>VLOOKUP(dynamic[productID],products[],12,FALSE)</f>
        <v>Beverages</v>
      </c>
      <c r="K268" s="7" t="str">
        <f>IF(VLOOKUP(dynamic[productID],products[],7,FALSE)=1,"Discontinued","Current")</f>
        <v>Current</v>
      </c>
      <c r="L268" s="9">
        <f>VLOOKUP(dynamic[productID],products[],IF(YEAR(dynamic[orderDate])=2022,8,IF(YEAR(dynamic[orderDate])=2023,9,IF(YEAR(dynamic[orderDate])=2024,10,NA))),FALSE)</f>
        <v>9.743517226</v>
      </c>
      <c r="M268" s="9">
        <v>14.4</v>
      </c>
      <c r="N268" s="25">
        <f>(dynamic[orderPrice]-dynamic[productCost])/dynamic[productCost]</f>
        <v>0.4779057362</v>
      </c>
      <c r="O268" s="10">
        <v>50.0</v>
      </c>
      <c r="P268" s="25">
        <v>0.15</v>
      </c>
      <c r="Q268" s="9">
        <f>dynamic[orderPrice]*dynamic[orderQuantity]</f>
        <v>720</v>
      </c>
      <c r="R268" s="9">
        <f>dynamic[orderTotal]*(1-dynamic[discountApllied])</f>
        <v>612</v>
      </c>
      <c r="S268" s="9">
        <f>dynamic[revenue]-(dynamic[productCost]*dynamic[orderQuantity])</f>
        <v>124.8241387</v>
      </c>
      <c r="T268" s="25">
        <f>IFERROR(dynamic[profit]/dynamic[revenue], 0)</f>
        <v>0.2039610109</v>
      </c>
    </row>
    <row r="269" ht="15.75" customHeight="1">
      <c r="A269" s="6">
        <v>10347.0</v>
      </c>
      <c r="B269" s="7" t="s">
        <v>67</v>
      </c>
      <c r="C269" s="24" t="str">
        <f>VLOOKUP(dynamic[customerID],customers[],2,FALSE)</f>
        <v>Familia Arquibaldo</v>
      </c>
      <c r="D269" s="24">
        <v>44871.0</v>
      </c>
      <c r="E269" s="6">
        <f>IFERROR(__xludf.DUMMYFUNCTION("COUNTUNIQUEIFS($A$2:$A269,$B$2:$B269,B269)"),1.0)</f>
        <v>1</v>
      </c>
      <c r="F269" s="6">
        <f t="shared" si="1"/>
        <v>0</v>
      </c>
      <c r="G269" s="6" t="str">
        <f>IF(MINIFS(dynamic[orderDate], dynamic[customerID], B269) &gt;= DATE(2024,4,30)-120, 
     "New", 
     IF(MAXIFS(dynamic[orderCount], dynamic[customerID], B269)&lt;=2, 
        IF((DATE(2024,4,30) - MAXIFS(dynamic[orderDate], dynamic[customerID], B269)) &gt; 180, "Non-Returning", "Dormant"), 
        IF(AND(MAX(dynamic[sinceLastOrder]) &gt; 365, (DATE(2024,4,30) - MAXIFS(dynamic[orderDate], dynamic[customerID], B269)) &gt; 180), 
           "Dormant", "Regular")))</f>
        <v>Dormant</v>
      </c>
      <c r="H269" s="6">
        <v>40.0</v>
      </c>
      <c r="I269" s="9" t="str">
        <f>VLOOKUP(dynamic[productID],products[],2,FALSE)</f>
        <v>Boston Crab Meat</v>
      </c>
      <c r="J269" s="9" t="str">
        <f>VLOOKUP(dynamic[productID],products[],12,FALSE)</f>
        <v>Seafood</v>
      </c>
      <c r="K269" s="7" t="str">
        <f>IF(VLOOKUP(dynamic[productID],products[],7,FALSE)=1,"Discontinued","Current")</f>
        <v>Current</v>
      </c>
      <c r="L269" s="9">
        <f>VLOOKUP(dynamic[productID],products[],IF(YEAR(dynamic[orderDate])=2022,8,IF(YEAR(dynamic[orderDate])=2023,9,IF(YEAR(dynamic[orderDate])=2024,10,NA))),FALSE)</f>
        <v>9.680649108</v>
      </c>
      <c r="M269" s="9">
        <v>14.7</v>
      </c>
      <c r="N269" s="25">
        <f>(dynamic[orderPrice]-dynamic[productCost])/dynamic[productCost]</f>
        <v>0.5184932162</v>
      </c>
      <c r="O269" s="10">
        <v>4.0</v>
      </c>
      <c r="P269" s="25">
        <v>0.0</v>
      </c>
      <c r="Q269" s="9">
        <f>dynamic[orderPrice]*dynamic[orderQuantity]</f>
        <v>58.8</v>
      </c>
      <c r="R269" s="9">
        <f>dynamic[orderTotal]*(1-dynamic[discountApllied])</f>
        <v>58.8</v>
      </c>
      <c r="S269" s="9">
        <f>dynamic[revenue]-(dynamic[productCost]*dynamic[orderQuantity])</f>
        <v>20.07740357</v>
      </c>
      <c r="T269" s="25">
        <f>IFERROR(dynamic[profit]/dynamic[revenue], 0)</f>
        <v>0.3414524416</v>
      </c>
    </row>
    <row r="270" ht="15.75" customHeight="1">
      <c r="A270" s="6">
        <v>10347.0</v>
      </c>
      <c r="B270" s="7" t="s">
        <v>67</v>
      </c>
      <c r="C270" s="24" t="str">
        <f>VLOOKUP(dynamic[customerID],customers[],2,FALSE)</f>
        <v>Familia Arquibaldo</v>
      </c>
      <c r="D270" s="24">
        <v>44871.0</v>
      </c>
      <c r="E270" s="6">
        <f>IFERROR(__xludf.DUMMYFUNCTION("COUNTUNIQUEIFS($A$2:$A270,$B$2:$B270,B270)"),1.0)</f>
        <v>1</v>
      </c>
      <c r="F270" s="6">
        <f t="shared" si="1"/>
        <v>0</v>
      </c>
      <c r="G270" s="6" t="str">
        <f>IF(MINIFS(dynamic[orderDate], dynamic[customerID], B270) &gt;= DATE(2024,4,30)-120, 
     "New", 
     IF(MAXIFS(dynamic[orderCount], dynamic[customerID], B270)&lt;=2, 
        IF((DATE(2024,4,30) - MAXIFS(dynamic[orderDate], dynamic[customerID], B270)) &gt; 180, "Non-Returning", "Dormant"), 
        IF(AND(MAX(dynamic[sinceLastOrder]) &gt; 365, (DATE(2024,4,30) - MAXIFS(dynamic[orderDate], dynamic[customerID], B270)) &gt; 180), 
           "Dormant", "Regular")))</f>
        <v>Dormant</v>
      </c>
      <c r="H270" s="6">
        <v>75.0</v>
      </c>
      <c r="I270" s="9" t="str">
        <f>VLOOKUP(dynamic[productID],products[],2,FALSE)</f>
        <v>Rhönbräu Klosterbier</v>
      </c>
      <c r="J270" s="9" t="str">
        <f>VLOOKUP(dynamic[productID],products[],12,FALSE)</f>
        <v>Beverages</v>
      </c>
      <c r="K270" s="7" t="str">
        <f>IF(VLOOKUP(dynamic[productID],products[],7,FALSE)=1,"Discontinued","Current")</f>
        <v>Current</v>
      </c>
      <c r="L270" s="9">
        <f>VLOOKUP(dynamic[productID],products[],IF(YEAR(dynamic[orderDate])=2022,8,IF(YEAR(dynamic[orderDate])=2023,9,IF(YEAR(dynamic[orderDate])=2024,10,NA))),FALSE)</f>
        <v>4.269033823</v>
      </c>
      <c r="M270" s="9">
        <v>6.2</v>
      </c>
      <c r="N270" s="25">
        <f>(dynamic[orderPrice]-dynamic[productCost])/dynamic[productCost]</f>
        <v>0.4523192499</v>
      </c>
      <c r="O270" s="10">
        <v>6.0</v>
      </c>
      <c r="P270" s="25">
        <v>0.15</v>
      </c>
      <c r="Q270" s="9">
        <f>dynamic[orderPrice]*dynamic[orderQuantity]</f>
        <v>37.2</v>
      </c>
      <c r="R270" s="9">
        <f>dynamic[orderTotal]*(1-dynamic[discountApllied])</f>
        <v>31.62</v>
      </c>
      <c r="S270" s="9">
        <f>dynamic[revenue]-(dynamic[productCost]*dynamic[orderQuantity])</f>
        <v>6.00579706</v>
      </c>
      <c r="T270" s="25">
        <f>IFERROR(dynamic[profit]/dynamic[revenue], 0)</f>
        <v>0.1899366559</v>
      </c>
    </row>
    <row r="271" ht="15.75" customHeight="1">
      <c r="A271" s="6">
        <v>10348.0</v>
      </c>
      <c r="B271" s="7" t="s">
        <v>50</v>
      </c>
      <c r="C271" s="24" t="str">
        <f>VLOOKUP(dynamic[customerID],customers[],2,FALSE)</f>
        <v>Die Wandernde Kuh</v>
      </c>
      <c r="D271" s="24">
        <v>44872.0</v>
      </c>
      <c r="E271" s="6">
        <f>IFERROR(__xludf.DUMMYFUNCTION("COUNTUNIQUEIFS($A$2:$A271,$B$2:$B271,B271)"),3.0)</f>
        <v>3</v>
      </c>
      <c r="F271" s="6">
        <f t="shared" si="1"/>
        <v>45</v>
      </c>
      <c r="G271" s="6" t="str">
        <f>IF(MINIFS(dynamic[orderDate], dynamic[customerID], B271) &gt;= DATE(2024,4,30)-120, 
     "New", 
     IF(MAXIFS(dynamic[orderCount], dynamic[customerID], B271)&lt;=2, 
        IF((DATE(2024,4,30) - MAXIFS(dynamic[orderDate], dynamic[customerID], B271)) &gt; 180, "Non-Returning", "Dormant"), 
        IF(AND(MAX(dynamic[sinceLastOrder]) &gt; 365, (DATE(2024,4,30) - MAXIFS(dynamic[orderDate], dynamic[customerID], B271)) &gt; 180), 
           "Dormant", "Regular")))</f>
        <v>Regular</v>
      </c>
      <c r="H271" s="6">
        <v>1.0</v>
      </c>
      <c r="I271" s="9" t="str">
        <f>VLOOKUP(dynamic[productID],products[],2,FALSE)</f>
        <v>Chai</v>
      </c>
      <c r="J271" s="9" t="str">
        <f>VLOOKUP(dynamic[productID],products[],12,FALSE)</f>
        <v>Beverages</v>
      </c>
      <c r="K271" s="7" t="str">
        <f>IF(VLOOKUP(dynamic[productID],products[],7,FALSE)=1,"Discontinued","Current")</f>
        <v>Current</v>
      </c>
      <c r="L271" s="9">
        <f>VLOOKUP(dynamic[productID],products[],IF(YEAR(dynamic[orderDate])=2022,8,IF(YEAR(dynamic[orderDate])=2023,9,IF(YEAR(dynamic[orderDate])=2024,10,NA))),FALSE)</f>
        <v>9.574207217</v>
      </c>
      <c r="M271" s="9">
        <v>14.4</v>
      </c>
      <c r="N271" s="25">
        <f>(dynamic[orderPrice]-dynamic[productCost])/dynamic[productCost]</f>
        <v>0.5040409795</v>
      </c>
      <c r="O271" s="10">
        <v>15.0</v>
      </c>
      <c r="P271" s="25">
        <v>0.15</v>
      </c>
      <c r="Q271" s="9">
        <f>dynamic[orderPrice]*dynamic[orderQuantity]</f>
        <v>216</v>
      </c>
      <c r="R271" s="9">
        <f>dynamic[orderTotal]*(1-dynamic[discountApllied])</f>
        <v>183.6</v>
      </c>
      <c r="S271" s="9">
        <f>dynamic[revenue]-(dynamic[productCost]*dynamic[orderQuantity])</f>
        <v>39.98689175</v>
      </c>
      <c r="T271" s="25">
        <f>IFERROR(dynamic[profit]/dynamic[revenue], 0)</f>
        <v>0.2177935281</v>
      </c>
    </row>
    <row r="272" ht="15.75" customHeight="1">
      <c r="A272" s="6">
        <v>10348.0</v>
      </c>
      <c r="B272" s="7" t="s">
        <v>50</v>
      </c>
      <c r="C272" s="24" t="str">
        <f>VLOOKUP(dynamic[customerID],customers[],2,FALSE)</f>
        <v>Die Wandernde Kuh</v>
      </c>
      <c r="D272" s="24">
        <v>44872.0</v>
      </c>
      <c r="E272" s="6">
        <f>IFERROR(__xludf.DUMMYFUNCTION("COUNTUNIQUEIFS($A$2:$A272,$B$2:$B272,B272)"),3.0)</f>
        <v>3</v>
      </c>
      <c r="F272" s="6">
        <f t="shared" si="1"/>
        <v>45</v>
      </c>
      <c r="G272" s="6" t="str">
        <f>IF(MINIFS(dynamic[orderDate], dynamic[customerID], B272) &gt;= DATE(2024,4,30)-120, 
     "New", 
     IF(MAXIFS(dynamic[orderCount], dynamic[customerID], B272)&lt;=2, 
        IF((DATE(2024,4,30) - MAXIFS(dynamic[orderDate], dynamic[customerID], B272)) &gt; 180, "Non-Returning", "Dormant"), 
        IF(AND(MAX(dynamic[sinceLastOrder]) &gt; 365, (DATE(2024,4,30) - MAXIFS(dynamic[orderDate], dynamic[customerID], B272)) &gt; 180), 
           "Dormant", "Regular")))</f>
        <v>Regular</v>
      </c>
      <c r="H272" s="6">
        <v>23.0</v>
      </c>
      <c r="I272" s="9" t="str">
        <f>VLOOKUP(dynamic[productID],products[],2,FALSE)</f>
        <v>Tunnbröd</v>
      </c>
      <c r="J272" s="9" t="str">
        <f>VLOOKUP(dynamic[productID],products[],12,FALSE)</f>
        <v>Grains/Cereals</v>
      </c>
      <c r="K272" s="7" t="str">
        <f>IF(VLOOKUP(dynamic[productID],products[],7,FALSE)=1,"Discontinued","Current")</f>
        <v>Current</v>
      </c>
      <c r="L272" s="9">
        <f>VLOOKUP(dynamic[productID],products[],IF(YEAR(dynamic[orderDate])=2022,8,IF(YEAR(dynamic[orderDate])=2023,9,IF(YEAR(dynamic[orderDate])=2024,10,NA))),FALSE)</f>
        <v>5.310194716</v>
      </c>
      <c r="M272" s="9">
        <v>7.2</v>
      </c>
      <c r="N272" s="25">
        <f>(dynamic[orderPrice]-dynamic[productCost])/dynamic[productCost]</f>
        <v>0.3558824836</v>
      </c>
      <c r="O272" s="10">
        <v>25.0</v>
      </c>
      <c r="P272" s="25">
        <v>0.0</v>
      </c>
      <c r="Q272" s="9">
        <f>dynamic[orderPrice]*dynamic[orderQuantity]</f>
        <v>180</v>
      </c>
      <c r="R272" s="9">
        <f>dynamic[orderTotal]*(1-dynamic[discountApllied])</f>
        <v>180</v>
      </c>
      <c r="S272" s="9">
        <f>dynamic[revenue]-(dynamic[productCost]*dynamic[orderQuantity])</f>
        <v>47.2451321</v>
      </c>
      <c r="T272" s="25">
        <f>IFERROR(dynamic[profit]/dynamic[revenue], 0)</f>
        <v>0.2624729561</v>
      </c>
    </row>
    <row r="273" ht="15.75" customHeight="1">
      <c r="A273" s="6">
        <v>10349.0</v>
      </c>
      <c r="B273" s="7" t="s">
        <v>35</v>
      </c>
      <c r="C273" s="24" t="str">
        <f>VLOOKUP(dynamic[customerID],customers[],2,FALSE)</f>
        <v>Split Rail Beer &amp; Ale</v>
      </c>
      <c r="D273" s="24">
        <v>44873.0</v>
      </c>
      <c r="E273" s="6">
        <f>IFERROR(__xludf.DUMMYFUNCTION("COUNTUNIQUEIFS($A$2:$A273,$B$2:$B273,B273)"),3.0)</f>
        <v>3</v>
      </c>
      <c r="F273" s="6">
        <f t="shared" si="1"/>
        <v>24</v>
      </c>
      <c r="G273" s="6" t="str">
        <f>IF(MINIFS(dynamic[orderDate], dynamic[customerID], B273) &gt;= DATE(2024,4,30)-120, 
     "New", 
     IF(MAXIFS(dynamic[orderCount], dynamic[customerID], B273)&lt;=2, 
        IF((DATE(2024,4,30) - MAXIFS(dynamic[orderDate], dynamic[customerID], B273)) &gt; 180, "Non-Returning", "Dormant"), 
        IF(AND(MAX(dynamic[sinceLastOrder]) &gt; 365, (DATE(2024,4,30) - MAXIFS(dynamic[orderDate], dynamic[customerID], B273)) &gt; 180), 
           "Dormant", "Regular")))</f>
        <v>Regular</v>
      </c>
      <c r="H273" s="6">
        <v>54.0</v>
      </c>
      <c r="I273" s="9" t="str">
        <f>VLOOKUP(dynamic[productID],products[],2,FALSE)</f>
        <v>Tourtière</v>
      </c>
      <c r="J273" s="9" t="str">
        <f>VLOOKUP(dynamic[productID],products[],12,FALSE)</f>
        <v>Meat/Poultry</v>
      </c>
      <c r="K273" s="7" t="str">
        <f>IF(VLOOKUP(dynamic[productID],products[],7,FALSE)=1,"Discontinued","Current")</f>
        <v>Current</v>
      </c>
      <c r="L273" s="9">
        <f>VLOOKUP(dynamic[productID],products[],IF(YEAR(dynamic[orderDate])=2022,8,IF(YEAR(dynamic[orderDate])=2023,9,IF(YEAR(dynamic[orderDate])=2024,10,NA))),FALSE)</f>
        <v>4.309848919</v>
      </c>
      <c r="M273" s="9">
        <v>5.9</v>
      </c>
      <c r="N273" s="25">
        <f>(dynamic[orderPrice]-dynamic[productCost])/dynamic[productCost]</f>
        <v>0.3689574996</v>
      </c>
      <c r="O273" s="10">
        <v>24.0</v>
      </c>
      <c r="P273" s="25">
        <v>0.0</v>
      </c>
      <c r="Q273" s="9">
        <f>dynamic[orderPrice]*dynamic[orderQuantity]</f>
        <v>141.6</v>
      </c>
      <c r="R273" s="9">
        <f>dynamic[orderTotal]*(1-dynamic[discountApllied])</f>
        <v>141.6</v>
      </c>
      <c r="S273" s="9">
        <f>dynamic[revenue]-(dynamic[productCost]*dynamic[orderQuantity])</f>
        <v>38.16362594</v>
      </c>
      <c r="T273" s="25">
        <f>IFERROR(dynamic[profit]/dynamic[revenue], 0)</f>
        <v>0.2695171323</v>
      </c>
    </row>
    <row r="274" ht="15.75" customHeight="1">
      <c r="A274" s="6">
        <v>10350.0</v>
      </c>
      <c r="B274" s="7" t="s">
        <v>68</v>
      </c>
      <c r="C274" s="24" t="str">
        <f>VLOOKUP(dynamic[customerID],customers[],2,FALSE)</f>
        <v>La maison d'Asie</v>
      </c>
      <c r="D274" s="24">
        <v>44876.0</v>
      </c>
      <c r="E274" s="6">
        <f>IFERROR(__xludf.DUMMYFUNCTION("COUNTUNIQUEIFS($A$2:$A274,$B$2:$B274,B274)"),1.0)</f>
        <v>1</v>
      </c>
      <c r="F274" s="6">
        <f t="shared" si="1"/>
        <v>0</v>
      </c>
      <c r="G274" s="6" t="str">
        <f>IF(MINIFS(dynamic[orderDate], dynamic[customerID], B274) &gt;= DATE(2024,4,30)-120, 
     "New", 
     IF(MAXIFS(dynamic[orderCount], dynamic[customerID], B274)&lt;=2, 
        IF((DATE(2024,4,30) - MAXIFS(dynamic[orderDate], dynamic[customerID], B274)) &gt; 180, "Non-Returning", "Dormant"), 
        IF(AND(MAX(dynamic[sinceLastOrder]) &gt; 365, (DATE(2024,4,30) - MAXIFS(dynamic[orderDate], dynamic[customerID], B274)) &gt; 180), 
           "Dormant", "Regular")))</f>
        <v>Regular</v>
      </c>
      <c r="H274" s="6">
        <v>50.0</v>
      </c>
      <c r="I274" s="9" t="str">
        <f>VLOOKUP(dynamic[productID],products[],2,FALSE)</f>
        <v>Valkoinen suklaa</v>
      </c>
      <c r="J274" s="9" t="str">
        <f>VLOOKUP(dynamic[productID],products[],12,FALSE)</f>
        <v>Confections</v>
      </c>
      <c r="K274" s="7" t="str">
        <f>IF(VLOOKUP(dynamic[productID],products[],7,FALSE)=1,"Discontinued","Current")</f>
        <v>Current</v>
      </c>
      <c r="L274" s="9">
        <f>VLOOKUP(dynamic[productID],products[],IF(YEAR(dynamic[orderDate])=2022,8,IF(YEAR(dynamic[orderDate])=2023,9,IF(YEAR(dynamic[orderDate])=2024,10,NA))),FALSE)</f>
        <v>9.682278645</v>
      </c>
      <c r="M274" s="9">
        <v>13.0</v>
      </c>
      <c r="N274" s="25">
        <f>(dynamic[orderPrice]-dynamic[productCost])/dynamic[productCost]</f>
        <v>0.3426591484</v>
      </c>
      <c r="O274" s="10">
        <v>15.0</v>
      </c>
      <c r="P274" s="25">
        <v>0.1</v>
      </c>
      <c r="Q274" s="9">
        <f>dynamic[orderPrice]*dynamic[orderQuantity]</f>
        <v>195</v>
      </c>
      <c r="R274" s="9">
        <f>dynamic[orderTotal]*(1-dynamic[discountApllied])</f>
        <v>175.5</v>
      </c>
      <c r="S274" s="9">
        <f>dynamic[revenue]-(dynamic[productCost]*dynamic[orderQuantity])</f>
        <v>30.26582033</v>
      </c>
      <c r="T274" s="25">
        <f>IFERROR(dynamic[profit]/dynamic[revenue], 0)</f>
        <v>0.1724548167</v>
      </c>
    </row>
    <row r="275" ht="15.75" customHeight="1">
      <c r="A275" s="6">
        <v>10350.0</v>
      </c>
      <c r="B275" s="7" t="s">
        <v>68</v>
      </c>
      <c r="C275" s="24" t="str">
        <f>VLOOKUP(dynamic[customerID],customers[],2,FALSE)</f>
        <v>La maison d'Asie</v>
      </c>
      <c r="D275" s="24">
        <v>44876.0</v>
      </c>
      <c r="E275" s="6">
        <f>IFERROR(__xludf.DUMMYFUNCTION("COUNTUNIQUEIFS($A$2:$A275,$B$2:$B275,B275)"),1.0)</f>
        <v>1</v>
      </c>
      <c r="F275" s="6">
        <f t="shared" si="1"/>
        <v>0</v>
      </c>
      <c r="G275" s="6" t="str">
        <f>IF(MINIFS(dynamic[orderDate], dynamic[customerID], B275) &gt;= DATE(2024,4,30)-120, 
     "New", 
     IF(MAXIFS(dynamic[orderCount], dynamic[customerID], B275)&lt;=2, 
        IF((DATE(2024,4,30) - MAXIFS(dynamic[orderDate], dynamic[customerID], B275)) &gt; 180, "Non-Returning", "Dormant"), 
        IF(AND(MAX(dynamic[sinceLastOrder]) &gt; 365, (DATE(2024,4,30) - MAXIFS(dynamic[orderDate], dynamic[customerID], B275)) &gt; 180), 
           "Dormant", "Regular")))</f>
        <v>Regular</v>
      </c>
      <c r="H275" s="6">
        <v>69.0</v>
      </c>
      <c r="I275" s="9" t="str">
        <f>VLOOKUP(dynamic[productID],products[],2,FALSE)</f>
        <v>Gudbrandsdalsost</v>
      </c>
      <c r="J275" s="9" t="str">
        <f>VLOOKUP(dynamic[productID],products[],12,FALSE)</f>
        <v>Dairy Products</v>
      </c>
      <c r="K275" s="7" t="str">
        <f>IF(VLOOKUP(dynamic[productID],products[],7,FALSE)=1,"Discontinued","Current")</f>
        <v>Current</v>
      </c>
      <c r="L275" s="9">
        <f>VLOOKUP(dynamic[productID],products[],IF(YEAR(dynamic[orderDate])=2022,8,IF(YEAR(dynamic[orderDate])=2023,9,IF(YEAR(dynamic[orderDate])=2024,10,NA))),FALSE)</f>
        <v>20.71216183</v>
      </c>
      <c r="M275" s="9">
        <v>28.8</v>
      </c>
      <c r="N275" s="25">
        <f>(dynamic[orderPrice]-dynamic[productCost])/dynamic[productCost]</f>
        <v>0.3904873977</v>
      </c>
      <c r="O275" s="10">
        <v>18.0</v>
      </c>
      <c r="P275" s="25">
        <v>0.1</v>
      </c>
      <c r="Q275" s="9">
        <f>dynamic[orderPrice]*dynamic[orderQuantity]</f>
        <v>518.4</v>
      </c>
      <c r="R275" s="9">
        <f>dynamic[orderTotal]*(1-dynamic[discountApllied])</f>
        <v>466.56</v>
      </c>
      <c r="S275" s="9">
        <f>dynamic[revenue]-(dynamic[productCost]*dynamic[orderQuantity])</f>
        <v>93.7410871</v>
      </c>
      <c r="T275" s="25">
        <f>IFERROR(dynamic[profit]/dynamic[revenue], 0)</f>
        <v>0.2009196826</v>
      </c>
    </row>
    <row r="276" ht="15.75" customHeight="1">
      <c r="A276" s="6">
        <v>10351.0</v>
      </c>
      <c r="B276" s="7" t="s">
        <v>24</v>
      </c>
      <c r="C276" s="24" t="str">
        <f>VLOOKUP(dynamic[customerID],customers[],2,FALSE)</f>
        <v>Ernst Handel</v>
      </c>
      <c r="D276" s="24">
        <v>44876.0</v>
      </c>
      <c r="E276" s="6">
        <f>IFERROR(__xludf.DUMMYFUNCTION("COUNTUNIQUEIFS($A$2:$A276,$B$2:$B276,B276)"),3.0)</f>
        <v>3</v>
      </c>
      <c r="F276" s="6">
        <f t="shared" si="1"/>
        <v>111</v>
      </c>
      <c r="G276" s="6" t="str">
        <f>IF(MINIFS(dynamic[orderDate], dynamic[customerID], B276) &gt;= DATE(2024,4,30)-120, 
     "New", 
     IF(MAXIFS(dynamic[orderCount], dynamic[customerID], B276)&lt;=2, 
        IF((DATE(2024,4,30) - MAXIFS(dynamic[orderDate], dynamic[customerID], B276)) &gt; 180, "Non-Returning", "Dormant"), 
        IF(AND(MAX(dynamic[sinceLastOrder]) &gt; 365, (DATE(2024,4,30) - MAXIFS(dynamic[orderDate], dynamic[customerID], B276)) &gt; 180), 
           "Dormant", "Regular")))</f>
        <v>Regular</v>
      </c>
      <c r="H276" s="6">
        <v>38.0</v>
      </c>
      <c r="I276" s="9" t="str">
        <f>VLOOKUP(dynamic[productID],products[],2,FALSE)</f>
        <v>Côte de Blaye</v>
      </c>
      <c r="J276" s="9" t="str">
        <f>VLOOKUP(dynamic[productID],products[],12,FALSE)</f>
        <v>Beverages</v>
      </c>
      <c r="K276" s="7" t="str">
        <f>IF(VLOOKUP(dynamic[productID],products[],7,FALSE)=1,"Discontinued","Current")</f>
        <v>Current</v>
      </c>
      <c r="L276" s="9">
        <f>VLOOKUP(dynamic[productID],products[],IF(YEAR(dynamic[orderDate])=2022,8,IF(YEAR(dynamic[orderDate])=2023,9,IF(YEAR(dynamic[orderDate])=2024,10,NA))),FALSE)</f>
        <v>133.3740767</v>
      </c>
      <c r="M276" s="9">
        <v>210.8</v>
      </c>
      <c r="N276" s="25">
        <f>(dynamic[orderPrice]-dynamic[productCost])/dynamic[productCost]</f>
        <v>0.5805170327</v>
      </c>
      <c r="O276" s="10">
        <v>20.0</v>
      </c>
      <c r="P276" s="25">
        <v>0.05</v>
      </c>
      <c r="Q276" s="9">
        <f>dynamic[orderPrice]*dynamic[orderQuantity]</f>
        <v>4216</v>
      </c>
      <c r="R276" s="9">
        <f>dynamic[orderTotal]*(1-dynamic[discountApllied])</f>
        <v>4005.2</v>
      </c>
      <c r="S276" s="9">
        <f>dynamic[revenue]-(dynamic[productCost]*dynamic[orderQuantity])</f>
        <v>1337.718465</v>
      </c>
      <c r="T276" s="25">
        <f>IFERROR(dynamic[profit]/dynamic[revenue], 0)</f>
        <v>0.3339954223</v>
      </c>
    </row>
    <row r="277" ht="15.75" customHeight="1">
      <c r="A277" s="6">
        <v>10351.0</v>
      </c>
      <c r="B277" s="7" t="s">
        <v>24</v>
      </c>
      <c r="C277" s="24" t="str">
        <f>VLOOKUP(dynamic[customerID],customers[],2,FALSE)</f>
        <v>Ernst Handel</v>
      </c>
      <c r="D277" s="24">
        <v>44876.0</v>
      </c>
      <c r="E277" s="6">
        <f>IFERROR(__xludf.DUMMYFUNCTION("COUNTUNIQUEIFS($A$2:$A277,$B$2:$B277,B277)"),3.0)</f>
        <v>3</v>
      </c>
      <c r="F277" s="6">
        <f t="shared" si="1"/>
        <v>111</v>
      </c>
      <c r="G277" s="6" t="str">
        <f>IF(MINIFS(dynamic[orderDate], dynamic[customerID], B277) &gt;= DATE(2024,4,30)-120, 
     "New", 
     IF(MAXIFS(dynamic[orderCount], dynamic[customerID], B277)&lt;=2, 
        IF((DATE(2024,4,30) - MAXIFS(dynamic[orderDate], dynamic[customerID], B277)) &gt; 180, "Non-Returning", "Dormant"), 
        IF(AND(MAX(dynamic[sinceLastOrder]) &gt; 365, (DATE(2024,4,30) - MAXIFS(dynamic[orderDate], dynamic[customerID], B277)) &gt; 180), 
           "Dormant", "Regular")))</f>
        <v>Regular</v>
      </c>
      <c r="H277" s="6">
        <v>41.0</v>
      </c>
      <c r="I277" s="9" t="str">
        <f>VLOOKUP(dynamic[productID],products[],2,FALSE)</f>
        <v>Jack's New England Clam Chowder</v>
      </c>
      <c r="J277" s="9" t="str">
        <f>VLOOKUP(dynamic[productID],products[],12,FALSE)</f>
        <v>Seafood</v>
      </c>
      <c r="K277" s="7" t="str">
        <f>IF(VLOOKUP(dynamic[productID],products[],7,FALSE)=1,"Discontinued","Current")</f>
        <v>Current</v>
      </c>
      <c r="L277" s="9">
        <f>VLOOKUP(dynamic[productID],products[],IF(YEAR(dynamic[orderDate])=2022,8,IF(YEAR(dynamic[orderDate])=2023,9,IF(YEAR(dynamic[orderDate])=2024,10,NA))),FALSE)</f>
        <v>5.170198742</v>
      </c>
      <c r="M277" s="9">
        <v>7.7</v>
      </c>
      <c r="N277" s="25">
        <f>(dynamic[orderPrice]-dynamic[productCost])/dynamic[productCost]</f>
        <v>0.4893044511</v>
      </c>
      <c r="O277" s="10">
        <v>13.0</v>
      </c>
      <c r="P277" s="25">
        <v>0.0</v>
      </c>
      <c r="Q277" s="9">
        <f>dynamic[orderPrice]*dynamic[orderQuantity]</f>
        <v>100.1</v>
      </c>
      <c r="R277" s="9">
        <f>dynamic[orderTotal]*(1-dynamic[discountApllied])</f>
        <v>100.1</v>
      </c>
      <c r="S277" s="9">
        <f>dynamic[revenue]-(dynamic[productCost]*dynamic[orderQuantity])</f>
        <v>32.88741635</v>
      </c>
      <c r="T277" s="25">
        <f>IFERROR(dynamic[profit]/dynamic[revenue], 0)</f>
        <v>0.3285456179</v>
      </c>
    </row>
    <row r="278" ht="15.75" customHeight="1">
      <c r="A278" s="6">
        <v>10351.0</v>
      </c>
      <c r="B278" s="7" t="s">
        <v>24</v>
      </c>
      <c r="C278" s="24" t="str">
        <f>VLOOKUP(dynamic[customerID],customers[],2,FALSE)</f>
        <v>Ernst Handel</v>
      </c>
      <c r="D278" s="24">
        <v>44876.0</v>
      </c>
      <c r="E278" s="6">
        <f>IFERROR(__xludf.DUMMYFUNCTION("COUNTUNIQUEIFS($A$2:$A278,$B$2:$B278,B278)"),3.0)</f>
        <v>3</v>
      </c>
      <c r="F278" s="6">
        <f t="shared" si="1"/>
        <v>111</v>
      </c>
      <c r="G278" s="6" t="str">
        <f>IF(MINIFS(dynamic[orderDate], dynamic[customerID], B278) &gt;= DATE(2024,4,30)-120, 
     "New", 
     IF(MAXIFS(dynamic[orderCount], dynamic[customerID], B278)&lt;=2, 
        IF((DATE(2024,4,30) - MAXIFS(dynamic[orderDate], dynamic[customerID], B278)) &gt; 180, "Non-Returning", "Dormant"), 
        IF(AND(MAX(dynamic[sinceLastOrder]) &gt; 365, (DATE(2024,4,30) - MAXIFS(dynamic[orderDate], dynamic[customerID], B278)) &gt; 180), 
           "Dormant", "Regular")))</f>
        <v>Regular</v>
      </c>
      <c r="H278" s="6">
        <v>44.0</v>
      </c>
      <c r="I278" s="9" t="str">
        <f>VLOOKUP(dynamic[productID],products[],2,FALSE)</f>
        <v>Gula Malacca</v>
      </c>
      <c r="J278" s="9" t="str">
        <f>VLOOKUP(dynamic[productID],products[],12,FALSE)</f>
        <v>Condiments</v>
      </c>
      <c r="K278" s="7" t="str">
        <f>IF(VLOOKUP(dynamic[productID],products[],7,FALSE)=1,"Discontinued","Current")</f>
        <v>Current</v>
      </c>
      <c r="L278" s="9">
        <f>VLOOKUP(dynamic[productID],products[],IF(YEAR(dynamic[orderDate])=2022,8,IF(YEAR(dynamic[orderDate])=2023,9,IF(YEAR(dynamic[orderDate])=2024,10,NA))),FALSE)</f>
        <v>10.65165145</v>
      </c>
      <c r="M278" s="9">
        <v>15.5</v>
      </c>
      <c r="N278" s="25">
        <f>(dynamic[orderPrice]-dynamic[productCost])/dynamic[productCost]</f>
        <v>0.4551734138</v>
      </c>
      <c r="O278" s="10">
        <v>77.0</v>
      </c>
      <c r="P278" s="25">
        <v>0.05</v>
      </c>
      <c r="Q278" s="9">
        <f>dynamic[orderPrice]*dynamic[orderQuantity]</f>
        <v>1193.5</v>
      </c>
      <c r="R278" s="9">
        <f>dynamic[orderTotal]*(1-dynamic[discountApllied])</f>
        <v>1133.825</v>
      </c>
      <c r="S278" s="9">
        <f>dynamic[revenue]-(dynamic[productCost]*dynamic[orderQuantity])</f>
        <v>313.6478385</v>
      </c>
      <c r="T278" s="25">
        <f>IFERROR(dynamic[profit]/dynamic[revenue], 0)</f>
        <v>0.276628085</v>
      </c>
    </row>
    <row r="279" ht="15.75" customHeight="1">
      <c r="A279" s="6">
        <v>10351.0</v>
      </c>
      <c r="B279" s="7" t="s">
        <v>24</v>
      </c>
      <c r="C279" s="24" t="str">
        <f>VLOOKUP(dynamic[customerID],customers[],2,FALSE)</f>
        <v>Ernst Handel</v>
      </c>
      <c r="D279" s="24">
        <v>44876.0</v>
      </c>
      <c r="E279" s="6">
        <f>IFERROR(__xludf.DUMMYFUNCTION("COUNTUNIQUEIFS($A$2:$A279,$B$2:$B279,B279)"),3.0)</f>
        <v>3</v>
      </c>
      <c r="F279" s="6">
        <f t="shared" si="1"/>
        <v>111</v>
      </c>
      <c r="G279" s="6" t="str">
        <f>IF(MINIFS(dynamic[orderDate], dynamic[customerID], B279) &gt;= DATE(2024,4,30)-120, 
     "New", 
     IF(MAXIFS(dynamic[orderCount], dynamic[customerID], B279)&lt;=2, 
        IF((DATE(2024,4,30) - MAXIFS(dynamic[orderDate], dynamic[customerID], B279)) &gt; 180, "Non-Returning", "Dormant"), 
        IF(AND(MAX(dynamic[sinceLastOrder]) &gt; 365, (DATE(2024,4,30) - MAXIFS(dynamic[orderDate], dynamic[customerID], B279)) &gt; 180), 
           "Dormant", "Regular")))</f>
        <v>Regular</v>
      </c>
      <c r="H279" s="6">
        <v>65.0</v>
      </c>
      <c r="I279" s="9" t="str">
        <f>VLOOKUP(dynamic[productID],products[],2,FALSE)</f>
        <v>Louisiana Fiery Hot Pepper Sauce</v>
      </c>
      <c r="J279" s="9" t="str">
        <f>VLOOKUP(dynamic[productID],products[],12,FALSE)</f>
        <v>Condiments</v>
      </c>
      <c r="K279" s="7" t="str">
        <f>IF(VLOOKUP(dynamic[productID],products[],7,FALSE)=1,"Discontinued","Current")</f>
        <v>Current</v>
      </c>
      <c r="L279" s="9">
        <f>VLOOKUP(dynamic[productID],products[],IF(YEAR(dynamic[orderDate])=2022,8,IF(YEAR(dynamic[orderDate])=2023,9,IF(YEAR(dynamic[orderDate])=2024,10,NA))),FALSE)</f>
        <v>11.17410204</v>
      </c>
      <c r="M279" s="9">
        <v>16.8</v>
      </c>
      <c r="N279" s="25">
        <f>(dynamic[orderPrice]-dynamic[productCost])/dynamic[productCost]</f>
        <v>0.503476515</v>
      </c>
      <c r="O279" s="10">
        <v>10.0</v>
      </c>
      <c r="P279" s="25">
        <v>0.05</v>
      </c>
      <c r="Q279" s="9">
        <f>dynamic[orderPrice]*dynamic[orderQuantity]</f>
        <v>168</v>
      </c>
      <c r="R279" s="9">
        <f>dynamic[orderTotal]*(1-dynamic[discountApllied])</f>
        <v>159.6</v>
      </c>
      <c r="S279" s="9">
        <f>dynamic[revenue]-(dynamic[productCost]*dynamic[orderQuantity])</f>
        <v>47.85897956</v>
      </c>
      <c r="T279" s="25">
        <f>IFERROR(dynamic[profit]/dynamic[revenue], 0)</f>
        <v>0.299868293</v>
      </c>
    </row>
    <row r="280" ht="15.75" customHeight="1">
      <c r="A280" s="6">
        <v>10352.0</v>
      </c>
      <c r="B280" s="7" t="s">
        <v>62</v>
      </c>
      <c r="C280" s="24" t="str">
        <f>VLOOKUP(dynamic[customerID],customers[],2,FALSE)</f>
        <v>Furia Bacalhau e Frutos do Mar</v>
      </c>
      <c r="D280" s="24">
        <v>44877.0</v>
      </c>
      <c r="E280" s="6">
        <f>IFERROR(__xludf.DUMMYFUNCTION("COUNTUNIQUEIFS($A$2:$A280,$B$2:$B280,B280)"),2.0)</f>
        <v>2</v>
      </c>
      <c r="F280" s="6">
        <f t="shared" si="1"/>
        <v>29</v>
      </c>
      <c r="G280" s="6" t="str">
        <f>IF(MINIFS(dynamic[orderDate], dynamic[customerID], B280) &gt;= DATE(2024,4,30)-120, 
     "New", 
     IF(MAXIFS(dynamic[orderCount], dynamic[customerID], B280)&lt;=2, 
        IF((DATE(2024,4,30) - MAXIFS(dynamic[orderDate], dynamic[customerID], B280)) &gt; 180, "Non-Returning", "Dormant"), 
        IF(AND(MAX(dynamic[sinceLastOrder]) &gt; 365, (DATE(2024,4,30) - MAXIFS(dynamic[orderDate], dynamic[customerID], B280)) &gt; 180), 
           "Dormant", "Regular")))</f>
        <v>Regular</v>
      </c>
      <c r="H280" s="6">
        <v>24.0</v>
      </c>
      <c r="I280" s="9" t="str">
        <f>VLOOKUP(dynamic[productID],products[],2,FALSE)</f>
        <v>Brigadeiros Maravilhosos da Lilian</v>
      </c>
      <c r="J280" s="9" t="str">
        <f>VLOOKUP(dynamic[productID],products[],12,FALSE)</f>
        <v>Confections</v>
      </c>
      <c r="K280" s="7" t="str">
        <f>IF(VLOOKUP(dynamic[productID],products[],7,FALSE)=1,"Discontinued","Current")</f>
        <v>Discontinued</v>
      </c>
      <c r="L280" s="9">
        <f>VLOOKUP(dynamic[productID],products[],IF(YEAR(dynamic[orderDate])=2022,8,IF(YEAR(dynamic[orderDate])=2023,9,IF(YEAR(dynamic[orderDate])=2024,10,NA))),FALSE)</f>
        <v>2.68117246</v>
      </c>
      <c r="M280" s="9">
        <v>3.6</v>
      </c>
      <c r="N280" s="25">
        <f>(dynamic[orderPrice]-dynamic[productCost])/dynamic[productCost]</f>
        <v>0.3426961727</v>
      </c>
      <c r="O280" s="10">
        <v>10.0</v>
      </c>
      <c r="P280" s="25">
        <v>0.0</v>
      </c>
      <c r="Q280" s="9">
        <f>dynamic[orderPrice]*dynamic[orderQuantity]</f>
        <v>36</v>
      </c>
      <c r="R280" s="9">
        <f>dynamic[orderTotal]*(1-dynamic[discountApllied])</f>
        <v>36</v>
      </c>
      <c r="S280" s="9">
        <f>dynamic[revenue]-(dynamic[productCost]*dynamic[orderQuantity])</f>
        <v>9.188275403</v>
      </c>
      <c r="T280" s="25">
        <f>IFERROR(dynamic[profit]/dynamic[revenue], 0)</f>
        <v>0.2552298723</v>
      </c>
    </row>
    <row r="281" ht="15.75" customHeight="1">
      <c r="A281" s="6">
        <v>10352.0</v>
      </c>
      <c r="B281" s="7" t="s">
        <v>62</v>
      </c>
      <c r="C281" s="24" t="str">
        <f>VLOOKUP(dynamic[customerID],customers[],2,FALSE)</f>
        <v>Furia Bacalhau e Frutos do Mar</v>
      </c>
      <c r="D281" s="24">
        <v>44877.0</v>
      </c>
      <c r="E281" s="6">
        <f>IFERROR(__xludf.DUMMYFUNCTION("COUNTUNIQUEIFS($A$2:$A281,$B$2:$B281,B281)"),2.0)</f>
        <v>2</v>
      </c>
      <c r="F281" s="6">
        <f t="shared" si="1"/>
        <v>29</v>
      </c>
      <c r="G281" s="6" t="str">
        <f>IF(MINIFS(dynamic[orderDate], dynamic[customerID], B281) &gt;= DATE(2024,4,30)-120, 
     "New", 
     IF(MAXIFS(dynamic[orderCount], dynamic[customerID], B281)&lt;=2, 
        IF((DATE(2024,4,30) - MAXIFS(dynamic[orderDate], dynamic[customerID], B281)) &gt; 180, "Non-Returning", "Dormant"), 
        IF(AND(MAX(dynamic[sinceLastOrder]) &gt; 365, (DATE(2024,4,30) - MAXIFS(dynamic[orderDate], dynamic[customerID], B281)) &gt; 180), 
           "Dormant", "Regular")))</f>
        <v>Regular</v>
      </c>
      <c r="H281" s="6">
        <v>54.0</v>
      </c>
      <c r="I281" s="9" t="str">
        <f>VLOOKUP(dynamic[productID],products[],2,FALSE)</f>
        <v>Tourtière</v>
      </c>
      <c r="J281" s="9" t="str">
        <f>VLOOKUP(dynamic[productID],products[],12,FALSE)</f>
        <v>Meat/Poultry</v>
      </c>
      <c r="K281" s="7" t="str">
        <f>IF(VLOOKUP(dynamic[productID],products[],7,FALSE)=1,"Discontinued","Current")</f>
        <v>Current</v>
      </c>
      <c r="L281" s="9">
        <f>VLOOKUP(dynamic[productID],products[],IF(YEAR(dynamic[orderDate])=2022,8,IF(YEAR(dynamic[orderDate])=2023,9,IF(YEAR(dynamic[orderDate])=2024,10,NA))),FALSE)</f>
        <v>4.309848919</v>
      </c>
      <c r="M281" s="9">
        <v>5.9</v>
      </c>
      <c r="N281" s="25">
        <f>(dynamic[orderPrice]-dynamic[productCost])/dynamic[productCost]</f>
        <v>0.3689574996</v>
      </c>
      <c r="O281" s="10">
        <v>20.0</v>
      </c>
      <c r="P281" s="25">
        <v>0.15</v>
      </c>
      <c r="Q281" s="9">
        <f>dynamic[orderPrice]*dynamic[orderQuantity]</f>
        <v>118</v>
      </c>
      <c r="R281" s="9">
        <f>dynamic[orderTotal]*(1-dynamic[discountApllied])</f>
        <v>100.3</v>
      </c>
      <c r="S281" s="9">
        <f>dynamic[revenue]-(dynamic[productCost]*dynamic[orderQuantity])</f>
        <v>14.10302161</v>
      </c>
      <c r="T281" s="25">
        <f>IFERROR(dynamic[profit]/dynamic[revenue], 0)</f>
        <v>0.140608391</v>
      </c>
    </row>
    <row r="282" ht="15.75" customHeight="1">
      <c r="A282" s="6">
        <v>10353.0</v>
      </c>
      <c r="B282" s="7" t="s">
        <v>69</v>
      </c>
      <c r="C282" s="24" t="str">
        <f>VLOOKUP(dynamic[customerID],customers[],2,FALSE)</f>
        <v>Piccolo und mehr</v>
      </c>
      <c r="D282" s="24">
        <v>44878.0</v>
      </c>
      <c r="E282" s="6">
        <f>IFERROR(__xludf.DUMMYFUNCTION("COUNTUNIQUEIFS($A$2:$A282,$B$2:$B282,B282)"),1.0)</f>
        <v>1</v>
      </c>
      <c r="F282" s="6">
        <f t="shared" si="1"/>
        <v>0</v>
      </c>
      <c r="G282" s="6" t="str">
        <f>IF(MINIFS(dynamic[orderDate], dynamic[customerID], B282) &gt;= DATE(2024,4,30)-120, 
     "New", 
     IF(MAXIFS(dynamic[orderCount], dynamic[customerID], B282)&lt;=2, 
        IF((DATE(2024,4,30) - MAXIFS(dynamic[orderDate], dynamic[customerID], B282)) &gt; 180, "Non-Returning", "Dormant"), 
        IF(AND(MAX(dynamic[sinceLastOrder]) &gt; 365, (DATE(2024,4,30) - MAXIFS(dynamic[orderDate], dynamic[customerID], B282)) &gt; 180), 
           "Dormant", "Regular")))</f>
        <v>Regular</v>
      </c>
      <c r="H282" s="6">
        <v>11.0</v>
      </c>
      <c r="I282" s="9" t="str">
        <f>VLOOKUP(dynamic[productID],products[],2,FALSE)</f>
        <v>Queso Cabrales</v>
      </c>
      <c r="J282" s="9" t="str">
        <f>VLOOKUP(dynamic[productID],products[],12,FALSE)</f>
        <v>Dairy Products</v>
      </c>
      <c r="K282" s="7" t="str">
        <f>IF(VLOOKUP(dynamic[productID],products[],7,FALSE)=1,"Discontinued","Current")</f>
        <v>Current</v>
      </c>
      <c r="L282" s="9">
        <f>VLOOKUP(dynamic[productID],products[],IF(YEAR(dynamic[orderDate])=2022,8,IF(YEAR(dynamic[orderDate])=2023,9,IF(YEAR(dynamic[orderDate])=2024,10,NA))),FALSE)</f>
        <v>10.58231097</v>
      </c>
      <c r="M282" s="9">
        <v>16.8</v>
      </c>
      <c r="N282" s="25">
        <f>(dynamic[orderPrice]-dynamic[productCost])/dynamic[productCost]</f>
        <v>0.5875549344</v>
      </c>
      <c r="O282" s="10">
        <v>12.0</v>
      </c>
      <c r="P282" s="25">
        <v>0.2</v>
      </c>
      <c r="Q282" s="9">
        <f>dynamic[orderPrice]*dynamic[orderQuantity]</f>
        <v>201.6</v>
      </c>
      <c r="R282" s="9">
        <f>dynamic[orderTotal]*(1-dynamic[discountApllied])</f>
        <v>161.28</v>
      </c>
      <c r="S282" s="9">
        <f>dynamic[revenue]-(dynamic[productCost]*dynamic[orderQuantity])</f>
        <v>34.29226834</v>
      </c>
      <c r="T282" s="25">
        <f>IFERROR(dynamic[profit]/dynamic[revenue], 0)</f>
        <v>0.2126256718</v>
      </c>
    </row>
    <row r="283" ht="15.75" customHeight="1">
      <c r="A283" s="6">
        <v>10353.0</v>
      </c>
      <c r="B283" s="7" t="s">
        <v>69</v>
      </c>
      <c r="C283" s="24" t="str">
        <f>VLOOKUP(dynamic[customerID],customers[],2,FALSE)</f>
        <v>Piccolo und mehr</v>
      </c>
      <c r="D283" s="24">
        <v>44878.0</v>
      </c>
      <c r="E283" s="6">
        <f>IFERROR(__xludf.DUMMYFUNCTION("COUNTUNIQUEIFS($A$2:$A283,$B$2:$B283,B283)"),1.0)</f>
        <v>1</v>
      </c>
      <c r="F283" s="6">
        <f t="shared" si="1"/>
        <v>0</v>
      </c>
      <c r="G283" s="6" t="str">
        <f>IF(MINIFS(dynamic[orderDate], dynamic[customerID], B283) &gt;= DATE(2024,4,30)-120, 
     "New", 
     IF(MAXIFS(dynamic[orderCount], dynamic[customerID], B283)&lt;=2, 
        IF((DATE(2024,4,30) - MAXIFS(dynamic[orderDate], dynamic[customerID], B283)) &gt; 180, "Non-Returning", "Dormant"), 
        IF(AND(MAX(dynamic[sinceLastOrder]) &gt; 365, (DATE(2024,4,30) - MAXIFS(dynamic[orderDate], dynamic[customerID], B283)) &gt; 180), 
           "Dormant", "Regular")))</f>
        <v>Regular</v>
      </c>
      <c r="H283" s="6">
        <v>38.0</v>
      </c>
      <c r="I283" s="9" t="str">
        <f>VLOOKUP(dynamic[productID],products[],2,FALSE)</f>
        <v>Côte de Blaye</v>
      </c>
      <c r="J283" s="9" t="str">
        <f>VLOOKUP(dynamic[productID],products[],12,FALSE)</f>
        <v>Beverages</v>
      </c>
      <c r="K283" s="7" t="str">
        <f>IF(VLOOKUP(dynamic[productID],products[],7,FALSE)=1,"Discontinued","Current")</f>
        <v>Current</v>
      </c>
      <c r="L283" s="9">
        <f>VLOOKUP(dynamic[productID],products[],IF(YEAR(dynamic[orderDate])=2022,8,IF(YEAR(dynamic[orderDate])=2023,9,IF(YEAR(dynamic[orderDate])=2024,10,NA))),FALSE)</f>
        <v>133.3740767</v>
      </c>
      <c r="M283" s="9">
        <v>210.8</v>
      </c>
      <c r="N283" s="25">
        <f>(dynamic[orderPrice]-dynamic[productCost])/dynamic[productCost]</f>
        <v>0.5805170327</v>
      </c>
      <c r="O283" s="10">
        <v>50.0</v>
      </c>
      <c r="P283" s="25">
        <v>0.2</v>
      </c>
      <c r="Q283" s="9">
        <f>dynamic[orderPrice]*dynamic[orderQuantity]</f>
        <v>10540</v>
      </c>
      <c r="R283" s="9">
        <f>dynamic[orderTotal]*(1-dynamic[discountApllied])</f>
        <v>8432</v>
      </c>
      <c r="S283" s="9">
        <f>dynamic[revenue]-(dynamic[productCost]*dynamic[orderQuantity])</f>
        <v>1763.296163</v>
      </c>
      <c r="T283" s="25">
        <f>IFERROR(dynamic[profit]/dynamic[revenue], 0)</f>
        <v>0.2091195639</v>
      </c>
    </row>
    <row r="284" ht="15.75" customHeight="1">
      <c r="A284" s="6">
        <v>10354.0</v>
      </c>
      <c r="B284" s="7" t="s">
        <v>58</v>
      </c>
      <c r="C284" s="24" t="str">
        <f>VLOOKUP(dynamic[customerID],customers[],2,FALSE)</f>
        <v>Pericles Comidas clásicas</v>
      </c>
      <c r="D284" s="24">
        <v>44879.0</v>
      </c>
      <c r="E284" s="6">
        <f>IFERROR(__xludf.DUMMYFUNCTION("COUNTUNIQUEIFS($A$2:$A284,$B$2:$B284,B284)"),2.0)</f>
        <v>2</v>
      </c>
      <c r="F284" s="6">
        <f t="shared" si="1"/>
        <v>41</v>
      </c>
      <c r="G284" s="6" t="str">
        <f>IF(MINIFS(dynamic[orderDate], dynamic[customerID], B284) &gt;= DATE(2024,4,30)-120, 
     "New", 
     IF(MAXIFS(dynamic[orderCount], dynamic[customerID], B284)&lt;=2, 
        IF((DATE(2024,4,30) - MAXIFS(dynamic[orderDate], dynamic[customerID], B284)) &gt; 180, "Non-Returning", "Dormant"), 
        IF(AND(MAX(dynamic[sinceLastOrder]) &gt; 365, (DATE(2024,4,30) - MAXIFS(dynamic[orderDate], dynamic[customerID], B284)) &gt; 180), 
           "Dormant", "Regular")))</f>
        <v>Regular</v>
      </c>
      <c r="H284" s="6">
        <v>1.0</v>
      </c>
      <c r="I284" s="9" t="str">
        <f>VLOOKUP(dynamic[productID],products[],2,FALSE)</f>
        <v>Chai</v>
      </c>
      <c r="J284" s="9" t="str">
        <f>VLOOKUP(dynamic[productID],products[],12,FALSE)</f>
        <v>Beverages</v>
      </c>
      <c r="K284" s="7" t="str">
        <f>IF(VLOOKUP(dynamic[productID],products[],7,FALSE)=1,"Discontinued","Current")</f>
        <v>Current</v>
      </c>
      <c r="L284" s="9">
        <f>VLOOKUP(dynamic[productID],products[],IF(YEAR(dynamic[orderDate])=2022,8,IF(YEAR(dynamic[orderDate])=2023,9,IF(YEAR(dynamic[orderDate])=2024,10,NA))),FALSE)</f>
        <v>9.574207217</v>
      </c>
      <c r="M284" s="9">
        <v>14.4</v>
      </c>
      <c r="N284" s="25">
        <f>(dynamic[orderPrice]-dynamic[productCost])/dynamic[productCost]</f>
        <v>0.5040409795</v>
      </c>
      <c r="O284" s="10">
        <v>12.0</v>
      </c>
      <c r="P284" s="25">
        <v>0.0</v>
      </c>
      <c r="Q284" s="9">
        <f>dynamic[orderPrice]*dynamic[orderQuantity]</f>
        <v>172.8</v>
      </c>
      <c r="R284" s="9">
        <f>dynamic[orderTotal]*(1-dynamic[discountApllied])</f>
        <v>172.8</v>
      </c>
      <c r="S284" s="9">
        <f>dynamic[revenue]-(dynamic[productCost]*dynamic[orderQuantity])</f>
        <v>57.9095134</v>
      </c>
      <c r="T284" s="25">
        <f>IFERROR(dynamic[profit]/dynamic[revenue], 0)</f>
        <v>0.3351244989</v>
      </c>
    </row>
    <row r="285" ht="15.75" customHeight="1">
      <c r="A285" s="6">
        <v>10354.0</v>
      </c>
      <c r="B285" s="7" t="s">
        <v>58</v>
      </c>
      <c r="C285" s="24" t="str">
        <f>VLOOKUP(dynamic[customerID],customers[],2,FALSE)</f>
        <v>Pericles Comidas clásicas</v>
      </c>
      <c r="D285" s="24">
        <v>44879.0</v>
      </c>
      <c r="E285" s="6">
        <f>IFERROR(__xludf.DUMMYFUNCTION("COUNTUNIQUEIFS($A$2:$A285,$B$2:$B285,B285)"),2.0)</f>
        <v>2</v>
      </c>
      <c r="F285" s="6">
        <f t="shared" si="1"/>
        <v>41</v>
      </c>
      <c r="G285" s="6" t="str">
        <f>IF(MINIFS(dynamic[orderDate], dynamic[customerID], B285) &gt;= DATE(2024,4,30)-120, 
     "New", 
     IF(MAXIFS(dynamic[orderCount], dynamic[customerID], B285)&lt;=2, 
        IF((DATE(2024,4,30) - MAXIFS(dynamic[orderDate], dynamic[customerID], B285)) &gt; 180, "Non-Returning", "Dormant"), 
        IF(AND(MAX(dynamic[sinceLastOrder]) &gt; 365, (DATE(2024,4,30) - MAXIFS(dynamic[orderDate], dynamic[customerID], B285)) &gt; 180), 
           "Dormant", "Regular")))</f>
        <v>Regular</v>
      </c>
      <c r="H285" s="6">
        <v>29.0</v>
      </c>
      <c r="I285" s="9" t="str">
        <f>VLOOKUP(dynamic[productID],products[],2,FALSE)</f>
        <v>Thüringer Rostbratwurst</v>
      </c>
      <c r="J285" s="9" t="str">
        <f>VLOOKUP(dynamic[productID],products[],12,FALSE)</f>
        <v>Meat/Poultry</v>
      </c>
      <c r="K285" s="7" t="str">
        <f>IF(VLOOKUP(dynamic[productID],products[],7,FALSE)=1,"Discontinued","Current")</f>
        <v>Discontinued</v>
      </c>
      <c r="L285" s="9">
        <f>VLOOKUP(dynamic[productID],products[],IF(YEAR(dynamic[orderDate])=2022,8,IF(YEAR(dynamic[orderDate])=2023,9,IF(YEAR(dynamic[orderDate])=2024,10,NA))),FALSE)</f>
        <v>70.25945266</v>
      </c>
      <c r="M285" s="9">
        <v>99.0</v>
      </c>
      <c r="N285" s="25">
        <f>(dynamic[orderPrice]-dynamic[productCost])/dynamic[productCost]</f>
        <v>0.4090630691</v>
      </c>
      <c r="O285" s="10">
        <v>4.0</v>
      </c>
      <c r="P285" s="25">
        <v>0.0</v>
      </c>
      <c r="Q285" s="9">
        <f>dynamic[orderPrice]*dynamic[orderQuantity]</f>
        <v>396</v>
      </c>
      <c r="R285" s="9">
        <f>dynamic[orderTotal]*(1-dynamic[discountApllied])</f>
        <v>396</v>
      </c>
      <c r="S285" s="9">
        <f>dynamic[revenue]-(dynamic[productCost]*dynamic[orderQuantity])</f>
        <v>114.9621894</v>
      </c>
      <c r="T285" s="25">
        <f>IFERROR(dynamic[profit]/dynamic[revenue], 0)</f>
        <v>0.290308559</v>
      </c>
    </row>
    <row r="286" ht="15.75" customHeight="1">
      <c r="A286" s="6">
        <v>10355.0</v>
      </c>
      <c r="B286" s="7" t="s">
        <v>70</v>
      </c>
      <c r="C286" s="24" t="str">
        <f>VLOOKUP(dynamic[customerID],customers[],2,FALSE)</f>
        <v>Around the Horn</v>
      </c>
      <c r="D286" s="24">
        <v>44880.0</v>
      </c>
      <c r="E286" s="6">
        <f>IFERROR(__xludf.DUMMYFUNCTION("COUNTUNIQUEIFS($A$2:$A286,$B$2:$B286,B286)"),1.0)</f>
        <v>1</v>
      </c>
      <c r="F286" s="6">
        <f t="shared" si="1"/>
        <v>0</v>
      </c>
      <c r="G286" s="6" t="str">
        <f>IF(MINIFS(dynamic[orderDate], dynamic[customerID], B286) &gt;= DATE(2024,4,30)-120, 
     "New", 
     IF(MAXIFS(dynamic[orderCount], dynamic[customerID], B286)&lt;=2, 
        IF((DATE(2024,4,30) - MAXIFS(dynamic[orderDate], dynamic[customerID], B286)) &gt; 180, "Non-Returning", "Dormant"), 
        IF(AND(MAX(dynamic[sinceLastOrder]) &gt; 365, (DATE(2024,4,30) - MAXIFS(dynamic[orderDate], dynamic[customerID], B286)) &gt; 180), 
           "Dormant", "Regular")))</f>
        <v>Regular</v>
      </c>
      <c r="H286" s="6">
        <v>24.0</v>
      </c>
      <c r="I286" s="9" t="str">
        <f>VLOOKUP(dynamic[productID],products[],2,FALSE)</f>
        <v>Brigadeiros Maravilhosos da Lilian</v>
      </c>
      <c r="J286" s="9" t="str">
        <f>VLOOKUP(dynamic[productID],products[],12,FALSE)</f>
        <v>Confections</v>
      </c>
      <c r="K286" s="7" t="str">
        <f>IF(VLOOKUP(dynamic[productID],products[],7,FALSE)=1,"Discontinued","Current")</f>
        <v>Discontinued</v>
      </c>
      <c r="L286" s="9">
        <f>VLOOKUP(dynamic[productID],products[],IF(YEAR(dynamic[orderDate])=2022,8,IF(YEAR(dynamic[orderDate])=2023,9,IF(YEAR(dynamic[orderDate])=2024,10,NA))),FALSE)</f>
        <v>2.68117246</v>
      </c>
      <c r="M286" s="9">
        <v>3.6</v>
      </c>
      <c r="N286" s="25">
        <f>(dynamic[orderPrice]-dynamic[productCost])/dynamic[productCost]</f>
        <v>0.3426961727</v>
      </c>
      <c r="O286" s="10">
        <v>25.0</v>
      </c>
      <c r="P286" s="25">
        <v>0.0</v>
      </c>
      <c r="Q286" s="9">
        <f>dynamic[orderPrice]*dynamic[orderQuantity]</f>
        <v>90</v>
      </c>
      <c r="R286" s="9">
        <f>dynamic[orderTotal]*(1-dynamic[discountApllied])</f>
        <v>90</v>
      </c>
      <c r="S286" s="9">
        <f>dynamic[revenue]-(dynamic[productCost]*dynamic[orderQuantity])</f>
        <v>22.97068851</v>
      </c>
      <c r="T286" s="25">
        <f>IFERROR(dynamic[profit]/dynamic[revenue], 0)</f>
        <v>0.2552298723</v>
      </c>
    </row>
    <row r="287" ht="15.75" customHeight="1">
      <c r="A287" s="6">
        <v>10355.0</v>
      </c>
      <c r="B287" s="7" t="s">
        <v>70</v>
      </c>
      <c r="C287" s="24" t="str">
        <f>VLOOKUP(dynamic[customerID],customers[],2,FALSE)</f>
        <v>Around the Horn</v>
      </c>
      <c r="D287" s="24">
        <v>44880.0</v>
      </c>
      <c r="E287" s="6">
        <f>IFERROR(__xludf.DUMMYFUNCTION("COUNTUNIQUEIFS($A$2:$A287,$B$2:$B287,B287)"),1.0)</f>
        <v>1</v>
      </c>
      <c r="F287" s="6">
        <f t="shared" si="1"/>
        <v>0</v>
      </c>
      <c r="G287" s="6" t="str">
        <f>IF(MINIFS(dynamic[orderDate], dynamic[customerID], B287) &gt;= DATE(2024,4,30)-120, 
     "New", 
     IF(MAXIFS(dynamic[orderCount], dynamic[customerID], B287)&lt;=2, 
        IF((DATE(2024,4,30) - MAXIFS(dynamic[orderDate], dynamic[customerID], B287)) &gt; 180, "Non-Returning", "Dormant"), 
        IF(AND(MAX(dynamic[sinceLastOrder]) &gt; 365, (DATE(2024,4,30) - MAXIFS(dynamic[orderDate], dynamic[customerID], B287)) &gt; 180), 
           "Dormant", "Regular")))</f>
        <v>Regular</v>
      </c>
      <c r="H287" s="6">
        <v>57.0</v>
      </c>
      <c r="I287" s="9" t="str">
        <f>VLOOKUP(dynamic[productID],products[],2,FALSE)</f>
        <v>Ravioli Angelo</v>
      </c>
      <c r="J287" s="9" t="str">
        <f>VLOOKUP(dynamic[productID],products[],12,FALSE)</f>
        <v>Grains/Cereals</v>
      </c>
      <c r="K287" s="7" t="str">
        <f>IF(VLOOKUP(dynamic[productID],products[],7,FALSE)=1,"Discontinued","Current")</f>
        <v>Current</v>
      </c>
      <c r="L287" s="9">
        <f>VLOOKUP(dynamic[productID],products[],IF(YEAR(dynamic[orderDate])=2022,8,IF(YEAR(dynamic[orderDate])=2023,9,IF(YEAR(dynamic[orderDate])=2024,10,NA))),FALSE)</f>
        <v>11.22950766</v>
      </c>
      <c r="M287" s="9">
        <v>15.6</v>
      </c>
      <c r="N287" s="25">
        <f>(dynamic[orderPrice]-dynamic[productCost])/dynamic[productCost]</f>
        <v>0.3891971469</v>
      </c>
      <c r="O287" s="10">
        <v>25.0</v>
      </c>
      <c r="P287" s="25">
        <v>0.0</v>
      </c>
      <c r="Q287" s="9">
        <f>dynamic[orderPrice]*dynamic[orderQuantity]</f>
        <v>390</v>
      </c>
      <c r="R287" s="9">
        <f>dynamic[orderTotal]*(1-dynamic[discountApllied])</f>
        <v>390</v>
      </c>
      <c r="S287" s="9">
        <f>dynamic[revenue]-(dynamic[productCost]*dynamic[orderQuantity])</f>
        <v>109.2623085</v>
      </c>
      <c r="T287" s="25">
        <f>IFERROR(dynamic[profit]/dynamic[revenue], 0)</f>
        <v>0.2801597655</v>
      </c>
    </row>
    <row r="288" ht="15.75" customHeight="1">
      <c r="A288" s="6">
        <v>10356.0</v>
      </c>
      <c r="B288" s="7" t="s">
        <v>50</v>
      </c>
      <c r="C288" s="24" t="str">
        <f>VLOOKUP(dynamic[customerID],customers[],2,FALSE)</f>
        <v>Die Wandernde Kuh</v>
      </c>
      <c r="D288" s="24">
        <v>44883.0</v>
      </c>
      <c r="E288" s="6">
        <f>IFERROR(__xludf.DUMMYFUNCTION("COUNTUNIQUEIFS($A$2:$A288,$B$2:$B288,B288)"),4.0)</f>
        <v>4</v>
      </c>
      <c r="F288" s="6">
        <f t="shared" si="1"/>
        <v>11</v>
      </c>
      <c r="G288" s="6" t="str">
        <f>IF(MINIFS(dynamic[orderDate], dynamic[customerID], B288) &gt;= DATE(2024,4,30)-120, 
     "New", 
     IF(MAXIFS(dynamic[orderCount], dynamic[customerID], B288)&lt;=2, 
        IF((DATE(2024,4,30) - MAXIFS(dynamic[orderDate], dynamic[customerID], B288)) &gt; 180, "Non-Returning", "Dormant"), 
        IF(AND(MAX(dynamic[sinceLastOrder]) &gt; 365, (DATE(2024,4,30) - MAXIFS(dynamic[orderDate], dynamic[customerID], B288)) &gt; 180), 
           "Dormant", "Regular")))</f>
        <v>Regular</v>
      </c>
      <c r="H288" s="6">
        <v>31.0</v>
      </c>
      <c r="I288" s="9" t="str">
        <f>VLOOKUP(dynamic[productID],products[],2,FALSE)</f>
        <v>Gorgonzola Telino</v>
      </c>
      <c r="J288" s="9" t="str">
        <f>VLOOKUP(dynamic[productID],products[],12,FALSE)</f>
        <v>Dairy Products</v>
      </c>
      <c r="K288" s="7" t="str">
        <f>IF(VLOOKUP(dynamic[productID],products[],7,FALSE)=1,"Discontinued","Current")</f>
        <v>Current</v>
      </c>
      <c r="L288" s="9">
        <f>VLOOKUP(dynamic[productID],products[],IF(YEAR(dynamic[orderDate])=2022,8,IF(YEAR(dynamic[orderDate])=2023,9,IF(YEAR(dynamic[orderDate])=2024,10,NA))),FALSE)</f>
        <v>6.44031973</v>
      </c>
      <c r="M288" s="9">
        <v>10.0</v>
      </c>
      <c r="N288" s="25">
        <f>(dynamic[orderPrice]-dynamic[productCost])/dynamic[productCost]</f>
        <v>0.5527179425</v>
      </c>
      <c r="O288" s="10">
        <v>30.0</v>
      </c>
      <c r="P288" s="25">
        <v>0.0</v>
      </c>
      <c r="Q288" s="9">
        <f>dynamic[orderPrice]*dynamic[orderQuantity]</f>
        <v>300</v>
      </c>
      <c r="R288" s="9">
        <f>dynamic[orderTotal]*(1-dynamic[discountApllied])</f>
        <v>300</v>
      </c>
      <c r="S288" s="9">
        <f>dynamic[revenue]-(dynamic[productCost]*dynamic[orderQuantity])</f>
        <v>106.7904081</v>
      </c>
      <c r="T288" s="25">
        <f>IFERROR(dynamic[profit]/dynamic[revenue], 0)</f>
        <v>0.355968027</v>
      </c>
    </row>
    <row r="289" ht="15.75" customHeight="1">
      <c r="A289" s="6">
        <v>10356.0</v>
      </c>
      <c r="B289" s="7" t="s">
        <v>50</v>
      </c>
      <c r="C289" s="24" t="str">
        <f>VLOOKUP(dynamic[customerID],customers[],2,FALSE)</f>
        <v>Die Wandernde Kuh</v>
      </c>
      <c r="D289" s="24">
        <v>44883.0</v>
      </c>
      <c r="E289" s="6">
        <f>IFERROR(__xludf.DUMMYFUNCTION("COUNTUNIQUEIFS($A$2:$A289,$B$2:$B289,B289)"),4.0)</f>
        <v>4</v>
      </c>
      <c r="F289" s="6">
        <f t="shared" si="1"/>
        <v>11</v>
      </c>
      <c r="G289" s="6" t="str">
        <f>IF(MINIFS(dynamic[orderDate], dynamic[customerID], B289) &gt;= DATE(2024,4,30)-120, 
     "New", 
     IF(MAXIFS(dynamic[orderCount], dynamic[customerID], B289)&lt;=2, 
        IF((DATE(2024,4,30) - MAXIFS(dynamic[orderDate], dynamic[customerID], B289)) &gt; 180, "Non-Returning", "Dormant"), 
        IF(AND(MAX(dynamic[sinceLastOrder]) &gt; 365, (DATE(2024,4,30) - MAXIFS(dynamic[orderDate], dynamic[customerID], B289)) &gt; 180), 
           "Dormant", "Regular")))</f>
        <v>Regular</v>
      </c>
      <c r="H289" s="6">
        <v>55.0</v>
      </c>
      <c r="I289" s="9" t="str">
        <f>VLOOKUP(dynamic[productID],products[],2,FALSE)</f>
        <v>Pâté chinois</v>
      </c>
      <c r="J289" s="9" t="str">
        <f>VLOOKUP(dynamic[productID],products[],12,FALSE)</f>
        <v>Meat/Poultry</v>
      </c>
      <c r="K289" s="7" t="str">
        <f>IF(VLOOKUP(dynamic[productID],products[],7,FALSE)=1,"Discontinued","Current")</f>
        <v>Current</v>
      </c>
      <c r="L289" s="9">
        <f>VLOOKUP(dynamic[productID],products[],IF(YEAR(dynamic[orderDate])=2022,8,IF(YEAR(dynamic[orderDate])=2023,9,IF(YEAR(dynamic[orderDate])=2024,10,NA))),FALSE)</f>
        <v>12.97496052</v>
      </c>
      <c r="M289" s="9">
        <v>19.2</v>
      </c>
      <c r="N289" s="25">
        <f>(dynamic[orderPrice]-dynamic[productCost])/dynamic[productCost]</f>
        <v>0.4797732884</v>
      </c>
      <c r="O289" s="10">
        <v>12.0</v>
      </c>
      <c r="P289" s="25">
        <v>0.0</v>
      </c>
      <c r="Q289" s="9">
        <f>dynamic[orderPrice]*dynamic[orderQuantity]</f>
        <v>230.4</v>
      </c>
      <c r="R289" s="9">
        <f>dynamic[orderTotal]*(1-dynamic[discountApllied])</f>
        <v>230.4</v>
      </c>
      <c r="S289" s="9">
        <f>dynamic[revenue]-(dynamic[productCost]*dynamic[orderQuantity])</f>
        <v>74.70047372</v>
      </c>
      <c r="T289" s="25">
        <f>IFERROR(dynamic[profit]/dynamic[revenue], 0)</f>
        <v>0.3242208061</v>
      </c>
    </row>
    <row r="290" ht="15.75" customHeight="1">
      <c r="A290" s="6">
        <v>10356.0</v>
      </c>
      <c r="B290" s="7" t="s">
        <v>50</v>
      </c>
      <c r="C290" s="24" t="str">
        <f>VLOOKUP(dynamic[customerID],customers[],2,FALSE)</f>
        <v>Die Wandernde Kuh</v>
      </c>
      <c r="D290" s="24">
        <v>44883.0</v>
      </c>
      <c r="E290" s="6">
        <f>IFERROR(__xludf.DUMMYFUNCTION("COUNTUNIQUEIFS($A$2:$A290,$B$2:$B290,B290)"),4.0)</f>
        <v>4</v>
      </c>
      <c r="F290" s="6">
        <f t="shared" si="1"/>
        <v>11</v>
      </c>
      <c r="G290" s="6" t="str">
        <f>IF(MINIFS(dynamic[orderDate], dynamic[customerID], B290) &gt;= DATE(2024,4,30)-120, 
     "New", 
     IF(MAXIFS(dynamic[orderCount], dynamic[customerID], B290)&lt;=2, 
        IF((DATE(2024,4,30) - MAXIFS(dynamic[orderDate], dynamic[customerID], B290)) &gt; 180, "Non-Returning", "Dormant"), 
        IF(AND(MAX(dynamic[sinceLastOrder]) &gt; 365, (DATE(2024,4,30) - MAXIFS(dynamic[orderDate], dynamic[customerID], B290)) &gt; 180), 
           "Dormant", "Regular")))</f>
        <v>Regular</v>
      </c>
      <c r="H290" s="6">
        <v>69.0</v>
      </c>
      <c r="I290" s="9" t="str">
        <f>VLOOKUP(dynamic[productID],products[],2,FALSE)</f>
        <v>Gudbrandsdalsost</v>
      </c>
      <c r="J290" s="9" t="str">
        <f>VLOOKUP(dynamic[productID],products[],12,FALSE)</f>
        <v>Dairy Products</v>
      </c>
      <c r="K290" s="7" t="str">
        <f>IF(VLOOKUP(dynamic[productID],products[],7,FALSE)=1,"Discontinued","Current")</f>
        <v>Current</v>
      </c>
      <c r="L290" s="9">
        <f>VLOOKUP(dynamic[productID],products[],IF(YEAR(dynamic[orderDate])=2022,8,IF(YEAR(dynamic[orderDate])=2023,9,IF(YEAR(dynamic[orderDate])=2024,10,NA))),FALSE)</f>
        <v>20.71216183</v>
      </c>
      <c r="M290" s="9">
        <v>28.8</v>
      </c>
      <c r="N290" s="25">
        <f>(dynamic[orderPrice]-dynamic[productCost])/dynamic[productCost]</f>
        <v>0.3904873977</v>
      </c>
      <c r="O290" s="10">
        <v>20.0</v>
      </c>
      <c r="P290" s="25">
        <v>0.0</v>
      </c>
      <c r="Q290" s="9">
        <f>dynamic[orderPrice]*dynamic[orderQuantity]</f>
        <v>576</v>
      </c>
      <c r="R290" s="9">
        <f>dynamic[orderTotal]*(1-dynamic[discountApllied])</f>
        <v>576</v>
      </c>
      <c r="S290" s="9">
        <f>dynamic[revenue]-(dynamic[productCost]*dynamic[orderQuantity])</f>
        <v>161.7567634</v>
      </c>
      <c r="T290" s="25">
        <f>IFERROR(dynamic[profit]/dynamic[revenue], 0)</f>
        <v>0.2808277143</v>
      </c>
    </row>
    <row r="291" ht="15.75" customHeight="1">
      <c r="A291" s="6">
        <v>10357.0</v>
      </c>
      <c r="B291" s="7" t="s">
        <v>43</v>
      </c>
      <c r="C291" s="24" t="str">
        <f>VLOOKUP(dynamic[customerID],customers[],2,FALSE)</f>
        <v>LILA-Supermercado</v>
      </c>
      <c r="D291" s="24">
        <v>44884.0</v>
      </c>
      <c r="E291" s="6">
        <f>IFERROR(__xludf.DUMMYFUNCTION("COUNTUNIQUEIFS($A$2:$A291,$B$2:$B291,B291)"),4.0)</f>
        <v>4</v>
      </c>
      <c r="F291" s="6">
        <f t="shared" si="1"/>
        <v>34</v>
      </c>
      <c r="G291" s="6" t="str">
        <f>IF(MINIFS(dynamic[orderDate], dynamic[customerID], B291) &gt;= DATE(2024,4,30)-120, 
     "New", 
     IF(MAXIFS(dynamic[orderCount], dynamic[customerID], B291)&lt;=2, 
        IF((DATE(2024,4,30) - MAXIFS(dynamic[orderDate], dynamic[customerID], B291)) &gt; 180, "Non-Returning", "Dormant"), 
        IF(AND(MAX(dynamic[sinceLastOrder]) &gt; 365, (DATE(2024,4,30) - MAXIFS(dynamic[orderDate], dynamic[customerID], B291)) &gt; 180), 
           "Dormant", "Regular")))</f>
        <v>Regular</v>
      </c>
      <c r="H291" s="6">
        <v>10.0</v>
      </c>
      <c r="I291" s="9" t="str">
        <f>VLOOKUP(dynamic[productID],products[],2,FALSE)</f>
        <v>Ikura</v>
      </c>
      <c r="J291" s="9" t="str">
        <f>VLOOKUP(dynamic[productID],products[],12,FALSE)</f>
        <v>Seafood</v>
      </c>
      <c r="K291" s="7" t="str">
        <f>IF(VLOOKUP(dynamic[productID],products[],7,FALSE)=1,"Discontinued","Current")</f>
        <v>Current</v>
      </c>
      <c r="L291" s="9">
        <f>VLOOKUP(dynamic[productID],products[],IF(YEAR(dynamic[orderDate])=2022,8,IF(YEAR(dynamic[orderDate])=2023,9,IF(YEAR(dynamic[orderDate])=2024,10,NA))),FALSE)</f>
        <v>16.07630731</v>
      </c>
      <c r="M291" s="9">
        <v>24.8</v>
      </c>
      <c r="N291" s="25">
        <f>(dynamic[orderPrice]-dynamic[productCost])/dynamic[productCost]</f>
        <v>0.5426428175</v>
      </c>
      <c r="O291" s="10">
        <v>30.0</v>
      </c>
      <c r="P291" s="25">
        <v>0.2</v>
      </c>
      <c r="Q291" s="9">
        <f>dynamic[orderPrice]*dynamic[orderQuantity]</f>
        <v>744</v>
      </c>
      <c r="R291" s="9">
        <f>dynamic[orderTotal]*(1-dynamic[discountApllied])</f>
        <v>595.2</v>
      </c>
      <c r="S291" s="9">
        <f>dynamic[revenue]-(dynamic[productCost]*dynamic[orderQuantity])</f>
        <v>112.9107808</v>
      </c>
      <c r="T291" s="25">
        <f>IFERROR(dynamic[profit]/dynamic[revenue], 0)</f>
        <v>0.1897022526</v>
      </c>
    </row>
    <row r="292" ht="15.75" customHeight="1">
      <c r="A292" s="6">
        <v>10357.0</v>
      </c>
      <c r="B292" s="7" t="s">
        <v>43</v>
      </c>
      <c r="C292" s="24" t="str">
        <f>VLOOKUP(dynamic[customerID],customers[],2,FALSE)</f>
        <v>LILA-Supermercado</v>
      </c>
      <c r="D292" s="24">
        <v>44884.0</v>
      </c>
      <c r="E292" s="6">
        <f>IFERROR(__xludf.DUMMYFUNCTION("COUNTUNIQUEIFS($A$2:$A292,$B$2:$B292,B292)"),4.0)</f>
        <v>4</v>
      </c>
      <c r="F292" s="6">
        <f t="shared" si="1"/>
        <v>34</v>
      </c>
      <c r="G292" s="6" t="str">
        <f>IF(MINIFS(dynamic[orderDate], dynamic[customerID], B292) &gt;= DATE(2024,4,30)-120, 
     "New", 
     IF(MAXIFS(dynamic[orderCount], dynamic[customerID], B292)&lt;=2, 
        IF((DATE(2024,4,30) - MAXIFS(dynamic[orderDate], dynamic[customerID], B292)) &gt; 180, "Non-Returning", "Dormant"), 
        IF(AND(MAX(dynamic[sinceLastOrder]) &gt; 365, (DATE(2024,4,30) - MAXIFS(dynamic[orderDate], dynamic[customerID], B292)) &gt; 180), 
           "Dormant", "Regular")))</f>
        <v>Regular</v>
      </c>
      <c r="H292" s="6">
        <v>26.0</v>
      </c>
      <c r="I292" s="9" t="str">
        <f>VLOOKUP(dynamic[productID],products[],2,FALSE)</f>
        <v>NuNuCa Nuß-Nougat-Creme</v>
      </c>
      <c r="J292" s="9" t="str">
        <f>VLOOKUP(dynamic[productID],products[],12,FALSE)</f>
        <v>Confections</v>
      </c>
      <c r="K292" s="7" t="str">
        <f>IF(VLOOKUP(dynamic[productID],products[],7,FALSE)=1,"Discontinued","Current")</f>
        <v>Current</v>
      </c>
      <c r="L292" s="9">
        <f>VLOOKUP(dynamic[productID],products[],IF(YEAR(dynamic[orderDate])=2022,8,IF(YEAR(dynamic[orderDate])=2023,9,IF(YEAR(dynamic[orderDate])=2024,10,NA))),FALSE)</f>
        <v>17.26675607</v>
      </c>
      <c r="M292" s="9">
        <v>24.9</v>
      </c>
      <c r="N292" s="25">
        <f>(dynamic[orderPrice]-dynamic[productCost])/dynamic[productCost]</f>
        <v>0.442077475</v>
      </c>
      <c r="O292" s="10">
        <v>16.0</v>
      </c>
      <c r="P292" s="25">
        <v>0.0</v>
      </c>
      <c r="Q292" s="9">
        <f>dynamic[orderPrice]*dynamic[orderQuantity]</f>
        <v>398.4</v>
      </c>
      <c r="R292" s="9">
        <f>dynamic[orderTotal]*(1-dynamic[discountApllied])</f>
        <v>398.4</v>
      </c>
      <c r="S292" s="9">
        <f>dynamic[revenue]-(dynamic[productCost]*dynamic[orderQuantity])</f>
        <v>122.1319028</v>
      </c>
      <c r="T292" s="25">
        <f>IFERROR(dynamic[profit]/dynamic[revenue], 0)</f>
        <v>0.306555981</v>
      </c>
    </row>
    <row r="293" ht="15.75" customHeight="1">
      <c r="A293" s="6">
        <v>10357.0</v>
      </c>
      <c r="B293" s="7" t="s">
        <v>43</v>
      </c>
      <c r="C293" s="24" t="str">
        <f>VLOOKUP(dynamic[customerID],customers[],2,FALSE)</f>
        <v>LILA-Supermercado</v>
      </c>
      <c r="D293" s="24">
        <v>44884.0</v>
      </c>
      <c r="E293" s="6">
        <f>IFERROR(__xludf.DUMMYFUNCTION("COUNTUNIQUEIFS($A$2:$A293,$B$2:$B293,B293)"),4.0)</f>
        <v>4</v>
      </c>
      <c r="F293" s="6">
        <f t="shared" si="1"/>
        <v>34</v>
      </c>
      <c r="G293" s="6" t="str">
        <f>IF(MINIFS(dynamic[orderDate], dynamic[customerID], B293) &gt;= DATE(2024,4,30)-120, 
     "New", 
     IF(MAXIFS(dynamic[orderCount], dynamic[customerID], B293)&lt;=2, 
        IF((DATE(2024,4,30) - MAXIFS(dynamic[orderDate], dynamic[customerID], B293)) &gt; 180, "Non-Returning", "Dormant"), 
        IF(AND(MAX(dynamic[sinceLastOrder]) &gt; 365, (DATE(2024,4,30) - MAXIFS(dynamic[orderDate], dynamic[customerID], B293)) &gt; 180), 
           "Dormant", "Regular")))</f>
        <v>Regular</v>
      </c>
      <c r="H293" s="6">
        <v>60.0</v>
      </c>
      <c r="I293" s="9" t="str">
        <f>VLOOKUP(dynamic[productID],products[],2,FALSE)</f>
        <v>Camembert Pierrot</v>
      </c>
      <c r="J293" s="9" t="str">
        <f>VLOOKUP(dynamic[productID],products[],12,FALSE)</f>
        <v>Dairy Products</v>
      </c>
      <c r="K293" s="7" t="str">
        <f>IF(VLOOKUP(dynamic[productID],products[],7,FALSE)=1,"Discontinued","Current")</f>
        <v>Current</v>
      </c>
      <c r="L293" s="9">
        <f>VLOOKUP(dynamic[productID],products[],IF(YEAR(dynamic[orderDate])=2022,8,IF(YEAR(dynamic[orderDate])=2023,9,IF(YEAR(dynamic[orderDate])=2024,10,NA))),FALSE)</f>
        <v>17.66563493</v>
      </c>
      <c r="M293" s="9">
        <v>27.2</v>
      </c>
      <c r="N293" s="25">
        <f>(dynamic[orderPrice]-dynamic[productCost])/dynamic[productCost]</f>
        <v>0.5397125612</v>
      </c>
      <c r="O293" s="10">
        <v>8.0</v>
      </c>
      <c r="P293" s="25">
        <v>0.2</v>
      </c>
      <c r="Q293" s="9">
        <f>dynamic[orderPrice]*dynamic[orderQuantity]</f>
        <v>217.6</v>
      </c>
      <c r="R293" s="9">
        <f>dynamic[orderTotal]*(1-dynamic[discountApllied])</f>
        <v>174.08</v>
      </c>
      <c r="S293" s="9">
        <f>dynamic[revenue]-(dynamic[productCost]*dynamic[orderQuantity])</f>
        <v>32.75492057</v>
      </c>
      <c r="T293" s="25">
        <f>IFERROR(dynamic[profit]/dynamic[revenue], 0)</f>
        <v>0.1881601596</v>
      </c>
    </row>
    <row r="294" ht="15.75" customHeight="1">
      <c r="A294" s="6">
        <v>10358.0</v>
      </c>
      <c r="B294" s="7" t="s">
        <v>68</v>
      </c>
      <c r="C294" s="24" t="str">
        <f>VLOOKUP(dynamic[customerID],customers[],2,FALSE)</f>
        <v>La maison d'Asie</v>
      </c>
      <c r="D294" s="24">
        <v>44885.0</v>
      </c>
      <c r="E294" s="6">
        <f>IFERROR(__xludf.DUMMYFUNCTION("COUNTUNIQUEIFS($A$2:$A294,$B$2:$B294,B294)"),2.0)</f>
        <v>2</v>
      </c>
      <c r="F294" s="6">
        <f t="shared" si="1"/>
        <v>9</v>
      </c>
      <c r="G294" s="6" t="str">
        <f>IF(MINIFS(dynamic[orderDate], dynamic[customerID], B294) &gt;= DATE(2024,4,30)-120, 
     "New", 
     IF(MAXIFS(dynamic[orderCount], dynamic[customerID], B294)&lt;=2, 
        IF((DATE(2024,4,30) - MAXIFS(dynamic[orderDate], dynamic[customerID], B294)) &gt; 180, "Non-Returning", "Dormant"), 
        IF(AND(MAX(dynamic[sinceLastOrder]) &gt; 365, (DATE(2024,4,30) - MAXIFS(dynamic[orderDate], dynamic[customerID], B294)) &gt; 180), 
           "Dormant", "Regular")))</f>
        <v>Regular</v>
      </c>
      <c r="H294" s="6">
        <v>24.0</v>
      </c>
      <c r="I294" s="9" t="str">
        <f>VLOOKUP(dynamic[productID],products[],2,FALSE)</f>
        <v>Brigadeiros Maravilhosos da Lilian</v>
      </c>
      <c r="J294" s="9" t="str">
        <f>VLOOKUP(dynamic[productID],products[],12,FALSE)</f>
        <v>Confections</v>
      </c>
      <c r="K294" s="7" t="str">
        <f>IF(VLOOKUP(dynamic[productID],products[],7,FALSE)=1,"Discontinued","Current")</f>
        <v>Discontinued</v>
      </c>
      <c r="L294" s="9">
        <f>VLOOKUP(dynamic[productID],products[],IF(YEAR(dynamic[orderDate])=2022,8,IF(YEAR(dynamic[orderDate])=2023,9,IF(YEAR(dynamic[orderDate])=2024,10,NA))),FALSE)</f>
        <v>2.68117246</v>
      </c>
      <c r="M294" s="9">
        <v>3.6</v>
      </c>
      <c r="N294" s="25">
        <f>(dynamic[orderPrice]-dynamic[productCost])/dynamic[productCost]</f>
        <v>0.3426961727</v>
      </c>
      <c r="O294" s="10">
        <v>10.0</v>
      </c>
      <c r="P294" s="25">
        <v>0.05</v>
      </c>
      <c r="Q294" s="9">
        <f>dynamic[orderPrice]*dynamic[orderQuantity]</f>
        <v>36</v>
      </c>
      <c r="R294" s="9">
        <f>dynamic[orderTotal]*(1-dynamic[discountApllied])</f>
        <v>34.2</v>
      </c>
      <c r="S294" s="9">
        <f>dynamic[revenue]-(dynamic[productCost]*dynamic[orderQuantity])</f>
        <v>7.388275403</v>
      </c>
      <c r="T294" s="25">
        <f>IFERROR(dynamic[profit]/dynamic[revenue], 0)</f>
        <v>0.2160314445</v>
      </c>
    </row>
    <row r="295" ht="15.75" customHeight="1">
      <c r="A295" s="6">
        <v>10358.0</v>
      </c>
      <c r="B295" s="7" t="s">
        <v>68</v>
      </c>
      <c r="C295" s="24" t="str">
        <f>VLOOKUP(dynamic[customerID],customers[],2,FALSE)</f>
        <v>La maison d'Asie</v>
      </c>
      <c r="D295" s="24">
        <v>44885.0</v>
      </c>
      <c r="E295" s="6">
        <f>IFERROR(__xludf.DUMMYFUNCTION("COUNTUNIQUEIFS($A$2:$A295,$B$2:$B295,B295)"),2.0)</f>
        <v>2</v>
      </c>
      <c r="F295" s="6">
        <f t="shared" si="1"/>
        <v>9</v>
      </c>
      <c r="G295" s="6" t="str">
        <f>IF(MINIFS(dynamic[orderDate], dynamic[customerID], B295) &gt;= DATE(2024,4,30)-120, 
     "New", 
     IF(MAXIFS(dynamic[orderCount], dynamic[customerID], B295)&lt;=2, 
        IF((DATE(2024,4,30) - MAXIFS(dynamic[orderDate], dynamic[customerID], B295)) &gt; 180, "Non-Returning", "Dormant"), 
        IF(AND(MAX(dynamic[sinceLastOrder]) &gt; 365, (DATE(2024,4,30) - MAXIFS(dynamic[orderDate], dynamic[customerID], B295)) &gt; 180), 
           "Dormant", "Regular")))</f>
        <v>Regular</v>
      </c>
      <c r="H295" s="6">
        <v>34.0</v>
      </c>
      <c r="I295" s="9" t="str">
        <f>VLOOKUP(dynamic[productID],products[],2,FALSE)</f>
        <v>Sasquatch Ale</v>
      </c>
      <c r="J295" s="9" t="str">
        <f>VLOOKUP(dynamic[productID],products[],12,FALSE)</f>
        <v>Beverages</v>
      </c>
      <c r="K295" s="7" t="str">
        <f>IF(VLOOKUP(dynamic[productID],products[],7,FALSE)=1,"Discontinued","Current")</f>
        <v>Current</v>
      </c>
      <c r="L295" s="9">
        <f>VLOOKUP(dynamic[productID],products[],IF(YEAR(dynamic[orderDate])=2022,8,IF(YEAR(dynamic[orderDate])=2023,9,IF(YEAR(dynamic[orderDate])=2024,10,NA))),FALSE)</f>
        <v>8.233671911</v>
      </c>
      <c r="M295" s="9">
        <v>11.2</v>
      </c>
      <c r="N295" s="25">
        <f>(dynamic[orderPrice]-dynamic[productCost])/dynamic[productCost]</f>
        <v>0.3602679486</v>
      </c>
      <c r="O295" s="10">
        <v>10.0</v>
      </c>
      <c r="P295" s="25">
        <v>0.05</v>
      </c>
      <c r="Q295" s="9">
        <f>dynamic[orderPrice]*dynamic[orderQuantity]</f>
        <v>112</v>
      </c>
      <c r="R295" s="9">
        <f>dynamic[orderTotal]*(1-dynamic[discountApllied])</f>
        <v>106.4</v>
      </c>
      <c r="S295" s="9">
        <f>dynamic[revenue]-(dynamic[productCost]*dynamic[orderQuantity])</f>
        <v>24.06328089</v>
      </c>
      <c r="T295" s="25">
        <f>IFERROR(dynamic[profit]/dynamic[revenue], 0)</f>
        <v>0.226158655</v>
      </c>
    </row>
    <row r="296" ht="15.75" customHeight="1">
      <c r="A296" s="6">
        <v>10358.0</v>
      </c>
      <c r="B296" s="7" t="s">
        <v>68</v>
      </c>
      <c r="C296" s="24" t="str">
        <f>VLOOKUP(dynamic[customerID],customers[],2,FALSE)</f>
        <v>La maison d'Asie</v>
      </c>
      <c r="D296" s="24">
        <v>44885.0</v>
      </c>
      <c r="E296" s="6">
        <f>IFERROR(__xludf.DUMMYFUNCTION("COUNTUNIQUEIFS($A$2:$A296,$B$2:$B296,B296)"),2.0)</f>
        <v>2</v>
      </c>
      <c r="F296" s="6">
        <f t="shared" si="1"/>
        <v>9</v>
      </c>
      <c r="G296" s="6" t="str">
        <f>IF(MINIFS(dynamic[orderDate], dynamic[customerID], B296) &gt;= DATE(2024,4,30)-120, 
     "New", 
     IF(MAXIFS(dynamic[orderCount], dynamic[customerID], B296)&lt;=2, 
        IF((DATE(2024,4,30) - MAXIFS(dynamic[orderDate], dynamic[customerID], B296)) &gt; 180, "Non-Returning", "Dormant"), 
        IF(AND(MAX(dynamic[sinceLastOrder]) &gt; 365, (DATE(2024,4,30) - MAXIFS(dynamic[orderDate], dynamic[customerID], B296)) &gt; 180), 
           "Dormant", "Regular")))</f>
        <v>Regular</v>
      </c>
      <c r="H296" s="6">
        <v>36.0</v>
      </c>
      <c r="I296" s="9" t="str">
        <f>VLOOKUP(dynamic[productID],products[],2,FALSE)</f>
        <v>Inlagd Sill</v>
      </c>
      <c r="J296" s="9" t="str">
        <f>VLOOKUP(dynamic[productID],products[],12,FALSE)</f>
        <v>Seafood</v>
      </c>
      <c r="K296" s="7" t="str">
        <f>IF(VLOOKUP(dynamic[productID],products[],7,FALSE)=1,"Discontinued","Current")</f>
        <v>Current</v>
      </c>
      <c r="L296" s="9">
        <f>VLOOKUP(dynamic[productID],products[],IF(YEAR(dynamic[orderDate])=2022,8,IF(YEAR(dynamic[orderDate])=2023,9,IF(YEAR(dynamic[orderDate])=2024,10,NA))),FALSE)</f>
        <v>9.768238429</v>
      </c>
      <c r="M296" s="9">
        <v>15.2</v>
      </c>
      <c r="N296" s="25">
        <f>(dynamic[orderPrice]-dynamic[productCost])/dynamic[productCost]</f>
        <v>0.5560635738</v>
      </c>
      <c r="O296" s="10">
        <v>20.0</v>
      </c>
      <c r="P296" s="25">
        <v>0.05</v>
      </c>
      <c r="Q296" s="9">
        <f>dynamic[orderPrice]*dynamic[orderQuantity]</f>
        <v>304</v>
      </c>
      <c r="R296" s="9">
        <f>dynamic[orderTotal]*(1-dynamic[discountApllied])</f>
        <v>288.8</v>
      </c>
      <c r="S296" s="9">
        <f>dynamic[revenue]-(dynamic[productCost]*dynamic[orderQuantity])</f>
        <v>93.43523141</v>
      </c>
      <c r="T296" s="25">
        <f>IFERROR(dynamic[profit]/dynamic[revenue], 0)</f>
        <v>0.3235291946</v>
      </c>
    </row>
    <row r="297" ht="15.75" customHeight="1">
      <c r="A297" s="6">
        <v>10359.0</v>
      </c>
      <c r="B297" s="7" t="s">
        <v>71</v>
      </c>
      <c r="C297" s="24" t="str">
        <f>VLOOKUP(dynamic[customerID],customers[],2,FALSE)</f>
        <v>Seven Seas Imports</v>
      </c>
      <c r="D297" s="24">
        <v>44886.0</v>
      </c>
      <c r="E297" s="6">
        <f>IFERROR(__xludf.DUMMYFUNCTION("COUNTUNIQUEIFS($A$2:$A297,$B$2:$B297,B297)"),1.0)</f>
        <v>1</v>
      </c>
      <c r="F297" s="6">
        <f t="shared" si="1"/>
        <v>0</v>
      </c>
      <c r="G297" s="6" t="str">
        <f>IF(MINIFS(dynamic[orderDate], dynamic[customerID], B297) &gt;= DATE(2024,4,30)-120, 
     "New", 
     IF(MAXIFS(dynamic[orderCount], dynamic[customerID], B297)&lt;=2, 
        IF((DATE(2024,4,30) - MAXIFS(dynamic[orderDate], dynamic[customerID], B297)) &gt; 180, "Non-Returning", "Dormant"), 
        IF(AND(MAX(dynamic[sinceLastOrder]) &gt; 365, (DATE(2024,4,30) - MAXIFS(dynamic[orderDate], dynamic[customerID], B297)) &gt; 180), 
           "Dormant", "Regular")))</f>
        <v>Regular</v>
      </c>
      <c r="H297" s="6">
        <v>16.0</v>
      </c>
      <c r="I297" s="9" t="str">
        <f>VLOOKUP(dynamic[productID],products[],2,FALSE)</f>
        <v>Pavlova</v>
      </c>
      <c r="J297" s="9" t="str">
        <f>VLOOKUP(dynamic[productID],products[],12,FALSE)</f>
        <v>Confections</v>
      </c>
      <c r="K297" s="7" t="str">
        <f>IF(VLOOKUP(dynamic[productID],products[],7,FALSE)=1,"Discontinued","Current")</f>
        <v>Current</v>
      </c>
      <c r="L297" s="9">
        <f>VLOOKUP(dynamic[productID],products[],IF(YEAR(dynamic[orderDate])=2022,8,IF(YEAR(dynamic[orderDate])=2023,9,IF(YEAR(dynamic[orderDate])=2024,10,NA))),FALSE)</f>
        <v>9.80658008</v>
      </c>
      <c r="M297" s="9">
        <v>13.9</v>
      </c>
      <c r="N297" s="25">
        <f>(dynamic[orderPrice]-dynamic[productCost])/dynamic[productCost]</f>
        <v>0.417415642</v>
      </c>
      <c r="O297" s="10">
        <v>56.0</v>
      </c>
      <c r="P297" s="25">
        <v>0.05</v>
      </c>
      <c r="Q297" s="9">
        <f>dynamic[orderPrice]*dynamic[orderQuantity]</f>
        <v>778.4</v>
      </c>
      <c r="R297" s="9">
        <f>dynamic[orderTotal]*(1-dynamic[discountApllied])</f>
        <v>739.48</v>
      </c>
      <c r="S297" s="9">
        <f>dynamic[revenue]-(dynamic[productCost]*dynamic[orderQuantity])</f>
        <v>190.3115155</v>
      </c>
      <c r="T297" s="25">
        <f>IFERROR(dynamic[profit]/dynamic[revenue], 0)</f>
        <v>0.2573585702</v>
      </c>
    </row>
    <row r="298" ht="15.75" customHeight="1">
      <c r="A298" s="6">
        <v>10359.0</v>
      </c>
      <c r="B298" s="7" t="s">
        <v>71</v>
      </c>
      <c r="C298" s="24" t="str">
        <f>VLOOKUP(dynamic[customerID],customers[],2,FALSE)</f>
        <v>Seven Seas Imports</v>
      </c>
      <c r="D298" s="24">
        <v>44886.0</v>
      </c>
      <c r="E298" s="6">
        <f>IFERROR(__xludf.DUMMYFUNCTION("COUNTUNIQUEIFS($A$2:$A298,$B$2:$B298,B298)"),1.0)</f>
        <v>1</v>
      </c>
      <c r="F298" s="6">
        <f t="shared" si="1"/>
        <v>0</v>
      </c>
      <c r="G298" s="6" t="str">
        <f>IF(MINIFS(dynamic[orderDate], dynamic[customerID], B298) &gt;= DATE(2024,4,30)-120, 
     "New", 
     IF(MAXIFS(dynamic[orderCount], dynamic[customerID], B298)&lt;=2, 
        IF((DATE(2024,4,30) - MAXIFS(dynamic[orderDate], dynamic[customerID], B298)) &gt; 180, "Non-Returning", "Dormant"), 
        IF(AND(MAX(dynamic[sinceLastOrder]) &gt; 365, (DATE(2024,4,30) - MAXIFS(dynamic[orderDate], dynamic[customerID], B298)) &gt; 180), 
           "Dormant", "Regular")))</f>
        <v>Regular</v>
      </c>
      <c r="H298" s="6">
        <v>31.0</v>
      </c>
      <c r="I298" s="9" t="str">
        <f>VLOOKUP(dynamic[productID],products[],2,FALSE)</f>
        <v>Gorgonzola Telino</v>
      </c>
      <c r="J298" s="9" t="str">
        <f>VLOOKUP(dynamic[productID],products[],12,FALSE)</f>
        <v>Dairy Products</v>
      </c>
      <c r="K298" s="7" t="str">
        <f>IF(VLOOKUP(dynamic[productID],products[],7,FALSE)=1,"Discontinued","Current")</f>
        <v>Current</v>
      </c>
      <c r="L298" s="9">
        <f>VLOOKUP(dynamic[productID],products[],IF(YEAR(dynamic[orderDate])=2022,8,IF(YEAR(dynamic[orderDate])=2023,9,IF(YEAR(dynamic[orderDate])=2024,10,NA))),FALSE)</f>
        <v>6.44031973</v>
      </c>
      <c r="M298" s="9">
        <v>10.0</v>
      </c>
      <c r="N298" s="25">
        <f>(dynamic[orderPrice]-dynamic[productCost])/dynamic[productCost]</f>
        <v>0.5527179425</v>
      </c>
      <c r="O298" s="10">
        <v>70.0</v>
      </c>
      <c r="P298" s="25">
        <v>0.05</v>
      </c>
      <c r="Q298" s="9">
        <f>dynamic[orderPrice]*dynamic[orderQuantity]</f>
        <v>700</v>
      </c>
      <c r="R298" s="9">
        <f>dynamic[orderTotal]*(1-dynamic[discountApllied])</f>
        <v>665</v>
      </c>
      <c r="S298" s="9">
        <f>dynamic[revenue]-(dynamic[productCost]*dynamic[orderQuantity])</f>
        <v>214.1776189</v>
      </c>
      <c r="T298" s="25">
        <f>IFERROR(dynamic[profit]/dynamic[revenue], 0)</f>
        <v>0.3220716074</v>
      </c>
    </row>
    <row r="299" ht="15.75" customHeight="1">
      <c r="A299" s="6">
        <v>10359.0</v>
      </c>
      <c r="B299" s="7" t="s">
        <v>71</v>
      </c>
      <c r="C299" s="24" t="str">
        <f>VLOOKUP(dynamic[customerID],customers[],2,FALSE)</f>
        <v>Seven Seas Imports</v>
      </c>
      <c r="D299" s="24">
        <v>44886.0</v>
      </c>
      <c r="E299" s="6">
        <f>IFERROR(__xludf.DUMMYFUNCTION("COUNTUNIQUEIFS($A$2:$A299,$B$2:$B299,B299)"),1.0)</f>
        <v>1</v>
      </c>
      <c r="F299" s="6">
        <f t="shared" si="1"/>
        <v>0</v>
      </c>
      <c r="G299" s="6" t="str">
        <f>IF(MINIFS(dynamic[orderDate], dynamic[customerID], B299) &gt;= DATE(2024,4,30)-120, 
     "New", 
     IF(MAXIFS(dynamic[orderCount], dynamic[customerID], B299)&lt;=2, 
        IF((DATE(2024,4,30) - MAXIFS(dynamic[orderDate], dynamic[customerID], B299)) &gt; 180, "Non-Returning", "Dormant"), 
        IF(AND(MAX(dynamic[sinceLastOrder]) &gt; 365, (DATE(2024,4,30) - MAXIFS(dynamic[orderDate], dynamic[customerID], B299)) &gt; 180), 
           "Dormant", "Regular")))</f>
        <v>Regular</v>
      </c>
      <c r="H299" s="6">
        <v>60.0</v>
      </c>
      <c r="I299" s="9" t="str">
        <f>VLOOKUP(dynamic[productID],products[],2,FALSE)</f>
        <v>Camembert Pierrot</v>
      </c>
      <c r="J299" s="9" t="str">
        <f>VLOOKUP(dynamic[productID],products[],12,FALSE)</f>
        <v>Dairy Products</v>
      </c>
      <c r="K299" s="7" t="str">
        <f>IF(VLOOKUP(dynamic[productID],products[],7,FALSE)=1,"Discontinued","Current")</f>
        <v>Current</v>
      </c>
      <c r="L299" s="9">
        <f>VLOOKUP(dynamic[productID],products[],IF(YEAR(dynamic[orderDate])=2022,8,IF(YEAR(dynamic[orderDate])=2023,9,IF(YEAR(dynamic[orderDate])=2024,10,NA))),FALSE)</f>
        <v>17.66563493</v>
      </c>
      <c r="M299" s="9">
        <v>27.2</v>
      </c>
      <c r="N299" s="25">
        <f>(dynamic[orderPrice]-dynamic[productCost])/dynamic[productCost]</f>
        <v>0.5397125612</v>
      </c>
      <c r="O299" s="10">
        <v>80.0</v>
      </c>
      <c r="P299" s="25">
        <v>0.05</v>
      </c>
      <c r="Q299" s="9">
        <f>dynamic[orderPrice]*dynamic[orderQuantity]</f>
        <v>2176</v>
      </c>
      <c r="R299" s="9">
        <f>dynamic[orderTotal]*(1-dynamic[discountApllied])</f>
        <v>2067.2</v>
      </c>
      <c r="S299" s="9">
        <f>dynamic[revenue]-(dynamic[productCost]*dynamic[orderQuantity])</f>
        <v>653.9492057</v>
      </c>
      <c r="T299" s="25">
        <f>IFERROR(dynamic[profit]/dynamic[revenue], 0)</f>
        <v>0.3163453975</v>
      </c>
    </row>
    <row r="300" ht="15.75" customHeight="1">
      <c r="A300" s="6">
        <v>10360.0</v>
      </c>
      <c r="B300" s="7" t="s">
        <v>30</v>
      </c>
      <c r="C300" s="24" t="str">
        <f>VLOOKUP(dynamic[customerID],customers[],2,FALSE)</f>
        <v>Blondesddsl père et fils</v>
      </c>
      <c r="D300" s="24">
        <v>44887.0</v>
      </c>
      <c r="E300" s="6">
        <f>IFERROR(__xludf.DUMMYFUNCTION("COUNTUNIQUEIFS($A$2:$A300,$B$2:$B300,B300)"),3.0)</f>
        <v>3</v>
      </c>
      <c r="F300" s="6">
        <f t="shared" si="1"/>
        <v>79</v>
      </c>
      <c r="G300" s="6" t="str">
        <f>IF(MINIFS(dynamic[orderDate], dynamic[customerID], B300) &gt;= DATE(2024,4,30)-120, 
     "New", 
     IF(MAXIFS(dynamic[orderCount], dynamic[customerID], B300)&lt;=2, 
        IF((DATE(2024,4,30) - MAXIFS(dynamic[orderDate], dynamic[customerID], B300)) &gt; 180, "Non-Returning", "Dormant"), 
        IF(AND(MAX(dynamic[sinceLastOrder]) &gt; 365, (DATE(2024,4,30) - MAXIFS(dynamic[orderDate], dynamic[customerID], B300)) &gt; 180), 
           "Dormant", "Regular")))</f>
        <v>Regular</v>
      </c>
      <c r="H300" s="6">
        <v>28.0</v>
      </c>
      <c r="I300" s="9" t="str">
        <f>VLOOKUP(dynamic[productID],products[],2,FALSE)</f>
        <v>Rössle Sauerkraut</v>
      </c>
      <c r="J300" s="9" t="str">
        <f>VLOOKUP(dynamic[productID],products[],12,FALSE)</f>
        <v>Produce</v>
      </c>
      <c r="K300" s="7" t="str">
        <f>IF(VLOOKUP(dynamic[productID],products[],7,FALSE)=1,"Discontinued","Current")</f>
        <v>Discontinued</v>
      </c>
      <c r="L300" s="9">
        <f>VLOOKUP(dynamic[productID],products[],IF(YEAR(dynamic[orderDate])=2022,8,IF(YEAR(dynamic[orderDate])=2023,9,IF(YEAR(dynamic[orderDate])=2024,10,NA))),FALSE)</f>
        <v>27.51992272</v>
      </c>
      <c r="M300" s="9">
        <v>36.4</v>
      </c>
      <c r="N300" s="25">
        <f>(dynamic[orderPrice]-dynamic[productCost])/dynamic[productCost]</f>
        <v>0.3226781326</v>
      </c>
      <c r="O300" s="10">
        <v>30.0</v>
      </c>
      <c r="P300" s="25">
        <v>0.0</v>
      </c>
      <c r="Q300" s="9">
        <f>dynamic[orderPrice]*dynamic[orderQuantity]</f>
        <v>1092</v>
      </c>
      <c r="R300" s="9">
        <f>dynamic[orderTotal]*(1-dynamic[discountApllied])</f>
        <v>1092</v>
      </c>
      <c r="S300" s="9">
        <f>dynamic[revenue]-(dynamic[productCost]*dynamic[orderQuantity])</f>
        <v>266.4023183</v>
      </c>
      <c r="T300" s="25">
        <f>IFERROR(dynamic[profit]/dynamic[revenue], 0)</f>
        <v>0.2439581669</v>
      </c>
    </row>
    <row r="301" ht="15.75" customHeight="1">
      <c r="A301" s="6">
        <v>10360.0</v>
      </c>
      <c r="B301" s="7" t="s">
        <v>30</v>
      </c>
      <c r="C301" s="24" t="str">
        <f>VLOOKUP(dynamic[customerID],customers[],2,FALSE)</f>
        <v>Blondesddsl père et fils</v>
      </c>
      <c r="D301" s="24">
        <v>44887.0</v>
      </c>
      <c r="E301" s="6">
        <f>IFERROR(__xludf.DUMMYFUNCTION("COUNTUNIQUEIFS($A$2:$A301,$B$2:$B301,B301)"),3.0)</f>
        <v>3</v>
      </c>
      <c r="F301" s="6">
        <f t="shared" si="1"/>
        <v>79</v>
      </c>
      <c r="G301" s="6" t="str">
        <f>IF(MINIFS(dynamic[orderDate], dynamic[customerID], B301) &gt;= DATE(2024,4,30)-120, 
     "New", 
     IF(MAXIFS(dynamic[orderCount], dynamic[customerID], B301)&lt;=2, 
        IF((DATE(2024,4,30) - MAXIFS(dynamic[orderDate], dynamic[customerID], B301)) &gt; 180, "Non-Returning", "Dormant"), 
        IF(AND(MAX(dynamic[sinceLastOrder]) &gt; 365, (DATE(2024,4,30) - MAXIFS(dynamic[orderDate], dynamic[customerID], B301)) &gt; 180), 
           "Dormant", "Regular")))</f>
        <v>Regular</v>
      </c>
      <c r="H301" s="6">
        <v>29.0</v>
      </c>
      <c r="I301" s="9" t="str">
        <f>VLOOKUP(dynamic[productID],products[],2,FALSE)</f>
        <v>Thüringer Rostbratwurst</v>
      </c>
      <c r="J301" s="9" t="str">
        <f>VLOOKUP(dynamic[productID],products[],12,FALSE)</f>
        <v>Meat/Poultry</v>
      </c>
      <c r="K301" s="7" t="str">
        <f>IF(VLOOKUP(dynamic[productID],products[],7,FALSE)=1,"Discontinued","Current")</f>
        <v>Discontinued</v>
      </c>
      <c r="L301" s="9">
        <f>VLOOKUP(dynamic[productID],products[],IF(YEAR(dynamic[orderDate])=2022,8,IF(YEAR(dynamic[orderDate])=2023,9,IF(YEAR(dynamic[orderDate])=2024,10,NA))),FALSE)</f>
        <v>70.25945266</v>
      </c>
      <c r="M301" s="9">
        <v>99.0</v>
      </c>
      <c r="N301" s="25">
        <f>(dynamic[orderPrice]-dynamic[productCost])/dynamic[productCost]</f>
        <v>0.4090630691</v>
      </c>
      <c r="O301" s="10">
        <v>35.0</v>
      </c>
      <c r="P301" s="25">
        <v>0.0</v>
      </c>
      <c r="Q301" s="9">
        <f>dynamic[orderPrice]*dynamic[orderQuantity]</f>
        <v>3465</v>
      </c>
      <c r="R301" s="9">
        <f>dynamic[orderTotal]*(1-dynamic[discountApllied])</f>
        <v>3465</v>
      </c>
      <c r="S301" s="9">
        <f>dynamic[revenue]-(dynamic[productCost]*dynamic[orderQuantity])</f>
        <v>1005.919157</v>
      </c>
      <c r="T301" s="25">
        <f>IFERROR(dynamic[profit]/dynamic[revenue], 0)</f>
        <v>0.290308559</v>
      </c>
    </row>
    <row r="302" ht="15.75" customHeight="1">
      <c r="A302" s="6">
        <v>10360.0</v>
      </c>
      <c r="B302" s="7" t="s">
        <v>30</v>
      </c>
      <c r="C302" s="24" t="str">
        <f>VLOOKUP(dynamic[customerID],customers[],2,FALSE)</f>
        <v>Blondesddsl père et fils</v>
      </c>
      <c r="D302" s="24">
        <v>44887.0</v>
      </c>
      <c r="E302" s="6">
        <f>IFERROR(__xludf.DUMMYFUNCTION("COUNTUNIQUEIFS($A$2:$A302,$B$2:$B302,B302)"),3.0)</f>
        <v>3</v>
      </c>
      <c r="F302" s="6">
        <f t="shared" si="1"/>
        <v>79</v>
      </c>
      <c r="G302" s="6" t="str">
        <f>IF(MINIFS(dynamic[orderDate], dynamic[customerID], B302) &gt;= DATE(2024,4,30)-120, 
     "New", 
     IF(MAXIFS(dynamic[orderCount], dynamic[customerID], B302)&lt;=2, 
        IF((DATE(2024,4,30) - MAXIFS(dynamic[orderDate], dynamic[customerID], B302)) &gt; 180, "Non-Returning", "Dormant"), 
        IF(AND(MAX(dynamic[sinceLastOrder]) &gt; 365, (DATE(2024,4,30) - MAXIFS(dynamic[orderDate], dynamic[customerID], B302)) &gt; 180), 
           "Dormant", "Regular")))</f>
        <v>Regular</v>
      </c>
      <c r="H302" s="6">
        <v>38.0</v>
      </c>
      <c r="I302" s="9" t="str">
        <f>VLOOKUP(dynamic[productID],products[],2,FALSE)</f>
        <v>Côte de Blaye</v>
      </c>
      <c r="J302" s="9" t="str">
        <f>VLOOKUP(dynamic[productID],products[],12,FALSE)</f>
        <v>Beverages</v>
      </c>
      <c r="K302" s="7" t="str">
        <f>IF(VLOOKUP(dynamic[productID],products[],7,FALSE)=1,"Discontinued","Current")</f>
        <v>Current</v>
      </c>
      <c r="L302" s="9">
        <f>VLOOKUP(dynamic[productID],products[],IF(YEAR(dynamic[orderDate])=2022,8,IF(YEAR(dynamic[orderDate])=2023,9,IF(YEAR(dynamic[orderDate])=2024,10,NA))),FALSE)</f>
        <v>133.3740767</v>
      </c>
      <c r="M302" s="9">
        <v>210.8</v>
      </c>
      <c r="N302" s="25">
        <f>(dynamic[orderPrice]-dynamic[productCost])/dynamic[productCost]</f>
        <v>0.5805170327</v>
      </c>
      <c r="O302" s="10">
        <v>10.0</v>
      </c>
      <c r="P302" s="25">
        <v>0.0</v>
      </c>
      <c r="Q302" s="9">
        <f>dynamic[orderPrice]*dynamic[orderQuantity]</f>
        <v>2108</v>
      </c>
      <c r="R302" s="9">
        <f>dynamic[orderTotal]*(1-dynamic[discountApllied])</f>
        <v>2108</v>
      </c>
      <c r="S302" s="9">
        <f>dynamic[revenue]-(dynamic[productCost]*dynamic[orderQuantity])</f>
        <v>774.2592326</v>
      </c>
      <c r="T302" s="25">
        <f>IFERROR(dynamic[profit]/dynamic[revenue], 0)</f>
        <v>0.3672956512</v>
      </c>
    </row>
    <row r="303" ht="15.75" customHeight="1">
      <c r="A303" s="6">
        <v>10360.0</v>
      </c>
      <c r="B303" s="7" t="s">
        <v>30</v>
      </c>
      <c r="C303" s="24" t="str">
        <f>VLOOKUP(dynamic[customerID],customers[],2,FALSE)</f>
        <v>Blondesddsl père et fils</v>
      </c>
      <c r="D303" s="24">
        <v>44887.0</v>
      </c>
      <c r="E303" s="6">
        <f>IFERROR(__xludf.DUMMYFUNCTION("COUNTUNIQUEIFS($A$2:$A303,$B$2:$B303,B303)"),3.0)</f>
        <v>3</v>
      </c>
      <c r="F303" s="6">
        <f t="shared" si="1"/>
        <v>79</v>
      </c>
      <c r="G303" s="6" t="str">
        <f>IF(MINIFS(dynamic[orderDate], dynamic[customerID], B303) &gt;= DATE(2024,4,30)-120, 
     "New", 
     IF(MAXIFS(dynamic[orderCount], dynamic[customerID], B303)&lt;=2, 
        IF((DATE(2024,4,30) - MAXIFS(dynamic[orderDate], dynamic[customerID], B303)) &gt; 180, "Non-Returning", "Dormant"), 
        IF(AND(MAX(dynamic[sinceLastOrder]) &gt; 365, (DATE(2024,4,30) - MAXIFS(dynamic[orderDate], dynamic[customerID], B303)) &gt; 180), 
           "Dormant", "Regular")))</f>
        <v>Regular</v>
      </c>
      <c r="H303" s="6">
        <v>49.0</v>
      </c>
      <c r="I303" s="9" t="str">
        <f>VLOOKUP(dynamic[productID],products[],2,FALSE)</f>
        <v>Maxilaku</v>
      </c>
      <c r="J303" s="9" t="str">
        <f>VLOOKUP(dynamic[productID],products[],12,FALSE)</f>
        <v>Confections</v>
      </c>
      <c r="K303" s="7" t="str">
        <f>IF(VLOOKUP(dynamic[productID],products[],7,FALSE)=1,"Discontinued","Current")</f>
        <v>Current</v>
      </c>
      <c r="L303" s="9">
        <f>VLOOKUP(dynamic[productID],products[],IF(YEAR(dynamic[orderDate])=2022,8,IF(YEAR(dynamic[orderDate])=2023,9,IF(YEAR(dynamic[orderDate])=2024,10,NA))),FALSE)</f>
        <v>12.56663579</v>
      </c>
      <c r="M303" s="9">
        <v>16.0</v>
      </c>
      <c r="N303" s="25">
        <f>(dynamic[orderPrice]-dynamic[productCost])/dynamic[productCost]</f>
        <v>0.2732126779</v>
      </c>
      <c r="O303" s="10">
        <v>35.0</v>
      </c>
      <c r="P303" s="25">
        <v>0.0</v>
      </c>
      <c r="Q303" s="9">
        <f>dynamic[orderPrice]*dynamic[orderQuantity]</f>
        <v>560</v>
      </c>
      <c r="R303" s="9">
        <f>dynamic[orderTotal]*(1-dynamic[discountApllied])</f>
        <v>560</v>
      </c>
      <c r="S303" s="9">
        <f>dynamic[revenue]-(dynamic[productCost]*dynamic[orderQuantity])</f>
        <v>120.1677475</v>
      </c>
      <c r="T303" s="25">
        <f>IFERROR(dynamic[profit]/dynamic[revenue], 0)</f>
        <v>0.2145852634</v>
      </c>
    </row>
    <row r="304" ht="15.75" customHeight="1">
      <c r="A304" s="6">
        <v>10360.0</v>
      </c>
      <c r="B304" s="7" t="s">
        <v>30</v>
      </c>
      <c r="C304" s="24" t="str">
        <f>VLOOKUP(dynamic[customerID],customers[],2,FALSE)</f>
        <v>Blondesddsl père et fils</v>
      </c>
      <c r="D304" s="24">
        <v>44887.0</v>
      </c>
      <c r="E304" s="6">
        <f>IFERROR(__xludf.DUMMYFUNCTION("COUNTUNIQUEIFS($A$2:$A304,$B$2:$B304,B304)"),3.0)</f>
        <v>3</v>
      </c>
      <c r="F304" s="6">
        <f t="shared" si="1"/>
        <v>79</v>
      </c>
      <c r="G304" s="6" t="str">
        <f>IF(MINIFS(dynamic[orderDate], dynamic[customerID], B304) &gt;= DATE(2024,4,30)-120, 
     "New", 
     IF(MAXIFS(dynamic[orderCount], dynamic[customerID], B304)&lt;=2, 
        IF((DATE(2024,4,30) - MAXIFS(dynamic[orderDate], dynamic[customerID], B304)) &gt; 180, "Non-Returning", "Dormant"), 
        IF(AND(MAX(dynamic[sinceLastOrder]) &gt; 365, (DATE(2024,4,30) - MAXIFS(dynamic[orderDate], dynamic[customerID], B304)) &gt; 180), 
           "Dormant", "Regular")))</f>
        <v>Regular</v>
      </c>
      <c r="H304" s="6">
        <v>54.0</v>
      </c>
      <c r="I304" s="9" t="str">
        <f>VLOOKUP(dynamic[productID],products[],2,FALSE)</f>
        <v>Tourtière</v>
      </c>
      <c r="J304" s="9" t="str">
        <f>VLOOKUP(dynamic[productID],products[],12,FALSE)</f>
        <v>Meat/Poultry</v>
      </c>
      <c r="K304" s="7" t="str">
        <f>IF(VLOOKUP(dynamic[productID],products[],7,FALSE)=1,"Discontinued","Current")</f>
        <v>Current</v>
      </c>
      <c r="L304" s="9">
        <f>VLOOKUP(dynamic[productID],products[],IF(YEAR(dynamic[orderDate])=2022,8,IF(YEAR(dynamic[orderDate])=2023,9,IF(YEAR(dynamic[orderDate])=2024,10,NA))),FALSE)</f>
        <v>4.309848919</v>
      </c>
      <c r="M304" s="9">
        <v>5.9</v>
      </c>
      <c r="N304" s="25">
        <f>(dynamic[orderPrice]-dynamic[productCost])/dynamic[productCost]</f>
        <v>0.3689574996</v>
      </c>
      <c r="O304" s="10">
        <v>28.0</v>
      </c>
      <c r="P304" s="25">
        <v>0.0</v>
      </c>
      <c r="Q304" s="9">
        <f>dynamic[orderPrice]*dynamic[orderQuantity]</f>
        <v>165.2</v>
      </c>
      <c r="R304" s="9">
        <f>dynamic[orderTotal]*(1-dynamic[discountApllied])</f>
        <v>165.2</v>
      </c>
      <c r="S304" s="9">
        <f>dynamic[revenue]-(dynamic[productCost]*dynamic[orderQuantity])</f>
        <v>44.52423026</v>
      </c>
      <c r="T304" s="25">
        <f>IFERROR(dynamic[profit]/dynamic[revenue], 0)</f>
        <v>0.2695171323</v>
      </c>
    </row>
    <row r="305" ht="15.75" customHeight="1">
      <c r="A305" s="6">
        <v>10361.0</v>
      </c>
      <c r="B305" s="7" t="s">
        <v>36</v>
      </c>
      <c r="C305" s="24" t="str">
        <f>VLOOKUP(dynamic[customerID],customers[],2,FALSE)</f>
        <v>QUICK-Stop</v>
      </c>
      <c r="D305" s="24">
        <v>44887.0</v>
      </c>
      <c r="E305" s="6">
        <f>IFERROR(__xludf.DUMMYFUNCTION("COUNTUNIQUEIFS($A$2:$A305,$B$2:$B305,B305)"),6.0)</f>
        <v>6</v>
      </c>
      <c r="F305" s="6">
        <f t="shared" si="1"/>
        <v>18</v>
      </c>
      <c r="G305" s="6" t="str">
        <f>IF(MINIFS(dynamic[orderDate], dynamic[customerID], B305) &gt;= DATE(2024,4,30)-120, 
     "New", 
     IF(MAXIFS(dynamic[orderCount], dynamic[customerID], B305)&lt;=2, 
        IF((DATE(2024,4,30) - MAXIFS(dynamic[orderDate], dynamic[customerID], B305)) &gt; 180, "Non-Returning", "Dormant"), 
        IF(AND(MAX(dynamic[sinceLastOrder]) &gt; 365, (DATE(2024,4,30) - MAXIFS(dynamic[orderDate], dynamic[customerID], B305)) &gt; 180), 
           "Dormant", "Regular")))</f>
        <v>Regular</v>
      </c>
      <c r="H305" s="6">
        <v>39.0</v>
      </c>
      <c r="I305" s="9" t="str">
        <f>VLOOKUP(dynamic[productID],products[],2,FALSE)</f>
        <v>Chartreuse verte</v>
      </c>
      <c r="J305" s="9" t="str">
        <f>VLOOKUP(dynamic[productID],products[],12,FALSE)</f>
        <v>Beverages</v>
      </c>
      <c r="K305" s="7" t="str">
        <f>IF(VLOOKUP(dynamic[productID],products[],7,FALSE)=1,"Discontinued","Current")</f>
        <v>Current</v>
      </c>
      <c r="L305" s="9">
        <f>VLOOKUP(dynamic[productID],products[],IF(YEAR(dynamic[orderDate])=2022,8,IF(YEAR(dynamic[orderDate])=2023,9,IF(YEAR(dynamic[orderDate])=2024,10,NA))),FALSE)</f>
        <v>9.743517226</v>
      </c>
      <c r="M305" s="9">
        <v>14.4</v>
      </c>
      <c r="N305" s="25">
        <f>(dynamic[orderPrice]-dynamic[productCost])/dynamic[productCost]</f>
        <v>0.4779057362</v>
      </c>
      <c r="O305" s="10">
        <v>54.0</v>
      </c>
      <c r="P305" s="25">
        <v>0.1</v>
      </c>
      <c r="Q305" s="9">
        <f>dynamic[orderPrice]*dynamic[orderQuantity]</f>
        <v>777.6</v>
      </c>
      <c r="R305" s="9">
        <f>dynamic[orderTotal]*(1-dynamic[discountApllied])</f>
        <v>699.84</v>
      </c>
      <c r="S305" s="9">
        <f>dynamic[revenue]-(dynamic[productCost]*dynamic[orderQuantity])</f>
        <v>173.6900698</v>
      </c>
      <c r="T305" s="25">
        <f>IFERROR(dynamic[profit]/dynamic[revenue], 0)</f>
        <v>0.2481853992</v>
      </c>
    </row>
    <row r="306" ht="15.75" customHeight="1">
      <c r="A306" s="6">
        <v>10361.0</v>
      </c>
      <c r="B306" s="7" t="s">
        <v>36</v>
      </c>
      <c r="C306" s="24" t="str">
        <f>VLOOKUP(dynamic[customerID],customers[],2,FALSE)</f>
        <v>QUICK-Stop</v>
      </c>
      <c r="D306" s="24">
        <v>44887.0</v>
      </c>
      <c r="E306" s="6">
        <f>IFERROR(__xludf.DUMMYFUNCTION("COUNTUNIQUEIFS($A$2:$A306,$B$2:$B306,B306)"),6.0)</f>
        <v>6</v>
      </c>
      <c r="F306" s="6">
        <f t="shared" si="1"/>
        <v>18</v>
      </c>
      <c r="G306" s="6" t="str">
        <f>IF(MINIFS(dynamic[orderDate], dynamic[customerID], B306) &gt;= DATE(2024,4,30)-120, 
     "New", 
     IF(MAXIFS(dynamic[orderCount], dynamic[customerID], B306)&lt;=2, 
        IF((DATE(2024,4,30) - MAXIFS(dynamic[orderDate], dynamic[customerID], B306)) &gt; 180, "Non-Returning", "Dormant"), 
        IF(AND(MAX(dynamic[sinceLastOrder]) &gt; 365, (DATE(2024,4,30) - MAXIFS(dynamic[orderDate], dynamic[customerID], B306)) &gt; 180), 
           "Dormant", "Regular")))</f>
        <v>Regular</v>
      </c>
      <c r="H306" s="6">
        <v>60.0</v>
      </c>
      <c r="I306" s="9" t="str">
        <f>VLOOKUP(dynamic[productID],products[],2,FALSE)</f>
        <v>Camembert Pierrot</v>
      </c>
      <c r="J306" s="9" t="str">
        <f>VLOOKUP(dynamic[productID],products[],12,FALSE)</f>
        <v>Dairy Products</v>
      </c>
      <c r="K306" s="7" t="str">
        <f>IF(VLOOKUP(dynamic[productID],products[],7,FALSE)=1,"Discontinued","Current")</f>
        <v>Current</v>
      </c>
      <c r="L306" s="9">
        <f>VLOOKUP(dynamic[productID],products[],IF(YEAR(dynamic[orderDate])=2022,8,IF(YEAR(dynamic[orderDate])=2023,9,IF(YEAR(dynamic[orderDate])=2024,10,NA))),FALSE)</f>
        <v>17.66563493</v>
      </c>
      <c r="M306" s="9">
        <v>27.2</v>
      </c>
      <c r="N306" s="25">
        <f>(dynamic[orderPrice]-dynamic[productCost])/dynamic[productCost]</f>
        <v>0.5397125612</v>
      </c>
      <c r="O306" s="10">
        <v>55.0</v>
      </c>
      <c r="P306" s="25">
        <v>0.1</v>
      </c>
      <c r="Q306" s="9">
        <f>dynamic[orderPrice]*dynamic[orderQuantity]</f>
        <v>1496</v>
      </c>
      <c r="R306" s="9">
        <f>dynamic[orderTotal]*(1-dynamic[discountApllied])</f>
        <v>1346.4</v>
      </c>
      <c r="S306" s="9">
        <f>dynamic[revenue]-(dynamic[productCost]*dynamic[orderQuantity])</f>
        <v>374.790079</v>
      </c>
      <c r="T306" s="25">
        <f>IFERROR(dynamic[profit]/dynamic[revenue], 0)</f>
        <v>0.2783645863</v>
      </c>
    </row>
    <row r="307" ht="15.75" customHeight="1">
      <c r="A307" s="6">
        <v>10362.0</v>
      </c>
      <c r="B307" s="7" t="s">
        <v>63</v>
      </c>
      <c r="C307" s="24" t="str">
        <f>VLOOKUP(dynamic[customerID],customers[],2,FALSE)</f>
        <v>Bon app'</v>
      </c>
      <c r="D307" s="24">
        <v>44890.0</v>
      </c>
      <c r="E307" s="6">
        <f>IFERROR(__xludf.DUMMYFUNCTION("COUNTUNIQUEIFS($A$2:$A307,$B$2:$B307,B307)"),3.0)</f>
        <v>3</v>
      </c>
      <c r="F307" s="6">
        <f t="shared" si="1"/>
        <v>27</v>
      </c>
      <c r="G307" s="6" t="str">
        <f>IF(MINIFS(dynamic[orderDate], dynamic[customerID], B307) &gt;= DATE(2024,4,30)-120, 
     "New", 
     IF(MAXIFS(dynamic[orderCount], dynamic[customerID], B307)&lt;=2, 
        IF((DATE(2024,4,30) - MAXIFS(dynamic[orderDate], dynamic[customerID], B307)) &gt; 180, "Non-Returning", "Dormant"), 
        IF(AND(MAX(dynamic[sinceLastOrder]) &gt; 365, (DATE(2024,4,30) - MAXIFS(dynamic[orderDate], dynamic[customerID], B307)) &gt; 180), 
           "Dormant", "Regular")))</f>
        <v>Regular</v>
      </c>
      <c r="H307" s="6">
        <v>25.0</v>
      </c>
      <c r="I307" s="9" t="str">
        <f>VLOOKUP(dynamic[productID],products[],2,FALSE)</f>
        <v>HM Köstliche Kaiserschmarrn Knödelchen</v>
      </c>
      <c r="J307" s="9" t="str">
        <f>VLOOKUP(dynamic[productID],products[],12,FALSE)</f>
        <v>Confections</v>
      </c>
      <c r="K307" s="7" t="str">
        <f>IF(VLOOKUP(dynamic[productID],products[],7,FALSE)=1,"Discontinued","Current")</f>
        <v>Current</v>
      </c>
      <c r="L307" s="9">
        <f>VLOOKUP(dynamic[productID],products[],IF(YEAR(dynamic[orderDate])=2022,8,IF(YEAR(dynamic[orderDate])=2023,9,IF(YEAR(dynamic[orderDate])=2024,10,NA))),FALSE)</f>
        <v>7.370046533</v>
      </c>
      <c r="M307" s="9">
        <v>11.2</v>
      </c>
      <c r="N307" s="25">
        <f>(dynamic[orderPrice]-dynamic[productCost])/dynamic[productCost]</f>
        <v>0.5196647605</v>
      </c>
      <c r="O307" s="10">
        <v>50.0</v>
      </c>
      <c r="P307" s="25">
        <v>0.0</v>
      </c>
      <c r="Q307" s="9">
        <f>dynamic[orderPrice]*dynamic[orderQuantity]</f>
        <v>560</v>
      </c>
      <c r="R307" s="9">
        <f>dynamic[orderTotal]*(1-dynamic[discountApllied])</f>
        <v>560</v>
      </c>
      <c r="S307" s="9">
        <f>dynamic[revenue]-(dynamic[productCost]*dynamic[orderQuantity])</f>
        <v>191.4976733</v>
      </c>
      <c r="T307" s="25">
        <f>IFERROR(dynamic[profit]/dynamic[revenue], 0)</f>
        <v>0.3419601309</v>
      </c>
    </row>
    <row r="308" ht="15.75" customHeight="1">
      <c r="A308" s="6">
        <v>10362.0</v>
      </c>
      <c r="B308" s="7" t="s">
        <v>63</v>
      </c>
      <c r="C308" s="24" t="str">
        <f>VLOOKUP(dynamic[customerID],customers[],2,FALSE)</f>
        <v>Bon app'</v>
      </c>
      <c r="D308" s="24">
        <v>44890.0</v>
      </c>
      <c r="E308" s="6">
        <f>IFERROR(__xludf.DUMMYFUNCTION("COUNTUNIQUEIFS($A$2:$A308,$B$2:$B308,B308)"),3.0)</f>
        <v>3</v>
      </c>
      <c r="F308" s="6">
        <f t="shared" si="1"/>
        <v>27</v>
      </c>
      <c r="G308" s="6" t="str">
        <f>IF(MINIFS(dynamic[orderDate], dynamic[customerID], B308) &gt;= DATE(2024,4,30)-120, 
     "New", 
     IF(MAXIFS(dynamic[orderCount], dynamic[customerID], B308)&lt;=2, 
        IF((DATE(2024,4,30) - MAXIFS(dynamic[orderDate], dynamic[customerID], B308)) &gt; 180, "Non-Returning", "Dormant"), 
        IF(AND(MAX(dynamic[sinceLastOrder]) &gt; 365, (DATE(2024,4,30) - MAXIFS(dynamic[orderDate], dynamic[customerID], B308)) &gt; 180), 
           "Dormant", "Regular")))</f>
        <v>Regular</v>
      </c>
      <c r="H308" s="6">
        <v>51.0</v>
      </c>
      <c r="I308" s="9" t="str">
        <f>VLOOKUP(dynamic[productID],products[],2,FALSE)</f>
        <v>Manjimup Dried Apples</v>
      </c>
      <c r="J308" s="9" t="str">
        <f>VLOOKUP(dynamic[productID],products[],12,FALSE)</f>
        <v>Produce</v>
      </c>
      <c r="K308" s="7" t="str">
        <f>IF(VLOOKUP(dynamic[productID],products[],7,FALSE)=1,"Discontinued","Current")</f>
        <v>Current</v>
      </c>
      <c r="L308" s="9">
        <f>VLOOKUP(dynamic[productID],products[],IF(YEAR(dynamic[orderDate])=2022,8,IF(YEAR(dynamic[orderDate])=2023,9,IF(YEAR(dynamic[orderDate])=2024,10,NA))),FALSE)</f>
        <v>28.87532154</v>
      </c>
      <c r="M308" s="9">
        <v>42.4</v>
      </c>
      <c r="N308" s="25">
        <f>(dynamic[orderPrice]-dynamic[productCost])/dynamic[productCost]</f>
        <v>0.4683819172</v>
      </c>
      <c r="O308" s="10">
        <v>20.0</v>
      </c>
      <c r="P308" s="25">
        <v>0.0</v>
      </c>
      <c r="Q308" s="9">
        <f>dynamic[orderPrice]*dynamic[orderQuantity]</f>
        <v>848</v>
      </c>
      <c r="R308" s="9">
        <f>dynamic[orderTotal]*(1-dynamic[discountApllied])</f>
        <v>848</v>
      </c>
      <c r="S308" s="9">
        <f>dynamic[revenue]-(dynamic[productCost]*dynamic[orderQuantity])</f>
        <v>270.4935693</v>
      </c>
      <c r="T308" s="25">
        <f>IFERROR(dynamic[profit]/dynamic[revenue], 0)</f>
        <v>0.3189782656</v>
      </c>
    </row>
    <row r="309" ht="15.75" customHeight="1">
      <c r="A309" s="6">
        <v>10362.0</v>
      </c>
      <c r="B309" s="7" t="s">
        <v>63</v>
      </c>
      <c r="C309" s="24" t="str">
        <f>VLOOKUP(dynamic[customerID],customers[],2,FALSE)</f>
        <v>Bon app'</v>
      </c>
      <c r="D309" s="24">
        <v>44890.0</v>
      </c>
      <c r="E309" s="6">
        <f>IFERROR(__xludf.DUMMYFUNCTION("COUNTUNIQUEIFS($A$2:$A309,$B$2:$B309,B309)"),3.0)</f>
        <v>3</v>
      </c>
      <c r="F309" s="6">
        <f t="shared" si="1"/>
        <v>27</v>
      </c>
      <c r="G309" s="6" t="str">
        <f>IF(MINIFS(dynamic[orderDate], dynamic[customerID], B309) &gt;= DATE(2024,4,30)-120, 
     "New", 
     IF(MAXIFS(dynamic[orderCount], dynamic[customerID], B309)&lt;=2, 
        IF((DATE(2024,4,30) - MAXIFS(dynamic[orderDate], dynamic[customerID], B309)) &gt; 180, "Non-Returning", "Dormant"), 
        IF(AND(MAX(dynamic[sinceLastOrder]) &gt; 365, (DATE(2024,4,30) - MAXIFS(dynamic[orderDate], dynamic[customerID], B309)) &gt; 180), 
           "Dormant", "Regular")))</f>
        <v>Regular</v>
      </c>
      <c r="H309" s="6">
        <v>54.0</v>
      </c>
      <c r="I309" s="9" t="str">
        <f>VLOOKUP(dynamic[productID],products[],2,FALSE)</f>
        <v>Tourtière</v>
      </c>
      <c r="J309" s="9" t="str">
        <f>VLOOKUP(dynamic[productID],products[],12,FALSE)</f>
        <v>Meat/Poultry</v>
      </c>
      <c r="K309" s="7" t="str">
        <f>IF(VLOOKUP(dynamic[productID],products[],7,FALSE)=1,"Discontinued","Current")</f>
        <v>Current</v>
      </c>
      <c r="L309" s="9">
        <f>VLOOKUP(dynamic[productID],products[],IF(YEAR(dynamic[orderDate])=2022,8,IF(YEAR(dynamic[orderDate])=2023,9,IF(YEAR(dynamic[orderDate])=2024,10,NA))),FALSE)</f>
        <v>4.309848919</v>
      </c>
      <c r="M309" s="9">
        <v>5.9</v>
      </c>
      <c r="N309" s="25">
        <f>(dynamic[orderPrice]-dynamic[productCost])/dynamic[productCost]</f>
        <v>0.3689574996</v>
      </c>
      <c r="O309" s="10">
        <v>24.0</v>
      </c>
      <c r="P309" s="25">
        <v>0.0</v>
      </c>
      <c r="Q309" s="9">
        <f>dynamic[orderPrice]*dynamic[orderQuantity]</f>
        <v>141.6</v>
      </c>
      <c r="R309" s="9">
        <f>dynamic[orderTotal]*(1-dynamic[discountApllied])</f>
        <v>141.6</v>
      </c>
      <c r="S309" s="9">
        <f>dynamic[revenue]-(dynamic[productCost]*dynamic[orderQuantity])</f>
        <v>38.16362594</v>
      </c>
      <c r="T309" s="25">
        <f>IFERROR(dynamic[profit]/dynamic[revenue], 0)</f>
        <v>0.2695171323</v>
      </c>
    </row>
    <row r="310" ht="15.75" customHeight="1">
      <c r="A310" s="6">
        <v>10363.0</v>
      </c>
      <c r="B310" s="7" t="s">
        <v>72</v>
      </c>
      <c r="C310" s="24" t="str">
        <f>VLOOKUP(dynamic[customerID],customers[],2,FALSE)</f>
        <v>Drachenblut Delikatessen</v>
      </c>
      <c r="D310" s="24">
        <v>44891.0</v>
      </c>
      <c r="E310" s="6">
        <f>IFERROR(__xludf.DUMMYFUNCTION("COUNTUNIQUEIFS($A$2:$A310,$B$2:$B310,B310)"),1.0)</f>
        <v>1</v>
      </c>
      <c r="F310" s="6">
        <f t="shared" si="1"/>
        <v>0</v>
      </c>
      <c r="G310" s="6" t="str">
        <f>IF(MINIFS(dynamic[orderDate], dynamic[customerID], B310) &gt;= DATE(2024,4,30)-120, 
     "New", 
     IF(MAXIFS(dynamic[orderCount], dynamic[customerID], B310)&lt;=2, 
        IF((DATE(2024,4,30) - MAXIFS(dynamic[orderDate], dynamic[customerID], B310)) &gt; 180, "Non-Returning", "Dormant"), 
        IF(AND(MAX(dynamic[sinceLastOrder]) &gt; 365, (DATE(2024,4,30) - MAXIFS(dynamic[orderDate], dynamic[customerID], B310)) &gt; 180), 
           "Dormant", "Regular")))</f>
        <v>Regular</v>
      </c>
      <c r="H310" s="6">
        <v>31.0</v>
      </c>
      <c r="I310" s="9" t="str">
        <f>VLOOKUP(dynamic[productID],products[],2,FALSE)</f>
        <v>Gorgonzola Telino</v>
      </c>
      <c r="J310" s="9" t="str">
        <f>VLOOKUP(dynamic[productID],products[],12,FALSE)</f>
        <v>Dairy Products</v>
      </c>
      <c r="K310" s="7" t="str">
        <f>IF(VLOOKUP(dynamic[productID],products[],7,FALSE)=1,"Discontinued","Current")</f>
        <v>Current</v>
      </c>
      <c r="L310" s="9">
        <f>VLOOKUP(dynamic[productID],products[],IF(YEAR(dynamic[orderDate])=2022,8,IF(YEAR(dynamic[orderDate])=2023,9,IF(YEAR(dynamic[orderDate])=2024,10,NA))),FALSE)</f>
        <v>6.44031973</v>
      </c>
      <c r="M310" s="9">
        <v>10.0</v>
      </c>
      <c r="N310" s="25">
        <f>(dynamic[orderPrice]-dynamic[productCost])/dynamic[productCost]</f>
        <v>0.5527179425</v>
      </c>
      <c r="O310" s="10">
        <v>20.0</v>
      </c>
      <c r="P310" s="25">
        <v>0.0</v>
      </c>
      <c r="Q310" s="9">
        <f>dynamic[orderPrice]*dynamic[orderQuantity]</f>
        <v>200</v>
      </c>
      <c r="R310" s="9">
        <f>dynamic[orderTotal]*(1-dynamic[discountApllied])</f>
        <v>200</v>
      </c>
      <c r="S310" s="9">
        <f>dynamic[revenue]-(dynamic[productCost]*dynamic[orderQuantity])</f>
        <v>71.1936054</v>
      </c>
      <c r="T310" s="25">
        <f>IFERROR(dynamic[profit]/dynamic[revenue], 0)</f>
        <v>0.355968027</v>
      </c>
    </row>
    <row r="311" ht="15.75" customHeight="1">
      <c r="A311" s="6">
        <v>10363.0</v>
      </c>
      <c r="B311" s="7" t="s">
        <v>72</v>
      </c>
      <c r="C311" s="24" t="str">
        <f>VLOOKUP(dynamic[customerID],customers[],2,FALSE)</f>
        <v>Drachenblut Delikatessen</v>
      </c>
      <c r="D311" s="24">
        <v>44891.0</v>
      </c>
      <c r="E311" s="6">
        <f>IFERROR(__xludf.DUMMYFUNCTION("COUNTUNIQUEIFS($A$2:$A311,$B$2:$B311,B311)"),1.0)</f>
        <v>1</v>
      </c>
      <c r="F311" s="6">
        <f t="shared" si="1"/>
        <v>0</v>
      </c>
      <c r="G311" s="6" t="str">
        <f>IF(MINIFS(dynamic[orderDate], dynamic[customerID], B311) &gt;= DATE(2024,4,30)-120, 
     "New", 
     IF(MAXIFS(dynamic[orderCount], dynamic[customerID], B311)&lt;=2, 
        IF((DATE(2024,4,30) - MAXIFS(dynamic[orderDate], dynamic[customerID], B311)) &gt; 180, "Non-Returning", "Dormant"), 
        IF(AND(MAX(dynamic[sinceLastOrder]) &gt; 365, (DATE(2024,4,30) - MAXIFS(dynamic[orderDate], dynamic[customerID], B311)) &gt; 180), 
           "Dormant", "Regular")))</f>
        <v>Regular</v>
      </c>
      <c r="H311" s="6">
        <v>75.0</v>
      </c>
      <c r="I311" s="9" t="str">
        <f>VLOOKUP(dynamic[productID],products[],2,FALSE)</f>
        <v>Rhönbräu Klosterbier</v>
      </c>
      <c r="J311" s="9" t="str">
        <f>VLOOKUP(dynamic[productID],products[],12,FALSE)</f>
        <v>Beverages</v>
      </c>
      <c r="K311" s="7" t="str">
        <f>IF(VLOOKUP(dynamic[productID],products[],7,FALSE)=1,"Discontinued","Current")</f>
        <v>Current</v>
      </c>
      <c r="L311" s="9">
        <f>VLOOKUP(dynamic[productID],products[],IF(YEAR(dynamic[orderDate])=2022,8,IF(YEAR(dynamic[orderDate])=2023,9,IF(YEAR(dynamic[orderDate])=2024,10,NA))),FALSE)</f>
        <v>4.269033823</v>
      </c>
      <c r="M311" s="9">
        <v>6.2</v>
      </c>
      <c r="N311" s="25">
        <f>(dynamic[orderPrice]-dynamic[productCost])/dynamic[productCost]</f>
        <v>0.4523192499</v>
      </c>
      <c r="O311" s="10">
        <v>12.0</v>
      </c>
      <c r="P311" s="25">
        <v>0.0</v>
      </c>
      <c r="Q311" s="9">
        <f>dynamic[orderPrice]*dynamic[orderQuantity]</f>
        <v>74.4</v>
      </c>
      <c r="R311" s="9">
        <f>dynamic[orderTotal]*(1-dynamic[discountApllied])</f>
        <v>74.4</v>
      </c>
      <c r="S311" s="9">
        <f>dynamic[revenue]-(dynamic[productCost]*dynamic[orderQuantity])</f>
        <v>23.17159412</v>
      </c>
      <c r="T311" s="25">
        <f>IFERROR(dynamic[profit]/dynamic[revenue], 0)</f>
        <v>0.3114461575</v>
      </c>
    </row>
    <row r="312" ht="15.75" customHeight="1">
      <c r="A312" s="6">
        <v>10363.0</v>
      </c>
      <c r="B312" s="7" t="s">
        <v>72</v>
      </c>
      <c r="C312" s="24" t="str">
        <f>VLOOKUP(dynamic[customerID],customers[],2,FALSE)</f>
        <v>Drachenblut Delikatessen</v>
      </c>
      <c r="D312" s="24">
        <v>44891.0</v>
      </c>
      <c r="E312" s="6">
        <f>IFERROR(__xludf.DUMMYFUNCTION("COUNTUNIQUEIFS($A$2:$A312,$B$2:$B312,B312)"),1.0)</f>
        <v>1</v>
      </c>
      <c r="F312" s="6">
        <f t="shared" si="1"/>
        <v>0</v>
      </c>
      <c r="G312" s="6" t="str">
        <f>IF(MINIFS(dynamic[orderDate], dynamic[customerID], B312) &gt;= DATE(2024,4,30)-120, 
     "New", 
     IF(MAXIFS(dynamic[orderCount], dynamic[customerID], B312)&lt;=2, 
        IF((DATE(2024,4,30) - MAXIFS(dynamic[orderDate], dynamic[customerID], B312)) &gt; 180, "Non-Returning", "Dormant"), 
        IF(AND(MAX(dynamic[sinceLastOrder]) &gt; 365, (DATE(2024,4,30) - MAXIFS(dynamic[orderDate], dynamic[customerID], B312)) &gt; 180), 
           "Dormant", "Regular")))</f>
        <v>Regular</v>
      </c>
      <c r="H312" s="6">
        <v>76.0</v>
      </c>
      <c r="I312" s="9" t="str">
        <f>VLOOKUP(dynamic[productID],products[],2,FALSE)</f>
        <v>Lakkalikööri</v>
      </c>
      <c r="J312" s="9" t="str">
        <f>VLOOKUP(dynamic[productID],products[],12,FALSE)</f>
        <v>Beverages</v>
      </c>
      <c r="K312" s="7" t="str">
        <f>IF(VLOOKUP(dynamic[productID],products[],7,FALSE)=1,"Discontinued","Current")</f>
        <v>Current</v>
      </c>
      <c r="L312" s="9">
        <f>VLOOKUP(dynamic[productID],products[],IF(YEAR(dynamic[orderDate])=2022,8,IF(YEAR(dynamic[orderDate])=2023,9,IF(YEAR(dynamic[orderDate])=2024,10,NA))),FALSE)</f>
        <v>10.19609256</v>
      </c>
      <c r="M312" s="9">
        <v>14.4</v>
      </c>
      <c r="N312" s="25">
        <f>(dynamic[orderPrice]-dynamic[productCost])/dynamic[productCost]</f>
        <v>0.4123057356</v>
      </c>
      <c r="O312" s="10">
        <v>12.0</v>
      </c>
      <c r="P312" s="25">
        <v>0.0</v>
      </c>
      <c r="Q312" s="9">
        <f>dynamic[orderPrice]*dynamic[orderQuantity]</f>
        <v>172.8</v>
      </c>
      <c r="R312" s="9">
        <f>dynamic[orderTotal]*(1-dynamic[discountApllied])</f>
        <v>172.8</v>
      </c>
      <c r="S312" s="9">
        <f>dynamic[revenue]-(dynamic[productCost]*dynamic[orderQuantity])</f>
        <v>50.4468893</v>
      </c>
      <c r="T312" s="25">
        <f>IFERROR(dynamic[profit]/dynamic[revenue], 0)</f>
        <v>0.2919380168</v>
      </c>
    </row>
    <row r="313" ht="15.75" customHeight="1">
      <c r="A313" s="6">
        <v>10364.0</v>
      </c>
      <c r="B313" s="7" t="s">
        <v>73</v>
      </c>
      <c r="C313" s="24" t="str">
        <f>VLOOKUP(dynamic[customerID],customers[],2,FALSE)</f>
        <v>Eastern Connection</v>
      </c>
      <c r="D313" s="24">
        <v>44891.0</v>
      </c>
      <c r="E313" s="6">
        <f>IFERROR(__xludf.DUMMYFUNCTION("COUNTUNIQUEIFS($A$2:$A313,$B$2:$B313,B313)"),1.0)</f>
        <v>1</v>
      </c>
      <c r="F313" s="6">
        <f t="shared" si="1"/>
        <v>0</v>
      </c>
      <c r="G313" s="6" t="str">
        <f>IF(MINIFS(dynamic[orderDate], dynamic[customerID], B313) &gt;= DATE(2024,4,30)-120, 
     "New", 
     IF(MAXIFS(dynamic[orderCount], dynamic[customerID], B313)&lt;=2, 
        IF((DATE(2024,4,30) - MAXIFS(dynamic[orderDate], dynamic[customerID], B313)) &gt; 180, "Non-Returning", "Dormant"), 
        IF(AND(MAX(dynamic[sinceLastOrder]) &gt; 365, (DATE(2024,4,30) - MAXIFS(dynamic[orderDate], dynamic[customerID], B313)) &gt; 180), 
           "Dormant", "Regular")))</f>
        <v>Regular</v>
      </c>
      <c r="H313" s="6">
        <v>69.0</v>
      </c>
      <c r="I313" s="9" t="str">
        <f>VLOOKUP(dynamic[productID],products[],2,FALSE)</f>
        <v>Gudbrandsdalsost</v>
      </c>
      <c r="J313" s="9" t="str">
        <f>VLOOKUP(dynamic[productID],products[],12,FALSE)</f>
        <v>Dairy Products</v>
      </c>
      <c r="K313" s="7" t="str">
        <f>IF(VLOOKUP(dynamic[productID],products[],7,FALSE)=1,"Discontinued","Current")</f>
        <v>Current</v>
      </c>
      <c r="L313" s="9">
        <f>VLOOKUP(dynamic[productID],products[],IF(YEAR(dynamic[orderDate])=2022,8,IF(YEAR(dynamic[orderDate])=2023,9,IF(YEAR(dynamic[orderDate])=2024,10,NA))),FALSE)</f>
        <v>20.71216183</v>
      </c>
      <c r="M313" s="9">
        <v>28.8</v>
      </c>
      <c r="N313" s="25">
        <f>(dynamic[orderPrice]-dynamic[productCost])/dynamic[productCost]</f>
        <v>0.3904873977</v>
      </c>
      <c r="O313" s="10">
        <v>30.0</v>
      </c>
      <c r="P313" s="25">
        <v>0.0</v>
      </c>
      <c r="Q313" s="9">
        <f>dynamic[orderPrice]*dynamic[orderQuantity]</f>
        <v>864</v>
      </c>
      <c r="R313" s="9">
        <f>dynamic[orderTotal]*(1-dynamic[discountApllied])</f>
        <v>864</v>
      </c>
      <c r="S313" s="9">
        <f>dynamic[revenue]-(dynamic[productCost]*dynamic[orderQuantity])</f>
        <v>242.6351452</v>
      </c>
      <c r="T313" s="25">
        <f>IFERROR(dynamic[profit]/dynamic[revenue], 0)</f>
        <v>0.2808277143</v>
      </c>
    </row>
    <row r="314" ht="15.75" customHeight="1">
      <c r="A314" s="6">
        <v>10364.0</v>
      </c>
      <c r="B314" s="7" t="s">
        <v>73</v>
      </c>
      <c r="C314" s="24" t="str">
        <f>VLOOKUP(dynamic[customerID],customers[],2,FALSE)</f>
        <v>Eastern Connection</v>
      </c>
      <c r="D314" s="24">
        <v>44891.0</v>
      </c>
      <c r="E314" s="6">
        <f>IFERROR(__xludf.DUMMYFUNCTION("COUNTUNIQUEIFS($A$2:$A314,$B$2:$B314,B314)"),1.0)</f>
        <v>1</v>
      </c>
      <c r="F314" s="6">
        <f t="shared" si="1"/>
        <v>0</v>
      </c>
      <c r="G314" s="6" t="str">
        <f>IF(MINIFS(dynamic[orderDate], dynamic[customerID], B314) &gt;= DATE(2024,4,30)-120, 
     "New", 
     IF(MAXIFS(dynamic[orderCount], dynamic[customerID], B314)&lt;=2, 
        IF((DATE(2024,4,30) - MAXIFS(dynamic[orderDate], dynamic[customerID], B314)) &gt; 180, "Non-Returning", "Dormant"), 
        IF(AND(MAX(dynamic[sinceLastOrder]) &gt; 365, (DATE(2024,4,30) - MAXIFS(dynamic[orderDate], dynamic[customerID], B314)) &gt; 180), 
           "Dormant", "Regular")))</f>
        <v>Regular</v>
      </c>
      <c r="H314" s="6">
        <v>71.0</v>
      </c>
      <c r="I314" s="9" t="str">
        <f>VLOOKUP(dynamic[productID],products[],2,FALSE)</f>
        <v>Flotemysost</v>
      </c>
      <c r="J314" s="9" t="str">
        <f>VLOOKUP(dynamic[productID],products[],12,FALSE)</f>
        <v>Dairy Products</v>
      </c>
      <c r="K314" s="7" t="str">
        <f>IF(VLOOKUP(dynamic[productID],products[],7,FALSE)=1,"Discontinued","Current")</f>
        <v>Current</v>
      </c>
      <c r="L314" s="9">
        <f>VLOOKUP(dynamic[productID],products[],IF(YEAR(dynamic[orderDate])=2022,8,IF(YEAR(dynamic[orderDate])=2023,9,IF(YEAR(dynamic[orderDate])=2024,10,NA))),FALSE)</f>
        <v>12.00719029</v>
      </c>
      <c r="M314" s="9">
        <v>17.2</v>
      </c>
      <c r="N314" s="25">
        <f>(dynamic[orderPrice]-dynamic[productCost])/dynamic[productCost]</f>
        <v>0.4324750075</v>
      </c>
      <c r="O314" s="10">
        <v>5.0</v>
      </c>
      <c r="P314" s="25">
        <v>0.0</v>
      </c>
      <c r="Q314" s="9">
        <f>dynamic[orderPrice]*dynamic[orderQuantity]</f>
        <v>86</v>
      </c>
      <c r="R314" s="9">
        <f>dynamic[orderTotal]*(1-dynamic[discountApllied])</f>
        <v>86</v>
      </c>
      <c r="S314" s="9">
        <f>dynamic[revenue]-(dynamic[productCost]*dynamic[orderQuantity])</f>
        <v>25.96404855</v>
      </c>
      <c r="T314" s="25">
        <f>IFERROR(dynamic[profit]/dynamic[revenue], 0)</f>
        <v>0.3019075413</v>
      </c>
    </row>
    <row r="315" ht="15.75" customHeight="1">
      <c r="A315" s="6">
        <v>10365.0</v>
      </c>
      <c r="B315" s="7" t="s">
        <v>74</v>
      </c>
      <c r="C315" s="24" t="str">
        <f>VLOOKUP(dynamic[customerID],customers[],2,FALSE)</f>
        <v>Antonio Moreno Taquería</v>
      </c>
      <c r="D315" s="24">
        <v>44892.0</v>
      </c>
      <c r="E315" s="6">
        <f>IFERROR(__xludf.DUMMYFUNCTION("COUNTUNIQUEIFS($A$2:$A315,$B$2:$B315,B315)"),1.0)</f>
        <v>1</v>
      </c>
      <c r="F315" s="6">
        <f t="shared" si="1"/>
        <v>0</v>
      </c>
      <c r="G315" s="6" t="str">
        <f>IF(MINIFS(dynamic[orderDate], dynamic[customerID], B315) &gt;= DATE(2024,4,30)-120, 
     "New", 
     IF(MAXIFS(dynamic[orderCount], dynamic[customerID], B315)&lt;=2, 
        IF((DATE(2024,4,30) - MAXIFS(dynamic[orderDate], dynamic[customerID], B315)) &gt; 180, "Non-Returning", "Dormant"), 
        IF(AND(MAX(dynamic[sinceLastOrder]) &gt; 365, (DATE(2024,4,30) - MAXIFS(dynamic[orderDate], dynamic[customerID], B315)) &gt; 180), 
           "Dormant", "Regular")))</f>
        <v>Regular</v>
      </c>
      <c r="H315" s="6">
        <v>11.0</v>
      </c>
      <c r="I315" s="9" t="str">
        <f>VLOOKUP(dynamic[productID],products[],2,FALSE)</f>
        <v>Queso Cabrales</v>
      </c>
      <c r="J315" s="9" t="str">
        <f>VLOOKUP(dynamic[productID],products[],12,FALSE)</f>
        <v>Dairy Products</v>
      </c>
      <c r="K315" s="7" t="str">
        <f>IF(VLOOKUP(dynamic[productID],products[],7,FALSE)=1,"Discontinued","Current")</f>
        <v>Current</v>
      </c>
      <c r="L315" s="9">
        <f>VLOOKUP(dynamic[productID],products[],IF(YEAR(dynamic[orderDate])=2022,8,IF(YEAR(dynamic[orderDate])=2023,9,IF(YEAR(dynamic[orderDate])=2024,10,NA))),FALSE)</f>
        <v>10.58231097</v>
      </c>
      <c r="M315" s="9">
        <v>16.8</v>
      </c>
      <c r="N315" s="25">
        <f>(dynamic[orderPrice]-dynamic[productCost])/dynamic[productCost]</f>
        <v>0.5875549344</v>
      </c>
      <c r="O315" s="10">
        <v>24.0</v>
      </c>
      <c r="P315" s="25">
        <v>0.0</v>
      </c>
      <c r="Q315" s="9">
        <f>dynamic[orderPrice]*dynamic[orderQuantity]</f>
        <v>403.2</v>
      </c>
      <c r="R315" s="9">
        <f>dynamic[orderTotal]*(1-dynamic[discountApllied])</f>
        <v>403.2</v>
      </c>
      <c r="S315" s="9">
        <f>dynamic[revenue]-(dynamic[productCost]*dynamic[orderQuantity])</f>
        <v>149.2245367</v>
      </c>
      <c r="T315" s="25">
        <f>IFERROR(dynamic[profit]/dynamic[revenue], 0)</f>
        <v>0.3701005374</v>
      </c>
    </row>
    <row r="316" ht="15.75" customHeight="1">
      <c r="A316" s="6">
        <v>10366.0</v>
      </c>
      <c r="B316" s="7" t="s">
        <v>75</v>
      </c>
      <c r="C316" s="24" t="str">
        <f>VLOOKUP(dynamic[customerID],customers[],2,FALSE)</f>
        <v>Galería del gastrónomo</v>
      </c>
      <c r="D316" s="24">
        <v>44893.0</v>
      </c>
      <c r="E316" s="6">
        <f>IFERROR(__xludf.DUMMYFUNCTION("COUNTUNIQUEIFS($A$2:$A316,$B$2:$B316,B316)"),1.0)</f>
        <v>1</v>
      </c>
      <c r="F316" s="6">
        <f t="shared" si="1"/>
        <v>0</v>
      </c>
      <c r="G316" s="6" t="str">
        <f>IF(MINIFS(dynamic[orderDate], dynamic[customerID], B316) &gt;= DATE(2024,4,30)-120, 
     "New", 
     IF(MAXIFS(dynamic[orderCount], dynamic[customerID], B316)&lt;=2, 
        IF((DATE(2024,4,30) - MAXIFS(dynamic[orderDate], dynamic[customerID], B316)) &gt; 180, "Non-Returning", "Dormant"), 
        IF(AND(MAX(dynamic[sinceLastOrder]) &gt; 365, (DATE(2024,4,30) - MAXIFS(dynamic[orderDate], dynamic[customerID], B316)) &gt; 180), 
           "Dormant", "Regular")))</f>
        <v>Regular</v>
      </c>
      <c r="H316" s="6">
        <v>65.0</v>
      </c>
      <c r="I316" s="9" t="str">
        <f>VLOOKUP(dynamic[productID],products[],2,FALSE)</f>
        <v>Louisiana Fiery Hot Pepper Sauce</v>
      </c>
      <c r="J316" s="9" t="str">
        <f>VLOOKUP(dynamic[productID],products[],12,FALSE)</f>
        <v>Condiments</v>
      </c>
      <c r="K316" s="7" t="str">
        <f>IF(VLOOKUP(dynamic[productID],products[],7,FALSE)=1,"Discontinued","Current")</f>
        <v>Current</v>
      </c>
      <c r="L316" s="9">
        <f>VLOOKUP(dynamic[productID],products[],IF(YEAR(dynamic[orderDate])=2022,8,IF(YEAR(dynamic[orderDate])=2023,9,IF(YEAR(dynamic[orderDate])=2024,10,NA))),FALSE)</f>
        <v>11.17410204</v>
      </c>
      <c r="M316" s="9">
        <v>16.8</v>
      </c>
      <c r="N316" s="25">
        <f>(dynamic[orderPrice]-dynamic[productCost])/dynamic[productCost]</f>
        <v>0.503476515</v>
      </c>
      <c r="O316" s="10">
        <v>5.0</v>
      </c>
      <c r="P316" s="25">
        <v>0.0</v>
      </c>
      <c r="Q316" s="9">
        <f>dynamic[orderPrice]*dynamic[orderQuantity]</f>
        <v>84</v>
      </c>
      <c r="R316" s="9">
        <f>dynamic[orderTotal]*(1-dynamic[discountApllied])</f>
        <v>84</v>
      </c>
      <c r="S316" s="9">
        <f>dynamic[revenue]-(dynamic[productCost]*dynamic[orderQuantity])</f>
        <v>28.12948978</v>
      </c>
      <c r="T316" s="25">
        <f>IFERROR(dynamic[profit]/dynamic[revenue], 0)</f>
        <v>0.3348748783</v>
      </c>
    </row>
    <row r="317" ht="15.75" customHeight="1">
      <c r="A317" s="6">
        <v>10366.0</v>
      </c>
      <c r="B317" s="7" t="s">
        <v>75</v>
      </c>
      <c r="C317" s="24" t="str">
        <f>VLOOKUP(dynamic[customerID],customers[],2,FALSE)</f>
        <v>Galería del gastrónomo</v>
      </c>
      <c r="D317" s="24">
        <v>44893.0</v>
      </c>
      <c r="E317" s="6">
        <f>IFERROR(__xludf.DUMMYFUNCTION("COUNTUNIQUEIFS($A$2:$A317,$B$2:$B317,B317)"),1.0)</f>
        <v>1</v>
      </c>
      <c r="F317" s="6">
        <f t="shared" si="1"/>
        <v>0</v>
      </c>
      <c r="G317" s="6" t="str">
        <f>IF(MINIFS(dynamic[orderDate], dynamic[customerID], B317) &gt;= DATE(2024,4,30)-120, 
     "New", 
     IF(MAXIFS(dynamic[orderCount], dynamic[customerID], B317)&lt;=2, 
        IF((DATE(2024,4,30) - MAXIFS(dynamic[orderDate], dynamic[customerID], B317)) &gt; 180, "Non-Returning", "Dormant"), 
        IF(AND(MAX(dynamic[sinceLastOrder]) &gt; 365, (DATE(2024,4,30) - MAXIFS(dynamic[orderDate], dynamic[customerID], B317)) &gt; 180), 
           "Dormant", "Regular")))</f>
        <v>Regular</v>
      </c>
      <c r="H317" s="6">
        <v>77.0</v>
      </c>
      <c r="I317" s="9" t="str">
        <f>VLOOKUP(dynamic[productID],products[],2,FALSE)</f>
        <v>Original Frankfurter grüne Soße</v>
      </c>
      <c r="J317" s="9" t="str">
        <f>VLOOKUP(dynamic[productID],products[],12,FALSE)</f>
        <v>Condiments</v>
      </c>
      <c r="K317" s="7" t="str">
        <f>IF(VLOOKUP(dynamic[productID],products[],7,FALSE)=1,"Discontinued","Current")</f>
        <v>Current</v>
      </c>
      <c r="L317" s="9">
        <f>VLOOKUP(dynamic[productID],products[],IF(YEAR(dynamic[orderDate])=2022,8,IF(YEAR(dynamic[orderDate])=2023,9,IF(YEAR(dynamic[orderDate])=2024,10,NA))),FALSE)</f>
        <v>7.430272842</v>
      </c>
      <c r="M317" s="9">
        <v>10.4</v>
      </c>
      <c r="N317" s="25">
        <f>(dynamic[orderPrice]-dynamic[productCost])/dynamic[productCost]</f>
        <v>0.3996794225</v>
      </c>
      <c r="O317" s="10">
        <v>5.0</v>
      </c>
      <c r="P317" s="25">
        <v>0.0</v>
      </c>
      <c r="Q317" s="9">
        <f>dynamic[orderPrice]*dynamic[orderQuantity]</f>
        <v>52</v>
      </c>
      <c r="R317" s="9">
        <f>dynamic[orderTotal]*(1-dynamic[discountApllied])</f>
        <v>52</v>
      </c>
      <c r="S317" s="9">
        <f>dynamic[revenue]-(dynamic[productCost]*dynamic[orderQuantity])</f>
        <v>14.84863579</v>
      </c>
      <c r="T317" s="25">
        <f>IFERROR(dynamic[profit]/dynamic[revenue], 0)</f>
        <v>0.2855506883</v>
      </c>
    </row>
    <row r="318" ht="15.75" customHeight="1">
      <c r="A318" s="6">
        <v>10367.0</v>
      </c>
      <c r="B318" s="7" t="s">
        <v>76</v>
      </c>
      <c r="C318" s="24" t="str">
        <f>VLOOKUP(dynamic[customerID],customers[],2,FALSE)</f>
        <v>Vaffeljernet</v>
      </c>
      <c r="D318" s="24">
        <v>44893.0</v>
      </c>
      <c r="E318" s="6">
        <f>IFERROR(__xludf.DUMMYFUNCTION("COUNTUNIQUEIFS($A$2:$A318,$B$2:$B318,B318)"),1.0)</f>
        <v>1</v>
      </c>
      <c r="F318" s="6">
        <f t="shared" si="1"/>
        <v>0</v>
      </c>
      <c r="G318" s="6" t="str">
        <f>IF(MINIFS(dynamic[orderDate], dynamic[customerID], B318) &gt;= DATE(2024,4,30)-120, 
     "New", 
     IF(MAXIFS(dynamic[orderCount], dynamic[customerID], B318)&lt;=2, 
        IF((DATE(2024,4,30) - MAXIFS(dynamic[orderDate], dynamic[customerID], B318)) &gt; 180, "Non-Returning", "Dormant"), 
        IF(AND(MAX(dynamic[sinceLastOrder]) &gt; 365, (DATE(2024,4,30) - MAXIFS(dynamic[orderDate], dynamic[customerID], B318)) &gt; 180), 
           "Dormant", "Regular")))</f>
        <v>Regular</v>
      </c>
      <c r="H318" s="6">
        <v>34.0</v>
      </c>
      <c r="I318" s="9" t="str">
        <f>VLOOKUP(dynamic[productID],products[],2,FALSE)</f>
        <v>Sasquatch Ale</v>
      </c>
      <c r="J318" s="9" t="str">
        <f>VLOOKUP(dynamic[productID],products[],12,FALSE)</f>
        <v>Beverages</v>
      </c>
      <c r="K318" s="7" t="str">
        <f>IF(VLOOKUP(dynamic[productID],products[],7,FALSE)=1,"Discontinued","Current")</f>
        <v>Current</v>
      </c>
      <c r="L318" s="9">
        <f>VLOOKUP(dynamic[productID],products[],IF(YEAR(dynamic[orderDate])=2022,8,IF(YEAR(dynamic[orderDate])=2023,9,IF(YEAR(dynamic[orderDate])=2024,10,NA))),FALSE)</f>
        <v>8.233671911</v>
      </c>
      <c r="M318" s="9">
        <v>11.2</v>
      </c>
      <c r="N318" s="25">
        <f>(dynamic[orderPrice]-dynamic[productCost])/dynamic[productCost]</f>
        <v>0.3602679486</v>
      </c>
      <c r="O318" s="10">
        <v>36.0</v>
      </c>
      <c r="P318" s="25">
        <v>0.0</v>
      </c>
      <c r="Q318" s="9">
        <f>dynamic[orderPrice]*dynamic[orderQuantity]</f>
        <v>403.2</v>
      </c>
      <c r="R318" s="9">
        <f>dynamic[orderTotal]*(1-dynamic[discountApllied])</f>
        <v>403.2</v>
      </c>
      <c r="S318" s="9">
        <f>dynamic[revenue]-(dynamic[productCost]*dynamic[orderQuantity])</f>
        <v>106.7878112</v>
      </c>
      <c r="T318" s="25">
        <f>IFERROR(dynamic[profit]/dynamic[revenue], 0)</f>
        <v>0.2648507222</v>
      </c>
    </row>
    <row r="319" ht="15.75" customHeight="1">
      <c r="A319" s="6">
        <v>10367.0</v>
      </c>
      <c r="B319" s="7" t="s">
        <v>76</v>
      </c>
      <c r="C319" s="24" t="str">
        <f>VLOOKUP(dynamic[customerID],customers[],2,FALSE)</f>
        <v>Vaffeljernet</v>
      </c>
      <c r="D319" s="24">
        <v>44893.0</v>
      </c>
      <c r="E319" s="6">
        <f>IFERROR(__xludf.DUMMYFUNCTION("COUNTUNIQUEIFS($A$2:$A319,$B$2:$B319,B319)"),1.0)</f>
        <v>1</v>
      </c>
      <c r="F319" s="6">
        <f t="shared" si="1"/>
        <v>0</v>
      </c>
      <c r="G319" s="6" t="str">
        <f>IF(MINIFS(dynamic[orderDate], dynamic[customerID], B319) &gt;= DATE(2024,4,30)-120, 
     "New", 
     IF(MAXIFS(dynamic[orderCount], dynamic[customerID], B319)&lt;=2, 
        IF((DATE(2024,4,30) - MAXIFS(dynamic[orderDate], dynamic[customerID], B319)) &gt; 180, "Non-Returning", "Dormant"), 
        IF(AND(MAX(dynamic[sinceLastOrder]) &gt; 365, (DATE(2024,4,30) - MAXIFS(dynamic[orderDate], dynamic[customerID], B319)) &gt; 180), 
           "Dormant", "Regular")))</f>
        <v>Regular</v>
      </c>
      <c r="H319" s="6">
        <v>54.0</v>
      </c>
      <c r="I319" s="9" t="str">
        <f>VLOOKUP(dynamic[productID],products[],2,FALSE)</f>
        <v>Tourtière</v>
      </c>
      <c r="J319" s="9" t="str">
        <f>VLOOKUP(dynamic[productID],products[],12,FALSE)</f>
        <v>Meat/Poultry</v>
      </c>
      <c r="K319" s="7" t="str">
        <f>IF(VLOOKUP(dynamic[productID],products[],7,FALSE)=1,"Discontinued","Current")</f>
        <v>Current</v>
      </c>
      <c r="L319" s="9">
        <f>VLOOKUP(dynamic[productID],products[],IF(YEAR(dynamic[orderDate])=2022,8,IF(YEAR(dynamic[orderDate])=2023,9,IF(YEAR(dynamic[orderDate])=2024,10,NA))),FALSE)</f>
        <v>4.309848919</v>
      </c>
      <c r="M319" s="9">
        <v>5.9</v>
      </c>
      <c r="N319" s="25">
        <f>(dynamic[orderPrice]-dynamic[productCost])/dynamic[productCost]</f>
        <v>0.3689574996</v>
      </c>
      <c r="O319" s="10">
        <v>18.0</v>
      </c>
      <c r="P319" s="25">
        <v>0.0</v>
      </c>
      <c r="Q319" s="9">
        <f>dynamic[orderPrice]*dynamic[orderQuantity]</f>
        <v>106.2</v>
      </c>
      <c r="R319" s="9">
        <f>dynamic[orderTotal]*(1-dynamic[discountApllied])</f>
        <v>106.2</v>
      </c>
      <c r="S319" s="9">
        <f>dynamic[revenue]-(dynamic[productCost]*dynamic[orderQuantity])</f>
        <v>28.62271945</v>
      </c>
      <c r="T319" s="25">
        <f>IFERROR(dynamic[profit]/dynamic[revenue], 0)</f>
        <v>0.2695171323</v>
      </c>
    </row>
    <row r="320" ht="15.75" customHeight="1">
      <c r="A320" s="6">
        <v>10367.0</v>
      </c>
      <c r="B320" s="7" t="s">
        <v>76</v>
      </c>
      <c r="C320" s="24" t="str">
        <f>VLOOKUP(dynamic[customerID],customers[],2,FALSE)</f>
        <v>Vaffeljernet</v>
      </c>
      <c r="D320" s="24">
        <v>44893.0</v>
      </c>
      <c r="E320" s="6">
        <f>IFERROR(__xludf.DUMMYFUNCTION("COUNTUNIQUEIFS($A$2:$A320,$B$2:$B320,B320)"),1.0)</f>
        <v>1</v>
      </c>
      <c r="F320" s="6">
        <f t="shared" si="1"/>
        <v>0</v>
      </c>
      <c r="G320" s="6" t="str">
        <f>IF(MINIFS(dynamic[orderDate], dynamic[customerID], B320) &gt;= DATE(2024,4,30)-120, 
     "New", 
     IF(MAXIFS(dynamic[orderCount], dynamic[customerID], B320)&lt;=2, 
        IF((DATE(2024,4,30) - MAXIFS(dynamic[orderDate], dynamic[customerID], B320)) &gt; 180, "Non-Returning", "Dormant"), 
        IF(AND(MAX(dynamic[sinceLastOrder]) &gt; 365, (DATE(2024,4,30) - MAXIFS(dynamic[orderDate], dynamic[customerID], B320)) &gt; 180), 
           "Dormant", "Regular")))</f>
        <v>Regular</v>
      </c>
      <c r="H320" s="6">
        <v>65.0</v>
      </c>
      <c r="I320" s="9" t="str">
        <f>VLOOKUP(dynamic[productID],products[],2,FALSE)</f>
        <v>Louisiana Fiery Hot Pepper Sauce</v>
      </c>
      <c r="J320" s="9" t="str">
        <f>VLOOKUP(dynamic[productID],products[],12,FALSE)</f>
        <v>Condiments</v>
      </c>
      <c r="K320" s="7" t="str">
        <f>IF(VLOOKUP(dynamic[productID],products[],7,FALSE)=1,"Discontinued","Current")</f>
        <v>Current</v>
      </c>
      <c r="L320" s="9">
        <f>VLOOKUP(dynamic[productID],products[],IF(YEAR(dynamic[orderDate])=2022,8,IF(YEAR(dynamic[orderDate])=2023,9,IF(YEAR(dynamic[orderDate])=2024,10,NA))),FALSE)</f>
        <v>11.17410204</v>
      </c>
      <c r="M320" s="9">
        <v>16.8</v>
      </c>
      <c r="N320" s="25">
        <f>(dynamic[orderPrice]-dynamic[productCost])/dynamic[productCost]</f>
        <v>0.503476515</v>
      </c>
      <c r="O320" s="10">
        <v>15.0</v>
      </c>
      <c r="P320" s="25">
        <v>0.0</v>
      </c>
      <c r="Q320" s="9">
        <f>dynamic[orderPrice]*dynamic[orderQuantity]</f>
        <v>252</v>
      </c>
      <c r="R320" s="9">
        <f>dynamic[orderTotal]*(1-dynamic[discountApllied])</f>
        <v>252</v>
      </c>
      <c r="S320" s="9">
        <f>dynamic[revenue]-(dynamic[productCost]*dynamic[orderQuantity])</f>
        <v>84.38846934</v>
      </c>
      <c r="T320" s="25">
        <f>IFERROR(dynamic[profit]/dynamic[revenue], 0)</f>
        <v>0.3348748783</v>
      </c>
    </row>
    <row r="321" ht="15.75" customHeight="1">
      <c r="A321" s="6">
        <v>10367.0</v>
      </c>
      <c r="B321" s="7" t="s">
        <v>76</v>
      </c>
      <c r="C321" s="24" t="str">
        <f>VLOOKUP(dynamic[customerID],customers[],2,FALSE)</f>
        <v>Vaffeljernet</v>
      </c>
      <c r="D321" s="24">
        <v>44893.0</v>
      </c>
      <c r="E321" s="6">
        <f>IFERROR(__xludf.DUMMYFUNCTION("COUNTUNIQUEIFS($A$2:$A321,$B$2:$B321,B321)"),1.0)</f>
        <v>1</v>
      </c>
      <c r="F321" s="6">
        <f t="shared" si="1"/>
        <v>0</v>
      </c>
      <c r="G321" s="6" t="str">
        <f>IF(MINIFS(dynamic[orderDate], dynamic[customerID], B321) &gt;= DATE(2024,4,30)-120, 
     "New", 
     IF(MAXIFS(dynamic[orderCount], dynamic[customerID], B321)&lt;=2, 
        IF((DATE(2024,4,30) - MAXIFS(dynamic[orderDate], dynamic[customerID], B321)) &gt; 180, "Non-Returning", "Dormant"), 
        IF(AND(MAX(dynamic[sinceLastOrder]) &gt; 365, (DATE(2024,4,30) - MAXIFS(dynamic[orderDate], dynamic[customerID], B321)) &gt; 180), 
           "Dormant", "Regular")))</f>
        <v>Regular</v>
      </c>
      <c r="H321" s="6">
        <v>77.0</v>
      </c>
      <c r="I321" s="9" t="str">
        <f>VLOOKUP(dynamic[productID],products[],2,FALSE)</f>
        <v>Original Frankfurter grüne Soße</v>
      </c>
      <c r="J321" s="9" t="str">
        <f>VLOOKUP(dynamic[productID],products[],12,FALSE)</f>
        <v>Condiments</v>
      </c>
      <c r="K321" s="7" t="str">
        <f>IF(VLOOKUP(dynamic[productID],products[],7,FALSE)=1,"Discontinued","Current")</f>
        <v>Current</v>
      </c>
      <c r="L321" s="9">
        <f>VLOOKUP(dynamic[productID],products[],IF(YEAR(dynamic[orderDate])=2022,8,IF(YEAR(dynamic[orderDate])=2023,9,IF(YEAR(dynamic[orderDate])=2024,10,NA))),FALSE)</f>
        <v>7.430272842</v>
      </c>
      <c r="M321" s="9">
        <v>10.4</v>
      </c>
      <c r="N321" s="25">
        <f>(dynamic[orderPrice]-dynamic[productCost])/dynamic[productCost]</f>
        <v>0.3996794225</v>
      </c>
      <c r="O321" s="10">
        <v>7.0</v>
      </c>
      <c r="P321" s="25">
        <v>0.0</v>
      </c>
      <c r="Q321" s="9">
        <f>dynamic[orderPrice]*dynamic[orderQuantity]</f>
        <v>72.8</v>
      </c>
      <c r="R321" s="9">
        <f>dynamic[orderTotal]*(1-dynamic[discountApllied])</f>
        <v>72.8</v>
      </c>
      <c r="S321" s="9">
        <f>dynamic[revenue]-(dynamic[productCost]*dynamic[orderQuantity])</f>
        <v>20.78809011</v>
      </c>
      <c r="T321" s="25">
        <f>IFERROR(dynamic[profit]/dynamic[revenue], 0)</f>
        <v>0.2855506883</v>
      </c>
    </row>
    <row r="322" ht="15.75" customHeight="1">
      <c r="A322" s="6">
        <v>10368.0</v>
      </c>
      <c r="B322" s="7" t="s">
        <v>24</v>
      </c>
      <c r="C322" s="24" t="str">
        <f>VLOOKUP(dynamic[customerID],customers[],2,FALSE)</f>
        <v>Ernst Handel</v>
      </c>
      <c r="D322" s="24">
        <v>44894.0</v>
      </c>
      <c r="E322" s="6">
        <f>IFERROR(__xludf.DUMMYFUNCTION("COUNTUNIQUEIFS($A$2:$A322,$B$2:$B322,B322)"),4.0)</f>
        <v>4</v>
      </c>
      <c r="F322" s="6">
        <f t="shared" si="1"/>
        <v>18</v>
      </c>
      <c r="G322" s="6" t="str">
        <f>IF(MINIFS(dynamic[orderDate], dynamic[customerID], B322) &gt;= DATE(2024,4,30)-120, 
     "New", 
     IF(MAXIFS(dynamic[orderCount], dynamic[customerID], B322)&lt;=2, 
        IF((DATE(2024,4,30) - MAXIFS(dynamic[orderDate], dynamic[customerID], B322)) &gt; 180, "Non-Returning", "Dormant"), 
        IF(AND(MAX(dynamic[sinceLastOrder]) &gt; 365, (DATE(2024,4,30) - MAXIFS(dynamic[orderDate], dynamic[customerID], B322)) &gt; 180), 
           "Dormant", "Regular")))</f>
        <v>Regular</v>
      </c>
      <c r="H322" s="6">
        <v>21.0</v>
      </c>
      <c r="I322" s="9" t="str">
        <f>VLOOKUP(dynamic[productID],products[],2,FALSE)</f>
        <v>Sir Rodney's Scones</v>
      </c>
      <c r="J322" s="9" t="str">
        <f>VLOOKUP(dynamic[productID],products[],12,FALSE)</f>
        <v>Confections</v>
      </c>
      <c r="K322" s="7" t="str">
        <f>IF(VLOOKUP(dynamic[productID],products[],7,FALSE)=1,"Discontinued","Current")</f>
        <v>Current</v>
      </c>
      <c r="L322" s="9">
        <f>VLOOKUP(dynamic[productID],products[],IF(YEAR(dynamic[orderDate])=2022,8,IF(YEAR(dynamic[orderDate])=2023,9,IF(YEAR(dynamic[orderDate])=2024,10,NA))),FALSE)</f>
        <v>5.773836452</v>
      </c>
      <c r="M322" s="9">
        <v>8.0</v>
      </c>
      <c r="N322" s="25">
        <f>(dynamic[orderPrice]-dynamic[productCost])/dynamic[productCost]</f>
        <v>0.3855605483</v>
      </c>
      <c r="O322" s="10">
        <v>5.0</v>
      </c>
      <c r="P322" s="25">
        <v>0.1</v>
      </c>
      <c r="Q322" s="9">
        <f>dynamic[orderPrice]*dynamic[orderQuantity]</f>
        <v>40</v>
      </c>
      <c r="R322" s="9">
        <f>dynamic[orderTotal]*(1-dynamic[discountApllied])</f>
        <v>36</v>
      </c>
      <c r="S322" s="9">
        <f>dynamic[revenue]-(dynamic[productCost]*dynamic[orderQuantity])</f>
        <v>7.130817741</v>
      </c>
      <c r="T322" s="25">
        <f>IFERROR(dynamic[profit]/dynamic[revenue], 0)</f>
        <v>0.1980782706</v>
      </c>
    </row>
    <row r="323" ht="15.75" customHeight="1">
      <c r="A323" s="6">
        <v>10368.0</v>
      </c>
      <c r="B323" s="7" t="s">
        <v>24</v>
      </c>
      <c r="C323" s="24" t="str">
        <f>VLOOKUP(dynamic[customerID],customers[],2,FALSE)</f>
        <v>Ernst Handel</v>
      </c>
      <c r="D323" s="24">
        <v>44894.0</v>
      </c>
      <c r="E323" s="6">
        <f>IFERROR(__xludf.DUMMYFUNCTION("COUNTUNIQUEIFS($A$2:$A323,$B$2:$B323,B323)"),4.0)</f>
        <v>4</v>
      </c>
      <c r="F323" s="6">
        <f t="shared" si="1"/>
        <v>18</v>
      </c>
      <c r="G323" s="6" t="str">
        <f>IF(MINIFS(dynamic[orderDate], dynamic[customerID], B323) &gt;= DATE(2024,4,30)-120, 
     "New", 
     IF(MAXIFS(dynamic[orderCount], dynamic[customerID], B323)&lt;=2, 
        IF((DATE(2024,4,30) - MAXIFS(dynamic[orderDate], dynamic[customerID], B323)) &gt; 180, "Non-Returning", "Dormant"), 
        IF(AND(MAX(dynamic[sinceLastOrder]) &gt; 365, (DATE(2024,4,30) - MAXIFS(dynamic[orderDate], dynamic[customerID], B323)) &gt; 180), 
           "Dormant", "Regular")))</f>
        <v>Regular</v>
      </c>
      <c r="H323" s="6">
        <v>28.0</v>
      </c>
      <c r="I323" s="9" t="str">
        <f>VLOOKUP(dynamic[productID],products[],2,FALSE)</f>
        <v>Rössle Sauerkraut</v>
      </c>
      <c r="J323" s="9" t="str">
        <f>VLOOKUP(dynamic[productID],products[],12,FALSE)</f>
        <v>Produce</v>
      </c>
      <c r="K323" s="7" t="str">
        <f>IF(VLOOKUP(dynamic[productID],products[],7,FALSE)=1,"Discontinued","Current")</f>
        <v>Discontinued</v>
      </c>
      <c r="L323" s="9">
        <f>VLOOKUP(dynamic[productID],products[],IF(YEAR(dynamic[orderDate])=2022,8,IF(YEAR(dynamic[orderDate])=2023,9,IF(YEAR(dynamic[orderDate])=2024,10,NA))),FALSE)</f>
        <v>27.51992272</v>
      </c>
      <c r="M323" s="9">
        <v>36.4</v>
      </c>
      <c r="N323" s="25">
        <f>(dynamic[orderPrice]-dynamic[productCost])/dynamic[productCost]</f>
        <v>0.3226781326</v>
      </c>
      <c r="O323" s="10">
        <v>13.0</v>
      </c>
      <c r="P323" s="25">
        <v>0.1</v>
      </c>
      <c r="Q323" s="9">
        <f>dynamic[orderPrice]*dynamic[orderQuantity]</f>
        <v>473.2</v>
      </c>
      <c r="R323" s="9">
        <f>dynamic[orderTotal]*(1-dynamic[discountApllied])</f>
        <v>425.88</v>
      </c>
      <c r="S323" s="9">
        <f>dynamic[revenue]-(dynamic[productCost]*dynamic[orderQuantity])</f>
        <v>68.12100458</v>
      </c>
      <c r="T323" s="25">
        <f>IFERROR(dynamic[profit]/dynamic[revenue], 0)</f>
        <v>0.1599535188</v>
      </c>
    </row>
    <row r="324" ht="15.75" customHeight="1">
      <c r="A324" s="6">
        <v>10368.0</v>
      </c>
      <c r="B324" s="7" t="s">
        <v>24</v>
      </c>
      <c r="C324" s="24" t="str">
        <f>VLOOKUP(dynamic[customerID],customers[],2,FALSE)</f>
        <v>Ernst Handel</v>
      </c>
      <c r="D324" s="24">
        <v>44894.0</v>
      </c>
      <c r="E324" s="6">
        <f>IFERROR(__xludf.DUMMYFUNCTION("COUNTUNIQUEIFS($A$2:$A324,$B$2:$B324,B324)"),4.0)</f>
        <v>4</v>
      </c>
      <c r="F324" s="6">
        <f t="shared" si="1"/>
        <v>18</v>
      </c>
      <c r="G324" s="6" t="str">
        <f>IF(MINIFS(dynamic[orderDate], dynamic[customerID], B324) &gt;= DATE(2024,4,30)-120, 
     "New", 
     IF(MAXIFS(dynamic[orderCount], dynamic[customerID], B324)&lt;=2, 
        IF((DATE(2024,4,30) - MAXIFS(dynamic[orderDate], dynamic[customerID], B324)) &gt; 180, "Non-Returning", "Dormant"), 
        IF(AND(MAX(dynamic[sinceLastOrder]) &gt; 365, (DATE(2024,4,30) - MAXIFS(dynamic[orderDate], dynamic[customerID], B324)) &gt; 180), 
           "Dormant", "Regular")))</f>
        <v>Regular</v>
      </c>
      <c r="H324" s="6">
        <v>57.0</v>
      </c>
      <c r="I324" s="9" t="str">
        <f>VLOOKUP(dynamic[productID],products[],2,FALSE)</f>
        <v>Ravioli Angelo</v>
      </c>
      <c r="J324" s="9" t="str">
        <f>VLOOKUP(dynamic[productID],products[],12,FALSE)</f>
        <v>Grains/Cereals</v>
      </c>
      <c r="K324" s="7" t="str">
        <f>IF(VLOOKUP(dynamic[productID],products[],7,FALSE)=1,"Discontinued","Current")</f>
        <v>Current</v>
      </c>
      <c r="L324" s="9">
        <f>VLOOKUP(dynamic[productID],products[],IF(YEAR(dynamic[orderDate])=2022,8,IF(YEAR(dynamic[orderDate])=2023,9,IF(YEAR(dynamic[orderDate])=2024,10,NA))),FALSE)</f>
        <v>11.22950766</v>
      </c>
      <c r="M324" s="9">
        <v>15.6</v>
      </c>
      <c r="N324" s="25">
        <f>(dynamic[orderPrice]-dynamic[productCost])/dynamic[productCost]</f>
        <v>0.3891971469</v>
      </c>
      <c r="O324" s="10">
        <v>25.0</v>
      </c>
      <c r="P324" s="25">
        <v>0.0</v>
      </c>
      <c r="Q324" s="9">
        <f>dynamic[orderPrice]*dynamic[orderQuantity]</f>
        <v>390</v>
      </c>
      <c r="R324" s="9">
        <f>dynamic[orderTotal]*(1-dynamic[discountApllied])</f>
        <v>390</v>
      </c>
      <c r="S324" s="9">
        <f>dynamic[revenue]-(dynamic[productCost]*dynamic[orderQuantity])</f>
        <v>109.2623085</v>
      </c>
      <c r="T324" s="25">
        <f>IFERROR(dynamic[profit]/dynamic[revenue], 0)</f>
        <v>0.2801597655</v>
      </c>
    </row>
    <row r="325" ht="15.75" customHeight="1">
      <c r="A325" s="6">
        <v>10368.0</v>
      </c>
      <c r="B325" s="7" t="s">
        <v>24</v>
      </c>
      <c r="C325" s="24" t="str">
        <f>VLOOKUP(dynamic[customerID],customers[],2,FALSE)</f>
        <v>Ernst Handel</v>
      </c>
      <c r="D325" s="24">
        <v>44894.0</v>
      </c>
      <c r="E325" s="6">
        <f>IFERROR(__xludf.DUMMYFUNCTION("COUNTUNIQUEIFS($A$2:$A325,$B$2:$B325,B325)"),4.0)</f>
        <v>4</v>
      </c>
      <c r="F325" s="6">
        <f t="shared" si="1"/>
        <v>18</v>
      </c>
      <c r="G325" s="6" t="str">
        <f>IF(MINIFS(dynamic[orderDate], dynamic[customerID], B325) &gt;= DATE(2024,4,30)-120, 
     "New", 
     IF(MAXIFS(dynamic[orderCount], dynamic[customerID], B325)&lt;=2, 
        IF((DATE(2024,4,30) - MAXIFS(dynamic[orderDate], dynamic[customerID], B325)) &gt; 180, "Non-Returning", "Dormant"), 
        IF(AND(MAX(dynamic[sinceLastOrder]) &gt; 365, (DATE(2024,4,30) - MAXIFS(dynamic[orderDate], dynamic[customerID], B325)) &gt; 180), 
           "Dormant", "Regular")))</f>
        <v>Regular</v>
      </c>
      <c r="H325" s="6">
        <v>64.0</v>
      </c>
      <c r="I325" s="9" t="str">
        <f>VLOOKUP(dynamic[productID],products[],2,FALSE)</f>
        <v>Lukas' leckere Sauerteigweggla</v>
      </c>
      <c r="J325" s="9" t="str">
        <f>VLOOKUP(dynamic[productID],products[],12,FALSE)</f>
        <v>Grains/Cereals</v>
      </c>
      <c r="K325" s="7" t="str">
        <f>IF(VLOOKUP(dynamic[productID],products[],7,FALSE)=1,"Discontinued","Current")</f>
        <v>Current</v>
      </c>
      <c r="L325" s="9">
        <f>VLOOKUP(dynamic[productID],products[],IF(YEAR(dynamic[orderDate])=2022,8,IF(YEAR(dynamic[orderDate])=2023,9,IF(YEAR(dynamic[orderDate])=2024,10,NA))),FALSE)</f>
        <v>19.36982257</v>
      </c>
      <c r="M325" s="9">
        <v>26.6</v>
      </c>
      <c r="N325" s="25">
        <f>(dynamic[orderPrice]-dynamic[productCost])/dynamic[productCost]</f>
        <v>0.3732701944</v>
      </c>
      <c r="O325" s="10">
        <v>35.0</v>
      </c>
      <c r="P325" s="25">
        <v>0.1</v>
      </c>
      <c r="Q325" s="9">
        <f>dynamic[orderPrice]*dynamic[orderQuantity]</f>
        <v>931</v>
      </c>
      <c r="R325" s="9">
        <f>dynamic[orderTotal]*(1-dynamic[discountApllied])</f>
        <v>837.9</v>
      </c>
      <c r="S325" s="9">
        <f>dynamic[revenue]-(dynamic[productCost]*dynamic[orderQuantity])</f>
        <v>159.9562102</v>
      </c>
      <c r="T325" s="25">
        <f>IFERROR(dynamic[profit]/dynamic[revenue], 0)</f>
        <v>0.1909013131</v>
      </c>
    </row>
    <row r="326" ht="15.75" customHeight="1">
      <c r="A326" s="6">
        <v>10369.0</v>
      </c>
      <c r="B326" s="7" t="s">
        <v>35</v>
      </c>
      <c r="C326" s="24" t="str">
        <f>VLOOKUP(dynamic[customerID],customers[],2,FALSE)</f>
        <v>Split Rail Beer &amp; Ale</v>
      </c>
      <c r="D326" s="24">
        <v>44897.0</v>
      </c>
      <c r="E326" s="6">
        <f>IFERROR(__xludf.DUMMYFUNCTION("COUNTUNIQUEIFS($A$2:$A326,$B$2:$B326,B326)"),4.0)</f>
        <v>4</v>
      </c>
      <c r="F326" s="6">
        <f t="shared" si="1"/>
        <v>24</v>
      </c>
      <c r="G326" s="6" t="str">
        <f>IF(MINIFS(dynamic[orderDate], dynamic[customerID], B326) &gt;= DATE(2024,4,30)-120, 
     "New", 
     IF(MAXIFS(dynamic[orderCount], dynamic[customerID], B326)&lt;=2, 
        IF((DATE(2024,4,30) - MAXIFS(dynamic[orderDate], dynamic[customerID], B326)) &gt; 180, "Non-Returning", "Dormant"), 
        IF(AND(MAX(dynamic[sinceLastOrder]) &gt; 365, (DATE(2024,4,30) - MAXIFS(dynamic[orderDate], dynamic[customerID], B326)) &gt; 180), 
           "Dormant", "Regular")))</f>
        <v>Regular</v>
      </c>
      <c r="H326" s="6">
        <v>29.0</v>
      </c>
      <c r="I326" s="9" t="str">
        <f>VLOOKUP(dynamic[productID],products[],2,FALSE)</f>
        <v>Thüringer Rostbratwurst</v>
      </c>
      <c r="J326" s="9" t="str">
        <f>VLOOKUP(dynamic[productID],products[],12,FALSE)</f>
        <v>Meat/Poultry</v>
      </c>
      <c r="K326" s="7" t="str">
        <f>IF(VLOOKUP(dynamic[productID],products[],7,FALSE)=1,"Discontinued","Current")</f>
        <v>Discontinued</v>
      </c>
      <c r="L326" s="9">
        <f>VLOOKUP(dynamic[productID],products[],IF(YEAR(dynamic[orderDate])=2022,8,IF(YEAR(dynamic[orderDate])=2023,9,IF(YEAR(dynamic[orderDate])=2024,10,NA))),FALSE)</f>
        <v>70.25945266</v>
      </c>
      <c r="M326" s="9">
        <v>99.0</v>
      </c>
      <c r="N326" s="25">
        <f>(dynamic[orderPrice]-dynamic[productCost])/dynamic[productCost]</f>
        <v>0.4090630691</v>
      </c>
      <c r="O326" s="10">
        <v>20.0</v>
      </c>
      <c r="P326" s="25">
        <v>0.0</v>
      </c>
      <c r="Q326" s="9">
        <f>dynamic[orderPrice]*dynamic[orderQuantity]</f>
        <v>1980</v>
      </c>
      <c r="R326" s="9">
        <f>dynamic[orderTotal]*(1-dynamic[discountApllied])</f>
        <v>1980</v>
      </c>
      <c r="S326" s="9">
        <f>dynamic[revenue]-(dynamic[productCost]*dynamic[orderQuantity])</f>
        <v>574.8109468</v>
      </c>
      <c r="T326" s="25">
        <f>IFERROR(dynamic[profit]/dynamic[revenue], 0)</f>
        <v>0.290308559</v>
      </c>
    </row>
    <row r="327" ht="15.75" customHeight="1">
      <c r="A327" s="6">
        <v>10369.0</v>
      </c>
      <c r="B327" s="7" t="s">
        <v>35</v>
      </c>
      <c r="C327" s="24" t="str">
        <f>VLOOKUP(dynamic[customerID],customers[],2,FALSE)</f>
        <v>Split Rail Beer &amp; Ale</v>
      </c>
      <c r="D327" s="24">
        <v>44897.0</v>
      </c>
      <c r="E327" s="6">
        <f>IFERROR(__xludf.DUMMYFUNCTION("COUNTUNIQUEIFS($A$2:$A327,$B$2:$B327,B327)"),4.0)</f>
        <v>4</v>
      </c>
      <c r="F327" s="6">
        <f t="shared" si="1"/>
        <v>24</v>
      </c>
      <c r="G327" s="6" t="str">
        <f>IF(MINIFS(dynamic[orderDate], dynamic[customerID], B327) &gt;= DATE(2024,4,30)-120, 
     "New", 
     IF(MAXIFS(dynamic[orderCount], dynamic[customerID], B327)&lt;=2, 
        IF((DATE(2024,4,30) - MAXIFS(dynamic[orderDate], dynamic[customerID], B327)) &gt; 180, "Non-Returning", "Dormant"), 
        IF(AND(MAX(dynamic[sinceLastOrder]) &gt; 365, (DATE(2024,4,30) - MAXIFS(dynamic[orderDate], dynamic[customerID], B327)) &gt; 180), 
           "Dormant", "Regular")))</f>
        <v>Regular</v>
      </c>
      <c r="H327" s="6">
        <v>56.0</v>
      </c>
      <c r="I327" s="9" t="str">
        <f>VLOOKUP(dynamic[productID],products[],2,FALSE)</f>
        <v>Gnocchi di nonna Alice</v>
      </c>
      <c r="J327" s="9" t="str">
        <f>VLOOKUP(dynamic[productID],products[],12,FALSE)</f>
        <v>Grains/Cereals</v>
      </c>
      <c r="K327" s="7" t="str">
        <f>IF(VLOOKUP(dynamic[productID],products[],7,FALSE)=1,"Discontinued","Current")</f>
        <v>Current</v>
      </c>
      <c r="L327" s="9">
        <f>VLOOKUP(dynamic[productID],products[],IF(YEAR(dynamic[orderDate])=2022,8,IF(YEAR(dynamic[orderDate])=2023,9,IF(YEAR(dynamic[orderDate])=2024,10,NA))),FALSE)</f>
        <v>21.5040056</v>
      </c>
      <c r="M327" s="9">
        <v>30.4</v>
      </c>
      <c r="N327" s="25">
        <f>(dynamic[orderPrice]-dynamic[productCost])/dynamic[productCost]</f>
        <v>0.4136901081</v>
      </c>
      <c r="O327" s="10">
        <v>18.0</v>
      </c>
      <c r="P327" s="25">
        <v>0.25</v>
      </c>
      <c r="Q327" s="9">
        <f>dynamic[orderPrice]*dynamic[orderQuantity]</f>
        <v>547.2</v>
      </c>
      <c r="R327" s="9">
        <f>dynamic[orderTotal]*(1-dynamic[discountApllied])</f>
        <v>410.4</v>
      </c>
      <c r="S327" s="9">
        <f>dynamic[revenue]-(dynamic[productCost]*dynamic[orderQuantity])</f>
        <v>23.32789921</v>
      </c>
      <c r="T327" s="25">
        <f>IFERROR(dynamic[profit]/dynamic[revenue], 0)</f>
        <v>0.05684185967</v>
      </c>
    </row>
    <row r="328" ht="15.75" customHeight="1">
      <c r="A328" s="6">
        <v>10370.0</v>
      </c>
      <c r="B328" s="7" t="s">
        <v>20</v>
      </c>
      <c r="C328" s="24" t="str">
        <f>VLOOKUP(dynamic[customerID],customers[],2,FALSE)</f>
        <v>Chop-suey Chinese</v>
      </c>
      <c r="D328" s="24">
        <v>44898.0</v>
      </c>
      <c r="E328" s="6">
        <f>IFERROR(__xludf.DUMMYFUNCTION("COUNTUNIQUEIFS($A$2:$A328,$B$2:$B328,B328)"),2.0)</f>
        <v>2</v>
      </c>
      <c r="F328" s="6">
        <f t="shared" si="1"/>
        <v>145</v>
      </c>
      <c r="G328" s="6" t="str">
        <f>IF(MINIFS(dynamic[orderDate], dynamic[customerID], B328) &gt;= DATE(2024,4,30)-120, 
     "New", 
     IF(MAXIFS(dynamic[orderCount], dynamic[customerID], B328)&lt;=2, 
        IF((DATE(2024,4,30) - MAXIFS(dynamic[orderDate], dynamic[customerID], B328)) &gt; 180, "Non-Returning", "Dormant"), 
        IF(AND(MAX(dynamic[sinceLastOrder]) &gt; 365, (DATE(2024,4,30) - MAXIFS(dynamic[orderDate], dynamic[customerID], B328)) &gt; 180), 
           "Dormant", "Regular")))</f>
        <v>Regular</v>
      </c>
      <c r="H328" s="6">
        <v>1.0</v>
      </c>
      <c r="I328" s="9" t="str">
        <f>VLOOKUP(dynamic[productID],products[],2,FALSE)</f>
        <v>Chai</v>
      </c>
      <c r="J328" s="9" t="str">
        <f>VLOOKUP(dynamic[productID],products[],12,FALSE)</f>
        <v>Beverages</v>
      </c>
      <c r="K328" s="7" t="str">
        <f>IF(VLOOKUP(dynamic[productID],products[],7,FALSE)=1,"Discontinued","Current")</f>
        <v>Current</v>
      </c>
      <c r="L328" s="9">
        <f>VLOOKUP(dynamic[productID],products[],IF(YEAR(dynamic[orderDate])=2022,8,IF(YEAR(dynamic[orderDate])=2023,9,IF(YEAR(dynamic[orderDate])=2024,10,NA))),FALSE)</f>
        <v>9.574207217</v>
      </c>
      <c r="M328" s="9">
        <v>14.4</v>
      </c>
      <c r="N328" s="25">
        <f>(dynamic[orderPrice]-dynamic[productCost])/dynamic[productCost]</f>
        <v>0.5040409795</v>
      </c>
      <c r="O328" s="10">
        <v>15.0</v>
      </c>
      <c r="P328" s="25">
        <v>0.15</v>
      </c>
      <c r="Q328" s="9">
        <f>dynamic[orderPrice]*dynamic[orderQuantity]</f>
        <v>216</v>
      </c>
      <c r="R328" s="9">
        <f>dynamic[orderTotal]*(1-dynamic[discountApllied])</f>
        <v>183.6</v>
      </c>
      <c r="S328" s="9">
        <f>dynamic[revenue]-(dynamic[productCost]*dynamic[orderQuantity])</f>
        <v>39.98689175</v>
      </c>
      <c r="T328" s="25">
        <f>IFERROR(dynamic[profit]/dynamic[revenue], 0)</f>
        <v>0.2177935281</v>
      </c>
    </row>
    <row r="329" ht="15.75" customHeight="1">
      <c r="A329" s="6">
        <v>10370.0</v>
      </c>
      <c r="B329" s="7" t="s">
        <v>20</v>
      </c>
      <c r="C329" s="24" t="str">
        <f>VLOOKUP(dynamic[customerID],customers[],2,FALSE)</f>
        <v>Chop-suey Chinese</v>
      </c>
      <c r="D329" s="24">
        <v>44898.0</v>
      </c>
      <c r="E329" s="6">
        <f>IFERROR(__xludf.DUMMYFUNCTION("COUNTUNIQUEIFS($A$2:$A329,$B$2:$B329,B329)"),2.0)</f>
        <v>2</v>
      </c>
      <c r="F329" s="6">
        <f t="shared" si="1"/>
        <v>145</v>
      </c>
      <c r="G329" s="6" t="str">
        <f>IF(MINIFS(dynamic[orderDate], dynamic[customerID], B329) &gt;= DATE(2024,4,30)-120, 
     "New", 
     IF(MAXIFS(dynamic[orderCount], dynamic[customerID], B329)&lt;=2, 
        IF((DATE(2024,4,30) - MAXIFS(dynamic[orderDate], dynamic[customerID], B329)) &gt; 180, "Non-Returning", "Dormant"), 
        IF(AND(MAX(dynamic[sinceLastOrder]) &gt; 365, (DATE(2024,4,30) - MAXIFS(dynamic[orderDate], dynamic[customerID], B329)) &gt; 180), 
           "Dormant", "Regular")))</f>
        <v>Regular</v>
      </c>
      <c r="H329" s="6">
        <v>64.0</v>
      </c>
      <c r="I329" s="9" t="str">
        <f>VLOOKUP(dynamic[productID],products[],2,FALSE)</f>
        <v>Lukas' leckere Sauerteigweggla</v>
      </c>
      <c r="J329" s="9" t="str">
        <f>VLOOKUP(dynamic[productID],products[],12,FALSE)</f>
        <v>Grains/Cereals</v>
      </c>
      <c r="K329" s="7" t="str">
        <f>IF(VLOOKUP(dynamic[productID],products[],7,FALSE)=1,"Discontinued","Current")</f>
        <v>Current</v>
      </c>
      <c r="L329" s="9">
        <f>VLOOKUP(dynamic[productID],products[],IF(YEAR(dynamic[orderDate])=2022,8,IF(YEAR(dynamic[orderDate])=2023,9,IF(YEAR(dynamic[orderDate])=2024,10,NA))),FALSE)</f>
        <v>19.36982257</v>
      </c>
      <c r="M329" s="9">
        <v>26.6</v>
      </c>
      <c r="N329" s="25">
        <f>(dynamic[orderPrice]-dynamic[productCost])/dynamic[productCost]</f>
        <v>0.3732701944</v>
      </c>
      <c r="O329" s="10">
        <v>30.0</v>
      </c>
      <c r="P329" s="25">
        <v>0.0</v>
      </c>
      <c r="Q329" s="9">
        <f>dynamic[orderPrice]*dynamic[orderQuantity]</f>
        <v>798</v>
      </c>
      <c r="R329" s="9">
        <f>dynamic[orderTotal]*(1-dynamic[discountApllied])</f>
        <v>798</v>
      </c>
      <c r="S329" s="9">
        <f>dynamic[revenue]-(dynamic[productCost]*dynamic[orderQuantity])</f>
        <v>216.905323</v>
      </c>
      <c r="T329" s="25">
        <f>IFERROR(dynamic[profit]/dynamic[revenue], 0)</f>
        <v>0.2718111818</v>
      </c>
    </row>
    <row r="330" ht="15.75" customHeight="1">
      <c r="A330" s="6">
        <v>10370.0</v>
      </c>
      <c r="B330" s="7" t="s">
        <v>20</v>
      </c>
      <c r="C330" s="24" t="str">
        <f>VLOOKUP(dynamic[customerID],customers[],2,FALSE)</f>
        <v>Chop-suey Chinese</v>
      </c>
      <c r="D330" s="24">
        <v>44898.0</v>
      </c>
      <c r="E330" s="6">
        <f>IFERROR(__xludf.DUMMYFUNCTION("COUNTUNIQUEIFS($A$2:$A330,$B$2:$B330,B330)"),2.0)</f>
        <v>2</v>
      </c>
      <c r="F330" s="6">
        <f t="shared" si="1"/>
        <v>145</v>
      </c>
      <c r="G330" s="6" t="str">
        <f>IF(MINIFS(dynamic[orderDate], dynamic[customerID], B330) &gt;= DATE(2024,4,30)-120, 
     "New", 
     IF(MAXIFS(dynamic[orderCount], dynamic[customerID], B330)&lt;=2, 
        IF((DATE(2024,4,30) - MAXIFS(dynamic[orderDate], dynamic[customerID], B330)) &gt; 180, "Non-Returning", "Dormant"), 
        IF(AND(MAX(dynamic[sinceLastOrder]) &gt; 365, (DATE(2024,4,30) - MAXIFS(dynamic[orderDate], dynamic[customerID], B330)) &gt; 180), 
           "Dormant", "Regular")))</f>
        <v>Regular</v>
      </c>
      <c r="H330" s="6">
        <v>74.0</v>
      </c>
      <c r="I330" s="9" t="str">
        <f>VLOOKUP(dynamic[productID],products[],2,FALSE)</f>
        <v>Longlife Tofu</v>
      </c>
      <c r="J330" s="9" t="str">
        <f>VLOOKUP(dynamic[productID],products[],12,FALSE)</f>
        <v>Produce</v>
      </c>
      <c r="K330" s="7" t="str">
        <f>IF(VLOOKUP(dynamic[productID],products[],7,FALSE)=1,"Discontinued","Current")</f>
        <v>Current</v>
      </c>
      <c r="L330" s="9">
        <f>VLOOKUP(dynamic[productID],products[],IF(YEAR(dynamic[orderDate])=2022,8,IF(YEAR(dynamic[orderDate])=2023,9,IF(YEAR(dynamic[orderDate])=2024,10,NA))),FALSE)</f>
        <v>5.667130124</v>
      </c>
      <c r="M330" s="9">
        <v>8.0</v>
      </c>
      <c r="N330" s="25">
        <f>(dynamic[orderPrice]-dynamic[productCost])/dynamic[productCost]</f>
        <v>0.4116492519</v>
      </c>
      <c r="O330" s="10">
        <v>20.0</v>
      </c>
      <c r="P330" s="25">
        <v>0.15</v>
      </c>
      <c r="Q330" s="9">
        <f>dynamic[orderPrice]*dynamic[orderQuantity]</f>
        <v>160</v>
      </c>
      <c r="R330" s="9">
        <f>dynamic[orderTotal]*(1-dynamic[discountApllied])</f>
        <v>136</v>
      </c>
      <c r="S330" s="9">
        <f>dynamic[revenue]-(dynamic[productCost]*dynamic[orderQuantity])</f>
        <v>22.65739752</v>
      </c>
      <c r="T330" s="25">
        <f>IFERROR(dynamic[profit]/dynamic[revenue], 0)</f>
        <v>0.1665985112</v>
      </c>
    </row>
    <row r="331" ht="15.75" customHeight="1">
      <c r="A331" s="6">
        <v>10371.0</v>
      </c>
      <c r="B331" s="7" t="s">
        <v>68</v>
      </c>
      <c r="C331" s="24" t="str">
        <f>VLOOKUP(dynamic[customerID],customers[],2,FALSE)</f>
        <v>La maison d'Asie</v>
      </c>
      <c r="D331" s="24">
        <v>44898.0</v>
      </c>
      <c r="E331" s="6">
        <f>IFERROR(__xludf.DUMMYFUNCTION("COUNTUNIQUEIFS($A$2:$A331,$B$2:$B331,B331)"),3.0)</f>
        <v>3</v>
      </c>
      <c r="F331" s="6">
        <f t="shared" si="1"/>
        <v>13</v>
      </c>
      <c r="G331" s="6" t="str">
        <f>IF(MINIFS(dynamic[orderDate], dynamic[customerID], B331) &gt;= DATE(2024,4,30)-120, 
     "New", 
     IF(MAXIFS(dynamic[orderCount], dynamic[customerID], B331)&lt;=2, 
        IF((DATE(2024,4,30) - MAXIFS(dynamic[orderDate], dynamic[customerID], B331)) &gt; 180, "Non-Returning", "Dormant"), 
        IF(AND(MAX(dynamic[sinceLastOrder]) &gt; 365, (DATE(2024,4,30) - MAXIFS(dynamic[orderDate], dynamic[customerID], B331)) &gt; 180), 
           "Dormant", "Regular")))</f>
        <v>Regular</v>
      </c>
      <c r="H331" s="6">
        <v>36.0</v>
      </c>
      <c r="I331" s="9" t="str">
        <f>VLOOKUP(dynamic[productID],products[],2,FALSE)</f>
        <v>Inlagd Sill</v>
      </c>
      <c r="J331" s="9" t="str">
        <f>VLOOKUP(dynamic[productID],products[],12,FALSE)</f>
        <v>Seafood</v>
      </c>
      <c r="K331" s="7" t="str">
        <f>IF(VLOOKUP(dynamic[productID],products[],7,FALSE)=1,"Discontinued","Current")</f>
        <v>Current</v>
      </c>
      <c r="L331" s="9">
        <f>VLOOKUP(dynamic[productID],products[],IF(YEAR(dynamic[orderDate])=2022,8,IF(YEAR(dynamic[orderDate])=2023,9,IF(YEAR(dynamic[orderDate])=2024,10,NA))),FALSE)</f>
        <v>9.768238429</v>
      </c>
      <c r="M331" s="9">
        <v>15.2</v>
      </c>
      <c r="N331" s="25">
        <f>(dynamic[orderPrice]-dynamic[productCost])/dynamic[productCost]</f>
        <v>0.5560635738</v>
      </c>
      <c r="O331" s="10">
        <v>6.0</v>
      </c>
      <c r="P331" s="25">
        <v>0.2</v>
      </c>
      <c r="Q331" s="9">
        <f>dynamic[orderPrice]*dynamic[orderQuantity]</f>
        <v>91.2</v>
      </c>
      <c r="R331" s="9">
        <f>dynamic[orderTotal]*(1-dynamic[discountApllied])</f>
        <v>72.96</v>
      </c>
      <c r="S331" s="9">
        <f>dynamic[revenue]-(dynamic[productCost]*dynamic[orderQuantity])</f>
        <v>14.35056942</v>
      </c>
      <c r="T331" s="25">
        <f>IFERROR(dynamic[profit]/dynamic[revenue], 0)</f>
        <v>0.1966909186</v>
      </c>
    </row>
    <row r="332" ht="15.75" customHeight="1">
      <c r="A332" s="6">
        <v>10372.0</v>
      </c>
      <c r="B332" s="7" t="s">
        <v>77</v>
      </c>
      <c r="C332" s="24" t="str">
        <f>VLOOKUP(dynamic[customerID],customers[],2,FALSE)</f>
        <v>Queen Cozinha</v>
      </c>
      <c r="D332" s="24">
        <v>44899.0</v>
      </c>
      <c r="E332" s="6">
        <f>IFERROR(__xludf.DUMMYFUNCTION("COUNTUNIQUEIFS($A$2:$A332,$B$2:$B332,B332)"),1.0)</f>
        <v>1</v>
      </c>
      <c r="F332" s="6">
        <f t="shared" si="1"/>
        <v>0</v>
      </c>
      <c r="G332" s="6" t="str">
        <f>IF(MINIFS(dynamic[orderDate], dynamic[customerID], B332) &gt;= DATE(2024,4,30)-120, 
     "New", 
     IF(MAXIFS(dynamic[orderCount], dynamic[customerID], B332)&lt;=2, 
        IF((DATE(2024,4,30) - MAXIFS(dynamic[orderDate], dynamic[customerID], B332)) &gt; 180, "Non-Returning", "Dormant"), 
        IF(AND(MAX(dynamic[sinceLastOrder]) &gt; 365, (DATE(2024,4,30) - MAXIFS(dynamic[orderDate], dynamic[customerID], B332)) &gt; 180), 
           "Dormant", "Regular")))</f>
        <v>Regular</v>
      </c>
      <c r="H332" s="6">
        <v>20.0</v>
      </c>
      <c r="I332" s="9" t="str">
        <f>VLOOKUP(dynamic[productID],products[],2,FALSE)</f>
        <v>Sir Rodney's Marmalade</v>
      </c>
      <c r="J332" s="9" t="str">
        <f>VLOOKUP(dynamic[productID],products[],12,FALSE)</f>
        <v>Confections</v>
      </c>
      <c r="K332" s="7" t="str">
        <f>IF(VLOOKUP(dynamic[productID],products[],7,FALSE)=1,"Discontinued","Current")</f>
        <v>Current</v>
      </c>
      <c r="L332" s="9">
        <f>VLOOKUP(dynamic[productID],products[],IF(YEAR(dynamic[orderDate])=2022,8,IF(YEAR(dynamic[orderDate])=2023,9,IF(YEAR(dynamic[orderDate])=2024,10,NA))),FALSE)</f>
        <v>45.94247438</v>
      </c>
      <c r="M332" s="9">
        <v>64.8</v>
      </c>
      <c r="N332" s="25">
        <f>(dynamic[orderPrice]-dynamic[productCost])/dynamic[productCost]</f>
        <v>0.4104595121</v>
      </c>
      <c r="O332" s="10">
        <v>12.0</v>
      </c>
      <c r="P332" s="25">
        <v>0.25</v>
      </c>
      <c r="Q332" s="9">
        <f>dynamic[orderPrice]*dynamic[orderQuantity]</f>
        <v>777.6</v>
      </c>
      <c r="R332" s="9">
        <f>dynamic[orderTotal]*(1-dynamic[discountApllied])</f>
        <v>583.2</v>
      </c>
      <c r="S332" s="9">
        <f>dynamic[revenue]-(dynamic[productCost]*dynamic[orderQuantity])</f>
        <v>31.89030741</v>
      </c>
      <c r="T332" s="25">
        <f>IFERROR(dynamic[profit]/dynamic[revenue], 0)</f>
        <v>0.05468159707</v>
      </c>
    </row>
    <row r="333" ht="15.75" customHeight="1">
      <c r="A333" s="6">
        <v>10372.0</v>
      </c>
      <c r="B333" s="7" t="s">
        <v>77</v>
      </c>
      <c r="C333" s="24" t="str">
        <f>VLOOKUP(dynamic[customerID],customers[],2,FALSE)</f>
        <v>Queen Cozinha</v>
      </c>
      <c r="D333" s="24">
        <v>44899.0</v>
      </c>
      <c r="E333" s="6">
        <f>IFERROR(__xludf.DUMMYFUNCTION("COUNTUNIQUEIFS($A$2:$A333,$B$2:$B333,B333)"),1.0)</f>
        <v>1</v>
      </c>
      <c r="F333" s="6">
        <f t="shared" si="1"/>
        <v>0</v>
      </c>
      <c r="G333" s="6" t="str">
        <f>IF(MINIFS(dynamic[orderDate], dynamic[customerID], B333) &gt;= DATE(2024,4,30)-120, 
     "New", 
     IF(MAXIFS(dynamic[orderCount], dynamic[customerID], B333)&lt;=2, 
        IF((DATE(2024,4,30) - MAXIFS(dynamic[orderDate], dynamic[customerID], B333)) &gt; 180, "Non-Returning", "Dormant"), 
        IF(AND(MAX(dynamic[sinceLastOrder]) &gt; 365, (DATE(2024,4,30) - MAXIFS(dynamic[orderDate], dynamic[customerID], B333)) &gt; 180), 
           "Dormant", "Regular")))</f>
        <v>Regular</v>
      </c>
      <c r="H333" s="6">
        <v>38.0</v>
      </c>
      <c r="I333" s="9" t="str">
        <f>VLOOKUP(dynamic[productID],products[],2,FALSE)</f>
        <v>Côte de Blaye</v>
      </c>
      <c r="J333" s="9" t="str">
        <f>VLOOKUP(dynamic[productID],products[],12,FALSE)</f>
        <v>Beverages</v>
      </c>
      <c r="K333" s="7" t="str">
        <f>IF(VLOOKUP(dynamic[productID],products[],7,FALSE)=1,"Discontinued","Current")</f>
        <v>Current</v>
      </c>
      <c r="L333" s="9">
        <f>VLOOKUP(dynamic[productID],products[],IF(YEAR(dynamic[orderDate])=2022,8,IF(YEAR(dynamic[orderDate])=2023,9,IF(YEAR(dynamic[orderDate])=2024,10,NA))),FALSE)</f>
        <v>133.3740767</v>
      </c>
      <c r="M333" s="9">
        <v>210.8</v>
      </c>
      <c r="N333" s="25">
        <f>(dynamic[orderPrice]-dynamic[productCost])/dynamic[productCost]</f>
        <v>0.5805170327</v>
      </c>
      <c r="O333" s="10">
        <v>40.0</v>
      </c>
      <c r="P333" s="25">
        <v>0.25</v>
      </c>
      <c r="Q333" s="9">
        <f>dynamic[orderPrice]*dynamic[orderQuantity]</f>
        <v>8432</v>
      </c>
      <c r="R333" s="9">
        <f>dynamic[orderTotal]*(1-dynamic[discountApllied])</f>
        <v>6324</v>
      </c>
      <c r="S333" s="9">
        <f>dynamic[revenue]-(dynamic[productCost]*dynamic[orderQuantity])</f>
        <v>989.0369306</v>
      </c>
      <c r="T333" s="25">
        <f>IFERROR(dynamic[profit]/dynamic[revenue], 0)</f>
        <v>0.1563942015</v>
      </c>
    </row>
    <row r="334" ht="15.75" customHeight="1">
      <c r="A334" s="6">
        <v>10372.0</v>
      </c>
      <c r="B334" s="7" t="s">
        <v>77</v>
      </c>
      <c r="C334" s="24" t="str">
        <f>VLOOKUP(dynamic[customerID],customers[],2,FALSE)</f>
        <v>Queen Cozinha</v>
      </c>
      <c r="D334" s="24">
        <v>44899.0</v>
      </c>
      <c r="E334" s="6">
        <f>IFERROR(__xludf.DUMMYFUNCTION("COUNTUNIQUEIFS($A$2:$A334,$B$2:$B334,B334)"),1.0)</f>
        <v>1</v>
      </c>
      <c r="F334" s="6">
        <f t="shared" si="1"/>
        <v>0</v>
      </c>
      <c r="G334" s="6" t="str">
        <f>IF(MINIFS(dynamic[orderDate], dynamic[customerID], B334) &gt;= DATE(2024,4,30)-120, 
     "New", 
     IF(MAXIFS(dynamic[orderCount], dynamic[customerID], B334)&lt;=2, 
        IF((DATE(2024,4,30) - MAXIFS(dynamic[orderDate], dynamic[customerID], B334)) &gt; 180, "Non-Returning", "Dormant"), 
        IF(AND(MAX(dynamic[sinceLastOrder]) &gt; 365, (DATE(2024,4,30) - MAXIFS(dynamic[orderDate], dynamic[customerID], B334)) &gt; 180), 
           "Dormant", "Regular")))</f>
        <v>Regular</v>
      </c>
      <c r="H334" s="6">
        <v>60.0</v>
      </c>
      <c r="I334" s="9" t="str">
        <f>VLOOKUP(dynamic[productID],products[],2,FALSE)</f>
        <v>Camembert Pierrot</v>
      </c>
      <c r="J334" s="9" t="str">
        <f>VLOOKUP(dynamic[productID],products[],12,FALSE)</f>
        <v>Dairy Products</v>
      </c>
      <c r="K334" s="7" t="str">
        <f>IF(VLOOKUP(dynamic[productID],products[],7,FALSE)=1,"Discontinued","Current")</f>
        <v>Current</v>
      </c>
      <c r="L334" s="9">
        <f>VLOOKUP(dynamic[productID],products[],IF(YEAR(dynamic[orderDate])=2022,8,IF(YEAR(dynamic[orderDate])=2023,9,IF(YEAR(dynamic[orderDate])=2024,10,NA))),FALSE)</f>
        <v>17.66563493</v>
      </c>
      <c r="M334" s="9">
        <v>27.2</v>
      </c>
      <c r="N334" s="25">
        <f>(dynamic[orderPrice]-dynamic[productCost])/dynamic[productCost]</f>
        <v>0.5397125612</v>
      </c>
      <c r="O334" s="10">
        <v>70.0</v>
      </c>
      <c r="P334" s="25">
        <v>0.25</v>
      </c>
      <c r="Q334" s="9">
        <f>dynamic[orderPrice]*dynamic[orderQuantity]</f>
        <v>1904</v>
      </c>
      <c r="R334" s="9">
        <f>dynamic[orderTotal]*(1-dynamic[discountApllied])</f>
        <v>1428</v>
      </c>
      <c r="S334" s="9">
        <f>dynamic[revenue]-(dynamic[productCost]*dynamic[orderQuantity])</f>
        <v>191.405555</v>
      </c>
      <c r="T334" s="25">
        <f>IFERROR(dynamic[profit]/dynamic[revenue], 0)</f>
        <v>0.1340375035</v>
      </c>
    </row>
    <row r="335" ht="15.75" customHeight="1">
      <c r="A335" s="6">
        <v>10372.0</v>
      </c>
      <c r="B335" s="7" t="s">
        <v>77</v>
      </c>
      <c r="C335" s="24" t="str">
        <f>VLOOKUP(dynamic[customerID],customers[],2,FALSE)</f>
        <v>Queen Cozinha</v>
      </c>
      <c r="D335" s="24">
        <v>44899.0</v>
      </c>
      <c r="E335" s="6">
        <f>IFERROR(__xludf.DUMMYFUNCTION("COUNTUNIQUEIFS($A$2:$A335,$B$2:$B335,B335)"),1.0)</f>
        <v>1</v>
      </c>
      <c r="F335" s="6">
        <f t="shared" si="1"/>
        <v>0</v>
      </c>
      <c r="G335" s="6" t="str">
        <f>IF(MINIFS(dynamic[orderDate], dynamic[customerID], B335) &gt;= DATE(2024,4,30)-120, 
     "New", 
     IF(MAXIFS(dynamic[orderCount], dynamic[customerID], B335)&lt;=2, 
        IF((DATE(2024,4,30) - MAXIFS(dynamic[orderDate], dynamic[customerID], B335)) &gt; 180, "Non-Returning", "Dormant"), 
        IF(AND(MAX(dynamic[sinceLastOrder]) &gt; 365, (DATE(2024,4,30) - MAXIFS(dynamic[orderDate], dynamic[customerID], B335)) &gt; 180), 
           "Dormant", "Regular")))</f>
        <v>Regular</v>
      </c>
      <c r="H335" s="6">
        <v>72.0</v>
      </c>
      <c r="I335" s="9" t="str">
        <f>VLOOKUP(dynamic[productID],products[],2,FALSE)</f>
        <v>Mozzarella di Giovanni</v>
      </c>
      <c r="J335" s="9" t="str">
        <f>VLOOKUP(dynamic[productID],products[],12,FALSE)</f>
        <v>Dairy Products</v>
      </c>
      <c r="K335" s="7" t="str">
        <f>IF(VLOOKUP(dynamic[productID],products[],7,FALSE)=1,"Discontinued","Current")</f>
        <v>Current</v>
      </c>
      <c r="L335" s="9">
        <f>VLOOKUP(dynamic[productID],products[],IF(YEAR(dynamic[orderDate])=2022,8,IF(YEAR(dynamic[orderDate])=2023,9,IF(YEAR(dynamic[orderDate])=2024,10,NA))),FALSE)</f>
        <v>19.20829334</v>
      </c>
      <c r="M335" s="9">
        <v>27.8</v>
      </c>
      <c r="N335" s="25">
        <f>(dynamic[orderPrice]-dynamic[productCost])/dynamic[productCost]</f>
        <v>0.4472915167</v>
      </c>
      <c r="O335" s="10">
        <v>42.0</v>
      </c>
      <c r="P335" s="25">
        <v>0.25</v>
      </c>
      <c r="Q335" s="9">
        <f>dynamic[orderPrice]*dynamic[orderQuantity]</f>
        <v>1167.6</v>
      </c>
      <c r="R335" s="9">
        <f>dynamic[orderTotal]*(1-dynamic[discountApllied])</f>
        <v>875.7</v>
      </c>
      <c r="S335" s="9">
        <f>dynamic[revenue]-(dynamic[productCost]*dynamic[orderQuantity])</f>
        <v>68.95167978</v>
      </c>
      <c r="T335" s="25">
        <f>IFERROR(dynamic[profit]/dynamic[revenue], 0)</f>
        <v>0.07873892861</v>
      </c>
    </row>
    <row r="336" ht="15.75" customHeight="1">
      <c r="A336" s="6">
        <v>10373.0</v>
      </c>
      <c r="B336" s="7" t="s">
        <v>49</v>
      </c>
      <c r="C336" s="24" t="str">
        <f>VLOOKUP(dynamic[customerID],customers[],2,FALSE)</f>
        <v>Hungry Owl All-Night Grocers</v>
      </c>
      <c r="D336" s="24">
        <v>44900.0</v>
      </c>
      <c r="E336" s="6">
        <f>IFERROR(__xludf.DUMMYFUNCTION("COUNTUNIQUEIFS($A$2:$A336,$B$2:$B336,B336)"),4.0)</f>
        <v>4</v>
      </c>
      <c r="F336" s="6">
        <f t="shared" si="1"/>
        <v>44</v>
      </c>
      <c r="G336" s="6" t="str">
        <f>IF(MINIFS(dynamic[orderDate], dynamic[customerID], B336) &gt;= DATE(2024,4,30)-120, 
     "New", 
     IF(MAXIFS(dynamic[orderCount], dynamic[customerID], B336)&lt;=2, 
        IF((DATE(2024,4,30) - MAXIFS(dynamic[orderDate], dynamic[customerID], B336)) &gt; 180, "Non-Returning", "Dormant"), 
        IF(AND(MAX(dynamic[sinceLastOrder]) &gt; 365, (DATE(2024,4,30) - MAXIFS(dynamic[orderDate], dynamic[customerID], B336)) &gt; 180), 
           "Dormant", "Regular")))</f>
        <v>Regular</v>
      </c>
      <c r="H336" s="6">
        <v>58.0</v>
      </c>
      <c r="I336" s="9" t="str">
        <f>VLOOKUP(dynamic[productID],products[],2,FALSE)</f>
        <v>Escargots de Bourgogne</v>
      </c>
      <c r="J336" s="9" t="str">
        <f>VLOOKUP(dynamic[productID],products[],12,FALSE)</f>
        <v>Seafood</v>
      </c>
      <c r="K336" s="7" t="str">
        <f>IF(VLOOKUP(dynamic[productID],products[],7,FALSE)=1,"Discontinued","Current")</f>
        <v>Current</v>
      </c>
      <c r="L336" s="9">
        <f>VLOOKUP(dynamic[productID],products[],IF(YEAR(dynamic[orderDate])=2022,8,IF(YEAR(dynamic[orderDate])=2023,9,IF(YEAR(dynamic[orderDate])=2024,10,NA))),FALSE)</f>
        <v>6.388939317</v>
      </c>
      <c r="M336" s="9">
        <v>10.6</v>
      </c>
      <c r="N336" s="25">
        <f>(dynamic[orderPrice]-dynamic[productCost])/dynamic[productCost]</f>
        <v>0.6591173392</v>
      </c>
      <c r="O336" s="10">
        <v>80.0</v>
      </c>
      <c r="P336" s="25">
        <v>0.2</v>
      </c>
      <c r="Q336" s="9">
        <f>dynamic[orderPrice]*dynamic[orderQuantity]</f>
        <v>848</v>
      </c>
      <c r="R336" s="9">
        <f>dynamic[orderTotal]*(1-dynamic[discountApllied])</f>
        <v>678.4</v>
      </c>
      <c r="S336" s="9">
        <f>dynamic[revenue]-(dynamic[productCost]*dynamic[orderQuantity])</f>
        <v>167.2848546</v>
      </c>
      <c r="T336" s="25">
        <f>IFERROR(dynamic[profit]/dynamic[revenue], 0)</f>
        <v>0.2465873447</v>
      </c>
    </row>
    <row r="337" ht="15.75" customHeight="1">
      <c r="A337" s="6">
        <v>10373.0</v>
      </c>
      <c r="B337" s="7" t="s">
        <v>49</v>
      </c>
      <c r="C337" s="24" t="str">
        <f>VLOOKUP(dynamic[customerID],customers[],2,FALSE)</f>
        <v>Hungry Owl All-Night Grocers</v>
      </c>
      <c r="D337" s="24">
        <v>44900.0</v>
      </c>
      <c r="E337" s="6">
        <f>IFERROR(__xludf.DUMMYFUNCTION("COUNTUNIQUEIFS($A$2:$A337,$B$2:$B337,B337)"),4.0)</f>
        <v>4</v>
      </c>
      <c r="F337" s="6">
        <f t="shared" si="1"/>
        <v>44</v>
      </c>
      <c r="G337" s="6" t="str">
        <f>IF(MINIFS(dynamic[orderDate], dynamic[customerID], B337) &gt;= DATE(2024,4,30)-120, 
     "New", 
     IF(MAXIFS(dynamic[orderCount], dynamic[customerID], B337)&lt;=2, 
        IF((DATE(2024,4,30) - MAXIFS(dynamic[orderDate], dynamic[customerID], B337)) &gt; 180, "Non-Returning", "Dormant"), 
        IF(AND(MAX(dynamic[sinceLastOrder]) &gt; 365, (DATE(2024,4,30) - MAXIFS(dynamic[orderDate], dynamic[customerID], B337)) &gt; 180), 
           "Dormant", "Regular")))</f>
        <v>Regular</v>
      </c>
      <c r="H337" s="6">
        <v>71.0</v>
      </c>
      <c r="I337" s="9" t="str">
        <f>VLOOKUP(dynamic[productID],products[],2,FALSE)</f>
        <v>Flotemysost</v>
      </c>
      <c r="J337" s="9" t="str">
        <f>VLOOKUP(dynamic[productID],products[],12,FALSE)</f>
        <v>Dairy Products</v>
      </c>
      <c r="K337" s="7" t="str">
        <f>IF(VLOOKUP(dynamic[productID],products[],7,FALSE)=1,"Discontinued","Current")</f>
        <v>Current</v>
      </c>
      <c r="L337" s="9">
        <f>VLOOKUP(dynamic[productID],products[],IF(YEAR(dynamic[orderDate])=2022,8,IF(YEAR(dynamic[orderDate])=2023,9,IF(YEAR(dynamic[orderDate])=2024,10,NA))),FALSE)</f>
        <v>12.00719029</v>
      </c>
      <c r="M337" s="9">
        <v>17.2</v>
      </c>
      <c r="N337" s="25">
        <f>(dynamic[orderPrice]-dynamic[productCost])/dynamic[productCost]</f>
        <v>0.4324750075</v>
      </c>
      <c r="O337" s="10">
        <v>50.0</v>
      </c>
      <c r="P337" s="25">
        <v>0.2</v>
      </c>
      <c r="Q337" s="9">
        <f>dynamic[orderPrice]*dynamic[orderQuantity]</f>
        <v>860</v>
      </c>
      <c r="R337" s="9">
        <f>dynamic[orderTotal]*(1-dynamic[discountApllied])</f>
        <v>688</v>
      </c>
      <c r="S337" s="9">
        <f>dynamic[revenue]-(dynamic[productCost]*dynamic[orderQuantity])</f>
        <v>87.64048552</v>
      </c>
      <c r="T337" s="25">
        <f>IFERROR(dynamic[profit]/dynamic[revenue], 0)</f>
        <v>0.1273844266</v>
      </c>
    </row>
    <row r="338" ht="15.75" customHeight="1">
      <c r="A338" s="6">
        <v>10374.0</v>
      </c>
      <c r="B338" s="7" t="s">
        <v>78</v>
      </c>
      <c r="C338" s="24" t="str">
        <f>VLOOKUP(dynamic[customerID],customers[],2,FALSE)</f>
        <v>Wolski  Zajazd</v>
      </c>
      <c r="D338" s="24">
        <v>44900.0</v>
      </c>
      <c r="E338" s="6">
        <f>IFERROR(__xludf.DUMMYFUNCTION("COUNTUNIQUEIFS($A$2:$A338,$B$2:$B338,B338)"),1.0)</f>
        <v>1</v>
      </c>
      <c r="F338" s="6">
        <f t="shared" si="1"/>
        <v>0</v>
      </c>
      <c r="G338" s="6" t="str">
        <f>IF(MINIFS(dynamic[orderDate], dynamic[customerID], B338) &gt;= DATE(2024,4,30)-120, 
     "New", 
     IF(MAXIFS(dynamic[orderCount], dynamic[customerID], B338)&lt;=2, 
        IF((DATE(2024,4,30) - MAXIFS(dynamic[orderDate], dynamic[customerID], B338)) &gt; 180, "Non-Returning", "Dormant"), 
        IF(AND(MAX(dynamic[sinceLastOrder]) &gt; 365, (DATE(2024,4,30) - MAXIFS(dynamic[orderDate], dynamic[customerID], B338)) &gt; 180), 
           "Dormant", "Regular")))</f>
        <v>Regular</v>
      </c>
      <c r="H338" s="6">
        <v>31.0</v>
      </c>
      <c r="I338" s="9" t="str">
        <f>VLOOKUP(dynamic[productID],products[],2,FALSE)</f>
        <v>Gorgonzola Telino</v>
      </c>
      <c r="J338" s="9" t="str">
        <f>VLOOKUP(dynamic[productID],products[],12,FALSE)</f>
        <v>Dairy Products</v>
      </c>
      <c r="K338" s="7" t="str">
        <f>IF(VLOOKUP(dynamic[productID],products[],7,FALSE)=1,"Discontinued","Current")</f>
        <v>Current</v>
      </c>
      <c r="L338" s="9">
        <f>VLOOKUP(dynamic[productID],products[],IF(YEAR(dynamic[orderDate])=2022,8,IF(YEAR(dynamic[orderDate])=2023,9,IF(YEAR(dynamic[orderDate])=2024,10,NA))),FALSE)</f>
        <v>6.44031973</v>
      </c>
      <c r="M338" s="9">
        <v>10.0</v>
      </c>
      <c r="N338" s="25">
        <f>(dynamic[orderPrice]-dynamic[productCost])/dynamic[productCost]</f>
        <v>0.5527179425</v>
      </c>
      <c r="O338" s="10">
        <v>30.0</v>
      </c>
      <c r="P338" s="25">
        <v>0.0</v>
      </c>
      <c r="Q338" s="9">
        <f>dynamic[orderPrice]*dynamic[orderQuantity]</f>
        <v>300</v>
      </c>
      <c r="R338" s="9">
        <f>dynamic[orderTotal]*(1-dynamic[discountApllied])</f>
        <v>300</v>
      </c>
      <c r="S338" s="9">
        <f>dynamic[revenue]-(dynamic[productCost]*dynamic[orderQuantity])</f>
        <v>106.7904081</v>
      </c>
      <c r="T338" s="25">
        <f>IFERROR(dynamic[profit]/dynamic[revenue], 0)</f>
        <v>0.355968027</v>
      </c>
    </row>
    <row r="339" ht="15.75" customHeight="1">
      <c r="A339" s="6">
        <v>10374.0</v>
      </c>
      <c r="B339" s="7" t="s">
        <v>78</v>
      </c>
      <c r="C339" s="24" t="str">
        <f>VLOOKUP(dynamic[customerID],customers[],2,FALSE)</f>
        <v>Wolski  Zajazd</v>
      </c>
      <c r="D339" s="24">
        <v>44900.0</v>
      </c>
      <c r="E339" s="6">
        <f>IFERROR(__xludf.DUMMYFUNCTION("COUNTUNIQUEIFS($A$2:$A339,$B$2:$B339,B339)"),1.0)</f>
        <v>1</v>
      </c>
      <c r="F339" s="6">
        <f t="shared" si="1"/>
        <v>0</v>
      </c>
      <c r="G339" s="6" t="str">
        <f>IF(MINIFS(dynamic[orderDate], dynamic[customerID], B339) &gt;= DATE(2024,4,30)-120, 
     "New", 
     IF(MAXIFS(dynamic[orderCount], dynamic[customerID], B339)&lt;=2, 
        IF((DATE(2024,4,30) - MAXIFS(dynamic[orderDate], dynamic[customerID], B339)) &gt; 180, "Non-Returning", "Dormant"), 
        IF(AND(MAX(dynamic[sinceLastOrder]) &gt; 365, (DATE(2024,4,30) - MAXIFS(dynamic[orderDate], dynamic[customerID], B339)) &gt; 180), 
           "Dormant", "Regular")))</f>
        <v>Regular</v>
      </c>
      <c r="H339" s="6">
        <v>58.0</v>
      </c>
      <c r="I339" s="9" t="str">
        <f>VLOOKUP(dynamic[productID],products[],2,FALSE)</f>
        <v>Escargots de Bourgogne</v>
      </c>
      <c r="J339" s="9" t="str">
        <f>VLOOKUP(dynamic[productID],products[],12,FALSE)</f>
        <v>Seafood</v>
      </c>
      <c r="K339" s="7" t="str">
        <f>IF(VLOOKUP(dynamic[productID],products[],7,FALSE)=1,"Discontinued","Current")</f>
        <v>Current</v>
      </c>
      <c r="L339" s="9">
        <f>VLOOKUP(dynamic[productID],products[],IF(YEAR(dynamic[orderDate])=2022,8,IF(YEAR(dynamic[orderDate])=2023,9,IF(YEAR(dynamic[orderDate])=2024,10,NA))),FALSE)</f>
        <v>6.388939317</v>
      </c>
      <c r="M339" s="9">
        <v>10.6</v>
      </c>
      <c r="N339" s="25">
        <f>(dynamic[orderPrice]-dynamic[productCost])/dynamic[productCost]</f>
        <v>0.6591173392</v>
      </c>
      <c r="O339" s="10">
        <v>15.0</v>
      </c>
      <c r="P339" s="25">
        <v>0.0</v>
      </c>
      <c r="Q339" s="9">
        <f>dynamic[orderPrice]*dynamic[orderQuantity]</f>
        <v>159</v>
      </c>
      <c r="R339" s="9">
        <f>dynamic[orderTotal]*(1-dynamic[discountApllied])</f>
        <v>159</v>
      </c>
      <c r="S339" s="9">
        <f>dynamic[revenue]-(dynamic[productCost]*dynamic[orderQuantity])</f>
        <v>63.16591025</v>
      </c>
      <c r="T339" s="25">
        <f>IFERROR(dynamic[profit]/dynamic[revenue], 0)</f>
        <v>0.3972698758</v>
      </c>
    </row>
    <row r="340" ht="15.75" customHeight="1">
      <c r="A340" s="6">
        <v>10375.0</v>
      </c>
      <c r="B340" s="7" t="s">
        <v>79</v>
      </c>
      <c r="C340" s="24" t="str">
        <f>VLOOKUP(dynamic[customerID],customers[],2,FALSE)</f>
        <v>Hungry Coyote Import Store</v>
      </c>
      <c r="D340" s="24">
        <v>44901.0</v>
      </c>
      <c r="E340" s="6">
        <f>IFERROR(__xludf.DUMMYFUNCTION("COUNTUNIQUEIFS($A$2:$A340,$B$2:$B340,B340)"),1.0)</f>
        <v>1</v>
      </c>
      <c r="F340" s="6">
        <f t="shared" si="1"/>
        <v>0</v>
      </c>
      <c r="G340" s="6" t="str">
        <f>IF(MINIFS(dynamic[orderDate], dynamic[customerID], B340) &gt;= DATE(2024,4,30)-120, 
     "New", 
     IF(MAXIFS(dynamic[orderCount], dynamic[customerID], B340)&lt;=2, 
        IF((DATE(2024,4,30) - MAXIFS(dynamic[orderDate], dynamic[customerID], B340)) &gt; 180, "Non-Returning", "Dormant"), 
        IF(AND(MAX(dynamic[sinceLastOrder]) &gt; 365, (DATE(2024,4,30) - MAXIFS(dynamic[orderDate], dynamic[customerID], B340)) &gt; 180), 
           "Dormant", "Regular")))</f>
        <v>Dormant</v>
      </c>
      <c r="H340" s="6">
        <v>14.0</v>
      </c>
      <c r="I340" s="9" t="str">
        <f>VLOOKUP(dynamic[productID],products[],2,FALSE)</f>
        <v>Tofu</v>
      </c>
      <c r="J340" s="9" t="str">
        <f>VLOOKUP(dynamic[productID],products[],12,FALSE)</f>
        <v>Produce</v>
      </c>
      <c r="K340" s="7" t="str">
        <f>IF(VLOOKUP(dynamic[productID],products[],7,FALSE)=1,"Discontinued","Current")</f>
        <v>Current</v>
      </c>
      <c r="L340" s="9">
        <f>VLOOKUP(dynamic[productID],products[],IF(YEAR(dynamic[orderDate])=2022,8,IF(YEAR(dynamic[orderDate])=2023,9,IF(YEAR(dynamic[orderDate])=2024,10,NA))),FALSE)</f>
        <v>13.95254082</v>
      </c>
      <c r="M340" s="9">
        <v>18.6</v>
      </c>
      <c r="N340" s="25">
        <f>(dynamic[orderPrice]-dynamic[productCost])/dynamic[productCost]</f>
        <v>0.333090527</v>
      </c>
      <c r="O340" s="10">
        <v>15.0</v>
      </c>
      <c r="P340" s="25">
        <v>0.0</v>
      </c>
      <c r="Q340" s="9">
        <f>dynamic[orderPrice]*dynamic[orderQuantity]</f>
        <v>279</v>
      </c>
      <c r="R340" s="9">
        <f>dynamic[orderTotal]*(1-dynamic[discountApllied])</f>
        <v>279</v>
      </c>
      <c r="S340" s="9">
        <f>dynamic[revenue]-(dynamic[productCost]*dynamic[orderQuantity])</f>
        <v>69.71188765</v>
      </c>
      <c r="T340" s="25">
        <f>IFERROR(dynamic[profit]/dynamic[revenue], 0)</f>
        <v>0.2498633966</v>
      </c>
    </row>
    <row r="341" ht="15.75" customHeight="1">
      <c r="A341" s="6">
        <v>10375.0</v>
      </c>
      <c r="B341" s="7" t="s">
        <v>79</v>
      </c>
      <c r="C341" s="24" t="str">
        <f>VLOOKUP(dynamic[customerID],customers[],2,FALSE)</f>
        <v>Hungry Coyote Import Store</v>
      </c>
      <c r="D341" s="24">
        <v>44901.0</v>
      </c>
      <c r="E341" s="6">
        <f>IFERROR(__xludf.DUMMYFUNCTION("COUNTUNIQUEIFS($A$2:$A341,$B$2:$B341,B341)"),1.0)</f>
        <v>1</v>
      </c>
      <c r="F341" s="6">
        <f t="shared" si="1"/>
        <v>0</v>
      </c>
      <c r="G341" s="6" t="str">
        <f>IF(MINIFS(dynamic[orderDate], dynamic[customerID], B341) &gt;= DATE(2024,4,30)-120, 
     "New", 
     IF(MAXIFS(dynamic[orderCount], dynamic[customerID], B341)&lt;=2, 
        IF((DATE(2024,4,30) - MAXIFS(dynamic[orderDate], dynamic[customerID], B341)) &gt; 180, "Non-Returning", "Dormant"), 
        IF(AND(MAX(dynamic[sinceLastOrder]) &gt; 365, (DATE(2024,4,30) - MAXIFS(dynamic[orderDate], dynamic[customerID], B341)) &gt; 180), 
           "Dormant", "Regular")))</f>
        <v>Dormant</v>
      </c>
      <c r="H341" s="6">
        <v>54.0</v>
      </c>
      <c r="I341" s="9" t="str">
        <f>VLOOKUP(dynamic[productID],products[],2,FALSE)</f>
        <v>Tourtière</v>
      </c>
      <c r="J341" s="9" t="str">
        <f>VLOOKUP(dynamic[productID],products[],12,FALSE)</f>
        <v>Meat/Poultry</v>
      </c>
      <c r="K341" s="7" t="str">
        <f>IF(VLOOKUP(dynamic[productID],products[],7,FALSE)=1,"Discontinued","Current")</f>
        <v>Current</v>
      </c>
      <c r="L341" s="9">
        <f>VLOOKUP(dynamic[productID],products[],IF(YEAR(dynamic[orderDate])=2022,8,IF(YEAR(dynamic[orderDate])=2023,9,IF(YEAR(dynamic[orderDate])=2024,10,NA))),FALSE)</f>
        <v>4.309848919</v>
      </c>
      <c r="M341" s="9">
        <v>5.9</v>
      </c>
      <c r="N341" s="25">
        <f>(dynamic[orderPrice]-dynamic[productCost])/dynamic[productCost]</f>
        <v>0.3689574996</v>
      </c>
      <c r="O341" s="10">
        <v>10.0</v>
      </c>
      <c r="P341" s="25">
        <v>0.0</v>
      </c>
      <c r="Q341" s="9">
        <f>dynamic[orderPrice]*dynamic[orderQuantity]</f>
        <v>59</v>
      </c>
      <c r="R341" s="9">
        <f>dynamic[orderTotal]*(1-dynamic[discountApllied])</f>
        <v>59</v>
      </c>
      <c r="S341" s="9">
        <f>dynamic[revenue]-(dynamic[productCost]*dynamic[orderQuantity])</f>
        <v>15.90151081</v>
      </c>
      <c r="T341" s="25">
        <f>IFERROR(dynamic[profit]/dynamic[revenue], 0)</f>
        <v>0.2695171323</v>
      </c>
    </row>
    <row r="342" ht="15.75" customHeight="1">
      <c r="A342" s="6">
        <v>10376.0</v>
      </c>
      <c r="B342" s="7" t="s">
        <v>64</v>
      </c>
      <c r="C342" s="24" t="str">
        <f>VLOOKUP(dynamic[customerID],customers[],2,FALSE)</f>
        <v>Mère Paillarde</v>
      </c>
      <c r="D342" s="24">
        <v>44904.0</v>
      </c>
      <c r="E342" s="6">
        <f>IFERROR(__xludf.DUMMYFUNCTION("COUNTUNIQUEIFS($A$2:$A342,$B$2:$B342,B342)"),3.0)</f>
        <v>3</v>
      </c>
      <c r="F342" s="6">
        <f t="shared" si="1"/>
        <v>42</v>
      </c>
      <c r="G342" s="6" t="str">
        <f>IF(MINIFS(dynamic[orderDate], dynamic[customerID], B342) &gt;= DATE(2024,4,30)-120, 
     "New", 
     IF(MAXIFS(dynamic[orderCount], dynamic[customerID], B342)&lt;=2, 
        IF((DATE(2024,4,30) - MAXIFS(dynamic[orderDate], dynamic[customerID], B342)) &gt; 180, "Non-Returning", "Dormant"), 
        IF(AND(MAX(dynamic[sinceLastOrder]) &gt; 365, (DATE(2024,4,30) - MAXIFS(dynamic[orderDate], dynamic[customerID], B342)) &gt; 180), 
           "Dormant", "Regular")))</f>
        <v>Dormant</v>
      </c>
      <c r="H342" s="6">
        <v>31.0</v>
      </c>
      <c r="I342" s="9" t="str">
        <f>VLOOKUP(dynamic[productID],products[],2,FALSE)</f>
        <v>Gorgonzola Telino</v>
      </c>
      <c r="J342" s="9" t="str">
        <f>VLOOKUP(dynamic[productID],products[],12,FALSE)</f>
        <v>Dairy Products</v>
      </c>
      <c r="K342" s="7" t="str">
        <f>IF(VLOOKUP(dynamic[productID],products[],7,FALSE)=1,"Discontinued","Current")</f>
        <v>Current</v>
      </c>
      <c r="L342" s="9">
        <f>VLOOKUP(dynamic[productID],products[],IF(YEAR(dynamic[orderDate])=2022,8,IF(YEAR(dynamic[orderDate])=2023,9,IF(YEAR(dynamic[orderDate])=2024,10,NA))),FALSE)</f>
        <v>6.44031973</v>
      </c>
      <c r="M342" s="9">
        <v>10.0</v>
      </c>
      <c r="N342" s="25">
        <f>(dynamic[orderPrice]-dynamic[productCost])/dynamic[productCost]</f>
        <v>0.5527179425</v>
      </c>
      <c r="O342" s="10">
        <v>42.0</v>
      </c>
      <c r="P342" s="25">
        <v>0.05</v>
      </c>
      <c r="Q342" s="9">
        <f>dynamic[orderPrice]*dynamic[orderQuantity]</f>
        <v>420</v>
      </c>
      <c r="R342" s="9">
        <f>dynamic[orderTotal]*(1-dynamic[discountApllied])</f>
        <v>399</v>
      </c>
      <c r="S342" s="9">
        <f>dynamic[revenue]-(dynamic[productCost]*dynamic[orderQuantity])</f>
        <v>128.5065713</v>
      </c>
      <c r="T342" s="25">
        <f>IFERROR(dynamic[profit]/dynamic[revenue], 0)</f>
        <v>0.3220716074</v>
      </c>
    </row>
    <row r="343" ht="15.75" customHeight="1">
      <c r="A343" s="6">
        <v>10377.0</v>
      </c>
      <c r="B343" s="7" t="s">
        <v>71</v>
      </c>
      <c r="C343" s="24" t="str">
        <f>VLOOKUP(dynamic[customerID],customers[],2,FALSE)</f>
        <v>Seven Seas Imports</v>
      </c>
      <c r="D343" s="24">
        <v>44904.0</v>
      </c>
      <c r="E343" s="6">
        <f>IFERROR(__xludf.DUMMYFUNCTION("COUNTUNIQUEIFS($A$2:$A343,$B$2:$B343,B343)"),2.0)</f>
        <v>2</v>
      </c>
      <c r="F343" s="6">
        <f t="shared" si="1"/>
        <v>18</v>
      </c>
      <c r="G343" s="6" t="str">
        <f>IF(MINIFS(dynamic[orderDate], dynamic[customerID], B343) &gt;= DATE(2024,4,30)-120, 
     "New", 
     IF(MAXIFS(dynamic[orderCount], dynamic[customerID], B343)&lt;=2, 
        IF((DATE(2024,4,30) - MAXIFS(dynamic[orderDate], dynamic[customerID], B343)) &gt; 180, "Non-Returning", "Dormant"), 
        IF(AND(MAX(dynamic[sinceLastOrder]) &gt; 365, (DATE(2024,4,30) - MAXIFS(dynamic[orderDate], dynamic[customerID], B343)) &gt; 180), 
           "Dormant", "Regular")))</f>
        <v>Regular</v>
      </c>
      <c r="H343" s="6">
        <v>28.0</v>
      </c>
      <c r="I343" s="9" t="str">
        <f>VLOOKUP(dynamic[productID],products[],2,FALSE)</f>
        <v>Rössle Sauerkraut</v>
      </c>
      <c r="J343" s="9" t="str">
        <f>VLOOKUP(dynamic[productID],products[],12,FALSE)</f>
        <v>Produce</v>
      </c>
      <c r="K343" s="7" t="str">
        <f>IF(VLOOKUP(dynamic[productID],products[],7,FALSE)=1,"Discontinued","Current")</f>
        <v>Discontinued</v>
      </c>
      <c r="L343" s="9">
        <f>VLOOKUP(dynamic[productID],products[],IF(YEAR(dynamic[orderDate])=2022,8,IF(YEAR(dynamic[orderDate])=2023,9,IF(YEAR(dynamic[orderDate])=2024,10,NA))),FALSE)</f>
        <v>27.51992272</v>
      </c>
      <c r="M343" s="9">
        <v>36.4</v>
      </c>
      <c r="N343" s="25">
        <f>(dynamic[orderPrice]-dynamic[productCost])/dynamic[productCost]</f>
        <v>0.3226781326</v>
      </c>
      <c r="O343" s="10">
        <v>20.0</v>
      </c>
      <c r="P343" s="25">
        <v>0.15</v>
      </c>
      <c r="Q343" s="9">
        <f>dynamic[orderPrice]*dynamic[orderQuantity]</f>
        <v>728</v>
      </c>
      <c r="R343" s="9">
        <f>dynamic[orderTotal]*(1-dynamic[discountApllied])</f>
        <v>618.8</v>
      </c>
      <c r="S343" s="9">
        <f>dynamic[revenue]-(dynamic[productCost]*dynamic[orderQuantity])</f>
        <v>68.4015455</v>
      </c>
      <c r="T343" s="25">
        <f>IFERROR(dynamic[profit]/dynamic[revenue], 0)</f>
        <v>0.1105390199</v>
      </c>
    </row>
    <row r="344" ht="15.75" customHeight="1">
      <c r="A344" s="6">
        <v>10377.0</v>
      </c>
      <c r="B344" s="7" t="s">
        <v>71</v>
      </c>
      <c r="C344" s="24" t="str">
        <f>VLOOKUP(dynamic[customerID],customers[],2,FALSE)</f>
        <v>Seven Seas Imports</v>
      </c>
      <c r="D344" s="24">
        <v>44904.0</v>
      </c>
      <c r="E344" s="6">
        <f>IFERROR(__xludf.DUMMYFUNCTION("COUNTUNIQUEIFS($A$2:$A344,$B$2:$B344,B344)"),2.0)</f>
        <v>2</v>
      </c>
      <c r="F344" s="6">
        <f t="shared" si="1"/>
        <v>18</v>
      </c>
      <c r="G344" s="6" t="str">
        <f>IF(MINIFS(dynamic[orderDate], dynamic[customerID], B344) &gt;= DATE(2024,4,30)-120, 
     "New", 
     IF(MAXIFS(dynamic[orderCount], dynamic[customerID], B344)&lt;=2, 
        IF((DATE(2024,4,30) - MAXIFS(dynamic[orderDate], dynamic[customerID], B344)) &gt; 180, "Non-Returning", "Dormant"), 
        IF(AND(MAX(dynamic[sinceLastOrder]) &gt; 365, (DATE(2024,4,30) - MAXIFS(dynamic[orderDate], dynamic[customerID], B344)) &gt; 180), 
           "Dormant", "Regular")))</f>
        <v>Regular</v>
      </c>
      <c r="H344" s="6">
        <v>39.0</v>
      </c>
      <c r="I344" s="9" t="str">
        <f>VLOOKUP(dynamic[productID],products[],2,FALSE)</f>
        <v>Chartreuse verte</v>
      </c>
      <c r="J344" s="9" t="str">
        <f>VLOOKUP(dynamic[productID],products[],12,FALSE)</f>
        <v>Beverages</v>
      </c>
      <c r="K344" s="7" t="str">
        <f>IF(VLOOKUP(dynamic[productID],products[],7,FALSE)=1,"Discontinued","Current")</f>
        <v>Current</v>
      </c>
      <c r="L344" s="9">
        <f>VLOOKUP(dynamic[productID],products[],IF(YEAR(dynamic[orderDate])=2022,8,IF(YEAR(dynamic[orderDate])=2023,9,IF(YEAR(dynamic[orderDate])=2024,10,NA))),FALSE)</f>
        <v>9.743517226</v>
      </c>
      <c r="M344" s="9">
        <v>14.4</v>
      </c>
      <c r="N344" s="25">
        <f>(dynamic[orderPrice]-dynamic[productCost])/dynamic[productCost]</f>
        <v>0.4779057362</v>
      </c>
      <c r="O344" s="10">
        <v>20.0</v>
      </c>
      <c r="P344" s="25">
        <v>0.15</v>
      </c>
      <c r="Q344" s="9">
        <f>dynamic[orderPrice]*dynamic[orderQuantity]</f>
        <v>288</v>
      </c>
      <c r="R344" s="9">
        <f>dynamic[orderTotal]*(1-dynamic[discountApllied])</f>
        <v>244.8</v>
      </c>
      <c r="S344" s="9">
        <f>dynamic[revenue]-(dynamic[productCost]*dynamic[orderQuantity])</f>
        <v>49.92965547</v>
      </c>
      <c r="T344" s="25">
        <f>IFERROR(dynamic[profit]/dynamic[revenue], 0)</f>
        <v>0.2039610109</v>
      </c>
    </row>
    <row r="345" ht="15.75" customHeight="1">
      <c r="A345" s="6">
        <v>10378.0</v>
      </c>
      <c r="B345" s="7" t="s">
        <v>29</v>
      </c>
      <c r="C345" s="24" t="str">
        <f>VLOOKUP(dynamic[customerID],customers[],2,FALSE)</f>
        <v>Folk och fä HB</v>
      </c>
      <c r="D345" s="24">
        <v>44905.0</v>
      </c>
      <c r="E345" s="6">
        <f>IFERROR(__xludf.DUMMYFUNCTION("COUNTUNIQUEIFS($A$2:$A345,$B$2:$B345,B345)"),3.0)</f>
        <v>3</v>
      </c>
      <c r="F345" s="6">
        <f t="shared" si="1"/>
        <v>60</v>
      </c>
      <c r="G345" s="6" t="str">
        <f>IF(MINIFS(dynamic[orderDate], dynamic[customerID], B345) &gt;= DATE(2024,4,30)-120, 
     "New", 
     IF(MAXIFS(dynamic[orderCount], dynamic[customerID], B345)&lt;=2, 
        IF((DATE(2024,4,30) - MAXIFS(dynamic[orderDate], dynamic[customerID], B345)) &gt; 180, "Non-Returning", "Dormant"), 
        IF(AND(MAX(dynamic[sinceLastOrder]) &gt; 365, (DATE(2024,4,30) - MAXIFS(dynamic[orderDate], dynamic[customerID], B345)) &gt; 180), 
           "Dormant", "Regular")))</f>
        <v>Regular</v>
      </c>
      <c r="H345" s="6">
        <v>71.0</v>
      </c>
      <c r="I345" s="9" t="str">
        <f>VLOOKUP(dynamic[productID],products[],2,FALSE)</f>
        <v>Flotemysost</v>
      </c>
      <c r="J345" s="9" t="str">
        <f>VLOOKUP(dynamic[productID],products[],12,FALSE)</f>
        <v>Dairy Products</v>
      </c>
      <c r="K345" s="7" t="str">
        <f>IF(VLOOKUP(dynamic[productID],products[],7,FALSE)=1,"Discontinued","Current")</f>
        <v>Current</v>
      </c>
      <c r="L345" s="9">
        <f>VLOOKUP(dynamic[productID],products[],IF(YEAR(dynamic[orderDate])=2022,8,IF(YEAR(dynamic[orderDate])=2023,9,IF(YEAR(dynamic[orderDate])=2024,10,NA))),FALSE)</f>
        <v>12.00719029</v>
      </c>
      <c r="M345" s="9">
        <v>17.2</v>
      </c>
      <c r="N345" s="25">
        <f>(dynamic[orderPrice]-dynamic[productCost])/dynamic[productCost]</f>
        <v>0.4324750075</v>
      </c>
      <c r="O345" s="10">
        <v>6.0</v>
      </c>
      <c r="P345" s="25">
        <v>0.0</v>
      </c>
      <c r="Q345" s="9">
        <f>dynamic[orderPrice]*dynamic[orderQuantity]</f>
        <v>103.2</v>
      </c>
      <c r="R345" s="9">
        <f>dynamic[orderTotal]*(1-dynamic[discountApllied])</f>
        <v>103.2</v>
      </c>
      <c r="S345" s="9">
        <f>dynamic[revenue]-(dynamic[productCost]*dynamic[orderQuantity])</f>
        <v>31.15685826</v>
      </c>
      <c r="T345" s="25">
        <f>IFERROR(dynamic[profit]/dynamic[revenue], 0)</f>
        <v>0.3019075413</v>
      </c>
    </row>
    <row r="346" ht="15.75" customHeight="1">
      <c r="A346" s="6">
        <v>10379.0</v>
      </c>
      <c r="B346" s="7" t="s">
        <v>27</v>
      </c>
      <c r="C346" s="24" t="str">
        <f>VLOOKUP(dynamic[customerID],customers[],2,FALSE)</f>
        <v>Que Delícia</v>
      </c>
      <c r="D346" s="24">
        <v>44906.0</v>
      </c>
      <c r="E346" s="6">
        <f>IFERROR(__xludf.DUMMYFUNCTION("COUNTUNIQUEIFS($A$2:$A346,$B$2:$B346,B346)"),3.0)</f>
        <v>3</v>
      </c>
      <c r="F346" s="6">
        <f t="shared" si="1"/>
        <v>106</v>
      </c>
      <c r="G346" s="6" t="str">
        <f>IF(MINIFS(dynamic[orderDate], dynamic[customerID], B346) &gt;= DATE(2024,4,30)-120, 
     "New", 
     IF(MAXIFS(dynamic[orderCount], dynamic[customerID], B346)&lt;=2, 
        IF((DATE(2024,4,30) - MAXIFS(dynamic[orderDate], dynamic[customerID], B346)) &gt; 180, "Non-Returning", "Dormant"), 
        IF(AND(MAX(dynamic[sinceLastOrder]) &gt; 365, (DATE(2024,4,30) - MAXIFS(dynamic[orderDate], dynamic[customerID], B346)) &gt; 180), 
           "Dormant", "Regular")))</f>
        <v>Regular</v>
      </c>
      <c r="H346" s="6">
        <v>41.0</v>
      </c>
      <c r="I346" s="9" t="str">
        <f>VLOOKUP(dynamic[productID],products[],2,FALSE)</f>
        <v>Jack's New England Clam Chowder</v>
      </c>
      <c r="J346" s="9" t="str">
        <f>VLOOKUP(dynamic[productID],products[],12,FALSE)</f>
        <v>Seafood</v>
      </c>
      <c r="K346" s="7" t="str">
        <f>IF(VLOOKUP(dynamic[productID],products[],7,FALSE)=1,"Discontinued","Current")</f>
        <v>Current</v>
      </c>
      <c r="L346" s="9">
        <f>VLOOKUP(dynamic[productID],products[],IF(YEAR(dynamic[orderDate])=2022,8,IF(YEAR(dynamic[orderDate])=2023,9,IF(YEAR(dynamic[orderDate])=2024,10,NA))),FALSE)</f>
        <v>5.170198742</v>
      </c>
      <c r="M346" s="9">
        <v>7.7</v>
      </c>
      <c r="N346" s="25">
        <f>(dynamic[orderPrice]-dynamic[productCost])/dynamic[productCost]</f>
        <v>0.4893044511</v>
      </c>
      <c r="O346" s="10">
        <v>8.0</v>
      </c>
      <c r="P346" s="25">
        <v>0.1</v>
      </c>
      <c r="Q346" s="9">
        <f>dynamic[orderPrice]*dynamic[orderQuantity]</f>
        <v>61.6</v>
      </c>
      <c r="R346" s="9">
        <f>dynamic[orderTotal]*(1-dynamic[discountApllied])</f>
        <v>55.44</v>
      </c>
      <c r="S346" s="9">
        <f>dynamic[revenue]-(dynamic[productCost]*dynamic[orderQuantity])</f>
        <v>14.07841006</v>
      </c>
      <c r="T346" s="25">
        <f>IFERROR(dynamic[profit]/dynamic[revenue], 0)</f>
        <v>0.2539395754</v>
      </c>
    </row>
    <row r="347" ht="15.75" customHeight="1">
      <c r="A347" s="6">
        <v>10379.0</v>
      </c>
      <c r="B347" s="7" t="s">
        <v>27</v>
      </c>
      <c r="C347" s="24" t="str">
        <f>VLOOKUP(dynamic[customerID],customers[],2,FALSE)</f>
        <v>Que Delícia</v>
      </c>
      <c r="D347" s="24">
        <v>44906.0</v>
      </c>
      <c r="E347" s="6">
        <f>IFERROR(__xludf.DUMMYFUNCTION("COUNTUNIQUEIFS($A$2:$A347,$B$2:$B347,B347)"),3.0)</f>
        <v>3</v>
      </c>
      <c r="F347" s="6">
        <f t="shared" si="1"/>
        <v>106</v>
      </c>
      <c r="G347" s="6" t="str">
        <f>IF(MINIFS(dynamic[orderDate], dynamic[customerID], B347) &gt;= DATE(2024,4,30)-120, 
     "New", 
     IF(MAXIFS(dynamic[orderCount], dynamic[customerID], B347)&lt;=2, 
        IF((DATE(2024,4,30) - MAXIFS(dynamic[orderDate], dynamic[customerID], B347)) &gt; 180, "Non-Returning", "Dormant"), 
        IF(AND(MAX(dynamic[sinceLastOrder]) &gt; 365, (DATE(2024,4,30) - MAXIFS(dynamic[orderDate], dynamic[customerID], B347)) &gt; 180), 
           "Dormant", "Regular")))</f>
        <v>Regular</v>
      </c>
      <c r="H347" s="6">
        <v>63.0</v>
      </c>
      <c r="I347" s="9" t="str">
        <f>VLOOKUP(dynamic[productID],products[],2,FALSE)</f>
        <v>Vegie-spread</v>
      </c>
      <c r="J347" s="9" t="str">
        <f>VLOOKUP(dynamic[productID],products[],12,FALSE)</f>
        <v>Condiments</v>
      </c>
      <c r="K347" s="7" t="str">
        <f>IF(VLOOKUP(dynamic[productID],products[],7,FALSE)=1,"Discontinued","Current")</f>
        <v>Current</v>
      </c>
      <c r="L347" s="9">
        <f>VLOOKUP(dynamic[productID],products[],IF(YEAR(dynamic[orderDate])=2022,8,IF(YEAR(dynamic[orderDate])=2023,9,IF(YEAR(dynamic[orderDate])=2024,10,NA))),FALSE)</f>
        <v>23.81372293</v>
      </c>
      <c r="M347" s="9">
        <v>35.1</v>
      </c>
      <c r="N347" s="25">
        <f>(dynamic[orderPrice]-dynamic[productCost])/dynamic[productCost]</f>
        <v>0.4739400513</v>
      </c>
      <c r="O347" s="10">
        <v>16.0</v>
      </c>
      <c r="P347" s="25">
        <v>0.1</v>
      </c>
      <c r="Q347" s="9">
        <f>dynamic[orderPrice]*dynamic[orderQuantity]</f>
        <v>561.6</v>
      </c>
      <c r="R347" s="9">
        <f>dynamic[orderTotal]*(1-dynamic[discountApllied])</f>
        <v>505.44</v>
      </c>
      <c r="S347" s="9">
        <f>dynamic[revenue]-(dynamic[productCost]*dynamic[orderQuantity])</f>
        <v>124.4204331</v>
      </c>
      <c r="T347" s="25">
        <f>IFERROR(dynamic[profit]/dynamic[revenue], 0)</f>
        <v>0.2461626169</v>
      </c>
    </row>
    <row r="348" ht="15.75" customHeight="1">
      <c r="A348" s="6">
        <v>10379.0</v>
      </c>
      <c r="B348" s="7" t="s">
        <v>27</v>
      </c>
      <c r="C348" s="24" t="str">
        <f>VLOOKUP(dynamic[customerID],customers[],2,FALSE)</f>
        <v>Que Delícia</v>
      </c>
      <c r="D348" s="24">
        <v>44906.0</v>
      </c>
      <c r="E348" s="6">
        <f>IFERROR(__xludf.DUMMYFUNCTION("COUNTUNIQUEIFS($A$2:$A348,$B$2:$B348,B348)"),3.0)</f>
        <v>3</v>
      </c>
      <c r="F348" s="6">
        <f t="shared" si="1"/>
        <v>106</v>
      </c>
      <c r="G348" s="6" t="str">
        <f>IF(MINIFS(dynamic[orderDate], dynamic[customerID], B348) &gt;= DATE(2024,4,30)-120, 
     "New", 
     IF(MAXIFS(dynamic[orderCount], dynamic[customerID], B348)&lt;=2, 
        IF((DATE(2024,4,30) - MAXIFS(dynamic[orderDate], dynamic[customerID], B348)) &gt; 180, "Non-Returning", "Dormant"), 
        IF(AND(MAX(dynamic[sinceLastOrder]) &gt; 365, (DATE(2024,4,30) - MAXIFS(dynamic[orderDate], dynamic[customerID], B348)) &gt; 180), 
           "Dormant", "Regular")))</f>
        <v>Regular</v>
      </c>
      <c r="H348" s="6">
        <v>65.0</v>
      </c>
      <c r="I348" s="9" t="str">
        <f>VLOOKUP(dynamic[productID],products[],2,FALSE)</f>
        <v>Louisiana Fiery Hot Pepper Sauce</v>
      </c>
      <c r="J348" s="9" t="str">
        <f>VLOOKUP(dynamic[productID],products[],12,FALSE)</f>
        <v>Condiments</v>
      </c>
      <c r="K348" s="7" t="str">
        <f>IF(VLOOKUP(dynamic[productID],products[],7,FALSE)=1,"Discontinued","Current")</f>
        <v>Current</v>
      </c>
      <c r="L348" s="9">
        <f>VLOOKUP(dynamic[productID],products[],IF(YEAR(dynamic[orderDate])=2022,8,IF(YEAR(dynamic[orderDate])=2023,9,IF(YEAR(dynamic[orderDate])=2024,10,NA))),FALSE)</f>
        <v>11.17410204</v>
      </c>
      <c r="M348" s="9">
        <v>16.8</v>
      </c>
      <c r="N348" s="25">
        <f>(dynamic[orderPrice]-dynamic[productCost])/dynamic[productCost]</f>
        <v>0.503476515</v>
      </c>
      <c r="O348" s="10">
        <v>20.0</v>
      </c>
      <c r="P348" s="25">
        <v>0.1</v>
      </c>
      <c r="Q348" s="9">
        <f>dynamic[orderPrice]*dynamic[orderQuantity]</f>
        <v>336</v>
      </c>
      <c r="R348" s="9">
        <f>dynamic[orderTotal]*(1-dynamic[discountApllied])</f>
        <v>302.4</v>
      </c>
      <c r="S348" s="9">
        <f>dynamic[revenue]-(dynamic[productCost]*dynamic[orderQuantity])</f>
        <v>78.91795911</v>
      </c>
      <c r="T348" s="25">
        <f>IFERROR(dynamic[profit]/dynamic[revenue], 0)</f>
        <v>0.260972087</v>
      </c>
    </row>
    <row r="349" ht="15.75" customHeight="1">
      <c r="A349" s="6">
        <v>10380.0</v>
      </c>
      <c r="B349" s="7" t="s">
        <v>49</v>
      </c>
      <c r="C349" s="24" t="str">
        <f>VLOOKUP(dynamic[customerID],customers[],2,FALSE)</f>
        <v>Hungry Owl All-Night Grocers</v>
      </c>
      <c r="D349" s="24">
        <v>44907.0</v>
      </c>
      <c r="E349" s="6">
        <f>IFERROR(__xludf.DUMMYFUNCTION("COUNTUNIQUEIFS($A$2:$A349,$B$2:$B349,B349)"),5.0)</f>
        <v>5</v>
      </c>
      <c r="F349" s="6">
        <f t="shared" si="1"/>
        <v>7</v>
      </c>
      <c r="G349" s="6" t="str">
        <f>IF(MINIFS(dynamic[orderDate], dynamic[customerID], B349) &gt;= DATE(2024,4,30)-120, 
     "New", 
     IF(MAXIFS(dynamic[orderCount], dynamic[customerID], B349)&lt;=2, 
        IF((DATE(2024,4,30) - MAXIFS(dynamic[orderDate], dynamic[customerID], B349)) &gt; 180, "Non-Returning", "Dormant"), 
        IF(AND(MAX(dynamic[sinceLastOrder]) &gt; 365, (DATE(2024,4,30) - MAXIFS(dynamic[orderDate], dynamic[customerID], B349)) &gt; 180), 
           "Dormant", "Regular")))</f>
        <v>Regular</v>
      </c>
      <c r="H349" s="6">
        <v>30.0</v>
      </c>
      <c r="I349" s="9" t="str">
        <f>VLOOKUP(dynamic[productID],products[],2,FALSE)</f>
        <v>Nord-Ost Matjeshering</v>
      </c>
      <c r="J349" s="9" t="str">
        <f>VLOOKUP(dynamic[productID],products[],12,FALSE)</f>
        <v>Seafood</v>
      </c>
      <c r="K349" s="7" t="str">
        <f>IF(VLOOKUP(dynamic[productID],products[],7,FALSE)=1,"Discontinued","Current")</f>
        <v>Current</v>
      </c>
      <c r="L349" s="9">
        <f>VLOOKUP(dynamic[productID],products[],IF(YEAR(dynamic[orderDate])=2022,8,IF(YEAR(dynamic[orderDate])=2023,9,IF(YEAR(dynamic[orderDate])=2024,10,NA))),FALSE)</f>
        <v>13.41656868</v>
      </c>
      <c r="M349" s="9">
        <v>20.7</v>
      </c>
      <c r="N349" s="25">
        <f>(dynamic[orderPrice]-dynamic[productCost])/dynamic[productCost]</f>
        <v>0.5428684114</v>
      </c>
      <c r="O349" s="10">
        <v>18.0</v>
      </c>
      <c r="P349" s="25">
        <v>0.1</v>
      </c>
      <c r="Q349" s="9">
        <f>dynamic[orderPrice]*dynamic[orderQuantity]</f>
        <v>372.6</v>
      </c>
      <c r="R349" s="9">
        <f>dynamic[orderTotal]*(1-dynamic[discountApllied])</f>
        <v>335.34</v>
      </c>
      <c r="S349" s="9">
        <f>dynamic[revenue]-(dynamic[productCost]*dynamic[orderQuantity])</f>
        <v>93.84176383</v>
      </c>
      <c r="T349" s="25">
        <f>IFERROR(dynamic[profit]/dynamic[revenue], 0)</f>
        <v>0.2798406508</v>
      </c>
    </row>
    <row r="350" ht="15.75" customHeight="1">
      <c r="A350" s="6">
        <v>10380.0</v>
      </c>
      <c r="B350" s="7" t="s">
        <v>49</v>
      </c>
      <c r="C350" s="24" t="str">
        <f>VLOOKUP(dynamic[customerID],customers[],2,FALSE)</f>
        <v>Hungry Owl All-Night Grocers</v>
      </c>
      <c r="D350" s="24">
        <v>44907.0</v>
      </c>
      <c r="E350" s="6">
        <f>IFERROR(__xludf.DUMMYFUNCTION("COUNTUNIQUEIFS($A$2:$A350,$B$2:$B350,B350)"),5.0)</f>
        <v>5</v>
      </c>
      <c r="F350" s="6">
        <f t="shared" si="1"/>
        <v>7</v>
      </c>
      <c r="G350" s="6" t="str">
        <f>IF(MINIFS(dynamic[orderDate], dynamic[customerID], B350) &gt;= DATE(2024,4,30)-120, 
     "New", 
     IF(MAXIFS(dynamic[orderCount], dynamic[customerID], B350)&lt;=2, 
        IF((DATE(2024,4,30) - MAXIFS(dynamic[orderDate], dynamic[customerID], B350)) &gt; 180, "Non-Returning", "Dormant"), 
        IF(AND(MAX(dynamic[sinceLastOrder]) &gt; 365, (DATE(2024,4,30) - MAXIFS(dynamic[orderDate], dynamic[customerID], B350)) &gt; 180), 
           "Dormant", "Regular")))</f>
        <v>Regular</v>
      </c>
      <c r="H350" s="6">
        <v>53.0</v>
      </c>
      <c r="I350" s="9" t="str">
        <f>VLOOKUP(dynamic[productID],products[],2,FALSE)</f>
        <v>Perth Pasties</v>
      </c>
      <c r="J350" s="9" t="str">
        <f>VLOOKUP(dynamic[productID],products[],12,FALSE)</f>
        <v>Meat/Poultry</v>
      </c>
      <c r="K350" s="7" t="str">
        <f>IF(VLOOKUP(dynamic[productID],products[],7,FALSE)=1,"Discontinued","Current")</f>
        <v>Discontinued</v>
      </c>
      <c r="L350" s="9">
        <f>VLOOKUP(dynamic[productID],products[],IF(YEAR(dynamic[orderDate])=2022,8,IF(YEAR(dynamic[orderDate])=2023,9,IF(YEAR(dynamic[orderDate])=2024,10,NA))),FALSE)</f>
        <v>18.33322006</v>
      </c>
      <c r="M350" s="9">
        <v>26.2</v>
      </c>
      <c r="N350" s="25">
        <f>(dynamic[orderPrice]-dynamic[productCost])/dynamic[productCost]</f>
        <v>0.4290997391</v>
      </c>
      <c r="O350" s="10">
        <v>20.0</v>
      </c>
      <c r="P350" s="25">
        <v>0.1</v>
      </c>
      <c r="Q350" s="9">
        <f>dynamic[orderPrice]*dynamic[orderQuantity]</f>
        <v>524</v>
      </c>
      <c r="R350" s="9">
        <f>dynamic[orderTotal]*(1-dynamic[discountApllied])</f>
        <v>471.6</v>
      </c>
      <c r="S350" s="9">
        <f>dynamic[revenue]-(dynamic[productCost]*dynamic[orderQuantity])</f>
        <v>104.9355989</v>
      </c>
      <c r="T350" s="25">
        <f>IFERROR(dynamic[profit]/dynamic[revenue], 0)</f>
        <v>0.2225097516</v>
      </c>
    </row>
    <row r="351" ht="15.75" customHeight="1">
      <c r="A351" s="6">
        <v>10380.0</v>
      </c>
      <c r="B351" s="7" t="s">
        <v>49</v>
      </c>
      <c r="C351" s="24" t="str">
        <f>VLOOKUP(dynamic[customerID],customers[],2,FALSE)</f>
        <v>Hungry Owl All-Night Grocers</v>
      </c>
      <c r="D351" s="24">
        <v>44907.0</v>
      </c>
      <c r="E351" s="6">
        <f>IFERROR(__xludf.DUMMYFUNCTION("COUNTUNIQUEIFS($A$2:$A351,$B$2:$B351,B351)"),5.0)</f>
        <v>5</v>
      </c>
      <c r="F351" s="6">
        <f t="shared" si="1"/>
        <v>7</v>
      </c>
      <c r="G351" s="6" t="str">
        <f>IF(MINIFS(dynamic[orderDate], dynamic[customerID], B351) &gt;= DATE(2024,4,30)-120, 
     "New", 
     IF(MAXIFS(dynamic[orderCount], dynamic[customerID], B351)&lt;=2, 
        IF((DATE(2024,4,30) - MAXIFS(dynamic[orderDate], dynamic[customerID], B351)) &gt; 180, "Non-Returning", "Dormant"), 
        IF(AND(MAX(dynamic[sinceLastOrder]) &gt; 365, (DATE(2024,4,30) - MAXIFS(dynamic[orderDate], dynamic[customerID], B351)) &gt; 180), 
           "Dormant", "Regular")))</f>
        <v>Regular</v>
      </c>
      <c r="H351" s="6">
        <v>60.0</v>
      </c>
      <c r="I351" s="9" t="str">
        <f>VLOOKUP(dynamic[productID],products[],2,FALSE)</f>
        <v>Camembert Pierrot</v>
      </c>
      <c r="J351" s="9" t="str">
        <f>VLOOKUP(dynamic[productID],products[],12,FALSE)</f>
        <v>Dairy Products</v>
      </c>
      <c r="K351" s="7" t="str">
        <f>IF(VLOOKUP(dynamic[productID],products[],7,FALSE)=1,"Discontinued","Current")</f>
        <v>Current</v>
      </c>
      <c r="L351" s="9">
        <f>VLOOKUP(dynamic[productID],products[],IF(YEAR(dynamic[orderDate])=2022,8,IF(YEAR(dynamic[orderDate])=2023,9,IF(YEAR(dynamic[orderDate])=2024,10,NA))),FALSE)</f>
        <v>17.66563493</v>
      </c>
      <c r="M351" s="9">
        <v>27.2</v>
      </c>
      <c r="N351" s="25">
        <f>(dynamic[orderPrice]-dynamic[productCost])/dynamic[productCost]</f>
        <v>0.5397125612</v>
      </c>
      <c r="O351" s="10">
        <v>6.0</v>
      </c>
      <c r="P351" s="25">
        <v>0.1</v>
      </c>
      <c r="Q351" s="9">
        <f>dynamic[orderPrice]*dynamic[orderQuantity]</f>
        <v>163.2</v>
      </c>
      <c r="R351" s="9">
        <f>dynamic[orderTotal]*(1-dynamic[discountApllied])</f>
        <v>146.88</v>
      </c>
      <c r="S351" s="9">
        <f>dynamic[revenue]-(dynamic[productCost]*dynamic[orderQuantity])</f>
        <v>40.88619043</v>
      </c>
      <c r="T351" s="25">
        <f>IFERROR(dynamic[profit]/dynamic[revenue], 0)</f>
        <v>0.2783645863</v>
      </c>
    </row>
    <row r="352" ht="15.75" customHeight="1">
      <c r="A352" s="6">
        <v>10380.0</v>
      </c>
      <c r="B352" s="7" t="s">
        <v>49</v>
      </c>
      <c r="C352" s="24" t="str">
        <f>VLOOKUP(dynamic[customerID],customers[],2,FALSE)</f>
        <v>Hungry Owl All-Night Grocers</v>
      </c>
      <c r="D352" s="24">
        <v>44907.0</v>
      </c>
      <c r="E352" s="6">
        <f>IFERROR(__xludf.DUMMYFUNCTION("COUNTUNIQUEIFS($A$2:$A352,$B$2:$B352,B352)"),5.0)</f>
        <v>5</v>
      </c>
      <c r="F352" s="6">
        <f t="shared" si="1"/>
        <v>7</v>
      </c>
      <c r="G352" s="6" t="str">
        <f>IF(MINIFS(dynamic[orderDate], dynamic[customerID], B352) &gt;= DATE(2024,4,30)-120, 
     "New", 
     IF(MAXIFS(dynamic[orderCount], dynamic[customerID], B352)&lt;=2, 
        IF((DATE(2024,4,30) - MAXIFS(dynamic[orderDate], dynamic[customerID], B352)) &gt; 180, "Non-Returning", "Dormant"), 
        IF(AND(MAX(dynamic[sinceLastOrder]) &gt; 365, (DATE(2024,4,30) - MAXIFS(dynamic[orderDate], dynamic[customerID], B352)) &gt; 180), 
           "Dormant", "Regular")))</f>
        <v>Regular</v>
      </c>
      <c r="H352" s="6">
        <v>70.0</v>
      </c>
      <c r="I352" s="9" t="str">
        <f>VLOOKUP(dynamic[productID],products[],2,FALSE)</f>
        <v>Outback Lager</v>
      </c>
      <c r="J352" s="9" t="str">
        <f>VLOOKUP(dynamic[productID],products[],12,FALSE)</f>
        <v>Beverages</v>
      </c>
      <c r="K352" s="7" t="str">
        <f>IF(VLOOKUP(dynamic[productID],products[],7,FALSE)=1,"Discontinued","Current")</f>
        <v>Current</v>
      </c>
      <c r="L352" s="9">
        <f>VLOOKUP(dynamic[productID],products[],IF(YEAR(dynamic[orderDate])=2022,8,IF(YEAR(dynamic[orderDate])=2023,9,IF(YEAR(dynamic[orderDate])=2024,10,NA))),FALSE)</f>
        <v>8.037520944</v>
      </c>
      <c r="M352" s="9">
        <v>12.0</v>
      </c>
      <c r="N352" s="25">
        <f>(dynamic[orderPrice]-dynamic[productCost])/dynamic[productCost]</f>
        <v>0.4929976648</v>
      </c>
      <c r="O352" s="10">
        <v>30.0</v>
      </c>
      <c r="P352" s="25">
        <v>0.0</v>
      </c>
      <c r="Q352" s="9">
        <f>dynamic[orderPrice]*dynamic[orderQuantity]</f>
        <v>360</v>
      </c>
      <c r="R352" s="9">
        <f>dynamic[orderTotal]*(1-dynamic[discountApllied])</f>
        <v>360</v>
      </c>
      <c r="S352" s="9">
        <f>dynamic[revenue]-(dynamic[productCost]*dynamic[orderQuantity])</f>
        <v>118.8743717</v>
      </c>
      <c r="T352" s="25">
        <f>IFERROR(dynamic[profit]/dynamic[revenue], 0)</f>
        <v>0.330206588</v>
      </c>
    </row>
    <row r="353" ht="15.75" customHeight="1">
      <c r="A353" s="6">
        <v>10381.0</v>
      </c>
      <c r="B353" s="7" t="s">
        <v>43</v>
      </c>
      <c r="C353" s="24" t="str">
        <f>VLOOKUP(dynamic[customerID],customers[],2,FALSE)</f>
        <v>LILA-Supermercado</v>
      </c>
      <c r="D353" s="24">
        <v>44907.0</v>
      </c>
      <c r="E353" s="6">
        <f>IFERROR(__xludf.DUMMYFUNCTION("COUNTUNIQUEIFS($A$2:$A353,$B$2:$B353,B353)"),5.0)</f>
        <v>5</v>
      </c>
      <c r="F353" s="6">
        <f t="shared" si="1"/>
        <v>23</v>
      </c>
      <c r="G353" s="6" t="str">
        <f>IF(MINIFS(dynamic[orderDate], dynamic[customerID], B353) &gt;= DATE(2024,4,30)-120, 
     "New", 
     IF(MAXIFS(dynamic[orderCount], dynamic[customerID], B353)&lt;=2, 
        IF((DATE(2024,4,30) - MAXIFS(dynamic[orderDate], dynamic[customerID], B353)) &gt; 180, "Non-Returning", "Dormant"), 
        IF(AND(MAX(dynamic[sinceLastOrder]) &gt; 365, (DATE(2024,4,30) - MAXIFS(dynamic[orderDate], dynamic[customerID], B353)) &gt; 180), 
           "Dormant", "Regular")))</f>
        <v>Regular</v>
      </c>
      <c r="H353" s="6">
        <v>74.0</v>
      </c>
      <c r="I353" s="9" t="str">
        <f>VLOOKUP(dynamic[productID],products[],2,FALSE)</f>
        <v>Longlife Tofu</v>
      </c>
      <c r="J353" s="9" t="str">
        <f>VLOOKUP(dynamic[productID],products[],12,FALSE)</f>
        <v>Produce</v>
      </c>
      <c r="K353" s="7" t="str">
        <f>IF(VLOOKUP(dynamic[productID],products[],7,FALSE)=1,"Discontinued","Current")</f>
        <v>Current</v>
      </c>
      <c r="L353" s="9">
        <f>VLOOKUP(dynamic[productID],products[],IF(YEAR(dynamic[orderDate])=2022,8,IF(YEAR(dynamic[orderDate])=2023,9,IF(YEAR(dynamic[orderDate])=2024,10,NA))),FALSE)</f>
        <v>5.667130124</v>
      </c>
      <c r="M353" s="9">
        <v>8.0</v>
      </c>
      <c r="N353" s="25">
        <f>(dynamic[orderPrice]-dynamic[productCost])/dynamic[productCost]</f>
        <v>0.4116492519</v>
      </c>
      <c r="O353" s="10">
        <v>14.0</v>
      </c>
      <c r="P353" s="25">
        <v>0.0</v>
      </c>
      <c r="Q353" s="9">
        <f>dynamic[orderPrice]*dynamic[orderQuantity]</f>
        <v>112</v>
      </c>
      <c r="R353" s="9">
        <f>dynamic[orderTotal]*(1-dynamic[discountApllied])</f>
        <v>112</v>
      </c>
      <c r="S353" s="9">
        <f>dynamic[revenue]-(dynamic[productCost]*dynamic[orderQuantity])</f>
        <v>32.66017827</v>
      </c>
      <c r="T353" s="25">
        <f>IFERROR(dynamic[profit]/dynamic[revenue], 0)</f>
        <v>0.2916087345</v>
      </c>
    </row>
    <row r="354" ht="15.75" customHeight="1">
      <c r="A354" s="6">
        <v>10382.0</v>
      </c>
      <c r="B354" s="7" t="s">
        <v>24</v>
      </c>
      <c r="C354" s="24" t="str">
        <f>VLOOKUP(dynamic[customerID],customers[],2,FALSE)</f>
        <v>Ernst Handel</v>
      </c>
      <c r="D354" s="24">
        <v>44908.0</v>
      </c>
      <c r="E354" s="6">
        <f>IFERROR(__xludf.DUMMYFUNCTION("COUNTUNIQUEIFS($A$2:$A354,$B$2:$B354,B354)"),5.0)</f>
        <v>5</v>
      </c>
      <c r="F354" s="6">
        <f t="shared" si="1"/>
        <v>14</v>
      </c>
      <c r="G354" s="6" t="str">
        <f>IF(MINIFS(dynamic[orderDate], dynamic[customerID], B354) &gt;= DATE(2024,4,30)-120, 
     "New", 
     IF(MAXIFS(dynamic[orderCount], dynamic[customerID], B354)&lt;=2, 
        IF((DATE(2024,4,30) - MAXIFS(dynamic[orderDate], dynamic[customerID], B354)) &gt; 180, "Non-Returning", "Dormant"), 
        IF(AND(MAX(dynamic[sinceLastOrder]) &gt; 365, (DATE(2024,4,30) - MAXIFS(dynamic[orderDate], dynamic[customerID], B354)) &gt; 180), 
           "Dormant", "Regular")))</f>
        <v>Regular</v>
      </c>
      <c r="H354" s="6">
        <v>5.0</v>
      </c>
      <c r="I354" s="9" t="str">
        <f>VLOOKUP(dynamic[productID],products[],2,FALSE)</f>
        <v>Chef Anton's Gumbo Mix</v>
      </c>
      <c r="J354" s="9" t="str">
        <f>VLOOKUP(dynamic[productID],products[],12,FALSE)</f>
        <v>Condiments</v>
      </c>
      <c r="K354" s="7" t="str">
        <f>IF(VLOOKUP(dynamic[productID],products[],7,FALSE)=1,"Discontinued","Current")</f>
        <v>Discontinued</v>
      </c>
      <c r="L354" s="9">
        <f>VLOOKUP(dynamic[productID],products[],IF(YEAR(dynamic[orderDate])=2022,8,IF(YEAR(dynamic[orderDate])=2023,9,IF(YEAR(dynamic[orderDate])=2024,10,NA))),FALSE)</f>
        <v>10.9059059</v>
      </c>
      <c r="M354" s="9">
        <v>17.0</v>
      </c>
      <c r="N354" s="25">
        <f>(dynamic[orderPrice]-dynamic[productCost])/dynamic[productCost]</f>
        <v>0.5587884354</v>
      </c>
      <c r="O354" s="10">
        <v>32.0</v>
      </c>
      <c r="P354" s="25">
        <v>0.0</v>
      </c>
      <c r="Q354" s="9">
        <f>dynamic[orderPrice]*dynamic[orderQuantity]</f>
        <v>544</v>
      </c>
      <c r="R354" s="9">
        <f>dynamic[orderTotal]*(1-dynamic[discountApllied])</f>
        <v>544</v>
      </c>
      <c r="S354" s="9">
        <f>dynamic[revenue]-(dynamic[productCost]*dynamic[orderQuantity])</f>
        <v>195.0110111</v>
      </c>
      <c r="T354" s="25">
        <f>IFERROR(dynamic[profit]/dynamic[revenue], 0)</f>
        <v>0.3584761233</v>
      </c>
    </row>
    <row r="355" ht="15.75" customHeight="1">
      <c r="A355" s="6">
        <v>10382.0</v>
      </c>
      <c r="B355" s="7" t="s">
        <v>24</v>
      </c>
      <c r="C355" s="24" t="str">
        <f>VLOOKUP(dynamic[customerID],customers[],2,FALSE)</f>
        <v>Ernst Handel</v>
      </c>
      <c r="D355" s="24">
        <v>44908.0</v>
      </c>
      <c r="E355" s="6">
        <f>IFERROR(__xludf.DUMMYFUNCTION("COUNTUNIQUEIFS($A$2:$A355,$B$2:$B355,B355)"),5.0)</f>
        <v>5</v>
      </c>
      <c r="F355" s="6">
        <f t="shared" si="1"/>
        <v>14</v>
      </c>
      <c r="G355" s="6" t="str">
        <f>IF(MINIFS(dynamic[orderDate], dynamic[customerID], B355) &gt;= DATE(2024,4,30)-120, 
     "New", 
     IF(MAXIFS(dynamic[orderCount], dynamic[customerID], B355)&lt;=2, 
        IF((DATE(2024,4,30) - MAXIFS(dynamic[orderDate], dynamic[customerID], B355)) &gt; 180, "Non-Returning", "Dormant"), 
        IF(AND(MAX(dynamic[sinceLastOrder]) &gt; 365, (DATE(2024,4,30) - MAXIFS(dynamic[orderDate], dynamic[customerID], B355)) &gt; 180), 
           "Dormant", "Regular")))</f>
        <v>Regular</v>
      </c>
      <c r="H355" s="6">
        <v>18.0</v>
      </c>
      <c r="I355" s="9" t="str">
        <f>VLOOKUP(dynamic[productID],products[],2,FALSE)</f>
        <v>Carnarvon Tigers</v>
      </c>
      <c r="J355" s="9" t="str">
        <f>VLOOKUP(dynamic[productID],products[],12,FALSE)</f>
        <v>Seafood</v>
      </c>
      <c r="K355" s="7" t="str">
        <f>IF(VLOOKUP(dynamic[productID],products[],7,FALSE)=1,"Discontinued","Current")</f>
        <v>Current</v>
      </c>
      <c r="L355" s="9">
        <f>VLOOKUP(dynamic[productID],products[],IF(YEAR(dynamic[orderDate])=2022,8,IF(YEAR(dynamic[orderDate])=2023,9,IF(YEAR(dynamic[orderDate])=2024,10,NA))),FALSE)</f>
        <v>32.46379819</v>
      </c>
      <c r="M355" s="9">
        <v>50.0</v>
      </c>
      <c r="N355" s="25">
        <f>(dynamic[orderPrice]-dynamic[productCost])/dynamic[productCost]</f>
        <v>0.5401771445</v>
      </c>
      <c r="O355" s="10">
        <v>9.0</v>
      </c>
      <c r="P355" s="25">
        <v>0.0</v>
      </c>
      <c r="Q355" s="9">
        <f>dynamic[orderPrice]*dynamic[orderQuantity]</f>
        <v>450</v>
      </c>
      <c r="R355" s="9">
        <f>dynamic[orderTotal]*(1-dynamic[discountApllied])</f>
        <v>450</v>
      </c>
      <c r="S355" s="9">
        <f>dynamic[revenue]-(dynamic[productCost]*dynamic[orderQuantity])</f>
        <v>157.8258163</v>
      </c>
      <c r="T355" s="25">
        <f>IFERROR(dynamic[profit]/dynamic[revenue], 0)</f>
        <v>0.3507240361</v>
      </c>
    </row>
    <row r="356" ht="15.75" customHeight="1">
      <c r="A356" s="6">
        <v>10382.0</v>
      </c>
      <c r="B356" s="7" t="s">
        <v>24</v>
      </c>
      <c r="C356" s="24" t="str">
        <f>VLOOKUP(dynamic[customerID],customers[],2,FALSE)</f>
        <v>Ernst Handel</v>
      </c>
      <c r="D356" s="24">
        <v>44908.0</v>
      </c>
      <c r="E356" s="6">
        <f>IFERROR(__xludf.DUMMYFUNCTION("COUNTUNIQUEIFS($A$2:$A356,$B$2:$B356,B356)"),5.0)</f>
        <v>5</v>
      </c>
      <c r="F356" s="6">
        <f t="shared" si="1"/>
        <v>14</v>
      </c>
      <c r="G356" s="6" t="str">
        <f>IF(MINIFS(dynamic[orderDate], dynamic[customerID], B356) &gt;= DATE(2024,4,30)-120, 
     "New", 
     IF(MAXIFS(dynamic[orderCount], dynamic[customerID], B356)&lt;=2, 
        IF((DATE(2024,4,30) - MAXIFS(dynamic[orderDate], dynamic[customerID], B356)) &gt; 180, "Non-Returning", "Dormant"), 
        IF(AND(MAX(dynamic[sinceLastOrder]) &gt; 365, (DATE(2024,4,30) - MAXIFS(dynamic[orderDate], dynamic[customerID], B356)) &gt; 180), 
           "Dormant", "Regular")))</f>
        <v>Regular</v>
      </c>
      <c r="H356" s="6">
        <v>29.0</v>
      </c>
      <c r="I356" s="9" t="str">
        <f>VLOOKUP(dynamic[productID],products[],2,FALSE)</f>
        <v>Thüringer Rostbratwurst</v>
      </c>
      <c r="J356" s="9" t="str">
        <f>VLOOKUP(dynamic[productID],products[],12,FALSE)</f>
        <v>Meat/Poultry</v>
      </c>
      <c r="K356" s="7" t="str">
        <f>IF(VLOOKUP(dynamic[productID],products[],7,FALSE)=1,"Discontinued","Current")</f>
        <v>Discontinued</v>
      </c>
      <c r="L356" s="9">
        <f>VLOOKUP(dynamic[productID],products[],IF(YEAR(dynamic[orderDate])=2022,8,IF(YEAR(dynamic[orderDate])=2023,9,IF(YEAR(dynamic[orderDate])=2024,10,NA))),FALSE)</f>
        <v>70.25945266</v>
      </c>
      <c r="M356" s="9">
        <v>99.0</v>
      </c>
      <c r="N356" s="25">
        <f>(dynamic[orderPrice]-dynamic[productCost])/dynamic[productCost]</f>
        <v>0.4090630691</v>
      </c>
      <c r="O356" s="10">
        <v>14.0</v>
      </c>
      <c r="P356" s="25">
        <v>0.0</v>
      </c>
      <c r="Q356" s="9">
        <f>dynamic[orderPrice]*dynamic[orderQuantity]</f>
        <v>1386</v>
      </c>
      <c r="R356" s="9">
        <f>dynamic[orderTotal]*(1-dynamic[discountApllied])</f>
        <v>1386</v>
      </c>
      <c r="S356" s="9">
        <f>dynamic[revenue]-(dynamic[productCost]*dynamic[orderQuantity])</f>
        <v>402.3676628</v>
      </c>
      <c r="T356" s="25">
        <f>IFERROR(dynamic[profit]/dynamic[revenue], 0)</f>
        <v>0.290308559</v>
      </c>
    </row>
    <row r="357" ht="15.75" customHeight="1">
      <c r="A357" s="6">
        <v>10382.0</v>
      </c>
      <c r="B357" s="7" t="s">
        <v>24</v>
      </c>
      <c r="C357" s="24" t="str">
        <f>VLOOKUP(dynamic[customerID],customers[],2,FALSE)</f>
        <v>Ernst Handel</v>
      </c>
      <c r="D357" s="24">
        <v>44908.0</v>
      </c>
      <c r="E357" s="6">
        <f>IFERROR(__xludf.DUMMYFUNCTION("COUNTUNIQUEIFS($A$2:$A357,$B$2:$B357,B357)"),5.0)</f>
        <v>5</v>
      </c>
      <c r="F357" s="6">
        <f t="shared" si="1"/>
        <v>14</v>
      </c>
      <c r="G357" s="6" t="str">
        <f>IF(MINIFS(dynamic[orderDate], dynamic[customerID], B357) &gt;= DATE(2024,4,30)-120, 
     "New", 
     IF(MAXIFS(dynamic[orderCount], dynamic[customerID], B357)&lt;=2, 
        IF((DATE(2024,4,30) - MAXIFS(dynamic[orderDate], dynamic[customerID], B357)) &gt; 180, "Non-Returning", "Dormant"), 
        IF(AND(MAX(dynamic[sinceLastOrder]) &gt; 365, (DATE(2024,4,30) - MAXIFS(dynamic[orderDate], dynamic[customerID], B357)) &gt; 180), 
           "Dormant", "Regular")))</f>
        <v>Regular</v>
      </c>
      <c r="H357" s="6">
        <v>33.0</v>
      </c>
      <c r="I357" s="9" t="str">
        <f>VLOOKUP(dynamic[productID],products[],2,FALSE)</f>
        <v>Geitost</v>
      </c>
      <c r="J357" s="9" t="str">
        <f>VLOOKUP(dynamic[productID],products[],12,FALSE)</f>
        <v>Dairy Products</v>
      </c>
      <c r="K357" s="7" t="str">
        <f>IF(VLOOKUP(dynamic[productID],products[],7,FALSE)=1,"Discontinued","Current")</f>
        <v>Current</v>
      </c>
      <c r="L357" s="9">
        <f>VLOOKUP(dynamic[productID],products[],IF(YEAR(dynamic[orderDate])=2022,8,IF(YEAR(dynamic[orderDate])=2023,9,IF(YEAR(dynamic[orderDate])=2024,10,NA))),FALSE)</f>
        <v>1.393847434</v>
      </c>
      <c r="M357" s="9">
        <v>2.0</v>
      </c>
      <c r="N357" s="25">
        <f>(dynamic[orderPrice]-dynamic[productCost])/dynamic[productCost]</f>
        <v>0.4348772692</v>
      </c>
      <c r="O357" s="10">
        <v>60.0</v>
      </c>
      <c r="P357" s="25">
        <v>0.0</v>
      </c>
      <c r="Q357" s="9">
        <f>dynamic[orderPrice]*dynamic[orderQuantity]</f>
        <v>120</v>
      </c>
      <c r="R357" s="9">
        <f>dynamic[orderTotal]*(1-dynamic[discountApllied])</f>
        <v>120</v>
      </c>
      <c r="S357" s="9">
        <f>dynamic[revenue]-(dynamic[productCost]*dynamic[orderQuantity])</f>
        <v>36.36915395</v>
      </c>
      <c r="T357" s="25">
        <f>IFERROR(dynamic[profit]/dynamic[revenue], 0)</f>
        <v>0.3030762829</v>
      </c>
    </row>
    <row r="358" ht="15.75" customHeight="1">
      <c r="A358" s="6">
        <v>10382.0</v>
      </c>
      <c r="B358" s="7" t="s">
        <v>24</v>
      </c>
      <c r="C358" s="24" t="str">
        <f>VLOOKUP(dynamic[customerID],customers[],2,FALSE)</f>
        <v>Ernst Handel</v>
      </c>
      <c r="D358" s="24">
        <v>44908.0</v>
      </c>
      <c r="E358" s="6">
        <f>IFERROR(__xludf.DUMMYFUNCTION("COUNTUNIQUEIFS($A$2:$A358,$B$2:$B358,B358)"),5.0)</f>
        <v>5</v>
      </c>
      <c r="F358" s="6">
        <f t="shared" si="1"/>
        <v>14</v>
      </c>
      <c r="G358" s="6" t="str">
        <f>IF(MINIFS(dynamic[orderDate], dynamic[customerID], B358) &gt;= DATE(2024,4,30)-120, 
     "New", 
     IF(MAXIFS(dynamic[orderCount], dynamic[customerID], B358)&lt;=2, 
        IF((DATE(2024,4,30) - MAXIFS(dynamic[orderDate], dynamic[customerID], B358)) &gt; 180, "Non-Returning", "Dormant"), 
        IF(AND(MAX(dynamic[sinceLastOrder]) &gt; 365, (DATE(2024,4,30) - MAXIFS(dynamic[orderDate], dynamic[customerID], B358)) &gt; 180), 
           "Dormant", "Regular")))</f>
        <v>Regular</v>
      </c>
      <c r="H358" s="6">
        <v>74.0</v>
      </c>
      <c r="I358" s="9" t="str">
        <f>VLOOKUP(dynamic[productID],products[],2,FALSE)</f>
        <v>Longlife Tofu</v>
      </c>
      <c r="J358" s="9" t="str">
        <f>VLOOKUP(dynamic[productID],products[],12,FALSE)</f>
        <v>Produce</v>
      </c>
      <c r="K358" s="7" t="str">
        <f>IF(VLOOKUP(dynamic[productID],products[],7,FALSE)=1,"Discontinued","Current")</f>
        <v>Current</v>
      </c>
      <c r="L358" s="9">
        <f>VLOOKUP(dynamic[productID],products[],IF(YEAR(dynamic[orderDate])=2022,8,IF(YEAR(dynamic[orderDate])=2023,9,IF(YEAR(dynamic[orderDate])=2024,10,NA))),FALSE)</f>
        <v>5.667130124</v>
      </c>
      <c r="M358" s="9">
        <v>8.0</v>
      </c>
      <c r="N358" s="25">
        <f>(dynamic[orderPrice]-dynamic[productCost])/dynamic[productCost]</f>
        <v>0.4116492519</v>
      </c>
      <c r="O358" s="10">
        <v>50.0</v>
      </c>
      <c r="P358" s="25">
        <v>0.0</v>
      </c>
      <c r="Q358" s="9">
        <f>dynamic[orderPrice]*dynamic[orderQuantity]</f>
        <v>400</v>
      </c>
      <c r="R358" s="9">
        <f>dynamic[orderTotal]*(1-dynamic[discountApllied])</f>
        <v>400</v>
      </c>
      <c r="S358" s="9">
        <f>dynamic[revenue]-(dynamic[productCost]*dynamic[orderQuantity])</f>
        <v>116.6434938</v>
      </c>
      <c r="T358" s="25">
        <f>IFERROR(dynamic[profit]/dynamic[revenue], 0)</f>
        <v>0.2916087345</v>
      </c>
    </row>
    <row r="359" ht="15.75" customHeight="1">
      <c r="A359" s="6">
        <v>10383.0</v>
      </c>
      <c r="B359" s="7" t="s">
        <v>70</v>
      </c>
      <c r="C359" s="24" t="str">
        <f>VLOOKUP(dynamic[customerID],customers[],2,FALSE)</f>
        <v>Around the Horn</v>
      </c>
      <c r="D359" s="24">
        <v>44911.0</v>
      </c>
      <c r="E359" s="6">
        <f>IFERROR(__xludf.DUMMYFUNCTION("COUNTUNIQUEIFS($A$2:$A359,$B$2:$B359,B359)"),2.0)</f>
        <v>2</v>
      </c>
      <c r="F359" s="6">
        <f t="shared" si="1"/>
        <v>31</v>
      </c>
      <c r="G359" s="6" t="str">
        <f>IF(MINIFS(dynamic[orderDate], dynamic[customerID], B359) &gt;= DATE(2024,4,30)-120, 
     "New", 
     IF(MAXIFS(dynamic[orderCount], dynamic[customerID], B359)&lt;=2, 
        IF((DATE(2024,4,30) - MAXIFS(dynamic[orderDate], dynamic[customerID], B359)) &gt; 180, "Non-Returning", "Dormant"), 
        IF(AND(MAX(dynamic[sinceLastOrder]) &gt; 365, (DATE(2024,4,30) - MAXIFS(dynamic[orderDate], dynamic[customerID], B359)) &gt; 180), 
           "Dormant", "Regular")))</f>
        <v>Regular</v>
      </c>
      <c r="H359" s="6">
        <v>13.0</v>
      </c>
      <c r="I359" s="9" t="str">
        <f>VLOOKUP(dynamic[productID],products[],2,FALSE)</f>
        <v>Konbu</v>
      </c>
      <c r="J359" s="9" t="str">
        <f>VLOOKUP(dynamic[productID],products[],12,FALSE)</f>
        <v>Seafood</v>
      </c>
      <c r="K359" s="7" t="str">
        <f>IF(VLOOKUP(dynamic[productID],products[],7,FALSE)=1,"Discontinued","Current")</f>
        <v>Current</v>
      </c>
      <c r="L359" s="9">
        <f>VLOOKUP(dynamic[productID],products[],IF(YEAR(dynamic[orderDate])=2022,8,IF(YEAR(dynamic[orderDate])=2023,9,IF(YEAR(dynamic[orderDate])=2024,10,NA))),FALSE)</f>
        <v>3.236727382</v>
      </c>
      <c r="M359" s="9">
        <v>4.8</v>
      </c>
      <c r="N359" s="25">
        <f>(dynamic[orderPrice]-dynamic[productCost])/dynamic[productCost]</f>
        <v>0.4829793907</v>
      </c>
      <c r="O359" s="10">
        <v>20.0</v>
      </c>
      <c r="P359" s="25">
        <v>0.0</v>
      </c>
      <c r="Q359" s="9">
        <f>dynamic[orderPrice]*dynamic[orderQuantity]</f>
        <v>96</v>
      </c>
      <c r="R359" s="9">
        <f>dynamic[orderTotal]*(1-dynamic[discountApllied])</f>
        <v>96</v>
      </c>
      <c r="S359" s="9">
        <f>dynamic[revenue]-(dynamic[productCost]*dynamic[orderQuantity])</f>
        <v>31.26545237</v>
      </c>
      <c r="T359" s="25">
        <f>IFERROR(dynamic[profit]/dynamic[revenue], 0)</f>
        <v>0.3256817955</v>
      </c>
    </row>
    <row r="360" ht="15.75" customHeight="1">
      <c r="A360" s="6">
        <v>10383.0</v>
      </c>
      <c r="B360" s="7" t="s">
        <v>70</v>
      </c>
      <c r="C360" s="24" t="str">
        <f>VLOOKUP(dynamic[customerID],customers[],2,FALSE)</f>
        <v>Around the Horn</v>
      </c>
      <c r="D360" s="24">
        <v>44911.0</v>
      </c>
      <c r="E360" s="6">
        <f>IFERROR(__xludf.DUMMYFUNCTION("COUNTUNIQUEIFS($A$2:$A360,$B$2:$B360,B360)"),2.0)</f>
        <v>2</v>
      </c>
      <c r="F360" s="6">
        <f t="shared" si="1"/>
        <v>31</v>
      </c>
      <c r="G360" s="6" t="str">
        <f>IF(MINIFS(dynamic[orderDate], dynamic[customerID], B360) &gt;= DATE(2024,4,30)-120, 
     "New", 
     IF(MAXIFS(dynamic[orderCount], dynamic[customerID], B360)&lt;=2, 
        IF((DATE(2024,4,30) - MAXIFS(dynamic[orderDate], dynamic[customerID], B360)) &gt; 180, "Non-Returning", "Dormant"), 
        IF(AND(MAX(dynamic[sinceLastOrder]) &gt; 365, (DATE(2024,4,30) - MAXIFS(dynamic[orderDate], dynamic[customerID], B360)) &gt; 180), 
           "Dormant", "Regular")))</f>
        <v>Regular</v>
      </c>
      <c r="H360" s="6">
        <v>50.0</v>
      </c>
      <c r="I360" s="9" t="str">
        <f>VLOOKUP(dynamic[productID],products[],2,FALSE)</f>
        <v>Valkoinen suklaa</v>
      </c>
      <c r="J360" s="9" t="str">
        <f>VLOOKUP(dynamic[productID],products[],12,FALSE)</f>
        <v>Confections</v>
      </c>
      <c r="K360" s="7" t="str">
        <f>IF(VLOOKUP(dynamic[productID],products[],7,FALSE)=1,"Discontinued","Current")</f>
        <v>Current</v>
      </c>
      <c r="L360" s="9">
        <f>VLOOKUP(dynamic[productID],products[],IF(YEAR(dynamic[orderDate])=2022,8,IF(YEAR(dynamic[orderDate])=2023,9,IF(YEAR(dynamic[orderDate])=2024,10,NA))),FALSE)</f>
        <v>9.682278645</v>
      </c>
      <c r="M360" s="9">
        <v>13.0</v>
      </c>
      <c r="N360" s="25">
        <f>(dynamic[orderPrice]-dynamic[productCost])/dynamic[productCost]</f>
        <v>0.3426591484</v>
      </c>
      <c r="O360" s="10">
        <v>15.0</v>
      </c>
      <c r="P360" s="25">
        <v>0.0</v>
      </c>
      <c r="Q360" s="9">
        <f>dynamic[orderPrice]*dynamic[orderQuantity]</f>
        <v>195</v>
      </c>
      <c r="R360" s="9">
        <f>dynamic[orderTotal]*(1-dynamic[discountApllied])</f>
        <v>195</v>
      </c>
      <c r="S360" s="9">
        <f>dynamic[revenue]-(dynamic[productCost]*dynamic[orderQuantity])</f>
        <v>49.76582033</v>
      </c>
      <c r="T360" s="25">
        <f>IFERROR(dynamic[profit]/dynamic[revenue], 0)</f>
        <v>0.255209335</v>
      </c>
    </row>
    <row r="361" ht="15.75" customHeight="1">
      <c r="A361" s="6">
        <v>10383.0</v>
      </c>
      <c r="B361" s="7" t="s">
        <v>70</v>
      </c>
      <c r="C361" s="24" t="str">
        <f>VLOOKUP(dynamic[customerID],customers[],2,FALSE)</f>
        <v>Around the Horn</v>
      </c>
      <c r="D361" s="24">
        <v>44911.0</v>
      </c>
      <c r="E361" s="6">
        <f>IFERROR(__xludf.DUMMYFUNCTION("COUNTUNIQUEIFS($A$2:$A361,$B$2:$B361,B361)"),2.0)</f>
        <v>2</v>
      </c>
      <c r="F361" s="6">
        <f t="shared" si="1"/>
        <v>31</v>
      </c>
      <c r="G361" s="6" t="str">
        <f>IF(MINIFS(dynamic[orderDate], dynamic[customerID], B361) &gt;= DATE(2024,4,30)-120, 
     "New", 
     IF(MAXIFS(dynamic[orderCount], dynamic[customerID], B361)&lt;=2, 
        IF((DATE(2024,4,30) - MAXIFS(dynamic[orderDate], dynamic[customerID], B361)) &gt; 180, "Non-Returning", "Dormant"), 
        IF(AND(MAX(dynamic[sinceLastOrder]) &gt; 365, (DATE(2024,4,30) - MAXIFS(dynamic[orderDate], dynamic[customerID], B361)) &gt; 180), 
           "Dormant", "Regular")))</f>
        <v>Regular</v>
      </c>
      <c r="H361" s="6">
        <v>56.0</v>
      </c>
      <c r="I361" s="9" t="str">
        <f>VLOOKUP(dynamic[productID],products[],2,FALSE)</f>
        <v>Gnocchi di nonna Alice</v>
      </c>
      <c r="J361" s="9" t="str">
        <f>VLOOKUP(dynamic[productID],products[],12,FALSE)</f>
        <v>Grains/Cereals</v>
      </c>
      <c r="K361" s="7" t="str">
        <f>IF(VLOOKUP(dynamic[productID],products[],7,FALSE)=1,"Discontinued","Current")</f>
        <v>Current</v>
      </c>
      <c r="L361" s="9">
        <f>VLOOKUP(dynamic[productID],products[],IF(YEAR(dynamic[orderDate])=2022,8,IF(YEAR(dynamic[orderDate])=2023,9,IF(YEAR(dynamic[orderDate])=2024,10,NA))),FALSE)</f>
        <v>21.5040056</v>
      </c>
      <c r="M361" s="9">
        <v>30.4</v>
      </c>
      <c r="N361" s="25">
        <f>(dynamic[orderPrice]-dynamic[productCost])/dynamic[productCost]</f>
        <v>0.4136901081</v>
      </c>
      <c r="O361" s="10">
        <v>20.0</v>
      </c>
      <c r="P361" s="25">
        <v>0.0</v>
      </c>
      <c r="Q361" s="9">
        <f>dynamic[orderPrice]*dynamic[orderQuantity]</f>
        <v>608</v>
      </c>
      <c r="R361" s="9">
        <f>dynamic[orderTotal]*(1-dynamic[discountApllied])</f>
        <v>608</v>
      </c>
      <c r="S361" s="9">
        <f>dynamic[revenue]-(dynamic[productCost]*dynamic[orderQuantity])</f>
        <v>177.919888</v>
      </c>
      <c r="T361" s="25">
        <f>IFERROR(dynamic[profit]/dynamic[revenue], 0)</f>
        <v>0.2926313948</v>
      </c>
    </row>
    <row r="362" ht="15.75" customHeight="1">
      <c r="A362" s="6">
        <v>10384.0</v>
      </c>
      <c r="B362" s="7" t="s">
        <v>40</v>
      </c>
      <c r="C362" s="24" t="str">
        <f>VLOOKUP(dynamic[customerID],customers[],2,FALSE)</f>
        <v>Berglunds snabbköp</v>
      </c>
      <c r="D362" s="24">
        <v>44911.0</v>
      </c>
      <c r="E362" s="6">
        <f>IFERROR(__xludf.DUMMYFUNCTION("COUNTUNIQUEIFS($A$2:$A362,$B$2:$B362,B362)"),3.0)</f>
        <v>3</v>
      </c>
      <c r="F362" s="6">
        <f t="shared" si="1"/>
        <v>124</v>
      </c>
      <c r="G362" s="6" t="str">
        <f>IF(MINIFS(dynamic[orderDate], dynamic[customerID], B362) &gt;= DATE(2024,4,30)-120, 
     "New", 
     IF(MAXIFS(dynamic[orderCount], dynamic[customerID], B362)&lt;=2, 
        IF((DATE(2024,4,30) - MAXIFS(dynamic[orderDate], dynamic[customerID], B362)) &gt; 180, "Non-Returning", "Dormant"), 
        IF(AND(MAX(dynamic[sinceLastOrder]) &gt; 365, (DATE(2024,4,30) - MAXIFS(dynamic[orderDate], dynamic[customerID], B362)) &gt; 180), 
           "Dormant", "Regular")))</f>
        <v>Regular</v>
      </c>
      <c r="H362" s="6">
        <v>20.0</v>
      </c>
      <c r="I362" s="9" t="str">
        <f>VLOOKUP(dynamic[productID],products[],2,FALSE)</f>
        <v>Sir Rodney's Marmalade</v>
      </c>
      <c r="J362" s="9" t="str">
        <f>VLOOKUP(dynamic[productID],products[],12,FALSE)</f>
        <v>Confections</v>
      </c>
      <c r="K362" s="7" t="str">
        <f>IF(VLOOKUP(dynamic[productID],products[],7,FALSE)=1,"Discontinued","Current")</f>
        <v>Current</v>
      </c>
      <c r="L362" s="9">
        <f>VLOOKUP(dynamic[productID],products[],IF(YEAR(dynamic[orderDate])=2022,8,IF(YEAR(dynamic[orderDate])=2023,9,IF(YEAR(dynamic[orderDate])=2024,10,NA))),FALSE)</f>
        <v>45.94247438</v>
      </c>
      <c r="M362" s="9">
        <v>64.8</v>
      </c>
      <c r="N362" s="25">
        <f>(dynamic[orderPrice]-dynamic[productCost])/dynamic[productCost]</f>
        <v>0.4104595121</v>
      </c>
      <c r="O362" s="10">
        <v>28.0</v>
      </c>
      <c r="P362" s="25">
        <v>0.0</v>
      </c>
      <c r="Q362" s="9">
        <f>dynamic[orderPrice]*dynamic[orderQuantity]</f>
        <v>1814.4</v>
      </c>
      <c r="R362" s="9">
        <f>dynamic[orderTotal]*(1-dynamic[discountApllied])</f>
        <v>1814.4</v>
      </c>
      <c r="S362" s="9">
        <f>dynamic[revenue]-(dynamic[productCost]*dynamic[orderQuantity])</f>
        <v>528.0107173</v>
      </c>
      <c r="T362" s="25">
        <f>IFERROR(dynamic[profit]/dynamic[revenue], 0)</f>
        <v>0.2910111978</v>
      </c>
    </row>
    <row r="363" ht="15.75" customHeight="1">
      <c r="A363" s="6">
        <v>10384.0</v>
      </c>
      <c r="B363" s="7" t="s">
        <v>40</v>
      </c>
      <c r="C363" s="24" t="str">
        <f>VLOOKUP(dynamic[customerID],customers[],2,FALSE)</f>
        <v>Berglunds snabbköp</v>
      </c>
      <c r="D363" s="24">
        <v>44911.0</v>
      </c>
      <c r="E363" s="6">
        <f>IFERROR(__xludf.DUMMYFUNCTION("COUNTUNIQUEIFS($A$2:$A363,$B$2:$B363,B363)"),3.0)</f>
        <v>3</v>
      </c>
      <c r="F363" s="6">
        <f t="shared" si="1"/>
        <v>124</v>
      </c>
      <c r="G363" s="6" t="str">
        <f>IF(MINIFS(dynamic[orderDate], dynamic[customerID], B363) &gt;= DATE(2024,4,30)-120, 
     "New", 
     IF(MAXIFS(dynamic[orderCount], dynamic[customerID], B363)&lt;=2, 
        IF((DATE(2024,4,30) - MAXIFS(dynamic[orderDate], dynamic[customerID], B363)) &gt; 180, "Non-Returning", "Dormant"), 
        IF(AND(MAX(dynamic[sinceLastOrder]) &gt; 365, (DATE(2024,4,30) - MAXIFS(dynamic[orderDate], dynamic[customerID], B363)) &gt; 180), 
           "Dormant", "Regular")))</f>
        <v>Regular</v>
      </c>
      <c r="H363" s="6">
        <v>60.0</v>
      </c>
      <c r="I363" s="9" t="str">
        <f>VLOOKUP(dynamic[productID],products[],2,FALSE)</f>
        <v>Camembert Pierrot</v>
      </c>
      <c r="J363" s="9" t="str">
        <f>VLOOKUP(dynamic[productID],products[],12,FALSE)</f>
        <v>Dairy Products</v>
      </c>
      <c r="K363" s="7" t="str">
        <f>IF(VLOOKUP(dynamic[productID],products[],7,FALSE)=1,"Discontinued","Current")</f>
        <v>Current</v>
      </c>
      <c r="L363" s="9">
        <f>VLOOKUP(dynamic[productID],products[],IF(YEAR(dynamic[orderDate])=2022,8,IF(YEAR(dynamic[orderDate])=2023,9,IF(YEAR(dynamic[orderDate])=2024,10,NA))),FALSE)</f>
        <v>17.66563493</v>
      </c>
      <c r="M363" s="9">
        <v>27.2</v>
      </c>
      <c r="N363" s="25">
        <f>(dynamic[orderPrice]-dynamic[productCost])/dynamic[productCost]</f>
        <v>0.5397125612</v>
      </c>
      <c r="O363" s="10">
        <v>15.0</v>
      </c>
      <c r="P363" s="25">
        <v>0.0</v>
      </c>
      <c r="Q363" s="9">
        <f>dynamic[orderPrice]*dynamic[orderQuantity]</f>
        <v>408</v>
      </c>
      <c r="R363" s="9">
        <f>dynamic[orderTotal]*(1-dynamic[discountApllied])</f>
        <v>408</v>
      </c>
      <c r="S363" s="9">
        <f>dynamic[revenue]-(dynamic[productCost]*dynamic[orderQuantity])</f>
        <v>143.0154761</v>
      </c>
      <c r="T363" s="25">
        <f>IFERROR(dynamic[profit]/dynamic[revenue], 0)</f>
        <v>0.3505281276</v>
      </c>
    </row>
    <row r="364" ht="15.75" customHeight="1">
      <c r="A364" s="6">
        <v>10385.0</v>
      </c>
      <c r="B364" s="7" t="s">
        <v>35</v>
      </c>
      <c r="C364" s="24" t="str">
        <f>VLOOKUP(dynamic[customerID],customers[],2,FALSE)</f>
        <v>Split Rail Beer &amp; Ale</v>
      </c>
      <c r="D364" s="24">
        <v>44912.0</v>
      </c>
      <c r="E364" s="6">
        <f>IFERROR(__xludf.DUMMYFUNCTION("COUNTUNIQUEIFS($A$2:$A364,$B$2:$B364,B364)"),5.0)</f>
        <v>5</v>
      </c>
      <c r="F364" s="6">
        <f t="shared" si="1"/>
        <v>15</v>
      </c>
      <c r="G364" s="6" t="str">
        <f>IF(MINIFS(dynamic[orderDate], dynamic[customerID], B364) &gt;= DATE(2024,4,30)-120, 
     "New", 
     IF(MAXIFS(dynamic[orderCount], dynamic[customerID], B364)&lt;=2, 
        IF((DATE(2024,4,30) - MAXIFS(dynamic[orderDate], dynamic[customerID], B364)) &gt; 180, "Non-Returning", "Dormant"), 
        IF(AND(MAX(dynamic[sinceLastOrder]) &gt; 365, (DATE(2024,4,30) - MAXIFS(dynamic[orderDate], dynamic[customerID], B364)) &gt; 180), 
           "Dormant", "Regular")))</f>
        <v>Regular</v>
      </c>
      <c r="H364" s="6">
        <v>7.0</v>
      </c>
      <c r="I364" s="9" t="str">
        <f>VLOOKUP(dynamic[productID],products[],2,FALSE)</f>
        <v>Uncle Bob's Organic Dried Pears</v>
      </c>
      <c r="J364" s="9" t="str">
        <f>VLOOKUP(dynamic[productID],products[],12,FALSE)</f>
        <v>Produce</v>
      </c>
      <c r="K364" s="7" t="str">
        <f>IF(VLOOKUP(dynamic[productID],products[],7,FALSE)=1,"Discontinued","Current")</f>
        <v>Current</v>
      </c>
      <c r="L364" s="9">
        <f>VLOOKUP(dynamic[productID],products[],IF(YEAR(dynamic[orderDate])=2022,8,IF(YEAR(dynamic[orderDate])=2023,9,IF(YEAR(dynamic[orderDate])=2024,10,NA))),FALSE)</f>
        <v>16.42997431</v>
      </c>
      <c r="M364" s="9">
        <v>24.0</v>
      </c>
      <c r="N364" s="25">
        <f>(dynamic[orderPrice]-dynamic[productCost])/dynamic[productCost]</f>
        <v>0.4607448283</v>
      </c>
      <c r="O364" s="10">
        <v>10.0</v>
      </c>
      <c r="P364" s="25">
        <v>0.2</v>
      </c>
      <c r="Q364" s="9">
        <f>dynamic[orderPrice]*dynamic[orderQuantity]</f>
        <v>240</v>
      </c>
      <c r="R364" s="9">
        <f>dynamic[orderTotal]*(1-dynamic[discountApllied])</f>
        <v>192</v>
      </c>
      <c r="S364" s="9">
        <f>dynamic[revenue]-(dynamic[productCost]*dynamic[orderQuantity])</f>
        <v>27.70025691</v>
      </c>
      <c r="T364" s="25">
        <f>IFERROR(dynamic[profit]/dynamic[revenue], 0)</f>
        <v>0.1442721714</v>
      </c>
    </row>
    <row r="365" ht="15.75" customHeight="1">
      <c r="A365" s="6">
        <v>10385.0</v>
      </c>
      <c r="B365" s="7" t="s">
        <v>35</v>
      </c>
      <c r="C365" s="24" t="str">
        <f>VLOOKUP(dynamic[customerID],customers[],2,FALSE)</f>
        <v>Split Rail Beer &amp; Ale</v>
      </c>
      <c r="D365" s="24">
        <v>44912.0</v>
      </c>
      <c r="E365" s="6">
        <f>IFERROR(__xludf.DUMMYFUNCTION("COUNTUNIQUEIFS($A$2:$A365,$B$2:$B365,B365)"),5.0)</f>
        <v>5</v>
      </c>
      <c r="F365" s="6">
        <f t="shared" si="1"/>
        <v>15</v>
      </c>
      <c r="G365" s="6" t="str">
        <f>IF(MINIFS(dynamic[orderDate], dynamic[customerID], B365) &gt;= DATE(2024,4,30)-120, 
     "New", 
     IF(MAXIFS(dynamic[orderCount], dynamic[customerID], B365)&lt;=2, 
        IF((DATE(2024,4,30) - MAXIFS(dynamic[orderDate], dynamic[customerID], B365)) &gt; 180, "Non-Returning", "Dormant"), 
        IF(AND(MAX(dynamic[sinceLastOrder]) &gt; 365, (DATE(2024,4,30) - MAXIFS(dynamic[orderDate], dynamic[customerID], B365)) &gt; 180), 
           "Dormant", "Regular")))</f>
        <v>Regular</v>
      </c>
      <c r="H365" s="6">
        <v>60.0</v>
      </c>
      <c r="I365" s="9" t="str">
        <f>VLOOKUP(dynamic[productID],products[],2,FALSE)</f>
        <v>Camembert Pierrot</v>
      </c>
      <c r="J365" s="9" t="str">
        <f>VLOOKUP(dynamic[productID],products[],12,FALSE)</f>
        <v>Dairy Products</v>
      </c>
      <c r="K365" s="7" t="str">
        <f>IF(VLOOKUP(dynamic[productID],products[],7,FALSE)=1,"Discontinued","Current")</f>
        <v>Current</v>
      </c>
      <c r="L365" s="9">
        <f>VLOOKUP(dynamic[productID],products[],IF(YEAR(dynamic[orderDate])=2022,8,IF(YEAR(dynamic[orderDate])=2023,9,IF(YEAR(dynamic[orderDate])=2024,10,NA))),FALSE)</f>
        <v>17.66563493</v>
      </c>
      <c r="M365" s="9">
        <v>27.2</v>
      </c>
      <c r="N365" s="25">
        <f>(dynamic[orderPrice]-dynamic[productCost])/dynamic[productCost]</f>
        <v>0.5397125612</v>
      </c>
      <c r="O365" s="10">
        <v>20.0</v>
      </c>
      <c r="P365" s="25">
        <v>0.2</v>
      </c>
      <c r="Q365" s="9">
        <f>dynamic[orderPrice]*dynamic[orderQuantity]</f>
        <v>544</v>
      </c>
      <c r="R365" s="9">
        <f>dynamic[orderTotal]*(1-dynamic[discountApllied])</f>
        <v>435.2</v>
      </c>
      <c r="S365" s="9">
        <f>dynamic[revenue]-(dynamic[productCost]*dynamic[orderQuantity])</f>
        <v>81.88730144</v>
      </c>
      <c r="T365" s="25">
        <f>IFERROR(dynamic[profit]/dynamic[revenue], 0)</f>
        <v>0.1881601596</v>
      </c>
    </row>
    <row r="366" ht="15.75" customHeight="1">
      <c r="A366" s="6">
        <v>10385.0</v>
      </c>
      <c r="B366" s="7" t="s">
        <v>35</v>
      </c>
      <c r="C366" s="24" t="str">
        <f>VLOOKUP(dynamic[customerID],customers[],2,FALSE)</f>
        <v>Split Rail Beer &amp; Ale</v>
      </c>
      <c r="D366" s="24">
        <v>44912.0</v>
      </c>
      <c r="E366" s="6">
        <f>IFERROR(__xludf.DUMMYFUNCTION("COUNTUNIQUEIFS($A$2:$A366,$B$2:$B366,B366)"),5.0)</f>
        <v>5</v>
      </c>
      <c r="F366" s="6">
        <f t="shared" si="1"/>
        <v>15</v>
      </c>
      <c r="G366" s="6" t="str">
        <f>IF(MINIFS(dynamic[orderDate], dynamic[customerID], B366) &gt;= DATE(2024,4,30)-120, 
     "New", 
     IF(MAXIFS(dynamic[orderCount], dynamic[customerID], B366)&lt;=2, 
        IF((DATE(2024,4,30) - MAXIFS(dynamic[orderDate], dynamic[customerID], B366)) &gt; 180, "Non-Returning", "Dormant"), 
        IF(AND(MAX(dynamic[sinceLastOrder]) &gt; 365, (DATE(2024,4,30) - MAXIFS(dynamic[orderDate], dynamic[customerID], B366)) &gt; 180), 
           "Dormant", "Regular")))</f>
        <v>Regular</v>
      </c>
      <c r="H366" s="6">
        <v>68.0</v>
      </c>
      <c r="I366" s="9" t="str">
        <f>VLOOKUP(dynamic[productID],products[],2,FALSE)</f>
        <v>Scottish Longbreads</v>
      </c>
      <c r="J366" s="9" t="str">
        <f>VLOOKUP(dynamic[productID],products[],12,FALSE)</f>
        <v>Confections</v>
      </c>
      <c r="K366" s="7" t="str">
        <f>IF(VLOOKUP(dynamic[productID],products[],7,FALSE)=1,"Discontinued","Current")</f>
        <v>Current</v>
      </c>
      <c r="L366" s="9">
        <f>VLOOKUP(dynamic[productID],products[],IF(YEAR(dynamic[orderDate])=2022,8,IF(YEAR(dynamic[orderDate])=2023,9,IF(YEAR(dynamic[orderDate])=2024,10,NA))),FALSE)</f>
        <v>7.316656529</v>
      </c>
      <c r="M366" s="9">
        <v>10.0</v>
      </c>
      <c r="N366" s="25">
        <f>(dynamic[orderPrice]-dynamic[productCost])/dynamic[productCost]</f>
        <v>0.3667444906</v>
      </c>
      <c r="O366" s="10">
        <v>8.0</v>
      </c>
      <c r="P366" s="25">
        <v>0.2</v>
      </c>
      <c r="Q366" s="9">
        <f>dynamic[orderPrice]*dynamic[orderQuantity]</f>
        <v>80</v>
      </c>
      <c r="R366" s="9">
        <f>dynamic[orderTotal]*(1-dynamic[discountApllied])</f>
        <v>64</v>
      </c>
      <c r="S366" s="9">
        <f>dynamic[revenue]-(dynamic[productCost]*dynamic[orderQuantity])</f>
        <v>5.466747772</v>
      </c>
      <c r="T366" s="25">
        <f>IFERROR(dynamic[profit]/dynamic[revenue], 0)</f>
        <v>0.08541793393</v>
      </c>
    </row>
    <row r="367" ht="15.75" customHeight="1">
      <c r="A367" s="6">
        <v>10386.0</v>
      </c>
      <c r="B367" s="7" t="s">
        <v>67</v>
      </c>
      <c r="C367" s="24" t="str">
        <f>VLOOKUP(dynamic[customerID],customers[],2,FALSE)</f>
        <v>Familia Arquibaldo</v>
      </c>
      <c r="D367" s="24">
        <v>44913.0</v>
      </c>
      <c r="E367" s="6">
        <f>IFERROR(__xludf.DUMMYFUNCTION("COUNTUNIQUEIFS($A$2:$A367,$B$2:$B367,B367)"),2.0)</f>
        <v>2</v>
      </c>
      <c r="F367" s="6">
        <f t="shared" si="1"/>
        <v>42</v>
      </c>
      <c r="G367" s="6" t="str">
        <f>IF(MINIFS(dynamic[orderDate], dynamic[customerID], B367) &gt;= DATE(2024,4,30)-120, 
     "New", 
     IF(MAXIFS(dynamic[orderCount], dynamic[customerID], B367)&lt;=2, 
        IF((DATE(2024,4,30) - MAXIFS(dynamic[orderDate], dynamic[customerID], B367)) &gt; 180, "Non-Returning", "Dormant"), 
        IF(AND(MAX(dynamic[sinceLastOrder]) &gt; 365, (DATE(2024,4,30) - MAXIFS(dynamic[orderDate], dynamic[customerID], B367)) &gt; 180), 
           "Dormant", "Regular")))</f>
        <v>Dormant</v>
      </c>
      <c r="H367" s="6">
        <v>24.0</v>
      </c>
      <c r="I367" s="9" t="str">
        <f>VLOOKUP(dynamic[productID],products[],2,FALSE)</f>
        <v>Brigadeiros Maravilhosos da Lilian</v>
      </c>
      <c r="J367" s="9" t="str">
        <f>VLOOKUP(dynamic[productID],products[],12,FALSE)</f>
        <v>Confections</v>
      </c>
      <c r="K367" s="7" t="str">
        <f>IF(VLOOKUP(dynamic[productID],products[],7,FALSE)=1,"Discontinued","Current")</f>
        <v>Discontinued</v>
      </c>
      <c r="L367" s="9">
        <f>VLOOKUP(dynamic[productID],products[],IF(YEAR(dynamic[orderDate])=2022,8,IF(YEAR(dynamic[orderDate])=2023,9,IF(YEAR(dynamic[orderDate])=2024,10,NA))),FALSE)</f>
        <v>2.68117246</v>
      </c>
      <c r="M367" s="9">
        <v>3.6</v>
      </c>
      <c r="N367" s="25">
        <f>(dynamic[orderPrice]-dynamic[productCost])/dynamic[productCost]</f>
        <v>0.3426961727</v>
      </c>
      <c r="O367" s="10">
        <v>15.0</v>
      </c>
      <c r="P367" s="25">
        <v>0.0</v>
      </c>
      <c r="Q367" s="9">
        <f>dynamic[orderPrice]*dynamic[orderQuantity]</f>
        <v>54</v>
      </c>
      <c r="R367" s="9">
        <f>dynamic[orderTotal]*(1-dynamic[discountApllied])</f>
        <v>54</v>
      </c>
      <c r="S367" s="9">
        <f>dynamic[revenue]-(dynamic[productCost]*dynamic[orderQuantity])</f>
        <v>13.7824131</v>
      </c>
      <c r="T367" s="25">
        <f>IFERROR(dynamic[profit]/dynamic[revenue], 0)</f>
        <v>0.2552298723</v>
      </c>
    </row>
    <row r="368" ht="15.75" customHeight="1">
      <c r="A368" s="6">
        <v>10386.0</v>
      </c>
      <c r="B368" s="7" t="s">
        <v>67</v>
      </c>
      <c r="C368" s="24" t="str">
        <f>VLOOKUP(dynamic[customerID],customers[],2,FALSE)</f>
        <v>Familia Arquibaldo</v>
      </c>
      <c r="D368" s="24">
        <v>44913.0</v>
      </c>
      <c r="E368" s="6">
        <f>IFERROR(__xludf.DUMMYFUNCTION("COUNTUNIQUEIFS($A$2:$A368,$B$2:$B368,B368)"),2.0)</f>
        <v>2</v>
      </c>
      <c r="F368" s="6">
        <f t="shared" si="1"/>
        <v>42</v>
      </c>
      <c r="G368" s="6" t="str">
        <f>IF(MINIFS(dynamic[orderDate], dynamic[customerID], B368) &gt;= DATE(2024,4,30)-120, 
     "New", 
     IF(MAXIFS(dynamic[orderCount], dynamic[customerID], B368)&lt;=2, 
        IF((DATE(2024,4,30) - MAXIFS(dynamic[orderDate], dynamic[customerID], B368)) &gt; 180, "Non-Returning", "Dormant"), 
        IF(AND(MAX(dynamic[sinceLastOrder]) &gt; 365, (DATE(2024,4,30) - MAXIFS(dynamic[orderDate], dynamic[customerID], B368)) &gt; 180), 
           "Dormant", "Regular")))</f>
        <v>Dormant</v>
      </c>
      <c r="H368" s="6">
        <v>34.0</v>
      </c>
      <c r="I368" s="9" t="str">
        <f>VLOOKUP(dynamic[productID],products[],2,FALSE)</f>
        <v>Sasquatch Ale</v>
      </c>
      <c r="J368" s="9" t="str">
        <f>VLOOKUP(dynamic[productID],products[],12,FALSE)</f>
        <v>Beverages</v>
      </c>
      <c r="K368" s="7" t="str">
        <f>IF(VLOOKUP(dynamic[productID],products[],7,FALSE)=1,"Discontinued","Current")</f>
        <v>Current</v>
      </c>
      <c r="L368" s="9">
        <f>VLOOKUP(dynamic[productID],products[],IF(YEAR(dynamic[orderDate])=2022,8,IF(YEAR(dynamic[orderDate])=2023,9,IF(YEAR(dynamic[orderDate])=2024,10,NA))),FALSE)</f>
        <v>8.233671911</v>
      </c>
      <c r="M368" s="9">
        <v>11.2</v>
      </c>
      <c r="N368" s="25">
        <f>(dynamic[orderPrice]-dynamic[productCost])/dynamic[productCost]</f>
        <v>0.3602679486</v>
      </c>
      <c r="O368" s="10">
        <v>10.0</v>
      </c>
      <c r="P368" s="25">
        <v>0.0</v>
      </c>
      <c r="Q368" s="9">
        <f>dynamic[orderPrice]*dynamic[orderQuantity]</f>
        <v>112</v>
      </c>
      <c r="R368" s="9">
        <f>dynamic[orderTotal]*(1-dynamic[discountApllied])</f>
        <v>112</v>
      </c>
      <c r="S368" s="9">
        <f>dynamic[revenue]-(dynamic[productCost]*dynamic[orderQuantity])</f>
        <v>29.66328089</v>
      </c>
      <c r="T368" s="25">
        <f>IFERROR(dynamic[profit]/dynamic[revenue], 0)</f>
        <v>0.2648507222</v>
      </c>
    </row>
    <row r="369" ht="15.75" customHeight="1">
      <c r="A369" s="6">
        <v>10387.0</v>
      </c>
      <c r="B369" s="7" t="s">
        <v>80</v>
      </c>
      <c r="C369" s="24" t="str">
        <f>VLOOKUP(dynamic[customerID],customers[],2,FALSE)</f>
        <v>Santé Gourmet</v>
      </c>
      <c r="D369" s="24">
        <v>44913.0</v>
      </c>
      <c r="E369" s="6">
        <f>IFERROR(__xludf.DUMMYFUNCTION("COUNTUNIQUEIFS($A$2:$A369,$B$2:$B369,B369)"),1.0)</f>
        <v>1</v>
      </c>
      <c r="F369" s="6">
        <f t="shared" si="1"/>
        <v>0</v>
      </c>
      <c r="G369" s="6" t="str">
        <f>IF(MINIFS(dynamic[orderDate], dynamic[customerID], B369) &gt;= DATE(2024,4,30)-120, 
     "New", 
     IF(MAXIFS(dynamic[orderCount], dynamic[customerID], B369)&lt;=2, 
        IF((DATE(2024,4,30) - MAXIFS(dynamic[orderDate], dynamic[customerID], B369)) &gt; 180, "Non-Returning", "Dormant"), 
        IF(AND(MAX(dynamic[sinceLastOrder]) &gt; 365, (DATE(2024,4,30) - MAXIFS(dynamic[orderDate], dynamic[customerID], B369)) &gt; 180), 
           "Dormant", "Regular")))</f>
        <v>Regular</v>
      </c>
      <c r="H369" s="6">
        <v>24.0</v>
      </c>
      <c r="I369" s="9" t="str">
        <f>VLOOKUP(dynamic[productID],products[],2,FALSE)</f>
        <v>Brigadeiros Maravilhosos da Lilian</v>
      </c>
      <c r="J369" s="9" t="str">
        <f>VLOOKUP(dynamic[productID],products[],12,FALSE)</f>
        <v>Confections</v>
      </c>
      <c r="K369" s="7" t="str">
        <f>IF(VLOOKUP(dynamic[productID],products[],7,FALSE)=1,"Discontinued","Current")</f>
        <v>Discontinued</v>
      </c>
      <c r="L369" s="9">
        <f>VLOOKUP(dynamic[productID],products[],IF(YEAR(dynamic[orderDate])=2022,8,IF(YEAR(dynamic[orderDate])=2023,9,IF(YEAR(dynamic[orderDate])=2024,10,NA))),FALSE)</f>
        <v>2.68117246</v>
      </c>
      <c r="M369" s="9">
        <v>3.6</v>
      </c>
      <c r="N369" s="25">
        <f>(dynamic[orderPrice]-dynamic[productCost])/dynamic[productCost]</f>
        <v>0.3426961727</v>
      </c>
      <c r="O369" s="10">
        <v>15.0</v>
      </c>
      <c r="P369" s="25">
        <v>0.0</v>
      </c>
      <c r="Q369" s="9">
        <f>dynamic[orderPrice]*dynamic[orderQuantity]</f>
        <v>54</v>
      </c>
      <c r="R369" s="9">
        <f>dynamic[orderTotal]*(1-dynamic[discountApllied])</f>
        <v>54</v>
      </c>
      <c r="S369" s="9">
        <f>dynamic[revenue]-(dynamic[productCost]*dynamic[orderQuantity])</f>
        <v>13.7824131</v>
      </c>
      <c r="T369" s="25">
        <f>IFERROR(dynamic[profit]/dynamic[revenue], 0)</f>
        <v>0.2552298723</v>
      </c>
    </row>
    <row r="370" ht="15.75" customHeight="1">
      <c r="A370" s="6">
        <v>10387.0</v>
      </c>
      <c r="B370" s="7" t="s">
        <v>80</v>
      </c>
      <c r="C370" s="24" t="str">
        <f>VLOOKUP(dynamic[customerID],customers[],2,FALSE)</f>
        <v>Santé Gourmet</v>
      </c>
      <c r="D370" s="24">
        <v>44913.0</v>
      </c>
      <c r="E370" s="6">
        <f>IFERROR(__xludf.DUMMYFUNCTION("COUNTUNIQUEIFS($A$2:$A370,$B$2:$B370,B370)"),1.0)</f>
        <v>1</v>
      </c>
      <c r="F370" s="6">
        <f t="shared" si="1"/>
        <v>0</v>
      </c>
      <c r="G370" s="6" t="str">
        <f>IF(MINIFS(dynamic[orderDate], dynamic[customerID], B370) &gt;= DATE(2024,4,30)-120, 
     "New", 
     IF(MAXIFS(dynamic[orderCount], dynamic[customerID], B370)&lt;=2, 
        IF((DATE(2024,4,30) - MAXIFS(dynamic[orderDate], dynamic[customerID], B370)) &gt; 180, "Non-Returning", "Dormant"), 
        IF(AND(MAX(dynamic[sinceLastOrder]) &gt; 365, (DATE(2024,4,30) - MAXIFS(dynamic[orderDate], dynamic[customerID], B370)) &gt; 180), 
           "Dormant", "Regular")))</f>
        <v>Regular</v>
      </c>
      <c r="H370" s="6">
        <v>28.0</v>
      </c>
      <c r="I370" s="9" t="str">
        <f>VLOOKUP(dynamic[productID],products[],2,FALSE)</f>
        <v>Rössle Sauerkraut</v>
      </c>
      <c r="J370" s="9" t="str">
        <f>VLOOKUP(dynamic[productID],products[],12,FALSE)</f>
        <v>Produce</v>
      </c>
      <c r="K370" s="7" t="str">
        <f>IF(VLOOKUP(dynamic[productID],products[],7,FALSE)=1,"Discontinued","Current")</f>
        <v>Discontinued</v>
      </c>
      <c r="L370" s="9">
        <f>VLOOKUP(dynamic[productID],products[],IF(YEAR(dynamic[orderDate])=2022,8,IF(YEAR(dynamic[orderDate])=2023,9,IF(YEAR(dynamic[orderDate])=2024,10,NA))),FALSE)</f>
        <v>27.51992272</v>
      </c>
      <c r="M370" s="9">
        <v>36.4</v>
      </c>
      <c r="N370" s="25">
        <f>(dynamic[orderPrice]-dynamic[productCost])/dynamic[productCost]</f>
        <v>0.3226781326</v>
      </c>
      <c r="O370" s="10">
        <v>6.0</v>
      </c>
      <c r="P370" s="25">
        <v>0.0</v>
      </c>
      <c r="Q370" s="9">
        <f>dynamic[orderPrice]*dynamic[orderQuantity]</f>
        <v>218.4</v>
      </c>
      <c r="R370" s="9">
        <f>dynamic[orderTotal]*(1-dynamic[discountApllied])</f>
        <v>218.4</v>
      </c>
      <c r="S370" s="9">
        <f>dynamic[revenue]-(dynamic[productCost]*dynamic[orderQuantity])</f>
        <v>53.28046365</v>
      </c>
      <c r="T370" s="25">
        <f>IFERROR(dynamic[profit]/dynamic[revenue], 0)</f>
        <v>0.2439581669</v>
      </c>
    </row>
    <row r="371" ht="15.75" customHeight="1">
      <c r="A371" s="6">
        <v>10387.0</v>
      </c>
      <c r="B371" s="7" t="s">
        <v>80</v>
      </c>
      <c r="C371" s="24" t="str">
        <f>VLOOKUP(dynamic[customerID],customers[],2,FALSE)</f>
        <v>Santé Gourmet</v>
      </c>
      <c r="D371" s="24">
        <v>44913.0</v>
      </c>
      <c r="E371" s="6">
        <f>IFERROR(__xludf.DUMMYFUNCTION("COUNTUNIQUEIFS($A$2:$A371,$B$2:$B371,B371)"),1.0)</f>
        <v>1</v>
      </c>
      <c r="F371" s="6">
        <f t="shared" si="1"/>
        <v>0</v>
      </c>
      <c r="G371" s="6" t="str">
        <f>IF(MINIFS(dynamic[orderDate], dynamic[customerID], B371) &gt;= DATE(2024,4,30)-120, 
     "New", 
     IF(MAXIFS(dynamic[orderCount], dynamic[customerID], B371)&lt;=2, 
        IF((DATE(2024,4,30) - MAXIFS(dynamic[orderDate], dynamic[customerID], B371)) &gt; 180, "Non-Returning", "Dormant"), 
        IF(AND(MAX(dynamic[sinceLastOrder]) &gt; 365, (DATE(2024,4,30) - MAXIFS(dynamic[orderDate], dynamic[customerID], B371)) &gt; 180), 
           "Dormant", "Regular")))</f>
        <v>Regular</v>
      </c>
      <c r="H371" s="6">
        <v>59.0</v>
      </c>
      <c r="I371" s="9" t="str">
        <f>VLOOKUP(dynamic[productID],products[],2,FALSE)</f>
        <v>Raclette Courdavault</v>
      </c>
      <c r="J371" s="9" t="str">
        <f>VLOOKUP(dynamic[productID],products[],12,FALSE)</f>
        <v>Dairy Products</v>
      </c>
      <c r="K371" s="7" t="str">
        <f>IF(VLOOKUP(dynamic[productID],products[],7,FALSE)=1,"Discontinued","Current")</f>
        <v>Current</v>
      </c>
      <c r="L371" s="9">
        <f>VLOOKUP(dynamic[productID],products[],IF(YEAR(dynamic[orderDate])=2022,8,IF(YEAR(dynamic[orderDate])=2023,9,IF(YEAR(dynamic[orderDate])=2024,10,NA))),FALSE)</f>
        <v>29.20351951</v>
      </c>
      <c r="M371" s="9">
        <v>44.0</v>
      </c>
      <c r="N371" s="25">
        <f>(dynamic[orderPrice]-dynamic[productCost])/dynamic[productCost]</f>
        <v>0.5066677147</v>
      </c>
      <c r="O371" s="10">
        <v>12.0</v>
      </c>
      <c r="P371" s="25">
        <v>0.0</v>
      </c>
      <c r="Q371" s="9">
        <f>dynamic[orderPrice]*dynamic[orderQuantity]</f>
        <v>528</v>
      </c>
      <c r="R371" s="9">
        <f>dynamic[orderTotal]*(1-dynamic[discountApllied])</f>
        <v>528</v>
      </c>
      <c r="S371" s="9">
        <f>dynamic[revenue]-(dynamic[productCost]*dynamic[orderQuantity])</f>
        <v>177.5577659</v>
      </c>
      <c r="T371" s="25">
        <f>IFERROR(dynamic[profit]/dynamic[revenue], 0)</f>
        <v>0.3362836475</v>
      </c>
    </row>
    <row r="372" ht="15.75" customHeight="1">
      <c r="A372" s="6">
        <v>10387.0</v>
      </c>
      <c r="B372" s="7" t="s">
        <v>80</v>
      </c>
      <c r="C372" s="24" t="str">
        <f>VLOOKUP(dynamic[customerID],customers[],2,FALSE)</f>
        <v>Santé Gourmet</v>
      </c>
      <c r="D372" s="24">
        <v>44913.0</v>
      </c>
      <c r="E372" s="6">
        <f>IFERROR(__xludf.DUMMYFUNCTION("COUNTUNIQUEIFS($A$2:$A372,$B$2:$B372,B372)"),1.0)</f>
        <v>1</v>
      </c>
      <c r="F372" s="6">
        <f t="shared" si="1"/>
        <v>0</v>
      </c>
      <c r="G372" s="6" t="str">
        <f>IF(MINIFS(dynamic[orderDate], dynamic[customerID], B372) &gt;= DATE(2024,4,30)-120, 
     "New", 
     IF(MAXIFS(dynamic[orderCount], dynamic[customerID], B372)&lt;=2, 
        IF((DATE(2024,4,30) - MAXIFS(dynamic[orderDate], dynamic[customerID], B372)) &gt; 180, "Non-Returning", "Dormant"), 
        IF(AND(MAX(dynamic[sinceLastOrder]) &gt; 365, (DATE(2024,4,30) - MAXIFS(dynamic[orderDate], dynamic[customerID], B372)) &gt; 180), 
           "Dormant", "Regular")))</f>
        <v>Regular</v>
      </c>
      <c r="H372" s="6">
        <v>71.0</v>
      </c>
      <c r="I372" s="9" t="str">
        <f>VLOOKUP(dynamic[productID],products[],2,FALSE)</f>
        <v>Flotemysost</v>
      </c>
      <c r="J372" s="9" t="str">
        <f>VLOOKUP(dynamic[productID],products[],12,FALSE)</f>
        <v>Dairy Products</v>
      </c>
      <c r="K372" s="7" t="str">
        <f>IF(VLOOKUP(dynamic[productID],products[],7,FALSE)=1,"Discontinued","Current")</f>
        <v>Current</v>
      </c>
      <c r="L372" s="9">
        <f>VLOOKUP(dynamic[productID],products[],IF(YEAR(dynamic[orderDate])=2022,8,IF(YEAR(dynamic[orderDate])=2023,9,IF(YEAR(dynamic[orderDate])=2024,10,NA))),FALSE)</f>
        <v>12.00719029</v>
      </c>
      <c r="M372" s="9">
        <v>17.2</v>
      </c>
      <c r="N372" s="25">
        <f>(dynamic[orderPrice]-dynamic[productCost])/dynamic[productCost]</f>
        <v>0.4324750075</v>
      </c>
      <c r="O372" s="10">
        <v>15.0</v>
      </c>
      <c r="P372" s="25">
        <v>0.0</v>
      </c>
      <c r="Q372" s="9">
        <f>dynamic[orderPrice]*dynamic[orderQuantity]</f>
        <v>258</v>
      </c>
      <c r="R372" s="9">
        <f>dynamic[orderTotal]*(1-dynamic[discountApllied])</f>
        <v>258</v>
      </c>
      <c r="S372" s="9">
        <f>dynamic[revenue]-(dynamic[productCost]*dynamic[orderQuantity])</f>
        <v>77.89214566</v>
      </c>
      <c r="T372" s="25">
        <f>IFERROR(dynamic[profit]/dynamic[revenue], 0)</f>
        <v>0.3019075413</v>
      </c>
    </row>
    <row r="373" ht="15.75" customHeight="1">
      <c r="A373" s="6">
        <v>10388.0</v>
      </c>
      <c r="B373" s="7" t="s">
        <v>71</v>
      </c>
      <c r="C373" s="24" t="str">
        <f>VLOOKUP(dynamic[customerID],customers[],2,FALSE)</f>
        <v>Seven Seas Imports</v>
      </c>
      <c r="D373" s="24">
        <v>44914.0</v>
      </c>
      <c r="E373" s="6">
        <f>IFERROR(__xludf.DUMMYFUNCTION("COUNTUNIQUEIFS($A$2:$A373,$B$2:$B373,B373)"),3.0)</f>
        <v>3</v>
      </c>
      <c r="F373" s="6">
        <f t="shared" si="1"/>
        <v>10</v>
      </c>
      <c r="G373" s="6" t="str">
        <f>IF(MINIFS(dynamic[orderDate], dynamic[customerID], B373) &gt;= DATE(2024,4,30)-120, 
     "New", 
     IF(MAXIFS(dynamic[orderCount], dynamic[customerID], B373)&lt;=2, 
        IF((DATE(2024,4,30) - MAXIFS(dynamic[orderDate], dynamic[customerID], B373)) &gt; 180, "Non-Returning", "Dormant"), 
        IF(AND(MAX(dynamic[sinceLastOrder]) &gt; 365, (DATE(2024,4,30) - MAXIFS(dynamic[orderDate], dynamic[customerID], B373)) &gt; 180), 
           "Dormant", "Regular")))</f>
        <v>Regular</v>
      </c>
      <c r="H373" s="6">
        <v>45.0</v>
      </c>
      <c r="I373" s="9" t="str">
        <f>VLOOKUP(dynamic[productID],products[],2,FALSE)</f>
        <v>Rogede sild</v>
      </c>
      <c r="J373" s="9" t="str">
        <f>VLOOKUP(dynamic[productID],products[],12,FALSE)</f>
        <v>Seafood</v>
      </c>
      <c r="K373" s="7" t="str">
        <f>IF(VLOOKUP(dynamic[productID],products[],7,FALSE)=1,"Discontinued","Current")</f>
        <v>Current</v>
      </c>
      <c r="L373" s="9">
        <f>VLOOKUP(dynamic[productID],products[],IF(YEAR(dynamic[orderDate])=2022,8,IF(YEAR(dynamic[orderDate])=2023,9,IF(YEAR(dynamic[orderDate])=2024,10,NA))),FALSE)</f>
        <v>4.258565263</v>
      </c>
      <c r="M373" s="9">
        <v>7.6</v>
      </c>
      <c r="N373" s="25">
        <f>(dynamic[orderPrice]-dynamic[productCost])/dynamic[productCost]</f>
        <v>0.7846386118</v>
      </c>
      <c r="O373" s="10">
        <v>15.0</v>
      </c>
      <c r="P373" s="25">
        <v>0.2</v>
      </c>
      <c r="Q373" s="9">
        <f>dynamic[orderPrice]*dynamic[orderQuantity]</f>
        <v>114</v>
      </c>
      <c r="R373" s="9">
        <f>dynamic[orderTotal]*(1-dynamic[discountApllied])</f>
        <v>91.2</v>
      </c>
      <c r="S373" s="9">
        <f>dynamic[revenue]-(dynamic[productCost]*dynamic[orderQuantity])</f>
        <v>27.32152105</v>
      </c>
      <c r="T373" s="25">
        <f>IFERROR(dynamic[profit]/dynamic[revenue], 0)</f>
        <v>0.2995780817</v>
      </c>
    </row>
    <row r="374" ht="15.75" customHeight="1">
      <c r="A374" s="6">
        <v>10388.0</v>
      </c>
      <c r="B374" s="7" t="s">
        <v>71</v>
      </c>
      <c r="C374" s="24" t="str">
        <f>VLOOKUP(dynamic[customerID],customers[],2,FALSE)</f>
        <v>Seven Seas Imports</v>
      </c>
      <c r="D374" s="24">
        <v>44914.0</v>
      </c>
      <c r="E374" s="6">
        <f>IFERROR(__xludf.DUMMYFUNCTION("COUNTUNIQUEIFS($A$2:$A374,$B$2:$B374,B374)"),3.0)</f>
        <v>3</v>
      </c>
      <c r="F374" s="6">
        <f t="shared" si="1"/>
        <v>10</v>
      </c>
      <c r="G374" s="6" t="str">
        <f>IF(MINIFS(dynamic[orderDate], dynamic[customerID], B374) &gt;= DATE(2024,4,30)-120, 
     "New", 
     IF(MAXIFS(dynamic[orderCount], dynamic[customerID], B374)&lt;=2, 
        IF((DATE(2024,4,30) - MAXIFS(dynamic[orderDate], dynamic[customerID], B374)) &gt; 180, "Non-Returning", "Dormant"), 
        IF(AND(MAX(dynamic[sinceLastOrder]) &gt; 365, (DATE(2024,4,30) - MAXIFS(dynamic[orderDate], dynamic[customerID], B374)) &gt; 180), 
           "Dormant", "Regular")))</f>
        <v>Regular</v>
      </c>
      <c r="H374" s="6">
        <v>52.0</v>
      </c>
      <c r="I374" s="9" t="str">
        <f>VLOOKUP(dynamic[productID],products[],2,FALSE)</f>
        <v>Filo Mix</v>
      </c>
      <c r="J374" s="9" t="str">
        <f>VLOOKUP(dynamic[productID],products[],12,FALSE)</f>
        <v>Grains/Cereals</v>
      </c>
      <c r="K374" s="7" t="str">
        <f>IF(VLOOKUP(dynamic[productID],products[],7,FALSE)=1,"Discontinued","Current")</f>
        <v>Current</v>
      </c>
      <c r="L374" s="9">
        <f>VLOOKUP(dynamic[productID],products[],IF(YEAR(dynamic[orderDate])=2022,8,IF(YEAR(dynamic[orderDate])=2023,9,IF(YEAR(dynamic[orderDate])=2024,10,NA))),FALSE)</f>
        <v>3.853499959</v>
      </c>
      <c r="M374" s="9">
        <v>5.6</v>
      </c>
      <c r="N374" s="25">
        <f>(dynamic[orderPrice]-dynamic[productCost])/dynamic[productCost]</f>
        <v>0.4532243571</v>
      </c>
      <c r="O374" s="10">
        <v>20.0</v>
      </c>
      <c r="P374" s="25">
        <v>0.2</v>
      </c>
      <c r="Q374" s="9">
        <f>dynamic[orderPrice]*dynamic[orderQuantity]</f>
        <v>112</v>
      </c>
      <c r="R374" s="9">
        <f>dynamic[orderTotal]*(1-dynamic[discountApllied])</f>
        <v>89.6</v>
      </c>
      <c r="S374" s="9">
        <f>dynamic[revenue]-(dynamic[productCost]*dynamic[orderQuantity])</f>
        <v>12.53000083</v>
      </c>
      <c r="T374" s="25">
        <f>IFERROR(dynamic[profit]/dynamic[revenue], 0)</f>
        <v>0.1398437592</v>
      </c>
    </row>
    <row r="375" ht="15.75" customHeight="1">
      <c r="A375" s="6">
        <v>10388.0</v>
      </c>
      <c r="B375" s="7" t="s">
        <v>71</v>
      </c>
      <c r="C375" s="24" t="str">
        <f>VLOOKUP(dynamic[customerID],customers[],2,FALSE)</f>
        <v>Seven Seas Imports</v>
      </c>
      <c r="D375" s="24">
        <v>44914.0</v>
      </c>
      <c r="E375" s="6">
        <f>IFERROR(__xludf.DUMMYFUNCTION("COUNTUNIQUEIFS($A$2:$A375,$B$2:$B375,B375)"),3.0)</f>
        <v>3</v>
      </c>
      <c r="F375" s="6">
        <f t="shared" si="1"/>
        <v>10</v>
      </c>
      <c r="G375" s="6" t="str">
        <f>IF(MINIFS(dynamic[orderDate], dynamic[customerID], B375) &gt;= DATE(2024,4,30)-120, 
     "New", 
     IF(MAXIFS(dynamic[orderCount], dynamic[customerID], B375)&lt;=2, 
        IF((DATE(2024,4,30) - MAXIFS(dynamic[orderDate], dynamic[customerID], B375)) &gt; 180, "Non-Returning", "Dormant"), 
        IF(AND(MAX(dynamic[sinceLastOrder]) &gt; 365, (DATE(2024,4,30) - MAXIFS(dynamic[orderDate], dynamic[customerID], B375)) &gt; 180), 
           "Dormant", "Regular")))</f>
        <v>Regular</v>
      </c>
      <c r="H375" s="6">
        <v>53.0</v>
      </c>
      <c r="I375" s="9" t="str">
        <f>VLOOKUP(dynamic[productID],products[],2,FALSE)</f>
        <v>Perth Pasties</v>
      </c>
      <c r="J375" s="9" t="str">
        <f>VLOOKUP(dynamic[productID],products[],12,FALSE)</f>
        <v>Meat/Poultry</v>
      </c>
      <c r="K375" s="7" t="str">
        <f>IF(VLOOKUP(dynamic[productID],products[],7,FALSE)=1,"Discontinued","Current")</f>
        <v>Discontinued</v>
      </c>
      <c r="L375" s="9">
        <f>VLOOKUP(dynamic[productID],products[],IF(YEAR(dynamic[orderDate])=2022,8,IF(YEAR(dynamic[orderDate])=2023,9,IF(YEAR(dynamic[orderDate])=2024,10,NA))),FALSE)</f>
        <v>18.33322006</v>
      </c>
      <c r="M375" s="9">
        <v>26.2</v>
      </c>
      <c r="N375" s="25">
        <f>(dynamic[orderPrice]-dynamic[productCost])/dynamic[productCost]</f>
        <v>0.4290997391</v>
      </c>
      <c r="O375" s="10">
        <v>40.0</v>
      </c>
      <c r="P375" s="25">
        <v>0.0</v>
      </c>
      <c r="Q375" s="9">
        <f>dynamic[orderPrice]*dynamic[orderQuantity]</f>
        <v>1048</v>
      </c>
      <c r="R375" s="9">
        <f>dynamic[orderTotal]*(1-dynamic[discountApllied])</f>
        <v>1048</v>
      </c>
      <c r="S375" s="9">
        <f>dynamic[revenue]-(dynamic[productCost]*dynamic[orderQuantity])</f>
        <v>314.6711977</v>
      </c>
      <c r="T375" s="25">
        <f>IFERROR(dynamic[profit]/dynamic[revenue], 0)</f>
        <v>0.3002587765</v>
      </c>
    </row>
    <row r="376" ht="15.75" customHeight="1">
      <c r="A376" s="6">
        <v>10389.0</v>
      </c>
      <c r="B376" s="7" t="s">
        <v>81</v>
      </c>
      <c r="C376" s="24" t="str">
        <f>VLOOKUP(dynamic[customerID],customers[],2,FALSE)</f>
        <v>Bottom-Dollar Markets</v>
      </c>
      <c r="D376" s="24">
        <v>44915.0</v>
      </c>
      <c r="E376" s="6">
        <f>IFERROR(__xludf.DUMMYFUNCTION("COUNTUNIQUEIFS($A$2:$A376,$B$2:$B376,B376)"),1.0)</f>
        <v>1</v>
      </c>
      <c r="F376" s="6">
        <f t="shared" si="1"/>
        <v>0</v>
      </c>
      <c r="G376" s="6" t="str">
        <f>IF(MINIFS(dynamic[orderDate], dynamic[customerID], B376) &gt;= DATE(2024,4,30)-120, 
     "New", 
     IF(MAXIFS(dynamic[orderCount], dynamic[customerID], B376)&lt;=2, 
        IF((DATE(2024,4,30) - MAXIFS(dynamic[orderDate], dynamic[customerID], B376)) &gt; 180, "Non-Returning", "Dormant"), 
        IF(AND(MAX(dynamic[sinceLastOrder]) &gt; 365, (DATE(2024,4,30) - MAXIFS(dynamic[orderDate], dynamic[customerID], B376)) &gt; 180), 
           "Dormant", "Regular")))</f>
        <v>Regular</v>
      </c>
      <c r="H376" s="6">
        <v>10.0</v>
      </c>
      <c r="I376" s="9" t="str">
        <f>VLOOKUP(dynamic[productID],products[],2,FALSE)</f>
        <v>Ikura</v>
      </c>
      <c r="J376" s="9" t="str">
        <f>VLOOKUP(dynamic[productID],products[],12,FALSE)</f>
        <v>Seafood</v>
      </c>
      <c r="K376" s="7" t="str">
        <f>IF(VLOOKUP(dynamic[productID],products[],7,FALSE)=1,"Discontinued","Current")</f>
        <v>Current</v>
      </c>
      <c r="L376" s="9">
        <f>VLOOKUP(dynamic[productID],products[],IF(YEAR(dynamic[orderDate])=2022,8,IF(YEAR(dynamic[orderDate])=2023,9,IF(YEAR(dynamic[orderDate])=2024,10,NA))),FALSE)</f>
        <v>16.07630731</v>
      </c>
      <c r="M376" s="9">
        <v>24.8</v>
      </c>
      <c r="N376" s="25">
        <f>(dynamic[orderPrice]-dynamic[productCost])/dynamic[productCost]</f>
        <v>0.5426428175</v>
      </c>
      <c r="O376" s="10">
        <v>16.0</v>
      </c>
      <c r="P376" s="25">
        <v>0.0</v>
      </c>
      <c r="Q376" s="9">
        <f>dynamic[orderPrice]*dynamic[orderQuantity]</f>
        <v>396.8</v>
      </c>
      <c r="R376" s="9">
        <f>dynamic[orderTotal]*(1-dynamic[discountApllied])</f>
        <v>396.8</v>
      </c>
      <c r="S376" s="9">
        <f>dynamic[revenue]-(dynamic[productCost]*dynamic[orderQuantity])</f>
        <v>139.5790831</v>
      </c>
      <c r="T376" s="25">
        <f>IFERROR(dynamic[profit]/dynamic[revenue], 0)</f>
        <v>0.3517618021</v>
      </c>
    </row>
    <row r="377" ht="15.75" customHeight="1">
      <c r="A377" s="6">
        <v>10389.0</v>
      </c>
      <c r="B377" s="7" t="s">
        <v>81</v>
      </c>
      <c r="C377" s="24" t="str">
        <f>VLOOKUP(dynamic[customerID],customers[],2,FALSE)</f>
        <v>Bottom-Dollar Markets</v>
      </c>
      <c r="D377" s="24">
        <v>44915.0</v>
      </c>
      <c r="E377" s="6">
        <f>IFERROR(__xludf.DUMMYFUNCTION("COUNTUNIQUEIFS($A$2:$A377,$B$2:$B377,B377)"),1.0)</f>
        <v>1</v>
      </c>
      <c r="F377" s="6">
        <f t="shared" si="1"/>
        <v>0</v>
      </c>
      <c r="G377" s="6" t="str">
        <f>IF(MINIFS(dynamic[orderDate], dynamic[customerID], B377) &gt;= DATE(2024,4,30)-120, 
     "New", 
     IF(MAXIFS(dynamic[orderCount], dynamic[customerID], B377)&lt;=2, 
        IF((DATE(2024,4,30) - MAXIFS(dynamic[orderDate], dynamic[customerID], B377)) &gt; 180, "Non-Returning", "Dormant"), 
        IF(AND(MAX(dynamic[sinceLastOrder]) &gt; 365, (DATE(2024,4,30) - MAXIFS(dynamic[orderDate], dynamic[customerID], B377)) &gt; 180), 
           "Dormant", "Regular")))</f>
        <v>Regular</v>
      </c>
      <c r="H377" s="6">
        <v>55.0</v>
      </c>
      <c r="I377" s="9" t="str">
        <f>VLOOKUP(dynamic[productID],products[],2,FALSE)</f>
        <v>Pâté chinois</v>
      </c>
      <c r="J377" s="9" t="str">
        <f>VLOOKUP(dynamic[productID],products[],12,FALSE)</f>
        <v>Meat/Poultry</v>
      </c>
      <c r="K377" s="7" t="str">
        <f>IF(VLOOKUP(dynamic[productID],products[],7,FALSE)=1,"Discontinued","Current")</f>
        <v>Current</v>
      </c>
      <c r="L377" s="9">
        <f>VLOOKUP(dynamic[productID],products[],IF(YEAR(dynamic[orderDate])=2022,8,IF(YEAR(dynamic[orderDate])=2023,9,IF(YEAR(dynamic[orderDate])=2024,10,NA))),FALSE)</f>
        <v>12.97496052</v>
      </c>
      <c r="M377" s="9">
        <v>19.2</v>
      </c>
      <c r="N377" s="25">
        <f>(dynamic[orderPrice]-dynamic[productCost])/dynamic[productCost]</f>
        <v>0.4797732884</v>
      </c>
      <c r="O377" s="10">
        <v>15.0</v>
      </c>
      <c r="P377" s="25">
        <v>0.0</v>
      </c>
      <c r="Q377" s="9">
        <f>dynamic[orderPrice]*dynamic[orderQuantity]</f>
        <v>288</v>
      </c>
      <c r="R377" s="9">
        <f>dynamic[orderTotal]*(1-dynamic[discountApllied])</f>
        <v>288</v>
      </c>
      <c r="S377" s="9">
        <f>dynamic[revenue]-(dynamic[productCost]*dynamic[orderQuantity])</f>
        <v>93.37559215</v>
      </c>
      <c r="T377" s="25">
        <f>IFERROR(dynamic[profit]/dynamic[revenue], 0)</f>
        <v>0.3242208061</v>
      </c>
    </row>
    <row r="378" ht="15.75" customHeight="1">
      <c r="A378" s="6">
        <v>10389.0</v>
      </c>
      <c r="B378" s="7" t="s">
        <v>81</v>
      </c>
      <c r="C378" s="24" t="str">
        <f>VLOOKUP(dynamic[customerID],customers[],2,FALSE)</f>
        <v>Bottom-Dollar Markets</v>
      </c>
      <c r="D378" s="24">
        <v>44915.0</v>
      </c>
      <c r="E378" s="6">
        <f>IFERROR(__xludf.DUMMYFUNCTION("COUNTUNIQUEIFS($A$2:$A378,$B$2:$B378,B378)"),1.0)</f>
        <v>1</v>
      </c>
      <c r="F378" s="6">
        <f t="shared" si="1"/>
        <v>0</v>
      </c>
      <c r="G378" s="6" t="str">
        <f>IF(MINIFS(dynamic[orderDate], dynamic[customerID], B378) &gt;= DATE(2024,4,30)-120, 
     "New", 
     IF(MAXIFS(dynamic[orderCount], dynamic[customerID], B378)&lt;=2, 
        IF((DATE(2024,4,30) - MAXIFS(dynamic[orderDate], dynamic[customerID], B378)) &gt; 180, "Non-Returning", "Dormant"), 
        IF(AND(MAX(dynamic[sinceLastOrder]) &gt; 365, (DATE(2024,4,30) - MAXIFS(dynamic[orderDate], dynamic[customerID], B378)) &gt; 180), 
           "Dormant", "Regular")))</f>
        <v>Regular</v>
      </c>
      <c r="H378" s="6">
        <v>62.0</v>
      </c>
      <c r="I378" s="9" t="str">
        <f>VLOOKUP(dynamic[productID],products[],2,FALSE)</f>
        <v>Tarte au sucre</v>
      </c>
      <c r="J378" s="9" t="str">
        <f>VLOOKUP(dynamic[productID],products[],12,FALSE)</f>
        <v>Confections</v>
      </c>
      <c r="K378" s="7" t="str">
        <f>IF(VLOOKUP(dynamic[productID],products[],7,FALSE)=1,"Discontinued","Current")</f>
        <v>Current</v>
      </c>
      <c r="L378" s="9">
        <f>VLOOKUP(dynamic[productID],products[],IF(YEAR(dynamic[orderDate])=2022,8,IF(YEAR(dynamic[orderDate])=2023,9,IF(YEAR(dynamic[orderDate])=2024,10,NA))),FALSE)</f>
        <v>29.35963319</v>
      </c>
      <c r="M378" s="9">
        <v>39.4</v>
      </c>
      <c r="N378" s="25">
        <f>(dynamic[orderPrice]-dynamic[productCost])/dynamic[productCost]</f>
        <v>0.3419786189</v>
      </c>
      <c r="O378" s="10">
        <v>20.0</v>
      </c>
      <c r="P378" s="25">
        <v>0.0</v>
      </c>
      <c r="Q378" s="9">
        <f>dynamic[orderPrice]*dynamic[orderQuantity]</f>
        <v>788</v>
      </c>
      <c r="R378" s="9">
        <f>dynamic[orderTotal]*(1-dynamic[discountApllied])</f>
        <v>788</v>
      </c>
      <c r="S378" s="9">
        <f>dynamic[revenue]-(dynamic[productCost]*dynamic[orderQuantity])</f>
        <v>200.8073362</v>
      </c>
      <c r="T378" s="25">
        <f>IFERROR(dynamic[profit]/dynamic[revenue], 0)</f>
        <v>0.2548316449</v>
      </c>
    </row>
    <row r="379" ht="15.75" customHeight="1">
      <c r="A379" s="6">
        <v>10389.0</v>
      </c>
      <c r="B379" s="7" t="s">
        <v>81</v>
      </c>
      <c r="C379" s="24" t="str">
        <f>VLOOKUP(dynamic[customerID],customers[],2,FALSE)</f>
        <v>Bottom-Dollar Markets</v>
      </c>
      <c r="D379" s="24">
        <v>44915.0</v>
      </c>
      <c r="E379" s="6">
        <f>IFERROR(__xludf.DUMMYFUNCTION("COUNTUNIQUEIFS($A$2:$A379,$B$2:$B379,B379)"),1.0)</f>
        <v>1</v>
      </c>
      <c r="F379" s="6">
        <f t="shared" si="1"/>
        <v>0</v>
      </c>
      <c r="G379" s="6" t="str">
        <f>IF(MINIFS(dynamic[orderDate], dynamic[customerID], B379) &gt;= DATE(2024,4,30)-120, 
     "New", 
     IF(MAXIFS(dynamic[orderCount], dynamic[customerID], B379)&lt;=2, 
        IF((DATE(2024,4,30) - MAXIFS(dynamic[orderDate], dynamic[customerID], B379)) &gt; 180, "Non-Returning", "Dormant"), 
        IF(AND(MAX(dynamic[sinceLastOrder]) &gt; 365, (DATE(2024,4,30) - MAXIFS(dynamic[orderDate], dynamic[customerID], B379)) &gt; 180), 
           "Dormant", "Regular")))</f>
        <v>Regular</v>
      </c>
      <c r="H379" s="6">
        <v>70.0</v>
      </c>
      <c r="I379" s="9" t="str">
        <f>VLOOKUP(dynamic[productID],products[],2,FALSE)</f>
        <v>Outback Lager</v>
      </c>
      <c r="J379" s="9" t="str">
        <f>VLOOKUP(dynamic[productID],products[],12,FALSE)</f>
        <v>Beverages</v>
      </c>
      <c r="K379" s="7" t="str">
        <f>IF(VLOOKUP(dynamic[productID],products[],7,FALSE)=1,"Discontinued","Current")</f>
        <v>Current</v>
      </c>
      <c r="L379" s="9">
        <f>VLOOKUP(dynamic[productID],products[],IF(YEAR(dynamic[orderDate])=2022,8,IF(YEAR(dynamic[orderDate])=2023,9,IF(YEAR(dynamic[orderDate])=2024,10,NA))),FALSE)</f>
        <v>8.037520944</v>
      </c>
      <c r="M379" s="9">
        <v>12.0</v>
      </c>
      <c r="N379" s="25">
        <f>(dynamic[orderPrice]-dynamic[productCost])/dynamic[productCost]</f>
        <v>0.4929976648</v>
      </c>
      <c r="O379" s="10">
        <v>30.0</v>
      </c>
      <c r="P379" s="25">
        <v>0.0</v>
      </c>
      <c r="Q379" s="9">
        <f>dynamic[orderPrice]*dynamic[orderQuantity]</f>
        <v>360</v>
      </c>
      <c r="R379" s="9">
        <f>dynamic[orderTotal]*(1-dynamic[discountApllied])</f>
        <v>360</v>
      </c>
      <c r="S379" s="9">
        <f>dynamic[revenue]-(dynamic[productCost]*dynamic[orderQuantity])</f>
        <v>118.8743717</v>
      </c>
      <c r="T379" s="25">
        <f>IFERROR(dynamic[profit]/dynamic[revenue], 0)</f>
        <v>0.330206588</v>
      </c>
    </row>
    <row r="380" ht="15.75" customHeight="1">
      <c r="A380" s="6">
        <v>10390.0</v>
      </c>
      <c r="B380" s="7" t="s">
        <v>24</v>
      </c>
      <c r="C380" s="24" t="str">
        <f>VLOOKUP(dynamic[customerID],customers[],2,FALSE)</f>
        <v>Ernst Handel</v>
      </c>
      <c r="D380" s="24">
        <v>44918.0</v>
      </c>
      <c r="E380" s="6">
        <f>IFERROR(__xludf.DUMMYFUNCTION("COUNTUNIQUEIFS($A$2:$A380,$B$2:$B380,B380)"),6.0)</f>
        <v>6</v>
      </c>
      <c r="F380" s="6">
        <f t="shared" si="1"/>
        <v>10</v>
      </c>
      <c r="G380" s="6" t="str">
        <f>IF(MINIFS(dynamic[orderDate], dynamic[customerID], B380) &gt;= DATE(2024,4,30)-120, 
     "New", 
     IF(MAXIFS(dynamic[orderCount], dynamic[customerID], B380)&lt;=2, 
        IF((DATE(2024,4,30) - MAXIFS(dynamic[orderDate], dynamic[customerID], B380)) &gt; 180, "Non-Returning", "Dormant"), 
        IF(AND(MAX(dynamic[sinceLastOrder]) &gt; 365, (DATE(2024,4,30) - MAXIFS(dynamic[orderDate], dynamic[customerID], B380)) &gt; 180), 
           "Dormant", "Regular")))</f>
        <v>Regular</v>
      </c>
      <c r="H380" s="6">
        <v>31.0</v>
      </c>
      <c r="I380" s="9" t="str">
        <f>VLOOKUP(dynamic[productID],products[],2,FALSE)</f>
        <v>Gorgonzola Telino</v>
      </c>
      <c r="J380" s="9" t="str">
        <f>VLOOKUP(dynamic[productID],products[],12,FALSE)</f>
        <v>Dairy Products</v>
      </c>
      <c r="K380" s="7" t="str">
        <f>IF(VLOOKUP(dynamic[productID],products[],7,FALSE)=1,"Discontinued","Current")</f>
        <v>Current</v>
      </c>
      <c r="L380" s="9">
        <f>VLOOKUP(dynamic[productID],products[],IF(YEAR(dynamic[orderDate])=2022,8,IF(YEAR(dynamic[orderDate])=2023,9,IF(YEAR(dynamic[orderDate])=2024,10,NA))),FALSE)</f>
        <v>6.44031973</v>
      </c>
      <c r="M380" s="9">
        <v>10.0</v>
      </c>
      <c r="N380" s="25">
        <f>(dynamic[orderPrice]-dynamic[productCost])/dynamic[productCost]</f>
        <v>0.5527179425</v>
      </c>
      <c r="O380" s="10">
        <v>60.0</v>
      </c>
      <c r="P380" s="25">
        <v>0.1</v>
      </c>
      <c r="Q380" s="9">
        <f>dynamic[orderPrice]*dynamic[orderQuantity]</f>
        <v>600</v>
      </c>
      <c r="R380" s="9">
        <f>dynamic[orderTotal]*(1-dynamic[discountApllied])</f>
        <v>540</v>
      </c>
      <c r="S380" s="9">
        <f>dynamic[revenue]-(dynamic[productCost]*dynamic[orderQuantity])</f>
        <v>153.5808162</v>
      </c>
      <c r="T380" s="25">
        <f>IFERROR(dynamic[profit]/dynamic[revenue], 0)</f>
        <v>0.2844089189</v>
      </c>
    </row>
    <row r="381" ht="15.75" customHeight="1">
      <c r="A381" s="6">
        <v>10390.0</v>
      </c>
      <c r="B381" s="7" t="s">
        <v>24</v>
      </c>
      <c r="C381" s="24" t="str">
        <f>VLOOKUP(dynamic[customerID],customers[],2,FALSE)</f>
        <v>Ernst Handel</v>
      </c>
      <c r="D381" s="24">
        <v>44918.0</v>
      </c>
      <c r="E381" s="6">
        <f>IFERROR(__xludf.DUMMYFUNCTION("COUNTUNIQUEIFS($A$2:$A381,$B$2:$B381,B381)"),6.0)</f>
        <v>6</v>
      </c>
      <c r="F381" s="6">
        <f t="shared" si="1"/>
        <v>10</v>
      </c>
      <c r="G381" s="6" t="str">
        <f>IF(MINIFS(dynamic[orderDate], dynamic[customerID], B381) &gt;= DATE(2024,4,30)-120, 
     "New", 
     IF(MAXIFS(dynamic[orderCount], dynamic[customerID], B381)&lt;=2, 
        IF((DATE(2024,4,30) - MAXIFS(dynamic[orderDate], dynamic[customerID], B381)) &gt; 180, "Non-Returning", "Dormant"), 
        IF(AND(MAX(dynamic[sinceLastOrder]) &gt; 365, (DATE(2024,4,30) - MAXIFS(dynamic[orderDate], dynamic[customerID], B381)) &gt; 180), 
           "Dormant", "Regular")))</f>
        <v>Regular</v>
      </c>
      <c r="H381" s="6">
        <v>35.0</v>
      </c>
      <c r="I381" s="9" t="str">
        <f>VLOOKUP(dynamic[productID],products[],2,FALSE)</f>
        <v>Cold Brew Nitro</v>
      </c>
      <c r="J381" s="9" t="str">
        <f>VLOOKUP(dynamic[productID],products[],12,FALSE)</f>
        <v>Beverages</v>
      </c>
      <c r="K381" s="7" t="str">
        <f>IF(VLOOKUP(dynamic[productID],products[],7,FALSE)=1,"Discontinued","Current")</f>
        <v>Current</v>
      </c>
      <c r="L381" s="9">
        <f>VLOOKUP(dynamic[productID],products[],IF(YEAR(dynamic[orderDate])=2022,8,IF(YEAR(dynamic[orderDate])=2023,9,IF(YEAR(dynamic[orderDate])=2024,10,NA))),FALSE)</f>
        <v>10.19869089</v>
      </c>
      <c r="M381" s="9">
        <v>14.4</v>
      </c>
      <c r="N381" s="25">
        <f>(dynamic[orderPrice]-dynamic[productCost])/dynamic[productCost]</f>
        <v>0.4119459208</v>
      </c>
      <c r="O381" s="10">
        <v>40.0</v>
      </c>
      <c r="P381" s="25">
        <v>0.1</v>
      </c>
      <c r="Q381" s="9">
        <f>dynamic[orderPrice]*dynamic[orderQuantity]</f>
        <v>576</v>
      </c>
      <c r="R381" s="9">
        <f>dynamic[orderTotal]*(1-dynamic[discountApllied])</f>
        <v>518.4</v>
      </c>
      <c r="S381" s="9">
        <f>dynamic[revenue]-(dynamic[productCost]*dynamic[orderQuantity])</f>
        <v>110.4523644</v>
      </c>
      <c r="T381" s="25">
        <f>IFERROR(dynamic[profit]/dynamic[revenue], 0)</f>
        <v>0.2130639745</v>
      </c>
    </row>
    <row r="382" ht="15.75" customHeight="1">
      <c r="A382" s="6">
        <v>10390.0</v>
      </c>
      <c r="B382" s="7" t="s">
        <v>24</v>
      </c>
      <c r="C382" s="24" t="str">
        <f>VLOOKUP(dynamic[customerID],customers[],2,FALSE)</f>
        <v>Ernst Handel</v>
      </c>
      <c r="D382" s="24">
        <v>44918.0</v>
      </c>
      <c r="E382" s="6">
        <f>IFERROR(__xludf.DUMMYFUNCTION("COUNTUNIQUEIFS($A$2:$A382,$B$2:$B382,B382)"),6.0)</f>
        <v>6</v>
      </c>
      <c r="F382" s="6">
        <f t="shared" si="1"/>
        <v>10</v>
      </c>
      <c r="G382" s="6" t="str">
        <f>IF(MINIFS(dynamic[orderDate], dynamic[customerID], B382) &gt;= DATE(2024,4,30)-120, 
     "New", 
     IF(MAXIFS(dynamic[orderCount], dynamic[customerID], B382)&lt;=2, 
        IF((DATE(2024,4,30) - MAXIFS(dynamic[orderDate], dynamic[customerID], B382)) &gt; 180, "Non-Returning", "Dormant"), 
        IF(AND(MAX(dynamic[sinceLastOrder]) &gt; 365, (DATE(2024,4,30) - MAXIFS(dynamic[orderDate], dynamic[customerID], B382)) &gt; 180), 
           "Dormant", "Regular")))</f>
        <v>Regular</v>
      </c>
      <c r="H382" s="6">
        <v>46.0</v>
      </c>
      <c r="I382" s="9" t="str">
        <f>VLOOKUP(dynamic[productID],products[],2,FALSE)</f>
        <v>Spegesild</v>
      </c>
      <c r="J382" s="9" t="str">
        <f>VLOOKUP(dynamic[productID],products[],12,FALSE)</f>
        <v>Seafood</v>
      </c>
      <c r="K382" s="7" t="str">
        <f>IF(VLOOKUP(dynamic[productID],products[],7,FALSE)=1,"Discontinued","Current")</f>
        <v>Current</v>
      </c>
      <c r="L382" s="9">
        <f>VLOOKUP(dynamic[productID],products[],IF(YEAR(dynamic[orderDate])=2022,8,IF(YEAR(dynamic[orderDate])=2023,9,IF(YEAR(dynamic[orderDate])=2024,10,NA))),FALSE)</f>
        <v>6.266275015</v>
      </c>
      <c r="M382" s="9">
        <v>9.6</v>
      </c>
      <c r="N382" s="25">
        <f>(dynamic[orderPrice]-dynamic[productCost])/dynamic[productCost]</f>
        <v>0.5320106406</v>
      </c>
      <c r="O382" s="10">
        <v>45.0</v>
      </c>
      <c r="P382" s="25">
        <v>0.0</v>
      </c>
      <c r="Q382" s="9">
        <f>dynamic[orderPrice]*dynamic[orderQuantity]</f>
        <v>432</v>
      </c>
      <c r="R382" s="9">
        <f>dynamic[orderTotal]*(1-dynamic[discountApllied])</f>
        <v>432</v>
      </c>
      <c r="S382" s="9">
        <f>dynamic[revenue]-(dynamic[productCost]*dynamic[orderQuantity])</f>
        <v>150.0176243</v>
      </c>
      <c r="T382" s="25">
        <f>IFERROR(dynamic[profit]/dynamic[revenue], 0)</f>
        <v>0.3472630192</v>
      </c>
    </row>
    <row r="383" ht="15.75" customHeight="1">
      <c r="A383" s="6">
        <v>10390.0</v>
      </c>
      <c r="B383" s="7" t="s">
        <v>24</v>
      </c>
      <c r="C383" s="24" t="str">
        <f>VLOOKUP(dynamic[customerID],customers[],2,FALSE)</f>
        <v>Ernst Handel</v>
      </c>
      <c r="D383" s="24">
        <v>44918.0</v>
      </c>
      <c r="E383" s="6">
        <f>IFERROR(__xludf.DUMMYFUNCTION("COUNTUNIQUEIFS($A$2:$A383,$B$2:$B383,B383)"),6.0)</f>
        <v>6</v>
      </c>
      <c r="F383" s="6">
        <f t="shared" si="1"/>
        <v>10</v>
      </c>
      <c r="G383" s="6" t="str">
        <f>IF(MINIFS(dynamic[orderDate], dynamic[customerID], B383) &gt;= DATE(2024,4,30)-120, 
     "New", 
     IF(MAXIFS(dynamic[orderCount], dynamic[customerID], B383)&lt;=2, 
        IF((DATE(2024,4,30) - MAXIFS(dynamic[orderDate], dynamic[customerID], B383)) &gt; 180, "Non-Returning", "Dormant"), 
        IF(AND(MAX(dynamic[sinceLastOrder]) &gt; 365, (DATE(2024,4,30) - MAXIFS(dynamic[orderDate], dynamic[customerID], B383)) &gt; 180), 
           "Dormant", "Regular")))</f>
        <v>Regular</v>
      </c>
      <c r="H383" s="6">
        <v>72.0</v>
      </c>
      <c r="I383" s="9" t="str">
        <f>VLOOKUP(dynamic[productID],products[],2,FALSE)</f>
        <v>Mozzarella di Giovanni</v>
      </c>
      <c r="J383" s="9" t="str">
        <f>VLOOKUP(dynamic[productID],products[],12,FALSE)</f>
        <v>Dairy Products</v>
      </c>
      <c r="K383" s="7" t="str">
        <f>IF(VLOOKUP(dynamic[productID],products[],7,FALSE)=1,"Discontinued","Current")</f>
        <v>Current</v>
      </c>
      <c r="L383" s="9">
        <f>VLOOKUP(dynamic[productID],products[],IF(YEAR(dynamic[orderDate])=2022,8,IF(YEAR(dynamic[orderDate])=2023,9,IF(YEAR(dynamic[orderDate])=2024,10,NA))),FALSE)</f>
        <v>19.20829334</v>
      </c>
      <c r="M383" s="9">
        <v>27.8</v>
      </c>
      <c r="N383" s="25">
        <f>(dynamic[orderPrice]-dynamic[productCost])/dynamic[productCost]</f>
        <v>0.4472915167</v>
      </c>
      <c r="O383" s="10">
        <v>24.0</v>
      </c>
      <c r="P383" s="25">
        <v>0.1</v>
      </c>
      <c r="Q383" s="9">
        <f>dynamic[orderPrice]*dynamic[orderQuantity]</f>
        <v>667.2</v>
      </c>
      <c r="R383" s="9">
        <f>dynamic[orderTotal]*(1-dynamic[discountApllied])</f>
        <v>600.48</v>
      </c>
      <c r="S383" s="9">
        <f>dynamic[revenue]-(dynamic[productCost]*dynamic[orderQuantity])</f>
        <v>139.4809599</v>
      </c>
      <c r="T383" s="25">
        <f>IFERROR(dynamic[profit]/dynamic[revenue], 0)</f>
        <v>0.2322824405</v>
      </c>
    </row>
    <row r="384" ht="15.75" customHeight="1">
      <c r="A384" s="6">
        <v>10391.0</v>
      </c>
      <c r="B384" s="7" t="s">
        <v>72</v>
      </c>
      <c r="C384" s="24" t="str">
        <f>VLOOKUP(dynamic[customerID],customers[],2,FALSE)</f>
        <v>Drachenblut Delikatessen</v>
      </c>
      <c r="D384" s="24">
        <v>44918.0</v>
      </c>
      <c r="E384" s="6">
        <f>IFERROR(__xludf.DUMMYFUNCTION("COUNTUNIQUEIFS($A$2:$A384,$B$2:$B384,B384)"),2.0)</f>
        <v>2</v>
      </c>
      <c r="F384" s="6">
        <f t="shared" si="1"/>
        <v>27</v>
      </c>
      <c r="G384" s="6" t="str">
        <f>IF(MINIFS(dynamic[orderDate], dynamic[customerID], B384) &gt;= DATE(2024,4,30)-120, 
     "New", 
     IF(MAXIFS(dynamic[orderCount], dynamic[customerID], B384)&lt;=2, 
        IF((DATE(2024,4,30) - MAXIFS(dynamic[orderDate], dynamic[customerID], B384)) &gt; 180, "Non-Returning", "Dormant"), 
        IF(AND(MAX(dynamic[sinceLastOrder]) &gt; 365, (DATE(2024,4,30) - MAXIFS(dynamic[orderDate], dynamic[customerID], B384)) &gt; 180), 
           "Dormant", "Regular")))</f>
        <v>Regular</v>
      </c>
      <c r="H384" s="6">
        <v>13.0</v>
      </c>
      <c r="I384" s="9" t="str">
        <f>VLOOKUP(dynamic[productID],products[],2,FALSE)</f>
        <v>Konbu</v>
      </c>
      <c r="J384" s="9" t="str">
        <f>VLOOKUP(dynamic[productID],products[],12,FALSE)</f>
        <v>Seafood</v>
      </c>
      <c r="K384" s="7" t="str">
        <f>IF(VLOOKUP(dynamic[productID],products[],7,FALSE)=1,"Discontinued","Current")</f>
        <v>Current</v>
      </c>
      <c r="L384" s="9">
        <f>VLOOKUP(dynamic[productID],products[],IF(YEAR(dynamic[orderDate])=2022,8,IF(YEAR(dynamic[orderDate])=2023,9,IF(YEAR(dynamic[orderDate])=2024,10,NA))),FALSE)</f>
        <v>3.236727382</v>
      </c>
      <c r="M384" s="9">
        <v>4.8</v>
      </c>
      <c r="N384" s="25">
        <f>(dynamic[orderPrice]-dynamic[productCost])/dynamic[productCost]</f>
        <v>0.4829793907</v>
      </c>
      <c r="O384" s="10">
        <v>18.0</v>
      </c>
      <c r="P384" s="25">
        <v>0.0</v>
      </c>
      <c r="Q384" s="9">
        <f>dynamic[orderPrice]*dynamic[orderQuantity]</f>
        <v>86.4</v>
      </c>
      <c r="R384" s="9">
        <f>dynamic[orderTotal]*(1-dynamic[discountApllied])</f>
        <v>86.4</v>
      </c>
      <c r="S384" s="9">
        <f>dynamic[revenue]-(dynamic[productCost]*dynamic[orderQuantity])</f>
        <v>28.13890713</v>
      </c>
      <c r="T384" s="25">
        <f>IFERROR(dynamic[profit]/dynamic[revenue], 0)</f>
        <v>0.3256817955</v>
      </c>
    </row>
    <row r="385" ht="15.75" customHeight="1">
      <c r="A385" s="6">
        <v>10392.0</v>
      </c>
      <c r="B385" s="7" t="s">
        <v>69</v>
      </c>
      <c r="C385" s="24" t="str">
        <f>VLOOKUP(dynamic[customerID],customers[],2,FALSE)</f>
        <v>Piccolo und mehr</v>
      </c>
      <c r="D385" s="24">
        <v>44919.0</v>
      </c>
      <c r="E385" s="6">
        <f>IFERROR(__xludf.DUMMYFUNCTION("COUNTUNIQUEIFS($A$2:$A385,$B$2:$B385,B385)"),2.0)</f>
        <v>2</v>
      </c>
      <c r="F385" s="6">
        <f t="shared" si="1"/>
        <v>41</v>
      </c>
      <c r="G385" s="6" t="str">
        <f>IF(MINIFS(dynamic[orderDate], dynamic[customerID], B385) &gt;= DATE(2024,4,30)-120, 
     "New", 
     IF(MAXIFS(dynamic[orderCount], dynamic[customerID], B385)&lt;=2, 
        IF((DATE(2024,4,30) - MAXIFS(dynamic[orderDate], dynamic[customerID], B385)) &gt; 180, "Non-Returning", "Dormant"), 
        IF(AND(MAX(dynamic[sinceLastOrder]) &gt; 365, (DATE(2024,4,30) - MAXIFS(dynamic[orderDate], dynamic[customerID], B385)) &gt; 180), 
           "Dormant", "Regular")))</f>
        <v>Regular</v>
      </c>
      <c r="H385" s="6">
        <v>69.0</v>
      </c>
      <c r="I385" s="9" t="str">
        <f>VLOOKUP(dynamic[productID],products[],2,FALSE)</f>
        <v>Gudbrandsdalsost</v>
      </c>
      <c r="J385" s="9" t="str">
        <f>VLOOKUP(dynamic[productID],products[],12,FALSE)</f>
        <v>Dairy Products</v>
      </c>
      <c r="K385" s="7" t="str">
        <f>IF(VLOOKUP(dynamic[productID],products[],7,FALSE)=1,"Discontinued","Current")</f>
        <v>Current</v>
      </c>
      <c r="L385" s="9">
        <f>VLOOKUP(dynamic[productID],products[],IF(YEAR(dynamic[orderDate])=2022,8,IF(YEAR(dynamic[orderDate])=2023,9,IF(YEAR(dynamic[orderDate])=2024,10,NA))),FALSE)</f>
        <v>20.71216183</v>
      </c>
      <c r="M385" s="9">
        <v>28.8</v>
      </c>
      <c r="N385" s="25">
        <f>(dynamic[orderPrice]-dynamic[productCost])/dynamic[productCost]</f>
        <v>0.3904873977</v>
      </c>
      <c r="O385" s="10">
        <v>50.0</v>
      </c>
      <c r="P385" s="25">
        <v>0.0</v>
      </c>
      <c r="Q385" s="9">
        <f>dynamic[orderPrice]*dynamic[orderQuantity]</f>
        <v>1440</v>
      </c>
      <c r="R385" s="9">
        <f>dynamic[orderTotal]*(1-dynamic[discountApllied])</f>
        <v>1440</v>
      </c>
      <c r="S385" s="9">
        <f>dynamic[revenue]-(dynamic[productCost]*dynamic[orderQuantity])</f>
        <v>404.3919086</v>
      </c>
      <c r="T385" s="25">
        <f>IFERROR(dynamic[profit]/dynamic[revenue], 0)</f>
        <v>0.2808277143</v>
      </c>
    </row>
    <row r="386" ht="15.75" customHeight="1">
      <c r="A386" s="6">
        <v>10393.0</v>
      </c>
      <c r="B386" s="7" t="s">
        <v>60</v>
      </c>
      <c r="C386" s="24" t="str">
        <f>VLOOKUP(dynamic[customerID],customers[],2,FALSE)</f>
        <v>Save-a-lot Markets</v>
      </c>
      <c r="D386" s="24">
        <v>44920.0</v>
      </c>
      <c r="E386" s="6">
        <f>IFERROR(__xludf.DUMMYFUNCTION("COUNTUNIQUEIFS($A$2:$A386,$B$2:$B386,B386)"),2.0)</f>
        <v>2</v>
      </c>
      <c r="F386" s="6">
        <f t="shared" si="1"/>
        <v>78</v>
      </c>
      <c r="G386" s="6" t="str">
        <f>IF(MINIFS(dynamic[orderDate], dynamic[customerID], B386) &gt;= DATE(2024,4,30)-120, 
     "New", 
     IF(MAXIFS(dynamic[orderCount], dynamic[customerID], B386)&lt;=2, 
        IF((DATE(2024,4,30) - MAXIFS(dynamic[orderDate], dynamic[customerID], B386)) &gt; 180, "Non-Returning", "Dormant"), 
        IF(AND(MAX(dynamic[sinceLastOrder]) &gt; 365, (DATE(2024,4,30) - MAXIFS(dynamic[orderDate], dynamic[customerID], B386)) &gt; 180), 
           "Dormant", "Regular")))</f>
        <v>Regular</v>
      </c>
      <c r="H386" s="6">
        <v>2.0</v>
      </c>
      <c r="I386" s="9" t="str">
        <f>VLOOKUP(dynamic[productID],products[],2,FALSE)</f>
        <v>Chang</v>
      </c>
      <c r="J386" s="9" t="str">
        <f>VLOOKUP(dynamic[productID],products[],12,FALSE)</f>
        <v>Beverages</v>
      </c>
      <c r="K386" s="7" t="str">
        <f>IF(VLOOKUP(dynamic[productID],products[],7,FALSE)=1,"Discontinued","Current")</f>
        <v>Current</v>
      </c>
      <c r="L386" s="9">
        <f>VLOOKUP(dynamic[productID],products[],IF(YEAR(dynamic[orderDate])=2022,8,IF(YEAR(dynamic[orderDate])=2023,9,IF(YEAR(dynamic[orderDate])=2024,10,NA))),FALSE)</f>
        <v>9.768746876</v>
      </c>
      <c r="M386" s="9">
        <v>15.2</v>
      </c>
      <c r="N386" s="25">
        <f>(dynamic[orderPrice]-dynamic[productCost])/dynamic[productCost]</f>
        <v>0.5559825833</v>
      </c>
      <c r="O386" s="10">
        <v>25.0</v>
      </c>
      <c r="P386" s="25">
        <v>0.25</v>
      </c>
      <c r="Q386" s="9">
        <f>dynamic[orderPrice]*dynamic[orderQuantity]</f>
        <v>380</v>
      </c>
      <c r="R386" s="9">
        <f>dynamic[orderTotal]*(1-dynamic[discountApllied])</f>
        <v>285</v>
      </c>
      <c r="S386" s="9">
        <f>dynamic[revenue]-(dynamic[productCost]*dynamic[orderQuantity])</f>
        <v>40.78132809</v>
      </c>
      <c r="T386" s="25">
        <f>IFERROR(dynamic[profit]/dynamic[revenue], 0)</f>
        <v>0.1430923793</v>
      </c>
    </row>
    <row r="387" ht="15.75" customHeight="1">
      <c r="A387" s="6">
        <v>10393.0</v>
      </c>
      <c r="B387" s="7" t="s">
        <v>60</v>
      </c>
      <c r="C387" s="24" t="str">
        <f>VLOOKUP(dynamic[customerID],customers[],2,FALSE)</f>
        <v>Save-a-lot Markets</v>
      </c>
      <c r="D387" s="24">
        <v>44920.0</v>
      </c>
      <c r="E387" s="6">
        <f>IFERROR(__xludf.DUMMYFUNCTION("COUNTUNIQUEIFS($A$2:$A387,$B$2:$B387,B387)"),2.0)</f>
        <v>2</v>
      </c>
      <c r="F387" s="6">
        <f t="shared" si="1"/>
        <v>78</v>
      </c>
      <c r="G387" s="6" t="str">
        <f>IF(MINIFS(dynamic[orderDate], dynamic[customerID], B387) &gt;= DATE(2024,4,30)-120, 
     "New", 
     IF(MAXIFS(dynamic[orderCount], dynamic[customerID], B387)&lt;=2, 
        IF((DATE(2024,4,30) - MAXIFS(dynamic[orderDate], dynamic[customerID], B387)) &gt; 180, "Non-Returning", "Dormant"), 
        IF(AND(MAX(dynamic[sinceLastOrder]) &gt; 365, (DATE(2024,4,30) - MAXIFS(dynamic[orderDate], dynamic[customerID], B387)) &gt; 180), 
           "Dormant", "Regular")))</f>
        <v>Regular</v>
      </c>
      <c r="H387" s="6">
        <v>14.0</v>
      </c>
      <c r="I387" s="9" t="str">
        <f>VLOOKUP(dynamic[productID],products[],2,FALSE)</f>
        <v>Tofu</v>
      </c>
      <c r="J387" s="9" t="str">
        <f>VLOOKUP(dynamic[productID],products[],12,FALSE)</f>
        <v>Produce</v>
      </c>
      <c r="K387" s="7" t="str">
        <f>IF(VLOOKUP(dynamic[productID],products[],7,FALSE)=1,"Discontinued","Current")</f>
        <v>Current</v>
      </c>
      <c r="L387" s="9">
        <f>VLOOKUP(dynamic[productID],products[],IF(YEAR(dynamic[orderDate])=2022,8,IF(YEAR(dynamic[orderDate])=2023,9,IF(YEAR(dynamic[orderDate])=2024,10,NA))),FALSE)</f>
        <v>13.95254082</v>
      </c>
      <c r="M387" s="9">
        <v>18.6</v>
      </c>
      <c r="N387" s="25">
        <f>(dynamic[orderPrice]-dynamic[productCost])/dynamic[productCost]</f>
        <v>0.333090527</v>
      </c>
      <c r="O387" s="10">
        <v>42.0</v>
      </c>
      <c r="P387" s="25">
        <v>0.25</v>
      </c>
      <c r="Q387" s="9">
        <f>dynamic[orderPrice]*dynamic[orderQuantity]</f>
        <v>781.2</v>
      </c>
      <c r="R387" s="9">
        <f>dynamic[orderTotal]*(1-dynamic[discountApllied])</f>
        <v>585.9</v>
      </c>
      <c r="S387" s="9">
        <f>dynamic[revenue]-(dynamic[productCost]*dynamic[orderQuantity])</f>
        <v>-0.1067145922</v>
      </c>
      <c r="T387" s="25">
        <f>IFERROR(dynamic[profit]/dynamic[revenue], 0)</f>
        <v>-0.0001821378942</v>
      </c>
    </row>
    <row r="388" ht="15.75" customHeight="1">
      <c r="A388" s="6">
        <v>10393.0</v>
      </c>
      <c r="B388" s="7" t="s">
        <v>60</v>
      </c>
      <c r="C388" s="24" t="str">
        <f>VLOOKUP(dynamic[customerID],customers[],2,FALSE)</f>
        <v>Save-a-lot Markets</v>
      </c>
      <c r="D388" s="24">
        <v>44920.0</v>
      </c>
      <c r="E388" s="6">
        <f>IFERROR(__xludf.DUMMYFUNCTION("COUNTUNIQUEIFS($A$2:$A388,$B$2:$B388,B388)"),2.0)</f>
        <v>2</v>
      </c>
      <c r="F388" s="6">
        <f t="shared" si="1"/>
        <v>78</v>
      </c>
      <c r="G388" s="6" t="str">
        <f>IF(MINIFS(dynamic[orderDate], dynamic[customerID], B388) &gt;= DATE(2024,4,30)-120, 
     "New", 
     IF(MAXIFS(dynamic[orderCount], dynamic[customerID], B388)&lt;=2, 
        IF((DATE(2024,4,30) - MAXIFS(dynamic[orderDate], dynamic[customerID], B388)) &gt; 180, "Non-Returning", "Dormant"), 
        IF(AND(MAX(dynamic[sinceLastOrder]) &gt; 365, (DATE(2024,4,30) - MAXIFS(dynamic[orderDate], dynamic[customerID], B388)) &gt; 180), 
           "Dormant", "Regular")))</f>
        <v>Regular</v>
      </c>
      <c r="H388" s="6">
        <v>25.0</v>
      </c>
      <c r="I388" s="9" t="str">
        <f>VLOOKUP(dynamic[productID],products[],2,FALSE)</f>
        <v>HM Köstliche Kaiserschmarrn Knödelchen</v>
      </c>
      <c r="J388" s="9" t="str">
        <f>VLOOKUP(dynamic[productID],products[],12,FALSE)</f>
        <v>Confections</v>
      </c>
      <c r="K388" s="7" t="str">
        <f>IF(VLOOKUP(dynamic[productID],products[],7,FALSE)=1,"Discontinued","Current")</f>
        <v>Current</v>
      </c>
      <c r="L388" s="9">
        <f>VLOOKUP(dynamic[productID],products[],IF(YEAR(dynamic[orderDate])=2022,8,IF(YEAR(dynamic[orderDate])=2023,9,IF(YEAR(dynamic[orderDate])=2024,10,NA))),FALSE)</f>
        <v>7.370046533</v>
      </c>
      <c r="M388" s="9">
        <v>11.2</v>
      </c>
      <c r="N388" s="25">
        <f>(dynamic[orderPrice]-dynamic[productCost])/dynamic[productCost]</f>
        <v>0.5196647605</v>
      </c>
      <c r="O388" s="10">
        <v>7.0</v>
      </c>
      <c r="P388" s="25">
        <v>0.25</v>
      </c>
      <c r="Q388" s="9">
        <f>dynamic[orderPrice]*dynamic[orderQuantity]</f>
        <v>78.4</v>
      </c>
      <c r="R388" s="9">
        <f>dynamic[orderTotal]*(1-dynamic[discountApllied])</f>
        <v>58.8</v>
      </c>
      <c r="S388" s="9">
        <f>dynamic[revenue]-(dynamic[productCost]*dynamic[orderQuantity])</f>
        <v>7.209674266</v>
      </c>
      <c r="T388" s="25">
        <f>IFERROR(dynamic[profit]/dynamic[revenue], 0)</f>
        <v>0.1226135079</v>
      </c>
    </row>
    <row r="389" ht="15.75" customHeight="1">
      <c r="A389" s="6">
        <v>10393.0</v>
      </c>
      <c r="B389" s="7" t="s">
        <v>60</v>
      </c>
      <c r="C389" s="24" t="str">
        <f>VLOOKUP(dynamic[customerID],customers[],2,FALSE)</f>
        <v>Save-a-lot Markets</v>
      </c>
      <c r="D389" s="24">
        <v>44920.0</v>
      </c>
      <c r="E389" s="6">
        <f>IFERROR(__xludf.DUMMYFUNCTION("COUNTUNIQUEIFS($A$2:$A389,$B$2:$B389,B389)"),2.0)</f>
        <v>2</v>
      </c>
      <c r="F389" s="6">
        <f t="shared" si="1"/>
        <v>78</v>
      </c>
      <c r="G389" s="6" t="str">
        <f>IF(MINIFS(dynamic[orderDate], dynamic[customerID], B389) &gt;= DATE(2024,4,30)-120, 
     "New", 
     IF(MAXIFS(dynamic[orderCount], dynamic[customerID], B389)&lt;=2, 
        IF((DATE(2024,4,30) - MAXIFS(dynamic[orderDate], dynamic[customerID], B389)) &gt; 180, "Non-Returning", "Dormant"), 
        IF(AND(MAX(dynamic[sinceLastOrder]) &gt; 365, (DATE(2024,4,30) - MAXIFS(dynamic[orderDate], dynamic[customerID], B389)) &gt; 180), 
           "Dormant", "Regular")))</f>
        <v>Regular</v>
      </c>
      <c r="H389" s="6">
        <v>26.0</v>
      </c>
      <c r="I389" s="9" t="str">
        <f>VLOOKUP(dynamic[productID],products[],2,FALSE)</f>
        <v>NuNuCa Nuß-Nougat-Creme</v>
      </c>
      <c r="J389" s="9" t="str">
        <f>VLOOKUP(dynamic[productID],products[],12,FALSE)</f>
        <v>Confections</v>
      </c>
      <c r="K389" s="7" t="str">
        <f>IF(VLOOKUP(dynamic[productID],products[],7,FALSE)=1,"Discontinued","Current")</f>
        <v>Current</v>
      </c>
      <c r="L389" s="9">
        <f>VLOOKUP(dynamic[productID],products[],IF(YEAR(dynamic[orderDate])=2022,8,IF(YEAR(dynamic[orderDate])=2023,9,IF(YEAR(dynamic[orderDate])=2024,10,NA))),FALSE)</f>
        <v>17.26675607</v>
      </c>
      <c r="M389" s="9">
        <v>24.9</v>
      </c>
      <c r="N389" s="25">
        <f>(dynamic[orderPrice]-dynamic[productCost])/dynamic[productCost]</f>
        <v>0.442077475</v>
      </c>
      <c r="O389" s="10">
        <v>70.0</v>
      </c>
      <c r="P389" s="25">
        <v>0.25</v>
      </c>
      <c r="Q389" s="9">
        <f>dynamic[orderPrice]*dynamic[orderQuantity]</f>
        <v>1743</v>
      </c>
      <c r="R389" s="9">
        <f>dynamic[orderTotal]*(1-dynamic[discountApllied])</f>
        <v>1307.25</v>
      </c>
      <c r="S389" s="9">
        <f>dynamic[revenue]-(dynamic[productCost]*dynamic[orderQuantity])</f>
        <v>98.57707482</v>
      </c>
      <c r="T389" s="25">
        <f>IFERROR(dynamic[profit]/dynamic[revenue], 0)</f>
        <v>0.07540797462</v>
      </c>
    </row>
    <row r="390" ht="15.75" customHeight="1">
      <c r="A390" s="6">
        <v>10393.0</v>
      </c>
      <c r="B390" s="7" t="s">
        <v>60</v>
      </c>
      <c r="C390" s="24" t="str">
        <f>VLOOKUP(dynamic[customerID],customers[],2,FALSE)</f>
        <v>Save-a-lot Markets</v>
      </c>
      <c r="D390" s="24">
        <v>44920.0</v>
      </c>
      <c r="E390" s="6">
        <f>IFERROR(__xludf.DUMMYFUNCTION("COUNTUNIQUEIFS($A$2:$A390,$B$2:$B390,B390)"),2.0)</f>
        <v>2</v>
      </c>
      <c r="F390" s="6">
        <f t="shared" si="1"/>
        <v>78</v>
      </c>
      <c r="G390" s="6" t="str">
        <f>IF(MINIFS(dynamic[orderDate], dynamic[customerID], B390) &gt;= DATE(2024,4,30)-120, 
     "New", 
     IF(MAXIFS(dynamic[orderCount], dynamic[customerID], B390)&lt;=2, 
        IF((DATE(2024,4,30) - MAXIFS(dynamic[orderDate], dynamic[customerID], B390)) &gt; 180, "Non-Returning", "Dormant"), 
        IF(AND(MAX(dynamic[sinceLastOrder]) &gt; 365, (DATE(2024,4,30) - MAXIFS(dynamic[orderDate], dynamic[customerID], B390)) &gt; 180), 
           "Dormant", "Regular")))</f>
        <v>Regular</v>
      </c>
      <c r="H390" s="6">
        <v>31.0</v>
      </c>
      <c r="I390" s="9" t="str">
        <f>VLOOKUP(dynamic[productID],products[],2,FALSE)</f>
        <v>Gorgonzola Telino</v>
      </c>
      <c r="J390" s="9" t="str">
        <f>VLOOKUP(dynamic[productID],products[],12,FALSE)</f>
        <v>Dairy Products</v>
      </c>
      <c r="K390" s="7" t="str">
        <f>IF(VLOOKUP(dynamic[productID],products[],7,FALSE)=1,"Discontinued","Current")</f>
        <v>Current</v>
      </c>
      <c r="L390" s="9">
        <f>VLOOKUP(dynamic[productID],products[],IF(YEAR(dynamic[orderDate])=2022,8,IF(YEAR(dynamic[orderDate])=2023,9,IF(YEAR(dynamic[orderDate])=2024,10,NA))),FALSE)</f>
        <v>6.44031973</v>
      </c>
      <c r="M390" s="9">
        <v>10.0</v>
      </c>
      <c r="N390" s="25">
        <f>(dynamic[orderPrice]-dynamic[productCost])/dynamic[productCost]</f>
        <v>0.5527179425</v>
      </c>
      <c r="O390" s="10">
        <v>32.0</v>
      </c>
      <c r="P390" s="25">
        <v>0.0</v>
      </c>
      <c r="Q390" s="9">
        <f>dynamic[orderPrice]*dynamic[orderQuantity]</f>
        <v>320</v>
      </c>
      <c r="R390" s="9">
        <f>dynamic[orderTotal]*(1-dynamic[discountApllied])</f>
        <v>320</v>
      </c>
      <c r="S390" s="9">
        <f>dynamic[revenue]-(dynamic[productCost]*dynamic[orderQuantity])</f>
        <v>113.9097686</v>
      </c>
      <c r="T390" s="25">
        <f>IFERROR(dynamic[profit]/dynamic[revenue], 0)</f>
        <v>0.355968027</v>
      </c>
    </row>
    <row r="391" ht="15.75" customHeight="1">
      <c r="A391" s="6">
        <v>10394.0</v>
      </c>
      <c r="B391" s="7" t="s">
        <v>79</v>
      </c>
      <c r="C391" s="24" t="str">
        <f>VLOOKUP(dynamic[customerID],customers[],2,FALSE)</f>
        <v>Hungry Coyote Import Store</v>
      </c>
      <c r="D391" s="24">
        <v>44920.0</v>
      </c>
      <c r="E391" s="6">
        <f>IFERROR(__xludf.DUMMYFUNCTION("COUNTUNIQUEIFS($A$2:$A391,$B$2:$B391,B391)"),2.0)</f>
        <v>2</v>
      </c>
      <c r="F391" s="6">
        <f t="shared" si="1"/>
        <v>19</v>
      </c>
      <c r="G391" s="6" t="str">
        <f>IF(MINIFS(dynamic[orderDate], dynamic[customerID], B391) &gt;= DATE(2024,4,30)-120, 
     "New", 
     IF(MAXIFS(dynamic[orderCount], dynamic[customerID], B391)&lt;=2, 
        IF((DATE(2024,4,30) - MAXIFS(dynamic[orderDate], dynamic[customerID], B391)) &gt; 180, "Non-Returning", "Dormant"), 
        IF(AND(MAX(dynamic[sinceLastOrder]) &gt; 365, (DATE(2024,4,30) - MAXIFS(dynamic[orderDate], dynamic[customerID], B391)) &gt; 180), 
           "Dormant", "Regular")))</f>
        <v>Dormant</v>
      </c>
      <c r="H391" s="6">
        <v>13.0</v>
      </c>
      <c r="I391" s="9" t="str">
        <f>VLOOKUP(dynamic[productID],products[],2,FALSE)</f>
        <v>Konbu</v>
      </c>
      <c r="J391" s="9" t="str">
        <f>VLOOKUP(dynamic[productID],products[],12,FALSE)</f>
        <v>Seafood</v>
      </c>
      <c r="K391" s="7" t="str">
        <f>IF(VLOOKUP(dynamic[productID],products[],7,FALSE)=1,"Discontinued","Current")</f>
        <v>Current</v>
      </c>
      <c r="L391" s="9">
        <f>VLOOKUP(dynamic[productID],products[],IF(YEAR(dynamic[orderDate])=2022,8,IF(YEAR(dynamic[orderDate])=2023,9,IF(YEAR(dynamic[orderDate])=2024,10,NA))),FALSE)</f>
        <v>3.236727382</v>
      </c>
      <c r="M391" s="9">
        <v>4.8</v>
      </c>
      <c r="N391" s="25">
        <f>(dynamic[orderPrice]-dynamic[productCost])/dynamic[productCost]</f>
        <v>0.4829793907</v>
      </c>
      <c r="O391" s="10">
        <v>10.0</v>
      </c>
      <c r="P391" s="25">
        <v>0.0</v>
      </c>
      <c r="Q391" s="9">
        <f>dynamic[orderPrice]*dynamic[orderQuantity]</f>
        <v>48</v>
      </c>
      <c r="R391" s="9">
        <f>dynamic[orderTotal]*(1-dynamic[discountApllied])</f>
        <v>48</v>
      </c>
      <c r="S391" s="9">
        <f>dynamic[revenue]-(dynamic[productCost]*dynamic[orderQuantity])</f>
        <v>15.63272618</v>
      </c>
      <c r="T391" s="25">
        <f>IFERROR(dynamic[profit]/dynamic[revenue], 0)</f>
        <v>0.3256817955</v>
      </c>
    </row>
    <row r="392" ht="15.75" customHeight="1">
      <c r="A392" s="6">
        <v>10394.0</v>
      </c>
      <c r="B392" s="7" t="s">
        <v>79</v>
      </c>
      <c r="C392" s="24" t="str">
        <f>VLOOKUP(dynamic[customerID],customers[],2,FALSE)</f>
        <v>Hungry Coyote Import Store</v>
      </c>
      <c r="D392" s="24">
        <v>44920.0</v>
      </c>
      <c r="E392" s="6">
        <f>IFERROR(__xludf.DUMMYFUNCTION("COUNTUNIQUEIFS($A$2:$A392,$B$2:$B392,B392)"),2.0)</f>
        <v>2</v>
      </c>
      <c r="F392" s="6">
        <f t="shared" si="1"/>
        <v>19</v>
      </c>
      <c r="G392" s="6" t="str">
        <f>IF(MINIFS(dynamic[orderDate], dynamic[customerID], B392) &gt;= DATE(2024,4,30)-120, 
     "New", 
     IF(MAXIFS(dynamic[orderCount], dynamic[customerID], B392)&lt;=2, 
        IF((DATE(2024,4,30) - MAXIFS(dynamic[orderDate], dynamic[customerID], B392)) &gt; 180, "Non-Returning", "Dormant"), 
        IF(AND(MAX(dynamic[sinceLastOrder]) &gt; 365, (DATE(2024,4,30) - MAXIFS(dynamic[orderDate], dynamic[customerID], B392)) &gt; 180), 
           "Dormant", "Regular")))</f>
        <v>Dormant</v>
      </c>
      <c r="H392" s="6">
        <v>62.0</v>
      </c>
      <c r="I392" s="9" t="str">
        <f>VLOOKUP(dynamic[productID],products[],2,FALSE)</f>
        <v>Tarte au sucre</v>
      </c>
      <c r="J392" s="9" t="str">
        <f>VLOOKUP(dynamic[productID],products[],12,FALSE)</f>
        <v>Confections</v>
      </c>
      <c r="K392" s="7" t="str">
        <f>IF(VLOOKUP(dynamic[productID],products[],7,FALSE)=1,"Discontinued","Current")</f>
        <v>Current</v>
      </c>
      <c r="L392" s="9">
        <f>VLOOKUP(dynamic[productID],products[],IF(YEAR(dynamic[orderDate])=2022,8,IF(YEAR(dynamic[orderDate])=2023,9,IF(YEAR(dynamic[orderDate])=2024,10,NA))),FALSE)</f>
        <v>29.35963319</v>
      </c>
      <c r="M392" s="9">
        <v>39.4</v>
      </c>
      <c r="N392" s="25">
        <f>(dynamic[orderPrice]-dynamic[productCost])/dynamic[productCost]</f>
        <v>0.3419786189</v>
      </c>
      <c r="O392" s="10">
        <v>10.0</v>
      </c>
      <c r="P392" s="25">
        <v>0.0</v>
      </c>
      <c r="Q392" s="9">
        <f>dynamic[orderPrice]*dynamic[orderQuantity]</f>
        <v>394</v>
      </c>
      <c r="R392" s="9">
        <f>dynamic[orderTotal]*(1-dynamic[discountApllied])</f>
        <v>394</v>
      </c>
      <c r="S392" s="9">
        <f>dynamic[revenue]-(dynamic[productCost]*dynamic[orderQuantity])</f>
        <v>100.4036681</v>
      </c>
      <c r="T392" s="25">
        <f>IFERROR(dynamic[profit]/dynamic[revenue], 0)</f>
        <v>0.2548316449</v>
      </c>
    </row>
    <row r="393" ht="15.75" customHeight="1">
      <c r="A393" s="6">
        <v>10395.0</v>
      </c>
      <c r="B393" s="7" t="s">
        <v>23</v>
      </c>
      <c r="C393" s="24" t="str">
        <f>VLOOKUP(dynamic[customerID],customers[],2,FALSE)</f>
        <v>HILARION-Abastos</v>
      </c>
      <c r="D393" s="24">
        <v>44921.0</v>
      </c>
      <c r="E393" s="6">
        <f>IFERROR(__xludf.DUMMYFUNCTION("COUNTUNIQUEIFS($A$2:$A393,$B$2:$B393,B393)"),2.0)</f>
        <v>2</v>
      </c>
      <c r="F393" s="6">
        <f t="shared" si="1"/>
        <v>163</v>
      </c>
      <c r="G393" s="6" t="str">
        <f>IF(MINIFS(dynamic[orderDate], dynamic[customerID], B393) &gt;= DATE(2024,4,30)-120, 
     "New", 
     IF(MAXIFS(dynamic[orderCount], dynamic[customerID], B393)&lt;=2, 
        IF((DATE(2024,4,30) - MAXIFS(dynamic[orderDate], dynamic[customerID], B393)) &gt; 180, "Non-Returning", "Dormant"), 
        IF(AND(MAX(dynamic[sinceLastOrder]) &gt; 365, (DATE(2024,4,30) - MAXIFS(dynamic[orderDate], dynamic[customerID], B393)) &gt; 180), 
           "Dormant", "Regular")))</f>
        <v>Regular</v>
      </c>
      <c r="H393" s="6">
        <v>46.0</v>
      </c>
      <c r="I393" s="9" t="str">
        <f>VLOOKUP(dynamic[productID],products[],2,FALSE)</f>
        <v>Spegesild</v>
      </c>
      <c r="J393" s="9" t="str">
        <f>VLOOKUP(dynamic[productID],products[],12,FALSE)</f>
        <v>Seafood</v>
      </c>
      <c r="K393" s="7" t="str">
        <f>IF(VLOOKUP(dynamic[productID],products[],7,FALSE)=1,"Discontinued","Current")</f>
        <v>Current</v>
      </c>
      <c r="L393" s="9">
        <f>VLOOKUP(dynamic[productID],products[],IF(YEAR(dynamic[orderDate])=2022,8,IF(YEAR(dynamic[orderDate])=2023,9,IF(YEAR(dynamic[orderDate])=2024,10,NA))),FALSE)</f>
        <v>6.266275015</v>
      </c>
      <c r="M393" s="9">
        <v>9.6</v>
      </c>
      <c r="N393" s="25">
        <f>(dynamic[orderPrice]-dynamic[productCost])/dynamic[productCost]</f>
        <v>0.5320106406</v>
      </c>
      <c r="O393" s="10">
        <v>28.0</v>
      </c>
      <c r="P393" s="25">
        <v>0.1</v>
      </c>
      <c r="Q393" s="9">
        <f>dynamic[orderPrice]*dynamic[orderQuantity]</f>
        <v>268.8</v>
      </c>
      <c r="R393" s="9">
        <f>dynamic[orderTotal]*(1-dynamic[discountApllied])</f>
        <v>241.92</v>
      </c>
      <c r="S393" s="9">
        <f>dynamic[revenue]-(dynamic[productCost]*dynamic[orderQuantity])</f>
        <v>66.46429957</v>
      </c>
      <c r="T393" s="25">
        <f>IFERROR(dynamic[profit]/dynamic[revenue], 0)</f>
        <v>0.2747366881</v>
      </c>
    </row>
    <row r="394" ht="15.75" customHeight="1">
      <c r="A394" s="6">
        <v>10395.0</v>
      </c>
      <c r="B394" s="7" t="s">
        <v>23</v>
      </c>
      <c r="C394" s="24" t="str">
        <f>VLOOKUP(dynamic[customerID],customers[],2,FALSE)</f>
        <v>HILARION-Abastos</v>
      </c>
      <c r="D394" s="24">
        <v>44921.0</v>
      </c>
      <c r="E394" s="6">
        <f>IFERROR(__xludf.DUMMYFUNCTION("COUNTUNIQUEIFS($A$2:$A394,$B$2:$B394,B394)"),2.0)</f>
        <v>2</v>
      </c>
      <c r="F394" s="6">
        <f t="shared" si="1"/>
        <v>163</v>
      </c>
      <c r="G394" s="6" t="str">
        <f>IF(MINIFS(dynamic[orderDate], dynamic[customerID], B394) &gt;= DATE(2024,4,30)-120, 
     "New", 
     IF(MAXIFS(dynamic[orderCount], dynamic[customerID], B394)&lt;=2, 
        IF((DATE(2024,4,30) - MAXIFS(dynamic[orderDate], dynamic[customerID], B394)) &gt; 180, "Non-Returning", "Dormant"), 
        IF(AND(MAX(dynamic[sinceLastOrder]) &gt; 365, (DATE(2024,4,30) - MAXIFS(dynamic[orderDate], dynamic[customerID], B394)) &gt; 180), 
           "Dormant", "Regular")))</f>
        <v>Regular</v>
      </c>
      <c r="H394" s="6">
        <v>53.0</v>
      </c>
      <c r="I394" s="9" t="str">
        <f>VLOOKUP(dynamic[productID],products[],2,FALSE)</f>
        <v>Perth Pasties</v>
      </c>
      <c r="J394" s="9" t="str">
        <f>VLOOKUP(dynamic[productID],products[],12,FALSE)</f>
        <v>Meat/Poultry</v>
      </c>
      <c r="K394" s="7" t="str">
        <f>IF(VLOOKUP(dynamic[productID],products[],7,FALSE)=1,"Discontinued","Current")</f>
        <v>Discontinued</v>
      </c>
      <c r="L394" s="9">
        <f>VLOOKUP(dynamic[productID],products[],IF(YEAR(dynamic[orderDate])=2022,8,IF(YEAR(dynamic[orderDate])=2023,9,IF(YEAR(dynamic[orderDate])=2024,10,NA))),FALSE)</f>
        <v>18.33322006</v>
      </c>
      <c r="M394" s="9">
        <v>26.2</v>
      </c>
      <c r="N394" s="25">
        <f>(dynamic[orderPrice]-dynamic[productCost])/dynamic[productCost]</f>
        <v>0.4290997391</v>
      </c>
      <c r="O394" s="10">
        <v>70.0</v>
      </c>
      <c r="P394" s="25">
        <v>0.1</v>
      </c>
      <c r="Q394" s="9">
        <f>dynamic[orderPrice]*dynamic[orderQuantity]</f>
        <v>1834</v>
      </c>
      <c r="R394" s="9">
        <f>dynamic[orderTotal]*(1-dynamic[discountApllied])</f>
        <v>1650.6</v>
      </c>
      <c r="S394" s="9">
        <f>dynamic[revenue]-(dynamic[productCost]*dynamic[orderQuantity])</f>
        <v>367.2745961</v>
      </c>
      <c r="T394" s="25">
        <f>IFERROR(dynamic[profit]/dynamic[revenue], 0)</f>
        <v>0.2225097516</v>
      </c>
    </row>
    <row r="395" ht="15.75" customHeight="1">
      <c r="A395" s="6">
        <v>10395.0</v>
      </c>
      <c r="B395" s="7" t="s">
        <v>23</v>
      </c>
      <c r="C395" s="24" t="str">
        <f>VLOOKUP(dynamic[customerID],customers[],2,FALSE)</f>
        <v>HILARION-Abastos</v>
      </c>
      <c r="D395" s="24">
        <v>44921.0</v>
      </c>
      <c r="E395" s="6">
        <f>IFERROR(__xludf.DUMMYFUNCTION("COUNTUNIQUEIFS($A$2:$A395,$B$2:$B395,B395)"),2.0)</f>
        <v>2</v>
      </c>
      <c r="F395" s="6">
        <f t="shared" si="1"/>
        <v>163</v>
      </c>
      <c r="G395" s="6" t="str">
        <f>IF(MINIFS(dynamic[orderDate], dynamic[customerID], B395) &gt;= DATE(2024,4,30)-120, 
     "New", 
     IF(MAXIFS(dynamic[orderCount], dynamic[customerID], B395)&lt;=2, 
        IF((DATE(2024,4,30) - MAXIFS(dynamic[orderDate], dynamic[customerID], B395)) &gt; 180, "Non-Returning", "Dormant"), 
        IF(AND(MAX(dynamic[sinceLastOrder]) &gt; 365, (DATE(2024,4,30) - MAXIFS(dynamic[orderDate], dynamic[customerID], B395)) &gt; 180), 
           "Dormant", "Regular")))</f>
        <v>Regular</v>
      </c>
      <c r="H395" s="6">
        <v>69.0</v>
      </c>
      <c r="I395" s="9" t="str">
        <f>VLOOKUP(dynamic[productID],products[],2,FALSE)</f>
        <v>Gudbrandsdalsost</v>
      </c>
      <c r="J395" s="9" t="str">
        <f>VLOOKUP(dynamic[productID],products[],12,FALSE)</f>
        <v>Dairy Products</v>
      </c>
      <c r="K395" s="7" t="str">
        <f>IF(VLOOKUP(dynamic[productID],products[],7,FALSE)=1,"Discontinued","Current")</f>
        <v>Current</v>
      </c>
      <c r="L395" s="9">
        <f>VLOOKUP(dynamic[productID],products[],IF(YEAR(dynamic[orderDate])=2022,8,IF(YEAR(dynamic[orderDate])=2023,9,IF(YEAR(dynamic[orderDate])=2024,10,NA))),FALSE)</f>
        <v>20.71216183</v>
      </c>
      <c r="M395" s="9">
        <v>28.8</v>
      </c>
      <c r="N395" s="25">
        <f>(dynamic[orderPrice]-dynamic[productCost])/dynamic[productCost]</f>
        <v>0.3904873977</v>
      </c>
      <c r="O395" s="10">
        <v>8.0</v>
      </c>
      <c r="P395" s="25">
        <v>0.0</v>
      </c>
      <c r="Q395" s="9">
        <f>dynamic[orderPrice]*dynamic[orderQuantity]</f>
        <v>230.4</v>
      </c>
      <c r="R395" s="9">
        <f>dynamic[orderTotal]*(1-dynamic[discountApllied])</f>
        <v>230.4</v>
      </c>
      <c r="S395" s="9">
        <f>dynamic[revenue]-(dynamic[productCost]*dynamic[orderQuantity])</f>
        <v>64.70270538</v>
      </c>
      <c r="T395" s="25">
        <f>IFERROR(dynamic[profit]/dynamic[revenue], 0)</f>
        <v>0.2808277143</v>
      </c>
    </row>
    <row r="396" ht="15.75" customHeight="1">
      <c r="A396" s="6">
        <v>10396.0</v>
      </c>
      <c r="B396" s="7" t="s">
        <v>32</v>
      </c>
      <c r="C396" s="24" t="str">
        <f>VLOOKUP(dynamic[customerID],customers[],2,FALSE)</f>
        <v>Frankenversand</v>
      </c>
      <c r="D396" s="24">
        <v>44922.0</v>
      </c>
      <c r="E396" s="6">
        <f>IFERROR(__xludf.DUMMYFUNCTION("COUNTUNIQUEIFS($A$2:$A396,$B$2:$B396,B396)"),4.0)</f>
        <v>4</v>
      </c>
      <c r="F396" s="6">
        <f t="shared" si="1"/>
        <v>58</v>
      </c>
      <c r="G396" s="6" t="str">
        <f>IF(MINIFS(dynamic[orderDate], dynamic[customerID], B396) &gt;= DATE(2024,4,30)-120, 
     "New", 
     IF(MAXIFS(dynamic[orderCount], dynamic[customerID], B396)&lt;=2, 
        IF((DATE(2024,4,30) - MAXIFS(dynamic[orderDate], dynamic[customerID], B396)) &gt; 180, "Non-Returning", "Dormant"), 
        IF(AND(MAX(dynamic[sinceLastOrder]) &gt; 365, (DATE(2024,4,30) - MAXIFS(dynamic[orderDate], dynamic[customerID], B396)) &gt; 180), 
           "Dormant", "Regular")))</f>
        <v>Regular</v>
      </c>
      <c r="H396" s="6">
        <v>23.0</v>
      </c>
      <c r="I396" s="9" t="str">
        <f>VLOOKUP(dynamic[productID],products[],2,FALSE)</f>
        <v>Tunnbröd</v>
      </c>
      <c r="J396" s="9" t="str">
        <f>VLOOKUP(dynamic[productID],products[],12,FALSE)</f>
        <v>Grains/Cereals</v>
      </c>
      <c r="K396" s="7" t="str">
        <f>IF(VLOOKUP(dynamic[productID],products[],7,FALSE)=1,"Discontinued","Current")</f>
        <v>Current</v>
      </c>
      <c r="L396" s="9">
        <f>VLOOKUP(dynamic[productID],products[],IF(YEAR(dynamic[orderDate])=2022,8,IF(YEAR(dynamic[orderDate])=2023,9,IF(YEAR(dynamic[orderDate])=2024,10,NA))),FALSE)</f>
        <v>5.310194716</v>
      </c>
      <c r="M396" s="9">
        <v>7.2</v>
      </c>
      <c r="N396" s="25">
        <f>(dynamic[orderPrice]-dynamic[productCost])/dynamic[productCost]</f>
        <v>0.3558824836</v>
      </c>
      <c r="O396" s="10">
        <v>40.0</v>
      </c>
      <c r="P396" s="25">
        <v>0.0</v>
      </c>
      <c r="Q396" s="9">
        <f>dynamic[orderPrice]*dynamic[orderQuantity]</f>
        <v>288</v>
      </c>
      <c r="R396" s="9">
        <f>dynamic[orderTotal]*(1-dynamic[discountApllied])</f>
        <v>288</v>
      </c>
      <c r="S396" s="9">
        <f>dynamic[revenue]-(dynamic[productCost]*dynamic[orderQuantity])</f>
        <v>75.59221136</v>
      </c>
      <c r="T396" s="25">
        <f>IFERROR(dynamic[profit]/dynamic[revenue], 0)</f>
        <v>0.2624729561</v>
      </c>
    </row>
    <row r="397" ht="15.75" customHeight="1">
      <c r="A397" s="6">
        <v>10396.0</v>
      </c>
      <c r="B397" s="7" t="s">
        <v>32</v>
      </c>
      <c r="C397" s="24" t="str">
        <f>VLOOKUP(dynamic[customerID],customers[],2,FALSE)</f>
        <v>Frankenversand</v>
      </c>
      <c r="D397" s="24">
        <v>44922.0</v>
      </c>
      <c r="E397" s="6">
        <f>IFERROR(__xludf.DUMMYFUNCTION("COUNTUNIQUEIFS($A$2:$A397,$B$2:$B397,B397)"),4.0)</f>
        <v>4</v>
      </c>
      <c r="F397" s="6">
        <f t="shared" si="1"/>
        <v>58</v>
      </c>
      <c r="G397" s="6" t="str">
        <f>IF(MINIFS(dynamic[orderDate], dynamic[customerID], B397) &gt;= DATE(2024,4,30)-120, 
     "New", 
     IF(MAXIFS(dynamic[orderCount], dynamic[customerID], B397)&lt;=2, 
        IF((DATE(2024,4,30) - MAXIFS(dynamic[orderDate], dynamic[customerID], B397)) &gt; 180, "Non-Returning", "Dormant"), 
        IF(AND(MAX(dynamic[sinceLastOrder]) &gt; 365, (DATE(2024,4,30) - MAXIFS(dynamic[orderDate], dynamic[customerID], B397)) &gt; 180), 
           "Dormant", "Regular")))</f>
        <v>Regular</v>
      </c>
      <c r="H397" s="6">
        <v>71.0</v>
      </c>
      <c r="I397" s="9" t="str">
        <f>VLOOKUP(dynamic[productID],products[],2,FALSE)</f>
        <v>Flotemysost</v>
      </c>
      <c r="J397" s="9" t="str">
        <f>VLOOKUP(dynamic[productID],products[],12,FALSE)</f>
        <v>Dairy Products</v>
      </c>
      <c r="K397" s="7" t="str">
        <f>IF(VLOOKUP(dynamic[productID],products[],7,FALSE)=1,"Discontinued","Current")</f>
        <v>Current</v>
      </c>
      <c r="L397" s="9">
        <f>VLOOKUP(dynamic[productID],products[],IF(YEAR(dynamic[orderDate])=2022,8,IF(YEAR(dynamic[orderDate])=2023,9,IF(YEAR(dynamic[orderDate])=2024,10,NA))),FALSE)</f>
        <v>12.00719029</v>
      </c>
      <c r="M397" s="9">
        <v>17.2</v>
      </c>
      <c r="N397" s="25">
        <f>(dynamic[orderPrice]-dynamic[productCost])/dynamic[productCost]</f>
        <v>0.4324750075</v>
      </c>
      <c r="O397" s="10">
        <v>60.0</v>
      </c>
      <c r="P397" s="25">
        <v>0.0</v>
      </c>
      <c r="Q397" s="9">
        <f>dynamic[orderPrice]*dynamic[orderQuantity]</f>
        <v>1032</v>
      </c>
      <c r="R397" s="9">
        <f>dynamic[orderTotal]*(1-dynamic[discountApllied])</f>
        <v>1032</v>
      </c>
      <c r="S397" s="9">
        <f>dynamic[revenue]-(dynamic[productCost]*dynamic[orderQuantity])</f>
        <v>311.5685826</v>
      </c>
      <c r="T397" s="25">
        <f>IFERROR(dynamic[profit]/dynamic[revenue], 0)</f>
        <v>0.3019075413</v>
      </c>
    </row>
    <row r="398" ht="15.75" customHeight="1">
      <c r="A398" s="6">
        <v>10396.0</v>
      </c>
      <c r="B398" s="7" t="s">
        <v>32</v>
      </c>
      <c r="C398" s="24" t="str">
        <f>VLOOKUP(dynamic[customerID],customers[],2,FALSE)</f>
        <v>Frankenversand</v>
      </c>
      <c r="D398" s="24">
        <v>44922.0</v>
      </c>
      <c r="E398" s="6">
        <f>IFERROR(__xludf.DUMMYFUNCTION("COUNTUNIQUEIFS($A$2:$A398,$B$2:$B398,B398)"),4.0)</f>
        <v>4</v>
      </c>
      <c r="F398" s="6">
        <f t="shared" si="1"/>
        <v>58</v>
      </c>
      <c r="G398" s="6" t="str">
        <f>IF(MINIFS(dynamic[orderDate], dynamic[customerID], B398) &gt;= DATE(2024,4,30)-120, 
     "New", 
     IF(MAXIFS(dynamic[orderCount], dynamic[customerID], B398)&lt;=2, 
        IF((DATE(2024,4,30) - MAXIFS(dynamic[orderDate], dynamic[customerID], B398)) &gt; 180, "Non-Returning", "Dormant"), 
        IF(AND(MAX(dynamic[sinceLastOrder]) &gt; 365, (DATE(2024,4,30) - MAXIFS(dynamic[orderDate], dynamic[customerID], B398)) &gt; 180), 
           "Dormant", "Regular")))</f>
        <v>Regular</v>
      </c>
      <c r="H398" s="6">
        <v>72.0</v>
      </c>
      <c r="I398" s="9" t="str">
        <f>VLOOKUP(dynamic[productID],products[],2,FALSE)</f>
        <v>Mozzarella di Giovanni</v>
      </c>
      <c r="J398" s="9" t="str">
        <f>VLOOKUP(dynamic[productID],products[],12,FALSE)</f>
        <v>Dairy Products</v>
      </c>
      <c r="K398" s="7" t="str">
        <f>IF(VLOOKUP(dynamic[productID],products[],7,FALSE)=1,"Discontinued","Current")</f>
        <v>Current</v>
      </c>
      <c r="L398" s="9">
        <f>VLOOKUP(dynamic[productID],products[],IF(YEAR(dynamic[orderDate])=2022,8,IF(YEAR(dynamic[orderDate])=2023,9,IF(YEAR(dynamic[orderDate])=2024,10,NA))),FALSE)</f>
        <v>19.20829334</v>
      </c>
      <c r="M398" s="9">
        <v>27.8</v>
      </c>
      <c r="N398" s="25">
        <f>(dynamic[orderPrice]-dynamic[productCost])/dynamic[productCost]</f>
        <v>0.4472915167</v>
      </c>
      <c r="O398" s="10">
        <v>21.0</v>
      </c>
      <c r="P398" s="25">
        <v>0.0</v>
      </c>
      <c r="Q398" s="9">
        <f>dynamic[orderPrice]*dynamic[orderQuantity]</f>
        <v>583.8</v>
      </c>
      <c r="R398" s="9">
        <f>dynamic[orderTotal]*(1-dynamic[discountApllied])</f>
        <v>583.8</v>
      </c>
      <c r="S398" s="9">
        <f>dynamic[revenue]-(dynamic[productCost]*dynamic[orderQuantity])</f>
        <v>180.4258399</v>
      </c>
      <c r="T398" s="25">
        <f>IFERROR(dynamic[profit]/dynamic[revenue], 0)</f>
        <v>0.3090541965</v>
      </c>
    </row>
    <row r="399" ht="15.75" customHeight="1">
      <c r="A399" s="6">
        <v>10397.0</v>
      </c>
      <c r="B399" s="7" t="s">
        <v>65</v>
      </c>
      <c r="C399" s="24" t="str">
        <f>VLOOKUP(dynamic[customerID],customers[],2,FALSE)</f>
        <v>Princesa Isabel Vinhos</v>
      </c>
      <c r="D399" s="24">
        <v>44922.0</v>
      </c>
      <c r="E399" s="6">
        <f>IFERROR(__xludf.DUMMYFUNCTION("COUNTUNIQUEIFS($A$2:$A399,$B$2:$B399,B399)"),2.0)</f>
        <v>2</v>
      </c>
      <c r="F399" s="6">
        <f t="shared" si="1"/>
        <v>65</v>
      </c>
      <c r="G399" s="6" t="str">
        <f>IF(MINIFS(dynamic[orderDate], dynamic[customerID], B399) &gt;= DATE(2024,4,30)-120, 
     "New", 
     IF(MAXIFS(dynamic[orderCount], dynamic[customerID], B399)&lt;=2, 
        IF((DATE(2024,4,30) - MAXIFS(dynamic[orderDate], dynamic[customerID], B399)) &gt; 180, "Non-Returning", "Dormant"), 
        IF(AND(MAX(dynamic[sinceLastOrder]) &gt; 365, (DATE(2024,4,30) - MAXIFS(dynamic[orderDate], dynamic[customerID], B399)) &gt; 180), 
           "Dormant", "Regular")))</f>
        <v>Regular</v>
      </c>
      <c r="H399" s="6">
        <v>21.0</v>
      </c>
      <c r="I399" s="9" t="str">
        <f>VLOOKUP(dynamic[productID],products[],2,FALSE)</f>
        <v>Sir Rodney's Scones</v>
      </c>
      <c r="J399" s="9" t="str">
        <f>VLOOKUP(dynamic[productID],products[],12,FALSE)</f>
        <v>Confections</v>
      </c>
      <c r="K399" s="7" t="str">
        <f>IF(VLOOKUP(dynamic[productID],products[],7,FALSE)=1,"Discontinued","Current")</f>
        <v>Current</v>
      </c>
      <c r="L399" s="9">
        <f>VLOOKUP(dynamic[productID],products[],IF(YEAR(dynamic[orderDate])=2022,8,IF(YEAR(dynamic[orderDate])=2023,9,IF(YEAR(dynamic[orderDate])=2024,10,NA))),FALSE)</f>
        <v>5.773836452</v>
      </c>
      <c r="M399" s="9">
        <v>8.0</v>
      </c>
      <c r="N399" s="25">
        <f>(dynamic[orderPrice]-dynamic[productCost])/dynamic[productCost]</f>
        <v>0.3855605483</v>
      </c>
      <c r="O399" s="10">
        <v>10.0</v>
      </c>
      <c r="P399" s="25">
        <v>0.15</v>
      </c>
      <c r="Q399" s="9">
        <f>dynamic[orderPrice]*dynamic[orderQuantity]</f>
        <v>80</v>
      </c>
      <c r="R399" s="9">
        <f>dynamic[orderTotal]*(1-dynamic[discountApllied])</f>
        <v>68</v>
      </c>
      <c r="S399" s="9">
        <f>dynamic[revenue]-(dynamic[productCost]*dynamic[orderQuantity])</f>
        <v>10.26163548</v>
      </c>
      <c r="T399" s="25">
        <f>IFERROR(dynamic[profit]/dynamic[revenue], 0)</f>
        <v>0.1509064041</v>
      </c>
    </row>
    <row r="400" ht="15.75" customHeight="1">
      <c r="A400" s="6">
        <v>10397.0</v>
      </c>
      <c r="B400" s="7" t="s">
        <v>65</v>
      </c>
      <c r="C400" s="24" t="str">
        <f>VLOOKUP(dynamic[customerID],customers[],2,FALSE)</f>
        <v>Princesa Isabel Vinhos</v>
      </c>
      <c r="D400" s="24">
        <v>44922.0</v>
      </c>
      <c r="E400" s="6">
        <f>IFERROR(__xludf.DUMMYFUNCTION("COUNTUNIQUEIFS($A$2:$A400,$B$2:$B400,B400)"),2.0)</f>
        <v>2</v>
      </c>
      <c r="F400" s="6">
        <f t="shared" si="1"/>
        <v>65</v>
      </c>
      <c r="G400" s="6" t="str">
        <f>IF(MINIFS(dynamic[orderDate], dynamic[customerID], B400) &gt;= DATE(2024,4,30)-120, 
     "New", 
     IF(MAXIFS(dynamic[orderCount], dynamic[customerID], B400)&lt;=2, 
        IF((DATE(2024,4,30) - MAXIFS(dynamic[orderDate], dynamic[customerID], B400)) &gt; 180, "Non-Returning", "Dormant"), 
        IF(AND(MAX(dynamic[sinceLastOrder]) &gt; 365, (DATE(2024,4,30) - MAXIFS(dynamic[orderDate], dynamic[customerID], B400)) &gt; 180), 
           "Dormant", "Regular")))</f>
        <v>Regular</v>
      </c>
      <c r="H400" s="6">
        <v>51.0</v>
      </c>
      <c r="I400" s="9" t="str">
        <f>VLOOKUP(dynamic[productID],products[],2,FALSE)</f>
        <v>Manjimup Dried Apples</v>
      </c>
      <c r="J400" s="9" t="str">
        <f>VLOOKUP(dynamic[productID],products[],12,FALSE)</f>
        <v>Produce</v>
      </c>
      <c r="K400" s="7" t="str">
        <f>IF(VLOOKUP(dynamic[productID],products[],7,FALSE)=1,"Discontinued","Current")</f>
        <v>Current</v>
      </c>
      <c r="L400" s="9">
        <f>VLOOKUP(dynamic[productID],products[],IF(YEAR(dynamic[orderDate])=2022,8,IF(YEAR(dynamic[orderDate])=2023,9,IF(YEAR(dynamic[orderDate])=2024,10,NA))),FALSE)</f>
        <v>28.87532154</v>
      </c>
      <c r="M400" s="9">
        <v>42.4</v>
      </c>
      <c r="N400" s="25">
        <f>(dynamic[orderPrice]-dynamic[productCost])/dynamic[productCost]</f>
        <v>0.4683819172</v>
      </c>
      <c r="O400" s="10">
        <v>18.0</v>
      </c>
      <c r="P400" s="25">
        <v>0.15</v>
      </c>
      <c r="Q400" s="9">
        <f>dynamic[orderPrice]*dynamic[orderQuantity]</f>
        <v>763.2</v>
      </c>
      <c r="R400" s="9">
        <f>dynamic[orderTotal]*(1-dynamic[discountApllied])</f>
        <v>648.72</v>
      </c>
      <c r="S400" s="9">
        <f>dynamic[revenue]-(dynamic[productCost]*dynamic[orderQuantity])</f>
        <v>128.9642123</v>
      </c>
      <c r="T400" s="25">
        <f>IFERROR(dynamic[profit]/dynamic[revenue], 0)</f>
        <v>0.1987979596</v>
      </c>
    </row>
    <row r="401" ht="15.75" customHeight="1">
      <c r="A401" s="6">
        <v>10398.0</v>
      </c>
      <c r="B401" s="7" t="s">
        <v>60</v>
      </c>
      <c r="C401" s="24" t="str">
        <f>VLOOKUP(dynamic[customerID],customers[],2,FALSE)</f>
        <v>Save-a-lot Markets</v>
      </c>
      <c r="D401" s="24">
        <v>44925.0</v>
      </c>
      <c r="E401" s="6">
        <f>IFERROR(__xludf.DUMMYFUNCTION("COUNTUNIQUEIFS($A$2:$A401,$B$2:$B401,B401)"),3.0)</f>
        <v>3</v>
      </c>
      <c r="F401" s="6">
        <f t="shared" si="1"/>
        <v>5</v>
      </c>
      <c r="G401" s="6" t="str">
        <f>IF(MINIFS(dynamic[orderDate], dynamic[customerID], B401) &gt;= DATE(2024,4,30)-120, 
     "New", 
     IF(MAXIFS(dynamic[orderCount], dynamic[customerID], B401)&lt;=2, 
        IF((DATE(2024,4,30) - MAXIFS(dynamic[orderDate], dynamic[customerID], B401)) &gt; 180, "Non-Returning", "Dormant"), 
        IF(AND(MAX(dynamic[sinceLastOrder]) &gt; 365, (DATE(2024,4,30) - MAXIFS(dynamic[orderDate], dynamic[customerID], B401)) &gt; 180), 
           "Dormant", "Regular")))</f>
        <v>Regular</v>
      </c>
      <c r="H401" s="6">
        <v>35.0</v>
      </c>
      <c r="I401" s="9" t="str">
        <f>VLOOKUP(dynamic[productID],products[],2,FALSE)</f>
        <v>Cold Brew Nitro</v>
      </c>
      <c r="J401" s="9" t="str">
        <f>VLOOKUP(dynamic[productID],products[],12,FALSE)</f>
        <v>Beverages</v>
      </c>
      <c r="K401" s="7" t="str">
        <f>IF(VLOOKUP(dynamic[productID],products[],7,FALSE)=1,"Discontinued","Current")</f>
        <v>Current</v>
      </c>
      <c r="L401" s="9">
        <f>VLOOKUP(dynamic[productID],products[],IF(YEAR(dynamic[orderDate])=2022,8,IF(YEAR(dynamic[orderDate])=2023,9,IF(YEAR(dynamic[orderDate])=2024,10,NA))),FALSE)</f>
        <v>10.19869089</v>
      </c>
      <c r="M401" s="9">
        <v>14.4</v>
      </c>
      <c r="N401" s="25">
        <f>(dynamic[orderPrice]-dynamic[productCost])/dynamic[productCost]</f>
        <v>0.4119459208</v>
      </c>
      <c r="O401" s="10">
        <v>30.0</v>
      </c>
      <c r="P401" s="25">
        <v>0.0</v>
      </c>
      <c r="Q401" s="9">
        <f>dynamic[orderPrice]*dynamic[orderQuantity]</f>
        <v>432</v>
      </c>
      <c r="R401" s="9">
        <f>dynamic[orderTotal]*(1-dynamic[discountApllied])</f>
        <v>432</v>
      </c>
      <c r="S401" s="9">
        <f>dynamic[revenue]-(dynamic[productCost]*dynamic[orderQuantity])</f>
        <v>126.0392733</v>
      </c>
      <c r="T401" s="25">
        <f>IFERROR(dynamic[profit]/dynamic[revenue], 0)</f>
        <v>0.2917575771</v>
      </c>
    </row>
    <row r="402" ht="15.75" customHeight="1">
      <c r="A402" s="6">
        <v>10398.0</v>
      </c>
      <c r="B402" s="7" t="s">
        <v>60</v>
      </c>
      <c r="C402" s="24" t="str">
        <f>VLOOKUP(dynamic[customerID],customers[],2,FALSE)</f>
        <v>Save-a-lot Markets</v>
      </c>
      <c r="D402" s="24">
        <v>44925.0</v>
      </c>
      <c r="E402" s="6">
        <f>IFERROR(__xludf.DUMMYFUNCTION("COUNTUNIQUEIFS($A$2:$A402,$B$2:$B402,B402)"),3.0)</f>
        <v>3</v>
      </c>
      <c r="F402" s="6">
        <f t="shared" si="1"/>
        <v>5</v>
      </c>
      <c r="G402" s="6" t="str">
        <f>IF(MINIFS(dynamic[orderDate], dynamic[customerID], B402) &gt;= DATE(2024,4,30)-120, 
     "New", 
     IF(MAXIFS(dynamic[orderCount], dynamic[customerID], B402)&lt;=2, 
        IF((DATE(2024,4,30) - MAXIFS(dynamic[orderDate], dynamic[customerID], B402)) &gt; 180, "Non-Returning", "Dormant"), 
        IF(AND(MAX(dynamic[sinceLastOrder]) &gt; 365, (DATE(2024,4,30) - MAXIFS(dynamic[orderDate], dynamic[customerID], B402)) &gt; 180), 
           "Dormant", "Regular")))</f>
        <v>Regular</v>
      </c>
      <c r="H402" s="6">
        <v>55.0</v>
      </c>
      <c r="I402" s="9" t="str">
        <f>VLOOKUP(dynamic[productID],products[],2,FALSE)</f>
        <v>Pâté chinois</v>
      </c>
      <c r="J402" s="9" t="str">
        <f>VLOOKUP(dynamic[productID],products[],12,FALSE)</f>
        <v>Meat/Poultry</v>
      </c>
      <c r="K402" s="7" t="str">
        <f>IF(VLOOKUP(dynamic[productID],products[],7,FALSE)=1,"Discontinued","Current")</f>
        <v>Current</v>
      </c>
      <c r="L402" s="9">
        <f>VLOOKUP(dynamic[productID],products[],IF(YEAR(dynamic[orderDate])=2022,8,IF(YEAR(dynamic[orderDate])=2023,9,IF(YEAR(dynamic[orderDate])=2024,10,NA))),FALSE)</f>
        <v>12.97496052</v>
      </c>
      <c r="M402" s="9">
        <v>19.2</v>
      </c>
      <c r="N402" s="25">
        <f>(dynamic[orderPrice]-dynamic[productCost])/dynamic[productCost]</f>
        <v>0.4797732884</v>
      </c>
      <c r="O402" s="10">
        <v>120.0</v>
      </c>
      <c r="P402" s="25">
        <v>0.1</v>
      </c>
      <c r="Q402" s="9">
        <f>dynamic[orderPrice]*dynamic[orderQuantity]</f>
        <v>2304</v>
      </c>
      <c r="R402" s="9">
        <f>dynamic[orderTotal]*(1-dynamic[discountApllied])</f>
        <v>2073.6</v>
      </c>
      <c r="S402" s="9">
        <f>dynamic[revenue]-(dynamic[productCost]*dynamic[orderQuantity])</f>
        <v>516.6047372</v>
      </c>
      <c r="T402" s="25">
        <f>IFERROR(dynamic[profit]/dynamic[revenue], 0)</f>
        <v>0.249134229</v>
      </c>
    </row>
    <row r="403" ht="15.75" customHeight="1">
      <c r="A403" s="6">
        <v>10399.0</v>
      </c>
      <c r="B403" s="7" t="s">
        <v>76</v>
      </c>
      <c r="C403" s="24" t="str">
        <f>VLOOKUP(dynamic[customerID],customers[],2,FALSE)</f>
        <v>Vaffeljernet</v>
      </c>
      <c r="D403" s="24">
        <v>44926.0</v>
      </c>
      <c r="E403" s="6">
        <f>IFERROR(__xludf.DUMMYFUNCTION("COUNTUNIQUEIFS($A$2:$A403,$B$2:$B403,B403)"),2.0)</f>
        <v>2</v>
      </c>
      <c r="F403" s="6">
        <f t="shared" si="1"/>
        <v>33</v>
      </c>
      <c r="G403" s="6" t="str">
        <f>IF(MINIFS(dynamic[orderDate], dynamic[customerID], B403) &gt;= DATE(2024,4,30)-120, 
     "New", 
     IF(MAXIFS(dynamic[orderCount], dynamic[customerID], B403)&lt;=2, 
        IF((DATE(2024,4,30) - MAXIFS(dynamic[orderDate], dynamic[customerID], B403)) &gt; 180, "Non-Returning", "Dormant"), 
        IF(AND(MAX(dynamic[sinceLastOrder]) &gt; 365, (DATE(2024,4,30) - MAXIFS(dynamic[orderDate], dynamic[customerID], B403)) &gt; 180), 
           "Dormant", "Regular")))</f>
        <v>Regular</v>
      </c>
      <c r="H403" s="6">
        <v>68.0</v>
      </c>
      <c r="I403" s="9" t="str">
        <f>VLOOKUP(dynamic[productID],products[],2,FALSE)</f>
        <v>Scottish Longbreads</v>
      </c>
      <c r="J403" s="9" t="str">
        <f>VLOOKUP(dynamic[productID],products[],12,FALSE)</f>
        <v>Confections</v>
      </c>
      <c r="K403" s="7" t="str">
        <f>IF(VLOOKUP(dynamic[productID],products[],7,FALSE)=1,"Discontinued","Current")</f>
        <v>Current</v>
      </c>
      <c r="L403" s="9">
        <f>VLOOKUP(dynamic[productID],products[],IF(YEAR(dynamic[orderDate])=2022,8,IF(YEAR(dynamic[orderDate])=2023,9,IF(YEAR(dynamic[orderDate])=2024,10,NA))),FALSE)</f>
        <v>7.316656529</v>
      </c>
      <c r="M403" s="9">
        <v>10.0</v>
      </c>
      <c r="N403" s="25">
        <f>(dynamic[orderPrice]-dynamic[productCost])/dynamic[productCost]</f>
        <v>0.3667444906</v>
      </c>
      <c r="O403" s="10">
        <v>60.0</v>
      </c>
      <c r="P403" s="25">
        <v>0.0</v>
      </c>
      <c r="Q403" s="9">
        <f>dynamic[orderPrice]*dynamic[orderQuantity]</f>
        <v>600</v>
      </c>
      <c r="R403" s="9">
        <f>dynamic[orderTotal]*(1-dynamic[discountApllied])</f>
        <v>600</v>
      </c>
      <c r="S403" s="9">
        <f>dynamic[revenue]-(dynamic[productCost]*dynamic[orderQuantity])</f>
        <v>161.0006083</v>
      </c>
      <c r="T403" s="25">
        <f>IFERROR(dynamic[profit]/dynamic[revenue], 0)</f>
        <v>0.2683343471</v>
      </c>
    </row>
    <row r="404" ht="15.75" customHeight="1">
      <c r="A404" s="6">
        <v>10399.0</v>
      </c>
      <c r="B404" s="7" t="s">
        <v>76</v>
      </c>
      <c r="C404" s="24" t="str">
        <f>VLOOKUP(dynamic[customerID],customers[],2,FALSE)</f>
        <v>Vaffeljernet</v>
      </c>
      <c r="D404" s="24">
        <v>44926.0</v>
      </c>
      <c r="E404" s="6">
        <f>IFERROR(__xludf.DUMMYFUNCTION("COUNTUNIQUEIFS($A$2:$A404,$B$2:$B404,B404)"),2.0)</f>
        <v>2</v>
      </c>
      <c r="F404" s="6">
        <f t="shared" si="1"/>
        <v>33</v>
      </c>
      <c r="G404" s="6" t="str">
        <f>IF(MINIFS(dynamic[orderDate], dynamic[customerID], B404) &gt;= DATE(2024,4,30)-120, 
     "New", 
     IF(MAXIFS(dynamic[orderCount], dynamic[customerID], B404)&lt;=2, 
        IF((DATE(2024,4,30) - MAXIFS(dynamic[orderDate], dynamic[customerID], B404)) &gt; 180, "Non-Returning", "Dormant"), 
        IF(AND(MAX(dynamic[sinceLastOrder]) &gt; 365, (DATE(2024,4,30) - MAXIFS(dynamic[orderDate], dynamic[customerID], B404)) &gt; 180), 
           "Dormant", "Regular")))</f>
        <v>Regular</v>
      </c>
      <c r="H404" s="6">
        <v>71.0</v>
      </c>
      <c r="I404" s="9" t="str">
        <f>VLOOKUP(dynamic[productID],products[],2,FALSE)</f>
        <v>Flotemysost</v>
      </c>
      <c r="J404" s="9" t="str">
        <f>VLOOKUP(dynamic[productID],products[],12,FALSE)</f>
        <v>Dairy Products</v>
      </c>
      <c r="K404" s="7" t="str">
        <f>IF(VLOOKUP(dynamic[productID],products[],7,FALSE)=1,"Discontinued","Current")</f>
        <v>Current</v>
      </c>
      <c r="L404" s="9">
        <f>VLOOKUP(dynamic[productID],products[],IF(YEAR(dynamic[orderDate])=2022,8,IF(YEAR(dynamic[orderDate])=2023,9,IF(YEAR(dynamic[orderDate])=2024,10,NA))),FALSE)</f>
        <v>12.00719029</v>
      </c>
      <c r="M404" s="9">
        <v>17.2</v>
      </c>
      <c r="N404" s="25">
        <f>(dynamic[orderPrice]-dynamic[productCost])/dynamic[productCost]</f>
        <v>0.4324750075</v>
      </c>
      <c r="O404" s="10">
        <v>30.0</v>
      </c>
      <c r="P404" s="25">
        <v>0.0</v>
      </c>
      <c r="Q404" s="9">
        <f>dynamic[orderPrice]*dynamic[orderQuantity]</f>
        <v>516</v>
      </c>
      <c r="R404" s="9">
        <f>dynamic[orderTotal]*(1-dynamic[discountApllied])</f>
        <v>516</v>
      </c>
      <c r="S404" s="9">
        <f>dynamic[revenue]-(dynamic[productCost]*dynamic[orderQuantity])</f>
        <v>155.7842913</v>
      </c>
      <c r="T404" s="25">
        <f>IFERROR(dynamic[profit]/dynamic[revenue], 0)</f>
        <v>0.3019075413</v>
      </c>
    </row>
    <row r="405" ht="15.75" customHeight="1">
      <c r="A405" s="6">
        <v>10399.0</v>
      </c>
      <c r="B405" s="7" t="s">
        <v>76</v>
      </c>
      <c r="C405" s="24" t="str">
        <f>VLOOKUP(dynamic[customerID],customers[],2,FALSE)</f>
        <v>Vaffeljernet</v>
      </c>
      <c r="D405" s="24">
        <v>44926.0</v>
      </c>
      <c r="E405" s="6">
        <f>IFERROR(__xludf.DUMMYFUNCTION("COUNTUNIQUEIFS($A$2:$A405,$B$2:$B405,B405)"),2.0)</f>
        <v>2</v>
      </c>
      <c r="F405" s="6">
        <f t="shared" si="1"/>
        <v>33</v>
      </c>
      <c r="G405" s="6" t="str">
        <f>IF(MINIFS(dynamic[orderDate], dynamic[customerID], B405) &gt;= DATE(2024,4,30)-120, 
     "New", 
     IF(MAXIFS(dynamic[orderCount], dynamic[customerID], B405)&lt;=2, 
        IF((DATE(2024,4,30) - MAXIFS(dynamic[orderDate], dynamic[customerID], B405)) &gt; 180, "Non-Returning", "Dormant"), 
        IF(AND(MAX(dynamic[sinceLastOrder]) &gt; 365, (DATE(2024,4,30) - MAXIFS(dynamic[orderDate], dynamic[customerID], B405)) &gt; 180), 
           "Dormant", "Regular")))</f>
        <v>Regular</v>
      </c>
      <c r="H405" s="6">
        <v>76.0</v>
      </c>
      <c r="I405" s="9" t="str">
        <f>VLOOKUP(dynamic[productID],products[],2,FALSE)</f>
        <v>Lakkalikööri</v>
      </c>
      <c r="J405" s="9" t="str">
        <f>VLOOKUP(dynamic[productID],products[],12,FALSE)</f>
        <v>Beverages</v>
      </c>
      <c r="K405" s="7" t="str">
        <f>IF(VLOOKUP(dynamic[productID],products[],7,FALSE)=1,"Discontinued","Current")</f>
        <v>Current</v>
      </c>
      <c r="L405" s="9">
        <f>VLOOKUP(dynamic[productID],products[],IF(YEAR(dynamic[orderDate])=2022,8,IF(YEAR(dynamic[orderDate])=2023,9,IF(YEAR(dynamic[orderDate])=2024,10,NA))),FALSE)</f>
        <v>10.19609256</v>
      </c>
      <c r="M405" s="9">
        <v>14.4</v>
      </c>
      <c r="N405" s="25">
        <f>(dynamic[orderPrice]-dynamic[productCost])/dynamic[productCost]</f>
        <v>0.4123057356</v>
      </c>
      <c r="O405" s="10">
        <v>35.0</v>
      </c>
      <c r="P405" s="25">
        <v>0.0</v>
      </c>
      <c r="Q405" s="9">
        <f>dynamic[orderPrice]*dynamic[orderQuantity]</f>
        <v>504</v>
      </c>
      <c r="R405" s="9">
        <f>dynamic[orderTotal]*(1-dynamic[discountApllied])</f>
        <v>504</v>
      </c>
      <c r="S405" s="9">
        <f>dynamic[revenue]-(dynamic[productCost]*dynamic[orderQuantity])</f>
        <v>147.1367605</v>
      </c>
      <c r="T405" s="25">
        <f>IFERROR(dynamic[profit]/dynamic[revenue], 0)</f>
        <v>0.2919380168</v>
      </c>
    </row>
    <row r="406" ht="15.75" customHeight="1">
      <c r="A406" s="6">
        <v>10399.0</v>
      </c>
      <c r="B406" s="7" t="s">
        <v>76</v>
      </c>
      <c r="C406" s="24" t="str">
        <f>VLOOKUP(dynamic[customerID],customers[],2,FALSE)</f>
        <v>Vaffeljernet</v>
      </c>
      <c r="D406" s="24">
        <v>44926.0</v>
      </c>
      <c r="E406" s="6">
        <f>IFERROR(__xludf.DUMMYFUNCTION("COUNTUNIQUEIFS($A$2:$A406,$B$2:$B406,B406)"),2.0)</f>
        <v>2</v>
      </c>
      <c r="F406" s="6">
        <f t="shared" si="1"/>
        <v>33</v>
      </c>
      <c r="G406" s="6" t="str">
        <f>IF(MINIFS(dynamic[orderDate], dynamic[customerID], B406) &gt;= DATE(2024,4,30)-120, 
     "New", 
     IF(MAXIFS(dynamic[orderCount], dynamic[customerID], B406)&lt;=2, 
        IF((DATE(2024,4,30) - MAXIFS(dynamic[orderDate], dynamic[customerID], B406)) &gt; 180, "Non-Returning", "Dormant"), 
        IF(AND(MAX(dynamic[sinceLastOrder]) &gt; 365, (DATE(2024,4,30) - MAXIFS(dynamic[orderDate], dynamic[customerID], B406)) &gt; 180), 
           "Dormant", "Regular")))</f>
        <v>Regular</v>
      </c>
      <c r="H406" s="6">
        <v>77.0</v>
      </c>
      <c r="I406" s="9" t="str">
        <f>VLOOKUP(dynamic[productID],products[],2,FALSE)</f>
        <v>Original Frankfurter grüne Soße</v>
      </c>
      <c r="J406" s="9" t="str">
        <f>VLOOKUP(dynamic[productID],products[],12,FALSE)</f>
        <v>Condiments</v>
      </c>
      <c r="K406" s="7" t="str">
        <f>IF(VLOOKUP(dynamic[productID],products[],7,FALSE)=1,"Discontinued","Current")</f>
        <v>Current</v>
      </c>
      <c r="L406" s="9">
        <f>VLOOKUP(dynamic[productID],products[],IF(YEAR(dynamic[orderDate])=2022,8,IF(YEAR(dynamic[orderDate])=2023,9,IF(YEAR(dynamic[orderDate])=2024,10,NA))),FALSE)</f>
        <v>7.430272842</v>
      </c>
      <c r="M406" s="9">
        <v>10.4</v>
      </c>
      <c r="N406" s="25">
        <f>(dynamic[orderPrice]-dynamic[productCost])/dynamic[productCost]</f>
        <v>0.3996794225</v>
      </c>
      <c r="O406" s="10">
        <v>14.0</v>
      </c>
      <c r="P406" s="25">
        <v>0.0</v>
      </c>
      <c r="Q406" s="9">
        <f>dynamic[orderPrice]*dynamic[orderQuantity]</f>
        <v>145.6</v>
      </c>
      <c r="R406" s="9">
        <f>dynamic[orderTotal]*(1-dynamic[discountApllied])</f>
        <v>145.6</v>
      </c>
      <c r="S406" s="9">
        <f>dynamic[revenue]-(dynamic[productCost]*dynamic[orderQuantity])</f>
        <v>41.57618022</v>
      </c>
      <c r="T406" s="25">
        <f>IFERROR(dynamic[profit]/dynamic[revenue], 0)</f>
        <v>0.2855506883</v>
      </c>
    </row>
    <row r="407" ht="15.75" customHeight="1">
      <c r="A407" s="6">
        <v>10400.0</v>
      </c>
      <c r="B407" s="7" t="s">
        <v>73</v>
      </c>
      <c r="C407" s="24" t="str">
        <f>VLOOKUP(dynamic[customerID],customers[],2,FALSE)</f>
        <v>Eastern Connection</v>
      </c>
      <c r="D407" s="24">
        <v>44927.0</v>
      </c>
      <c r="E407" s="6">
        <f>IFERROR(__xludf.DUMMYFUNCTION("COUNTUNIQUEIFS($A$2:$A407,$B$2:$B407,B407)"),2.0)</f>
        <v>2</v>
      </c>
      <c r="F407" s="6">
        <f t="shared" si="1"/>
        <v>36</v>
      </c>
      <c r="G407" s="6" t="str">
        <f>IF(MINIFS(dynamic[orderDate], dynamic[customerID], B407) &gt;= DATE(2024,4,30)-120, 
     "New", 
     IF(MAXIFS(dynamic[orderCount], dynamic[customerID], B407)&lt;=2, 
        IF((DATE(2024,4,30) - MAXIFS(dynamic[orderDate], dynamic[customerID], B407)) &gt; 180, "Non-Returning", "Dormant"), 
        IF(AND(MAX(dynamic[sinceLastOrder]) &gt; 365, (DATE(2024,4,30) - MAXIFS(dynamic[orderDate], dynamic[customerID], B407)) &gt; 180), 
           "Dormant", "Regular")))</f>
        <v>Regular</v>
      </c>
      <c r="H407" s="6">
        <v>29.0</v>
      </c>
      <c r="I407" s="9" t="str">
        <f>VLOOKUP(dynamic[productID],products[],2,FALSE)</f>
        <v>Thüringer Rostbratwurst</v>
      </c>
      <c r="J407" s="9" t="str">
        <f>VLOOKUP(dynamic[productID],products[],12,FALSE)</f>
        <v>Meat/Poultry</v>
      </c>
      <c r="K407" s="7" t="str">
        <f>IF(VLOOKUP(dynamic[productID],products[],7,FALSE)=1,"Discontinued","Current")</f>
        <v>Discontinued</v>
      </c>
      <c r="L407" s="9">
        <f>VLOOKUP(dynamic[productID],products[],IF(YEAR(dynamic[orderDate])=2022,8,IF(YEAR(dynamic[orderDate])=2023,9,IF(YEAR(dynamic[orderDate])=2024,10,NA))),FALSE)</f>
        <v>80.85619497</v>
      </c>
      <c r="M407" s="9">
        <v>99.0</v>
      </c>
      <c r="N407" s="25">
        <f>(dynamic[orderPrice]-dynamic[productCost])/dynamic[productCost]</f>
        <v>0.224395979</v>
      </c>
      <c r="O407" s="10">
        <v>21.0</v>
      </c>
      <c r="P407" s="25">
        <v>0.0</v>
      </c>
      <c r="Q407" s="9">
        <f>dynamic[orderPrice]*dynamic[orderQuantity]</f>
        <v>2079</v>
      </c>
      <c r="R407" s="9">
        <f>dynamic[orderTotal]*(1-dynamic[discountApllied])</f>
        <v>2079</v>
      </c>
      <c r="S407" s="9">
        <f>dynamic[revenue]-(dynamic[productCost]*dynamic[orderQuantity])</f>
        <v>381.0199056</v>
      </c>
      <c r="T407" s="25">
        <f>IFERROR(dynamic[profit]/dynamic[revenue], 0)</f>
        <v>0.1832707579</v>
      </c>
    </row>
    <row r="408" ht="15.75" customHeight="1">
      <c r="A408" s="6">
        <v>10400.0</v>
      </c>
      <c r="B408" s="7" t="s">
        <v>73</v>
      </c>
      <c r="C408" s="24" t="str">
        <f>VLOOKUP(dynamic[customerID],customers[],2,FALSE)</f>
        <v>Eastern Connection</v>
      </c>
      <c r="D408" s="24">
        <v>44927.0</v>
      </c>
      <c r="E408" s="6">
        <f>IFERROR(__xludf.DUMMYFUNCTION("COUNTUNIQUEIFS($A$2:$A408,$B$2:$B408,B408)"),2.0)</f>
        <v>2</v>
      </c>
      <c r="F408" s="6">
        <f t="shared" si="1"/>
        <v>36</v>
      </c>
      <c r="G408" s="6" t="str">
        <f>IF(MINIFS(dynamic[orderDate], dynamic[customerID], B408) &gt;= DATE(2024,4,30)-120, 
     "New", 
     IF(MAXIFS(dynamic[orderCount], dynamic[customerID], B408)&lt;=2, 
        IF((DATE(2024,4,30) - MAXIFS(dynamic[orderDate], dynamic[customerID], B408)) &gt; 180, "Non-Returning", "Dormant"), 
        IF(AND(MAX(dynamic[sinceLastOrder]) &gt; 365, (DATE(2024,4,30) - MAXIFS(dynamic[orderDate], dynamic[customerID], B408)) &gt; 180), 
           "Dormant", "Regular")))</f>
        <v>Regular</v>
      </c>
      <c r="H408" s="6">
        <v>35.0</v>
      </c>
      <c r="I408" s="9" t="str">
        <f>VLOOKUP(dynamic[productID],products[],2,FALSE)</f>
        <v>Cold Brew Nitro</v>
      </c>
      <c r="J408" s="9" t="str">
        <f>VLOOKUP(dynamic[productID],products[],12,FALSE)</f>
        <v>Beverages</v>
      </c>
      <c r="K408" s="7" t="str">
        <f>IF(VLOOKUP(dynamic[productID],products[],7,FALSE)=1,"Discontinued","Current")</f>
        <v>Current</v>
      </c>
      <c r="L408" s="9">
        <f>VLOOKUP(dynamic[productID],products[],IF(YEAR(dynamic[orderDate])=2022,8,IF(YEAR(dynamic[orderDate])=2023,9,IF(YEAR(dynamic[orderDate])=2024,10,NA))),FALSE)</f>
        <v>11.7602531</v>
      </c>
      <c r="M408" s="9">
        <v>14.4</v>
      </c>
      <c r="N408" s="25">
        <f>(dynamic[orderPrice]-dynamic[productCost])/dynamic[productCost]</f>
        <v>0.2244634426</v>
      </c>
      <c r="O408" s="10">
        <v>35.0</v>
      </c>
      <c r="P408" s="25">
        <v>0.0</v>
      </c>
      <c r="Q408" s="9">
        <f>dynamic[orderPrice]*dynamic[orderQuantity]</f>
        <v>504</v>
      </c>
      <c r="R408" s="9">
        <f>dynamic[orderTotal]*(1-dynamic[discountApllied])</f>
        <v>504</v>
      </c>
      <c r="S408" s="9">
        <f>dynamic[revenue]-(dynamic[productCost]*dynamic[orderQuantity])</f>
        <v>92.39114142</v>
      </c>
      <c r="T408" s="25">
        <f>IFERROR(dynamic[profit]/dynamic[revenue], 0)</f>
        <v>0.1833157568</v>
      </c>
    </row>
    <row r="409" ht="15.75" customHeight="1">
      <c r="A409" s="6">
        <v>10400.0</v>
      </c>
      <c r="B409" s="7" t="s">
        <v>73</v>
      </c>
      <c r="C409" s="24" t="str">
        <f>VLOOKUP(dynamic[customerID],customers[],2,FALSE)</f>
        <v>Eastern Connection</v>
      </c>
      <c r="D409" s="24">
        <v>44927.0</v>
      </c>
      <c r="E409" s="6">
        <f>IFERROR(__xludf.DUMMYFUNCTION("COUNTUNIQUEIFS($A$2:$A409,$B$2:$B409,B409)"),2.0)</f>
        <v>2</v>
      </c>
      <c r="F409" s="6">
        <f t="shared" si="1"/>
        <v>36</v>
      </c>
      <c r="G409" s="6" t="str">
        <f>IF(MINIFS(dynamic[orderDate], dynamic[customerID], B409) &gt;= DATE(2024,4,30)-120, 
     "New", 
     IF(MAXIFS(dynamic[orderCount], dynamic[customerID], B409)&lt;=2, 
        IF((DATE(2024,4,30) - MAXIFS(dynamic[orderDate], dynamic[customerID], B409)) &gt; 180, "Non-Returning", "Dormant"), 
        IF(AND(MAX(dynamic[sinceLastOrder]) &gt; 365, (DATE(2024,4,30) - MAXIFS(dynamic[orderDate], dynamic[customerID], B409)) &gt; 180), 
           "Dormant", "Regular")))</f>
        <v>Regular</v>
      </c>
      <c r="H409" s="6">
        <v>49.0</v>
      </c>
      <c r="I409" s="9" t="str">
        <f>VLOOKUP(dynamic[productID],products[],2,FALSE)</f>
        <v>Maxilaku</v>
      </c>
      <c r="J409" s="9" t="str">
        <f>VLOOKUP(dynamic[productID],products[],12,FALSE)</f>
        <v>Confections</v>
      </c>
      <c r="K409" s="7" t="str">
        <f>IF(VLOOKUP(dynamic[productID],products[],7,FALSE)=1,"Discontinued","Current")</f>
        <v>Current</v>
      </c>
      <c r="L409" s="9">
        <f>VLOOKUP(dynamic[productID],products[],IF(YEAR(dynamic[orderDate])=2022,8,IF(YEAR(dynamic[orderDate])=2023,9,IF(YEAR(dynamic[orderDate])=2024,10,NA))),FALSE)</f>
        <v>13.04112285</v>
      </c>
      <c r="M409" s="9">
        <v>16.0</v>
      </c>
      <c r="N409" s="25">
        <f>(dynamic[orderPrice]-dynamic[productCost])/dynamic[productCost]</f>
        <v>0.2268882197</v>
      </c>
      <c r="O409" s="10">
        <v>30.0</v>
      </c>
      <c r="P409" s="25">
        <v>0.0</v>
      </c>
      <c r="Q409" s="9">
        <f>dynamic[orderPrice]*dynamic[orderQuantity]</f>
        <v>480</v>
      </c>
      <c r="R409" s="9">
        <f>dynamic[orderTotal]*(1-dynamic[discountApllied])</f>
        <v>480</v>
      </c>
      <c r="S409" s="9">
        <f>dynamic[revenue]-(dynamic[productCost]*dynamic[orderQuantity])</f>
        <v>88.7663144</v>
      </c>
      <c r="T409" s="25">
        <f>IFERROR(dynamic[profit]/dynamic[revenue], 0)</f>
        <v>0.1849298217</v>
      </c>
    </row>
    <row r="410" ht="15.75" customHeight="1">
      <c r="A410" s="6">
        <v>10401.0</v>
      </c>
      <c r="B410" s="7" t="s">
        <v>28</v>
      </c>
      <c r="C410" s="24" t="str">
        <f>VLOOKUP(dynamic[customerID],customers[],2,FALSE)</f>
        <v>Rattlesnake Canyon Grocery</v>
      </c>
      <c r="D410" s="24">
        <v>44927.0</v>
      </c>
      <c r="E410" s="6">
        <f>IFERROR(__xludf.DUMMYFUNCTION("COUNTUNIQUEIFS($A$2:$A410,$B$2:$B410,B410)"),7.0)</f>
        <v>7</v>
      </c>
      <c r="F410" s="6">
        <f t="shared" si="1"/>
        <v>57</v>
      </c>
      <c r="G410" s="6" t="str">
        <f>IF(MINIFS(dynamic[orderDate], dynamic[customerID], B410) &gt;= DATE(2024,4,30)-120, 
     "New", 
     IF(MAXIFS(dynamic[orderCount], dynamic[customerID], B410)&lt;=2, 
        IF((DATE(2024,4,30) - MAXIFS(dynamic[orderDate], dynamic[customerID], B410)) &gt; 180, "Non-Returning", "Dormant"), 
        IF(AND(MAX(dynamic[sinceLastOrder]) &gt; 365, (DATE(2024,4,30) - MAXIFS(dynamic[orderDate], dynamic[customerID], B410)) &gt; 180), 
           "Dormant", "Regular")))</f>
        <v>Regular</v>
      </c>
      <c r="H410" s="6">
        <v>30.0</v>
      </c>
      <c r="I410" s="9" t="str">
        <f>VLOOKUP(dynamic[productID],products[],2,FALSE)</f>
        <v>Nord-Ost Matjeshering</v>
      </c>
      <c r="J410" s="9" t="str">
        <f>VLOOKUP(dynamic[productID],products[],12,FALSE)</f>
        <v>Seafood</v>
      </c>
      <c r="K410" s="7" t="str">
        <f>IF(VLOOKUP(dynamic[productID],products[],7,FALSE)=1,"Discontinued","Current")</f>
        <v>Current</v>
      </c>
      <c r="L410" s="9">
        <f>VLOOKUP(dynamic[productID],products[],IF(YEAR(dynamic[orderDate])=2022,8,IF(YEAR(dynamic[orderDate])=2023,9,IF(YEAR(dynamic[orderDate])=2024,10,NA))),FALSE)</f>
        <v>16.03885249</v>
      </c>
      <c r="M410" s="9">
        <v>20.7</v>
      </c>
      <c r="N410" s="25">
        <f>(dynamic[orderPrice]-dynamic[productCost])/dynamic[productCost]</f>
        <v>0.2906160219</v>
      </c>
      <c r="O410" s="10">
        <v>18.0</v>
      </c>
      <c r="P410" s="25">
        <v>0.0</v>
      </c>
      <c r="Q410" s="9">
        <f>dynamic[orderPrice]*dynamic[orderQuantity]</f>
        <v>372.6</v>
      </c>
      <c r="R410" s="9">
        <f>dynamic[orderTotal]*(1-dynamic[discountApllied])</f>
        <v>372.6</v>
      </c>
      <c r="S410" s="9">
        <f>dynamic[revenue]-(dynamic[productCost]*dynamic[orderQuantity])</f>
        <v>83.90065513</v>
      </c>
      <c r="T410" s="25">
        <f>IFERROR(dynamic[profit]/dynamic[revenue], 0)</f>
        <v>0.2251762081</v>
      </c>
    </row>
    <row r="411" ht="15.75" customHeight="1">
      <c r="A411" s="6">
        <v>10401.0</v>
      </c>
      <c r="B411" s="7" t="s">
        <v>28</v>
      </c>
      <c r="C411" s="24" t="str">
        <f>VLOOKUP(dynamic[customerID],customers[],2,FALSE)</f>
        <v>Rattlesnake Canyon Grocery</v>
      </c>
      <c r="D411" s="24">
        <v>44927.0</v>
      </c>
      <c r="E411" s="6">
        <f>IFERROR(__xludf.DUMMYFUNCTION("COUNTUNIQUEIFS($A$2:$A411,$B$2:$B411,B411)"),7.0)</f>
        <v>7</v>
      </c>
      <c r="F411" s="6">
        <f t="shared" si="1"/>
        <v>57</v>
      </c>
      <c r="G411" s="6" t="str">
        <f>IF(MINIFS(dynamic[orderDate], dynamic[customerID], B411) &gt;= DATE(2024,4,30)-120, 
     "New", 
     IF(MAXIFS(dynamic[orderCount], dynamic[customerID], B411)&lt;=2, 
        IF((DATE(2024,4,30) - MAXIFS(dynamic[orderDate], dynamic[customerID], B411)) &gt; 180, "Non-Returning", "Dormant"), 
        IF(AND(MAX(dynamic[sinceLastOrder]) &gt; 365, (DATE(2024,4,30) - MAXIFS(dynamic[orderDate], dynamic[customerID], B411)) &gt; 180), 
           "Dormant", "Regular")))</f>
        <v>Regular</v>
      </c>
      <c r="H411" s="6">
        <v>56.0</v>
      </c>
      <c r="I411" s="9" t="str">
        <f>VLOOKUP(dynamic[productID],products[],2,FALSE)</f>
        <v>Gnocchi di nonna Alice</v>
      </c>
      <c r="J411" s="9" t="str">
        <f>VLOOKUP(dynamic[productID],products[],12,FALSE)</f>
        <v>Grains/Cereals</v>
      </c>
      <c r="K411" s="7" t="str">
        <f>IF(VLOOKUP(dynamic[productID],products[],7,FALSE)=1,"Discontinued","Current")</f>
        <v>Current</v>
      </c>
      <c r="L411" s="9">
        <f>VLOOKUP(dynamic[productID],products[],IF(YEAR(dynamic[orderDate])=2022,8,IF(YEAR(dynamic[orderDate])=2023,9,IF(YEAR(dynamic[orderDate])=2024,10,NA))),FALSE)</f>
        <v>24.28342441</v>
      </c>
      <c r="M411" s="9">
        <v>30.4</v>
      </c>
      <c r="N411" s="25">
        <f>(dynamic[orderPrice]-dynamic[productCost])/dynamic[productCost]</f>
        <v>0.2518827447</v>
      </c>
      <c r="O411" s="10">
        <v>70.0</v>
      </c>
      <c r="P411" s="25">
        <v>0.0</v>
      </c>
      <c r="Q411" s="9">
        <f>dynamic[orderPrice]*dynamic[orderQuantity]</f>
        <v>2128</v>
      </c>
      <c r="R411" s="9">
        <f>dynamic[orderTotal]*(1-dynamic[discountApllied])</f>
        <v>2128</v>
      </c>
      <c r="S411" s="9">
        <f>dynamic[revenue]-(dynamic[productCost]*dynamic[orderQuantity])</f>
        <v>428.1602914</v>
      </c>
      <c r="T411" s="25">
        <f>IFERROR(dynamic[profit]/dynamic[revenue], 0)</f>
        <v>0.2012031445</v>
      </c>
    </row>
    <row r="412" ht="15.75" customHeight="1">
      <c r="A412" s="6">
        <v>10401.0</v>
      </c>
      <c r="B412" s="7" t="s">
        <v>28</v>
      </c>
      <c r="C412" s="24" t="str">
        <f>VLOOKUP(dynamic[customerID],customers[],2,FALSE)</f>
        <v>Rattlesnake Canyon Grocery</v>
      </c>
      <c r="D412" s="24">
        <v>44927.0</v>
      </c>
      <c r="E412" s="6">
        <f>IFERROR(__xludf.DUMMYFUNCTION("COUNTUNIQUEIFS($A$2:$A412,$B$2:$B412,B412)"),7.0)</f>
        <v>7</v>
      </c>
      <c r="F412" s="6">
        <f t="shared" si="1"/>
        <v>57</v>
      </c>
      <c r="G412" s="6" t="str">
        <f>IF(MINIFS(dynamic[orderDate], dynamic[customerID], B412) &gt;= DATE(2024,4,30)-120, 
     "New", 
     IF(MAXIFS(dynamic[orderCount], dynamic[customerID], B412)&lt;=2, 
        IF((DATE(2024,4,30) - MAXIFS(dynamic[orderDate], dynamic[customerID], B412)) &gt; 180, "Non-Returning", "Dormant"), 
        IF(AND(MAX(dynamic[sinceLastOrder]) &gt; 365, (DATE(2024,4,30) - MAXIFS(dynamic[orderDate], dynamic[customerID], B412)) &gt; 180), 
           "Dormant", "Regular")))</f>
        <v>Regular</v>
      </c>
      <c r="H412" s="6">
        <v>65.0</v>
      </c>
      <c r="I412" s="9" t="str">
        <f>VLOOKUP(dynamic[productID],products[],2,FALSE)</f>
        <v>Louisiana Fiery Hot Pepper Sauce</v>
      </c>
      <c r="J412" s="9" t="str">
        <f>VLOOKUP(dynamic[productID],products[],12,FALSE)</f>
        <v>Condiments</v>
      </c>
      <c r="K412" s="7" t="str">
        <f>IF(VLOOKUP(dynamic[productID],products[],7,FALSE)=1,"Discontinued","Current")</f>
        <v>Current</v>
      </c>
      <c r="L412" s="9">
        <f>VLOOKUP(dynamic[productID],products[],IF(YEAR(dynamic[orderDate])=2022,8,IF(YEAR(dynamic[orderDate])=2023,9,IF(YEAR(dynamic[orderDate])=2024,10,NA))),FALSE)</f>
        <v>13.21122243</v>
      </c>
      <c r="M412" s="9">
        <v>16.8</v>
      </c>
      <c r="N412" s="25">
        <f>(dynamic[orderPrice]-dynamic[productCost])/dynamic[productCost]</f>
        <v>0.2716461391</v>
      </c>
      <c r="O412" s="10">
        <v>20.0</v>
      </c>
      <c r="P412" s="25">
        <v>0.0</v>
      </c>
      <c r="Q412" s="9">
        <f>dynamic[orderPrice]*dynamic[orderQuantity]</f>
        <v>336</v>
      </c>
      <c r="R412" s="9">
        <f>dynamic[orderTotal]*(1-dynamic[discountApllied])</f>
        <v>336</v>
      </c>
      <c r="S412" s="9">
        <f>dynamic[revenue]-(dynamic[productCost]*dynamic[orderQuantity])</f>
        <v>71.77555134</v>
      </c>
      <c r="T412" s="25">
        <f>IFERROR(dynamic[profit]/dynamic[revenue], 0)</f>
        <v>0.2136177123</v>
      </c>
    </row>
    <row r="413" ht="15.75" customHeight="1">
      <c r="A413" s="6">
        <v>10401.0</v>
      </c>
      <c r="B413" s="7" t="s">
        <v>28</v>
      </c>
      <c r="C413" s="24" t="str">
        <f>VLOOKUP(dynamic[customerID],customers[],2,FALSE)</f>
        <v>Rattlesnake Canyon Grocery</v>
      </c>
      <c r="D413" s="24">
        <v>44927.0</v>
      </c>
      <c r="E413" s="6">
        <f>IFERROR(__xludf.DUMMYFUNCTION("COUNTUNIQUEIFS($A$2:$A413,$B$2:$B413,B413)"),7.0)</f>
        <v>7</v>
      </c>
      <c r="F413" s="6">
        <f t="shared" si="1"/>
        <v>57</v>
      </c>
      <c r="G413" s="6" t="str">
        <f>IF(MINIFS(dynamic[orderDate], dynamic[customerID], B413) &gt;= DATE(2024,4,30)-120, 
     "New", 
     IF(MAXIFS(dynamic[orderCount], dynamic[customerID], B413)&lt;=2, 
        IF((DATE(2024,4,30) - MAXIFS(dynamic[orderDate], dynamic[customerID], B413)) &gt; 180, "Non-Returning", "Dormant"), 
        IF(AND(MAX(dynamic[sinceLastOrder]) &gt; 365, (DATE(2024,4,30) - MAXIFS(dynamic[orderDate], dynamic[customerID], B413)) &gt; 180), 
           "Dormant", "Regular")))</f>
        <v>Regular</v>
      </c>
      <c r="H413" s="6">
        <v>71.0</v>
      </c>
      <c r="I413" s="9" t="str">
        <f>VLOOKUP(dynamic[productID],products[],2,FALSE)</f>
        <v>Flotemysost</v>
      </c>
      <c r="J413" s="9" t="str">
        <f>VLOOKUP(dynamic[productID],products[],12,FALSE)</f>
        <v>Dairy Products</v>
      </c>
      <c r="K413" s="7" t="str">
        <f>IF(VLOOKUP(dynamic[productID],products[],7,FALSE)=1,"Discontinued","Current")</f>
        <v>Current</v>
      </c>
      <c r="L413" s="9">
        <f>VLOOKUP(dynamic[productID],products[],IF(YEAR(dynamic[orderDate])=2022,8,IF(YEAR(dynamic[orderDate])=2023,9,IF(YEAR(dynamic[orderDate])=2024,10,NA))),FALSE)</f>
        <v>13.4003664</v>
      </c>
      <c r="M413" s="9">
        <v>17.2</v>
      </c>
      <c r="N413" s="25">
        <f>(dynamic[orderPrice]-dynamic[productCost])/dynamic[productCost]</f>
        <v>0.2835469929</v>
      </c>
      <c r="O413" s="10">
        <v>60.0</v>
      </c>
      <c r="P413" s="25">
        <v>0.0</v>
      </c>
      <c r="Q413" s="9">
        <f>dynamic[orderPrice]*dynamic[orderQuantity]</f>
        <v>1032</v>
      </c>
      <c r="R413" s="9">
        <f>dynamic[orderTotal]*(1-dynamic[discountApllied])</f>
        <v>1032</v>
      </c>
      <c r="S413" s="9">
        <f>dynamic[revenue]-(dynamic[productCost]*dynamic[orderQuantity])</f>
        <v>227.9780158</v>
      </c>
      <c r="T413" s="25">
        <f>IFERROR(dynamic[profit]/dynamic[revenue], 0)</f>
        <v>0.2209089301</v>
      </c>
    </row>
    <row r="414" ht="15.75" customHeight="1">
      <c r="A414" s="6">
        <v>10402.0</v>
      </c>
      <c r="B414" s="7" t="s">
        <v>24</v>
      </c>
      <c r="C414" s="24" t="str">
        <f>VLOOKUP(dynamic[customerID],customers[],2,FALSE)</f>
        <v>Ernst Handel</v>
      </c>
      <c r="D414" s="24">
        <v>44928.0</v>
      </c>
      <c r="E414" s="6">
        <f>IFERROR(__xludf.DUMMYFUNCTION("COUNTUNIQUEIFS($A$2:$A414,$B$2:$B414,B414)"),7.0)</f>
        <v>7</v>
      </c>
      <c r="F414" s="6">
        <f t="shared" si="1"/>
        <v>10</v>
      </c>
      <c r="G414" s="6" t="str">
        <f>IF(MINIFS(dynamic[orderDate], dynamic[customerID], B414) &gt;= DATE(2024,4,30)-120, 
     "New", 
     IF(MAXIFS(dynamic[orderCount], dynamic[customerID], B414)&lt;=2, 
        IF((DATE(2024,4,30) - MAXIFS(dynamic[orderDate], dynamic[customerID], B414)) &gt; 180, "Non-Returning", "Dormant"), 
        IF(AND(MAX(dynamic[sinceLastOrder]) &gt; 365, (DATE(2024,4,30) - MAXIFS(dynamic[orderDate], dynamic[customerID], B414)) &gt; 180), 
           "Dormant", "Regular")))</f>
        <v>Regular</v>
      </c>
      <c r="H414" s="6">
        <v>23.0</v>
      </c>
      <c r="I414" s="9" t="str">
        <f>VLOOKUP(dynamic[productID],products[],2,FALSE)</f>
        <v>Tunnbröd</v>
      </c>
      <c r="J414" s="9" t="str">
        <f>VLOOKUP(dynamic[productID],products[],12,FALSE)</f>
        <v>Grains/Cereals</v>
      </c>
      <c r="K414" s="7" t="str">
        <f>IF(VLOOKUP(dynamic[productID],products[],7,FALSE)=1,"Discontinued","Current")</f>
        <v>Current</v>
      </c>
      <c r="L414" s="9">
        <f>VLOOKUP(dynamic[productID],products[],IF(YEAR(dynamic[orderDate])=2022,8,IF(YEAR(dynamic[orderDate])=2023,9,IF(YEAR(dynamic[orderDate])=2024,10,NA))),FALSE)</f>
        <v>5.989059129</v>
      </c>
      <c r="M414" s="9">
        <v>7.2</v>
      </c>
      <c r="N414" s="25">
        <f>(dynamic[orderPrice]-dynamic[productCost])/dynamic[productCost]</f>
        <v>0.2021921717</v>
      </c>
      <c r="O414" s="10">
        <v>60.0</v>
      </c>
      <c r="P414" s="25">
        <v>0.0</v>
      </c>
      <c r="Q414" s="9">
        <f>dynamic[orderPrice]*dynamic[orderQuantity]</f>
        <v>432</v>
      </c>
      <c r="R414" s="9">
        <f>dynamic[orderTotal]*(1-dynamic[discountApllied])</f>
        <v>432</v>
      </c>
      <c r="S414" s="9">
        <f>dynamic[revenue]-(dynamic[productCost]*dynamic[orderQuantity])</f>
        <v>72.65645228</v>
      </c>
      <c r="T414" s="25">
        <f>IFERROR(dynamic[profit]/dynamic[revenue], 0)</f>
        <v>0.1681862321</v>
      </c>
    </row>
    <row r="415" ht="15.75" customHeight="1">
      <c r="A415" s="6">
        <v>10402.0</v>
      </c>
      <c r="B415" s="7" t="s">
        <v>24</v>
      </c>
      <c r="C415" s="24" t="str">
        <f>VLOOKUP(dynamic[customerID],customers[],2,FALSE)</f>
        <v>Ernst Handel</v>
      </c>
      <c r="D415" s="24">
        <v>44928.0</v>
      </c>
      <c r="E415" s="6">
        <f>IFERROR(__xludf.DUMMYFUNCTION("COUNTUNIQUEIFS($A$2:$A415,$B$2:$B415,B415)"),7.0)</f>
        <v>7</v>
      </c>
      <c r="F415" s="6">
        <f t="shared" si="1"/>
        <v>10</v>
      </c>
      <c r="G415" s="6" t="str">
        <f>IF(MINIFS(dynamic[orderDate], dynamic[customerID], B415) &gt;= DATE(2024,4,30)-120, 
     "New", 
     IF(MAXIFS(dynamic[orderCount], dynamic[customerID], B415)&lt;=2, 
        IF((DATE(2024,4,30) - MAXIFS(dynamic[orderDate], dynamic[customerID], B415)) &gt; 180, "Non-Returning", "Dormant"), 
        IF(AND(MAX(dynamic[sinceLastOrder]) &gt; 365, (DATE(2024,4,30) - MAXIFS(dynamic[orderDate], dynamic[customerID], B415)) &gt; 180), 
           "Dormant", "Regular")))</f>
        <v>Regular</v>
      </c>
      <c r="H415" s="6">
        <v>63.0</v>
      </c>
      <c r="I415" s="9" t="str">
        <f>VLOOKUP(dynamic[productID],products[],2,FALSE)</f>
        <v>Vegie-spread</v>
      </c>
      <c r="J415" s="9" t="str">
        <f>VLOOKUP(dynamic[productID],products[],12,FALSE)</f>
        <v>Condiments</v>
      </c>
      <c r="K415" s="7" t="str">
        <f>IF(VLOOKUP(dynamic[productID],products[],7,FALSE)=1,"Discontinued","Current")</f>
        <v>Current</v>
      </c>
      <c r="L415" s="9">
        <f>VLOOKUP(dynamic[productID],products[],IF(YEAR(dynamic[orderDate])=2022,8,IF(YEAR(dynamic[orderDate])=2023,9,IF(YEAR(dynamic[orderDate])=2024,10,NA))),FALSE)</f>
        <v>27.72225706</v>
      </c>
      <c r="M415" s="9">
        <v>35.1</v>
      </c>
      <c r="N415" s="25">
        <f>(dynamic[orderPrice]-dynamic[productCost])/dynamic[productCost]</f>
        <v>0.2661306736</v>
      </c>
      <c r="O415" s="10">
        <v>65.0</v>
      </c>
      <c r="P415" s="25">
        <v>0.0</v>
      </c>
      <c r="Q415" s="9">
        <f>dynamic[orderPrice]*dynamic[orderQuantity]</f>
        <v>2281.5</v>
      </c>
      <c r="R415" s="9">
        <f>dynamic[orderTotal]*(1-dynamic[discountApllied])</f>
        <v>2281.5</v>
      </c>
      <c r="S415" s="9">
        <f>dynamic[revenue]-(dynamic[productCost]*dynamic[orderQuantity])</f>
        <v>479.5532914</v>
      </c>
      <c r="T415" s="25">
        <f>IFERROR(dynamic[profit]/dynamic[revenue], 0)</f>
        <v>0.2101921067</v>
      </c>
    </row>
    <row r="416" ht="15.75" customHeight="1">
      <c r="A416" s="6">
        <v>10403.0</v>
      </c>
      <c r="B416" s="7" t="s">
        <v>24</v>
      </c>
      <c r="C416" s="24" t="str">
        <f>VLOOKUP(dynamic[customerID],customers[],2,FALSE)</f>
        <v>Ernst Handel</v>
      </c>
      <c r="D416" s="24">
        <v>44929.0</v>
      </c>
      <c r="E416" s="6">
        <f>IFERROR(__xludf.DUMMYFUNCTION("COUNTUNIQUEIFS($A$2:$A416,$B$2:$B416,B416)"),8.0)</f>
        <v>8</v>
      </c>
      <c r="F416" s="6">
        <f t="shared" si="1"/>
        <v>1</v>
      </c>
      <c r="G416" s="6" t="str">
        <f>IF(MINIFS(dynamic[orderDate], dynamic[customerID], B416) &gt;= DATE(2024,4,30)-120, 
     "New", 
     IF(MAXIFS(dynamic[orderCount], dynamic[customerID], B416)&lt;=2, 
        IF((DATE(2024,4,30) - MAXIFS(dynamic[orderDate], dynamic[customerID], B416)) &gt; 180, "Non-Returning", "Dormant"), 
        IF(AND(MAX(dynamic[sinceLastOrder]) &gt; 365, (DATE(2024,4,30) - MAXIFS(dynamic[orderDate], dynamic[customerID], B416)) &gt; 180), 
           "Dormant", "Regular")))</f>
        <v>Regular</v>
      </c>
      <c r="H416" s="6">
        <v>16.0</v>
      </c>
      <c r="I416" s="9" t="str">
        <f>VLOOKUP(dynamic[productID],products[],2,FALSE)</f>
        <v>Pavlova</v>
      </c>
      <c r="J416" s="9" t="str">
        <f>VLOOKUP(dynamic[productID],products[],12,FALSE)</f>
        <v>Confections</v>
      </c>
      <c r="K416" s="7" t="str">
        <f>IF(VLOOKUP(dynamic[productID],products[],7,FALSE)=1,"Discontinued","Current")</f>
        <v>Current</v>
      </c>
      <c r="L416" s="9">
        <f>VLOOKUP(dynamic[productID],products[],IF(YEAR(dynamic[orderDate])=2022,8,IF(YEAR(dynamic[orderDate])=2023,9,IF(YEAR(dynamic[orderDate])=2024,10,NA))),FALSE)</f>
        <v>11.98504839</v>
      </c>
      <c r="M416" s="9">
        <v>13.9</v>
      </c>
      <c r="N416" s="25">
        <f>(dynamic[orderPrice]-dynamic[productCost])/dynamic[productCost]</f>
        <v>0.1597783792</v>
      </c>
      <c r="O416" s="10">
        <v>21.0</v>
      </c>
      <c r="P416" s="25">
        <v>0.15</v>
      </c>
      <c r="Q416" s="9">
        <f>dynamic[orderPrice]*dynamic[orderQuantity]</f>
        <v>291.9</v>
      </c>
      <c r="R416" s="9">
        <f>dynamic[orderTotal]*(1-dynamic[discountApllied])</f>
        <v>248.115</v>
      </c>
      <c r="S416" s="9">
        <f>dynamic[revenue]-(dynamic[productCost]*dynamic[orderQuantity])</f>
        <v>-3.571016249</v>
      </c>
      <c r="T416" s="25">
        <f>IFERROR(dynamic[profit]/dynamic[revenue], 0)</f>
        <v>-0.01439258509</v>
      </c>
    </row>
    <row r="417" ht="15.75" customHeight="1">
      <c r="A417" s="6">
        <v>10403.0</v>
      </c>
      <c r="B417" s="7" t="s">
        <v>24</v>
      </c>
      <c r="C417" s="24" t="str">
        <f>VLOOKUP(dynamic[customerID],customers[],2,FALSE)</f>
        <v>Ernst Handel</v>
      </c>
      <c r="D417" s="24">
        <v>44929.0</v>
      </c>
      <c r="E417" s="6">
        <f>IFERROR(__xludf.DUMMYFUNCTION("COUNTUNIQUEIFS($A$2:$A417,$B$2:$B417,B417)"),8.0)</f>
        <v>8</v>
      </c>
      <c r="F417" s="6">
        <f t="shared" si="1"/>
        <v>1</v>
      </c>
      <c r="G417" s="6" t="str">
        <f>IF(MINIFS(dynamic[orderDate], dynamic[customerID], B417) &gt;= DATE(2024,4,30)-120, 
     "New", 
     IF(MAXIFS(dynamic[orderCount], dynamic[customerID], B417)&lt;=2, 
        IF((DATE(2024,4,30) - MAXIFS(dynamic[orderDate], dynamic[customerID], B417)) &gt; 180, "Non-Returning", "Dormant"), 
        IF(AND(MAX(dynamic[sinceLastOrder]) &gt; 365, (DATE(2024,4,30) - MAXIFS(dynamic[orderDate], dynamic[customerID], B417)) &gt; 180), 
           "Dormant", "Regular")))</f>
        <v>Regular</v>
      </c>
      <c r="H417" s="6">
        <v>48.0</v>
      </c>
      <c r="I417" s="9" t="str">
        <f>VLOOKUP(dynamic[productID],products[],2,FALSE)</f>
        <v>Chocolade</v>
      </c>
      <c r="J417" s="9" t="str">
        <f>VLOOKUP(dynamic[productID],products[],12,FALSE)</f>
        <v>Confections</v>
      </c>
      <c r="K417" s="7" t="str">
        <f>IF(VLOOKUP(dynamic[productID],products[],7,FALSE)=1,"Discontinued","Current")</f>
        <v>Current</v>
      </c>
      <c r="L417" s="9">
        <f>VLOOKUP(dynamic[productID],products[],IF(YEAR(dynamic[orderDate])=2022,8,IF(YEAR(dynamic[orderDate])=2023,9,IF(YEAR(dynamic[orderDate])=2024,10,NA))),FALSE)</f>
        <v>8.079671685</v>
      </c>
      <c r="M417" s="9">
        <v>10.2</v>
      </c>
      <c r="N417" s="25">
        <f>(dynamic[orderPrice]-dynamic[productCost])/dynamic[productCost]</f>
        <v>0.2624275339</v>
      </c>
      <c r="O417" s="10">
        <v>70.0</v>
      </c>
      <c r="P417" s="25">
        <v>0.15</v>
      </c>
      <c r="Q417" s="9">
        <f>dynamic[orderPrice]*dynamic[orderQuantity]</f>
        <v>714</v>
      </c>
      <c r="R417" s="9">
        <f>dynamic[orderTotal]*(1-dynamic[discountApllied])</f>
        <v>606.9</v>
      </c>
      <c r="S417" s="9">
        <f>dynamic[revenue]-(dynamic[productCost]*dynamic[orderQuantity])</f>
        <v>41.32298206</v>
      </c>
      <c r="T417" s="25">
        <f>IFERROR(dynamic[profit]/dynamic[revenue], 0)</f>
        <v>0.06808861766</v>
      </c>
    </row>
    <row r="418" ht="15.75" customHeight="1">
      <c r="A418" s="6">
        <v>10404.0</v>
      </c>
      <c r="B418" s="7" t="s">
        <v>37</v>
      </c>
      <c r="C418" s="24" t="str">
        <f>VLOOKUP(dynamic[customerID],customers[],2,FALSE)</f>
        <v>Magazzini Alimentari Riuniti</v>
      </c>
      <c r="D418" s="24">
        <v>44929.0</v>
      </c>
      <c r="E418" s="6">
        <f>IFERROR(__xludf.DUMMYFUNCTION("COUNTUNIQUEIFS($A$2:$A418,$B$2:$B418,B418)"),3.0)</f>
        <v>3</v>
      </c>
      <c r="F418" s="6">
        <f t="shared" si="1"/>
        <v>116</v>
      </c>
      <c r="G418" s="6" t="str">
        <f>IF(MINIFS(dynamic[orderDate], dynamic[customerID], B418) &gt;= DATE(2024,4,30)-120, 
     "New", 
     IF(MAXIFS(dynamic[orderCount], dynamic[customerID], B418)&lt;=2, 
        IF((DATE(2024,4,30) - MAXIFS(dynamic[orderDate], dynamic[customerID], B418)) &gt; 180, "Non-Returning", "Dormant"), 
        IF(AND(MAX(dynamic[sinceLastOrder]) &gt; 365, (DATE(2024,4,30) - MAXIFS(dynamic[orderDate], dynamic[customerID], B418)) &gt; 180), 
           "Dormant", "Regular")))</f>
        <v>Regular</v>
      </c>
      <c r="H418" s="6">
        <v>26.0</v>
      </c>
      <c r="I418" s="9" t="str">
        <f>VLOOKUP(dynamic[productID],products[],2,FALSE)</f>
        <v>NuNuCa Nuß-Nougat-Creme</v>
      </c>
      <c r="J418" s="9" t="str">
        <f>VLOOKUP(dynamic[productID],products[],12,FALSE)</f>
        <v>Confections</v>
      </c>
      <c r="K418" s="7" t="str">
        <f>IF(VLOOKUP(dynamic[productID],products[],7,FALSE)=1,"Discontinued","Current")</f>
        <v>Current</v>
      </c>
      <c r="L418" s="9">
        <f>VLOOKUP(dynamic[productID],products[],IF(YEAR(dynamic[orderDate])=2022,8,IF(YEAR(dynamic[orderDate])=2023,9,IF(YEAR(dynamic[orderDate])=2024,10,NA))),FALSE)</f>
        <v>21.20896201</v>
      </c>
      <c r="M418" s="9">
        <v>24.9</v>
      </c>
      <c r="N418" s="25">
        <f>(dynamic[orderPrice]-dynamic[productCost])/dynamic[productCost]</f>
        <v>0.1740319958</v>
      </c>
      <c r="O418" s="10">
        <v>30.0</v>
      </c>
      <c r="P418" s="25">
        <v>0.05</v>
      </c>
      <c r="Q418" s="9">
        <f>dynamic[orderPrice]*dynamic[orderQuantity]</f>
        <v>747</v>
      </c>
      <c r="R418" s="9">
        <f>dynamic[orderTotal]*(1-dynamic[discountApllied])</f>
        <v>709.65</v>
      </c>
      <c r="S418" s="9">
        <f>dynamic[revenue]-(dynamic[productCost]*dynamic[orderQuantity])</f>
        <v>73.38113962</v>
      </c>
      <c r="T418" s="25">
        <f>IFERROR(dynamic[profit]/dynamic[revenue], 0)</f>
        <v>0.1034046919</v>
      </c>
    </row>
    <row r="419" ht="15.75" customHeight="1">
      <c r="A419" s="6">
        <v>10404.0</v>
      </c>
      <c r="B419" s="7" t="s">
        <v>37</v>
      </c>
      <c r="C419" s="24" t="str">
        <f>VLOOKUP(dynamic[customerID],customers[],2,FALSE)</f>
        <v>Magazzini Alimentari Riuniti</v>
      </c>
      <c r="D419" s="24">
        <v>44929.0</v>
      </c>
      <c r="E419" s="6">
        <f>IFERROR(__xludf.DUMMYFUNCTION("COUNTUNIQUEIFS($A$2:$A419,$B$2:$B419,B419)"),3.0)</f>
        <v>3</v>
      </c>
      <c r="F419" s="6">
        <f t="shared" si="1"/>
        <v>116</v>
      </c>
      <c r="G419" s="6" t="str">
        <f>IF(MINIFS(dynamic[orderDate], dynamic[customerID], B419) &gt;= DATE(2024,4,30)-120, 
     "New", 
     IF(MAXIFS(dynamic[orderCount], dynamic[customerID], B419)&lt;=2, 
        IF((DATE(2024,4,30) - MAXIFS(dynamic[orderDate], dynamic[customerID], B419)) &gt; 180, "Non-Returning", "Dormant"), 
        IF(AND(MAX(dynamic[sinceLastOrder]) &gt; 365, (DATE(2024,4,30) - MAXIFS(dynamic[orderDate], dynamic[customerID], B419)) &gt; 180), 
           "Dormant", "Regular")))</f>
        <v>Regular</v>
      </c>
      <c r="H419" s="6">
        <v>42.0</v>
      </c>
      <c r="I419" s="9" t="str">
        <f>VLOOKUP(dynamic[productID],products[],2,FALSE)</f>
        <v>Singaporean Hokkien Fried Mee</v>
      </c>
      <c r="J419" s="9" t="str">
        <f>VLOOKUP(dynamic[productID],products[],12,FALSE)</f>
        <v>Grains/Cereals</v>
      </c>
      <c r="K419" s="7" t="str">
        <f>IF(VLOOKUP(dynamic[productID],products[],7,FALSE)=1,"Discontinued","Current")</f>
        <v>Discontinued</v>
      </c>
      <c r="L419" s="9">
        <f>VLOOKUP(dynamic[productID],products[],IF(YEAR(dynamic[orderDate])=2022,8,IF(YEAR(dynamic[orderDate])=2023,9,IF(YEAR(dynamic[orderDate])=2024,10,NA))),FALSE)</f>
        <v>9.105641621</v>
      </c>
      <c r="M419" s="9">
        <v>11.2</v>
      </c>
      <c r="N419" s="25">
        <f>(dynamic[orderPrice]-dynamic[productCost])/dynamic[productCost]</f>
        <v>0.2300066779</v>
      </c>
      <c r="O419" s="10">
        <v>40.0</v>
      </c>
      <c r="P419" s="25">
        <v>0.05</v>
      </c>
      <c r="Q419" s="9">
        <f>dynamic[orderPrice]*dynamic[orderQuantity]</f>
        <v>448</v>
      </c>
      <c r="R419" s="9">
        <f>dynamic[orderTotal]*(1-dynamic[discountApllied])</f>
        <v>425.6</v>
      </c>
      <c r="S419" s="9">
        <f>dynamic[revenue]-(dynamic[productCost]*dynamic[orderQuantity])</f>
        <v>61.37433517</v>
      </c>
      <c r="T419" s="25">
        <f>IFERROR(dynamic[profit]/dynamic[revenue], 0)</f>
        <v>0.1442066146</v>
      </c>
    </row>
    <row r="420" ht="15.75" customHeight="1">
      <c r="A420" s="6">
        <v>10404.0</v>
      </c>
      <c r="B420" s="7" t="s">
        <v>37</v>
      </c>
      <c r="C420" s="24" t="str">
        <f>VLOOKUP(dynamic[customerID],customers[],2,FALSE)</f>
        <v>Magazzini Alimentari Riuniti</v>
      </c>
      <c r="D420" s="24">
        <v>44929.0</v>
      </c>
      <c r="E420" s="6">
        <f>IFERROR(__xludf.DUMMYFUNCTION("COUNTUNIQUEIFS($A$2:$A420,$B$2:$B420,B420)"),3.0)</f>
        <v>3</v>
      </c>
      <c r="F420" s="6">
        <f t="shared" si="1"/>
        <v>116</v>
      </c>
      <c r="G420" s="6" t="str">
        <f>IF(MINIFS(dynamic[orderDate], dynamic[customerID], B420) &gt;= DATE(2024,4,30)-120, 
     "New", 
     IF(MAXIFS(dynamic[orderCount], dynamic[customerID], B420)&lt;=2, 
        IF((DATE(2024,4,30) - MAXIFS(dynamic[orderDate], dynamic[customerID], B420)) &gt; 180, "Non-Returning", "Dormant"), 
        IF(AND(MAX(dynamic[sinceLastOrder]) &gt; 365, (DATE(2024,4,30) - MAXIFS(dynamic[orderDate], dynamic[customerID], B420)) &gt; 180), 
           "Dormant", "Regular")))</f>
        <v>Regular</v>
      </c>
      <c r="H420" s="6">
        <v>49.0</v>
      </c>
      <c r="I420" s="9" t="str">
        <f>VLOOKUP(dynamic[productID],products[],2,FALSE)</f>
        <v>Maxilaku</v>
      </c>
      <c r="J420" s="9" t="str">
        <f>VLOOKUP(dynamic[productID],products[],12,FALSE)</f>
        <v>Confections</v>
      </c>
      <c r="K420" s="7" t="str">
        <f>IF(VLOOKUP(dynamic[productID],products[],7,FALSE)=1,"Discontinued","Current")</f>
        <v>Current</v>
      </c>
      <c r="L420" s="9">
        <f>VLOOKUP(dynamic[productID],products[],IF(YEAR(dynamic[orderDate])=2022,8,IF(YEAR(dynamic[orderDate])=2023,9,IF(YEAR(dynamic[orderDate])=2024,10,NA))),FALSE)</f>
        <v>13.04112285</v>
      </c>
      <c r="M420" s="9">
        <v>16.0</v>
      </c>
      <c r="N420" s="25">
        <f>(dynamic[orderPrice]-dynamic[productCost])/dynamic[productCost]</f>
        <v>0.2268882197</v>
      </c>
      <c r="O420" s="10">
        <v>30.0</v>
      </c>
      <c r="P420" s="25">
        <v>0.05</v>
      </c>
      <c r="Q420" s="9">
        <f>dynamic[orderPrice]*dynamic[orderQuantity]</f>
        <v>480</v>
      </c>
      <c r="R420" s="9">
        <f>dynamic[orderTotal]*(1-dynamic[discountApllied])</f>
        <v>456</v>
      </c>
      <c r="S420" s="9">
        <f>dynamic[revenue]-(dynamic[productCost]*dynamic[orderQuantity])</f>
        <v>64.7663144</v>
      </c>
      <c r="T420" s="25">
        <f>IFERROR(dynamic[profit]/dynamic[revenue], 0)</f>
        <v>0.1420313912</v>
      </c>
    </row>
    <row r="421" ht="15.75" customHeight="1">
      <c r="A421" s="6">
        <v>10405.0</v>
      </c>
      <c r="B421" s="7" t="s">
        <v>82</v>
      </c>
      <c r="C421" s="24" t="str">
        <f>VLOOKUP(dynamic[customerID],customers[],2,FALSE)</f>
        <v>LINO-Delicateses</v>
      </c>
      <c r="D421" s="24">
        <v>44932.0</v>
      </c>
      <c r="E421" s="6">
        <f>IFERROR(__xludf.DUMMYFUNCTION("COUNTUNIQUEIFS($A$2:$A421,$B$2:$B421,B421)"),1.0)</f>
        <v>1</v>
      </c>
      <c r="F421" s="6">
        <f t="shared" si="1"/>
        <v>0</v>
      </c>
      <c r="G421" s="6" t="str">
        <f>IF(MINIFS(dynamic[orderDate], dynamic[customerID], B421) &gt;= DATE(2024,4,30)-120, 
     "New", 
     IF(MAXIFS(dynamic[orderCount], dynamic[customerID], B421)&lt;=2, 
        IF((DATE(2024,4,30) - MAXIFS(dynamic[orderDate], dynamic[customerID], B421)) &gt; 180, "Non-Returning", "Dormant"), 
        IF(AND(MAX(dynamic[sinceLastOrder]) &gt; 365, (DATE(2024,4,30) - MAXIFS(dynamic[orderDate], dynamic[customerID], B421)) &gt; 180), 
           "Dormant", "Regular")))</f>
        <v>Regular</v>
      </c>
      <c r="H421" s="6">
        <v>3.0</v>
      </c>
      <c r="I421" s="9" t="str">
        <f>VLOOKUP(dynamic[productID],products[],2,FALSE)</f>
        <v>Aniseed Syrup</v>
      </c>
      <c r="J421" s="9" t="str">
        <f>VLOOKUP(dynamic[productID],products[],12,FALSE)</f>
        <v>Condiments</v>
      </c>
      <c r="K421" s="7" t="str">
        <f>IF(VLOOKUP(dynamic[productID],products[],7,FALSE)=1,"Discontinued","Current")</f>
        <v>Current</v>
      </c>
      <c r="L421" s="9">
        <f>VLOOKUP(dynamic[productID],products[],IF(YEAR(dynamic[orderDate])=2022,8,IF(YEAR(dynamic[orderDate])=2023,9,IF(YEAR(dynamic[orderDate])=2024,10,NA))),FALSE)</f>
        <v>6.399802633</v>
      </c>
      <c r="M421" s="9">
        <v>8.0</v>
      </c>
      <c r="N421" s="25">
        <f>(dynamic[orderPrice]-dynamic[productCost])/dynamic[productCost]</f>
        <v>0.2500385494</v>
      </c>
      <c r="O421" s="10">
        <v>50.0</v>
      </c>
      <c r="P421" s="25">
        <v>0.0</v>
      </c>
      <c r="Q421" s="9">
        <f>dynamic[orderPrice]*dynamic[orderQuantity]</f>
        <v>400</v>
      </c>
      <c r="R421" s="9">
        <f>dynamic[orderTotal]*(1-dynamic[discountApllied])</f>
        <v>400</v>
      </c>
      <c r="S421" s="9">
        <f>dynamic[revenue]-(dynamic[productCost]*dynamic[orderQuantity])</f>
        <v>80.00986833</v>
      </c>
      <c r="T421" s="25">
        <f>IFERROR(dynamic[profit]/dynamic[revenue], 0)</f>
        <v>0.2000246708</v>
      </c>
    </row>
    <row r="422" ht="15.75" customHeight="1">
      <c r="A422" s="6">
        <v>10406.0</v>
      </c>
      <c r="B422" s="7" t="s">
        <v>77</v>
      </c>
      <c r="C422" s="24" t="str">
        <f>VLOOKUP(dynamic[customerID],customers[],2,FALSE)</f>
        <v>Queen Cozinha</v>
      </c>
      <c r="D422" s="24">
        <v>44933.0</v>
      </c>
      <c r="E422" s="6">
        <f>IFERROR(__xludf.DUMMYFUNCTION("COUNTUNIQUEIFS($A$2:$A422,$B$2:$B422,B422)"),2.0)</f>
        <v>2</v>
      </c>
      <c r="F422" s="6">
        <f t="shared" si="1"/>
        <v>34</v>
      </c>
      <c r="G422" s="6" t="str">
        <f>IF(MINIFS(dynamic[orderDate], dynamic[customerID], B422) &gt;= DATE(2024,4,30)-120, 
     "New", 
     IF(MAXIFS(dynamic[orderCount], dynamic[customerID], B422)&lt;=2, 
        IF((DATE(2024,4,30) - MAXIFS(dynamic[orderDate], dynamic[customerID], B422)) &gt; 180, "Non-Returning", "Dormant"), 
        IF(AND(MAX(dynamic[sinceLastOrder]) &gt; 365, (DATE(2024,4,30) - MAXIFS(dynamic[orderDate], dynamic[customerID], B422)) &gt; 180), 
           "Dormant", "Regular")))</f>
        <v>Regular</v>
      </c>
      <c r="H422" s="6">
        <v>1.0</v>
      </c>
      <c r="I422" s="9" t="str">
        <f>VLOOKUP(dynamic[productID],products[],2,FALSE)</f>
        <v>Chai</v>
      </c>
      <c r="J422" s="9" t="str">
        <f>VLOOKUP(dynamic[productID],products[],12,FALSE)</f>
        <v>Beverages</v>
      </c>
      <c r="K422" s="7" t="str">
        <f>IF(VLOOKUP(dynamic[productID],products[],7,FALSE)=1,"Discontinued","Current")</f>
        <v>Current</v>
      </c>
      <c r="L422" s="9">
        <f>VLOOKUP(dynamic[productID],products[],IF(YEAR(dynamic[orderDate])=2022,8,IF(YEAR(dynamic[orderDate])=2023,9,IF(YEAR(dynamic[orderDate])=2024,10,NA))),FALSE)</f>
        <v>12.15847607</v>
      </c>
      <c r="M422" s="9">
        <v>14.4</v>
      </c>
      <c r="N422" s="25">
        <f>(dynamic[orderPrice]-dynamic[productCost])/dynamic[productCost]</f>
        <v>0.1843589542</v>
      </c>
      <c r="O422" s="10">
        <v>10.0</v>
      </c>
      <c r="P422" s="25">
        <v>0.0</v>
      </c>
      <c r="Q422" s="9">
        <f>dynamic[orderPrice]*dynamic[orderQuantity]</f>
        <v>144</v>
      </c>
      <c r="R422" s="9">
        <f>dynamic[orderTotal]*(1-dynamic[discountApllied])</f>
        <v>144</v>
      </c>
      <c r="S422" s="9">
        <f>dynamic[revenue]-(dynamic[productCost]*dynamic[orderQuantity])</f>
        <v>22.41523932</v>
      </c>
      <c r="T422" s="25">
        <f>IFERROR(dynamic[profit]/dynamic[revenue], 0)</f>
        <v>0.1556613842</v>
      </c>
    </row>
    <row r="423" ht="15.75" customHeight="1">
      <c r="A423" s="6">
        <v>10406.0</v>
      </c>
      <c r="B423" s="7" t="s">
        <v>77</v>
      </c>
      <c r="C423" s="24" t="str">
        <f>VLOOKUP(dynamic[customerID],customers[],2,FALSE)</f>
        <v>Queen Cozinha</v>
      </c>
      <c r="D423" s="24">
        <v>44933.0</v>
      </c>
      <c r="E423" s="6">
        <f>IFERROR(__xludf.DUMMYFUNCTION("COUNTUNIQUEIFS($A$2:$A423,$B$2:$B423,B423)"),2.0)</f>
        <v>2</v>
      </c>
      <c r="F423" s="6">
        <f t="shared" si="1"/>
        <v>34</v>
      </c>
      <c r="G423" s="6" t="str">
        <f>IF(MINIFS(dynamic[orderDate], dynamic[customerID], B423) &gt;= DATE(2024,4,30)-120, 
     "New", 
     IF(MAXIFS(dynamic[orderCount], dynamic[customerID], B423)&lt;=2, 
        IF((DATE(2024,4,30) - MAXIFS(dynamic[orderDate], dynamic[customerID], B423)) &gt; 180, "Non-Returning", "Dormant"), 
        IF(AND(MAX(dynamic[sinceLastOrder]) &gt; 365, (DATE(2024,4,30) - MAXIFS(dynamic[orderDate], dynamic[customerID], B423)) &gt; 180), 
           "Dormant", "Regular")))</f>
        <v>Regular</v>
      </c>
      <c r="H423" s="6">
        <v>21.0</v>
      </c>
      <c r="I423" s="9" t="str">
        <f>VLOOKUP(dynamic[productID],products[],2,FALSE)</f>
        <v>Sir Rodney's Scones</v>
      </c>
      <c r="J423" s="9" t="str">
        <f>VLOOKUP(dynamic[productID],products[],12,FALSE)</f>
        <v>Confections</v>
      </c>
      <c r="K423" s="7" t="str">
        <f>IF(VLOOKUP(dynamic[productID],products[],7,FALSE)=1,"Discontinued","Current")</f>
        <v>Current</v>
      </c>
      <c r="L423" s="9">
        <f>VLOOKUP(dynamic[productID],products[],IF(YEAR(dynamic[orderDate])=2022,8,IF(YEAR(dynamic[orderDate])=2023,9,IF(YEAR(dynamic[orderDate])=2024,10,NA))),FALSE)</f>
        <v>6.725636111</v>
      </c>
      <c r="M423" s="9">
        <v>8.0</v>
      </c>
      <c r="N423" s="25">
        <f>(dynamic[orderPrice]-dynamic[productCost])/dynamic[productCost]</f>
        <v>0.1894785664</v>
      </c>
      <c r="O423" s="10">
        <v>30.0</v>
      </c>
      <c r="P423" s="25">
        <v>0.1</v>
      </c>
      <c r="Q423" s="9">
        <f>dynamic[orderPrice]*dynamic[orderQuantity]</f>
        <v>240</v>
      </c>
      <c r="R423" s="9">
        <f>dynamic[orderTotal]*(1-dynamic[discountApllied])</f>
        <v>216</v>
      </c>
      <c r="S423" s="9">
        <f>dynamic[revenue]-(dynamic[productCost]*dynamic[orderQuantity])</f>
        <v>14.23091666</v>
      </c>
      <c r="T423" s="25">
        <f>IFERROR(dynamic[profit]/dynamic[revenue], 0)</f>
        <v>0.0658838734</v>
      </c>
    </row>
    <row r="424" ht="15.75" customHeight="1">
      <c r="A424" s="6">
        <v>10406.0</v>
      </c>
      <c r="B424" s="7" t="s">
        <v>77</v>
      </c>
      <c r="C424" s="24" t="str">
        <f>VLOOKUP(dynamic[customerID],customers[],2,FALSE)</f>
        <v>Queen Cozinha</v>
      </c>
      <c r="D424" s="24">
        <v>44933.0</v>
      </c>
      <c r="E424" s="6">
        <f>IFERROR(__xludf.DUMMYFUNCTION("COUNTUNIQUEIFS($A$2:$A424,$B$2:$B424,B424)"),2.0)</f>
        <v>2</v>
      </c>
      <c r="F424" s="6">
        <f t="shared" si="1"/>
        <v>34</v>
      </c>
      <c r="G424" s="6" t="str">
        <f>IF(MINIFS(dynamic[orderDate], dynamic[customerID], B424) &gt;= DATE(2024,4,30)-120, 
     "New", 
     IF(MAXIFS(dynamic[orderCount], dynamic[customerID], B424)&lt;=2, 
        IF((DATE(2024,4,30) - MAXIFS(dynamic[orderDate], dynamic[customerID], B424)) &gt; 180, "Non-Returning", "Dormant"), 
        IF(AND(MAX(dynamic[sinceLastOrder]) &gt; 365, (DATE(2024,4,30) - MAXIFS(dynamic[orderDate], dynamic[customerID], B424)) &gt; 180), 
           "Dormant", "Regular")))</f>
        <v>Regular</v>
      </c>
      <c r="H424" s="6">
        <v>28.0</v>
      </c>
      <c r="I424" s="9" t="str">
        <f>VLOOKUP(dynamic[productID],products[],2,FALSE)</f>
        <v>Rössle Sauerkraut</v>
      </c>
      <c r="J424" s="9" t="str">
        <f>VLOOKUP(dynamic[productID],products[],12,FALSE)</f>
        <v>Produce</v>
      </c>
      <c r="K424" s="7" t="str">
        <f>IF(VLOOKUP(dynamic[productID],products[],7,FALSE)=1,"Discontinued","Current")</f>
        <v>Discontinued</v>
      </c>
      <c r="L424" s="9">
        <f>VLOOKUP(dynamic[productID],products[],IF(YEAR(dynamic[orderDate])=2022,8,IF(YEAR(dynamic[orderDate])=2023,9,IF(YEAR(dynamic[orderDate])=2024,10,NA))),FALSE)</f>
        <v>31.52644578</v>
      </c>
      <c r="M424" s="9">
        <v>36.4</v>
      </c>
      <c r="N424" s="25">
        <f>(dynamic[orderPrice]-dynamic[productCost])/dynamic[productCost]</f>
        <v>0.1545862244</v>
      </c>
      <c r="O424" s="10">
        <v>42.0</v>
      </c>
      <c r="P424" s="25">
        <v>0.1</v>
      </c>
      <c r="Q424" s="9">
        <f>dynamic[orderPrice]*dynamic[orderQuantity]</f>
        <v>1528.8</v>
      </c>
      <c r="R424" s="9">
        <f>dynamic[orderTotal]*(1-dynamic[discountApllied])</f>
        <v>1375.92</v>
      </c>
      <c r="S424" s="9">
        <f>dynamic[revenue]-(dynamic[productCost]*dynamic[orderQuantity])</f>
        <v>51.80927732</v>
      </c>
      <c r="T424" s="25">
        <f>IFERROR(dynamic[profit]/dynamic[revenue], 0)</f>
        <v>0.03765428028</v>
      </c>
    </row>
    <row r="425" ht="15.75" customHeight="1">
      <c r="A425" s="6">
        <v>10406.0</v>
      </c>
      <c r="B425" s="7" t="s">
        <v>77</v>
      </c>
      <c r="C425" s="24" t="str">
        <f>VLOOKUP(dynamic[customerID],customers[],2,FALSE)</f>
        <v>Queen Cozinha</v>
      </c>
      <c r="D425" s="24">
        <v>44933.0</v>
      </c>
      <c r="E425" s="6">
        <f>IFERROR(__xludf.DUMMYFUNCTION("COUNTUNIQUEIFS($A$2:$A425,$B$2:$B425,B425)"),2.0)</f>
        <v>2</v>
      </c>
      <c r="F425" s="6">
        <f t="shared" si="1"/>
        <v>34</v>
      </c>
      <c r="G425" s="6" t="str">
        <f>IF(MINIFS(dynamic[orderDate], dynamic[customerID], B425) &gt;= DATE(2024,4,30)-120, 
     "New", 
     IF(MAXIFS(dynamic[orderCount], dynamic[customerID], B425)&lt;=2, 
        IF((DATE(2024,4,30) - MAXIFS(dynamic[orderDate], dynamic[customerID], B425)) &gt; 180, "Non-Returning", "Dormant"), 
        IF(AND(MAX(dynamic[sinceLastOrder]) &gt; 365, (DATE(2024,4,30) - MAXIFS(dynamic[orderDate], dynamic[customerID], B425)) &gt; 180), 
           "Dormant", "Regular")))</f>
        <v>Regular</v>
      </c>
      <c r="H425" s="6">
        <v>36.0</v>
      </c>
      <c r="I425" s="9" t="str">
        <f>VLOOKUP(dynamic[productID],products[],2,FALSE)</f>
        <v>Inlagd Sill</v>
      </c>
      <c r="J425" s="9" t="str">
        <f>VLOOKUP(dynamic[productID],products[],12,FALSE)</f>
        <v>Seafood</v>
      </c>
      <c r="K425" s="7" t="str">
        <f>IF(VLOOKUP(dynamic[productID],products[],7,FALSE)=1,"Discontinued","Current")</f>
        <v>Current</v>
      </c>
      <c r="L425" s="9">
        <f>VLOOKUP(dynamic[productID],products[],IF(YEAR(dynamic[orderDate])=2022,8,IF(YEAR(dynamic[orderDate])=2023,9,IF(YEAR(dynamic[orderDate])=2024,10,NA))),FALSE)</f>
        <v>12.15246269</v>
      </c>
      <c r="M425" s="9">
        <v>15.2</v>
      </c>
      <c r="N425" s="25">
        <f>(dynamic[orderPrice]-dynamic[productCost])/dynamic[productCost]</f>
        <v>0.2507752866</v>
      </c>
      <c r="O425" s="10">
        <v>5.0</v>
      </c>
      <c r="P425" s="25">
        <v>0.1</v>
      </c>
      <c r="Q425" s="9">
        <f>dynamic[orderPrice]*dynamic[orderQuantity]</f>
        <v>76</v>
      </c>
      <c r="R425" s="9">
        <f>dynamic[orderTotal]*(1-dynamic[discountApllied])</f>
        <v>68.4</v>
      </c>
      <c r="S425" s="9">
        <f>dynamic[revenue]-(dynamic[productCost]*dynamic[orderQuantity])</f>
        <v>7.637686566</v>
      </c>
      <c r="T425" s="25">
        <f>IFERROR(dynamic[profit]/dynamic[revenue], 0)</f>
        <v>0.1116620843</v>
      </c>
    </row>
    <row r="426" ht="15.75" customHeight="1">
      <c r="A426" s="6">
        <v>10406.0</v>
      </c>
      <c r="B426" s="7" t="s">
        <v>77</v>
      </c>
      <c r="C426" s="24" t="str">
        <f>VLOOKUP(dynamic[customerID],customers[],2,FALSE)</f>
        <v>Queen Cozinha</v>
      </c>
      <c r="D426" s="24">
        <v>44933.0</v>
      </c>
      <c r="E426" s="6">
        <f>IFERROR(__xludf.DUMMYFUNCTION("COUNTUNIQUEIFS($A$2:$A426,$B$2:$B426,B426)"),2.0)</f>
        <v>2</v>
      </c>
      <c r="F426" s="6">
        <f t="shared" si="1"/>
        <v>34</v>
      </c>
      <c r="G426" s="6" t="str">
        <f>IF(MINIFS(dynamic[orderDate], dynamic[customerID], B426) &gt;= DATE(2024,4,30)-120, 
     "New", 
     IF(MAXIFS(dynamic[orderCount], dynamic[customerID], B426)&lt;=2, 
        IF((DATE(2024,4,30) - MAXIFS(dynamic[orderDate], dynamic[customerID], B426)) &gt; 180, "Non-Returning", "Dormant"), 
        IF(AND(MAX(dynamic[sinceLastOrder]) &gt; 365, (DATE(2024,4,30) - MAXIFS(dynamic[orderDate], dynamic[customerID], B426)) &gt; 180), 
           "Dormant", "Regular")))</f>
        <v>Regular</v>
      </c>
      <c r="H426" s="6">
        <v>40.0</v>
      </c>
      <c r="I426" s="9" t="str">
        <f>VLOOKUP(dynamic[productID],products[],2,FALSE)</f>
        <v>Boston Crab Meat</v>
      </c>
      <c r="J426" s="9" t="str">
        <f>VLOOKUP(dynamic[productID],products[],12,FALSE)</f>
        <v>Seafood</v>
      </c>
      <c r="K426" s="7" t="str">
        <f>IF(VLOOKUP(dynamic[productID],products[],7,FALSE)=1,"Discontinued","Current")</f>
        <v>Current</v>
      </c>
      <c r="L426" s="9">
        <f>VLOOKUP(dynamic[productID],products[],IF(YEAR(dynamic[orderDate])=2022,8,IF(YEAR(dynamic[orderDate])=2023,9,IF(YEAR(dynamic[orderDate])=2024,10,NA))),FALSE)</f>
        <v>11.40496523</v>
      </c>
      <c r="M426" s="9">
        <v>14.7</v>
      </c>
      <c r="N426" s="25">
        <f>(dynamic[orderPrice]-dynamic[productCost])/dynamic[productCost]</f>
        <v>0.2889123033</v>
      </c>
      <c r="O426" s="10">
        <v>2.0</v>
      </c>
      <c r="P426" s="25">
        <v>0.1</v>
      </c>
      <c r="Q426" s="9">
        <f>dynamic[orderPrice]*dynamic[orderQuantity]</f>
        <v>29.4</v>
      </c>
      <c r="R426" s="9">
        <f>dynamic[orderTotal]*(1-dynamic[discountApllied])</f>
        <v>26.46</v>
      </c>
      <c r="S426" s="9">
        <f>dynamic[revenue]-(dynamic[productCost]*dynamic[orderQuantity])</f>
        <v>3.650069546</v>
      </c>
      <c r="T426" s="25">
        <f>IFERROR(dynamic[profit]/dynamic[revenue], 0)</f>
        <v>0.1379466949</v>
      </c>
    </row>
    <row r="427" ht="15.75" customHeight="1">
      <c r="A427" s="6">
        <v>10407.0</v>
      </c>
      <c r="B427" s="7" t="s">
        <v>26</v>
      </c>
      <c r="C427" s="24" t="str">
        <f>VLOOKUP(dynamic[customerID],customers[],2,FALSE)</f>
        <v>Ottilies Käseladen</v>
      </c>
      <c r="D427" s="24">
        <v>44933.0</v>
      </c>
      <c r="E427" s="6">
        <f>IFERROR(__xludf.DUMMYFUNCTION("COUNTUNIQUEIFS($A$2:$A427,$B$2:$B427,B427)"),2.0)</f>
        <v>2</v>
      </c>
      <c r="F427" s="6">
        <f t="shared" si="1"/>
        <v>172</v>
      </c>
      <c r="G427" s="6" t="str">
        <f>IF(MINIFS(dynamic[orderDate], dynamic[customerID], B427) &gt;= DATE(2024,4,30)-120, 
     "New", 
     IF(MAXIFS(dynamic[orderCount], dynamic[customerID], B427)&lt;=2, 
        IF((DATE(2024,4,30) - MAXIFS(dynamic[orderDate], dynamic[customerID], B427)) &gt; 180, "Non-Returning", "Dormant"), 
        IF(AND(MAX(dynamic[sinceLastOrder]) &gt; 365, (DATE(2024,4,30) - MAXIFS(dynamic[orderDate], dynamic[customerID], B427)) &gt; 180), 
           "Dormant", "Regular")))</f>
        <v>Regular</v>
      </c>
      <c r="H427" s="6">
        <v>11.0</v>
      </c>
      <c r="I427" s="9" t="str">
        <f>VLOOKUP(dynamic[productID],products[],2,FALSE)</f>
        <v>Queso Cabrales</v>
      </c>
      <c r="J427" s="9" t="str">
        <f>VLOOKUP(dynamic[productID],products[],12,FALSE)</f>
        <v>Dairy Products</v>
      </c>
      <c r="K427" s="7" t="str">
        <f>IF(VLOOKUP(dynamic[productID],products[],7,FALSE)=1,"Discontinued","Current")</f>
        <v>Current</v>
      </c>
      <c r="L427" s="9">
        <f>VLOOKUP(dynamic[productID],products[],IF(YEAR(dynamic[orderDate])=2022,8,IF(YEAR(dynamic[orderDate])=2023,9,IF(YEAR(dynamic[orderDate])=2024,10,NA))),FALSE)</f>
        <v>12.90188125</v>
      </c>
      <c r="M427" s="9">
        <v>16.8</v>
      </c>
      <c r="N427" s="25">
        <f>(dynamic[orderPrice]-dynamic[productCost])/dynamic[productCost]</f>
        <v>0.3021356863</v>
      </c>
      <c r="O427" s="10">
        <v>30.0</v>
      </c>
      <c r="P427" s="25">
        <v>0.0</v>
      </c>
      <c r="Q427" s="9">
        <f>dynamic[orderPrice]*dynamic[orderQuantity]</f>
        <v>504</v>
      </c>
      <c r="R427" s="9">
        <f>dynamic[orderTotal]*(1-dynamic[discountApllied])</f>
        <v>504</v>
      </c>
      <c r="S427" s="9">
        <f>dynamic[revenue]-(dynamic[productCost]*dynamic[orderQuantity])</f>
        <v>116.9435624</v>
      </c>
      <c r="T427" s="25">
        <f>IFERROR(dynamic[profit]/dynamic[revenue], 0)</f>
        <v>0.2320308778</v>
      </c>
    </row>
    <row r="428" ht="15.75" customHeight="1">
      <c r="A428" s="6">
        <v>10407.0</v>
      </c>
      <c r="B428" s="7" t="s">
        <v>26</v>
      </c>
      <c r="C428" s="24" t="str">
        <f>VLOOKUP(dynamic[customerID],customers[],2,FALSE)</f>
        <v>Ottilies Käseladen</v>
      </c>
      <c r="D428" s="24">
        <v>44933.0</v>
      </c>
      <c r="E428" s="6">
        <f>IFERROR(__xludf.DUMMYFUNCTION("COUNTUNIQUEIFS($A$2:$A428,$B$2:$B428,B428)"),2.0)</f>
        <v>2</v>
      </c>
      <c r="F428" s="6">
        <f t="shared" si="1"/>
        <v>172</v>
      </c>
      <c r="G428" s="6" t="str">
        <f>IF(MINIFS(dynamic[orderDate], dynamic[customerID], B428) &gt;= DATE(2024,4,30)-120, 
     "New", 
     IF(MAXIFS(dynamic[orderCount], dynamic[customerID], B428)&lt;=2, 
        IF((DATE(2024,4,30) - MAXIFS(dynamic[orderDate], dynamic[customerID], B428)) &gt; 180, "Non-Returning", "Dormant"), 
        IF(AND(MAX(dynamic[sinceLastOrder]) &gt; 365, (DATE(2024,4,30) - MAXIFS(dynamic[orderDate], dynamic[customerID], B428)) &gt; 180), 
           "Dormant", "Regular")))</f>
        <v>Regular</v>
      </c>
      <c r="H428" s="6">
        <v>69.0</v>
      </c>
      <c r="I428" s="9" t="str">
        <f>VLOOKUP(dynamic[productID],products[],2,FALSE)</f>
        <v>Gudbrandsdalsost</v>
      </c>
      <c r="J428" s="9" t="str">
        <f>VLOOKUP(dynamic[productID],products[],12,FALSE)</f>
        <v>Dairy Products</v>
      </c>
      <c r="K428" s="7" t="str">
        <f>IF(VLOOKUP(dynamic[productID],products[],7,FALSE)=1,"Discontinued","Current")</f>
        <v>Current</v>
      </c>
      <c r="L428" s="9">
        <f>VLOOKUP(dynamic[productID],products[],IF(YEAR(dynamic[orderDate])=2022,8,IF(YEAR(dynamic[orderDate])=2023,9,IF(YEAR(dynamic[orderDate])=2024,10,NA))),FALSE)</f>
        <v>21.82428612</v>
      </c>
      <c r="M428" s="9">
        <v>28.8</v>
      </c>
      <c r="N428" s="25">
        <f>(dynamic[orderPrice]-dynamic[productCost])/dynamic[productCost]</f>
        <v>0.3196307933</v>
      </c>
      <c r="O428" s="10">
        <v>15.0</v>
      </c>
      <c r="P428" s="25">
        <v>0.0</v>
      </c>
      <c r="Q428" s="9">
        <f>dynamic[orderPrice]*dynamic[orderQuantity]</f>
        <v>432</v>
      </c>
      <c r="R428" s="9">
        <f>dynamic[orderTotal]*(1-dynamic[discountApllied])</f>
        <v>432</v>
      </c>
      <c r="S428" s="9">
        <f>dynamic[revenue]-(dynamic[productCost]*dynamic[orderQuantity])</f>
        <v>104.6357083</v>
      </c>
      <c r="T428" s="25">
        <f>IFERROR(dynamic[profit]/dynamic[revenue], 0)</f>
        <v>0.2422122877</v>
      </c>
    </row>
    <row r="429" ht="15.75" customHeight="1">
      <c r="A429" s="6">
        <v>10407.0</v>
      </c>
      <c r="B429" s="7" t="s">
        <v>26</v>
      </c>
      <c r="C429" s="24" t="str">
        <f>VLOOKUP(dynamic[customerID],customers[],2,FALSE)</f>
        <v>Ottilies Käseladen</v>
      </c>
      <c r="D429" s="24">
        <v>44933.0</v>
      </c>
      <c r="E429" s="6">
        <f>IFERROR(__xludf.DUMMYFUNCTION("COUNTUNIQUEIFS($A$2:$A429,$B$2:$B429,B429)"),2.0)</f>
        <v>2</v>
      </c>
      <c r="F429" s="6">
        <f t="shared" si="1"/>
        <v>172</v>
      </c>
      <c r="G429" s="6" t="str">
        <f>IF(MINIFS(dynamic[orderDate], dynamic[customerID], B429) &gt;= DATE(2024,4,30)-120, 
     "New", 
     IF(MAXIFS(dynamic[orderCount], dynamic[customerID], B429)&lt;=2, 
        IF((DATE(2024,4,30) - MAXIFS(dynamic[orderDate], dynamic[customerID], B429)) &gt; 180, "Non-Returning", "Dormant"), 
        IF(AND(MAX(dynamic[sinceLastOrder]) &gt; 365, (DATE(2024,4,30) - MAXIFS(dynamic[orderDate], dynamic[customerID], B429)) &gt; 180), 
           "Dormant", "Regular")))</f>
        <v>Regular</v>
      </c>
      <c r="H429" s="6">
        <v>71.0</v>
      </c>
      <c r="I429" s="9" t="str">
        <f>VLOOKUP(dynamic[productID],products[],2,FALSE)</f>
        <v>Flotemysost</v>
      </c>
      <c r="J429" s="9" t="str">
        <f>VLOOKUP(dynamic[productID],products[],12,FALSE)</f>
        <v>Dairy Products</v>
      </c>
      <c r="K429" s="7" t="str">
        <f>IF(VLOOKUP(dynamic[productID],products[],7,FALSE)=1,"Discontinued","Current")</f>
        <v>Current</v>
      </c>
      <c r="L429" s="9">
        <f>VLOOKUP(dynamic[productID],products[],IF(YEAR(dynamic[orderDate])=2022,8,IF(YEAR(dynamic[orderDate])=2023,9,IF(YEAR(dynamic[orderDate])=2024,10,NA))),FALSE)</f>
        <v>13.4003664</v>
      </c>
      <c r="M429" s="9">
        <v>17.2</v>
      </c>
      <c r="N429" s="25">
        <f>(dynamic[orderPrice]-dynamic[productCost])/dynamic[productCost]</f>
        <v>0.2835469929</v>
      </c>
      <c r="O429" s="10">
        <v>15.0</v>
      </c>
      <c r="P429" s="25">
        <v>0.0</v>
      </c>
      <c r="Q429" s="9">
        <f>dynamic[orderPrice]*dynamic[orderQuantity]</f>
        <v>258</v>
      </c>
      <c r="R429" s="9">
        <f>dynamic[orderTotal]*(1-dynamic[discountApllied])</f>
        <v>258</v>
      </c>
      <c r="S429" s="9">
        <f>dynamic[revenue]-(dynamic[productCost]*dynamic[orderQuantity])</f>
        <v>56.99450395</v>
      </c>
      <c r="T429" s="25">
        <f>IFERROR(dynamic[profit]/dynamic[revenue], 0)</f>
        <v>0.2209089301</v>
      </c>
    </row>
    <row r="430" ht="15.75" customHeight="1">
      <c r="A430" s="6">
        <v>10408.0</v>
      </c>
      <c r="B430" s="7" t="s">
        <v>83</v>
      </c>
      <c r="C430" s="24" t="str">
        <f>VLOOKUP(dynamic[customerID],customers[],2,FALSE)</f>
        <v>Folies gourmandes</v>
      </c>
      <c r="D430" s="24">
        <v>44934.0</v>
      </c>
      <c r="E430" s="6">
        <f>IFERROR(__xludf.DUMMYFUNCTION("COUNTUNIQUEIFS($A$2:$A430,$B$2:$B430,B430)"),1.0)</f>
        <v>1</v>
      </c>
      <c r="F430" s="6">
        <f t="shared" si="1"/>
        <v>0</v>
      </c>
      <c r="G430" s="6" t="str">
        <f>IF(MINIFS(dynamic[orderDate], dynamic[customerID], B430) &gt;= DATE(2024,4,30)-120, 
     "New", 
     IF(MAXIFS(dynamic[orderCount], dynamic[customerID], B430)&lt;=2, 
        IF((DATE(2024,4,30) - MAXIFS(dynamic[orderDate], dynamic[customerID], B430)) &gt; 180, "Non-Returning", "Dormant"), 
        IF(AND(MAX(dynamic[sinceLastOrder]) &gt; 365, (DATE(2024,4,30) - MAXIFS(dynamic[orderDate], dynamic[customerID], B430)) &gt; 180), 
           "Dormant", "Regular")))</f>
        <v>Regular</v>
      </c>
      <c r="H430" s="6">
        <v>37.0</v>
      </c>
      <c r="I430" s="9" t="str">
        <f>VLOOKUP(dynamic[productID],products[],2,FALSE)</f>
        <v>Gravad lax</v>
      </c>
      <c r="J430" s="9" t="str">
        <f>VLOOKUP(dynamic[productID],products[],12,FALSE)</f>
        <v>Seafood</v>
      </c>
      <c r="K430" s="7" t="str">
        <f>IF(VLOOKUP(dynamic[productID],products[],7,FALSE)=1,"Discontinued","Current")</f>
        <v>Current</v>
      </c>
      <c r="L430" s="9">
        <f>VLOOKUP(dynamic[productID],products[],IF(YEAR(dynamic[orderDate])=2022,8,IF(YEAR(dynamic[orderDate])=2023,9,IF(YEAR(dynamic[orderDate])=2024,10,NA))),FALSE)</f>
        <v>15.96170586</v>
      </c>
      <c r="M430" s="9">
        <v>20.8</v>
      </c>
      <c r="N430" s="25">
        <f>(dynamic[orderPrice]-dynamic[productCost])/dynamic[productCost]</f>
        <v>0.3031188635</v>
      </c>
      <c r="O430" s="10">
        <v>10.0</v>
      </c>
      <c r="P430" s="25">
        <v>0.0</v>
      </c>
      <c r="Q430" s="9">
        <f>dynamic[orderPrice]*dynamic[orderQuantity]</f>
        <v>208</v>
      </c>
      <c r="R430" s="9">
        <f>dynamic[orderTotal]*(1-dynamic[discountApllied])</f>
        <v>208</v>
      </c>
      <c r="S430" s="9">
        <f>dynamic[revenue]-(dynamic[productCost]*dynamic[orderQuantity])</f>
        <v>48.38294139</v>
      </c>
      <c r="T430" s="25">
        <f>IFERROR(dynamic[profit]/dynamic[revenue], 0)</f>
        <v>0.2326102952</v>
      </c>
    </row>
    <row r="431" ht="15.75" customHeight="1">
      <c r="A431" s="6">
        <v>10408.0</v>
      </c>
      <c r="B431" s="7" t="s">
        <v>83</v>
      </c>
      <c r="C431" s="24" t="str">
        <f>VLOOKUP(dynamic[customerID],customers[],2,FALSE)</f>
        <v>Folies gourmandes</v>
      </c>
      <c r="D431" s="24">
        <v>44934.0</v>
      </c>
      <c r="E431" s="6">
        <f>IFERROR(__xludf.DUMMYFUNCTION("COUNTUNIQUEIFS($A$2:$A431,$B$2:$B431,B431)"),1.0)</f>
        <v>1</v>
      </c>
      <c r="F431" s="6">
        <f t="shared" si="1"/>
        <v>0</v>
      </c>
      <c r="G431" s="6" t="str">
        <f>IF(MINIFS(dynamic[orderDate], dynamic[customerID], B431) &gt;= DATE(2024,4,30)-120, 
     "New", 
     IF(MAXIFS(dynamic[orderCount], dynamic[customerID], B431)&lt;=2, 
        IF((DATE(2024,4,30) - MAXIFS(dynamic[orderDate], dynamic[customerID], B431)) &gt; 180, "Non-Returning", "Dormant"), 
        IF(AND(MAX(dynamic[sinceLastOrder]) &gt; 365, (DATE(2024,4,30) - MAXIFS(dynamic[orderDate], dynamic[customerID], B431)) &gt; 180), 
           "Dormant", "Regular")))</f>
        <v>Regular</v>
      </c>
      <c r="H431" s="6">
        <v>54.0</v>
      </c>
      <c r="I431" s="9" t="str">
        <f>VLOOKUP(dynamic[productID],products[],2,FALSE)</f>
        <v>Tourtière</v>
      </c>
      <c r="J431" s="9" t="str">
        <f>VLOOKUP(dynamic[productID],products[],12,FALSE)</f>
        <v>Meat/Poultry</v>
      </c>
      <c r="K431" s="7" t="str">
        <f>IF(VLOOKUP(dynamic[productID],products[],7,FALSE)=1,"Discontinued","Current")</f>
        <v>Current</v>
      </c>
      <c r="L431" s="9">
        <f>VLOOKUP(dynamic[productID],products[],IF(YEAR(dynamic[orderDate])=2022,8,IF(YEAR(dynamic[orderDate])=2023,9,IF(YEAR(dynamic[orderDate])=2024,10,NA))),FALSE)</f>
        <v>4.924447797</v>
      </c>
      <c r="M431" s="9">
        <v>5.9</v>
      </c>
      <c r="N431" s="25">
        <f>(dynamic[orderPrice]-dynamic[productCost])/dynamic[productCost]</f>
        <v>0.1981038774</v>
      </c>
      <c r="O431" s="10">
        <v>6.0</v>
      </c>
      <c r="P431" s="25">
        <v>0.0</v>
      </c>
      <c r="Q431" s="9">
        <f>dynamic[orderPrice]*dynamic[orderQuantity]</f>
        <v>35.4</v>
      </c>
      <c r="R431" s="9">
        <f>dynamic[orderTotal]*(1-dynamic[discountApllied])</f>
        <v>35.4</v>
      </c>
      <c r="S431" s="9">
        <f>dynamic[revenue]-(dynamic[productCost]*dynamic[orderQuantity])</f>
        <v>5.853313217</v>
      </c>
      <c r="T431" s="25">
        <f>IFERROR(dynamic[profit]/dynamic[revenue], 0)</f>
        <v>0.165347831</v>
      </c>
    </row>
    <row r="432" ht="15.75" customHeight="1">
      <c r="A432" s="6">
        <v>10408.0</v>
      </c>
      <c r="B432" s="7" t="s">
        <v>83</v>
      </c>
      <c r="C432" s="24" t="str">
        <f>VLOOKUP(dynamic[customerID],customers[],2,FALSE)</f>
        <v>Folies gourmandes</v>
      </c>
      <c r="D432" s="24">
        <v>44934.0</v>
      </c>
      <c r="E432" s="6">
        <f>IFERROR(__xludf.DUMMYFUNCTION("COUNTUNIQUEIFS($A$2:$A432,$B$2:$B432,B432)"),1.0)</f>
        <v>1</v>
      </c>
      <c r="F432" s="6">
        <f t="shared" si="1"/>
        <v>0</v>
      </c>
      <c r="G432" s="6" t="str">
        <f>IF(MINIFS(dynamic[orderDate], dynamic[customerID], B432) &gt;= DATE(2024,4,30)-120, 
     "New", 
     IF(MAXIFS(dynamic[orderCount], dynamic[customerID], B432)&lt;=2, 
        IF((DATE(2024,4,30) - MAXIFS(dynamic[orderDate], dynamic[customerID], B432)) &gt; 180, "Non-Returning", "Dormant"), 
        IF(AND(MAX(dynamic[sinceLastOrder]) &gt; 365, (DATE(2024,4,30) - MAXIFS(dynamic[orderDate], dynamic[customerID], B432)) &gt; 180), 
           "Dormant", "Regular")))</f>
        <v>Regular</v>
      </c>
      <c r="H432" s="6">
        <v>62.0</v>
      </c>
      <c r="I432" s="9" t="str">
        <f>VLOOKUP(dynamic[productID],products[],2,FALSE)</f>
        <v>Tarte au sucre</v>
      </c>
      <c r="J432" s="9" t="str">
        <f>VLOOKUP(dynamic[productID],products[],12,FALSE)</f>
        <v>Confections</v>
      </c>
      <c r="K432" s="7" t="str">
        <f>IF(VLOOKUP(dynamic[productID],products[],7,FALSE)=1,"Discontinued","Current")</f>
        <v>Current</v>
      </c>
      <c r="L432" s="9">
        <f>VLOOKUP(dynamic[productID],products[],IF(YEAR(dynamic[orderDate])=2022,8,IF(YEAR(dynamic[orderDate])=2023,9,IF(YEAR(dynamic[orderDate])=2024,10,NA))),FALSE)</f>
        <v>35.34792781</v>
      </c>
      <c r="M432" s="9">
        <v>39.4</v>
      </c>
      <c r="N432" s="25">
        <f>(dynamic[orderPrice]-dynamic[productCost])/dynamic[productCost]</f>
        <v>0.1146339387</v>
      </c>
      <c r="O432" s="10">
        <v>35.0</v>
      </c>
      <c r="P432" s="25">
        <v>0.0</v>
      </c>
      <c r="Q432" s="9">
        <f>dynamic[orderPrice]*dynamic[orderQuantity]</f>
        <v>1379</v>
      </c>
      <c r="R432" s="9">
        <f>dynamic[orderTotal]*(1-dynamic[discountApllied])</f>
        <v>1379</v>
      </c>
      <c r="S432" s="9">
        <f>dynamic[revenue]-(dynamic[productCost]*dynamic[orderQuantity])</f>
        <v>141.8225267</v>
      </c>
      <c r="T432" s="25">
        <f>IFERROR(dynamic[profit]/dynamic[revenue], 0)</f>
        <v>0.1028444718</v>
      </c>
    </row>
    <row r="433" ht="15.75" customHeight="1">
      <c r="A433" s="6">
        <v>10409.0</v>
      </c>
      <c r="B433" s="7" t="s">
        <v>84</v>
      </c>
      <c r="C433" s="24" t="str">
        <f>VLOOKUP(dynamic[customerID],customers[],2,FALSE)</f>
        <v>Océano Atlántico Ltda.</v>
      </c>
      <c r="D433" s="24">
        <v>44935.0</v>
      </c>
      <c r="E433" s="6">
        <f>IFERROR(__xludf.DUMMYFUNCTION("COUNTUNIQUEIFS($A$2:$A433,$B$2:$B433,B433)"),1.0)</f>
        <v>1</v>
      </c>
      <c r="F433" s="6">
        <f t="shared" si="1"/>
        <v>0</v>
      </c>
      <c r="G433" s="6" t="str">
        <f>IF(MINIFS(dynamic[orderDate], dynamic[customerID], B433) &gt;= DATE(2024,4,30)-120, 
     "New", 
     IF(MAXIFS(dynamic[orderCount], dynamic[customerID], B433)&lt;=2, 
        IF((DATE(2024,4,30) - MAXIFS(dynamic[orderDate], dynamic[customerID], B433)) &gt; 180, "Non-Returning", "Dormant"), 
        IF(AND(MAX(dynamic[sinceLastOrder]) &gt; 365, (DATE(2024,4,30) - MAXIFS(dynamic[orderDate], dynamic[customerID], B433)) &gt; 180), 
           "Dormant", "Regular")))</f>
        <v>Regular</v>
      </c>
      <c r="H433" s="6">
        <v>14.0</v>
      </c>
      <c r="I433" s="9" t="str">
        <f>VLOOKUP(dynamic[productID],products[],2,FALSE)</f>
        <v>Tofu</v>
      </c>
      <c r="J433" s="9" t="str">
        <f>VLOOKUP(dynamic[productID],products[],12,FALSE)</f>
        <v>Produce</v>
      </c>
      <c r="K433" s="7" t="str">
        <f>IF(VLOOKUP(dynamic[productID],products[],7,FALSE)=1,"Discontinued","Current")</f>
        <v>Current</v>
      </c>
      <c r="L433" s="9">
        <f>VLOOKUP(dynamic[productID],products[],IF(YEAR(dynamic[orderDate])=2022,8,IF(YEAR(dynamic[orderDate])=2023,9,IF(YEAR(dynamic[orderDate])=2024,10,NA))),FALSE)</f>
        <v>15.38055417</v>
      </c>
      <c r="M433" s="9">
        <v>18.6</v>
      </c>
      <c r="N433" s="25">
        <f>(dynamic[orderPrice]-dynamic[productCost])/dynamic[productCost]</f>
        <v>0.2093192349</v>
      </c>
      <c r="O433" s="10">
        <v>12.0</v>
      </c>
      <c r="P433" s="25">
        <v>0.0</v>
      </c>
      <c r="Q433" s="9">
        <f>dynamic[orderPrice]*dynamic[orderQuantity]</f>
        <v>223.2</v>
      </c>
      <c r="R433" s="9">
        <f>dynamic[orderTotal]*(1-dynamic[discountApllied])</f>
        <v>223.2</v>
      </c>
      <c r="S433" s="9">
        <f>dynamic[revenue]-(dynamic[productCost]*dynamic[orderQuantity])</f>
        <v>38.63334998</v>
      </c>
      <c r="T433" s="25">
        <f>IFERROR(dynamic[profit]/dynamic[revenue], 0)</f>
        <v>0.1730884856</v>
      </c>
    </row>
    <row r="434" ht="15.75" customHeight="1">
      <c r="A434" s="6">
        <v>10409.0</v>
      </c>
      <c r="B434" s="7" t="s">
        <v>84</v>
      </c>
      <c r="C434" s="24" t="str">
        <f>VLOOKUP(dynamic[customerID],customers[],2,FALSE)</f>
        <v>Océano Atlántico Ltda.</v>
      </c>
      <c r="D434" s="24">
        <v>44935.0</v>
      </c>
      <c r="E434" s="6">
        <f>IFERROR(__xludf.DUMMYFUNCTION("COUNTUNIQUEIFS($A$2:$A434,$B$2:$B434,B434)"),1.0)</f>
        <v>1</v>
      </c>
      <c r="F434" s="6">
        <f t="shared" si="1"/>
        <v>0</v>
      </c>
      <c r="G434" s="6" t="str">
        <f>IF(MINIFS(dynamic[orderDate], dynamic[customerID], B434) &gt;= DATE(2024,4,30)-120, 
     "New", 
     IF(MAXIFS(dynamic[orderCount], dynamic[customerID], B434)&lt;=2, 
        IF((DATE(2024,4,30) - MAXIFS(dynamic[orderDate], dynamic[customerID], B434)) &gt; 180, "Non-Returning", "Dormant"), 
        IF(AND(MAX(dynamic[sinceLastOrder]) &gt; 365, (DATE(2024,4,30) - MAXIFS(dynamic[orderDate], dynamic[customerID], B434)) &gt; 180), 
           "Dormant", "Regular")))</f>
        <v>Regular</v>
      </c>
      <c r="H434" s="6">
        <v>21.0</v>
      </c>
      <c r="I434" s="9" t="str">
        <f>VLOOKUP(dynamic[productID],products[],2,FALSE)</f>
        <v>Sir Rodney's Scones</v>
      </c>
      <c r="J434" s="9" t="str">
        <f>VLOOKUP(dynamic[productID],products[],12,FALSE)</f>
        <v>Confections</v>
      </c>
      <c r="K434" s="7" t="str">
        <f>IF(VLOOKUP(dynamic[productID],products[],7,FALSE)=1,"Discontinued","Current")</f>
        <v>Current</v>
      </c>
      <c r="L434" s="9">
        <f>VLOOKUP(dynamic[productID],products[],IF(YEAR(dynamic[orderDate])=2022,8,IF(YEAR(dynamic[orderDate])=2023,9,IF(YEAR(dynamic[orderDate])=2024,10,NA))),FALSE)</f>
        <v>6.725636111</v>
      </c>
      <c r="M434" s="9">
        <v>8.0</v>
      </c>
      <c r="N434" s="25">
        <f>(dynamic[orderPrice]-dynamic[productCost])/dynamic[productCost]</f>
        <v>0.1894785664</v>
      </c>
      <c r="O434" s="10">
        <v>12.0</v>
      </c>
      <c r="P434" s="25">
        <v>0.0</v>
      </c>
      <c r="Q434" s="9">
        <f>dynamic[orderPrice]*dynamic[orderQuantity]</f>
        <v>96</v>
      </c>
      <c r="R434" s="9">
        <f>dynamic[orderTotal]*(1-dynamic[discountApllied])</f>
        <v>96</v>
      </c>
      <c r="S434" s="9">
        <f>dynamic[revenue]-(dynamic[productCost]*dynamic[orderQuantity])</f>
        <v>15.29236666</v>
      </c>
      <c r="T434" s="25">
        <f>IFERROR(dynamic[profit]/dynamic[revenue], 0)</f>
        <v>0.1592954861</v>
      </c>
    </row>
    <row r="435" ht="15.75" customHeight="1">
      <c r="A435" s="6">
        <v>10410.0</v>
      </c>
      <c r="B435" s="7" t="s">
        <v>81</v>
      </c>
      <c r="C435" s="24" t="str">
        <f>VLOOKUP(dynamic[customerID],customers[],2,FALSE)</f>
        <v>Bottom-Dollar Markets</v>
      </c>
      <c r="D435" s="24">
        <v>44936.0</v>
      </c>
      <c r="E435" s="6">
        <f>IFERROR(__xludf.DUMMYFUNCTION("COUNTUNIQUEIFS($A$2:$A435,$B$2:$B435,B435)"),2.0)</f>
        <v>2</v>
      </c>
      <c r="F435" s="6">
        <f t="shared" si="1"/>
        <v>21</v>
      </c>
      <c r="G435" s="6" t="str">
        <f>IF(MINIFS(dynamic[orderDate], dynamic[customerID], B435) &gt;= DATE(2024,4,30)-120, 
     "New", 
     IF(MAXIFS(dynamic[orderCount], dynamic[customerID], B435)&lt;=2, 
        IF((DATE(2024,4,30) - MAXIFS(dynamic[orderDate], dynamic[customerID], B435)) &gt; 180, "Non-Returning", "Dormant"), 
        IF(AND(MAX(dynamic[sinceLastOrder]) &gt; 365, (DATE(2024,4,30) - MAXIFS(dynamic[orderDate], dynamic[customerID], B435)) &gt; 180), 
           "Dormant", "Regular")))</f>
        <v>Regular</v>
      </c>
      <c r="H435" s="6">
        <v>33.0</v>
      </c>
      <c r="I435" s="9" t="str">
        <f>VLOOKUP(dynamic[productID],products[],2,FALSE)</f>
        <v>Geitost</v>
      </c>
      <c r="J435" s="9" t="str">
        <f>VLOOKUP(dynamic[productID],products[],12,FALSE)</f>
        <v>Dairy Products</v>
      </c>
      <c r="K435" s="7" t="str">
        <f>IF(VLOOKUP(dynamic[productID],products[],7,FALSE)=1,"Discontinued","Current")</f>
        <v>Current</v>
      </c>
      <c r="L435" s="9">
        <f>VLOOKUP(dynamic[productID],products[],IF(YEAR(dynamic[orderDate])=2022,8,IF(YEAR(dynamic[orderDate])=2023,9,IF(YEAR(dynamic[orderDate])=2024,10,NA))),FALSE)</f>
        <v>1.559072298</v>
      </c>
      <c r="M435" s="9">
        <v>2.0</v>
      </c>
      <c r="N435" s="25">
        <f>(dynamic[orderPrice]-dynamic[productCost])/dynamic[productCost]</f>
        <v>0.2828141472</v>
      </c>
      <c r="O435" s="10">
        <v>49.0</v>
      </c>
      <c r="P435" s="25">
        <v>0.0</v>
      </c>
      <c r="Q435" s="9">
        <f>dynamic[orderPrice]*dynamic[orderQuantity]</f>
        <v>98</v>
      </c>
      <c r="R435" s="9">
        <f>dynamic[orderTotal]*(1-dynamic[discountApllied])</f>
        <v>98</v>
      </c>
      <c r="S435" s="9">
        <f>dynamic[revenue]-(dynamic[productCost]*dynamic[orderQuantity])</f>
        <v>21.60545741</v>
      </c>
      <c r="T435" s="25">
        <f>IFERROR(dynamic[profit]/dynamic[revenue], 0)</f>
        <v>0.2204638512</v>
      </c>
    </row>
    <row r="436" ht="15.75" customHeight="1">
      <c r="A436" s="6">
        <v>10410.0</v>
      </c>
      <c r="B436" s="7" t="s">
        <v>81</v>
      </c>
      <c r="C436" s="24" t="str">
        <f>VLOOKUP(dynamic[customerID],customers[],2,FALSE)</f>
        <v>Bottom-Dollar Markets</v>
      </c>
      <c r="D436" s="24">
        <v>44936.0</v>
      </c>
      <c r="E436" s="6">
        <f>IFERROR(__xludf.DUMMYFUNCTION("COUNTUNIQUEIFS($A$2:$A436,$B$2:$B436,B436)"),2.0)</f>
        <v>2</v>
      </c>
      <c r="F436" s="6">
        <f t="shared" si="1"/>
        <v>21</v>
      </c>
      <c r="G436" s="6" t="str">
        <f>IF(MINIFS(dynamic[orderDate], dynamic[customerID], B436) &gt;= DATE(2024,4,30)-120, 
     "New", 
     IF(MAXIFS(dynamic[orderCount], dynamic[customerID], B436)&lt;=2, 
        IF((DATE(2024,4,30) - MAXIFS(dynamic[orderDate], dynamic[customerID], B436)) &gt; 180, "Non-Returning", "Dormant"), 
        IF(AND(MAX(dynamic[sinceLastOrder]) &gt; 365, (DATE(2024,4,30) - MAXIFS(dynamic[orderDate], dynamic[customerID], B436)) &gt; 180), 
           "Dormant", "Regular")))</f>
        <v>Regular</v>
      </c>
      <c r="H436" s="6">
        <v>59.0</v>
      </c>
      <c r="I436" s="9" t="str">
        <f>VLOOKUP(dynamic[productID],products[],2,FALSE)</f>
        <v>Raclette Courdavault</v>
      </c>
      <c r="J436" s="9" t="str">
        <f>VLOOKUP(dynamic[productID],products[],12,FALSE)</f>
        <v>Dairy Products</v>
      </c>
      <c r="K436" s="7" t="str">
        <f>IF(VLOOKUP(dynamic[productID],products[],7,FALSE)=1,"Discontinued","Current")</f>
        <v>Current</v>
      </c>
      <c r="L436" s="9">
        <f>VLOOKUP(dynamic[productID],products[],IF(YEAR(dynamic[orderDate])=2022,8,IF(YEAR(dynamic[orderDate])=2023,9,IF(YEAR(dynamic[orderDate])=2024,10,NA))),FALSE)</f>
        <v>35.20472566</v>
      </c>
      <c r="M436" s="9">
        <v>44.0</v>
      </c>
      <c r="N436" s="25">
        <f>(dynamic[orderPrice]-dynamic[productCost])/dynamic[productCost]</f>
        <v>0.2498322078</v>
      </c>
      <c r="O436" s="10">
        <v>16.0</v>
      </c>
      <c r="P436" s="25">
        <v>0.0</v>
      </c>
      <c r="Q436" s="9">
        <f>dynamic[orderPrice]*dynamic[orderQuantity]</f>
        <v>704</v>
      </c>
      <c r="R436" s="9">
        <f>dynamic[orderTotal]*(1-dynamic[discountApllied])</f>
        <v>704</v>
      </c>
      <c r="S436" s="9">
        <f>dynamic[revenue]-(dynamic[productCost]*dynamic[orderQuantity])</f>
        <v>140.7243894</v>
      </c>
      <c r="T436" s="25">
        <f>IFERROR(dynamic[profit]/dynamic[revenue], 0)</f>
        <v>0.1998925986</v>
      </c>
    </row>
    <row r="437" ht="15.75" customHeight="1">
      <c r="A437" s="6">
        <v>10411.0</v>
      </c>
      <c r="B437" s="7" t="s">
        <v>81</v>
      </c>
      <c r="C437" s="24" t="str">
        <f>VLOOKUP(dynamic[customerID],customers[],2,FALSE)</f>
        <v>Bottom-Dollar Markets</v>
      </c>
      <c r="D437" s="24">
        <v>44936.0</v>
      </c>
      <c r="E437" s="6">
        <f>IFERROR(__xludf.DUMMYFUNCTION("COUNTUNIQUEIFS($A$2:$A437,$B$2:$B437,B437)"),3.0)</f>
        <v>3</v>
      </c>
      <c r="F437" s="6">
        <f t="shared" si="1"/>
        <v>0</v>
      </c>
      <c r="G437" s="6" t="str">
        <f>IF(MINIFS(dynamic[orderDate], dynamic[customerID], B437) &gt;= DATE(2024,4,30)-120, 
     "New", 
     IF(MAXIFS(dynamic[orderCount], dynamic[customerID], B437)&lt;=2, 
        IF((DATE(2024,4,30) - MAXIFS(dynamic[orderDate], dynamic[customerID], B437)) &gt; 180, "Non-Returning", "Dormant"), 
        IF(AND(MAX(dynamic[sinceLastOrder]) &gt; 365, (DATE(2024,4,30) - MAXIFS(dynamic[orderDate], dynamic[customerID], B437)) &gt; 180), 
           "Dormant", "Regular")))</f>
        <v>Regular</v>
      </c>
      <c r="H437" s="6">
        <v>41.0</v>
      </c>
      <c r="I437" s="9" t="str">
        <f>VLOOKUP(dynamic[productID],products[],2,FALSE)</f>
        <v>Jack's New England Clam Chowder</v>
      </c>
      <c r="J437" s="9" t="str">
        <f>VLOOKUP(dynamic[productID],products[],12,FALSE)</f>
        <v>Seafood</v>
      </c>
      <c r="K437" s="7" t="str">
        <f>IF(VLOOKUP(dynamic[productID],products[],7,FALSE)=1,"Discontinued","Current")</f>
        <v>Current</v>
      </c>
      <c r="L437" s="9">
        <f>VLOOKUP(dynamic[productID],products[],IF(YEAR(dynamic[orderDate])=2022,8,IF(YEAR(dynamic[orderDate])=2023,9,IF(YEAR(dynamic[orderDate])=2024,10,NA))),FALSE)</f>
        <v>6.549914856</v>
      </c>
      <c r="M437" s="9">
        <v>7.7</v>
      </c>
      <c r="N437" s="25">
        <f>(dynamic[orderPrice]-dynamic[productCost])/dynamic[productCost]</f>
        <v>0.1755878006</v>
      </c>
      <c r="O437" s="10">
        <v>25.0</v>
      </c>
      <c r="P437" s="25">
        <v>0.2</v>
      </c>
      <c r="Q437" s="9">
        <f>dynamic[orderPrice]*dynamic[orderQuantity]</f>
        <v>192.5</v>
      </c>
      <c r="R437" s="9">
        <f>dynamic[orderTotal]*(1-dynamic[discountApllied])</f>
        <v>154</v>
      </c>
      <c r="S437" s="9">
        <f>dynamic[revenue]-(dynamic[productCost]*dynamic[orderQuantity])</f>
        <v>-9.7478714</v>
      </c>
      <c r="T437" s="25">
        <f>IFERROR(dynamic[profit]/dynamic[revenue], 0)</f>
        <v>-0.06329786623</v>
      </c>
    </row>
    <row r="438" ht="15.75" customHeight="1">
      <c r="A438" s="6">
        <v>10411.0</v>
      </c>
      <c r="B438" s="7" t="s">
        <v>81</v>
      </c>
      <c r="C438" s="24" t="str">
        <f>VLOOKUP(dynamic[customerID],customers[],2,FALSE)</f>
        <v>Bottom-Dollar Markets</v>
      </c>
      <c r="D438" s="24">
        <v>44936.0</v>
      </c>
      <c r="E438" s="6">
        <f>IFERROR(__xludf.DUMMYFUNCTION("COUNTUNIQUEIFS($A$2:$A438,$B$2:$B438,B438)"),3.0)</f>
        <v>3</v>
      </c>
      <c r="F438" s="6">
        <f t="shared" si="1"/>
        <v>0</v>
      </c>
      <c r="G438" s="6" t="str">
        <f>IF(MINIFS(dynamic[orderDate], dynamic[customerID], B438) &gt;= DATE(2024,4,30)-120, 
     "New", 
     IF(MAXIFS(dynamic[orderCount], dynamic[customerID], B438)&lt;=2, 
        IF((DATE(2024,4,30) - MAXIFS(dynamic[orderDate], dynamic[customerID], B438)) &gt; 180, "Non-Returning", "Dormant"), 
        IF(AND(MAX(dynamic[sinceLastOrder]) &gt; 365, (DATE(2024,4,30) - MAXIFS(dynamic[orderDate], dynamic[customerID], B438)) &gt; 180), 
           "Dormant", "Regular")))</f>
        <v>Regular</v>
      </c>
      <c r="H438" s="6">
        <v>44.0</v>
      </c>
      <c r="I438" s="9" t="str">
        <f>VLOOKUP(dynamic[productID],products[],2,FALSE)</f>
        <v>Gula Malacca</v>
      </c>
      <c r="J438" s="9" t="str">
        <f>VLOOKUP(dynamic[productID],products[],12,FALSE)</f>
        <v>Condiments</v>
      </c>
      <c r="K438" s="7" t="str">
        <f>IF(VLOOKUP(dynamic[productID],products[],7,FALSE)=1,"Discontinued","Current")</f>
        <v>Current</v>
      </c>
      <c r="L438" s="9">
        <f>VLOOKUP(dynamic[productID],products[],IF(YEAR(dynamic[orderDate])=2022,8,IF(YEAR(dynamic[orderDate])=2023,9,IF(YEAR(dynamic[orderDate])=2024,10,NA))),FALSE)</f>
        <v>13.06032103</v>
      </c>
      <c r="M438" s="9">
        <v>15.5</v>
      </c>
      <c r="N438" s="25">
        <f>(dynamic[orderPrice]-dynamic[productCost])/dynamic[productCost]</f>
        <v>0.1868008425</v>
      </c>
      <c r="O438" s="10">
        <v>40.0</v>
      </c>
      <c r="P438" s="25">
        <v>0.2</v>
      </c>
      <c r="Q438" s="9">
        <f>dynamic[orderPrice]*dynamic[orderQuantity]</f>
        <v>620</v>
      </c>
      <c r="R438" s="9">
        <f>dynamic[orderTotal]*(1-dynamic[discountApllied])</f>
        <v>496</v>
      </c>
      <c r="S438" s="9">
        <f>dynamic[revenue]-(dynamic[productCost]*dynamic[orderQuantity])</f>
        <v>-26.41284114</v>
      </c>
      <c r="T438" s="25">
        <f>IFERROR(dynamic[profit]/dynamic[revenue], 0)</f>
        <v>-0.05325169584</v>
      </c>
    </row>
    <row r="439" ht="15.75" customHeight="1">
      <c r="A439" s="6">
        <v>10411.0</v>
      </c>
      <c r="B439" s="7" t="s">
        <v>81</v>
      </c>
      <c r="C439" s="24" t="str">
        <f>VLOOKUP(dynamic[customerID],customers[],2,FALSE)</f>
        <v>Bottom-Dollar Markets</v>
      </c>
      <c r="D439" s="24">
        <v>44936.0</v>
      </c>
      <c r="E439" s="6">
        <f>IFERROR(__xludf.DUMMYFUNCTION("COUNTUNIQUEIFS($A$2:$A439,$B$2:$B439,B439)"),3.0)</f>
        <v>3</v>
      </c>
      <c r="F439" s="6">
        <f t="shared" si="1"/>
        <v>0</v>
      </c>
      <c r="G439" s="6" t="str">
        <f>IF(MINIFS(dynamic[orderDate], dynamic[customerID], B439) &gt;= DATE(2024,4,30)-120, 
     "New", 
     IF(MAXIFS(dynamic[orderCount], dynamic[customerID], B439)&lt;=2, 
        IF((DATE(2024,4,30) - MAXIFS(dynamic[orderDate], dynamic[customerID], B439)) &gt; 180, "Non-Returning", "Dormant"), 
        IF(AND(MAX(dynamic[sinceLastOrder]) &gt; 365, (DATE(2024,4,30) - MAXIFS(dynamic[orderDate], dynamic[customerID], B439)) &gt; 180), 
           "Dormant", "Regular")))</f>
        <v>Regular</v>
      </c>
      <c r="H439" s="6">
        <v>59.0</v>
      </c>
      <c r="I439" s="9" t="str">
        <f>VLOOKUP(dynamic[productID],products[],2,FALSE)</f>
        <v>Raclette Courdavault</v>
      </c>
      <c r="J439" s="9" t="str">
        <f>VLOOKUP(dynamic[productID],products[],12,FALSE)</f>
        <v>Dairy Products</v>
      </c>
      <c r="K439" s="7" t="str">
        <f>IF(VLOOKUP(dynamic[productID],products[],7,FALSE)=1,"Discontinued","Current")</f>
        <v>Current</v>
      </c>
      <c r="L439" s="9">
        <f>VLOOKUP(dynamic[productID],products[],IF(YEAR(dynamic[orderDate])=2022,8,IF(YEAR(dynamic[orderDate])=2023,9,IF(YEAR(dynamic[orderDate])=2024,10,NA))),FALSE)</f>
        <v>35.20472566</v>
      </c>
      <c r="M439" s="9">
        <v>44.0</v>
      </c>
      <c r="N439" s="25">
        <f>(dynamic[orderPrice]-dynamic[productCost])/dynamic[productCost]</f>
        <v>0.2498322078</v>
      </c>
      <c r="O439" s="10">
        <v>9.0</v>
      </c>
      <c r="P439" s="25">
        <v>0.2</v>
      </c>
      <c r="Q439" s="9">
        <f>dynamic[orderPrice]*dynamic[orderQuantity]</f>
        <v>396</v>
      </c>
      <c r="R439" s="9">
        <f>dynamic[orderTotal]*(1-dynamic[discountApllied])</f>
        <v>316.8</v>
      </c>
      <c r="S439" s="9">
        <f>dynamic[revenue]-(dynamic[productCost]*dynamic[orderQuantity])</f>
        <v>-0.04253095468</v>
      </c>
      <c r="T439" s="25">
        <f>IFERROR(dynamic[profit]/dynamic[revenue], 0)</f>
        <v>-0.0001342517509</v>
      </c>
    </row>
    <row r="440" ht="15.75" customHeight="1">
      <c r="A440" s="6">
        <v>10412.0</v>
      </c>
      <c r="B440" s="7" t="s">
        <v>31</v>
      </c>
      <c r="C440" s="24" t="str">
        <f>VLOOKUP(dynamic[customerID],customers[],2,FALSE)</f>
        <v>Wartian Herkku</v>
      </c>
      <c r="D440" s="24">
        <v>44939.0</v>
      </c>
      <c r="E440" s="6">
        <f>IFERROR(__xludf.DUMMYFUNCTION("COUNTUNIQUEIFS($A$2:$A440,$B$2:$B440,B440)"),5.0)</f>
        <v>5</v>
      </c>
      <c r="F440" s="6">
        <f t="shared" si="1"/>
        <v>87</v>
      </c>
      <c r="G440" s="6" t="str">
        <f>IF(MINIFS(dynamic[orderDate], dynamic[customerID], B440) &gt;= DATE(2024,4,30)-120, 
     "New", 
     IF(MAXIFS(dynamic[orderCount], dynamic[customerID], B440)&lt;=2, 
        IF((DATE(2024,4,30) - MAXIFS(dynamic[orderDate], dynamic[customerID], B440)) &gt; 180, "Non-Returning", "Dormant"), 
        IF(AND(MAX(dynamic[sinceLastOrder]) &gt; 365, (DATE(2024,4,30) - MAXIFS(dynamic[orderDate], dynamic[customerID], B440)) &gt; 180), 
           "Dormant", "Regular")))</f>
        <v>Regular</v>
      </c>
      <c r="H440" s="6">
        <v>14.0</v>
      </c>
      <c r="I440" s="9" t="str">
        <f>VLOOKUP(dynamic[productID],products[],2,FALSE)</f>
        <v>Tofu</v>
      </c>
      <c r="J440" s="9" t="str">
        <f>VLOOKUP(dynamic[productID],products[],12,FALSE)</f>
        <v>Produce</v>
      </c>
      <c r="K440" s="7" t="str">
        <f>IF(VLOOKUP(dynamic[productID],products[],7,FALSE)=1,"Discontinued","Current")</f>
        <v>Current</v>
      </c>
      <c r="L440" s="9">
        <f>VLOOKUP(dynamic[productID],products[],IF(YEAR(dynamic[orderDate])=2022,8,IF(YEAR(dynamic[orderDate])=2023,9,IF(YEAR(dynamic[orderDate])=2024,10,NA))),FALSE)</f>
        <v>15.38055417</v>
      </c>
      <c r="M440" s="9">
        <v>18.6</v>
      </c>
      <c r="N440" s="25">
        <f>(dynamic[orderPrice]-dynamic[productCost])/dynamic[productCost]</f>
        <v>0.2093192349</v>
      </c>
      <c r="O440" s="10">
        <v>20.0</v>
      </c>
      <c r="P440" s="25">
        <v>0.1</v>
      </c>
      <c r="Q440" s="9">
        <f>dynamic[orderPrice]*dynamic[orderQuantity]</f>
        <v>372</v>
      </c>
      <c r="R440" s="9">
        <f>dynamic[orderTotal]*(1-dynamic[discountApllied])</f>
        <v>334.8</v>
      </c>
      <c r="S440" s="9">
        <f>dynamic[revenue]-(dynamic[productCost]*dynamic[orderQuantity])</f>
        <v>27.18891663</v>
      </c>
      <c r="T440" s="25">
        <f>IFERROR(dynamic[profit]/dynamic[revenue], 0)</f>
        <v>0.08120942841</v>
      </c>
    </row>
    <row r="441" ht="15.75" customHeight="1">
      <c r="A441" s="6">
        <v>10413.0</v>
      </c>
      <c r="B441" s="7" t="s">
        <v>68</v>
      </c>
      <c r="C441" s="24" t="str">
        <f>VLOOKUP(dynamic[customerID],customers[],2,FALSE)</f>
        <v>La maison d'Asie</v>
      </c>
      <c r="D441" s="24">
        <v>44940.0</v>
      </c>
      <c r="E441" s="6">
        <f>IFERROR(__xludf.DUMMYFUNCTION("COUNTUNIQUEIFS($A$2:$A441,$B$2:$B441,B441)"),4.0)</f>
        <v>4</v>
      </c>
      <c r="F441" s="6">
        <f t="shared" si="1"/>
        <v>42</v>
      </c>
      <c r="G441" s="6" t="str">
        <f>IF(MINIFS(dynamic[orderDate], dynamic[customerID], B441) &gt;= DATE(2024,4,30)-120, 
     "New", 
     IF(MAXIFS(dynamic[orderCount], dynamic[customerID], B441)&lt;=2, 
        IF((DATE(2024,4,30) - MAXIFS(dynamic[orderDate], dynamic[customerID], B441)) &gt; 180, "Non-Returning", "Dormant"), 
        IF(AND(MAX(dynamic[sinceLastOrder]) &gt; 365, (DATE(2024,4,30) - MAXIFS(dynamic[orderDate], dynamic[customerID], B441)) &gt; 180), 
           "Dormant", "Regular")))</f>
        <v>Regular</v>
      </c>
      <c r="H441" s="6">
        <v>1.0</v>
      </c>
      <c r="I441" s="9" t="str">
        <f>VLOOKUP(dynamic[productID],products[],2,FALSE)</f>
        <v>Chai</v>
      </c>
      <c r="J441" s="9" t="str">
        <f>VLOOKUP(dynamic[productID],products[],12,FALSE)</f>
        <v>Beverages</v>
      </c>
      <c r="K441" s="7" t="str">
        <f>IF(VLOOKUP(dynamic[productID],products[],7,FALSE)=1,"Discontinued","Current")</f>
        <v>Current</v>
      </c>
      <c r="L441" s="9">
        <f>VLOOKUP(dynamic[productID],products[],IF(YEAR(dynamic[orderDate])=2022,8,IF(YEAR(dynamic[orderDate])=2023,9,IF(YEAR(dynamic[orderDate])=2024,10,NA))),FALSE)</f>
        <v>12.15847607</v>
      </c>
      <c r="M441" s="9">
        <v>14.4</v>
      </c>
      <c r="N441" s="25">
        <f>(dynamic[orderPrice]-dynamic[productCost])/dynamic[productCost]</f>
        <v>0.1843589542</v>
      </c>
      <c r="O441" s="10">
        <v>24.0</v>
      </c>
      <c r="P441" s="25">
        <v>0.0</v>
      </c>
      <c r="Q441" s="9">
        <f>dynamic[orderPrice]*dynamic[orderQuantity]</f>
        <v>345.6</v>
      </c>
      <c r="R441" s="9">
        <f>dynamic[orderTotal]*(1-dynamic[discountApllied])</f>
        <v>345.6</v>
      </c>
      <c r="S441" s="9">
        <f>dynamic[revenue]-(dynamic[productCost]*dynamic[orderQuantity])</f>
        <v>53.79657437</v>
      </c>
      <c r="T441" s="25">
        <f>IFERROR(dynamic[profit]/dynamic[revenue], 0)</f>
        <v>0.1556613842</v>
      </c>
    </row>
    <row r="442" ht="15.75" customHeight="1">
      <c r="A442" s="6">
        <v>10413.0</v>
      </c>
      <c r="B442" s="7" t="s">
        <v>68</v>
      </c>
      <c r="C442" s="24" t="str">
        <f>VLOOKUP(dynamic[customerID],customers[],2,FALSE)</f>
        <v>La maison d'Asie</v>
      </c>
      <c r="D442" s="24">
        <v>44940.0</v>
      </c>
      <c r="E442" s="6">
        <f>IFERROR(__xludf.DUMMYFUNCTION("COUNTUNIQUEIFS($A$2:$A442,$B$2:$B442,B442)"),4.0)</f>
        <v>4</v>
      </c>
      <c r="F442" s="6">
        <f t="shared" si="1"/>
        <v>42</v>
      </c>
      <c r="G442" s="6" t="str">
        <f>IF(MINIFS(dynamic[orderDate], dynamic[customerID], B442) &gt;= DATE(2024,4,30)-120, 
     "New", 
     IF(MAXIFS(dynamic[orderCount], dynamic[customerID], B442)&lt;=2, 
        IF((DATE(2024,4,30) - MAXIFS(dynamic[orderDate], dynamic[customerID], B442)) &gt; 180, "Non-Returning", "Dormant"), 
        IF(AND(MAX(dynamic[sinceLastOrder]) &gt; 365, (DATE(2024,4,30) - MAXIFS(dynamic[orderDate], dynamic[customerID], B442)) &gt; 180), 
           "Dormant", "Regular")))</f>
        <v>Regular</v>
      </c>
      <c r="H442" s="6">
        <v>62.0</v>
      </c>
      <c r="I442" s="9" t="str">
        <f>VLOOKUP(dynamic[productID],products[],2,FALSE)</f>
        <v>Tarte au sucre</v>
      </c>
      <c r="J442" s="9" t="str">
        <f>VLOOKUP(dynamic[productID],products[],12,FALSE)</f>
        <v>Confections</v>
      </c>
      <c r="K442" s="7" t="str">
        <f>IF(VLOOKUP(dynamic[productID],products[],7,FALSE)=1,"Discontinued","Current")</f>
        <v>Current</v>
      </c>
      <c r="L442" s="9">
        <f>VLOOKUP(dynamic[productID],products[],IF(YEAR(dynamic[orderDate])=2022,8,IF(YEAR(dynamic[orderDate])=2023,9,IF(YEAR(dynamic[orderDate])=2024,10,NA))),FALSE)</f>
        <v>35.34792781</v>
      </c>
      <c r="M442" s="9">
        <v>39.4</v>
      </c>
      <c r="N442" s="25">
        <f>(dynamic[orderPrice]-dynamic[productCost])/dynamic[productCost]</f>
        <v>0.1146339387</v>
      </c>
      <c r="O442" s="10">
        <v>40.0</v>
      </c>
      <c r="P442" s="25">
        <v>0.0</v>
      </c>
      <c r="Q442" s="9">
        <f>dynamic[orderPrice]*dynamic[orderQuantity]</f>
        <v>1576</v>
      </c>
      <c r="R442" s="9">
        <f>dynamic[orderTotal]*(1-dynamic[discountApllied])</f>
        <v>1576</v>
      </c>
      <c r="S442" s="9">
        <f>dynamic[revenue]-(dynamic[productCost]*dynamic[orderQuantity])</f>
        <v>162.0828876</v>
      </c>
      <c r="T442" s="25">
        <f>IFERROR(dynamic[profit]/dynamic[revenue], 0)</f>
        <v>0.1028444718</v>
      </c>
    </row>
    <row r="443" ht="15.75" customHeight="1">
      <c r="A443" s="6">
        <v>10413.0</v>
      </c>
      <c r="B443" s="7" t="s">
        <v>68</v>
      </c>
      <c r="C443" s="24" t="str">
        <f>VLOOKUP(dynamic[customerID],customers[],2,FALSE)</f>
        <v>La maison d'Asie</v>
      </c>
      <c r="D443" s="24">
        <v>44940.0</v>
      </c>
      <c r="E443" s="6">
        <f>IFERROR(__xludf.DUMMYFUNCTION("COUNTUNIQUEIFS($A$2:$A443,$B$2:$B443,B443)"),4.0)</f>
        <v>4</v>
      </c>
      <c r="F443" s="6">
        <f t="shared" si="1"/>
        <v>42</v>
      </c>
      <c r="G443" s="6" t="str">
        <f>IF(MINIFS(dynamic[orderDate], dynamic[customerID], B443) &gt;= DATE(2024,4,30)-120, 
     "New", 
     IF(MAXIFS(dynamic[orderCount], dynamic[customerID], B443)&lt;=2, 
        IF((DATE(2024,4,30) - MAXIFS(dynamic[orderDate], dynamic[customerID], B443)) &gt; 180, "Non-Returning", "Dormant"), 
        IF(AND(MAX(dynamic[sinceLastOrder]) &gt; 365, (DATE(2024,4,30) - MAXIFS(dynamic[orderDate], dynamic[customerID], B443)) &gt; 180), 
           "Dormant", "Regular")))</f>
        <v>Regular</v>
      </c>
      <c r="H443" s="6">
        <v>76.0</v>
      </c>
      <c r="I443" s="9" t="str">
        <f>VLOOKUP(dynamic[productID],products[],2,FALSE)</f>
        <v>Lakkalikööri</v>
      </c>
      <c r="J443" s="9" t="str">
        <f>VLOOKUP(dynamic[productID],products[],12,FALSE)</f>
        <v>Beverages</v>
      </c>
      <c r="K443" s="7" t="str">
        <f>IF(VLOOKUP(dynamic[productID],products[],7,FALSE)=1,"Discontinued","Current")</f>
        <v>Current</v>
      </c>
      <c r="L443" s="9">
        <f>VLOOKUP(dynamic[productID],products[],IF(YEAR(dynamic[orderDate])=2022,8,IF(YEAR(dynamic[orderDate])=2023,9,IF(YEAR(dynamic[orderDate])=2024,10,NA))),FALSE)</f>
        <v>12.1154529</v>
      </c>
      <c r="M443" s="9">
        <v>14.4</v>
      </c>
      <c r="N443" s="25">
        <f>(dynamic[orderPrice]-dynamic[productCost])/dynamic[productCost]</f>
        <v>0.18856473</v>
      </c>
      <c r="O443" s="10">
        <v>14.0</v>
      </c>
      <c r="P443" s="25">
        <v>0.0</v>
      </c>
      <c r="Q443" s="9">
        <f>dynamic[orderPrice]*dynamic[orderQuantity]</f>
        <v>201.6</v>
      </c>
      <c r="R443" s="9">
        <f>dynamic[orderTotal]*(1-dynamic[discountApllied])</f>
        <v>201.6</v>
      </c>
      <c r="S443" s="9">
        <f>dynamic[revenue]-(dynamic[productCost]*dynamic[orderQuantity])</f>
        <v>31.98365946</v>
      </c>
      <c r="T443" s="25">
        <f>IFERROR(dynamic[profit]/dynamic[revenue], 0)</f>
        <v>0.1586491045</v>
      </c>
    </row>
    <row r="444" ht="15.75" customHeight="1">
      <c r="A444" s="6">
        <v>10414.0</v>
      </c>
      <c r="B444" s="7" t="s">
        <v>67</v>
      </c>
      <c r="C444" s="24" t="str">
        <f>VLOOKUP(dynamic[customerID],customers[],2,FALSE)</f>
        <v>Familia Arquibaldo</v>
      </c>
      <c r="D444" s="24">
        <v>44940.0</v>
      </c>
      <c r="E444" s="6">
        <f>IFERROR(__xludf.DUMMYFUNCTION("COUNTUNIQUEIFS($A$2:$A444,$B$2:$B444,B444)"),3.0)</f>
        <v>3</v>
      </c>
      <c r="F444" s="6">
        <f t="shared" si="1"/>
        <v>27</v>
      </c>
      <c r="G444" s="6" t="str">
        <f>IF(MINIFS(dynamic[orderDate], dynamic[customerID], B444) &gt;= DATE(2024,4,30)-120, 
     "New", 
     IF(MAXIFS(dynamic[orderCount], dynamic[customerID], B444)&lt;=2, 
        IF((DATE(2024,4,30) - MAXIFS(dynamic[orderDate], dynamic[customerID], B444)) &gt; 180, "Non-Returning", "Dormant"), 
        IF(AND(MAX(dynamic[sinceLastOrder]) &gt; 365, (DATE(2024,4,30) - MAXIFS(dynamic[orderDate], dynamic[customerID], B444)) &gt; 180), 
           "Dormant", "Regular")))</f>
        <v>Dormant</v>
      </c>
      <c r="H444" s="6">
        <v>19.0</v>
      </c>
      <c r="I444" s="9" t="str">
        <f>VLOOKUP(dynamic[productID],products[],2,FALSE)</f>
        <v>Teatime Chocolate Biscuits</v>
      </c>
      <c r="J444" s="9" t="str">
        <f>VLOOKUP(dynamic[productID],products[],12,FALSE)</f>
        <v>Confections</v>
      </c>
      <c r="K444" s="7" t="str">
        <f>IF(VLOOKUP(dynamic[productID],products[],7,FALSE)=1,"Discontinued","Current")</f>
        <v>Current</v>
      </c>
      <c r="L444" s="9">
        <f>VLOOKUP(dynamic[productID],products[],IF(YEAR(dynamic[orderDate])=2022,8,IF(YEAR(dynamic[orderDate])=2023,9,IF(YEAR(dynamic[orderDate])=2024,10,NA))),FALSE)</f>
        <v>5.901883682</v>
      </c>
      <c r="M444" s="9">
        <v>7.3</v>
      </c>
      <c r="N444" s="25">
        <f>(dynamic[orderPrice]-dynamic[productCost])/dynamic[productCost]</f>
        <v>0.2368932349</v>
      </c>
      <c r="O444" s="10">
        <v>18.0</v>
      </c>
      <c r="P444" s="25">
        <v>0.05</v>
      </c>
      <c r="Q444" s="9">
        <f>dynamic[orderPrice]*dynamic[orderQuantity]</f>
        <v>131.4</v>
      </c>
      <c r="R444" s="9">
        <f>dynamic[orderTotal]*(1-dynamic[discountApllied])</f>
        <v>124.83</v>
      </c>
      <c r="S444" s="9">
        <f>dynamic[revenue]-(dynamic[productCost]*dynamic[orderQuantity])</f>
        <v>18.59609372</v>
      </c>
      <c r="T444" s="25">
        <f>IFERROR(dynamic[profit]/dynamic[revenue], 0)</f>
        <v>0.1489713508</v>
      </c>
    </row>
    <row r="445" ht="15.75" customHeight="1">
      <c r="A445" s="6">
        <v>10414.0</v>
      </c>
      <c r="B445" s="7" t="s">
        <v>67</v>
      </c>
      <c r="C445" s="24" t="str">
        <f>VLOOKUP(dynamic[customerID],customers[],2,FALSE)</f>
        <v>Familia Arquibaldo</v>
      </c>
      <c r="D445" s="24">
        <v>44940.0</v>
      </c>
      <c r="E445" s="6">
        <f>IFERROR(__xludf.DUMMYFUNCTION("COUNTUNIQUEIFS($A$2:$A445,$B$2:$B445,B445)"),3.0)</f>
        <v>3</v>
      </c>
      <c r="F445" s="6">
        <f t="shared" si="1"/>
        <v>27</v>
      </c>
      <c r="G445" s="6" t="str">
        <f>IF(MINIFS(dynamic[orderDate], dynamic[customerID], B445) &gt;= DATE(2024,4,30)-120, 
     "New", 
     IF(MAXIFS(dynamic[orderCount], dynamic[customerID], B445)&lt;=2, 
        IF((DATE(2024,4,30) - MAXIFS(dynamic[orderDate], dynamic[customerID], B445)) &gt; 180, "Non-Returning", "Dormant"), 
        IF(AND(MAX(dynamic[sinceLastOrder]) &gt; 365, (DATE(2024,4,30) - MAXIFS(dynamic[orderDate], dynamic[customerID], B445)) &gt; 180), 
           "Dormant", "Regular")))</f>
        <v>Dormant</v>
      </c>
      <c r="H445" s="6">
        <v>33.0</v>
      </c>
      <c r="I445" s="9" t="str">
        <f>VLOOKUP(dynamic[productID],products[],2,FALSE)</f>
        <v>Geitost</v>
      </c>
      <c r="J445" s="9" t="str">
        <f>VLOOKUP(dynamic[productID],products[],12,FALSE)</f>
        <v>Dairy Products</v>
      </c>
      <c r="K445" s="7" t="str">
        <f>IF(VLOOKUP(dynamic[productID],products[],7,FALSE)=1,"Discontinued","Current")</f>
        <v>Current</v>
      </c>
      <c r="L445" s="9">
        <f>VLOOKUP(dynamic[productID],products[],IF(YEAR(dynamic[orderDate])=2022,8,IF(YEAR(dynamic[orderDate])=2023,9,IF(YEAR(dynamic[orderDate])=2024,10,NA))),FALSE)</f>
        <v>1.559072298</v>
      </c>
      <c r="M445" s="9">
        <v>2.0</v>
      </c>
      <c r="N445" s="25">
        <f>(dynamic[orderPrice]-dynamic[productCost])/dynamic[productCost]</f>
        <v>0.2828141472</v>
      </c>
      <c r="O445" s="10">
        <v>50.0</v>
      </c>
      <c r="P445" s="25">
        <v>0.0</v>
      </c>
      <c r="Q445" s="9">
        <f>dynamic[orderPrice]*dynamic[orderQuantity]</f>
        <v>100</v>
      </c>
      <c r="R445" s="9">
        <f>dynamic[orderTotal]*(1-dynamic[discountApllied])</f>
        <v>100</v>
      </c>
      <c r="S445" s="9">
        <f>dynamic[revenue]-(dynamic[productCost]*dynamic[orderQuantity])</f>
        <v>22.04638512</v>
      </c>
      <c r="T445" s="25">
        <f>IFERROR(dynamic[profit]/dynamic[revenue], 0)</f>
        <v>0.2204638512</v>
      </c>
    </row>
    <row r="446" ht="15.75" customHeight="1">
      <c r="A446" s="6">
        <v>10415.0</v>
      </c>
      <c r="B446" s="7" t="s">
        <v>79</v>
      </c>
      <c r="C446" s="24" t="str">
        <f>VLOOKUP(dynamic[customerID],customers[],2,FALSE)</f>
        <v>Hungry Coyote Import Store</v>
      </c>
      <c r="D446" s="24">
        <v>44941.0</v>
      </c>
      <c r="E446" s="6">
        <f>IFERROR(__xludf.DUMMYFUNCTION("COUNTUNIQUEIFS($A$2:$A446,$B$2:$B446,B446)"),3.0)</f>
        <v>3</v>
      </c>
      <c r="F446" s="6">
        <f t="shared" si="1"/>
        <v>21</v>
      </c>
      <c r="G446" s="6" t="str">
        <f>IF(MINIFS(dynamic[orderDate], dynamic[customerID], B446) &gt;= DATE(2024,4,30)-120, 
     "New", 
     IF(MAXIFS(dynamic[orderCount], dynamic[customerID], B446)&lt;=2, 
        IF((DATE(2024,4,30) - MAXIFS(dynamic[orderDate], dynamic[customerID], B446)) &gt; 180, "Non-Returning", "Dormant"), 
        IF(AND(MAX(dynamic[sinceLastOrder]) &gt; 365, (DATE(2024,4,30) - MAXIFS(dynamic[orderDate], dynamic[customerID], B446)) &gt; 180), 
           "Dormant", "Regular")))</f>
        <v>Dormant</v>
      </c>
      <c r="H446" s="6">
        <v>17.0</v>
      </c>
      <c r="I446" s="9" t="str">
        <f>VLOOKUP(dynamic[productID],products[],2,FALSE)</f>
        <v>Alice Mutton</v>
      </c>
      <c r="J446" s="9" t="str">
        <f>VLOOKUP(dynamic[productID],products[],12,FALSE)</f>
        <v>Meat/Poultry</v>
      </c>
      <c r="K446" s="7" t="str">
        <f>IF(VLOOKUP(dynamic[productID],products[],7,FALSE)=1,"Discontinued","Current")</f>
        <v>Discontinued</v>
      </c>
      <c r="L446" s="9">
        <f>VLOOKUP(dynamic[productID],products[],IF(YEAR(dynamic[orderDate])=2022,8,IF(YEAR(dynamic[orderDate])=2023,9,IF(YEAR(dynamic[orderDate])=2024,10,NA))),FALSE)</f>
        <v>24.83130504</v>
      </c>
      <c r="M446" s="9">
        <v>31.2</v>
      </c>
      <c r="N446" s="25">
        <f>(dynamic[orderPrice]-dynamic[productCost])/dynamic[productCost]</f>
        <v>0.2564784634</v>
      </c>
      <c r="O446" s="10">
        <v>2.0</v>
      </c>
      <c r="P446" s="25">
        <v>0.0</v>
      </c>
      <c r="Q446" s="9">
        <f>dynamic[orderPrice]*dynamic[orderQuantity]</f>
        <v>62.4</v>
      </c>
      <c r="R446" s="9">
        <f>dynamic[orderTotal]*(1-dynamic[discountApllied])</f>
        <v>62.4</v>
      </c>
      <c r="S446" s="9">
        <f>dynamic[revenue]-(dynamic[productCost]*dynamic[orderQuantity])</f>
        <v>12.73738992</v>
      </c>
      <c r="T446" s="25">
        <f>IFERROR(dynamic[profit]/dynamic[revenue], 0)</f>
        <v>0.2041248385</v>
      </c>
    </row>
    <row r="447" ht="15.75" customHeight="1">
      <c r="A447" s="6">
        <v>10415.0</v>
      </c>
      <c r="B447" s="7" t="s">
        <v>79</v>
      </c>
      <c r="C447" s="24" t="str">
        <f>VLOOKUP(dynamic[customerID],customers[],2,FALSE)</f>
        <v>Hungry Coyote Import Store</v>
      </c>
      <c r="D447" s="24">
        <v>44941.0</v>
      </c>
      <c r="E447" s="6">
        <f>IFERROR(__xludf.DUMMYFUNCTION("COUNTUNIQUEIFS($A$2:$A447,$B$2:$B447,B447)"),3.0)</f>
        <v>3</v>
      </c>
      <c r="F447" s="6">
        <f t="shared" si="1"/>
        <v>21</v>
      </c>
      <c r="G447" s="6" t="str">
        <f>IF(MINIFS(dynamic[orderDate], dynamic[customerID], B447) &gt;= DATE(2024,4,30)-120, 
     "New", 
     IF(MAXIFS(dynamic[orderCount], dynamic[customerID], B447)&lt;=2, 
        IF((DATE(2024,4,30) - MAXIFS(dynamic[orderDate], dynamic[customerID], B447)) &gt; 180, "Non-Returning", "Dormant"), 
        IF(AND(MAX(dynamic[sinceLastOrder]) &gt; 365, (DATE(2024,4,30) - MAXIFS(dynamic[orderDate], dynamic[customerID], B447)) &gt; 180), 
           "Dormant", "Regular")))</f>
        <v>Dormant</v>
      </c>
      <c r="H447" s="6">
        <v>33.0</v>
      </c>
      <c r="I447" s="9" t="str">
        <f>VLOOKUP(dynamic[productID],products[],2,FALSE)</f>
        <v>Geitost</v>
      </c>
      <c r="J447" s="9" t="str">
        <f>VLOOKUP(dynamic[productID],products[],12,FALSE)</f>
        <v>Dairy Products</v>
      </c>
      <c r="K447" s="7" t="str">
        <f>IF(VLOOKUP(dynamic[productID],products[],7,FALSE)=1,"Discontinued","Current")</f>
        <v>Current</v>
      </c>
      <c r="L447" s="9">
        <f>VLOOKUP(dynamic[productID],products[],IF(YEAR(dynamic[orderDate])=2022,8,IF(YEAR(dynamic[orderDate])=2023,9,IF(YEAR(dynamic[orderDate])=2024,10,NA))),FALSE)</f>
        <v>1.559072298</v>
      </c>
      <c r="M447" s="9">
        <v>2.0</v>
      </c>
      <c r="N447" s="25">
        <f>(dynamic[orderPrice]-dynamic[productCost])/dynamic[productCost]</f>
        <v>0.2828141472</v>
      </c>
      <c r="O447" s="10">
        <v>20.0</v>
      </c>
      <c r="P447" s="25">
        <v>0.0</v>
      </c>
      <c r="Q447" s="9">
        <f>dynamic[orderPrice]*dynamic[orderQuantity]</f>
        <v>40</v>
      </c>
      <c r="R447" s="9">
        <f>dynamic[orderTotal]*(1-dynamic[discountApllied])</f>
        <v>40</v>
      </c>
      <c r="S447" s="9">
        <f>dynamic[revenue]-(dynamic[productCost]*dynamic[orderQuantity])</f>
        <v>8.818554046</v>
      </c>
      <c r="T447" s="25">
        <f>IFERROR(dynamic[profit]/dynamic[revenue], 0)</f>
        <v>0.2204638512</v>
      </c>
    </row>
    <row r="448" ht="15.75" customHeight="1">
      <c r="A448" s="6">
        <v>10416.0</v>
      </c>
      <c r="B448" s="7" t="s">
        <v>31</v>
      </c>
      <c r="C448" s="24" t="str">
        <f>VLOOKUP(dynamic[customerID],customers[],2,FALSE)</f>
        <v>Wartian Herkku</v>
      </c>
      <c r="D448" s="24">
        <v>44942.0</v>
      </c>
      <c r="E448" s="6">
        <f>IFERROR(__xludf.DUMMYFUNCTION("COUNTUNIQUEIFS($A$2:$A448,$B$2:$B448,B448)"),6.0)</f>
        <v>6</v>
      </c>
      <c r="F448" s="6">
        <f t="shared" si="1"/>
        <v>3</v>
      </c>
      <c r="G448" s="6" t="str">
        <f>IF(MINIFS(dynamic[orderDate], dynamic[customerID], B448) &gt;= DATE(2024,4,30)-120, 
     "New", 
     IF(MAXIFS(dynamic[orderCount], dynamic[customerID], B448)&lt;=2, 
        IF((DATE(2024,4,30) - MAXIFS(dynamic[orderDate], dynamic[customerID], B448)) &gt; 180, "Non-Returning", "Dormant"), 
        IF(AND(MAX(dynamic[sinceLastOrder]) &gt; 365, (DATE(2024,4,30) - MAXIFS(dynamic[orderDate], dynamic[customerID], B448)) &gt; 180), 
           "Dormant", "Regular")))</f>
        <v>Regular</v>
      </c>
      <c r="H448" s="6">
        <v>19.0</v>
      </c>
      <c r="I448" s="9" t="str">
        <f>VLOOKUP(dynamic[productID],products[],2,FALSE)</f>
        <v>Teatime Chocolate Biscuits</v>
      </c>
      <c r="J448" s="9" t="str">
        <f>VLOOKUP(dynamic[productID],products[],12,FALSE)</f>
        <v>Confections</v>
      </c>
      <c r="K448" s="7" t="str">
        <f>IF(VLOOKUP(dynamic[productID],products[],7,FALSE)=1,"Discontinued","Current")</f>
        <v>Current</v>
      </c>
      <c r="L448" s="9">
        <f>VLOOKUP(dynamic[productID],products[],IF(YEAR(dynamic[orderDate])=2022,8,IF(YEAR(dynamic[orderDate])=2023,9,IF(YEAR(dynamic[orderDate])=2024,10,NA))),FALSE)</f>
        <v>5.901883682</v>
      </c>
      <c r="M448" s="9">
        <v>7.3</v>
      </c>
      <c r="N448" s="25">
        <f>(dynamic[orderPrice]-dynamic[productCost])/dynamic[productCost]</f>
        <v>0.2368932349</v>
      </c>
      <c r="O448" s="10">
        <v>20.0</v>
      </c>
      <c r="P448" s="25">
        <v>0.0</v>
      </c>
      <c r="Q448" s="9">
        <f>dynamic[orderPrice]*dynamic[orderQuantity]</f>
        <v>146</v>
      </c>
      <c r="R448" s="9">
        <f>dynamic[orderTotal]*(1-dynamic[discountApllied])</f>
        <v>146</v>
      </c>
      <c r="S448" s="9">
        <f>dynamic[revenue]-(dynamic[productCost]*dynamic[orderQuantity])</f>
        <v>27.96232635</v>
      </c>
      <c r="T448" s="25">
        <f>IFERROR(dynamic[profit]/dynamic[revenue], 0)</f>
        <v>0.1915227832</v>
      </c>
    </row>
    <row r="449" ht="15.75" customHeight="1">
      <c r="A449" s="6">
        <v>10416.0</v>
      </c>
      <c r="B449" s="7" t="s">
        <v>31</v>
      </c>
      <c r="C449" s="24" t="str">
        <f>VLOOKUP(dynamic[customerID],customers[],2,FALSE)</f>
        <v>Wartian Herkku</v>
      </c>
      <c r="D449" s="24">
        <v>44942.0</v>
      </c>
      <c r="E449" s="6">
        <f>IFERROR(__xludf.DUMMYFUNCTION("COUNTUNIQUEIFS($A$2:$A449,$B$2:$B449,B449)"),6.0)</f>
        <v>6</v>
      </c>
      <c r="F449" s="6">
        <f t="shared" si="1"/>
        <v>3</v>
      </c>
      <c r="G449" s="6" t="str">
        <f>IF(MINIFS(dynamic[orderDate], dynamic[customerID], B449) &gt;= DATE(2024,4,30)-120, 
     "New", 
     IF(MAXIFS(dynamic[orderCount], dynamic[customerID], B449)&lt;=2, 
        IF((DATE(2024,4,30) - MAXIFS(dynamic[orderDate], dynamic[customerID], B449)) &gt; 180, "Non-Returning", "Dormant"), 
        IF(AND(MAX(dynamic[sinceLastOrder]) &gt; 365, (DATE(2024,4,30) - MAXIFS(dynamic[orderDate], dynamic[customerID], B449)) &gt; 180), 
           "Dormant", "Regular")))</f>
        <v>Regular</v>
      </c>
      <c r="H449" s="6">
        <v>53.0</v>
      </c>
      <c r="I449" s="9" t="str">
        <f>VLOOKUP(dynamic[productID],products[],2,FALSE)</f>
        <v>Perth Pasties</v>
      </c>
      <c r="J449" s="9" t="str">
        <f>VLOOKUP(dynamic[productID],products[],12,FALSE)</f>
        <v>Meat/Poultry</v>
      </c>
      <c r="K449" s="7" t="str">
        <f>IF(VLOOKUP(dynamic[productID],products[],7,FALSE)=1,"Discontinued","Current")</f>
        <v>Discontinued</v>
      </c>
      <c r="L449" s="9">
        <f>VLOOKUP(dynamic[productID],products[],IF(YEAR(dynamic[orderDate])=2022,8,IF(YEAR(dynamic[orderDate])=2023,9,IF(YEAR(dynamic[orderDate])=2024,10,NA))),FALSE)</f>
        <v>21.81491556</v>
      </c>
      <c r="M449" s="9">
        <v>26.2</v>
      </c>
      <c r="N449" s="25">
        <f>(dynamic[orderPrice]-dynamic[productCost])/dynamic[productCost]</f>
        <v>0.2010131293</v>
      </c>
      <c r="O449" s="10">
        <v>10.0</v>
      </c>
      <c r="P449" s="25">
        <v>0.0</v>
      </c>
      <c r="Q449" s="9">
        <f>dynamic[orderPrice]*dynamic[orderQuantity]</f>
        <v>262</v>
      </c>
      <c r="R449" s="9">
        <f>dynamic[orderTotal]*(1-dynamic[discountApllied])</f>
        <v>262</v>
      </c>
      <c r="S449" s="9">
        <f>dynamic[revenue]-(dynamic[productCost]*dynamic[orderQuantity])</f>
        <v>43.85084441</v>
      </c>
      <c r="T449" s="25">
        <f>IFERROR(dynamic[profit]/dynamic[revenue], 0)</f>
        <v>0.1673696352</v>
      </c>
    </row>
    <row r="450" ht="15.75" customHeight="1">
      <c r="A450" s="6">
        <v>10416.0</v>
      </c>
      <c r="B450" s="7" t="s">
        <v>31</v>
      </c>
      <c r="C450" s="24" t="str">
        <f>VLOOKUP(dynamic[customerID],customers[],2,FALSE)</f>
        <v>Wartian Herkku</v>
      </c>
      <c r="D450" s="24">
        <v>44942.0</v>
      </c>
      <c r="E450" s="6">
        <f>IFERROR(__xludf.DUMMYFUNCTION("COUNTUNIQUEIFS($A$2:$A450,$B$2:$B450,B450)"),6.0)</f>
        <v>6</v>
      </c>
      <c r="F450" s="6">
        <f t="shared" si="1"/>
        <v>3</v>
      </c>
      <c r="G450" s="6" t="str">
        <f>IF(MINIFS(dynamic[orderDate], dynamic[customerID], B450) &gt;= DATE(2024,4,30)-120, 
     "New", 
     IF(MAXIFS(dynamic[orderCount], dynamic[customerID], B450)&lt;=2, 
        IF((DATE(2024,4,30) - MAXIFS(dynamic[orderDate], dynamic[customerID], B450)) &gt; 180, "Non-Returning", "Dormant"), 
        IF(AND(MAX(dynamic[sinceLastOrder]) &gt; 365, (DATE(2024,4,30) - MAXIFS(dynamic[orderDate], dynamic[customerID], B450)) &gt; 180), 
           "Dormant", "Regular")))</f>
        <v>Regular</v>
      </c>
      <c r="H450" s="6">
        <v>57.0</v>
      </c>
      <c r="I450" s="9" t="str">
        <f>VLOOKUP(dynamic[productID],products[],2,FALSE)</f>
        <v>Ravioli Angelo</v>
      </c>
      <c r="J450" s="9" t="str">
        <f>VLOOKUP(dynamic[productID],products[],12,FALSE)</f>
        <v>Grains/Cereals</v>
      </c>
      <c r="K450" s="7" t="str">
        <f>IF(VLOOKUP(dynamic[productID],products[],7,FALSE)=1,"Discontinued","Current")</f>
        <v>Current</v>
      </c>
      <c r="L450" s="9">
        <f>VLOOKUP(dynamic[productID],products[],IF(YEAR(dynamic[orderDate])=2022,8,IF(YEAR(dynamic[orderDate])=2023,9,IF(YEAR(dynamic[orderDate])=2024,10,NA))),FALSE)</f>
        <v>13.01870901</v>
      </c>
      <c r="M450" s="9">
        <v>15.6</v>
      </c>
      <c r="N450" s="25">
        <f>(dynamic[orderPrice]-dynamic[productCost])/dynamic[productCost]</f>
        <v>0.1982754965</v>
      </c>
      <c r="O450" s="10">
        <v>20.0</v>
      </c>
      <c r="P450" s="25">
        <v>0.0</v>
      </c>
      <c r="Q450" s="9">
        <f>dynamic[orderPrice]*dynamic[orderQuantity]</f>
        <v>312</v>
      </c>
      <c r="R450" s="9">
        <f>dynamic[orderTotal]*(1-dynamic[discountApllied])</f>
        <v>312</v>
      </c>
      <c r="S450" s="9">
        <f>dynamic[revenue]-(dynamic[productCost]*dynamic[orderQuantity])</f>
        <v>51.62581985</v>
      </c>
      <c r="T450" s="25">
        <f>IFERROR(dynamic[profit]/dynamic[revenue], 0)</f>
        <v>0.1654673713</v>
      </c>
    </row>
    <row r="451" ht="15.75" customHeight="1">
      <c r="A451" s="6">
        <v>10417.0</v>
      </c>
      <c r="B451" s="7" t="s">
        <v>66</v>
      </c>
      <c r="C451" s="24" t="str">
        <f>VLOOKUP(dynamic[customerID],customers[],2,FALSE)</f>
        <v>Simons bistro</v>
      </c>
      <c r="D451" s="24">
        <v>44942.0</v>
      </c>
      <c r="E451" s="6">
        <f>IFERROR(__xludf.DUMMYFUNCTION("COUNTUNIQUEIFS($A$2:$A451,$B$2:$B451,B451)"),2.0)</f>
        <v>2</v>
      </c>
      <c r="F451" s="6">
        <f t="shared" si="1"/>
        <v>79</v>
      </c>
      <c r="G451" s="6" t="str">
        <f>IF(MINIFS(dynamic[orderDate], dynamic[customerID], B451) &gt;= DATE(2024,4,30)-120, 
     "New", 
     IF(MAXIFS(dynamic[orderCount], dynamic[customerID], B451)&lt;=2, 
        IF((DATE(2024,4,30) - MAXIFS(dynamic[orderDate], dynamic[customerID], B451)) &gt; 180, "Non-Returning", "Dormant"), 
        IF(AND(MAX(dynamic[sinceLastOrder]) &gt; 365, (DATE(2024,4,30) - MAXIFS(dynamic[orderDate], dynamic[customerID], B451)) &gt; 180), 
           "Dormant", "Regular")))</f>
        <v>Regular</v>
      </c>
      <c r="H451" s="6">
        <v>38.0</v>
      </c>
      <c r="I451" s="9" t="str">
        <f>VLOOKUP(dynamic[productID],products[],2,FALSE)</f>
        <v>Côte de Blaye</v>
      </c>
      <c r="J451" s="9" t="str">
        <f>VLOOKUP(dynamic[productID],products[],12,FALSE)</f>
        <v>Beverages</v>
      </c>
      <c r="K451" s="7" t="str">
        <f>IF(VLOOKUP(dynamic[productID],products[],7,FALSE)=1,"Discontinued","Current")</f>
        <v>Current</v>
      </c>
      <c r="L451" s="9">
        <f>VLOOKUP(dynamic[productID],products[],IF(YEAR(dynamic[orderDate])=2022,8,IF(YEAR(dynamic[orderDate])=2023,9,IF(YEAR(dynamic[orderDate])=2024,10,NA))),FALSE)</f>
        <v>175.9515711</v>
      </c>
      <c r="M451" s="9">
        <v>210.8</v>
      </c>
      <c r="N451" s="25">
        <f>(dynamic[orderPrice]-dynamic[productCost])/dynamic[productCost]</f>
        <v>0.1980569351</v>
      </c>
      <c r="O451" s="10">
        <v>50.0</v>
      </c>
      <c r="P451" s="25">
        <v>0.0</v>
      </c>
      <c r="Q451" s="9">
        <f>dynamic[orderPrice]*dynamic[orderQuantity]</f>
        <v>10540</v>
      </c>
      <c r="R451" s="9">
        <f>dynamic[orderTotal]*(1-dynamic[discountApllied])</f>
        <v>10540</v>
      </c>
      <c r="S451" s="9">
        <f>dynamic[revenue]-(dynamic[productCost]*dynamic[orderQuantity])</f>
        <v>1742.421445</v>
      </c>
      <c r="T451" s="25">
        <f>IFERROR(dynamic[profit]/dynamic[revenue], 0)</f>
        <v>0.1653151276</v>
      </c>
    </row>
    <row r="452" ht="15.75" customHeight="1">
      <c r="A452" s="6">
        <v>10417.0</v>
      </c>
      <c r="B452" s="7" t="s">
        <v>66</v>
      </c>
      <c r="C452" s="24" t="str">
        <f>VLOOKUP(dynamic[customerID],customers[],2,FALSE)</f>
        <v>Simons bistro</v>
      </c>
      <c r="D452" s="24">
        <v>44942.0</v>
      </c>
      <c r="E452" s="6">
        <f>IFERROR(__xludf.DUMMYFUNCTION("COUNTUNIQUEIFS($A$2:$A452,$B$2:$B452,B452)"),2.0)</f>
        <v>2</v>
      </c>
      <c r="F452" s="6">
        <f t="shared" si="1"/>
        <v>79</v>
      </c>
      <c r="G452" s="6" t="str">
        <f>IF(MINIFS(dynamic[orderDate], dynamic[customerID], B452) &gt;= DATE(2024,4,30)-120, 
     "New", 
     IF(MAXIFS(dynamic[orderCount], dynamic[customerID], B452)&lt;=2, 
        IF((DATE(2024,4,30) - MAXIFS(dynamic[orderDate], dynamic[customerID], B452)) &gt; 180, "Non-Returning", "Dormant"), 
        IF(AND(MAX(dynamic[sinceLastOrder]) &gt; 365, (DATE(2024,4,30) - MAXIFS(dynamic[orderDate], dynamic[customerID], B452)) &gt; 180), 
           "Dormant", "Regular")))</f>
        <v>Regular</v>
      </c>
      <c r="H452" s="6">
        <v>46.0</v>
      </c>
      <c r="I452" s="9" t="str">
        <f>VLOOKUP(dynamic[productID],products[],2,FALSE)</f>
        <v>Spegesild</v>
      </c>
      <c r="J452" s="9" t="str">
        <f>VLOOKUP(dynamic[productID],products[],12,FALSE)</f>
        <v>Seafood</v>
      </c>
      <c r="K452" s="7" t="str">
        <f>IF(VLOOKUP(dynamic[productID],products[],7,FALSE)=1,"Discontinued","Current")</f>
        <v>Current</v>
      </c>
      <c r="L452" s="9">
        <f>VLOOKUP(dynamic[productID],products[],IF(YEAR(dynamic[orderDate])=2022,8,IF(YEAR(dynamic[orderDate])=2023,9,IF(YEAR(dynamic[orderDate])=2024,10,NA))),FALSE)</f>
        <v>7.087990753</v>
      </c>
      <c r="M452" s="9">
        <v>9.6</v>
      </c>
      <c r="N452" s="25">
        <f>(dynamic[orderPrice]-dynamic[productCost])/dynamic[productCost]</f>
        <v>0.3544035728</v>
      </c>
      <c r="O452" s="10">
        <v>2.0</v>
      </c>
      <c r="P452" s="25">
        <v>0.25</v>
      </c>
      <c r="Q452" s="9">
        <f>dynamic[orderPrice]*dynamic[orderQuantity]</f>
        <v>19.2</v>
      </c>
      <c r="R452" s="9">
        <f>dynamic[orderTotal]*(1-dynamic[discountApllied])</f>
        <v>14.4</v>
      </c>
      <c r="S452" s="9">
        <f>dynamic[revenue]-(dynamic[productCost]*dynamic[orderQuantity])</f>
        <v>0.2240184936</v>
      </c>
      <c r="T452" s="25">
        <f>IFERROR(dynamic[profit]/dynamic[revenue], 0)</f>
        <v>0.01555683983</v>
      </c>
    </row>
    <row r="453" ht="15.75" customHeight="1">
      <c r="A453" s="6">
        <v>10417.0</v>
      </c>
      <c r="B453" s="7" t="s">
        <v>66</v>
      </c>
      <c r="C453" s="24" t="str">
        <f>VLOOKUP(dynamic[customerID],customers[],2,FALSE)</f>
        <v>Simons bistro</v>
      </c>
      <c r="D453" s="24">
        <v>44942.0</v>
      </c>
      <c r="E453" s="6">
        <f>IFERROR(__xludf.DUMMYFUNCTION("COUNTUNIQUEIFS($A$2:$A453,$B$2:$B453,B453)"),2.0)</f>
        <v>2</v>
      </c>
      <c r="F453" s="6">
        <f t="shared" si="1"/>
        <v>79</v>
      </c>
      <c r="G453" s="6" t="str">
        <f>IF(MINIFS(dynamic[orderDate], dynamic[customerID], B453) &gt;= DATE(2024,4,30)-120, 
     "New", 
     IF(MAXIFS(dynamic[orderCount], dynamic[customerID], B453)&lt;=2, 
        IF((DATE(2024,4,30) - MAXIFS(dynamic[orderDate], dynamic[customerID], B453)) &gt; 180, "Non-Returning", "Dormant"), 
        IF(AND(MAX(dynamic[sinceLastOrder]) &gt; 365, (DATE(2024,4,30) - MAXIFS(dynamic[orderDate], dynamic[customerID], B453)) &gt; 180), 
           "Dormant", "Regular")))</f>
        <v>Regular</v>
      </c>
      <c r="H453" s="6">
        <v>68.0</v>
      </c>
      <c r="I453" s="9" t="str">
        <f>VLOOKUP(dynamic[productID],products[],2,FALSE)</f>
        <v>Scottish Longbreads</v>
      </c>
      <c r="J453" s="9" t="str">
        <f>VLOOKUP(dynamic[productID],products[],12,FALSE)</f>
        <v>Confections</v>
      </c>
      <c r="K453" s="7" t="str">
        <f>IF(VLOOKUP(dynamic[productID],products[],7,FALSE)=1,"Discontinued","Current")</f>
        <v>Current</v>
      </c>
      <c r="L453" s="9">
        <f>VLOOKUP(dynamic[productID],products[],IF(YEAR(dynamic[orderDate])=2022,8,IF(YEAR(dynamic[orderDate])=2023,9,IF(YEAR(dynamic[orderDate])=2024,10,NA))),FALSE)</f>
        <v>8.500000387</v>
      </c>
      <c r="M453" s="9">
        <v>10.0</v>
      </c>
      <c r="N453" s="25">
        <f>(dynamic[orderPrice]-dynamic[productCost])/dynamic[productCost]</f>
        <v>0.1764705347</v>
      </c>
      <c r="O453" s="10">
        <v>36.0</v>
      </c>
      <c r="P453" s="25">
        <v>0.25</v>
      </c>
      <c r="Q453" s="9">
        <f>dynamic[orderPrice]*dynamic[orderQuantity]</f>
        <v>360</v>
      </c>
      <c r="R453" s="9">
        <f>dynamic[orderTotal]*(1-dynamic[discountApllied])</f>
        <v>270</v>
      </c>
      <c r="S453" s="9">
        <f>dynamic[revenue]-(dynamic[productCost]*dynamic[orderQuantity])</f>
        <v>-36.00001392</v>
      </c>
      <c r="T453" s="25">
        <f>IFERROR(dynamic[profit]/dynamic[revenue], 0)</f>
        <v>-0.1333333849</v>
      </c>
    </row>
    <row r="454" ht="15.75" customHeight="1">
      <c r="A454" s="6">
        <v>10417.0</v>
      </c>
      <c r="B454" s="7" t="s">
        <v>66</v>
      </c>
      <c r="C454" s="24" t="str">
        <f>VLOOKUP(dynamic[customerID],customers[],2,FALSE)</f>
        <v>Simons bistro</v>
      </c>
      <c r="D454" s="24">
        <v>44942.0</v>
      </c>
      <c r="E454" s="6">
        <f>IFERROR(__xludf.DUMMYFUNCTION("COUNTUNIQUEIFS($A$2:$A454,$B$2:$B454,B454)"),2.0)</f>
        <v>2</v>
      </c>
      <c r="F454" s="6">
        <f t="shared" si="1"/>
        <v>79</v>
      </c>
      <c r="G454" s="6" t="str">
        <f>IF(MINIFS(dynamic[orderDate], dynamic[customerID], B454) &gt;= DATE(2024,4,30)-120, 
     "New", 
     IF(MAXIFS(dynamic[orderCount], dynamic[customerID], B454)&lt;=2, 
        IF((DATE(2024,4,30) - MAXIFS(dynamic[orderDate], dynamic[customerID], B454)) &gt; 180, "Non-Returning", "Dormant"), 
        IF(AND(MAX(dynamic[sinceLastOrder]) &gt; 365, (DATE(2024,4,30) - MAXIFS(dynamic[orderDate], dynamic[customerID], B454)) &gt; 180), 
           "Dormant", "Regular")))</f>
        <v>Regular</v>
      </c>
      <c r="H454" s="6">
        <v>77.0</v>
      </c>
      <c r="I454" s="9" t="str">
        <f>VLOOKUP(dynamic[productID],products[],2,FALSE)</f>
        <v>Original Frankfurter grüne Soße</v>
      </c>
      <c r="J454" s="9" t="str">
        <f>VLOOKUP(dynamic[productID],products[],12,FALSE)</f>
        <v>Condiments</v>
      </c>
      <c r="K454" s="7" t="str">
        <f>IF(VLOOKUP(dynamic[productID],products[],7,FALSE)=1,"Discontinued","Current")</f>
        <v>Current</v>
      </c>
      <c r="L454" s="9">
        <f>VLOOKUP(dynamic[productID],products[],IF(YEAR(dynamic[orderDate])=2022,8,IF(YEAR(dynamic[orderDate])=2023,9,IF(YEAR(dynamic[orderDate])=2024,10,NA))),FALSE)</f>
        <v>7.539056452</v>
      </c>
      <c r="M454" s="9">
        <v>10.4</v>
      </c>
      <c r="N454" s="25">
        <f>(dynamic[orderPrice]-dynamic[productCost])/dynamic[productCost]</f>
        <v>0.3794829719</v>
      </c>
      <c r="O454" s="10">
        <v>35.0</v>
      </c>
      <c r="P454" s="25">
        <v>0.0</v>
      </c>
      <c r="Q454" s="9">
        <f>dynamic[orderPrice]*dynamic[orderQuantity]</f>
        <v>364</v>
      </c>
      <c r="R454" s="9">
        <f>dynamic[orderTotal]*(1-dynamic[discountApllied])</f>
        <v>364</v>
      </c>
      <c r="S454" s="9">
        <f>dynamic[revenue]-(dynamic[productCost]*dynamic[orderQuantity])</f>
        <v>100.1330242</v>
      </c>
      <c r="T454" s="25">
        <f>IFERROR(dynamic[profit]/dynamic[revenue], 0)</f>
        <v>0.2750907258</v>
      </c>
    </row>
    <row r="455" ht="15.75" customHeight="1">
      <c r="A455" s="6">
        <v>10418.0</v>
      </c>
      <c r="B455" s="7" t="s">
        <v>36</v>
      </c>
      <c r="C455" s="24" t="str">
        <f>VLOOKUP(dynamic[customerID],customers[],2,FALSE)</f>
        <v>QUICK-Stop</v>
      </c>
      <c r="D455" s="24">
        <v>44943.0</v>
      </c>
      <c r="E455" s="6">
        <f>IFERROR(__xludf.DUMMYFUNCTION("COUNTUNIQUEIFS($A$2:$A455,$B$2:$B455,B455)"),7.0)</f>
        <v>7</v>
      </c>
      <c r="F455" s="6">
        <f t="shared" si="1"/>
        <v>56</v>
      </c>
      <c r="G455" s="6" t="str">
        <f>IF(MINIFS(dynamic[orderDate], dynamic[customerID], B455) &gt;= DATE(2024,4,30)-120, 
     "New", 
     IF(MAXIFS(dynamic[orderCount], dynamic[customerID], B455)&lt;=2, 
        IF((DATE(2024,4,30) - MAXIFS(dynamic[orderDate], dynamic[customerID], B455)) &gt; 180, "Non-Returning", "Dormant"), 
        IF(AND(MAX(dynamic[sinceLastOrder]) &gt; 365, (DATE(2024,4,30) - MAXIFS(dynamic[orderDate], dynamic[customerID], B455)) &gt; 180), 
           "Dormant", "Regular")))</f>
        <v>Regular</v>
      </c>
      <c r="H455" s="6">
        <v>2.0</v>
      </c>
      <c r="I455" s="9" t="str">
        <f>VLOOKUP(dynamic[productID],products[],2,FALSE)</f>
        <v>Chang</v>
      </c>
      <c r="J455" s="9" t="str">
        <f>VLOOKUP(dynamic[productID],products[],12,FALSE)</f>
        <v>Beverages</v>
      </c>
      <c r="K455" s="7" t="str">
        <f>IF(VLOOKUP(dynamic[productID],products[],7,FALSE)=1,"Discontinued","Current")</f>
        <v>Current</v>
      </c>
      <c r="L455" s="9">
        <f>VLOOKUP(dynamic[productID],products[],IF(YEAR(dynamic[orderDate])=2022,8,IF(YEAR(dynamic[orderDate])=2023,9,IF(YEAR(dynamic[orderDate])=2024,10,NA))),FALSE)</f>
        <v>12.14626904</v>
      </c>
      <c r="M455" s="9">
        <v>15.2</v>
      </c>
      <c r="N455" s="25">
        <f>(dynamic[orderPrice]-dynamic[productCost])/dynamic[productCost]</f>
        <v>0.2514130837</v>
      </c>
      <c r="O455" s="10">
        <v>60.0</v>
      </c>
      <c r="P455" s="25">
        <v>0.0</v>
      </c>
      <c r="Q455" s="9">
        <f>dynamic[orderPrice]*dynamic[orderQuantity]</f>
        <v>912</v>
      </c>
      <c r="R455" s="9">
        <f>dynamic[orderTotal]*(1-dynamic[discountApllied])</f>
        <v>912</v>
      </c>
      <c r="S455" s="9">
        <f>dynamic[revenue]-(dynamic[productCost]*dynamic[orderQuantity])</f>
        <v>183.2238574</v>
      </c>
      <c r="T455" s="25">
        <f>IFERROR(dynamic[profit]/dynamic[revenue], 0)</f>
        <v>0.2009033524</v>
      </c>
    </row>
    <row r="456" ht="15.75" customHeight="1">
      <c r="A456" s="6">
        <v>10418.0</v>
      </c>
      <c r="B456" s="7" t="s">
        <v>36</v>
      </c>
      <c r="C456" s="24" t="str">
        <f>VLOOKUP(dynamic[customerID],customers[],2,FALSE)</f>
        <v>QUICK-Stop</v>
      </c>
      <c r="D456" s="24">
        <v>44943.0</v>
      </c>
      <c r="E456" s="6">
        <f>IFERROR(__xludf.DUMMYFUNCTION("COUNTUNIQUEIFS($A$2:$A456,$B$2:$B456,B456)"),7.0)</f>
        <v>7</v>
      </c>
      <c r="F456" s="6">
        <f t="shared" si="1"/>
        <v>56</v>
      </c>
      <c r="G456" s="6" t="str">
        <f>IF(MINIFS(dynamic[orderDate], dynamic[customerID], B456) &gt;= DATE(2024,4,30)-120, 
     "New", 
     IF(MAXIFS(dynamic[orderCount], dynamic[customerID], B456)&lt;=2, 
        IF((DATE(2024,4,30) - MAXIFS(dynamic[orderDate], dynamic[customerID], B456)) &gt; 180, "Non-Returning", "Dormant"), 
        IF(AND(MAX(dynamic[sinceLastOrder]) &gt; 365, (DATE(2024,4,30) - MAXIFS(dynamic[orderDate], dynamic[customerID], B456)) &gt; 180), 
           "Dormant", "Regular")))</f>
        <v>Regular</v>
      </c>
      <c r="H456" s="6">
        <v>47.0</v>
      </c>
      <c r="I456" s="9" t="str">
        <f>VLOOKUP(dynamic[productID],products[],2,FALSE)</f>
        <v>Zaanse koeken</v>
      </c>
      <c r="J456" s="9" t="str">
        <f>VLOOKUP(dynamic[productID],products[],12,FALSE)</f>
        <v>Confections</v>
      </c>
      <c r="K456" s="7" t="str">
        <f>IF(VLOOKUP(dynamic[productID],products[],7,FALSE)=1,"Discontinued","Current")</f>
        <v>Current</v>
      </c>
      <c r="L456" s="9">
        <f>VLOOKUP(dynamic[productID],products[],IF(YEAR(dynamic[orderDate])=2022,8,IF(YEAR(dynamic[orderDate])=2023,9,IF(YEAR(dynamic[orderDate])=2024,10,NA))),FALSE)</f>
        <v>6.57708833</v>
      </c>
      <c r="M456" s="9">
        <v>7.6</v>
      </c>
      <c r="N456" s="25">
        <f>(dynamic[orderPrice]-dynamic[productCost])/dynamic[productCost]</f>
        <v>0.1555265215</v>
      </c>
      <c r="O456" s="10">
        <v>55.0</v>
      </c>
      <c r="P456" s="25">
        <v>0.0</v>
      </c>
      <c r="Q456" s="9">
        <f>dynamic[orderPrice]*dynamic[orderQuantity]</f>
        <v>418</v>
      </c>
      <c r="R456" s="9">
        <f>dynamic[orderTotal]*(1-dynamic[discountApllied])</f>
        <v>418</v>
      </c>
      <c r="S456" s="9">
        <f>dynamic[revenue]-(dynamic[productCost]*dynamic[orderQuantity])</f>
        <v>56.26014183</v>
      </c>
      <c r="T456" s="25">
        <f>IFERROR(dynamic[profit]/dynamic[revenue], 0)</f>
        <v>0.1345936407</v>
      </c>
    </row>
    <row r="457" ht="15.75" customHeight="1">
      <c r="A457" s="6">
        <v>10418.0</v>
      </c>
      <c r="B457" s="7" t="s">
        <v>36</v>
      </c>
      <c r="C457" s="24" t="str">
        <f>VLOOKUP(dynamic[customerID],customers[],2,FALSE)</f>
        <v>QUICK-Stop</v>
      </c>
      <c r="D457" s="24">
        <v>44943.0</v>
      </c>
      <c r="E457" s="6">
        <f>IFERROR(__xludf.DUMMYFUNCTION("COUNTUNIQUEIFS($A$2:$A457,$B$2:$B457,B457)"),7.0)</f>
        <v>7</v>
      </c>
      <c r="F457" s="6">
        <f t="shared" si="1"/>
        <v>56</v>
      </c>
      <c r="G457" s="6" t="str">
        <f>IF(MINIFS(dynamic[orderDate], dynamic[customerID], B457) &gt;= DATE(2024,4,30)-120, 
     "New", 
     IF(MAXIFS(dynamic[orderCount], dynamic[customerID], B457)&lt;=2, 
        IF((DATE(2024,4,30) - MAXIFS(dynamic[orderDate], dynamic[customerID], B457)) &gt; 180, "Non-Returning", "Dormant"), 
        IF(AND(MAX(dynamic[sinceLastOrder]) &gt; 365, (DATE(2024,4,30) - MAXIFS(dynamic[orderDate], dynamic[customerID], B457)) &gt; 180), 
           "Dormant", "Regular")))</f>
        <v>Regular</v>
      </c>
      <c r="H457" s="6">
        <v>61.0</v>
      </c>
      <c r="I457" s="9" t="str">
        <f>VLOOKUP(dynamic[productID],products[],2,FALSE)</f>
        <v>Sirop d'érable</v>
      </c>
      <c r="J457" s="9" t="str">
        <f>VLOOKUP(dynamic[productID],products[],12,FALSE)</f>
        <v>Condiments</v>
      </c>
      <c r="K457" s="7" t="str">
        <f>IF(VLOOKUP(dynamic[productID],products[],7,FALSE)=1,"Discontinued","Current")</f>
        <v>Current</v>
      </c>
      <c r="L457" s="9">
        <f>VLOOKUP(dynamic[productID],products[],IF(YEAR(dynamic[orderDate])=2022,8,IF(YEAR(dynamic[orderDate])=2023,9,IF(YEAR(dynamic[orderDate])=2024,10,NA))),FALSE)</f>
        <v>17.19945448</v>
      </c>
      <c r="M457" s="9">
        <v>22.8</v>
      </c>
      <c r="N457" s="25">
        <f>(dynamic[orderPrice]-dynamic[productCost])/dynamic[productCost]</f>
        <v>0.3256234389</v>
      </c>
      <c r="O457" s="10">
        <v>16.0</v>
      </c>
      <c r="P457" s="25">
        <v>0.0</v>
      </c>
      <c r="Q457" s="9">
        <f>dynamic[orderPrice]*dynamic[orderQuantity]</f>
        <v>364.8</v>
      </c>
      <c r="R457" s="9">
        <f>dynamic[orderTotal]*(1-dynamic[discountApllied])</f>
        <v>364.8</v>
      </c>
      <c r="S457" s="9">
        <f>dynamic[revenue]-(dynamic[productCost]*dynamic[orderQuantity])</f>
        <v>89.60872826</v>
      </c>
      <c r="T457" s="25">
        <f>IFERROR(dynamic[profit]/dynamic[revenue], 0)</f>
        <v>0.2456379612</v>
      </c>
    </row>
    <row r="458" ht="15.75" customHeight="1">
      <c r="A458" s="6">
        <v>10418.0</v>
      </c>
      <c r="B458" s="7" t="s">
        <v>36</v>
      </c>
      <c r="C458" s="24" t="str">
        <f>VLOOKUP(dynamic[customerID],customers[],2,FALSE)</f>
        <v>QUICK-Stop</v>
      </c>
      <c r="D458" s="24">
        <v>44943.0</v>
      </c>
      <c r="E458" s="6">
        <f>IFERROR(__xludf.DUMMYFUNCTION("COUNTUNIQUEIFS($A$2:$A458,$B$2:$B458,B458)"),7.0)</f>
        <v>7</v>
      </c>
      <c r="F458" s="6">
        <f t="shared" si="1"/>
        <v>56</v>
      </c>
      <c r="G458" s="6" t="str">
        <f>IF(MINIFS(dynamic[orderDate], dynamic[customerID], B458) &gt;= DATE(2024,4,30)-120, 
     "New", 
     IF(MAXIFS(dynamic[orderCount], dynamic[customerID], B458)&lt;=2, 
        IF((DATE(2024,4,30) - MAXIFS(dynamic[orderDate], dynamic[customerID], B458)) &gt; 180, "Non-Returning", "Dormant"), 
        IF(AND(MAX(dynamic[sinceLastOrder]) &gt; 365, (DATE(2024,4,30) - MAXIFS(dynamic[orderDate], dynamic[customerID], B458)) &gt; 180), 
           "Dormant", "Regular")))</f>
        <v>Regular</v>
      </c>
      <c r="H458" s="6">
        <v>74.0</v>
      </c>
      <c r="I458" s="9" t="str">
        <f>VLOOKUP(dynamic[productID],products[],2,FALSE)</f>
        <v>Longlife Tofu</v>
      </c>
      <c r="J458" s="9" t="str">
        <f>VLOOKUP(dynamic[productID],products[],12,FALSE)</f>
        <v>Produce</v>
      </c>
      <c r="K458" s="7" t="str">
        <f>IF(VLOOKUP(dynamic[productID],products[],7,FALSE)=1,"Discontinued","Current")</f>
        <v>Current</v>
      </c>
      <c r="L458" s="9">
        <f>VLOOKUP(dynamic[productID],products[],IF(YEAR(dynamic[orderDate])=2022,8,IF(YEAR(dynamic[orderDate])=2023,9,IF(YEAR(dynamic[orderDate])=2024,10,NA))),FALSE)</f>
        <v>6.510240467</v>
      </c>
      <c r="M458" s="9">
        <v>8.0</v>
      </c>
      <c r="N458" s="25">
        <f>(dynamic[orderPrice]-dynamic[productCost])/dynamic[productCost]</f>
        <v>0.2288332575</v>
      </c>
      <c r="O458" s="10">
        <v>15.0</v>
      </c>
      <c r="P458" s="25">
        <v>0.0</v>
      </c>
      <c r="Q458" s="9">
        <f>dynamic[orderPrice]*dynamic[orderQuantity]</f>
        <v>120</v>
      </c>
      <c r="R458" s="9">
        <f>dynamic[orderTotal]*(1-dynamic[discountApllied])</f>
        <v>120</v>
      </c>
      <c r="S458" s="9">
        <f>dynamic[revenue]-(dynamic[productCost]*dynamic[orderQuantity])</f>
        <v>22.346393</v>
      </c>
      <c r="T458" s="25">
        <f>IFERROR(dynamic[profit]/dynamic[revenue], 0)</f>
        <v>0.1862199417</v>
      </c>
    </row>
    <row r="459" ht="15.75" customHeight="1">
      <c r="A459" s="6">
        <v>10419.0</v>
      </c>
      <c r="B459" s="7" t="s">
        <v>21</v>
      </c>
      <c r="C459" s="24" t="str">
        <f>VLOOKUP(dynamic[customerID],customers[],2,FALSE)</f>
        <v>Richter Supermarkt</v>
      </c>
      <c r="D459" s="24">
        <v>44946.0</v>
      </c>
      <c r="E459" s="6">
        <f>IFERROR(__xludf.DUMMYFUNCTION("COUNTUNIQUEIFS($A$2:$A459,$B$2:$B459,B459)"),2.0)</f>
        <v>2</v>
      </c>
      <c r="F459" s="6">
        <f t="shared" si="1"/>
        <v>192</v>
      </c>
      <c r="G459" s="6" t="str">
        <f>IF(MINIFS(dynamic[orderDate], dynamic[customerID], B459) &gt;= DATE(2024,4,30)-120, 
     "New", 
     IF(MAXIFS(dynamic[orderCount], dynamic[customerID], B459)&lt;=2, 
        IF((DATE(2024,4,30) - MAXIFS(dynamic[orderDate], dynamic[customerID], B459)) &gt; 180, "Non-Returning", "Dormant"), 
        IF(AND(MAX(dynamic[sinceLastOrder]) &gt; 365, (DATE(2024,4,30) - MAXIFS(dynamic[orderDate], dynamic[customerID], B459)) &gt; 180), 
           "Dormant", "Regular")))</f>
        <v>Regular</v>
      </c>
      <c r="H459" s="6">
        <v>60.0</v>
      </c>
      <c r="I459" s="9" t="str">
        <f>VLOOKUP(dynamic[productID],products[],2,FALSE)</f>
        <v>Camembert Pierrot</v>
      </c>
      <c r="J459" s="9" t="str">
        <f>VLOOKUP(dynamic[productID],products[],12,FALSE)</f>
        <v>Dairy Products</v>
      </c>
      <c r="K459" s="7" t="str">
        <f>IF(VLOOKUP(dynamic[productID],products[],7,FALSE)=1,"Discontinued","Current")</f>
        <v>Current</v>
      </c>
      <c r="L459" s="9">
        <f>VLOOKUP(dynamic[productID],products[],IF(YEAR(dynamic[orderDate])=2022,8,IF(YEAR(dynamic[orderDate])=2023,9,IF(YEAR(dynamic[orderDate])=2024,10,NA))),FALSE)</f>
        <v>22.77098295</v>
      </c>
      <c r="M459" s="9">
        <v>27.2</v>
      </c>
      <c r="N459" s="25">
        <f>(dynamic[orderPrice]-dynamic[productCost])/dynamic[productCost]</f>
        <v>0.1945026732</v>
      </c>
      <c r="O459" s="10">
        <v>60.0</v>
      </c>
      <c r="P459" s="25">
        <v>0.05</v>
      </c>
      <c r="Q459" s="9">
        <f>dynamic[orderPrice]*dynamic[orderQuantity]</f>
        <v>1632</v>
      </c>
      <c r="R459" s="9">
        <f>dynamic[orderTotal]*(1-dynamic[discountApllied])</f>
        <v>1550.4</v>
      </c>
      <c r="S459" s="9">
        <f>dynamic[revenue]-(dynamic[productCost]*dynamic[orderQuantity])</f>
        <v>184.1410232</v>
      </c>
      <c r="T459" s="25">
        <f>IFERROR(dynamic[profit]/dynamic[revenue], 0)</f>
        <v>0.1187700098</v>
      </c>
    </row>
    <row r="460" ht="15.75" customHeight="1">
      <c r="A460" s="6">
        <v>10419.0</v>
      </c>
      <c r="B460" s="7" t="s">
        <v>21</v>
      </c>
      <c r="C460" s="24" t="str">
        <f>VLOOKUP(dynamic[customerID],customers[],2,FALSE)</f>
        <v>Richter Supermarkt</v>
      </c>
      <c r="D460" s="24">
        <v>44946.0</v>
      </c>
      <c r="E460" s="6">
        <f>IFERROR(__xludf.DUMMYFUNCTION("COUNTUNIQUEIFS($A$2:$A460,$B$2:$B460,B460)"),2.0)</f>
        <v>2</v>
      </c>
      <c r="F460" s="6">
        <f t="shared" si="1"/>
        <v>192</v>
      </c>
      <c r="G460" s="6" t="str">
        <f>IF(MINIFS(dynamic[orderDate], dynamic[customerID], B460) &gt;= DATE(2024,4,30)-120, 
     "New", 
     IF(MAXIFS(dynamic[orderCount], dynamic[customerID], B460)&lt;=2, 
        IF((DATE(2024,4,30) - MAXIFS(dynamic[orderDate], dynamic[customerID], B460)) &gt; 180, "Non-Returning", "Dormant"), 
        IF(AND(MAX(dynamic[sinceLastOrder]) &gt; 365, (DATE(2024,4,30) - MAXIFS(dynamic[orderDate], dynamic[customerID], B460)) &gt; 180), 
           "Dormant", "Regular")))</f>
        <v>Regular</v>
      </c>
      <c r="H460" s="6">
        <v>69.0</v>
      </c>
      <c r="I460" s="9" t="str">
        <f>VLOOKUP(dynamic[productID],products[],2,FALSE)</f>
        <v>Gudbrandsdalsost</v>
      </c>
      <c r="J460" s="9" t="str">
        <f>VLOOKUP(dynamic[productID],products[],12,FALSE)</f>
        <v>Dairy Products</v>
      </c>
      <c r="K460" s="7" t="str">
        <f>IF(VLOOKUP(dynamic[productID],products[],7,FALSE)=1,"Discontinued","Current")</f>
        <v>Current</v>
      </c>
      <c r="L460" s="9">
        <f>VLOOKUP(dynamic[productID],products[],IF(YEAR(dynamic[orderDate])=2022,8,IF(YEAR(dynamic[orderDate])=2023,9,IF(YEAR(dynamic[orderDate])=2024,10,NA))),FALSE)</f>
        <v>21.82428612</v>
      </c>
      <c r="M460" s="9">
        <v>28.8</v>
      </c>
      <c r="N460" s="25">
        <f>(dynamic[orderPrice]-dynamic[productCost])/dynamic[productCost]</f>
        <v>0.3196307933</v>
      </c>
      <c r="O460" s="10">
        <v>20.0</v>
      </c>
      <c r="P460" s="25">
        <v>0.05</v>
      </c>
      <c r="Q460" s="9">
        <f>dynamic[orderPrice]*dynamic[orderQuantity]</f>
        <v>576</v>
      </c>
      <c r="R460" s="9">
        <f>dynamic[orderTotal]*(1-dynamic[discountApllied])</f>
        <v>547.2</v>
      </c>
      <c r="S460" s="9">
        <f>dynamic[revenue]-(dynamic[productCost]*dynamic[orderQuantity])</f>
        <v>110.7142777</v>
      </c>
      <c r="T460" s="25">
        <f>IFERROR(dynamic[profit]/dynamic[revenue], 0)</f>
        <v>0.2023287238</v>
      </c>
    </row>
    <row r="461" ht="15.75" customHeight="1">
      <c r="A461" s="6">
        <v>10420.0</v>
      </c>
      <c r="B461" s="7" t="s">
        <v>22</v>
      </c>
      <c r="C461" s="24" t="str">
        <f>VLOOKUP(dynamic[customerID],customers[],2,FALSE)</f>
        <v>Wellington Importadora</v>
      </c>
      <c r="D461" s="24">
        <v>44947.0</v>
      </c>
      <c r="E461" s="6">
        <f>IFERROR(__xludf.DUMMYFUNCTION("COUNTUNIQUEIFS($A$2:$A461,$B$2:$B461,B461)"),2.0)</f>
        <v>2</v>
      </c>
      <c r="F461" s="6">
        <f t="shared" si="1"/>
        <v>190</v>
      </c>
      <c r="G461" s="6" t="str">
        <f>IF(MINIFS(dynamic[orderDate], dynamic[customerID], B461) &gt;= DATE(2024,4,30)-120, 
     "New", 
     IF(MAXIFS(dynamic[orderCount], dynamic[customerID], B461)&lt;=2, 
        IF((DATE(2024,4,30) - MAXIFS(dynamic[orderDate], dynamic[customerID], B461)) &gt; 180, "Non-Returning", "Dormant"), 
        IF(AND(MAX(dynamic[sinceLastOrder]) &gt; 365, (DATE(2024,4,30) - MAXIFS(dynamic[orderDate], dynamic[customerID], B461)) &gt; 180), 
           "Dormant", "Regular")))</f>
        <v>Regular</v>
      </c>
      <c r="H461" s="6">
        <v>9.0</v>
      </c>
      <c r="I461" s="9" t="str">
        <f>VLOOKUP(dynamic[productID],products[],2,FALSE)</f>
        <v>Mishi Kobe Niku</v>
      </c>
      <c r="J461" s="9" t="str">
        <f>VLOOKUP(dynamic[productID],products[],12,FALSE)</f>
        <v>Meat/Poultry</v>
      </c>
      <c r="K461" s="7" t="str">
        <f>IF(VLOOKUP(dynamic[productID],products[],7,FALSE)=1,"Discontinued","Current")</f>
        <v>Discontinued</v>
      </c>
      <c r="L461" s="9">
        <f>VLOOKUP(dynamic[productID],products[],IF(YEAR(dynamic[orderDate])=2022,8,IF(YEAR(dynamic[orderDate])=2023,9,IF(YEAR(dynamic[orderDate])=2024,10,NA))),FALSE)</f>
        <v>59.95980959</v>
      </c>
      <c r="M461" s="9">
        <v>77.6</v>
      </c>
      <c r="N461" s="25">
        <f>(dynamic[orderPrice]-dynamic[productCost])/dynamic[productCost]</f>
        <v>0.2942002406</v>
      </c>
      <c r="O461" s="10">
        <v>20.0</v>
      </c>
      <c r="P461" s="25">
        <v>0.1</v>
      </c>
      <c r="Q461" s="9">
        <f>dynamic[orderPrice]*dynamic[orderQuantity]</f>
        <v>1552</v>
      </c>
      <c r="R461" s="9">
        <f>dynamic[orderTotal]*(1-dynamic[discountApllied])</f>
        <v>1396.8</v>
      </c>
      <c r="S461" s="9">
        <f>dynamic[revenue]-(dynamic[productCost]*dynamic[orderQuantity])</f>
        <v>197.6038081</v>
      </c>
      <c r="T461" s="25">
        <f>IFERROR(dynamic[profit]/dynamic[revenue], 0)</f>
        <v>0.1414689348</v>
      </c>
    </row>
    <row r="462" ht="15.75" customHeight="1">
      <c r="A462" s="6">
        <v>10420.0</v>
      </c>
      <c r="B462" s="7" t="s">
        <v>22</v>
      </c>
      <c r="C462" s="24" t="str">
        <f>VLOOKUP(dynamic[customerID],customers[],2,FALSE)</f>
        <v>Wellington Importadora</v>
      </c>
      <c r="D462" s="24">
        <v>44947.0</v>
      </c>
      <c r="E462" s="6">
        <f>IFERROR(__xludf.DUMMYFUNCTION("COUNTUNIQUEIFS($A$2:$A462,$B$2:$B462,B462)"),2.0)</f>
        <v>2</v>
      </c>
      <c r="F462" s="6">
        <f t="shared" si="1"/>
        <v>190</v>
      </c>
      <c r="G462" s="6" t="str">
        <f>IF(MINIFS(dynamic[orderDate], dynamic[customerID], B462) &gt;= DATE(2024,4,30)-120, 
     "New", 
     IF(MAXIFS(dynamic[orderCount], dynamic[customerID], B462)&lt;=2, 
        IF((DATE(2024,4,30) - MAXIFS(dynamic[orderDate], dynamic[customerID], B462)) &gt; 180, "Non-Returning", "Dormant"), 
        IF(AND(MAX(dynamic[sinceLastOrder]) &gt; 365, (DATE(2024,4,30) - MAXIFS(dynamic[orderDate], dynamic[customerID], B462)) &gt; 180), 
           "Dormant", "Regular")))</f>
        <v>Regular</v>
      </c>
      <c r="H462" s="6">
        <v>13.0</v>
      </c>
      <c r="I462" s="9" t="str">
        <f>VLOOKUP(dynamic[productID],products[],2,FALSE)</f>
        <v>Konbu</v>
      </c>
      <c r="J462" s="9" t="str">
        <f>VLOOKUP(dynamic[productID],products[],12,FALSE)</f>
        <v>Seafood</v>
      </c>
      <c r="K462" s="7" t="str">
        <f>IF(VLOOKUP(dynamic[productID],products[],7,FALSE)=1,"Discontinued","Current")</f>
        <v>Current</v>
      </c>
      <c r="L462" s="9">
        <f>VLOOKUP(dynamic[productID],products[],IF(YEAR(dynamic[orderDate])=2022,8,IF(YEAR(dynamic[orderDate])=2023,9,IF(YEAR(dynamic[orderDate])=2024,10,NA))),FALSE)</f>
        <v>3.865774949</v>
      </c>
      <c r="M462" s="9">
        <v>4.8</v>
      </c>
      <c r="N462" s="25">
        <f>(dynamic[orderPrice]-dynamic[productCost])/dynamic[productCost]</f>
        <v>0.2416656591</v>
      </c>
      <c r="O462" s="10">
        <v>2.0</v>
      </c>
      <c r="P462" s="25">
        <v>0.1</v>
      </c>
      <c r="Q462" s="9">
        <f>dynamic[orderPrice]*dynamic[orderQuantity]</f>
        <v>9.6</v>
      </c>
      <c r="R462" s="9">
        <f>dynamic[orderTotal]*(1-dynamic[discountApllied])</f>
        <v>8.64</v>
      </c>
      <c r="S462" s="9">
        <f>dynamic[revenue]-(dynamic[productCost]*dynamic[orderQuantity])</f>
        <v>0.9084501022</v>
      </c>
      <c r="T462" s="25">
        <f>IFERROR(dynamic[profit]/dynamic[revenue], 0)</f>
        <v>0.1051446878</v>
      </c>
    </row>
    <row r="463" ht="15.75" customHeight="1">
      <c r="A463" s="6">
        <v>10420.0</v>
      </c>
      <c r="B463" s="7" t="s">
        <v>22</v>
      </c>
      <c r="C463" s="24" t="str">
        <f>VLOOKUP(dynamic[customerID],customers[],2,FALSE)</f>
        <v>Wellington Importadora</v>
      </c>
      <c r="D463" s="24">
        <v>44947.0</v>
      </c>
      <c r="E463" s="6">
        <f>IFERROR(__xludf.DUMMYFUNCTION("COUNTUNIQUEIFS($A$2:$A463,$B$2:$B463,B463)"),2.0)</f>
        <v>2</v>
      </c>
      <c r="F463" s="6">
        <f t="shared" si="1"/>
        <v>190</v>
      </c>
      <c r="G463" s="6" t="str">
        <f>IF(MINIFS(dynamic[orderDate], dynamic[customerID], B463) &gt;= DATE(2024,4,30)-120, 
     "New", 
     IF(MAXIFS(dynamic[orderCount], dynamic[customerID], B463)&lt;=2, 
        IF((DATE(2024,4,30) - MAXIFS(dynamic[orderDate], dynamic[customerID], B463)) &gt; 180, "Non-Returning", "Dormant"), 
        IF(AND(MAX(dynamic[sinceLastOrder]) &gt; 365, (DATE(2024,4,30) - MAXIFS(dynamic[orderDate], dynamic[customerID], B463)) &gt; 180), 
           "Dormant", "Regular")))</f>
        <v>Regular</v>
      </c>
      <c r="H463" s="6">
        <v>70.0</v>
      </c>
      <c r="I463" s="9" t="str">
        <f>VLOOKUP(dynamic[productID],products[],2,FALSE)</f>
        <v>Outback Lager</v>
      </c>
      <c r="J463" s="9" t="str">
        <f>VLOOKUP(dynamic[productID],products[],12,FALSE)</f>
        <v>Beverages</v>
      </c>
      <c r="K463" s="7" t="str">
        <f>IF(VLOOKUP(dynamic[productID],products[],7,FALSE)=1,"Discontinued","Current")</f>
        <v>Current</v>
      </c>
      <c r="L463" s="9">
        <f>VLOOKUP(dynamic[productID],products[],IF(YEAR(dynamic[orderDate])=2022,8,IF(YEAR(dynamic[orderDate])=2023,9,IF(YEAR(dynamic[orderDate])=2024,10,NA))),FALSE)</f>
        <v>9.793094091</v>
      </c>
      <c r="M463" s="9">
        <v>12.0</v>
      </c>
      <c r="N463" s="25">
        <f>(dynamic[orderPrice]-dynamic[productCost])/dynamic[productCost]</f>
        <v>0.2253532835</v>
      </c>
      <c r="O463" s="10">
        <v>8.0</v>
      </c>
      <c r="P463" s="25">
        <v>0.1</v>
      </c>
      <c r="Q463" s="9">
        <f>dynamic[orderPrice]*dynamic[orderQuantity]</f>
        <v>96</v>
      </c>
      <c r="R463" s="9">
        <f>dynamic[orderTotal]*(1-dynamic[discountApllied])</f>
        <v>86.4</v>
      </c>
      <c r="S463" s="9">
        <f>dynamic[revenue]-(dynamic[productCost]*dynamic[orderQuantity])</f>
        <v>8.055247271</v>
      </c>
      <c r="T463" s="25">
        <f>IFERROR(dynamic[profit]/dynamic[revenue], 0)</f>
        <v>0.0932320286</v>
      </c>
    </row>
    <row r="464" ht="15.75" customHeight="1">
      <c r="A464" s="6">
        <v>10420.0</v>
      </c>
      <c r="B464" s="7" t="s">
        <v>22</v>
      </c>
      <c r="C464" s="24" t="str">
        <f>VLOOKUP(dynamic[customerID],customers[],2,FALSE)</f>
        <v>Wellington Importadora</v>
      </c>
      <c r="D464" s="24">
        <v>44947.0</v>
      </c>
      <c r="E464" s="6">
        <f>IFERROR(__xludf.DUMMYFUNCTION("COUNTUNIQUEIFS($A$2:$A464,$B$2:$B464,B464)"),2.0)</f>
        <v>2</v>
      </c>
      <c r="F464" s="6">
        <f t="shared" si="1"/>
        <v>190</v>
      </c>
      <c r="G464" s="6" t="str">
        <f>IF(MINIFS(dynamic[orderDate], dynamic[customerID], B464) &gt;= DATE(2024,4,30)-120, 
     "New", 
     IF(MAXIFS(dynamic[orderCount], dynamic[customerID], B464)&lt;=2, 
        IF((DATE(2024,4,30) - MAXIFS(dynamic[orderDate], dynamic[customerID], B464)) &gt; 180, "Non-Returning", "Dormant"), 
        IF(AND(MAX(dynamic[sinceLastOrder]) &gt; 365, (DATE(2024,4,30) - MAXIFS(dynamic[orderDate], dynamic[customerID], B464)) &gt; 180), 
           "Dormant", "Regular")))</f>
        <v>Regular</v>
      </c>
      <c r="H464" s="6">
        <v>73.0</v>
      </c>
      <c r="I464" s="9" t="str">
        <f>VLOOKUP(dynamic[productID],products[],2,FALSE)</f>
        <v>Röd Kaviar</v>
      </c>
      <c r="J464" s="9" t="str">
        <f>VLOOKUP(dynamic[productID],products[],12,FALSE)</f>
        <v>Seafood</v>
      </c>
      <c r="K464" s="7" t="str">
        <f>IF(VLOOKUP(dynamic[productID],products[],7,FALSE)=1,"Discontinued","Current")</f>
        <v>Current</v>
      </c>
      <c r="L464" s="9">
        <f>VLOOKUP(dynamic[productID],products[],IF(YEAR(dynamic[orderDate])=2022,8,IF(YEAR(dynamic[orderDate])=2023,9,IF(YEAR(dynamic[orderDate])=2024,10,NA))),FALSE)</f>
        <v>9.692999362</v>
      </c>
      <c r="M464" s="9">
        <v>12.0</v>
      </c>
      <c r="N464" s="25">
        <f>(dynamic[orderPrice]-dynamic[productCost])/dynamic[productCost]</f>
        <v>0.2380068905</v>
      </c>
      <c r="O464" s="10">
        <v>20.0</v>
      </c>
      <c r="P464" s="25">
        <v>0.1</v>
      </c>
      <c r="Q464" s="9">
        <f>dynamic[orderPrice]*dynamic[orderQuantity]</f>
        <v>240</v>
      </c>
      <c r="R464" s="9">
        <f>dynamic[orderTotal]*(1-dynamic[discountApllied])</f>
        <v>216</v>
      </c>
      <c r="S464" s="9">
        <f>dynamic[revenue]-(dynamic[productCost]*dynamic[orderQuantity])</f>
        <v>22.14001276</v>
      </c>
      <c r="T464" s="25">
        <f>IFERROR(dynamic[profit]/dynamic[revenue], 0)</f>
        <v>0.1025000591</v>
      </c>
    </row>
    <row r="465" ht="15.75" customHeight="1">
      <c r="A465" s="6">
        <v>10421.0</v>
      </c>
      <c r="B465" s="7" t="s">
        <v>27</v>
      </c>
      <c r="C465" s="24" t="str">
        <f>VLOOKUP(dynamic[customerID],customers[],2,FALSE)</f>
        <v>Que Delícia</v>
      </c>
      <c r="D465" s="24">
        <v>44947.0</v>
      </c>
      <c r="E465" s="6">
        <f>IFERROR(__xludf.DUMMYFUNCTION("COUNTUNIQUEIFS($A$2:$A465,$B$2:$B465,B465)"),4.0)</f>
        <v>4</v>
      </c>
      <c r="F465" s="6">
        <f t="shared" si="1"/>
        <v>41</v>
      </c>
      <c r="G465" s="6" t="str">
        <f>IF(MINIFS(dynamic[orderDate], dynamic[customerID], B465) &gt;= DATE(2024,4,30)-120, 
     "New", 
     IF(MAXIFS(dynamic[orderCount], dynamic[customerID], B465)&lt;=2, 
        IF((DATE(2024,4,30) - MAXIFS(dynamic[orderDate], dynamic[customerID], B465)) &gt; 180, "Non-Returning", "Dormant"), 
        IF(AND(MAX(dynamic[sinceLastOrder]) &gt; 365, (DATE(2024,4,30) - MAXIFS(dynamic[orderDate], dynamic[customerID], B465)) &gt; 180), 
           "Dormant", "Regular")))</f>
        <v>Regular</v>
      </c>
      <c r="H465" s="6">
        <v>19.0</v>
      </c>
      <c r="I465" s="9" t="str">
        <f>VLOOKUP(dynamic[productID],products[],2,FALSE)</f>
        <v>Teatime Chocolate Biscuits</v>
      </c>
      <c r="J465" s="9" t="str">
        <f>VLOOKUP(dynamic[productID],products[],12,FALSE)</f>
        <v>Confections</v>
      </c>
      <c r="K465" s="7" t="str">
        <f>IF(VLOOKUP(dynamic[productID],products[],7,FALSE)=1,"Discontinued","Current")</f>
        <v>Current</v>
      </c>
      <c r="L465" s="9">
        <f>VLOOKUP(dynamic[productID],products[],IF(YEAR(dynamic[orderDate])=2022,8,IF(YEAR(dynamic[orderDate])=2023,9,IF(YEAR(dynamic[orderDate])=2024,10,NA))),FALSE)</f>
        <v>5.901883682</v>
      </c>
      <c r="M465" s="9">
        <v>7.3</v>
      </c>
      <c r="N465" s="25">
        <f>(dynamic[orderPrice]-dynamic[productCost])/dynamic[productCost]</f>
        <v>0.2368932349</v>
      </c>
      <c r="O465" s="10">
        <v>4.0</v>
      </c>
      <c r="P465" s="25">
        <v>0.15</v>
      </c>
      <c r="Q465" s="9">
        <f>dynamic[orderPrice]*dynamic[orderQuantity]</f>
        <v>29.2</v>
      </c>
      <c r="R465" s="9">
        <f>dynamic[orderTotal]*(1-dynamic[discountApllied])</f>
        <v>24.82</v>
      </c>
      <c r="S465" s="9">
        <f>dynamic[revenue]-(dynamic[productCost]*dynamic[orderQuantity])</f>
        <v>1.21246527</v>
      </c>
      <c r="T465" s="25">
        <f>IFERROR(dynamic[profit]/dynamic[revenue], 0)</f>
        <v>0.04885033321</v>
      </c>
    </row>
    <row r="466" ht="15.75" customHeight="1">
      <c r="A466" s="6">
        <v>10421.0</v>
      </c>
      <c r="B466" s="7" t="s">
        <v>27</v>
      </c>
      <c r="C466" s="24" t="str">
        <f>VLOOKUP(dynamic[customerID],customers[],2,FALSE)</f>
        <v>Que Delícia</v>
      </c>
      <c r="D466" s="24">
        <v>44947.0</v>
      </c>
      <c r="E466" s="6">
        <f>IFERROR(__xludf.DUMMYFUNCTION("COUNTUNIQUEIFS($A$2:$A466,$B$2:$B466,B466)"),4.0)</f>
        <v>4</v>
      </c>
      <c r="F466" s="6">
        <f t="shared" si="1"/>
        <v>41</v>
      </c>
      <c r="G466" s="6" t="str">
        <f>IF(MINIFS(dynamic[orderDate], dynamic[customerID], B466) &gt;= DATE(2024,4,30)-120, 
     "New", 
     IF(MAXIFS(dynamic[orderCount], dynamic[customerID], B466)&lt;=2, 
        IF((DATE(2024,4,30) - MAXIFS(dynamic[orderDate], dynamic[customerID], B466)) &gt; 180, "Non-Returning", "Dormant"), 
        IF(AND(MAX(dynamic[sinceLastOrder]) &gt; 365, (DATE(2024,4,30) - MAXIFS(dynamic[orderDate], dynamic[customerID], B466)) &gt; 180), 
           "Dormant", "Regular")))</f>
        <v>Regular</v>
      </c>
      <c r="H466" s="6">
        <v>26.0</v>
      </c>
      <c r="I466" s="9" t="str">
        <f>VLOOKUP(dynamic[productID],products[],2,FALSE)</f>
        <v>NuNuCa Nuß-Nougat-Creme</v>
      </c>
      <c r="J466" s="9" t="str">
        <f>VLOOKUP(dynamic[productID],products[],12,FALSE)</f>
        <v>Confections</v>
      </c>
      <c r="K466" s="7" t="str">
        <f>IF(VLOOKUP(dynamic[productID],products[],7,FALSE)=1,"Discontinued","Current")</f>
        <v>Current</v>
      </c>
      <c r="L466" s="9">
        <f>VLOOKUP(dynamic[productID],products[],IF(YEAR(dynamic[orderDate])=2022,8,IF(YEAR(dynamic[orderDate])=2023,9,IF(YEAR(dynamic[orderDate])=2024,10,NA))),FALSE)</f>
        <v>21.20896201</v>
      </c>
      <c r="M466" s="9">
        <v>24.9</v>
      </c>
      <c r="N466" s="25">
        <f>(dynamic[orderPrice]-dynamic[productCost])/dynamic[productCost]</f>
        <v>0.1740319958</v>
      </c>
      <c r="O466" s="10">
        <v>30.0</v>
      </c>
      <c r="P466" s="25">
        <v>0.0</v>
      </c>
      <c r="Q466" s="9">
        <f>dynamic[orderPrice]*dynamic[orderQuantity]</f>
        <v>747</v>
      </c>
      <c r="R466" s="9">
        <f>dynamic[orderTotal]*(1-dynamic[discountApllied])</f>
        <v>747</v>
      </c>
      <c r="S466" s="9">
        <f>dynamic[revenue]-(dynamic[productCost]*dynamic[orderQuantity])</f>
        <v>110.7311396</v>
      </c>
      <c r="T466" s="25">
        <f>IFERROR(dynamic[profit]/dynamic[revenue], 0)</f>
        <v>0.1482344573</v>
      </c>
    </row>
    <row r="467" ht="15.75" customHeight="1">
      <c r="A467" s="6">
        <v>10421.0</v>
      </c>
      <c r="B467" s="7" t="s">
        <v>27</v>
      </c>
      <c r="C467" s="24" t="str">
        <f>VLOOKUP(dynamic[customerID],customers[],2,FALSE)</f>
        <v>Que Delícia</v>
      </c>
      <c r="D467" s="24">
        <v>44947.0</v>
      </c>
      <c r="E467" s="6">
        <f>IFERROR(__xludf.DUMMYFUNCTION("COUNTUNIQUEIFS($A$2:$A467,$B$2:$B467,B467)"),4.0)</f>
        <v>4</v>
      </c>
      <c r="F467" s="6">
        <f t="shared" si="1"/>
        <v>41</v>
      </c>
      <c r="G467" s="6" t="str">
        <f>IF(MINIFS(dynamic[orderDate], dynamic[customerID], B467) &gt;= DATE(2024,4,30)-120, 
     "New", 
     IF(MAXIFS(dynamic[orderCount], dynamic[customerID], B467)&lt;=2, 
        IF((DATE(2024,4,30) - MAXIFS(dynamic[orderDate], dynamic[customerID], B467)) &gt; 180, "Non-Returning", "Dormant"), 
        IF(AND(MAX(dynamic[sinceLastOrder]) &gt; 365, (DATE(2024,4,30) - MAXIFS(dynamic[orderDate], dynamic[customerID], B467)) &gt; 180), 
           "Dormant", "Regular")))</f>
        <v>Regular</v>
      </c>
      <c r="H467" s="6">
        <v>53.0</v>
      </c>
      <c r="I467" s="9" t="str">
        <f>VLOOKUP(dynamic[productID],products[],2,FALSE)</f>
        <v>Perth Pasties</v>
      </c>
      <c r="J467" s="9" t="str">
        <f>VLOOKUP(dynamic[productID],products[],12,FALSE)</f>
        <v>Meat/Poultry</v>
      </c>
      <c r="K467" s="7" t="str">
        <f>IF(VLOOKUP(dynamic[productID],products[],7,FALSE)=1,"Discontinued","Current")</f>
        <v>Discontinued</v>
      </c>
      <c r="L467" s="9">
        <f>VLOOKUP(dynamic[productID],products[],IF(YEAR(dynamic[orderDate])=2022,8,IF(YEAR(dynamic[orderDate])=2023,9,IF(YEAR(dynamic[orderDate])=2024,10,NA))),FALSE)</f>
        <v>21.81491556</v>
      </c>
      <c r="M467" s="9">
        <v>26.2</v>
      </c>
      <c r="N467" s="25">
        <f>(dynamic[orderPrice]-dynamic[productCost])/dynamic[productCost]</f>
        <v>0.2010131293</v>
      </c>
      <c r="O467" s="10">
        <v>15.0</v>
      </c>
      <c r="P467" s="25">
        <v>0.15</v>
      </c>
      <c r="Q467" s="9">
        <f>dynamic[orderPrice]*dynamic[orderQuantity]</f>
        <v>393</v>
      </c>
      <c r="R467" s="9">
        <f>dynamic[orderTotal]*(1-dynamic[discountApllied])</f>
        <v>334.05</v>
      </c>
      <c r="S467" s="9">
        <f>dynamic[revenue]-(dynamic[productCost]*dynamic[orderQuantity])</f>
        <v>6.826266617</v>
      </c>
      <c r="T467" s="25">
        <f>IFERROR(dynamic[profit]/dynamic[revenue], 0)</f>
        <v>0.02043486489</v>
      </c>
    </row>
    <row r="468" ht="15.75" customHeight="1">
      <c r="A468" s="6">
        <v>10421.0</v>
      </c>
      <c r="B468" s="7" t="s">
        <v>27</v>
      </c>
      <c r="C468" s="24" t="str">
        <f>VLOOKUP(dynamic[customerID],customers[],2,FALSE)</f>
        <v>Que Delícia</v>
      </c>
      <c r="D468" s="24">
        <v>44947.0</v>
      </c>
      <c r="E468" s="6">
        <f>IFERROR(__xludf.DUMMYFUNCTION("COUNTUNIQUEIFS($A$2:$A468,$B$2:$B468,B468)"),4.0)</f>
        <v>4</v>
      </c>
      <c r="F468" s="6">
        <f t="shared" si="1"/>
        <v>41</v>
      </c>
      <c r="G468" s="6" t="str">
        <f>IF(MINIFS(dynamic[orderDate], dynamic[customerID], B468) &gt;= DATE(2024,4,30)-120, 
     "New", 
     IF(MAXIFS(dynamic[orderCount], dynamic[customerID], B468)&lt;=2, 
        IF((DATE(2024,4,30) - MAXIFS(dynamic[orderDate], dynamic[customerID], B468)) &gt; 180, "Non-Returning", "Dormant"), 
        IF(AND(MAX(dynamic[sinceLastOrder]) &gt; 365, (DATE(2024,4,30) - MAXIFS(dynamic[orderDate], dynamic[customerID], B468)) &gt; 180), 
           "Dormant", "Regular")))</f>
        <v>Regular</v>
      </c>
      <c r="H468" s="6">
        <v>77.0</v>
      </c>
      <c r="I468" s="9" t="str">
        <f>VLOOKUP(dynamic[productID],products[],2,FALSE)</f>
        <v>Original Frankfurter grüne Soße</v>
      </c>
      <c r="J468" s="9" t="str">
        <f>VLOOKUP(dynamic[productID],products[],12,FALSE)</f>
        <v>Condiments</v>
      </c>
      <c r="K468" s="7" t="str">
        <f>IF(VLOOKUP(dynamic[productID],products[],7,FALSE)=1,"Discontinued","Current")</f>
        <v>Current</v>
      </c>
      <c r="L468" s="9">
        <f>VLOOKUP(dynamic[productID],products[],IF(YEAR(dynamic[orderDate])=2022,8,IF(YEAR(dynamic[orderDate])=2023,9,IF(YEAR(dynamic[orderDate])=2024,10,NA))),FALSE)</f>
        <v>7.539056452</v>
      </c>
      <c r="M468" s="9">
        <v>10.4</v>
      </c>
      <c r="N468" s="25">
        <f>(dynamic[orderPrice]-dynamic[productCost])/dynamic[productCost]</f>
        <v>0.3794829719</v>
      </c>
      <c r="O468" s="10">
        <v>10.0</v>
      </c>
      <c r="P468" s="25">
        <v>0.15</v>
      </c>
      <c r="Q468" s="9">
        <f>dynamic[orderPrice]*dynamic[orderQuantity]</f>
        <v>104</v>
      </c>
      <c r="R468" s="9">
        <f>dynamic[orderTotal]*(1-dynamic[discountApllied])</f>
        <v>88.4</v>
      </c>
      <c r="S468" s="9">
        <f>dynamic[revenue]-(dynamic[productCost]*dynamic[orderQuantity])</f>
        <v>13.00943548</v>
      </c>
      <c r="T468" s="25">
        <f>IFERROR(dynamic[profit]/dynamic[revenue], 0)</f>
        <v>0.1471655597</v>
      </c>
    </row>
    <row r="469" ht="15.75" customHeight="1">
      <c r="A469" s="6">
        <v>10422.0</v>
      </c>
      <c r="B469" s="7" t="s">
        <v>85</v>
      </c>
      <c r="C469" s="24" t="str">
        <f>VLOOKUP(dynamic[customerID],customers[],2,FALSE)</f>
        <v>Franchi S.p.A.</v>
      </c>
      <c r="D469" s="24">
        <v>44948.0</v>
      </c>
      <c r="E469" s="6">
        <f>IFERROR(__xludf.DUMMYFUNCTION("COUNTUNIQUEIFS($A$2:$A469,$B$2:$B469,B469)"),1.0)</f>
        <v>1</v>
      </c>
      <c r="F469" s="6">
        <f t="shared" si="1"/>
        <v>0</v>
      </c>
      <c r="G469" s="6" t="str">
        <f>IF(MINIFS(dynamic[orderDate], dynamic[customerID], B469) &gt;= DATE(2024,4,30)-120, 
     "New", 
     IF(MAXIFS(dynamic[orderCount], dynamic[customerID], B469)&lt;=2, 
        IF((DATE(2024,4,30) - MAXIFS(dynamic[orderDate], dynamic[customerID], B469)) &gt; 180, "Non-Returning", "Dormant"), 
        IF(AND(MAX(dynamic[sinceLastOrder]) &gt; 365, (DATE(2024,4,30) - MAXIFS(dynamic[orderDate], dynamic[customerID], B469)) &gt; 180), 
           "Dormant", "Regular")))</f>
        <v>Regular</v>
      </c>
      <c r="H469" s="6">
        <v>26.0</v>
      </c>
      <c r="I469" s="9" t="str">
        <f>VLOOKUP(dynamic[productID],products[],2,FALSE)</f>
        <v>NuNuCa Nuß-Nougat-Creme</v>
      </c>
      <c r="J469" s="9" t="str">
        <f>VLOOKUP(dynamic[productID],products[],12,FALSE)</f>
        <v>Confections</v>
      </c>
      <c r="K469" s="7" t="str">
        <f>IF(VLOOKUP(dynamic[productID],products[],7,FALSE)=1,"Discontinued","Current")</f>
        <v>Current</v>
      </c>
      <c r="L469" s="9">
        <f>VLOOKUP(dynamic[productID],products[],IF(YEAR(dynamic[orderDate])=2022,8,IF(YEAR(dynamic[orderDate])=2023,9,IF(YEAR(dynamic[orderDate])=2024,10,NA))),FALSE)</f>
        <v>21.20896201</v>
      </c>
      <c r="M469" s="9">
        <v>24.9</v>
      </c>
      <c r="N469" s="25">
        <f>(dynamic[orderPrice]-dynamic[productCost])/dynamic[productCost]</f>
        <v>0.1740319958</v>
      </c>
      <c r="O469" s="10">
        <v>2.0</v>
      </c>
      <c r="P469" s="25">
        <v>0.0</v>
      </c>
      <c r="Q469" s="9">
        <f>dynamic[orderPrice]*dynamic[orderQuantity]</f>
        <v>49.8</v>
      </c>
      <c r="R469" s="9">
        <f>dynamic[orderTotal]*(1-dynamic[discountApllied])</f>
        <v>49.8</v>
      </c>
      <c r="S469" s="9">
        <f>dynamic[revenue]-(dynamic[productCost]*dynamic[orderQuantity])</f>
        <v>7.382075975</v>
      </c>
      <c r="T469" s="25">
        <f>IFERROR(dynamic[profit]/dynamic[revenue], 0)</f>
        <v>0.1482344573</v>
      </c>
    </row>
    <row r="470" ht="15.75" customHeight="1">
      <c r="A470" s="6">
        <v>10423.0</v>
      </c>
      <c r="B470" s="7" t="s">
        <v>86</v>
      </c>
      <c r="C470" s="24" t="str">
        <f>VLOOKUP(dynamic[customerID],customers[],2,FALSE)</f>
        <v>Gourmet Lanchonetes</v>
      </c>
      <c r="D470" s="24">
        <v>44949.0</v>
      </c>
      <c r="E470" s="6">
        <f>IFERROR(__xludf.DUMMYFUNCTION("COUNTUNIQUEIFS($A$2:$A470,$B$2:$B470,B470)"),1.0)</f>
        <v>1</v>
      </c>
      <c r="F470" s="6">
        <f t="shared" si="1"/>
        <v>0</v>
      </c>
      <c r="G470" s="6" t="str">
        <f>IF(MINIFS(dynamic[orderDate], dynamic[customerID], B470) &gt;= DATE(2024,4,30)-120, 
     "New", 
     IF(MAXIFS(dynamic[orderCount], dynamic[customerID], B470)&lt;=2, 
        IF((DATE(2024,4,30) - MAXIFS(dynamic[orderDate], dynamic[customerID], B470)) &gt; 180, "Non-Returning", "Dormant"), 
        IF(AND(MAX(dynamic[sinceLastOrder]) &gt; 365, (DATE(2024,4,30) - MAXIFS(dynamic[orderDate], dynamic[customerID], B470)) &gt; 180), 
           "Dormant", "Regular")))</f>
        <v>Regular</v>
      </c>
      <c r="H470" s="6">
        <v>31.0</v>
      </c>
      <c r="I470" s="9" t="str">
        <f>VLOOKUP(dynamic[productID],products[],2,FALSE)</f>
        <v>Gorgonzola Telino</v>
      </c>
      <c r="J470" s="9" t="str">
        <f>VLOOKUP(dynamic[productID],products[],12,FALSE)</f>
        <v>Dairy Products</v>
      </c>
      <c r="K470" s="7" t="str">
        <f>IF(VLOOKUP(dynamic[productID],products[],7,FALSE)=1,"Discontinued","Current")</f>
        <v>Current</v>
      </c>
      <c r="L470" s="9">
        <f>VLOOKUP(dynamic[productID],products[],IF(YEAR(dynamic[orderDate])=2022,8,IF(YEAR(dynamic[orderDate])=2023,9,IF(YEAR(dynamic[orderDate])=2024,10,NA))),FALSE)</f>
        <v>7.937729254</v>
      </c>
      <c r="M470" s="9">
        <v>10.0</v>
      </c>
      <c r="N470" s="25">
        <f>(dynamic[orderPrice]-dynamic[productCost])/dynamic[productCost]</f>
        <v>0.2598061334</v>
      </c>
      <c r="O470" s="10">
        <v>14.0</v>
      </c>
      <c r="P470" s="25">
        <v>0.0</v>
      </c>
      <c r="Q470" s="9">
        <f>dynamic[orderPrice]*dynamic[orderQuantity]</f>
        <v>140</v>
      </c>
      <c r="R470" s="9">
        <f>dynamic[orderTotal]*(1-dynamic[discountApllied])</f>
        <v>140</v>
      </c>
      <c r="S470" s="9">
        <f>dynamic[revenue]-(dynamic[productCost]*dynamic[orderQuantity])</f>
        <v>28.87179044</v>
      </c>
      <c r="T470" s="25">
        <f>IFERROR(dynamic[profit]/dynamic[revenue], 0)</f>
        <v>0.2062270746</v>
      </c>
    </row>
    <row r="471" ht="15.75" customHeight="1">
      <c r="A471" s="6">
        <v>10423.0</v>
      </c>
      <c r="B471" s="7" t="s">
        <v>86</v>
      </c>
      <c r="C471" s="24" t="str">
        <f>VLOOKUP(dynamic[customerID],customers[],2,FALSE)</f>
        <v>Gourmet Lanchonetes</v>
      </c>
      <c r="D471" s="24">
        <v>44949.0</v>
      </c>
      <c r="E471" s="6">
        <f>IFERROR(__xludf.DUMMYFUNCTION("COUNTUNIQUEIFS($A$2:$A471,$B$2:$B471,B471)"),1.0)</f>
        <v>1</v>
      </c>
      <c r="F471" s="6">
        <f t="shared" si="1"/>
        <v>0</v>
      </c>
      <c r="G471" s="6" t="str">
        <f>IF(MINIFS(dynamic[orderDate], dynamic[customerID], B471) &gt;= DATE(2024,4,30)-120, 
     "New", 
     IF(MAXIFS(dynamic[orderCount], dynamic[customerID], B471)&lt;=2, 
        IF((DATE(2024,4,30) - MAXIFS(dynamic[orderDate], dynamic[customerID], B471)) &gt; 180, "Non-Returning", "Dormant"), 
        IF(AND(MAX(dynamic[sinceLastOrder]) &gt; 365, (DATE(2024,4,30) - MAXIFS(dynamic[orderDate], dynamic[customerID], B471)) &gt; 180), 
           "Dormant", "Regular")))</f>
        <v>Regular</v>
      </c>
      <c r="H471" s="6">
        <v>59.0</v>
      </c>
      <c r="I471" s="9" t="str">
        <f>VLOOKUP(dynamic[productID],products[],2,FALSE)</f>
        <v>Raclette Courdavault</v>
      </c>
      <c r="J471" s="9" t="str">
        <f>VLOOKUP(dynamic[productID],products[],12,FALSE)</f>
        <v>Dairy Products</v>
      </c>
      <c r="K471" s="7" t="str">
        <f>IF(VLOOKUP(dynamic[productID],products[],7,FALSE)=1,"Discontinued","Current")</f>
        <v>Current</v>
      </c>
      <c r="L471" s="9">
        <f>VLOOKUP(dynamic[productID],products[],IF(YEAR(dynamic[orderDate])=2022,8,IF(YEAR(dynamic[orderDate])=2023,9,IF(YEAR(dynamic[orderDate])=2024,10,NA))),FALSE)</f>
        <v>35.20472566</v>
      </c>
      <c r="M471" s="9">
        <v>44.0</v>
      </c>
      <c r="N471" s="25">
        <f>(dynamic[orderPrice]-dynamic[productCost])/dynamic[productCost]</f>
        <v>0.2498322078</v>
      </c>
      <c r="O471" s="10">
        <v>20.0</v>
      </c>
      <c r="P471" s="25">
        <v>0.0</v>
      </c>
      <c r="Q471" s="9">
        <f>dynamic[orderPrice]*dynamic[orderQuantity]</f>
        <v>880</v>
      </c>
      <c r="R471" s="9">
        <f>dynamic[orderTotal]*(1-dynamic[discountApllied])</f>
        <v>880</v>
      </c>
      <c r="S471" s="9">
        <f>dynamic[revenue]-(dynamic[productCost]*dynamic[orderQuantity])</f>
        <v>175.9054868</v>
      </c>
      <c r="T471" s="25">
        <f>IFERROR(dynamic[profit]/dynamic[revenue], 0)</f>
        <v>0.1998925986</v>
      </c>
    </row>
    <row r="472" ht="15.75" customHeight="1">
      <c r="A472" s="6">
        <v>10424.0</v>
      </c>
      <c r="B472" s="7" t="s">
        <v>64</v>
      </c>
      <c r="C472" s="24" t="str">
        <f>VLOOKUP(dynamic[customerID],customers[],2,FALSE)</f>
        <v>Mère Paillarde</v>
      </c>
      <c r="D472" s="24">
        <v>44949.0</v>
      </c>
      <c r="E472" s="6">
        <f>IFERROR(__xludf.DUMMYFUNCTION("COUNTUNIQUEIFS($A$2:$A472,$B$2:$B472,B472)"),4.0)</f>
        <v>4</v>
      </c>
      <c r="F472" s="6">
        <f t="shared" si="1"/>
        <v>45</v>
      </c>
      <c r="G472" s="6" t="str">
        <f>IF(MINIFS(dynamic[orderDate], dynamic[customerID], B472) &gt;= DATE(2024,4,30)-120, 
     "New", 
     IF(MAXIFS(dynamic[orderCount], dynamic[customerID], B472)&lt;=2, 
        IF((DATE(2024,4,30) - MAXIFS(dynamic[orderDate], dynamic[customerID], B472)) &gt; 180, "Non-Returning", "Dormant"), 
        IF(AND(MAX(dynamic[sinceLastOrder]) &gt; 365, (DATE(2024,4,30) - MAXIFS(dynamic[orderDate], dynamic[customerID], B472)) &gt; 180), 
           "Dormant", "Regular")))</f>
        <v>Dormant</v>
      </c>
      <c r="H472" s="6">
        <v>35.0</v>
      </c>
      <c r="I472" s="9" t="str">
        <f>VLOOKUP(dynamic[productID],products[],2,FALSE)</f>
        <v>Cold Brew Nitro</v>
      </c>
      <c r="J472" s="9" t="str">
        <f>VLOOKUP(dynamic[productID],products[],12,FALSE)</f>
        <v>Beverages</v>
      </c>
      <c r="K472" s="7" t="str">
        <f>IF(VLOOKUP(dynamic[productID],products[],7,FALSE)=1,"Discontinued","Current")</f>
        <v>Current</v>
      </c>
      <c r="L472" s="9">
        <f>VLOOKUP(dynamic[productID],products[],IF(YEAR(dynamic[orderDate])=2022,8,IF(YEAR(dynamic[orderDate])=2023,9,IF(YEAR(dynamic[orderDate])=2024,10,NA))),FALSE)</f>
        <v>11.7602531</v>
      </c>
      <c r="M472" s="9">
        <v>14.4</v>
      </c>
      <c r="N472" s="25">
        <f>(dynamic[orderPrice]-dynamic[productCost])/dynamic[productCost]</f>
        <v>0.2244634426</v>
      </c>
      <c r="O472" s="10">
        <v>60.0</v>
      </c>
      <c r="P472" s="25">
        <v>0.2</v>
      </c>
      <c r="Q472" s="9">
        <f>dynamic[orderPrice]*dynamic[orderQuantity]</f>
        <v>864</v>
      </c>
      <c r="R472" s="9">
        <f>dynamic[orderTotal]*(1-dynamic[discountApllied])</f>
        <v>691.2</v>
      </c>
      <c r="S472" s="9">
        <f>dynamic[revenue]-(dynamic[productCost]*dynamic[orderQuantity])</f>
        <v>-14.41518614</v>
      </c>
      <c r="T472" s="25">
        <f>IFERROR(dynamic[profit]/dynamic[revenue], 0)</f>
        <v>-0.02085530403</v>
      </c>
    </row>
    <row r="473" ht="15.75" customHeight="1">
      <c r="A473" s="6">
        <v>10424.0</v>
      </c>
      <c r="B473" s="7" t="s">
        <v>64</v>
      </c>
      <c r="C473" s="24" t="str">
        <f>VLOOKUP(dynamic[customerID],customers[],2,FALSE)</f>
        <v>Mère Paillarde</v>
      </c>
      <c r="D473" s="24">
        <v>44949.0</v>
      </c>
      <c r="E473" s="6">
        <f>IFERROR(__xludf.DUMMYFUNCTION("COUNTUNIQUEIFS($A$2:$A473,$B$2:$B473,B473)"),4.0)</f>
        <v>4</v>
      </c>
      <c r="F473" s="6">
        <f t="shared" si="1"/>
        <v>45</v>
      </c>
      <c r="G473" s="6" t="str">
        <f>IF(MINIFS(dynamic[orderDate], dynamic[customerID], B473) &gt;= DATE(2024,4,30)-120, 
     "New", 
     IF(MAXIFS(dynamic[orderCount], dynamic[customerID], B473)&lt;=2, 
        IF((DATE(2024,4,30) - MAXIFS(dynamic[orderDate], dynamic[customerID], B473)) &gt; 180, "Non-Returning", "Dormant"), 
        IF(AND(MAX(dynamic[sinceLastOrder]) &gt; 365, (DATE(2024,4,30) - MAXIFS(dynamic[orderDate], dynamic[customerID], B473)) &gt; 180), 
           "Dormant", "Regular")))</f>
        <v>Dormant</v>
      </c>
      <c r="H473" s="6">
        <v>38.0</v>
      </c>
      <c r="I473" s="9" t="str">
        <f>VLOOKUP(dynamic[productID],products[],2,FALSE)</f>
        <v>Côte de Blaye</v>
      </c>
      <c r="J473" s="9" t="str">
        <f>VLOOKUP(dynamic[productID],products[],12,FALSE)</f>
        <v>Beverages</v>
      </c>
      <c r="K473" s="7" t="str">
        <f>IF(VLOOKUP(dynamic[productID],products[],7,FALSE)=1,"Discontinued","Current")</f>
        <v>Current</v>
      </c>
      <c r="L473" s="9">
        <f>VLOOKUP(dynamic[productID],products[],IF(YEAR(dynamic[orderDate])=2022,8,IF(YEAR(dynamic[orderDate])=2023,9,IF(YEAR(dynamic[orderDate])=2024,10,NA))),FALSE)</f>
        <v>175.9515711</v>
      </c>
      <c r="M473" s="9">
        <v>210.8</v>
      </c>
      <c r="N473" s="25">
        <f>(dynamic[orderPrice]-dynamic[productCost])/dynamic[productCost]</f>
        <v>0.1980569351</v>
      </c>
      <c r="O473" s="10">
        <v>49.0</v>
      </c>
      <c r="P473" s="25">
        <v>0.2</v>
      </c>
      <c r="Q473" s="9">
        <f>dynamic[orderPrice]*dynamic[orderQuantity]</f>
        <v>10329.2</v>
      </c>
      <c r="R473" s="9">
        <f>dynamic[orderTotal]*(1-dynamic[discountApllied])</f>
        <v>8263.36</v>
      </c>
      <c r="S473" s="9">
        <f>dynamic[revenue]-(dynamic[productCost]*dynamic[orderQuantity])</f>
        <v>-358.2669842</v>
      </c>
      <c r="T473" s="25">
        <f>IFERROR(dynamic[profit]/dynamic[revenue], 0)</f>
        <v>-0.04335609052</v>
      </c>
    </row>
    <row r="474" ht="15.75" customHeight="1">
      <c r="A474" s="6">
        <v>10424.0</v>
      </c>
      <c r="B474" s="7" t="s">
        <v>64</v>
      </c>
      <c r="C474" s="24" t="str">
        <f>VLOOKUP(dynamic[customerID],customers[],2,FALSE)</f>
        <v>Mère Paillarde</v>
      </c>
      <c r="D474" s="24">
        <v>44949.0</v>
      </c>
      <c r="E474" s="6">
        <f>IFERROR(__xludf.DUMMYFUNCTION("COUNTUNIQUEIFS($A$2:$A474,$B$2:$B474,B474)"),4.0)</f>
        <v>4</v>
      </c>
      <c r="F474" s="6">
        <f t="shared" si="1"/>
        <v>45</v>
      </c>
      <c r="G474" s="6" t="str">
        <f>IF(MINIFS(dynamic[orderDate], dynamic[customerID], B474) &gt;= DATE(2024,4,30)-120, 
     "New", 
     IF(MAXIFS(dynamic[orderCount], dynamic[customerID], B474)&lt;=2, 
        IF((DATE(2024,4,30) - MAXIFS(dynamic[orderDate], dynamic[customerID], B474)) &gt; 180, "Non-Returning", "Dormant"), 
        IF(AND(MAX(dynamic[sinceLastOrder]) &gt; 365, (DATE(2024,4,30) - MAXIFS(dynamic[orderDate], dynamic[customerID], B474)) &gt; 180), 
           "Dormant", "Regular")))</f>
        <v>Dormant</v>
      </c>
      <c r="H474" s="6">
        <v>68.0</v>
      </c>
      <c r="I474" s="9" t="str">
        <f>VLOOKUP(dynamic[productID],products[],2,FALSE)</f>
        <v>Scottish Longbreads</v>
      </c>
      <c r="J474" s="9" t="str">
        <f>VLOOKUP(dynamic[productID],products[],12,FALSE)</f>
        <v>Confections</v>
      </c>
      <c r="K474" s="7" t="str">
        <f>IF(VLOOKUP(dynamic[productID],products[],7,FALSE)=1,"Discontinued","Current")</f>
        <v>Current</v>
      </c>
      <c r="L474" s="9">
        <f>VLOOKUP(dynamic[productID],products[],IF(YEAR(dynamic[orderDate])=2022,8,IF(YEAR(dynamic[orderDate])=2023,9,IF(YEAR(dynamic[orderDate])=2024,10,NA))),FALSE)</f>
        <v>8.500000387</v>
      </c>
      <c r="M474" s="9">
        <v>10.0</v>
      </c>
      <c r="N474" s="25">
        <f>(dynamic[orderPrice]-dynamic[productCost])/dynamic[productCost]</f>
        <v>0.1764705347</v>
      </c>
      <c r="O474" s="10">
        <v>30.0</v>
      </c>
      <c r="P474" s="25">
        <v>0.2</v>
      </c>
      <c r="Q474" s="9">
        <f>dynamic[orderPrice]*dynamic[orderQuantity]</f>
        <v>300</v>
      </c>
      <c r="R474" s="9">
        <f>dynamic[orderTotal]*(1-dynamic[discountApllied])</f>
        <v>240</v>
      </c>
      <c r="S474" s="9">
        <f>dynamic[revenue]-(dynamic[productCost]*dynamic[orderQuantity])</f>
        <v>-15.0000116</v>
      </c>
      <c r="T474" s="25">
        <f>IFERROR(dynamic[profit]/dynamic[revenue], 0)</f>
        <v>-0.06250004832</v>
      </c>
    </row>
    <row r="475" ht="15.75" customHeight="1">
      <c r="A475" s="6">
        <v>10425.0</v>
      </c>
      <c r="B475" s="7" t="s">
        <v>68</v>
      </c>
      <c r="C475" s="24" t="str">
        <f>VLOOKUP(dynamic[customerID],customers[],2,FALSE)</f>
        <v>La maison d'Asie</v>
      </c>
      <c r="D475" s="24">
        <v>44950.0</v>
      </c>
      <c r="E475" s="6">
        <f>IFERROR(__xludf.DUMMYFUNCTION("COUNTUNIQUEIFS($A$2:$A475,$B$2:$B475,B475)"),5.0)</f>
        <v>5</v>
      </c>
      <c r="F475" s="6">
        <f t="shared" si="1"/>
        <v>10</v>
      </c>
      <c r="G475" s="6" t="str">
        <f>IF(MINIFS(dynamic[orderDate], dynamic[customerID], B475) &gt;= DATE(2024,4,30)-120, 
     "New", 
     IF(MAXIFS(dynamic[orderCount], dynamic[customerID], B475)&lt;=2, 
        IF((DATE(2024,4,30) - MAXIFS(dynamic[orderDate], dynamic[customerID], B475)) &gt; 180, "Non-Returning", "Dormant"), 
        IF(AND(MAX(dynamic[sinceLastOrder]) &gt; 365, (DATE(2024,4,30) - MAXIFS(dynamic[orderDate], dynamic[customerID], B475)) &gt; 180), 
           "Dormant", "Regular")))</f>
        <v>Regular</v>
      </c>
      <c r="H475" s="6">
        <v>55.0</v>
      </c>
      <c r="I475" s="9" t="str">
        <f>VLOOKUP(dynamic[productID],products[],2,FALSE)</f>
        <v>Pâté chinois</v>
      </c>
      <c r="J475" s="9" t="str">
        <f>VLOOKUP(dynamic[productID],products[],12,FALSE)</f>
        <v>Meat/Poultry</v>
      </c>
      <c r="K475" s="7" t="str">
        <f>IF(VLOOKUP(dynamic[productID],products[],7,FALSE)=1,"Discontinued","Current")</f>
        <v>Current</v>
      </c>
      <c r="L475" s="9">
        <f>VLOOKUP(dynamic[productID],products[],IF(YEAR(dynamic[orderDate])=2022,8,IF(YEAR(dynamic[orderDate])=2023,9,IF(YEAR(dynamic[orderDate])=2024,10,NA))),FALSE)</f>
        <v>14.92398776</v>
      </c>
      <c r="M475" s="9">
        <v>19.2</v>
      </c>
      <c r="N475" s="25">
        <f>(dynamic[orderPrice]-dynamic[productCost])/dynamic[productCost]</f>
        <v>0.2865194145</v>
      </c>
      <c r="O475" s="10">
        <v>10.0</v>
      </c>
      <c r="P475" s="25">
        <v>0.25</v>
      </c>
      <c r="Q475" s="9">
        <f>dynamic[orderPrice]*dynamic[orderQuantity]</f>
        <v>192</v>
      </c>
      <c r="R475" s="9">
        <f>dynamic[orderTotal]*(1-dynamic[discountApllied])</f>
        <v>144</v>
      </c>
      <c r="S475" s="9">
        <f>dynamic[revenue]-(dynamic[productCost]*dynamic[orderQuantity])</f>
        <v>-5.239877641</v>
      </c>
      <c r="T475" s="25">
        <f>IFERROR(dynamic[profit]/dynamic[revenue], 0)</f>
        <v>-0.03638803917</v>
      </c>
    </row>
    <row r="476" ht="15.75" customHeight="1">
      <c r="A476" s="6">
        <v>10425.0</v>
      </c>
      <c r="B476" s="7" t="s">
        <v>68</v>
      </c>
      <c r="C476" s="24" t="str">
        <f>VLOOKUP(dynamic[customerID],customers[],2,FALSE)</f>
        <v>La maison d'Asie</v>
      </c>
      <c r="D476" s="24">
        <v>44950.0</v>
      </c>
      <c r="E476" s="6">
        <f>IFERROR(__xludf.DUMMYFUNCTION("COUNTUNIQUEIFS($A$2:$A476,$B$2:$B476,B476)"),5.0)</f>
        <v>5</v>
      </c>
      <c r="F476" s="6">
        <f t="shared" si="1"/>
        <v>10</v>
      </c>
      <c r="G476" s="6" t="str">
        <f>IF(MINIFS(dynamic[orderDate], dynamic[customerID], B476) &gt;= DATE(2024,4,30)-120, 
     "New", 
     IF(MAXIFS(dynamic[orderCount], dynamic[customerID], B476)&lt;=2, 
        IF((DATE(2024,4,30) - MAXIFS(dynamic[orderDate], dynamic[customerID], B476)) &gt; 180, "Non-Returning", "Dormant"), 
        IF(AND(MAX(dynamic[sinceLastOrder]) &gt; 365, (DATE(2024,4,30) - MAXIFS(dynamic[orderDate], dynamic[customerID], B476)) &gt; 180), 
           "Dormant", "Regular")))</f>
        <v>Regular</v>
      </c>
      <c r="H476" s="6">
        <v>76.0</v>
      </c>
      <c r="I476" s="9" t="str">
        <f>VLOOKUP(dynamic[productID],products[],2,FALSE)</f>
        <v>Lakkalikööri</v>
      </c>
      <c r="J476" s="9" t="str">
        <f>VLOOKUP(dynamic[productID],products[],12,FALSE)</f>
        <v>Beverages</v>
      </c>
      <c r="K476" s="7" t="str">
        <f>IF(VLOOKUP(dynamic[productID],products[],7,FALSE)=1,"Discontinued","Current")</f>
        <v>Current</v>
      </c>
      <c r="L476" s="9">
        <f>VLOOKUP(dynamic[productID],products[],IF(YEAR(dynamic[orderDate])=2022,8,IF(YEAR(dynamic[orderDate])=2023,9,IF(YEAR(dynamic[orderDate])=2024,10,NA))),FALSE)</f>
        <v>12.1154529</v>
      </c>
      <c r="M476" s="9">
        <v>14.4</v>
      </c>
      <c r="N476" s="25">
        <f>(dynamic[orderPrice]-dynamic[productCost])/dynamic[productCost]</f>
        <v>0.18856473</v>
      </c>
      <c r="O476" s="10">
        <v>20.0</v>
      </c>
      <c r="P476" s="25">
        <v>0.25</v>
      </c>
      <c r="Q476" s="9">
        <f>dynamic[orderPrice]*dynamic[orderQuantity]</f>
        <v>288</v>
      </c>
      <c r="R476" s="9">
        <f>dynamic[orderTotal]*(1-dynamic[discountApllied])</f>
        <v>216</v>
      </c>
      <c r="S476" s="9">
        <f>dynamic[revenue]-(dynamic[productCost]*dynamic[orderQuantity])</f>
        <v>-26.30905791</v>
      </c>
      <c r="T476" s="25">
        <f>IFERROR(dynamic[profit]/dynamic[revenue], 0)</f>
        <v>-0.121801194</v>
      </c>
    </row>
    <row r="477" ht="15.75" customHeight="1">
      <c r="A477" s="6">
        <v>10426.0</v>
      </c>
      <c r="B477" s="7" t="s">
        <v>75</v>
      </c>
      <c r="C477" s="24" t="str">
        <f>VLOOKUP(dynamic[customerID],customers[],2,FALSE)</f>
        <v>Galería del gastrónomo</v>
      </c>
      <c r="D477" s="24">
        <v>44953.0</v>
      </c>
      <c r="E477" s="6">
        <f>IFERROR(__xludf.DUMMYFUNCTION("COUNTUNIQUEIFS($A$2:$A477,$B$2:$B477,B477)"),2.0)</f>
        <v>2</v>
      </c>
      <c r="F477" s="6">
        <f t="shared" si="1"/>
        <v>60</v>
      </c>
      <c r="G477" s="6" t="str">
        <f>IF(MINIFS(dynamic[orderDate], dynamic[customerID], B477) &gt;= DATE(2024,4,30)-120, 
     "New", 
     IF(MAXIFS(dynamic[orderCount], dynamic[customerID], B477)&lt;=2, 
        IF((DATE(2024,4,30) - MAXIFS(dynamic[orderDate], dynamic[customerID], B477)) &gt; 180, "Non-Returning", "Dormant"), 
        IF(AND(MAX(dynamic[sinceLastOrder]) &gt; 365, (DATE(2024,4,30) - MAXIFS(dynamic[orderDate], dynamic[customerID], B477)) &gt; 180), 
           "Dormant", "Regular")))</f>
        <v>Regular</v>
      </c>
      <c r="H477" s="6">
        <v>56.0</v>
      </c>
      <c r="I477" s="9" t="str">
        <f>VLOOKUP(dynamic[productID],products[],2,FALSE)</f>
        <v>Gnocchi di nonna Alice</v>
      </c>
      <c r="J477" s="9" t="str">
        <f>VLOOKUP(dynamic[productID],products[],12,FALSE)</f>
        <v>Grains/Cereals</v>
      </c>
      <c r="K477" s="7" t="str">
        <f>IF(VLOOKUP(dynamic[productID],products[],7,FALSE)=1,"Discontinued","Current")</f>
        <v>Current</v>
      </c>
      <c r="L477" s="9">
        <f>VLOOKUP(dynamic[productID],products[],IF(YEAR(dynamic[orderDate])=2022,8,IF(YEAR(dynamic[orderDate])=2023,9,IF(YEAR(dynamic[orderDate])=2024,10,NA))),FALSE)</f>
        <v>24.28342441</v>
      </c>
      <c r="M477" s="9">
        <v>30.4</v>
      </c>
      <c r="N477" s="25">
        <f>(dynamic[orderPrice]-dynamic[productCost])/dynamic[productCost]</f>
        <v>0.2518827447</v>
      </c>
      <c r="O477" s="10">
        <v>5.0</v>
      </c>
      <c r="P477" s="25">
        <v>0.0</v>
      </c>
      <c r="Q477" s="9">
        <f>dynamic[orderPrice]*dynamic[orderQuantity]</f>
        <v>152</v>
      </c>
      <c r="R477" s="9">
        <f>dynamic[orderTotal]*(1-dynamic[discountApllied])</f>
        <v>152</v>
      </c>
      <c r="S477" s="9">
        <f>dynamic[revenue]-(dynamic[productCost]*dynamic[orderQuantity])</f>
        <v>30.58287796</v>
      </c>
      <c r="T477" s="25">
        <f>IFERROR(dynamic[profit]/dynamic[revenue], 0)</f>
        <v>0.2012031445</v>
      </c>
    </row>
    <row r="478" ht="15.75" customHeight="1">
      <c r="A478" s="6">
        <v>10426.0</v>
      </c>
      <c r="B478" s="7" t="s">
        <v>75</v>
      </c>
      <c r="C478" s="24" t="str">
        <f>VLOOKUP(dynamic[customerID],customers[],2,FALSE)</f>
        <v>Galería del gastrónomo</v>
      </c>
      <c r="D478" s="24">
        <v>44953.0</v>
      </c>
      <c r="E478" s="6">
        <f>IFERROR(__xludf.DUMMYFUNCTION("COUNTUNIQUEIFS($A$2:$A478,$B$2:$B478,B478)"),2.0)</f>
        <v>2</v>
      </c>
      <c r="F478" s="6">
        <f t="shared" si="1"/>
        <v>60</v>
      </c>
      <c r="G478" s="6" t="str">
        <f>IF(MINIFS(dynamic[orderDate], dynamic[customerID], B478) &gt;= DATE(2024,4,30)-120, 
     "New", 
     IF(MAXIFS(dynamic[orderCount], dynamic[customerID], B478)&lt;=2, 
        IF((DATE(2024,4,30) - MAXIFS(dynamic[orderDate], dynamic[customerID], B478)) &gt; 180, "Non-Returning", "Dormant"), 
        IF(AND(MAX(dynamic[sinceLastOrder]) &gt; 365, (DATE(2024,4,30) - MAXIFS(dynamic[orderDate], dynamic[customerID], B478)) &gt; 180), 
           "Dormant", "Regular")))</f>
        <v>Regular</v>
      </c>
      <c r="H478" s="6">
        <v>64.0</v>
      </c>
      <c r="I478" s="9" t="str">
        <f>VLOOKUP(dynamic[productID],products[],2,FALSE)</f>
        <v>Lukas' leckere Sauerteigweggla</v>
      </c>
      <c r="J478" s="9" t="str">
        <f>VLOOKUP(dynamic[productID],products[],12,FALSE)</f>
        <v>Grains/Cereals</v>
      </c>
      <c r="K478" s="7" t="str">
        <f>IF(VLOOKUP(dynamic[productID],products[],7,FALSE)=1,"Discontinued","Current")</f>
        <v>Current</v>
      </c>
      <c r="L478" s="9">
        <f>VLOOKUP(dynamic[productID],products[],IF(YEAR(dynamic[orderDate])=2022,8,IF(YEAR(dynamic[orderDate])=2023,9,IF(YEAR(dynamic[orderDate])=2024,10,NA))),FALSE)</f>
        <v>21.88572728</v>
      </c>
      <c r="M478" s="9">
        <v>26.6</v>
      </c>
      <c r="N478" s="25">
        <f>(dynamic[orderPrice]-dynamic[productCost])/dynamic[productCost]</f>
        <v>0.2154039779</v>
      </c>
      <c r="O478" s="10">
        <v>7.0</v>
      </c>
      <c r="P478" s="25">
        <v>0.0</v>
      </c>
      <c r="Q478" s="9">
        <f>dynamic[orderPrice]*dynamic[orderQuantity]</f>
        <v>186.2</v>
      </c>
      <c r="R478" s="9">
        <f>dynamic[orderTotal]*(1-dynamic[discountApllied])</f>
        <v>186.2</v>
      </c>
      <c r="S478" s="9">
        <f>dynamic[revenue]-(dynamic[productCost]*dynamic[orderQuantity])</f>
        <v>32.99990902</v>
      </c>
      <c r="T478" s="25">
        <f>IFERROR(dynamic[profit]/dynamic[revenue], 0)</f>
        <v>0.1772282976</v>
      </c>
    </row>
    <row r="479" ht="15.75" customHeight="1">
      <c r="A479" s="6">
        <v>10427.0</v>
      </c>
      <c r="B479" s="7" t="s">
        <v>69</v>
      </c>
      <c r="C479" s="24" t="str">
        <f>VLOOKUP(dynamic[customerID],customers[],2,FALSE)</f>
        <v>Piccolo und mehr</v>
      </c>
      <c r="D479" s="24">
        <v>44953.0</v>
      </c>
      <c r="E479" s="6">
        <f>IFERROR(__xludf.DUMMYFUNCTION("COUNTUNIQUEIFS($A$2:$A479,$B$2:$B479,B479)"),3.0)</f>
        <v>3</v>
      </c>
      <c r="F479" s="6">
        <f t="shared" si="1"/>
        <v>34</v>
      </c>
      <c r="G479" s="6" t="str">
        <f>IF(MINIFS(dynamic[orderDate], dynamic[customerID], B479) &gt;= DATE(2024,4,30)-120, 
     "New", 
     IF(MAXIFS(dynamic[orderCount], dynamic[customerID], B479)&lt;=2, 
        IF((DATE(2024,4,30) - MAXIFS(dynamic[orderDate], dynamic[customerID], B479)) &gt; 180, "Non-Returning", "Dormant"), 
        IF(AND(MAX(dynamic[sinceLastOrder]) &gt; 365, (DATE(2024,4,30) - MAXIFS(dynamic[orderDate], dynamic[customerID], B479)) &gt; 180), 
           "Dormant", "Regular")))</f>
        <v>Regular</v>
      </c>
      <c r="H479" s="6">
        <v>14.0</v>
      </c>
      <c r="I479" s="9" t="str">
        <f>VLOOKUP(dynamic[productID],products[],2,FALSE)</f>
        <v>Tofu</v>
      </c>
      <c r="J479" s="9" t="str">
        <f>VLOOKUP(dynamic[productID],products[],12,FALSE)</f>
        <v>Produce</v>
      </c>
      <c r="K479" s="7" t="str">
        <f>IF(VLOOKUP(dynamic[productID],products[],7,FALSE)=1,"Discontinued","Current")</f>
        <v>Current</v>
      </c>
      <c r="L479" s="9">
        <f>VLOOKUP(dynamic[productID],products[],IF(YEAR(dynamic[orderDate])=2022,8,IF(YEAR(dynamic[orderDate])=2023,9,IF(YEAR(dynamic[orderDate])=2024,10,NA))),FALSE)</f>
        <v>15.38055417</v>
      </c>
      <c r="M479" s="9">
        <v>18.6</v>
      </c>
      <c r="N479" s="25">
        <f>(dynamic[orderPrice]-dynamic[productCost])/dynamic[productCost]</f>
        <v>0.2093192349</v>
      </c>
      <c r="O479" s="10">
        <v>35.0</v>
      </c>
      <c r="P479" s="25">
        <v>0.0</v>
      </c>
      <c r="Q479" s="9">
        <f>dynamic[orderPrice]*dynamic[orderQuantity]</f>
        <v>651</v>
      </c>
      <c r="R479" s="9">
        <f>dynamic[orderTotal]*(1-dynamic[discountApllied])</f>
        <v>651</v>
      </c>
      <c r="S479" s="9">
        <f>dynamic[revenue]-(dynamic[productCost]*dynamic[orderQuantity])</f>
        <v>112.6806041</v>
      </c>
      <c r="T479" s="25">
        <f>IFERROR(dynamic[profit]/dynamic[revenue], 0)</f>
        <v>0.1730884856</v>
      </c>
    </row>
    <row r="480" ht="15.75" customHeight="1">
      <c r="A480" s="6">
        <v>10428.0</v>
      </c>
      <c r="B480" s="7" t="s">
        <v>45</v>
      </c>
      <c r="C480" s="24" t="str">
        <f>VLOOKUP(dynamic[customerID],customers[],2,FALSE)</f>
        <v>Reggiani Caseifici</v>
      </c>
      <c r="D480" s="24">
        <v>44954.0</v>
      </c>
      <c r="E480" s="6">
        <f>IFERROR(__xludf.DUMMYFUNCTION("COUNTUNIQUEIFS($A$2:$A480,$B$2:$B480,B480)"),2.0)</f>
        <v>2</v>
      </c>
      <c r="F480" s="6">
        <f t="shared" si="1"/>
        <v>158</v>
      </c>
      <c r="G480" s="6" t="str">
        <f>IF(MINIFS(dynamic[orderDate], dynamic[customerID], B480) &gt;= DATE(2024,4,30)-120, 
     "New", 
     IF(MAXIFS(dynamic[orderCount], dynamic[customerID], B480)&lt;=2, 
        IF((DATE(2024,4,30) - MAXIFS(dynamic[orderDate], dynamic[customerID], B480)) &gt; 180, "Non-Returning", "Dormant"), 
        IF(AND(MAX(dynamic[sinceLastOrder]) &gt; 365, (DATE(2024,4,30) - MAXIFS(dynamic[orderDate], dynamic[customerID], B480)) &gt; 180), 
           "Dormant", "Regular")))</f>
        <v>Regular</v>
      </c>
      <c r="H480" s="6">
        <v>46.0</v>
      </c>
      <c r="I480" s="9" t="str">
        <f>VLOOKUP(dynamic[productID],products[],2,FALSE)</f>
        <v>Spegesild</v>
      </c>
      <c r="J480" s="9" t="str">
        <f>VLOOKUP(dynamic[productID],products[],12,FALSE)</f>
        <v>Seafood</v>
      </c>
      <c r="K480" s="7" t="str">
        <f>IF(VLOOKUP(dynamic[productID],products[],7,FALSE)=1,"Discontinued","Current")</f>
        <v>Current</v>
      </c>
      <c r="L480" s="9">
        <f>VLOOKUP(dynamic[productID],products[],IF(YEAR(dynamic[orderDate])=2022,8,IF(YEAR(dynamic[orderDate])=2023,9,IF(YEAR(dynamic[orderDate])=2024,10,NA))),FALSE)</f>
        <v>7.087990753</v>
      </c>
      <c r="M480" s="9">
        <v>9.6</v>
      </c>
      <c r="N480" s="25">
        <f>(dynamic[orderPrice]-dynamic[productCost])/dynamic[productCost]</f>
        <v>0.3544035728</v>
      </c>
      <c r="O480" s="10">
        <v>20.0</v>
      </c>
      <c r="P480" s="25">
        <v>0.0</v>
      </c>
      <c r="Q480" s="9">
        <f>dynamic[orderPrice]*dynamic[orderQuantity]</f>
        <v>192</v>
      </c>
      <c r="R480" s="9">
        <f>dynamic[orderTotal]*(1-dynamic[discountApllied])</f>
        <v>192</v>
      </c>
      <c r="S480" s="9">
        <f>dynamic[revenue]-(dynamic[productCost]*dynamic[orderQuantity])</f>
        <v>50.24018494</v>
      </c>
      <c r="T480" s="25">
        <f>IFERROR(dynamic[profit]/dynamic[revenue], 0)</f>
        <v>0.2616676299</v>
      </c>
    </row>
    <row r="481" ht="15.75" customHeight="1">
      <c r="A481" s="6">
        <v>10429.0</v>
      </c>
      <c r="B481" s="7" t="s">
        <v>49</v>
      </c>
      <c r="C481" s="24" t="str">
        <f>VLOOKUP(dynamic[customerID],customers[],2,FALSE)</f>
        <v>Hungry Owl All-Night Grocers</v>
      </c>
      <c r="D481" s="24">
        <v>44955.0</v>
      </c>
      <c r="E481" s="6">
        <f>IFERROR(__xludf.DUMMYFUNCTION("COUNTUNIQUEIFS($A$2:$A481,$B$2:$B481,B481)"),6.0)</f>
        <v>6</v>
      </c>
      <c r="F481" s="6">
        <f t="shared" si="1"/>
        <v>48</v>
      </c>
      <c r="G481" s="6" t="str">
        <f>IF(MINIFS(dynamic[orderDate], dynamic[customerID], B481) &gt;= DATE(2024,4,30)-120, 
     "New", 
     IF(MAXIFS(dynamic[orderCount], dynamic[customerID], B481)&lt;=2, 
        IF((DATE(2024,4,30) - MAXIFS(dynamic[orderDate], dynamic[customerID], B481)) &gt; 180, "Non-Returning", "Dormant"), 
        IF(AND(MAX(dynamic[sinceLastOrder]) &gt; 365, (DATE(2024,4,30) - MAXIFS(dynamic[orderDate], dynamic[customerID], B481)) &gt; 180), 
           "Dormant", "Regular")))</f>
        <v>Regular</v>
      </c>
      <c r="H481" s="6">
        <v>50.0</v>
      </c>
      <c r="I481" s="9" t="str">
        <f>VLOOKUP(dynamic[productID],products[],2,FALSE)</f>
        <v>Valkoinen suklaa</v>
      </c>
      <c r="J481" s="9" t="str">
        <f>VLOOKUP(dynamic[productID],products[],12,FALSE)</f>
        <v>Confections</v>
      </c>
      <c r="K481" s="7" t="str">
        <f>IF(VLOOKUP(dynamic[productID],products[],7,FALSE)=1,"Discontinued","Current")</f>
        <v>Current</v>
      </c>
      <c r="L481" s="9">
        <f>VLOOKUP(dynamic[productID],products[],IF(YEAR(dynamic[orderDate])=2022,8,IF(YEAR(dynamic[orderDate])=2023,9,IF(YEAR(dynamic[orderDate])=2024,10,NA))),FALSE)</f>
        <v>11.16021436</v>
      </c>
      <c r="M481" s="9">
        <v>13.0</v>
      </c>
      <c r="N481" s="25">
        <f>(dynamic[orderPrice]-dynamic[productCost])/dynamic[productCost]</f>
        <v>0.1648521774</v>
      </c>
      <c r="O481" s="10">
        <v>40.0</v>
      </c>
      <c r="P481" s="25">
        <v>0.0</v>
      </c>
      <c r="Q481" s="9">
        <f>dynamic[orderPrice]*dynamic[orderQuantity]</f>
        <v>520</v>
      </c>
      <c r="R481" s="9">
        <f>dynamic[orderTotal]*(1-dynamic[discountApllied])</f>
        <v>520</v>
      </c>
      <c r="S481" s="9">
        <f>dynamic[revenue]-(dynamic[productCost]*dynamic[orderQuantity])</f>
        <v>73.59142549</v>
      </c>
      <c r="T481" s="25">
        <f>IFERROR(dynamic[profit]/dynamic[revenue], 0)</f>
        <v>0.1415219721</v>
      </c>
    </row>
    <row r="482" ht="15.75" customHeight="1">
      <c r="A482" s="6">
        <v>10429.0</v>
      </c>
      <c r="B482" s="7" t="s">
        <v>49</v>
      </c>
      <c r="C482" s="24" t="str">
        <f>VLOOKUP(dynamic[customerID],customers[],2,FALSE)</f>
        <v>Hungry Owl All-Night Grocers</v>
      </c>
      <c r="D482" s="24">
        <v>44955.0</v>
      </c>
      <c r="E482" s="6">
        <f>IFERROR(__xludf.DUMMYFUNCTION("COUNTUNIQUEIFS($A$2:$A482,$B$2:$B482,B482)"),6.0)</f>
        <v>6</v>
      </c>
      <c r="F482" s="6">
        <f t="shared" si="1"/>
        <v>48</v>
      </c>
      <c r="G482" s="6" t="str">
        <f>IF(MINIFS(dynamic[orderDate], dynamic[customerID], B482) &gt;= DATE(2024,4,30)-120, 
     "New", 
     IF(MAXIFS(dynamic[orderCount], dynamic[customerID], B482)&lt;=2, 
        IF((DATE(2024,4,30) - MAXIFS(dynamic[orderDate], dynamic[customerID], B482)) &gt; 180, "Non-Returning", "Dormant"), 
        IF(AND(MAX(dynamic[sinceLastOrder]) &gt; 365, (DATE(2024,4,30) - MAXIFS(dynamic[orderDate], dynamic[customerID], B482)) &gt; 180), 
           "Dormant", "Regular")))</f>
        <v>Regular</v>
      </c>
      <c r="H482" s="6">
        <v>63.0</v>
      </c>
      <c r="I482" s="9" t="str">
        <f>VLOOKUP(dynamic[productID],products[],2,FALSE)</f>
        <v>Vegie-spread</v>
      </c>
      <c r="J482" s="9" t="str">
        <f>VLOOKUP(dynamic[productID],products[],12,FALSE)</f>
        <v>Condiments</v>
      </c>
      <c r="K482" s="7" t="str">
        <f>IF(VLOOKUP(dynamic[productID],products[],7,FALSE)=1,"Discontinued","Current")</f>
        <v>Current</v>
      </c>
      <c r="L482" s="9">
        <f>VLOOKUP(dynamic[productID],products[],IF(YEAR(dynamic[orderDate])=2022,8,IF(YEAR(dynamic[orderDate])=2023,9,IF(YEAR(dynamic[orderDate])=2024,10,NA))),FALSE)</f>
        <v>27.72225706</v>
      </c>
      <c r="M482" s="9">
        <v>35.1</v>
      </c>
      <c r="N482" s="25">
        <f>(dynamic[orderPrice]-dynamic[productCost])/dynamic[productCost]</f>
        <v>0.2661306736</v>
      </c>
      <c r="O482" s="10">
        <v>35.0</v>
      </c>
      <c r="P482" s="25">
        <v>0.25</v>
      </c>
      <c r="Q482" s="9">
        <f>dynamic[orderPrice]*dynamic[orderQuantity]</f>
        <v>1228.5</v>
      </c>
      <c r="R482" s="9">
        <f>dynamic[orderTotal]*(1-dynamic[discountApllied])</f>
        <v>921.375</v>
      </c>
      <c r="S482" s="9">
        <f>dynamic[revenue]-(dynamic[productCost]*dynamic[orderQuantity])</f>
        <v>-48.90399696</v>
      </c>
      <c r="T482" s="25">
        <f>IFERROR(dynamic[profit]/dynamic[revenue], 0)</f>
        <v>-0.05307719111</v>
      </c>
    </row>
    <row r="483" ht="15.75" customHeight="1">
      <c r="A483" s="6">
        <v>10430.0</v>
      </c>
      <c r="B483" s="7" t="s">
        <v>24</v>
      </c>
      <c r="C483" s="24" t="str">
        <f>VLOOKUP(dynamic[customerID],customers[],2,FALSE)</f>
        <v>Ernst Handel</v>
      </c>
      <c r="D483" s="24">
        <v>44956.0</v>
      </c>
      <c r="E483" s="6">
        <f>IFERROR(__xludf.DUMMYFUNCTION("COUNTUNIQUEIFS($A$2:$A483,$B$2:$B483,B483)"),9.0)</f>
        <v>9</v>
      </c>
      <c r="F483" s="6">
        <f t="shared" si="1"/>
        <v>27</v>
      </c>
      <c r="G483" s="6" t="str">
        <f>IF(MINIFS(dynamic[orderDate], dynamic[customerID], B483) &gt;= DATE(2024,4,30)-120, 
     "New", 
     IF(MAXIFS(dynamic[orderCount], dynamic[customerID], B483)&lt;=2, 
        IF((DATE(2024,4,30) - MAXIFS(dynamic[orderDate], dynamic[customerID], B483)) &gt; 180, "Non-Returning", "Dormant"), 
        IF(AND(MAX(dynamic[sinceLastOrder]) &gt; 365, (DATE(2024,4,30) - MAXIFS(dynamic[orderDate], dynamic[customerID], B483)) &gt; 180), 
           "Dormant", "Regular")))</f>
        <v>Regular</v>
      </c>
      <c r="H483" s="6">
        <v>17.0</v>
      </c>
      <c r="I483" s="9" t="str">
        <f>VLOOKUP(dynamic[productID],products[],2,FALSE)</f>
        <v>Alice Mutton</v>
      </c>
      <c r="J483" s="9" t="str">
        <f>VLOOKUP(dynamic[productID],products[],12,FALSE)</f>
        <v>Meat/Poultry</v>
      </c>
      <c r="K483" s="7" t="str">
        <f>IF(VLOOKUP(dynamic[productID],products[],7,FALSE)=1,"Discontinued","Current")</f>
        <v>Discontinued</v>
      </c>
      <c r="L483" s="9">
        <f>VLOOKUP(dynamic[productID],products[],IF(YEAR(dynamic[orderDate])=2022,8,IF(YEAR(dynamic[orderDate])=2023,9,IF(YEAR(dynamic[orderDate])=2024,10,NA))),FALSE)</f>
        <v>24.83130504</v>
      </c>
      <c r="M483" s="9">
        <v>31.2</v>
      </c>
      <c r="N483" s="25">
        <f>(dynamic[orderPrice]-dynamic[productCost])/dynamic[productCost]</f>
        <v>0.2564784634</v>
      </c>
      <c r="O483" s="10">
        <v>45.0</v>
      </c>
      <c r="P483" s="25">
        <v>0.2</v>
      </c>
      <c r="Q483" s="9">
        <f>dynamic[orderPrice]*dynamic[orderQuantity]</f>
        <v>1404</v>
      </c>
      <c r="R483" s="9">
        <f>dynamic[orderTotal]*(1-dynamic[discountApllied])</f>
        <v>1123.2</v>
      </c>
      <c r="S483" s="9">
        <f>dynamic[revenue]-(dynamic[productCost]*dynamic[orderQuantity])</f>
        <v>5.791273213</v>
      </c>
      <c r="T483" s="25">
        <f>IFERROR(dynamic[profit]/dynamic[revenue], 0)</f>
        <v>0.005156048088</v>
      </c>
    </row>
    <row r="484" ht="15.75" customHeight="1">
      <c r="A484" s="6">
        <v>10430.0</v>
      </c>
      <c r="B484" s="7" t="s">
        <v>24</v>
      </c>
      <c r="C484" s="24" t="str">
        <f>VLOOKUP(dynamic[customerID],customers[],2,FALSE)</f>
        <v>Ernst Handel</v>
      </c>
      <c r="D484" s="24">
        <v>44956.0</v>
      </c>
      <c r="E484" s="6">
        <f>IFERROR(__xludf.DUMMYFUNCTION("COUNTUNIQUEIFS($A$2:$A484,$B$2:$B484,B484)"),9.0)</f>
        <v>9</v>
      </c>
      <c r="F484" s="6">
        <f t="shared" si="1"/>
        <v>27</v>
      </c>
      <c r="G484" s="6" t="str">
        <f>IF(MINIFS(dynamic[orderDate], dynamic[customerID], B484) &gt;= DATE(2024,4,30)-120, 
     "New", 
     IF(MAXIFS(dynamic[orderCount], dynamic[customerID], B484)&lt;=2, 
        IF((DATE(2024,4,30) - MAXIFS(dynamic[orderDate], dynamic[customerID], B484)) &gt; 180, "Non-Returning", "Dormant"), 
        IF(AND(MAX(dynamic[sinceLastOrder]) &gt; 365, (DATE(2024,4,30) - MAXIFS(dynamic[orderDate], dynamic[customerID], B484)) &gt; 180), 
           "Dormant", "Regular")))</f>
        <v>Regular</v>
      </c>
      <c r="H484" s="6">
        <v>21.0</v>
      </c>
      <c r="I484" s="9" t="str">
        <f>VLOOKUP(dynamic[productID],products[],2,FALSE)</f>
        <v>Sir Rodney's Scones</v>
      </c>
      <c r="J484" s="9" t="str">
        <f>VLOOKUP(dynamic[productID],products[],12,FALSE)</f>
        <v>Confections</v>
      </c>
      <c r="K484" s="7" t="str">
        <f>IF(VLOOKUP(dynamic[productID],products[],7,FALSE)=1,"Discontinued","Current")</f>
        <v>Current</v>
      </c>
      <c r="L484" s="9">
        <f>VLOOKUP(dynamic[productID],products[],IF(YEAR(dynamic[orderDate])=2022,8,IF(YEAR(dynamic[orderDate])=2023,9,IF(YEAR(dynamic[orderDate])=2024,10,NA))),FALSE)</f>
        <v>6.725636111</v>
      </c>
      <c r="M484" s="9">
        <v>8.0</v>
      </c>
      <c r="N484" s="25">
        <f>(dynamic[orderPrice]-dynamic[productCost])/dynamic[productCost]</f>
        <v>0.1894785664</v>
      </c>
      <c r="O484" s="10">
        <v>50.0</v>
      </c>
      <c r="P484" s="25">
        <v>0.0</v>
      </c>
      <c r="Q484" s="9">
        <f>dynamic[orderPrice]*dynamic[orderQuantity]</f>
        <v>400</v>
      </c>
      <c r="R484" s="9">
        <f>dynamic[orderTotal]*(1-dynamic[discountApllied])</f>
        <v>400</v>
      </c>
      <c r="S484" s="9">
        <f>dynamic[revenue]-(dynamic[productCost]*dynamic[orderQuantity])</f>
        <v>63.71819443</v>
      </c>
      <c r="T484" s="25">
        <f>IFERROR(dynamic[profit]/dynamic[revenue], 0)</f>
        <v>0.1592954861</v>
      </c>
    </row>
    <row r="485" ht="15.75" customHeight="1">
      <c r="A485" s="6">
        <v>10430.0</v>
      </c>
      <c r="B485" s="7" t="s">
        <v>24</v>
      </c>
      <c r="C485" s="24" t="str">
        <f>VLOOKUP(dynamic[customerID],customers[],2,FALSE)</f>
        <v>Ernst Handel</v>
      </c>
      <c r="D485" s="24">
        <v>44956.0</v>
      </c>
      <c r="E485" s="6">
        <f>IFERROR(__xludf.DUMMYFUNCTION("COUNTUNIQUEIFS($A$2:$A485,$B$2:$B485,B485)"),9.0)</f>
        <v>9</v>
      </c>
      <c r="F485" s="6">
        <f t="shared" si="1"/>
        <v>27</v>
      </c>
      <c r="G485" s="6" t="str">
        <f>IF(MINIFS(dynamic[orderDate], dynamic[customerID], B485) &gt;= DATE(2024,4,30)-120, 
     "New", 
     IF(MAXIFS(dynamic[orderCount], dynamic[customerID], B485)&lt;=2, 
        IF((DATE(2024,4,30) - MAXIFS(dynamic[orderDate], dynamic[customerID], B485)) &gt; 180, "Non-Returning", "Dormant"), 
        IF(AND(MAX(dynamic[sinceLastOrder]) &gt; 365, (DATE(2024,4,30) - MAXIFS(dynamic[orderDate], dynamic[customerID], B485)) &gt; 180), 
           "Dormant", "Regular")))</f>
        <v>Regular</v>
      </c>
      <c r="H485" s="6">
        <v>56.0</v>
      </c>
      <c r="I485" s="9" t="str">
        <f>VLOOKUP(dynamic[productID],products[],2,FALSE)</f>
        <v>Gnocchi di nonna Alice</v>
      </c>
      <c r="J485" s="9" t="str">
        <f>VLOOKUP(dynamic[productID],products[],12,FALSE)</f>
        <v>Grains/Cereals</v>
      </c>
      <c r="K485" s="7" t="str">
        <f>IF(VLOOKUP(dynamic[productID],products[],7,FALSE)=1,"Discontinued","Current")</f>
        <v>Current</v>
      </c>
      <c r="L485" s="9">
        <f>VLOOKUP(dynamic[productID],products[],IF(YEAR(dynamic[orderDate])=2022,8,IF(YEAR(dynamic[orderDate])=2023,9,IF(YEAR(dynamic[orderDate])=2024,10,NA))),FALSE)</f>
        <v>24.28342441</v>
      </c>
      <c r="M485" s="9">
        <v>30.4</v>
      </c>
      <c r="N485" s="25">
        <f>(dynamic[orderPrice]-dynamic[productCost])/dynamic[productCost]</f>
        <v>0.2518827447</v>
      </c>
      <c r="O485" s="10">
        <v>30.0</v>
      </c>
      <c r="P485" s="25">
        <v>0.0</v>
      </c>
      <c r="Q485" s="9">
        <f>dynamic[orderPrice]*dynamic[orderQuantity]</f>
        <v>912</v>
      </c>
      <c r="R485" s="9">
        <f>dynamic[orderTotal]*(1-dynamic[discountApllied])</f>
        <v>912</v>
      </c>
      <c r="S485" s="9">
        <f>dynamic[revenue]-(dynamic[productCost]*dynamic[orderQuantity])</f>
        <v>183.4972678</v>
      </c>
      <c r="T485" s="25">
        <f>IFERROR(dynamic[profit]/dynamic[revenue], 0)</f>
        <v>0.2012031445</v>
      </c>
    </row>
    <row r="486" ht="15.75" customHeight="1">
      <c r="A486" s="6">
        <v>10430.0</v>
      </c>
      <c r="B486" s="7" t="s">
        <v>24</v>
      </c>
      <c r="C486" s="24" t="str">
        <f>VLOOKUP(dynamic[customerID],customers[],2,FALSE)</f>
        <v>Ernst Handel</v>
      </c>
      <c r="D486" s="24">
        <v>44956.0</v>
      </c>
      <c r="E486" s="6">
        <f>IFERROR(__xludf.DUMMYFUNCTION("COUNTUNIQUEIFS($A$2:$A486,$B$2:$B486,B486)"),9.0)</f>
        <v>9</v>
      </c>
      <c r="F486" s="6">
        <f t="shared" si="1"/>
        <v>27</v>
      </c>
      <c r="G486" s="6" t="str">
        <f>IF(MINIFS(dynamic[orderDate], dynamic[customerID], B486) &gt;= DATE(2024,4,30)-120, 
     "New", 
     IF(MAXIFS(dynamic[orderCount], dynamic[customerID], B486)&lt;=2, 
        IF((DATE(2024,4,30) - MAXIFS(dynamic[orderDate], dynamic[customerID], B486)) &gt; 180, "Non-Returning", "Dormant"), 
        IF(AND(MAX(dynamic[sinceLastOrder]) &gt; 365, (DATE(2024,4,30) - MAXIFS(dynamic[orderDate], dynamic[customerID], B486)) &gt; 180), 
           "Dormant", "Regular")))</f>
        <v>Regular</v>
      </c>
      <c r="H486" s="6">
        <v>59.0</v>
      </c>
      <c r="I486" s="9" t="str">
        <f>VLOOKUP(dynamic[productID],products[],2,FALSE)</f>
        <v>Raclette Courdavault</v>
      </c>
      <c r="J486" s="9" t="str">
        <f>VLOOKUP(dynamic[productID],products[],12,FALSE)</f>
        <v>Dairy Products</v>
      </c>
      <c r="K486" s="7" t="str">
        <f>IF(VLOOKUP(dynamic[productID],products[],7,FALSE)=1,"Discontinued","Current")</f>
        <v>Current</v>
      </c>
      <c r="L486" s="9">
        <f>VLOOKUP(dynamic[productID],products[],IF(YEAR(dynamic[orderDate])=2022,8,IF(YEAR(dynamic[orderDate])=2023,9,IF(YEAR(dynamic[orderDate])=2024,10,NA))),FALSE)</f>
        <v>35.20472566</v>
      </c>
      <c r="M486" s="9">
        <v>44.0</v>
      </c>
      <c r="N486" s="25">
        <f>(dynamic[orderPrice]-dynamic[productCost])/dynamic[productCost]</f>
        <v>0.2498322078</v>
      </c>
      <c r="O486" s="10">
        <v>70.0</v>
      </c>
      <c r="P486" s="25">
        <v>0.2</v>
      </c>
      <c r="Q486" s="9">
        <f>dynamic[orderPrice]*dynamic[orderQuantity]</f>
        <v>3080</v>
      </c>
      <c r="R486" s="9">
        <f>dynamic[orderTotal]*(1-dynamic[discountApllied])</f>
        <v>2464</v>
      </c>
      <c r="S486" s="9">
        <f>dynamic[revenue]-(dynamic[productCost]*dynamic[orderQuantity])</f>
        <v>-0.3307963142</v>
      </c>
      <c r="T486" s="25">
        <f>IFERROR(dynamic[profit]/dynamic[revenue], 0)</f>
        <v>-0.0001342517509</v>
      </c>
    </row>
    <row r="487" ht="15.75" customHeight="1">
      <c r="A487" s="6">
        <v>10431.0</v>
      </c>
      <c r="B487" s="7" t="s">
        <v>81</v>
      </c>
      <c r="C487" s="24" t="str">
        <f>VLOOKUP(dynamic[customerID],customers[],2,FALSE)</f>
        <v>Bottom-Dollar Markets</v>
      </c>
      <c r="D487" s="24">
        <v>44956.0</v>
      </c>
      <c r="E487" s="6">
        <f>IFERROR(__xludf.DUMMYFUNCTION("COUNTUNIQUEIFS($A$2:$A487,$B$2:$B487,B487)"),4.0)</f>
        <v>4</v>
      </c>
      <c r="F487" s="6">
        <f t="shared" si="1"/>
        <v>20</v>
      </c>
      <c r="G487" s="6" t="str">
        <f>IF(MINIFS(dynamic[orderDate], dynamic[customerID], B487) &gt;= DATE(2024,4,30)-120, 
     "New", 
     IF(MAXIFS(dynamic[orderCount], dynamic[customerID], B487)&lt;=2, 
        IF((DATE(2024,4,30) - MAXIFS(dynamic[orderDate], dynamic[customerID], B487)) &gt; 180, "Non-Returning", "Dormant"), 
        IF(AND(MAX(dynamic[sinceLastOrder]) &gt; 365, (DATE(2024,4,30) - MAXIFS(dynamic[orderDate], dynamic[customerID], B487)) &gt; 180), 
           "Dormant", "Regular")))</f>
        <v>Regular</v>
      </c>
      <c r="H487" s="6">
        <v>17.0</v>
      </c>
      <c r="I487" s="9" t="str">
        <f>VLOOKUP(dynamic[productID],products[],2,FALSE)</f>
        <v>Alice Mutton</v>
      </c>
      <c r="J487" s="9" t="str">
        <f>VLOOKUP(dynamic[productID],products[],12,FALSE)</f>
        <v>Meat/Poultry</v>
      </c>
      <c r="K487" s="7" t="str">
        <f>IF(VLOOKUP(dynamic[productID],products[],7,FALSE)=1,"Discontinued","Current")</f>
        <v>Discontinued</v>
      </c>
      <c r="L487" s="9">
        <f>VLOOKUP(dynamic[productID],products[],IF(YEAR(dynamic[orderDate])=2022,8,IF(YEAR(dynamic[orderDate])=2023,9,IF(YEAR(dynamic[orderDate])=2024,10,NA))),FALSE)</f>
        <v>24.83130504</v>
      </c>
      <c r="M487" s="9">
        <v>31.2</v>
      </c>
      <c r="N487" s="25">
        <f>(dynamic[orderPrice]-dynamic[productCost])/dynamic[productCost]</f>
        <v>0.2564784634</v>
      </c>
      <c r="O487" s="10">
        <v>50.0</v>
      </c>
      <c r="P487" s="25">
        <v>0.25</v>
      </c>
      <c r="Q487" s="9">
        <f>dynamic[orderPrice]*dynamic[orderQuantity]</f>
        <v>1560</v>
      </c>
      <c r="R487" s="9">
        <f>dynamic[orderTotal]*(1-dynamic[discountApllied])</f>
        <v>1170</v>
      </c>
      <c r="S487" s="9">
        <f>dynamic[revenue]-(dynamic[productCost]*dynamic[orderQuantity])</f>
        <v>-71.56525199</v>
      </c>
      <c r="T487" s="25">
        <f>IFERROR(dynamic[profit]/dynamic[revenue], 0)</f>
        <v>-0.06116688204</v>
      </c>
    </row>
    <row r="488" ht="15.75" customHeight="1">
      <c r="A488" s="6">
        <v>10431.0</v>
      </c>
      <c r="B488" s="7" t="s">
        <v>81</v>
      </c>
      <c r="C488" s="24" t="str">
        <f>VLOOKUP(dynamic[customerID],customers[],2,FALSE)</f>
        <v>Bottom-Dollar Markets</v>
      </c>
      <c r="D488" s="24">
        <v>44956.0</v>
      </c>
      <c r="E488" s="6">
        <f>IFERROR(__xludf.DUMMYFUNCTION("COUNTUNIQUEIFS($A$2:$A488,$B$2:$B488,B488)"),4.0)</f>
        <v>4</v>
      </c>
      <c r="F488" s="6">
        <f t="shared" si="1"/>
        <v>20</v>
      </c>
      <c r="G488" s="6" t="str">
        <f>IF(MINIFS(dynamic[orderDate], dynamic[customerID], B488) &gt;= DATE(2024,4,30)-120, 
     "New", 
     IF(MAXIFS(dynamic[orderCount], dynamic[customerID], B488)&lt;=2, 
        IF((DATE(2024,4,30) - MAXIFS(dynamic[orderDate], dynamic[customerID], B488)) &gt; 180, "Non-Returning", "Dormant"), 
        IF(AND(MAX(dynamic[sinceLastOrder]) &gt; 365, (DATE(2024,4,30) - MAXIFS(dynamic[orderDate], dynamic[customerID], B488)) &gt; 180), 
           "Dormant", "Regular")))</f>
        <v>Regular</v>
      </c>
      <c r="H488" s="6">
        <v>40.0</v>
      </c>
      <c r="I488" s="9" t="str">
        <f>VLOOKUP(dynamic[productID],products[],2,FALSE)</f>
        <v>Boston Crab Meat</v>
      </c>
      <c r="J488" s="9" t="str">
        <f>VLOOKUP(dynamic[productID],products[],12,FALSE)</f>
        <v>Seafood</v>
      </c>
      <c r="K488" s="7" t="str">
        <f>IF(VLOOKUP(dynamic[productID],products[],7,FALSE)=1,"Discontinued","Current")</f>
        <v>Current</v>
      </c>
      <c r="L488" s="9">
        <f>VLOOKUP(dynamic[productID],products[],IF(YEAR(dynamic[orderDate])=2022,8,IF(YEAR(dynamic[orderDate])=2023,9,IF(YEAR(dynamic[orderDate])=2024,10,NA))),FALSE)</f>
        <v>11.40496523</v>
      </c>
      <c r="M488" s="9">
        <v>14.7</v>
      </c>
      <c r="N488" s="25">
        <f>(dynamic[orderPrice]-dynamic[productCost])/dynamic[productCost]</f>
        <v>0.2889123033</v>
      </c>
      <c r="O488" s="10">
        <v>50.0</v>
      </c>
      <c r="P488" s="25">
        <v>0.25</v>
      </c>
      <c r="Q488" s="9">
        <f>dynamic[orderPrice]*dynamic[orderQuantity]</f>
        <v>735</v>
      </c>
      <c r="R488" s="9">
        <f>dynamic[orderTotal]*(1-dynamic[discountApllied])</f>
        <v>551.25</v>
      </c>
      <c r="S488" s="9">
        <f>dynamic[revenue]-(dynamic[productCost]*dynamic[orderQuantity])</f>
        <v>-18.99826135</v>
      </c>
      <c r="T488" s="25">
        <f>IFERROR(dynamic[profit]/dynamic[revenue], 0)</f>
        <v>-0.03446396617</v>
      </c>
    </row>
    <row r="489" ht="15.75" customHeight="1">
      <c r="A489" s="6">
        <v>10431.0</v>
      </c>
      <c r="B489" s="7" t="s">
        <v>81</v>
      </c>
      <c r="C489" s="24" t="str">
        <f>VLOOKUP(dynamic[customerID],customers[],2,FALSE)</f>
        <v>Bottom-Dollar Markets</v>
      </c>
      <c r="D489" s="24">
        <v>44956.0</v>
      </c>
      <c r="E489" s="6">
        <f>IFERROR(__xludf.DUMMYFUNCTION("COUNTUNIQUEIFS($A$2:$A489,$B$2:$B489,B489)"),4.0)</f>
        <v>4</v>
      </c>
      <c r="F489" s="6">
        <f t="shared" si="1"/>
        <v>20</v>
      </c>
      <c r="G489" s="6" t="str">
        <f>IF(MINIFS(dynamic[orderDate], dynamic[customerID], B489) &gt;= DATE(2024,4,30)-120, 
     "New", 
     IF(MAXIFS(dynamic[orderCount], dynamic[customerID], B489)&lt;=2, 
        IF((DATE(2024,4,30) - MAXIFS(dynamic[orderDate], dynamic[customerID], B489)) &gt; 180, "Non-Returning", "Dormant"), 
        IF(AND(MAX(dynamic[sinceLastOrder]) &gt; 365, (DATE(2024,4,30) - MAXIFS(dynamic[orderDate], dynamic[customerID], B489)) &gt; 180), 
           "Dormant", "Regular")))</f>
        <v>Regular</v>
      </c>
      <c r="H489" s="6">
        <v>47.0</v>
      </c>
      <c r="I489" s="9" t="str">
        <f>VLOOKUP(dynamic[productID],products[],2,FALSE)</f>
        <v>Zaanse koeken</v>
      </c>
      <c r="J489" s="9" t="str">
        <f>VLOOKUP(dynamic[productID],products[],12,FALSE)</f>
        <v>Confections</v>
      </c>
      <c r="K489" s="7" t="str">
        <f>IF(VLOOKUP(dynamic[productID],products[],7,FALSE)=1,"Discontinued","Current")</f>
        <v>Current</v>
      </c>
      <c r="L489" s="9">
        <f>VLOOKUP(dynamic[productID],products[],IF(YEAR(dynamic[orderDate])=2022,8,IF(YEAR(dynamic[orderDate])=2023,9,IF(YEAR(dynamic[orderDate])=2024,10,NA))),FALSE)</f>
        <v>6.57708833</v>
      </c>
      <c r="M489" s="9">
        <v>7.6</v>
      </c>
      <c r="N489" s="25">
        <f>(dynamic[orderPrice]-dynamic[productCost])/dynamic[productCost]</f>
        <v>0.1555265215</v>
      </c>
      <c r="O489" s="10">
        <v>30.0</v>
      </c>
      <c r="P489" s="25">
        <v>0.25</v>
      </c>
      <c r="Q489" s="9">
        <f>dynamic[orderPrice]*dynamic[orderQuantity]</f>
        <v>228</v>
      </c>
      <c r="R489" s="9">
        <f>dynamic[orderTotal]*(1-dynamic[discountApllied])</f>
        <v>171</v>
      </c>
      <c r="S489" s="9">
        <f>dynamic[revenue]-(dynamic[productCost]*dynamic[orderQuantity])</f>
        <v>-26.31264991</v>
      </c>
      <c r="T489" s="25">
        <f>IFERROR(dynamic[profit]/dynamic[revenue], 0)</f>
        <v>-0.1538751457</v>
      </c>
    </row>
    <row r="490" ht="15.75" customHeight="1">
      <c r="A490" s="6">
        <v>10432.0</v>
      </c>
      <c r="B490" s="7" t="s">
        <v>35</v>
      </c>
      <c r="C490" s="24" t="str">
        <f>VLOOKUP(dynamic[customerID],customers[],2,FALSE)</f>
        <v>Split Rail Beer &amp; Ale</v>
      </c>
      <c r="D490" s="24">
        <v>44957.0</v>
      </c>
      <c r="E490" s="6">
        <f>IFERROR(__xludf.DUMMYFUNCTION("COUNTUNIQUEIFS($A$2:$A490,$B$2:$B490,B490)"),6.0)</f>
        <v>6</v>
      </c>
      <c r="F490" s="6">
        <f t="shared" si="1"/>
        <v>45</v>
      </c>
      <c r="G490" s="6" t="str">
        <f>IF(MINIFS(dynamic[orderDate], dynamic[customerID], B490) &gt;= DATE(2024,4,30)-120, 
     "New", 
     IF(MAXIFS(dynamic[orderCount], dynamic[customerID], B490)&lt;=2, 
        IF((DATE(2024,4,30) - MAXIFS(dynamic[orderDate], dynamic[customerID], B490)) &gt; 180, "Non-Returning", "Dormant"), 
        IF(AND(MAX(dynamic[sinceLastOrder]) &gt; 365, (DATE(2024,4,30) - MAXIFS(dynamic[orderDate], dynamic[customerID], B490)) &gt; 180), 
           "Dormant", "Regular")))</f>
        <v>Regular</v>
      </c>
      <c r="H490" s="6">
        <v>26.0</v>
      </c>
      <c r="I490" s="9" t="str">
        <f>VLOOKUP(dynamic[productID],products[],2,FALSE)</f>
        <v>NuNuCa Nuß-Nougat-Creme</v>
      </c>
      <c r="J490" s="9" t="str">
        <f>VLOOKUP(dynamic[productID],products[],12,FALSE)</f>
        <v>Confections</v>
      </c>
      <c r="K490" s="7" t="str">
        <f>IF(VLOOKUP(dynamic[productID],products[],7,FALSE)=1,"Discontinued","Current")</f>
        <v>Current</v>
      </c>
      <c r="L490" s="9">
        <f>VLOOKUP(dynamic[productID],products[],IF(YEAR(dynamic[orderDate])=2022,8,IF(YEAR(dynamic[orderDate])=2023,9,IF(YEAR(dynamic[orderDate])=2024,10,NA))),FALSE)</f>
        <v>21.20896201</v>
      </c>
      <c r="M490" s="9">
        <v>24.9</v>
      </c>
      <c r="N490" s="25">
        <f>(dynamic[orderPrice]-dynamic[productCost])/dynamic[productCost]</f>
        <v>0.1740319958</v>
      </c>
      <c r="O490" s="10">
        <v>10.0</v>
      </c>
      <c r="P490" s="25">
        <v>0.0</v>
      </c>
      <c r="Q490" s="9">
        <f>dynamic[orderPrice]*dynamic[orderQuantity]</f>
        <v>249</v>
      </c>
      <c r="R490" s="9">
        <f>dynamic[orderTotal]*(1-dynamic[discountApllied])</f>
        <v>249</v>
      </c>
      <c r="S490" s="9">
        <f>dynamic[revenue]-(dynamic[productCost]*dynamic[orderQuantity])</f>
        <v>36.91037987</v>
      </c>
      <c r="T490" s="25">
        <f>IFERROR(dynamic[profit]/dynamic[revenue], 0)</f>
        <v>0.1482344573</v>
      </c>
    </row>
    <row r="491" ht="15.75" customHeight="1">
      <c r="A491" s="6">
        <v>10432.0</v>
      </c>
      <c r="B491" s="7" t="s">
        <v>35</v>
      </c>
      <c r="C491" s="24" t="str">
        <f>VLOOKUP(dynamic[customerID],customers[],2,FALSE)</f>
        <v>Split Rail Beer &amp; Ale</v>
      </c>
      <c r="D491" s="24">
        <v>44957.0</v>
      </c>
      <c r="E491" s="6">
        <f>IFERROR(__xludf.DUMMYFUNCTION("COUNTUNIQUEIFS($A$2:$A491,$B$2:$B491,B491)"),6.0)</f>
        <v>6</v>
      </c>
      <c r="F491" s="6">
        <f t="shared" si="1"/>
        <v>45</v>
      </c>
      <c r="G491" s="6" t="str">
        <f>IF(MINIFS(dynamic[orderDate], dynamic[customerID], B491) &gt;= DATE(2024,4,30)-120, 
     "New", 
     IF(MAXIFS(dynamic[orderCount], dynamic[customerID], B491)&lt;=2, 
        IF((DATE(2024,4,30) - MAXIFS(dynamic[orderDate], dynamic[customerID], B491)) &gt; 180, "Non-Returning", "Dormant"), 
        IF(AND(MAX(dynamic[sinceLastOrder]) &gt; 365, (DATE(2024,4,30) - MAXIFS(dynamic[orderDate], dynamic[customerID], B491)) &gt; 180), 
           "Dormant", "Regular")))</f>
        <v>Regular</v>
      </c>
      <c r="H491" s="6">
        <v>54.0</v>
      </c>
      <c r="I491" s="9" t="str">
        <f>VLOOKUP(dynamic[productID],products[],2,FALSE)</f>
        <v>Tourtière</v>
      </c>
      <c r="J491" s="9" t="str">
        <f>VLOOKUP(dynamic[productID],products[],12,FALSE)</f>
        <v>Meat/Poultry</v>
      </c>
      <c r="K491" s="7" t="str">
        <f>IF(VLOOKUP(dynamic[productID],products[],7,FALSE)=1,"Discontinued","Current")</f>
        <v>Current</v>
      </c>
      <c r="L491" s="9">
        <f>VLOOKUP(dynamic[productID],products[],IF(YEAR(dynamic[orderDate])=2022,8,IF(YEAR(dynamic[orderDate])=2023,9,IF(YEAR(dynamic[orderDate])=2024,10,NA))),FALSE)</f>
        <v>4.924447797</v>
      </c>
      <c r="M491" s="9">
        <v>5.9</v>
      </c>
      <c r="N491" s="25">
        <f>(dynamic[orderPrice]-dynamic[productCost])/dynamic[productCost]</f>
        <v>0.1981038774</v>
      </c>
      <c r="O491" s="10">
        <v>40.0</v>
      </c>
      <c r="P491" s="25">
        <v>0.0</v>
      </c>
      <c r="Q491" s="9">
        <f>dynamic[orderPrice]*dynamic[orderQuantity]</f>
        <v>236</v>
      </c>
      <c r="R491" s="9">
        <f>dynamic[orderTotal]*(1-dynamic[discountApllied])</f>
        <v>236</v>
      </c>
      <c r="S491" s="9">
        <f>dynamic[revenue]-(dynamic[productCost]*dynamic[orderQuantity])</f>
        <v>39.02208812</v>
      </c>
      <c r="T491" s="25">
        <f>IFERROR(dynamic[profit]/dynamic[revenue], 0)</f>
        <v>0.165347831</v>
      </c>
    </row>
    <row r="492" ht="15.75" customHeight="1">
      <c r="A492" s="6">
        <v>10433.0</v>
      </c>
      <c r="B492" s="7" t="s">
        <v>65</v>
      </c>
      <c r="C492" s="24" t="str">
        <f>VLOOKUP(dynamic[customerID],customers[],2,FALSE)</f>
        <v>Princesa Isabel Vinhos</v>
      </c>
      <c r="D492" s="24">
        <v>44960.0</v>
      </c>
      <c r="E492" s="6">
        <f>IFERROR(__xludf.DUMMYFUNCTION("COUNTUNIQUEIFS($A$2:$A492,$B$2:$B492,B492)"),3.0)</f>
        <v>3</v>
      </c>
      <c r="F492" s="6">
        <f t="shared" si="1"/>
        <v>38</v>
      </c>
      <c r="G492" s="6" t="str">
        <f>IF(MINIFS(dynamic[orderDate], dynamic[customerID], B492) &gt;= DATE(2024,4,30)-120, 
     "New", 
     IF(MAXIFS(dynamic[orderCount], dynamic[customerID], B492)&lt;=2, 
        IF((DATE(2024,4,30) - MAXIFS(dynamic[orderDate], dynamic[customerID], B492)) &gt; 180, "Non-Returning", "Dormant"), 
        IF(AND(MAX(dynamic[sinceLastOrder]) &gt; 365, (DATE(2024,4,30) - MAXIFS(dynamic[orderDate], dynamic[customerID], B492)) &gt; 180), 
           "Dormant", "Regular")))</f>
        <v>Regular</v>
      </c>
      <c r="H492" s="6">
        <v>56.0</v>
      </c>
      <c r="I492" s="9" t="str">
        <f>VLOOKUP(dynamic[productID],products[],2,FALSE)</f>
        <v>Gnocchi di nonna Alice</v>
      </c>
      <c r="J492" s="9" t="str">
        <f>VLOOKUP(dynamic[productID],products[],12,FALSE)</f>
        <v>Grains/Cereals</v>
      </c>
      <c r="K492" s="7" t="str">
        <f>IF(VLOOKUP(dynamic[productID],products[],7,FALSE)=1,"Discontinued","Current")</f>
        <v>Current</v>
      </c>
      <c r="L492" s="9">
        <f>VLOOKUP(dynamic[productID],products[],IF(YEAR(dynamic[orderDate])=2022,8,IF(YEAR(dynamic[orderDate])=2023,9,IF(YEAR(dynamic[orderDate])=2024,10,NA))),FALSE)</f>
        <v>24.28342441</v>
      </c>
      <c r="M492" s="9">
        <v>30.4</v>
      </c>
      <c r="N492" s="25">
        <f>(dynamic[orderPrice]-dynamic[productCost])/dynamic[productCost]</f>
        <v>0.2518827447</v>
      </c>
      <c r="O492" s="10">
        <v>28.0</v>
      </c>
      <c r="P492" s="25">
        <v>0.0</v>
      </c>
      <c r="Q492" s="9">
        <f>dynamic[orderPrice]*dynamic[orderQuantity]</f>
        <v>851.2</v>
      </c>
      <c r="R492" s="9">
        <f>dynamic[orderTotal]*(1-dynamic[discountApllied])</f>
        <v>851.2</v>
      </c>
      <c r="S492" s="9">
        <f>dynamic[revenue]-(dynamic[productCost]*dynamic[orderQuantity])</f>
        <v>171.2641166</v>
      </c>
      <c r="T492" s="25">
        <f>IFERROR(dynamic[profit]/dynamic[revenue], 0)</f>
        <v>0.2012031445</v>
      </c>
    </row>
    <row r="493" ht="15.75" customHeight="1">
      <c r="A493" s="6">
        <v>10434.0</v>
      </c>
      <c r="B493" s="7" t="s">
        <v>29</v>
      </c>
      <c r="C493" s="24" t="str">
        <f>VLOOKUP(dynamic[customerID],customers[],2,FALSE)</f>
        <v>Folk och fä HB</v>
      </c>
      <c r="D493" s="24">
        <v>44960.0</v>
      </c>
      <c r="E493" s="6">
        <f>IFERROR(__xludf.DUMMYFUNCTION("COUNTUNIQUEIFS($A$2:$A493,$B$2:$B493,B493)"),4.0)</f>
        <v>4</v>
      </c>
      <c r="F493" s="6">
        <f t="shared" si="1"/>
        <v>55</v>
      </c>
      <c r="G493" s="6" t="str">
        <f>IF(MINIFS(dynamic[orderDate], dynamic[customerID], B493) &gt;= DATE(2024,4,30)-120, 
     "New", 
     IF(MAXIFS(dynamic[orderCount], dynamic[customerID], B493)&lt;=2, 
        IF((DATE(2024,4,30) - MAXIFS(dynamic[orderDate], dynamic[customerID], B493)) &gt; 180, "Non-Returning", "Dormant"), 
        IF(AND(MAX(dynamic[sinceLastOrder]) &gt; 365, (DATE(2024,4,30) - MAXIFS(dynamic[orderDate], dynamic[customerID], B493)) &gt; 180), 
           "Dormant", "Regular")))</f>
        <v>Regular</v>
      </c>
      <c r="H493" s="6">
        <v>11.0</v>
      </c>
      <c r="I493" s="9" t="str">
        <f>VLOOKUP(dynamic[productID],products[],2,FALSE)</f>
        <v>Queso Cabrales</v>
      </c>
      <c r="J493" s="9" t="str">
        <f>VLOOKUP(dynamic[productID],products[],12,FALSE)</f>
        <v>Dairy Products</v>
      </c>
      <c r="K493" s="7" t="str">
        <f>IF(VLOOKUP(dynamic[productID],products[],7,FALSE)=1,"Discontinued","Current")</f>
        <v>Current</v>
      </c>
      <c r="L493" s="9">
        <f>VLOOKUP(dynamic[productID],products[],IF(YEAR(dynamic[orderDate])=2022,8,IF(YEAR(dynamic[orderDate])=2023,9,IF(YEAR(dynamic[orderDate])=2024,10,NA))),FALSE)</f>
        <v>12.90188125</v>
      </c>
      <c r="M493" s="9">
        <v>16.8</v>
      </c>
      <c r="N493" s="25">
        <f>(dynamic[orderPrice]-dynamic[productCost])/dynamic[productCost]</f>
        <v>0.3021356863</v>
      </c>
      <c r="O493" s="10">
        <v>6.0</v>
      </c>
      <c r="P493" s="25">
        <v>0.0</v>
      </c>
      <c r="Q493" s="9">
        <f>dynamic[orderPrice]*dynamic[orderQuantity]</f>
        <v>100.8</v>
      </c>
      <c r="R493" s="9">
        <f>dynamic[orderTotal]*(1-dynamic[discountApllied])</f>
        <v>100.8</v>
      </c>
      <c r="S493" s="9">
        <f>dynamic[revenue]-(dynamic[productCost]*dynamic[orderQuantity])</f>
        <v>23.38871248</v>
      </c>
      <c r="T493" s="25">
        <f>IFERROR(dynamic[profit]/dynamic[revenue], 0)</f>
        <v>0.2320308778</v>
      </c>
    </row>
    <row r="494" ht="15.75" customHeight="1">
      <c r="A494" s="6">
        <v>10434.0</v>
      </c>
      <c r="B494" s="7" t="s">
        <v>29</v>
      </c>
      <c r="C494" s="24" t="str">
        <f>VLOOKUP(dynamic[customerID],customers[],2,FALSE)</f>
        <v>Folk och fä HB</v>
      </c>
      <c r="D494" s="24">
        <v>44960.0</v>
      </c>
      <c r="E494" s="6">
        <f>IFERROR(__xludf.DUMMYFUNCTION("COUNTUNIQUEIFS($A$2:$A494,$B$2:$B494,B494)"),4.0)</f>
        <v>4</v>
      </c>
      <c r="F494" s="6">
        <f t="shared" si="1"/>
        <v>55</v>
      </c>
      <c r="G494" s="6" t="str">
        <f>IF(MINIFS(dynamic[orderDate], dynamic[customerID], B494) &gt;= DATE(2024,4,30)-120, 
     "New", 
     IF(MAXIFS(dynamic[orderCount], dynamic[customerID], B494)&lt;=2, 
        IF((DATE(2024,4,30) - MAXIFS(dynamic[orderDate], dynamic[customerID], B494)) &gt; 180, "Non-Returning", "Dormant"), 
        IF(AND(MAX(dynamic[sinceLastOrder]) &gt; 365, (DATE(2024,4,30) - MAXIFS(dynamic[orderDate], dynamic[customerID], B494)) &gt; 180), 
           "Dormant", "Regular")))</f>
        <v>Regular</v>
      </c>
      <c r="H494" s="6">
        <v>76.0</v>
      </c>
      <c r="I494" s="9" t="str">
        <f>VLOOKUP(dynamic[productID],products[],2,FALSE)</f>
        <v>Lakkalikööri</v>
      </c>
      <c r="J494" s="9" t="str">
        <f>VLOOKUP(dynamic[productID],products[],12,FALSE)</f>
        <v>Beverages</v>
      </c>
      <c r="K494" s="7" t="str">
        <f>IF(VLOOKUP(dynamic[productID],products[],7,FALSE)=1,"Discontinued","Current")</f>
        <v>Current</v>
      </c>
      <c r="L494" s="9">
        <f>VLOOKUP(dynamic[productID],products[],IF(YEAR(dynamic[orderDate])=2022,8,IF(YEAR(dynamic[orderDate])=2023,9,IF(YEAR(dynamic[orderDate])=2024,10,NA))),FALSE)</f>
        <v>12.1154529</v>
      </c>
      <c r="M494" s="9">
        <v>14.4</v>
      </c>
      <c r="N494" s="25">
        <f>(dynamic[orderPrice]-dynamic[productCost])/dynamic[productCost]</f>
        <v>0.18856473</v>
      </c>
      <c r="O494" s="10">
        <v>18.0</v>
      </c>
      <c r="P494" s="25">
        <v>0.15</v>
      </c>
      <c r="Q494" s="9">
        <f>dynamic[orderPrice]*dynamic[orderQuantity]</f>
        <v>259.2</v>
      </c>
      <c r="R494" s="9">
        <f>dynamic[orderTotal]*(1-dynamic[discountApllied])</f>
        <v>220.32</v>
      </c>
      <c r="S494" s="9">
        <f>dynamic[revenue]-(dynamic[productCost]*dynamic[orderQuantity])</f>
        <v>2.241847881</v>
      </c>
      <c r="T494" s="25">
        <f>IFERROR(dynamic[profit]/dynamic[revenue], 0)</f>
        <v>0.01017541704</v>
      </c>
    </row>
    <row r="495" ht="15.75" customHeight="1">
      <c r="A495" s="6">
        <v>10435.0</v>
      </c>
      <c r="B495" s="7" t="s">
        <v>87</v>
      </c>
      <c r="C495" s="24" t="str">
        <f>VLOOKUP(dynamic[customerID],customers[],2,FALSE)</f>
        <v>Consolidated Holdings</v>
      </c>
      <c r="D495" s="24">
        <v>44961.0</v>
      </c>
      <c r="E495" s="6">
        <f>IFERROR(__xludf.DUMMYFUNCTION("COUNTUNIQUEIFS($A$2:$A495,$B$2:$B495,B495)"),1.0)</f>
        <v>1</v>
      </c>
      <c r="F495" s="6">
        <f t="shared" si="1"/>
        <v>0</v>
      </c>
      <c r="G495" s="6" t="str">
        <f>IF(MINIFS(dynamic[orderDate], dynamic[customerID], B495) &gt;= DATE(2024,4,30)-120, 
     "New", 
     IF(MAXIFS(dynamic[orderCount], dynamic[customerID], B495)&lt;=2, 
        IF((DATE(2024,4,30) - MAXIFS(dynamic[orderDate], dynamic[customerID], B495)) &gt; 180, "Non-Returning", "Dormant"), 
        IF(AND(MAX(dynamic[sinceLastOrder]) &gt; 365, (DATE(2024,4,30) - MAXIFS(dynamic[orderDate], dynamic[customerID], B495)) &gt; 180), 
           "Dormant", "Regular")))</f>
        <v>Regular</v>
      </c>
      <c r="H495" s="6">
        <v>2.0</v>
      </c>
      <c r="I495" s="9" t="str">
        <f>VLOOKUP(dynamic[productID],products[],2,FALSE)</f>
        <v>Chang</v>
      </c>
      <c r="J495" s="9" t="str">
        <f>VLOOKUP(dynamic[productID],products[],12,FALSE)</f>
        <v>Beverages</v>
      </c>
      <c r="K495" s="7" t="str">
        <f>IF(VLOOKUP(dynamic[productID],products[],7,FALSE)=1,"Discontinued","Current")</f>
        <v>Current</v>
      </c>
      <c r="L495" s="9">
        <f>VLOOKUP(dynamic[productID],products[],IF(YEAR(dynamic[orderDate])=2022,8,IF(YEAR(dynamic[orderDate])=2023,9,IF(YEAR(dynamic[orderDate])=2024,10,NA))),FALSE)</f>
        <v>12.14626904</v>
      </c>
      <c r="M495" s="9">
        <v>15.2</v>
      </c>
      <c r="N495" s="25">
        <f>(dynamic[orderPrice]-dynamic[productCost])/dynamic[productCost]</f>
        <v>0.2514130837</v>
      </c>
      <c r="O495" s="10">
        <v>10.0</v>
      </c>
      <c r="P495" s="25">
        <v>0.0</v>
      </c>
      <c r="Q495" s="9">
        <f>dynamic[orderPrice]*dynamic[orderQuantity]</f>
        <v>152</v>
      </c>
      <c r="R495" s="9">
        <f>dynamic[orderTotal]*(1-dynamic[discountApllied])</f>
        <v>152</v>
      </c>
      <c r="S495" s="9">
        <f>dynamic[revenue]-(dynamic[productCost]*dynamic[orderQuantity])</f>
        <v>30.53730956</v>
      </c>
      <c r="T495" s="25">
        <f>IFERROR(dynamic[profit]/dynamic[revenue], 0)</f>
        <v>0.2009033524</v>
      </c>
    </row>
    <row r="496" ht="15.75" customHeight="1">
      <c r="A496" s="6">
        <v>10435.0</v>
      </c>
      <c r="B496" s="7" t="s">
        <v>87</v>
      </c>
      <c r="C496" s="24" t="str">
        <f>VLOOKUP(dynamic[customerID],customers[],2,FALSE)</f>
        <v>Consolidated Holdings</v>
      </c>
      <c r="D496" s="24">
        <v>44961.0</v>
      </c>
      <c r="E496" s="6">
        <f>IFERROR(__xludf.DUMMYFUNCTION("COUNTUNIQUEIFS($A$2:$A496,$B$2:$B496,B496)"),1.0)</f>
        <v>1</v>
      </c>
      <c r="F496" s="6">
        <f t="shared" si="1"/>
        <v>0</v>
      </c>
      <c r="G496" s="6" t="str">
        <f>IF(MINIFS(dynamic[orderDate], dynamic[customerID], B496) &gt;= DATE(2024,4,30)-120, 
     "New", 
     IF(MAXIFS(dynamic[orderCount], dynamic[customerID], B496)&lt;=2, 
        IF((DATE(2024,4,30) - MAXIFS(dynamic[orderDate], dynamic[customerID], B496)) &gt; 180, "Non-Returning", "Dormant"), 
        IF(AND(MAX(dynamic[sinceLastOrder]) &gt; 365, (DATE(2024,4,30) - MAXIFS(dynamic[orderDate], dynamic[customerID], B496)) &gt; 180), 
           "Dormant", "Regular")))</f>
        <v>Regular</v>
      </c>
      <c r="H496" s="6">
        <v>22.0</v>
      </c>
      <c r="I496" s="9" t="str">
        <f>VLOOKUP(dynamic[productID],products[],2,FALSE)</f>
        <v>Gustaf's Knäckebröd</v>
      </c>
      <c r="J496" s="9" t="str">
        <f>VLOOKUP(dynamic[productID],products[],12,FALSE)</f>
        <v>Grains/Cereals</v>
      </c>
      <c r="K496" s="7" t="str">
        <f>IF(VLOOKUP(dynamic[productID],products[],7,FALSE)=1,"Discontinued","Current")</f>
        <v>Current</v>
      </c>
      <c r="L496" s="9">
        <f>VLOOKUP(dynamic[productID],products[],IF(YEAR(dynamic[orderDate])=2022,8,IF(YEAR(dynamic[orderDate])=2023,9,IF(YEAR(dynamic[orderDate])=2024,10,NA))),FALSE)</f>
        <v>14.56814822</v>
      </c>
      <c r="M496" s="9">
        <v>16.8</v>
      </c>
      <c r="N496" s="25">
        <f>(dynamic[orderPrice]-dynamic[productCost])/dynamic[productCost]</f>
        <v>0.1532007873</v>
      </c>
      <c r="O496" s="10">
        <v>12.0</v>
      </c>
      <c r="P496" s="25">
        <v>0.0</v>
      </c>
      <c r="Q496" s="9">
        <f>dynamic[orderPrice]*dynamic[orderQuantity]</f>
        <v>201.6</v>
      </c>
      <c r="R496" s="9">
        <f>dynamic[orderTotal]*(1-dynamic[discountApllied])</f>
        <v>201.6</v>
      </c>
      <c r="S496" s="9">
        <f>dynamic[revenue]-(dynamic[productCost]*dynamic[orderQuantity])</f>
        <v>26.78222133</v>
      </c>
      <c r="T496" s="25">
        <f>IFERROR(dynamic[profit]/dynamic[revenue], 0)</f>
        <v>0.1328483201</v>
      </c>
    </row>
    <row r="497" ht="15.75" customHeight="1">
      <c r="A497" s="6">
        <v>10435.0</v>
      </c>
      <c r="B497" s="7" t="s">
        <v>87</v>
      </c>
      <c r="C497" s="24" t="str">
        <f>VLOOKUP(dynamic[customerID],customers[],2,FALSE)</f>
        <v>Consolidated Holdings</v>
      </c>
      <c r="D497" s="24">
        <v>44961.0</v>
      </c>
      <c r="E497" s="6">
        <f>IFERROR(__xludf.DUMMYFUNCTION("COUNTUNIQUEIFS($A$2:$A497,$B$2:$B497,B497)"),1.0)</f>
        <v>1</v>
      </c>
      <c r="F497" s="6">
        <f t="shared" si="1"/>
        <v>0</v>
      </c>
      <c r="G497" s="6" t="str">
        <f>IF(MINIFS(dynamic[orderDate], dynamic[customerID], B497) &gt;= DATE(2024,4,30)-120, 
     "New", 
     IF(MAXIFS(dynamic[orderCount], dynamic[customerID], B497)&lt;=2, 
        IF((DATE(2024,4,30) - MAXIFS(dynamic[orderDate], dynamic[customerID], B497)) &gt; 180, "Non-Returning", "Dormant"), 
        IF(AND(MAX(dynamic[sinceLastOrder]) &gt; 365, (DATE(2024,4,30) - MAXIFS(dynamic[orderDate], dynamic[customerID], B497)) &gt; 180), 
           "Dormant", "Regular")))</f>
        <v>Regular</v>
      </c>
      <c r="H497" s="6">
        <v>72.0</v>
      </c>
      <c r="I497" s="9" t="str">
        <f>VLOOKUP(dynamic[productID],products[],2,FALSE)</f>
        <v>Mozzarella di Giovanni</v>
      </c>
      <c r="J497" s="9" t="str">
        <f>VLOOKUP(dynamic[productID],products[],12,FALSE)</f>
        <v>Dairy Products</v>
      </c>
      <c r="K497" s="7" t="str">
        <f>IF(VLOOKUP(dynamic[productID],products[],7,FALSE)=1,"Discontinued","Current")</f>
        <v>Current</v>
      </c>
      <c r="L497" s="9">
        <f>VLOOKUP(dynamic[productID],products[],IF(YEAR(dynamic[orderDate])=2022,8,IF(YEAR(dynamic[orderDate])=2023,9,IF(YEAR(dynamic[orderDate])=2024,10,NA))),FALSE)</f>
        <v>23.51933768</v>
      </c>
      <c r="M497" s="9">
        <v>27.8</v>
      </c>
      <c r="N497" s="25">
        <f>(dynamic[orderPrice]-dynamic[productCost])/dynamic[productCost]</f>
        <v>0.1820060743</v>
      </c>
      <c r="O497" s="10">
        <v>10.0</v>
      </c>
      <c r="P497" s="25">
        <v>0.0</v>
      </c>
      <c r="Q497" s="9">
        <f>dynamic[orderPrice]*dynamic[orderQuantity]</f>
        <v>278</v>
      </c>
      <c r="R497" s="9">
        <f>dynamic[orderTotal]*(1-dynamic[discountApllied])</f>
        <v>278</v>
      </c>
      <c r="S497" s="9">
        <f>dynamic[revenue]-(dynamic[productCost]*dynamic[orderQuantity])</f>
        <v>42.80662321</v>
      </c>
      <c r="T497" s="25">
        <f>IFERROR(dynamic[profit]/dynamic[revenue], 0)</f>
        <v>0.153980659</v>
      </c>
    </row>
    <row r="498" ht="15.75" customHeight="1">
      <c r="A498" s="6">
        <v>10436.0</v>
      </c>
      <c r="B498" s="7" t="s">
        <v>30</v>
      </c>
      <c r="C498" s="24" t="str">
        <f>VLOOKUP(dynamic[customerID],customers[],2,FALSE)</f>
        <v>Blondesddsl père et fils</v>
      </c>
      <c r="D498" s="24">
        <v>44962.0</v>
      </c>
      <c r="E498" s="6">
        <f>IFERROR(__xludf.DUMMYFUNCTION("COUNTUNIQUEIFS($A$2:$A498,$B$2:$B498,B498)"),4.0)</f>
        <v>4</v>
      </c>
      <c r="F498" s="6">
        <f t="shared" si="1"/>
        <v>75</v>
      </c>
      <c r="G498" s="6" t="str">
        <f>IF(MINIFS(dynamic[orderDate], dynamic[customerID], B498) &gt;= DATE(2024,4,30)-120, 
     "New", 
     IF(MAXIFS(dynamic[orderCount], dynamic[customerID], B498)&lt;=2, 
        IF((DATE(2024,4,30) - MAXIFS(dynamic[orderDate], dynamic[customerID], B498)) &gt; 180, "Non-Returning", "Dormant"), 
        IF(AND(MAX(dynamic[sinceLastOrder]) &gt; 365, (DATE(2024,4,30) - MAXIFS(dynamic[orderDate], dynamic[customerID], B498)) &gt; 180), 
           "Dormant", "Regular")))</f>
        <v>Regular</v>
      </c>
      <c r="H498" s="6">
        <v>46.0</v>
      </c>
      <c r="I498" s="9" t="str">
        <f>VLOOKUP(dynamic[productID],products[],2,FALSE)</f>
        <v>Spegesild</v>
      </c>
      <c r="J498" s="9" t="str">
        <f>VLOOKUP(dynamic[productID],products[],12,FALSE)</f>
        <v>Seafood</v>
      </c>
      <c r="K498" s="7" t="str">
        <f>IF(VLOOKUP(dynamic[productID],products[],7,FALSE)=1,"Discontinued","Current")</f>
        <v>Current</v>
      </c>
      <c r="L498" s="9">
        <f>VLOOKUP(dynamic[productID],products[],IF(YEAR(dynamic[orderDate])=2022,8,IF(YEAR(dynamic[orderDate])=2023,9,IF(YEAR(dynamic[orderDate])=2024,10,NA))),FALSE)</f>
        <v>7.087990753</v>
      </c>
      <c r="M498" s="9">
        <v>9.6</v>
      </c>
      <c r="N498" s="25">
        <f>(dynamic[orderPrice]-dynamic[productCost])/dynamic[productCost]</f>
        <v>0.3544035728</v>
      </c>
      <c r="O498" s="10">
        <v>5.0</v>
      </c>
      <c r="P498" s="25">
        <v>0.0</v>
      </c>
      <c r="Q498" s="9">
        <f>dynamic[orderPrice]*dynamic[orderQuantity]</f>
        <v>48</v>
      </c>
      <c r="R498" s="9">
        <f>dynamic[orderTotal]*(1-dynamic[discountApllied])</f>
        <v>48</v>
      </c>
      <c r="S498" s="9">
        <f>dynamic[revenue]-(dynamic[productCost]*dynamic[orderQuantity])</f>
        <v>12.56004623</v>
      </c>
      <c r="T498" s="25">
        <f>IFERROR(dynamic[profit]/dynamic[revenue], 0)</f>
        <v>0.2616676299</v>
      </c>
    </row>
    <row r="499" ht="15.75" customHeight="1">
      <c r="A499" s="6">
        <v>10436.0</v>
      </c>
      <c r="B499" s="7" t="s">
        <v>30</v>
      </c>
      <c r="C499" s="24" t="str">
        <f>VLOOKUP(dynamic[customerID],customers[],2,FALSE)</f>
        <v>Blondesddsl père et fils</v>
      </c>
      <c r="D499" s="24">
        <v>44962.0</v>
      </c>
      <c r="E499" s="6">
        <f>IFERROR(__xludf.DUMMYFUNCTION("COUNTUNIQUEIFS($A$2:$A499,$B$2:$B499,B499)"),4.0)</f>
        <v>4</v>
      </c>
      <c r="F499" s="6">
        <f t="shared" si="1"/>
        <v>75</v>
      </c>
      <c r="G499" s="6" t="str">
        <f>IF(MINIFS(dynamic[orderDate], dynamic[customerID], B499) &gt;= DATE(2024,4,30)-120, 
     "New", 
     IF(MAXIFS(dynamic[orderCount], dynamic[customerID], B499)&lt;=2, 
        IF((DATE(2024,4,30) - MAXIFS(dynamic[orderDate], dynamic[customerID], B499)) &gt; 180, "Non-Returning", "Dormant"), 
        IF(AND(MAX(dynamic[sinceLastOrder]) &gt; 365, (DATE(2024,4,30) - MAXIFS(dynamic[orderDate], dynamic[customerID], B499)) &gt; 180), 
           "Dormant", "Regular")))</f>
        <v>Regular</v>
      </c>
      <c r="H499" s="6">
        <v>56.0</v>
      </c>
      <c r="I499" s="9" t="str">
        <f>VLOOKUP(dynamic[productID],products[],2,FALSE)</f>
        <v>Gnocchi di nonna Alice</v>
      </c>
      <c r="J499" s="9" t="str">
        <f>VLOOKUP(dynamic[productID],products[],12,FALSE)</f>
        <v>Grains/Cereals</v>
      </c>
      <c r="K499" s="7" t="str">
        <f>IF(VLOOKUP(dynamic[productID],products[],7,FALSE)=1,"Discontinued","Current")</f>
        <v>Current</v>
      </c>
      <c r="L499" s="9">
        <f>VLOOKUP(dynamic[productID],products[],IF(YEAR(dynamic[orderDate])=2022,8,IF(YEAR(dynamic[orderDate])=2023,9,IF(YEAR(dynamic[orderDate])=2024,10,NA))),FALSE)</f>
        <v>24.28342441</v>
      </c>
      <c r="M499" s="9">
        <v>30.4</v>
      </c>
      <c r="N499" s="25">
        <f>(dynamic[orderPrice]-dynamic[productCost])/dynamic[productCost]</f>
        <v>0.2518827447</v>
      </c>
      <c r="O499" s="10">
        <v>40.0</v>
      </c>
      <c r="P499" s="25">
        <v>0.1</v>
      </c>
      <c r="Q499" s="9">
        <f>dynamic[orderPrice]*dynamic[orderQuantity]</f>
        <v>1216</v>
      </c>
      <c r="R499" s="9">
        <f>dynamic[orderTotal]*(1-dynamic[discountApllied])</f>
        <v>1094.4</v>
      </c>
      <c r="S499" s="9">
        <f>dynamic[revenue]-(dynamic[productCost]*dynamic[orderQuantity])</f>
        <v>123.0630237</v>
      </c>
      <c r="T499" s="25">
        <f>IFERROR(dynamic[profit]/dynamic[revenue], 0)</f>
        <v>0.1124479383</v>
      </c>
    </row>
    <row r="500" ht="15.75" customHeight="1">
      <c r="A500" s="6">
        <v>10436.0</v>
      </c>
      <c r="B500" s="7" t="s">
        <v>30</v>
      </c>
      <c r="C500" s="24" t="str">
        <f>VLOOKUP(dynamic[customerID],customers[],2,FALSE)</f>
        <v>Blondesddsl père et fils</v>
      </c>
      <c r="D500" s="24">
        <v>44962.0</v>
      </c>
      <c r="E500" s="6">
        <f>IFERROR(__xludf.DUMMYFUNCTION("COUNTUNIQUEIFS($A$2:$A500,$B$2:$B500,B500)"),4.0)</f>
        <v>4</v>
      </c>
      <c r="F500" s="6">
        <f t="shared" si="1"/>
        <v>75</v>
      </c>
      <c r="G500" s="6" t="str">
        <f>IF(MINIFS(dynamic[orderDate], dynamic[customerID], B500) &gt;= DATE(2024,4,30)-120, 
     "New", 
     IF(MAXIFS(dynamic[orderCount], dynamic[customerID], B500)&lt;=2, 
        IF((DATE(2024,4,30) - MAXIFS(dynamic[orderDate], dynamic[customerID], B500)) &gt; 180, "Non-Returning", "Dormant"), 
        IF(AND(MAX(dynamic[sinceLastOrder]) &gt; 365, (DATE(2024,4,30) - MAXIFS(dynamic[orderDate], dynamic[customerID], B500)) &gt; 180), 
           "Dormant", "Regular")))</f>
        <v>Regular</v>
      </c>
      <c r="H500" s="6">
        <v>64.0</v>
      </c>
      <c r="I500" s="9" t="str">
        <f>VLOOKUP(dynamic[productID],products[],2,FALSE)</f>
        <v>Lukas' leckere Sauerteigweggla</v>
      </c>
      <c r="J500" s="9" t="str">
        <f>VLOOKUP(dynamic[productID],products[],12,FALSE)</f>
        <v>Grains/Cereals</v>
      </c>
      <c r="K500" s="7" t="str">
        <f>IF(VLOOKUP(dynamic[productID],products[],7,FALSE)=1,"Discontinued","Current")</f>
        <v>Current</v>
      </c>
      <c r="L500" s="9">
        <f>VLOOKUP(dynamic[productID],products[],IF(YEAR(dynamic[orderDate])=2022,8,IF(YEAR(dynamic[orderDate])=2023,9,IF(YEAR(dynamic[orderDate])=2024,10,NA))),FALSE)</f>
        <v>21.88572728</v>
      </c>
      <c r="M500" s="9">
        <v>26.6</v>
      </c>
      <c r="N500" s="25">
        <f>(dynamic[orderPrice]-dynamic[productCost])/dynamic[productCost]</f>
        <v>0.2154039779</v>
      </c>
      <c r="O500" s="10">
        <v>30.0</v>
      </c>
      <c r="P500" s="25">
        <v>0.1</v>
      </c>
      <c r="Q500" s="9">
        <f>dynamic[orderPrice]*dynamic[orderQuantity]</f>
        <v>798</v>
      </c>
      <c r="R500" s="9">
        <f>dynamic[orderTotal]*(1-dynamic[discountApllied])</f>
        <v>718.2</v>
      </c>
      <c r="S500" s="9">
        <f>dynamic[revenue]-(dynamic[productCost]*dynamic[orderQuantity])</f>
        <v>61.6281815</v>
      </c>
      <c r="T500" s="25">
        <f>IFERROR(dynamic[profit]/dynamic[revenue], 0)</f>
        <v>0.08580921958</v>
      </c>
    </row>
    <row r="501" ht="15.75" customHeight="1">
      <c r="A501" s="6">
        <v>10436.0</v>
      </c>
      <c r="B501" s="7" t="s">
        <v>30</v>
      </c>
      <c r="C501" s="24" t="str">
        <f>VLOOKUP(dynamic[customerID],customers[],2,FALSE)</f>
        <v>Blondesddsl père et fils</v>
      </c>
      <c r="D501" s="24">
        <v>44962.0</v>
      </c>
      <c r="E501" s="6">
        <f>IFERROR(__xludf.DUMMYFUNCTION("COUNTUNIQUEIFS($A$2:$A501,$B$2:$B501,B501)"),4.0)</f>
        <v>4</v>
      </c>
      <c r="F501" s="6">
        <f t="shared" si="1"/>
        <v>75</v>
      </c>
      <c r="G501" s="6" t="str">
        <f>IF(MINIFS(dynamic[orderDate], dynamic[customerID], B501) &gt;= DATE(2024,4,30)-120, 
     "New", 
     IF(MAXIFS(dynamic[orderCount], dynamic[customerID], B501)&lt;=2, 
        IF((DATE(2024,4,30) - MAXIFS(dynamic[orderDate], dynamic[customerID], B501)) &gt; 180, "Non-Returning", "Dormant"), 
        IF(AND(MAX(dynamic[sinceLastOrder]) &gt; 365, (DATE(2024,4,30) - MAXIFS(dynamic[orderDate], dynamic[customerID], B501)) &gt; 180), 
           "Dormant", "Regular")))</f>
        <v>Regular</v>
      </c>
      <c r="H501" s="6">
        <v>75.0</v>
      </c>
      <c r="I501" s="9" t="str">
        <f>VLOOKUP(dynamic[productID],products[],2,FALSE)</f>
        <v>Rhönbräu Klosterbier</v>
      </c>
      <c r="J501" s="9" t="str">
        <f>VLOOKUP(dynamic[productID],products[],12,FALSE)</f>
        <v>Beverages</v>
      </c>
      <c r="K501" s="7" t="str">
        <f>IF(VLOOKUP(dynamic[productID],products[],7,FALSE)=1,"Discontinued","Current")</f>
        <v>Current</v>
      </c>
      <c r="L501" s="9">
        <f>VLOOKUP(dynamic[productID],products[],IF(YEAR(dynamic[orderDate])=2022,8,IF(YEAR(dynamic[orderDate])=2023,9,IF(YEAR(dynamic[orderDate])=2024,10,NA))),FALSE)</f>
        <v>5.355290472</v>
      </c>
      <c r="M501" s="9">
        <v>6.2</v>
      </c>
      <c r="N501" s="25">
        <f>(dynamic[orderPrice]-dynamic[productCost])/dynamic[productCost]</f>
        <v>0.1577336529</v>
      </c>
      <c r="O501" s="10">
        <v>24.0</v>
      </c>
      <c r="P501" s="25">
        <v>0.1</v>
      </c>
      <c r="Q501" s="9">
        <f>dynamic[orderPrice]*dynamic[orderQuantity]</f>
        <v>148.8</v>
      </c>
      <c r="R501" s="9">
        <f>dynamic[orderTotal]*(1-dynamic[discountApllied])</f>
        <v>133.92</v>
      </c>
      <c r="S501" s="9">
        <f>dynamic[revenue]-(dynamic[productCost]*dynamic[orderQuantity])</f>
        <v>5.393028678</v>
      </c>
      <c r="T501" s="25">
        <f>IFERROR(dynamic[profit]/dynamic[revenue], 0)</f>
        <v>0.04027052478</v>
      </c>
    </row>
    <row r="502" ht="15.75" customHeight="1">
      <c r="A502" s="6">
        <v>10437.0</v>
      </c>
      <c r="B502" s="7" t="s">
        <v>31</v>
      </c>
      <c r="C502" s="24" t="str">
        <f>VLOOKUP(dynamic[customerID],customers[],2,FALSE)</f>
        <v>Wartian Herkku</v>
      </c>
      <c r="D502" s="24">
        <v>44962.0</v>
      </c>
      <c r="E502" s="6">
        <f>IFERROR(__xludf.DUMMYFUNCTION("COUNTUNIQUEIFS($A$2:$A502,$B$2:$B502,B502)"),7.0)</f>
        <v>7</v>
      </c>
      <c r="F502" s="6">
        <f t="shared" si="1"/>
        <v>20</v>
      </c>
      <c r="G502" s="6" t="str">
        <f>IF(MINIFS(dynamic[orderDate], dynamic[customerID], B502) &gt;= DATE(2024,4,30)-120, 
     "New", 
     IF(MAXIFS(dynamic[orderCount], dynamic[customerID], B502)&lt;=2, 
        IF((DATE(2024,4,30) - MAXIFS(dynamic[orderDate], dynamic[customerID], B502)) &gt; 180, "Non-Returning", "Dormant"), 
        IF(AND(MAX(dynamic[sinceLastOrder]) &gt; 365, (DATE(2024,4,30) - MAXIFS(dynamic[orderDate], dynamic[customerID], B502)) &gt; 180), 
           "Dormant", "Regular")))</f>
        <v>Regular</v>
      </c>
      <c r="H502" s="6">
        <v>53.0</v>
      </c>
      <c r="I502" s="9" t="str">
        <f>VLOOKUP(dynamic[productID],products[],2,FALSE)</f>
        <v>Perth Pasties</v>
      </c>
      <c r="J502" s="9" t="str">
        <f>VLOOKUP(dynamic[productID],products[],12,FALSE)</f>
        <v>Meat/Poultry</v>
      </c>
      <c r="K502" s="7" t="str">
        <f>IF(VLOOKUP(dynamic[productID],products[],7,FALSE)=1,"Discontinued","Current")</f>
        <v>Discontinued</v>
      </c>
      <c r="L502" s="9">
        <f>VLOOKUP(dynamic[productID],products[],IF(YEAR(dynamic[orderDate])=2022,8,IF(YEAR(dynamic[orderDate])=2023,9,IF(YEAR(dynamic[orderDate])=2024,10,NA))),FALSE)</f>
        <v>21.81491556</v>
      </c>
      <c r="M502" s="9">
        <v>26.2</v>
      </c>
      <c r="N502" s="25">
        <f>(dynamic[orderPrice]-dynamic[productCost])/dynamic[productCost]</f>
        <v>0.2010131293</v>
      </c>
      <c r="O502" s="10">
        <v>15.0</v>
      </c>
      <c r="P502" s="25">
        <v>0.0</v>
      </c>
      <c r="Q502" s="9">
        <f>dynamic[orderPrice]*dynamic[orderQuantity]</f>
        <v>393</v>
      </c>
      <c r="R502" s="9">
        <f>dynamic[orderTotal]*(1-dynamic[discountApllied])</f>
        <v>393</v>
      </c>
      <c r="S502" s="9">
        <f>dynamic[revenue]-(dynamic[productCost]*dynamic[orderQuantity])</f>
        <v>65.77626662</v>
      </c>
      <c r="T502" s="25">
        <f>IFERROR(dynamic[profit]/dynamic[revenue], 0)</f>
        <v>0.1673696352</v>
      </c>
    </row>
    <row r="503" ht="15.75" customHeight="1">
      <c r="A503" s="6">
        <v>10438.0</v>
      </c>
      <c r="B503" s="7" t="s">
        <v>14</v>
      </c>
      <c r="C503" s="24" t="str">
        <f>VLOOKUP(dynamic[customerID],customers[],2,FALSE)</f>
        <v>Toms Spezialitäten</v>
      </c>
      <c r="D503" s="24">
        <v>44963.0</v>
      </c>
      <c r="E503" s="6">
        <f>IFERROR(__xludf.DUMMYFUNCTION("COUNTUNIQUEIFS($A$2:$A503,$B$2:$B503,B503)"),2.0)</f>
        <v>2</v>
      </c>
      <c r="F503" s="6">
        <f t="shared" si="1"/>
        <v>216</v>
      </c>
      <c r="G503" s="6" t="str">
        <f>IF(MINIFS(dynamic[orderDate], dynamic[customerID], B503) &gt;= DATE(2024,4,30)-120, 
     "New", 
     IF(MAXIFS(dynamic[orderCount], dynamic[customerID], B503)&lt;=2, 
        IF((DATE(2024,4,30) - MAXIFS(dynamic[orderDate], dynamic[customerID], B503)) &gt; 180, "Non-Returning", "Dormant"), 
        IF(AND(MAX(dynamic[sinceLastOrder]) &gt; 365, (DATE(2024,4,30) - MAXIFS(dynamic[orderDate], dynamic[customerID], B503)) &gt; 180), 
           "Dormant", "Regular")))</f>
        <v>Regular</v>
      </c>
      <c r="H503" s="6">
        <v>19.0</v>
      </c>
      <c r="I503" s="9" t="str">
        <f>VLOOKUP(dynamic[productID],products[],2,FALSE)</f>
        <v>Teatime Chocolate Biscuits</v>
      </c>
      <c r="J503" s="9" t="str">
        <f>VLOOKUP(dynamic[productID],products[],12,FALSE)</f>
        <v>Confections</v>
      </c>
      <c r="K503" s="7" t="str">
        <f>IF(VLOOKUP(dynamic[productID],products[],7,FALSE)=1,"Discontinued","Current")</f>
        <v>Current</v>
      </c>
      <c r="L503" s="9">
        <f>VLOOKUP(dynamic[productID],products[],IF(YEAR(dynamic[orderDate])=2022,8,IF(YEAR(dynamic[orderDate])=2023,9,IF(YEAR(dynamic[orderDate])=2024,10,NA))),FALSE)</f>
        <v>5.901883682</v>
      </c>
      <c r="M503" s="9">
        <v>7.3</v>
      </c>
      <c r="N503" s="25">
        <f>(dynamic[orderPrice]-dynamic[productCost])/dynamic[productCost]</f>
        <v>0.2368932349</v>
      </c>
      <c r="O503" s="10">
        <v>15.0</v>
      </c>
      <c r="P503" s="25">
        <v>0.2</v>
      </c>
      <c r="Q503" s="9">
        <f>dynamic[orderPrice]*dynamic[orderQuantity]</f>
        <v>109.5</v>
      </c>
      <c r="R503" s="9">
        <f>dynamic[orderTotal]*(1-dynamic[discountApllied])</f>
        <v>87.6</v>
      </c>
      <c r="S503" s="9">
        <f>dynamic[revenue]-(dynamic[productCost]*dynamic[orderQuantity])</f>
        <v>-0.9282552363</v>
      </c>
      <c r="T503" s="25">
        <f>IFERROR(dynamic[profit]/dynamic[revenue], 0)</f>
        <v>-0.01059652096</v>
      </c>
    </row>
    <row r="504" ht="15.75" customHeight="1">
      <c r="A504" s="6">
        <v>10438.0</v>
      </c>
      <c r="B504" s="7" t="s">
        <v>14</v>
      </c>
      <c r="C504" s="24" t="str">
        <f>VLOOKUP(dynamic[customerID],customers[],2,FALSE)</f>
        <v>Toms Spezialitäten</v>
      </c>
      <c r="D504" s="24">
        <v>44963.0</v>
      </c>
      <c r="E504" s="6">
        <f>IFERROR(__xludf.DUMMYFUNCTION("COUNTUNIQUEIFS($A$2:$A504,$B$2:$B504,B504)"),2.0)</f>
        <v>2</v>
      </c>
      <c r="F504" s="6">
        <f t="shared" si="1"/>
        <v>216</v>
      </c>
      <c r="G504" s="6" t="str">
        <f>IF(MINIFS(dynamic[orderDate], dynamic[customerID], B504) &gt;= DATE(2024,4,30)-120, 
     "New", 
     IF(MAXIFS(dynamic[orderCount], dynamic[customerID], B504)&lt;=2, 
        IF((DATE(2024,4,30) - MAXIFS(dynamic[orderDate], dynamic[customerID], B504)) &gt; 180, "Non-Returning", "Dormant"), 
        IF(AND(MAX(dynamic[sinceLastOrder]) &gt; 365, (DATE(2024,4,30) - MAXIFS(dynamic[orderDate], dynamic[customerID], B504)) &gt; 180), 
           "Dormant", "Regular")))</f>
        <v>Regular</v>
      </c>
      <c r="H504" s="6">
        <v>34.0</v>
      </c>
      <c r="I504" s="9" t="str">
        <f>VLOOKUP(dynamic[productID],products[],2,FALSE)</f>
        <v>Sasquatch Ale</v>
      </c>
      <c r="J504" s="9" t="str">
        <f>VLOOKUP(dynamic[productID],products[],12,FALSE)</f>
        <v>Beverages</v>
      </c>
      <c r="K504" s="7" t="str">
        <f>IF(VLOOKUP(dynamic[productID],products[],7,FALSE)=1,"Discontinued","Current")</f>
        <v>Current</v>
      </c>
      <c r="L504" s="9">
        <f>VLOOKUP(dynamic[productID],products[],IF(YEAR(dynamic[orderDate])=2022,8,IF(YEAR(dynamic[orderDate])=2023,9,IF(YEAR(dynamic[orderDate])=2024,10,NA))),FALSE)</f>
        <v>8.955654061</v>
      </c>
      <c r="M504" s="9">
        <v>11.2</v>
      </c>
      <c r="N504" s="25">
        <f>(dynamic[orderPrice]-dynamic[productCost])/dynamic[productCost]</f>
        <v>0.2506065915</v>
      </c>
      <c r="O504" s="10">
        <v>20.0</v>
      </c>
      <c r="P504" s="25">
        <v>0.2</v>
      </c>
      <c r="Q504" s="9">
        <f>dynamic[orderPrice]*dynamic[orderQuantity]</f>
        <v>224</v>
      </c>
      <c r="R504" s="9">
        <f>dynamic[orderTotal]*(1-dynamic[discountApllied])</f>
        <v>179.2</v>
      </c>
      <c r="S504" s="9">
        <f>dynamic[revenue]-(dynamic[productCost]*dynamic[orderQuantity])</f>
        <v>0.08691878111</v>
      </c>
      <c r="T504" s="25">
        <f>IFERROR(dynamic[profit]/dynamic[revenue], 0)</f>
        <v>0.000485037841</v>
      </c>
    </row>
    <row r="505" ht="15.75" customHeight="1">
      <c r="A505" s="6">
        <v>10438.0</v>
      </c>
      <c r="B505" s="7" t="s">
        <v>14</v>
      </c>
      <c r="C505" s="24" t="str">
        <f>VLOOKUP(dynamic[customerID],customers[],2,FALSE)</f>
        <v>Toms Spezialitäten</v>
      </c>
      <c r="D505" s="24">
        <v>44963.0</v>
      </c>
      <c r="E505" s="6">
        <f>IFERROR(__xludf.DUMMYFUNCTION("COUNTUNIQUEIFS($A$2:$A505,$B$2:$B505,B505)"),2.0)</f>
        <v>2</v>
      </c>
      <c r="F505" s="6">
        <f t="shared" si="1"/>
        <v>216</v>
      </c>
      <c r="G505" s="6" t="str">
        <f>IF(MINIFS(dynamic[orderDate], dynamic[customerID], B505) &gt;= DATE(2024,4,30)-120, 
     "New", 
     IF(MAXIFS(dynamic[orderCount], dynamic[customerID], B505)&lt;=2, 
        IF((DATE(2024,4,30) - MAXIFS(dynamic[orderDate], dynamic[customerID], B505)) &gt; 180, "Non-Returning", "Dormant"), 
        IF(AND(MAX(dynamic[sinceLastOrder]) &gt; 365, (DATE(2024,4,30) - MAXIFS(dynamic[orderDate], dynamic[customerID], B505)) &gt; 180), 
           "Dormant", "Regular")))</f>
        <v>Regular</v>
      </c>
      <c r="H505" s="6">
        <v>57.0</v>
      </c>
      <c r="I505" s="9" t="str">
        <f>VLOOKUP(dynamic[productID],products[],2,FALSE)</f>
        <v>Ravioli Angelo</v>
      </c>
      <c r="J505" s="9" t="str">
        <f>VLOOKUP(dynamic[productID],products[],12,FALSE)</f>
        <v>Grains/Cereals</v>
      </c>
      <c r="K505" s="7" t="str">
        <f>IF(VLOOKUP(dynamic[productID],products[],7,FALSE)=1,"Discontinued","Current")</f>
        <v>Current</v>
      </c>
      <c r="L505" s="9">
        <f>VLOOKUP(dynamic[productID],products[],IF(YEAR(dynamic[orderDate])=2022,8,IF(YEAR(dynamic[orderDate])=2023,9,IF(YEAR(dynamic[orderDate])=2024,10,NA))),FALSE)</f>
        <v>13.01870901</v>
      </c>
      <c r="M505" s="9">
        <v>15.6</v>
      </c>
      <c r="N505" s="25">
        <f>(dynamic[orderPrice]-dynamic[productCost])/dynamic[productCost]</f>
        <v>0.1982754965</v>
      </c>
      <c r="O505" s="10">
        <v>15.0</v>
      </c>
      <c r="P505" s="25">
        <v>0.2</v>
      </c>
      <c r="Q505" s="9">
        <f>dynamic[orderPrice]*dynamic[orderQuantity]</f>
        <v>234</v>
      </c>
      <c r="R505" s="9">
        <f>dynamic[orderTotal]*(1-dynamic[discountApllied])</f>
        <v>187.2</v>
      </c>
      <c r="S505" s="9">
        <f>dynamic[revenue]-(dynamic[productCost]*dynamic[orderQuantity])</f>
        <v>-8.080635109</v>
      </c>
      <c r="T505" s="25">
        <f>IFERROR(dynamic[profit]/dynamic[revenue], 0)</f>
        <v>-0.04316578584</v>
      </c>
    </row>
    <row r="506" ht="15.75" customHeight="1">
      <c r="A506" s="6">
        <v>10439.0</v>
      </c>
      <c r="B506" s="7" t="s">
        <v>64</v>
      </c>
      <c r="C506" s="24" t="str">
        <f>VLOOKUP(dynamic[customerID],customers[],2,FALSE)</f>
        <v>Mère Paillarde</v>
      </c>
      <c r="D506" s="24">
        <v>44964.0</v>
      </c>
      <c r="E506" s="6">
        <f>IFERROR(__xludf.DUMMYFUNCTION("COUNTUNIQUEIFS($A$2:$A506,$B$2:$B506,B506)"),5.0)</f>
        <v>5</v>
      </c>
      <c r="F506" s="6">
        <f t="shared" si="1"/>
        <v>15</v>
      </c>
      <c r="G506" s="6" t="str">
        <f>IF(MINIFS(dynamic[orderDate], dynamic[customerID], B506) &gt;= DATE(2024,4,30)-120, 
     "New", 
     IF(MAXIFS(dynamic[orderCount], dynamic[customerID], B506)&lt;=2, 
        IF((DATE(2024,4,30) - MAXIFS(dynamic[orderDate], dynamic[customerID], B506)) &gt; 180, "Non-Returning", "Dormant"), 
        IF(AND(MAX(dynamic[sinceLastOrder]) &gt; 365, (DATE(2024,4,30) - MAXIFS(dynamic[orderDate], dynamic[customerID], B506)) &gt; 180), 
           "Dormant", "Regular")))</f>
        <v>Dormant</v>
      </c>
      <c r="H506" s="6">
        <v>12.0</v>
      </c>
      <c r="I506" s="9" t="str">
        <f>VLOOKUP(dynamic[productID],products[],2,FALSE)</f>
        <v>Queso Manchego La Pastora</v>
      </c>
      <c r="J506" s="9" t="str">
        <f>VLOOKUP(dynamic[productID],products[],12,FALSE)</f>
        <v>Dairy Products</v>
      </c>
      <c r="K506" s="7" t="str">
        <f>IF(VLOOKUP(dynamic[productID],products[],7,FALSE)=1,"Discontinued","Current")</f>
        <v>Current</v>
      </c>
      <c r="L506" s="9">
        <f>VLOOKUP(dynamic[productID],products[],IF(YEAR(dynamic[orderDate])=2022,8,IF(YEAR(dynamic[orderDate])=2023,9,IF(YEAR(dynamic[orderDate])=2024,10,NA))),FALSE)</f>
        <v>23.79216617</v>
      </c>
      <c r="M506" s="9">
        <v>30.4</v>
      </c>
      <c r="N506" s="25">
        <f>(dynamic[orderPrice]-dynamic[productCost])/dynamic[productCost]</f>
        <v>0.2777314931</v>
      </c>
      <c r="O506" s="10">
        <v>15.0</v>
      </c>
      <c r="P506" s="25">
        <v>0.0</v>
      </c>
      <c r="Q506" s="9">
        <f>dynamic[orderPrice]*dynamic[orderQuantity]</f>
        <v>456</v>
      </c>
      <c r="R506" s="9">
        <f>dynamic[orderTotal]*(1-dynamic[discountApllied])</f>
        <v>456</v>
      </c>
      <c r="S506" s="9">
        <f>dynamic[revenue]-(dynamic[productCost]*dynamic[orderQuantity])</f>
        <v>99.11750749</v>
      </c>
      <c r="T506" s="25">
        <f>IFERROR(dynamic[profit]/dynamic[revenue], 0)</f>
        <v>0.217362955</v>
      </c>
    </row>
    <row r="507" ht="15.75" customHeight="1">
      <c r="A507" s="6">
        <v>10439.0</v>
      </c>
      <c r="B507" s="7" t="s">
        <v>64</v>
      </c>
      <c r="C507" s="24" t="str">
        <f>VLOOKUP(dynamic[customerID],customers[],2,FALSE)</f>
        <v>Mère Paillarde</v>
      </c>
      <c r="D507" s="24">
        <v>44964.0</v>
      </c>
      <c r="E507" s="6">
        <f>IFERROR(__xludf.DUMMYFUNCTION("COUNTUNIQUEIFS($A$2:$A507,$B$2:$B507,B507)"),5.0)</f>
        <v>5</v>
      </c>
      <c r="F507" s="6">
        <f t="shared" si="1"/>
        <v>15</v>
      </c>
      <c r="G507" s="6" t="str">
        <f>IF(MINIFS(dynamic[orderDate], dynamic[customerID], B507) &gt;= DATE(2024,4,30)-120, 
     "New", 
     IF(MAXIFS(dynamic[orderCount], dynamic[customerID], B507)&lt;=2, 
        IF((DATE(2024,4,30) - MAXIFS(dynamic[orderDate], dynamic[customerID], B507)) &gt; 180, "Non-Returning", "Dormant"), 
        IF(AND(MAX(dynamic[sinceLastOrder]) &gt; 365, (DATE(2024,4,30) - MAXIFS(dynamic[orderDate], dynamic[customerID], B507)) &gt; 180), 
           "Dormant", "Regular")))</f>
        <v>Dormant</v>
      </c>
      <c r="H507" s="6">
        <v>16.0</v>
      </c>
      <c r="I507" s="9" t="str">
        <f>VLOOKUP(dynamic[productID],products[],2,FALSE)</f>
        <v>Pavlova</v>
      </c>
      <c r="J507" s="9" t="str">
        <f>VLOOKUP(dynamic[productID],products[],12,FALSE)</f>
        <v>Confections</v>
      </c>
      <c r="K507" s="7" t="str">
        <f>IF(VLOOKUP(dynamic[productID],products[],7,FALSE)=1,"Discontinued","Current")</f>
        <v>Current</v>
      </c>
      <c r="L507" s="9">
        <f>VLOOKUP(dynamic[productID],products[],IF(YEAR(dynamic[orderDate])=2022,8,IF(YEAR(dynamic[orderDate])=2023,9,IF(YEAR(dynamic[orderDate])=2024,10,NA))),FALSE)</f>
        <v>11.98504839</v>
      </c>
      <c r="M507" s="9">
        <v>13.9</v>
      </c>
      <c r="N507" s="25">
        <f>(dynamic[orderPrice]-dynamic[productCost])/dynamic[productCost]</f>
        <v>0.1597783792</v>
      </c>
      <c r="O507" s="10">
        <v>16.0</v>
      </c>
      <c r="P507" s="25">
        <v>0.0</v>
      </c>
      <c r="Q507" s="9">
        <f>dynamic[orderPrice]*dynamic[orderQuantity]</f>
        <v>222.4</v>
      </c>
      <c r="R507" s="9">
        <f>dynamic[orderTotal]*(1-dynamic[discountApllied])</f>
        <v>222.4</v>
      </c>
      <c r="S507" s="9">
        <f>dynamic[revenue]-(dynamic[productCost]*dynamic[orderQuantity])</f>
        <v>30.63922572</v>
      </c>
      <c r="T507" s="25">
        <f>IFERROR(dynamic[profit]/dynamic[revenue], 0)</f>
        <v>0.1377663027</v>
      </c>
    </row>
    <row r="508" ht="15.75" customHeight="1">
      <c r="A508" s="6">
        <v>10439.0</v>
      </c>
      <c r="B508" s="7" t="s">
        <v>64</v>
      </c>
      <c r="C508" s="24" t="str">
        <f>VLOOKUP(dynamic[customerID],customers[],2,FALSE)</f>
        <v>Mère Paillarde</v>
      </c>
      <c r="D508" s="24">
        <v>44964.0</v>
      </c>
      <c r="E508" s="6">
        <f>IFERROR(__xludf.DUMMYFUNCTION("COUNTUNIQUEIFS($A$2:$A508,$B$2:$B508,B508)"),5.0)</f>
        <v>5</v>
      </c>
      <c r="F508" s="6">
        <f t="shared" si="1"/>
        <v>15</v>
      </c>
      <c r="G508" s="6" t="str">
        <f>IF(MINIFS(dynamic[orderDate], dynamic[customerID], B508) &gt;= DATE(2024,4,30)-120, 
     "New", 
     IF(MAXIFS(dynamic[orderCount], dynamic[customerID], B508)&lt;=2, 
        IF((DATE(2024,4,30) - MAXIFS(dynamic[orderDate], dynamic[customerID], B508)) &gt; 180, "Non-Returning", "Dormant"), 
        IF(AND(MAX(dynamic[sinceLastOrder]) &gt; 365, (DATE(2024,4,30) - MAXIFS(dynamic[orderDate], dynamic[customerID], B508)) &gt; 180), 
           "Dormant", "Regular")))</f>
        <v>Dormant</v>
      </c>
      <c r="H508" s="6">
        <v>64.0</v>
      </c>
      <c r="I508" s="9" t="str">
        <f>VLOOKUP(dynamic[productID],products[],2,FALSE)</f>
        <v>Lukas' leckere Sauerteigweggla</v>
      </c>
      <c r="J508" s="9" t="str">
        <f>VLOOKUP(dynamic[productID],products[],12,FALSE)</f>
        <v>Grains/Cereals</v>
      </c>
      <c r="K508" s="7" t="str">
        <f>IF(VLOOKUP(dynamic[productID],products[],7,FALSE)=1,"Discontinued","Current")</f>
        <v>Current</v>
      </c>
      <c r="L508" s="9">
        <f>VLOOKUP(dynamic[productID],products[],IF(YEAR(dynamic[orderDate])=2022,8,IF(YEAR(dynamic[orderDate])=2023,9,IF(YEAR(dynamic[orderDate])=2024,10,NA))),FALSE)</f>
        <v>21.88572728</v>
      </c>
      <c r="M508" s="9">
        <v>26.6</v>
      </c>
      <c r="N508" s="25">
        <f>(dynamic[orderPrice]-dynamic[productCost])/dynamic[productCost]</f>
        <v>0.2154039779</v>
      </c>
      <c r="O508" s="10">
        <v>6.0</v>
      </c>
      <c r="P508" s="25">
        <v>0.0</v>
      </c>
      <c r="Q508" s="9">
        <f>dynamic[orderPrice]*dynamic[orderQuantity]</f>
        <v>159.6</v>
      </c>
      <c r="R508" s="9">
        <f>dynamic[orderTotal]*(1-dynamic[discountApllied])</f>
        <v>159.6</v>
      </c>
      <c r="S508" s="9">
        <f>dynamic[revenue]-(dynamic[productCost]*dynamic[orderQuantity])</f>
        <v>28.2856363</v>
      </c>
      <c r="T508" s="25">
        <f>IFERROR(dynamic[profit]/dynamic[revenue], 0)</f>
        <v>0.1772282976</v>
      </c>
    </row>
    <row r="509" ht="15.75" customHeight="1">
      <c r="A509" s="6">
        <v>10439.0</v>
      </c>
      <c r="B509" s="7" t="s">
        <v>64</v>
      </c>
      <c r="C509" s="24" t="str">
        <f>VLOOKUP(dynamic[customerID],customers[],2,FALSE)</f>
        <v>Mère Paillarde</v>
      </c>
      <c r="D509" s="24">
        <v>44964.0</v>
      </c>
      <c r="E509" s="6">
        <f>IFERROR(__xludf.DUMMYFUNCTION("COUNTUNIQUEIFS($A$2:$A509,$B$2:$B509,B509)"),5.0)</f>
        <v>5</v>
      </c>
      <c r="F509" s="6">
        <f t="shared" si="1"/>
        <v>15</v>
      </c>
      <c r="G509" s="6" t="str">
        <f>IF(MINIFS(dynamic[orderDate], dynamic[customerID], B509) &gt;= DATE(2024,4,30)-120, 
     "New", 
     IF(MAXIFS(dynamic[orderCount], dynamic[customerID], B509)&lt;=2, 
        IF((DATE(2024,4,30) - MAXIFS(dynamic[orderDate], dynamic[customerID], B509)) &gt; 180, "Non-Returning", "Dormant"), 
        IF(AND(MAX(dynamic[sinceLastOrder]) &gt; 365, (DATE(2024,4,30) - MAXIFS(dynamic[orderDate], dynamic[customerID], B509)) &gt; 180), 
           "Dormant", "Regular")))</f>
        <v>Dormant</v>
      </c>
      <c r="H509" s="6">
        <v>74.0</v>
      </c>
      <c r="I509" s="9" t="str">
        <f>VLOOKUP(dynamic[productID],products[],2,FALSE)</f>
        <v>Longlife Tofu</v>
      </c>
      <c r="J509" s="9" t="str">
        <f>VLOOKUP(dynamic[productID],products[],12,FALSE)</f>
        <v>Produce</v>
      </c>
      <c r="K509" s="7" t="str">
        <f>IF(VLOOKUP(dynamic[productID],products[],7,FALSE)=1,"Discontinued","Current")</f>
        <v>Current</v>
      </c>
      <c r="L509" s="9">
        <f>VLOOKUP(dynamic[productID],products[],IF(YEAR(dynamic[orderDate])=2022,8,IF(YEAR(dynamic[orderDate])=2023,9,IF(YEAR(dynamic[orderDate])=2024,10,NA))),FALSE)</f>
        <v>6.510240467</v>
      </c>
      <c r="M509" s="9">
        <v>8.0</v>
      </c>
      <c r="N509" s="25">
        <f>(dynamic[orderPrice]-dynamic[productCost])/dynamic[productCost]</f>
        <v>0.2288332575</v>
      </c>
      <c r="O509" s="10">
        <v>30.0</v>
      </c>
      <c r="P509" s="25">
        <v>0.0</v>
      </c>
      <c r="Q509" s="9">
        <f>dynamic[orderPrice]*dynamic[orderQuantity]</f>
        <v>240</v>
      </c>
      <c r="R509" s="9">
        <f>dynamic[orderTotal]*(1-dynamic[discountApllied])</f>
        <v>240</v>
      </c>
      <c r="S509" s="9">
        <f>dynamic[revenue]-(dynamic[productCost]*dynamic[orderQuantity])</f>
        <v>44.692786</v>
      </c>
      <c r="T509" s="25">
        <f>IFERROR(dynamic[profit]/dynamic[revenue], 0)</f>
        <v>0.1862199417</v>
      </c>
    </row>
    <row r="510" ht="15.75" customHeight="1">
      <c r="A510" s="6">
        <v>10440.0</v>
      </c>
      <c r="B510" s="7" t="s">
        <v>60</v>
      </c>
      <c r="C510" s="24" t="str">
        <f>VLOOKUP(dynamic[customerID],customers[],2,FALSE)</f>
        <v>Save-a-lot Markets</v>
      </c>
      <c r="D510" s="24">
        <v>44967.0</v>
      </c>
      <c r="E510" s="6">
        <f>IFERROR(__xludf.DUMMYFUNCTION("COUNTUNIQUEIFS($A$2:$A510,$B$2:$B510,B510)"),4.0)</f>
        <v>4</v>
      </c>
      <c r="F510" s="6">
        <f t="shared" si="1"/>
        <v>42</v>
      </c>
      <c r="G510" s="6" t="str">
        <f>IF(MINIFS(dynamic[orderDate], dynamic[customerID], B510) &gt;= DATE(2024,4,30)-120, 
     "New", 
     IF(MAXIFS(dynamic[orderCount], dynamic[customerID], B510)&lt;=2, 
        IF((DATE(2024,4,30) - MAXIFS(dynamic[orderDate], dynamic[customerID], B510)) &gt; 180, "Non-Returning", "Dormant"), 
        IF(AND(MAX(dynamic[sinceLastOrder]) &gt; 365, (DATE(2024,4,30) - MAXIFS(dynamic[orderDate], dynamic[customerID], B510)) &gt; 180), 
           "Dormant", "Regular")))</f>
        <v>Regular</v>
      </c>
      <c r="H510" s="6">
        <v>2.0</v>
      </c>
      <c r="I510" s="9" t="str">
        <f>VLOOKUP(dynamic[productID],products[],2,FALSE)</f>
        <v>Chang</v>
      </c>
      <c r="J510" s="9" t="str">
        <f>VLOOKUP(dynamic[productID],products[],12,FALSE)</f>
        <v>Beverages</v>
      </c>
      <c r="K510" s="7" t="str">
        <f>IF(VLOOKUP(dynamic[productID],products[],7,FALSE)=1,"Discontinued","Current")</f>
        <v>Current</v>
      </c>
      <c r="L510" s="9">
        <f>VLOOKUP(dynamic[productID],products[],IF(YEAR(dynamic[orderDate])=2022,8,IF(YEAR(dynamic[orderDate])=2023,9,IF(YEAR(dynamic[orderDate])=2024,10,NA))),FALSE)</f>
        <v>12.14626904</v>
      </c>
      <c r="M510" s="9">
        <v>15.2</v>
      </c>
      <c r="N510" s="25">
        <f>(dynamic[orderPrice]-dynamic[productCost])/dynamic[productCost]</f>
        <v>0.2514130837</v>
      </c>
      <c r="O510" s="10">
        <v>45.0</v>
      </c>
      <c r="P510" s="25">
        <v>0.15</v>
      </c>
      <c r="Q510" s="9">
        <f>dynamic[orderPrice]*dynamic[orderQuantity]</f>
        <v>684</v>
      </c>
      <c r="R510" s="9">
        <f>dynamic[orderTotal]*(1-dynamic[discountApllied])</f>
        <v>581.4</v>
      </c>
      <c r="S510" s="9">
        <f>dynamic[revenue]-(dynamic[productCost]*dynamic[orderQuantity])</f>
        <v>34.81789302</v>
      </c>
      <c r="T510" s="25">
        <f>IFERROR(dynamic[profit]/dynamic[revenue], 0)</f>
        <v>0.05988629691</v>
      </c>
    </row>
    <row r="511" ht="15.75" customHeight="1">
      <c r="A511" s="6">
        <v>10440.0</v>
      </c>
      <c r="B511" s="7" t="s">
        <v>60</v>
      </c>
      <c r="C511" s="24" t="str">
        <f>VLOOKUP(dynamic[customerID],customers[],2,FALSE)</f>
        <v>Save-a-lot Markets</v>
      </c>
      <c r="D511" s="24">
        <v>44967.0</v>
      </c>
      <c r="E511" s="6">
        <f>IFERROR(__xludf.DUMMYFUNCTION("COUNTUNIQUEIFS($A$2:$A511,$B$2:$B511,B511)"),4.0)</f>
        <v>4</v>
      </c>
      <c r="F511" s="6">
        <f t="shared" si="1"/>
        <v>42</v>
      </c>
      <c r="G511" s="6" t="str">
        <f>IF(MINIFS(dynamic[orderDate], dynamic[customerID], B511) &gt;= DATE(2024,4,30)-120, 
     "New", 
     IF(MAXIFS(dynamic[orderCount], dynamic[customerID], B511)&lt;=2, 
        IF((DATE(2024,4,30) - MAXIFS(dynamic[orderDate], dynamic[customerID], B511)) &gt; 180, "Non-Returning", "Dormant"), 
        IF(AND(MAX(dynamic[sinceLastOrder]) &gt; 365, (DATE(2024,4,30) - MAXIFS(dynamic[orderDate], dynamic[customerID], B511)) &gt; 180), 
           "Dormant", "Regular")))</f>
        <v>Regular</v>
      </c>
      <c r="H511" s="6">
        <v>16.0</v>
      </c>
      <c r="I511" s="9" t="str">
        <f>VLOOKUP(dynamic[productID],products[],2,FALSE)</f>
        <v>Pavlova</v>
      </c>
      <c r="J511" s="9" t="str">
        <f>VLOOKUP(dynamic[productID],products[],12,FALSE)</f>
        <v>Confections</v>
      </c>
      <c r="K511" s="7" t="str">
        <f>IF(VLOOKUP(dynamic[productID],products[],7,FALSE)=1,"Discontinued","Current")</f>
        <v>Current</v>
      </c>
      <c r="L511" s="9">
        <f>VLOOKUP(dynamic[productID],products[],IF(YEAR(dynamic[orderDate])=2022,8,IF(YEAR(dynamic[orderDate])=2023,9,IF(YEAR(dynamic[orderDate])=2024,10,NA))),FALSE)</f>
        <v>11.98504839</v>
      </c>
      <c r="M511" s="9">
        <v>13.9</v>
      </c>
      <c r="N511" s="25">
        <f>(dynamic[orderPrice]-dynamic[productCost])/dynamic[productCost]</f>
        <v>0.1597783792</v>
      </c>
      <c r="O511" s="10">
        <v>49.0</v>
      </c>
      <c r="P511" s="25">
        <v>0.15</v>
      </c>
      <c r="Q511" s="9">
        <f>dynamic[orderPrice]*dynamic[orderQuantity]</f>
        <v>681.1</v>
      </c>
      <c r="R511" s="9">
        <f>dynamic[orderTotal]*(1-dynamic[discountApllied])</f>
        <v>578.935</v>
      </c>
      <c r="S511" s="9">
        <f>dynamic[revenue]-(dynamic[productCost]*dynamic[orderQuantity])</f>
        <v>-8.332371247</v>
      </c>
      <c r="T511" s="25">
        <f>IFERROR(dynamic[profit]/dynamic[revenue], 0)</f>
        <v>-0.01439258509</v>
      </c>
    </row>
    <row r="512" ht="15.75" customHeight="1">
      <c r="A512" s="6">
        <v>10440.0</v>
      </c>
      <c r="B512" s="7" t="s">
        <v>60</v>
      </c>
      <c r="C512" s="24" t="str">
        <f>VLOOKUP(dynamic[customerID],customers[],2,FALSE)</f>
        <v>Save-a-lot Markets</v>
      </c>
      <c r="D512" s="24">
        <v>44967.0</v>
      </c>
      <c r="E512" s="6">
        <f>IFERROR(__xludf.DUMMYFUNCTION("COUNTUNIQUEIFS($A$2:$A512,$B$2:$B512,B512)"),4.0)</f>
        <v>4</v>
      </c>
      <c r="F512" s="6">
        <f t="shared" si="1"/>
        <v>42</v>
      </c>
      <c r="G512" s="6" t="str">
        <f>IF(MINIFS(dynamic[orderDate], dynamic[customerID], B512) &gt;= DATE(2024,4,30)-120, 
     "New", 
     IF(MAXIFS(dynamic[orderCount], dynamic[customerID], B512)&lt;=2, 
        IF((DATE(2024,4,30) - MAXIFS(dynamic[orderDate], dynamic[customerID], B512)) &gt; 180, "Non-Returning", "Dormant"), 
        IF(AND(MAX(dynamic[sinceLastOrder]) &gt; 365, (DATE(2024,4,30) - MAXIFS(dynamic[orderDate], dynamic[customerID], B512)) &gt; 180), 
           "Dormant", "Regular")))</f>
        <v>Regular</v>
      </c>
      <c r="H512" s="6">
        <v>29.0</v>
      </c>
      <c r="I512" s="9" t="str">
        <f>VLOOKUP(dynamic[productID],products[],2,FALSE)</f>
        <v>Thüringer Rostbratwurst</v>
      </c>
      <c r="J512" s="9" t="str">
        <f>VLOOKUP(dynamic[productID],products[],12,FALSE)</f>
        <v>Meat/Poultry</v>
      </c>
      <c r="K512" s="7" t="str">
        <f>IF(VLOOKUP(dynamic[productID],products[],7,FALSE)=1,"Discontinued","Current")</f>
        <v>Discontinued</v>
      </c>
      <c r="L512" s="9">
        <f>VLOOKUP(dynamic[productID],products[],IF(YEAR(dynamic[orderDate])=2022,8,IF(YEAR(dynamic[orderDate])=2023,9,IF(YEAR(dynamic[orderDate])=2024,10,NA))),FALSE)</f>
        <v>80.85619497</v>
      </c>
      <c r="M512" s="9">
        <v>99.0</v>
      </c>
      <c r="N512" s="25">
        <f>(dynamic[orderPrice]-dynamic[productCost])/dynamic[productCost]</f>
        <v>0.224395979</v>
      </c>
      <c r="O512" s="10">
        <v>24.0</v>
      </c>
      <c r="P512" s="25">
        <v>0.15</v>
      </c>
      <c r="Q512" s="9">
        <f>dynamic[orderPrice]*dynamic[orderQuantity]</f>
        <v>2376</v>
      </c>
      <c r="R512" s="9">
        <f>dynamic[orderTotal]*(1-dynamic[discountApllied])</f>
        <v>2019.6</v>
      </c>
      <c r="S512" s="9">
        <f>dynamic[revenue]-(dynamic[productCost]*dynamic[orderQuantity])</f>
        <v>79.05132072</v>
      </c>
      <c r="T512" s="25">
        <f>IFERROR(dynamic[profit]/dynamic[revenue], 0)</f>
        <v>0.0391420681</v>
      </c>
    </row>
    <row r="513" ht="15.75" customHeight="1">
      <c r="A513" s="6">
        <v>10440.0</v>
      </c>
      <c r="B513" s="7" t="s">
        <v>60</v>
      </c>
      <c r="C513" s="24" t="str">
        <f>VLOOKUP(dynamic[customerID],customers[],2,FALSE)</f>
        <v>Save-a-lot Markets</v>
      </c>
      <c r="D513" s="24">
        <v>44967.0</v>
      </c>
      <c r="E513" s="6">
        <f>IFERROR(__xludf.DUMMYFUNCTION("COUNTUNIQUEIFS($A$2:$A513,$B$2:$B513,B513)"),4.0)</f>
        <v>4</v>
      </c>
      <c r="F513" s="6">
        <f t="shared" si="1"/>
        <v>42</v>
      </c>
      <c r="G513" s="6" t="str">
        <f>IF(MINIFS(dynamic[orderDate], dynamic[customerID], B513) &gt;= DATE(2024,4,30)-120, 
     "New", 
     IF(MAXIFS(dynamic[orderCount], dynamic[customerID], B513)&lt;=2, 
        IF((DATE(2024,4,30) - MAXIFS(dynamic[orderDate], dynamic[customerID], B513)) &gt; 180, "Non-Returning", "Dormant"), 
        IF(AND(MAX(dynamic[sinceLastOrder]) &gt; 365, (DATE(2024,4,30) - MAXIFS(dynamic[orderDate], dynamic[customerID], B513)) &gt; 180), 
           "Dormant", "Regular")))</f>
        <v>Regular</v>
      </c>
      <c r="H513" s="6">
        <v>61.0</v>
      </c>
      <c r="I513" s="9" t="str">
        <f>VLOOKUP(dynamic[productID],products[],2,FALSE)</f>
        <v>Sirop d'érable</v>
      </c>
      <c r="J513" s="9" t="str">
        <f>VLOOKUP(dynamic[productID],products[],12,FALSE)</f>
        <v>Condiments</v>
      </c>
      <c r="K513" s="7" t="str">
        <f>IF(VLOOKUP(dynamic[productID],products[],7,FALSE)=1,"Discontinued","Current")</f>
        <v>Current</v>
      </c>
      <c r="L513" s="9">
        <f>VLOOKUP(dynamic[productID],products[],IF(YEAR(dynamic[orderDate])=2022,8,IF(YEAR(dynamic[orderDate])=2023,9,IF(YEAR(dynamic[orderDate])=2024,10,NA))),FALSE)</f>
        <v>17.19945448</v>
      </c>
      <c r="M513" s="9">
        <v>22.8</v>
      </c>
      <c r="N513" s="25">
        <f>(dynamic[orderPrice]-dynamic[productCost])/dynamic[productCost]</f>
        <v>0.3256234389</v>
      </c>
      <c r="O513" s="10">
        <v>90.0</v>
      </c>
      <c r="P513" s="25">
        <v>0.15</v>
      </c>
      <c r="Q513" s="9">
        <f>dynamic[orderPrice]*dynamic[orderQuantity]</f>
        <v>2052</v>
      </c>
      <c r="R513" s="9">
        <f>dynamic[orderTotal]*(1-dynamic[discountApllied])</f>
        <v>1744.2</v>
      </c>
      <c r="S513" s="9">
        <f>dynamic[revenue]-(dynamic[productCost]*dynamic[orderQuantity])</f>
        <v>196.2490964</v>
      </c>
      <c r="T513" s="25">
        <f>IFERROR(dynamic[profit]/dynamic[revenue], 0)</f>
        <v>0.1125152485</v>
      </c>
    </row>
    <row r="514" ht="15.75" customHeight="1">
      <c r="A514" s="6">
        <v>10441.0</v>
      </c>
      <c r="B514" s="7" t="s">
        <v>52</v>
      </c>
      <c r="C514" s="24" t="str">
        <f>VLOOKUP(dynamic[customerID],customers[],2,FALSE)</f>
        <v>Old World Delicatessen</v>
      </c>
      <c r="D514" s="24">
        <v>44967.0</v>
      </c>
      <c r="E514" s="6">
        <f>IFERROR(__xludf.DUMMYFUNCTION("COUNTUNIQUEIFS($A$2:$A514,$B$2:$B514,B514)"),3.0)</f>
        <v>3</v>
      </c>
      <c r="F514" s="6">
        <f t="shared" si="1"/>
        <v>108</v>
      </c>
      <c r="G514" s="6" t="str">
        <f>IF(MINIFS(dynamic[orderDate], dynamic[customerID], B514) &gt;= DATE(2024,4,30)-120, 
     "New", 
     IF(MAXIFS(dynamic[orderCount], dynamic[customerID], B514)&lt;=2, 
        IF((DATE(2024,4,30) - MAXIFS(dynamic[orderDate], dynamic[customerID], B514)) &gt; 180, "Non-Returning", "Dormant"), 
        IF(AND(MAX(dynamic[sinceLastOrder]) &gt; 365, (DATE(2024,4,30) - MAXIFS(dynamic[orderDate], dynamic[customerID], B514)) &gt; 180), 
           "Dormant", "Regular")))</f>
        <v>Regular</v>
      </c>
      <c r="H514" s="6">
        <v>27.0</v>
      </c>
      <c r="I514" s="9" t="str">
        <f>VLOOKUP(dynamic[productID],products[],2,FALSE)</f>
        <v>Schoggi Schokolade</v>
      </c>
      <c r="J514" s="9" t="str">
        <f>VLOOKUP(dynamic[productID],products[],12,FALSE)</f>
        <v>Confections</v>
      </c>
      <c r="K514" s="7" t="str">
        <f>IF(VLOOKUP(dynamic[productID],products[],7,FALSE)=1,"Discontinued","Current")</f>
        <v>Current</v>
      </c>
      <c r="L514" s="9">
        <f>VLOOKUP(dynamic[productID],products[],IF(YEAR(dynamic[orderDate])=2022,8,IF(YEAR(dynamic[orderDate])=2023,9,IF(YEAR(dynamic[orderDate])=2024,10,NA))),FALSE)</f>
        <v>32.29103982</v>
      </c>
      <c r="M514" s="9">
        <v>35.1</v>
      </c>
      <c r="N514" s="25">
        <f>(dynamic[orderPrice]-dynamic[productCost])/dynamic[productCost]</f>
        <v>0.08698884263</v>
      </c>
      <c r="O514" s="10">
        <v>50.0</v>
      </c>
      <c r="P514" s="25">
        <v>0.0</v>
      </c>
      <c r="Q514" s="9">
        <f>dynamic[orderPrice]*dynamic[orderQuantity]</f>
        <v>1755</v>
      </c>
      <c r="R514" s="9">
        <f>dynamic[orderTotal]*(1-dynamic[discountApllied])</f>
        <v>1755</v>
      </c>
      <c r="S514" s="9">
        <f>dynamic[revenue]-(dynamic[productCost]*dynamic[orderQuantity])</f>
        <v>140.4480091</v>
      </c>
      <c r="T514" s="25">
        <f>IFERROR(dynamic[profit]/dynamic[revenue], 0)</f>
        <v>0.08002735559</v>
      </c>
    </row>
    <row r="515" ht="15.75" customHeight="1">
      <c r="A515" s="6">
        <v>10442.0</v>
      </c>
      <c r="B515" s="7" t="s">
        <v>24</v>
      </c>
      <c r="C515" s="24" t="str">
        <f>VLOOKUP(dynamic[customerID],customers[],2,FALSE)</f>
        <v>Ernst Handel</v>
      </c>
      <c r="D515" s="24">
        <v>44968.0</v>
      </c>
      <c r="E515" s="6">
        <f>IFERROR(__xludf.DUMMYFUNCTION("COUNTUNIQUEIFS($A$2:$A515,$B$2:$B515,B515)"),10.0)</f>
        <v>10</v>
      </c>
      <c r="F515" s="6">
        <f t="shared" si="1"/>
        <v>12</v>
      </c>
      <c r="G515" s="6" t="str">
        <f>IF(MINIFS(dynamic[orderDate], dynamic[customerID], B515) &gt;= DATE(2024,4,30)-120, 
     "New", 
     IF(MAXIFS(dynamic[orderCount], dynamic[customerID], B515)&lt;=2, 
        IF((DATE(2024,4,30) - MAXIFS(dynamic[orderDate], dynamic[customerID], B515)) &gt; 180, "Non-Returning", "Dormant"), 
        IF(AND(MAX(dynamic[sinceLastOrder]) &gt; 365, (DATE(2024,4,30) - MAXIFS(dynamic[orderDate], dynamic[customerID], B515)) &gt; 180), 
           "Dormant", "Regular")))</f>
        <v>Regular</v>
      </c>
      <c r="H515" s="6">
        <v>11.0</v>
      </c>
      <c r="I515" s="9" t="str">
        <f>VLOOKUP(dynamic[productID],products[],2,FALSE)</f>
        <v>Queso Cabrales</v>
      </c>
      <c r="J515" s="9" t="str">
        <f>VLOOKUP(dynamic[productID],products[],12,FALSE)</f>
        <v>Dairy Products</v>
      </c>
      <c r="K515" s="7" t="str">
        <f>IF(VLOOKUP(dynamic[productID],products[],7,FALSE)=1,"Discontinued","Current")</f>
        <v>Current</v>
      </c>
      <c r="L515" s="9">
        <f>VLOOKUP(dynamic[productID],products[],IF(YEAR(dynamic[orderDate])=2022,8,IF(YEAR(dynamic[orderDate])=2023,9,IF(YEAR(dynamic[orderDate])=2024,10,NA))),FALSE)</f>
        <v>12.90188125</v>
      </c>
      <c r="M515" s="9">
        <v>16.8</v>
      </c>
      <c r="N515" s="25">
        <f>(dynamic[orderPrice]-dynamic[productCost])/dynamic[productCost]</f>
        <v>0.3021356863</v>
      </c>
      <c r="O515" s="10">
        <v>30.0</v>
      </c>
      <c r="P515" s="25">
        <v>0.0</v>
      </c>
      <c r="Q515" s="9">
        <f>dynamic[orderPrice]*dynamic[orderQuantity]</f>
        <v>504</v>
      </c>
      <c r="R515" s="9">
        <f>dynamic[orderTotal]*(1-dynamic[discountApllied])</f>
        <v>504</v>
      </c>
      <c r="S515" s="9">
        <f>dynamic[revenue]-(dynamic[productCost]*dynamic[orderQuantity])</f>
        <v>116.9435624</v>
      </c>
      <c r="T515" s="25">
        <f>IFERROR(dynamic[profit]/dynamic[revenue], 0)</f>
        <v>0.2320308778</v>
      </c>
    </row>
    <row r="516" ht="15.75" customHeight="1">
      <c r="A516" s="6">
        <v>10442.0</v>
      </c>
      <c r="B516" s="7" t="s">
        <v>24</v>
      </c>
      <c r="C516" s="24" t="str">
        <f>VLOOKUP(dynamic[customerID],customers[],2,FALSE)</f>
        <v>Ernst Handel</v>
      </c>
      <c r="D516" s="24">
        <v>44968.0</v>
      </c>
      <c r="E516" s="6">
        <f>IFERROR(__xludf.DUMMYFUNCTION("COUNTUNIQUEIFS($A$2:$A516,$B$2:$B516,B516)"),10.0)</f>
        <v>10</v>
      </c>
      <c r="F516" s="6">
        <f t="shared" si="1"/>
        <v>12</v>
      </c>
      <c r="G516" s="6" t="str">
        <f>IF(MINIFS(dynamic[orderDate], dynamic[customerID], B516) &gt;= DATE(2024,4,30)-120, 
     "New", 
     IF(MAXIFS(dynamic[orderCount], dynamic[customerID], B516)&lt;=2, 
        IF((DATE(2024,4,30) - MAXIFS(dynamic[orderDate], dynamic[customerID], B516)) &gt; 180, "Non-Returning", "Dormant"), 
        IF(AND(MAX(dynamic[sinceLastOrder]) &gt; 365, (DATE(2024,4,30) - MAXIFS(dynamic[orderDate], dynamic[customerID], B516)) &gt; 180), 
           "Dormant", "Regular")))</f>
        <v>Regular</v>
      </c>
      <c r="H516" s="6">
        <v>54.0</v>
      </c>
      <c r="I516" s="9" t="str">
        <f>VLOOKUP(dynamic[productID],products[],2,FALSE)</f>
        <v>Tourtière</v>
      </c>
      <c r="J516" s="9" t="str">
        <f>VLOOKUP(dynamic[productID],products[],12,FALSE)</f>
        <v>Meat/Poultry</v>
      </c>
      <c r="K516" s="7" t="str">
        <f>IF(VLOOKUP(dynamic[productID],products[],7,FALSE)=1,"Discontinued","Current")</f>
        <v>Current</v>
      </c>
      <c r="L516" s="9">
        <f>VLOOKUP(dynamic[productID],products[],IF(YEAR(dynamic[orderDate])=2022,8,IF(YEAR(dynamic[orderDate])=2023,9,IF(YEAR(dynamic[orderDate])=2024,10,NA))),FALSE)</f>
        <v>4.924447797</v>
      </c>
      <c r="M516" s="9">
        <v>5.9</v>
      </c>
      <c r="N516" s="25">
        <f>(dynamic[orderPrice]-dynamic[productCost])/dynamic[productCost]</f>
        <v>0.1981038774</v>
      </c>
      <c r="O516" s="10">
        <v>80.0</v>
      </c>
      <c r="P516" s="25">
        <v>0.0</v>
      </c>
      <c r="Q516" s="9">
        <f>dynamic[orderPrice]*dynamic[orderQuantity]</f>
        <v>472</v>
      </c>
      <c r="R516" s="9">
        <f>dynamic[orderTotal]*(1-dynamic[discountApllied])</f>
        <v>472</v>
      </c>
      <c r="S516" s="9">
        <f>dynamic[revenue]-(dynamic[productCost]*dynamic[orderQuantity])</f>
        <v>78.04417623</v>
      </c>
      <c r="T516" s="25">
        <f>IFERROR(dynamic[profit]/dynamic[revenue], 0)</f>
        <v>0.165347831</v>
      </c>
    </row>
    <row r="517" ht="15.75" customHeight="1">
      <c r="A517" s="6">
        <v>10442.0</v>
      </c>
      <c r="B517" s="7" t="s">
        <v>24</v>
      </c>
      <c r="C517" s="24" t="str">
        <f>VLOOKUP(dynamic[customerID],customers[],2,FALSE)</f>
        <v>Ernst Handel</v>
      </c>
      <c r="D517" s="24">
        <v>44968.0</v>
      </c>
      <c r="E517" s="6">
        <f>IFERROR(__xludf.DUMMYFUNCTION("COUNTUNIQUEIFS($A$2:$A517,$B$2:$B517,B517)"),10.0)</f>
        <v>10</v>
      </c>
      <c r="F517" s="6">
        <f t="shared" si="1"/>
        <v>12</v>
      </c>
      <c r="G517" s="6" t="str">
        <f>IF(MINIFS(dynamic[orderDate], dynamic[customerID], B517) &gt;= DATE(2024,4,30)-120, 
     "New", 
     IF(MAXIFS(dynamic[orderCount], dynamic[customerID], B517)&lt;=2, 
        IF((DATE(2024,4,30) - MAXIFS(dynamic[orderDate], dynamic[customerID], B517)) &gt; 180, "Non-Returning", "Dormant"), 
        IF(AND(MAX(dynamic[sinceLastOrder]) &gt; 365, (DATE(2024,4,30) - MAXIFS(dynamic[orderDate], dynamic[customerID], B517)) &gt; 180), 
           "Dormant", "Regular")))</f>
        <v>Regular</v>
      </c>
      <c r="H517" s="6">
        <v>66.0</v>
      </c>
      <c r="I517" s="9" t="str">
        <f>VLOOKUP(dynamic[productID],products[],2,FALSE)</f>
        <v>Louisiana Hot Spiced Okra</v>
      </c>
      <c r="J517" s="9" t="str">
        <f>VLOOKUP(dynamic[productID],products[],12,FALSE)</f>
        <v>Condiments</v>
      </c>
      <c r="K517" s="7" t="str">
        <f>IF(VLOOKUP(dynamic[productID],products[],7,FALSE)=1,"Discontinued","Current")</f>
        <v>Current</v>
      </c>
      <c r="L517" s="9">
        <f>VLOOKUP(dynamic[productID],products[],IF(YEAR(dynamic[orderDate])=2022,8,IF(YEAR(dynamic[orderDate])=2023,9,IF(YEAR(dynamic[orderDate])=2024,10,NA))),FALSE)</f>
        <v>10.17313149</v>
      </c>
      <c r="M517" s="9">
        <v>13.6</v>
      </c>
      <c r="N517" s="25">
        <f>(dynamic[orderPrice]-dynamic[productCost])/dynamic[productCost]</f>
        <v>0.3368548334</v>
      </c>
      <c r="O517" s="10">
        <v>60.0</v>
      </c>
      <c r="P517" s="25">
        <v>0.0</v>
      </c>
      <c r="Q517" s="9">
        <f>dynamic[orderPrice]*dynamic[orderQuantity]</f>
        <v>816</v>
      </c>
      <c r="R517" s="9">
        <f>dynamic[orderTotal]*(1-dynamic[discountApllied])</f>
        <v>816</v>
      </c>
      <c r="S517" s="9">
        <f>dynamic[revenue]-(dynamic[productCost]*dynamic[orderQuantity])</f>
        <v>205.6121107</v>
      </c>
      <c r="T517" s="25">
        <f>IFERROR(dynamic[profit]/dynamic[revenue], 0)</f>
        <v>0.2519756259</v>
      </c>
    </row>
    <row r="518" ht="15.75" customHeight="1">
      <c r="A518" s="6">
        <v>10443.0</v>
      </c>
      <c r="B518" s="7" t="s">
        <v>45</v>
      </c>
      <c r="C518" s="24" t="str">
        <f>VLOOKUP(dynamic[customerID],customers[],2,FALSE)</f>
        <v>Reggiani Caseifici</v>
      </c>
      <c r="D518" s="24">
        <v>44969.0</v>
      </c>
      <c r="E518" s="6">
        <f>IFERROR(__xludf.DUMMYFUNCTION("COUNTUNIQUEIFS($A$2:$A518,$B$2:$B518,B518)"),3.0)</f>
        <v>3</v>
      </c>
      <c r="F518" s="6">
        <f t="shared" si="1"/>
        <v>15</v>
      </c>
      <c r="G518" s="6" t="str">
        <f>IF(MINIFS(dynamic[orderDate], dynamic[customerID], B518) &gt;= DATE(2024,4,30)-120, 
     "New", 
     IF(MAXIFS(dynamic[orderCount], dynamic[customerID], B518)&lt;=2, 
        IF((DATE(2024,4,30) - MAXIFS(dynamic[orderDate], dynamic[customerID], B518)) &gt; 180, "Non-Returning", "Dormant"), 
        IF(AND(MAX(dynamic[sinceLastOrder]) &gt; 365, (DATE(2024,4,30) - MAXIFS(dynamic[orderDate], dynamic[customerID], B518)) &gt; 180), 
           "Dormant", "Regular")))</f>
        <v>Regular</v>
      </c>
      <c r="H518" s="6">
        <v>11.0</v>
      </c>
      <c r="I518" s="9" t="str">
        <f>VLOOKUP(dynamic[productID],products[],2,FALSE)</f>
        <v>Queso Cabrales</v>
      </c>
      <c r="J518" s="9" t="str">
        <f>VLOOKUP(dynamic[productID],products[],12,FALSE)</f>
        <v>Dairy Products</v>
      </c>
      <c r="K518" s="7" t="str">
        <f>IF(VLOOKUP(dynamic[productID],products[],7,FALSE)=1,"Discontinued","Current")</f>
        <v>Current</v>
      </c>
      <c r="L518" s="9">
        <f>VLOOKUP(dynamic[productID],products[],IF(YEAR(dynamic[orderDate])=2022,8,IF(YEAR(dynamic[orderDate])=2023,9,IF(YEAR(dynamic[orderDate])=2024,10,NA))),FALSE)</f>
        <v>12.90188125</v>
      </c>
      <c r="M518" s="9">
        <v>16.8</v>
      </c>
      <c r="N518" s="25">
        <f>(dynamic[orderPrice]-dynamic[productCost])/dynamic[productCost]</f>
        <v>0.3021356863</v>
      </c>
      <c r="O518" s="10">
        <v>6.0</v>
      </c>
      <c r="P518" s="25">
        <v>0.2</v>
      </c>
      <c r="Q518" s="9">
        <f>dynamic[orderPrice]*dynamic[orderQuantity]</f>
        <v>100.8</v>
      </c>
      <c r="R518" s="9">
        <f>dynamic[orderTotal]*(1-dynamic[discountApllied])</f>
        <v>80.64</v>
      </c>
      <c r="S518" s="9">
        <f>dynamic[revenue]-(dynamic[productCost]*dynamic[orderQuantity])</f>
        <v>3.228712484</v>
      </c>
      <c r="T518" s="25">
        <f>IFERROR(dynamic[profit]/dynamic[revenue], 0)</f>
        <v>0.04003859727</v>
      </c>
    </row>
    <row r="519" ht="15.75" customHeight="1">
      <c r="A519" s="6">
        <v>10443.0</v>
      </c>
      <c r="B519" s="7" t="s">
        <v>45</v>
      </c>
      <c r="C519" s="24" t="str">
        <f>VLOOKUP(dynamic[customerID],customers[],2,FALSE)</f>
        <v>Reggiani Caseifici</v>
      </c>
      <c r="D519" s="24">
        <v>44969.0</v>
      </c>
      <c r="E519" s="6">
        <f>IFERROR(__xludf.DUMMYFUNCTION("COUNTUNIQUEIFS($A$2:$A519,$B$2:$B519,B519)"),3.0)</f>
        <v>3</v>
      </c>
      <c r="F519" s="6">
        <f t="shared" si="1"/>
        <v>15</v>
      </c>
      <c r="G519" s="6" t="str">
        <f>IF(MINIFS(dynamic[orderDate], dynamic[customerID], B519) &gt;= DATE(2024,4,30)-120, 
     "New", 
     IF(MAXIFS(dynamic[orderCount], dynamic[customerID], B519)&lt;=2, 
        IF((DATE(2024,4,30) - MAXIFS(dynamic[orderDate], dynamic[customerID], B519)) &gt; 180, "Non-Returning", "Dormant"), 
        IF(AND(MAX(dynamic[sinceLastOrder]) &gt; 365, (DATE(2024,4,30) - MAXIFS(dynamic[orderDate], dynamic[customerID], B519)) &gt; 180), 
           "Dormant", "Regular")))</f>
        <v>Regular</v>
      </c>
      <c r="H519" s="6">
        <v>28.0</v>
      </c>
      <c r="I519" s="9" t="str">
        <f>VLOOKUP(dynamic[productID],products[],2,FALSE)</f>
        <v>Rössle Sauerkraut</v>
      </c>
      <c r="J519" s="9" t="str">
        <f>VLOOKUP(dynamic[productID],products[],12,FALSE)</f>
        <v>Produce</v>
      </c>
      <c r="K519" s="7" t="str">
        <f>IF(VLOOKUP(dynamic[productID],products[],7,FALSE)=1,"Discontinued","Current")</f>
        <v>Discontinued</v>
      </c>
      <c r="L519" s="9">
        <f>VLOOKUP(dynamic[productID],products[],IF(YEAR(dynamic[orderDate])=2022,8,IF(YEAR(dynamic[orderDate])=2023,9,IF(YEAR(dynamic[orderDate])=2024,10,NA))),FALSE)</f>
        <v>31.52644578</v>
      </c>
      <c r="M519" s="9">
        <v>36.4</v>
      </c>
      <c r="N519" s="25">
        <f>(dynamic[orderPrice]-dynamic[productCost])/dynamic[productCost]</f>
        <v>0.1545862244</v>
      </c>
      <c r="O519" s="10">
        <v>12.0</v>
      </c>
      <c r="P519" s="25">
        <v>0.0</v>
      </c>
      <c r="Q519" s="9">
        <f>dynamic[orderPrice]*dynamic[orderQuantity]</f>
        <v>436.8</v>
      </c>
      <c r="R519" s="9">
        <f>dynamic[orderTotal]*(1-dynamic[discountApllied])</f>
        <v>436.8</v>
      </c>
      <c r="S519" s="9">
        <f>dynamic[revenue]-(dynamic[productCost]*dynamic[orderQuantity])</f>
        <v>58.48265066</v>
      </c>
      <c r="T519" s="25">
        <f>IFERROR(dynamic[profit]/dynamic[revenue], 0)</f>
        <v>0.1338888522</v>
      </c>
    </row>
    <row r="520" ht="15.75" customHeight="1">
      <c r="A520" s="6">
        <v>10444.0</v>
      </c>
      <c r="B520" s="7" t="s">
        <v>40</v>
      </c>
      <c r="C520" s="24" t="str">
        <f>VLOOKUP(dynamic[customerID],customers[],2,FALSE)</f>
        <v>Berglunds snabbköp</v>
      </c>
      <c r="D520" s="24">
        <v>44969.0</v>
      </c>
      <c r="E520" s="6">
        <f>IFERROR(__xludf.DUMMYFUNCTION("COUNTUNIQUEIFS($A$2:$A520,$B$2:$B520,B520)"),4.0)</f>
        <v>4</v>
      </c>
      <c r="F520" s="6">
        <f t="shared" si="1"/>
        <v>58</v>
      </c>
      <c r="G520" s="6" t="str">
        <f>IF(MINIFS(dynamic[orderDate], dynamic[customerID], B520) &gt;= DATE(2024,4,30)-120, 
     "New", 
     IF(MAXIFS(dynamic[orderCount], dynamic[customerID], B520)&lt;=2, 
        IF((DATE(2024,4,30) - MAXIFS(dynamic[orderDate], dynamic[customerID], B520)) &gt; 180, "Non-Returning", "Dormant"), 
        IF(AND(MAX(dynamic[sinceLastOrder]) &gt; 365, (DATE(2024,4,30) - MAXIFS(dynamic[orderDate], dynamic[customerID], B520)) &gt; 180), 
           "Dormant", "Regular")))</f>
        <v>Regular</v>
      </c>
      <c r="H520" s="6">
        <v>17.0</v>
      </c>
      <c r="I520" s="9" t="str">
        <f>VLOOKUP(dynamic[productID],products[],2,FALSE)</f>
        <v>Alice Mutton</v>
      </c>
      <c r="J520" s="9" t="str">
        <f>VLOOKUP(dynamic[productID],products[],12,FALSE)</f>
        <v>Meat/Poultry</v>
      </c>
      <c r="K520" s="7" t="str">
        <f>IF(VLOOKUP(dynamic[productID],products[],7,FALSE)=1,"Discontinued","Current")</f>
        <v>Discontinued</v>
      </c>
      <c r="L520" s="9">
        <f>VLOOKUP(dynamic[productID],products[],IF(YEAR(dynamic[orderDate])=2022,8,IF(YEAR(dynamic[orderDate])=2023,9,IF(YEAR(dynamic[orderDate])=2024,10,NA))),FALSE)</f>
        <v>24.83130504</v>
      </c>
      <c r="M520" s="9">
        <v>31.2</v>
      </c>
      <c r="N520" s="25">
        <f>(dynamic[orderPrice]-dynamic[productCost])/dynamic[productCost]</f>
        <v>0.2564784634</v>
      </c>
      <c r="O520" s="10">
        <v>10.0</v>
      </c>
      <c r="P520" s="25">
        <v>0.0</v>
      </c>
      <c r="Q520" s="9">
        <f>dynamic[orderPrice]*dynamic[orderQuantity]</f>
        <v>312</v>
      </c>
      <c r="R520" s="9">
        <f>dynamic[orderTotal]*(1-dynamic[discountApllied])</f>
        <v>312</v>
      </c>
      <c r="S520" s="9">
        <f>dynamic[revenue]-(dynamic[productCost]*dynamic[orderQuantity])</f>
        <v>63.6869496</v>
      </c>
      <c r="T520" s="25">
        <f>IFERROR(dynamic[profit]/dynamic[revenue], 0)</f>
        <v>0.2041248385</v>
      </c>
    </row>
    <row r="521" ht="15.75" customHeight="1">
      <c r="A521" s="6">
        <v>10444.0</v>
      </c>
      <c r="B521" s="7" t="s">
        <v>40</v>
      </c>
      <c r="C521" s="24" t="str">
        <f>VLOOKUP(dynamic[customerID],customers[],2,FALSE)</f>
        <v>Berglunds snabbköp</v>
      </c>
      <c r="D521" s="24">
        <v>44969.0</v>
      </c>
      <c r="E521" s="6">
        <f>IFERROR(__xludf.DUMMYFUNCTION("COUNTUNIQUEIFS($A$2:$A521,$B$2:$B521,B521)"),4.0)</f>
        <v>4</v>
      </c>
      <c r="F521" s="6">
        <f t="shared" si="1"/>
        <v>58</v>
      </c>
      <c r="G521" s="6" t="str">
        <f>IF(MINIFS(dynamic[orderDate], dynamic[customerID], B521) &gt;= DATE(2024,4,30)-120, 
     "New", 
     IF(MAXIFS(dynamic[orderCount], dynamic[customerID], B521)&lt;=2, 
        IF((DATE(2024,4,30) - MAXIFS(dynamic[orderDate], dynamic[customerID], B521)) &gt; 180, "Non-Returning", "Dormant"), 
        IF(AND(MAX(dynamic[sinceLastOrder]) &gt; 365, (DATE(2024,4,30) - MAXIFS(dynamic[orderDate], dynamic[customerID], B521)) &gt; 180), 
           "Dormant", "Regular")))</f>
        <v>Regular</v>
      </c>
      <c r="H521" s="6">
        <v>26.0</v>
      </c>
      <c r="I521" s="9" t="str">
        <f>VLOOKUP(dynamic[productID],products[],2,FALSE)</f>
        <v>NuNuCa Nuß-Nougat-Creme</v>
      </c>
      <c r="J521" s="9" t="str">
        <f>VLOOKUP(dynamic[productID],products[],12,FALSE)</f>
        <v>Confections</v>
      </c>
      <c r="K521" s="7" t="str">
        <f>IF(VLOOKUP(dynamic[productID],products[],7,FALSE)=1,"Discontinued","Current")</f>
        <v>Current</v>
      </c>
      <c r="L521" s="9">
        <f>VLOOKUP(dynamic[productID],products[],IF(YEAR(dynamic[orderDate])=2022,8,IF(YEAR(dynamic[orderDate])=2023,9,IF(YEAR(dynamic[orderDate])=2024,10,NA))),FALSE)</f>
        <v>21.20896201</v>
      </c>
      <c r="M521" s="9">
        <v>24.9</v>
      </c>
      <c r="N521" s="25">
        <f>(dynamic[orderPrice]-dynamic[productCost])/dynamic[productCost]</f>
        <v>0.1740319958</v>
      </c>
      <c r="O521" s="10">
        <v>15.0</v>
      </c>
      <c r="P521" s="25">
        <v>0.0</v>
      </c>
      <c r="Q521" s="9">
        <f>dynamic[orderPrice]*dynamic[orderQuantity]</f>
        <v>373.5</v>
      </c>
      <c r="R521" s="9">
        <f>dynamic[orderTotal]*(1-dynamic[discountApllied])</f>
        <v>373.5</v>
      </c>
      <c r="S521" s="9">
        <f>dynamic[revenue]-(dynamic[productCost]*dynamic[orderQuantity])</f>
        <v>55.36556981</v>
      </c>
      <c r="T521" s="25">
        <f>IFERROR(dynamic[profit]/dynamic[revenue], 0)</f>
        <v>0.1482344573</v>
      </c>
    </row>
    <row r="522" ht="15.75" customHeight="1">
      <c r="A522" s="6">
        <v>10444.0</v>
      </c>
      <c r="B522" s="7" t="s">
        <v>40</v>
      </c>
      <c r="C522" s="24" t="str">
        <f>VLOOKUP(dynamic[customerID],customers[],2,FALSE)</f>
        <v>Berglunds snabbköp</v>
      </c>
      <c r="D522" s="24">
        <v>44969.0</v>
      </c>
      <c r="E522" s="6">
        <f>IFERROR(__xludf.DUMMYFUNCTION("COUNTUNIQUEIFS($A$2:$A522,$B$2:$B522,B522)"),4.0)</f>
        <v>4</v>
      </c>
      <c r="F522" s="6">
        <f t="shared" si="1"/>
        <v>58</v>
      </c>
      <c r="G522" s="6" t="str">
        <f>IF(MINIFS(dynamic[orderDate], dynamic[customerID], B522) &gt;= DATE(2024,4,30)-120, 
     "New", 
     IF(MAXIFS(dynamic[orderCount], dynamic[customerID], B522)&lt;=2, 
        IF((DATE(2024,4,30) - MAXIFS(dynamic[orderDate], dynamic[customerID], B522)) &gt; 180, "Non-Returning", "Dormant"), 
        IF(AND(MAX(dynamic[sinceLastOrder]) &gt; 365, (DATE(2024,4,30) - MAXIFS(dynamic[orderDate], dynamic[customerID], B522)) &gt; 180), 
           "Dormant", "Regular")))</f>
        <v>Regular</v>
      </c>
      <c r="H522" s="6">
        <v>35.0</v>
      </c>
      <c r="I522" s="9" t="str">
        <f>VLOOKUP(dynamic[productID],products[],2,FALSE)</f>
        <v>Cold Brew Nitro</v>
      </c>
      <c r="J522" s="9" t="str">
        <f>VLOOKUP(dynamic[productID],products[],12,FALSE)</f>
        <v>Beverages</v>
      </c>
      <c r="K522" s="7" t="str">
        <f>IF(VLOOKUP(dynamic[productID],products[],7,FALSE)=1,"Discontinued","Current")</f>
        <v>Current</v>
      </c>
      <c r="L522" s="9">
        <f>VLOOKUP(dynamic[productID],products[],IF(YEAR(dynamic[orderDate])=2022,8,IF(YEAR(dynamic[orderDate])=2023,9,IF(YEAR(dynamic[orderDate])=2024,10,NA))),FALSE)</f>
        <v>11.7602531</v>
      </c>
      <c r="M522" s="9">
        <v>14.4</v>
      </c>
      <c r="N522" s="25">
        <f>(dynamic[orderPrice]-dynamic[productCost])/dynamic[productCost]</f>
        <v>0.2244634426</v>
      </c>
      <c r="O522" s="10">
        <v>8.0</v>
      </c>
      <c r="P522" s="25">
        <v>0.0</v>
      </c>
      <c r="Q522" s="9">
        <f>dynamic[orderPrice]*dynamic[orderQuantity]</f>
        <v>115.2</v>
      </c>
      <c r="R522" s="9">
        <f>dynamic[orderTotal]*(1-dynamic[discountApllied])</f>
        <v>115.2</v>
      </c>
      <c r="S522" s="9">
        <f>dynamic[revenue]-(dynamic[productCost]*dynamic[orderQuantity])</f>
        <v>21.11797518</v>
      </c>
      <c r="T522" s="25">
        <f>IFERROR(dynamic[profit]/dynamic[revenue], 0)</f>
        <v>0.1833157568</v>
      </c>
    </row>
    <row r="523" ht="15.75" customHeight="1">
      <c r="A523" s="6">
        <v>10444.0</v>
      </c>
      <c r="B523" s="7" t="s">
        <v>40</v>
      </c>
      <c r="C523" s="24" t="str">
        <f>VLOOKUP(dynamic[customerID],customers[],2,FALSE)</f>
        <v>Berglunds snabbköp</v>
      </c>
      <c r="D523" s="24">
        <v>44969.0</v>
      </c>
      <c r="E523" s="6">
        <f>IFERROR(__xludf.DUMMYFUNCTION("COUNTUNIQUEIFS($A$2:$A523,$B$2:$B523,B523)"),4.0)</f>
        <v>4</v>
      </c>
      <c r="F523" s="6">
        <f t="shared" si="1"/>
        <v>58</v>
      </c>
      <c r="G523" s="6" t="str">
        <f>IF(MINIFS(dynamic[orderDate], dynamic[customerID], B523) &gt;= DATE(2024,4,30)-120, 
     "New", 
     IF(MAXIFS(dynamic[orderCount], dynamic[customerID], B523)&lt;=2, 
        IF((DATE(2024,4,30) - MAXIFS(dynamic[orderDate], dynamic[customerID], B523)) &gt; 180, "Non-Returning", "Dormant"), 
        IF(AND(MAX(dynamic[sinceLastOrder]) &gt; 365, (DATE(2024,4,30) - MAXIFS(dynamic[orderDate], dynamic[customerID], B523)) &gt; 180), 
           "Dormant", "Regular")))</f>
        <v>Regular</v>
      </c>
      <c r="H523" s="6">
        <v>41.0</v>
      </c>
      <c r="I523" s="9" t="str">
        <f>VLOOKUP(dynamic[productID],products[],2,FALSE)</f>
        <v>Jack's New England Clam Chowder</v>
      </c>
      <c r="J523" s="9" t="str">
        <f>VLOOKUP(dynamic[productID],products[],12,FALSE)</f>
        <v>Seafood</v>
      </c>
      <c r="K523" s="7" t="str">
        <f>IF(VLOOKUP(dynamic[productID],products[],7,FALSE)=1,"Discontinued","Current")</f>
        <v>Current</v>
      </c>
      <c r="L523" s="9">
        <f>VLOOKUP(dynamic[productID],products[],IF(YEAR(dynamic[orderDate])=2022,8,IF(YEAR(dynamic[orderDate])=2023,9,IF(YEAR(dynamic[orderDate])=2024,10,NA))),FALSE)</f>
        <v>6.549914856</v>
      </c>
      <c r="M523" s="9">
        <v>7.7</v>
      </c>
      <c r="N523" s="25">
        <f>(dynamic[orderPrice]-dynamic[productCost])/dynamic[productCost]</f>
        <v>0.1755878006</v>
      </c>
      <c r="O523" s="10">
        <v>30.0</v>
      </c>
      <c r="P523" s="25">
        <v>0.0</v>
      </c>
      <c r="Q523" s="9">
        <f>dynamic[orderPrice]*dynamic[orderQuantity]</f>
        <v>231</v>
      </c>
      <c r="R523" s="9">
        <f>dynamic[orderTotal]*(1-dynamic[discountApllied])</f>
        <v>231</v>
      </c>
      <c r="S523" s="9">
        <f>dynamic[revenue]-(dynamic[productCost]*dynamic[orderQuantity])</f>
        <v>34.50255432</v>
      </c>
      <c r="T523" s="25">
        <f>IFERROR(dynamic[profit]/dynamic[revenue], 0)</f>
        <v>0.149361707</v>
      </c>
    </row>
    <row r="524" ht="15.75" customHeight="1">
      <c r="A524" s="6">
        <v>10445.0</v>
      </c>
      <c r="B524" s="7" t="s">
        <v>40</v>
      </c>
      <c r="C524" s="24" t="str">
        <f>VLOOKUP(dynamic[customerID],customers[],2,FALSE)</f>
        <v>Berglunds snabbköp</v>
      </c>
      <c r="D524" s="24">
        <v>44970.0</v>
      </c>
      <c r="E524" s="6">
        <f>IFERROR(__xludf.DUMMYFUNCTION("COUNTUNIQUEIFS($A$2:$A524,$B$2:$B524,B524)"),5.0)</f>
        <v>5</v>
      </c>
      <c r="F524" s="6">
        <f t="shared" si="1"/>
        <v>1</v>
      </c>
      <c r="G524" s="6" t="str">
        <f>IF(MINIFS(dynamic[orderDate], dynamic[customerID], B524) &gt;= DATE(2024,4,30)-120, 
     "New", 
     IF(MAXIFS(dynamic[orderCount], dynamic[customerID], B524)&lt;=2, 
        IF((DATE(2024,4,30) - MAXIFS(dynamic[orderDate], dynamic[customerID], B524)) &gt; 180, "Non-Returning", "Dormant"), 
        IF(AND(MAX(dynamic[sinceLastOrder]) &gt; 365, (DATE(2024,4,30) - MAXIFS(dynamic[orderDate], dynamic[customerID], B524)) &gt; 180), 
           "Dormant", "Regular")))</f>
        <v>Regular</v>
      </c>
      <c r="H524" s="6">
        <v>39.0</v>
      </c>
      <c r="I524" s="9" t="str">
        <f>VLOOKUP(dynamic[productID],products[],2,FALSE)</f>
        <v>Chartreuse verte</v>
      </c>
      <c r="J524" s="9" t="str">
        <f>VLOOKUP(dynamic[productID],products[],12,FALSE)</f>
        <v>Beverages</v>
      </c>
      <c r="K524" s="7" t="str">
        <f>IF(VLOOKUP(dynamic[productID],products[],7,FALSE)=1,"Discontinued","Current")</f>
        <v>Current</v>
      </c>
      <c r="L524" s="9">
        <f>VLOOKUP(dynamic[productID],products[],IF(YEAR(dynamic[orderDate])=2022,8,IF(YEAR(dynamic[orderDate])=2023,9,IF(YEAR(dynamic[orderDate])=2024,10,NA))),FALSE)</f>
        <v>11.73311441</v>
      </c>
      <c r="M524" s="9">
        <v>14.4</v>
      </c>
      <c r="N524" s="25">
        <f>(dynamic[orderPrice]-dynamic[productCost])/dynamic[productCost]</f>
        <v>0.2272956261</v>
      </c>
      <c r="O524" s="10">
        <v>6.0</v>
      </c>
      <c r="P524" s="25">
        <v>0.0</v>
      </c>
      <c r="Q524" s="9">
        <f>dynamic[orderPrice]*dynamic[orderQuantity]</f>
        <v>86.4</v>
      </c>
      <c r="R524" s="9">
        <f>dynamic[orderTotal]*(1-dynamic[discountApllied])</f>
        <v>86.4</v>
      </c>
      <c r="S524" s="9">
        <f>dynamic[revenue]-(dynamic[productCost]*dynamic[orderQuantity])</f>
        <v>16.00131352</v>
      </c>
      <c r="T524" s="25">
        <f>IFERROR(dynamic[profit]/dynamic[revenue], 0)</f>
        <v>0.185200388</v>
      </c>
    </row>
    <row r="525" ht="15.75" customHeight="1">
      <c r="A525" s="6">
        <v>10445.0</v>
      </c>
      <c r="B525" s="7" t="s">
        <v>40</v>
      </c>
      <c r="C525" s="24" t="str">
        <f>VLOOKUP(dynamic[customerID],customers[],2,FALSE)</f>
        <v>Berglunds snabbköp</v>
      </c>
      <c r="D525" s="24">
        <v>44970.0</v>
      </c>
      <c r="E525" s="6">
        <f>IFERROR(__xludf.DUMMYFUNCTION("COUNTUNIQUEIFS($A$2:$A525,$B$2:$B525,B525)"),5.0)</f>
        <v>5</v>
      </c>
      <c r="F525" s="6">
        <f t="shared" si="1"/>
        <v>1</v>
      </c>
      <c r="G525" s="6" t="str">
        <f>IF(MINIFS(dynamic[orderDate], dynamic[customerID], B525) &gt;= DATE(2024,4,30)-120, 
     "New", 
     IF(MAXIFS(dynamic[orderCount], dynamic[customerID], B525)&lt;=2, 
        IF((DATE(2024,4,30) - MAXIFS(dynamic[orderDate], dynamic[customerID], B525)) &gt; 180, "Non-Returning", "Dormant"), 
        IF(AND(MAX(dynamic[sinceLastOrder]) &gt; 365, (DATE(2024,4,30) - MAXIFS(dynamic[orderDate], dynamic[customerID], B525)) &gt; 180), 
           "Dormant", "Regular")))</f>
        <v>Regular</v>
      </c>
      <c r="H525" s="6">
        <v>54.0</v>
      </c>
      <c r="I525" s="9" t="str">
        <f>VLOOKUP(dynamic[productID],products[],2,FALSE)</f>
        <v>Tourtière</v>
      </c>
      <c r="J525" s="9" t="str">
        <f>VLOOKUP(dynamic[productID],products[],12,FALSE)</f>
        <v>Meat/Poultry</v>
      </c>
      <c r="K525" s="7" t="str">
        <f>IF(VLOOKUP(dynamic[productID],products[],7,FALSE)=1,"Discontinued","Current")</f>
        <v>Current</v>
      </c>
      <c r="L525" s="9">
        <f>VLOOKUP(dynamic[productID],products[],IF(YEAR(dynamic[orderDate])=2022,8,IF(YEAR(dynamic[orderDate])=2023,9,IF(YEAR(dynamic[orderDate])=2024,10,NA))),FALSE)</f>
        <v>4.924447797</v>
      </c>
      <c r="M525" s="9">
        <v>5.9</v>
      </c>
      <c r="N525" s="25">
        <f>(dynamic[orderPrice]-dynamic[productCost])/dynamic[productCost]</f>
        <v>0.1981038774</v>
      </c>
      <c r="O525" s="10">
        <v>15.0</v>
      </c>
      <c r="P525" s="25">
        <v>0.0</v>
      </c>
      <c r="Q525" s="9">
        <f>dynamic[orderPrice]*dynamic[orderQuantity]</f>
        <v>88.5</v>
      </c>
      <c r="R525" s="9">
        <f>dynamic[orderTotal]*(1-dynamic[discountApllied])</f>
        <v>88.5</v>
      </c>
      <c r="S525" s="9">
        <f>dynamic[revenue]-(dynamic[productCost]*dynamic[orderQuantity])</f>
        <v>14.63328304</v>
      </c>
      <c r="T525" s="25">
        <f>IFERROR(dynamic[profit]/dynamic[revenue], 0)</f>
        <v>0.165347831</v>
      </c>
    </row>
    <row r="526" ht="15.75" customHeight="1">
      <c r="A526" s="6">
        <v>10446.0</v>
      </c>
      <c r="B526" s="7" t="s">
        <v>14</v>
      </c>
      <c r="C526" s="24" t="str">
        <f>VLOOKUP(dynamic[customerID],customers[],2,FALSE)</f>
        <v>Toms Spezialitäten</v>
      </c>
      <c r="D526" s="24">
        <v>44971.0</v>
      </c>
      <c r="E526" s="6">
        <f>IFERROR(__xludf.DUMMYFUNCTION("COUNTUNIQUEIFS($A$2:$A526,$B$2:$B526,B526)"),3.0)</f>
        <v>3</v>
      </c>
      <c r="F526" s="6">
        <f t="shared" si="1"/>
        <v>8</v>
      </c>
      <c r="G526" s="6" t="str">
        <f>IF(MINIFS(dynamic[orderDate], dynamic[customerID], B526) &gt;= DATE(2024,4,30)-120, 
     "New", 
     IF(MAXIFS(dynamic[orderCount], dynamic[customerID], B526)&lt;=2, 
        IF((DATE(2024,4,30) - MAXIFS(dynamic[orderDate], dynamic[customerID], B526)) &gt; 180, "Non-Returning", "Dormant"), 
        IF(AND(MAX(dynamic[sinceLastOrder]) &gt; 365, (DATE(2024,4,30) - MAXIFS(dynamic[orderDate], dynamic[customerID], B526)) &gt; 180), 
           "Dormant", "Regular")))</f>
        <v>Regular</v>
      </c>
      <c r="H526" s="6">
        <v>19.0</v>
      </c>
      <c r="I526" s="9" t="str">
        <f>VLOOKUP(dynamic[productID],products[],2,FALSE)</f>
        <v>Teatime Chocolate Biscuits</v>
      </c>
      <c r="J526" s="9" t="str">
        <f>VLOOKUP(dynamic[productID],products[],12,FALSE)</f>
        <v>Confections</v>
      </c>
      <c r="K526" s="7" t="str">
        <f>IF(VLOOKUP(dynamic[productID],products[],7,FALSE)=1,"Discontinued","Current")</f>
        <v>Current</v>
      </c>
      <c r="L526" s="9">
        <f>VLOOKUP(dynamic[productID],products[],IF(YEAR(dynamic[orderDate])=2022,8,IF(YEAR(dynamic[orderDate])=2023,9,IF(YEAR(dynamic[orderDate])=2024,10,NA))),FALSE)</f>
        <v>5.901883682</v>
      </c>
      <c r="M526" s="9">
        <v>7.3</v>
      </c>
      <c r="N526" s="25">
        <f>(dynamic[orderPrice]-dynamic[productCost])/dynamic[productCost]</f>
        <v>0.2368932349</v>
      </c>
      <c r="O526" s="10">
        <v>12.0</v>
      </c>
      <c r="P526" s="25">
        <v>0.1</v>
      </c>
      <c r="Q526" s="9">
        <f>dynamic[orderPrice]*dynamic[orderQuantity]</f>
        <v>87.6</v>
      </c>
      <c r="R526" s="9">
        <f>dynamic[orderTotal]*(1-dynamic[discountApllied])</f>
        <v>78.84</v>
      </c>
      <c r="S526" s="9">
        <f>dynamic[revenue]-(dynamic[productCost]*dynamic[orderQuantity])</f>
        <v>8.017395811</v>
      </c>
      <c r="T526" s="25">
        <f>IFERROR(dynamic[profit]/dynamic[revenue], 0)</f>
        <v>0.1016919814</v>
      </c>
    </row>
    <row r="527" ht="15.75" customHeight="1">
      <c r="A527" s="6">
        <v>10446.0</v>
      </c>
      <c r="B527" s="7" t="s">
        <v>14</v>
      </c>
      <c r="C527" s="24" t="str">
        <f>VLOOKUP(dynamic[customerID],customers[],2,FALSE)</f>
        <v>Toms Spezialitäten</v>
      </c>
      <c r="D527" s="24">
        <v>44971.0</v>
      </c>
      <c r="E527" s="6">
        <f>IFERROR(__xludf.DUMMYFUNCTION("COUNTUNIQUEIFS($A$2:$A527,$B$2:$B527,B527)"),3.0)</f>
        <v>3</v>
      </c>
      <c r="F527" s="6">
        <f t="shared" si="1"/>
        <v>8</v>
      </c>
      <c r="G527" s="6" t="str">
        <f>IF(MINIFS(dynamic[orderDate], dynamic[customerID], B527) &gt;= DATE(2024,4,30)-120, 
     "New", 
     IF(MAXIFS(dynamic[orderCount], dynamic[customerID], B527)&lt;=2, 
        IF((DATE(2024,4,30) - MAXIFS(dynamic[orderDate], dynamic[customerID], B527)) &gt; 180, "Non-Returning", "Dormant"), 
        IF(AND(MAX(dynamic[sinceLastOrder]) &gt; 365, (DATE(2024,4,30) - MAXIFS(dynamic[orderDate], dynamic[customerID], B527)) &gt; 180), 
           "Dormant", "Regular")))</f>
        <v>Regular</v>
      </c>
      <c r="H527" s="6">
        <v>24.0</v>
      </c>
      <c r="I527" s="9" t="str">
        <f>VLOOKUP(dynamic[productID],products[],2,FALSE)</f>
        <v>Brigadeiros Maravilhosos da Lilian</v>
      </c>
      <c r="J527" s="9" t="str">
        <f>VLOOKUP(dynamic[productID],products[],12,FALSE)</f>
        <v>Confections</v>
      </c>
      <c r="K527" s="7" t="str">
        <f>IF(VLOOKUP(dynamic[productID],products[],7,FALSE)=1,"Discontinued","Current")</f>
        <v>Discontinued</v>
      </c>
      <c r="L527" s="9">
        <f>VLOOKUP(dynamic[productID],products[],IF(YEAR(dynamic[orderDate])=2022,8,IF(YEAR(dynamic[orderDate])=2023,9,IF(YEAR(dynamic[orderDate])=2024,10,NA))),FALSE)</f>
        <v>3.131783363</v>
      </c>
      <c r="M527" s="9">
        <v>3.6</v>
      </c>
      <c r="N527" s="25">
        <f>(dynamic[orderPrice]-dynamic[productCost])/dynamic[productCost]</f>
        <v>0.1495047974</v>
      </c>
      <c r="O527" s="10">
        <v>20.0</v>
      </c>
      <c r="P527" s="25">
        <v>0.1</v>
      </c>
      <c r="Q527" s="9">
        <f>dynamic[orderPrice]*dynamic[orderQuantity]</f>
        <v>72</v>
      </c>
      <c r="R527" s="9">
        <f>dynamic[orderTotal]*(1-dynamic[discountApllied])</f>
        <v>64.8</v>
      </c>
      <c r="S527" s="9">
        <f>dynamic[revenue]-(dynamic[productCost]*dynamic[orderQuantity])</f>
        <v>2.164332741</v>
      </c>
      <c r="T527" s="25">
        <f>IFERROR(dynamic[profit]/dynamic[revenue], 0)</f>
        <v>0.03340019663</v>
      </c>
    </row>
    <row r="528" ht="15.75" customHeight="1">
      <c r="A528" s="6">
        <v>10446.0</v>
      </c>
      <c r="B528" s="7" t="s">
        <v>14</v>
      </c>
      <c r="C528" s="24" t="str">
        <f>VLOOKUP(dynamic[customerID],customers[],2,FALSE)</f>
        <v>Toms Spezialitäten</v>
      </c>
      <c r="D528" s="24">
        <v>44971.0</v>
      </c>
      <c r="E528" s="6">
        <f>IFERROR(__xludf.DUMMYFUNCTION("COUNTUNIQUEIFS($A$2:$A528,$B$2:$B528,B528)"),3.0)</f>
        <v>3</v>
      </c>
      <c r="F528" s="6">
        <f t="shared" si="1"/>
        <v>8</v>
      </c>
      <c r="G528" s="6" t="str">
        <f>IF(MINIFS(dynamic[orderDate], dynamic[customerID], B528) &gt;= DATE(2024,4,30)-120, 
     "New", 
     IF(MAXIFS(dynamic[orderCount], dynamic[customerID], B528)&lt;=2, 
        IF((DATE(2024,4,30) - MAXIFS(dynamic[orderDate], dynamic[customerID], B528)) &gt; 180, "Non-Returning", "Dormant"), 
        IF(AND(MAX(dynamic[sinceLastOrder]) &gt; 365, (DATE(2024,4,30) - MAXIFS(dynamic[orderDate], dynamic[customerID], B528)) &gt; 180), 
           "Dormant", "Regular")))</f>
        <v>Regular</v>
      </c>
      <c r="H528" s="6">
        <v>31.0</v>
      </c>
      <c r="I528" s="9" t="str">
        <f>VLOOKUP(dynamic[productID],products[],2,FALSE)</f>
        <v>Gorgonzola Telino</v>
      </c>
      <c r="J528" s="9" t="str">
        <f>VLOOKUP(dynamic[productID],products[],12,FALSE)</f>
        <v>Dairy Products</v>
      </c>
      <c r="K528" s="7" t="str">
        <f>IF(VLOOKUP(dynamic[productID],products[],7,FALSE)=1,"Discontinued","Current")</f>
        <v>Current</v>
      </c>
      <c r="L528" s="9">
        <f>VLOOKUP(dynamic[productID],products[],IF(YEAR(dynamic[orderDate])=2022,8,IF(YEAR(dynamic[orderDate])=2023,9,IF(YEAR(dynamic[orderDate])=2024,10,NA))),FALSE)</f>
        <v>7.937729254</v>
      </c>
      <c r="M528" s="9">
        <v>10.0</v>
      </c>
      <c r="N528" s="25">
        <f>(dynamic[orderPrice]-dynamic[productCost])/dynamic[productCost]</f>
        <v>0.2598061334</v>
      </c>
      <c r="O528" s="10">
        <v>3.0</v>
      </c>
      <c r="P528" s="25">
        <v>0.1</v>
      </c>
      <c r="Q528" s="9">
        <f>dynamic[orderPrice]*dynamic[orderQuantity]</f>
        <v>30</v>
      </c>
      <c r="R528" s="9">
        <f>dynamic[orderTotal]*(1-dynamic[discountApllied])</f>
        <v>27</v>
      </c>
      <c r="S528" s="9">
        <f>dynamic[revenue]-(dynamic[productCost]*dynamic[orderQuantity])</f>
        <v>3.186812237</v>
      </c>
      <c r="T528" s="25">
        <f>IFERROR(dynamic[profit]/dynamic[revenue], 0)</f>
        <v>0.1180300829</v>
      </c>
    </row>
    <row r="529" ht="15.75" customHeight="1">
      <c r="A529" s="6">
        <v>10446.0</v>
      </c>
      <c r="B529" s="7" t="s">
        <v>14</v>
      </c>
      <c r="C529" s="24" t="str">
        <f>VLOOKUP(dynamic[customerID],customers[],2,FALSE)</f>
        <v>Toms Spezialitäten</v>
      </c>
      <c r="D529" s="24">
        <v>44971.0</v>
      </c>
      <c r="E529" s="6">
        <f>IFERROR(__xludf.DUMMYFUNCTION("COUNTUNIQUEIFS($A$2:$A529,$B$2:$B529,B529)"),3.0)</f>
        <v>3</v>
      </c>
      <c r="F529" s="6">
        <f t="shared" si="1"/>
        <v>8</v>
      </c>
      <c r="G529" s="6" t="str">
        <f>IF(MINIFS(dynamic[orderDate], dynamic[customerID], B529) &gt;= DATE(2024,4,30)-120, 
     "New", 
     IF(MAXIFS(dynamic[orderCount], dynamic[customerID], B529)&lt;=2, 
        IF((DATE(2024,4,30) - MAXIFS(dynamic[orderDate], dynamic[customerID], B529)) &gt; 180, "Non-Returning", "Dormant"), 
        IF(AND(MAX(dynamic[sinceLastOrder]) &gt; 365, (DATE(2024,4,30) - MAXIFS(dynamic[orderDate], dynamic[customerID], B529)) &gt; 180), 
           "Dormant", "Regular")))</f>
        <v>Regular</v>
      </c>
      <c r="H529" s="6">
        <v>52.0</v>
      </c>
      <c r="I529" s="9" t="str">
        <f>VLOOKUP(dynamic[productID],products[],2,FALSE)</f>
        <v>Filo Mix</v>
      </c>
      <c r="J529" s="9" t="str">
        <f>VLOOKUP(dynamic[productID],products[],12,FALSE)</f>
        <v>Grains/Cereals</v>
      </c>
      <c r="K529" s="7" t="str">
        <f>IF(VLOOKUP(dynamic[productID],products[],7,FALSE)=1,"Discontinued","Current")</f>
        <v>Current</v>
      </c>
      <c r="L529" s="9">
        <f>VLOOKUP(dynamic[productID],products[],IF(YEAR(dynamic[orderDate])=2022,8,IF(YEAR(dynamic[orderDate])=2023,9,IF(YEAR(dynamic[orderDate])=2024,10,NA))),FALSE)</f>
        <v>5.001706713</v>
      </c>
      <c r="M529" s="9">
        <v>5.6</v>
      </c>
      <c r="N529" s="25">
        <f>(dynamic[orderPrice]-dynamic[productCost])/dynamic[productCost]</f>
        <v>0.1196178268</v>
      </c>
      <c r="O529" s="10">
        <v>15.0</v>
      </c>
      <c r="P529" s="25">
        <v>0.1</v>
      </c>
      <c r="Q529" s="9">
        <f>dynamic[orderPrice]*dynamic[orderQuantity]</f>
        <v>84</v>
      </c>
      <c r="R529" s="9">
        <f>dynamic[orderTotal]*(1-dynamic[discountApllied])</f>
        <v>75.6</v>
      </c>
      <c r="S529" s="9">
        <f>dynamic[revenue]-(dynamic[productCost]*dynamic[orderQuantity])</f>
        <v>0.574399309</v>
      </c>
      <c r="T529" s="25">
        <f>IFERROR(dynamic[profit]/dynamic[revenue], 0)</f>
        <v>0.007597874457</v>
      </c>
    </row>
    <row r="530" ht="15.75" customHeight="1">
      <c r="A530" s="6">
        <v>10447.0</v>
      </c>
      <c r="B530" s="7" t="s">
        <v>44</v>
      </c>
      <c r="C530" s="24" t="str">
        <f>VLOOKUP(dynamic[customerID],customers[],2,FALSE)</f>
        <v>Ricardo Adocicados</v>
      </c>
      <c r="D530" s="24">
        <v>44971.0</v>
      </c>
      <c r="E530" s="6">
        <f>IFERROR(__xludf.DUMMYFUNCTION("COUNTUNIQUEIFS($A$2:$A530,$B$2:$B530,B530)"),3.0)</f>
        <v>3</v>
      </c>
      <c r="F530" s="6">
        <f t="shared" si="1"/>
        <v>161</v>
      </c>
      <c r="G530" s="6" t="str">
        <f>IF(MINIFS(dynamic[orderDate], dynamic[customerID], B530) &gt;= DATE(2024,4,30)-120, 
     "New", 
     IF(MAXIFS(dynamic[orderCount], dynamic[customerID], B530)&lt;=2, 
        IF((DATE(2024,4,30) - MAXIFS(dynamic[orderDate], dynamic[customerID], B530)) &gt; 180, "Non-Returning", "Dormant"), 
        IF(AND(MAX(dynamic[sinceLastOrder]) &gt; 365, (DATE(2024,4,30) - MAXIFS(dynamic[orderDate], dynamic[customerID], B530)) &gt; 180), 
           "Dormant", "Regular")))</f>
        <v>Regular</v>
      </c>
      <c r="H530" s="6">
        <v>19.0</v>
      </c>
      <c r="I530" s="9" t="str">
        <f>VLOOKUP(dynamic[productID],products[],2,FALSE)</f>
        <v>Teatime Chocolate Biscuits</v>
      </c>
      <c r="J530" s="9" t="str">
        <f>VLOOKUP(dynamic[productID],products[],12,FALSE)</f>
        <v>Confections</v>
      </c>
      <c r="K530" s="7" t="str">
        <f>IF(VLOOKUP(dynamic[productID],products[],7,FALSE)=1,"Discontinued","Current")</f>
        <v>Current</v>
      </c>
      <c r="L530" s="9">
        <f>VLOOKUP(dynamic[productID],products[],IF(YEAR(dynamic[orderDate])=2022,8,IF(YEAR(dynamic[orderDate])=2023,9,IF(YEAR(dynamic[orderDate])=2024,10,NA))),FALSE)</f>
        <v>5.901883682</v>
      </c>
      <c r="M530" s="9">
        <v>7.3</v>
      </c>
      <c r="N530" s="25">
        <f>(dynamic[orderPrice]-dynamic[productCost])/dynamic[productCost]</f>
        <v>0.2368932349</v>
      </c>
      <c r="O530" s="10">
        <v>40.0</v>
      </c>
      <c r="P530" s="25">
        <v>0.0</v>
      </c>
      <c r="Q530" s="9">
        <f>dynamic[orderPrice]*dynamic[orderQuantity]</f>
        <v>292</v>
      </c>
      <c r="R530" s="9">
        <f>dynamic[orderTotal]*(1-dynamic[discountApllied])</f>
        <v>292</v>
      </c>
      <c r="S530" s="9">
        <f>dynamic[revenue]-(dynamic[productCost]*dynamic[orderQuantity])</f>
        <v>55.9246527</v>
      </c>
      <c r="T530" s="25">
        <f>IFERROR(dynamic[profit]/dynamic[revenue], 0)</f>
        <v>0.1915227832</v>
      </c>
    </row>
    <row r="531" ht="15.75" customHeight="1">
      <c r="A531" s="6">
        <v>10447.0</v>
      </c>
      <c r="B531" s="7" t="s">
        <v>44</v>
      </c>
      <c r="C531" s="24" t="str">
        <f>VLOOKUP(dynamic[customerID],customers[],2,FALSE)</f>
        <v>Ricardo Adocicados</v>
      </c>
      <c r="D531" s="24">
        <v>44971.0</v>
      </c>
      <c r="E531" s="6">
        <f>IFERROR(__xludf.DUMMYFUNCTION("COUNTUNIQUEIFS($A$2:$A531,$B$2:$B531,B531)"),3.0)</f>
        <v>3</v>
      </c>
      <c r="F531" s="6">
        <f t="shared" si="1"/>
        <v>161</v>
      </c>
      <c r="G531" s="6" t="str">
        <f>IF(MINIFS(dynamic[orderDate], dynamic[customerID], B531) &gt;= DATE(2024,4,30)-120, 
     "New", 
     IF(MAXIFS(dynamic[orderCount], dynamic[customerID], B531)&lt;=2, 
        IF((DATE(2024,4,30) - MAXIFS(dynamic[orderDate], dynamic[customerID], B531)) &gt; 180, "Non-Returning", "Dormant"), 
        IF(AND(MAX(dynamic[sinceLastOrder]) &gt; 365, (DATE(2024,4,30) - MAXIFS(dynamic[orderDate], dynamic[customerID], B531)) &gt; 180), 
           "Dormant", "Regular")))</f>
        <v>Regular</v>
      </c>
      <c r="H531" s="6">
        <v>65.0</v>
      </c>
      <c r="I531" s="9" t="str">
        <f>VLOOKUP(dynamic[productID],products[],2,FALSE)</f>
        <v>Louisiana Fiery Hot Pepper Sauce</v>
      </c>
      <c r="J531" s="9" t="str">
        <f>VLOOKUP(dynamic[productID],products[],12,FALSE)</f>
        <v>Condiments</v>
      </c>
      <c r="K531" s="7" t="str">
        <f>IF(VLOOKUP(dynamic[productID],products[],7,FALSE)=1,"Discontinued","Current")</f>
        <v>Current</v>
      </c>
      <c r="L531" s="9">
        <f>VLOOKUP(dynamic[productID],products[],IF(YEAR(dynamic[orderDate])=2022,8,IF(YEAR(dynamic[orderDate])=2023,9,IF(YEAR(dynamic[orderDate])=2024,10,NA))),FALSE)</f>
        <v>13.21122243</v>
      </c>
      <c r="M531" s="9">
        <v>16.8</v>
      </c>
      <c r="N531" s="25">
        <f>(dynamic[orderPrice]-dynamic[productCost])/dynamic[productCost]</f>
        <v>0.2716461391</v>
      </c>
      <c r="O531" s="10">
        <v>35.0</v>
      </c>
      <c r="P531" s="25">
        <v>0.0</v>
      </c>
      <c r="Q531" s="9">
        <f>dynamic[orderPrice]*dynamic[orderQuantity]</f>
        <v>588</v>
      </c>
      <c r="R531" s="9">
        <f>dynamic[orderTotal]*(1-dynamic[discountApllied])</f>
        <v>588</v>
      </c>
      <c r="S531" s="9">
        <f>dynamic[revenue]-(dynamic[productCost]*dynamic[orderQuantity])</f>
        <v>125.6072148</v>
      </c>
      <c r="T531" s="25">
        <f>IFERROR(dynamic[profit]/dynamic[revenue], 0)</f>
        <v>0.2136177123</v>
      </c>
    </row>
    <row r="532" ht="15.75" customHeight="1">
      <c r="A532" s="6">
        <v>10447.0</v>
      </c>
      <c r="B532" s="7" t="s">
        <v>44</v>
      </c>
      <c r="C532" s="24" t="str">
        <f>VLOOKUP(dynamic[customerID],customers[],2,FALSE)</f>
        <v>Ricardo Adocicados</v>
      </c>
      <c r="D532" s="24">
        <v>44971.0</v>
      </c>
      <c r="E532" s="6">
        <f>IFERROR(__xludf.DUMMYFUNCTION("COUNTUNIQUEIFS($A$2:$A532,$B$2:$B532,B532)"),3.0)</f>
        <v>3</v>
      </c>
      <c r="F532" s="6">
        <f t="shared" si="1"/>
        <v>161</v>
      </c>
      <c r="G532" s="6" t="str">
        <f>IF(MINIFS(dynamic[orderDate], dynamic[customerID], B532) &gt;= DATE(2024,4,30)-120, 
     "New", 
     IF(MAXIFS(dynamic[orderCount], dynamic[customerID], B532)&lt;=2, 
        IF((DATE(2024,4,30) - MAXIFS(dynamic[orderDate], dynamic[customerID], B532)) &gt; 180, "Non-Returning", "Dormant"), 
        IF(AND(MAX(dynamic[sinceLastOrder]) &gt; 365, (DATE(2024,4,30) - MAXIFS(dynamic[orderDate], dynamic[customerID], B532)) &gt; 180), 
           "Dormant", "Regular")))</f>
        <v>Regular</v>
      </c>
      <c r="H532" s="6">
        <v>71.0</v>
      </c>
      <c r="I532" s="9" t="str">
        <f>VLOOKUP(dynamic[productID],products[],2,FALSE)</f>
        <v>Flotemysost</v>
      </c>
      <c r="J532" s="9" t="str">
        <f>VLOOKUP(dynamic[productID],products[],12,FALSE)</f>
        <v>Dairy Products</v>
      </c>
      <c r="K532" s="7" t="str">
        <f>IF(VLOOKUP(dynamic[productID],products[],7,FALSE)=1,"Discontinued","Current")</f>
        <v>Current</v>
      </c>
      <c r="L532" s="9">
        <f>VLOOKUP(dynamic[productID],products[],IF(YEAR(dynamic[orderDate])=2022,8,IF(YEAR(dynamic[orderDate])=2023,9,IF(YEAR(dynamic[orderDate])=2024,10,NA))),FALSE)</f>
        <v>13.4003664</v>
      </c>
      <c r="M532" s="9">
        <v>17.2</v>
      </c>
      <c r="N532" s="25">
        <f>(dynamic[orderPrice]-dynamic[productCost])/dynamic[productCost]</f>
        <v>0.2835469929</v>
      </c>
      <c r="O532" s="10">
        <v>2.0</v>
      </c>
      <c r="P532" s="25">
        <v>0.0</v>
      </c>
      <c r="Q532" s="9">
        <f>dynamic[orderPrice]*dynamic[orderQuantity]</f>
        <v>34.4</v>
      </c>
      <c r="R532" s="9">
        <f>dynamic[orderTotal]*(1-dynamic[discountApllied])</f>
        <v>34.4</v>
      </c>
      <c r="S532" s="9">
        <f>dynamic[revenue]-(dynamic[productCost]*dynamic[orderQuantity])</f>
        <v>7.599267194</v>
      </c>
      <c r="T532" s="25">
        <f>IFERROR(dynamic[profit]/dynamic[revenue], 0)</f>
        <v>0.2209089301</v>
      </c>
    </row>
    <row r="533" ht="15.75" customHeight="1">
      <c r="A533" s="6">
        <v>10448.0</v>
      </c>
      <c r="B533" s="7" t="s">
        <v>88</v>
      </c>
      <c r="C533" s="24" t="str">
        <f>VLOOKUP(dynamic[customerID],customers[],2,FALSE)</f>
        <v>Rancho grande</v>
      </c>
      <c r="D533" s="24">
        <v>44974.0</v>
      </c>
      <c r="E533" s="6">
        <f>IFERROR(__xludf.DUMMYFUNCTION("COUNTUNIQUEIFS($A$2:$A533,$B$2:$B533,B533)"),1.0)</f>
        <v>1</v>
      </c>
      <c r="F533" s="6">
        <f t="shared" si="1"/>
        <v>0</v>
      </c>
      <c r="G533" s="6" t="str">
        <f>IF(MINIFS(dynamic[orderDate], dynamic[customerID], B533) &gt;= DATE(2024,4,30)-120, 
     "New", 
     IF(MAXIFS(dynamic[orderCount], dynamic[customerID], B533)&lt;=2, 
        IF((DATE(2024,4,30) - MAXIFS(dynamic[orderDate], dynamic[customerID], B533)) &gt; 180, "Non-Returning", "Dormant"), 
        IF(AND(MAX(dynamic[sinceLastOrder]) &gt; 365, (DATE(2024,4,30) - MAXIFS(dynamic[orderDate], dynamic[customerID], B533)) &gt; 180), 
           "Dormant", "Regular")))</f>
        <v>Regular</v>
      </c>
      <c r="H533" s="6">
        <v>26.0</v>
      </c>
      <c r="I533" s="9" t="str">
        <f>VLOOKUP(dynamic[productID],products[],2,FALSE)</f>
        <v>NuNuCa Nuß-Nougat-Creme</v>
      </c>
      <c r="J533" s="9" t="str">
        <f>VLOOKUP(dynamic[productID],products[],12,FALSE)</f>
        <v>Confections</v>
      </c>
      <c r="K533" s="7" t="str">
        <f>IF(VLOOKUP(dynamic[productID],products[],7,FALSE)=1,"Discontinued","Current")</f>
        <v>Current</v>
      </c>
      <c r="L533" s="9">
        <f>VLOOKUP(dynamic[productID],products[],IF(YEAR(dynamic[orderDate])=2022,8,IF(YEAR(dynamic[orderDate])=2023,9,IF(YEAR(dynamic[orderDate])=2024,10,NA))),FALSE)</f>
        <v>21.20896201</v>
      </c>
      <c r="M533" s="9">
        <v>24.9</v>
      </c>
      <c r="N533" s="25">
        <f>(dynamic[orderPrice]-dynamic[productCost])/dynamic[productCost]</f>
        <v>0.1740319958</v>
      </c>
      <c r="O533" s="10">
        <v>6.0</v>
      </c>
      <c r="P533" s="25">
        <v>0.0</v>
      </c>
      <c r="Q533" s="9">
        <f>dynamic[orderPrice]*dynamic[orderQuantity]</f>
        <v>149.4</v>
      </c>
      <c r="R533" s="9">
        <f>dynamic[orderTotal]*(1-dynamic[discountApllied])</f>
        <v>149.4</v>
      </c>
      <c r="S533" s="9">
        <f>dynamic[revenue]-(dynamic[productCost]*dynamic[orderQuantity])</f>
        <v>22.14622792</v>
      </c>
      <c r="T533" s="25">
        <f>IFERROR(dynamic[profit]/dynamic[revenue], 0)</f>
        <v>0.1482344573</v>
      </c>
    </row>
    <row r="534" ht="15.75" customHeight="1">
      <c r="A534" s="6">
        <v>10448.0</v>
      </c>
      <c r="B534" s="7" t="s">
        <v>88</v>
      </c>
      <c r="C534" s="24" t="str">
        <f>VLOOKUP(dynamic[customerID],customers[],2,FALSE)</f>
        <v>Rancho grande</v>
      </c>
      <c r="D534" s="24">
        <v>44974.0</v>
      </c>
      <c r="E534" s="6">
        <f>IFERROR(__xludf.DUMMYFUNCTION("COUNTUNIQUEIFS($A$2:$A534,$B$2:$B534,B534)"),1.0)</f>
        <v>1</v>
      </c>
      <c r="F534" s="6">
        <f t="shared" si="1"/>
        <v>0</v>
      </c>
      <c r="G534" s="6" t="str">
        <f>IF(MINIFS(dynamic[orderDate], dynamic[customerID], B534) &gt;= DATE(2024,4,30)-120, 
     "New", 
     IF(MAXIFS(dynamic[orderCount], dynamic[customerID], B534)&lt;=2, 
        IF((DATE(2024,4,30) - MAXIFS(dynamic[orderDate], dynamic[customerID], B534)) &gt; 180, "Non-Returning", "Dormant"), 
        IF(AND(MAX(dynamic[sinceLastOrder]) &gt; 365, (DATE(2024,4,30) - MAXIFS(dynamic[orderDate], dynamic[customerID], B534)) &gt; 180), 
           "Dormant", "Regular")))</f>
        <v>Regular</v>
      </c>
      <c r="H534" s="6">
        <v>40.0</v>
      </c>
      <c r="I534" s="9" t="str">
        <f>VLOOKUP(dynamic[productID],products[],2,FALSE)</f>
        <v>Boston Crab Meat</v>
      </c>
      <c r="J534" s="9" t="str">
        <f>VLOOKUP(dynamic[productID],products[],12,FALSE)</f>
        <v>Seafood</v>
      </c>
      <c r="K534" s="7" t="str">
        <f>IF(VLOOKUP(dynamic[productID],products[],7,FALSE)=1,"Discontinued","Current")</f>
        <v>Current</v>
      </c>
      <c r="L534" s="9">
        <f>VLOOKUP(dynamic[productID],products[],IF(YEAR(dynamic[orderDate])=2022,8,IF(YEAR(dynamic[orderDate])=2023,9,IF(YEAR(dynamic[orderDate])=2024,10,NA))),FALSE)</f>
        <v>11.40496523</v>
      </c>
      <c r="M534" s="9">
        <v>14.7</v>
      </c>
      <c r="N534" s="25">
        <f>(dynamic[orderPrice]-dynamic[productCost])/dynamic[productCost]</f>
        <v>0.2889123033</v>
      </c>
      <c r="O534" s="10">
        <v>20.0</v>
      </c>
      <c r="P534" s="25">
        <v>0.0</v>
      </c>
      <c r="Q534" s="9">
        <f>dynamic[orderPrice]*dynamic[orderQuantity]</f>
        <v>294</v>
      </c>
      <c r="R534" s="9">
        <f>dynamic[orderTotal]*(1-dynamic[discountApllied])</f>
        <v>294</v>
      </c>
      <c r="S534" s="9">
        <f>dynamic[revenue]-(dynamic[productCost]*dynamic[orderQuantity])</f>
        <v>65.90069546</v>
      </c>
      <c r="T534" s="25">
        <f>IFERROR(dynamic[profit]/dynamic[revenue], 0)</f>
        <v>0.2241520254</v>
      </c>
    </row>
    <row r="535" ht="15.75" customHeight="1">
      <c r="A535" s="6">
        <v>10449.0</v>
      </c>
      <c r="B535" s="7" t="s">
        <v>30</v>
      </c>
      <c r="C535" s="24" t="str">
        <f>VLOOKUP(dynamic[customerID],customers[],2,FALSE)</f>
        <v>Blondesddsl père et fils</v>
      </c>
      <c r="D535" s="24">
        <v>44975.0</v>
      </c>
      <c r="E535" s="6">
        <f>IFERROR(__xludf.DUMMYFUNCTION("COUNTUNIQUEIFS($A$2:$A535,$B$2:$B535,B535)"),5.0)</f>
        <v>5</v>
      </c>
      <c r="F535" s="6">
        <f t="shared" si="1"/>
        <v>13</v>
      </c>
      <c r="G535" s="6" t="str">
        <f>IF(MINIFS(dynamic[orderDate], dynamic[customerID], B535) &gt;= DATE(2024,4,30)-120, 
     "New", 
     IF(MAXIFS(dynamic[orderCount], dynamic[customerID], B535)&lt;=2, 
        IF((DATE(2024,4,30) - MAXIFS(dynamic[orderDate], dynamic[customerID], B535)) &gt; 180, "Non-Returning", "Dormant"), 
        IF(AND(MAX(dynamic[sinceLastOrder]) &gt; 365, (DATE(2024,4,30) - MAXIFS(dynamic[orderDate], dynamic[customerID], B535)) &gt; 180), 
           "Dormant", "Regular")))</f>
        <v>Regular</v>
      </c>
      <c r="H535" s="6">
        <v>10.0</v>
      </c>
      <c r="I535" s="9" t="str">
        <f>VLOOKUP(dynamic[productID],products[],2,FALSE)</f>
        <v>Ikura</v>
      </c>
      <c r="J535" s="9" t="str">
        <f>VLOOKUP(dynamic[productID],products[],12,FALSE)</f>
        <v>Seafood</v>
      </c>
      <c r="K535" s="7" t="str">
        <f>IF(VLOOKUP(dynamic[productID],products[],7,FALSE)=1,"Discontinued","Current")</f>
        <v>Current</v>
      </c>
      <c r="L535" s="9">
        <f>VLOOKUP(dynamic[productID],products[],IF(YEAR(dynamic[orderDate])=2022,8,IF(YEAR(dynamic[orderDate])=2023,9,IF(YEAR(dynamic[orderDate])=2024,10,NA))),FALSE)</f>
        <v>20.72721922</v>
      </c>
      <c r="M535" s="9">
        <v>24.8</v>
      </c>
      <c r="N535" s="25">
        <f>(dynamic[orderPrice]-dynamic[productCost])/dynamic[productCost]</f>
        <v>0.196494317</v>
      </c>
      <c r="O535" s="10">
        <v>14.0</v>
      </c>
      <c r="P535" s="25">
        <v>0.0</v>
      </c>
      <c r="Q535" s="9">
        <f>dynamic[orderPrice]*dynamic[orderQuantity]</f>
        <v>347.2</v>
      </c>
      <c r="R535" s="9">
        <f>dynamic[orderTotal]*(1-dynamic[discountApllied])</f>
        <v>347.2</v>
      </c>
      <c r="S535" s="9">
        <f>dynamic[revenue]-(dynamic[productCost]*dynamic[orderQuantity])</f>
        <v>57.01893096</v>
      </c>
      <c r="T535" s="25">
        <f>IFERROR(dynamic[profit]/dynamic[revenue], 0)</f>
        <v>0.1642250316</v>
      </c>
    </row>
    <row r="536" ht="15.75" customHeight="1">
      <c r="A536" s="6">
        <v>10449.0</v>
      </c>
      <c r="B536" s="7" t="s">
        <v>30</v>
      </c>
      <c r="C536" s="24" t="str">
        <f>VLOOKUP(dynamic[customerID],customers[],2,FALSE)</f>
        <v>Blondesddsl père et fils</v>
      </c>
      <c r="D536" s="24">
        <v>44975.0</v>
      </c>
      <c r="E536" s="6">
        <f>IFERROR(__xludf.DUMMYFUNCTION("COUNTUNIQUEIFS($A$2:$A536,$B$2:$B536,B536)"),5.0)</f>
        <v>5</v>
      </c>
      <c r="F536" s="6">
        <f t="shared" si="1"/>
        <v>13</v>
      </c>
      <c r="G536" s="6" t="str">
        <f>IF(MINIFS(dynamic[orderDate], dynamic[customerID], B536) &gt;= DATE(2024,4,30)-120, 
     "New", 
     IF(MAXIFS(dynamic[orderCount], dynamic[customerID], B536)&lt;=2, 
        IF((DATE(2024,4,30) - MAXIFS(dynamic[orderDate], dynamic[customerID], B536)) &gt; 180, "Non-Returning", "Dormant"), 
        IF(AND(MAX(dynamic[sinceLastOrder]) &gt; 365, (DATE(2024,4,30) - MAXIFS(dynamic[orderDate], dynamic[customerID], B536)) &gt; 180), 
           "Dormant", "Regular")))</f>
        <v>Regular</v>
      </c>
      <c r="H536" s="6">
        <v>52.0</v>
      </c>
      <c r="I536" s="9" t="str">
        <f>VLOOKUP(dynamic[productID],products[],2,FALSE)</f>
        <v>Filo Mix</v>
      </c>
      <c r="J536" s="9" t="str">
        <f>VLOOKUP(dynamic[productID],products[],12,FALSE)</f>
        <v>Grains/Cereals</v>
      </c>
      <c r="K536" s="7" t="str">
        <f>IF(VLOOKUP(dynamic[productID],products[],7,FALSE)=1,"Discontinued","Current")</f>
        <v>Current</v>
      </c>
      <c r="L536" s="9">
        <f>VLOOKUP(dynamic[productID],products[],IF(YEAR(dynamic[orderDate])=2022,8,IF(YEAR(dynamic[orderDate])=2023,9,IF(YEAR(dynamic[orderDate])=2024,10,NA))),FALSE)</f>
        <v>5.001706713</v>
      </c>
      <c r="M536" s="9">
        <v>5.6</v>
      </c>
      <c r="N536" s="25">
        <f>(dynamic[orderPrice]-dynamic[productCost])/dynamic[productCost]</f>
        <v>0.1196178268</v>
      </c>
      <c r="O536" s="10">
        <v>20.0</v>
      </c>
      <c r="P536" s="25">
        <v>0.0</v>
      </c>
      <c r="Q536" s="9">
        <f>dynamic[orderPrice]*dynamic[orderQuantity]</f>
        <v>112</v>
      </c>
      <c r="R536" s="9">
        <f>dynamic[orderTotal]*(1-dynamic[discountApllied])</f>
        <v>112</v>
      </c>
      <c r="S536" s="9">
        <f>dynamic[revenue]-(dynamic[productCost]*dynamic[orderQuantity])</f>
        <v>11.96586575</v>
      </c>
      <c r="T536" s="25">
        <f>IFERROR(dynamic[profit]/dynamic[revenue], 0)</f>
        <v>0.106838087</v>
      </c>
    </row>
    <row r="537" ht="15.75" customHeight="1">
      <c r="A537" s="6">
        <v>10449.0</v>
      </c>
      <c r="B537" s="7" t="s">
        <v>30</v>
      </c>
      <c r="C537" s="24" t="str">
        <f>VLOOKUP(dynamic[customerID],customers[],2,FALSE)</f>
        <v>Blondesddsl père et fils</v>
      </c>
      <c r="D537" s="24">
        <v>44975.0</v>
      </c>
      <c r="E537" s="6">
        <f>IFERROR(__xludf.DUMMYFUNCTION("COUNTUNIQUEIFS($A$2:$A537,$B$2:$B537,B537)"),5.0)</f>
        <v>5</v>
      </c>
      <c r="F537" s="6">
        <f t="shared" si="1"/>
        <v>13</v>
      </c>
      <c r="G537" s="6" t="str">
        <f>IF(MINIFS(dynamic[orderDate], dynamic[customerID], B537) &gt;= DATE(2024,4,30)-120, 
     "New", 
     IF(MAXIFS(dynamic[orderCount], dynamic[customerID], B537)&lt;=2, 
        IF((DATE(2024,4,30) - MAXIFS(dynamic[orderDate], dynamic[customerID], B537)) &gt; 180, "Non-Returning", "Dormant"), 
        IF(AND(MAX(dynamic[sinceLastOrder]) &gt; 365, (DATE(2024,4,30) - MAXIFS(dynamic[orderDate], dynamic[customerID], B537)) &gt; 180), 
           "Dormant", "Regular")))</f>
        <v>Regular</v>
      </c>
      <c r="H537" s="6">
        <v>62.0</v>
      </c>
      <c r="I537" s="9" t="str">
        <f>VLOOKUP(dynamic[productID],products[],2,FALSE)</f>
        <v>Tarte au sucre</v>
      </c>
      <c r="J537" s="9" t="str">
        <f>VLOOKUP(dynamic[productID],products[],12,FALSE)</f>
        <v>Confections</v>
      </c>
      <c r="K537" s="7" t="str">
        <f>IF(VLOOKUP(dynamic[productID],products[],7,FALSE)=1,"Discontinued","Current")</f>
        <v>Current</v>
      </c>
      <c r="L537" s="9">
        <f>VLOOKUP(dynamic[productID],products[],IF(YEAR(dynamic[orderDate])=2022,8,IF(YEAR(dynamic[orderDate])=2023,9,IF(YEAR(dynamic[orderDate])=2024,10,NA))),FALSE)</f>
        <v>35.34792781</v>
      </c>
      <c r="M537" s="9">
        <v>39.4</v>
      </c>
      <c r="N537" s="25">
        <f>(dynamic[orderPrice]-dynamic[productCost])/dynamic[productCost]</f>
        <v>0.1146339387</v>
      </c>
      <c r="O537" s="10">
        <v>35.0</v>
      </c>
      <c r="P537" s="25">
        <v>0.0</v>
      </c>
      <c r="Q537" s="9">
        <f>dynamic[orderPrice]*dynamic[orderQuantity]</f>
        <v>1379</v>
      </c>
      <c r="R537" s="9">
        <f>dynamic[orderTotal]*(1-dynamic[discountApllied])</f>
        <v>1379</v>
      </c>
      <c r="S537" s="9">
        <f>dynamic[revenue]-(dynamic[productCost]*dynamic[orderQuantity])</f>
        <v>141.8225267</v>
      </c>
      <c r="T537" s="25">
        <f>IFERROR(dynamic[profit]/dynamic[revenue], 0)</f>
        <v>0.1028444718</v>
      </c>
    </row>
    <row r="538" ht="15.75" customHeight="1">
      <c r="A538" s="6">
        <v>10450.0</v>
      </c>
      <c r="B538" s="7" t="s">
        <v>18</v>
      </c>
      <c r="C538" s="24" t="str">
        <f>VLOOKUP(dynamic[customerID],customers[],2,FALSE)</f>
        <v>Victuailles en stock</v>
      </c>
      <c r="D538" s="24">
        <v>44976.0</v>
      </c>
      <c r="E538" s="6">
        <f>IFERROR(__xludf.DUMMYFUNCTION("COUNTUNIQUEIFS($A$2:$A538,$B$2:$B538,B538)"),3.0)</f>
        <v>3</v>
      </c>
      <c r="F538" s="6">
        <f t="shared" si="1"/>
        <v>121</v>
      </c>
      <c r="G538" s="6" t="str">
        <f>IF(MINIFS(dynamic[orderDate], dynamic[customerID], B538) &gt;= DATE(2024,4,30)-120, 
     "New", 
     IF(MAXIFS(dynamic[orderCount], dynamic[customerID], B538)&lt;=2, 
        IF((DATE(2024,4,30) - MAXIFS(dynamic[orderDate], dynamic[customerID], B538)) &gt; 180, "Non-Returning", "Dormant"), 
        IF(AND(MAX(dynamic[sinceLastOrder]) &gt; 365, (DATE(2024,4,30) - MAXIFS(dynamic[orderDate], dynamic[customerID], B538)) &gt; 180), 
           "Dormant", "Regular")))</f>
        <v>Regular</v>
      </c>
      <c r="H538" s="6">
        <v>10.0</v>
      </c>
      <c r="I538" s="9" t="str">
        <f>VLOOKUP(dynamic[productID],products[],2,FALSE)</f>
        <v>Ikura</v>
      </c>
      <c r="J538" s="9" t="str">
        <f>VLOOKUP(dynamic[productID],products[],12,FALSE)</f>
        <v>Seafood</v>
      </c>
      <c r="K538" s="7" t="str">
        <f>IF(VLOOKUP(dynamic[productID],products[],7,FALSE)=1,"Discontinued","Current")</f>
        <v>Current</v>
      </c>
      <c r="L538" s="9">
        <f>VLOOKUP(dynamic[productID],products[],IF(YEAR(dynamic[orderDate])=2022,8,IF(YEAR(dynamic[orderDate])=2023,9,IF(YEAR(dynamic[orderDate])=2024,10,NA))),FALSE)</f>
        <v>20.72721922</v>
      </c>
      <c r="M538" s="9">
        <v>24.8</v>
      </c>
      <c r="N538" s="25">
        <f>(dynamic[orderPrice]-dynamic[productCost])/dynamic[productCost]</f>
        <v>0.196494317</v>
      </c>
      <c r="O538" s="10">
        <v>20.0</v>
      </c>
      <c r="P538" s="25">
        <v>0.2</v>
      </c>
      <c r="Q538" s="9">
        <f>dynamic[orderPrice]*dynamic[orderQuantity]</f>
        <v>496</v>
      </c>
      <c r="R538" s="9">
        <f>dynamic[orderTotal]*(1-dynamic[discountApllied])</f>
        <v>396.8</v>
      </c>
      <c r="S538" s="9">
        <f>dynamic[revenue]-(dynamic[productCost]*dynamic[orderQuantity])</f>
        <v>-17.74438435</v>
      </c>
      <c r="T538" s="25">
        <f>IFERROR(dynamic[profit]/dynamic[revenue], 0)</f>
        <v>-0.04471871055</v>
      </c>
    </row>
    <row r="539" ht="15.75" customHeight="1">
      <c r="A539" s="6">
        <v>10450.0</v>
      </c>
      <c r="B539" s="7" t="s">
        <v>18</v>
      </c>
      <c r="C539" s="24" t="str">
        <f>VLOOKUP(dynamic[customerID],customers[],2,FALSE)</f>
        <v>Victuailles en stock</v>
      </c>
      <c r="D539" s="24">
        <v>44976.0</v>
      </c>
      <c r="E539" s="6">
        <f>IFERROR(__xludf.DUMMYFUNCTION("COUNTUNIQUEIFS($A$2:$A539,$B$2:$B539,B539)"),3.0)</f>
        <v>3</v>
      </c>
      <c r="F539" s="6">
        <f t="shared" si="1"/>
        <v>121</v>
      </c>
      <c r="G539" s="6" t="str">
        <f>IF(MINIFS(dynamic[orderDate], dynamic[customerID], B539) &gt;= DATE(2024,4,30)-120, 
     "New", 
     IF(MAXIFS(dynamic[orderCount], dynamic[customerID], B539)&lt;=2, 
        IF((DATE(2024,4,30) - MAXIFS(dynamic[orderDate], dynamic[customerID], B539)) &gt; 180, "Non-Returning", "Dormant"), 
        IF(AND(MAX(dynamic[sinceLastOrder]) &gt; 365, (DATE(2024,4,30) - MAXIFS(dynamic[orderDate], dynamic[customerID], B539)) &gt; 180), 
           "Dormant", "Regular")))</f>
        <v>Regular</v>
      </c>
      <c r="H539" s="6">
        <v>54.0</v>
      </c>
      <c r="I539" s="9" t="str">
        <f>VLOOKUP(dynamic[productID],products[],2,FALSE)</f>
        <v>Tourtière</v>
      </c>
      <c r="J539" s="9" t="str">
        <f>VLOOKUP(dynamic[productID],products[],12,FALSE)</f>
        <v>Meat/Poultry</v>
      </c>
      <c r="K539" s="7" t="str">
        <f>IF(VLOOKUP(dynamic[productID],products[],7,FALSE)=1,"Discontinued","Current")</f>
        <v>Current</v>
      </c>
      <c r="L539" s="9">
        <f>VLOOKUP(dynamic[productID],products[],IF(YEAR(dynamic[orderDate])=2022,8,IF(YEAR(dynamic[orderDate])=2023,9,IF(YEAR(dynamic[orderDate])=2024,10,NA))),FALSE)</f>
        <v>4.924447797</v>
      </c>
      <c r="M539" s="9">
        <v>5.9</v>
      </c>
      <c r="N539" s="25">
        <f>(dynamic[orderPrice]-dynamic[productCost])/dynamic[productCost]</f>
        <v>0.1981038774</v>
      </c>
      <c r="O539" s="10">
        <v>6.0</v>
      </c>
      <c r="P539" s="25">
        <v>0.2</v>
      </c>
      <c r="Q539" s="9">
        <f>dynamic[orderPrice]*dynamic[orderQuantity]</f>
        <v>35.4</v>
      </c>
      <c r="R539" s="9">
        <f>dynamic[orderTotal]*(1-dynamic[discountApllied])</f>
        <v>28.32</v>
      </c>
      <c r="S539" s="9">
        <f>dynamic[revenue]-(dynamic[productCost]*dynamic[orderQuantity])</f>
        <v>-1.226686783</v>
      </c>
      <c r="T539" s="25">
        <f>IFERROR(dynamic[profit]/dynamic[revenue], 0)</f>
        <v>-0.04331521125</v>
      </c>
    </row>
    <row r="540" ht="15.75" customHeight="1">
      <c r="A540" s="6">
        <v>10451.0</v>
      </c>
      <c r="B540" s="7" t="s">
        <v>36</v>
      </c>
      <c r="C540" s="24" t="str">
        <f>VLOOKUP(dynamic[customerID],customers[],2,FALSE)</f>
        <v>QUICK-Stop</v>
      </c>
      <c r="D540" s="24">
        <v>44976.0</v>
      </c>
      <c r="E540" s="6">
        <f>IFERROR(__xludf.DUMMYFUNCTION("COUNTUNIQUEIFS($A$2:$A540,$B$2:$B540,B540)"),8.0)</f>
        <v>8</v>
      </c>
      <c r="F540" s="6">
        <f t="shared" si="1"/>
        <v>33</v>
      </c>
      <c r="G540" s="6" t="str">
        <f>IF(MINIFS(dynamic[orderDate], dynamic[customerID], B540) &gt;= DATE(2024,4,30)-120, 
     "New", 
     IF(MAXIFS(dynamic[orderCount], dynamic[customerID], B540)&lt;=2, 
        IF((DATE(2024,4,30) - MAXIFS(dynamic[orderDate], dynamic[customerID], B540)) &gt; 180, "Non-Returning", "Dormant"), 
        IF(AND(MAX(dynamic[sinceLastOrder]) &gt; 365, (DATE(2024,4,30) - MAXIFS(dynamic[orderDate], dynamic[customerID], B540)) &gt; 180), 
           "Dormant", "Regular")))</f>
        <v>Regular</v>
      </c>
      <c r="H540" s="6">
        <v>55.0</v>
      </c>
      <c r="I540" s="9" t="str">
        <f>VLOOKUP(dynamic[productID],products[],2,FALSE)</f>
        <v>Pâté chinois</v>
      </c>
      <c r="J540" s="9" t="str">
        <f>VLOOKUP(dynamic[productID],products[],12,FALSE)</f>
        <v>Meat/Poultry</v>
      </c>
      <c r="K540" s="7" t="str">
        <f>IF(VLOOKUP(dynamic[productID],products[],7,FALSE)=1,"Discontinued","Current")</f>
        <v>Current</v>
      </c>
      <c r="L540" s="9">
        <f>VLOOKUP(dynamic[productID],products[],IF(YEAR(dynamic[orderDate])=2022,8,IF(YEAR(dynamic[orderDate])=2023,9,IF(YEAR(dynamic[orderDate])=2024,10,NA))),FALSE)</f>
        <v>14.92398776</v>
      </c>
      <c r="M540" s="9">
        <v>19.2</v>
      </c>
      <c r="N540" s="25">
        <f>(dynamic[orderPrice]-dynamic[productCost])/dynamic[productCost]</f>
        <v>0.2865194145</v>
      </c>
      <c r="O540" s="10">
        <v>120.0</v>
      </c>
      <c r="P540" s="25">
        <v>0.1</v>
      </c>
      <c r="Q540" s="9">
        <f>dynamic[orderPrice]*dynamic[orderQuantity]</f>
        <v>2304</v>
      </c>
      <c r="R540" s="9">
        <f>dynamic[orderTotal]*(1-dynamic[discountApllied])</f>
        <v>2073.6</v>
      </c>
      <c r="S540" s="9">
        <f>dynamic[revenue]-(dynamic[productCost]*dynamic[orderQuantity])</f>
        <v>282.7214683</v>
      </c>
      <c r="T540" s="25">
        <f>IFERROR(dynamic[profit]/dynamic[revenue], 0)</f>
        <v>0.1363433007</v>
      </c>
    </row>
    <row r="541" ht="15.75" customHeight="1">
      <c r="A541" s="6">
        <v>10451.0</v>
      </c>
      <c r="B541" s="7" t="s">
        <v>36</v>
      </c>
      <c r="C541" s="24" t="str">
        <f>VLOOKUP(dynamic[customerID],customers[],2,FALSE)</f>
        <v>QUICK-Stop</v>
      </c>
      <c r="D541" s="24">
        <v>44976.0</v>
      </c>
      <c r="E541" s="6">
        <f>IFERROR(__xludf.DUMMYFUNCTION("COUNTUNIQUEIFS($A$2:$A541,$B$2:$B541,B541)"),8.0)</f>
        <v>8</v>
      </c>
      <c r="F541" s="6">
        <f t="shared" si="1"/>
        <v>33</v>
      </c>
      <c r="G541" s="6" t="str">
        <f>IF(MINIFS(dynamic[orderDate], dynamic[customerID], B541) &gt;= DATE(2024,4,30)-120, 
     "New", 
     IF(MAXIFS(dynamic[orderCount], dynamic[customerID], B541)&lt;=2, 
        IF((DATE(2024,4,30) - MAXIFS(dynamic[orderDate], dynamic[customerID], B541)) &gt; 180, "Non-Returning", "Dormant"), 
        IF(AND(MAX(dynamic[sinceLastOrder]) &gt; 365, (DATE(2024,4,30) - MAXIFS(dynamic[orderDate], dynamic[customerID], B541)) &gt; 180), 
           "Dormant", "Regular")))</f>
        <v>Regular</v>
      </c>
      <c r="H541" s="6">
        <v>64.0</v>
      </c>
      <c r="I541" s="9" t="str">
        <f>VLOOKUP(dynamic[productID],products[],2,FALSE)</f>
        <v>Lukas' leckere Sauerteigweggla</v>
      </c>
      <c r="J541" s="9" t="str">
        <f>VLOOKUP(dynamic[productID],products[],12,FALSE)</f>
        <v>Grains/Cereals</v>
      </c>
      <c r="K541" s="7" t="str">
        <f>IF(VLOOKUP(dynamic[productID],products[],7,FALSE)=1,"Discontinued","Current")</f>
        <v>Current</v>
      </c>
      <c r="L541" s="9">
        <f>VLOOKUP(dynamic[productID],products[],IF(YEAR(dynamic[orderDate])=2022,8,IF(YEAR(dynamic[orderDate])=2023,9,IF(YEAR(dynamic[orderDate])=2024,10,NA))),FALSE)</f>
        <v>21.88572728</v>
      </c>
      <c r="M541" s="9">
        <v>26.6</v>
      </c>
      <c r="N541" s="25">
        <f>(dynamic[orderPrice]-dynamic[productCost])/dynamic[productCost]</f>
        <v>0.2154039779</v>
      </c>
      <c r="O541" s="10">
        <v>35.0</v>
      </c>
      <c r="P541" s="25">
        <v>0.1</v>
      </c>
      <c r="Q541" s="9">
        <f>dynamic[orderPrice]*dynamic[orderQuantity]</f>
        <v>931</v>
      </c>
      <c r="R541" s="9">
        <f>dynamic[orderTotal]*(1-dynamic[discountApllied])</f>
        <v>837.9</v>
      </c>
      <c r="S541" s="9">
        <f>dynamic[revenue]-(dynamic[productCost]*dynamic[orderQuantity])</f>
        <v>71.89954509</v>
      </c>
      <c r="T541" s="25">
        <f>IFERROR(dynamic[profit]/dynamic[revenue], 0)</f>
        <v>0.08580921958</v>
      </c>
    </row>
    <row r="542" ht="15.75" customHeight="1">
      <c r="A542" s="6">
        <v>10451.0</v>
      </c>
      <c r="B542" s="7" t="s">
        <v>36</v>
      </c>
      <c r="C542" s="24" t="str">
        <f>VLOOKUP(dynamic[customerID],customers[],2,FALSE)</f>
        <v>QUICK-Stop</v>
      </c>
      <c r="D542" s="24">
        <v>44976.0</v>
      </c>
      <c r="E542" s="6">
        <f>IFERROR(__xludf.DUMMYFUNCTION("COUNTUNIQUEIFS($A$2:$A542,$B$2:$B542,B542)"),8.0)</f>
        <v>8</v>
      </c>
      <c r="F542" s="6">
        <f t="shared" si="1"/>
        <v>33</v>
      </c>
      <c r="G542" s="6" t="str">
        <f>IF(MINIFS(dynamic[orderDate], dynamic[customerID], B542) &gt;= DATE(2024,4,30)-120, 
     "New", 
     IF(MAXIFS(dynamic[orderCount], dynamic[customerID], B542)&lt;=2, 
        IF((DATE(2024,4,30) - MAXIFS(dynamic[orderDate], dynamic[customerID], B542)) &gt; 180, "Non-Returning", "Dormant"), 
        IF(AND(MAX(dynamic[sinceLastOrder]) &gt; 365, (DATE(2024,4,30) - MAXIFS(dynamic[orderDate], dynamic[customerID], B542)) &gt; 180), 
           "Dormant", "Regular")))</f>
        <v>Regular</v>
      </c>
      <c r="H542" s="6">
        <v>65.0</v>
      </c>
      <c r="I542" s="9" t="str">
        <f>VLOOKUP(dynamic[productID],products[],2,FALSE)</f>
        <v>Louisiana Fiery Hot Pepper Sauce</v>
      </c>
      <c r="J542" s="9" t="str">
        <f>VLOOKUP(dynamic[productID],products[],12,FALSE)</f>
        <v>Condiments</v>
      </c>
      <c r="K542" s="7" t="str">
        <f>IF(VLOOKUP(dynamic[productID],products[],7,FALSE)=1,"Discontinued","Current")</f>
        <v>Current</v>
      </c>
      <c r="L542" s="9">
        <f>VLOOKUP(dynamic[productID],products[],IF(YEAR(dynamic[orderDate])=2022,8,IF(YEAR(dynamic[orderDate])=2023,9,IF(YEAR(dynamic[orderDate])=2024,10,NA))),FALSE)</f>
        <v>13.21122243</v>
      </c>
      <c r="M542" s="9">
        <v>16.8</v>
      </c>
      <c r="N542" s="25">
        <f>(dynamic[orderPrice]-dynamic[productCost])/dynamic[productCost]</f>
        <v>0.2716461391</v>
      </c>
      <c r="O542" s="10">
        <v>28.0</v>
      </c>
      <c r="P542" s="25">
        <v>0.1</v>
      </c>
      <c r="Q542" s="9">
        <f>dynamic[orderPrice]*dynamic[orderQuantity]</f>
        <v>470.4</v>
      </c>
      <c r="R542" s="9">
        <f>dynamic[orderTotal]*(1-dynamic[discountApllied])</f>
        <v>423.36</v>
      </c>
      <c r="S542" s="9">
        <f>dynamic[revenue]-(dynamic[productCost]*dynamic[orderQuantity])</f>
        <v>53.44577187</v>
      </c>
      <c r="T542" s="25">
        <f>IFERROR(dynamic[profit]/dynamic[revenue], 0)</f>
        <v>0.1262419026</v>
      </c>
    </row>
    <row r="543" ht="15.75" customHeight="1">
      <c r="A543" s="6">
        <v>10451.0</v>
      </c>
      <c r="B543" s="7" t="s">
        <v>36</v>
      </c>
      <c r="C543" s="24" t="str">
        <f>VLOOKUP(dynamic[customerID],customers[],2,FALSE)</f>
        <v>QUICK-Stop</v>
      </c>
      <c r="D543" s="24">
        <v>44976.0</v>
      </c>
      <c r="E543" s="6">
        <f>IFERROR(__xludf.DUMMYFUNCTION("COUNTUNIQUEIFS($A$2:$A543,$B$2:$B543,B543)"),8.0)</f>
        <v>8</v>
      </c>
      <c r="F543" s="6">
        <f t="shared" si="1"/>
        <v>33</v>
      </c>
      <c r="G543" s="6" t="str">
        <f>IF(MINIFS(dynamic[orderDate], dynamic[customerID], B543) &gt;= DATE(2024,4,30)-120, 
     "New", 
     IF(MAXIFS(dynamic[orderCount], dynamic[customerID], B543)&lt;=2, 
        IF((DATE(2024,4,30) - MAXIFS(dynamic[orderDate], dynamic[customerID], B543)) &gt; 180, "Non-Returning", "Dormant"), 
        IF(AND(MAX(dynamic[sinceLastOrder]) &gt; 365, (DATE(2024,4,30) - MAXIFS(dynamic[orderDate], dynamic[customerID], B543)) &gt; 180), 
           "Dormant", "Regular")))</f>
        <v>Regular</v>
      </c>
      <c r="H543" s="6">
        <v>77.0</v>
      </c>
      <c r="I543" s="9" t="str">
        <f>VLOOKUP(dynamic[productID],products[],2,FALSE)</f>
        <v>Original Frankfurter grüne Soße</v>
      </c>
      <c r="J543" s="9" t="str">
        <f>VLOOKUP(dynamic[productID],products[],12,FALSE)</f>
        <v>Condiments</v>
      </c>
      <c r="K543" s="7" t="str">
        <f>IF(VLOOKUP(dynamic[productID],products[],7,FALSE)=1,"Discontinued","Current")</f>
        <v>Current</v>
      </c>
      <c r="L543" s="9">
        <f>VLOOKUP(dynamic[productID],products[],IF(YEAR(dynamic[orderDate])=2022,8,IF(YEAR(dynamic[orderDate])=2023,9,IF(YEAR(dynamic[orderDate])=2024,10,NA))),FALSE)</f>
        <v>7.539056452</v>
      </c>
      <c r="M543" s="9">
        <v>10.4</v>
      </c>
      <c r="N543" s="25">
        <f>(dynamic[orderPrice]-dynamic[productCost])/dynamic[productCost]</f>
        <v>0.3794829719</v>
      </c>
      <c r="O543" s="10">
        <v>55.0</v>
      </c>
      <c r="P543" s="25">
        <v>0.1</v>
      </c>
      <c r="Q543" s="9">
        <f>dynamic[orderPrice]*dynamic[orderQuantity]</f>
        <v>572</v>
      </c>
      <c r="R543" s="9">
        <f>dynamic[orderTotal]*(1-dynamic[discountApllied])</f>
        <v>514.8</v>
      </c>
      <c r="S543" s="9">
        <f>dynamic[revenue]-(dynamic[productCost]*dynamic[orderQuantity])</f>
        <v>100.1518951</v>
      </c>
      <c r="T543" s="25">
        <f>IFERROR(dynamic[profit]/dynamic[revenue], 0)</f>
        <v>0.1945452508</v>
      </c>
    </row>
    <row r="544" ht="15.75" customHeight="1">
      <c r="A544" s="6">
        <v>10452.0</v>
      </c>
      <c r="B544" s="7" t="s">
        <v>60</v>
      </c>
      <c r="C544" s="24" t="str">
        <f>VLOOKUP(dynamic[customerID],customers[],2,FALSE)</f>
        <v>Save-a-lot Markets</v>
      </c>
      <c r="D544" s="24">
        <v>44977.0</v>
      </c>
      <c r="E544" s="6">
        <f>IFERROR(__xludf.DUMMYFUNCTION("COUNTUNIQUEIFS($A$2:$A544,$B$2:$B544,B544)"),5.0)</f>
        <v>5</v>
      </c>
      <c r="F544" s="6">
        <f t="shared" si="1"/>
        <v>10</v>
      </c>
      <c r="G544" s="6" t="str">
        <f>IF(MINIFS(dynamic[orderDate], dynamic[customerID], B544) &gt;= DATE(2024,4,30)-120, 
     "New", 
     IF(MAXIFS(dynamic[orderCount], dynamic[customerID], B544)&lt;=2, 
        IF((DATE(2024,4,30) - MAXIFS(dynamic[orderDate], dynamic[customerID], B544)) &gt; 180, "Non-Returning", "Dormant"), 
        IF(AND(MAX(dynamic[sinceLastOrder]) &gt; 365, (DATE(2024,4,30) - MAXIFS(dynamic[orderDate], dynamic[customerID], B544)) &gt; 180), 
           "Dormant", "Regular")))</f>
        <v>Regular</v>
      </c>
      <c r="H544" s="6">
        <v>28.0</v>
      </c>
      <c r="I544" s="9" t="str">
        <f>VLOOKUP(dynamic[productID],products[],2,FALSE)</f>
        <v>Rössle Sauerkraut</v>
      </c>
      <c r="J544" s="9" t="str">
        <f>VLOOKUP(dynamic[productID],products[],12,FALSE)</f>
        <v>Produce</v>
      </c>
      <c r="K544" s="7" t="str">
        <f>IF(VLOOKUP(dynamic[productID],products[],7,FALSE)=1,"Discontinued","Current")</f>
        <v>Discontinued</v>
      </c>
      <c r="L544" s="9">
        <f>VLOOKUP(dynamic[productID],products[],IF(YEAR(dynamic[orderDate])=2022,8,IF(YEAR(dynamic[orderDate])=2023,9,IF(YEAR(dynamic[orderDate])=2024,10,NA))),FALSE)</f>
        <v>31.52644578</v>
      </c>
      <c r="M544" s="9">
        <v>36.4</v>
      </c>
      <c r="N544" s="25">
        <f>(dynamic[orderPrice]-dynamic[productCost])/dynamic[productCost]</f>
        <v>0.1545862244</v>
      </c>
      <c r="O544" s="10">
        <v>15.0</v>
      </c>
      <c r="P544" s="25">
        <v>0.0</v>
      </c>
      <c r="Q544" s="9">
        <f>dynamic[orderPrice]*dynamic[orderQuantity]</f>
        <v>546</v>
      </c>
      <c r="R544" s="9">
        <f>dynamic[orderTotal]*(1-dynamic[discountApllied])</f>
        <v>546</v>
      </c>
      <c r="S544" s="9">
        <f>dynamic[revenue]-(dynamic[productCost]*dynamic[orderQuantity])</f>
        <v>73.10331333</v>
      </c>
      <c r="T544" s="25">
        <f>IFERROR(dynamic[profit]/dynamic[revenue], 0)</f>
        <v>0.1338888522</v>
      </c>
    </row>
    <row r="545" ht="15.75" customHeight="1">
      <c r="A545" s="6">
        <v>10452.0</v>
      </c>
      <c r="B545" s="7" t="s">
        <v>60</v>
      </c>
      <c r="C545" s="24" t="str">
        <f>VLOOKUP(dynamic[customerID],customers[],2,FALSE)</f>
        <v>Save-a-lot Markets</v>
      </c>
      <c r="D545" s="24">
        <v>44977.0</v>
      </c>
      <c r="E545" s="6">
        <f>IFERROR(__xludf.DUMMYFUNCTION("COUNTUNIQUEIFS($A$2:$A545,$B$2:$B545,B545)"),5.0)</f>
        <v>5</v>
      </c>
      <c r="F545" s="6">
        <f t="shared" si="1"/>
        <v>10</v>
      </c>
      <c r="G545" s="6" t="str">
        <f>IF(MINIFS(dynamic[orderDate], dynamic[customerID], B545) &gt;= DATE(2024,4,30)-120, 
     "New", 
     IF(MAXIFS(dynamic[orderCount], dynamic[customerID], B545)&lt;=2, 
        IF((DATE(2024,4,30) - MAXIFS(dynamic[orderDate], dynamic[customerID], B545)) &gt; 180, "Non-Returning", "Dormant"), 
        IF(AND(MAX(dynamic[sinceLastOrder]) &gt; 365, (DATE(2024,4,30) - MAXIFS(dynamic[orderDate], dynamic[customerID], B545)) &gt; 180), 
           "Dormant", "Regular")))</f>
        <v>Regular</v>
      </c>
      <c r="H545" s="6">
        <v>44.0</v>
      </c>
      <c r="I545" s="9" t="str">
        <f>VLOOKUP(dynamic[productID],products[],2,FALSE)</f>
        <v>Gula Malacca</v>
      </c>
      <c r="J545" s="9" t="str">
        <f>VLOOKUP(dynamic[productID],products[],12,FALSE)</f>
        <v>Condiments</v>
      </c>
      <c r="K545" s="7" t="str">
        <f>IF(VLOOKUP(dynamic[productID],products[],7,FALSE)=1,"Discontinued","Current")</f>
        <v>Current</v>
      </c>
      <c r="L545" s="9">
        <f>VLOOKUP(dynamic[productID],products[],IF(YEAR(dynamic[orderDate])=2022,8,IF(YEAR(dynamic[orderDate])=2023,9,IF(YEAR(dynamic[orderDate])=2024,10,NA))),FALSE)</f>
        <v>13.06032103</v>
      </c>
      <c r="M545" s="9">
        <v>15.5</v>
      </c>
      <c r="N545" s="25">
        <f>(dynamic[orderPrice]-dynamic[productCost])/dynamic[productCost]</f>
        <v>0.1868008425</v>
      </c>
      <c r="O545" s="10">
        <v>100.0</v>
      </c>
      <c r="P545" s="25">
        <v>0.05</v>
      </c>
      <c r="Q545" s="9">
        <f>dynamic[orderPrice]*dynamic[orderQuantity]</f>
        <v>1550</v>
      </c>
      <c r="R545" s="9">
        <f>dynamic[orderTotal]*(1-dynamic[discountApllied])</f>
        <v>1472.5</v>
      </c>
      <c r="S545" s="9">
        <f>dynamic[revenue]-(dynamic[productCost]*dynamic[orderQuantity])</f>
        <v>166.4678972</v>
      </c>
      <c r="T545" s="25">
        <f>IFERROR(dynamic[profit]/dynamic[revenue], 0)</f>
        <v>0.1130512035</v>
      </c>
    </row>
    <row r="546" ht="15.75" customHeight="1">
      <c r="A546" s="6">
        <v>10453.0</v>
      </c>
      <c r="B546" s="7" t="s">
        <v>70</v>
      </c>
      <c r="C546" s="24" t="str">
        <f>VLOOKUP(dynamic[customerID],customers[],2,FALSE)</f>
        <v>Around the Horn</v>
      </c>
      <c r="D546" s="24">
        <v>44978.0</v>
      </c>
      <c r="E546" s="6">
        <f>IFERROR(__xludf.DUMMYFUNCTION("COUNTUNIQUEIFS($A$2:$A546,$B$2:$B546,B546)"),3.0)</f>
        <v>3</v>
      </c>
      <c r="F546" s="6">
        <f t="shared" si="1"/>
        <v>67</v>
      </c>
      <c r="G546" s="6" t="str">
        <f>IF(MINIFS(dynamic[orderDate], dynamic[customerID], B546) &gt;= DATE(2024,4,30)-120, 
     "New", 
     IF(MAXIFS(dynamic[orderCount], dynamic[customerID], B546)&lt;=2, 
        IF((DATE(2024,4,30) - MAXIFS(dynamic[orderDate], dynamic[customerID], B546)) &gt; 180, "Non-Returning", "Dormant"), 
        IF(AND(MAX(dynamic[sinceLastOrder]) &gt; 365, (DATE(2024,4,30) - MAXIFS(dynamic[orderDate], dynamic[customerID], B546)) &gt; 180), 
           "Dormant", "Regular")))</f>
        <v>Regular</v>
      </c>
      <c r="H546" s="6">
        <v>48.0</v>
      </c>
      <c r="I546" s="9" t="str">
        <f>VLOOKUP(dynamic[productID],products[],2,FALSE)</f>
        <v>Chocolade</v>
      </c>
      <c r="J546" s="9" t="str">
        <f>VLOOKUP(dynamic[productID],products[],12,FALSE)</f>
        <v>Confections</v>
      </c>
      <c r="K546" s="7" t="str">
        <f>IF(VLOOKUP(dynamic[productID],products[],7,FALSE)=1,"Discontinued","Current")</f>
        <v>Current</v>
      </c>
      <c r="L546" s="9">
        <f>VLOOKUP(dynamic[productID],products[],IF(YEAR(dynamic[orderDate])=2022,8,IF(YEAR(dynamic[orderDate])=2023,9,IF(YEAR(dynamic[orderDate])=2024,10,NA))),FALSE)</f>
        <v>8.079671685</v>
      </c>
      <c r="M546" s="9">
        <v>10.2</v>
      </c>
      <c r="N546" s="25">
        <f>(dynamic[orderPrice]-dynamic[productCost])/dynamic[productCost]</f>
        <v>0.2624275339</v>
      </c>
      <c r="O546" s="10">
        <v>15.0</v>
      </c>
      <c r="P546" s="25">
        <v>0.1</v>
      </c>
      <c r="Q546" s="9">
        <f>dynamic[orderPrice]*dynamic[orderQuantity]</f>
        <v>153</v>
      </c>
      <c r="R546" s="9">
        <f>dynamic[orderTotal]*(1-dynamic[discountApllied])</f>
        <v>137.7</v>
      </c>
      <c r="S546" s="9">
        <f>dynamic[revenue]-(dynamic[productCost]*dynamic[orderQuantity])</f>
        <v>16.50492473</v>
      </c>
      <c r="T546" s="25">
        <f>IFERROR(dynamic[profit]/dynamic[revenue], 0)</f>
        <v>0.1198614722</v>
      </c>
    </row>
    <row r="547" ht="15.75" customHeight="1">
      <c r="A547" s="6">
        <v>10453.0</v>
      </c>
      <c r="B547" s="7" t="s">
        <v>70</v>
      </c>
      <c r="C547" s="24" t="str">
        <f>VLOOKUP(dynamic[customerID],customers[],2,FALSE)</f>
        <v>Around the Horn</v>
      </c>
      <c r="D547" s="24">
        <v>44978.0</v>
      </c>
      <c r="E547" s="6">
        <f>IFERROR(__xludf.DUMMYFUNCTION("COUNTUNIQUEIFS($A$2:$A547,$B$2:$B547,B547)"),3.0)</f>
        <v>3</v>
      </c>
      <c r="F547" s="6">
        <f t="shared" si="1"/>
        <v>67</v>
      </c>
      <c r="G547" s="6" t="str">
        <f>IF(MINIFS(dynamic[orderDate], dynamic[customerID], B547) &gt;= DATE(2024,4,30)-120, 
     "New", 
     IF(MAXIFS(dynamic[orderCount], dynamic[customerID], B547)&lt;=2, 
        IF((DATE(2024,4,30) - MAXIFS(dynamic[orderDate], dynamic[customerID], B547)) &gt; 180, "Non-Returning", "Dormant"), 
        IF(AND(MAX(dynamic[sinceLastOrder]) &gt; 365, (DATE(2024,4,30) - MAXIFS(dynamic[orderDate], dynamic[customerID], B547)) &gt; 180), 
           "Dormant", "Regular")))</f>
        <v>Regular</v>
      </c>
      <c r="H547" s="6">
        <v>70.0</v>
      </c>
      <c r="I547" s="9" t="str">
        <f>VLOOKUP(dynamic[productID],products[],2,FALSE)</f>
        <v>Outback Lager</v>
      </c>
      <c r="J547" s="9" t="str">
        <f>VLOOKUP(dynamic[productID],products[],12,FALSE)</f>
        <v>Beverages</v>
      </c>
      <c r="K547" s="7" t="str">
        <f>IF(VLOOKUP(dynamic[productID],products[],7,FALSE)=1,"Discontinued","Current")</f>
        <v>Current</v>
      </c>
      <c r="L547" s="9">
        <f>VLOOKUP(dynamic[productID],products[],IF(YEAR(dynamic[orderDate])=2022,8,IF(YEAR(dynamic[orderDate])=2023,9,IF(YEAR(dynamic[orderDate])=2024,10,NA))),FALSE)</f>
        <v>9.793094091</v>
      </c>
      <c r="M547" s="9">
        <v>12.0</v>
      </c>
      <c r="N547" s="25">
        <f>(dynamic[orderPrice]-dynamic[productCost])/dynamic[productCost]</f>
        <v>0.2253532835</v>
      </c>
      <c r="O547" s="10">
        <v>25.0</v>
      </c>
      <c r="P547" s="25">
        <v>0.1</v>
      </c>
      <c r="Q547" s="9">
        <f>dynamic[orderPrice]*dynamic[orderQuantity]</f>
        <v>300</v>
      </c>
      <c r="R547" s="9">
        <f>dynamic[orderTotal]*(1-dynamic[discountApllied])</f>
        <v>270</v>
      </c>
      <c r="S547" s="9">
        <f>dynamic[revenue]-(dynamic[productCost]*dynamic[orderQuantity])</f>
        <v>25.17264772</v>
      </c>
      <c r="T547" s="25">
        <f>IFERROR(dynamic[profit]/dynamic[revenue], 0)</f>
        <v>0.0932320286</v>
      </c>
    </row>
    <row r="548" ht="15.75" customHeight="1">
      <c r="A548" s="6">
        <v>10454.0</v>
      </c>
      <c r="B548" s="7" t="s">
        <v>68</v>
      </c>
      <c r="C548" s="24" t="str">
        <f>VLOOKUP(dynamic[customerID],customers[],2,FALSE)</f>
        <v>La maison d'Asie</v>
      </c>
      <c r="D548" s="24">
        <v>44978.0</v>
      </c>
      <c r="E548" s="6">
        <f>IFERROR(__xludf.DUMMYFUNCTION("COUNTUNIQUEIFS($A$2:$A548,$B$2:$B548,B548)"),6.0)</f>
        <v>6</v>
      </c>
      <c r="F548" s="6">
        <f t="shared" si="1"/>
        <v>28</v>
      </c>
      <c r="G548" s="6" t="str">
        <f>IF(MINIFS(dynamic[orderDate], dynamic[customerID], B548) &gt;= DATE(2024,4,30)-120, 
     "New", 
     IF(MAXIFS(dynamic[orderCount], dynamic[customerID], B548)&lt;=2, 
        IF((DATE(2024,4,30) - MAXIFS(dynamic[orderDate], dynamic[customerID], B548)) &gt; 180, "Non-Returning", "Dormant"), 
        IF(AND(MAX(dynamic[sinceLastOrder]) &gt; 365, (DATE(2024,4,30) - MAXIFS(dynamic[orderDate], dynamic[customerID], B548)) &gt; 180), 
           "Dormant", "Regular")))</f>
        <v>Regular</v>
      </c>
      <c r="H548" s="6">
        <v>16.0</v>
      </c>
      <c r="I548" s="9" t="str">
        <f>VLOOKUP(dynamic[productID],products[],2,FALSE)</f>
        <v>Pavlova</v>
      </c>
      <c r="J548" s="9" t="str">
        <f>VLOOKUP(dynamic[productID],products[],12,FALSE)</f>
        <v>Confections</v>
      </c>
      <c r="K548" s="7" t="str">
        <f>IF(VLOOKUP(dynamic[productID],products[],7,FALSE)=1,"Discontinued","Current")</f>
        <v>Current</v>
      </c>
      <c r="L548" s="9">
        <f>VLOOKUP(dynamic[productID],products[],IF(YEAR(dynamic[orderDate])=2022,8,IF(YEAR(dynamic[orderDate])=2023,9,IF(YEAR(dynamic[orderDate])=2024,10,NA))),FALSE)</f>
        <v>11.98504839</v>
      </c>
      <c r="M548" s="9">
        <v>13.9</v>
      </c>
      <c r="N548" s="25">
        <f>(dynamic[orderPrice]-dynamic[productCost])/dynamic[productCost]</f>
        <v>0.1597783792</v>
      </c>
      <c r="O548" s="10">
        <v>20.0</v>
      </c>
      <c r="P548" s="25">
        <v>0.2</v>
      </c>
      <c r="Q548" s="9">
        <f>dynamic[orderPrice]*dynamic[orderQuantity]</f>
        <v>278</v>
      </c>
      <c r="R548" s="9">
        <f>dynamic[orderTotal]*(1-dynamic[discountApllied])</f>
        <v>222.4</v>
      </c>
      <c r="S548" s="9">
        <f>dynamic[revenue]-(dynamic[productCost]*dynamic[orderQuantity])</f>
        <v>-17.30096786</v>
      </c>
      <c r="T548" s="25">
        <f>IFERROR(dynamic[profit]/dynamic[revenue], 0)</f>
        <v>-0.07779212165</v>
      </c>
    </row>
    <row r="549" ht="15.75" customHeight="1">
      <c r="A549" s="6">
        <v>10454.0</v>
      </c>
      <c r="B549" s="7" t="s">
        <v>68</v>
      </c>
      <c r="C549" s="24" t="str">
        <f>VLOOKUP(dynamic[customerID],customers[],2,FALSE)</f>
        <v>La maison d'Asie</v>
      </c>
      <c r="D549" s="24">
        <v>44978.0</v>
      </c>
      <c r="E549" s="6">
        <f>IFERROR(__xludf.DUMMYFUNCTION("COUNTUNIQUEIFS($A$2:$A549,$B$2:$B549,B549)"),6.0)</f>
        <v>6</v>
      </c>
      <c r="F549" s="6">
        <f t="shared" si="1"/>
        <v>28</v>
      </c>
      <c r="G549" s="6" t="str">
        <f>IF(MINIFS(dynamic[orderDate], dynamic[customerID], B549) &gt;= DATE(2024,4,30)-120, 
     "New", 
     IF(MAXIFS(dynamic[orderCount], dynamic[customerID], B549)&lt;=2, 
        IF((DATE(2024,4,30) - MAXIFS(dynamic[orderDate], dynamic[customerID], B549)) &gt; 180, "Non-Returning", "Dormant"), 
        IF(AND(MAX(dynamic[sinceLastOrder]) &gt; 365, (DATE(2024,4,30) - MAXIFS(dynamic[orderDate], dynamic[customerID], B549)) &gt; 180), 
           "Dormant", "Regular")))</f>
        <v>Regular</v>
      </c>
      <c r="H549" s="6">
        <v>33.0</v>
      </c>
      <c r="I549" s="9" t="str">
        <f>VLOOKUP(dynamic[productID],products[],2,FALSE)</f>
        <v>Geitost</v>
      </c>
      <c r="J549" s="9" t="str">
        <f>VLOOKUP(dynamic[productID],products[],12,FALSE)</f>
        <v>Dairy Products</v>
      </c>
      <c r="K549" s="7" t="str">
        <f>IF(VLOOKUP(dynamic[productID],products[],7,FALSE)=1,"Discontinued","Current")</f>
        <v>Current</v>
      </c>
      <c r="L549" s="9">
        <f>VLOOKUP(dynamic[productID],products[],IF(YEAR(dynamic[orderDate])=2022,8,IF(YEAR(dynamic[orderDate])=2023,9,IF(YEAR(dynamic[orderDate])=2024,10,NA))),FALSE)</f>
        <v>1.559072298</v>
      </c>
      <c r="M549" s="9">
        <v>2.0</v>
      </c>
      <c r="N549" s="25">
        <f>(dynamic[orderPrice]-dynamic[productCost])/dynamic[productCost]</f>
        <v>0.2828141472</v>
      </c>
      <c r="O549" s="10">
        <v>20.0</v>
      </c>
      <c r="P549" s="25">
        <v>0.2</v>
      </c>
      <c r="Q549" s="9">
        <f>dynamic[orderPrice]*dynamic[orderQuantity]</f>
        <v>40</v>
      </c>
      <c r="R549" s="9">
        <f>dynamic[orderTotal]*(1-dynamic[discountApllied])</f>
        <v>32</v>
      </c>
      <c r="S549" s="9">
        <f>dynamic[revenue]-(dynamic[productCost]*dynamic[orderQuantity])</f>
        <v>0.8185540463</v>
      </c>
      <c r="T549" s="25">
        <f>IFERROR(dynamic[profit]/dynamic[revenue], 0)</f>
        <v>0.02557981395</v>
      </c>
    </row>
    <row r="550" ht="15.75" customHeight="1">
      <c r="A550" s="6">
        <v>10454.0</v>
      </c>
      <c r="B550" s="7" t="s">
        <v>68</v>
      </c>
      <c r="C550" s="24" t="str">
        <f>VLOOKUP(dynamic[customerID],customers[],2,FALSE)</f>
        <v>La maison d'Asie</v>
      </c>
      <c r="D550" s="24">
        <v>44978.0</v>
      </c>
      <c r="E550" s="6">
        <f>IFERROR(__xludf.DUMMYFUNCTION("COUNTUNIQUEIFS($A$2:$A550,$B$2:$B550,B550)"),6.0)</f>
        <v>6</v>
      </c>
      <c r="F550" s="6">
        <f t="shared" si="1"/>
        <v>28</v>
      </c>
      <c r="G550" s="6" t="str">
        <f>IF(MINIFS(dynamic[orderDate], dynamic[customerID], B550) &gt;= DATE(2024,4,30)-120, 
     "New", 
     IF(MAXIFS(dynamic[orderCount], dynamic[customerID], B550)&lt;=2, 
        IF((DATE(2024,4,30) - MAXIFS(dynamic[orderDate], dynamic[customerID], B550)) &gt; 180, "Non-Returning", "Dormant"), 
        IF(AND(MAX(dynamic[sinceLastOrder]) &gt; 365, (DATE(2024,4,30) - MAXIFS(dynamic[orderDate], dynamic[customerID], B550)) &gt; 180), 
           "Dormant", "Regular")))</f>
        <v>Regular</v>
      </c>
      <c r="H550" s="6">
        <v>46.0</v>
      </c>
      <c r="I550" s="9" t="str">
        <f>VLOOKUP(dynamic[productID],products[],2,FALSE)</f>
        <v>Spegesild</v>
      </c>
      <c r="J550" s="9" t="str">
        <f>VLOOKUP(dynamic[productID],products[],12,FALSE)</f>
        <v>Seafood</v>
      </c>
      <c r="K550" s="7" t="str">
        <f>IF(VLOOKUP(dynamic[productID],products[],7,FALSE)=1,"Discontinued","Current")</f>
        <v>Current</v>
      </c>
      <c r="L550" s="9">
        <f>VLOOKUP(dynamic[productID],products[],IF(YEAR(dynamic[orderDate])=2022,8,IF(YEAR(dynamic[orderDate])=2023,9,IF(YEAR(dynamic[orderDate])=2024,10,NA))),FALSE)</f>
        <v>7.087990753</v>
      </c>
      <c r="M550" s="9">
        <v>9.6</v>
      </c>
      <c r="N550" s="25">
        <f>(dynamic[orderPrice]-dynamic[productCost])/dynamic[productCost]</f>
        <v>0.3544035728</v>
      </c>
      <c r="O550" s="10">
        <v>10.0</v>
      </c>
      <c r="P550" s="25">
        <v>0.2</v>
      </c>
      <c r="Q550" s="9">
        <f>dynamic[orderPrice]*dynamic[orderQuantity]</f>
        <v>96</v>
      </c>
      <c r="R550" s="9">
        <f>dynamic[orderTotal]*(1-dynamic[discountApllied])</f>
        <v>76.8</v>
      </c>
      <c r="S550" s="9">
        <f>dynamic[revenue]-(dynamic[productCost]*dynamic[orderQuantity])</f>
        <v>5.920092468</v>
      </c>
      <c r="T550" s="25">
        <f>IFERROR(dynamic[profit]/dynamic[revenue], 0)</f>
        <v>0.07708453734</v>
      </c>
    </row>
    <row r="551" ht="15.75" customHeight="1">
      <c r="A551" s="6">
        <v>10455.0</v>
      </c>
      <c r="B551" s="7" t="s">
        <v>31</v>
      </c>
      <c r="C551" s="24" t="str">
        <f>VLOOKUP(dynamic[customerID],customers[],2,FALSE)</f>
        <v>Wartian Herkku</v>
      </c>
      <c r="D551" s="24">
        <v>44981.0</v>
      </c>
      <c r="E551" s="6">
        <f>IFERROR(__xludf.DUMMYFUNCTION("COUNTUNIQUEIFS($A$2:$A551,$B$2:$B551,B551)"),8.0)</f>
        <v>8</v>
      </c>
      <c r="F551" s="6">
        <f t="shared" si="1"/>
        <v>19</v>
      </c>
      <c r="G551" s="6" t="str">
        <f>IF(MINIFS(dynamic[orderDate], dynamic[customerID], B551) &gt;= DATE(2024,4,30)-120, 
     "New", 
     IF(MAXIFS(dynamic[orderCount], dynamic[customerID], B551)&lt;=2, 
        IF((DATE(2024,4,30) - MAXIFS(dynamic[orderDate], dynamic[customerID], B551)) &gt; 180, "Non-Returning", "Dormant"), 
        IF(AND(MAX(dynamic[sinceLastOrder]) &gt; 365, (DATE(2024,4,30) - MAXIFS(dynamic[orderDate], dynamic[customerID], B551)) &gt; 180), 
           "Dormant", "Regular")))</f>
        <v>Regular</v>
      </c>
      <c r="H551" s="6">
        <v>39.0</v>
      </c>
      <c r="I551" s="9" t="str">
        <f>VLOOKUP(dynamic[productID],products[],2,FALSE)</f>
        <v>Chartreuse verte</v>
      </c>
      <c r="J551" s="9" t="str">
        <f>VLOOKUP(dynamic[productID],products[],12,FALSE)</f>
        <v>Beverages</v>
      </c>
      <c r="K551" s="7" t="str">
        <f>IF(VLOOKUP(dynamic[productID],products[],7,FALSE)=1,"Discontinued","Current")</f>
        <v>Current</v>
      </c>
      <c r="L551" s="9">
        <f>VLOOKUP(dynamic[productID],products[],IF(YEAR(dynamic[orderDate])=2022,8,IF(YEAR(dynamic[orderDate])=2023,9,IF(YEAR(dynamic[orderDate])=2024,10,NA))),FALSE)</f>
        <v>11.73311441</v>
      </c>
      <c r="M551" s="9">
        <v>14.4</v>
      </c>
      <c r="N551" s="25">
        <f>(dynamic[orderPrice]-dynamic[productCost])/dynamic[productCost]</f>
        <v>0.2272956261</v>
      </c>
      <c r="O551" s="10">
        <v>20.0</v>
      </c>
      <c r="P551" s="25">
        <v>0.0</v>
      </c>
      <c r="Q551" s="9">
        <f>dynamic[orderPrice]*dynamic[orderQuantity]</f>
        <v>288</v>
      </c>
      <c r="R551" s="9">
        <f>dynamic[orderTotal]*(1-dynamic[discountApllied])</f>
        <v>288</v>
      </c>
      <c r="S551" s="9">
        <f>dynamic[revenue]-(dynamic[productCost]*dynamic[orderQuantity])</f>
        <v>53.33771174</v>
      </c>
      <c r="T551" s="25">
        <f>IFERROR(dynamic[profit]/dynamic[revenue], 0)</f>
        <v>0.185200388</v>
      </c>
    </row>
    <row r="552" ht="15.75" customHeight="1">
      <c r="A552" s="6">
        <v>10455.0</v>
      </c>
      <c r="B552" s="7" t="s">
        <v>31</v>
      </c>
      <c r="C552" s="24" t="str">
        <f>VLOOKUP(dynamic[customerID],customers[],2,FALSE)</f>
        <v>Wartian Herkku</v>
      </c>
      <c r="D552" s="24">
        <v>44981.0</v>
      </c>
      <c r="E552" s="6">
        <f>IFERROR(__xludf.DUMMYFUNCTION("COUNTUNIQUEIFS($A$2:$A552,$B$2:$B552,B552)"),8.0)</f>
        <v>8</v>
      </c>
      <c r="F552" s="6">
        <f t="shared" si="1"/>
        <v>19</v>
      </c>
      <c r="G552" s="6" t="str">
        <f>IF(MINIFS(dynamic[orderDate], dynamic[customerID], B552) &gt;= DATE(2024,4,30)-120, 
     "New", 
     IF(MAXIFS(dynamic[orderCount], dynamic[customerID], B552)&lt;=2, 
        IF((DATE(2024,4,30) - MAXIFS(dynamic[orderDate], dynamic[customerID], B552)) &gt; 180, "Non-Returning", "Dormant"), 
        IF(AND(MAX(dynamic[sinceLastOrder]) &gt; 365, (DATE(2024,4,30) - MAXIFS(dynamic[orderDate], dynamic[customerID], B552)) &gt; 180), 
           "Dormant", "Regular")))</f>
        <v>Regular</v>
      </c>
      <c r="H552" s="6">
        <v>53.0</v>
      </c>
      <c r="I552" s="9" t="str">
        <f>VLOOKUP(dynamic[productID],products[],2,FALSE)</f>
        <v>Perth Pasties</v>
      </c>
      <c r="J552" s="9" t="str">
        <f>VLOOKUP(dynamic[productID],products[],12,FALSE)</f>
        <v>Meat/Poultry</v>
      </c>
      <c r="K552" s="7" t="str">
        <f>IF(VLOOKUP(dynamic[productID],products[],7,FALSE)=1,"Discontinued","Current")</f>
        <v>Discontinued</v>
      </c>
      <c r="L552" s="9">
        <f>VLOOKUP(dynamic[productID],products[],IF(YEAR(dynamic[orderDate])=2022,8,IF(YEAR(dynamic[orderDate])=2023,9,IF(YEAR(dynamic[orderDate])=2024,10,NA))),FALSE)</f>
        <v>21.81491556</v>
      </c>
      <c r="M552" s="9">
        <v>26.2</v>
      </c>
      <c r="N552" s="25">
        <f>(dynamic[orderPrice]-dynamic[productCost])/dynamic[productCost]</f>
        <v>0.2010131293</v>
      </c>
      <c r="O552" s="10">
        <v>50.0</v>
      </c>
      <c r="P552" s="25">
        <v>0.0</v>
      </c>
      <c r="Q552" s="9">
        <f>dynamic[orderPrice]*dynamic[orderQuantity]</f>
        <v>1310</v>
      </c>
      <c r="R552" s="9">
        <f>dynamic[orderTotal]*(1-dynamic[discountApllied])</f>
        <v>1310</v>
      </c>
      <c r="S552" s="9">
        <f>dynamic[revenue]-(dynamic[productCost]*dynamic[orderQuantity])</f>
        <v>219.2542221</v>
      </c>
      <c r="T552" s="25">
        <f>IFERROR(dynamic[profit]/dynamic[revenue], 0)</f>
        <v>0.1673696352</v>
      </c>
    </row>
    <row r="553" ht="15.75" customHeight="1">
      <c r="A553" s="6">
        <v>10455.0</v>
      </c>
      <c r="B553" s="7" t="s">
        <v>31</v>
      </c>
      <c r="C553" s="24" t="str">
        <f>VLOOKUP(dynamic[customerID],customers[],2,FALSE)</f>
        <v>Wartian Herkku</v>
      </c>
      <c r="D553" s="24">
        <v>44981.0</v>
      </c>
      <c r="E553" s="6">
        <f>IFERROR(__xludf.DUMMYFUNCTION("COUNTUNIQUEIFS($A$2:$A553,$B$2:$B553,B553)"),8.0)</f>
        <v>8</v>
      </c>
      <c r="F553" s="6">
        <f t="shared" si="1"/>
        <v>19</v>
      </c>
      <c r="G553" s="6" t="str">
        <f>IF(MINIFS(dynamic[orderDate], dynamic[customerID], B553) &gt;= DATE(2024,4,30)-120, 
     "New", 
     IF(MAXIFS(dynamic[orderCount], dynamic[customerID], B553)&lt;=2, 
        IF((DATE(2024,4,30) - MAXIFS(dynamic[orderDate], dynamic[customerID], B553)) &gt; 180, "Non-Returning", "Dormant"), 
        IF(AND(MAX(dynamic[sinceLastOrder]) &gt; 365, (DATE(2024,4,30) - MAXIFS(dynamic[orderDate], dynamic[customerID], B553)) &gt; 180), 
           "Dormant", "Regular")))</f>
        <v>Regular</v>
      </c>
      <c r="H553" s="6">
        <v>61.0</v>
      </c>
      <c r="I553" s="9" t="str">
        <f>VLOOKUP(dynamic[productID],products[],2,FALSE)</f>
        <v>Sirop d'érable</v>
      </c>
      <c r="J553" s="9" t="str">
        <f>VLOOKUP(dynamic[productID],products[],12,FALSE)</f>
        <v>Condiments</v>
      </c>
      <c r="K553" s="7" t="str">
        <f>IF(VLOOKUP(dynamic[productID],products[],7,FALSE)=1,"Discontinued","Current")</f>
        <v>Current</v>
      </c>
      <c r="L553" s="9">
        <f>VLOOKUP(dynamic[productID],products[],IF(YEAR(dynamic[orderDate])=2022,8,IF(YEAR(dynamic[orderDate])=2023,9,IF(YEAR(dynamic[orderDate])=2024,10,NA))),FALSE)</f>
        <v>17.19945448</v>
      </c>
      <c r="M553" s="9">
        <v>22.8</v>
      </c>
      <c r="N553" s="25">
        <f>(dynamic[orderPrice]-dynamic[productCost])/dynamic[productCost]</f>
        <v>0.3256234389</v>
      </c>
      <c r="O553" s="10">
        <v>25.0</v>
      </c>
      <c r="P553" s="25">
        <v>0.0</v>
      </c>
      <c r="Q553" s="9">
        <f>dynamic[orderPrice]*dynamic[orderQuantity]</f>
        <v>570</v>
      </c>
      <c r="R553" s="9">
        <f>dynamic[orderTotal]*(1-dynamic[discountApllied])</f>
        <v>570</v>
      </c>
      <c r="S553" s="9">
        <f>dynamic[revenue]-(dynamic[productCost]*dynamic[orderQuantity])</f>
        <v>140.0136379</v>
      </c>
      <c r="T553" s="25">
        <f>IFERROR(dynamic[profit]/dynamic[revenue], 0)</f>
        <v>0.2456379612</v>
      </c>
    </row>
    <row r="554" ht="15.75" customHeight="1">
      <c r="A554" s="6">
        <v>10455.0</v>
      </c>
      <c r="B554" s="7" t="s">
        <v>31</v>
      </c>
      <c r="C554" s="24" t="str">
        <f>VLOOKUP(dynamic[customerID],customers[],2,FALSE)</f>
        <v>Wartian Herkku</v>
      </c>
      <c r="D554" s="24">
        <v>44981.0</v>
      </c>
      <c r="E554" s="6">
        <f>IFERROR(__xludf.DUMMYFUNCTION("COUNTUNIQUEIFS($A$2:$A554,$B$2:$B554,B554)"),8.0)</f>
        <v>8</v>
      </c>
      <c r="F554" s="6">
        <f t="shared" si="1"/>
        <v>19</v>
      </c>
      <c r="G554" s="6" t="str">
        <f>IF(MINIFS(dynamic[orderDate], dynamic[customerID], B554) &gt;= DATE(2024,4,30)-120, 
     "New", 
     IF(MAXIFS(dynamic[orderCount], dynamic[customerID], B554)&lt;=2, 
        IF((DATE(2024,4,30) - MAXIFS(dynamic[orderDate], dynamic[customerID], B554)) &gt; 180, "Non-Returning", "Dormant"), 
        IF(AND(MAX(dynamic[sinceLastOrder]) &gt; 365, (DATE(2024,4,30) - MAXIFS(dynamic[orderDate], dynamic[customerID], B554)) &gt; 180), 
           "Dormant", "Regular")))</f>
        <v>Regular</v>
      </c>
      <c r="H554" s="6">
        <v>71.0</v>
      </c>
      <c r="I554" s="9" t="str">
        <f>VLOOKUP(dynamic[productID],products[],2,FALSE)</f>
        <v>Flotemysost</v>
      </c>
      <c r="J554" s="9" t="str">
        <f>VLOOKUP(dynamic[productID],products[],12,FALSE)</f>
        <v>Dairy Products</v>
      </c>
      <c r="K554" s="7" t="str">
        <f>IF(VLOOKUP(dynamic[productID],products[],7,FALSE)=1,"Discontinued","Current")</f>
        <v>Current</v>
      </c>
      <c r="L554" s="9">
        <f>VLOOKUP(dynamic[productID],products[],IF(YEAR(dynamic[orderDate])=2022,8,IF(YEAR(dynamic[orderDate])=2023,9,IF(YEAR(dynamic[orderDate])=2024,10,NA))),FALSE)</f>
        <v>13.4003664</v>
      </c>
      <c r="M554" s="9">
        <v>17.2</v>
      </c>
      <c r="N554" s="25">
        <f>(dynamic[orderPrice]-dynamic[productCost])/dynamic[productCost]</f>
        <v>0.2835469929</v>
      </c>
      <c r="O554" s="10">
        <v>30.0</v>
      </c>
      <c r="P554" s="25">
        <v>0.0</v>
      </c>
      <c r="Q554" s="9">
        <f>dynamic[orderPrice]*dynamic[orderQuantity]</f>
        <v>516</v>
      </c>
      <c r="R554" s="9">
        <f>dynamic[orderTotal]*(1-dynamic[discountApllied])</f>
        <v>516</v>
      </c>
      <c r="S554" s="9">
        <f>dynamic[revenue]-(dynamic[productCost]*dynamic[orderQuantity])</f>
        <v>113.9890079</v>
      </c>
      <c r="T554" s="25">
        <f>IFERROR(dynamic[profit]/dynamic[revenue], 0)</f>
        <v>0.2209089301</v>
      </c>
    </row>
    <row r="555" ht="15.75" customHeight="1">
      <c r="A555" s="6">
        <v>10456.0</v>
      </c>
      <c r="B555" s="7" t="s">
        <v>59</v>
      </c>
      <c r="C555" s="24" t="str">
        <f>VLOOKUP(dynamic[customerID],customers[],2,FALSE)</f>
        <v>Königlich Essen</v>
      </c>
      <c r="D555" s="24">
        <v>44982.0</v>
      </c>
      <c r="E555" s="6">
        <f>IFERROR(__xludf.DUMMYFUNCTION("COUNTUNIQUEIFS($A$2:$A555,$B$2:$B555,B555)"),3.0)</f>
        <v>3</v>
      </c>
      <c r="F555" s="6">
        <f t="shared" si="1"/>
        <v>139</v>
      </c>
      <c r="G555" s="6" t="str">
        <f>IF(MINIFS(dynamic[orderDate], dynamic[customerID], B555) &gt;= DATE(2024,4,30)-120, 
     "New", 
     IF(MAXIFS(dynamic[orderCount], dynamic[customerID], B555)&lt;=2, 
        IF((DATE(2024,4,30) - MAXIFS(dynamic[orderDate], dynamic[customerID], B555)) &gt; 180, "Non-Returning", "Dormant"), 
        IF(AND(MAX(dynamic[sinceLastOrder]) &gt; 365, (DATE(2024,4,30) - MAXIFS(dynamic[orderDate], dynamic[customerID], B555)) &gt; 180), 
           "Dormant", "Regular")))</f>
        <v>Regular</v>
      </c>
      <c r="H555" s="6">
        <v>21.0</v>
      </c>
      <c r="I555" s="9" t="str">
        <f>VLOOKUP(dynamic[productID],products[],2,FALSE)</f>
        <v>Sir Rodney's Scones</v>
      </c>
      <c r="J555" s="9" t="str">
        <f>VLOOKUP(dynamic[productID],products[],12,FALSE)</f>
        <v>Confections</v>
      </c>
      <c r="K555" s="7" t="str">
        <f>IF(VLOOKUP(dynamic[productID],products[],7,FALSE)=1,"Discontinued","Current")</f>
        <v>Current</v>
      </c>
      <c r="L555" s="9">
        <f>VLOOKUP(dynamic[productID],products[],IF(YEAR(dynamic[orderDate])=2022,8,IF(YEAR(dynamic[orderDate])=2023,9,IF(YEAR(dynamic[orderDate])=2024,10,NA))),FALSE)</f>
        <v>6.725636111</v>
      </c>
      <c r="M555" s="9">
        <v>8.0</v>
      </c>
      <c r="N555" s="25">
        <f>(dynamic[orderPrice]-dynamic[productCost])/dynamic[productCost]</f>
        <v>0.1894785664</v>
      </c>
      <c r="O555" s="10">
        <v>40.0</v>
      </c>
      <c r="P555" s="25">
        <v>0.15</v>
      </c>
      <c r="Q555" s="9">
        <f>dynamic[orderPrice]*dynamic[orderQuantity]</f>
        <v>320</v>
      </c>
      <c r="R555" s="9">
        <f>dynamic[orderTotal]*(1-dynamic[discountApllied])</f>
        <v>272</v>
      </c>
      <c r="S555" s="9">
        <f>dynamic[revenue]-(dynamic[productCost]*dynamic[orderQuantity])</f>
        <v>2.974555541</v>
      </c>
      <c r="T555" s="25">
        <f>IFERROR(dynamic[profit]/dynamic[revenue], 0)</f>
        <v>0.01093586596</v>
      </c>
    </row>
    <row r="556" ht="15.75" customHeight="1">
      <c r="A556" s="6">
        <v>10456.0</v>
      </c>
      <c r="B556" s="7" t="s">
        <v>59</v>
      </c>
      <c r="C556" s="24" t="str">
        <f>VLOOKUP(dynamic[customerID],customers[],2,FALSE)</f>
        <v>Königlich Essen</v>
      </c>
      <c r="D556" s="24">
        <v>44982.0</v>
      </c>
      <c r="E556" s="6">
        <f>IFERROR(__xludf.DUMMYFUNCTION("COUNTUNIQUEIFS($A$2:$A556,$B$2:$B556,B556)"),3.0)</f>
        <v>3</v>
      </c>
      <c r="F556" s="6">
        <f t="shared" si="1"/>
        <v>139</v>
      </c>
      <c r="G556" s="6" t="str">
        <f>IF(MINIFS(dynamic[orderDate], dynamic[customerID], B556) &gt;= DATE(2024,4,30)-120, 
     "New", 
     IF(MAXIFS(dynamic[orderCount], dynamic[customerID], B556)&lt;=2, 
        IF((DATE(2024,4,30) - MAXIFS(dynamic[orderDate], dynamic[customerID], B556)) &gt; 180, "Non-Returning", "Dormant"), 
        IF(AND(MAX(dynamic[sinceLastOrder]) &gt; 365, (DATE(2024,4,30) - MAXIFS(dynamic[orderDate], dynamic[customerID], B556)) &gt; 180), 
           "Dormant", "Regular")))</f>
        <v>Regular</v>
      </c>
      <c r="H556" s="6">
        <v>49.0</v>
      </c>
      <c r="I556" s="9" t="str">
        <f>VLOOKUP(dynamic[productID],products[],2,FALSE)</f>
        <v>Maxilaku</v>
      </c>
      <c r="J556" s="9" t="str">
        <f>VLOOKUP(dynamic[productID],products[],12,FALSE)</f>
        <v>Confections</v>
      </c>
      <c r="K556" s="7" t="str">
        <f>IF(VLOOKUP(dynamic[productID],products[],7,FALSE)=1,"Discontinued","Current")</f>
        <v>Current</v>
      </c>
      <c r="L556" s="9">
        <f>VLOOKUP(dynamic[productID],products[],IF(YEAR(dynamic[orderDate])=2022,8,IF(YEAR(dynamic[orderDate])=2023,9,IF(YEAR(dynamic[orderDate])=2024,10,NA))),FALSE)</f>
        <v>13.04112285</v>
      </c>
      <c r="M556" s="9">
        <v>16.0</v>
      </c>
      <c r="N556" s="25">
        <f>(dynamic[orderPrice]-dynamic[productCost])/dynamic[productCost]</f>
        <v>0.2268882197</v>
      </c>
      <c r="O556" s="10">
        <v>21.0</v>
      </c>
      <c r="P556" s="25">
        <v>0.15</v>
      </c>
      <c r="Q556" s="9">
        <f>dynamic[orderPrice]*dynamic[orderQuantity]</f>
        <v>336</v>
      </c>
      <c r="R556" s="9">
        <f>dynamic[orderTotal]*(1-dynamic[discountApllied])</f>
        <v>285.6</v>
      </c>
      <c r="S556" s="9">
        <f>dynamic[revenue]-(dynamic[productCost]*dynamic[orderQuantity])</f>
        <v>11.73642008</v>
      </c>
      <c r="T556" s="25">
        <f>IFERROR(dynamic[profit]/dynamic[revenue], 0)</f>
        <v>0.04109390783</v>
      </c>
    </row>
    <row r="557" ht="15.75" customHeight="1">
      <c r="A557" s="6">
        <v>10457.0</v>
      </c>
      <c r="B557" s="7" t="s">
        <v>59</v>
      </c>
      <c r="C557" s="24" t="str">
        <f>VLOOKUP(dynamic[customerID],customers[],2,FALSE)</f>
        <v>Königlich Essen</v>
      </c>
      <c r="D557" s="24">
        <v>44982.0</v>
      </c>
      <c r="E557" s="6">
        <f>IFERROR(__xludf.DUMMYFUNCTION("COUNTUNIQUEIFS($A$2:$A557,$B$2:$B557,B557)"),4.0)</f>
        <v>4</v>
      </c>
      <c r="F557" s="6">
        <f t="shared" si="1"/>
        <v>0</v>
      </c>
      <c r="G557" s="6" t="str">
        <f>IF(MINIFS(dynamic[orderDate], dynamic[customerID], B557) &gt;= DATE(2024,4,30)-120, 
     "New", 
     IF(MAXIFS(dynamic[orderCount], dynamic[customerID], B557)&lt;=2, 
        IF((DATE(2024,4,30) - MAXIFS(dynamic[orderDate], dynamic[customerID], B557)) &gt; 180, "Non-Returning", "Dormant"), 
        IF(AND(MAX(dynamic[sinceLastOrder]) &gt; 365, (DATE(2024,4,30) - MAXIFS(dynamic[orderDate], dynamic[customerID], B557)) &gt; 180), 
           "Dormant", "Regular")))</f>
        <v>Regular</v>
      </c>
      <c r="H557" s="6">
        <v>59.0</v>
      </c>
      <c r="I557" s="9" t="str">
        <f>VLOOKUP(dynamic[productID],products[],2,FALSE)</f>
        <v>Raclette Courdavault</v>
      </c>
      <c r="J557" s="9" t="str">
        <f>VLOOKUP(dynamic[productID],products[],12,FALSE)</f>
        <v>Dairy Products</v>
      </c>
      <c r="K557" s="7" t="str">
        <f>IF(VLOOKUP(dynamic[productID],products[],7,FALSE)=1,"Discontinued","Current")</f>
        <v>Current</v>
      </c>
      <c r="L557" s="9">
        <f>VLOOKUP(dynamic[productID],products[],IF(YEAR(dynamic[orderDate])=2022,8,IF(YEAR(dynamic[orderDate])=2023,9,IF(YEAR(dynamic[orderDate])=2024,10,NA))),FALSE)</f>
        <v>35.20472566</v>
      </c>
      <c r="M557" s="9">
        <v>44.0</v>
      </c>
      <c r="N557" s="25">
        <f>(dynamic[orderPrice]-dynamic[productCost])/dynamic[productCost]</f>
        <v>0.2498322078</v>
      </c>
      <c r="O557" s="10">
        <v>36.0</v>
      </c>
      <c r="P557" s="25">
        <v>0.0</v>
      </c>
      <c r="Q557" s="9">
        <f>dynamic[orderPrice]*dynamic[orderQuantity]</f>
        <v>1584</v>
      </c>
      <c r="R557" s="9">
        <f>dynamic[orderTotal]*(1-dynamic[discountApllied])</f>
        <v>1584</v>
      </c>
      <c r="S557" s="9">
        <f>dynamic[revenue]-(dynamic[productCost]*dynamic[orderQuantity])</f>
        <v>316.6298762</v>
      </c>
      <c r="T557" s="25">
        <f>IFERROR(dynamic[profit]/dynamic[revenue], 0)</f>
        <v>0.1998925986</v>
      </c>
    </row>
    <row r="558" ht="15.75" customHeight="1">
      <c r="A558" s="6">
        <v>10458.0</v>
      </c>
      <c r="B558" s="7" t="s">
        <v>19</v>
      </c>
      <c r="C558" s="24" t="str">
        <f>VLOOKUP(dynamic[customerID],customers[],2,FALSE)</f>
        <v>Suprêmes délices</v>
      </c>
      <c r="D558" s="24">
        <v>44983.0</v>
      </c>
      <c r="E558" s="6">
        <f>IFERROR(__xludf.DUMMYFUNCTION("COUNTUNIQUEIFS($A$2:$A558,$B$2:$B558,B558)"),3.0)</f>
        <v>3</v>
      </c>
      <c r="F558" s="6">
        <f t="shared" si="1"/>
        <v>169</v>
      </c>
      <c r="G558" s="6" t="str">
        <f>IF(MINIFS(dynamic[orderDate], dynamic[customerID], B558) &gt;= DATE(2024,4,30)-120, 
     "New", 
     IF(MAXIFS(dynamic[orderCount], dynamic[customerID], B558)&lt;=2, 
        IF((DATE(2024,4,30) - MAXIFS(dynamic[orderDate], dynamic[customerID], B558)) &gt; 180, "Non-Returning", "Dormant"), 
        IF(AND(MAX(dynamic[sinceLastOrder]) &gt; 365, (DATE(2024,4,30) - MAXIFS(dynamic[orderDate], dynamic[customerID], B558)) &gt; 180), 
           "Dormant", "Regular")))</f>
        <v>Regular</v>
      </c>
      <c r="H558" s="6">
        <v>26.0</v>
      </c>
      <c r="I558" s="9" t="str">
        <f>VLOOKUP(dynamic[productID],products[],2,FALSE)</f>
        <v>NuNuCa Nuß-Nougat-Creme</v>
      </c>
      <c r="J558" s="9" t="str">
        <f>VLOOKUP(dynamic[productID],products[],12,FALSE)</f>
        <v>Confections</v>
      </c>
      <c r="K558" s="7" t="str">
        <f>IF(VLOOKUP(dynamic[productID],products[],7,FALSE)=1,"Discontinued","Current")</f>
        <v>Current</v>
      </c>
      <c r="L558" s="9">
        <f>VLOOKUP(dynamic[productID],products[],IF(YEAR(dynamic[orderDate])=2022,8,IF(YEAR(dynamic[orderDate])=2023,9,IF(YEAR(dynamic[orderDate])=2024,10,NA))),FALSE)</f>
        <v>21.20896201</v>
      </c>
      <c r="M558" s="9">
        <v>24.9</v>
      </c>
      <c r="N558" s="25">
        <f>(dynamic[orderPrice]-dynamic[productCost])/dynamic[productCost]</f>
        <v>0.1740319958</v>
      </c>
      <c r="O558" s="10">
        <v>30.0</v>
      </c>
      <c r="P558" s="25">
        <v>0.0</v>
      </c>
      <c r="Q558" s="9">
        <f>dynamic[orderPrice]*dynamic[orderQuantity]</f>
        <v>747</v>
      </c>
      <c r="R558" s="9">
        <f>dynamic[orderTotal]*(1-dynamic[discountApllied])</f>
        <v>747</v>
      </c>
      <c r="S558" s="9">
        <f>dynamic[revenue]-(dynamic[productCost]*dynamic[orderQuantity])</f>
        <v>110.7311396</v>
      </c>
      <c r="T558" s="25">
        <f>IFERROR(dynamic[profit]/dynamic[revenue], 0)</f>
        <v>0.1482344573</v>
      </c>
    </row>
    <row r="559" ht="15.75" customHeight="1">
      <c r="A559" s="6">
        <v>10458.0</v>
      </c>
      <c r="B559" s="7" t="s">
        <v>19</v>
      </c>
      <c r="C559" s="24" t="str">
        <f>VLOOKUP(dynamic[customerID],customers[],2,FALSE)</f>
        <v>Suprêmes délices</v>
      </c>
      <c r="D559" s="24">
        <v>44983.0</v>
      </c>
      <c r="E559" s="6">
        <f>IFERROR(__xludf.DUMMYFUNCTION("COUNTUNIQUEIFS($A$2:$A559,$B$2:$B559,B559)"),3.0)</f>
        <v>3</v>
      </c>
      <c r="F559" s="6">
        <f t="shared" si="1"/>
        <v>169</v>
      </c>
      <c r="G559" s="6" t="str">
        <f>IF(MINIFS(dynamic[orderDate], dynamic[customerID], B559) &gt;= DATE(2024,4,30)-120, 
     "New", 
     IF(MAXIFS(dynamic[orderCount], dynamic[customerID], B559)&lt;=2, 
        IF((DATE(2024,4,30) - MAXIFS(dynamic[orderDate], dynamic[customerID], B559)) &gt; 180, "Non-Returning", "Dormant"), 
        IF(AND(MAX(dynamic[sinceLastOrder]) &gt; 365, (DATE(2024,4,30) - MAXIFS(dynamic[orderDate], dynamic[customerID], B559)) &gt; 180), 
           "Dormant", "Regular")))</f>
        <v>Regular</v>
      </c>
      <c r="H559" s="6">
        <v>28.0</v>
      </c>
      <c r="I559" s="9" t="str">
        <f>VLOOKUP(dynamic[productID],products[],2,FALSE)</f>
        <v>Rössle Sauerkraut</v>
      </c>
      <c r="J559" s="9" t="str">
        <f>VLOOKUP(dynamic[productID],products[],12,FALSE)</f>
        <v>Produce</v>
      </c>
      <c r="K559" s="7" t="str">
        <f>IF(VLOOKUP(dynamic[productID],products[],7,FALSE)=1,"Discontinued","Current")</f>
        <v>Discontinued</v>
      </c>
      <c r="L559" s="9">
        <f>VLOOKUP(dynamic[productID],products[],IF(YEAR(dynamic[orderDate])=2022,8,IF(YEAR(dynamic[orderDate])=2023,9,IF(YEAR(dynamic[orderDate])=2024,10,NA))),FALSE)</f>
        <v>31.52644578</v>
      </c>
      <c r="M559" s="9">
        <v>36.4</v>
      </c>
      <c r="N559" s="25">
        <f>(dynamic[orderPrice]-dynamic[productCost])/dynamic[productCost]</f>
        <v>0.1545862244</v>
      </c>
      <c r="O559" s="10">
        <v>30.0</v>
      </c>
      <c r="P559" s="25">
        <v>0.0</v>
      </c>
      <c r="Q559" s="9">
        <f>dynamic[orderPrice]*dynamic[orderQuantity]</f>
        <v>1092</v>
      </c>
      <c r="R559" s="9">
        <f>dynamic[orderTotal]*(1-dynamic[discountApllied])</f>
        <v>1092</v>
      </c>
      <c r="S559" s="9">
        <f>dynamic[revenue]-(dynamic[productCost]*dynamic[orderQuantity])</f>
        <v>146.2066267</v>
      </c>
      <c r="T559" s="25">
        <f>IFERROR(dynamic[profit]/dynamic[revenue], 0)</f>
        <v>0.1338888522</v>
      </c>
    </row>
    <row r="560" ht="15.75" customHeight="1">
      <c r="A560" s="6">
        <v>10458.0</v>
      </c>
      <c r="B560" s="7" t="s">
        <v>19</v>
      </c>
      <c r="C560" s="24" t="str">
        <f>VLOOKUP(dynamic[customerID],customers[],2,FALSE)</f>
        <v>Suprêmes délices</v>
      </c>
      <c r="D560" s="24">
        <v>44983.0</v>
      </c>
      <c r="E560" s="6">
        <f>IFERROR(__xludf.DUMMYFUNCTION("COUNTUNIQUEIFS($A$2:$A560,$B$2:$B560,B560)"),3.0)</f>
        <v>3</v>
      </c>
      <c r="F560" s="6">
        <f t="shared" si="1"/>
        <v>169</v>
      </c>
      <c r="G560" s="6" t="str">
        <f>IF(MINIFS(dynamic[orderDate], dynamic[customerID], B560) &gt;= DATE(2024,4,30)-120, 
     "New", 
     IF(MAXIFS(dynamic[orderCount], dynamic[customerID], B560)&lt;=2, 
        IF((DATE(2024,4,30) - MAXIFS(dynamic[orderDate], dynamic[customerID], B560)) &gt; 180, "Non-Returning", "Dormant"), 
        IF(AND(MAX(dynamic[sinceLastOrder]) &gt; 365, (DATE(2024,4,30) - MAXIFS(dynamic[orderDate], dynamic[customerID], B560)) &gt; 180), 
           "Dormant", "Regular")))</f>
        <v>Regular</v>
      </c>
      <c r="H560" s="6">
        <v>43.0</v>
      </c>
      <c r="I560" s="9" t="str">
        <f>VLOOKUP(dynamic[productID],products[],2,FALSE)</f>
        <v>Ipoh Coffee</v>
      </c>
      <c r="J560" s="9" t="str">
        <f>VLOOKUP(dynamic[productID],products[],12,FALSE)</f>
        <v>Beverages</v>
      </c>
      <c r="K560" s="7" t="str">
        <f>IF(VLOOKUP(dynamic[productID],products[],7,FALSE)=1,"Discontinued","Current")</f>
        <v>Current</v>
      </c>
      <c r="L560" s="9">
        <f>VLOOKUP(dynamic[productID],products[],IF(YEAR(dynamic[orderDate])=2022,8,IF(YEAR(dynamic[orderDate])=2023,9,IF(YEAR(dynamic[orderDate])=2024,10,NA))),FALSE)</f>
        <v>30.96256564</v>
      </c>
      <c r="M560" s="9">
        <v>36.8</v>
      </c>
      <c r="N560" s="25">
        <f>(dynamic[orderPrice]-dynamic[productCost])/dynamic[productCost]</f>
        <v>0.1885319981</v>
      </c>
      <c r="O560" s="10">
        <v>20.0</v>
      </c>
      <c r="P560" s="25">
        <v>0.0</v>
      </c>
      <c r="Q560" s="9">
        <f>dynamic[orderPrice]*dynamic[orderQuantity]</f>
        <v>736</v>
      </c>
      <c r="R560" s="9">
        <f>dynamic[orderTotal]*(1-dynamic[discountApllied])</f>
        <v>736</v>
      </c>
      <c r="S560" s="9">
        <f>dynamic[revenue]-(dynamic[productCost]*dynamic[orderQuantity])</f>
        <v>116.7486873</v>
      </c>
      <c r="T560" s="25">
        <f>IFERROR(dynamic[profit]/dynamic[revenue], 0)</f>
        <v>0.1586259338</v>
      </c>
    </row>
    <row r="561" ht="15.75" customHeight="1">
      <c r="A561" s="6">
        <v>10458.0</v>
      </c>
      <c r="B561" s="7" t="s">
        <v>19</v>
      </c>
      <c r="C561" s="24" t="str">
        <f>VLOOKUP(dynamic[customerID],customers[],2,FALSE)</f>
        <v>Suprêmes délices</v>
      </c>
      <c r="D561" s="24">
        <v>44983.0</v>
      </c>
      <c r="E561" s="6">
        <f>IFERROR(__xludf.DUMMYFUNCTION("COUNTUNIQUEIFS($A$2:$A561,$B$2:$B561,B561)"),3.0)</f>
        <v>3</v>
      </c>
      <c r="F561" s="6">
        <f t="shared" si="1"/>
        <v>169</v>
      </c>
      <c r="G561" s="6" t="str">
        <f>IF(MINIFS(dynamic[orderDate], dynamic[customerID], B561) &gt;= DATE(2024,4,30)-120, 
     "New", 
     IF(MAXIFS(dynamic[orderCount], dynamic[customerID], B561)&lt;=2, 
        IF((DATE(2024,4,30) - MAXIFS(dynamic[orderDate], dynamic[customerID], B561)) &gt; 180, "Non-Returning", "Dormant"), 
        IF(AND(MAX(dynamic[sinceLastOrder]) &gt; 365, (DATE(2024,4,30) - MAXIFS(dynamic[orderDate], dynamic[customerID], B561)) &gt; 180), 
           "Dormant", "Regular")))</f>
        <v>Regular</v>
      </c>
      <c r="H561" s="6">
        <v>56.0</v>
      </c>
      <c r="I561" s="9" t="str">
        <f>VLOOKUP(dynamic[productID],products[],2,FALSE)</f>
        <v>Gnocchi di nonna Alice</v>
      </c>
      <c r="J561" s="9" t="str">
        <f>VLOOKUP(dynamic[productID],products[],12,FALSE)</f>
        <v>Grains/Cereals</v>
      </c>
      <c r="K561" s="7" t="str">
        <f>IF(VLOOKUP(dynamic[productID],products[],7,FALSE)=1,"Discontinued","Current")</f>
        <v>Current</v>
      </c>
      <c r="L561" s="9">
        <f>VLOOKUP(dynamic[productID],products[],IF(YEAR(dynamic[orderDate])=2022,8,IF(YEAR(dynamic[orderDate])=2023,9,IF(YEAR(dynamic[orderDate])=2024,10,NA))),FALSE)</f>
        <v>24.28342441</v>
      </c>
      <c r="M561" s="9">
        <v>30.4</v>
      </c>
      <c r="N561" s="25">
        <f>(dynamic[orderPrice]-dynamic[productCost])/dynamic[productCost]</f>
        <v>0.2518827447</v>
      </c>
      <c r="O561" s="10">
        <v>15.0</v>
      </c>
      <c r="P561" s="25">
        <v>0.0</v>
      </c>
      <c r="Q561" s="9">
        <f>dynamic[orderPrice]*dynamic[orderQuantity]</f>
        <v>456</v>
      </c>
      <c r="R561" s="9">
        <f>dynamic[orderTotal]*(1-dynamic[discountApllied])</f>
        <v>456</v>
      </c>
      <c r="S561" s="9">
        <f>dynamic[revenue]-(dynamic[productCost]*dynamic[orderQuantity])</f>
        <v>91.74863388</v>
      </c>
      <c r="T561" s="25">
        <f>IFERROR(dynamic[profit]/dynamic[revenue], 0)</f>
        <v>0.2012031445</v>
      </c>
    </row>
    <row r="562" ht="15.75" customHeight="1">
      <c r="A562" s="6">
        <v>10458.0</v>
      </c>
      <c r="B562" s="7" t="s">
        <v>19</v>
      </c>
      <c r="C562" s="24" t="str">
        <f>VLOOKUP(dynamic[customerID],customers[],2,FALSE)</f>
        <v>Suprêmes délices</v>
      </c>
      <c r="D562" s="24">
        <v>44983.0</v>
      </c>
      <c r="E562" s="6">
        <f>IFERROR(__xludf.DUMMYFUNCTION("COUNTUNIQUEIFS($A$2:$A562,$B$2:$B562,B562)"),3.0)</f>
        <v>3</v>
      </c>
      <c r="F562" s="6">
        <f t="shared" si="1"/>
        <v>169</v>
      </c>
      <c r="G562" s="6" t="str">
        <f>IF(MINIFS(dynamic[orderDate], dynamic[customerID], B562) &gt;= DATE(2024,4,30)-120, 
     "New", 
     IF(MAXIFS(dynamic[orderCount], dynamic[customerID], B562)&lt;=2, 
        IF((DATE(2024,4,30) - MAXIFS(dynamic[orderDate], dynamic[customerID], B562)) &gt; 180, "Non-Returning", "Dormant"), 
        IF(AND(MAX(dynamic[sinceLastOrder]) &gt; 365, (DATE(2024,4,30) - MAXIFS(dynamic[orderDate], dynamic[customerID], B562)) &gt; 180), 
           "Dormant", "Regular")))</f>
        <v>Regular</v>
      </c>
      <c r="H562" s="6">
        <v>71.0</v>
      </c>
      <c r="I562" s="9" t="str">
        <f>VLOOKUP(dynamic[productID],products[],2,FALSE)</f>
        <v>Flotemysost</v>
      </c>
      <c r="J562" s="9" t="str">
        <f>VLOOKUP(dynamic[productID],products[],12,FALSE)</f>
        <v>Dairy Products</v>
      </c>
      <c r="K562" s="7" t="str">
        <f>IF(VLOOKUP(dynamic[productID],products[],7,FALSE)=1,"Discontinued","Current")</f>
        <v>Current</v>
      </c>
      <c r="L562" s="9">
        <f>VLOOKUP(dynamic[productID],products[],IF(YEAR(dynamic[orderDate])=2022,8,IF(YEAR(dynamic[orderDate])=2023,9,IF(YEAR(dynamic[orderDate])=2024,10,NA))),FALSE)</f>
        <v>13.4003664</v>
      </c>
      <c r="M562" s="9">
        <v>17.2</v>
      </c>
      <c r="N562" s="25">
        <f>(dynamic[orderPrice]-dynamic[productCost])/dynamic[productCost]</f>
        <v>0.2835469929</v>
      </c>
      <c r="O562" s="10">
        <v>50.0</v>
      </c>
      <c r="P562" s="25">
        <v>0.0</v>
      </c>
      <c r="Q562" s="9">
        <f>dynamic[orderPrice]*dynamic[orderQuantity]</f>
        <v>860</v>
      </c>
      <c r="R562" s="9">
        <f>dynamic[orderTotal]*(1-dynamic[discountApllied])</f>
        <v>860</v>
      </c>
      <c r="S562" s="9">
        <f>dynamic[revenue]-(dynamic[productCost]*dynamic[orderQuantity])</f>
        <v>189.9816798</v>
      </c>
      <c r="T562" s="25">
        <f>IFERROR(dynamic[profit]/dynamic[revenue], 0)</f>
        <v>0.2209089301</v>
      </c>
    </row>
    <row r="563" ht="15.75" customHeight="1">
      <c r="A563" s="6">
        <v>10459.0</v>
      </c>
      <c r="B563" s="7" t="s">
        <v>18</v>
      </c>
      <c r="C563" s="24" t="str">
        <f>VLOOKUP(dynamic[customerID],customers[],2,FALSE)</f>
        <v>Victuailles en stock</v>
      </c>
      <c r="D563" s="24">
        <v>44984.0</v>
      </c>
      <c r="E563" s="6">
        <f>IFERROR(__xludf.DUMMYFUNCTION("COUNTUNIQUEIFS($A$2:$A563,$B$2:$B563,B563)"),4.0)</f>
        <v>4</v>
      </c>
      <c r="F563" s="6">
        <f t="shared" si="1"/>
        <v>8</v>
      </c>
      <c r="G563" s="6" t="str">
        <f>IF(MINIFS(dynamic[orderDate], dynamic[customerID], B563) &gt;= DATE(2024,4,30)-120, 
     "New", 
     IF(MAXIFS(dynamic[orderCount], dynamic[customerID], B563)&lt;=2, 
        IF((DATE(2024,4,30) - MAXIFS(dynamic[orderDate], dynamic[customerID], B563)) &gt; 180, "Non-Returning", "Dormant"), 
        IF(AND(MAX(dynamic[sinceLastOrder]) &gt; 365, (DATE(2024,4,30) - MAXIFS(dynamic[orderDate], dynamic[customerID], B563)) &gt; 180), 
           "Dormant", "Regular")))</f>
        <v>Regular</v>
      </c>
      <c r="H563" s="6">
        <v>7.0</v>
      </c>
      <c r="I563" s="9" t="str">
        <f>VLOOKUP(dynamic[productID],products[],2,FALSE)</f>
        <v>Uncle Bob's Organic Dried Pears</v>
      </c>
      <c r="J563" s="9" t="str">
        <f>VLOOKUP(dynamic[productID],products[],12,FALSE)</f>
        <v>Produce</v>
      </c>
      <c r="K563" s="7" t="str">
        <f>IF(VLOOKUP(dynamic[productID],products[],7,FALSE)=1,"Discontinued","Current")</f>
        <v>Current</v>
      </c>
      <c r="L563" s="9">
        <f>VLOOKUP(dynamic[productID],products[],IF(YEAR(dynamic[orderDate])=2022,8,IF(YEAR(dynamic[orderDate])=2023,9,IF(YEAR(dynamic[orderDate])=2024,10,NA))),FALSE)</f>
        <v>21.39244625</v>
      </c>
      <c r="M563" s="9">
        <v>24.0</v>
      </c>
      <c r="N563" s="25">
        <f>(dynamic[orderPrice]-dynamic[productCost])/dynamic[productCost]</f>
        <v>0.1218913309</v>
      </c>
      <c r="O563" s="10">
        <v>16.0</v>
      </c>
      <c r="P563" s="25">
        <v>0.05</v>
      </c>
      <c r="Q563" s="9">
        <f>dynamic[orderPrice]*dynamic[orderQuantity]</f>
        <v>384</v>
      </c>
      <c r="R563" s="9">
        <f>dynamic[orderTotal]*(1-dynamic[discountApllied])</f>
        <v>364.8</v>
      </c>
      <c r="S563" s="9">
        <f>dynamic[revenue]-(dynamic[productCost]*dynamic[orderQuantity])</f>
        <v>22.52085992</v>
      </c>
      <c r="T563" s="25">
        <f>IFERROR(dynamic[profit]/dynamic[revenue], 0)</f>
        <v>0.06173481338</v>
      </c>
    </row>
    <row r="564" ht="15.75" customHeight="1">
      <c r="A564" s="6">
        <v>10459.0</v>
      </c>
      <c r="B564" s="7" t="s">
        <v>18</v>
      </c>
      <c r="C564" s="24" t="str">
        <f>VLOOKUP(dynamic[customerID],customers[],2,FALSE)</f>
        <v>Victuailles en stock</v>
      </c>
      <c r="D564" s="24">
        <v>44984.0</v>
      </c>
      <c r="E564" s="6">
        <f>IFERROR(__xludf.DUMMYFUNCTION("COUNTUNIQUEIFS($A$2:$A564,$B$2:$B564,B564)"),4.0)</f>
        <v>4</v>
      </c>
      <c r="F564" s="6">
        <f t="shared" si="1"/>
        <v>8</v>
      </c>
      <c r="G564" s="6" t="str">
        <f>IF(MINIFS(dynamic[orderDate], dynamic[customerID], B564) &gt;= DATE(2024,4,30)-120, 
     "New", 
     IF(MAXIFS(dynamic[orderCount], dynamic[customerID], B564)&lt;=2, 
        IF((DATE(2024,4,30) - MAXIFS(dynamic[orderDate], dynamic[customerID], B564)) &gt; 180, "Non-Returning", "Dormant"), 
        IF(AND(MAX(dynamic[sinceLastOrder]) &gt; 365, (DATE(2024,4,30) - MAXIFS(dynamic[orderDate], dynamic[customerID], B564)) &gt; 180), 
           "Dormant", "Regular")))</f>
        <v>Regular</v>
      </c>
      <c r="H564" s="6">
        <v>46.0</v>
      </c>
      <c r="I564" s="9" t="str">
        <f>VLOOKUP(dynamic[productID],products[],2,FALSE)</f>
        <v>Spegesild</v>
      </c>
      <c r="J564" s="9" t="str">
        <f>VLOOKUP(dynamic[productID],products[],12,FALSE)</f>
        <v>Seafood</v>
      </c>
      <c r="K564" s="7" t="str">
        <f>IF(VLOOKUP(dynamic[productID],products[],7,FALSE)=1,"Discontinued","Current")</f>
        <v>Current</v>
      </c>
      <c r="L564" s="9">
        <f>VLOOKUP(dynamic[productID],products[],IF(YEAR(dynamic[orderDate])=2022,8,IF(YEAR(dynamic[orderDate])=2023,9,IF(YEAR(dynamic[orderDate])=2024,10,NA))),FALSE)</f>
        <v>7.087990753</v>
      </c>
      <c r="M564" s="9">
        <v>9.6</v>
      </c>
      <c r="N564" s="25">
        <f>(dynamic[orderPrice]-dynamic[productCost])/dynamic[productCost]</f>
        <v>0.3544035728</v>
      </c>
      <c r="O564" s="10">
        <v>20.0</v>
      </c>
      <c r="P564" s="25">
        <v>0.05</v>
      </c>
      <c r="Q564" s="9">
        <f>dynamic[orderPrice]*dynamic[orderQuantity]</f>
        <v>192</v>
      </c>
      <c r="R564" s="9">
        <f>dynamic[orderTotal]*(1-dynamic[discountApllied])</f>
        <v>182.4</v>
      </c>
      <c r="S564" s="9">
        <f>dynamic[revenue]-(dynamic[productCost]*dynamic[orderQuantity])</f>
        <v>40.64018494</v>
      </c>
      <c r="T564" s="25">
        <f>IFERROR(dynamic[profit]/dynamic[revenue], 0)</f>
        <v>0.2228080314</v>
      </c>
    </row>
    <row r="565" ht="15.75" customHeight="1">
      <c r="A565" s="6">
        <v>10459.0</v>
      </c>
      <c r="B565" s="7" t="s">
        <v>18</v>
      </c>
      <c r="C565" s="24" t="str">
        <f>VLOOKUP(dynamic[customerID],customers[],2,FALSE)</f>
        <v>Victuailles en stock</v>
      </c>
      <c r="D565" s="24">
        <v>44984.0</v>
      </c>
      <c r="E565" s="6">
        <f>IFERROR(__xludf.DUMMYFUNCTION("COUNTUNIQUEIFS($A$2:$A565,$B$2:$B565,B565)"),4.0)</f>
        <v>4</v>
      </c>
      <c r="F565" s="6">
        <f t="shared" si="1"/>
        <v>8</v>
      </c>
      <c r="G565" s="6" t="str">
        <f>IF(MINIFS(dynamic[orderDate], dynamic[customerID], B565) &gt;= DATE(2024,4,30)-120, 
     "New", 
     IF(MAXIFS(dynamic[orderCount], dynamic[customerID], B565)&lt;=2, 
        IF((DATE(2024,4,30) - MAXIFS(dynamic[orderDate], dynamic[customerID], B565)) &gt; 180, "Non-Returning", "Dormant"), 
        IF(AND(MAX(dynamic[sinceLastOrder]) &gt; 365, (DATE(2024,4,30) - MAXIFS(dynamic[orderDate], dynamic[customerID], B565)) &gt; 180), 
           "Dormant", "Regular")))</f>
        <v>Regular</v>
      </c>
      <c r="H565" s="6">
        <v>72.0</v>
      </c>
      <c r="I565" s="9" t="str">
        <f>VLOOKUP(dynamic[productID],products[],2,FALSE)</f>
        <v>Mozzarella di Giovanni</v>
      </c>
      <c r="J565" s="9" t="str">
        <f>VLOOKUP(dynamic[productID],products[],12,FALSE)</f>
        <v>Dairy Products</v>
      </c>
      <c r="K565" s="7" t="str">
        <f>IF(VLOOKUP(dynamic[productID],products[],7,FALSE)=1,"Discontinued","Current")</f>
        <v>Current</v>
      </c>
      <c r="L565" s="9">
        <f>VLOOKUP(dynamic[productID],products[],IF(YEAR(dynamic[orderDate])=2022,8,IF(YEAR(dynamic[orderDate])=2023,9,IF(YEAR(dynamic[orderDate])=2024,10,NA))),FALSE)</f>
        <v>23.51933768</v>
      </c>
      <c r="M565" s="9">
        <v>27.8</v>
      </c>
      <c r="N565" s="25">
        <f>(dynamic[orderPrice]-dynamic[productCost])/dynamic[productCost]</f>
        <v>0.1820060743</v>
      </c>
      <c r="O565" s="10">
        <v>40.0</v>
      </c>
      <c r="P565" s="25">
        <v>0.0</v>
      </c>
      <c r="Q565" s="9">
        <f>dynamic[orderPrice]*dynamic[orderQuantity]</f>
        <v>1112</v>
      </c>
      <c r="R565" s="9">
        <f>dynamic[orderTotal]*(1-dynamic[discountApllied])</f>
        <v>1112</v>
      </c>
      <c r="S565" s="9">
        <f>dynamic[revenue]-(dynamic[productCost]*dynamic[orderQuantity])</f>
        <v>171.2264929</v>
      </c>
      <c r="T565" s="25">
        <f>IFERROR(dynamic[profit]/dynamic[revenue], 0)</f>
        <v>0.153980659</v>
      </c>
    </row>
    <row r="566" ht="15.75" customHeight="1">
      <c r="A566" s="6">
        <v>10460.0</v>
      </c>
      <c r="B566" s="7" t="s">
        <v>29</v>
      </c>
      <c r="C566" s="24" t="str">
        <f>VLOOKUP(dynamic[customerID],customers[],2,FALSE)</f>
        <v>Folk och fä HB</v>
      </c>
      <c r="D566" s="24">
        <v>44985.0</v>
      </c>
      <c r="E566" s="6">
        <f>IFERROR(__xludf.DUMMYFUNCTION("COUNTUNIQUEIFS($A$2:$A566,$B$2:$B566,B566)"),5.0)</f>
        <v>5</v>
      </c>
      <c r="F566" s="6">
        <f t="shared" si="1"/>
        <v>25</v>
      </c>
      <c r="G566" s="6" t="str">
        <f>IF(MINIFS(dynamic[orderDate], dynamic[customerID], B566) &gt;= DATE(2024,4,30)-120, 
     "New", 
     IF(MAXIFS(dynamic[orderCount], dynamic[customerID], B566)&lt;=2, 
        IF((DATE(2024,4,30) - MAXIFS(dynamic[orderDate], dynamic[customerID], B566)) &gt; 180, "Non-Returning", "Dormant"), 
        IF(AND(MAX(dynamic[sinceLastOrder]) &gt; 365, (DATE(2024,4,30) - MAXIFS(dynamic[orderDate], dynamic[customerID], B566)) &gt; 180), 
           "Dormant", "Regular")))</f>
        <v>Regular</v>
      </c>
      <c r="H566" s="6">
        <v>68.0</v>
      </c>
      <c r="I566" s="9" t="str">
        <f>VLOOKUP(dynamic[productID],products[],2,FALSE)</f>
        <v>Scottish Longbreads</v>
      </c>
      <c r="J566" s="9" t="str">
        <f>VLOOKUP(dynamic[productID],products[],12,FALSE)</f>
        <v>Confections</v>
      </c>
      <c r="K566" s="7" t="str">
        <f>IF(VLOOKUP(dynamic[productID],products[],7,FALSE)=1,"Discontinued","Current")</f>
        <v>Current</v>
      </c>
      <c r="L566" s="9">
        <f>VLOOKUP(dynamic[productID],products[],IF(YEAR(dynamic[orderDate])=2022,8,IF(YEAR(dynamic[orderDate])=2023,9,IF(YEAR(dynamic[orderDate])=2024,10,NA))),FALSE)</f>
        <v>8.500000387</v>
      </c>
      <c r="M566" s="9">
        <v>10.0</v>
      </c>
      <c r="N566" s="25">
        <f>(dynamic[orderPrice]-dynamic[productCost])/dynamic[productCost]</f>
        <v>0.1764705347</v>
      </c>
      <c r="O566" s="10">
        <v>21.0</v>
      </c>
      <c r="P566" s="25">
        <v>0.25</v>
      </c>
      <c r="Q566" s="9">
        <f>dynamic[orderPrice]*dynamic[orderQuantity]</f>
        <v>210</v>
      </c>
      <c r="R566" s="9">
        <f>dynamic[orderTotal]*(1-dynamic[discountApllied])</f>
        <v>157.5</v>
      </c>
      <c r="S566" s="9">
        <f>dynamic[revenue]-(dynamic[productCost]*dynamic[orderQuantity])</f>
        <v>-21.00000812</v>
      </c>
      <c r="T566" s="25">
        <f>IFERROR(dynamic[profit]/dynamic[revenue], 0)</f>
        <v>-0.1333333849</v>
      </c>
    </row>
    <row r="567" ht="15.75" customHeight="1">
      <c r="A567" s="6">
        <v>10460.0</v>
      </c>
      <c r="B567" s="7" t="s">
        <v>29</v>
      </c>
      <c r="C567" s="24" t="str">
        <f>VLOOKUP(dynamic[customerID],customers[],2,FALSE)</f>
        <v>Folk och fä HB</v>
      </c>
      <c r="D567" s="24">
        <v>44985.0</v>
      </c>
      <c r="E567" s="6">
        <f>IFERROR(__xludf.DUMMYFUNCTION("COUNTUNIQUEIFS($A$2:$A567,$B$2:$B567,B567)"),5.0)</f>
        <v>5</v>
      </c>
      <c r="F567" s="6">
        <f t="shared" si="1"/>
        <v>25</v>
      </c>
      <c r="G567" s="6" t="str">
        <f>IF(MINIFS(dynamic[orderDate], dynamic[customerID], B567) &gt;= DATE(2024,4,30)-120, 
     "New", 
     IF(MAXIFS(dynamic[orderCount], dynamic[customerID], B567)&lt;=2, 
        IF((DATE(2024,4,30) - MAXIFS(dynamic[orderDate], dynamic[customerID], B567)) &gt; 180, "Non-Returning", "Dormant"), 
        IF(AND(MAX(dynamic[sinceLastOrder]) &gt; 365, (DATE(2024,4,30) - MAXIFS(dynamic[orderDate], dynamic[customerID], B567)) &gt; 180), 
           "Dormant", "Regular")))</f>
        <v>Regular</v>
      </c>
      <c r="H567" s="6">
        <v>75.0</v>
      </c>
      <c r="I567" s="9" t="str">
        <f>VLOOKUP(dynamic[productID],products[],2,FALSE)</f>
        <v>Rhönbräu Klosterbier</v>
      </c>
      <c r="J567" s="9" t="str">
        <f>VLOOKUP(dynamic[productID],products[],12,FALSE)</f>
        <v>Beverages</v>
      </c>
      <c r="K567" s="7" t="str">
        <f>IF(VLOOKUP(dynamic[productID],products[],7,FALSE)=1,"Discontinued","Current")</f>
        <v>Current</v>
      </c>
      <c r="L567" s="9">
        <f>VLOOKUP(dynamic[productID],products[],IF(YEAR(dynamic[orderDate])=2022,8,IF(YEAR(dynamic[orderDate])=2023,9,IF(YEAR(dynamic[orderDate])=2024,10,NA))),FALSE)</f>
        <v>5.355290472</v>
      </c>
      <c r="M567" s="9">
        <v>6.2</v>
      </c>
      <c r="N567" s="25">
        <f>(dynamic[orderPrice]-dynamic[productCost])/dynamic[productCost]</f>
        <v>0.1577336529</v>
      </c>
      <c r="O567" s="10">
        <v>4.0</v>
      </c>
      <c r="P567" s="25">
        <v>0.25</v>
      </c>
      <c r="Q567" s="9">
        <f>dynamic[orderPrice]*dynamic[orderQuantity]</f>
        <v>24.8</v>
      </c>
      <c r="R567" s="9">
        <f>dynamic[orderTotal]*(1-dynamic[discountApllied])</f>
        <v>18.6</v>
      </c>
      <c r="S567" s="9">
        <f>dynamic[revenue]-(dynamic[productCost]*dynamic[orderQuantity])</f>
        <v>-2.821161887</v>
      </c>
      <c r="T567" s="25">
        <f>IFERROR(dynamic[profit]/dynamic[revenue], 0)</f>
        <v>-0.1516753703</v>
      </c>
    </row>
    <row r="568" ht="15.75" customHeight="1">
      <c r="A568" s="6">
        <v>10461.0</v>
      </c>
      <c r="B568" s="7" t="s">
        <v>43</v>
      </c>
      <c r="C568" s="24" t="str">
        <f>VLOOKUP(dynamic[customerID],customers[],2,FALSE)</f>
        <v>LILA-Supermercado</v>
      </c>
      <c r="D568" s="24">
        <v>44985.0</v>
      </c>
      <c r="E568" s="6">
        <f>IFERROR(__xludf.DUMMYFUNCTION("COUNTUNIQUEIFS($A$2:$A568,$B$2:$B568,B568)"),6.0)</f>
        <v>6</v>
      </c>
      <c r="F568" s="6">
        <f t="shared" si="1"/>
        <v>78</v>
      </c>
      <c r="G568" s="6" t="str">
        <f>IF(MINIFS(dynamic[orderDate], dynamic[customerID], B568) &gt;= DATE(2024,4,30)-120, 
     "New", 
     IF(MAXIFS(dynamic[orderCount], dynamic[customerID], B568)&lt;=2, 
        IF((DATE(2024,4,30) - MAXIFS(dynamic[orderDate], dynamic[customerID], B568)) &gt; 180, "Non-Returning", "Dormant"), 
        IF(AND(MAX(dynamic[sinceLastOrder]) &gt; 365, (DATE(2024,4,30) - MAXIFS(dynamic[orderDate], dynamic[customerID], B568)) &gt; 180), 
           "Dormant", "Regular")))</f>
        <v>Regular</v>
      </c>
      <c r="H568" s="6">
        <v>21.0</v>
      </c>
      <c r="I568" s="9" t="str">
        <f>VLOOKUP(dynamic[productID],products[],2,FALSE)</f>
        <v>Sir Rodney's Scones</v>
      </c>
      <c r="J568" s="9" t="str">
        <f>VLOOKUP(dynamic[productID],products[],12,FALSE)</f>
        <v>Confections</v>
      </c>
      <c r="K568" s="7" t="str">
        <f>IF(VLOOKUP(dynamic[productID],products[],7,FALSE)=1,"Discontinued","Current")</f>
        <v>Current</v>
      </c>
      <c r="L568" s="9">
        <f>VLOOKUP(dynamic[productID],products[],IF(YEAR(dynamic[orderDate])=2022,8,IF(YEAR(dynamic[orderDate])=2023,9,IF(YEAR(dynamic[orderDate])=2024,10,NA))),FALSE)</f>
        <v>6.725636111</v>
      </c>
      <c r="M568" s="9">
        <v>8.0</v>
      </c>
      <c r="N568" s="25">
        <f>(dynamic[orderPrice]-dynamic[productCost])/dynamic[productCost]</f>
        <v>0.1894785664</v>
      </c>
      <c r="O568" s="10">
        <v>40.0</v>
      </c>
      <c r="P568" s="25">
        <v>0.25</v>
      </c>
      <c r="Q568" s="9">
        <f>dynamic[orderPrice]*dynamic[orderQuantity]</f>
        <v>320</v>
      </c>
      <c r="R568" s="9">
        <f>dynamic[orderTotal]*(1-dynamic[discountApllied])</f>
        <v>240</v>
      </c>
      <c r="S568" s="9">
        <f>dynamic[revenue]-(dynamic[productCost]*dynamic[orderQuantity])</f>
        <v>-29.02544446</v>
      </c>
      <c r="T568" s="25">
        <f>IFERROR(dynamic[profit]/dynamic[revenue], 0)</f>
        <v>-0.1209393519</v>
      </c>
    </row>
    <row r="569" ht="15.75" customHeight="1">
      <c r="A569" s="6">
        <v>10461.0</v>
      </c>
      <c r="B569" s="7" t="s">
        <v>43</v>
      </c>
      <c r="C569" s="24" t="str">
        <f>VLOOKUP(dynamic[customerID],customers[],2,FALSE)</f>
        <v>LILA-Supermercado</v>
      </c>
      <c r="D569" s="24">
        <v>44985.0</v>
      </c>
      <c r="E569" s="6">
        <f>IFERROR(__xludf.DUMMYFUNCTION("COUNTUNIQUEIFS($A$2:$A569,$B$2:$B569,B569)"),6.0)</f>
        <v>6</v>
      </c>
      <c r="F569" s="6">
        <f t="shared" si="1"/>
        <v>78</v>
      </c>
      <c r="G569" s="6" t="str">
        <f>IF(MINIFS(dynamic[orderDate], dynamic[customerID], B569) &gt;= DATE(2024,4,30)-120, 
     "New", 
     IF(MAXIFS(dynamic[orderCount], dynamic[customerID], B569)&lt;=2, 
        IF((DATE(2024,4,30) - MAXIFS(dynamic[orderDate], dynamic[customerID], B569)) &gt; 180, "Non-Returning", "Dormant"), 
        IF(AND(MAX(dynamic[sinceLastOrder]) &gt; 365, (DATE(2024,4,30) - MAXIFS(dynamic[orderDate], dynamic[customerID], B569)) &gt; 180), 
           "Dormant", "Regular")))</f>
        <v>Regular</v>
      </c>
      <c r="H569" s="6">
        <v>30.0</v>
      </c>
      <c r="I569" s="9" t="str">
        <f>VLOOKUP(dynamic[productID],products[],2,FALSE)</f>
        <v>Nord-Ost Matjeshering</v>
      </c>
      <c r="J569" s="9" t="str">
        <f>VLOOKUP(dynamic[productID],products[],12,FALSE)</f>
        <v>Seafood</v>
      </c>
      <c r="K569" s="7" t="str">
        <f>IF(VLOOKUP(dynamic[productID],products[],7,FALSE)=1,"Discontinued","Current")</f>
        <v>Current</v>
      </c>
      <c r="L569" s="9">
        <f>VLOOKUP(dynamic[productID],products[],IF(YEAR(dynamic[orderDate])=2022,8,IF(YEAR(dynamic[orderDate])=2023,9,IF(YEAR(dynamic[orderDate])=2024,10,NA))),FALSE)</f>
        <v>16.03885249</v>
      </c>
      <c r="M569" s="9">
        <v>20.7</v>
      </c>
      <c r="N569" s="25">
        <f>(dynamic[orderPrice]-dynamic[productCost])/dynamic[productCost]</f>
        <v>0.2906160219</v>
      </c>
      <c r="O569" s="10">
        <v>28.0</v>
      </c>
      <c r="P569" s="25">
        <v>0.25</v>
      </c>
      <c r="Q569" s="9">
        <f>dynamic[orderPrice]*dynamic[orderQuantity]</f>
        <v>579.6</v>
      </c>
      <c r="R569" s="9">
        <f>dynamic[orderTotal]*(1-dynamic[discountApllied])</f>
        <v>434.7</v>
      </c>
      <c r="S569" s="9">
        <f>dynamic[revenue]-(dynamic[productCost]*dynamic[orderQuantity])</f>
        <v>-14.38786979</v>
      </c>
      <c r="T569" s="25">
        <f>IFERROR(dynamic[profit]/dynamic[revenue], 0)</f>
        <v>-0.03309838922</v>
      </c>
    </row>
    <row r="570" ht="15.75" customHeight="1">
      <c r="A570" s="6">
        <v>10461.0</v>
      </c>
      <c r="B570" s="7" t="s">
        <v>43</v>
      </c>
      <c r="C570" s="24" t="str">
        <f>VLOOKUP(dynamic[customerID],customers[],2,FALSE)</f>
        <v>LILA-Supermercado</v>
      </c>
      <c r="D570" s="24">
        <v>44985.0</v>
      </c>
      <c r="E570" s="6">
        <f>IFERROR(__xludf.DUMMYFUNCTION("COUNTUNIQUEIFS($A$2:$A570,$B$2:$B570,B570)"),6.0)</f>
        <v>6</v>
      </c>
      <c r="F570" s="6">
        <f t="shared" si="1"/>
        <v>78</v>
      </c>
      <c r="G570" s="6" t="str">
        <f>IF(MINIFS(dynamic[orderDate], dynamic[customerID], B570) &gt;= DATE(2024,4,30)-120, 
     "New", 
     IF(MAXIFS(dynamic[orderCount], dynamic[customerID], B570)&lt;=2, 
        IF((DATE(2024,4,30) - MAXIFS(dynamic[orderDate], dynamic[customerID], B570)) &gt; 180, "Non-Returning", "Dormant"), 
        IF(AND(MAX(dynamic[sinceLastOrder]) &gt; 365, (DATE(2024,4,30) - MAXIFS(dynamic[orderDate], dynamic[customerID], B570)) &gt; 180), 
           "Dormant", "Regular")))</f>
        <v>Regular</v>
      </c>
      <c r="H570" s="6">
        <v>55.0</v>
      </c>
      <c r="I570" s="9" t="str">
        <f>VLOOKUP(dynamic[productID],products[],2,FALSE)</f>
        <v>Pâté chinois</v>
      </c>
      <c r="J570" s="9" t="str">
        <f>VLOOKUP(dynamic[productID],products[],12,FALSE)</f>
        <v>Meat/Poultry</v>
      </c>
      <c r="K570" s="7" t="str">
        <f>IF(VLOOKUP(dynamic[productID],products[],7,FALSE)=1,"Discontinued","Current")</f>
        <v>Current</v>
      </c>
      <c r="L570" s="9">
        <f>VLOOKUP(dynamic[productID],products[],IF(YEAR(dynamic[orderDate])=2022,8,IF(YEAR(dynamic[orderDate])=2023,9,IF(YEAR(dynamic[orderDate])=2024,10,NA))),FALSE)</f>
        <v>14.92398776</v>
      </c>
      <c r="M570" s="9">
        <v>19.2</v>
      </c>
      <c r="N570" s="25">
        <f>(dynamic[orderPrice]-dynamic[productCost])/dynamic[productCost]</f>
        <v>0.2865194145</v>
      </c>
      <c r="O570" s="10">
        <v>60.0</v>
      </c>
      <c r="P570" s="25">
        <v>0.25</v>
      </c>
      <c r="Q570" s="9">
        <f>dynamic[orderPrice]*dynamic[orderQuantity]</f>
        <v>1152</v>
      </c>
      <c r="R570" s="9">
        <f>dynamic[orderTotal]*(1-dynamic[discountApllied])</f>
        <v>864</v>
      </c>
      <c r="S570" s="9">
        <f>dynamic[revenue]-(dynamic[productCost]*dynamic[orderQuantity])</f>
        <v>-31.43926585</v>
      </c>
      <c r="T570" s="25">
        <f>IFERROR(dynamic[profit]/dynamic[revenue], 0)</f>
        <v>-0.03638803917</v>
      </c>
    </row>
    <row r="571" ht="15.75" customHeight="1">
      <c r="A571" s="6">
        <v>10462.0</v>
      </c>
      <c r="B571" s="7" t="s">
        <v>87</v>
      </c>
      <c r="C571" s="24" t="str">
        <f>VLOOKUP(dynamic[customerID],customers[],2,FALSE)</f>
        <v>Consolidated Holdings</v>
      </c>
      <c r="D571" s="24">
        <v>44988.0</v>
      </c>
      <c r="E571" s="6">
        <f>IFERROR(__xludf.DUMMYFUNCTION("COUNTUNIQUEIFS($A$2:$A571,$B$2:$B571,B571)"),2.0)</f>
        <v>2</v>
      </c>
      <c r="F571" s="6">
        <f t="shared" si="1"/>
        <v>27</v>
      </c>
      <c r="G571" s="6" t="str">
        <f>IF(MINIFS(dynamic[orderDate], dynamic[customerID], B571) &gt;= DATE(2024,4,30)-120, 
     "New", 
     IF(MAXIFS(dynamic[orderCount], dynamic[customerID], B571)&lt;=2, 
        IF((DATE(2024,4,30) - MAXIFS(dynamic[orderDate], dynamic[customerID], B571)) &gt; 180, "Non-Returning", "Dormant"), 
        IF(AND(MAX(dynamic[sinceLastOrder]) &gt; 365, (DATE(2024,4,30) - MAXIFS(dynamic[orderDate], dynamic[customerID], B571)) &gt; 180), 
           "Dormant", "Regular")))</f>
        <v>Regular</v>
      </c>
      <c r="H571" s="6">
        <v>13.0</v>
      </c>
      <c r="I571" s="9" t="str">
        <f>VLOOKUP(dynamic[productID],products[],2,FALSE)</f>
        <v>Konbu</v>
      </c>
      <c r="J571" s="9" t="str">
        <f>VLOOKUP(dynamic[productID],products[],12,FALSE)</f>
        <v>Seafood</v>
      </c>
      <c r="K571" s="7" t="str">
        <f>IF(VLOOKUP(dynamic[productID],products[],7,FALSE)=1,"Discontinued","Current")</f>
        <v>Current</v>
      </c>
      <c r="L571" s="9">
        <f>VLOOKUP(dynamic[productID],products[],IF(YEAR(dynamic[orderDate])=2022,8,IF(YEAR(dynamic[orderDate])=2023,9,IF(YEAR(dynamic[orderDate])=2024,10,NA))),FALSE)</f>
        <v>3.865774949</v>
      </c>
      <c r="M571" s="9">
        <v>4.8</v>
      </c>
      <c r="N571" s="25">
        <f>(dynamic[orderPrice]-dynamic[productCost])/dynamic[productCost]</f>
        <v>0.2416656591</v>
      </c>
      <c r="O571" s="10">
        <v>1.0</v>
      </c>
      <c r="P571" s="25">
        <v>0.0</v>
      </c>
      <c r="Q571" s="9">
        <f>dynamic[orderPrice]*dynamic[orderQuantity]</f>
        <v>4.8</v>
      </c>
      <c r="R571" s="9">
        <f>dynamic[orderTotal]*(1-dynamic[discountApllied])</f>
        <v>4.8</v>
      </c>
      <c r="S571" s="9">
        <f>dynamic[revenue]-(dynamic[productCost]*dynamic[orderQuantity])</f>
        <v>0.9342250511</v>
      </c>
      <c r="T571" s="25">
        <f>IFERROR(dynamic[profit]/dynamic[revenue], 0)</f>
        <v>0.194630219</v>
      </c>
    </row>
    <row r="572" ht="15.75" customHeight="1">
      <c r="A572" s="6">
        <v>10462.0</v>
      </c>
      <c r="B572" s="7" t="s">
        <v>87</v>
      </c>
      <c r="C572" s="24" t="str">
        <f>VLOOKUP(dynamic[customerID],customers[],2,FALSE)</f>
        <v>Consolidated Holdings</v>
      </c>
      <c r="D572" s="24">
        <v>44988.0</v>
      </c>
      <c r="E572" s="6">
        <f>IFERROR(__xludf.DUMMYFUNCTION("COUNTUNIQUEIFS($A$2:$A572,$B$2:$B572,B572)"),2.0)</f>
        <v>2</v>
      </c>
      <c r="F572" s="6">
        <f t="shared" si="1"/>
        <v>27</v>
      </c>
      <c r="G572" s="6" t="str">
        <f>IF(MINIFS(dynamic[orderDate], dynamic[customerID], B572) &gt;= DATE(2024,4,30)-120, 
     "New", 
     IF(MAXIFS(dynamic[orderCount], dynamic[customerID], B572)&lt;=2, 
        IF((DATE(2024,4,30) - MAXIFS(dynamic[orderDate], dynamic[customerID], B572)) &gt; 180, "Non-Returning", "Dormant"), 
        IF(AND(MAX(dynamic[sinceLastOrder]) &gt; 365, (DATE(2024,4,30) - MAXIFS(dynamic[orderDate], dynamic[customerID], B572)) &gt; 180), 
           "Dormant", "Regular")))</f>
        <v>Regular</v>
      </c>
      <c r="H572" s="6">
        <v>23.0</v>
      </c>
      <c r="I572" s="9" t="str">
        <f>VLOOKUP(dynamic[productID],products[],2,FALSE)</f>
        <v>Tunnbröd</v>
      </c>
      <c r="J572" s="9" t="str">
        <f>VLOOKUP(dynamic[productID],products[],12,FALSE)</f>
        <v>Grains/Cereals</v>
      </c>
      <c r="K572" s="7" t="str">
        <f>IF(VLOOKUP(dynamic[productID],products[],7,FALSE)=1,"Discontinued","Current")</f>
        <v>Current</v>
      </c>
      <c r="L572" s="9">
        <f>VLOOKUP(dynamic[productID],products[],IF(YEAR(dynamic[orderDate])=2022,8,IF(YEAR(dynamic[orderDate])=2023,9,IF(YEAR(dynamic[orderDate])=2024,10,NA))),FALSE)</f>
        <v>5.989059129</v>
      </c>
      <c r="M572" s="9">
        <v>7.2</v>
      </c>
      <c r="N572" s="25">
        <f>(dynamic[orderPrice]-dynamic[productCost])/dynamic[productCost]</f>
        <v>0.2021921717</v>
      </c>
      <c r="O572" s="10">
        <v>21.0</v>
      </c>
      <c r="P572" s="25">
        <v>0.0</v>
      </c>
      <c r="Q572" s="9">
        <f>dynamic[orderPrice]*dynamic[orderQuantity]</f>
        <v>151.2</v>
      </c>
      <c r="R572" s="9">
        <f>dynamic[orderTotal]*(1-dynamic[discountApllied])</f>
        <v>151.2</v>
      </c>
      <c r="S572" s="9">
        <f>dynamic[revenue]-(dynamic[productCost]*dynamic[orderQuantity])</f>
        <v>25.4297583</v>
      </c>
      <c r="T572" s="25">
        <f>IFERROR(dynamic[profit]/dynamic[revenue], 0)</f>
        <v>0.1681862321</v>
      </c>
    </row>
    <row r="573" ht="15.75" customHeight="1">
      <c r="A573" s="6">
        <v>10463.0</v>
      </c>
      <c r="B573" s="7" t="s">
        <v>19</v>
      </c>
      <c r="C573" s="24" t="str">
        <f>VLOOKUP(dynamic[customerID],customers[],2,FALSE)</f>
        <v>Suprêmes délices</v>
      </c>
      <c r="D573" s="24">
        <v>44989.0</v>
      </c>
      <c r="E573" s="6">
        <f>IFERROR(__xludf.DUMMYFUNCTION("COUNTUNIQUEIFS($A$2:$A573,$B$2:$B573,B573)"),4.0)</f>
        <v>4</v>
      </c>
      <c r="F573" s="6">
        <f t="shared" si="1"/>
        <v>6</v>
      </c>
      <c r="G573" s="6" t="str">
        <f>IF(MINIFS(dynamic[orderDate], dynamic[customerID], B573) &gt;= DATE(2024,4,30)-120, 
     "New", 
     IF(MAXIFS(dynamic[orderCount], dynamic[customerID], B573)&lt;=2, 
        IF((DATE(2024,4,30) - MAXIFS(dynamic[orderDate], dynamic[customerID], B573)) &gt; 180, "Non-Returning", "Dormant"), 
        IF(AND(MAX(dynamic[sinceLastOrder]) &gt; 365, (DATE(2024,4,30) - MAXIFS(dynamic[orderDate], dynamic[customerID], B573)) &gt; 180), 
           "Dormant", "Regular")))</f>
        <v>Regular</v>
      </c>
      <c r="H573" s="6">
        <v>19.0</v>
      </c>
      <c r="I573" s="9" t="str">
        <f>VLOOKUP(dynamic[productID],products[],2,FALSE)</f>
        <v>Teatime Chocolate Biscuits</v>
      </c>
      <c r="J573" s="9" t="str">
        <f>VLOOKUP(dynamic[productID],products[],12,FALSE)</f>
        <v>Confections</v>
      </c>
      <c r="K573" s="7" t="str">
        <f>IF(VLOOKUP(dynamic[productID],products[],7,FALSE)=1,"Discontinued","Current")</f>
        <v>Current</v>
      </c>
      <c r="L573" s="9">
        <f>VLOOKUP(dynamic[productID],products[],IF(YEAR(dynamic[orderDate])=2022,8,IF(YEAR(dynamic[orderDate])=2023,9,IF(YEAR(dynamic[orderDate])=2024,10,NA))),FALSE)</f>
        <v>5.901883682</v>
      </c>
      <c r="M573" s="9">
        <v>7.3</v>
      </c>
      <c r="N573" s="25">
        <f>(dynamic[orderPrice]-dynamic[productCost])/dynamic[productCost]</f>
        <v>0.2368932349</v>
      </c>
      <c r="O573" s="10">
        <v>21.0</v>
      </c>
      <c r="P573" s="25">
        <v>0.0</v>
      </c>
      <c r="Q573" s="9">
        <f>dynamic[orderPrice]*dynamic[orderQuantity]</f>
        <v>153.3</v>
      </c>
      <c r="R573" s="9">
        <f>dynamic[orderTotal]*(1-dynamic[discountApllied])</f>
        <v>153.3</v>
      </c>
      <c r="S573" s="9">
        <f>dynamic[revenue]-(dynamic[productCost]*dynamic[orderQuantity])</f>
        <v>29.36044267</v>
      </c>
      <c r="T573" s="25">
        <f>IFERROR(dynamic[profit]/dynamic[revenue], 0)</f>
        <v>0.1915227832</v>
      </c>
    </row>
    <row r="574" ht="15.75" customHeight="1">
      <c r="A574" s="6">
        <v>10463.0</v>
      </c>
      <c r="B574" s="7" t="s">
        <v>19</v>
      </c>
      <c r="C574" s="24" t="str">
        <f>VLOOKUP(dynamic[customerID],customers[],2,FALSE)</f>
        <v>Suprêmes délices</v>
      </c>
      <c r="D574" s="24">
        <v>44989.0</v>
      </c>
      <c r="E574" s="6">
        <f>IFERROR(__xludf.DUMMYFUNCTION("COUNTUNIQUEIFS($A$2:$A574,$B$2:$B574,B574)"),4.0)</f>
        <v>4</v>
      </c>
      <c r="F574" s="6">
        <f t="shared" si="1"/>
        <v>6</v>
      </c>
      <c r="G574" s="6" t="str">
        <f>IF(MINIFS(dynamic[orderDate], dynamic[customerID], B574) &gt;= DATE(2024,4,30)-120, 
     "New", 
     IF(MAXIFS(dynamic[orderCount], dynamic[customerID], B574)&lt;=2, 
        IF((DATE(2024,4,30) - MAXIFS(dynamic[orderDate], dynamic[customerID], B574)) &gt; 180, "Non-Returning", "Dormant"), 
        IF(AND(MAX(dynamic[sinceLastOrder]) &gt; 365, (DATE(2024,4,30) - MAXIFS(dynamic[orderDate], dynamic[customerID], B574)) &gt; 180), 
           "Dormant", "Regular")))</f>
        <v>Regular</v>
      </c>
      <c r="H574" s="6">
        <v>42.0</v>
      </c>
      <c r="I574" s="9" t="str">
        <f>VLOOKUP(dynamic[productID],products[],2,FALSE)</f>
        <v>Singaporean Hokkien Fried Mee</v>
      </c>
      <c r="J574" s="9" t="str">
        <f>VLOOKUP(dynamic[productID],products[],12,FALSE)</f>
        <v>Grains/Cereals</v>
      </c>
      <c r="K574" s="7" t="str">
        <f>IF(VLOOKUP(dynamic[productID],products[],7,FALSE)=1,"Discontinued","Current")</f>
        <v>Discontinued</v>
      </c>
      <c r="L574" s="9">
        <f>VLOOKUP(dynamic[productID],products[],IF(YEAR(dynamic[orderDate])=2022,8,IF(YEAR(dynamic[orderDate])=2023,9,IF(YEAR(dynamic[orderDate])=2024,10,NA))),FALSE)</f>
        <v>9.105641621</v>
      </c>
      <c r="M574" s="9">
        <v>11.2</v>
      </c>
      <c r="N574" s="25">
        <f>(dynamic[orderPrice]-dynamic[productCost])/dynamic[productCost]</f>
        <v>0.2300066779</v>
      </c>
      <c r="O574" s="10">
        <v>50.0</v>
      </c>
      <c r="P574" s="25">
        <v>0.0</v>
      </c>
      <c r="Q574" s="9">
        <f>dynamic[orderPrice]*dynamic[orderQuantity]</f>
        <v>560</v>
      </c>
      <c r="R574" s="9">
        <f>dynamic[orderTotal]*(1-dynamic[discountApllied])</f>
        <v>560</v>
      </c>
      <c r="S574" s="9">
        <f>dynamic[revenue]-(dynamic[productCost]*dynamic[orderQuantity])</f>
        <v>104.717919</v>
      </c>
      <c r="T574" s="25">
        <f>IFERROR(dynamic[profit]/dynamic[revenue], 0)</f>
        <v>0.1869962839</v>
      </c>
    </row>
    <row r="575" ht="15.75" customHeight="1">
      <c r="A575" s="6">
        <v>10464.0</v>
      </c>
      <c r="B575" s="7" t="s">
        <v>62</v>
      </c>
      <c r="C575" s="24" t="str">
        <f>VLOOKUP(dynamic[customerID],customers[],2,FALSE)</f>
        <v>Furia Bacalhau e Frutos do Mar</v>
      </c>
      <c r="D575" s="24">
        <v>44989.0</v>
      </c>
      <c r="E575" s="6">
        <f>IFERROR(__xludf.DUMMYFUNCTION("COUNTUNIQUEIFS($A$2:$A575,$B$2:$B575,B575)"),3.0)</f>
        <v>3</v>
      </c>
      <c r="F575" s="6">
        <f t="shared" si="1"/>
        <v>112</v>
      </c>
      <c r="G575" s="6" t="str">
        <f>IF(MINIFS(dynamic[orderDate], dynamic[customerID], B575) &gt;= DATE(2024,4,30)-120, 
     "New", 
     IF(MAXIFS(dynamic[orderCount], dynamic[customerID], B575)&lt;=2, 
        IF((DATE(2024,4,30) - MAXIFS(dynamic[orderDate], dynamic[customerID], B575)) &gt; 180, "Non-Returning", "Dormant"), 
        IF(AND(MAX(dynamic[sinceLastOrder]) &gt; 365, (DATE(2024,4,30) - MAXIFS(dynamic[orderDate], dynamic[customerID], B575)) &gt; 180), 
           "Dormant", "Regular")))</f>
        <v>Regular</v>
      </c>
      <c r="H575" s="6">
        <v>4.0</v>
      </c>
      <c r="I575" s="9" t="str">
        <f>VLOOKUP(dynamic[productID],products[],2,FALSE)</f>
        <v>Chef Anton's Cajun Seasoning</v>
      </c>
      <c r="J575" s="9" t="str">
        <f>VLOOKUP(dynamic[productID],products[],12,FALSE)</f>
        <v>Condiments</v>
      </c>
      <c r="K575" s="7" t="str">
        <f>IF(VLOOKUP(dynamic[productID],products[],7,FALSE)=1,"Discontinued","Current")</f>
        <v>Current</v>
      </c>
      <c r="L575" s="9">
        <f>VLOOKUP(dynamic[productID],products[],IF(YEAR(dynamic[orderDate])=2022,8,IF(YEAR(dynamic[orderDate])=2023,9,IF(YEAR(dynamic[orderDate])=2024,10,NA))),FALSE)</f>
        <v>13.81047124</v>
      </c>
      <c r="M575" s="9">
        <v>17.6</v>
      </c>
      <c r="N575" s="25">
        <f>(dynamic[orderPrice]-dynamic[productCost])/dynamic[productCost]</f>
        <v>0.2743953262</v>
      </c>
      <c r="O575" s="10">
        <v>16.0</v>
      </c>
      <c r="P575" s="25">
        <v>0.2</v>
      </c>
      <c r="Q575" s="9">
        <f>dynamic[orderPrice]*dynamic[orderQuantity]</f>
        <v>281.6</v>
      </c>
      <c r="R575" s="9">
        <f>dynamic[orderTotal]*(1-dynamic[discountApllied])</f>
        <v>225.28</v>
      </c>
      <c r="S575" s="9">
        <f>dynamic[revenue]-(dynamic[productCost]*dynamic[orderQuantity])</f>
        <v>4.312460165</v>
      </c>
      <c r="T575" s="25">
        <f>IFERROR(dynamic[profit]/dynamic[revenue], 0)</f>
        <v>0.01914266764</v>
      </c>
    </row>
    <row r="576" ht="15.75" customHeight="1">
      <c r="A576" s="6">
        <v>10464.0</v>
      </c>
      <c r="B576" s="7" t="s">
        <v>62</v>
      </c>
      <c r="C576" s="24" t="str">
        <f>VLOOKUP(dynamic[customerID],customers[],2,FALSE)</f>
        <v>Furia Bacalhau e Frutos do Mar</v>
      </c>
      <c r="D576" s="24">
        <v>44989.0</v>
      </c>
      <c r="E576" s="6">
        <f>IFERROR(__xludf.DUMMYFUNCTION("COUNTUNIQUEIFS($A$2:$A576,$B$2:$B576,B576)"),3.0)</f>
        <v>3</v>
      </c>
      <c r="F576" s="6">
        <f t="shared" si="1"/>
        <v>112</v>
      </c>
      <c r="G576" s="6" t="str">
        <f>IF(MINIFS(dynamic[orderDate], dynamic[customerID], B576) &gt;= DATE(2024,4,30)-120, 
     "New", 
     IF(MAXIFS(dynamic[orderCount], dynamic[customerID], B576)&lt;=2, 
        IF((DATE(2024,4,30) - MAXIFS(dynamic[orderDate], dynamic[customerID], B576)) &gt; 180, "Non-Returning", "Dormant"), 
        IF(AND(MAX(dynamic[sinceLastOrder]) &gt; 365, (DATE(2024,4,30) - MAXIFS(dynamic[orderDate], dynamic[customerID], B576)) &gt; 180), 
           "Dormant", "Regular")))</f>
        <v>Regular</v>
      </c>
      <c r="H576" s="6">
        <v>43.0</v>
      </c>
      <c r="I576" s="9" t="str">
        <f>VLOOKUP(dynamic[productID],products[],2,FALSE)</f>
        <v>Ipoh Coffee</v>
      </c>
      <c r="J576" s="9" t="str">
        <f>VLOOKUP(dynamic[productID],products[],12,FALSE)</f>
        <v>Beverages</v>
      </c>
      <c r="K576" s="7" t="str">
        <f>IF(VLOOKUP(dynamic[productID],products[],7,FALSE)=1,"Discontinued","Current")</f>
        <v>Current</v>
      </c>
      <c r="L576" s="9">
        <f>VLOOKUP(dynamic[productID],products[],IF(YEAR(dynamic[orderDate])=2022,8,IF(YEAR(dynamic[orderDate])=2023,9,IF(YEAR(dynamic[orderDate])=2024,10,NA))),FALSE)</f>
        <v>30.96256564</v>
      </c>
      <c r="M576" s="9">
        <v>36.8</v>
      </c>
      <c r="N576" s="25">
        <f>(dynamic[orderPrice]-dynamic[productCost])/dynamic[productCost]</f>
        <v>0.1885319981</v>
      </c>
      <c r="O576" s="10">
        <v>3.0</v>
      </c>
      <c r="P576" s="25">
        <v>0.0</v>
      </c>
      <c r="Q576" s="9">
        <f>dynamic[orderPrice]*dynamic[orderQuantity]</f>
        <v>110.4</v>
      </c>
      <c r="R576" s="9">
        <f>dynamic[orderTotal]*(1-dynamic[discountApllied])</f>
        <v>110.4</v>
      </c>
      <c r="S576" s="9">
        <f>dynamic[revenue]-(dynamic[productCost]*dynamic[orderQuantity])</f>
        <v>17.51230309</v>
      </c>
      <c r="T576" s="25">
        <f>IFERROR(dynamic[profit]/dynamic[revenue], 0)</f>
        <v>0.1586259338</v>
      </c>
    </row>
    <row r="577" ht="15.75" customHeight="1">
      <c r="A577" s="6">
        <v>10464.0</v>
      </c>
      <c r="B577" s="7" t="s">
        <v>62</v>
      </c>
      <c r="C577" s="24" t="str">
        <f>VLOOKUP(dynamic[customerID],customers[],2,FALSE)</f>
        <v>Furia Bacalhau e Frutos do Mar</v>
      </c>
      <c r="D577" s="24">
        <v>44989.0</v>
      </c>
      <c r="E577" s="6">
        <f>IFERROR(__xludf.DUMMYFUNCTION("COUNTUNIQUEIFS($A$2:$A577,$B$2:$B577,B577)"),3.0)</f>
        <v>3</v>
      </c>
      <c r="F577" s="6">
        <f t="shared" si="1"/>
        <v>112</v>
      </c>
      <c r="G577" s="6" t="str">
        <f>IF(MINIFS(dynamic[orderDate], dynamic[customerID], B577) &gt;= DATE(2024,4,30)-120, 
     "New", 
     IF(MAXIFS(dynamic[orderCount], dynamic[customerID], B577)&lt;=2, 
        IF((DATE(2024,4,30) - MAXIFS(dynamic[orderDate], dynamic[customerID], B577)) &gt; 180, "Non-Returning", "Dormant"), 
        IF(AND(MAX(dynamic[sinceLastOrder]) &gt; 365, (DATE(2024,4,30) - MAXIFS(dynamic[orderDate], dynamic[customerID], B577)) &gt; 180), 
           "Dormant", "Regular")))</f>
        <v>Regular</v>
      </c>
      <c r="H577" s="6">
        <v>56.0</v>
      </c>
      <c r="I577" s="9" t="str">
        <f>VLOOKUP(dynamic[productID],products[],2,FALSE)</f>
        <v>Gnocchi di nonna Alice</v>
      </c>
      <c r="J577" s="9" t="str">
        <f>VLOOKUP(dynamic[productID],products[],12,FALSE)</f>
        <v>Grains/Cereals</v>
      </c>
      <c r="K577" s="7" t="str">
        <f>IF(VLOOKUP(dynamic[productID],products[],7,FALSE)=1,"Discontinued","Current")</f>
        <v>Current</v>
      </c>
      <c r="L577" s="9">
        <f>VLOOKUP(dynamic[productID],products[],IF(YEAR(dynamic[orderDate])=2022,8,IF(YEAR(dynamic[orderDate])=2023,9,IF(YEAR(dynamic[orderDate])=2024,10,NA))),FALSE)</f>
        <v>24.28342441</v>
      </c>
      <c r="M577" s="9">
        <v>30.4</v>
      </c>
      <c r="N577" s="25">
        <f>(dynamic[orderPrice]-dynamic[productCost])/dynamic[productCost]</f>
        <v>0.2518827447</v>
      </c>
      <c r="O577" s="10">
        <v>30.0</v>
      </c>
      <c r="P577" s="25">
        <v>0.2</v>
      </c>
      <c r="Q577" s="9">
        <f>dynamic[orderPrice]*dynamic[orderQuantity]</f>
        <v>912</v>
      </c>
      <c r="R577" s="9">
        <f>dynamic[orderTotal]*(1-dynamic[discountApllied])</f>
        <v>729.6</v>
      </c>
      <c r="S577" s="9">
        <f>dynamic[revenue]-(dynamic[productCost]*dynamic[orderQuantity])</f>
        <v>1.097267754</v>
      </c>
      <c r="T577" s="25">
        <f>IFERROR(dynamic[profit]/dynamic[revenue], 0)</f>
        <v>0.001503930584</v>
      </c>
    </row>
    <row r="578" ht="15.75" customHeight="1">
      <c r="A578" s="6">
        <v>10464.0</v>
      </c>
      <c r="B578" s="7" t="s">
        <v>62</v>
      </c>
      <c r="C578" s="24" t="str">
        <f>VLOOKUP(dynamic[customerID],customers[],2,FALSE)</f>
        <v>Furia Bacalhau e Frutos do Mar</v>
      </c>
      <c r="D578" s="24">
        <v>44989.0</v>
      </c>
      <c r="E578" s="6">
        <f>IFERROR(__xludf.DUMMYFUNCTION("COUNTUNIQUEIFS($A$2:$A578,$B$2:$B578,B578)"),3.0)</f>
        <v>3</v>
      </c>
      <c r="F578" s="6">
        <f t="shared" si="1"/>
        <v>112</v>
      </c>
      <c r="G578" s="6" t="str">
        <f>IF(MINIFS(dynamic[orderDate], dynamic[customerID], B578) &gt;= DATE(2024,4,30)-120, 
     "New", 
     IF(MAXIFS(dynamic[orderCount], dynamic[customerID], B578)&lt;=2, 
        IF((DATE(2024,4,30) - MAXIFS(dynamic[orderDate], dynamic[customerID], B578)) &gt; 180, "Non-Returning", "Dormant"), 
        IF(AND(MAX(dynamic[sinceLastOrder]) &gt; 365, (DATE(2024,4,30) - MAXIFS(dynamic[orderDate], dynamic[customerID], B578)) &gt; 180), 
           "Dormant", "Regular")))</f>
        <v>Regular</v>
      </c>
      <c r="H578" s="6">
        <v>60.0</v>
      </c>
      <c r="I578" s="9" t="str">
        <f>VLOOKUP(dynamic[productID],products[],2,FALSE)</f>
        <v>Camembert Pierrot</v>
      </c>
      <c r="J578" s="9" t="str">
        <f>VLOOKUP(dynamic[productID],products[],12,FALSE)</f>
        <v>Dairy Products</v>
      </c>
      <c r="K578" s="7" t="str">
        <f>IF(VLOOKUP(dynamic[productID],products[],7,FALSE)=1,"Discontinued","Current")</f>
        <v>Current</v>
      </c>
      <c r="L578" s="9">
        <f>VLOOKUP(dynamic[productID],products[],IF(YEAR(dynamic[orderDate])=2022,8,IF(YEAR(dynamic[orderDate])=2023,9,IF(YEAR(dynamic[orderDate])=2024,10,NA))),FALSE)</f>
        <v>22.77098295</v>
      </c>
      <c r="M578" s="9">
        <v>27.2</v>
      </c>
      <c r="N578" s="25">
        <f>(dynamic[orderPrice]-dynamic[productCost])/dynamic[productCost]</f>
        <v>0.1945026732</v>
      </c>
      <c r="O578" s="10">
        <v>20.0</v>
      </c>
      <c r="P578" s="25">
        <v>0.0</v>
      </c>
      <c r="Q578" s="9">
        <f>dynamic[orderPrice]*dynamic[orderQuantity]</f>
        <v>544</v>
      </c>
      <c r="R578" s="9">
        <f>dynamic[orderTotal]*(1-dynamic[discountApllied])</f>
        <v>544</v>
      </c>
      <c r="S578" s="9">
        <f>dynamic[revenue]-(dynamic[productCost]*dynamic[orderQuantity])</f>
        <v>88.58034108</v>
      </c>
      <c r="T578" s="25">
        <f>IFERROR(dynamic[profit]/dynamic[revenue], 0)</f>
        <v>0.1628315093</v>
      </c>
    </row>
    <row r="579" ht="15.75" customHeight="1">
      <c r="A579" s="6">
        <v>10465.0</v>
      </c>
      <c r="B579" s="7" t="s">
        <v>76</v>
      </c>
      <c r="C579" s="24" t="str">
        <f>VLOOKUP(dynamic[customerID],customers[],2,FALSE)</f>
        <v>Vaffeljernet</v>
      </c>
      <c r="D579" s="24">
        <v>44990.0</v>
      </c>
      <c r="E579" s="6">
        <f>IFERROR(__xludf.DUMMYFUNCTION("COUNTUNIQUEIFS($A$2:$A579,$B$2:$B579,B579)"),3.0)</f>
        <v>3</v>
      </c>
      <c r="F579" s="6">
        <f t="shared" si="1"/>
        <v>64</v>
      </c>
      <c r="G579" s="6" t="str">
        <f>IF(MINIFS(dynamic[orderDate], dynamic[customerID], B579) &gt;= DATE(2024,4,30)-120, 
     "New", 
     IF(MAXIFS(dynamic[orderCount], dynamic[customerID], B579)&lt;=2, 
        IF((DATE(2024,4,30) - MAXIFS(dynamic[orderDate], dynamic[customerID], B579)) &gt; 180, "Non-Returning", "Dormant"), 
        IF(AND(MAX(dynamic[sinceLastOrder]) &gt; 365, (DATE(2024,4,30) - MAXIFS(dynamic[orderDate], dynamic[customerID], B579)) &gt; 180), 
           "Dormant", "Regular")))</f>
        <v>Regular</v>
      </c>
      <c r="H579" s="6">
        <v>24.0</v>
      </c>
      <c r="I579" s="9" t="str">
        <f>VLOOKUP(dynamic[productID],products[],2,FALSE)</f>
        <v>Brigadeiros Maravilhosos da Lilian</v>
      </c>
      <c r="J579" s="9" t="str">
        <f>VLOOKUP(dynamic[productID],products[],12,FALSE)</f>
        <v>Confections</v>
      </c>
      <c r="K579" s="7" t="str">
        <f>IF(VLOOKUP(dynamic[productID],products[],7,FALSE)=1,"Discontinued","Current")</f>
        <v>Discontinued</v>
      </c>
      <c r="L579" s="9">
        <f>VLOOKUP(dynamic[productID],products[],IF(YEAR(dynamic[orderDate])=2022,8,IF(YEAR(dynamic[orderDate])=2023,9,IF(YEAR(dynamic[orderDate])=2024,10,NA))),FALSE)</f>
        <v>3.131783363</v>
      </c>
      <c r="M579" s="9">
        <v>3.6</v>
      </c>
      <c r="N579" s="25">
        <f>(dynamic[orderPrice]-dynamic[productCost])/dynamic[productCost]</f>
        <v>0.1495047974</v>
      </c>
      <c r="O579" s="10">
        <v>25.0</v>
      </c>
      <c r="P579" s="25">
        <v>0.0</v>
      </c>
      <c r="Q579" s="9">
        <f>dynamic[orderPrice]*dynamic[orderQuantity]</f>
        <v>90</v>
      </c>
      <c r="R579" s="9">
        <f>dynamic[orderTotal]*(1-dynamic[discountApllied])</f>
        <v>90</v>
      </c>
      <c r="S579" s="9">
        <f>dynamic[revenue]-(dynamic[productCost]*dynamic[orderQuantity])</f>
        <v>11.70541593</v>
      </c>
      <c r="T579" s="25">
        <f>IFERROR(dynamic[profit]/dynamic[revenue], 0)</f>
        <v>0.130060177</v>
      </c>
    </row>
    <row r="580" ht="15.75" customHeight="1">
      <c r="A580" s="6">
        <v>10465.0</v>
      </c>
      <c r="B580" s="7" t="s">
        <v>76</v>
      </c>
      <c r="C580" s="24" t="str">
        <f>VLOOKUP(dynamic[customerID],customers[],2,FALSE)</f>
        <v>Vaffeljernet</v>
      </c>
      <c r="D580" s="24">
        <v>44990.0</v>
      </c>
      <c r="E580" s="6">
        <f>IFERROR(__xludf.DUMMYFUNCTION("COUNTUNIQUEIFS($A$2:$A580,$B$2:$B580,B580)"),3.0)</f>
        <v>3</v>
      </c>
      <c r="F580" s="6">
        <f t="shared" si="1"/>
        <v>64</v>
      </c>
      <c r="G580" s="6" t="str">
        <f>IF(MINIFS(dynamic[orderDate], dynamic[customerID], B580) &gt;= DATE(2024,4,30)-120, 
     "New", 
     IF(MAXIFS(dynamic[orderCount], dynamic[customerID], B580)&lt;=2, 
        IF((DATE(2024,4,30) - MAXIFS(dynamic[orderDate], dynamic[customerID], B580)) &gt; 180, "Non-Returning", "Dormant"), 
        IF(AND(MAX(dynamic[sinceLastOrder]) &gt; 365, (DATE(2024,4,30) - MAXIFS(dynamic[orderDate], dynamic[customerID], B580)) &gt; 180), 
           "Dormant", "Regular")))</f>
        <v>Regular</v>
      </c>
      <c r="H580" s="6">
        <v>29.0</v>
      </c>
      <c r="I580" s="9" t="str">
        <f>VLOOKUP(dynamic[productID],products[],2,FALSE)</f>
        <v>Thüringer Rostbratwurst</v>
      </c>
      <c r="J580" s="9" t="str">
        <f>VLOOKUP(dynamic[productID],products[],12,FALSE)</f>
        <v>Meat/Poultry</v>
      </c>
      <c r="K580" s="7" t="str">
        <f>IF(VLOOKUP(dynamic[productID],products[],7,FALSE)=1,"Discontinued","Current")</f>
        <v>Discontinued</v>
      </c>
      <c r="L580" s="9">
        <f>VLOOKUP(dynamic[productID],products[],IF(YEAR(dynamic[orderDate])=2022,8,IF(YEAR(dynamic[orderDate])=2023,9,IF(YEAR(dynamic[orderDate])=2024,10,NA))),FALSE)</f>
        <v>80.85619497</v>
      </c>
      <c r="M580" s="9">
        <v>99.0</v>
      </c>
      <c r="N580" s="25">
        <f>(dynamic[orderPrice]-dynamic[productCost])/dynamic[productCost]</f>
        <v>0.224395979</v>
      </c>
      <c r="O580" s="10">
        <v>18.0</v>
      </c>
      <c r="P580" s="25">
        <v>0.1</v>
      </c>
      <c r="Q580" s="9">
        <f>dynamic[orderPrice]*dynamic[orderQuantity]</f>
        <v>1782</v>
      </c>
      <c r="R580" s="9">
        <f>dynamic[orderTotal]*(1-dynamic[discountApllied])</f>
        <v>1603.8</v>
      </c>
      <c r="S580" s="9">
        <f>dynamic[revenue]-(dynamic[productCost]*dynamic[orderQuantity])</f>
        <v>148.3884905</v>
      </c>
      <c r="T580" s="25">
        <f>IFERROR(dynamic[profit]/dynamic[revenue], 0)</f>
        <v>0.09252306431</v>
      </c>
    </row>
    <row r="581" ht="15.75" customHeight="1">
      <c r="A581" s="6">
        <v>10465.0</v>
      </c>
      <c r="B581" s="7" t="s">
        <v>76</v>
      </c>
      <c r="C581" s="24" t="str">
        <f>VLOOKUP(dynamic[customerID],customers[],2,FALSE)</f>
        <v>Vaffeljernet</v>
      </c>
      <c r="D581" s="24">
        <v>44990.0</v>
      </c>
      <c r="E581" s="6">
        <f>IFERROR(__xludf.DUMMYFUNCTION("COUNTUNIQUEIFS($A$2:$A581,$B$2:$B581,B581)"),3.0)</f>
        <v>3</v>
      </c>
      <c r="F581" s="6">
        <f t="shared" si="1"/>
        <v>64</v>
      </c>
      <c r="G581" s="6" t="str">
        <f>IF(MINIFS(dynamic[orderDate], dynamic[customerID], B581) &gt;= DATE(2024,4,30)-120, 
     "New", 
     IF(MAXIFS(dynamic[orderCount], dynamic[customerID], B581)&lt;=2, 
        IF((DATE(2024,4,30) - MAXIFS(dynamic[orderDate], dynamic[customerID], B581)) &gt; 180, "Non-Returning", "Dormant"), 
        IF(AND(MAX(dynamic[sinceLastOrder]) &gt; 365, (DATE(2024,4,30) - MAXIFS(dynamic[orderDate], dynamic[customerID], B581)) &gt; 180), 
           "Dormant", "Regular")))</f>
        <v>Regular</v>
      </c>
      <c r="H581" s="6">
        <v>40.0</v>
      </c>
      <c r="I581" s="9" t="str">
        <f>VLOOKUP(dynamic[productID],products[],2,FALSE)</f>
        <v>Boston Crab Meat</v>
      </c>
      <c r="J581" s="9" t="str">
        <f>VLOOKUP(dynamic[productID],products[],12,FALSE)</f>
        <v>Seafood</v>
      </c>
      <c r="K581" s="7" t="str">
        <f>IF(VLOOKUP(dynamic[productID],products[],7,FALSE)=1,"Discontinued","Current")</f>
        <v>Current</v>
      </c>
      <c r="L581" s="9">
        <f>VLOOKUP(dynamic[productID],products[],IF(YEAR(dynamic[orderDate])=2022,8,IF(YEAR(dynamic[orderDate])=2023,9,IF(YEAR(dynamic[orderDate])=2024,10,NA))),FALSE)</f>
        <v>11.40496523</v>
      </c>
      <c r="M581" s="9">
        <v>14.7</v>
      </c>
      <c r="N581" s="25">
        <f>(dynamic[orderPrice]-dynamic[productCost])/dynamic[productCost]</f>
        <v>0.2889123033</v>
      </c>
      <c r="O581" s="10">
        <v>20.0</v>
      </c>
      <c r="P581" s="25">
        <v>0.0</v>
      </c>
      <c r="Q581" s="9">
        <f>dynamic[orderPrice]*dynamic[orderQuantity]</f>
        <v>294</v>
      </c>
      <c r="R581" s="9">
        <f>dynamic[orderTotal]*(1-dynamic[discountApllied])</f>
        <v>294</v>
      </c>
      <c r="S581" s="9">
        <f>dynamic[revenue]-(dynamic[productCost]*dynamic[orderQuantity])</f>
        <v>65.90069546</v>
      </c>
      <c r="T581" s="25">
        <f>IFERROR(dynamic[profit]/dynamic[revenue], 0)</f>
        <v>0.2241520254</v>
      </c>
    </row>
    <row r="582" ht="15.75" customHeight="1">
      <c r="A582" s="6">
        <v>10465.0</v>
      </c>
      <c r="B582" s="7" t="s">
        <v>76</v>
      </c>
      <c r="C582" s="24" t="str">
        <f>VLOOKUP(dynamic[customerID],customers[],2,FALSE)</f>
        <v>Vaffeljernet</v>
      </c>
      <c r="D582" s="24">
        <v>44990.0</v>
      </c>
      <c r="E582" s="6">
        <f>IFERROR(__xludf.DUMMYFUNCTION("COUNTUNIQUEIFS($A$2:$A582,$B$2:$B582,B582)"),3.0)</f>
        <v>3</v>
      </c>
      <c r="F582" s="6">
        <f t="shared" si="1"/>
        <v>64</v>
      </c>
      <c r="G582" s="6" t="str">
        <f>IF(MINIFS(dynamic[orderDate], dynamic[customerID], B582) &gt;= DATE(2024,4,30)-120, 
     "New", 
     IF(MAXIFS(dynamic[orderCount], dynamic[customerID], B582)&lt;=2, 
        IF((DATE(2024,4,30) - MAXIFS(dynamic[orderDate], dynamic[customerID], B582)) &gt; 180, "Non-Returning", "Dormant"), 
        IF(AND(MAX(dynamic[sinceLastOrder]) &gt; 365, (DATE(2024,4,30) - MAXIFS(dynamic[orderDate], dynamic[customerID], B582)) &gt; 180), 
           "Dormant", "Regular")))</f>
        <v>Regular</v>
      </c>
      <c r="H582" s="6">
        <v>45.0</v>
      </c>
      <c r="I582" s="9" t="str">
        <f>VLOOKUP(dynamic[productID],products[],2,FALSE)</f>
        <v>Rogede sild</v>
      </c>
      <c r="J582" s="9" t="str">
        <f>VLOOKUP(dynamic[productID],products[],12,FALSE)</f>
        <v>Seafood</v>
      </c>
      <c r="K582" s="7" t="str">
        <f>IF(VLOOKUP(dynamic[productID],products[],7,FALSE)=1,"Discontinued","Current")</f>
        <v>Current</v>
      </c>
      <c r="L582" s="9">
        <f>VLOOKUP(dynamic[productID],products[],IF(YEAR(dynamic[orderDate])=2022,8,IF(YEAR(dynamic[orderDate])=2023,9,IF(YEAR(dynamic[orderDate])=2024,10,NA))),FALSE)</f>
        <v>5.965769822</v>
      </c>
      <c r="M582" s="9">
        <v>7.6</v>
      </c>
      <c r="N582" s="25">
        <f>(dynamic[orderPrice]-dynamic[productCost])/dynamic[productCost]</f>
        <v>0.2739345008</v>
      </c>
      <c r="O582" s="10">
        <v>30.0</v>
      </c>
      <c r="P582" s="25">
        <v>0.1</v>
      </c>
      <c r="Q582" s="9">
        <f>dynamic[orderPrice]*dynamic[orderQuantity]</f>
        <v>228</v>
      </c>
      <c r="R582" s="9">
        <f>dynamic[orderTotal]*(1-dynamic[discountApllied])</f>
        <v>205.2</v>
      </c>
      <c r="S582" s="9">
        <f>dynamic[revenue]-(dynamic[productCost]*dynamic[orderQuantity])</f>
        <v>26.22690535</v>
      </c>
      <c r="T582" s="25">
        <f>IFERROR(dynamic[profit]/dynamic[revenue], 0)</f>
        <v>0.1278114296</v>
      </c>
    </row>
    <row r="583" ht="15.75" customHeight="1">
      <c r="A583" s="6">
        <v>10465.0</v>
      </c>
      <c r="B583" s="7" t="s">
        <v>76</v>
      </c>
      <c r="C583" s="24" t="str">
        <f>VLOOKUP(dynamic[customerID],customers[],2,FALSE)</f>
        <v>Vaffeljernet</v>
      </c>
      <c r="D583" s="24">
        <v>44990.0</v>
      </c>
      <c r="E583" s="6">
        <f>IFERROR(__xludf.DUMMYFUNCTION("COUNTUNIQUEIFS($A$2:$A583,$B$2:$B583,B583)"),3.0)</f>
        <v>3</v>
      </c>
      <c r="F583" s="6">
        <f t="shared" si="1"/>
        <v>64</v>
      </c>
      <c r="G583" s="6" t="str">
        <f>IF(MINIFS(dynamic[orderDate], dynamic[customerID], B583) &gt;= DATE(2024,4,30)-120, 
     "New", 
     IF(MAXIFS(dynamic[orderCount], dynamic[customerID], B583)&lt;=2, 
        IF((DATE(2024,4,30) - MAXIFS(dynamic[orderDate], dynamic[customerID], B583)) &gt; 180, "Non-Returning", "Dormant"), 
        IF(AND(MAX(dynamic[sinceLastOrder]) &gt; 365, (DATE(2024,4,30) - MAXIFS(dynamic[orderDate], dynamic[customerID], B583)) &gt; 180), 
           "Dormant", "Regular")))</f>
        <v>Regular</v>
      </c>
      <c r="H583" s="6">
        <v>50.0</v>
      </c>
      <c r="I583" s="9" t="str">
        <f>VLOOKUP(dynamic[productID],products[],2,FALSE)</f>
        <v>Valkoinen suklaa</v>
      </c>
      <c r="J583" s="9" t="str">
        <f>VLOOKUP(dynamic[productID],products[],12,FALSE)</f>
        <v>Confections</v>
      </c>
      <c r="K583" s="7" t="str">
        <f>IF(VLOOKUP(dynamic[productID],products[],7,FALSE)=1,"Discontinued","Current")</f>
        <v>Current</v>
      </c>
      <c r="L583" s="9">
        <f>VLOOKUP(dynamic[productID],products[],IF(YEAR(dynamic[orderDate])=2022,8,IF(YEAR(dynamic[orderDate])=2023,9,IF(YEAR(dynamic[orderDate])=2024,10,NA))),FALSE)</f>
        <v>11.16021436</v>
      </c>
      <c r="M583" s="9">
        <v>13.0</v>
      </c>
      <c r="N583" s="25">
        <f>(dynamic[orderPrice]-dynamic[productCost])/dynamic[productCost]</f>
        <v>0.1648521774</v>
      </c>
      <c r="O583" s="10">
        <v>25.0</v>
      </c>
      <c r="P583" s="25">
        <v>0.0</v>
      </c>
      <c r="Q583" s="9">
        <f>dynamic[orderPrice]*dynamic[orderQuantity]</f>
        <v>325</v>
      </c>
      <c r="R583" s="9">
        <f>dynamic[orderTotal]*(1-dynamic[discountApllied])</f>
        <v>325</v>
      </c>
      <c r="S583" s="9">
        <f>dynamic[revenue]-(dynamic[productCost]*dynamic[orderQuantity])</f>
        <v>45.99464093</v>
      </c>
      <c r="T583" s="25">
        <f>IFERROR(dynamic[profit]/dynamic[revenue], 0)</f>
        <v>0.1415219721</v>
      </c>
    </row>
    <row r="584" ht="15.75" customHeight="1">
      <c r="A584" s="6">
        <v>10466.0</v>
      </c>
      <c r="B584" s="7" t="s">
        <v>47</v>
      </c>
      <c r="C584" s="24" t="str">
        <f>VLOOKUP(dynamic[customerID],customers[],2,FALSE)</f>
        <v>Comércio Mineiro</v>
      </c>
      <c r="D584" s="24">
        <v>44991.0</v>
      </c>
      <c r="E584" s="6">
        <f>IFERROR(__xludf.DUMMYFUNCTION("COUNTUNIQUEIFS($A$2:$A584,$B$2:$B584,B584)"),2.0)</f>
        <v>2</v>
      </c>
      <c r="F584" s="6">
        <f t="shared" si="1"/>
        <v>191</v>
      </c>
      <c r="G584" s="6" t="str">
        <f>IF(MINIFS(dynamic[orderDate], dynamic[customerID], B584) &gt;= DATE(2024,4,30)-120, 
     "New", 
     IF(MAXIFS(dynamic[orderCount], dynamic[customerID], B584)&lt;=2, 
        IF((DATE(2024,4,30) - MAXIFS(dynamic[orderDate], dynamic[customerID], B584)) &gt; 180, "Non-Returning", "Dormant"), 
        IF(AND(MAX(dynamic[sinceLastOrder]) &gt; 365, (DATE(2024,4,30) - MAXIFS(dynamic[orderDate], dynamic[customerID], B584)) &gt; 180), 
           "Dormant", "Regular")))</f>
        <v>Regular</v>
      </c>
      <c r="H584" s="6">
        <v>11.0</v>
      </c>
      <c r="I584" s="9" t="str">
        <f>VLOOKUP(dynamic[productID],products[],2,FALSE)</f>
        <v>Queso Cabrales</v>
      </c>
      <c r="J584" s="9" t="str">
        <f>VLOOKUP(dynamic[productID],products[],12,FALSE)</f>
        <v>Dairy Products</v>
      </c>
      <c r="K584" s="7" t="str">
        <f>IF(VLOOKUP(dynamic[productID],products[],7,FALSE)=1,"Discontinued","Current")</f>
        <v>Current</v>
      </c>
      <c r="L584" s="9">
        <f>VLOOKUP(dynamic[productID],products[],IF(YEAR(dynamic[orderDate])=2022,8,IF(YEAR(dynamic[orderDate])=2023,9,IF(YEAR(dynamic[orderDate])=2024,10,NA))),FALSE)</f>
        <v>12.90188125</v>
      </c>
      <c r="M584" s="9">
        <v>16.8</v>
      </c>
      <c r="N584" s="25">
        <f>(dynamic[orderPrice]-dynamic[productCost])/dynamic[productCost]</f>
        <v>0.3021356863</v>
      </c>
      <c r="O584" s="10">
        <v>10.0</v>
      </c>
      <c r="P584" s="25">
        <v>0.0</v>
      </c>
      <c r="Q584" s="9">
        <f>dynamic[orderPrice]*dynamic[orderQuantity]</f>
        <v>168</v>
      </c>
      <c r="R584" s="9">
        <f>dynamic[orderTotal]*(1-dynamic[discountApllied])</f>
        <v>168</v>
      </c>
      <c r="S584" s="9">
        <f>dynamic[revenue]-(dynamic[productCost]*dynamic[orderQuantity])</f>
        <v>38.98118747</v>
      </c>
      <c r="T584" s="25">
        <f>IFERROR(dynamic[profit]/dynamic[revenue], 0)</f>
        <v>0.2320308778</v>
      </c>
    </row>
    <row r="585" ht="15.75" customHeight="1">
      <c r="A585" s="6">
        <v>10466.0</v>
      </c>
      <c r="B585" s="7" t="s">
        <v>47</v>
      </c>
      <c r="C585" s="24" t="str">
        <f>VLOOKUP(dynamic[customerID],customers[],2,FALSE)</f>
        <v>Comércio Mineiro</v>
      </c>
      <c r="D585" s="24">
        <v>44991.0</v>
      </c>
      <c r="E585" s="6">
        <f>IFERROR(__xludf.DUMMYFUNCTION("COUNTUNIQUEIFS($A$2:$A585,$B$2:$B585,B585)"),2.0)</f>
        <v>2</v>
      </c>
      <c r="F585" s="6">
        <f t="shared" si="1"/>
        <v>191</v>
      </c>
      <c r="G585" s="6" t="str">
        <f>IF(MINIFS(dynamic[orderDate], dynamic[customerID], B585) &gt;= DATE(2024,4,30)-120, 
     "New", 
     IF(MAXIFS(dynamic[orderCount], dynamic[customerID], B585)&lt;=2, 
        IF((DATE(2024,4,30) - MAXIFS(dynamic[orderDate], dynamic[customerID], B585)) &gt; 180, "Non-Returning", "Dormant"), 
        IF(AND(MAX(dynamic[sinceLastOrder]) &gt; 365, (DATE(2024,4,30) - MAXIFS(dynamic[orderDate], dynamic[customerID], B585)) &gt; 180), 
           "Dormant", "Regular")))</f>
        <v>Regular</v>
      </c>
      <c r="H585" s="6">
        <v>46.0</v>
      </c>
      <c r="I585" s="9" t="str">
        <f>VLOOKUP(dynamic[productID],products[],2,FALSE)</f>
        <v>Spegesild</v>
      </c>
      <c r="J585" s="9" t="str">
        <f>VLOOKUP(dynamic[productID],products[],12,FALSE)</f>
        <v>Seafood</v>
      </c>
      <c r="K585" s="7" t="str">
        <f>IF(VLOOKUP(dynamic[productID],products[],7,FALSE)=1,"Discontinued","Current")</f>
        <v>Current</v>
      </c>
      <c r="L585" s="9">
        <f>VLOOKUP(dynamic[productID],products[],IF(YEAR(dynamic[orderDate])=2022,8,IF(YEAR(dynamic[orderDate])=2023,9,IF(YEAR(dynamic[orderDate])=2024,10,NA))),FALSE)</f>
        <v>7.087990753</v>
      </c>
      <c r="M585" s="9">
        <v>9.6</v>
      </c>
      <c r="N585" s="25">
        <f>(dynamic[orderPrice]-dynamic[productCost])/dynamic[productCost]</f>
        <v>0.3544035728</v>
      </c>
      <c r="O585" s="10">
        <v>5.0</v>
      </c>
      <c r="P585" s="25">
        <v>0.0</v>
      </c>
      <c r="Q585" s="9">
        <f>dynamic[orderPrice]*dynamic[orderQuantity]</f>
        <v>48</v>
      </c>
      <c r="R585" s="9">
        <f>dynamic[orderTotal]*(1-dynamic[discountApllied])</f>
        <v>48</v>
      </c>
      <c r="S585" s="9">
        <f>dynamic[revenue]-(dynamic[productCost]*dynamic[orderQuantity])</f>
        <v>12.56004623</v>
      </c>
      <c r="T585" s="25">
        <f>IFERROR(dynamic[profit]/dynamic[revenue], 0)</f>
        <v>0.2616676299</v>
      </c>
    </row>
    <row r="586" ht="15.75" customHeight="1">
      <c r="A586" s="6">
        <v>10467.0</v>
      </c>
      <c r="B586" s="7" t="s">
        <v>37</v>
      </c>
      <c r="C586" s="24" t="str">
        <f>VLOOKUP(dynamic[customerID],customers[],2,FALSE)</f>
        <v>Magazzini Alimentari Riuniti</v>
      </c>
      <c r="D586" s="24">
        <v>44991.0</v>
      </c>
      <c r="E586" s="6">
        <f>IFERROR(__xludf.DUMMYFUNCTION("COUNTUNIQUEIFS($A$2:$A586,$B$2:$B586,B586)"),4.0)</f>
        <v>4</v>
      </c>
      <c r="F586" s="6">
        <f t="shared" si="1"/>
        <v>62</v>
      </c>
      <c r="G586" s="6" t="str">
        <f>IF(MINIFS(dynamic[orderDate], dynamic[customerID], B586) &gt;= DATE(2024,4,30)-120, 
     "New", 
     IF(MAXIFS(dynamic[orderCount], dynamic[customerID], B586)&lt;=2, 
        IF((DATE(2024,4,30) - MAXIFS(dynamic[orderDate], dynamic[customerID], B586)) &gt; 180, "Non-Returning", "Dormant"), 
        IF(AND(MAX(dynamic[sinceLastOrder]) &gt; 365, (DATE(2024,4,30) - MAXIFS(dynamic[orderDate], dynamic[customerID], B586)) &gt; 180), 
           "Dormant", "Regular")))</f>
        <v>Regular</v>
      </c>
      <c r="H586" s="6">
        <v>24.0</v>
      </c>
      <c r="I586" s="9" t="str">
        <f>VLOOKUP(dynamic[productID],products[],2,FALSE)</f>
        <v>Brigadeiros Maravilhosos da Lilian</v>
      </c>
      <c r="J586" s="9" t="str">
        <f>VLOOKUP(dynamic[productID],products[],12,FALSE)</f>
        <v>Confections</v>
      </c>
      <c r="K586" s="7" t="str">
        <f>IF(VLOOKUP(dynamic[productID],products[],7,FALSE)=1,"Discontinued","Current")</f>
        <v>Discontinued</v>
      </c>
      <c r="L586" s="9">
        <f>VLOOKUP(dynamic[productID],products[],IF(YEAR(dynamic[orderDate])=2022,8,IF(YEAR(dynamic[orderDate])=2023,9,IF(YEAR(dynamic[orderDate])=2024,10,NA))),FALSE)</f>
        <v>3.131783363</v>
      </c>
      <c r="M586" s="9">
        <v>3.6</v>
      </c>
      <c r="N586" s="25">
        <f>(dynamic[orderPrice]-dynamic[productCost])/dynamic[productCost]</f>
        <v>0.1495047974</v>
      </c>
      <c r="O586" s="10">
        <v>28.0</v>
      </c>
      <c r="P586" s="25">
        <v>0.0</v>
      </c>
      <c r="Q586" s="9">
        <f>dynamic[orderPrice]*dynamic[orderQuantity]</f>
        <v>100.8</v>
      </c>
      <c r="R586" s="9">
        <f>dynamic[orderTotal]*(1-dynamic[discountApllied])</f>
        <v>100.8</v>
      </c>
      <c r="S586" s="9">
        <f>dynamic[revenue]-(dynamic[productCost]*dynamic[orderQuantity])</f>
        <v>13.11006584</v>
      </c>
      <c r="T586" s="25">
        <f>IFERROR(dynamic[profit]/dynamic[revenue], 0)</f>
        <v>0.130060177</v>
      </c>
    </row>
    <row r="587" ht="15.75" customHeight="1">
      <c r="A587" s="6">
        <v>10467.0</v>
      </c>
      <c r="B587" s="7" t="s">
        <v>37</v>
      </c>
      <c r="C587" s="24" t="str">
        <f>VLOOKUP(dynamic[customerID],customers[],2,FALSE)</f>
        <v>Magazzini Alimentari Riuniti</v>
      </c>
      <c r="D587" s="24">
        <v>44991.0</v>
      </c>
      <c r="E587" s="6">
        <f>IFERROR(__xludf.DUMMYFUNCTION("COUNTUNIQUEIFS($A$2:$A587,$B$2:$B587,B587)"),4.0)</f>
        <v>4</v>
      </c>
      <c r="F587" s="6">
        <f t="shared" si="1"/>
        <v>62</v>
      </c>
      <c r="G587" s="6" t="str">
        <f>IF(MINIFS(dynamic[orderDate], dynamic[customerID], B587) &gt;= DATE(2024,4,30)-120, 
     "New", 
     IF(MAXIFS(dynamic[orderCount], dynamic[customerID], B587)&lt;=2, 
        IF((DATE(2024,4,30) - MAXIFS(dynamic[orderDate], dynamic[customerID], B587)) &gt; 180, "Non-Returning", "Dormant"), 
        IF(AND(MAX(dynamic[sinceLastOrder]) &gt; 365, (DATE(2024,4,30) - MAXIFS(dynamic[orderDate], dynamic[customerID], B587)) &gt; 180), 
           "Dormant", "Regular")))</f>
        <v>Regular</v>
      </c>
      <c r="H587" s="6">
        <v>25.0</v>
      </c>
      <c r="I587" s="9" t="str">
        <f>VLOOKUP(dynamic[productID],products[],2,FALSE)</f>
        <v>HM Köstliche Kaiserschmarrn Knödelchen</v>
      </c>
      <c r="J587" s="9" t="str">
        <f>VLOOKUP(dynamic[productID],products[],12,FALSE)</f>
        <v>Confections</v>
      </c>
      <c r="K587" s="7" t="str">
        <f>IF(VLOOKUP(dynamic[productID],products[],7,FALSE)=1,"Discontinued","Current")</f>
        <v>Current</v>
      </c>
      <c r="L587" s="9">
        <f>VLOOKUP(dynamic[productID],products[],IF(YEAR(dynamic[orderDate])=2022,8,IF(YEAR(dynamic[orderDate])=2023,9,IF(YEAR(dynamic[orderDate])=2024,10,NA))),FALSE)</f>
        <v>8.138200336</v>
      </c>
      <c r="M587" s="9">
        <v>11.2</v>
      </c>
      <c r="N587" s="25">
        <f>(dynamic[orderPrice]-dynamic[productCost])/dynamic[productCost]</f>
        <v>0.3762256442</v>
      </c>
      <c r="O587" s="10">
        <v>12.0</v>
      </c>
      <c r="P587" s="25">
        <v>0.0</v>
      </c>
      <c r="Q587" s="9">
        <f>dynamic[orderPrice]*dynamic[orderQuantity]</f>
        <v>134.4</v>
      </c>
      <c r="R587" s="9">
        <f>dynamic[orderTotal]*(1-dynamic[discountApllied])</f>
        <v>134.4</v>
      </c>
      <c r="S587" s="9">
        <f>dynamic[revenue]-(dynamic[productCost]*dynamic[orderQuantity])</f>
        <v>36.74159597</v>
      </c>
      <c r="T587" s="25">
        <f>IFERROR(dynamic[profit]/dynamic[revenue], 0)</f>
        <v>0.27337497</v>
      </c>
    </row>
    <row r="588" ht="15.75" customHeight="1">
      <c r="A588" s="6">
        <v>10468.0</v>
      </c>
      <c r="B588" s="7" t="s">
        <v>59</v>
      </c>
      <c r="C588" s="24" t="str">
        <f>VLOOKUP(dynamic[customerID],customers[],2,FALSE)</f>
        <v>Königlich Essen</v>
      </c>
      <c r="D588" s="24">
        <v>44992.0</v>
      </c>
      <c r="E588" s="6">
        <f>IFERROR(__xludf.DUMMYFUNCTION("COUNTUNIQUEIFS($A$2:$A588,$B$2:$B588,B588)"),5.0)</f>
        <v>5</v>
      </c>
      <c r="F588" s="6">
        <f t="shared" si="1"/>
        <v>10</v>
      </c>
      <c r="G588" s="6" t="str">
        <f>IF(MINIFS(dynamic[orderDate], dynamic[customerID], B588) &gt;= DATE(2024,4,30)-120, 
     "New", 
     IF(MAXIFS(dynamic[orderCount], dynamic[customerID], B588)&lt;=2, 
        IF((DATE(2024,4,30) - MAXIFS(dynamic[orderDate], dynamic[customerID], B588)) &gt; 180, "Non-Returning", "Dormant"), 
        IF(AND(MAX(dynamic[sinceLastOrder]) &gt; 365, (DATE(2024,4,30) - MAXIFS(dynamic[orderDate], dynamic[customerID], B588)) &gt; 180), 
           "Dormant", "Regular")))</f>
        <v>Regular</v>
      </c>
      <c r="H588" s="6">
        <v>30.0</v>
      </c>
      <c r="I588" s="9" t="str">
        <f>VLOOKUP(dynamic[productID],products[],2,FALSE)</f>
        <v>Nord-Ost Matjeshering</v>
      </c>
      <c r="J588" s="9" t="str">
        <f>VLOOKUP(dynamic[productID],products[],12,FALSE)</f>
        <v>Seafood</v>
      </c>
      <c r="K588" s="7" t="str">
        <f>IF(VLOOKUP(dynamic[productID],products[],7,FALSE)=1,"Discontinued","Current")</f>
        <v>Current</v>
      </c>
      <c r="L588" s="9">
        <f>VLOOKUP(dynamic[productID],products[],IF(YEAR(dynamic[orderDate])=2022,8,IF(YEAR(dynamic[orderDate])=2023,9,IF(YEAR(dynamic[orderDate])=2024,10,NA))),FALSE)</f>
        <v>16.03885249</v>
      </c>
      <c r="M588" s="9">
        <v>20.7</v>
      </c>
      <c r="N588" s="25">
        <f>(dynamic[orderPrice]-dynamic[productCost])/dynamic[productCost]</f>
        <v>0.2906160219</v>
      </c>
      <c r="O588" s="10">
        <v>8.0</v>
      </c>
      <c r="P588" s="25">
        <v>0.0</v>
      </c>
      <c r="Q588" s="9">
        <f>dynamic[orderPrice]*dynamic[orderQuantity]</f>
        <v>165.6</v>
      </c>
      <c r="R588" s="9">
        <f>dynamic[orderTotal]*(1-dynamic[discountApllied])</f>
        <v>165.6</v>
      </c>
      <c r="S588" s="9">
        <f>dynamic[revenue]-(dynamic[productCost]*dynamic[orderQuantity])</f>
        <v>37.28918006</v>
      </c>
      <c r="T588" s="25">
        <f>IFERROR(dynamic[profit]/dynamic[revenue], 0)</f>
        <v>0.2251762081</v>
      </c>
    </row>
    <row r="589" ht="15.75" customHeight="1">
      <c r="A589" s="6">
        <v>10468.0</v>
      </c>
      <c r="B589" s="7" t="s">
        <v>59</v>
      </c>
      <c r="C589" s="24" t="str">
        <f>VLOOKUP(dynamic[customerID],customers[],2,FALSE)</f>
        <v>Königlich Essen</v>
      </c>
      <c r="D589" s="24">
        <v>44992.0</v>
      </c>
      <c r="E589" s="6">
        <f>IFERROR(__xludf.DUMMYFUNCTION("COUNTUNIQUEIFS($A$2:$A589,$B$2:$B589,B589)"),5.0)</f>
        <v>5</v>
      </c>
      <c r="F589" s="6">
        <f t="shared" si="1"/>
        <v>10</v>
      </c>
      <c r="G589" s="6" t="str">
        <f>IF(MINIFS(dynamic[orderDate], dynamic[customerID], B589) &gt;= DATE(2024,4,30)-120, 
     "New", 
     IF(MAXIFS(dynamic[orderCount], dynamic[customerID], B589)&lt;=2, 
        IF((DATE(2024,4,30) - MAXIFS(dynamic[orderDate], dynamic[customerID], B589)) &gt; 180, "Non-Returning", "Dormant"), 
        IF(AND(MAX(dynamic[sinceLastOrder]) &gt; 365, (DATE(2024,4,30) - MAXIFS(dynamic[orderDate], dynamic[customerID], B589)) &gt; 180), 
           "Dormant", "Regular")))</f>
        <v>Regular</v>
      </c>
      <c r="H589" s="6">
        <v>43.0</v>
      </c>
      <c r="I589" s="9" t="str">
        <f>VLOOKUP(dynamic[productID],products[],2,FALSE)</f>
        <v>Ipoh Coffee</v>
      </c>
      <c r="J589" s="9" t="str">
        <f>VLOOKUP(dynamic[productID],products[],12,FALSE)</f>
        <v>Beverages</v>
      </c>
      <c r="K589" s="7" t="str">
        <f>IF(VLOOKUP(dynamic[productID],products[],7,FALSE)=1,"Discontinued","Current")</f>
        <v>Current</v>
      </c>
      <c r="L589" s="9">
        <f>VLOOKUP(dynamic[productID],products[],IF(YEAR(dynamic[orderDate])=2022,8,IF(YEAR(dynamic[orderDate])=2023,9,IF(YEAR(dynamic[orderDate])=2024,10,NA))),FALSE)</f>
        <v>30.96256564</v>
      </c>
      <c r="M589" s="9">
        <v>36.8</v>
      </c>
      <c r="N589" s="25">
        <f>(dynamic[orderPrice]-dynamic[productCost])/dynamic[productCost]</f>
        <v>0.1885319981</v>
      </c>
      <c r="O589" s="10">
        <v>15.0</v>
      </c>
      <c r="P589" s="25">
        <v>0.0</v>
      </c>
      <c r="Q589" s="9">
        <f>dynamic[orderPrice]*dynamic[orderQuantity]</f>
        <v>552</v>
      </c>
      <c r="R589" s="9">
        <f>dynamic[orderTotal]*(1-dynamic[discountApllied])</f>
        <v>552</v>
      </c>
      <c r="S589" s="9">
        <f>dynamic[revenue]-(dynamic[productCost]*dynamic[orderQuantity])</f>
        <v>87.56151547</v>
      </c>
      <c r="T589" s="25">
        <f>IFERROR(dynamic[profit]/dynamic[revenue], 0)</f>
        <v>0.1586259338</v>
      </c>
    </row>
    <row r="590" ht="15.75" customHeight="1">
      <c r="A590" s="6">
        <v>10469.0</v>
      </c>
      <c r="B590" s="7" t="s">
        <v>34</v>
      </c>
      <c r="C590" s="24" t="str">
        <f>VLOOKUP(dynamic[customerID],customers[],2,FALSE)</f>
        <v>White Clover Markets</v>
      </c>
      <c r="D590" s="24">
        <v>44995.0</v>
      </c>
      <c r="E590" s="6">
        <f>IFERROR(__xludf.DUMMYFUNCTION("COUNTUNIQUEIFS($A$2:$A590,$B$2:$B590,B590)"),3.0)</f>
        <v>3</v>
      </c>
      <c r="F590" s="6">
        <f t="shared" si="1"/>
        <v>129</v>
      </c>
      <c r="G590" s="6" t="str">
        <f>IF(MINIFS(dynamic[orderDate], dynamic[customerID], B590) &gt;= DATE(2024,4,30)-120, 
     "New", 
     IF(MAXIFS(dynamic[orderCount], dynamic[customerID], B590)&lt;=2, 
        IF((DATE(2024,4,30) - MAXIFS(dynamic[orderDate], dynamic[customerID], B590)) &gt; 180, "Non-Returning", "Dormant"), 
        IF(AND(MAX(dynamic[sinceLastOrder]) &gt; 365, (DATE(2024,4,30) - MAXIFS(dynamic[orderDate], dynamic[customerID], B590)) &gt; 180), 
           "Dormant", "Regular")))</f>
        <v>Regular</v>
      </c>
      <c r="H590" s="6">
        <v>2.0</v>
      </c>
      <c r="I590" s="9" t="str">
        <f>VLOOKUP(dynamic[productID],products[],2,FALSE)</f>
        <v>Chang</v>
      </c>
      <c r="J590" s="9" t="str">
        <f>VLOOKUP(dynamic[productID],products[],12,FALSE)</f>
        <v>Beverages</v>
      </c>
      <c r="K590" s="7" t="str">
        <f>IF(VLOOKUP(dynamic[productID],products[],7,FALSE)=1,"Discontinued","Current")</f>
        <v>Current</v>
      </c>
      <c r="L590" s="9">
        <f>VLOOKUP(dynamic[productID],products[],IF(YEAR(dynamic[orderDate])=2022,8,IF(YEAR(dynamic[orderDate])=2023,9,IF(YEAR(dynamic[orderDate])=2024,10,NA))),FALSE)</f>
        <v>12.14626904</v>
      </c>
      <c r="M590" s="9">
        <v>15.2</v>
      </c>
      <c r="N590" s="25">
        <f>(dynamic[orderPrice]-dynamic[productCost])/dynamic[productCost]</f>
        <v>0.2514130837</v>
      </c>
      <c r="O590" s="10">
        <v>40.0</v>
      </c>
      <c r="P590" s="25">
        <v>0.15</v>
      </c>
      <c r="Q590" s="9">
        <f>dynamic[orderPrice]*dynamic[orderQuantity]</f>
        <v>608</v>
      </c>
      <c r="R590" s="9">
        <f>dynamic[orderTotal]*(1-dynamic[discountApllied])</f>
        <v>516.8</v>
      </c>
      <c r="S590" s="9">
        <f>dynamic[revenue]-(dynamic[productCost]*dynamic[orderQuantity])</f>
        <v>30.94923824</v>
      </c>
      <c r="T590" s="25">
        <f>IFERROR(dynamic[profit]/dynamic[revenue], 0)</f>
        <v>0.05988629691</v>
      </c>
    </row>
    <row r="591" ht="15.75" customHeight="1">
      <c r="A591" s="6">
        <v>10469.0</v>
      </c>
      <c r="B591" s="7" t="s">
        <v>34</v>
      </c>
      <c r="C591" s="24" t="str">
        <f>VLOOKUP(dynamic[customerID],customers[],2,FALSE)</f>
        <v>White Clover Markets</v>
      </c>
      <c r="D591" s="24">
        <v>44995.0</v>
      </c>
      <c r="E591" s="6">
        <f>IFERROR(__xludf.DUMMYFUNCTION("COUNTUNIQUEIFS($A$2:$A591,$B$2:$B591,B591)"),3.0)</f>
        <v>3</v>
      </c>
      <c r="F591" s="6">
        <f t="shared" si="1"/>
        <v>129</v>
      </c>
      <c r="G591" s="6" t="str">
        <f>IF(MINIFS(dynamic[orderDate], dynamic[customerID], B591) &gt;= DATE(2024,4,30)-120, 
     "New", 
     IF(MAXIFS(dynamic[orderCount], dynamic[customerID], B591)&lt;=2, 
        IF((DATE(2024,4,30) - MAXIFS(dynamic[orderDate], dynamic[customerID], B591)) &gt; 180, "Non-Returning", "Dormant"), 
        IF(AND(MAX(dynamic[sinceLastOrder]) &gt; 365, (DATE(2024,4,30) - MAXIFS(dynamic[orderDate], dynamic[customerID], B591)) &gt; 180), 
           "Dormant", "Regular")))</f>
        <v>Regular</v>
      </c>
      <c r="H591" s="6">
        <v>16.0</v>
      </c>
      <c r="I591" s="9" t="str">
        <f>VLOOKUP(dynamic[productID],products[],2,FALSE)</f>
        <v>Pavlova</v>
      </c>
      <c r="J591" s="9" t="str">
        <f>VLOOKUP(dynamic[productID],products[],12,FALSE)</f>
        <v>Confections</v>
      </c>
      <c r="K591" s="7" t="str">
        <f>IF(VLOOKUP(dynamic[productID],products[],7,FALSE)=1,"Discontinued","Current")</f>
        <v>Current</v>
      </c>
      <c r="L591" s="9">
        <f>VLOOKUP(dynamic[productID],products[],IF(YEAR(dynamic[orderDate])=2022,8,IF(YEAR(dynamic[orderDate])=2023,9,IF(YEAR(dynamic[orderDate])=2024,10,NA))),FALSE)</f>
        <v>11.98504839</v>
      </c>
      <c r="M591" s="9">
        <v>13.9</v>
      </c>
      <c r="N591" s="25">
        <f>(dynamic[orderPrice]-dynamic[productCost])/dynamic[productCost]</f>
        <v>0.1597783792</v>
      </c>
      <c r="O591" s="10">
        <v>35.0</v>
      </c>
      <c r="P591" s="25">
        <v>0.15</v>
      </c>
      <c r="Q591" s="9">
        <f>dynamic[orderPrice]*dynamic[orderQuantity]</f>
        <v>486.5</v>
      </c>
      <c r="R591" s="9">
        <f>dynamic[orderTotal]*(1-dynamic[discountApllied])</f>
        <v>413.525</v>
      </c>
      <c r="S591" s="9">
        <f>dynamic[revenue]-(dynamic[productCost]*dynamic[orderQuantity])</f>
        <v>-5.951693748</v>
      </c>
      <c r="T591" s="25">
        <f>IFERROR(dynamic[profit]/dynamic[revenue], 0)</f>
        <v>-0.01439258509</v>
      </c>
    </row>
    <row r="592" ht="15.75" customHeight="1">
      <c r="A592" s="6">
        <v>10469.0</v>
      </c>
      <c r="B592" s="7" t="s">
        <v>34</v>
      </c>
      <c r="C592" s="24" t="str">
        <f>VLOOKUP(dynamic[customerID],customers[],2,FALSE)</f>
        <v>White Clover Markets</v>
      </c>
      <c r="D592" s="24">
        <v>44995.0</v>
      </c>
      <c r="E592" s="6">
        <f>IFERROR(__xludf.DUMMYFUNCTION("COUNTUNIQUEIFS($A$2:$A592,$B$2:$B592,B592)"),3.0)</f>
        <v>3</v>
      </c>
      <c r="F592" s="6">
        <f t="shared" si="1"/>
        <v>129</v>
      </c>
      <c r="G592" s="6" t="str">
        <f>IF(MINIFS(dynamic[orderDate], dynamic[customerID], B592) &gt;= DATE(2024,4,30)-120, 
     "New", 
     IF(MAXIFS(dynamic[orderCount], dynamic[customerID], B592)&lt;=2, 
        IF((DATE(2024,4,30) - MAXIFS(dynamic[orderDate], dynamic[customerID], B592)) &gt; 180, "Non-Returning", "Dormant"), 
        IF(AND(MAX(dynamic[sinceLastOrder]) &gt; 365, (DATE(2024,4,30) - MAXIFS(dynamic[orderDate], dynamic[customerID], B592)) &gt; 180), 
           "Dormant", "Regular")))</f>
        <v>Regular</v>
      </c>
      <c r="H592" s="6">
        <v>44.0</v>
      </c>
      <c r="I592" s="9" t="str">
        <f>VLOOKUP(dynamic[productID],products[],2,FALSE)</f>
        <v>Gula Malacca</v>
      </c>
      <c r="J592" s="9" t="str">
        <f>VLOOKUP(dynamic[productID],products[],12,FALSE)</f>
        <v>Condiments</v>
      </c>
      <c r="K592" s="7" t="str">
        <f>IF(VLOOKUP(dynamic[productID],products[],7,FALSE)=1,"Discontinued","Current")</f>
        <v>Current</v>
      </c>
      <c r="L592" s="9">
        <f>VLOOKUP(dynamic[productID],products[],IF(YEAR(dynamic[orderDate])=2022,8,IF(YEAR(dynamic[orderDate])=2023,9,IF(YEAR(dynamic[orderDate])=2024,10,NA))),FALSE)</f>
        <v>13.06032103</v>
      </c>
      <c r="M592" s="9">
        <v>15.5</v>
      </c>
      <c r="N592" s="25">
        <f>(dynamic[orderPrice]-dynamic[productCost])/dynamic[productCost]</f>
        <v>0.1868008425</v>
      </c>
      <c r="O592" s="10">
        <v>2.0</v>
      </c>
      <c r="P592" s="25">
        <v>0.15</v>
      </c>
      <c r="Q592" s="9">
        <f>dynamic[orderPrice]*dynamic[orderQuantity]</f>
        <v>31</v>
      </c>
      <c r="R592" s="9">
        <f>dynamic[orderTotal]*(1-dynamic[discountApllied])</f>
        <v>26.35</v>
      </c>
      <c r="S592" s="9">
        <f>dynamic[revenue]-(dynamic[productCost]*dynamic[orderQuantity])</f>
        <v>0.2293579432</v>
      </c>
      <c r="T592" s="25">
        <f>IFERROR(dynamic[profit]/dynamic[revenue], 0)</f>
        <v>0.008704286268</v>
      </c>
    </row>
    <row r="593" ht="15.75" customHeight="1">
      <c r="A593" s="6">
        <v>10470.0</v>
      </c>
      <c r="B593" s="7" t="s">
        <v>63</v>
      </c>
      <c r="C593" s="24" t="str">
        <f>VLOOKUP(dynamic[customerID],customers[],2,FALSE)</f>
        <v>Bon app'</v>
      </c>
      <c r="D593" s="24">
        <v>44996.0</v>
      </c>
      <c r="E593" s="6">
        <f>IFERROR(__xludf.DUMMYFUNCTION("COUNTUNIQUEIFS($A$2:$A593,$B$2:$B593,B593)"),4.0)</f>
        <v>4</v>
      </c>
      <c r="F593" s="6">
        <f t="shared" si="1"/>
        <v>106</v>
      </c>
      <c r="G593" s="6" t="str">
        <f>IF(MINIFS(dynamic[orderDate], dynamic[customerID], B593) &gt;= DATE(2024,4,30)-120, 
     "New", 
     IF(MAXIFS(dynamic[orderCount], dynamic[customerID], B593)&lt;=2, 
        IF((DATE(2024,4,30) - MAXIFS(dynamic[orderDate], dynamic[customerID], B593)) &gt; 180, "Non-Returning", "Dormant"), 
        IF(AND(MAX(dynamic[sinceLastOrder]) &gt; 365, (DATE(2024,4,30) - MAXIFS(dynamic[orderDate], dynamic[customerID], B593)) &gt; 180), 
           "Dormant", "Regular")))</f>
        <v>Regular</v>
      </c>
      <c r="H593" s="6">
        <v>18.0</v>
      </c>
      <c r="I593" s="9" t="str">
        <f>VLOOKUP(dynamic[productID],products[],2,FALSE)</f>
        <v>Carnarvon Tigers</v>
      </c>
      <c r="J593" s="9" t="str">
        <f>VLOOKUP(dynamic[productID],products[],12,FALSE)</f>
        <v>Seafood</v>
      </c>
      <c r="K593" s="7" t="str">
        <f>IF(VLOOKUP(dynamic[productID],products[],7,FALSE)=1,"Discontinued","Current")</f>
        <v>Current</v>
      </c>
      <c r="L593" s="9">
        <f>VLOOKUP(dynamic[productID],products[],IF(YEAR(dynamic[orderDate])=2022,8,IF(YEAR(dynamic[orderDate])=2023,9,IF(YEAR(dynamic[orderDate])=2024,10,NA))),FALSE)</f>
        <v>39.51966651</v>
      </c>
      <c r="M593" s="9">
        <v>50.0</v>
      </c>
      <c r="N593" s="25">
        <f>(dynamic[orderPrice]-dynamic[productCost])/dynamic[productCost]</f>
        <v>0.2651928627</v>
      </c>
      <c r="O593" s="10">
        <v>30.0</v>
      </c>
      <c r="P593" s="25">
        <v>0.0</v>
      </c>
      <c r="Q593" s="9">
        <f>dynamic[orderPrice]*dynamic[orderQuantity]</f>
        <v>1500</v>
      </c>
      <c r="R593" s="9">
        <f>dynamic[orderTotal]*(1-dynamic[discountApllied])</f>
        <v>1500</v>
      </c>
      <c r="S593" s="9">
        <f>dynamic[revenue]-(dynamic[productCost]*dynamic[orderQuantity])</f>
        <v>314.4100048</v>
      </c>
      <c r="T593" s="25">
        <f>IFERROR(dynamic[profit]/dynamic[revenue], 0)</f>
        <v>0.2096066699</v>
      </c>
    </row>
    <row r="594" ht="15.75" customHeight="1">
      <c r="A594" s="6">
        <v>10470.0</v>
      </c>
      <c r="B594" s="7" t="s">
        <v>63</v>
      </c>
      <c r="C594" s="24" t="str">
        <f>VLOOKUP(dynamic[customerID],customers[],2,FALSE)</f>
        <v>Bon app'</v>
      </c>
      <c r="D594" s="24">
        <v>44996.0</v>
      </c>
      <c r="E594" s="6">
        <f>IFERROR(__xludf.DUMMYFUNCTION("COUNTUNIQUEIFS($A$2:$A594,$B$2:$B594,B594)"),4.0)</f>
        <v>4</v>
      </c>
      <c r="F594" s="6">
        <f t="shared" si="1"/>
        <v>106</v>
      </c>
      <c r="G594" s="6" t="str">
        <f>IF(MINIFS(dynamic[orderDate], dynamic[customerID], B594) &gt;= DATE(2024,4,30)-120, 
     "New", 
     IF(MAXIFS(dynamic[orderCount], dynamic[customerID], B594)&lt;=2, 
        IF((DATE(2024,4,30) - MAXIFS(dynamic[orderDate], dynamic[customerID], B594)) &gt; 180, "Non-Returning", "Dormant"), 
        IF(AND(MAX(dynamic[sinceLastOrder]) &gt; 365, (DATE(2024,4,30) - MAXIFS(dynamic[orderDate], dynamic[customerID], B594)) &gt; 180), 
           "Dormant", "Regular")))</f>
        <v>Regular</v>
      </c>
      <c r="H594" s="6">
        <v>23.0</v>
      </c>
      <c r="I594" s="9" t="str">
        <f>VLOOKUP(dynamic[productID],products[],2,FALSE)</f>
        <v>Tunnbröd</v>
      </c>
      <c r="J594" s="9" t="str">
        <f>VLOOKUP(dynamic[productID],products[],12,FALSE)</f>
        <v>Grains/Cereals</v>
      </c>
      <c r="K594" s="7" t="str">
        <f>IF(VLOOKUP(dynamic[productID],products[],7,FALSE)=1,"Discontinued","Current")</f>
        <v>Current</v>
      </c>
      <c r="L594" s="9">
        <f>VLOOKUP(dynamic[productID],products[],IF(YEAR(dynamic[orderDate])=2022,8,IF(YEAR(dynamic[orderDate])=2023,9,IF(YEAR(dynamic[orderDate])=2024,10,NA))),FALSE)</f>
        <v>5.989059129</v>
      </c>
      <c r="M594" s="9">
        <v>7.2</v>
      </c>
      <c r="N594" s="25">
        <f>(dynamic[orderPrice]-dynamic[productCost])/dynamic[productCost]</f>
        <v>0.2021921717</v>
      </c>
      <c r="O594" s="10">
        <v>15.0</v>
      </c>
      <c r="P594" s="25">
        <v>0.0</v>
      </c>
      <c r="Q594" s="9">
        <f>dynamic[orderPrice]*dynamic[orderQuantity]</f>
        <v>108</v>
      </c>
      <c r="R594" s="9">
        <f>dynamic[orderTotal]*(1-dynamic[discountApllied])</f>
        <v>108</v>
      </c>
      <c r="S594" s="9">
        <f>dynamic[revenue]-(dynamic[productCost]*dynamic[orderQuantity])</f>
        <v>18.16411307</v>
      </c>
      <c r="T594" s="25">
        <f>IFERROR(dynamic[profit]/dynamic[revenue], 0)</f>
        <v>0.1681862321</v>
      </c>
    </row>
    <row r="595" ht="15.75" customHeight="1">
      <c r="A595" s="6">
        <v>10470.0</v>
      </c>
      <c r="B595" s="7" t="s">
        <v>63</v>
      </c>
      <c r="C595" s="24" t="str">
        <f>VLOOKUP(dynamic[customerID],customers[],2,FALSE)</f>
        <v>Bon app'</v>
      </c>
      <c r="D595" s="24">
        <v>44996.0</v>
      </c>
      <c r="E595" s="6">
        <f>IFERROR(__xludf.DUMMYFUNCTION("COUNTUNIQUEIFS($A$2:$A595,$B$2:$B595,B595)"),4.0)</f>
        <v>4</v>
      </c>
      <c r="F595" s="6">
        <f t="shared" si="1"/>
        <v>106</v>
      </c>
      <c r="G595" s="6" t="str">
        <f>IF(MINIFS(dynamic[orderDate], dynamic[customerID], B595) &gt;= DATE(2024,4,30)-120, 
     "New", 
     IF(MAXIFS(dynamic[orderCount], dynamic[customerID], B595)&lt;=2, 
        IF((DATE(2024,4,30) - MAXIFS(dynamic[orderDate], dynamic[customerID], B595)) &gt; 180, "Non-Returning", "Dormant"), 
        IF(AND(MAX(dynamic[sinceLastOrder]) &gt; 365, (DATE(2024,4,30) - MAXIFS(dynamic[orderDate], dynamic[customerID], B595)) &gt; 180), 
           "Dormant", "Regular")))</f>
        <v>Regular</v>
      </c>
      <c r="H595" s="6">
        <v>64.0</v>
      </c>
      <c r="I595" s="9" t="str">
        <f>VLOOKUP(dynamic[productID],products[],2,FALSE)</f>
        <v>Lukas' leckere Sauerteigweggla</v>
      </c>
      <c r="J595" s="9" t="str">
        <f>VLOOKUP(dynamic[productID],products[],12,FALSE)</f>
        <v>Grains/Cereals</v>
      </c>
      <c r="K595" s="7" t="str">
        <f>IF(VLOOKUP(dynamic[productID],products[],7,FALSE)=1,"Discontinued","Current")</f>
        <v>Current</v>
      </c>
      <c r="L595" s="9">
        <f>VLOOKUP(dynamic[productID],products[],IF(YEAR(dynamic[orderDate])=2022,8,IF(YEAR(dynamic[orderDate])=2023,9,IF(YEAR(dynamic[orderDate])=2024,10,NA))),FALSE)</f>
        <v>21.88572728</v>
      </c>
      <c r="M595" s="9">
        <v>26.6</v>
      </c>
      <c r="N595" s="25">
        <f>(dynamic[orderPrice]-dynamic[productCost])/dynamic[productCost]</f>
        <v>0.2154039779</v>
      </c>
      <c r="O595" s="10">
        <v>8.0</v>
      </c>
      <c r="P595" s="25">
        <v>0.0</v>
      </c>
      <c r="Q595" s="9">
        <f>dynamic[orderPrice]*dynamic[orderQuantity]</f>
        <v>212.8</v>
      </c>
      <c r="R595" s="9">
        <f>dynamic[orderTotal]*(1-dynamic[discountApllied])</f>
        <v>212.8</v>
      </c>
      <c r="S595" s="9">
        <f>dynamic[revenue]-(dynamic[productCost]*dynamic[orderQuantity])</f>
        <v>37.71418173</v>
      </c>
      <c r="T595" s="25">
        <f>IFERROR(dynamic[profit]/dynamic[revenue], 0)</f>
        <v>0.1772282976</v>
      </c>
    </row>
    <row r="596" ht="15.75" customHeight="1">
      <c r="A596" s="6">
        <v>10471.0</v>
      </c>
      <c r="B596" s="7" t="s">
        <v>46</v>
      </c>
      <c r="C596" s="24" t="str">
        <f>VLOOKUP(dynamic[customerID],customers[],2,FALSE)</f>
        <v>B's Beverages</v>
      </c>
      <c r="D596" s="24">
        <v>44996.0</v>
      </c>
      <c r="E596" s="6">
        <f>IFERROR(__xludf.DUMMYFUNCTION("COUNTUNIQUEIFS($A$2:$A596,$B$2:$B596,B596)"),2.0)</f>
        <v>2</v>
      </c>
      <c r="F596" s="6">
        <f t="shared" si="1"/>
        <v>197</v>
      </c>
      <c r="G596" s="6" t="str">
        <f>IF(MINIFS(dynamic[orderDate], dynamic[customerID], B596) &gt;= DATE(2024,4,30)-120, 
     "New", 
     IF(MAXIFS(dynamic[orderCount], dynamic[customerID], B596)&lt;=2, 
        IF((DATE(2024,4,30) - MAXIFS(dynamic[orderDate], dynamic[customerID], B596)) &gt; 180, "Non-Returning", "Dormant"), 
        IF(AND(MAX(dynamic[sinceLastOrder]) &gt; 365, (DATE(2024,4,30) - MAXIFS(dynamic[orderDate], dynamic[customerID], B596)) &gt; 180), 
           "Dormant", "Regular")))</f>
        <v>Regular</v>
      </c>
      <c r="H596" s="6">
        <v>7.0</v>
      </c>
      <c r="I596" s="9" t="str">
        <f>VLOOKUP(dynamic[productID],products[],2,FALSE)</f>
        <v>Uncle Bob's Organic Dried Pears</v>
      </c>
      <c r="J596" s="9" t="str">
        <f>VLOOKUP(dynamic[productID],products[],12,FALSE)</f>
        <v>Produce</v>
      </c>
      <c r="K596" s="7" t="str">
        <f>IF(VLOOKUP(dynamic[productID],products[],7,FALSE)=1,"Discontinued","Current")</f>
        <v>Current</v>
      </c>
      <c r="L596" s="9">
        <f>VLOOKUP(dynamic[productID],products[],IF(YEAR(dynamic[orderDate])=2022,8,IF(YEAR(dynamic[orderDate])=2023,9,IF(YEAR(dynamic[orderDate])=2024,10,NA))),FALSE)</f>
        <v>21.39244625</v>
      </c>
      <c r="M596" s="9">
        <v>24.0</v>
      </c>
      <c r="N596" s="25">
        <f>(dynamic[orderPrice]-dynamic[productCost])/dynamic[productCost]</f>
        <v>0.1218913309</v>
      </c>
      <c r="O596" s="10">
        <v>30.0</v>
      </c>
      <c r="P596" s="25">
        <v>0.0</v>
      </c>
      <c r="Q596" s="9">
        <f>dynamic[orderPrice]*dynamic[orderQuantity]</f>
        <v>720</v>
      </c>
      <c r="R596" s="9">
        <f>dynamic[orderTotal]*(1-dynamic[discountApllied])</f>
        <v>720</v>
      </c>
      <c r="S596" s="9">
        <f>dynamic[revenue]-(dynamic[productCost]*dynamic[orderQuantity])</f>
        <v>78.22661235</v>
      </c>
      <c r="T596" s="25">
        <f>IFERROR(dynamic[profit]/dynamic[revenue], 0)</f>
        <v>0.1086480727</v>
      </c>
    </row>
    <row r="597" ht="15.75" customHeight="1">
      <c r="A597" s="6">
        <v>10471.0</v>
      </c>
      <c r="B597" s="7" t="s">
        <v>46</v>
      </c>
      <c r="C597" s="24" t="str">
        <f>VLOOKUP(dynamic[customerID],customers[],2,FALSE)</f>
        <v>B's Beverages</v>
      </c>
      <c r="D597" s="24">
        <v>44996.0</v>
      </c>
      <c r="E597" s="6">
        <f>IFERROR(__xludf.DUMMYFUNCTION("COUNTUNIQUEIFS($A$2:$A597,$B$2:$B597,B597)"),2.0)</f>
        <v>2</v>
      </c>
      <c r="F597" s="6">
        <f t="shared" si="1"/>
        <v>197</v>
      </c>
      <c r="G597" s="6" t="str">
        <f>IF(MINIFS(dynamic[orderDate], dynamic[customerID], B597) &gt;= DATE(2024,4,30)-120, 
     "New", 
     IF(MAXIFS(dynamic[orderCount], dynamic[customerID], B597)&lt;=2, 
        IF((DATE(2024,4,30) - MAXIFS(dynamic[orderDate], dynamic[customerID], B597)) &gt; 180, "Non-Returning", "Dormant"), 
        IF(AND(MAX(dynamic[sinceLastOrder]) &gt; 365, (DATE(2024,4,30) - MAXIFS(dynamic[orderDate], dynamic[customerID], B597)) &gt; 180), 
           "Dormant", "Regular")))</f>
        <v>Regular</v>
      </c>
      <c r="H597" s="6">
        <v>56.0</v>
      </c>
      <c r="I597" s="9" t="str">
        <f>VLOOKUP(dynamic[productID],products[],2,FALSE)</f>
        <v>Gnocchi di nonna Alice</v>
      </c>
      <c r="J597" s="9" t="str">
        <f>VLOOKUP(dynamic[productID],products[],12,FALSE)</f>
        <v>Grains/Cereals</v>
      </c>
      <c r="K597" s="7" t="str">
        <f>IF(VLOOKUP(dynamic[productID],products[],7,FALSE)=1,"Discontinued","Current")</f>
        <v>Current</v>
      </c>
      <c r="L597" s="9">
        <f>VLOOKUP(dynamic[productID],products[],IF(YEAR(dynamic[orderDate])=2022,8,IF(YEAR(dynamic[orderDate])=2023,9,IF(YEAR(dynamic[orderDate])=2024,10,NA))),FALSE)</f>
        <v>24.28342441</v>
      </c>
      <c r="M597" s="9">
        <v>30.4</v>
      </c>
      <c r="N597" s="25">
        <f>(dynamic[orderPrice]-dynamic[productCost])/dynamic[productCost]</f>
        <v>0.2518827447</v>
      </c>
      <c r="O597" s="10">
        <v>20.0</v>
      </c>
      <c r="P597" s="25">
        <v>0.0</v>
      </c>
      <c r="Q597" s="9">
        <f>dynamic[orderPrice]*dynamic[orderQuantity]</f>
        <v>608</v>
      </c>
      <c r="R597" s="9">
        <f>dynamic[orderTotal]*(1-dynamic[discountApllied])</f>
        <v>608</v>
      </c>
      <c r="S597" s="9">
        <f>dynamic[revenue]-(dynamic[productCost]*dynamic[orderQuantity])</f>
        <v>122.3315118</v>
      </c>
      <c r="T597" s="25">
        <f>IFERROR(dynamic[profit]/dynamic[revenue], 0)</f>
        <v>0.2012031445</v>
      </c>
    </row>
    <row r="598" ht="15.75" customHeight="1">
      <c r="A598" s="6">
        <v>10472.0</v>
      </c>
      <c r="B598" s="7" t="s">
        <v>71</v>
      </c>
      <c r="C598" s="24" t="str">
        <f>VLOOKUP(dynamic[customerID],customers[],2,FALSE)</f>
        <v>Seven Seas Imports</v>
      </c>
      <c r="D598" s="24">
        <v>44997.0</v>
      </c>
      <c r="E598" s="6">
        <f>IFERROR(__xludf.DUMMYFUNCTION("COUNTUNIQUEIFS($A$2:$A598,$B$2:$B598,B598)"),4.0)</f>
        <v>4</v>
      </c>
      <c r="F598" s="6">
        <f t="shared" si="1"/>
        <v>83</v>
      </c>
      <c r="G598" s="6" t="str">
        <f>IF(MINIFS(dynamic[orderDate], dynamic[customerID], B598) &gt;= DATE(2024,4,30)-120, 
     "New", 
     IF(MAXIFS(dynamic[orderCount], dynamic[customerID], B598)&lt;=2, 
        IF((DATE(2024,4,30) - MAXIFS(dynamic[orderDate], dynamic[customerID], B598)) &gt; 180, "Non-Returning", "Dormant"), 
        IF(AND(MAX(dynamic[sinceLastOrder]) &gt; 365, (DATE(2024,4,30) - MAXIFS(dynamic[orderDate], dynamic[customerID], B598)) &gt; 180), 
           "Dormant", "Regular")))</f>
        <v>Regular</v>
      </c>
      <c r="H598" s="6">
        <v>24.0</v>
      </c>
      <c r="I598" s="9" t="str">
        <f>VLOOKUP(dynamic[productID],products[],2,FALSE)</f>
        <v>Brigadeiros Maravilhosos da Lilian</v>
      </c>
      <c r="J598" s="9" t="str">
        <f>VLOOKUP(dynamic[productID],products[],12,FALSE)</f>
        <v>Confections</v>
      </c>
      <c r="K598" s="7" t="str">
        <f>IF(VLOOKUP(dynamic[productID],products[],7,FALSE)=1,"Discontinued","Current")</f>
        <v>Discontinued</v>
      </c>
      <c r="L598" s="9">
        <f>VLOOKUP(dynamic[productID],products[],IF(YEAR(dynamic[orderDate])=2022,8,IF(YEAR(dynamic[orderDate])=2023,9,IF(YEAR(dynamic[orderDate])=2024,10,NA))),FALSE)</f>
        <v>3.131783363</v>
      </c>
      <c r="M598" s="9">
        <v>3.6</v>
      </c>
      <c r="N598" s="25">
        <f>(dynamic[orderPrice]-dynamic[productCost])/dynamic[productCost]</f>
        <v>0.1495047974</v>
      </c>
      <c r="O598" s="10">
        <v>80.0</v>
      </c>
      <c r="P598" s="25">
        <v>0.05</v>
      </c>
      <c r="Q598" s="9">
        <f>dynamic[orderPrice]*dynamic[orderQuantity]</f>
        <v>288</v>
      </c>
      <c r="R598" s="9">
        <f>dynamic[orderTotal]*(1-dynamic[discountApllied])</f>
        <v>273.6</v>
      </c>
      <c r="S598" s="9">
        <f>dynamic[revenue]-(dynamic[productCost]*dynamic[orderQuantity])</f>
        <v>23.05733097</v>
      </c>
      <c r="T598" s="25">
        <f>IFERROR(dynamic[profit]/dynamic[revenue], 0)</f>
        <v>0.08427387049</v>
      </c>
    </row>
    <row r="599" ht="15.75" customHeight="1">
      <c r="A599" s="6">
        <v>10472.0</v>
      </c>
      <c r="B599" s="7" t="s">
        <v>71</v>
      </c>
      <c r="C599" s="24" t="str">
        <f>VLOOKUP(dynamic[customerID],customers[],2,FALSE)</f>
        <v>Seven Seas Imports</v>
      </c>
      <c r="D599" s="24">
        <v>44997.0</v>
      </c>
      <c r="E599" s="6">
        <f>IFERROR(__xludf.DUMMYFUNCTION("COUNTUNIQUEIFS($A$2:$A599,$B$2:$B599,B599)"),4.0)</f>
        <v>4</v>
      </c>
      <c r="F599" s="6">
        <f t="shared" si="1"/>
        <v>83</v>
      </c>
      <c r="G599" s="6" t="str">
        <f>IF(MINIFS(dynamic[orderDate], dynamic[customerID], B599) &gt;= DATE(2024,4,30)-120, 
     "New", 
     IF(MAXIFS(dynamic[orderCount], dynamic[customerID], B599)&lt;=2, 
        IF((DATE(2024,4,30) - MAXIFS(dynamic[orderDate], dynamic[customerID], B599)) &gt; 180, "Non-Returning", "Dormant"), 
        IF(AND(MAX(dynamic[sinceLastOrder]) &gt; 365, (DATE(2024,4,30) - MAXIFS(dynamic[orderDate], dynamic[customerID], B599)) &gt; 180), 
           "Dormant", "Regular")))</f>
        <v>Regular</v>
      </c>
      <c r="H599" s="6">
        <v>51.0</v>
      </c>
      <c r="I599" s="9" t="str">
        <f>VLOOKUP(dynamic[productID],products[],2,FALSE)</f>
        <v>Manjimup Dried Apples</v>
      </c>
      <c r="J599" s="9" t="str">
        <f>VLOOKUP(dynamic[productID],products[],12,FALSE)</f>
        <v>Produce</v>
      </c>
      <c r="K599" s="7" t="str">
        <f>IF(VLOOKUP(dynamic[productID],products[],7,FALSE)=1,"Discontinued","Current")</f>
        <v>Current</v>
      </c>
      <c r="L599" s="9">
        <f>VLOOKUP(dynamic[productID],products[],IF(YEAR(dynamic[orderDate])=2022,8,IF(YEAR(dynamic[orderDate])=2023,9,IF(YEAR(dynamic[orderDate])=2024,10,NA))),FALSE)</f>
        <v>36.88798027</v>
      </c>
      <c r="M599" s="9">
        <v>42.4</v>
      </c>
      <c r="N599" s="25">
        <f>(dynamic[orderPrice]-dynamic[productCost])/dynamic[productCost]</f>
        <v>0.1494259023</v>
      </c>
      <c r="O599" s="10">
        <v>18.0</v>
      </c>
      <c r="P599" s="25">
        <v>0.0</v>
      </c>
      <c r="Q599" s="9">
        <f>dynamic[orderPrice]*dynamic[orderQuantity]</f>
        <v>763.2</v>
      </c>
      <c r="R599" s="9">
        <f>dynamic[orderTotal]*(1-dynamic[discountApllied])</f>
        <v>763.2</v>
      </c>
      <c r="S599" s="9">
        <f>dynamic[revenue]-(dynamic[productCost]*dynamic[orderQuantity])</f>
        <v>99.21635522</v>
      </c>
      <c r="T599" s="25">
        <f>IFERROR(dynamic[profit]/dynamic[revenue], 0)</f>
        <v>0.1300004654</v>
      </c>
    </row>
    <row r="600" ht="15.75" customHeight="1">
      <c r="A600" s="6">
        <v>10473.0</v>
      </c>
      <c r="B600" s="7" t="s">
        <v>57</v>
      </c>
      <c r="C600" s="24" t="str">
        <f>VLOOKUP(dynamic[customerID],customers[],2,FALSE)</f>
        <v>Island Trading</v>
      </c>
      <c r="D600" s="24">
        <v>44998.0</v>
      </c>
      <c r="E600" s="6">
        <f>IFERROR(__xludf.DUMMYFUNCTION("COUNTUNIQUEIFS($A$2:$A600,$B$2:$B600,B600)"),4.0)</f>
        <v>4</v>
      </c>
      <c r="F600" s="6">
        <f t="shared" si="1"/>
        <v>161</v>
      </c>
      <c r="G600" s="6" t="str">
        <f>IF(MINIFS(dynamic[orderDate], dynamic[customerID], B600) &gt;= DATE(2024,4,30)-120, 
     "New", 
     IF(MAXIFS(dynamic[orderCount], dynamic[customerID], B600)&lt;=2, 
        IF((DATE(2024,4,30) - MAXIFS(dynamic[orderDate], dynamic[customerID], B600)) &gt; 180, "Non-Returning", "Dormant"), 
        IF(AND(MAX(dynamic[sinceLastOrder]) &gt; 365, (DATE(2024,4,30) - MAXIFS(dynamic[orderDate], dynamic[customerID], B600)) &gt; 180), 
           "Dormant", "Regular")))</f>
        <v>Regular</v>
      </c>
      <c r="H600" s="6">
        <v>33.0</v>
      </c>
      <c r="I600" s="9" t="str">
        <f>VLOOKUP(dynamic[productID],products[],2,FALSE)</f>
        <v>Geitost</v>
      </c>
      <c r="J600" s="9" t="str">
        <f>VLOOKUP(dynamic[productID],products[],12,FALSE)</f>
        <v>Dairy Products</v>
      </c>
      <c r="K600" s="7" t="str">
        <f>IF(VLOOKUP(dynamic[productID],products[],7,FALSE)=1,"Discontinued","Current")</f>
        <v>Current</v>
      </c>
      <c r="L600" s="9">
        <f>VLOOKUP(dynamic[productID],products[],IF(YEAR(dynamic[orderDate])=2022,8,IF(YEAR(dynamic[orderDate])=2023,9,IF(YEAR(dynamic[orderDate])=2024,10,NA))),FALSE)</f>
        <v>1.559072298</v>
      </c>
      <c r="M600" s="9">
        <v>2.0</v>
      </c>
      <c r="N600" s="25">
        <f>(dynamic[orderPrice]-dynamic[productCost])/dynamic[productCost]</f>
        <v>0.2828141472</v>
      </c>
      <c r="O600" s="10">
        <v>12.0</v>
      </c>
      <c r="P600" s="25">
        <v>0.0</v>
      </c>
      <c r="Q600" s="9">
        <f>dynamic[orderPrice]*dynamic[orderQuantity]</f>
        <v>24</v>
      </c>
      <c r="R600" s="9">
        <f>dynamic[orderTotal]*(1-dynamic[discountApllied])</f>
        <v>24</v>
      </c>
      <c r="S600" s="9">
        <f>dynamic[revenue]-(dynamic[productCost]*dynamic[orderQuantity])</f>
        <v>5.291132428</v>
      </c>
      <c r="T600" s="25">
        <f>IFERROR(dynamic[profit]/dynamic[revenue], 0)</f>
        <v>0.2204638512</v>
      </c>
    </row>
    <row r="601" ht="15.75" customHeight="1">
      <c r="A601" s="6">
        <v>10473.0</v>
      </c>
      <c r="B601" s="7" t="s">
        <v>57</v>
      </c>
      <c r="C601" s="24" t="str">
        <f>VLOOKUP(dynamic[customerID],customers[],2,FALSE)</f>
        <v>Island Trading</v>
      </c>
      <c r="D601" s="24">
        <v>44998.0</v>
      </c>
      <c r="E601" s="6">
        <f>IFERROR(__xludf.DUMMYFUNCTION("COUNTUNIQUEIFS($A$2:$A601,$B$2:$B601,B601)"),4.0)</f>
        <v>4</v>
      </c>
      <c r="F601" s="6">
        <f t="shared" si="1"/>
        <v>161</v>
      </c>
      <c r="G601" s="6" t="str">
        <f>IF(MINIFS(dynamic[orderDate], dynamic[customerID], B601) &gt;= DATE(2024,4,30)-120, 
     "New", 
     IF(MAXIFS(dynamic[orderCount], dynamic[customerID], B601)&lt;=2, 
        IF((DATE(2024,4,30) - MAXIFS(dynamic[orderDate], dynamic[customerID], B601)) &gt; 180, "Non-Returning", "Dormant"), 
        IF(AND(MAX(dynamic[sinceLastOrder]) &gt; 365, (DATE(2024,4,30) - MAXIFS(dynamic[orderDate], dynamic[customerID], B601)) &gt; 180), 
           "Dormant", "Regular")))</f>
        <v>Regular</v>
      </c>
      <c r="H601" s="6">
        <v>71.0</v>
      </c>
      <c r="I601" s="9" t="str">
        <f>VLOOKUP(dynamic[productID],products[],2,FALSE)</f>
        <v>Flotemysost</v>
      </c>
      <c r="J601" s="9" t="str">
        <f>VLOOKUP(dynamic[productID],products[],12,FALSE)</f>
        <v>Dairy Products</v>
      </c>
      <c r="K601" s="7" t="str">
        <f>IF(VLOOKUP(dynamic[productID],products[],7,FALSE)=1,"Discontinued","Current")</f>
        <v>Current</v>
      </c>
      <c r="L601" s="9">
        <f>VLOOKUP(dynamic[productID],products[],IF(YEAR(dynamic[orderDate])=2022,8,IF(YEAR(dynamic[orderDate])=2023,9,IF(YEAR(dynamic[orderDate])=2024,10,NA))),FALSE)</f>
        <v>13.4003664</v>
      </c>
      <c r="M601" s="9">
        <v>17.2</v>
      </c>
      <c r="N601" s="25">
        <f>(dynamic[orderPrice]-dynamic[productCost])/dynamic[productCost]</f>
        <v>0.2835469929</v>
      </c>
      <c r="O601" s="10">
        <v>12.0</v>
      </c>
      <c r="P601" s="25">
        <v>0.0</v>
      </c>
      <c r="Q601" s="9">
        <f>dynamic[orderPrice]*dynamic[orderQuantity]</f>
        <v>206.4</v>
      </c>
      <c r="R601" s="9">
        <f>dynamic[orderTotal]*(1-dynamic[discountApllied])</f>
        <v>206.4</v>
      </c>
      <c r="S601" s="9">
        <f>dynamic[revenue]-(dynamic[productCost]*dynamic[orderQuantity])</f>
        <v>45.59560316</v>
      </c>
      <c r="T601" s="25">
        <f>IFERROR(dynamic[profit]/dynamic[revenue], 0)</f>
        <v>0.2209089301</v>
      </c>
    </row>
    <row r="602" ht="15.75" customHeight="1">
      <c r="A602" s="6">
        <v>10474.0</v>
      </c>
      <c r="B602" s="7" t="s">
        <v>58</v>
      </c>
      <c r="C602" s="24" t="str">
        <f>VLOOKUP(dynamic[customerID],customers[],2,FALSE)</f>
        <v>Pericles Comidas clásicas</v>
      </c>
      <c r="D602" s="24">
        <v>44998.0</v>
      </c>
      <c r="E602" s="6">
        <f>IFERROR(__xludf.DUMMYFUNCTION("COUNTUNIQUEIFS($A$2:$A602,$B$2:$B602,B602)"),3.0)</f>
        <v>3</v>
      </c>
      <c r="F602" s="6">
        <f t="shared" si="1"/>
        <v>119</v>
      </c>
      <c r="G602" s="6" t="str">
        <f>IF(MINIFS(dynamic[orderDate], dynamic[customerID], B602) &gt;= DATE(2024,4,30)-120, 
     "New", 
     IF(MAXIFS(dynamic[orderCount], dynamic[customerID], B602)&lt;=2, 
        IF((DATE(2024,4,30) - MAXIFS(dynamic[orderDate], dynamic[customerID], B602)) &gt; 180, "Non-Returning", "Dormant"), 
        IF(AND(MAX(dynamic[sinceLastOrder]) &gt; 365, (DATE(2024,4,30) - MAXIFS(dynamic[orderDate], dynamic[customerID], B602)) &gt; 180), 
           "Dormant", "Regular")))</f>
        <v>Regular</v>
      </c>
      <c r="H602" s="6">
        <v>14.0</v>
      </c>
      <c r="I602" s="9" t="str">
        <f>VLOOKUP(dynamic[productID],products[],2,FALSE)</f>
        <v>Tofu</v>
      </c>
      <c r="J602" s="9" t="str">
        <f>VLOOKUP(dynamic[productID],products[],12,FALSE)</f>
        <v>Produce</v>
      </c>
      <c r="K602" s="7" t="str">
        <f>IF(VLOOKUP(dynamic[productID],products[],7,FALSE)=1,"Discontinued","Current")</f>
        <v>Current</v>
      </c>
      <c r="L602" s="9">
        <f>VLOOKUP(dynamic[productID],products[],IF(YEAR(dynamic[orderDate])=2022,8,IF(YEAR(dynamic[orderDate])=2023,9,IF(YEAR(dynamic[orderDate])=2024,10,NA))),FALSE)</f>
        <v>15.38055417</v>
      </c>
      <c r="M602" s="9">
        <v>18.6</v>
      </c>
      <c r="N602" s="25">
        <f>(dynamic[orderPrice]-dynamic[productCost])/dynamic[productCost]</f>
        <v>0.2093192349</v>
      </c>
      <c r="O602" s="10">
        <v>12.0</v>
      </c>
      <c r="P602" s="25">
        <v>0.0</v>
      </c>
      <c r="Q602" s="9">
        <f>dynamic[orderPrice]*dynamic[orderQuantity]</f>
        <v>223.2</v>
      </c>
      <c r="R602" s="9">
        <f>dynamic[orderTotal]*(1-dynamic[discountApllied])</f>
        <v>223.2</v>
      </c>
      <c r="S602" s="9">
        <f>dynamic[revenue]-(dynamic[productCost]*dynamic[orderQuantity])</f>
        <v>38.63334998</v>
      </c>
      <c r="T602" s="25">
        <f>IFERROR(dynamic[profit]/dynamic[revenue], 0)</f>
        <v>0.1730884856</v>
      </c>
    </row>
    <row r="603" ht="15.75" customHeight="1">
      <c r="A603" s="6">
        <v>10474.0</v>
      </c>
      <c r="B603" s="7" t="s">
        <v>58</v>
      </c>
      <c r="C603" s="24" t="str">
        <f>VLOOKUP(dynamic[customerID],customers[],2,FALSE)</f>
        <v>Pericles Comidas clásicas</v>
      </c>
      <c r="D603" s="24">
        <v>44998.0</v>
      </c>
      <c r="E603" s="6">
        <f>IFERROR(__xludf.DUMMYFUNCTION("COUNTUNIQUEIFS($A$2:$A603,$B$2:$B603,B603)"),3.0)</f>
        <v>3</v>
      </c>
      <c r="F603" s="6">
        <f t="shared" si="1"/>
        <v>119</v>
      </c>
      <c r="G603" s="6" t="str">
        <f>IF(MINIFS(dynamic[orderDate], dynamic[customerID], B603) &gt;= DATE(2024,4,30)-120, 
     "New", 
     IF(MAXIFS(dynamic[orderCount], dynamic[customerID], B603)&lt;=2, 
        IF((DATE(2024,4,30) - MAXIFS(dynamic[orderDate], dynamic[customerID], B603)) &gt; 180, "Non-Returning", "Dormant"), 
        IF(AND(MAX(dynamic[sinceLastOrder]) &gt; 365, (DATE(2024,4,30) - MAXIFS(dynamic[orderDate], dynamic[customerID], B603)) &gt; 180), 
           "Dormant", "Regular")))</f>
        <v>Regular</v>
      </c>
      <c r="H603" s="6">
        <v>28.0</v>
      </c>
      <c r="I603" s="9" t="str">
        <f>VLOOKUP(dynamic[productID],products[],2,FALSE)</f>
        <v>Rössle Sauerkraut</v>
      </c>
      <c r="J603" s="9" t="str">
        <f>VLOOKUP(dynamic[productID],products[],12,FALSE)</f>
        <v>Produce</v>
      </c>
      <c r="K603" s="7" t="str">
        <f>IF(VLOOKUP(dynamic[productID],products[],7,FALSE)=1,"Discontinued","Current")</f>
        <v>Discontinued</v>
      </c>
      <c r="L603" s="9">
        <f>VLOOKUP(dynamic[productID],products[],IF(YEAR(dynamic[orderDate])=2022,8,IF(YEAR(dynamic[orderDate])=2023,9,IF(YEAR(dynamic[orderDate])=2024,10,NA))),FALSE)</f>
        <v>31.52644578</v>
      </c>
      <c r="M603" s="9">
        <v>36.4</v>
      </c>
      <c r="N603" s="25">
        <f>(dynamic[orderPrice]-dynamic[productCost])/dynamic[productCost]</f>
        <v>0.1545862244</v>
      </c>
      <c r="O603" s="10">
        <v>18.0</v>
      </c>
      <c r="P603" s="25">
        <v>0.0</v>
      </c>
      <c r="Q603" s="9">
        <f>dynamic[orderPrice]*dynamic[orderQuantity]</f>
        <v>655.2</v>
      </c>
      <c r="R603" s="9">
        <f>dynamic[orderTotal]*(1-dynamic[discountApllied])</f>
        <v>655.2</v>
      </c>
      <c r="S603" s="9">
        <f>dynamic[revenue]-(dynamic[productCost]*dynamic[orderQuantity])</f>
        <v>87.72397599</v>
      </c>
      <c r="T603" s="25">
        <f>IFERROR(dynamic[profit]/dynamic[revenue], 0)</f>
        <v>0.1338888522</v>
      </c>
    </row>
    <row r="604" ht="15.75" customHeight="1">
      <c r="A604" s="6">
        <v>10474.0</v>
      </c>
      <c r="B604" s="7" t="s">
        <v>58</v>
      </c>
      <c r="C604" s="24" t="str">
        <f>VLOOKUP(dynamic[customerID],customers[],2,FALSE)</f>
        <v>Pericles Comidas clásicas</v>
      </c>
      <c r="D604" s="24">
        <v>44998.0</v>
      </c>
      <c r="E604" s="6">
        <f>IFERROR(__xludf.DUMMYFUNCTION("COUNTUNIQUEIFS($A$2:$A604,$B$2:$B604,B604)"),3.0)</f>
        <v>3</v>
      </c>
      <c r="F604" s="6">
        <f t="shared" si="1"/>
        <v>119</v>
      </c>
      <c r="G604" s="6" t="str">
        <f>IF(MINIFS(dynamic[orderDate], dynamic[customerID], B604) &gt;= DATE(2024,4,30)-120, 
     "New", 
     IF(MAXIFS(dynamic[orderCount], dynamic[customerID], B604)&lt;=2, 
        IF((DATE(2024,4,30) - MAXIFS(dynamic[orderDate], dynamic[customerID], B604)) &gt; 180, "Non-Returning", "Dormant"), 
        IF(AND(MAX(dynamic[sinceLastOrder]) &gt; 365, (DATE(2024,4,30) - MAXIFS(dynamic[orderDate], dynamic[customerID], B604)) &gt; 180), 
           "Dormant", "Regular")))</f>
        <v>Regular</v>
      </c>
      <c r="H604" s="6">
        <v>40.0</v>
      </c>
      <c r="I604" s="9" t="str">
        <f>VLOOKUP(dynamic[productID],products[],2,FALSE)</f>
        <v>Boston Crab Meat</v>
      </c>
      <c r="J604" s="9" t="str">
        <f>VLOOKUP(dynamic[productID],products[],12,FALSE)</f>
        <v>Seafood</v>
      </c>
      <c r="K604" s="7" t="str">
        <f>IF(VLOOKUP(dynamic[productID],products[],7,FALSE)=1,"Discontinued","Current")</f>
        <v>Current</v>
      </c>
      <c r="L604" s="9">
        <f>VLOOKUP(dynamic[productID],products[],IF(YEAR(dynamic[orderDate])=2022,8,IF(YEAR(dynamic[orderDate])=2023,9,IF(YEAR(dynamic[orderDate])=2024,10,NA))),FALSE)</f>
        <v>11.40496523</v>
      </c>
      <c r="M604" s="9">
        <v>14.7</v>
      </c>
      <c r="N604" s="25">
        <f>(dynamic[orderPrice]-dynamic[productCost])/dynamic[productCost]</f>
        <v>0.2889123033</v>
      </c>
      <c r="O604" s="10">
        <v>21.0</v>
      </c>
      <c r="P604" s="25">
        <v>0.0</v>
      </c>
      <c r="Q604" s="9">
        <f>dynamic[orderPrice]*dynamic[orderQuantity]</f>
        <v>308.7</v>
      </c>
      <c r="R604" s="9">
        <f>dynamic[orderTotal]*(1-dynamic[discountApllied])</f>
        <v>308.7</v>
      </c>
      <c r="S604" s="9">
        <f>dynamic[revenue]-(dynamic[productCost]*dynamic[orderQuantity])</f>
        <v>69.19573023</v>
      </c>
      <c r="T604" s="25">
        <f>IFERROR(dynamic[profit]/dynamic[revenue], 0)</f>
        <v>0.2241520254</v>
      </c>
    </row>
    <row r="605" ht="15.75" customHeight="1">
      <c r="A605" s="6">
        <v>10474.0</v>
      </c>
      <c r="B605" s="7" t="s">
        <v>58</v>
      </c>
      <c r="C605" s="24" t="str">
        <f>VLOOKUP(dynamic[customerID],customers[],2,FALSE)</f>
        <v>Pericles Comidas clásicas</v>
      </c>
      <c r="D605" s="24">
        <v>44998.0</v>
      </c>
      <c r="E605" s="6">
        <f>IFERROR(__xludf.DUMMYFUNCTION("COUNTUNIQUEIFS($A$2:$A605,$B$2:$B605,B605)"),3.0)</f>
        <v>3</v>
      </c>
      <c r="F605" s="6">
        <f t="shared" si="1"/>
        <v>119</v>
      </c>
      <c r="G605" s="6" t="str">
        <f>IF(MINIFS(dynamic[orderDate], dynamic[customerID], B605) &gt;= DATE(2024,4,30)-120, 
     "New", 
     IF(MAXIFS(dynamic[orderCount], dynamic[customerID], B605)&lt;=2, 
        IF((DATE(2024,4,30) - MAXIFS(dynamic[orderDate], dynamic[customerID], B605)) &gt; 180, "Non-Returning", "Dormant"), 
        IF(AND(MAX(dynamic[sinceLastOrder]) &gt; 365, (DATE(2024,4,30) - MAXIFS(dynamic[orderDate], dynamic[customerID], B605)) &gt; 180), 
           "Dormant", "Regular")))</f>
        <v>Regular</v>
      </c>
      <c r="H605" s="6">
        <v>75.0</v>
      </c>
      <c r="I605" s="9" t="str">
        <f>VLOOKUP(dynamic[productID],products[],2,FALSE)</f>
        <v>Rhönbräu Klosterbier</v>
      </c>
      <c r="J605" s="9" t="str">
        <f>VLOOKUP(dynamic[productID],products[],12,FALSE)</f>
        <v>Beverages</v>
      </c>
      <c r="K605" s="7" t="str">
        <f>IF(VLOOKUP(dynamic[productID],products[],7,FALSE)=1,"Discontinued","Current")</f>
        <v>Current</v>
      </c>
      <c r="L605" s="9">
        <f>VLOOKUP(dynamic[productID],products[],IF(YEAR(dynamic[orderDate])=2022,8,IF(YEAR(dynamic[orderDate])=2023,9,IF(YEAR(dynamic[orderDate])=2024,10,NA))),FALSE)</f>
        <v>5.355290472</v>
      </c>
      <c r="M605" s="9">
        <v>6.2</v>
      </c>
      <c r="N605" s="25">
        <f>(dynamic[orderPrice]-dynamic[productCost])/dynamic[productCost]</f>
        <v>0.1577336529</v>
      </c>
      <c r="O605" s="10">
        <v>10.0</v>
      </c>
      <c r="P605" s="25">
        <v>0.0</v>
      </c>
      <c r="Q605" s="9">
        <f>dynamic[orderPrice]*dynamic[orderQuantity]</f>
        <v>62</v>
      </c>
      <c r="R605" s="9">
        <f>dynamic[orderTotal]*(1-dynamic[discountApllied])</f>
        <v>62</v>
      </c>
      <c r="S605" s="9">
        <f>dynamic[revenue]-(dynamic[productCost]*dynamic[orderQuantity])</f>
        <v>8.447095283</v>
      </c>
      <c r="T605" s="25">
        <f>IFERROR(dynamic[profit]/dynamic[revenue], 0)</f>
        <v>0.1362434723</v>
      </c>
    </row>
    <row r="606" ht="15.75" customHeight="1">
      <c r="A606" s="6">
        <v>10475.0</v>
      </c>
      <c r="B606" s="7" t="s">
        <v>19</v>
      </c>
      <c r="C606" s="24" t="str">
        <f>VLOOKUP(dynamic[customerID],customers[],2,FALSE)</f>
        <v>Suprêmes délices</v>
      </c>
      <c r="D606" s="24">
        <v>44999.0</v>
      </c>
      <c r="E606" s="6">
        <f>IFERROR(__xludf.DUMMYFUNCTION("COUNTUNIQUEIFS($A$2:$A606,$B$2:$B606,B606)"),5.0)</f>
        <v>5</v>
      </c>
      <c r="F606" s="6">
        <f t="shared" si="1"/>
        <v>10</v>
      </c>
      <c r="G606" s="6" t="str">
        <f>IF(MINIFS(dynamic[orderDate], dynamic[customerID], B606) &gt;= DATE(2024,4,30)-120, 
     "New", 
     IF(MAXIFS(dynamic[orderCount], dynamic[customerID], B606)&lt;=2, 
        IF((DATE(2024,4,30) - MAXIFS(dynamic[orderDate], dynamic[customerID], B606)) &gt; 180, "Non-Returning", "Dormant"), 
        IF(AND(MAX(dynamic[sinceLastOrder]) &gt; 365, (DATE(2024,4,30) - MAXIFS(dynamic[orderDate], dynamic[customerID], B606)) &gt; 180), 
           "Dormant", "Regular")))</f>
        <v>Regular</v>
      </c>
      <c r="H606" s="6">
        <v>31.0</v>
      </c>
      <c r="I606" s="9" t="str">
        <f>VLOOKUP(dynamic[productID],products[],2,FALSE)</f>
        <v>Gorgonzola Telino</v>
      </c>
      <c r="J606" s="9" t="str">
        <f>VLOOKUP(dynamic[productID],products[],12,FALSE)</f>
        <v>Dairy Products</v>
      </c>
      <c r="K606" s="7" t="str">
        <f>IF(VLOOKUP(dynamic[productID],products[],7,FALSE)=1,"Discontinued","Current")</f>
        <v>Current</v>
      </c>
      <c r="L606" s="9">
        <f>VLOOKUP(dynamic[productID],products[],IF(YEAR(dynamic[orderDate])=2022,8,IF(YEAR(dynamic[orderDate])=2023,9,IF(YEAR(dynamic[orderDate])=2024,10,NA))),FALSE)</f>
        <v>7.937729254</v>
      </c>
      <c r="M606" s="9">
        <v>10.0</v>
      </c>
      <c r="N606" s="25">
        <f>(dynamic[orderPrice]-dynamic[productCost])/dynamic[productCost]</f>
        <v>0.2598061334</v>
      </c>
      <c r="O606" s="10">
        <v>35.0</v>
      </c>
      <c r="P606" s="25">
        <v>0.15</v>
      </c>
      <c r="Q606" s="9">
        <f>dynamic[orderPrice]*dynamic[orderQuantity]</f>
        <v>350</v>
      </c>
      <c r="R606" s="9">
        <f>dynamic[orderTotal]*(1-dynamic[discountApllied])</f>
        <v>297.5</v>
      </c>
      <c r="S606" s="9">
        <f>dynamic[revenue]-(dynamic[productCost]*dynamic[orderQuantity])</f>
        <v>19.6794761</v>
      </c>
      <c r="T606" s="25">
        <f>IFERROR(dynamic[profit]/dynamic[revenue], 0)</f>
        <v>0.0661494995</v>
      </c>
    </row>
    <row r="607" ht="15.75" customHeight="1">
      <c r="A607" s="6">
        <v>10475.0</v>
      </c>
      <c r="B607" s="7" t="s">
        <v>19</v>
      </c>
      <c r="C607" s="24" t="str">
        <f>VLOOKUP(dynamic[customerID],customers[],2,FALSE)</f>
        <v>Suprêmes délices</v>
      </c>
      <c r="D607" s="24">
        <v>44999.0</v>
      </c>
      <c r="E607" s="6">
        <f>IFERROR(__xludf.DUMMYFUNCTION("COUNTUNIQUEIFS($A$2:$A607,$B$2:$B607,B607)"),5.0)</f>
        <v>5</v>
      </c>
      <c r="F607" s="6">
        <f t="shared" si="1"/>
        <v>10</v>
      </c>
      <c r="G607" s="6" t="str">
        <f>IF(MINIFS(dynamic[orderDate], dynamic[customerID], B607) &gt;= DATE(2024,4,30)-120, 
     "New", 
     IF(MAXIFS(dynamic[orderCount], dynamic[customerID], B607)&lt;=2, 
        IF((DATE(2024,4,30) - MAXIFS(dynamic[orderDate], dynamic[customerID], B607)) &gt; 180, "Non-Returning", "Dormant"), 
        IF(AND(MAX(dynamic[sinceLastOrder]) &gt; 365, (DATE(2024,4,30) - MAXIFS(dynamic[orderDate], dynamic[customerID], B607)) &gt; 180), 
           "Dormant", "Regular")))</f>
        <v>Regular</v>
      </c>
      <c r="H607" s="6">
        <v>66.0</v>
      </c>
      <c r="I607" s="9" t="str">
        <f>VLOOKUP(dynamic[productID],products[],2,FALSE)</f>
        <v>Louisiana Hot Spiced Okra</v>
      </c>
      <c r="J607" s="9" t="str">
        <f>VLOOKUP(dynamic[productID],products[],12,FALSE)</f>
        <v>Condiments</v>
      </c>
      <c r="K607" s="7" t="str">
        <f>IF(VLOOKUP(dynamic[productID],products[],7,FALSE)=1,"Discontinued","Current")</f>
        <v>Current</v>
      </c>
      <c r="L607" s="9">
        <f>VLOOKUP(dynamic[productID],products[],IF(YEAR(dynamic[orderDate])=2022,8,IF(YEAR(dynamic[orderDate])=2023,9,IF(YEAR(dynamic[orderDate])=2024,10,NA))),FALSE)</f>
        <v>10.17313149</v>
      </c>
      <c r="M607" s="9">
        <v>13.6</v>
      </c>
      <c r="N607" s="25">
        <f>(dynamic[orderPrice]-dynamic[productCost])/dynamic[productCost]</f>
        <v>0.3368548334</v>
      </c>
      <c r="O607" s="10">
        <v>60.0</v>
      </c>
      <c r="P607" s="25">
        <v>0.15</v>
      </c>
      <c r="Q607" s="9">
        <f>dynamic[orderPrice]*dynamic[orderQuantity]</f>
        <v>816</v>
      </c>
      <c r="R607" s="9">
        <f>dynamic[orderTotal]*(1-dynamic[discountApllied])</f>
        <v>693.6</v>
      </c>
      <c r="S607" s="9">
        <f>dynamic[revenue]-(dynamic[productCost]*dynamic[orderQuantity])</f>
        <v>83.21211074</v>
      </c>
      <c r="T607" s="25">
        <f>IFERROR(dynamic[profit]/dynamic[revenue], 0)</f>
        <v>0.1199713246</v>
      </c>
    </row>
    <row r="608" ht="15.75" customHeight="1">
      <c r="A608" s="6">
        <v>10475.0</v>
      </c>
      <c r="B608" s="7" t="s">
        <v>19</v>
      </c>
      <c r="C608" s="24" t="str">
        <f>VLOOKUP(dynamic[customerID],customers[],2,FALSE)</f>
        <v>Suprêmes délices</v>
      </c>
      <c r="D608" s="24">
        <v>44999.0</v>
      </c>
      <c r="E608" s="6">
        <f>IFERROR(__xludf.DUMMYFUNCTION("COUNTUNIQUEIFS($A$2:$A608,$B$2:$B608,B608)"),5.0)</f>
        <v>5</v>
      </c>
      <c r="F608" s="6">
        <f t="shared" si="1"/>
        <v>10</v>
      </c>
      <c r="G608" s="6" t="str">
        <f>IF(MINIFS(dynamic[orderDate], dynamic[customerID], B608) &gt;= DATE(2024,4,30)-120, 
     "New", 
     IF(MAXIFS(dynamic[orderCount], dynamic[customerID], B608)&lt;=2, 
        IF((DATE(2024,4,30) - MAXIFS(dynamic[orderDate], dynamic[customerID], B608)) &gt; 180, "Non-Returning", "Dormant"), 
        IF(AND(MAX(dynamic[sinceLastOrder]) &gt; 365, (DATE(2024,4,30) - MAXIFS(dynamic[orderDate], dynamic[customerID], B608)) &gt; 180), 
           "Dormant", "Regular")))</f>
        <v>Regular</v>
      </c>
      <c r="H608" s="6">
        <v>76.0</v>
      </c>
      <c r="I608" s="9" t="str">
        <f>VLOOKUP(dynamic[productID],products[],2,FALSE)</f>
        <v>Lakkalikööri</v>
      </c>
      <c r="J608" s="9" t="str">
        <f>VLOOKUP(dynamic[productID],products[],12,FALSE)</f>
        <v>Beverages</v>
      </c>
      <c r="K608" s="7" t="str">
        <f>IF(VLOOKUP(dynamic[productID],products[],7,FALSE)=1,"Discontinued","Current")</f>
        <v>Current</v>
      </c>
      <c r="L608" s="9">
        <f>VLOOKUP(dynamic[productID],products[],IF(YEAR(dynamic[orderDate])=2022,8,IF(YEAR(dynamic[orderDate])=2023,9,IF(YEAR(dynamic[orderDate])=2024,10,NA))),FALSE)</f>
        <v>12.1154529</v>
      </c>
      <c r="M608" s="9">
        <v>14.4</v>
      </c>
      <c r="N608" s="25">
        <f>(dynamic[orderPrice]-dynamic[productCost])/dynamic[productCost]</f>
        <v>0.18856473</v>
      </c>
      <c r="O608" s="10">
        <v>42.0</v>
      </c>
      <c r="P608" s="25">
        <v>0.15</v>
      </c>
      <c r="Q608" s="9">
        <f>dynamic[orderPrice]*dynamic[orderQuantity]</f>
        <v>604.8</v>
      </c>
      <c r="R608" s="9">
        <f>dynamic[orderTotal]*(1-dynamic[discountApllied])</f>
        <v>514.08</v>
      </c>
      <c r="S608" s="9">
        <f>dynamic[revenue]-(dynamic[productCost]*dynamic[orderQuantity])</f>
        <v>5.23097839</v>
      </c>
      <c r="T608" s="25">
        <f>IFERROR(dynamic[profit]/dynamic[revenue], 0)</f>
        <v>0.01017541704</v>
      </c>
    </row>
    <row r="609" ht="15.75" customHeight="1">
      <c r="A609" s="6">
        <v>10476.0</v>
      </c>
      <c r="B609" s="7" t="s">
        <v>23</v>
      </c>
      <c r="C609" s="24" t="str">
        <f>VLOOKUP(dynamic[customerID],customers[],2,FALSE)</f>
        <v>HILARION-Abastos</v>
      </c>
      <c r="D609" s="24">
        <v>45002.0</v>
      </c>
      <c r="E609" s="6">
        <f>IFERROR(__xludf.DUMMYFUNCTION("COUNTUNIQUEIFS($A$2:$A609,$B$2:$B609,B609)"),3.0)</f>
        <v>3</v>
      </c>
      <c r="F609" s="6">
        <f t="shared" si="1"/>
        <v>81</v>
      </c>
      <c r="G609" s="6" t="str">
        <f>IF(MINIFS(dynamic[orderDate], dynamic[customerID], B609) &gt;= DATE(2024,4,30)-120, 
     "New", 
     IF(MAXIFS(dynamic[orderCount], dynamic[customerID], B609)&lt;=2, 
        IF((DATE(2024,4,30) - MAXIFS(dynamic[orderDate], dynamic[customerID], B609)) &gt; 180, "Non-Returning", "Dormant"), 
        IF(AND(MAX(dynamic[sinceLastOrder]) &gt; 365, (DATE(2024,4,30) - MAXIFS(dynamic[orderDate], dynamic[customerID], B609)) &gt; 180), 
           "Dormant", "Regular")))</f>
        <v>Regular</v>
      </c>
      <c r="H609" s="6">
        <v>55.0</v>
      </c>
      <c r="I609" s="9" t="str">
        <f>VLOOKUP(dynamic[productID],products[],2,FALSE)</f>
        <v>Pâté chinois</v>
      </c>
      <c r="J609" s="9" t="str">
        <f>VLOOKUP(dynamic[productID],products[],12,FALSE)</f>
        <v>Meat/Poultry</v>
      </c>
      <c r="K609" s="7" t="str">
        <f>IF(VLOOKUP(dynamic[productID],products[],7,FALSE)=1,"Discontinued","Current")</f>
        <v>Current</v>
      </c>
      <c r="L609" s="9">
        <f>VLOOKUP(dynamic[productID],products[],IF(YEAR(dynamic[orderDate])=2022,8,IF(YEAR(dynamic[orderDate])=2023,9,IF(YEAR(dynamic[orderDate])=2024,10,NA))),FALSE)</f>
        <v>14.92398776</v>
      </c>
      <c r="M609" s="9">
        <v>19.2</v>
      </c>
      <c r="N609" s="25">
        <f>(dynamic[orderPrice]-dynamic[productCost])/dynamic[productCost]</f>
        <v>0.2865194145</v>
      </c>
      <c r="O609" s="10">
        <v>2.0</v>
      </c>
      <c r="P609" s="25">
        <v>0.05</v>
      </c>
      <c r="Q609" s="9">
        <f>dynamic[orderPrice]*dynamic[orderQuantity]</f>
        <v>38.4</v>
      </c>
      <c r="R609" s="9">
        <f>dynamic[orderTotal]*(1-dynamic[discountApllied])</f>
        <v>36.48</v>
      </c>
      <c r="S609" s="9">
        <f>dynamic[revenue]-(dynamic[productCost]*dynamic[orderQuantity])</f>
        <v>6.632024472</v>
      </c>
      <c r="T609" s="25">
        <f>IFERROR(dynamic[profit]/dynamic[revenue], 0)</f>
        <v>0.1817989164</v>
      </c>
    </row>
    <row r="610" ht="15.75" customHeight="1">
      <c r="A610" s="6">
        <v>10476.0</v>
      </c>
      <c r="B610" s="7" t="s">
        <v>23</v>
      </c>
      <c r="C610" s="24" t="str">
        <f>VLOOKUP(dynamic[customerID],customers[],2,FALSE)</f>
        <v>HILARION-Abastos</v>
      </c>
      <c r="D610" s="24">
        <v>45002.0</v>
      </c>
      <c r="E610" s="6">
        <f>IFERROR(__xludf.DUMMYFUNCTION("COUNTUNIQUEIFS($A$2:$A610,$B$2:$B610,B610)"),3.0)</f>
        <v>3</v>
      </c>
      <c r="F610" s="6">
        <f t="shared" si="1"/>
        <v>81</v>
      </c>
      <c r="G610" s="6" t="str">
        <f>IF(MINIFS(dynamic[orderDate], dynamic[customerID], B610) &gt;= DATE(2024,4,30)-120, 
     "New", 
     IF(MAXIFS(dynamic[orderCount], dynamic[customerID], B610)&lt;=2, 
        IF((DATE(2024,4,30) - MAXIFS(dynamic[orderDate], dynamic[customerID], B610)) &gt; 180, "Non-Returning", "Dormant"), 
        IF(AND(MAX(dynamic[sinceLastOrder]) &gt; 365, (DATE(2024,4,30) - MAXIFS(dynamic[orderDate], dynamic[customerID], B610)) &gt; 180), 
           "Dormant", "Regular")))</f>
        <v>Regular</v>
      </c>
      <c r="H610" s="6">
        <v>70.0</v>
      </c>
      <c r="I610" s="9" t="str">
        <f>VLOOKUP(dynamic[productID],products[],2,FALSE)</f>
        <v>Outback Lager</v>
      </c>
      <c r="J610" s="9" t="str">
        <f>VLOOKUP(dynamic[productID],products[],12,FALSE)</f>
        <v>Beverages</v>
      </c>
      <c r="K610" s="7" t="str">
        <f>IF(VLOOKUP(dynamic[productID],products[],7,FALSE)=1,"Discontinued","Current")</f>
        <v>Current</v>
      </c>
      <c r="L610" s="9">
        <f>VLOOKUP(dynamic[productID],products[],IF(YEAR(dynamic[orderDate])=2022,8,IF(YEAR(dynamic[orderDate])=2023,9,IF(YEAR(dynamic[orderDate])=2024,10,NA))),FALSE)</f>
        <v>9.793094091</v>
      </c>
      <c r="M610" s="9">
        <v>12.0</v>
      </c>
      <c r="N610" s="25">
        <f>(dynamic[orderPrice]-dynamic[productCost])/dynamic[productCost]</f>
        <v>0.2253532835</v>
      </c>
      <c r="O610" s="10">
        <v>12.0</v>
      </c>
      <c r="P610" s="25">
        <v>0.0</v>
      </c>
      <c r="Q610" s="9">
        <f>dynamic[orderPrice]*dynamic[orderQuantity]</f>
        <v>144</v>
      </c>
      <c r="R610" s="9">
        <f>dynamic[orderTotal]*(1-dynamic[discountApllied])</f>
        <v>144</v>
      </c>
      <c r="S610" s="9">
        <f>dynamic[revenue]-(dynamic[productCost]*dynamic[orderQuantity])</f>
        <v>26.48287091</v>
      </c>
      <c r="T610" s="25">
        <f>IFERROR(dynamic[profit]/dynamic[revenue], 0)</f>
        <v>0.1839088257</v>
      </c>
    </row>
    <row r="611" ht="15.75" customHeight="1">
      <c r="A611" s="6">
        <v>10477.0</v>
      </c>
      <c r="B611" s="7" t="s">
        <v>65</v>
      </c>
      <c r="C611" s="24" t="str">
        <f>VLOOKUP(dynamic[customerID],customers[],2,FALSE)</f>
        <v>Princesa Isabel Vinhos</v>
      </c>
      <c r="D611" s="24">
        <v>45002.0</v>
      </c>
      <c r="E611" s="6">
        <f>IFERROR(__xludf.DUMMYFUNCTION("COUNTUNIQUEIFS($A$2:$A611,$B$2:$B611,B611)"),4.0)</f>
        <v>4</v>
      </c>
      <c r="F611" s="6">
        <f t="shared" si="1"/>
        <v>42</v>
      </c>
      <c r="G611" s="6" t="str">
        <f>IF(MINIFS(dynamic[orderDate], dynamic[customerID], B611) &gt;= DATE(2024,4,30)-120, 
     "New", 
     IF(MAXIFS(dynamic[orderCount], dynamic[customerID], B611)&lt;=2, 
        IF((DATE(2024,4,30) - MAXIFS(dynamic[orderDate], dynamic[customerID], B611)) &gt; 180, "Non-Returning", "Dormant"), 
        IF(AND(MAX(dynamic[sinceLastOrder]) &gt; 365, (DATE(2024,4,30) - MAXIFS(dynamic[orderDate], dynamic[customerID], B611)) &gt; 180), 
           "Dormant", "Regular")))</f>
        <v>Regular</v>
      </c>
      <c r="H611" s="6">
        <v>1.0</v>
      </c>
      <c r="I611" s="9" t="str">
        <f>VLOOKUP(dynamic[productID],products[],2,FALSE)</f>
        <v>Chai</v>
      </c>
      <c r="J611" s="9" t="str">
        <f>VLOOKUP(dynamic[productID],products[],12,FALSE)</f>
        <v>Beverages</v>
      </c>
      <c r="K611" s="7" t="str">
        <f>IF(VLOOKUP(dynamic[productID],products[],7,FALSE)=1,"Discontinued","Current")</f>
        <v>Current</v>
      </c>
      <c r="L611" s="9">
        <f>VLOOKUP(dynamic[productID],products[],IF(YEAR(dynamic[orderDate])=2022,8,IF(YEAR(dynamic[orderDate])=2023,9,IF(YEAR(dynamic[orderDate])=2024,10,NA))),FALSE)</f>
        <v>12.15847607</v>
      </c>
      <c r="M611" s="9">
        <v>14.4</v>
      </c>
      <c r="N611" s="25">
        <f>(dynamic[orderPrice]-dynamic[productCost])/dynamic[productCost]</f>
        <v>0.1843589542</v>
      </c>
      <c r="O611" s="10">
        <v>15.0</v>
      </c>
      <c r="P611" s="25">
        <v>0.0</v>
      </c>
      <c r="Q611" s="9">
        <f>dynamic[orderPrice]*dynamic[orderQuantity]</f>
        <v>216</v>
      </c>
      <c r="R611" s="9">
        <f>dynamic[orderTotal]*(1-dynamic[discountApllied])</f>
        <v>216</v>
      </c>
      <c r="S611" s="9">
        <f>dynamic[revenue]-(dynamic[productCost]*dynamic[orderQuantity])</f>
        <v>33.62285898</v>
      </c>
      <c r="T611" s="25">
        <f>IFERROR(dynamic[profit]/dynamic[revenue], 0)</f>
        <v>0.1556613842</v>
      </c>
    </row>
    <row r="612" ht="15.75" customHeight="1">
      <c r="A612" s="6">
        <v>10477.0</v>
      </c>
      <c r="B612" s="7" t="s">
        <v>65</v>
      </c>
      <c r="C612" s="24" t="str">
        <f>VLOOKUP(dynamic[customerID],customers[],2,FALSE)</f>
        <v>Princesa Isabel Vinhos</v>
      </c>
      <c r="D612" s="24">
        <v>45002.0</v>
      </c>
      <c r="E612" s="6">
        <f>IFERROR(__xludf.DUMMYFUNCTION("COUNTUNIQUEIFS($A$2:$A612,$B$2:$B612,B612)"),4.0)</f>
        <v>4</v>
      </c>
      <c r="F612" s="6">
        <f t="shared" si="1"/>
        <v>42</v>
      </c>
      <c r="G612" s="6" t="str">
        <f>IF(MINIFS(dynamic[orderDate], dynamic[customerID], B612) &gt;= DATE(2024,4,30)-120, 
     "New", 
     IF(MAXIFS(dynamic[orderCount], dynamic[customerID], B612)&lt;=2, 
        IF((DATE(2024,4,30) - MAXIFS(dynamic[orderDate], dynamic[customerID], B612)) &gt; 180, "Non-Returning", "Dormant"), 
        IF(AND(MAX(dynamic[sinceLastOrder]) &gt; 365, (DATE(2024,4,30) - MAXIFS(dynamic[orderDate], dynamic[customerID], B612)) &gt; 180), 
           "Dormant", "Regular")))</f>
        <v>Regular</v>
      </c>
      <c r="H612" s="6">
        <v>21.0</v>
      </c>
      <c r="I612" s="9" t="str">
        <f>VLOOKUP(dynamic[productID],products[],2,FALSE)</f>
        <v>Sir Rodney's Scones</v>
      </c>
      <c r="J612" s="9" t="str">
        <f>VLOOKUP(dynamic[productID],products[],12,FALSE)</f>
        <v>Confections</v>
      </c>
      <c r="K612" s="7" t="str">
        <f>IF(VLOOKUP(dynamic[productID],products[],7,FALSE)=1,"Discontinued","Current")</f>
        <v>Current</v>
      </c>
      <c r="L612" s="9">
        <f>VLOOKUP(dynamic[productID],products[],IF(YEAR(dynamic[orderDate])=2022,8,IF(YEAR(dynamic[orderDate])=2023,9,IF(YEAR(dynamic[orderDate])=2024,10,NA))),FALSE)</f>
        <v>6.725636111</v>
      </c>
      <c r="M612" s="9">
        <v>8.0</v>
      </c>
      <c r="N612" s="25">
        <f>(dynamic[orderPrice]-dynamic[productCost])/dynamic[productCost]</f>
        <v>0.1894785664</v>
      </c>
      <c r="O612" s="10">
        <v>21.0</v>
      </c>
      <c r="P612" s="25">
        <v>0.25</v>
      </c>
      <c r="Q612" s="9">
        <f>dynamic[orderPrice]*dynamic[orderQuantity]</f>
        <v>168</v>
      </c>
      <c r="R612" s="9">
        <f>dynamic[orderTotal]*(1-dynamic[discountApllied])</f>
        <v>126</v>
      </c>
      <c r="S612" s="9">
        <f>dynamic[revenue]-(dynamic[productCost]*dynamic[orderQuantity])</f>
        <v>-15.23835834</v>
      </c>
      <c r="T612" s="25">
        <f>IFERROR(dynamic[profit]/dynamic[revenue], 0)</f>
        <v>-0.1209393519</v>
      </c>
    </row>
    <row r="613" ht="15.75" customHeight="1">
      <c r="A613" s="6">
        <v>10477.0</v>
      </c>
      <c r="B613" s="7" t="s">
        <v>65</v>
      </c>
      <c r="C613" s="24" t="str">
        <f>VLOOKUP(dynamic[customerID],customers[],2,FALSE)</f>
        <v>Princesa Isabel Vinhos</v>
      </c>
      <c r="D613" s="24">
        <v>45002.0</v>
      </c>
      <c r="E613" s="6">
        <f>IFERROR(__xludf.DUMMYFUNCTION("COUNTUNIQUEIFS($A$2:$A613,$B$2:$B613,B613)"),4.0)</f>
        <v>4</v>
      </c>
      <c r="F613" s="6">
        <f t="shared" si="1"/>
        <v>42</v>
      </c>
      <c r="G613" s="6" t="str">
        <f>IF(MINIFS(dynamic[orderDate], dynamic[customerID], B613) &gt;= DATE(2024,4,30)-120, 
     "New", 
     IF(MAXIFS(dynamic[orderCount], dynamic[customerID], B613)&lt;=2, 
        IF((DATE(2024,4,30) - MAXIFS(dynamic[orderDate], dynamic[customerID], B613)) &gt; 180, "Non-Returning", "Dormant"), 
        IF(AND(MAX(dynamic[sinceLastOrder]) &gt; 365, (DATE(2024,4,30) - MAXIFS(dynamic[orderDate], dynamic[customerID], B613)) &gt; 180), 
           "Dormant", "Regular")))</f>
        <v>Regular</v>
      </c>
      <c r="H613" s="6">
        <v>39.0</v>
      </c>
      <c r="I613" s="9" t="str">
        <f>VLOOKUP(dynamic[productID],products[],2,FALSE)</f>
        <v>Chartreuse verte</v>
      </c>
      <c r="J613" s="9" t="str">
        <f>VLOOKUP(dynamic[productID],products[],12,FALSE)</f>
        <v>Beverages</v>
      </c>
      <c r="K613" s="7" t="str">
        <f>IF(VLOOKUP(dynamic[productID],products[],7,FALSE)=1,"Discontinued","Current")</f>
        <v>Current</v>
      </c>
      <c r="L613" s="9">
        <f>VLOOKUP(dynamic[productID],products[],IF(YEAR(dynamic[orderDate])=2022,8,IF(YEAR(dynamic[orderDate])=2023,9,IF(YEAR(dynamic[orderDate])=2024,10,NA))),FALSE)</f>
        <v>11.73311441</v>
      </c>
      <c r="M613" s="9">
        <v>14.4</v>
      </c>
      <c r="N613" s="25">
        <f>(dynamic[orderPrice]-dynamic[productCost])/dynamic[productCost]</f>
        <v>0.2272956261</v>
      </c>
      <c r="O613" s="10">
        <v>20.0</v>
      </c>
      <c r="P613" s="25">
        <v>0.25</v>
      </c>
      <c r="Q613" s="9">
        <f>dynamic[orderPrice]*dynamic[orderQuantity]</f>
        <v>288</v>
      </c>
      <c r="R613" s="9">
        <f>dynamic[orderTotal]*(1-dynamic[discountApllied])</f>
        <v>216</v>
      </c>
      <c r="S613" s="9">
        <f>dynamic[revenue]-(dynamic[productCost]*dynamic[orderQuantity])</f>
        <v>-18.66228826</v>
      </c>
      <c r="T613" s="25">
        <f>IFERROR(dynamic[profit]/dynamic[revenue], 0)</f>
        <v>-0.08639948271</v>
      </c>
    </row>
    <row r="614" ht="15.75" customHeight="1">
      <c r="A614" s="6">
        <v>10478.0</v>
      </c>
      <c r="B614" s="7" t="s">
        <v>18</v>
      </c>
      <c r="C614" s="24" t="str">
        <f>VLOOKUP(dynamic[customerID],customers[],2,FALSE)</f>
        <v>Victuailles en stock</v>
      </c>
      <c r="D614" s="24">
        <v>45003.0</v>
      </c>
      <c r="E614" s="6">
        <f>IFERROR(__xludf.DUMMYFUNCTION("COUNTUNIQUEIFS($A$2:$A614,$B$2:$B614,B614)"),5.0)</f>
        <v>5</v>
      </c>
      <c r="F614" s="6">
        <f t="shared" si="1"/>
        <v>19</v>
      </c>
      <c r="G614" s="6" t="str">
        <f>IF(MINIFS(dynamic[orderDate], dynamic[customerID], B614) &gt;= DATE(2024,4,30)-120, 
     "New", 
     IF(MAXIFS(dynamic[orderCount], dynamic[customerID], B614)&lt;=2, 
        IF((DATE(2024,4,30) - MAXIFS(dynamic[orderDate], dynamic[customerID], B614)) &gt; 180, "Non-Returning", "Dormant"), 
        IF(AND(MAX(dynamic[sinceLastOrder]) &gt; 365, (DATE(2024,4,30) - MAXIFS(dynamic[orderDate], dynamic[customerID], B614)) &gt; 180), 
           "Dormant", "Regular")))</f>
        <v>Regular</v>
      </c>
      <c r="H614" s="6">
        <v>10.0</v>
      </c>
      <c r="I614" s="9" t="str">
        <f>VLOOKUP(dynamic[productID],products[],2,FALSE)</f>
        <v>Ikura</v>
      </c>
      <c r="J614" s="9" t="str">
        <f>VLOOKUP(dynamic[productID],products[],12,FALSE)</f>
        <v>Seafood</v>
      </c>
      <c r="K614" s="7" t="str">
        <f>IF(VLOOKUP(dynamic[productID],products[],7,FALSE)=1,"Discontinued","Current")</f>
        <v>Current</v>
      </c>
      <c r="L614" s="9">
        <f>VLOOKUP(dynamic[productID],products[],IF(YEAR(dynamic[orderDate])=2022,8,IF(YEAR(dynamic[orderDate])=2023,9,IF(YEAR(dynamic[orderDate])=2024,10,NA))),FALSE)</f>
        <v>20.72721922</v>
      </c>
      <c r="M614" s="9">
        <v>24.8</v>
      </c>
      <c r="N614" s="25">
        <f>(dynamic[orderPrice]-dynamic[productCost])/dynamic[productCost]</f>
        <v>0.196494317</v>
      </c>
      <c r="O614" s="10">
        <v>20.0</v>
      </c>
      <c r="P614" s="25">
        <v>0.05</v>
      </c>
      <c r="Q614" s="9">
        <f>dynamic[orderPrice]*dynamic[orderQuantity]</f>
        <v>496</v>
      </c>
      <c r="R614" s="9">
        <f>dynamic[orderTotal]*(1-dynamic[discountApllied])</f>
        <v>471.2</v>
      </c>
      <c r="S614" s="9">
        <f>dynamic[revenue]-(dynamic[productCost]*dynamic[orderQuantity])</f>
        <v>56.65561565</v>
      </c>
      <c r="T614" s="25">
        <f>IFERROR(dynamic[profit]/dynamic[revenue], 0)</f>
        <v>0.1202368753</v>
      </c>
    </row>
    <row r="615" ht="15.75" customHeight="1">
      <c r="A615" s="6">
        <v>10479.0</v>
      </c>
      <c r="B615" s="7" t="s">
        <v>28</v>
      </c>
      <c r="C615" s="24" t="str">
        <f>VLOOKUP(dynamic[customerID],customers[],2,FALSE)</f>
        <v>Rattlesnake Canyon Grocery</v>
      </c>
      <c r="D615" s="24">
        <v>45004.0</v>
      </c>
      <c r="E615" s="6">
        <f>IFERROR(__xludf.DUMMYFUNCTION("COUNTUNIQUEIFS($A$2:$A615,$B$2:$B615,B615)"),8.0)</f>
        <v>8</v>
      </c>
      <c r="F615" s="6">
        <f t="shared" si="1"/>
        <v>77</v>
      </c>
      <c r="G615" s="6" t="str">
        <f>IF(MINIFS(dynamic[orderDate], dynamic[customerID], B615) &gt;= DATE(2024,4,30)-120, 
     "New", 
     IF(MAXIFS(dynamic[orderCount], dynamic[customerID], B615)&lt;=2, 
        IF((DATE(2024,4,30) - MAXIFS(dynamic[orderDate], dynamic[customerID], B615)) &gt; 180, "Non-Returning", "Dormant"), 
        IF(AND(MAX(dynamic[sinceLastOrder]) &gt; 365, (DATE(2024,4,30) - MAXIFS(dynamic[orderDate], dynamic[customerID], B615)) &gt; 180), 
           "Dormant", "Regular")))</f>
        <v>Regular</v>
      </c>
      <c r="H615" s="6">
        <v>38.0</v>
      </c>
      <c r="I615" s="9" t="str">
        <f>VLOOKUP(dynamic[productID],products[],2,FALSE)</f>
        <v>Côte de Blaye</v>
      </c>
      <c r="J615" s="9" t="str">
        <f>VLOOKUP(dynamic[productID],products[],12,FALSE)</f>
        <v>Beverages</v>
      </c>
      <c r="K615" s="7" t="str">
        <f>IF(VLOOKUP(dynamic[productID],products[],7,FALSE)=1,"Discontinued","Current")</f>
        <v>Current</v>
      </c>
      <c r="L615" s="9">
        <f>VLOOKUP(dynamic[productID],products[],IF(YEAR(dynamic[orderDate])=2022,8,IF(YEAR(dynamic[orderDate])=2023,9,IF(YEAR(dynamic[orderDate])=2024,10,NA))),FALSE)</f>
        <v>175.9515711</v>
      </c>
      <c r="M615" s="9">
        <v>210.8</v>
      </c>
      <c r="N615" s="25">
        <f>(dynamic[orderPrice]-dynamic[productCost])/dynamic[productCost]</f>
        <v>0.1980569351</v>
      </c>
      <c r="O615" s="10">
        <v>30.0</v>
      </c>
      <c r="P615" s="25">
        <v>0.0</v>
      </c>
      <c r="Q615" s="9">
        <f>dynamic[orderPrice]*dynamic[orderQuantity]</f>
        <v>6324</v>
      </c>
      <c r="R615" s="9">
        <f>dynamic[orderTotal]*(1-dynamic[discountApllied])</f>
        <v>6324</v>
      </c>
      <c r="S615" s="9">
        <f>dynamic[revenue]-(dynamic[productCost]*dynamic[orderQuantity])</f>
        <v>1045.452867</v>
      </c>
      <c r="T615" s="25">
        <f>IFERROR(dynamic[profit]/dynamic[revenue], 0)</f>
        <v>0.1653151276</v>
      </c>
    </row>
    <row r="616" ht="15.75" customHeight="1">
      <c r="A616" s="6">
        <v>10479.0</v>
      </c>
      <c r="B616" s="7" t="s">
        <v>28</v>
      </c>
      <c r="C616" s="24" t="str">
        <f>VLOOKUP(dynamic[customerID],customers[],2,FALSE)</f>
        <v>Rattlesnake Canyon Grocery</v>
      </c>
      <c r="D616" s="24">
        <v>45004.0</v>
      </c>
      <c r="E616" s="6">
        <f>IFERROR(__xludf.DUMMYFUNCTION("COUNTUNIQUEIFS($A$2:$A616,$B$2:$B616,B616)"),8.0)</f>
        <v>8</v>
      </c>
      <c r="F616" s="6">
        <f t="shared" si="1"/>
        <v>77</v>
      </c>
      <c r="G616" s="6" t="str">
        <f>IF(MINIFS(dynamic[orderDate], dynamic[customerID], B616) &gt;= DATE(2024,4,30)-120, 
     "New", 
     IF(MAXIFS(dynamic[orderCount], dynamic[customerID], B616)&lt;=2, 
        IF((DATE(2024,4,30) - MAXIFS(dynamic[orderDate], dynamic[customerID], B616)) &gt; 180, "Non-Returning", "Dormant"), 
        IF(AND(MAX(dynamic[sinceLastOrder]) &gt; 365, (DATE(2024,4,30) - MAXIFS(dynamic[orderDate], dynamic[customerID], B616)) &gt; 180), 
           "Dormant", "Regular")))</f>
        <v>Regular</v>
      </c>
      <c r="H616" s="6">
        <v>53.0</v>
      </c>
      <c r="I616" s="9" t="str">
        <f>VLOOKUP(dynamic[productID],products[],2,FALSE)</f>
        <v>Perth Pasties</v>
      </c>
      <c r="J616" s="9" t="str">
        <f>VLOOKUP(dynamic[productID],products[],12,FALSE)</f>
        <v>Meat/Poultry</v>
      </c>
      <c r="K616" s="7" t="str">
        <f>IF(VLOOKUP(dynamic[productID],products[],7,FALSE)=1,"Discontinued","Current")</f>
        <v>Discontinued</v>
      </c>
      <c r="L616" s="9">
        <f>VLOOKUP(dynamic[productID],products[],IF(YEAR(dynamic[orderDate])=2022,8,IF(YEAR(dynamic[orderDate])=2023,9,IF(YEAR(dynamic[orderDate])=2024,10,NA))),FALSE)</f>
        <v>21.81491556</v>
      </c>
      <c r="M616" s="9">
        <v>26.2</v>
      </c>
      <c r="N616" s="25">
        <f>(dynamic[orderPrice]-dynamic[productCost])/dynamic[productCost]</f>
        <v>0.2010131293</v>
      </c>
      <c r="O616" s="10">
        <v>28.0</v>
      </c>
      <c r="P616" s="25">
        <v>0.0</v>
      </c>
      <c r="Q616" s="9">
        <f>dynamic[orderPrice]*dynamic[orderQuantity]</f>
        <v>733.6</v>
      </c>
      <c r="R616" s="9">
        <f>dynamic[orderTotal]*(1-dynamic[discountApllied])</f>
        <v>733.6</v>
      </c>
      <c r="S616" s="9">
        <f>dynamic[revenue]-(dynamic[productCost]*dynamic[orderQuantity])</f>
        <v>122.7823644</v>
      </c>
      <c r="T616" s="25">
        <f>IFERROR(dynamic[profit]/dynamic[revenue], 0)</f>
        <v>0.1673696352</v>
      </c>
    </row>
    <row r="617" ht="15.75" customHeight="1">
      <c r="A617" s="6">
        <v>10479.0</v>
      </c>
      <c r="B617" s="7" t="s">
        <v>28</v>
      </c>
      <c r="C617" s="24" t="str">
        <f>VLOOKUP(dynamic[customerID],customers[],2,FALSE)</f>
        <v>Rattlesnake Canyon Grocery</v>
      </c>
      <c r="D617" s="24">
        <v>45004.0</v>
      </c>
      <c r="E617" s="6">
        <f>IFERROR(__xludf.DUMMYFUNCTION("COUNTUNIQUEIFS($A$2:$A617,$B$2:$B617,B617)"),8.0)</f>
        <v>8</v>
      </c>
      <c r="F617" s="6">
        <f t="shared" si="1"/>
        <v>77</v>
      </c>
      <c r="G617" s="6" t="str">
        <f>IF(MINIFS(dynamic[orderDate], dynamic[customerID], B617) &gt;= DATE(2024,4,30)-120, 
     "New", 
     IF(MAXIFS(dynamic[orderCount], dynamic[customerID], B617)&lt;=2, 
        IF((DATE(2024,4,30) - MAXIFS(dynamic[orderDate], dynamic[customerID], B617)) &gt; 180, "Non-Returning", "Dormant"), 
        IF(AND(MAX(dynamic[sinceLastOrder]) &gt; 365, (DATE(2024,4,30) - MAXIFS(dynamic[orderDate], dynamic[customerID], B617)) &gt; 180), 
           "Dormant", "Regular")))</f>
        <v>Regular</v>
      </c>
      <c r="H617" s="6">
        <v>59.0</v>
      </c>
      <c r="I617" s="9" t="str">
        <f>VLOOKUP(dynamic[productID],products[],2,FALSE)</f>
        <v>Raclette Courdavault</v>
      </c>
      <c r="J617" s="9" t="str">
        <f>VLOOKUP(dynamic[productID],products[],12,FALSE)</f>
        <v>Dairy Products</v>
      </c>
      <c r="K617" s="7" t="str">
        <f>IF(VLOOKUP(dynamic[productID],products[],7,FALSE)=1,"Discontinued","Current")</f>
        <v>Current</v>
      </c>
      <c r="L617" s="9">
        <f>VLOOKUP(dynamic[productID],products[],IF(YEAR(dynamic[orderDate])=2022,8,IF(YEAR(dynamic[orderDate])=2023,9,IF(YEAR(dynamic[orderDate])=2024,10,NA))),FALSE)</f>
        <v>35.20472566</v>
      </c>
      <c r="M617" s="9">
        <v>44.0</v>
      </c>
      <c r="N617" s="25">
        <f>(dynamic[orderPrice]-dynamic[productCost])/dynamic[productCost]</f>
        <v>0.2498322078</v>
      </c>
      <c r="O617" s="10">
        <v>60.0</v>
      </c>
      <c r="P617" s="25">
        <v>0.0</v>
      </c>
      <c r="Q617" s="9">
        <f>dynamic[orderPrice]*dynamic[orderQuantity]</f>
        <v>2640</v>
      </c>
      <c r="R617" s="9">
        <f>dynamic[orderTotal]*(1-dynamic[discountApllied])</f>
        <v>2640</v>
      </c>
      <c r="S617" s="9">
        <f>dynamic[revenue]-(dynamic[productCost]*dynamic[orderQuantity])</f>
        <v>527.7164603</v>
      </c>
      <c r="T617" s="25">
        <f>IFERROR(dynamic[profit]/dynamic[revenue], 0)</f>
        <v>0.1998925986</v>
      </c>
    </row>
    <row r="618" ht="15.75" customHeight="1">
      <c r="A618" s="6">
        <v>10479.0</v>
      </c>
      <c r="B618" s="7" t="s">
        <v>28</v>
      </c>
      <c r="C618" s="24" t="str">
        <f>VLOOKUP(dynamic[customerID],customers[],2,FALSE)</f>
        <v>Rattlesnake Canyon Grocery</v>
      </c>
      <c r="D618" s="24">
        <v>45004.0</v>
      </c>
      <c r="E618" s="6">
        <f>IFERROR(__xludf.DUMMYFUNCTION("COUNTUNIQUEIFS($A$2:$A618,$B$2:$B618,B618)"),8.0)</f>
        <v>8</v>
      </c>
      <c r="F618" s="6">
        <f t="shared" si="1"/>
        <v>77</v>
      </c>
      <c r="G618" s="6" t="str">
        <f>IF(MINIFS(dynamic[orderDate], dynamic[customerID], B618) &gt;= DATE(2024,4,30)-120, 
     "New", 
     IF(MAXIFS(dynamic[orderCount], dynamic[customerID], B618)&lt;=2, 
        IF((DATE(2024,4,30) - MAXIFS(dynamic[orderDate], dynamic[customerID], B618)) &gt; 180, "Non-Returning", "Dormant"), 
        IF(AND(MAX(dynamic[sinceLastOrder]) &gt; 365, (DATE(2024,4,30) - MAXIFS(dynamic[orderDate], dynamic[customerID], B618)) &gt; 180), 
           "Dormant", "Regular")))</f>
        <v>Regular</v>
      </c>
      <c r="H618" s="6">
        <v>64.0</v>
      </c>
      <c r="I618" s="9" t="str">
        <f>VLOOKUP(dynamic[productID],products[],2,FALSE)</f>
        <v>Lukas' leckere Sauerteigweggla</v>
      </c>
      <c r="J618" s="9" t="str">
        <f>VLOOKUP(dynamic[productID],products[],12,FALSE)</f>
        <v>Grains/Cereals</v>
      </c>
      <c r="K618" s="7" t="str">
        <f>IF(VLOOKUP(dynamic[productID],products[],7,FALSE)=1,"Discontinued","Current")</f>
        <v>Current</v>
      </c>
      <c r="L618" s="9">
        <f>VLOOKUP(dynamic[productID],products[],IF(YEAR(dynamic[orderDate])=2022,8,IF(YEAR(dynamic[orderDate])=2023,9,IF(YEAR(dynamic[orderDate])=2024,10,NA))),FALSE)</f>
        <v>21.88572728</v>
      </c>
      <c r="M618" s="9">
        <v>26.6</v>
      </c>
      <c r="N618" s="25">
        <f>(dynamic[orderPrice]-dynamic[productCost])/dynamic[productCost]</f>
        <v>0.2154039779</v>
      </c>
      <c r="O618" s="10">
        <v>30.0</v>
      </c>
      <c r="P618" s="25">
        <v>0.0</v>
      </c>
      <c r="Q618" s="9">
        <f>dynamic[orderPrice]*dynamic[orderQuantity]</f>
        <v>798</v>
      </c>
      <c r="R618" s="9">
        <f>dynamic[orderTotal]*(1-dynamic[discountApllied])</f>
        <v>798</v>
      </c>
      <c r="S618" s="9">
        <f>dynamic[revenue]-(dynamic[productCost]*dynamic[orderQuantity])</f>
        <v>141.4281815</v>
      </c>
      <c r="T618" s="25">
        <f>IFERROR(dynamic[profit]/dynamic[revenue], 0)</f>
        <v>0.1772282976</v>
      </c>
    </row>
    <row r="619" ht="15.75" customHeight="1">
      <c r="A619" s="6">
        <v>10480.0</v>
      </c>
      <c r="B619" s="7" t="s">
        <v>83</v>
      </c>
      <c r="C619" s="24" t="str">
        <f>VLOOKUP(dynamic[customerID],customers[],2,FALSE)</f>
        <v>Folies gourmandes</v>
      </c>
      <c r="D619" s="24">
        <v>45005.0</v>
      </c>
      <c r="E619" s="6">
        <f>IFERROR(__xludf.DUMMYFUNCTION("COUNTUNIQUEIFS($A$2:$A619,$B$2:$B619,B619)"),2.0)</f>
        <v>2</v>
      </c>
      <c r="F619" s="6">
        <f t="shared" si="1"/>
        <v>71</v>
      </c>
      <c r="G619" s="6" t="str">
        <f>IF(MINIFS(dynamic[orderDate], dynamic[customerID], B619) &gt;= DATE(2024,4,30)-120, 
     "New", 
     IF(MAXIFS(dynamic[orderCount], dynamic[customerID], B619)&lt;=2, 
        IF((DATE(2024,4,30) - MAXIFS(dynamic[orderDate], dynamic[customerID], B619)) &gt; 180, "Non-Returning", "Dormant"), 
        IF(AND(MAX(dynamic[sinceLastOrder]) &gt; 365, (DATE(2024,4,30) - MAXIFS(dynamic[orderDate], dynamic[customerID], B619)) &gt; 180), 
           "Dormant", "Regular")))</f>
        <v>Regular</v>
      </c>
      <c r="H619" s="6">
        <v>47.0</v>
      </c>
      <c r="I619" s="9" t="str">
        <f>VLOOKUP(dynamic[productID],products[],2,FALSE)</f>
        <v>Zaanse koeken</v>
      </c>
      <c r="J619" s="9" t="str">
        <f>VLOOKUP(dynamic[productID],products[],12,FALSE)</f>
        <v>Confections</v>
      </c>
      <c r="K619" s="7" t="str">
        <f>IF(VLOOKUP(dynamic[productID],products[],7,FALSE)=1,"Discontinued","Current")</f>
        <v>Current</v>
      </c>
      <c r="L619" s="9">
        <f>VLOOKUP(dynamic[productID],products[],IF(YEAR(dynamic[orderDate])=2022,8,IF(YEAR(dynamic[orderDate])=2023,9,IF(YEAR(dynamic[orderDate])=2024,10,NA))),FALSE)</f>
        <v>6.57708833</v>
      </c>
      <c r="M619" s="9">
        <v>7.6</v>
      </c>
      <c r="N619" s="25">
        <f>(dynamic[orderPrice]-dynamic[productCost])/dynamic[productCost]</f>
        <v>0.1555265215</v>
      </c>
      <c r="O619" s="10">
        <v>30.0</v>
      </c>
      <c r="P619" s="25">
        <v>0.0</v>
      </c>
      <c r="Q619" s="9">
        <f>dynamic[orderPrice]*dynamic[orderQuantity]</f>
        <v>228</v>
      </c>
      <c r="R619" s="9">
        <f>dynamic[orderTotal]*(1-dynamic[discountApllied])</f>
        <v>228</v>
      </c>
      <c r="S619" s="9">
        <f>dynamic[revenue]-(dynamic[productCost]*dynamic[orderQuantity])</f>
        <v>30.68735009</v>
      </c>
      <c r="T619" s="25">
        <f>IFERROR(dynamic[profit]/dynamic[revenue], 0)</f>
        <v>0.1345936407</v>
      </c>
    </row>
    <row r="620" ht="15.75" customHeight="1">
      <c r="A620" s="6">
        <v>10480.0</v>
      </c>
      <c r="B620" s="7" t="s">
        <v>83</v>
      </c>
      <c r="C620" s="24" t="str">
        <f>VLOOKUP(dynamic[customerID],customers[],2,FALSE)</f>
        <v>Folies gourmandes</v>
      </c>
      <c r="D620" s="24">
        <v>45005.0</v>
      </c>
      <c r="E620" s="6">
        <f>IFERROR(__xludf.DUMMYFUNCTION("COUNTUNIQUEIFS($A$2:$A620,$B$2:$B620,B620)"),2.0)</f>
        <v>2</v>
      </c>
      <c r="F620" s="6">
        <f t="shared" si="1"/>
        <v>71</v>
      </c>
      <c r="G620" s="6" t="str">
        <f>IF(MINIFS(dynamic[orderDate], dynamic[customerID], B620) &gt;= DATE(2024,4,30)-120, 
     "New", 
     IF(MAXIFS(dynamic[orderCount], dynamic[customerID], B620)&lt;=2, 
        IF((DATE(2024,4,30) - MAXIFS(dynamic[orderDate], dynamic[customerID], B620)) &gt; 180, "Non-Returning", "Dormant"), 
        IF(AND(MAX(dynamic[sinceLastOrder]) &gt; 365, (DATE(2024,4,30) - MAXIFS(dynamic[orderDate], dynamic[customerID], B620)) &gt; 180), 
           "Dormant", "Regular")))</f>
        <v>Regular</v>
      </c>
      <c r="H620" s="6">
        <v>59.0</v>
      </c>
      <c r="I620" s="9" t="str">
        <f>VLOOKUP(dynamic[productID],products[],2,FALSE)</f>
        <v>Raclette Courdavault</v>
      </c>
      <c r="J620" s="9" t="str">
        <f>VLOOKUP(dynamic[productID],products[],12,FALSE)</f>
        <v>Dairy Products</v>
      </c>
      <c r="K620" s="7" t="str">
        <f>IF(VLOOKUP(dynamic[productID],products[],7,FALSE)=1,"Discontinued","Current")</f>
        <v>Current</v>
      </c>
      <c r="L620" s="9">
        <f>VLOOKUP(dynamic[productID],products[],IF(YEAR(dynamic[orderDate])=2022,8,IF(YEAR(dynamic[orderDate])=2023,9,IF(YEAR(dynamic[orderDate])=2024,10,NA))),FALSE)</f>
        <v>35.20472566</v>
      </c>
      <c r="M620" s="9">
        <v>44.0</v>
      </c>
      <c r="N620" s="25">
        <f>(dynamic[orderPrice]-dynamic[productCost])/dynamic[productCost]</f>
        <v>0.2498322078</v>
      </c>
      <c r="O620" s="10">
        <v>12.0</v>
      </c>
      <c r="P620" s="25">
        <v>0.0</v>
      </c>
      <c r="Q620" s="9">
        <f>dynamic[orderPrice]*dynamic[orderQuantity]</f>
        <v>528</v>
      </c>
      <c r="R620" s="9">
        <f>dynamic[orderTotal]*(1-dynamic[discountApllied])</f>
        <v>528</v>
      </c>
      <c r="S620" s="9">
        <f>dynamic[revenue]-(dynamic[productCost]*dynamic[orderQuantity])</f>
        <v>105.5432921</v>
      </c>
      <c r="T620" s="25">
        <f>IFERROR(dynamic[profit]/dynamic[revenue], 0)</f>
        <v>0.1998925986</v>
      </c>
    </row>
    <row r="621" ht="15.75" customHeight="1">
      <c r="A621" s="6">
        <v>10481.0</v>
      </c>
      <c r="B621" s="7" t="s">
        <v>44</v>
      </c>
      <c r="C621" s="24" t="str">
        <f>VLOOKUP(dynamic[customerID],customers[],2,FALSE)</f>
        <v>Ricardo Adocicados</v>
      </c>
      <c r="D621" s="24">
        <v>45005.0</v>
      </c>
      <c r="E621" s="6">
        <f>IFERROR(__xludf.DUMMYFUNCTION("COUNTUNIQUEIFS($A$2:$A621,$B$2:$B621,B621)"),4.0)</f>
        <v>4</v>
      </c>
      <c r="F621" s="6">
        <f t="shared" si="1"/>
        <v>34</v>
      </c>
      <c r="G621" s="6" t="str">
        <f>IF(MINIFS(dynamic[orderDate], dynamic[customerID], B621) &gt;= DATE(2024,4,30)-120, 
     "New", 
     IF(MAXIFS(dynamic[orderCount], dynamic[customerID], B621)&lt;=2, 
        IF((DATE(2024,4,30) - MAXIFS(dynamic[orderDate], dynamic[customerID], B621)) &gt; 180, "Non-Returning", "Dormant"), 
        IF(AND(MAX(dynamic[sinceLastOrder]) &gt; 365, (DATE(2024,4,30) - MAXIFS(dynamic[orderDate], dynamic[customerID], B621)) &gt; 180), 
           "Dormant", "Regular")))</f>
        <v>Regular</v>
      </c>
      <c r="H621" s="6">
        <v>49.0</v>
      </c>
      <c r="I621" s="9" t="str">
        <f>VLOOKUP(dynamic[productID],products[],2,FALSE)</f>
        <v>Maxilaku</v>
      </c>
      <c r="J621" s="9" t="str">
        <f>VLOOKUP(dynamic[productID],products[],12,FALSE)</f>
        <v>Confections</v>
      </c>
      <c r="K621" s="7" t="str">
        <f>IF(VLOOKUP(dynamic[productID],products[],7,FALSE)=1,"Discontinued","Current")</f>
        <v>Current</v>
      </c>
      <c r="L621" s="9">
        <f>VLOOKUP(dynamic[productID],products[],IF(YEAR(dynamic[orderDate])=2022,8,IF(YEAR(dynamic[orderDate])=2023,9,IF(YEAR(dynamic[orderDate])=2024,10,NA))),FALSE)</f>
        <v>13.04112285</v>
      </c>
      <c r="M621" s="9">
        <v>16.0</v>
      </c>
      <c r="N621" s="25">
        <f>(dynamic[orderPrice]-dynamic[productCost])/dynamic[productCost]</f>
        <v>0.2268882197</v>
      </c>
      <c r="O621" s="10">
        <v>24.0</v>
      </c>
      <c r="P621" s="25">
        <v>0.0</v>
      </c>
      <c r="Q621" s="9">
        <f>dynamic[orderPrice]*dynamic[orderQuantity]</f>
        <v>384</v>
      </c>
      <c r="R621" s="9">
        <f>dynamic[orderTotal]*(1-dynamic[discountApllied])</f>
        <v>384</v>
      </c>
      <c r="S621" s="9">
        <f>dynamic[revenue]-(dynamic[productCost]*dynamic[orderQuantity])</f>
        <v>71.01305152</v>
      </c>
      <c r="T621" s="25">
        <f>IFERROR(dynamic[profit]/dynamic[revenue], 0)</f>
        <v>0.1849298217</v>
      </c>
    </row>
    <row r="622" ht="15.75" customHeight="1">
      <c r="A622" s="6">
        <v>10481.0</v>
      </c>
      <c r="B622" s="7" t="s">
        <v>44</v>
      </c>
      <c r="C622" s="24" t="str">
        <f>VLOOKUP(dynamic[customerID],customers[],2,FALSE)</f>
        <v>Ricardo Adocicados</v>
      </c>
      <c r="D622" s="24">
        <v>45005.0</v>
      </c>
      <c r="E622" s="6">
        <f>IFERROR(__xludf.DUMMYFUNCTION("COUNTUNIQUEIFS($A$2:$A622,$B$2:$B622,B622)"),4.0)</f>
        <v>4</v>
      </c>
      <c r="F622" s="6">
        <f t="shared" si="1"/>
        <v>34</v>
      </c>
      <c r="G622" s="6" t="str">
        <f>IF(MINIFS(dynamic[orderDate], dynamic[customerID], B622) &gt;= DATE(2024,4,30)-120, 
     "New", 
     IF(MAXIFS(dynamic[orderCount], dynamic[customerID], B622)&lt;=2, 
        IF((DATE(2024,4,30) - MAXIFS(dynamic[orderDate], dynamic[customerID], B622)) &gt; 180, "Non-Returning", "Dormant"), 
        IF(AND(MAX(dynamic[sinceLastOrder]) &gt; 365, (DATE(2024,4,30) - MAXIFS(dynamic[orderDate], dynamic[customerID], B622)) &gt; 180), 
           "Dormant", "Regular")))</f>
        <v>Regular</v>
      </c>
      <c r="H622" s="6">
        <v>60.0</v>
      </c>
      <c r="I622" s="9" t="str">
        <f>VLOOKUP(dynamic[productID],products[],2,FALSE)</f>
        <v>Camembert Pierrot</v>
      </c>
      <c r="J622" s="9" t="str">
        <f>VLOOKUP(dynamic[productID],products[],12,FALSE)</f>
        <v>Dairy Products</v>
      </c>
      <c r="K622" s="7" t="str">
        <f>IF(VLOOKUP(dynamic[productID],products[],7,FALSE)=1,"Discontinued","Current")</f>
        <v>Current</v>
      </c>
      <c r="L622" s="9">
        <f>VLOOKUP(dynamic[productID],products[],IF(YEAR(dynamic[orderDate])=2022,8,IF(YEAR(dynamic[orderDate])=2023,9,IF(YEAR(dynamic[orderDate])=2024,10,NA))),FALSE)</f>
        <v>22.77098295</v>
      </c>
      <c r="M622" s="9">
        <v>27.2</v>
      </c>
      <c r="N622" s="25">
        <f>(dynamic[orderPrice]-dynamic[productCost])/dynamic[productCost]</f>
        <v>0.1945026732</v>
      </c>
      <c r="O622" s="10">
        <v>40.0</v>
      </c>
      <c r="P622" s="25">
        <v>0.0</v>
      </c>
      <c r="Q622" s="9">
        <f>dynamic[orderPrice]*dynamic[orderQuantity]</f>
        <v>1088</v>
      </c>
      <c r="R622" s="9">
        <f>dynamic[orderTotal]*(1-dynamic[discountApllied])</f>
        <v>1088</v>
      </c>
      <c r="S622" s="9">
        <f>dynamic[revenue]-(dynamic[productCost]*dynamic[orderQuantity])</f>
        <v>177.1606822</v>
      </c>
      <c r="T622" s="25">
        <f>IFERROR(dynamic[profit]/dynamic[revenue], 0)</f>
        <v>0.1628315093</v>
      </c>
    </row>
    <row r="623" ht="15.75" customHeight="1">
      <c r="A623" s="6">
        <v>10482.0</v>
      </c>
      <c r="B623" s="7" t="s">
        <v>89</v>
      </c>
      <c r="C623" s="24" t="str">
        <f>VLOOKUP(dynamic[customerID],customers[],2,FALSE)</f>
        <v>Lazy K Kountry Store</v>
      </c>
      <c r="D623" s="24">
        <v>45006.0</v>
      </c>
      <c r="E623" s="6">
        <f>IFERROR(__xludf.DUMMYFUNCTION("COUNTUNIQUEIFS($A$2:$A623,$B$2:$B623,B623)"),1.0)</f>
        <v>1</v>
      </c>
      <c r="F623" s="6">
        <f t="shared" si="1"/>
        <v>0</v>
      </c>
      <c r="G623" s="6" t="str">
        <f>IF(MINIFS(dynamic[orderDate], dynamic[customerID], B623) &gt;= DATE(2024,4,30)-120, 
     "New", 
     IF(MAXIFS(dynamic[orderCount], dynamic[customerID], B623)&lt;=2, 
        IF((DATE(2024,4,30) - MAXIFS(dynamic[orderDate], dynamic[customerID], B623)) &gt; 180, "Non-Returning", "Dormant"), 
        IF(AND(MAX(dynamic[sinceLastOrder]) &gt; 365, (DATE(2024,4,30) - MAXIFS(dynamic[orderDate], dynamic[customerID], B623)) &gt; 180), 
           "Dormant", "Regular")))</f>
        <v>Non-Returning</v>
      </c>
      <c r="H623" s="6">
        <v>40.0</v>
      </c>
      <c r="I623" s="9" t="str">
        <f>VLOOKUP(dynamic[productID],products[],2,FALSE)</f>
        <v>Boston Crab Meat</v>
      </c>
      <c r="J623" s="9" t="str">
        <f>VLOOKUP(dynamic[productID],products[],12,FALSE)</f>
        <v>Seafood</v>
      </c>
      <c r="K623" s="7" t="str">
        <f>IF(VLOOKUP(dynamic[productID],products[],7,FALSE)=1,"Discontinued","Current")</f>
        <v>Current</v>
      </c>
      <c r="L623" s="9">
        <f>VLOOKUP(dynamic[productID],products[],IF(YEAR(dynamic[orderDate])=2022,8,IF(YEAR(dynamic[orderDate])=2023,9,IF(YEAR(dynamic[orderDate])=2024,10,NA))),FALSE)</f>
        <v>11.40496523</v>
      </c>
      <c r="M623" s="9">
        <v>14.7</v>
      </c>
      <c r="N623" s="25">
        <f>(dynamic[orderPrice]-dynamic[productCost])/dynamic[productCost]</f>
        <v>0.2889123033</v>
      </c>
      <c r="O623" s="10">
        <v>10.0</v>
      </c>
      <c r="P623" s="25">
        <v>0.0</v>
      </c>
      <c r="Q623" s="9">
        <f>dynamic[orderPrice]*dynamic[orderQuantity]</f>
        <v>147</v>
      </c>
      <c r="R623" s="9">
        <f>dynamic[orderTotal]*(1-dynamic[discountApllied])</f>
        <v>147</v>
      </c>
      <c r="S623" s="9">
        <f>dynamic[revenue]-(dynamic[productCost]*dynamic[orderQuantity])</f>
        <v>32.95034773</v>
      </c>
      <c r="T623" s="25">
        <f>IFERROR(dynamic[profit]/dynamic[revenue], 0)</f>
        <v>0.2241520254</v>
      </c>
    </row>
    <row r="624" ht="15.75" customHeight="1">
      <c r="A624" s="6">
        <v>10483.0</v>
      </c>
      <c r="B624" s="7" t="s">
        <v>34</v>
      </c>
      <c r="C624" s="24" t="str">
        <f>VLOOKUP(dynamic[customerID],customers[],2,FALSE)</f>
        <v>White Clover Markets</v>
      </c>
      <c r="D624" s="24">
        <v>45009.0</v>
      </c>
      <c r="E624" s="6">
        <f>IFERROR(__xludf.DUMMYFUNCTION("COUNTUNIQUEIFS($A$2:$A624,$B$2:$B624,B624)"),4.0)</f>
        <v>4</v>
      </c>
      <c r="F624" s="6">
        <f t="shared" si="1"/>
        <v>14</v>
      </c>
      <c r="G624" s="6" t="str">
        <f>IF(MINIFS(dynamic[orderDate], dynamic[customerID], B624) &gt;= DATE(2024,4,30)-120, 
     "New", 
     IF(MAXIFS(dynamic[orderCount], dynamic[customerID], B624)&lt;=2, 
        IF((DATE(2024,4,30) - MAXIFS(dynamic[orderDate], dynamic[customerID], B624)) &gt; 180, "Non-Returning", "Dormant"), 
        IF(AND(MAX(dynamic[sinceLastOrder]) &gt; 365, (DATE(2024,4,30) - MAXIFS(dynamic[orderDate], dynamic[customerID], B624)) &gt; 180), 
           "Dormant", "Regular")))</f>
        <v>Regular</v>
      </c>
      <c r="H624" s="6">
        <v>34.0</v>
      </c>
      <c r="I624" s="9" t="str">
        <f>VLOOKUP(dynamic[productID],products[],2,FALSE)</f>
        <v>Sasquatch Ale</v>
      </c>
      <c r="J624" s="9" t="str">
        <f>VLOOKUP(dynamic[productID],products[],12,FALSE)</f>
        <v>Beverages</v>
      </c>
      <c r="K624" s="7" t="str">
        <f>IF(VLOOKUP(dynamic[productID],products[],7,FALSE)=1,"Discontinued","Current")</f>
        <v>Current</v>
      </c>
      <c r="L624" s="9">
        <f>VLOOKUP(dynamic[productID],products[],IF(YEAR(dynamic[orderDate])=2022,8,IF(YEAR(dynamic[orderDate])=2023,9,IF(YEAR(dynamic[orderDate])=2024,10,NA))),FALSE)</f>
        <v>8.955654061</v>
      </c>
      <c r="M624" s="9">
        <v>11.2</v>
      </c>
      <c r="N624" s="25">
        <f>(dynamic[orderPrice]-dynamic[productCost])/dynamic[productCost]</f>
        <v>0.2506065915</v>
      </c>
      <c r="O624" s="10">
        <v>35.0</v>
      </c>
      <c r="P624" s="25">
        <v>0.05</v>
      </c>
      <c r="Q624" s="9">
        <f>dynamic[orderPrice]*dynamic[orderQuantity]</f>
        <v>392</v>
      </c>
      <c r="R624" s="9">
        <f>dynamic[orderTotal]*(1-dynamic[discountApllied])</f>
        <v>372.4</v>
      </c>
      <c r="S624" s="9">
        <f>dynamic[revenue]-(dynamic[productCost]*dynamic[orderQuantity])</f>
        <v>58.95210787</v>
      </c>
      <c r="T624" s="25">
        <f>IFERROR(dynamic[profit]/dynamic[revenue], 0)</f>
        <v>0.1583031898</v>
      </c>
    </row>
    <row r="625" ht="15.75" customHeight="1">
      <c r="A625" s="6">
        <v>10483.0</v>
      </c>
      <c r="B625" s="7" t="s">
        <v>34</v>
      </c>
      <c r="C625" s="24" t="str">
        <f>VLOOKUP(dynamic[customerID],customers[],2,FALSE)</f>
        <v>White Clover Markets</v>
      </c>
      <c r="D625" s="24">
        <v>45009.0</v>
      </c>
      <c r="E625" s="6">
        <f>IFERROR(__xludf.DUMMYFUNCTION("COUNTUNIQUEIFS($A$2:$A625,$B$2:$B625,B625)"),4.0)</f>
        <v>4</v>
      </c>
      <c r="F625" s="6">
        <f t="shared" si="1"/>
        <v>14</v>
      </c>
      <c r="G625" s="6" t="str">
        <f>IF(MINIFS(dynamic[orderDate], dynamic[customerID], B625) &gt;= DATE(2024,4,30)-120, 
     "New", 
     IF(MAXIFS(dynamic[orderCount], dynamic[customerID], B625)&lt;=2, 
        IF((DATE(2024,4,30) - MAXIFS(dynamic[orderDate], dynamic[customerID], B625)) &gt; 180, "Non-Returning", "Dormant"), 
        IF(AND(MAX(dynamic[sinceLastOrder]) &gt; 365, (DATE(2024,4,30) - MAXIFS(dynamic[orderDate], dynamic[customerID], B625)) &gt; 180), 
           "Dormant", "Regular")))</f>
        <v>Regular</v>
      </c>
      <c r="H625" s="6">
        <v>77.0</v>
      </c>
      <c r="I625" s="9" t="str">
        <f>VLOOKUP(dynamic[productID],products[],2,FALSE)</f>
        <v>Original Frankfurter grüne Soße</v>
      </c>
      <c r="J625" s="9" t="str">
        <f>VLOOKUP(dynamic[productID],products[],12,FALSE)</f>
        <v>Condiments</v>
      </c>
      <c r="K625" s="7" t="str">
        <f>IF(VLOOKUP(dynamic[productID],products[],7,FALSE)=1,"Discontinued","Current")</f>
        <v>Current</v>
      </c>
      <c r="L625" s="9">
        <f>VLOOKUP(dynamic[productID],products[],IF(YEAR(dynamic[orderDate])=2022,8,IF(YEAR(dynamic[orderDate])=2023,9,IF(YEAR(dynamic[orderDate])=2024,10,NA))),FALSE)</f>
        <v>7.539056452</v>
      </c>
      <c r="M625" s="9">
        <v>10.4</v>
      </c>
      <c r="N625" s="25">
        <f>(dynamic[orderPrice]-dynamic[productCost])/dynamic[productCost]</f>
        <v>0.3794829719</v>
      </c>
      <c r="O625" s="10">
        <v>30.0</v>
      </c>
      <c r="P625" s="25">
        <v>0.05</v>
      </c>
      <c r="Q625" s="9">
        <f>dynamic[orderPrice]*dynamic[orderQuantity]</f>
        <v>312</v>
      </c>
      <c r="R625" s="9">
        <f>dynamic[orderTotal]*(1-dynamic[discountApllied])</f>
        <v>296.4</v>
      </c>
      <c r="S625" s="9">
        <f>dynamic[revenue]-(dynamic[productCost]*dynamic[orderQuantity])</f>
        <v>70.22830644</v>
      </c>
      <c r="T625" s="25">
        <f>IFERROR(dynamic[profit]/dynamic[revenue], 0)</f>
        <v>0.2369376061</v>
      </c>
    </row>
    <row r="626" ht="15.75" customHeight="1">
      <c r="A626" s="6">
        <v>10484.0</v>
      </c>
      <c r="B626" s="7" t="s">
        <v>46</v>
      </c>
      <c r="C626" s="24" t="str">
        <f>VLOOKUP(dynamic[customerID],customers[],2,FALSE)</f>
        <v>B's Beverages</v>
      </c>
      <c r="D626" s="24">
        <v>45009.0</v>
      </c>
      <c r="E626" s="6">
        <f>IFERROR(__xludf.DUMMYFUNCTION("COUNTUNIQUEIFS($A$2:$A626,$B$2:$B626,B626)"),3.0)</f>
        <v>3</v>
      </c>
      <c r="F626" s="6">
        <f t="shared" si="1"/>
        <v>13</v>
      </c>
      <c r="G626" s="6" t="str">
        <f>IF(MINIFS(dynamic[orderDate], dynamic[customerID], B626) &gt;= DATE(2024,4,30)-120, 
     "New", 
     IF(MAXIFS(dynamic[orderCount], dynamic[customerID], B626)&lt;=2, 
        IF((DATE(2024,4,30) - MAXIFS(dynamic[orderDate], dynamic[customerID], B626)) &gt; 180, "Non-Returning", "Dormant"), 
        IF(AND(MAX(dynamic[sinceLastOrder]) &gt; 365, (DATE(2024,4,30) - MAXIFS(dynamic[orderDate], dynamic[customerID], B626)) &gt; 180), 
           "Dormant", "Regular")))</f>
        <v>Regular</v>
      </c>
      <c r="H626" s="6">
        <v>21.0</v>
      </c>
      <c r="I626" s="9" t="str">
        <f>VLOOKUP(dynamic[productID],products[],2,FALSE)</f>
        <v>Sir Rodney's Scones</v>
      </c>
      <c r="J626" s="9" t="str">
        <f>VLOOKUP(dynamic[productID],products[],12,FALSE)</f>
        <v>Confections</v>
      </c>
      <c r="K626" s="7" t="str">
        <f>IF(VLOOKUP(dynamic[productID],products[],7,FALSE)=1,"Discontinued","Current")</f>
        <v>Current</v>
      </c>
      <c r="L626" s="9">
        <f>VLOOKUP(dynamic[productID],products[],IF(YEAR(dynamic[orderDate])=2022,8,IF(YEAR(dynamic[orderDate])=2023,9,IF(YEAR(dynamic[orderDate])=2024,10,NA))),FALSE)</f>
        <v>6.725636111</v>
      </c>
      <c r="M626" s="9">
        <v>8.0</v>
      </c>
      <c r="N626" s="25">
        <f>(dynamic[orderPrice]-dynamic[productCost])/dynamic[productCost]</f>
        <v>0.1894785664</v>
      </c>
      <c r="O626" s="10">
        <v>14.0</v>
      </c>
      <c r="P626" s="25">
        <v>0.0</v>
      </c>
      <c r="Q626" s="9">
        <f>dynamic[orderPrice]*dynamic[orderQuantity]</f>
        <v>112</v>
      </c>
      <c r="R626" s="9">
        <f>dynamic[orderTotal]*(1-dynamic[discountApllied])</f>
        <v>112</v>
      </c>
      <c r="S626" s="9">
        <f>dynamic[revenue]-(dynamic[productCost]*dynamic[orderQuantity])</f>
        <v>17.84109444</v>
      </c>
      <c r="T626" s="25">
        <f>IFERROR(dynamic[profit]/dynamic[revenue], 0)</f>
        <v>0.1592954861</v>
      </c>
    </row>
    <row r="627" ht="15.75" customHeight="1">
      <c r="A627" s="6">
        <v>10484.0</v>
      </c>
      <c r="B627" s="7" t="s">
        <v>46</v>
      </c>
      <c r="C627" s="24" t="str">
        <f>VLOOKUP(dynamic[customerID],customers[],2,FALSE)</f>
        <v>B's Beverages</v>
      </c>
      <c r="D627" s="24">
        <v>45009.0</v>
      </c>
      <c r="E627" s="6">
        <f>IFERROR(__xludf.DUMMYFUNCTION("COUNTUNIQUEIFS($A$2:$A627,$B$2:$B627,B627)"),3.0)</f>
        <v>3</v>
      </c>
      <c r="F627" s="6">
        <f t="shared" si="1"/>
        <v>13</v>
      </c>
      <c r="G627" s="6" t="str">
        <f>IF(MINIFS(dynamic[orderDate], dynamic[customerID], B627) &gt;= DATE(2024,4,30)-120, 
     "New", 
     IF(MAXIFS(dynamic[orderCount], dynamic[customerID], B627)&lt;=2, 
        IF((DATE(2024,4,30) - MAXIFS(dynamic[orderDate], dynamic[customerID], B627)) &gt; 180, "Non-Returning", "Dormant"), 
        IF(AND(MAX(dynamic[sinceLastOrder]) &gt; 365, (DATE(2024,4,30) - MAXIFS(dynamic[orderDate], dynamic[customerID], B627)) &gt; 180), 
           "Dormant", "Regular")))</f>
        <v>Regular</v>
      </c>
      <c r="H627" s="6">
        <v>40.0</v>
      </c>
      <c r="I627" s="9" t="str">
        <f>VLOOKUP(dynamic[productID],products[],2,FALSE)</f>
        <v>Boston Crab Meat</v>
      </c>
      <c r="J627" s="9" t="str">
        <f>VLOOKUP(dynamic[productID],products[],12,FALSE)</f>
        <v>Seafood</v>
      </c>
      <c r="K627" s="7" t="str">
        <f>IF(VLOOKUP(dynamic[productID],products[],7,FALSE)=1,"Discontinued","Current")</f>
        <v>Current</v>
      </c>
      <c r="L627" s="9">
        <f>VLOOKUP(dynamic[productID],products[],IF(YEAR(dynamic[orderDate])=2022,8,IF(YEAR(dynamic[orderDate])=2023,9,IF(YEAR(dynamic[orderDate])=2024,10,NA))),FALSE)</f>
        <v>11.40496523</v>
      </c>
      <c r="M627" s="9">
        <v>14.7</v>
      </c>
      <c r="N627" s="25">
        <f>(dynamic[orderPrice]-dynamic[productCost])/dynamic[productCost]</f>
        <v>0.2889123033</v>
      </c>
      <c r="O627" s="10">
        <v>10.0</v>
      </c>
      <c r="P627" s="25">
        <v>0.0</v>
      </c>
      <c r="Q627" s="9">
        <f>dynamic[orderPrice]*dynamic[orderQuantity]</f>
        <v>147</v>
      </c>
      <c r="R627" s="9">
        <f>dynamic[orderTotal]*(1-dynamic[discountApllied])</f>
        <v>147</v>
      </c>
      <c r="S627" s="9">
        <f>dynamic[revenue]-(dynamic[productCost]*dynamic[orderQuantity])</f>
        <v>32.95034773</v>
      </c>
      <c r="T627" s="25">
        <f>IFERROR(dynamic[profit]/dynamic[revenue], 0)</f>
        <v>0.2241520254</v>
      </c>
    </row>
    <row r="628" ht="15.75" customHeight="1">
      <c r="A628" s="6">
        <v>10484.0</v>
      </c>
      <c r="B628" s="7" t="s">
        <v>46</v>
      </c>
      <c r="C628" s="24" t="str">
        <f>VLOOKUP(dynamic[customerID],customers[],2,FALSE)</f>
        <v>B's Beverages</v>
      </c>
      <c r="D628" s="24">
        <v>45009.0</v>
      </c>
      <c r="E628" s="6">
        <f>IFERROR(__xludf.DUMMYFUNCTION("COUNTUNIQUEIFS($A$2:$A628,$B$2:$B628,B628)"),3.0)</f>
        <v>3</v>
      </c>
      <c r="F628" s="6">
        <f t="shared" si="1"/>
        <v>13</v>
      </c>
      <c r="G628" s="6" t="str">
        <f>IF(MINIFS(dynamic[orderDate], dynamic[customerID], B628) &gt;= DATE(2024,4,30)-120, 
     "New", 
     IF(MAXIFS(dynamic[orderCount], dynamic[customerID], B628)&lt;=2, 
        IF((DATE(2024,4,30) - MAXIFS(dynamic[orderDate], dynamic[customerID], B628)) &gt; 180, "Non-Returning", "Dormant"), 
        IF(AND(MAX(dynamic[sinceLastOrder]) &gt; 365, (DATE(2024,4,30) - MAXIFS(dynamic[orderDate], dynamic[customerID], B628)) &gt; 180), 
           "Dormant", "Regular")))</f>
        <v>Regular</v>
      </c>
      <c r="H628" s="6">
        <v>51.0</v>
      </c>
      <c r="I628" s="9" t="str">
        <f>VLOOKUP(dynamic[productID],products[],2,FALSE)</f>
        <v>Manjimup Dried Apples</v>
      </c>
      <c r="J628" s="9" t="str">
        <f>VLOOKUP(dynamic[productID],products[],12,FALSE)</f>
        <v>Produce</v>
      </c>
      <c r="K628" s="7" t="str">
        <f>IF(VLOOKUP(dynamic[productID],products[],7,FALSE)=1,"Discontinued","Current")</f>
        <v>Current</v>
      </c>
      <c r="L628" s="9">
        <f>VLOOKUP(dynamic[productID],products[],IF(YEAR(dynamic[orderDate])=2022,8,IF(YEAR(dynamic[orderDate])=2023,9,IF(YEAR(dynamic[orderDate])=2024,10,NA))),FALSE)</f>
        <v>36.88798027</v>
      </c>
      <c r="M628" s="9">
        <v>42.4</v>
      </c>
      <c r="N628" s="25">
        <f>(dynamic[orderPrice]-dynamic[productCost])/dynamic[productCost]</f>
        <v>0.1494259023</v>
      </c>
      <c r="O628" s="10">
        <v>3.0</v>
      </c>
      <c r="P628" s="25">
        <v>0.0</v>
      </c>
      <c r="Q628" s="9">
        <f>dynamic[orderPrice]*dynamic[orderQuantity]</f>
        <v>127.2</v>
      </c>
      <c r="R628" s="9">
        <f>dynamic[orderTotal]*(1-dynamic[discountApllied])</f>
        <v>127.2</v>
      </c>
      <c r="S628" s="9">
        <f>dynamic[revenue]-(dynamic[productCost]*dynamic[orderQuantity])</f>
        <v>16.5360592</v>
      </c>
      <c r="T628" s="25">
        <f>IFERROR(dynamic[profit]/dynamic[revenue], 0)</f>
        <v>0.1300004654</v>
      </c>
    </row>
    <row r="629" ht="15.75" customHeight="1">
      <c r="A629" s="6">
        <v>10485.0</v>
      </c>
      <c r="B629" s="7" t="s">
        <v>82</v>
      </c>
      <c r="C629" s="24" t="str">
        <f>VLOOKUP(dynamic[customerID],customers[],2,FALSE)</f>
        <v>LINO-Delicateses</v>
      </c>
      <c r="D629" s="24">
        <v>45010.0</v>
      </c>
      <c r="E629" s="6">
        <f>IFERROR(__xludf.DUMMYFUNCTION("COUNTUNIQUEIFS($A$2:$A629,$B$2:$B629,B629)"),2.0)</f>
        <v>2</v>
      </c>
      <c r="F629" s="6">
        <f t="shared" si="1"/>
        <v>78</v>
      </c>
      <c r="G629" s="6" t="str">
        <f>IF(MINIFS(dynamic[orderDate], dynamic[customerID], B629) &gt;= DATE(2024,4,30)-120, 
     "New", 
     IF(MAXIFS(dynamic[orderCount], dynamic[customerID], B629)&lt;=2, 
        IF((DATE(2024,4,30) - MAXIFS(dynamic[orderDate], dynamic[customerID], B629)) &gt; 180, "Non-Returning", "Dormant"), 
        IF(AND(MAX(dynamic[sinceLastOrder]) &gt; 365, (DATE(2024,4,30) - MAXIFS(dynamic[orderDate], dynamic[customerID], B629)) &gt; 180), 
           "Dormant", "Regular")))</f>
        <v>Regular</v>
      </c>
      <c r="H629" s="6">
        <v>2.0</v>
      </c>
      <c r="I629" s="9" t="str">
        <f>VLOOKUP(dynamic[productID],products[],2,FALSE)</f>
        <v>Chang</v>
      </c>
      <c r="J629" s="9" t="str">
        <f>VLOOKUP(dynamic[productID],products[],12,FALSE)</f>
        <v>Beverages</v>
      </c>
      <c r="K629" s="7" t="str">
        <f>IF(VLOOKUP(dynamic[productID],products[],7,FALSE)=1,"Discontinued","Current")</f>
        <v>Current</v>
      </c>
      <c r="L629" s="9">
        <f>VLOOKUP(dynamic[productID],products[],IF(YEAR(dynamic[orderDate])=2022,8,IF(YEAR(dynamic[orderDate])=2023,9,IF(YEAR(dynamic[orderDate])=2024,10,NA))),FALSE)</f>
        <v>12.14626904</v>
      </c>
      <c r="M629" s="9">
        <v>15.2</v>
      </c>
      <c r="N629" s="25">
        <f>(dynamic[orderPrice]-dynamic[productCost])/dynamic[productCost]</f>
        <v>0.2514130837</v>
      </c>
      <c r="O629" s="10">
        <v>20.0</v>
      </c>
      <c r="P629" s="25">
        <v>0.1</v>
      </c>
      <c r="Q629" s="9">
        <f>dynamic[orderPrice]*dynamic[orderQuantity]</f>
        <v>304</v>
      </c>
      <c r="R629" s="9">
        <f>dynamic[orderTotal]*(1-dynamic[discountApllied])</f>
        <v>273.6</v>
      </c>
      <c r="S629" s="9">
        <f>dynamic[revenue]-(dynamic[productCost]*dynamic[orderQuantity])</f>
        <v>30.67461912</v>
      </c>
      <c r="T629" s="25">
        <f>IFERROR(dynamic[profit]/dynamic[revenue], 0)</f>
        <v>0.112114836</v>
      </c>
    </row>
    <row r="630" ht="15.75" customHeight="1">
      <c r="A630" s="6">
        <v>10485.0</v>
      </c>
      <c r="B630" s="7" t="s">
        <v>82</v>
      </c>
      <c r="C630" s="24" t="str">
        <f>VLOOKUP(dynamic[customerID],customers[],2,FALSE)</f>
        <v>LINO-Delicateses</v>
      </c>
      <c r="D630" s="24">
        <v>45010.0</v>
      </c>
      <c r="E630" s="6">
        <f>IFERROR(__xludf.DUMMYFUNCTION("COUNTUNIQUEIFS($A$2:$A630,$B$2:$B630,B630)"),2.0)</f>
        <v>2</v>
      </c>
      <c r="F630" s="6">
        <f t="shared" si="1"/>
        <v>78</v>
      </c>
      <c r="G630" s="6" t="str">
        <f>IF(MINIFS(dynamic[orderDate], dynamic[customerID], B630) &gt;= DATE(2024,4,30)-120, 
     "New", 
     IF(MAXIFS(dynamic[orderCount], dynamic[customerID], B630)&lt;=2, 
        IF((DATE(2024,4,30) - MAXIFS(dynamic[orderDate], dynamic[customerID], B630)) &gt; 180, "Non-Returning", "Dormant"), 
        IF(AND(MAX(dynamic[sinceLastOrder]) &gt; 365, (DATE(2024,4,30) - MAXIFS(dynamic[orderDate], dynamic[customerID], B630)) &gt; 180), 
           "Dormant", "Regular")))</f>
        <v>Regular</v>
      </c>
      <c r="H630" s="6">
        <v>3.0</v>
      </c>
      <c r="I630" s="9" t="str">
        <f>VLOOKUP(dynamic[productID],products[],2,FALSE)</f>
        <v>Aniseed Syrup</v>
      </c>
      <c r="J630" s="9" t="str">
        <f>VLOOKUP(dynamic[productID],products[],12,FALSE)</f>
        <v>Condiments</v>
      </c>
      <c r="K630" s="7" t="str">
        <f>IF(VLOOKUP(dynamic[productID],products[],7,FALSE)=1,"Discontinued","Current")</f>
        <v>Current</v>
      </c>
      <c r="L630" s="9">
        <f>VLOOKUP(dynamic[productID],products[],IF(YEAR(dynamic[orderDate])=2022,8,IF(YEAR(dynamic[orderDate])=2023,9,IF(YEAR(dynamic[orderDate])=2024,10,NA))),FALSE)</f>
        <v>6.399802633</v>
      </c>
      <c r="M630" s="9">
        <v>8.0</v>
      </c>
      <c r="N630" s="25">
        <f>(dynamic[orderPrice]-dynamic[productCost])/dynamic[productCost]</f>
        <v>0.2500385494</v>
      </c>
      <c r="O630" s="10">
        <v>20.0</v>
      </c>
      <c r="P630" s="25">
        <v>0.1</v>
      </c>
      <c r="Q630" s="9">
        <f>dynamic[orderPrice]*dynamic[orderQuantity]</f>
        <v>160</v>
      </c>
      <c r="R630" s="9">
        <f>dynamic[orderTotal]*(1-dynamic[discountApllied])</f>
        <v>144</v>
      </c>
      <c r="S630" s="9">
        <f>dynamic[revenue]-(dynamic[productCost]*dynamic[orderQuantity])</f>
        <v>16.00394733</v>
      </c>
      <c r="T630" s="25">
        <f>IFERROR(dynamic[profit]/dynamic[revenue], 0)</f>
        <v>0.1111385231</v>
      </c>
    </row>
    <row r="631" ht="15.75" customHeight="1">
      <c r="A631" s="6">
        <v>10485.0</v>
      </c>
      <c r="B631" s="7" t="s">
        <v>82</v>
      </c>
      <c r="C631" s="24" t="str">
        <f>VLOOKUP(dynamic[customerID],customers[],2,FALSE)</f>
        <v>LINO-Delicateses</v>
      </c>
      <c r="D631" s="24">
        <v>45010.0</v>
      </c>
      <c r="E631" s="6">
        <f>IFERROR(__xludf.DUMMYFUNCTION("COUNTUNIQUEIFS($A$2:$A631,$B$2:$B631,B631)"),2.0)</f>
        <v>2</v>
      </c>
      <c r="F631" s="6">
        <f t="shared" si="1"/>
        <v>78</v>
      </c>
      <c r="G631" s="6" t="str">
        <f>IF(MINIFS(dynamic[orderDate], dynamic[customerID], B631) &gt;= DATE(2024,4,30)-120, 
     "New", 
     IF(MAXIFS(dynamic[orderCount], dynamic[customerID], B631)&lt;=2, 
        IF((DATE(2024,4,30) - MAXIFS(dynamic[orderDate], dynamic[customerID], B631)) &gt; 180, "Non-Returning", "Dormant"), 
        IF(AND(MAX(dynamic[sinceLastOrder]) &gt; 365, (DATE(2024,4,30) - MAXIFS(dynamic[orderDate], dynamic[customerID], B631)) &gt; 180), 
           "Dormant", "Regular")))</f>
        <v>Regular</v>
      </c>
      <c r="H631" s="6">
        <v>55.0</v>
      </c>
      <c r="I631" s="9" t="str">
        <f>VLOOKUP(dynamic[productID],products[],2,FALSE)</f>
        <v>Pâté chinois</v>
      </c>
      <c r="J631" s="9" t="str">
        <f>VLOOKUP(dynamic[productID],products[],12,FALSE)</f>
        <v>Meat/Poultry</v>
      </c>
      <c r="K631" s="7" t="str">
        <f>IF(VLOOKUP(dynamic[productID],products[],7,FALSE)=1,"Discontinued","Current")</f>
        <v>Current</v>
      </c>
      <c r="L631" s="9">
        <f>VLOOKUP(dynamic[productID],products[],IF(YEAR(dynamic[orderDate])=2022,8,IF(YEAR(dynamic[orderDate])=2023,9,IF(YEAR(dynamic[orderDate])=2024,10,NA))),FALSE)</f>
        <v>14.92398776</v>
      </c>
      <c r="M631" s="9">
        <v>19.2</v>
      </c>
      <c r="N631" s="25">
        <f>(dynamic[orderPrice]-dynamic[productCost])/dynamic[productCost]</f>
        <v>0.2865194145</v>
      </c>
      <c r="O631" s="10">
        <v>30.0</v>
      </c>
      <c r="P631" s="25">
        <v>0.1</v>
      </c>
      <c r="Q631" s="9">
        <f>dynamic[orderPrice]*dynamic[orderQuantity]</f>
        <v>576</v>
      </c>
      <c r="R631" s="9">
        <f>dynamic[orderTotal]*(1-dynamic[discountApllied])</f>
        <v>518.4</v>
      </c>
      <c r="S631" s="9">
        <f>dynamic[revenue]-(dynamic[productCost]*dynamic[orderQuantity])</f>
        <v>70.68036708</v>
      </c>
      <c r="T631" s="25">
        <f>IFERROR(dynamic[profit]/dynamic[revenue], 0)</f>
        <v>0.1363433007</v>
      </c>
    </row>
    <row r="632" ht="15.75" customHeight="1">
      <c r="A632" s="6">
        <v>10485.0</v>
      </c>
      <c r="B632" s="7" t="s">
        <v>82</v>
      </c>
      <c r="C632" s="24" t="str">
        <f>VLOOKUP(dynamic[customerID],customers[],2,FALSE)</f>
        <v>LINO-Delicateses</v>
      </c>
      <c r="D632" s="24">
        <v>45010.0</v>
      </c>
      <c r="E632" s="6">
        <f>IFERROR(__xludf.DUMMYFUNCTION("COUNTUNIQUEIFS($A$2:$A632,$B$2:$B632,B632)"),2.0)</f>
        <v>2</v>
      </c>
      <c r="F632" s="6">
        <f t="shared" si="1"/>
        <v>78</v>
      </c>
      <c r="G632" s="6" t="str">
        <f>IF(MINIFS(dynamic[orderDate], dynamic[customerID], B632) &gt;= DATE(2024,4,30)-120, 
     "New", 
     IF(MAXIFS(dynamic[orderCount], dynamic[customerID], B632)&lt;=2, 
        IF((DATE(2024,4,30) - MAXIFS(dynamic[orderDate], dynamic[customerID], B632)) &gt; 180, "Non-Returning", "Dormant"), 
        IF(AND(MAX(dynamic[sinceLastOrder]) &gt; 365, (DATE(2024,4,30) - MAXIFS(dynamic[orderDate], dynamic[customerID], B632)) &gt; 180), 
           "Dormant", "Regular")))</f>
        <v>Regular</v>
      </c>
      <c r="H632" s="6">
        <v>70.0</v>
      </c>
      <c r="I632" s="9" t="str">
        <f>VLOOKUP(dynamic[productID],products[],2,FALSE)</f>
        <v>Outback Lager</v>
      </c>
      <c r="J632" s="9" t="str">
        <f>VLOOKUP(dynamic[productID],products[],12,FALSE)</f>
        <v>Beverages</v>
      </c>
      <c r="K632" s="7" t="str">
        <f>IF(VLOOKUP(dynamic[productID],products[],7,FALSE)=1,"Discontinued","Current")</f>
        <v>Current</v>
      </c>
      <c r="L632" s="9">
        <f>VLOOKUP(dynamic[productID],products[],IF(YEAR(dynamic[orderDate])=2022,8,IF(YEAR(dynamic[orderDate])=2023,9,IF(YEAR(dynamic[orderDate])=2024,10,NA))),FALSE)</f>
        <v>9.793094091</v>
      </c>
      <c r="M632" s="9">
        <v>12.0</v>
      </c>
      <c r="N632" s="25">
        <f>(dynamic[orderPrice]-dynamic[productCost])/dynamic[productCost]</f>
        <v>0.2253532835</v>
      </c>
      <c r="O632" s="10">
        <v>60.0</v>
      </c>
      <c r="P632" s="25">
        <v>0.1</v>
      </c>
      <c r="Q632" s="9">
        <f>dynamic[orderPrice]*dynamic[orderQuantity]</f>
        <v>720</v>
      </c>
      <c r="R632" s="9">
        <f>dynamic[orderTotal]*(1-dynamic[discountApllied])</f>
        <v>648</v>
      </c>
      <c r="S632" s="9">
        <f>dynamic[revenue]-(dynamic[productCost]*dynamic[orderQuantity])</f>
        <v>60.41435453</v>
      </c>
      <c r="T632" s="25">
        <f>IFERROR(dynamic[profit]/dynamic[revenue], 0)</f>
        <v>0.0932320286</v>
      </c>
    </row>
    <row r="633" ht="15.75" customHeight="1">
      <c r="A633" s="6">
        <v>10486.0</v>
      </c>
      <c r="B633" s="7" t="s">
        <v>23</v>
      </c>
      <c r="C633" s="24" t="str">
        <f>VLOOKUP(dynamic[customerID],customers[],2,FALSE)</f>
        <v>HILARION-Abastos</v>
      </c>
      <c r="D633" s="24">
        <v>45011.0</v>
      </c>
      <c r="E633" s="6">
        <f>IFERROR(__xludf.DUMMYFUNCTION("COUNTUNIQUEIFS($A$2:$A633,$B$2:$B633,B633)"),4.0)</f>
        <v>4</v>
      </c>
      <c r="F633" s="6">
        <f t="shared" si="1"/>
        <v>9</v>
      </c>
      <c r="G633" s="6" t="str">
        <f>IF(MINIFS(dynamic[orderDate], dynamic[customerID], B633) &gt;= DATE(2024,4,30)-120, 
     "New", 
     IF(MAXIFS(dynamic[orderCount], dynamic[customerID], B633)&lt;=2, 
        IF((DATE(2024,4,30) - MAXIFS(dynamic[orderDate], dynamic[customerID], B633)) &gt; 180, "Non-Returning", "Dormant"), 
        IF(AND(MAX(dynamic[sinceLastOrder]) &gt; 365, (DATE(2024,4,30) - MAXIFS(dynamic[orderDate], dynamic[customerID], B633)) &gt; 180), 
           "Dormant", "Regular")))</f>
        <v>Regular</v>
      </c>
      <c r="H633" s="6">
        <v>11.0</v>
      </c>
      <c r="I633" s="9" t="str">
        <f>VLOOKUP(dynamic[productID],products[],2,FALSE)</f>
        <v>Queso Cabrales</v>
      </c>
      <c r="J633" s="9" t="str">
        <f>VLOOKUP(dynamic[productID],products[],12,FALSE)</f>
        <v>Dairy Products</v>
      </c>
      <c r="K633" s="7" t="str">
        <f>IF(VLOOKUP(dynamic[productID],products[],7,FALSE)=1,"Discontinued","Current")</f>
        <v>Current</v>
      </c>
      <c r="L633" s="9">
        <f>VLOOKUP(dynamic[productID],products[],IF(YEAR(dynamic[orderDate])=2022,8,IF(YEAR(dynamic[orderDate])=2023,9,IF(YEAR(dynamic[orderDate])=2024,10,NA))),FALSE)</f>
        <v>12.90188125</v>
      </c>
      <c r="M633" s="9">
        <v>16.8</v>
      </c>
      <c r="N633" s="25">
        <f>(dynamic[orderPrice]-dynamic[productCost])/dynamic[productCost]</f>
        <v>0.3021356863</v>
      </c>
      <c r="O633" s="10">
        <v>5.0</v>
      </c>
      <c r="P633" s="25">
        <v>0.0</v>
      </c>
      <c r="Q633" s="9">
        <f>dynamic[orderPrice]*dynamic[orderQuantity]</f>
        <v>84</v>
      </c>
      <c r="R633" s="9">
        <f>dynamic[orderTotal]*(1-dynamic[discountApllied])</f>
        <v>84</v>
      </c>
      <c r="S633" s="9">
        <f>dynamic[revenue]-(dynamic[productCost]*dynamic[orderQuantity])</f>
        <v>19.49059374</v>
      </c>
      <c r="T633" s="25">
        <f>IFERROR(dynamic[profit]/dynamic[revenue], 0)</f>
        <v>0.2320308778</v>
      </c>
    </row>
    <row r="634" ht="15.75" customHeight="1">
      <c r="A634" s="6">
        <v>10486.0</v>
      </c>
      <c r="B634" s="7" t="s">
        <v>23</v>
      </c>
      <c r="C634" s="24" t="str">
        <f>VLOOKUP(dynamic[customerID],customers[],2,FALSE)</f>
        <v>HILARION-Abastos</v>
      </c>
      <c r="D634" s="24">
        <v>45011.0</v>
      </c>
      <c r="E634" s="6">
        <f>IFERROR(__xludf.DUMMYFUNCTION("COUNTUNIQUEIFS($A$2:$A634,$B$2:$B634,B634)"),4.0)</f>
        <v>4</v>
      </c>
      <c r="F634" s="6">
        <f t="shared" si="1"/>
        <v>9</v>
      </c>
      <c r="G634" s="6" t="str">
        <f>IF(MINIFS(dynamic[orderDate], dynamic[customerID], B634) &gt;= DATE(2024,4,30)-120, 
     "New", 
     IF(MAXIFS(dynamic[orderCount], dynamic[customerID], B634)&lt;=2, 
        IF((DATE(2024,4,30) - MAXIFS(dynamic[orderDate], dynamic[customerID], B634)) &gt; 180, "Non-Returning", "Dormant"), 
        IF(AND(MAX(dynamic[sinceLastOrder]) &gt; 365, (DATE(2024,4,30) - MAXIFS(dynamic[orderDate], dynamic[customerID], B634)) &gt; 180), 
           "Dormant", "Regular")))</f>
        <v>Regular</v>
      </c>
      <c r="H634" s="6">
        <v>51.0</v>
      </c>
      <c r="I634" s="9" t="str">
        <f>VLOOKUP(dynamic[productID],products[],2,FALSE)</f>
        <v>Manjimup Dried Apples</v>
      </c>
      <c r="J634" s="9" t="str">
        <f>VLOOKUP(dynamic[productID],products[],12,FALSE)</f>
        <v>Produce</v>
      </c>
      <c r="K634" s="7" t="str">
        <f>IF(VLOOKUP(dynamic[productID],products[],7,FALSE)=1,"Discontinued","Current")</f>
        <v>Current</v>
      </c>
      <c r="L634" s="9">
        <f>VLOOKUP(dynamic[productID],products[],IF(YEAR(dynamic[orderDate])=2022,8,IF(YEAR(dynamic[orderDate])=2023,9,IF(YEAR(dynamic[orderDate])=2024,10,NA))),FALSE)</f>
        <v>36.88798027</v>
      </c>
      <c r="M634" s="9">
        <v>42.4</v>
      </c>
      <c r="N634" s="25">
        <f>(dynamic[orderPrice]-dynamic[productCost])/dynamic[productCost]</f>
        <v>0.1494259023</v>
      </c>
      <c r="O634" s="10">
        <v>25.0</v>
      </c>
      <c r="P634" s="25">
        <v>0.0</v>
      </c>
      <c r="Q634" s="9">
        <f>dynamic[orderPrice]*dynamic[orderQuantity]</f>
        <v>1060</v>
      </c>
      <c r="R634" s="9">
        <f>dynamic[orderTotal]*(1-dynamic[discountApllied])</f>
        <v>1060</v>
      </c>
      <c r="S634" s="9">
        <f>dynamic[revenue]-(dynamic[productCost]*dynamic[orderQuantity])</f>
        <v>137.8004934</v>
      </c>
      <c r="T634" s="25">
        <f>IFERROR(dynamic[profit]/dynamic[revenue], 0)</f>
        <v>0.1300004654</v>
      </c>
    </row>
    <row r="635" ht="15.75" customHeight="1">
      <c r="A635" s="6">
        <v>10486.0</v>
      </c>
      <c r="B635" s="7" t="s">
        <v>23</v>
      </c>
      <c r="C635" s="24" t="str">
        <f>VLOOKUP(dynamic[customerID],customers[],2,FALSE)</f>
        <v>HILARION-Abastos</v>
      </c>
      <c r="D635" s="24">
        <v>45011.0</v>
      </c>
      <c r="E635" s="6">
        <f>IFERROR(__xludf.DUMMYFUNCTION("COUNTUNIQUEIFS($A$2:$A635,$B$2:$B635,B635)"),4.0)</f>
        <v>4</v>
      </c>
      <c r="F635" s="6">
        <f t="shared" si="1"/>
        <v>9</v>
      </c>
      <c r="G635" s="6" t="str">
        <f>IF(MINIFS(dynamic[orderDate], dynamic[customerID], B635) &gt;= DATE(2024,4,30)-120, 
     "New", 
     IF(MAXIFS(dynamic[orderCount], dynamic[customerID], B635)&lt;=2, 
        IF((DATE(2024,4,30) - MAXIFS(dynamic[orderDate], dynamic[customerID], B635)) &gt; 180, "Non-Returning", "Dormant"), 
        IF(AND(MAX(dynamic[sinceLastOrder]) &gt; 365, (DATE(2024,4,30) - MAXIFS(dynamic[orderDate], dynamic[customerID], B635)) &gt; 180), 
           "Dormant", "Regular")))</f>
        <v>Regular</v>
      </c>
      <c r="H635" s="6">
        <v>74.0</v>
      </c>
      <c r="I635" s="9" t="str">
        <f>VLOOKUP(dynamic[productID],products[],2,FALSE)</f>
        <v>Longlife Tofu</v>
      </c>
      <c r="J635" s="9" t="str">
        <f>VLOOKUP(dynamic[productID],products[],12,FALSE)</f>
        <v>Produce</v>
      </c>
      <c r="K635" s="7" t="str">
        <f>IF(VLOOKUP(dynamic[productID],products[],7,FALSE)=1,"Discontinued","Current")</f>
        <v>Current</v>
      </c>
      <c r="L635" s="9">
        <f>VLOOKUP(dynamic[productID],products[],IF(YEAR(dynamic[orderDate])=2022,8,IF(YEAR(dynamic[orderDate])=2023,9,IF(YEAR(dynamic[orderDate])=2024,10,NA))),FALSE)</f>
        <v>6.510240467</v>
      </c>
      <c r="M635" s="9">
        <v>8.0</v>
      </c>
      <c r="N635" s="25">
        <f>(dynamic[orderPrice]-dynamic[productCost])/dynamic[productCost]</f>
        <v>0.2288332575</v>
      </c>
      <c r="O635" s="10">
        <v>16.0</v>
      </c>
      <c r="P635" s="25">
        <v>0.0</v>
      </c>
      <c r="Q635" s="9">
        <f>dynamic[orderPrice]*dynamic[orderQuantity]</f>
        <v>128</v>
      </c>
      <c r="R635" s="9">
        <f>dynamic[orderTotal]*(1-dynamic[discountApllied])</f>
        <v>128</v>
      </c>
      <c r="S635" s="9">
        <f>dynamic[revenue]-(dynamic[productCost]*dynamic[orderQuantity])</f>
        <v>23.83615253</v>
      </c>
      <c r="T635" s="25">
        <f>IFERROR(dynamic[profit]/dynamic[revenue], 0)</f>
        <v>0.1862199417</v>
      </c>
    </row>
    <row r="636" ht="15.75" customHeight="1">
      <c r="A636" s="6">
        <v>10487.0</v>
      </c>
      <c r="B636" s="7" t="s">
        <v>77</v>
      </c>
      <c r="C636" s="24" t="str">
        <f>VLOOKUP(dynamic[customerID],customers[],2,FALSE)</f>
        <v>Queen Cozinha</v>
      </c>
      <c r="D636" s="24">
        <v>45011.0</v>
      </c>
      <c r="E636" s="6">
        <f>IFERROR(__xludf.DUMMYFUNCTION("COUNTUNIQUEIFS($A$2:$A636,$B$2:$B636,B636)"),3.0)</f>
        <v>3</v>
      </c>
      <c r="F636" s="6">
        <f t="shared" si="1"/>
        <v>78</v>
      </c>
      <c r="G636" s="6" t="str">
        <f>IF(MINIFS(dynamic[orderDate], dynamic[customerID], B636) &gt;= DATE(2024,4,30)-120, 
     "New", 
     IF(MAXIFS(dynamic[orderCount], dynamic[customerID], B636)&lt;=2, 
        IF((DATE(2024,4,30) - MAXIFS(dynamic[orderDate], dynamic[customerID], B636)) &gt; 180, "Non-Returning", "Dormant"), 
        IF(AND(MAX(dynamic[sinceLastOrder]) &gt; 365, (DATE(2024,4,30) - MAXIFS(dynamic[orderDate], dynamic[customerID], B636)) &gt; 180), 
           "Dormant", "Regular")))</f>
        <v>Regular</v>
      </c>
      <c r="H636" s="6">
        <v>19.0</v>
      </c>
      <c r="I636" s="9" t="str">
        <f>VLOOKUP(dynamic[productID],products[],2,FALSE)</f>
        <v>Teatime Chocolate Biscuits</v>
      </c>
      <c r="J636" s="9" t="str">
        <f>VLOOKUP(dynamic[productID],products[],12,FALSE)</f>
        <v>Confections</v>
      </c>
      <c r="K636" s="7" t="str">
        <f>IF(VLOOKUP(dynamic[productID],products[],7,FALSE)=1,"Discontinued","Current")</f>
        <v>Current</v>
      </c>
      <c r="L636" s="9">
        <f>VLOOKUP(dynamic[productID],products[],IF(YEAR(dynamic[orderDate])=2022,8,IF(YEAR(dynamic[orderDate])=2023,9,IF(YEAR(dynamic[orderDate])=2024,10,NA))),FALSE)</f>
        <v>5.901883682</v>
      </c>
      <c r="M636" s="9">
        <v>7.3</v>
      </c>
      <c r="N636" s="25">
        <f>(dynamic[orderPrice]-dynamic[productCost])/dynamic[productCost]</f>
        <v>0.2368932349</v>
      </c>
      <c r="O636" s="10">
        <v>5.0</v>
      </c>
      <c r="P636" s="25">
        <v>0.0</v>
      </c>
      <c r="Q636" s="9">
        <f>dynamic[orderPrice]*dynamic[orderQuantity]</f>
        <v>36.5</v>
      </c>
      <c r="R636" s="9">
        <f>dynamic[orderTotal]*(1-dynamic[discountApllied])</f>
        <v>36.5</v>
      </c>
      <c r="S636" s="9">
        <f>dynamic[revenue]-(dynamic[productCost]*dynamic[orderQuantity])</f>
        <v>6.990581588</v>
      </c>
      <c r="T636" s="25">
        <f>IFERROR(dynamic[profit]/dynamic[revenue], 0)</f>
        <v>0.1915227832</v>
      </c>
    </row>
    <row r="637" ht="15.75" customHeight="1">
      <c r="A637" s="6">
        <v>10487.0</v>
      </c>
      <c r="B637" s="7" t="s">
        <v>77</v>
      </c>
      <c r="C637" s="24" t="str">
        <f>VLOOKUP(dynamic[customerID],customers[],2,FALSE)</f>
        <v>Queen Cozinha</v>
      </c>
      <c r="D637" s="24">
        <v>45011.0</v>
      </c>
      <c r="E637" s="6">
        <f>IFERROR(__xludf.DUMMYFUNCTION("COUNTUNIQUEIFS($A$2:$A637,$B$2:$B637,B637)"),3.0)</f>
        <v>3</v>
      </c>
      <c r="F637" s="6">
        <f t="shared" si="1"/>
        <v>78</v>
      </c>
      <c r="G637" s="6" t="str">
        <f>IF(MINIFS(dynamic[orderDate], dynamic[customerID], B637) &gt;= DATE(2024,4,30)-120, 
     "New", 
     IF(MAXIFS(dynamic[orderCount], dynamic[customerID], B637)&lt;=2, 
        IF((DATE(2024,4,30) - MAXIFS(dynamic[orderDate], dynamic[customerID], B637)) &gt; 180, "Non-Returning", "Dormant"), 
        IF(AND(MAX(dynamic[sinceLastOrder]) &gt; 365, (DATE(2024,4,30) - MAXIFS(dynamic[orderDate], dynamic[customerID], B637)) &gt; 180), 
           "Dormant", "Regular")))</f>
        <v>Regular</v>
      </c>
      <c r="H637" s="6">
        <v>26.0</v>
      </c>
      <c r="I637" s="9" t="str">
        <f>VLOOKUP(dynamic[productID],products[],2,FALSE)</f>
        <v>NuNuCa Nuß-Nougat-Creme</v>
      </c>
      <c r="J637" s="9" t="str">
        <f>VLOOKUP(dynamic[productID],products[],12,FALSE)</f>
        <v>Confections</v>
      </c>
      <c r="K637" s="7" t="str">
        <f>IF(VLOOKUP(dynamic[productID],products[],7,FALSE)=1,"Discontinued","Current")</f>
        <v>Current</v>
      </c>
      <c r="L637" s="9">
        <f>VLOOKUP(dynamic[productID],products[],IF(YEAR(dynamic[orderDate])=2022,8,IF(YEAR(dynamic[orderDate])=2023,9,IF(YEAR(dynamic[orderDate])=2024,10,NA))),FALSE)</f>
        <v>21.20896201</v>
      </c>
      <c r="M637" s="9">
        <v>24.9</v>
      </c>
      <c r="N637" s="25">
        <f>(dynamic[orderPrice]-dynamic[productCost])/dynamic[productCost]</f>
        <v>0.1740319958</v>
      </c>
      <c r="O637" s="10">
        <v>30.0</v>
      </c>
      <c r="P637" s="25">
        <v>0.0</v>
      </c>
      <c r="Q637" s="9">
        <f>dynamic[orderPrice]*dynamic[orderQuantity]</f>
        <v>747</v>
      </c>
      <c r="R637" s="9">
        <f>dynamic[orderTotal]*(1-dynamic[discountApllied])</f>
        <v>747</v>
      </c>
      <c r="S637" s="9">
        <f>dynamic[revenue]-(dynamic[productCost]*dynamic[orderQuantity])</f>
        <v>110.7311396</v>
      </c>
      <c r="T637" s="25">
        <f>IFERROR(dynamic[profit]/dynamic[revenue], 0)</f>
        <v>0.1482344573</v>
      </c>
    </row>
    <row r="638" ht="15.75" customHeight="1">
      <c r="A638" s="6">
        <v>10487.0</v>
      </c>
      <c r="B638" s="7" t="s">
        <v>77</v>
      </c>
      <c r="C638" s="24" t="str">
        <f>VLOOKUP(dynamic[customerID],customers[],2,FALSE)</f>
        <v>Queen Cozinha</v>
      </c>
      <c r="D638" s="24">
        <v>45011.0</v>
      </c>
      <c r="E638" s="6">
        <f>IFERROR(__xludf.DUMMYFUNCTION("COUNTUNIQUEIFS($A$2:$A638,$B$2:$B638,B638)"),3.0)</f>
        <v>3</v>
      </c>
      <c r="F638" s="6">
        <f t="shared" si="1"/>
        <v>78</v>
      </c>
      <c r="G638" s="6" t="str">
        <f>IF(MINIFS(dynamic[orderDate], dynamic[customerID], B638) &gt;= DATE(2024,4,30)-120, 
     "New", 
     IF(MAXIFS(dynamic[orderCount], dynamic[customerID], B638)&lt;=2, 
        IF((DATE(2024,4,30) - MAXIFS(dynamic[orderDate], dynamic[customerID], B638)) &gt; 180, "Non-Returning", "Dormant"), 
        IF(AND(MAX(dynamic[sinceLastOrder]) &gt; 365, (DATE(2024,4,30) - MAXIFS(dynamic[orderDate], dynamic[customerID], B638)) &gt; 180), 
           "Dormant", "Regular")))</f>
        <v>Regular</v>
      </c>
      <c r="H638" s="6">
        <v>54.0</v>
      </c>
      <c r="I638" s="9" t="str">
        <f>VLOOKUP(dynamic[productID],products[],2,FALSE)</f>
        <v>Tourtière</v>
      </c>
      <c r="J638" s="9" t="str">
        <f>VLOOKUP(dynamic[productID],products[],12,FALSE)</f>
        <v>Meat/Poultry</v>
      </c>
      <c r="K638" s="7" t="str">
        <f>IF(VLOOKUP(dynamic[productID],products[],7,FALSE)=1,"Discontinued","Current")</f>
        <v>Current</v>
      </c>
      <c r="L638" s="9">
        <f>VLOOKUP(dynamic[productID],products[],IF(YEAR(dynamic[orderDate])=2022,8,IF(YEAR(dynamic[orderDate])=2023,9,IF(YEAR(dynamic[orderDate])=2024,10,NA))),FALSE)</f>
        <v>4.924447797</v>
      </c>
      <c r="M638" s="9">
        <v>5.9</v>
      </c>
      <c r="N638" s="25">
        <f>(dynamic[orderPrice]-dynamic[productCost])/dynamic[productCost]</f>
        <v>0.1981038774</v>
      </c>
      <c r="O638" s="10">
        <v>24.0</v>
      </c>
      <c r="P638" s="25">
        <v>0.25</v>
      </c>
      <c r="Q638" s="9">
        <f>dynamic[orderPrice]*dynamic[orderQuantity]</f>
        <v>141.6</v>
      </c>
      <c r="R638" s="9">
        <f>dynamic[orderTotal]*(1-dynamic[discountApllied])</f>
        <v>106.2</v>
      </c>
      <c r="S638" s="9">
        <f>dynamic[revenue]-(dynamic[productCost]*dynamic[orderQuantity])</f>
        <v>-11.98674713</v>
      </c>
      <c r="T638" s="25">
        <f>IFERROR(dynamic[profit]/dynamic[revenue], 0)</f>
        <v>-0.1128695587</v>
      </c>
    </row>
    <row r="639" ht="15.75" customHeight="1">
      <c r="A639" s="6">
        <v>10488.0</v>
      </c>
      <c r="B639" s="7" t="s">
        <v>32</v>
      </c>
      <c r="C639" s="24" t="str">
        <f>VLOOKUP(dynamic[customerID],customers[],2,FALSE)</f>
        <v>Frankenversand</v>
      </c>
      <c r="D639" s="24">
        <v>45012.0</v>
      </c>
      <c r="E639" s="6">
        <f>IFERROR(__xludf.DUMMYFUNCTION("COUNTUNIQUEIFS($A$2:$A639,$B$2:$B639,B639)"),5.0)</f>
        <v>5</v>
      </c>
      <c r="F639" s="6">
        <f t="shared" si="1"/>
        <v>90</v>
      </c>
      <c r="G639" s="6" t="str">
        <f>IF(MINIFS(dynamic[orderDate], dynamic[customerID], B639) &gt;= DATE(2024,4,30)-120, 
     "New", 
     IF(MAXIFS(dynamic[orderCount], dynamic[customerID], B639)&lt;=2, 
        IF((DATE(2024,4,30) - MAXIFS(dynamic[orderDate], dynamic[customerID], B639)) &gt; 180, "Non-Returning", "Dormant"), 
        IF(AND(MAX(dynamic[sinceLastOrder]) &gt; 365, (DATE(2024,4,30) - MAXIFS(dynamic[orderDate], dynamic[customerID], B639)) &gt; 180), 
           "Dormant", "Regular")))</f>
        <v>Regular</v>
      </c>
      <c r="H639" s="6">
        <v>59.0</v>
      </c>
      <c r="I639" s="9" t="str">
        <f>VLOOKUP(dynamic[productID],products[],2,FALSE)</f>
        <v>Raclette Courdavault</v>
      </c>
      <c r="J639" s="9" t="str">
        <f>VLOOKUP(dynamic[productID],products[],12,FALSE)</f>
        <v>Dairy Products</v>
      </c>
      <c r="K639" s="7" t="str">
        <f>IF(VLOOKUP(dynamic[productID],products[],7,FALSE)=1,"Discontinued","Current")</f>
        <v>Current</v>
      </c>
      <c r="L639" s="9">
        <f>VLOOKUP(dynamic[productID],products[],IF(YEAR(dynamic[orderDate])=2022,8,IF(YEAR(dynamic[orderDate])=2023,9,IF(YEAR(dynamic[orderDate])=2024,10,NA))),FALSE)</f>
        <v>35.20472566</v>
      </c>
      <c r="M639" s="9">
        <v>44.0</v>
      </c>
      <c r="N639" s="25">
        <f>(dynamic[orderPrice]-dynamic[productCost])/dynamic[productCost]</f>
        <v>0.2498322078</v>
      </c>
      <c r="O639" s="10">
        <v>30.0</v>
      </c>
      <c r="P639" s="25">
        <v>0.0</v>
      </c>
      <c r="Q639" s="9">
        <f>dynamic[orderPrice]*dynamic[orderQuantity]</f>
        <v>1320</v>
      </c>
      <c r="R639" s="9">
        <f>dynamic[orderTotal]*(1-dynamic[discountApllied])</f>
        <v>1320</v>
      </c>
      <c r="S639" s="9">
        <f>dynamic[revenue]-(dynamic[productCost]*dynamic[orderQuantity])</f>
        <v>263.8582302</v>
      </c>
      <c r="T639" s="25">
        <f>IFERROR(dynamic[profit]/dynamic[revenue], 0)</f>
        <v>0.1998925986</v>
      </c>
    </row>
    <row r="640" ht="15.75" customHeight="1">
      <c r="A640" s="6">
        <v>10488.0</v>
      </c>
      <c r="B640" s="7" t="s">
        <v>32</v>
      </c>
      <c r="C640" s="24" t="str">
        <f>VLOOKUP(dynamic[customerID],customers[],2,FALSE)</f>
        <v>Frankenversand</v>
      </c>
      <c r="D640" s="24">
        <v>45012.0</v>
      </c>
      <c r="E640" s="6">
        <f>IFERROR(__xludf.DUMMYFUNCTION("COUNTUNIQUEIFS($A$2:$A640,$B$2:$B640,B640)"),5.0)</f>
        <v>5</v>
      </c>
      <c r="F640" s="6">
        <f t="shared" si="1"/>
        <v>90</v>
      </c>
      <c r="G640" s="6" t="str">
        <f>IF(MINIFS(dynamic[orderDate], dynamic[customerID], B640) &gt;= DATE(2024,4,30)-120, 
     "New", 
     IF(MAXIFS(dynamic[orderCount], dynamic[customerID], B640)&lt;=2, 
        IF((DATE(2024,4,30) - MAXIFS(dynamic[orderDate], dynamic[customerID], B640)) &gt; 180, "Non-Returning", "Dormant"), 
        IF(AND(MAX(dynamic[sinceLastOrder]) &gt; 365, (DATE(2024,4,30) - MAXIFS(dynamic[orderDate], dynamic[customerID], B640)) &gt; 180), 
           "Dormant", "Regular")))</f>
        <v>Regular</v>
      </c>
      <c r="H640" s="6">
        <v>73.0</v>
      </c>
      <c r="I640" s="9" t="str">
        <f>VLOOKUP(dynamic[productID],products[],2,FALSE)</f>
        <v>Röd Kaviar</v>
      </c>
      <c r="J640" s="9" t="str">
        <f>VLOOKUP(dynamic[productID],products[],12,FALSE)</f>
        <v>Seafood</v>
      </c>
      <c r="K640" s="7" t="str">
        <f>IF(VLOOKUP(dynamic[productID],products[],7,FALSE)=1,"Discontinued","Current")</f>
        <v>Current</v>
      </c>
      <c r="L640" s="9">
        <f>VLOOKUP(dynamic[productID],products[],IF(YEAR(dynamic[orderDate])=2022,8,IF(YEAR(dynamic[orderDate])=2023,9,IF(YEAR(dynamic[orderDate])=2024,10,NA))),FALSE)</f>
        <v>9.692999362</v>
      </c>
      <c r="M640" s="9">
        <v>12.0</v>
      </c>
      <c r="N640" s="25">
        <f>(dynamic[orderPrice]-dynamic[productCost])/dynamic[productCost]</f>
        <v>0.2380068905</v>
      </c>
      <c r="O640" s="10">
        <v>20.0</v>
      </c>
      <c r="P640" s="25">
        <v>0.2</v>
      </c>
      <c r="Q640" s="9">
        <f>dynamic[orderPrice]*dynamic[orderQuantity]</f>
        <v>240</v>
      </c>
      <c r="R640" s="9">
        <f>dynamic[orderTotal]*(1-dynamic[discountApllied])</f>
        <v>192</v>
      </c>
      <c r="S640" s="9">
        <f>dynamic[revenue]-(dynamic[productCost]*dynamic[orderQuantity])</f>
        <v>-1.859987242</v>
      </c>
      <c r="T640" s="25">
        <f>IFERROR(dynamic[profit]/dynamic[revenue], 0)</f>
        <v>-0.009687433554</v>
      </c>
    </row>
    <row r="641" ht="15.75" customHeight="1">
      <c r="A641" s="6">
        <v>10489.0</v>
      </c>
      <c r="B641" s="7" t="s">
        <v>69</v>
      </c>
      <c r="C641" s="24" t="str">
        <f>VLOOKUP(dynamic[customerID],customers[],2,FALSE)</f>
        <v>Piccolo und mehr</v>
      </c>
      <c r="D641" s="24">
        <v>45013.0</v>
      </c>
      <c r="E641" s="6">
        <f>IFERROR(__xludf.DUMMYFUNCTION("COUNTUNIQUEIFS($A$2:$A641,$B$2:$B641,B641)"),4.0)</f>
        <v>4</v>
      </c>
      <c r="F641" s="6">
        <f t="shared" si="1"/>
        <v>60</v>
      </c>
      <c r="G641" s="6" t="str">
        <f>IF(MINIFS(dynamic[orderDate], dynamic[customerID], B641) &gt;= DATE(2024,4,30)-120, 
     "New", 
     IF(MAXIFS(dynamic[orderCount], dynamic[customerID], B641)&lt;=2, 
        IF((DATE(2024,4,30) - MAXIFS(dynamic[orderDate], dynamic[customerID], B641)) &gt; 180, "Non-Returning", "Dormant"), 
        IF(AND(MAX(dynamic[sinceLastOrder]) &gt; 365, (DATE(2024,4,30) - MAXIFS(dynamic[orderDate], dynamic[customerID], B641)) &gt; 180), 
           "Dormant", "Regular")))</f>
        <v>Regular</v>
      </c>
      <c r="H641" s="6">
        <v>11.0</v>
      </c>
      <c r="I641" s="9" t="str">
        <f>VLOOKUP(dynamic[productID],products[],2,FALSE)</f>
        <v>Queso Cabrales</v>
      </c>
      <c r="J641" s="9" t="str">
        <f>VLOOKUP(dynamic[productID],products[],12,FALSE)</f>
        <v>Dairy Products</v>
      </c>
      <c r="K641" s="7" t="str">
        <f>IF(VLOOKUP(dynamic[productID],products[],7,FALSE)=1,"Discontinued","Current")</f>
        <v>Current</v>
      </c>
      <c r="L641" s="9">
        <f>VLOOKUP(dynamic[productID],products[],IF(YEAR(dynamic[orderDate])=2022,8,IF(YEAR(dynamic[orderDate])=2023,9,IF(YEAR(dynamic[orderDate])=2024,10,NA))),FALSE)</f>
        <v>12.90188125</v>
      </c>
      <c r="M641" s="9">
        <v>16.8</v>
      </c>
      <c r="N641" s="25">
        <f>(dynamic[orderPrice]-dynamic[productCost])/dynamic[productCost]</f>
        <v>0.3021356863</v>
      </c>
      <c r="O641" s="10">
        <v>15.0</v>
      </c>
      <c r="P641" s="25">
        <v>0.25</v>
      </c>
      <c r="Q641" s="9">
        <f>dynamic[orderPrice]*dynamic[orderQuantity]</f>
        <v>252</v>
      </c>
      <c r="R641" s="9">
        <f>dynamic[orderTotal]*(1-dynamic[discountApllied])</f>
        <v>189</v>
      </c>
      <c r="S641" s="9">
        <f>dynamic[revenue]-(dynamic[productCost]*dynamic[orderQuantity])</f>
        <v>-4.52821879</v>
      </c>
      <c r="T641" s="25">
        <f>IFERROR(dynamic[profit]/dynamic[revenue], 0)</f>
        <v>-0.02395882957</v>
      </c>
    </row>
    <row r="642" ht="15.75" customHeight="1">
      <c r="A642" s="6">
        <v>10489.0</v>
      </c>
      <c r="B642" s="7" t="s">
        <v>69</v>
      </c>
      <c r="C642" s="24" t="str">
        <f>VLOOKUP(dynamic[customerID],customers[],2,FALSE)</f>
        <v>Piccolo und mehr</v>
      </c>
      <c r="D642" s="24">
        <v>45013.0</v>
      </c>
      <c r="E642" s="6">
        <f>IFERROR(__xludf.DUMMYFUNCTION("COUNTUNIQUEIFS($A$2:$A642,$B$2:$B642,B642)"),4.0)</f>
        <v>4</v>
      </c>
      <c r="F642" s="6">
        <f t="shared" si="1"/>
        <v>60</v>
      </c>
      <c r="G642" s="6" t="str">
        <f>IF(MINIFS(dynamic[orderDate], dynamic[customerID], B642) &gt;= DATE(2024,4,30)-120, 
     "New", 
     IF(MAXIFS(dynamic[orderCount], dynamic[customerID], B642)&lt;=2, 
        IF((DATE(2024,4,30) - MAXIFS(dynamic[orderDate], dynamic[customerID], B642)) &gt; 180, "Non-Returning", "Dormant"), 
        IF(AND(MAX(dynamic[sinceLastOrder]) &gt; 365, (DATE(2024,4,30) - MAXIFS(dynamic[orderDate], dynamic[customerID], B642)) &gt; 180), 
           "Dormant", "Regular")))</f>
        <v>Regular</v>
      </c>
      <c r="H642" s="6">
        <v>16.0</v>
      </c>
      <c r="I642" s="9" t="str">
        <f>VLOOKUP(dynamic[productID],products[],2,FALSE)</f>
        <v>Pavlova</v>
      </c>
      <c r="J642" s="9" t="str">
        <f>VLOOKUP(dynamic[productID],products[],12,FALSE)</f>
        <v>Confections</v>
      </c>
      <c r="K642" s="7" t="str">
        <f>IF(VLOOKUP(dynamic[productID],products[],7,FALSE)=1,"Discontinued","Current")</f>
        <v>Current</v>
      </c>
      <c r="L642" s="9">
        <f>VLOOKUP(dynamic[productID],products[],IF(YEAR(dynamic[orderDate])=2022,8,IF(YEAR(dynamic[orderDate])=2023,9,IF(YEAR(dynamic[orderDate])=2024,10,NA))),FALSE)</f>
        <v>11.98504839</v>
      </c>
      <c r="M642" s="9">
        <v>13.9</v>
      </c>
      <c r="N642" s="25">
        <f>(dynamic[orderPrice]-dynamic[productCost])/dynamic[productCost]</f>
        <v>0.1597783792</v>
      </c>
      <c r="O642" s="10">
        <v>18.0</v>
      </c>
      <c r="P642" s="25">
        <v>0.0</v>
      </c>
      <c r="Q642" s="9">
        <f>dynamic[orderPrice]*dynamic[orderQuantity]</f>
        <v>250.2</v>
      </c>
      <c r="R642" s="9">
        <f>dynamic[orderTotal]*(1-dynamic[discountApllied])</f>
        <v>250.2</v>
      </c>
      <c r="S642" s="9">
        <f>dynamic[revenue]-(dynamic[productCost]*dynamic[orderQuantity])</f>
        <v>34.46912893</v>
      </c>
      <c r="T642" s="25">
        <f>IFERROR(dynamic[profit]/dynamic[revenue], 0)</f>
        <v>0.1377663027</v>
      </c>
    </row>
    <row r="643" ht="15.75" customHeight="1">
      <c r="A643" s="6">
        <v>10490.0</v>
      </c>
      <c r="B643" s="7" t="s">
        <v>23</v>
      </c>
      <c r="C643" s="24" t="str">
        <f>VLOOKUP(dynamic[customerID],customers[],2,FALSE)</f>
        <v>HILARION-Abastos</v>
      </c>
      <c r="D643" s="24">
        <v>45016.0</v>
      </c>
      <c r="E643" s="6">
        <f>IFERROR(__xludf.DUMMYFUNCTION("COUNTUNIQUEIFS($A$2:$A643,$B$2:$B643,B643)"),5.0)</f>
        <v>5</v>
      </c>
      <c r="F643" s="6">
        <f t="shared" si="1"/>
        <v>5</v>
      </c>
      <c r="G643" s="6" t="str">
        <f>IF(MINIFS(dynamic[orderDate], dynamic[customerID], B643) &gt;= DATE(2024,4,30)-120, 
     "New", 
     IF(MAXIFS(dynamic[orderCount], dynamic[customerID], B643)&lt;=2, 
        IF((DATE(2024,4,30) - MAXIFS(dynamic[orderDate], dynamic[customerID], B643)) &gt; 180, "Non-Returning", "Dormant"), 
        IF(AND(MAX(dynamic[sinceLastOrder]) &gt; 365, (DATE(2024,4,30) - MAXIFS(dynamic[orderDate], dynamic[customerID], B643)) &gt; 180), 
           "Dormant", "Regular")))</f>
        <v>Regular</v>
      </c>
      <c r="H643" s="6">
        <v>59.0</v>
      </c>
      <c r="I643" s="9" t="str">
        <f>VLOOKUP(dynamic[productID],products[],2,FALSE)</f>
        <v>Raclette Courdavault</v>
      </c>
      <c r="J643" s="9" t="str">
        <f>VLOOKUP(dynamic[productID],products[],12,FALSE)</f>
        <v>Dairy Products</v>
      </c>
      <c r="K643" s="7" t="str">
        <f>IF(VLOOKUP(dynamic[productID],products[],7,FALSE)=1,"Discontinued","Current")</f>
        <v>Current</v>
      </c>
      <c r="L643" s="9">
        <f>VLOOKUP(dynamic[productID],products[],IF(YEAR(dynamic[orderDate])=2022,8,IF(YEAR(dynamic[orderDate])=2023,9,IF(YEAR(dynamic[orderDate])=2024,10,NA))),FALSE)</f>
        <v>35.20472566</v>
      </c>
      <c r="M643" s="9">
        <v>44.0</v>
      </c>
      <c r="N643" s="25">
        <f>(dynamic[orderPrice]-dynamic[productCost])/dynamic[productCost]</f>
        <v>0.2498322078</v>
      </c>
      <c r="O643" s="10">
        <v>60.0</v>
      </c>
      <c r="P643" s="25">
        <v>0.0</v>
      </c>
      <c r="Q643" s="9">
        <f>dynamic[orderPrice]*dynamic[orderQuantity]</f>
        <v>2640</v>
      </c>
      <c r="R643" s="9">
        <f>dynamic[orderTotal]*(1-dynamic[discountApllied])</f>
        <v>2640</v>
      </c>
      <c r="S643" s="9">
        <f>dynamic[revenue]-(dynamic[productCost]*dynamic[orderQuantity])</f>
        <v>527.7164603</v>
      </c>
      <c r="T643" s="25">
        <f>IFERROR(dynamic[profit]/dynamic[revenue], 0)</f>
        <v>0.1998925986</v>
      </c>
    </row>
    <row r="644" ht="15.75" customHeight="1">
      <c r="A644" s="6">
        <v>10490.0</v>
      </c>
      <c r="B644" s="7" t="s">
        <v>23</v>
      </c>
      <c r="C644" s="24" t="str">
        <f>VLOOKUP(dynamic[customerID],customers[],2,FALSE)</f>
        <v>HILARION-Abastos</v>
      </c>
      <c r="D644" s="24">
        <v>45016.0</v>
      </c>
      <c r="E644" s="6">
        <f>IFERROR(__xludf.DUMMYFUNCTION("COUNTUNIQUEIFS($A$2:$A644,$B$2:$B644,B644)"),5.0)</f>
        <v>5</v>
      </c>
      <c r="F644" s="6">
        <f t="shared" si="1"/>
        <v>5</v>
      </c>
      <c r="G644" s="6" t="str">
        <f>IF(MINIFS(dynamic[orderDate], dynamic[customerID], B644) &gt;= DATE(2024,4,30)-120, 
     "New", 
     IF(MAXIFS(dynamic[orderCount], dynamic[customerID], B644)&lt;=2, 
        IF((DATE(2024,4,30) - MAXIFS(dynamic[orderDate], dynamic[customerID], B644)) &gt; 180, "Non-Returning", "Dormant"), 
        IF(AND(MAX(dynamic[sinceLastOrder]) &gt; 365, (DATE(2024,4,30) - MAXIFS(dynamic[orderDate], dynamic[customerID], B644)) &gt; 180), 
           "Dormant", "Regular")))</f>
        <v>Regular</v>
      </c>
      <c r="H644" s="6">
        <v>68.0</v>
      </c>
      <c r="I644" s="9" t="str">
        <f>VLOOKUP(dynamic[productID],products[],2,FALSE)</f>
        <v>Scottish Longbreads</v>
      </c>
      <c r="J644" s="9" t="str">
        <f>VLOOKUP(dynamic[productID],products[],12,FALSE)</f>
        <v>Confections</v>
      </c>
      <c r="K644" s="7" t="str">
        <f>IF(VLOOKUP(dynamic[productID],products[],7,FALSE)=1,"Discontinued","Current")</f>
        <v>Current</v>
      </c>
      <c r="L644" s="9">
        <f>VLOOKUP(dynamic[productID],products[],IF(YEAR(dynamic[orderDate])=2022,8,IF(YEAR(dynamic[orderDate])=2023,9,IF(YEAR(dynamic[orderDate])=2024,10,NA))),FALSE)</f>
        <v>8.500000387</v>
      </c>
      <c r="M644" s="9">
        <v>10.0</v>
      </c>
      <c r="N644" s="25">
        <f>(dynamic[orderPrice]-dynamic[productCost])/dynamic[productCost]</f>
        <v>0.1764705347</v>
      </c>
      <c r="O644" s="10">
        <v>30.0</v>
      </c>
      <c r="P644" s="25">
        <v>0.0</v>
      </c>
      <c r="Q644" s="9">
        <f>dynamic[orderPrice]*dynamic[orderQuantity]</f>
        <v>300</v>
      </c>
      <c r="R644" s="9">
        <f>dynamic[orderTotal]*(1-dynamic[discountApllied])</f>
        <v>300</v>
      </c>
      <c r="S644" s="9">
        <f>dynamic[revenue]-(dynamic[productCost]*dynamic[orderQuantity])</f>
        <v>44.9999884</v>
      </c>
      <c r="T644" s="25">
        <f>IFERROR(dynamic[profit]/dynamic[revenue], 0)</f>
        <v>0.1499999613</v>
      </c>
    </row>
    <row r="645" ht="15.75" customHeight="1">
      <c r="A645" s="6">
        <v>10490.0</v>
      </c>
      <c r="B645" s="7" t="s">
        <v>23</v>
      </c>
      <c r="C645" s="24" t="str">
        <f>VLOOKUP(dynamic[customerID],customers[],2,FALSE)</f>
        <v>HILARION-Abastos</v>
      </c>
      <c r="D645" s="24">
        <v>45016.0</v>
      </c>
      <c r="E645" s="6">
        <f>IFERROR(__xludf.DUMMYFUNCTION("COUNTUNIQUEIFS($A$2:$A645,$B$2:$B645,B645)"),5.0)</f>
        <v>5</v>
      </c>
      <c r="F645" s="6">
        <f t="shared" si="1"/>
        <v>5</v>
      </c>
      <c r="G645" s="6" t="str">
        <f>IF(MINIFS(dynamic[orderDate], dynamic[customerID], B645) &gt;= DATE(2024,4,30)-120, 
     "New", 
     IF(MAXIFS(dynamic[orderCount], dynamic[customerID], B645)&lt;=2, 
        IF((DATE(2024,4,30) - MAXIFS(dynamic[orderDate], dynamic[customerID], B645)) &gt; 180, "Non-Returning", "Dormant"), 
        IF(AND(MAX(dynamic[sinceLastOrder]) &gt; 365, (DATE(2024,4,30) - MAXIFS(dynamic[orderDate], dynamic[customerID], B645)) &gt; 180), 
           "Dormant", "Regular")))</f>
        <v>Regular</v>
      </c>
      <c r="H645" s="6">
        <v>75.0</v>
      </c>
      <c r="I645" s="9" t="str">
        <f>VLOOKUP(dynamic[productID],products[],2,FALSE)</f>
        <v>Rhönbräu Klosterbier</v>
      </c>
      <c r="J645" s="9" t="str">
        <f>VLOOKUP(dynamic[productID],products[],12,FALSE)</f>
        <v>Beverages</v>
      </c>
      <c r="K645" s="7" t="str">
        <f>IF(VLOOKUP(dynamic[productID],products[],7,FALSE)=1,"Discontinued","Current")</f>
        <v>Current</v>
      </c>
      <c r="L645" s="9">
        <f>VLOOKUP(dynamic[productID],products[],IF(YEAR(dynamic[orderDate])=2022,8,IF(YEAR(dynamic[orderDate])=2023,9,IF(YEAR(dynamic[orderDate])=2024,10,NA))),FALSE)</f>
        <v>5.355290472</v>
      </c>
      <c r="M645" s="9">
        <v>6.2</v>
      </c>
      <c r="N645" s="25">
        <f>(dynamic[orderPrice]-dynamic[productCost])/dynamic[productCost]</f>
        <v>0.1577336529</v>
      </c>
      <c r="O645" s="10">
        <v>36.0</v>
      </c>
      <c r="P645" s="25">
        <v>0.0</v>
      </c>
      <c r="Q645" s="9">
        <f>dynamic[orderPrice]*dynamic[orderQuantity]</f>
        <v>223.2</v>
      </c>
      <c r="R645" s="9">
        <f>dynamic[orderTotal]*(1-dynamic[discountApllied])</f>
        <v>223.2</v>
      </c>
      <c r="S645" s="9">
        <f>dynamic[revenue]-(dynamic[productCost]*dynamic[orderQuantity])</f>
        <v>30.40954302</v>
      </c>
      <c r="T645" s="25">
        <f>IFERROR(dynamic[profit]/dynamic[revenue], 0)</f>
        <v>0.1362434723</v>
      </c>
    </row>
    <row r="646" ht="15.75" customHeight="1">
      <c r="A646" s="6">
        <v>10491.0</v>
      </c>
      <c r="B646" s="7" t="s">
        <v>62</v>
      </c>
      <c r="C646" s="24" t="str">
        <f>VLOOKUP(dynamic[customerID],customers[],2,FALSE)</f>
        <v>Furia Bacalhau e Frutos do Mar</v>
      </c>
      <c r="D646" s="24">
        <v>45016.0</v>
      </c>
      <c r="E646" s="6">
        <f>IFERROR(__xludf.DUMMYFUNCTION("COUNTUNIQUEIFS($A$2:$A646,$B$2:$B646,B646)"),4.0)</f>
        <v>4</v>
      </c>
      <c r="F646" s="6">
        <f t="shared" si="1"/>
        <v>27</v>
      </c>
      <c r="G646" s="6" t="str">
        <f>IF(MINIFS(dynamic[orderDate], dynamic[customerID], B646) &gt;= DATE(2024,4,30)-120, 
     "New", 
     IF(MAXIFS(dynamic[orderCount], dynamic[customerID], B646)&lt;=2, 
        IF((DATE(2024,4,30) - MAXIFS(dynamic[orderDate], dynamic[customerID], B646)) &gt; 180, "Non-Returning", "Dormant"), 
        IF(AND(MAX(dynamic[sinceLastOrder]) &gt; 365, (DATE(2024,4,30) - MAXIFS(dynamic[orderDate], dynamic[customerID], B646)) &gt; 180), 
           "Dormant", "Regular")))</f>
        <v>Regular</v>
      </c>
      <c r="H646" s="6">
        <v>44.0</v>
      </c>
      <c r="I646" s="9" t="str">
        <f>VLOOKUP(dynamic[productID],products[],2,FALSE)</f>
        <v>Gula Malacca</v>
      </c>
      <c r="J646" s="9" t="str">
        <f>VLOOKUP(dynamic[productID],products[],12,FALSE)</f>
        <v>Condiments</v>
      </c>
      <c r="K646" s="7" t="str">
        <f>IF(VLOOKUP(dynamic[productID],products[],7,FALSE)=1,"Discontinued","Current")</f>
        <v>Current</v>
      </c>
      <c r="L646" s="9">
        <f>VLOOKUP(dynamic[productID],products[],IF(YEAR(dynamic[orderDate])=2022,8,IF(YEAR(dynamic[orderDate])=2023,9,IF(YEAR(dynamic[orderDate])=2024,10,NA))),FALSE)</f>
        <v>13.06032103</v>
      </c>
      <c r="M646" s="9">
        <v>15.5</v>
      </c>
      <c r="N646" s="25">
        <f>(dynamic[orderPrice]-dynamic[productCost])/dynamic[productCost]</f>
        <v>0.1868008425</v>
      </c>
      <c r="O646" s="10">
        <v>15.0</v>
      </c>
      <c r="P646" s="25">
        <v>0.15</v>
      </c>
      <c r="Q646" s="9">
        <f>dynamic[orderPrice]*dynamic[orderQuantity]</f>
        <v>232.5</v>
      </c>
      <c r="R646" s="9">
        <f>dynamic[orderTotal]*(1-dynamic[discountApllied])</f>
        <v>197.625</v>
      </c>
      <c r="S646" s="9">
        <f>dynamic[revenue]-(dynamic[productCost]*dynamic[orderQuantity])</f>
        <v>1.720184574</v>
      </c>
      <c r="T646" s="25">
        <f>IFERROR(dynamic[profit]/dynamic[revenue], 0)</f>
        <v>0.008704286268</v>
      </c>
    </row>
    <row r="647" ht="15.75" customHeight="1">
      <c r="A647" s="6">
        <v>10491.0</v>
      </c>
      <c r="B647" s="7" t="s">
        <v>62</v>
      </c>
      <c r="C647" s="24" t="str">
        <f>VLOOKUP(dynamic[customerID],customers[],2,FALSE)</f>
        <v>Furia Bacalhau e Frutos do Mar</v>
      </c>
      <c r="D647" s="24">
        <v>45016.0</v>
      </c>
      <c r="E647" s="6">
        <f>IFERROR(__xludf.DUMMYFUNCTION("COUNTUNIQUEIFS($A$2:$A647,$B$2:$B647,B647)"),4.0)</f>
        <v>4</v>
      </c>
      <c r="F647" s="6">
        <f t="shared" si="1"/>
        <v>27</v>
      </c>
      <c r="G647" s="6" t="str">
        <f>IF(MINIFS(dynamic[orderDate], dynamic[customerID], B647) &gt;= DATE(2024,4,30)-120, 
     "New", 
     IF(MAXIFS(dynamic[orderCount], dynamic[customerID], B647)&lt;=2, 
        IF((DATE(2024,4,30) - MAXIFS(dynamic[orderDate], dynamic[customerID], B647)) &gt; 180, "Non-Returning", "Dormant"), 
        IF(AND(MAX(dynamic[sinceLastOrder]) &gt; 365, (DATE(2024,4,30) - MAXIFS(dynamic[orderDate], dynamic[customerID], B647)) &gt; 180), 
           "Dormant", "Regular")))</f>
        <v>Regular</v>
      </c>
      <c r="H647" s="6">
        <v>77.0</v>
      </c>
      <c r="I647" s="9" t="str">
        <f>VLOOKUP(dynamic[productID],products[],2,FALSE)</f>
        <v>Original Frankfurter grüne Soße</v>
      </c>
      <c r="J647" s="9" t="str">
        <f>VLOOKUP(dynamic[productID],products[],12,FALSE)</f>
        <v>Condiments</v>
      </c>
      <c r="K647" s="7" t="str">
        <f>IF(VLOOKUP(dynamic[productID],products[],7,FALSE)=1,"Discontinued","Current")</f>
        <v>Current</v>
      </c>
      <c r="L647" s="9">
        <f>VLOOKUP(dynamic[productID],products[],IF(YEAR(dynamic[orderDate])=2022,8,IF(YEAR(dynamic[orderDate])=2023,9,IF(YEAR(dynamic[orderDate])=2024,10,NA))),FALSE)</f>
        <v>7.539056452</v>
      </c>
      <c r="M647" s="9">
        <v>10.4</v>
      </c>
      <c r="N647" s="25">
        <f>(dynamic[orderPrice]-dynamic[productCost])/dynamic[productCost]</f>
        <v>0.3794829719</v>
      </c>
      <c r="O647" s="10">
        <v>7.0</v>
      </c>
      <c r="P647" s="25">
        <v>0.15</v>
      </c>
      <c r="Q647" s="9">
        <f>dynamic[orderPrice]*dynamic[orderQuantity]</f>
        <v>72.8</v>
      </c>
      <c r="R647" s="9">
        <f>dynamic[orderTotal]*(1-dynamic[discountApllied])</f>
        <v>61.88</v>
      </c>
      <c r="S647" s="9">
        <f>dynamic[revenue]-(dynamic[productCost]*dynamic[orderQuantity])</f>
        <v>9.106604835</v>
      </c>
      <c r="T647" s="25">
        <f>IFERROR(dynamic[profit]/dynamic[revenue], 0)</f>
        <v>0.1471655597</v>
      </c>
    </row>
    <row r="648" ht="15.75" customHeight="1">
      <c r="A648" s="6">
        <v>10492.0</v>
      </c>
      <c r="B648" s="7" t="s">
        <v>81</v>
      </c>
      <c r="C648" s="24" t="str">
        <f>VLOOKUP(dynamic[customerID],customers[],2,FALSE)</f>
        <v>Bottom-Dollar Markets</v>
      </c>
      <c r="D648" s="24">
        <v>45017.0</v>
      </c>
      <c r="E648" s="6">
        <f>IFERROR(__xludf.DUMMYFUNCTION("COUNTUNIQUEIFS($A$2:$A648,$B$2:$B648,B648)"),5.0)</f>
        <v>5</v>
      </c>
      <c r="F648" s="6">
        <f t="shared" si="1"/>
        <v>61</v>
      </c>
      <c r="G648" s="6" t="str">
        <f>IF(MINIFS(dynamic[orderDate], dynamic[customerID], B648) &gt;= DATE(2024,4,30)-120, 
     "New", 
     IF(MAXIFS(dynamic[orderCount], dynamic[customerID], B648)&lt;=2, 
        IF((DATE(2024,4,30) - MAXIFS(dynamic[orderDate], dynamic[customerID], B648)) &gt; 180, "Non-Returning", "Dormant"), 
        IF(AND(MAX(dynamic[sinceLastOrder]) &gt; 365, (DATE(2024,4,30) - MAXIFS(dynamic[orderDate], dynamic[customerID], B648)) &gt; 180), 
           "Dormant", "Regular")))</f>
        <v>Regular</v>
      </c>
      <c r="H648" s="6">
        <v>25.0</v>
      </c>
      <c r="I648" s="9" t="str">
        <f>VLOOKUP(dynamic[productID],products[],2,FALSE)</f>
        <v>HM Köstliche Kaiserschmarrn Knödelchen</v>
      </c>
      <c r="J648" s="9" t="str">
        <f>VLOOKUP(dynamic[productID],products[],12,FALSE)</f>
        <v>Confections</v>
      </c>
      <c r="K648" s="7" t="str">
        <f>IF(VLOOKUP(dynamic[productID],products[],7,FALSE)=1,"Discontinued","Current")</f>
        <v>Current</v>
      </c>
      <c r="L648" s="9">
        <f>VLOOKUP(dynamic[productID],products[],IF(YEAR(dynamic[orderDate])=2022,8,IF(YEAR(dynamic[orderDate])=2023,9,IF(YEAR(dynamic[orderDate])=2024,10,NA))),FALSE)</f>
        <v>8.138200336</v>
      </c>
      <c r="M648" s="9">
        <v>11.2</v>
      </c>
      <c r="N648" s="25">
        <f>(dynamic[orderPrice]-dynamic[productCost])/dynamic[productCost]</f>
        <v>0.3762256442</v>
      </c>
      <c r="O648" s="10">
        <v>60.0</v>
      </c>
      <c r="P648" s="25">
        <v>0.05</v>
      </c>
      <c r="Q648" s="9">
        <f>dynamic[orderPrice]*dynamic[orderQuantity]</f>
        <v>672</v>
      </c>
      <c r="R648" s="9">
        <f>dynamic[orderTotal]*(1-dynamic[discountApllied])</f>
        <v>638.4</v>
      </c>
      <c r="S648" s="9">
        <f>dynamic[revenue]-(dynamic[productCost]*dynamic[orderQuantity])</f>
        <v>150.1079798</v>
      </c>
      <c r="T648" s="25">
        <f>IFERROR(dynamic[profit]/dynamic[revenue], 0)</f>
        <v>0.2351315474</v>
      </c>
    </row>
    <row r="649" ht="15.75" customHeight="1">
      <c r="A649" s="6">
        <v>10492.0</v>
      </c>
      <c r="B649" s="7" t="s">
        <v>81</v>
      </c>
      <c r="C649" s="24" t="str">
        <f>VLOOKUP(dynamic[customerID],customers[],2,FALSE)</f>
        <v>Bottom-Dollar Markets</v>
      </c>
      <c r="D649" s="24">
        <v>45017.0</v>
      </c>
      <c r="E649" s="6">
        <f>IFERROR(__xludf.DUMMYFUNCTION("COUNTUNIQUEIFS($A$2:$A649,$B$2:$B649,B649)"),5.0)</f>
        <v>5</v>
      </c>
      <c r="F649" s="6">
        <f t="shared" si="1"/>
        <v>61</v>
      </c>
      <c r="G649" s="6" t="str">
        <f>IF(MINIFS(dynamic[orderDate], dynamic[customerID], B649) &gt;= DATE(2024,4,30)-120, 
     "New", 
     IF(MAXIFS(dynamic[orderCount], dynamic[customerID], B649)&lt;=2, 
        IF((DATE(2024,4,30) - MAXIFS(dynamic[orderDate], dynamic[customerID], B649)) &gt; 180, "Non-Returning", "Dormant"), 
        IF(AND(MAX(dynamic[sinceLastOrder]) &gt; 365, (DATE(2024,4,30) - MAXIFS(dynamic[orderDate], dynamic[customerID], B649)) &gt; 180), 
           "Dormant", "Regular")))</f>
        <v>Regular</v>
      </c>
      <c r="H649" s="6">
        <v>42.0</v>
      </c>
      <c r="I649" s="9" t="str">
        <f>VLOOKUP(dynamic[productID],products[],2,FALSE)</f>
        <v>Singaporean Hokkien Fried Mee</v>
      </c>
      <c r="J649" s="9" t="str">
        <f>VLOOKUP(dynamic[productID],products[],12,FALSE)</f>
        <v>Grains/Cereals</v>
      </c>
      <c r="K649" s="7" t="str">
        <f>IF(VLOOKUP(dynamic[productID],products[],7,FALSE)=1,"Discontinued","Current")</f>
        <v>Discontinued</v>
      </c>
      <c r="L649" s="9">
        <f>VLOOKUP(dynamic[productID],products[],IF(YEAR(dynamic[orderDate])=2022,8,IF(YEAR(dynamic[orderDate])=2023,9,IF(YEAR(dynamic[orderDate])=2024,10,NA))),FALSE)</f>
        <v>9.105641621</v>
      </c>
      <c r="M649" s="9">
        <v>11.2</v>
      </c>
      <c r="N649" s="25">
        <f>(dynamic[orderPrice]-dynamic[productCost])/dynamic[productCost]</f>
        <v>0.2300066779</v>
      </c>
      <c r="O649" s="10">
        <v>20.0</v>
      </c>
      <c r="P649" s="25">
        <v>0.05</v>
      </c>
      <c r="Q649" s="9">
        <f>dynamic[orderPrice]*dynamic[orderQuantity]</f>
        <v>224</v>
      </c>
      <c r="R649" s="9">
        <f>dynamic[orderTotal]*(1-dynamic[discountApllied])</f>
        <v>212.8</v>
      </c>
      <c r="S649" s="9">
        <f>dynamic[revenue]-(dynamic[productCost]*dynamic[orderQuantity])</f>
        <v>30.68716758</v>
      </c>
      <c r="T649" s="25">
        <f>IFERROR(dynamic[profit]/dynamic[revenue], 0)</f>
        <v>0.1442066146</v>
      </c>
    </row>
    <row r="650" ht="15.75" customHeight="1">
      <c r="A650" s="6">
        <v>10493.0</v>
      </c>
      <c r="B650" s="7" t="s">
        <v>68</v>
      </c>
      <c r="C650" s="24" t="str">
        <f>VLOOKUP(dynamic[customerID],customers[],2,FALSE)</f>
        <v>La maison d'Asie</v>
      </c>
      <c r="D650" s="24">
        <v>45018.0</v>
      </c>
      <c r="E650" s="6">
        <f>IFERROR(__xludf.DUMMYFUNCTION("COUNTUNIQUEIFS($A$2:$A650,$B$2:$B650,B650)"),7.0)</f>
        <v>7</v>
      </c>
      <c r="F650" s="6">
        <f t="shared" si="1"/>
        <v>40</v>
      </c>
      <c r="G650" s="6" t="str">
        <f>IF(MINIFS(dynamic[orderDate], dynamic[customerID], B650) &gt;= DATE(2024,4,30)-120, 
     "New", 
     IF(MAXIFS(dynamic[orderCount], dynamic[customerID], B650)&lt;=2, 
        IF((DATE(2024,4,30) - MAXIFS(dynamic[orderDate], dynamic[customerID], B650)) &gt; 180, "Non-Returning", "Dormant"), 
        IF(AND(MAX(dynamic[sinceLastOrder]) &gt; 365, (DATE(2024,4,30) - MAXIFS(dynamic[orderDate], dynamic[customerID], B650)) &gt; 180), 
           "Dormant", "Regular")))</f>
        <v>Regular</v>
      </c>
      <c r="H650" s="6">
        <v>65.0</v>
      </c>
      <c r="I650" s="9" t="str">
        <f>VLOOKUP(dynamic[productID],products[],2,FALSE)</f>
        <v>Louisiana Fiery Hot Pepper Sauce</v>
      </c>
      <c r="J650" s="9" t="str">
        <f>VLOOKUP(dynamic[productID],products[],12,FALSE)</f>
        <v>Condiments</v>
      </c>
      <c r="K650" s="7" t="str">
        <f>IF(VLOOKUP(dynamic[productID],products[],7,FALSE)=1,"Discontinued","Current")</f>
        <v>Current</v>
      </c>
      <c r="L650" s="9">
        <f>VLOOKUP(dynamic[productID],products[],IF(YEAR(dynamic[orderDate])=2022,8,IF(YEAR(dynamic[orderDate])=2023,9,IF(YEAR(dynamic[orderDate])=2024,10,NA))),FALSE)</f>
        <v>13.21122243</v>
      </c>
      <c r="M650" s="9">
        <v>16.8</v>
      </c>
      <c r="N650" s="25">
        <f>(dynamic[orderPrice]-dynamic[productCost])/dynamic[productCost]</f>
        <v>0.2716461391</v>
      </c>
      <c r="O650" s="10">
        <v>15.0</v>
      </c>
      <c r="P650" s="25">
        <v>0.1</v>
      </c>
      <c r="Q650" s="9">
        <f>dynamic[orderPrice]*dynamic[orderQuantity]</f>
        <v>252</v>
      </c>
      <c r="R650" s="9">
        <f>dynamic[orderTotal]*(1-dynamic[discountApllied])</f>
        <v>226.8</v>
      </c>
      <c r="S650" s="9">
        <f>dynamic[revenue]-(dynamic[productCost]*dynamic[orderQuantity])</f>
        <v>28.6316635</v>
      </c>
      <c r="T650" s="25">
        <f>IFERROR(dynamic[profit]/dynamic[revenue], 0)</f>
        <v>0.1262419026</v>
      </c>
    </row>
    <row r="651" ht="15.75" customHeight="1">
      <c r="A651" s="6">
        <v>10493.0</v>
      </c>
      <c r="B651" s="7" t="s">
        <v>68</v>
      </c>
      <c r="C651" s="24" t="str">
        <f>VLOOKUP(dynamic[customerID],customers[],2,FALSE)</f>
        <v>La maison d'Asie</v>
      </c>
      <c r="D651" s="24">
        <v>45018.0</v>
      </c>
      <c r="E651" s="6">
        <f>IFERROR(__xludf.DUMMYFUNCTION("COUNTUNIQUEIFS($A$2:$A651,$B$2:$B651,B651)"),7.0)</f>
        <v>7</v>
      </c>
      <c r="F651" s="6">
        <f t="shared" si="1"/>
        <v>40</v>
      </c>
      <c r="G651" s="6" t="str">
        <f>IF(MINIFS(dynamic[orderDate], dynamic[customerID], B651) &gt;= DATE(2024,4,30)-120, 
     "New", 
     IF(MAXIFS(dynamic[orderCount], dynamic[customerID], B651)&lt;=2, 
        IF((DATE(2024,4,30) - MAXIFS(dynamic[orderDate], dynamic[customerID], B651)) &gt; 180, "Non-Returning", "Dormant"), 
        IF(AND(MAX(dynamic[sinceLastOrder]) &gt; 365, (DATE(2024,4,30) - MAXIFS(dynamic[orderDate], dynamic[customerID], B651)) &gt; 180), 
           "Dormant", "Regular")))</f>
        <v>Regular</v>
      </c>
      <c r="H651" s="6">
        <v>66.0</v>
      </c>
      <c r="I651" s="9" t="str">
        <f>VLOOKUP(dynamic[productID],products[],2,FALSE)</f>
        <v>Louisiana Hot Spiced Okra</v>
      </c>
      <c r="J651" s="9" t="str">
        <f>VLOOKUP(dynamic[productID],products[],12,FALSE)</f>
        <v>Condiments</v>
      </c>
      <c r="K651" s="7" t="str">
        <f>IF(VLOOKUP(dynamic[productID],products[],7,FALSE)=1,"Discontinued","Current")</f>
        <v>Current</v>
      </c>
      <c r="L651" s="9">
        <f>VLOOKUP(dynamic[productID],products[],IF(YEAR(dynamic[orderDate])=2022,8,IF(YEAR(dynamic[orderDate])=2023,9,IF(YEAR(dynamic[orderDate])=2024,10,NA))),FALSE)</f>
        <v>10.17313149</v>
      </c>
      <c r="M651" s="9">
        <v>13.6</v>
      </c>
      <c r="N651" s="25">
        <f>(dynamic[orderPrice]-dynamic[productCost])/dynamic[productCost]</f>
        <v>0.3368548334</v>
      </c>
      <c r="O651" s="10">
        <v>10.0</v>
      </c>
      <c r="P651" s="25">
        <v>0.1</v>
      </c>
      <c r="Q651" s="9">
        <f>dynamic[orderPrice]*dynamic[orderQuantity]</f>
        <v>136</v>
      </c>
      <c r="R651" s="9">
        <f>dynamic[orderTotal]*(1-dynamic[discountApllied])</f>
        <v>122.4</v>
      </c>
      <c r="S651" s="9">
        <f>dynamic[revenue]-(dynamic[productCost]*dynamic[orderQuantity])</f>
        <v>20.66868512</v>
      </c>
      <c r="T651" s="25">
        <f>IFERROR(dynamic[profit]/dynamic[revenue], 0)</f>
        <v>0.1688618066</v>
      </c>
    </row>
    <row r="652" ht="15.75" customHeight="1">
      <c r="A652" s="6">
        <v>10493.0</v>
      </c>
      <c r="B652" s="7" t="s">
        <v>68</v>
      </c>
      <c r="C652" s="24" t="str">
        <f>VLOOKUP(dynamic[customerID],customers[],2,FALSE)</f>
        <v>La maison d'Asie</v>
      </c>
      <c r="D652" s="24">
        <v>45018.0</v>
      </c>
      <c r="E652" s="6">
        <f>IFERROR(__xludf.DUMMYFUNCTION("COUNTUNIQUEIFS($A$2:$A652,$B$2:$B652,B652)"),7.0)</f>
        <v>7</v>
      </c>
      <c r="F652" s="6">
        <f t="shared" si="1"/>
        <v>40</v>
      </c>
      <c r="G652" s="6" t="str">
        <f>IF(MINIFS(dynamic[orderDate], dynamic[customerID], B652) &gt;= DATE(2024,4,30)-120, 
     "New", 
     IF(MAXIFS(dynamic[orderCount], dynamic[customerID], B652)&lt;=2, 
        IF((DATE(2024,4,30) - MAXIFS(dynamic[orderDate], dynamic[customerID], B652)) &gt; 180, "Non-Returning", "Dormant"), 
        IF(AND(MAX(dynamic[sinceLastOrder]) &gt; 365, (DATE(2024,4,30) - MAXIFS(dynamic[orderDate], dynamic[customerID], B652)) &gt; 180), 
           "Dormant", "Regular")))</f>
        <v>Regular</v>
      </c>
      <c r="H652" s="6">
        <v>69.0</v>
      </c>
      <c r="I652" s="9" t="str">
        <f>VLOOKUP(dynamic[productID],products[],2,FALSE)</f>
        <v>Gudbrandsdalsost</v>
      </c>
      <c r="J652" s="9" t="str">
        <f>VLOOKUP(dynamic[productID],products[],12,FALSE)</f>
        <v>Dairy Products</v>
      </c>
      <c r="K652" s="7" t="str">
        <f>IF(VLOOKUP(dynamic[productID],products[],7,FALSE)=1,"Discontinued","Current")</f>
        <v>Current</v>
      </c>
      <c r="L652" s="9">
        <f>VLOOKUP(dynamic[productID],products[],IF(YEAR(dynamic[orderDate])=2022,8,IF(YEAR(dynamic[orderDate])=2023,9,IF(YEAR(dynamic[orderDate])=2024,10,NA))),FALSE)</f>
        <v>21.82428612</v>
      </c>
      <c r="M652" s="9">
        <v>28.8</v>
      </c>
      <c r="N652" s="25">
        <f>(dynamic[orderPrice]-dynamic[productCost])/dynamic[productCost]</f>
        <v>0.3196307933</v>
      </c>
      <c r="O652" s="10">
        <v>10.0</v>
      </c>
      <c r="P652" s="25">
        <v>0.1</v>
      </c>
      <c r="Q652" s="9">
        <f>dynamic[orderPrice]*dynamic[orderQuantity]</f>
        <v>288</v>
      </c>
      <c r="R652" s="9">
        <f>dynamic[orderTotal]*(1-dynamic[discountApllied])</f>
        <v>259.2</v>
      </c>
      <c r="S652" s="9">
        <f>dynamic[revenue]-(dynamic[productCost]*dynamic[orderQuantity])</f>
        <v>40.95713884</v>
      </c>
      <c r="T652" s="25">
        <f>IFERROR(dynamic[profit]/dynamic[revenue], 0)</f>
        <v>0.158013653</v>
      </c>
    </row>
    <row r="653" ht="15.75" customHeight="1">
      <c r="A653" s="6">
        <v>10494.0</v>
      </c>
      <c r="B653" s="7" t="s">
        <v>47</v>
      </c>
      <c r="C653" s="24" t="str">
        <f>VLOOKUP(dynamic[customerID],customers[],2,FALSE)</f>
        <v>Comércio Mineiro</v>
      </c>
      <c r="D653" s="24">
        <v>45018.0</v>
      </c>
      <c r="E653" s="6">
        <f>IFERROR(__xludf.DUMMYFUNCTION("COUNTUNIQUEIFS($A$2:$A653,$B$2:$B653,B653)"),3.0)</f>
        <v>3</v>
      </c>
      <c r="F653" s="6">
        <f t="shared" si="1"/>
        <v>27</v>
      </c>
      <c r="G653" s="6" t="str">
        <f>IF(MINIFS(dynamic[orderDate], dynamic[customerID], B653) &gt;= DATE(2024,4,30)-120, 
     "New", 
     IF(MAXIFS(dynamic[orderCount], dynamic[customerID], B653)&lt;=2, 
        IF((DATE(2024,4,30) - MAXIFS(dynamic[orderDate], dynamic[customerID], B653)) &gt; 180, "Non-Returning", "Dormant"), 
        IF(AND(MAX(dynamic[sinceLastOrder]) &gt; 365, (DATE(2024,4,30) - MAXIFS(dynamic[orderDate], dynamic[customerID], B653)) &gt; 180), 
           "Dormant", "Regular")))</f>
        <v>Regular</v>
      </c>
      <c r="H653" s="6">
        <v>56.0</v>
      </c>
      <c r="I653" s="9" t="str">
        <f>VLOOKUP(dynamic[productID],products[],2,FALSE)</f>
        <v>Gnocchi di nonna Alice</v>
      </c>
      <c r="J653" s="9" t="str">
        <f>VLOOKUP(dynamic[productID],products[],12,FALSE)</f>
        <v>Grains/Cereals</v>
      </c>
      <c r="K653" s="7" t="str">
        <f>IF(VLOOKUP(dynamic[productID],products[],7,FALSE)=1,"Discontinued","Current")</f>
        <v>Current</v>
      </c>
      <c r="L653" s="9">
        <f>VLOOKUP(dynamic[productID],products[],IF(YEAR(dynamic[orderDate])=2022,8,IF(YEAR(dynamic[orderDate])=2023,9,IF(YEAR(dynamic[orderDate])=2024,10,NA))),FALSE)</f>
        <v>24.28342441</v>
      </c>
      <c r="M653" s="9">
        <v>30.4</v>
      </c>
      <c r="N653" s="25">
        <f>(dynamic[orderPrice]-dynamic[productCost])/dynamic[productCost]</f>
        <v>0.2518827447</v>
      </c>
      <c r="O653" s="10">
        <v>30.0</v>
      </c>
      <c r="P653" s="25">
        <v>0.0</v>
      </c>
      <c r="Q653" s="9">
        <f>dynamic[orderPrice]*dynamic[orderQuantity]</f>
        <v>912</v>
      </c>
      <c r="R653" s="9">
        <f>dynamic[orderTotal]*(1-dynamic[discountApllied])</f>
        <v>912</v>
      </c>
      <c r="S653" s="9">
        <f>dynamic[revenue]-(dynamic[productCost]*dynamic[orderQuantity])</f>
        <v>183.4972678</v>
      </c>
      <c r="T653" s="25">
        <f>IFERROR(dynamic[profit]/dynamic[revenue], 0)</f>
        <v>0.2012031445</v>
      </c>
    </row>
    <row r="654" ht="15.75" customHeight="1">
      <c r="A654" s="6">
        <v>10495.0</v>
      </c>
      <c r="B654" s="7" t="s">
        <v>90</v>
      </c>
      <c r="C654" s="24" t="str">
        <f>VLOOKUP(dynamic[customerID],customers[],2,FALSE)</f>
        <v>Laughing Bacchus Wine Cellars</v>
      </c>
      <c r="D654" s="24">
        <v>45019.0</v>
      </c>
      <c r="E654" s="6">
        <f>IFERROR(__xludf.DUMMYFUNCTION("COUNTUNIQUEIFS($A$2:$A654,$B$2:$B654,B654)"),1.0)</f>
        <v>1</v>
      </c>
      <c r="F654" s="6">
        <f t="shared" si="1"/>
        <v>0</v>
      </c>
      <c r="G654" s="6" t="str">
        <f>IF(MINIFS(dynamic[orderDate], dynamic[customerID], B654) &gt;= DATE(2024,4,30)-120, 
     "New", 
     IF(MAXIFS(dynamic[orderCount], dynamic[customerID], B654)&lt;=2, 
        IF((DATE(2024,4,30) - MAXIFS(dynamic[orderDate], dynamic[customerID], B654)) &gt; 180, "Non-Returning", "Dormant"), 
        IF(AND(MAX(dynamic[sinceLastOrder]) &gt; 365, (DATE(2024,4,30) - MAXIFS(dynamic[orderDate], dynamic[customerID], B654)) &gt; 180), 
           "Dormant", "Regular")))</f>
        <v>Regular</v>
      </c>
      <c r="H654" s="6">
        <v>23.0</v>
      </c>
      <c r="I654" s="9" t="str">
        <f>VLOOKUP(dynamic[productID],products[],2,FALSE)</f>
        <v>Tunnbröd</v>
      </c>
      <c r="J654" s="9" t="str">
        <f>VLOOKUP(dynamic[productID],products[],12,FALSE)</f>
        <v>Grains/Cereals</v>
      </c>
      <c r="K654" s="7" t="str">
        <f>IF(VLOOKUP(dynamic[productID],products[],7,FALSE)=1,"Discontinued","Current")</f>
        <v>Current</v>
      </c>
      <c r="L654" s="9">
        <f>VLOOKUP(dynamic[productID],products[],IF(YEAR(dynamic[orderDate])=2022,8,IF(YEAR(dynamic[orderDate])=2023,9,IF(YEAR(dynamic[orderDate])=2024,10,NA))),FALSE)</f>
        <v>5.989059129</v>
      </c>
      <c r="M654" s="9">
        <v>7.2</v>
      </c>
      <c r="N654" s="25">
        <f>(dynamic[orderPrice]-dynamic[productCost])/dynamic[productCost]</f>
        <v>0.2021921717</v>
      </c>
      <c r="O654" s="10">
        <v>10.0</v>
      </c>
      <c r="P654" s="25">
        <v>0.0</v>
      </c>
      <c r="Q654" s="9">
        <f>dynamic[orderPrice]*dynamic[orderQuantity]</f>
        <v>72</v>
      </c>
      <c r="R654" s="9">
        <f>dynamic[orderTotal]*(1-dynamic[discountApllied])</f>
        <v>72</v>
      </c>
      <c r="S654" s="9">
        <f>dynamic[revenue]-(dynamic[productCost]*dynamic[orderQuantity])</f>
        <v>12.10940871</v>
      </c>
      <c r="T654" s="25">
        <f>IFERROR(dynamic[profit]/dynamic[revenue], 0)</f>
        <v>0.1681862321</v>
      </c>
    </row>
    <row r="655" ht="15.75" customHeight="1">
      <c r="A655" s="6">
        <v>10495.0</v>
      </c>
      <c r="B655" s="7" t="s">
        <v>90</v>
      </c>
      <c r="C655" s="24" t="str">
        <f>VLOOKUP(dynamic[customerID],customers[],2,FALSE)</f>
        <v>Laughing Bacchus Wine Cellars</v>
      </c>
      <c r="D655" s="24">
        <v>45019.0</v>
      </c>
      <c r="E655" s="6">
        <f>IFERROR(__xludf.DUMMYFUNCTION("COUNTUNIQUEIFS($A$2:$A655,$B$2:$B655,B655)"),1.0)</f>
        <v>1</v>
      </c>
      <c r="F655" s="6">
        <f t="shared" si="1"/>
        <v>0</v>
      </c>
      <c r="G655" s="6" t="str">
        <f>IF(MINIFS(dynamic[orderDate], dynamic[customerID], B655) &gt;= DATE(2024,4,30)-120, 
     "New", 
     IF(MAXIFS(dynamic[orderCount], dynamic[customerID], B655)&lt;=2, 
        IF((DATE(2024,4,30) - MAXIFS(dynamic[orderDate], dynamic[customerID], B655)) &gt; 180, "Non-Returning", "Dormant"), 
        IF(AND(MAX(dynamic[sinceLastOrder]) &gt; 365, (DATE(2024,4,30) - MAXIFS(dynamic[orderDate], dynamic[customerID], B655)) &gt; 180), 
           "Dormant", "Regular")))</f>
        <v>Regular</v>
      </c>
      <c r="H655" s="6">
        <v>41.0</v>
      </c>
      <c r="I655" s="9" t="str">
        <f>VLOOKUP(dynamic[productID],products[],2,FALSE)</f>
        <v>Jack's New England Clam Chowder</v>
      </c>
      <c r="J655" s="9" t="str">
        <f>VLOOKUP(dynamic[productID],products[],12,FALSE)</f>
        <v>Seafood</v>
      </c>
      <c r="K655" s="7" t="str">
        <f>IF(VLOOKUP(dynamic[productID],products[],7,FALSE)=1,"Discontinued","Current")</f>
        <v>Current</v>
      </c>
      <c r="L655" s="9">
        <f>VLOOKUP(dynamic[productID],products[],IF(YEAR(dynamic[orderDate])=2022,8,IF(YEAR(dynamic[orderDate])=2023,9,IF(YEAR(dynamic[orderDate])=2024,10,NA))),FALSE)</f>
        <v>6.549914856</v>
      </c>
      <c r="M655" s="9">
        <v>7.7</v>
      </c>
      <c r="N655" s="25">
        <f>(dynamic[orderPrice]-dynamic[productCost])/dynamic[productCost]</f>
        <v>0.1755878006</v>
      </c>
      <c r="O655" s="10">
        <v>20.0</v>
      </c>
      <c r="P655" s="25">
        <v>0.0</v>
      </c>
      <c r="Q655" s="9">
        <f>dynamic[orderPrice]*dynamic[orderQuantity]</f>
        <v>154</v>
      </c>
      <c r="R655" s="9">
        <f>dynamic[orderTotal]*(1-dynamic[discountApllied])</f>
        <v>154</v>
      </c>
      <c r="S655" s="9">
        <f>dynamic[revenue]-(dynamic[productCost]*dynamic[orderQuantity])</f>
        <v>23.00170288</v>
      </c>
      <c r="T655" s="25">
        <f>IFERROR(dynamic[profit]/dynamic[revenue], 0)</f>
        <v>0.149361707</v>
      </c>
    </row>
    <row r="656" ht="15.75" customHeight="1">
      <c r="A656" s="6">
        <v>10495.0</v>
      </c>
      <c r="B656" s="7" t="s">
        <v>90</v>
      </c>
      <c r="C656" s="24" t="str">
        <f>VLOOKUP(dynamic[customerID],customers[],2,FALSE)</f>
        <v>Laughing Bacchus Wine Cellars</v>
      </c>
      <c r="D656" s="24">
        <v>45019.0</v>
      </c>
      <c r="E656" s="6">
        <f>IFERROR(__xludf.DUMMYFUNCTION("COUNTUNIQUEIFS($A$2:$A656,$B$2:$B656,B656)"),1.0)</f>
        <v>1</v>
      </c>
      <c r="F656" s="6">
        <f t="shared" si="1"/>
        <v>0</v>
      </c>
      <c r="G656" s="6" t="str">
        <f>IF(MINIFS(dynamic[orderDate], dynamic[customerID], B656) &gt;= DATE(2024,4,30)-120, 
     "New", 
     IF(MAXIFS(dynamic[orderCount], dynamic[customerID], B656)&lt;=2, 
        IF((DATE(2024,4,30) - MAXIFS(dynamic[orderDate], dynamic[customerID], B656)) &gt; 180, "Non-Returning", "Dormant"), 
        IF(AND(MAX(dynamic[sinceLastOrder]) &gt; 365, (DATE(2024,4,30) - MAXIFS(dynamic[orderDate], dynamic[customerID], B656)) &gt; 180), 
           "Dormant", "Regular")))</f>
        <v>Regular</v>
      </c>
      <c r="H656" s="6">
        <v>77.0</v>
      </c>
      <c r="I656" s="9" t="str">
        <f>VLOOKUP(dynamic[productID],products[],2,FALSE)</f>
        <v>Original Frankfurter grüne Soße</v>
      </c>
      <c r="J656" s="9" t="str">
        <f>VLOOKUP(dynamic[productID],products[],12,FALSE)</f>
        <v>Condiments</v>
      </c>
      <c r="K656" s="7" t="str">
        <f>IF(VLOOKUP(dynamic[productID],products[],7,FALSE)=1,"Discontinued","Current")</f>
        <v>Current</v>
      </c>
      <c r="L656" s="9">
        <f>VLOOKUP(dynamic[productID],products[],IF(YEAR(dynamic[orderDate])=2022,8,IF(YEAR(dynamic[orderDate])=2023,9,IF(YEAR(dynamic[orderDate])=2024,10,NA))),FALSE)</f>
        <v>7.539056452</v>
      </c>
      <c r="M656" s="9">
        <v>10.4</v>
      </c>
      <c r="N656" s="25">
        <f>(dynamic[orderPrice]-dynamic[productCost])/dynamic[productCost]</f>
        <v>0.3794829719</v>
      </c>
      <c r="O656" s="10">
        <v>5.0</v>
      </c>
      <c r="P656" s="25">
        <v>0.0</v>
      </c>
      <c r="Q656" s="9">
        <f>dynamic[orderPrice]*dynamic[orderQuantity]</f>
        <v>52</v>
      </c>
      <c r="R656" s="9">
        <f>dynamic[orderTotal]*(1-dynamic[discountApllied])</f>
        <v>52</v>
      </c>
      <c r="S656" s="9">
        <f>dynamic[revenue]-(dynamic[productCost]*dynamic[orderQuantity])</f>
        <v>14.30471774</v>
      </c>
      <c r="T656" s="25">
        <f>IFERROR(dynamic[profit]/dynamic[revenue], 0)</f>
        <v>0.2750907258</v>
      </c>
    </row>
    <row r="657" ht="15.75" customHeight="1">
      <c r="A657" s="6">
        <v>10496.0</v>
      </c>
      <c r="B657" s="7" t="s">
        <v>48</v>
      </c>
      <c r="C657" s="24" t="str">
        <f>VLOOKUP(dynamic[customerID],customers[],2,FALSE)</f>
        <v>Tradição Hipermercados</v>
      </c>
      <c r="D657" s="24">
        <v>45020.0</v>
      </c>
      <c r="E657" s="6">
        <f>IFERROR(__xludf.DUMMYFUNCTION("COUNTUNIQUEIFS($A$2:$A657,$B$2:$B657,B657)"),2.0)</f>
        <v>2</v>
      </c>
      <c r="F657" s="6">
        <f t="shared" si="1"/>
        <v>219</v>
      </c>
      <c r="G657" s="6" t="str">
        <f>IF(MINIFS(dynamic[orderDate], dynamic[customerID], B657) &gt;= DATE(2024,4,30)-120, 
     "New", 
     IF(MAXIFS(dynamic[orderCount], dynamic[customerID], B657)&lt;=2, 
        IF((DATE(2024,4,30) - MAXIFS(dynamic[orderDate], dynamic[customerID], B657)) &gt; 180, "Non-Returning", "Dormant"), 
        IF(AND(MAX(dynamic[sinceLastOrder]) &gt; 365, (DATE(2024,4,30) - MAXIFS(dynamic[orderDate], dynamic[customerID], B657)) &gt; 180), 
           "Dormant", "Regular")))</f>
        <v>Regular</v>
      </c>
      <c r="H657" s="6">
        <v>31.0</v>
      </c>
      <c r="I657" s="9" t="str">
        <f>VLOOKUP(dynamic[productID],products[],2,FALSE)</f>
        <v>Gorgonzola Telino</v>
      </c>
      <c r="J657" s="9" t="str">
        <f>VLOOKUP(dynamic[productID],products[],12,FALSE)</f>
        <v>Dairy Products</v>
      </c>
      <c r="K657" s="7" t="str">
        <f>IF(VLOOKUP(dynamic[productID],products[],7,FALSE)=1,"Discontinued","Current")</f>
        <v>Current</v>
      </c>
      <c r="L657" s="9">
        <f>VLOOKUP(dynamic[productID],products[],IF(YEAR(dynamic[orderDate])=2022,8,IF(YEAR(dynamic[orderDate])=2023,9,IF(YEAR(dynamic[orderDate])=2024,10,NA))),FALSE)</f>
        <v>7.937729254</v>
      </c>
      <c r="M657" s="9">
        <v>10.0</v>
      </c>
      <c r="N657" s="25">
        <f>(dynamic[orderPrice]-dynamic[productCost])/dynamic[productCost]</f>
        <v>0.2598061334</v>
      </c>
      <c r="O657" s="10">
        <v>20.0</v>
      </c>
      <c r="P657" s="25">
        <v>0.05</v>
      </c>
      <c r="Q657" s="9">
        <f>dynamic[orderPrice]*dynamic[orderQuantity]</f>
        <v>200</v>
      </c>
      <c r="R657" s="9">
        <f>dynamic[orderTotal]*(1-dynamic[discountApllied])</f>
        <v>190</v>
      </c>
      <c r="S657" s="9">
        <f>dynamic[revenue]-(dynamic[productCost]*dynamic[orderQuantity])</f>
        <v>31.24541492</v>
      </c>
      <c r="T657" s="25">
        <f>IFERROR(dynamic[profit]/dynamic[revenue], 0)</f>
        <v>0.1644495522</v>
      </c>
    </row>
    <row r="658" ht="15.75" customHeight="1">
      <c r="A658" s="6">
        <v>10497.0</v>
      </c>
      <c r="B658" s="7" t="s">
        <v>41</v>
      </c>
      <c r="C658" s="24" t="str">
        <f>VLOOKUP(dynamic[customerID],customers[],2,FALSE)</f>
        <v>Lehmanns Marktstand</v>
      </c>
      <c r="D658" s="24">
        <v>45020.0</v>
      </c>
      <c r="E658" s="6">
        <f>IFERROR(__xludf.DUMMYFUNCTION("COUNTUNIQUEIFS($A$2:$A658,$B$2:$B658,B658)"),4.0)</f>
        <v>4</v>
      </c>
      <c r="F658" s="6">
        <f t="shared" si="1"/>
        <v>155</v>
      </c>
      <c r="G658" s="6" t="str">
        <f>IF(MINIFS(dynamic[orderDate], dynamic[customerID], B658) &gt;= DATE(2024,4,30)-120, 
     "New", 
     IF(MAXIFS(dynamic[orderCount], dynamic[customerID], B658)&lt;=2, 
        IF((DATE(2024,4,30) - MAXIFS(dynamic[orderDate], dynamic[customerID], B658)) &gt; 180, "Non-Returning", "Dormant"), 
        IF(AND(MAX(dynamic[sinceLastOrder]) &gt; 365, (DATE(2024,4,30) - MAXIFS(dynamic[orderDate], dynamic[customerID], B658)) &gt; 180), 
           "Dormant", "Regular")))</f>
        <v>Regular</v>
      </c>
      <c r="H658" s="6">
        <v>56.0</v>
      </c>
      <c r="I658" s="9" t="str">
        <f>VLOOKUP(dynamic[productID],products[],2,FALSE)</f>
        <v>Gnocchi di nonna Alice</v>
      </c>
      <c r="J658" s="9" t="str">
        <f>VLOOKUP(dynamic[productID],products[],12,FALSE)</f>
        <v>Grains/Cereals</v>
      </c>
      <c r="K658" s="7" t="str">
        <f>IF(VLOOKUP(dynamic[productID],products[],7,FALSE)=1,"Discontinued","Current")</f>
        <v>Current</v>
      </c>
      <c r="L658" s="9">
        <f>VLOOKUP(dynamic[productID],products[],IF(YEAR(dynamic[orderDate])=2022,8,IF(YEAR(dynamic[orderDate])=2023,9,IF(YEAR(dynamic[orderDate])=2024,10,NA))),FALSE)</f>
        <v>24.28342441</v>
      </c>
      <c r="M658" s="9">
        <v>30.4</v>
      </c>
      <c r="N658" s="25">
        <f>(dynamic[orderPrice]-dynamic[productCost])/dynamic[productCost]</f>
        <v>0.2518827447</v>
      </c>
      <c r="O658" s="10">
        <v>14.0</v>
      </c>
      <c r="P658" s="25">
        <v>0.0</v>
      </c>
      <c r="Q658" s="9">
        <f>dynamic[orderPrice]*dynamic[orderQuantity]</f>
        <v>425.6</v>
      </c>
      <c r="R658" s="9">
        <f>dynamic[orderTotal]*(1-dynamic[discountApllied])</f>
        <v>425.6</v>
      </c>
      <c r="S658" s="9">
        <f>dynamic[revenue]-(dynamic[productCost]*dynamic[orderQuantity])</f>
        <v>85.63205829</v>
      </c>
      <c r="T658" s="25">
        <f>IFERROR(dynamic[profit]/dynamic[revenue], 0)</f>
        <v>0.2012031445</v>
      </c>
    </row>
    <row r="659" ht="15.75" customHeight="1">
      <c r="A659" s="6">
        <v>10497.0</v>
      </c>
      <c r="B659" s="7" t="s">
        <v>41</v>
      </c>
      <c r="C659" s="24" t="str">
        <f>VLOOKUP(dynamic[customerID],customers[],2,FALSE)</f>
        <v>Lehmanns Marktstand</v>
      </c>
      <c r="D659" s="24">
        <v>45020.0</v>
      </c>
      <c r="E659" s="6">
        <f>IFERROR(__xludf.DUMMYFUNCTION("COUNTUNIQUEIFS($A$2:$A659,$B$2:$B659,B659)"),4.0)</f>
        <v>4</v>
      </c>
      <c r="F659" s="6">
        <f t="shared" si="1"/>
        <v>155</v>
      </c>
      <c r="G659" s="6" t="str">
        <f>IF(MINIFS(dynamic[orderDate], dynamic[customerID], B659) &gt;= DATE(2024,4,30)-120, 
     "New", 
     IF(MAXIFS(dynamic[orderCount], dynamic[customerID], B659)&lt;=2, 
        IF((DATE(2024,4,30) - MAXIFS(dynamic[orderDate], dynamic[customerID], B659)) &gt; 180, "Non-Returning", "Dormant"), 
        IF(AND(MAX(dynamic[sinceLastOrder]) &gt; 365, (DATE(2024,4,30) - MAXIFS(dynamic[orderDate], dynamic[customerID], B659)) &gt; 180), 
           "Dormant", "Regular")))</f>
        <v>Regular</v>
      </c>
      <c r="H659" s="6">
        <v>72.0</v>
      </c>
      <c r="I659" s="9" t="str">
        <f>VLOOKUP(dynamic[productID],products[],2,FALSE)</f>
        <v>Mozzarella di Giovanni</v>
      </c>
      <c r="J659" s="9" t="str">
        <f>VLOOKUP(dynamic[productID],products[],12,FALSE)</f>
        <v>Dairy Products</v>
      </c>
      <c r="K659" s="7" t="str">
        <f>IF(VLOOKUP(dynamic[productID],products[],7,FALSE)=1,"Discontinued","Current")</f>
        <v>Current</v>
      </c>
      <c r="L659" s="9">
        <f>VLOOKUP(dynamic[productID],products[],IF(YEAR(dynamic[orderDate])=2022,8,IF(YEAR(dynamic[orderDate])=2023,9,IF(YEAR(dynamic[orderDate])=2024,10,NA))),FALSE)</f>
        <v>23.51933768</v>
      </c>
      <c r="M659" s="9">
        <v>27.8</v>
      </c>
      <c r="N659" s="25">
        <f>(dynamic[orderPrice]-dynamic[productCost])/dynamic[productCost]</f>
        <v>0.1820060743</v>
      </c>
      <c r="O659" s="10">
        <v>25.0</v>
      </c>
      <c r="P659" s="25">
        <v>0.0</v>
      </c>
      <c r="Q659" s="9">
        <f>dynamic[orderPrice]*dynamic[orderQuantity]</f>
        <v>695</v>
      </c>
      <c r="R659" s="9">
        <f>dynamic[orderTotal]*(1-dynamic[discountApllied])</f>
        <v>695</v>
      </c>
      <c r="S659" s="9">
        <f>dynamic[revenue]-(dynamic[productCost]*dynamic[orderQuantity])</f>
        <v>107.016558</v>
      </c>
      <c r="T659" s="25">
        <f>IFERROR(dynamic[profit]/dynamic[revenue], 0)</f>
        <v>0.153980659</v>
      </c>
    </row>
    <row r="660" ht="15.75" customHeight="1">
      <c r="A660" s="6">
        <v>10497.0</v>
      </c>
      <c r="B660" s="7" t="s">
        <v>41</v>
      </c>
      <c r="C660" s="24" t="str">
        <f>VLOOKUP(dynamic[customerID],customers[],2,FALSE)</f>
        <v>Lehmanns Marktstand</v>
      </c>
      <c r="D660" s="24">
        <v>45020.0</v>
      </c>
      <c r="E660" s="6">
        <f>IFERROR(__xludf.DUMMYFUNCTION("COUNTUNIQUEIFS($A$2:$A660,$B$2:$B660,B660)"),4.0)</f>
        <v>4</v>
      </c>
      <c r="F660" s="6">
        <f t="shared" si="1"/>
        <v>155</v>
      </c>
      <c r="G660" s="6" t="str">
        <f>IF(MINIFS(dynamic[orderDate], dynamic[customerID], B660) &gt;= DATE(2024,4,30)-120, 
     "New", 
     IF(MAXIFS(dynamic[orderCount], dynamic[customerID], B660)&lt;=2, 
        IF((DATE(2024,4,30) - MAXIFS(dynamic[orderDate], dynamic[customerID], B660)) &gt; 180, "Non-Returning", "Dormant"), 
        IF(AND(MAX(dynamic[sinceLastOrder]) &gt; 365, (DATE(2024,4,30) - MAXIFS(dynamic[orderDate], dynamic[customerID], B660)) &gt; 180), 
           "Dormant", "Regular")))</f>
        <v>Regular</v>
      </c>
      <c r="H660" s="6">
        <v>77.0</v>
      </c>
      <c r="I660" s="9" t="str">
        <f>VLOOKUP(dynamic[productID],products[],2,FALSE)</f>
        <v>Original Frankfurter grüne Soße</v>
      </c>
      <c r="J660" s="9" t="str">
        <f>VLOOKUP(dynamic[productID],products[],12,FALSE)</f>
        <v>Condiments</v>
      </c>
      <c r="K660" s="7" t="str">
        <f>IF(VLOOKUP(dynamic[productID],products[],7,FALSE)=1,"Discontinued","Current")</f>
        <v>Current</v>
      </c>
      <c r="L660" s="9">
        <f>VLOOKUP(dynamic[productID],products[],IF(YEAR(dynamic[orderDate])=2022,8,IF(YEAR(dynamic[orderDate])=2023,9,IF(YEAR(dynamic[orderDate])=2024,10,NA))),FALSE)</f>
        <v>7.539056452</v>
      </c>
      <c r="M660" s="9">
        <v>10.4</v>
      </c>
      <c r="N660" s="25">
        <f>(dynamic[orderPrice]-dynamic[productCost])/dynamic[productCost]</f>
        <v>0.3794829719</v>
      </c>
      <c r="O660" s="10">
        <v>25.0</v>
      </c>
      <c r="P660" s="25">
        <v>0.0</v>
      </c>
      <c r="Q660" s="9">
        <f>dynamic[orderPrice]*dynamic[orderQuantity]</f>
        <v>260</v>
      </c>
      <c r="R660" s="9">
        <f>dynamic[orderTotal]*(1-dynamic[discountApllied])</f>
        <v>260</v>
      </c>
      <c r="S660" s="9">
        <f>dynamic[revenue]-(dynamic[productCost]*dynamic[orderQuantity])</f>
        <v>71.5235887</v>
      </c>
      <c r="T660" s="25">
        <f>IFERROR(dynamic[profit]/dynamic[revenue], 0)</f>
        <v>0.2750907258</v>
      </c>
    </row>
    <row r="661" ht="15.75" customHeight="1">
      <c r="A661" s="6">
        <v>10498.0</v>
      </c>
      <c r="B661" s="7" t="s">
        <v>23</v>
      </c>
      <c r="C661" s="24" t="str">
        <f>VLOOKUP(dynamic[customerID],customers[],2,FALSE)</f>
        <v>HILARION-Abastos</v>
      </c>
      <c r="D661" s="24">
        <v>45023.0</v>
      </c>
      <c r="E661" s="6">
        <f>IFERROR(__xludf.DUMMYFUNCTION("COUNTUNIQUEIFS($A$2:$A661,$B$2:$B661,B661)"),6.0)</f>
        <v>6</v>
      </c>
      <c r="F661" s="6">
        <f t="shared" si="1"/>
        <v>7</v>
      </c>
      <c r="G661" s="6" t="str">
        <f>IF(MINIFS(dynamic[orderDate], dynamic[customerID], B661) &gt;= DATE(2024,4,30)-120, 
     "New", 
     IF(MAXIFS(dynamic[orderCount], dynamic[customerID], B661)&lt;=2, 
        IF((DATE(2024,4,30) - MAXIFS(dynamic[orderDate], dynamic[customerID], B661)) &gt; 180, "Non-Returning", "Dormant"), 
        IF(AND(MAX(dynamic[sinceLastOrder]) &gt; 365, (DATE(2024,4,30) - MAXIFS(dynamic[orderDate], dynamic[customerID], B661)) &gt; 180), 
           "Dormant", "Regular")))</f>
        <v>Regular</v>
      </c>
      <c r="H661" s="6">
        <v>24.0</v>
      </c>
      <c r="I661" s="9" t="str">
        <f>VLOOKUP(dynamic[productID],products[],2,FALSE)</f>
        <v>Brigadeiros Maravilhosos da Lilian</v>
      </c>
      <c r="J661" s="9" t="str">
        <f>VLOOKUP(dynamic[productID],products[],12,FALSE)</f>
        <v>Confections</v>
      </c>
      <c r="K661" s="7" t="str">
        <f>IF(VLOOKUP(dynamic[productID],products[],7,FALSE)=1,"Discontinued","Current")</f>
        <v>Discontinued</v>
      </c>
      <c r="L661" s="9">
        <f>VLOOKUP(dynamic[productID],products[],IF(YEAR(dynamic[orderDate])=2022,8,IF(YEAR(dynamic[orderDate])=2023,9,IF(YEAR(dynamic[orderDate])=2024,10,NA))),FALSE)</f>
        <v>3.131783363</v>
      </c>
      <c r="M661" s="9">
        <v>4.5</v>
      </c>
      <c r="N661" s="25">
        <f>(dynamic[orderPrice]-dynamic[productCost])/dynamic[productCost]</f>
        <v>0.4368809967</v>
      </c>
      <c r="O661" s="10">
        <v>14.0</v>
      </c>
      <c r="P661" s="25">
        <v>0.0</v>
      </c>
      <c r="Q661" s="9">
        <f>dynamic[orderPrice]*dynamic[orderQuantity]</f>
        <v>63</v>
      </c>
      <c r="R661" s="9">
        <f>dynamic[orderTotal]*(1-dynamic[discountApllied])</f>
        <v>63</v>
      </c>
      <c r="S661" s="9">
        <f>dynamic[revenue]-(dynamic[productCost]*dynamic[orderQuantity])</f>
        <v>19.15503292</v>
      </c>
      <c r="T661" s="25">
        <f>IFERROR(dynamic[profit]/dynamic[revenue], 0)</f>
        <v>0.3040481416</v>
      </c>
    </row>
    <row r="662" ht="15.75" customHeight="1">
      <c r="A662" s="6">
        <v>10498.0</v>
      </c>
      <c r="B662" s="7" t="s">
        <v>23</v>
      </c>
      <c r="C662" s="24" t="str">
        <f>VLOOKUP(dynamic[customerID],customers[],2,FALSE)</f>
        <v>HILARION-Abastos</v>
      </c>
      <c r="D662" s="24">
        <v>45023.0</v>
      </c>
      <c r="E662" s="6">
        <f>IFERROR(__xludf.DUMMYFUNCTION("COUNTUNIQUEIFS($A$2:$A662,$B$2:$B662,B662)"),6.0)</f>
        <v>6</v>
      </c>
      <c r="F662" s="6">
        <f t="shared" si="1"/>
        <v>7</v>
      </c>
      <c r="G662" s="6" t="str">
        <f>IF(MINIFS(dynamic[orderDate], dynamic[customerID], B662) &gt;= DATE(2024,4,30)-120, 
     "New", 
     IF(MAXIFS(dynamic[orderCount], dynamic[customerID], B662)&lt;=2, 
        IF((DATE(2024,4,30) - MAXIFS(dynamic[orderDate], dynamic[customerID], B662)) &gt; 180, "Non-Returning", "Dormant"), 
        IF(AND(MAX(dynamic[sinceLastOrder]) &gt; 365, (DATE(2024,4,30) - MAXIFS(dynamic[orderDate], dynamic[customerID], B662)) &gt; 180), 
           "Dormant", "Regular")))</f>
        <v>Regular</v>
      </c>
      <c r="H662" s="6">
        <v>40.0</v>
      </c>
      <c r="I662" s="9" t="str">
        <f>VLOOKUP(dynamic[productID],products[],2,FALSE)</f>
        <v>Boston Crab Meat</v>
      </c>
      <c r="J662" s="9" t="str">
        <f>VLOOKUP(dynamic[productID],products[],12,FALSE)</f>
        <v>Seafood</v>
      </c>
      <c r="K662" s="7" t="str">
        <f>IF(VLOOKUP(dynamic[productID],products[],7,FALSE)=1,"Discontinued","Current")</f>
        <v>Current</v>
      </c>
      <c r="L662" s="9">
        <f>VLOOKUP(dynamic[productID],products[],IF(YEAR(dynamic[orderDate])=2022,8,IF(YEAR(dynamic[orderDate])=2023,9,IF(YEAR(dynamic[orderDate])=2024,10,NA))),FALSE)</f>
        <v>11.40496523</v>
      </c>
      <c r="M662" s="9">
        <v>18.4</v>
      </c>
      <c r="N662" s="25">
        <f>(dynamic[orderPrice]-dynamic[productCost])/dynamic[productCost]</f>
        <v>0.6133324069</v>
      </c>
      <c r="O662" s="10">
        <v>5.0</v>
      </c>
      <c r="P662" s="25">
        <v>0.0</v>
      </c>
      <c r="Q662" s="9">
        <f>dynamic[orderPrice]*dynamic[orderQuantity]</f>
        <v>92</v>
      </c>
      <c r="R662" s="9">
        <f>dynamic[orderTotal]*(1-dynamic[discountApllied])</f>
        <v>92</v>
      </c>
      <c r="S662" s="9">
        <f>dynamic[revenue]-(dynamic[productCost]*dynamic[orderQuantity])</f>
        <v>34.97517386</v>
      </c>
      <c r="T662" s="25">
        <f>IFERROR(dynamic[profit]/dynamic[revenue], 0)</f>
        <v>0.3801649333</v>
      </c>
    </row>
    <row r="663" ht="15.75" customHeight="1">
      <c r="A663" s="6">
        <v>10498.0</v>
      </c>
      <c r="B663" s="7" t="s">
        <v>23</v>
      </c>
      <c r="C663" s="24" t="str">
        <f>VLOOKUP(dynamic[customerID],customers[],2,FALSE)</f>
        <v>HILARION-Abastos</v>
      </c>
      <c r="D663" s="24">
        <v>45023.0</v>
      </c>
      <c r="E663" s="6">
        <f>IFERROR(__xludf.DUMMYFUNCTION("COUNTUNIQUEIFS($A$2:$A663,$B$2:$B663,B663)"),6.0)</f>
        <v>6</v>
      </c>
      <c r="F663" s="6">
        <f t="shared" si="1"/>
        <v>7</v>
      </c>
      <c r="G663" s="6" t="str">
        <f>IF(MINIFS(dynamic[orderDate], dynamic[customerID], B663) &gt;= DATE(2024,4,30)-120, 
     "New", 
     IF(MAXIFS(dynamic[orderCount], dynamic[customerID], B663)&lt;=2, 
        IF((DATE(2024,4,30) - MAXIFS(dynamic[orderDate], dynamic[customerID], B663)) &gt; 180, "Non-Returning", "Dormant"), 
        IF(AND(MAX(dynamic[sinceLastOrder]) &gt; 365, (DATE(2024,4,30) - MAXIFS(dynamic[orderDate], dynamic[customerID], B663)) &gt; 180), 
           "Dormant", "Regular")))</f>
        <v>Regular</v>
      </c>
      <c r="H663" s="6">
        <v>42.0</v>
      </c>
      <c r="I663" s="9" t="str">
        <f>VLOOKUP(dynamic[productID],products[],2,FALSE)</f>
        <v>Singaporean Hokkien Fried Mee</v>
      </c>
      <c r="J663" s="9" t="str">
        <f>VLOOKUP(dynamic[productID],products[],12,FALSE)</f>
        <v>Grains/Cereals</v>
      </c>
      <c r="K663" s="7" t="str">
        <f>IF(VLOOKUP(dynamic[productID],products[],7,FALSE)=1,"Discontinued","Current")</f>
        <v>Discontinued</v>
      </c>
      <c r="L663" s="9">
        <f>VLOOKUP(dynamic[productID],products[],IF(YEAR(dynamic[orderDate])=2022,8,IF(YEAR(dynamic[orderDate])=2023,9,IF(YEAR(dynamic[orderDate])=2024,10,NA))),FALSE)</f>
        <v>9.105641621</v>
      </c>
      <c r="M663" s="9">
        <v>14.0</v>
      </c>
      <c r="N663" s="25">
        <f>(dynamic[orderPrice]-dynamic[productCost])/dynamic[productCost]</f>
        <v>0.5375083474</v>
      </c>
      <c r="O663" s="10">
        <v>30.0</v>
      </c>
      <c r="P663" s="25">
        <v>0.0</v>
      </c>
      <c r="Q663" s="9">
        <f>dynamic[orderPrice]*dynamic[orderQuantity]</f>
        <v>420</v>
      </c>
      <c r="R663" s="9">
        <f>dynamic[orderTotal]*(1-dynamic[discountApllied])</f>
        <v>420</v>
      </c>
      <c r="S663" s="9">
        <f>dynamic[revenue]-(dynamic[productCost]*dynamic[orderQuantity])</f>
        <v>146.8307514</v>
      </c>
      <c r="T663" s="25">
        <f>IFERROR(dynamic[profit]/dynamic[revenue], 0)</f>
        <v>0.3495970271</v>
      </c>
    </row>
    <row r="664" ht="15.75" customHeight="1">
      <c r="A664" s="6">
        <v>10499.0</v>
      </c>
      <c r="B664" s="7" t="s">
        <v>43</v>
      </c>
      <c r="C664" s="24" t="str">
        <f>VLOOKUP(dynamic[customerID],customers[],2,FALSE)</f>
        <v>LILA-Supermercado</v>
      </c>
      <c r="D664" s="24">
        <v>45024.0</v>
      </c>
      <c r="E664" s="6">
        <f>IFERROR(__xludf.DUMMYFUNCTION("COUNTUNIQUEIFS($A$2:$A664,$B$2:$B664,B664)"),7.0)</f>
        <v>7</v>
      </c>
      <c r="F664" s="6">
        <f t="shared" si="1"/>
        <v>39</v>
      </c>
      <c r="G664" s="6" t="str">
        <f>IF(MINIFS(dynamic[orderDate], dynamic[customerID], B664) &gt;= DATE(2024,4,30)-120, 
     "New", 
     IF(MAXIFS(dynamic[orderCount], dynamic[customerID], B664)&lt;=2, 
        IF((DATE(2024,4,30) - MAXIFS(dynamic[orderDate], dynamic[customerID], B664)) &gt; 180, "Non-Returning", "Dormant"), 
        IF(AND(MAX(dynamic[sinceLastOrder]) &gt; 365, (DATE(2024,4,30) - MAXIFS(dynamic[orderDate], dynamic[customerID], B664)) &gt; 180), 
           "Dormant", "Regular")))</f>
        <v>Regular</v>
      </c>
      <c r="H664" s="6">
        <v>28.0</v>
      </c>
      <c r="I664" s="9" t="str">
        <f>VLOOKUP(dynamic[productID],products[],2,FALSE)</f>
        <v>Rössle Sauerkraut</v>
      </c>
      <c r="J664" s="9" t="str">
        <f>VLOOKUP(dynamic[productID],products[],12,FALSE)</f>
        <v>Produce</v>
      </c>
      <c r="K664" s="7" t="str">
        <f>IF(VLOOKUP(dynamic[productID],products[],7,FALSE)=1,"Discontinued","Current")</f>
        <v>Discontinued</v>
      </c>
      <c r="L664" s="9">
        <f>VLOOKUP(dynamic[productID],products[],IF(YEAR(dynamic[orderDate])=2022,8,IF(YEAR(dynamic[orderDate])=2023,9,IF(YEAR(dynamic[orderDate])=2024,10,NA))),FALSE)</f>
        <v>31.52644578</v>
      </c>
      <c r="M664" s="9">
        <v>45.6</v>
      </c>
      <c r="N664" s="25">
        <f>(dynamic[orderPrice]-dynamic[productCost])/dynamic[productCost]</f>
        <v>0.4464047207</v>
      </c>
      <c r="O664" s="10">
        <v>20.0</v>
      </c>
      <c r="P664" s="25">
        <v>0.0</v>
      </c>
      <c r="Q664" s="9">
        <f>dynamic[orderPrice]*dynamic[orderQuantity]</f>
        <v>912</v>
      </c>
      <c r="R664" s="9">
        <f>dynamic[orderTotal]*(1-dynamic[discountApllied])</f>
        <v>912</v>
      </c>
      <c r="S664" s="9">
        <f>dynamic[revenue]-(dynamic[productCost]*dynamic[orderQuantity])</f>
        <v>281.4710844</v>
      </c>
      <c r="T664" s="25">
        <f>IFERROR(dynamic[profit]/dynamic[revenue], 0)</f>
        <v>0.308630575</v>
      </c>
    </row>
    <row r="665" ht="15.75" customHeight="1">
      <c r="A665" s="6">
        <v>10499.0</v>
      </c>
      <c r="B665" s="7" t="s">
        <v>43</v>
      </c>
      <c r="C665" s="24" t="str">
        <f>VLOOKUP(dynamic[customerID],customers[],2,FALSE)</f>
        <v>LILA-Supermercado</v>
      </c>
      <c r="D665" s="24">
        <v>45024.0</v>
      </c>
      <c r="E665" s="6">
        <f>IFERROR(__xludf.DUMMYFUNCTION("COUNTUNIQUEIFS($A$2:$A665,$B$2:$B665,B665)"),7.0)</f>
        <v>7</v>
      </c>
      <c r="F665" s="6">
        <f t="shared" si="1"/>
        <v>39</v>
      </c>
      <c r="G665" s="6" t="str">
        <f>IF(MINIFS(dynamic[orderDate], dynamic[customerID], B665) &gt;= DATE(2024,4,30)-120, 
     "New", 
     IF(MAXIFS(dynamic[orderCount], dynamic[customerID], B665)&lt;=2, 
        IF((DATE(2024,4,30) - MAXIFS(dynamic[orderDate], dynamic[customerID], B665)) &gt; 180, "Non-Returning", "Dormant"), 
        IF(AND(MAX(dynamic[sinceLastOrder]) &gt; 365, (DATE(2024,4,30) - MAXIFS(dynamic[orderDate], dynamic[customerID], B665)) &gt; 180), 
           "Dormant", "Regular")))</f>
        <v>Regular</v>
      </c>
      <c r="H665" s="6">
        <v>49.0</v>
      </c>
      <c r="I665" s="9" t="str">
        <f>VLOOKUP(dynamic[productID],products[],2,FALSE)</f>
        <v>Maxilaku</v>
      </c>
      <c r="J665" s="9" t="str">
        <f>VLOOKUP(dynamic[productID],products[],12,FALSE)</f>
        <v>Confections</v>
      </c>
      <c r="K665" s="7" t="str">
        <f>IF(VLOOKUP(dynamic[productID],products[],7,FALSE)=1,"Discontinued","Current")</f>
        <v>Current</v>
      </c>
      <c r="L665" s="9">
        <f>VLOOKUP(dynamic[productID],products[],IF(YEAR(dynamic[orderDate])=2022,8,IF(YEAR(dynamic[orderDate])=2023,9,IF(YEAR(dynamic[orderDate])=2024,10,NA))),FALSE)</f>
        <v>13.04112285</v>
      </c>
      <c r="M665" s="9">
        <v>20.0</v>
      </c>
      <c r="N665" s="25">
        <f>(dynamic[orderPrice]-dynamic[productCost])/dynamic[productCost]</f>
        <v>0.5336102746</v>
      </c>
      <c r="O665" s="10">
        <v>25.0</v>
      </c>
      <c r="P665" s="25">
        <v>0.0</v>
      </c>
      <c r="Q665" s="9">
        <f>dynamic[orderPrice]*dynamic[orderQuantity]</f>
        <v>500</v>
      </c>
      <c r="R665" s="9">
        <f>dynamic[orderTotal]*(1-dynamic[discountApllied])</f>
        <v>500</v>
      </c>
      <c r="S665" s="9">
        <f>dynamic[revenue]-(dynamic[productCost]*dynamic[orderQuantity])</f>
        <v>173.9719287</v>
      </c>
      <c r="T665" s="25">
        <f>IFERROR(dynamic[profit]/dynamic[revenue], 0)</f>
        <v>0.3479438573</v>
      </c>
    </row>
    <row r="666" ht="15.75" customHeight="1">
      <c r="A666" s="6">
        <v>10500.0</v>
      </c>
      <c r="B666" s="7" t="s">
        <v>68</v>
      </c>
      <c r="C666" s="24" t="str">
        <f>VLOOKUP(dynamic[customerID],customers[],2,FALSE)</f>
        <v>La maison d'Asie</v>
      </c>
      <c r="D666" s="24">
        <v>45025.0</v>
      </c>
      <c r="E666" s="6">
        <f>IFERROR(__xludf.DUMMYFUNCTION("COUNTUNIQUEIFS($A$2:$A666,$B$2:$B666,B666)"),8.0)</f>
        <v>8</v>
      </c>
      <c r="F666" s="6">
        <f t="shared" si="1"/>
        <v>7</v>
      </c>
      <c r="G666" s="6" t="str">
        <f>IF(MINIFS(dynamic[orderDate], dynamic[customerID], B666) &gt;= DATE(2024,4,30)-120, 
     "New", 
     IF(MAXIFS(dynamic[orderCount], dynamic[customerID], B666)&lt;=2, 
        IF((DATE(2024,4,30) - MAXIFS(dynamic[orderDate], dynamic[customerID], B666)) &gt; 180, "Non-Returning", "Dormant"), 
        IF(AND(MAX(dynamic[sinceLastOrder]) &gt; 365, (DATE(2024,4,30) - MAXIFS(dynamic[orderDate], dynamic[customerID], B666)) &gt; 180), 
           "Dormant", "Regular")))</f>
        <v>Regular</v>
      </c>
      <c r="H666" s="6">
        <v>15.0</v>
      </c>
      <c r="I666" s="9" t="str">
        <f>VLOOKUP(dynamic[productID],products[],2,FALSE)</f>
        <v>Genen Shouyu</v>
      </c>
      <c r="J666" s="9" t="str">
        <f>VLOOKUP(dynamic[productID],products[],12,FALSE)</f>
        <v>Condiments</v>
      </c>
      <c r="K666" s="7" t="str">
        <f>IF(VLOOKUP(dynamic[productID],products[],7,FALSE)=1,"Discontinued","Current")</f>
        <v>Current</v>
      </c>
      <c r="L666" s="9">
        <f>VLOOKUP(dynamic[productID],products[],IF(YEAR(dynamic[orderDate])=2022,8,IF(YEAR(dynamic[orderDate])=2023,9,IF(YEAR(dynamic[orderDate])=2024,10,NA))),FALSE)</f>
        <v>10.78394742</v>
      </c>
      <c r="M666" s="9">
        <v>15.5</v>
      </c>
      <c r="N666" s="25">
        <f>(dynamic[orderPrice]-dynamic[productCost])/dynamic[productCost]</f>
        <v>0.4373215478</v>
      </c>
      <c r="O666" s="10">
        <v>12.0</v>
      </c>
      <c r="P666" s="25">
        <v>0.05</v>
      </c>
      <c r="Q666" s="9">
        <f>dynamic[orderPrice]*dynamic[orderQuantity]</f>
        <v>186</v>
      </c>
      <c r="R666" s="9">
        <f>dynamic[orderTotal]*(1-dynamic[discountApllied])</f>
        <v>176.7</v>
      </c>
      <c r="S666" s="9">
        <f>dynamic[revenue]-(dynamic[productCost]*dynamic[orderQuantity])</f>
        <v>47.29263093</v>
      </c>
      <c r="T666" s="25">
        <f>IFERROR(dynamic[profit]/dynamic[revenue], 0)</f>
        <v>0.2676436386</v>
      </c>
    </row>
    <row r="667" ht="15.75" customHeight="1">
      <c r="A667" s="6">
        <v>10500.0</v>
      </c>
      <c r="B667" s="7" t="s">
        <v>68</v>
      </c>
      <c r="C667" s="24" t="str">
        <f>VLOOKUP(dynamic[customerID],customers[],2,FALSE)</f>
        <v>La maison d'Asie</v>
      </c>
      <c r="D667" s="24">
        <v>45025.0</v>
      </c>
      <c r="E667" s="6">
        <f>IFERROR(__xludf.DUMMYFUNCTION("COUNTUNIQUEIFS($A$2:$A667,$B$2:$B667,B667)"),8.0)</f>
        <v>8</v>
      </c>
      <c r="F667" s="6">
        <f t="shared" si="1"/>
        <v>7</v>
      </c>
      <c r="G667" s="6" t="str">
        <f>IF(MINIFS(dynamic[orderDate], dynamic[customerID], B667) &gt;= DATE(2024,4,30)-120, 
     "New", 
     IF(MAXIFS(dynamic[orderCount], dynamic[customerID], B667)&lt;=2, 
        IF((DATE(2024,4,30) - MAXIFS(dynamic[orderDate], dynamic[customerID], B667)) &gt; 180, "Non-Returning", "Dormant"), 
        IF(AND(MAX(dynamic[sinceLastOrder]) &gt; 365, (DATE(2024,4,30) - MAXIFS(dynamic[orderDate], dynamic[customerID], B667)) &gt; 180), 
           "Dormant", "Regular")))</f>
        <v>Regular</v>
      </c>
      <c r="H667" s="6">
        <v>28.0</v>
      </c>
      <c r="I667" s="9" t="str">
        <f>VLOOKUP(dynamic[productID],products[],2,FALSE)</f>
        <v>Rössle Sauerkraut</v>
      </c>
      <c r="J667" s="9" t="str">
        <f>VLOOKUP(dynamic[productID],products[],12,FALSE)</f>
        <v>Produce</v>
      </c>
      <c r="K667" s="7" t="str">
        <f>IF(VLOOKUP(dynamic[productID],products[],7,FALSE)=1,"Discontinued","Current")</f>
        <v>Discontinued</v>
      </c>
      <c r="L667" s="9">
        <f>VLOOKUP(dynamic[productID],products[],IF(YEAR(dynamic[orderDate])=2022,8,IF(YEAR(dynamic[orderDate])=2023,9,IF(YEAR(dynamic[orderDate])=2024,10,NA))),FALSE)</f>
        <v>31.52644578</v>
      </c>
      <c r="M667" s="9">
        <v>45.6</v>
      </c>
      <c r="N667" s="25">
        <f>(dynamic[orderPrice]-dynamic[productCost])/dynamic[productCost]</f>
        <v>0.4464047207</v>
      </c>
      <c r="O667" s="10">
        <v>8.0</v>
      </c>
      <c r="P667" s="25">
        <v>0.05</v>
      </c>
      <c r="Q667" s="9">
        <f>dynamic[orderPrice]*dynamic[orderQuantity]</f>
        <v>364.8</v>
      </c>
      <c r="R667" s="9">
        <f>dynamic[orderTotal]*(1-dynamic[discountApllied])</f>
        <v>346.56</v>
      </c>
      <c r="S667" s="9">
        <f>dynamic[revenue]-(dynamic[productCost]*dynamic[orderQuantity])</f>
        <v>94.34843377</v>
      </c>
      <c r="T667" s="25">
        <f>IFERROR(dynamic[profit]/dynamic[revenue], 0)</f>
        <v>0.2722427106</v>
      </c>
    </row>
    <row r="668" ht="15.75" customHeight="1">
      <c r="A668" s="6">
        <v>10501.0</v>
      </c>
      <c r="B668" s="7" t="s">
        <v>91</v>
      </c>
      <c r="C668" s="24" t="str">
        <f>VLOOKUP(dynamic[customerID],customers[],2,FALSE)</f>
        <v>Blauer See Delikatessen</v>
      </c>
      <c r="D668" s="24">
        <v>45025.0</v>
      </c>
      <c r="E668" s="6">
        <f>IFERROR(__xludf.DUMMYFUNCTION("COUNTUNIQUEIFS($A$2:$A668,$B$2:$B668,B668)"),1.0)</f>
        <v>1</v>
      </c>
      <c r="F668" s="6">
        <f t="shared" si="1"/>
        <v>0</v>
      </c>
      <c r="G668" s="6" t="str">
        <f>IF(MINIFS(dynamic[orderDate], dynamic[customerID], B668) &gt;= DATE(2024,4,30)-120, 
     "New", 
     IF(MAXIFS(dynamic[orderCount], dynamic[customerID], B668)&lt;=2, 
        IF((DATE(2024,4,30) - MAXIFS(dynamic[orderDate], dynamic[customerID], B668)) &gt; 180, "Non-Returning", "Dormant"), 
        IF(AND(MAX(dynamic[sinceLastOrder]) &gt; 365, (DATE(2024,4,30) - MAXIFS(dynamic[orderDate], dynamic[customerID], B668)) &gt; 180), 
           "Dormant", "Regular")))</f>
        <v>Regular</v>
      </c>
      <c r="H668" s="6">
        <v>54.0</v>
      </c>
      <c r="I668" s="9" t="str">
        <f>VLOOKUP(dynamic[productID],products[],2,FALSE)</f>
        <v>Tourtière</v>
      </c>
      <c r="J668" s="9" t="str">
        <f>VLOOKUP(dynamic[productID],products[],12,FALSE)</f>
        <v>Meat/Poultry</v>
      </c>
      <c r="K668" s="7" t="str">
        <f>IF(VLOOKUP(dynamic[productID],products[],7,FALSE)=1,"Discontinued","Current")</f>
        <v>Current</v>
      </c>
      <c r="L668" s="9">
        <f>VLOOKUP(dynamic[productID],products[],IF(YEAR(dynamic[orderDate])=2022,8,IF(YEAR(dynamic[orderDate])=2023,9,IF(YEAR(dynamic[orderDate])=2024,10,NA))),FALSE)</f>
        <v>4.924447797</v>
      </c>
      <c r="M668" s="9">
        <v>7.45</v>
      </c>
      <c r="N668" s="25">
        <f>(dynamic[orderPrice]-dynamic[productCost])/dynamic[productCost]</f>
        <v>0.5128599808</v>
      </c>
      <c r="O668" s="10">
        <v>20.0</v>
      </c>
      <c r="P668" s="25">
        <v>0.0</v>
      </c>
      <c r="Q668" s="9">
        <f>dynamic[orderPrice]*dynamic[orderQuantity]</f>
        <v>149</v>
      </c>
      <c r="R668" s="9">
        <f>dynamic[orderTotal]*(1-dynamic[discountApllied])</f>
        <v>149</v>
      </c>
      <c r="S668" s="9">
        <f>dynamic[revenue]-(dynamic[productCost]*dynamic[orderQuantity])</f>
        <v>50.51104406</v>
      </c>
      <c r="T668" s="25">
        <f>IFERROR(dynamic[profit]/dynamic[revenue], 0)</f>
        <v>0.3390002957</v>
      </c>
    </row>
    <row r="669" ht="15.75" customHeight="1">
      <c r="A669" s="6">
        <v>10502.0</v>
      </c>
      <c r="B669" s="7" t="s">
        <v>58</v>
      </c>
      <c r="C669" s="24" t="str">
        <f>VLOOKUP(dynamic[customerID],customers[],2,FALSE)</f>
        <v>Pericles Comidas clásicas</v>
      </c>
      <c r="D669" s="24">
        <v>45026.0</v>
      </c>
      <c r="E669" s="6">
        <f>IFERROR(__xludf.DUMMYFUNCTION("COUNTUNIQUEIFS($A$2:$A669,$B$2:$B669,B669)"),4.0)</f>
        <v>4</v>
      </c>
      <c r="F669" s="6">
        <f t="shared" si="1"/>
        <v>28</v>
      </c>
      <c r="G669" s="6" t="str">
        <f>IF(MINIFS(dynamic[orderDate], dynamic[customerID], B669) &gt;= DATE(2024,4,30)-120, 
     "New", 
     IF(MAXIFS(dynamic[orderCount], dynamic[customerID], B669)&lt;=2, 
        IF((DATE(2024,4,30) - MAXIFS(dynamic[orderDate], dynamic[customerID], B669)) &gt; 180, "Non-Returning", "Dormant"), 
        IF(AND(MAX(dynamic[sinceLastOrder]) &gt; 365, (DATE(2024,4,30) - MAXIFS(dynamic[orderDate], dynamic[customerID], B669)) &gt; 180), 
           "Dormant", "Regular")))</f>
        <v>Regular</v>
      </c>
      <c r="H669" s="6">
        <v>45.0</v>
      </c>
      <c r="I669" s="9" t="str">
        <f>VLOOKUP(dynamic[productID],products[],2,FALSE)</f>
        <v>Rogede sild</v>
      </c>
      <c r="J669" s="9" t="str">
        <f>VLOOKUP(dynamic[productID],products[],12,FALSE)</f>
        <v>Seafood</v>
      </c>
      <c r="K669" s="7" t="str">
        <f>IF(VLOOKUP(dynamic[productID],products[],7,FALSE)=1,"Discontinued","Current")</f>
        <v>Current</v>
      </c>
      <c r="L669" s="9">
        <f>VLOOKUP(dynamic[productID],products[],IF(YEAR(dynamic[orderDate])=2022,8,IF(YEAR(dynamic[orderDate])=2023,9,IF(YEAR(dynamic[orderDate])=2024,10,NA))),FALSE)</f>
        <v>5.965769822</v>
      </c>
      <c r="M669" s="9">
        <v>9.5</v>
      </c>
      <c r="N669" s="25">
        <f>(dynamic[orderPrice]-dynamic[productCost])/dynamic[productCost]</f>
        <v>0.5924181261</v>
      </c>
      <c r="O669" s="10">
        <v>21.0</v>
      </c>
      <c r="P669" s="25">
        <v>0.0</v>
      </c>
      <c r="Q669" s="9">
        <f>dynamic[orderPrice]*dynamic[orderQuantity]</f>
        <v>199.5</v>
      </c>
      <c r="R669" s="9">
        <f>dynamic[orderTotal]*(1-dynamic[discountApllied])</f>
        <v>199.5</v>
      </c>
      <c r="S669" s="9">
        <f>dynamic[revenue]-(dynamic[productCost]*dynamic[orderQuantity])</f>
        <v>74.21883374</v>
      </c>
      <c r="T669" s="25">
        <f>IFERROR(dynamic[profit]/dynamic[revenue], 0)</f>
        <v>0.3720242293</v>
      </c>
    </row>
    <row r="670" ht="15.75" customHeight="1">
      <c r="A670" s="6">
        <v>10502.0</v>
      </c>
      <c r="B670" s="7" t="s">
        <v>58</v>
      </c>
      <c r="C670" s="24" t="str">
        <f>VLOOKUP(dynamic[customerID],customers[],2,FALSE)</f>
        <v>Pericles Comidas clásicas</v>
      </c>
      <c r="D670" s="24">
        <v>45026.0</v>
      </c>
      <c r="E670" s="6">
        <f>IFERROR(__xludf.DUMMYFUNCTION("COUNTUNIQUEIFS($A$2:$A670,$B$2:$B670,B670)"),4.0)</f>
        <v>4</v>
      </c>
      <c r="F670" s="6">
        <f t="shared" si="1"/>
        <v>28</v>
      </c>
      <c r="G670" s="6" t="str">
        <f>IF(MINIFS(dynamic[orderDate], dynamic[customerID], B670) &gt;= DATE(2024,4,30)-120, 
     "New", 
     IF(MAXIFS(dynamic[orderCount], dynamic[customerID], B670)&lt;=2, 
        IF((DATE(2024,4,30) - MAXIFS(dynamic[orderDate], dynamic[customerID], B670)) &gt; 180, "Non-Returning", "Dormant"), 
        IF(AND(MAX(dynamic[sinceLastOrder]) &gt; 365, (DATE(2024,4,30) - MAXIFS(dynamic[orderDate], dynamic[customerID], B670)) &gt; 180), 
           "Dormant", "Regular")))</f>
        <v>Regular</v>
      </c>
      <c r="H670" s="6">
        <v>53.0</v>
      </c>
      <c r="I670" s="9" t="str">
        <f>VLOOKUP(dynamic[productID],products[],2,FALSE)</f>
        <v>Perth Pasties</v>
      </c>
      <c r="J670" s="9" t="str">
        <f>VLOOKUP(dynamic[productID],products[],12,FALSE)</f>
        <v>Meat/Poultry</v>
      </c>
      <c r="K670" s="7" t="str">
        <f>IF(VLOOKUP(dynamic[productID],products[],7,FALSE)=1,"Discontinued","Current")</f>
        <v>Discontinued</v>
      </c>
      <c r="L670" s="9">
        <f>VLOOKUP(dynamic[productID],products[],IF(YEAR(dynamic[orderDate])=2022,8,IF(YEAR(dynamic[orderDate])=2023,9,IF(YEAR(dynamic[orderDate])=2024,10,NA))),FALSE)</f>
        <v>21.81491556</v>
      </c>
      <c r="M670" s="9">
        <v>32.8</v>
      </c>
      <c r="N670" s="25">
        <f>(dynamic[orderPrice]-dynamic[productCost])/dynamic[productCost]</f>
        <v>0.5035584214</v>
      </c>
      <c r="O670" s="10">
        <v>6.0</v>
      </c>
      <c r="P670" s="25">
        <v>0.0</v>
      </c>
      <c r="Q670" s="9">
        <f>dynamic[orderPrice]*dynamic[orderQuantity]</f>
        <v>196.8</v>
      </c>
      <c r="R670" s="9">
        <f>dynamic[orderTotal]*(1-dynamic[discountApllied])</f>
        <v>196.8</v>
      </c>
      <c r="S670" s="9">
        <f>dynamic[revenue]-(dynamic[productCost]*dynamic[orderQuantity])</f>
        <v>65.91050665</v>
      </c>
      <c r="T670" s="25">
        <f>IFERROR(dynamic[profit]/dynamic[revenue], 0)</f>
        <v>0.334911111</v>
      </c>
    </row>
    <row r="671" ht="15.75" customHeight="1">
      <c r="A671" s="6">
        <v>10502.0</v>
      </c>
      <c r="B671" s="7" t="s">
        <v>58</v>
      </c>
      <c r="C671" s="24" t="str">
        <f>VLOOKUP(dynamic[customerID],customers[],2,FALSE)</f>
        <v>Pericles Comidas clásicas</v>
      </c>
      <c r="D671" s="24">
        <v>45026.0</v>
      </c>
      <c r="E671" s="6">
        <f>IFERROR(__xludf.DUMMYFUNCTION("COUNTUNIQUEIFS($A$2:$A671,$B$2:$B671,B671)"),4.0)</f>
        <v>4</v>
      </c>
      <c r="F671" s="6">
        <f t="shared" si="1"/>
        <v>28</v>
      </c>
      <c r="G671" s="6" t="str">
        <f>IF(MINIFS(dynamic[orderDate], dynamic[customerID], B671) &gt;= DATE(2024,4,30)-120, 
     "New", 
     IF(MAXIFS(dynamic[orderCount], dynamic[customerID], B671)&lt;=2, 
        IF((DATE(2024,4,30) - MAXIFS(dynamic[orderDate], dynamic[customerID], B671)) &gt; 180, "Non-Returning", "Dormant"), 
        IF(AND(MAX(dynamic[sinceLastOrder]) &gt; 365, (DATE(2024,4,30) - MAXIFS(dynamic[orderDate], dynamic[customerID], B671)) &gt; 180), 
           "Dormant", "Regular")))</f>
        <v>Regular</v>
      </c>
      <c r="H671" s="6">
        <v>67.0</v>
      </c>
      <c r="I671" s="9" t="str">
        <f>VLOOKUP(dynamic[productID],products[],2,FALSE)</f>
        <v>Laughing Lumberjack Lager</v>
      </c>
      <c r="J671" s="9" t="str">
        <f>VLOOKUP(dynamic[productID],products[],12,FALSE)</f>
        <v>Beverages</v>
      </c>
      <c r="K671" s="7" t="str">
        <f>IF(VLOOKUP(dynamic[productID],products[],7,FALSE)=1,"Discontinued","Current")</f>
        <v>Current</v>
      </c>
      <c r="L671" s="9">
        <f>VLOOKUP(dynamic[productID],products[],IF(YEAR(dynamic[orderDate])=2022,8,IF(YEAR(dynamic[orderDate])=2023,9,IF(YEAR(dynamic[orderDate])=2024,10,NA))),FALSE)</f>
        <v>10.35274539</v>
      </c>
      <c r="M671" s="9">
        <v>14.0</v>
      </c>
      <c r="N671" s="25">
        <f>(dynamic[orderPrice]-dynamic[productCost])/dynamic[productCost]</f>
        <v>0.3522983009</v>
      </c>
      <c r="O671" s="10">
        <v>30.0</v>
      </c>
      <c r="P671" s="25">
        <v>0.0</v>
      </c>
      <c r="Q671" s="9">
        <f>dynamic[orderPrice]*dynamic[orderQuantity]</f>
        <v>420</v>
      </c>
      <c r="R671" s="9">
        <f>dynamic[orderTotal]*(1-dynamic[discountApllied])</f>
        <v>420</v>
      </c>
      <c r="S671" s="9">
        <f>dynamic[revenue]-(dynamic[productCost]*dynamic[orderQuantity])</f>
        <v>109.4176383</v>
      </c>
      <c r="T671" s="25">
        <f>IFERROR(dynamic[profit]/dynamic[revenue], 0)</f>
        <v>0.2605181865</v>
      </c>
    </row>
    <row r="672" ht="15.75" customHeight="1">
      <c r="A672" s="6">
        <v>10503.0</v>
      </c>
      <c r="B672" s="7" t="s">
        <v>49</v>
      </c>
      <c r="C672" s="24" t="str">
        <f>VLOOKUP(dynamic[customerID],customers[],2,FALSE)</f>
        <v>Hungry Owl All-Night Grocers</v>
      </c>
      <c r="D672" s="24">
        <v>45027.0</v>
      </c>
      <c r="E672" s="6">
        <f>IFERROR(__xludf.DUMMYFUNCTION("COUNTUNIQUEIFS($A$2:$A672,$B$2:$B672,B672)"),7.0)</f>
        <v>7</v>
      </c>
      <c r="F672" s="6">
        <f t="shared" si="1"/>
        <v>72</v>
      </c>
      <c r="G672" s="6" t="str">
        <f>IF(MINIFS(dynamic[orderDate], dynamic[customerID], B672) &gt;= DATE(2024,4,30)-120, 
     "New", 
     IF(MAXIFS(dynamic[orderCount], dynamic[customerID], B672)&lt;=2, 
        IF((DATE(2024,4,30) - MAXIFS(dynamic[orderDate], dynamic[customerID], B672)) &gt; 180, "Non-Returning", "Dormant"), 
        IF(AND(MAX(dynamic[sinceLastOrder]) &gt; 365, (DATE(2024,4,30) - MAXIFS(dynamic[orderDate], dynamic[customerID], B672)) &gt; 180), 
           "Dormant", "Regular")))</f>
        <v>Regular</v>
      </c>
      <c r="H672" s="6">
        <v>14.0</v>
      </c>
      <c r="I672" s="9" t="str">
        <f>VLOOKUP(dynamic[productID],products[],2,FALSE)</f>
        <v>Tofu</v>
      </c>
      <c r="J672" s="9" t="str">
        <f>VLOOKUP(dynamic[productID],products[],12,FALSE)</f>
        <v>Produce</v>
      </c>
      <c r="K672" s="7" t="str">
        <f>IF(VLOOKUP(dynamic[productID],products[],7,FALSE)=1,"Discontinued","Current")</f>
        <v>Current</v>
      </c>
      <c r="L672" s="9">
        <f>VLOOKUP(dynamic[productID],products[],IF(YEAR(dynamic[orderDate])=2022,8,IF(YEAR(dynamic[orderDate])=2023,9,IF(YEAR(dynamic[orderDate])=2024,10,NA))),FALSE)</f>
        <v>15.38055417</v>
      </c>
      <c r="M672" s="9">
        <v>23.25</v>
      </c>
      <c r="N672" s="25">
        <f>(dynamic[orderPrice]-dynamic[productCost])/dynamic[productCost]</f>
        <v>0.5116490437</v>
      </c>
      <c r="O672" s="10">
        <v>70.0</v>
      </c>
      <c r="P672" s="25">
        <v>0.0</v>
      </c>
      <c r="Q672" s="9">
        <f>dynamic[orderPrice]*dynamic[orderQuantity]</f>
        <v>1627.5</v>
      </c>
      <c r="R672" s="9">
        <f>dynamic[orderTotal]*(1-dynamic[discountApllied])</f>
        <v>1627.5</v>
      </c>
      <c r="S672" s="9">
        <f>dynamic[revenue]-(dynamic[productCost]*dynamic[orderQuantity])</f>
        <v>550.8612082</v>
      </c>
      <c r="T672" s="25">
        <f>IFERROR(dynamic[profit]/dynamic[revenue], 0)</f>
        <v>0.3384707885</v>
      </c>
    </row>
    <row r="673" ht="15.75" customHeight="1">
      <c r="A673" s="6">
        <v>10503.0</v>
      </c>
      <c r="B673" s="7" t="s">
        <v>49</v>
      </c>
      <c r="C673" s="24" t="str">
        <f>VLOOKUP(dynamic[customerID],customers[],2,FALSE)</f>
        <v>Hungry Owl All-Night Grocers</v>
      </c>
      <c r="D673" s="24">
        <v>45027.0</v>
      </c>
      <c r="E673" s="6">
        <f>IFERROR(__xludf.DUMMYFUNCTION("COUNTUNIQUEIFS($A$2:$A673,$B$2:$B673,B673)"),7.0)</f>
        <v>7</v>
      </c>
      <c r="F673" s="6">
        <f t="shared" si="1"/>
        <v>72</v>
      </c>
      <c r="G673" s="6" t="str">
        <f>IF(MINIFS(dynamic[orderDate], dynamic[customerID], B673) &gt;= DATE(2024,4,30)-120, 
     "New", 
     IF(MAXIFS(dynamic[orderCount], dynamic[customerID], B673)&lt;=2, 
        IF((DATE(2024,4,30) - MAXIFS(dynamic[orderDate], dynamic[customerID], B673)) &gt; 180, "Non-Returning", "Dormant"), 
        IF(AND(MAX(dynamic[sinceLastOrder]) &gt; 365, (DATE(2024,4,30) - MAXIFS(dynamic[orderDate], dynamic[customerID], B673)) &gt; 180), 
           "Dormant", "Regular")))</f>
        <v>Regular</v>
      </c>
      <c r="H673" s="6">
        <v>65.0</v>
      </c>
      <c r="I673" s="9" t="str">
        <f>VLOOKUP(dynamic[productID],products[],2,FALSE)</f>
        <v>Louisiana Fiery Hot Pepper Sauce</v>
      </c>
      <c r="J673" s="9" t="str">
        <f>VLOOKUP(dynamic[productID],products[],12,FALSE)</f>
        <v>Condiments</v>
      </c>
      <c r="K673" s="7" t="str">
        <f>IF(VLOOKUP(dynamic[productID],products[],7,FALSE)=1,"Discontinued","Current")</f>
        <v>Current</v>
      </c>
      <c r="L673" s="9">
        <f>VLOOKUP(dynamic[productID],products[],IF(YEAR(dynamic[orderDate])=2022,8,IF(YEAR(dynamic[orderDate])=2023,9,IF(YEAR(dynamic[orderDate])=2024,10,NA))),FALSE)</f>
        <v>13.21122243</v>
      </c>
      <c r="M673" s="9">
        <v>21.05</v>
      </c>
      <c r="N673" s="25">
        <f>(dynamic[orderPrice]-dynamic[productCost])/dynamic[productCost]</f>
        <v>0.593342335</v>
      </c>
      <c r="O673" s="10">
        <v>20.0</v>
      </c>
      <c r="P673" s="25">
        <v>0.0</v>
      </c>
      <c r="Q673" s="9">
        <f>dynamic[orderPrice]*dynamic[orderQuantity]</f>
        <v>421</v>
      </c>
      <c r="R673" s="9">
        <f>dynamic[orderTotal]*(1-dynamic[discountApllied])</f>
        <v>421</v>
      </c>
      <c r="S673" s="9">
        <f>dynamic[revenue]-(dynamic[productCost]*dynamic[orderQuantity])</f>
        <v>156.7755513</v>
      </c>
      <c r="T673" s="25">
        <f>IFERROR(dynamic[profit]/dynamic[revenue], 0)</f>
        <v>0.372388483</v>
      </c>
    </row>
    <row r="674" ht="15.75" customHeight="1">
      <c r="A674" s="6">
        <v>10504.0</v>
      </c>
      <c r="B674" s="7" t="s">
        <v>34</v>
      </c>
      <c r="C674" s="24" t="str">
        <f>VLOOKUP(dynamic[customerID],customers[],2,FALSE)</f>
        <v>White Clover Markets</v>
      </c>
      <c r="D674" s="24">
        <v>45027.0</v>
      </c>
      <c r="E674" s="6">
        <f>IFERROR(__xludf.DUMMYFUNCTION("COUNTUNIQUEIFS($A$2:$A674,$B$2:$B674,B674)"),5.0)</f>
        <v>5</v>
      </c>
      <c r="F674" s="6">
        <f t="shared" si="1"/>
        <v>18</v>
      </c>
      <c r="G674" s="6" t="str">
        <f>IF(MINIFS(dynamic[orderDate], dynamic[customerID], B674) &gt;= DATE(2024,4,30)-120, 
     "New", 
     IF(MAXIFS(dynamic[orderCount], dynamic[customerID], B674)&lt;=2, 
        IF((DATE(2024,4,30) - MAXIFS(dynamic[orderDate], dynamic[customerID], B674)) &gt; 180, "Non-Returning", "Dormant"), 
        IF(AND(MAX(dynamic[sinceLastOrder]) &gt; 365, (DATE(2024,4,30) - MAXIFS(dynamic[orderDate], dynamic[customerID], B674)) &gt; 180), 
           "Dormant", "Regular")))</f>
        <v>Regular</v>
      </c>
      <c r="H674" s="6">
        <v>2.0</v>
      </c>
      <c r="I674" s="9" t="str">
        <f>VLOOKUP(dynamic[productID],products[],2,FALSE)</f>
        <v>Chang</v>
      </c>
      <c r="J674" s="9" t="str">
        <f>VLOOKUP(dynamic[productID],products[],12,FALSE)</f>
        <v>Beverages</v>
      </c>
      <c r="K674" s="7" t="str">
        <f>IF(VLOOKUP(dynamic[productID],products[],7,FALSE)=1,"Discontinued","Current")</f>
        <v>Current</v>
      </c>
      <c r="L674" s="9">
        <f>VLOOKUP(dynamic[productID],products[],IF(YEAR(dynamic[orderDate])=2022,8,IF(YEAR(dynamic[orderDate])=2023,9,IF(YEAR(dynamic[orderDate])=2024,10,NA))),FALSE)</f>
        <v>12.14626904</v>
      </c>
      <c r="M674" s="9">
        <v>19.0</v>
      </c>
      <c r="N674" s="25">
        <f>(dynamic[orderPrice]-dynamic[productCost])/dynamic[productCost]</f>
        <v>0.5642663547</v>
      </c>
      <c r="O674" s="10">
        <v>12.0</v>
      </c>
      <c r="P674" s="25">
        <v>0.0</v>
      </c>
      <c r="Q674" s="9">
        <f>dynamic[orderPrice]*dynamic[orderQuantity]</f>
        <v>228</v>
      </c>
      <c r="R674" s="9">
        <f>dynamic[orderTotal]*(1-dynamic[discountApllied])</f>
        <v>228</v>
      </c>
      <c r="S674" s="9">
        <f>dynamic[revenue]-(dynamic[productCost]*dynamic[orderQuantity])</f>
        <v>82.24477147</v>
      </c>
      <c r="T674" s="25">
        <f>IFERROR(dynamic[profit]/dynamic[revenue], 0)</f>
        <v>0.3607226819</v>
      </c>
    </row>
    <row r="675" ht="15.75" customHeight="1">
      <c r="A675" s="6">
        <v>10504.0</v>
      </c>
      <c r="B675" s="7" t="s">
        <v>34</v>
      </c>
      <c r="C675" s="24" t="str">
        <f>VLOOKUP(dynamic[customerID],customers[],2,FALSE)</f>
        <v>White Clover Markets</v>
      </c>
      <c r="D675" s="24">
        <v>45027.0</v>
      </c>
      <c r="E675" s="6">
        <f>IFERROR(__xludf.DUMMYFUNCTION("COUNTUNIQUEIFS($A$2:$A675,$B$2:$B675,B675)"),5.0)</f>
        <v>5</v>
      </c>
      <c r="F675" s="6">
        <f t="shared" si="1"/>
        <v>18</v>
      </c>
      <c r="G675" s="6" t="str">
        <f>IF(MINIFS(dynamic[orderDate], dynamic[customerID], B675) &gt;= DATE(2024,4,30)-120, 
     "New", 
     IF(MAXIFS(dynamic[orderCount], dynamic[customerID], B675)&lt;=2, 
        IF((DATE(2024,4,30) - MAXIFS(dynamic[orderDate], dynamic[customerID], B675)) &gt; 180, "Non-Returning", "Dormant"), 
        IF(AND(MAX(dynamic[sinceLastOrder]) &gt; 365, (DATE(2024,4,30) - MAXIFS(dynamic[orderDate], dynamic[customerID], B675)) &gt; 180), 
           "Dormant", "Regular")))</f>
        <v>Regular</v>
      </c>
      <c r="H675" s="6">
        <v>21.0</v>
      </c>
      <c r="I675" s="9" t="str">
        <f>VLOOKUP(dynamic[productID],products[],2,FALSE)</f>
        <v>Sir Rodney's Scones</v>
      </c>
      <c r="J675" s="9" t="str">
        <f>VLOOKUP(dynamic[productID],products[],12,FALSE)</f>
        <v>Confections</v>
      </c>
      <c r="K675" s="7" t="str">
        <f>IF(VLOOKUP(dynamic[productID],products[],7,FALSE)=1,"Discontinued","Current")</f>
        <v>Current</v>
      </c>
      <c r="L675" s="9">
        <f>VLOOKUP(dynamic[productID],products[],IF(YEAR(dynamic[orderDate])=2022,8,IF(YEAR(dynamic[orderDate])=2023,9,IF(YEAR(dynamic[orderDate])=2024,10,NA))),FALSE)</f>
        <v>6.725636111</v>
      </c>
      <c r="M675" s="9">
        <v>10.0</v>
      </c>
      <c r="N675" s="25">
        <f>(dynamic[orderPrice]-dynamic[productCost])/dynamic[productCost]</f>
        <v>0.486848208</v>
      </c>
      <c r="O675" s="10">
        <v>12.0</v>
      </c>
      <c r="P675" s="25">
        <v>0.0</v>
      </c>
      <c r="Q675" s="9">
        <f>dynamic[orderPrice]*dynamic[orderQuantity]</f>
        <v>120</v>
      </c>
      <c r="R675" s="9">
        <f>dynamic[orderTotal]*(1-dynamic[discountApllied])</f>
        <v>120</v>
      </c>
      <c r="S675" s="9">
        <f>dynamic[revenue]-(dynamic[productCost]*dynamic[orderQuantity])</f>
        <v>39.29236666</v>
      </c>
      <c r="T675" s="25">
        <f>IFERROR(dynamic[profit]/dynamic[revenue], 0)</f>
        <v>0.3274363889</v>
      </c>
    </row>
    <row r="676" ht="15.75" customHeight="1">
      <c r="A676" s="6">
        <v>10504.0</v>
      </c>
      <c r="B676" s="7" t="s">
        <v>34</v>
      </c>
      <c r="C676" s="24" t="str">
        <f>VLOOKUP(dynamic[customerID],customers[],2,FALSE)</f>
        <v>White Clover Markets</v>
      </c>
      <c r="D676" s="24">
        <v>45027.0</v>
      </c>
      <c r="E676" s="6">
        <f>IFERROR(__xludf.DUMMYFUNCTION("COUNTUNIQUEIFS($A$2:$A676,$B$2:$B676,B676)"),5.0)</f>
        <v>5</v>
      </c>
      <c r="F676" s="6">
        <f t="shared" si="1"/>
        <v>18</v>
      </c>
      <c r="G676" s="6" t="str">
        <f>IF(MINIFS(dynamic[orderDate], dynamic[customerID], B676) &gt;= DATE(2024,4,30)-120, 
     "New", 
     IF(MAXIFS(dynamic[orderCount], dynamic[customerID], B676)&lt;=2, 
        IF((DATE(2024,4,30) - MAXIFS(dynamic[orderDate], dynamic[customerID], B676)) &gt; 180, "Non-Returning", "Dormant"), 
        IF(AND(MAX(dynamic[sinceLastOrder]) &gt; 365, (DATE(2024,4,30) - MAXIFS(dynamic[orderDate], dynamic[customerID], B676)) &gt; 180), 
           "Dormant", "Regular")))</f>
        <v>Regular</v>
      </c>
      <c r="H676" s="6">
        <v>53.0</v>
      </c>
      <c r="I676" s="9" t="str">
        <f>VLOOKUP(dynamic[productID],products[],2,FALSE)</f>
        <v>Perth Pasties</v>
      </c>
      <c r="J676" s="9" t="str">
        <f>VLOOKUP(dynamic[productID],products[],12,FALSE)</f>
        <v>Meat/Poultry</v>
      </c>
      <c r="K676" s="7" t="str">
        <f>IF(VLOOKUP(dynamic[productID],products[],7,FALSE)=1,"Discontinued","Current")</f>
        <v>Discontinued</v>
      </c>
      <c r="L676" s="9">
        <f>VLOOKUP(dynamic[productID],products[],IF(YEAR(dynamic[orderDate])=2022,8,IF(YEAR(dynamic[orderDate])=2023,9,IF(YEAR(dynamic[orderDate])=2024,10,NA))),FALSE)</f>
        <v>21.81491556</v>
      </c>
      <c r="M676" s="9">
        <v>32.8</v>
      </c>
      <c r="N676" s="25">
        <f>(dynamic[orderPrice]-dynamic[productCost])/dynamic[productCost]</f>
        <v>0.5035584214</v>
      </c>
      <c r="O676" s="10">
        <v>10.0</v>
      </c>
      <c r="P676" s="25">
        <v>0.0</v>
      </c>
      <c r="Q676" s="9">
        <f>dynamic[orderPrice]*dynamic[orderQuantity]</f>
        <v>328</v>
      </c>
      <c r="R676" s="9">
        <f>dynamic[orderTotal]*(1-dynamic[discountApllied])</f>
        <v>328</v>
      </c>
      <c r="S676" s="9">
        <f>dynamic[revenue]-(dynamic[productCost]*dynamic[orderQuantity])</f>
        <v>109.8508444</v>
      </c>
      <c r="T676" s="25">
        <f>IFERROR(dynamic[profit]/dynamic[revenue], 0)</f>
        <v>0.334911111</v>
      </c>
    </row>
    <row r="677" ht="15.75" customHeight="1">
      <c r="A677" s="6">
        <v>10504.0</v>
      </c>
      <c r="B677" s="7" t="s">
        <v>34</v>
      </c>
      <c r="C677" s="24" t="str">
        <f>VLOOKUP(dynamic[customerID],customers[],2,FALSE)</f>
        <v>White Clover Markets</v>
      </c>
      <c r="D677" s="24">
        <v>45027.0</v>
      </c>
      <c r="E677" s="6">
        <f>IFERROR(__xludf.DUMMYFUNCTION("COUNTUNIQUEIFS($A$2:$A677,$B$2:$B677,B677)"),5.0)</f>
        <v>5</v>
      </c>
      <c r="F677" s="6">
        <f t="shared" si="1"/>
        <v>18</v>
      </c>
      <c r="G677" s="6" t="str">
        <f>IF(MINIFS(dynamic[orderDate], dynamic[customerID], B677) &gt;= DATE(2024,4,30)-120, 
     "New", 
     IF(MAXIFS(dynamic[orderCount], dynamic[customerID], B677)&lt;=2, 
        IF((DATE(2024,4,30) - MAXIFS(dynamic[orderDate], dynamic[customerID], B677)) &gt; 180, "Non-Returning", "Dormant"), 
        IF(AND(MAX(dynamic[sinceLastOrder]) &gt; 365, (DATE(2024,4,30) - MAXIFS(dynamic[orderDate], dynamic[customerID], B677)) &gt; 180), 
           "Dormant", "Regular")))</f>
        <v>Regular</v>
      </c>
      <c r="H677" s="6">
        <v>61.0</v>
      </c>
      <c r="I677" s="9" t="str">
        <f>VLOOKUP(dynamic[productID],products[],2,FALSE)</f>
        <v>Sirop d'érable</v>
      </c>
      <c r="J677" s="9" t="str">
        <f>VLOOKUP(dynamic[productID],products[],12,FALSE)</f>
        <v>Condiments</v>
      </c>
      <c r="K677" s="7" t="str">
        <f>IF(VLOOKUP(dynamic[productID],products[],7,FALSE)=1,"Discontinued","Current")</f>
        <v>Current</v>
      </c>
      <c r="L677" s="9">
        <f>VLOOKUP(dynamic[productID],products[],IF(YEAR(dynamic[orderDate])=2022,8,IF(YEAR(dynamic[orderDate])=2023,9,IF(YEAR(dynamic[orderDate])=2024,10,NA))),FALSE)</f>
        <v>17.19945448</v>
      </c>
      <c r="M677" s="9">
        <v>28.5</v>
      </c>
      <c r="N677" s="25">
        <f>(dynamic[orderPrice]-dynamic[productCost])/dynamic[productCost]</f>
        <v>0.6570292986</v>
      </c>
      <c r="O677" s="10">
        <v>25.0</v>
      </c>
      <c r="P677" s="25">
        <v>0.0</v>
      </c>
      <c r="Q677" s="9">
        <f>dynamic[orderPrice]*dynamic[orderQuantity]</f>
        <v>712.5</v>
      </c>
      <c r="R677" s="9">
        <f>dynamic[orderTotal]*(1-dynamic[discountApllied])</f>
        <v>712.5</v>
      </c>
      <c r="S677" s="9">
        <f>dynamic[revenue]-(dynamic[productCost]*dynamic[orderQuantity])</f>
        <v>282.5136379</v>
      </c>
      <c r="T677" s="25">
        <f>IFERROR(dynamic[profit]/dynamic[revenue], 0)</f>
        <v>0.396510369</v>
      </c>
    </row>
    <row r="678" ht="15.75" customHeight="1">
      <c r="A678" s="6">
        <v>10505.0</v>
      </c>
      <c r="B678" s="7" t="s">
        <v>64</v>
      </c>
      <c r="C678" s="24" t="str">
        <f>VLOOKUP(dynamic[customerID],customers[],2,FALSE)</f>
        <v>Mère Paillarde</v>
      </c>
      <c r="D678" s="24">
        <v>45030.0</v>
      </c>
      <c r="E678" s="6">
        <f>IFERROR(__xludf.DUMMYFUNCTION("COUNTUNIQUEIFS($A$2:$A678,$B$2:$B678,B678)"),6.0)</f>
        <v>6</v>
      </c>
      <c r="F678" s="6">
        <f t="shared" si="1"/>
        <v>66</v>
      </c>
      <c r="G678" s="6" t="str">
        <f>IF(MINIFS(dynamic[orderDate], dynamic[customerID], B678) &gt;= DATE(2024,4,30)-120, 
     "New", 
     IF(MAXIFS(dynamic[orderCount], dynamic[customerID], B678)&lt;=2, 
        IF((DATE(2024,4,30) - MAXIFS(dynamic[orderDate], dynamic[customerID], B678)) &gt; 180, "Non-Returning", "Dormant"), 
        IF(AND(MAX(dynamic[sinceLastOrder]) &gt; 365, (DATE(2024,4,30) - MAXIFS(dynamic[orderDate], dynamic[customerID], B678)) &gt; 180), 
           "Dormant", "Regular")))</f>
        <v>Dormant</v>
      </c>
      <c r="H678" s="6">
        <v>62.0</v>
      </c>
      <c r="I678" s="9" t="str">
        <f>VLOOKUP(dynamic[productID],products[],2,FALSE)</f>
        <v>Tarte au sucre</v>
      </c>
      <c r="J678" s="9" t="str">
        <f>VLOOKUP(dynamic[productID],products[],12,FALSE)</f>
        <v>Confections</v>
      </c>
      <c r="K678" s="7" t="str">
        <f>IF(VLOOKUP(dynamic[productID],products[],7,FALSE)=1,"Discontinued","Current")</f>
        <v>Current</v>
      </c>
      <c r="L678" s="9">
        <f>VLOOKUP(dynamic[productID],products[],IF(YEAR(dynamic[orderDate])=2022,8,IF(YEAR(dynamic[orderDate])=2023,9,IF(YEAR(dynamic[orderDate])=2024,10,NA))),FALSE)</f>
        <v>35.34792781</v>
      </c>
      <c r="M678" s="9">
        <v>49.3</v>
      </c>
      <c r="N678" s="25">
        <f>(dynamic[orderPrice]-dynamic[productCost])/dynamic[productCost]</f>
        <v>0.3947069335</v>
      </c>
      <c r="O678" s="10">
        <v>3.0</v>
      </c>
      <c r="P678" s="25">
        <v>0.0</v>
      </c>
      <c r="Q678" s="9">
        <f>dynamic[orderPrice]*dynamic[orderQuantity]</f>
        <v>147.9</v>
      </c>
      <c r="R678" s="9">
        <f>dynamic[orderTotal]*(1-dynamic[discountApllied])</f>
        <v>147.9</v>
      </c>
      <c r="S678" s="9">
        <f>dynamic[revenue]-(dynamic[productCost]*dynamic[orderQuantity])</f>
        <v>41.85621657</v>
      </c>
      <c r="T678" s="25">
        <f>IFERROR(dynamic[profit]/dynamic[revenue], 0)</f>
        <v>0.2830034927</v>
      </c>
    </row>
    <row r="679" ht="15.75" customHeight="1">
      <c r="A679" s="6">
        <v>10506.0</v>
      </c>
      <c r="B679" s="7" t="s">
        <v>59</v>
      </c>
      <c r="C679" s="24" t="str">
        <f>VLOOKUP(dynamic[customerID],customers[],2,FALSE)</f>
        <v>Königlich Essen</v>
      </c>
      <c r="D679" s="24">
        <v>45031.0</v>
      </c>
      <c r="E679" s="6">
        <f>IFERROR(__xludf.DUMMYFUNCTION("COUNTUNIQUEIFS($A$2:$A679,$B$2:$B679,B679)"),6.0)</f>
        <v>6</v>
      </c>
      <c r="F679" s="6">
        <f t="shared" si="1"/>
        <v>39</v>
      </c>
      <c r="G679" s="6" t="str">
        <f>IF(MINIFS(dynamic[orderDate], dynamic[customerID], B679) &gt;= DATE(2024,4,30)-120, 
     "New", 
     IF(MAXIFS(dynamic[orderCount], dynamic[customerID], B679)&lt;=2, 
        IF((DATE(2024,4,30) - MAXIFS(dynamic[orderDate], dynamic[customerID], B679)) &gt; 180, "Non-Returning", "Dormant"), 
        IF(AND(MAX(dynamic[sinceLastOrder]) &gt; 365, (DATE(2024,4,30) - MAXIFS(dynamic[orderDate], dynamic[customerID], B679)) &gt; 180), 
           "Dormant", "Regular")))</f>
        <v>Regular</v>
      </c>
      <c r="H679" s="6">
        <v>25.0</v>
      </c>
      <c r="I679" s="9" t="str">
        <f>VLOOKUP(dynamic[productID],products[],2,FALSE)</f>
        <v>HM Köstliche Kaiserschmarrn Knödelchen</v>
      </c>
      <c r="J679" s="9" t="str">
        <f>VLOOKUP(dynamic[productID],products[],12,FALSE)</f>
        <v>Confections</v>
      </c>
      <c r="K679" s="7" t="str">
        <f>IF(VLOOKUP(dynamic[productID],products[],7,FALSE)=1,"Discontinued","Current")</f>
        <v>Current</v>
      </c>
      <c r="L679" s="9">
        <f>VLOOKUP(dynamic[productID],products[],IF(YEAR(dynamic[orderDate])=2022,8,IF(YEAR(dynamic[orderDate])=2023,9,IF(YEAR(dynamic[orderDate])=2024,10,NA))),FALSE)</f>
        <v>8.138200336</v>
      </c>
      <c r="M679" s="9">
        <v>14.0</v>
      </c>
      <c r="N679" s="25">
        <f>(dynamic[orderPrice]-dynamic[productCost])/dynamic[productCost]</f>
        <v>0.7202820552</v>
      </c>
      <c r="O679" s="10">
        <v>18.0</v>
      </c>
      <c r="P679" s="25">
        <v>0.1</v>
      </c>
      <c r="Q679" s="9">
        <f>dynamic[orderPrice]*dynamic[orderQuantity]</f>
        <v>252</v>
      </c>
      <c r="R679" s="9">
        <f>dynamic[orderTotal]*(1-dynamic[discountApllied])</f>
        <v>226.8</v>
      </c>
      <c r="S679" s="9">
        <f>dynamic[revenue]-(dynamic[productCost]*dynamic[orderQuantity])</f>
        <v>80.31239395</v>
      </c>
      <c r="T679" s="25">
        <f>IFERROR(dynamic[profit]/dynamic[revenue], 0)</f>
        <v>0.3541110844</v>
      </c>
    </row>
    <row r="680" ht="15.75" customHeight="1">
      <c r="A680" s="6">
        <v>10506.0</v>
      </c>
      <c r="B680" s="7" t="s">
        <v>59</v>
      </c>
      <c r="C680" s="24" t="str">
        <f>VLOOKUP(dynamic[customerID],customers[],2,FALSE)</f>
        <v>Königlich Essen</v>
      </c>
      <c r="D680" s="24">
        <v>45031.0</v>
      </c>
      <c r="E680" s="6">
        <f>IFERROR(__xludf.DUMMYFUNCTION("COUNTUNIQUEIFS($A$2:$A680,$B$2:$B680,B680)"),6.0)</f>
        <v>6</v>
      </c>
      <c r="F680" s="6">
        <f t="shared" si="1"/>
        <v>39</v>
      </c>
      <c r="G680" s="6" t="str">
        <f>IF(MINIFS(dynamic[orderDate], dynamic[customerID], B680) &gt;= DATE(2024,4,30)-120, 
     "New", 
     IF(MAXIFS(dynamic[orderCount], dynamic[customerID], B680)&lt;=2, 
        IF((DATE(2024,4,30) - MAXIFS(dynamic[orderDate], dynamic[customerID], B680)) &gt; 180, "Non-Returning", "Dormant"), 
        IF(AND(MAX(dynamic[sinceLastOrder]) &gt; 365, (DATE(2024,4,30) - MAXIFS(dynamic[orderDate], dynamic[customerID], B680)) &gt; 180), 
           "Dormant", "Regular")))</f>
        <v>Regular</v>
      </c>
      <c r="H680" s="6">
        <v>70.0</v>
      </c>
      <c r="I680" s="9" t="str">
        <f>VLOOKUP(dynamic[productID],products[],2,FALSE)</f>
        <v>Outback Lager</v>
      </c>
      <c r="J680" s="9" t="str">
        <f>VLOOKUP(dynamic[productID],products[],12,FALSE)</f>
        <v>Beverages</v>
      </c>
      <c r="K680" s="7" t="str">
        <f>IF(VLOOKUP(dynamic[productID],products[],7,FALSE)=1,"Discontinued","Current")</f>
        <v>Current</v>
      </c>
      <c r="L680" s="9">
        <f>VLOOKUP(dynamic[productID],products[],IF(YEAR(dynamic[orderDate])=2022,8,IF(YEAR(dynamic[orderDate])=2023,9,IF(YEAR(dynamic[orderDate])=2024,10,NA))),FALSE)</f>
        <v>9.793094091</v>
      </c>
      <c r="M680" s="9">
        <v>15.0</v>
      </c>
      <c r="N680" s="25">
        <f>(dynamic[orderPrice]-dynamic[productCost])/dynamic[productCost]</f>
        <v>0.5316916044</v>
      </c>
      <c r="O680" s="10">
        <v>14.0</v>
      </c>
      <c r="P680" s="25">
        <v>0.1</v>
      </c>
      <c r="Q680" s="9">
        <f>dynamic[orderPrice]*dynamic[orderQuantity]</f>
        <v>210</v>
      </c>
      <c r="R680" s="9">
        <f>dynamic[orderTotal]*(1-dynamic[discountApllied])</f>
        <v>189</v>
      </c>
      <c r="S680" s="9">
        <f>dynamic[revenue]-(dynamic[productCost]*dynamic[orderQuantity])</f>
        <v>51.89668272</v>
      </c>
      <c r="T680" s="25">
        <f>IFERROR(dynamic[profit]/dynamic[revenue], 0)</f>
        <v>0.2745856229</v>
      </c>
    </row>
    <row r="681" ht="15.75" customHeight="1">
      <c r="A681" s="6">
        <v>10507.0</v>
      </c>
      <c r="B681" s="7" t="s">
        <v>74</v>
      </c>
      <c r="C681" s="24" t="str">
        <f>VLOOKUP(dynamic[customerID],customers[],2,FALSE)</f>
        <v>Antonio Moreno Taquería</v>
      </c>
      <c r="D681" s="24">
        <v>45031.0</v>
      </c>
      <c r="E681" s="6">
        <f>IFERROR(__xludf.DUMMYFUNCTION("COUNTUNIQUEIFS($A$2:$A681,$B$2:$B681,B681)"),2.0)</f>
        <v>2</v>
      </c>
      <c r="F681" s="6">
        <f t="shared" si="1"/>
        <v>139</v>
      </c>
      <c r="G681" s="6" t="str">
        <f>IF(MINIFS(dynamic[orderDate], dynamic[customerID], B681) &gt;= DATE(2024,4,30)-120, 
     "New", 
     IF(MAXIFS(dynamic[orderCount], dynamic[customerID], B681)&lt;=2, 
        IF((DATE(2024,4,30) - MAXIFS(dynamic[orderDate], dynamic[customerID], B681)) &gt; 180, "Non-Returning", "Dormant"), 
        IF(AND(MAX(dynamic[sinceLastOrder]) &gt; 365, (DATE(2024,4,30) - MAXIFS(dynamic[orderDate], dynamic[customerID], B681)) &gt; 180), 
           "Dormant", "Regular")))</f>
        <v>Regular</v>
      </c>
      <c r="H681" s="6">
        <v>43.0</v>
      </c>
      <c r="I681" s="9" t="str">
        <f>VLOOKUP(dynamic[productID],products[],2,FALSE)</f>
        <v>Ipoh Coffee</v>
      </c>
      <c r="J681" s="9" t="str">
        <f>VLOOKUP(dynamic[productID],products[],12,FALSE)</f>
        <v>Beverages</v>
      </c>
      <c r="K681" s="7" t="str">
        <f>IF(VLOOKUP(dynamic[productID],products[],7,FALSE)=1,"Discontinued","Current")</f>
        <v>Current</v>
      </c>
      <c r="L681" s="9">
        <f>VLOOKUP(dynamic[productID],products[],IF(YEAR(dynamic[orderDate])=2022,8,IF(YEAR(dynamic[orderDate])=2023,9,IF(YEAR(dynamic[orderDate])=2024,10,NA))),FALSE)</f>
        <v>30.96256564</v>
      </c>
      <c r="M681" s="9">
        <v>46.0</v>
      </c>
      <c r="N681" s="25">
        <f>(dynamic[orderPrice]-dynamic[productCost])/dynamic[productCost]</f>
        <v>0.4856649976</v>
      </c>
      <c r="O681" s="10">
        <v>15.0</v>
      </c>
      <c r="P681" s="25">
        <v>0.15</v>
      </c>
      <c r="Q681" s="9">
        <f>dynamic[orderPrice]*dynamic[orderQuantity]</f>
        <v>690</v>
      </c>
      <c r="R681" s="9">
        <f>dynamic[orderTotal]*(1-dynamic[discountApllied])</f>
        <v>586.5</v>
      </c>
      <c r="S681" s="9">
        <f>dynamic[revenue]-(dynamic[productCost]*dynamic[orderQuantity])</f>
        <v>122.0615155</v>
      </c>
      <c r="T681" s="25">
        <f>IFERROR(dynamic[profit]/dynamic[revenue], 0)</f>
        <v>0.208118526</v>
      </c>
    </row>
    <row r="682" ht="15.75" customHeight="1">
      <c r="A682" s="6">
        <v>10507.0</v>
      </c>
      <c r="B682" s="7" t="s">
        <v>74</v>
      </c>
      <c r="C682" s="24" t="str">
        <f>VLOOKUP(dynamic[customerID],customers[],2,FALSE)</f>
        <v>Antonio Moreno Taquería</v>
      </c>
      <c r="D682" s="24">
        <v>45031.0</v>
      </c>
      <c r="E682" s="6">
        <f>IFERROR(__xludf.DUMMYFUNCTION("COUNTUNIQUEIFS($A$2:$A682,$B$2:$B682,B682)"),2.0)</f>
        <v>2</v>
      </c>
      <c r="F682" s="6">
        <f t="shared" si="1"/>
        <v>139</v>
      </c>
      <c r="G682" s="6" t="str">
        <f>IF(MINIFS(dynamic[orderDate], dynamic[customerID], B682) &gt;= DATE(2024,4,30)-120, 
     "New", 
     IF(MAXIFS(dynamic[orderCount], dynamic[customerID], B682)&lt;=2, 
        IF((DATE(2024,4,30) - MAXIFS(dynamic[orderDate], dynamic[customerID], B682)) &gt; 180, "Non-Returning", "Dormant"), 
        IF(AND(MAX(dynamic[sinceLastOrder]) &gt; 365, (DATE(2024,4,30) - MAXIFS(dynamic[orderDate], dynamic[customerID], B682)) &gt; 180), 
           "Dormant", "Regular")))</f>
        <v>Regular</v>
      </c>
      <c r="H682" s="6">
        <v>48.0</v>
      </c>
      <c r="I682" s="9" t="str">
        <f>VLOOKUP(dynamic[productID],products[],2,FALSE)</f>
        <v>Chocolade</v>
      </c>
      <c r="J682" s="9" t="str">
        <f>VLOOKUP(dynamic[productID],products[],12,FALSE)</f>
        <v>Confections</v>
      </c>
      <c r="K682" s="7" t="str">
        <f>IF(VLOOKUP(dynamic[productID],products[],7,FALSE)=1,"Discontinued","Current")</f>
        <v>Current</v>
      </c>
      <c r="L682" s="9">
        <f>VLOOKUP(dynamic[productID],products[],IF(YEAR(dynamic[orderDate])=2022,8,IF(YEAR(dynamic[orderDate])=2023,9,IF(YEAR(dynamic[orderDate])=2024,10,NA))),FALSE)</f>
        <v>8.079671685</v>
      </c>
      <c r="M682" s="9">
        <v>12.75</v>
      </c>
      <c r="N682" s="25">
        <f>(dynamic[orderPrice]-dynamic[productCost])/dynamic[productCost]</f>
        <v>0.5780344174</v>
      </c>
      <c r="O682" s="10">
        <v>15.0</v>
      </c>
      <c r="P682" s="25">
        <v>0.15</v>
      </c>
      <c r="Q682" s="9">
        <f>dynamic[orderPrice]*dynamic[orderQuantity]</f>
        <v>191.25</v>
      </c>
      <c r="R682" s="9">
        <f>dynamic[orderTotal]*(1-dynamic[discountApllied])</f>
        <v>162.5625</v>
      </c>
      <c r="S682" s="9">
        <f>dynamic[revenue]-(dynamic[productCost]*dynamic[orderQuantity])</f>
        <v>41.36742473</v>
      </c>
      <c r="T682" s="25">
        <f>IFERROR(dynamic[profit]/dynamic[revenue], 0)</f>
        <v>0.2544708941</v>
      </c>
    </row>
    <row r="683" ht="15.75" customHeight="1">
      <c r="A683" s="6">
        <v>10508.0</v>
      </c>
      <c r="B683" s="7" t="s">
        <v>26</v>
      </c>
      <c r="C683" s="24" t="str">
        <f>VLOOKUP(dynamic[customerID],customers[],2,FALSE)</f>
        <v>Ottilies Käseladen</v>
      </c>
      <c r="D683" s="24">
        <v>45032.0</v>
      </c>
      <c r="E683" s="6">
        <f>IFERROR(__xludf.DUMMYFUNCTION("COUNTUNIQUEIFS($A$2:$A683,$B$2:$B683,B683)"),3.0)</f>
        <v>3</v>
      </c>
      <c r="F683" s="6">
        <f t="shared" si="1"/>
        <v>99</v>
      </c>
      <c r="G683" s="6" t="str">
        <f>IF(MINIFS(dynamic[orderDate], dynamic[customerID], B683) &gt;= DATE(2024,4,30)-120, 
     "New", 
     IF(MAXIFS(dynamic[orderCount], dynamic[customerID], B683)&lt;=2, 
        IF((DATE(2024,4,30) - MAXIFS(dynamic[orderDate], dynamic[customerID], B683)) &gt; 180, "Non-Returning", "Dormant"), 
        IF(AND(MAX(dynamic[sinceLastOrder]) &gt; 365, (DATE(2024,4,30) - MAXIFS(dynamic[orderDate], dynamic[customerID], B683)) &gt; 180), 
           "Dormant", "Regular")))</f>
        <v>Regular</v>
      </c>
      <c r="H683" s="6">
        <v>13.0</v>
      </c>
      <c r="I683" s="9" t="str">
        <f>VLOOKUP(dynamic[productID],products[],2,FALSE)</f>
        <v>Konbu</v>
      </c>
      <c r="J683" s="9" t="str">
        <f>VLOOKUP(dynamic[productID],products[],12,FALSE)</f>
        <v>Seafood</v>
      </c>
      <c r="K683" s="7" t="str">
        <f>IF(VLOOKUP(dynamic[productID],products[],7,FALSE)=1,"Discontinued","Current")</f>
        <v>Current</v>
      </c>
      <c r="L683" s="9">
        <f>VLOOKUP(dynamic[productID],products[],IF(YEAR(dynamic[orderDate])=2022,8,IF(YEAR(dynamic[orderDate])=2023,9,IF(YEAR(dynamic[orderDate])=2024,10,NA))),FALSE)</f>
        <v>3.865774949</v>
      </c>
      <c r="M683" s="9">
        <v>6.0</v>
      </c>
      <c r="N683" s="25">
        <f>(dynamic[orderPrice]-dynamic[productCost])/dynamic[productCost]</f>
        <v>0.5520820739</v>
      </c>
      <c r="O683" s="10">
        <v>10.0</v>
      </c>
      <c r="P683" s="25">
        <v>0.0</v>
      </c>
      <c r="Q683" s="9">
        <f>dynamic[orderPrice]*dynamic[orderQuantity]</f>
        <v>60</v>
      </c>
      <c r="R683" s="9">
        <f>dynamic[orderTotal]*(1-dynamic[discountApllied])</f>
        <v>60</v>
      </c>
      <c r="S683" s="9">
        <f>dynamic[revenue]-(dynamic[productCost]*dynamic[orderQuantity])</f>
        <v>21.34225051</v>
      </c>
      <c r="T683" s="25">
        <f>IFERROR(dynamic[profit]/dynamic[revenue], 0)</f>
        <v>0.3557041752</v>
      </c>
    </row>
    <row r="684" ht="15.75" customHeight="1">
      <c r="A684" s="6">
        <v>10508.0</v>
      </c>
      <c r="B684" s="7" t="s">
        <v>26</v>
      </c>
      <c r="C684" s="24" t="str">
        <f>VLOOKUP(dynamic[customerID],customers[],2,FALSE)</f>
        <v>Ottilies Käseladen</v>
      </c>
      <c r="D684" s="24">
        <v>45032.0</v>
      </c>
      <c r="E684" s="6">
        <f>IFERROR(__xludf.DUMMYFUNCTION("COUNTUNIQUEIFS($A$2:$A684,$B$2:$B684,B684)"),3.0)</f>
        <v>3</v>
      </c>
      <c r="F684" s="6">
        <f t="shared" si="1"/>
        <v>99</v>
      </c>
      <c r="G684" s="6" t="str">
        <f>IF(MINIFS(dynamic[orderDate], dynamic[customerID], B684) &gt;= DATE(2024,4,30)-120, 
     "New", 
     IF(MAXIFS(dynamic[orderCount], dynamic[customerID], B684)&lt;=2, 
        IF((DATE(2024,4,30) - MAXIFS(dynamic[orderDate], dynamic[customerID], B684)) &gt; 180, "Non-Returning", "Dormant"), 
        IF(AND(MAX(dynamic[sinceLastOrder]) &gt; 365, (DATE(2024,4,30) - MAXIFS(dynamic[orderDate], dynamic[customerID], B684)) &gt; 180), 
           "Dormant", "Regular")))</f>
        <v>Regular</v>
      </c>
      <c r="H684" s="6">
        <v>39.0</v>
      </c>
      <c r="I684" s="9" t="str">
        <f>VLOOKUP(dynamic[productID],products[],2,FALSE)</f>
        <v>Chartreuse verte</v>
      </c>
      <c r="J684" s="9" t="str">
        <f>VLOOKUP(dynamic[productID],products[],12,FALSE)</f>
        <v>Beverages</v>
      </c>
      <c r="K684" s="7" t="str">
        <f>IF(VLOOKUP(dynamic[productID],products[],7,FALSE)=1,"Discontinued","Current")</f>
        <v>Current</v>
      </c>
      <c r="L684" s="9">
        <f>VLOOKUP(dynamic[productID],products[],IF(YEAR(dynamic[orderDate])=2022,8,IF(YEAR(dynamic[orderDate])=2023,9,IF(YEAR(dynamic[orderDate])=2024,10,NA))),FALSE)</f>
        <v>11.73311441</v>
      </c>
      <c r="M684" s="9">
        <v>18.0</v>
      </c>
      <c r="N684" s="25">
        <f>(dynamic[orderPrice]-dynamic[productCost])/dynamic[productCost]</f>
        <v>0.5341195326</v>
      </c>
      <c r="O684" s="10">
        <v>10.0</v>
      </c>
      <c r="P684" s="25">
        <v>0.0</v>
      </c>
      <c r="Q684" s="9">
        <f>dynamic[orderPrice]*dynamic[orderQuantity]</f>
        <v>180</v>
      </c>
      <c r="R684" s="9">
        <f>dynamic[orderTotal]*(1-dynamic[discountApllied])</f>
        <v>180</v>
      </c>
      <c r="S684" s="9">
        <f>dynamic[revenue]-(dynamic[productCost]*dynamic[orderQuantity])</f>
        <v>62.66885587</v>
      </c>
      <c r="T684" s="25">
        <f>IFERROR(dynamic[profit]/dynamic[revenue], 0)</f>
        <v>0.3481603104</v>
      </c>
    </row>
    <row r="685" ht="15.75" customHeight="1">
      <c r="A685" s="6">
        <v>10509.0</v>
      </c>
      <c r="B685" s="7" t="s">
        <v>91</v>
      </c>
      <c r="C685" s="24" t="str">
        <f>VLOOKUP(dynamic[customerID],customers[],2,FALSE)</f>
        <v>Blauer See Delikatessen</v>
      </c>
      <c r="D685" s="24">
        <v>45033.0</v>
      </c>
      <c r="E685" s="6">
        <f>IFERROR(__xludf.DUMMYFUNCTION("COUNTUNIQUEIFS($A$2:$A685,$B$2:$B685,B685)"),2.0)</f>
        <v>2</v>
      </c>
      <c r="F685" s="6">
        <f t="shared" si="1"/>
        <v>8</v>
      </c>
      <c r="G685" s="6" t="str">
        <f>IF(MINIFS(dynamic[orderDate], dynamic[customerID], B685) &gt;= DATE(2024,4,30)-120, 
     "New", 
     IF(MAXIFS(dynamic[orderCount], dynamic[customerID], B685)&lt;=2, 
        IF((DATE(2024,4,30) - MAXIFS(dynamic[orderDate], dynamic[customerID], B685)) &gt; 180, "Non-Returning", "Dormant"), 
        IF(AND(MAX(dynamic[sinceLastOrder]) &gt; 365, (DATE(2024,4,30) - MAXIFS(dynamic[orderDate], dynamic[customerID], B685)) &gt; 180), 
           "Dormant", "Regular")))</f>
        <v>Regular</v>
      </c>
      <c r="H685" s="6">
        <v>28.0</v>
      </c>
      <c r="I685" s="9" t="str">
        <f>VLOOKUP(dynamic[productID],products[],2,FALSE)</f>
        <v>Rössle Sauerkraut</v>
      </c>
      <c r="J685" s="9" t="str">
        <f>VLOOKUP(dynamic[productID],products[],12,FALSE)</f>
        <v>Produce</v>
      </c>
      <c r="K685" s="7" t="str">
        <f>IF(VLOOKUP(dynamic[productID],products[],7,FALSE)=1,"Discontinued","Current")</f>
        <v>Discontinued</v>
      </c>
      <c r="L685" s="9">
        <f>VLOOKUP(dynamic[productID],products[],IF(YEAR(dynamic[orderDate])=2022,8,IF(YEAR(dynamic[orderDate])=2023,9,IF(YEAR(dynamic[orderDate])=2024,10,NA))),FALSE)</f>
        <v>31.52644578</v>
      </c>
      <c r="M685" s="9">
        <v>45.6</v>
      </c>
      <c r="N685" s="25">
        <f>(dynamic[orderPrice]-dynamic[productCost])/dynamic[productCost]</f>
        <v>0.4464047207</v>
      </c>
      <c r="O685" s="10">
        <v>3.0</v>
      </c>
      <c r="P685" s="25">
        <v>0.0</v>
      </c>
      <c r="Q685" s="9">
        <f>dynamic[orderPrice]*dynamic[orderQuantity]</f>
        <v>136.8</v>
      </c>
      <c r="R685" s="9">
        <f>dynamic[orderTotal]*(1-dynamic[discountApllied])</f>
        <v>136.8</v>
      </c>
      <c r="S685" s="9">
        <f>dynamic[revenue]-(dynamic[productCost]*dynamic[orderQuantity])</f>
        <v>42.22066267</v>
      </c>
      <c r="T685" s="25">
        <f>IFERROR(dynamic[profit]/dynamic[revenue], 0)</f>
        <v>0.308630575</v>
      </c>
    </row>
    <row r="686" ht="15.75" customHeight="1">
      <c r="A686" s="6">
        <v>10510.0</v>
      </c>
      <c r="B686" s="7" t="s">
        <v>60</v>
      </c>
      <c r="C686" s="24" t="str">
        <f>VLOOKUP(dynamic[customerID],customers[],2,FALSE)</f>
        <v>Save-a-lot Markets</v>
      </c>
      <c r="D686" s="24">
        <v>45034.0</v>
      </c>
      <c r="E686" s="6">
        <f>IFERROR(__xludf.DUMMYFUNCTION("COUNTUNIQUEIFS($A$2:$A686,$B$2:$B686,B686)"),6.0)</f>
        <v>6</v>
      </c>
      <c r="F686" s="6">
        <f t="shared" si="1"/>
        <v>57</v>
      </c>
      <c r="G686" s="6" t="str">
        <f>IF(MINIFS(dynamic[orderDate], dynamic[customerID], B686) &gt;= DATE(2024,4,30)-120, 
     "New", 
     IF(MAXIFS(dynamic[orderCount], dynamic[customerID], B686)&lt;=2, 
        IF((DATE(2024,4,30) - MAXIFS(dynamic[orderDate], dynamic[customerID], B686)) &gt; 180, "Non-Returning", "Dormant"), 
        IF(AND(MAX(dynamic[sinceLastOrder]) &gt; 365, (DATE(2024,4,30) - MAXIFS(dynamic[orderDate], dynamic[customerID], B686)) &gt; 180), 
           "Dormant", "Regular")))</f>
        <v>Regular</v>
      </c>
      <c r="H686" s="6">
        <v>29.0</v>
      </c>
      <c r="I686" s="9" t="str">
        <f>VLOOKUP(dynamic[productID],products[],2,FALSE)</f>
        <v>Thüringer Rostbratwurst</v>
      </c>
      <c r="J686" s="9" t="str">
        <f>VLOOKUP(dynamic[productID],products[],12,FALSE)</f>
        <v>Meat/Poultry</v>
      </c>
      <c r="K686" s="7" t="str">
        <f>IF(VLOOKUP(dynamic[productID],products[],7,FALSE)=1,"Discontinued","Current")</f>
        <v>Discontinued</v>
      </c>
      <c r="L686" s="9">
        <f>VLOOKUP(dynamic[productID],products[],IF(YEAR(dynamic[orderDate])=2022,8,IF(YEAR(dynamic[orderDate])=2023,9,IF(YEAR(dynamic[orderDate])=2024,10,NA))),FALSE)</f>
        <v>80.85619497</v>
      </c>
      <c r="M686" s="9">
        <v>123.79</v>
      </c>
      <c r="N686" s="25">
        <f>(dynamic[orderPrice]-dynamic[productCost])/dynamic[productCost]</f>
        <v>0.5309896792</v>
      </c>
      <c r="O686" s="10">
        <v>36.0</v>
      </c>
      <c r="P686" s="25">
        <v>0.0</v>
      </c>
      <c r="Q686" s="9">
        <f>dynamic[orderPrice]*dynamic[orderQuantity]</f>
        <v>4456.44</v>
      </c>
      <c r="R686" s="9">
        <f>dynamic[orderTotal]*(1-dynamic[discountApllied])</f>
        <v>4456.44</v>
      </c>
      <c r="S686" s="9">
        <f>dynamic[revenue]-(dynamic[productCost]*dynamic[orderQuantity])</f>
        <v>1545.616981</v>
      </c>
      <c r="T686" s="25">
        <f>IFERROR(dynamic[profit]/dynamic[revenue], 0)</f>
        <v>0.3468277327</v>
      </c>
    </row>
    <row r="687" ht="15.75" customHeight="1">
      <c r="A687" s="6">
        <v>10510.0</v>
      </c>
      <c r="B687" s="7" t="s">
        <v>60</v>
      </c>
      <c r="C687" s="24" t="str">
        <f>VLOOKUP(dynamic[customerID],customers[],2,FALSE)</f>
        <v>Save-a-lot Markets</v>
      </c>
      <c r="D687" s="24">
        <v>45034.0</v>
      </c>
      <c r="E687" s="6">
        <f>IFERROR(__xludf.DUMMYFUNCTION("COUNTUNIQUEIFS($A$2:$A687,$B$2:$B687,B687)"),6.0)</f>
        <v>6</v>
      </c>
      <c r="F687" s="6">
        <f t="shared" si="1"/>
        <v>57</v>
      </c>
      <c r="G687" s="6" t="str">
        <f>IF(MINIFS(dynamic[orderDate], dynamic[customerID], B687) &gt;= DATE(2024,4,30)-120, 
     "New", 
     IF(MAXIFS(dynamic[orderCount], dynamic[customerID], B687)&lt;=2, 
        IF((DATE(2024,4,30) - MAXIFS(dynamic[orderDate], dynamic[customerID], B687)) &gt; 180, "Non-Returning", "Dormant"), 
        IF(AND(MAX(dynamic[sinceLastOrder]) &gt; 365, (DATE(2024,4,30) - MAXIFS(dynamic[orderDate], dynamic[customerID], B687)) &gt; 180), 
           "Dormant", "Regular")))</f>
        <v>Regular</v>
      </c>
      <c r="H687" s="6">
        <v>75.0</v>
      </c>
      <c r="I687" s="9" t="str">
        <f>VLOOKUP(dynamic[productID],products[],2,FALSE)</f>
        <v>Rhönbräu Klosterbier</v>
      </c>
      <c r="J687" s="9" t="str">
        <f>VLOOKUP(dynamic[productID],products[],12,FALSE)</f>
        <v>Beverages</v>
      </c>
      <c r="K687" s="7" t="str">
        <f>IF(VLOOKUP(dynamic[productID],products[],7,FALSE)=1,"Discontinued","Current")</f>
        <v>Current</v>
      </c>
      <c r="L687" s="9">
        <f>VLOOKUP(dynamic[productID],products[],IF(YEAR(dynamic[orderDate])=2022,8,IF(YEAR(dynamic[orderDate])=2023,9,IF(YEAR(dynamic[orderDate])=2024,10,NA))),FALSE)</f>
        <v>5.355290472</v>
      </c>
      <c r="M687" s="9">
        <v>7.75</v>
      </c>
      <c r="N687" s="25">
        <f>(dynamic[orderPrice]-dynamic[productCost])/dynamic[productCost]</f>
        <v>0.4471670661</v>
      </c>
      <c r="O687" s="10">
        <v>36.0</v>
      </c>
      <c r="P687" s="25">
        <v>0.1</v>
      </c>
      <c r="Q687" s="9">
        <f>dynamic[orderPrice]*dynamic[orderQuantity]</f>
        <v>279</v>
      </c>
      <c r="R687" s="9">
        <f>dynamic[orderTotal]*(1-dynamic[discountApllied])</f>
        <v>251.1</v>
      </c>
      <c r="S687" s="9">
        <f>dynamic[revenue]-(dynamic[productCost]*dynamic[orderQuantity])</f>
        <v>58.30954302</v>
      </c>
      <c r="T687" s="25">
        <f>IFERROR(dynamic[profit]/dynamic[revenue], 0)</f>
        <v>0.2322164198</v>
      </c>
    </row>
    <row r="688" ht="15.75" customHeight="1">
      <c r="A688" s="6">
        <v>10511.0</v>
      </c>
      <c r="B688" s="7" t="s">
        <v>63</v>
      </c>
      <c r="C688" s="24" t="str">
        <f>VLOOKUP(dynamic[customerID],customers[],2,FALSE)</f>
        <v>Bon app'</v>
      </c>
      <c r="D688" s="24">
        <v>45034.0</v>
      </c>
      <c r="E688" s="6">
        <f>IFERROR(__xludf.DUMMYFUNCTION("COUNTUNIQUEIFS($A$2:$A688,$B$2:$B688,B688)"),5.0)</f>
        <v>5</v>
      </c>
      <c r="F688" s="6">
        <f t="shared" si="1"/>
        <v>38</v>
      </c>
      <c r="G688" s="6" t="str">
        <f>IF(MINIFS(dynamic[orderDate], dynamic[customerID], B688) &gt;= DATE(2024,4,30)-120, 
     "New", 
     IF(MAXIFS(dynamic[orderCount], dynamic[customerID], B688)&lt;=2, 
        IF((DATE(2024,4,30) - MAXIFS(dynamic[orderDate], dynamic[customerID], B688)) &gt; 180, "Non-Returning", "Dormant"), 
        IF(AND(MAX(dynamic[sinceLastOrder]) &gt; 365, (DATE(2024,4,30) - MAXIFS(dynamic[orderDate], dynamic[customerID], B688)) &gt; 180), 
           "Dormant", "Regular")))</f>
        <v>Regular</v>
      </c>
      <c r="H688" s="6">
        <v>4.0</v>
      </c>
      <c r="I688" s="9" t="str">
        <f>VLOOKUP(dynamic[productID],products[],2,FALSE)</f>
        <v>Chef Anton's Cajun Seasoning</v>
      </c>
      <c r="J688" s="9" t="str">
        <f>VLOOKUP(dynamic[productID],products[],12,FALSE)</f>
        <v>Condiments</v>
      </c>
      <c r="K688" s="7" t="str">
        <f>IF(VLOOKUP(dynamic[productID],products[],7,FALSE)=1,"Discontinued","Current")</f>
        <v>Current</v>
      </c>
      <c r="L688" s="9">
        <f>VLOOKUP(dynamic[productID],products[],IF(YEAR(dynamic[orderDate])=2022,8,IF(YEAR(dynamic[orderDate])=2023,9,IF(YEAR(dynamic[orderDate])=2024,10,NA))),FALSE)</f>
        <v>13.81047124</v>
      </c>
      <c r="M688" s="9">
        <v>22.0</v>
      </c>
      <c r="N688" s="25">
        <f>(dynamic[orderPrice]-dynamic[productCost])/dynamic[productCost]</f>
        <v>0.5929941577</v>
      </c>
      <c r="O688" s="10">
        <v>50.0</v>
      </c>
      <c r="P688" s="25">
        <v>0.15</v>
      </c>
      <c r="Q688" s="9">
        <f>dynamic[orderPrice]*dynamic[orderQuantity]</f>
        <v>1100</v>
      </c>
      <c r="R688" s="9">
        <f>dynamic[orderTotal]*(1-dynamic[discountApllied])</f>
        <v>935</v>
      </c>
      <c r="S688" s="9">
        <f>dynamic[revenue]-(dynamic[productCost]*dynamic[orderQuantity])</f>
        <v>244.476438</v>
      </c>
      <c r="T688" s="25">
        <f>IFERROR(dynamic[profit]/dynamic[revenue], 0)</f>
        <v>0.2614721262</v>
      </c>
    </row>
    <row r="689" ht="15.75" customHeight="1">
      <c r="A689" s="6">
        <v>10511.0</v>
      </c>
      <c r="B689" s="7" t="s">
        <v>63</v>
      </c>
      <c r="C689" s="24" t="str">
        <f>VLOOKUP(dynamic[customerID],customers[],2,FALSE)</f>
        <v>Bon app'</v>
      </c>
      <c r="D689" s="24">
        <v>45034.0</v>
      </c>
      <c r="E689" s="6">
        <f>IFERROR(__xludf.DUMMYFUNCTION("COUNTUNIQUEIFS($A$2:$A689,$B$2:$B689,B689)"),5.0)</f>
        <v>5</v>
      </c>
      <c r="F689" s="6">
        <f t="shared" si="1"/>
        <v>38</v>
      </c>
      <c r="G689" s="6" t="str">
        <f>IF(MINIFS(dynamic[orderDate], dynamic[customerID], B689) &gt;= DATE(2024,4,30)-120, 
     "New", 
     IF(MAXIFS(dynamic[orderCount], dynamic[customerID], B689)&lt;=2, 
        IF((DATE(2024,4,30) - MAXIFS(dynamic[orderDate], dynamic[customerID], B689)) &gt; 180, "Non-Returning", "Dormant"), 
        IF(AND(MAX(dynamic[sinceLastOrder]) &gt; 365, (DATE(2024,4,30) - MAXIFS(dynamic[orderDate], dynamic[customerID], B689)) &gt; 180), 
           "Dormant", "Regular")))</f>
        <v>Regular</v>
      </c>
      <c r="H689" s="6">
        <v>7.0</v>
      </c>
      <c r="I689" s="9" t="str">
        <f>VLOOKUP(dynamic[productID],products[],2,FALSE)</f>
        <v>Uncle Bob's Organic Dried Pears</v>
      </c>
      <c r="J689" s="9" t="str">
        <f>VLOOKUP(dynamic[productID],products[],12,FALSE)</f>
        <v>Produce</v>
      </c>
      <c r="K689" s="7" t="str">
        <f>IF(VLOOKUP(dynamic[productID],products[],7,FALSE)=1,"Discontinued","Current")</f>
        <v>Current</v>
      </c>
      <c r="L689" s="9">
        <f>VLOOKUP(dynamic[productID],products[],IF(YEAR(dynamic[orderDate])=2022,8,IF(YEAR(dynamic[orderDate])=2023,9,IF(YEAR(dynamic[orderDate])=2024,10,NA))),FALSE)</f>
        <v>21.39244625</v>
      </c>
      <c r="M689" s="9">
        <v>30.0</v>
      </c>
      <c r="N689" s="25">
        <f>(dynamic[orderPrice]-dynamic[productCost])/dynamic[productCost]</f>
        <v>0.4023641636</v>
      </c>
      <c r="O689" s="10">
        <v>50.0</v>
      </c>
      <c r="P689" s="25">
        <v>0.15</v>
      </c>
      <c r="Q689" s="9">
        <f>dynamic[orderPrice]*dynamic[orderQuantity]</f>
        <v>1500</v>
      </c>
      <c r="R689" s="9">
        <f>dynamic[orderTotal]*(1-dynamic[discountApllied])</f>
        <v>1275</v>
      </c>
      <c r="S689" s="9">
        <f>dynamic[revenue]-(dynamic[productCost]*dynamic[orderQuantity])</f>
        <v>205.3776873</v>
      </c>
      <c r="T689" s="25">
        <f>IFERROR(dynamic[profit]/dynamic[revenue], 0)</f>
        <v>0.161080539</v>
      </c>
    </row>
    <row r="690" ht="15.75" customHeight="1">
      <c r="A690" s="6">
        <v>10511.0</v>
      </c>
      <c r="B690" s="7" t="s">
        <v>63</v>
      </c>
      <c r="C690" s="24" t="str">
        <f>VLOOKUP(dynamic[customerID],customers[],2,FALSE)</f>
        <v>Bon app'</v>
      </c>
      <c r="D690" s="24">
        <v>45034.0</v>
      </c>
      <c r="E690" s="6">
        <f>IFERROR(__xludf.DUMMYFUNCTION("COUNTUNIQUEIFS($A$2:$A690,$B$2:$B690,B690)"),5.0)</f>
        <v>5</v>
      </c>
      <c r="F690" s="6">
        <f t="shared" si="1"/>
        <v>38</v>
      </c>
      <c r="G690" s="6" t="str">
        <f>IF(MINIFS(dynamic[orderDate], dynamic[customerID], B690) &gt;= DATE(2024,4,30)-120, 
     "New", 
     IF(MAXIFS(dynamic[orderCount], dynamic[customerID], B690)&lt;=2, 
        IF((DATE(2024,4,30) - MAXIFS(dynamic[orderDate], dynamic[customerID], B690)) &gt; 180, "Non-Returning", "Dormant"), 
        IF(AND(MAX(dynamic[sinceLastOrder]) &gt; 365, (DATE(2024,4,30) - MAXIFS(dynamic[orderDate], dynamic[customerID], B690)) &gt; 180), 
           "Dormant", "Regular")))</f>
        <v>Regular</v>
      </c>
      <c r="H690" s="6">
        <v>8.0</v>
      </c>
      <c r="I690" s="9" t="str">
        <f>VLOOKUP(dynamic[productID],products[],2,FALSE)</f>
        <v>Northwoods Cranberry Sauce</v>
      </c>
      <c r="J690" s="9" t="str">
        <f>VLOOKUP(dynamic[productID],products[],12,FALSE)</f>
        <v>Condiments</v>
      </c>
      <c r="K690" s="7" t="str">
        <f>IF(VLOOKUP(dynamic[productID],products[],7,FALSE)=1,"Discontinued","Current")</f>
        <v>Current</v>
      </c>
      <c r="L690" s="9">
        <f>VLOOKUP(dynamic[productID],products[],IF(YEAR(dynamic[orderDate])=2022,8,IF(YEAR(dynamic[orderDate])=2023,9,IF(YEAR(dynamic[orderDate])=2024,10,NA))),FALSE)</f>
        <v>26.10620486</v>
      </c>
      <c r="M690" s="9">
        <v>40.0</v>
      </c>
      <c r="N690" s="25">
        <f>(dynamic[orderPrice]-dynamic[productCost])/dynamic[productCost]</f>
        <v>0.5322027928</v>
      </c>
      <c r="O690" s="10">
        <v>10.0</v>
      </c>
      <c r="P690" s="25">
        <v>0.15</v>
      </c>
      <c r="Q690" s="9">
        <f>dynamic[orderPrice]*dynamic[orderQuantity]</f>
        <v>400</v>
      </c>
      <c r="R690" s="9">
        <f>dynamic[orderTotal]*(1-dynamic[discountApllied])</f>
        <v>340</v>
      </c>
      <c r="S690" s="9">
        <f>dynamic[revenue]-(dynamic[productCost]*dynamic[orderQuantity])</f>
        <v>78.93795137</v>
      </c>
      <c r="T690" s="25">
        <f>IFERROR(dynamic[profit]/dynamic[revenue], 0)</f>
        <v>0.2321704452</v>
      </c>
    </row>
    <row r="691" ht="15.75" customHeight="1">
      <c r="A691" s="6">
        <v>10512.0</v>
      </c>
      <c r="B691" s="7" t="s">
        <v>67</v>
      </c>
      <c r="C691" s="24" t="str">
        <f>VLOOKUP(dynamic[customerID],customers[],2,FALSE)</f>
        <v>Familia Arquibaldo</v>
      </c>
      <c r="D691" s="24">
        <v>45037.0</v>
      </c>
      <c r="E691" s="6">
        <f>IFERROR(__xludf.DUMMYFUNCTION("COUNTUNIQUEIFS($A$2:$A691,$B$2:$B691,B691)"),4.0)</f>
        <v>4</v>
      </c>
      <c r="F691" s="6">
        <f t="shared" si="1"/>
        <v>97</v>
      </c>
      <c r="G691" s="6" t="str">
        <f>IF(MINIFS(dynamic[orderDate], dynamic[customerID], B691) &gt;= DATE(2024,4,30)-120, 
     "New", 
     IF(MAXIFS(dynamic[orderCount], dynamic[customerID], B691)&lt;=2, 
        IF((DATE(2024,4,30) - MAXIFS(dynamic[orderDate], dynamic[customerID], B691)) &gt; 180, "Non-Returning", "Dormant"), 
        IF(AND(MAX(dynamic[sinceLastOrder]) &gt; 365, (DATE(2024,4,30) - MAXIFS(dynamic[orderDate], dynamic[customerID], B691)) &gt; 180), 
           "Dormant", "Regular")))</f>
        <v>Dormant</v>
      </c>
      <c r="H691" s="6">
        <v>24.0</v>
      </c>
      <c r="I691" s="9" t="str">
        <f>VLOOKUP(dynamic[productID],products[],2,FALSE)</f>
        <v>Brigadeiros Maravilhosos da Lilian</v>
      </c>
      <c r="J691" s="9" t="str">
        <f>VLOOKUP(dynamic[productID],products[],12,FALSE)</f>
        <v>Confections</v>
      </c>
      <c r="K691" s="7" t="str">
        <f>IF(VLOOKUP(dynamic[productID],products[],7,FALSE)=1,"Discontinued","Current")</f>
        <v>Discontinued</v>
      </c>
      <c r="L691" s="9">
        <f>VLOOKUP(dynamic[productID],products[],IF(YEAR(dynamic[orderDate])=2022,8,IF(YEAR(dynamic[orderDate])=2023,9,IF(YEAR(dynamic[orderDate])=2024,10,NA))),FALSE)</f>
        <v>3.131783363</v>
      </c>
      <c r="M691" s="9">
        <v>4.5</v>
      </c>
      <c r="N691" s="25">
        <f>(dynamic[orderPrice]-dynamic[productCost])/dynamic[productCost]</f>
        <v>0.4368809967</v>
      </c>
      <c r="O691" s="10">
        <v>10.0</v>
      </c>
      <c r="P691" s="25">
        <v>0.15</v>
      </c>
      <c r="Q691" s="9">
        <f>dynamic[orderPrice]*dynamic[orderQuantity]</f>
        <v>45</v>
      </c>
      <c r="R691" s="9">
        <f>dynamic[orderTotal]*(1-dynamic[discountApllied])</f>
        <v>38.25</v>
      </c>
      <c r="S691" s="9">
        <f>dynamic[revenue]-(dynamic[productCost]*dynamic[orderQuantity])</f>
        <v>6.932166371</v>
      </c>
      <c r="T691" s="25">
        <f>IFERROR(dynamic[profit]/dynamic[revenue], 0)</f>
        <v>0.1812331077</v>
      </c>
    </row>
    <row r="692" ht="15.75" customHeight="1">
      <c r="A692" s="6">
        <v>10512.0</v>
      </c>
      <c r="B692" s="7" t="s">
        <v>67</v>
      </c>
      <c r="C692" s="24" t="str">
        <f>VLOOKUP(dynamic[customerID],customers[],2,FALSE)</f>
        <v>Familia Arquibaldo</v>
      </c>
      <c r="D692" s="24">
        <v>45037.0</v>
      </c>
      <c r="E692" s="6">
        <f>IFERROR(__xludf.DUMMYFUNCTION("COUNTUNIQUEIFS($A$2:$A692,$B$2:$B692,B692)"),4.0)</f>
        <v>4</v>
      </c>
      <c r="F692" s="6">
        <f t="shared" si="1"/>
        <v>97</v>
      </c>
      <c r="G692" s="6" t="str">
        <f>IF(MINIFS(dynamic[orderDate], dynamic[customerID], B692) &gt;= DATE(2024,4,30)-120, 
     "New", 
     IF(MAXIFS(dynamic[orderCount], dynamic[customerID], B692)&lt;=2, 
        IF((DATE(2024,4,30) - MAXIFS(dynamic[orderDate], dynamic[customerID], B692)) &gt; 180, "Non-Returning", "Dormant"), 
        IF(AND(MAX(dynamic[sinceLastOrder]) &gt; 365, (DATE(2024,4,30) - MAXIFS(dynamic[orderDate], dynamic[customerID], B692)) &gt; 180), 
           "Dormant", "Regular")))</f>
        <v>Dormant</v>
      </c>
      <c r="H692" s="6">
        <v>46.0</v>
      </c>
      <c r="I692" s="9" t="str">
        <f>VLOOKUP(dynamic[productID],products[],2,FALSE)</f>
        <v>Spegesild</v>
      </c>
      <c r="J692" s="9" t="str">
        <f>VLOOKUP(dynamic[productID],products[],12,FALSE)</f>
        <v>Seafood</v>
      </c>
      <c r="K692" s="7" t="str">
        <f>IF(VLOOKUP(dynamic[productID],products[],7,FALSE)=1,"Discontinued","Current")</f>
        <v>Current</v>
      </c>
      <c r="L692" s="9">
        <f>VLOOKUP(dynamic[productID],products[],IF(YEAR(dynamic[orderDate])=2022,8,IF(YEAR(dynamic[orderDate])=2023,9,IF(YEAR(dynamic[orderDate])=2024,10,NA))),FALSE)</f>
        <v>7.087990753</v>
      </c>
      <c r="M692" s="9">
        <v>12.0</v>
      </c>
      <c r="N692" s="25">
        <f>(dynamic[orderPrice]-dynamic[productCost])/dynamic[productCost]</f>
        <v>0.693004466</v>
      </c>
      <c r="O692" s="10">
        <v>9.0</v>
      </c>
      <c r="P692" s="25">
        <v>0.15</v>
      </c>
      <c r="Q692" s="9">
        <f>dynamic[orderPrice]*dynamic[orderQuantity]</f>
        <v>108</v>
      </c>
      <c r="R692" s="9">
        <f>dynamic[orderTotal]*(1-dynamic[discountApllied])</f>
        <v>91.8</v>
      </c>
      <c r="S692" s="9">
        <f>dynamic[revenue]-(dynamic[productCost]*dynamic[orderQuantity])</f>
        <v>28.00808322</v>
      </c>
      <c r="T692" s="25">
        <f>IFERROR(dynamic[profit]/dynamic[revenue], 0)</f>
        <v>0.3050989458</v>
      </c>
    </row>
    <row r="693" ht="15.75" customHeight="1">
      <c r="A693" s="6">
        <v>10512.0</v>
      </c>
      <c r="B693" s="7" t="s">
        <v>67</v>
      </c>
      <c r="C693" s="24" t="str">
        <f>VLOOKUP(dynamic[customerID],customers[],2,FALSE)</f>
        <v>Familia Arquibaldo</v>
      </c>
      <c r="D693" s="24">
        <v>45037.0</v>
      </c>
      <c r="E693" s="6">
        <f>IFERROR(__xludf.DUMMYFUNCTION("COUNTUNIQUEIFS($A$2:$A693,$B$2:$B693,B693)"),4.0)</f>
        <v>4</v>
      </c>
      <c r="F693" s="6">
        <f t="shared" si="1"/>
        <v>97</v>
      </c>
      <c r="G693" s="6" t="str">
        <f>IF(MINIFS(dynamic[orderDate], dynamic[customerID], B693) &gt;= DATE(2024,4,30)-120, 
     "New", 
     IF(MAXIFS(dynamic[orderCount], dynamic[customerID], B693)&lt;=2, 
        IF((DATE(2024,4,30) - MAXIFS(dynamic[orderDate], dynamic[customerID], B693)) &gt; 180, "Non-Returning", "Dormant"), 
        IF(AND(MAX(dynamic[sinceLastOrder]) &gt; 365, (DATE(2024,4,30) - MAXIFS(dynamic[orderDate], dynamic[customerID], B693)) &gt; 180), 
           "Dormant", "Regular")))</f>
        <v>Dormant</v>
      </c>
      <c r="H693" s="6">
        <v>47.0</v>
      </c>
      <c r="I693" s="9" t="str">
        <f>VLOOKUP(dynamic[productID],products[],2,FALSE)</f>
        <v>Zaanse koeken</v>
      </c>
      <c r="J693" s="9" t="str">
        <f>VLOOKUP(dynamic[productID],products[],12,FALSE)</f>
        <v>Confections</v>
      </c>
      <c r="K693" s="7" t="str">
        <f>IF(VLOOKUP(dynamic[productID],products[],7,FALSE)=1,"Discontinued","Current")</f>
        <v>Current</v>
      </c>
      <c r="L693" s="9">
        <f>VLOOKUP(dynamic[productID],products[],IF(YEAR(dynamic[orderDate])=2022,8,IF(YEAR(dynamic[orderDate])=2023,9,IF(YEAR(dynamic[orderDate])=2024,10,NA))),FALSE)</f>
        <v>6.57708833</v>
      </c>
      <c r="M693" s="9">
        <v>9.5</v>
      </c>
      <c r="N693" s="25">
        <f>(dynamic[orderPrice]-dynamic[productCost])/dynamic[productCost]</f>
        <v>0.4444081519</v>
      </c>
      <c r="O693" s="10">
        <v>6.0</v>
      </c>
      <c r="P693" s="25">
        <v>0.15</v>
      </c>
      <c r="Q693" s="9">
        <f>dynamic[orderPrice]*dynamic[orderQuantity]</f>
        <v>57</v>
      </c>
      <c r="R693" s="9">
        <f>dynamic[orderTotal]*(1-dynamic[discountApllied])</f>
        <v>48.45</v>
      </c>
      <c r="S693" s="9">
        <f>dynamic[revenue]-(dynamic[productCost]*dynamic[orderQuantity])</f>
        <v>8.987470018</v>
      </c>
      <c r="T693" s="25">
        <f>IFERROR(dynamic[profit]/dynamic[revenue], 0)</f>
        <v>0.1854998972</v>
      </c>
    </row>
    <row r="694" ht="15.75" customHeight="1">
      <c r="A694" s="6">
        <v>10512.0</v>
      </c>
      <c r="B694" s="7" t="s">
        <v>67</v>
      </c>
      <c r="C694" s="24" t="str">
        <f>VLOOKUP(dynamic[customerID],customers[],2,FALSE)</f>
        <v>Familia Arquibaldo</v>
      </c>
      <c r="D694" s="24">
        <v>45037.0</v>
      </c>
      <c r="E694" s="6">
        <f>IFERROR(__xludf.DUMMYFUNCTION("COUNTUNIQUEIFS($A$2:$A694,$B$2:$B694,B694)"),4.0)</f>
        <v>4</v>
      </c>
      <c r="F694" s="6">
        <f t="shared" si="1"/>
        <v>97</v>
      </c>
      <c r="G694" s="6" t="str">
        <f>IF(MINIFS(dynamic[orderDate], dynamic[customerID], B694) &gt;= DATE(2024,4,30)-120, 
     "New", 
     IF(MAXIFS(dynamic[orderCount], dynamic[customerID], B694)&lt;=2, 
        IF((DATE(2024,4,30) - MAXIFS(dynamic[orderDate], dynamic[customerID], B694)) &gt; 180, "Non-Returning", "Dormant"), 
        IF(AND(MAX(dynamic[sinceLastOrder]) &gt; 365, (DATE(2024,4,30) - MAXIFS(dynamic[orderDate], dynamic[customerID], B694)) &gt; 180), 
           "Dormant", "Regular")))</f>
        <v>Dormant</v>
      </c>
      <c r="H694" s="6">
        <v>60.0</v>
      </c>
      <c r="I694" s="9" t="str">
        <f>VLOOKUP(dynamic[productID],products[],2,FALSE)</f>
        <v>Camembert Pierrot</v>
      </c>
      <c r="J694" s="9" t="str">
        <f>VLOOKUP(dynamic[productID],products[],12,FALSE)</f>
        <v>Dairy Products</v>
      </c>
      <c r="K694" s="7" t="str">
        <f>IF(VLOOKUP(dynamic[productID],products[],7,FALSE)=1,"Discontinued","Current")</f>
        <v>Current</v>
      </c>
      <c r="L694" s="9">
        <f>VLOOKUP(dynamic[productID],products[],IF(YEAR(dynamic[orderDate])=2022,8,IF(YEAR(dynamic[orderDate])=2023,9,IF(YEAR(dynamic[orderDate])=2024,10,NA))),FALSE)</f>
        <v>22.77098295</v>
      </c>
      <c r="M694" s="9">
        <v>34.0</v>
      </c>
      <c r="N694" s="25">
        <f>(dynamic[orderPrice]-dynamic[productCost])/dynamic[productCost]</f>
        <v>0.4931283415</v>
      </c>
      <c r="O694" s="10">
        <v>12.0</v>
      </c>
      <c r="P694" s="25">
        <v>0.15</v>
      </c>
      <c r="Q694" s="9">
        <f>dynamic[orderPrice]*dynamic[orderQuantity]</f>
        <v>408</v>
      </c>
      <c r="R694" s="9">
        <f>dynamic[orderTotal]*(1-dynamic[discountApllied])</f>
        <v>346.8</v>
      </c>
      <c r="S694" s="9">
        <f>dynamic[revenue]-(dynamic[productCost]*dynamic[orderQuantity])</f>
        <v>73.54820465</v>
      </c>
      <c r="T694" s="25">
        <f>IFERROR(dynamic[profit]/dynamic[revenue], 0)</f>
        <v>0.2120767147</v>
      </c>
    </row>
    <row r="695" ht="15.75" customHeight="1">
      <c r="A695" s="6">
        <v>10513.0</v>
      </c>
      <c r="B695" s="7" t="s">
        <v>50</v>
      </c>
      <c r="C695" s="24" t="str">
        <f>VLOOKUP(dynamic[customerID],customers[],2,FALSE)</f>
        <v>Die Wandernde Kuh</v>
      </c>
      <c r="D695" s="24">
        <v>45038.0</v>
      </c>
      <c r="E695" s="6">
        <f>IFERROR(__xludf.DUMMYFUNCTION("COUNTUNIQUEIFS($A$2:$A695,$B$2:$B695,B695)"),5.0)</f>
        <v>5</v>
      </c>
      <c r="F695" s="6">
        <f t="shared" si="1"/>
        <v>155</v>
      </c>
      <c r="G695" s="6" t="str">
        <f>IF(MINIFS(dynamic[orderDate], dynamic[customerID], B695) &gt;= DATE(2024,4,30)-120, 
     "New", 
     IF(MAXIFS(dynamic[orderCount], dynamic[customerID], B695)&lt;=2, 
        IF((DATE(2024,4,30) - MAXIFS(dynamic[orderDate], dynamic[customerID], B695)) &gt; 180, "Non-Returning", "Dormant"), 
        IF(AND(MAX(dynamic[sinceLastOrder]) &gt; 365, (DATE(2024,4,30) - MAXIFS(dynamic[orderDate], dynamic[customerID], B695)) &gt; 180), 
           "Dormant", "Regular")))</f>
        <v>Regular</v>
      </c>
      <c r="H695" s="6">
        <v>21.0</v>
      </c>
      <c r="I695" s="9" t="str">
        <f>VLOOKUP(dynamic[productID],products[],2,FALSE)</f>
        <v>Sir Rodney's Scones</v>
      </c>
      <c r="J695" s="9" t="str">
        <f>VLOOKUP(dynamic[productID],products[],12,FALSE)</f>
        <v>Confections</v>
      </c>
      <c r="K695" s="7" t="str">
        <f>IF(VLOOKUP(dynamic[productID],products[],7,FALSE)=1,"Discontinued","Current")</f>
        <v>Current</v>
      </c>
      <c r="L695" s="9">
        <f>VLOOKUP(dynamic[productID],products[],IF(YEAR(dynamic[orderDate])=2022,8,IF(YEAR(dynamic[orderDate])=2023,9,IF(YEAR(dynamic[orderDate])=2024,10,NA))),FALSE)</f>
        <v>6.725636111</v>
      </c>
      <c r="M695" s="9">
        <v>10.0</v>
      </c>
      <c r="N695" s="25">
        <f>(dynamic[orderPrice]-dynamic[productCost])/dynamic[productCost]</f>
        <v>0.486848208</v>
      </c>
      <c r="O695" s="10">
        <v>40.0</v>
      </c>
      <c r="P695" s="25">
        <v>0.2</v>
      </c>
      <c r="Q695" s="9">
        <f>dynamic[orderPrice]*dynamic[orderQuantity]</f>
        <v>400</v>
      </c>
      <c r="R695" s="9">
        <f>dynamic[orderTotal]*(1-dynamic[discountApllied])</f>
        <v>320</v>
      </c>
      <c r="S695" s="9">
        <f>dynamic[revenue]-(dynamic[productCost]*dynamic[orderQuantity])</f>
        <v>50.97455554</v>
      </c>
      <c r="T695" s="25">
        <f>IFERROR(dynamic[profit]/dynamic[revenue], 0)</f>
        <v>0.1592954861</v>
      </c>
    </row>
    <row r="696" ht="15.75" customHeight="1">
      <c r="A696" s="6">
        <v>10513.0</v>
      </c>
      <c r="B696" s="7" t="s">
        <v>50</v>
      </c>
      <c r="C696" s="24" t="str">
        <f>VLOOKUP(dynamic[customerID],customers[],2,FALSE)</f>
        <v>Die Wandernde Kuh</v>
      </c>
      <c r="D696" s="24">
        <v>45038.0</v>
      </c>
      <c r="E696" s="6">
        <f>IFERROR(__xludf.DUMMYFUNCTION("COUNTUNIQUEIFS($A$2:$A696,$B$2:$B696,B696)"),5.0)</f>
        <v>5</v>
      </c>
      <c r="F696" s="6">
        <f t="shared" si="1"/>
        <v>155</v>
      </c>
      <c r="G696" s="6" t="str">
        <f>IF(MINIFS(dynamic[orderDate], dynamic[customerID], B696) &gt;= DATE(2024,4,30)-120, 
     "New", 
     IF(MAXIFS(dynamic[orderCount], dynamic[customerID], B696)&lt;=2, 
        IF((DATE(2024,4,30) - MAXIFS(dynamic[orderDate], dynamic[customerID], B696)) &gt; 180, "Non-Returning", "Dormant"), 
        IF(AND(MAX(dynamic[sinceLastOrder]) &gt; 365, (DATE(2024,4,30) - MAXIFS(dynamic[orderDate], dynamic[customerID], B696)) &gt; 180), 
           "Dormant", "Regular")))</f>
        <v>Regular</v>
      </c>
      <c r="H696" s="6">
        <v>32.0</v>
      </c>
      <c r="I696" s="9" t="str">
        <f>VLOOKUP(dynamic[productID],products[],2,FALSE)</f>
        <v>Mascarpone Fabioli</v>
      </c>
      <c r="J696" s="9" t="str">
        <f>VLOOKUP(dynamic[productID],products[],12,FALSE)</f>
        <v>Dairy Products</v>
      </c>
      <c r="K696" s="7" t="str">
        <f>IF(VLOOKUP(dynamic[productID],products[],7,FALSE)=1,"Discontinued","Current")</f>
        <v>Current</v>
      </c>
      <c r="L696" s="9">
        <f>VLOOKUP(dynamic[productID],products[],IF(YEAR(dynamic[orderDate])=2022,8,IF(YEAR(dynamic[orderDate])=2023,9,IF(YEAR(dynamic[orderDate])=2024,10,NA))),FALSE)</f>
        <v>21.58120628</v>
      </c>
      <c r="M696" s="9">
        <v>32.0</v>
      </c>
      <c r="N696" s="25">
        <f>(dynamic[orderPrice]-dynamic[productCost])/dynamic[productCost]</f>
        <v>0.4827716106</v>
      </c>
      <c r="O696" s="10">
        <v>50.0</v>
      </c>
      <c r="P696" s="25">
        <v>0.2</v>
      </c>
      <c r="Q696" s="9">
        <f>dynamic[orderPrice]*dynamic[orderQuantity]</f>
        <v>1600</v>
      </c>
      <c r="R696" s="9">
        <f>dynamic[orderTotal]*(1-dynamic[discountApllied])</f>
        <v>1280</v>
      </c>
      <c r="S696" s="9">
        <f>dynamic[revenue]-(dynamic[productCost]*dynamic[orderQuantity])</f>
        <v>200.9396858</v>
      </c>
      <c r="T696" s="25">
        <f>IFERROR(dynamic[profit]/dynamic[revenue], 0)</f>
        <v>0.1569841295</v>
      </c>
    </row>
    <row r="697" ht="15.75" customHeight="1">
      <c r="A697" s="6">
        <v>10513.0</v>
      </c>
      <c r="B697" s="7" t="s">
        <v>50</v>
      </c>
      <c r="C697" s="24" t="str">
        <f>VLOOKUP(dynamic[customerID],customers[],2,FALSE)</f>
        <v>Die Wandernde Kuh</v>
      </c>
      <c r="D697" s="24">
        <v>45038.0</v>
      </c>
      <c r="E697" s="6">
        <f>IFERROR(__xludf.DUMMYFUNCTION("COUNTUNIQUEIFS($A$2:$A697,$B$2:$B697,B697)"),5.0)</f>
        <v>5</v>
      </c>
      <c r="F697" s="6">
        <f t="shared" si="1"/>
        <v>155</v>
      </c>
      <c r="G697" s="6" t="str">
        <f>IF(MINIFS(dynamic[orderDate], dynamic[customerID], B697) &gt;= DATE(2024,4,30)-120, 
     "New", 
     IF(MAXIFS(dynamic[orderCount], dynamic[customerID], B697)&lt;=2, 
        IF((DATE(2024,4,30) - MAXIFS(dynamic[orderDate], dynamic[customerID], B697)) &gt; 180, "Non-Returning", "Dormant"), 
        IF(AND(MAX(dynamic[sinceLastOrder]) &gt; 365, (DATE(2024,4,30) - MAXIFS(dynamic[orderDate], dynamic[customerID], B697)) &gt; 180), 
           "Dormant", "Regular")))</f>
        <v>Regular</v>
      </c>
      <c r="H697" s="6">
        <v>61.0</v>
      </c>
      <c r="I697" s="9" t="str">
        <f>VLOOKUP(dynamic[productID],products[],2,FALSE)</f>
        <v>Sirop d'érable</v>
      </c>
      <c r="J697" s="9" t="str">
        <f>VLOOKUP(dynamic[productID],products[],12,FALSE)</f>
        <v>Condiments</v>
      </c>
      <c r="K697" s="7" t="str">
        <f>IF(VLOOKUP(dynamic[productID],products[],7,FALSE)=1,"Discontinued","Current")</f>
        <v>Current</v>
      </c>
      <c r="L697" s="9">
        <f>VLOOKUP(dynamic[productID],products[],IF(YEAR(dynamic[orderDate])=2022,8,IF(YEAR(dynamic[orderDate])=2023,9,IF(YEAR(dynamic[orderDate])=2024,10,NA))),FALSE)</f>
        <v>17.19945448</v>
      </c>
      <c r="M697" s="9">
        <v>28.5</v>
      </c>
      <c r="N697" s="25">
        <f>(dynamic[orderPrice]-dynamic[productCost])/dynamic[productCost]</f>
        <v>0.6570292986</v>
      </c>
      <c r="O697" s="10">
        <v>15.0</v>
      </c>
      <c r="P697" s="25">
        <v>0.2</v>
      </c>
      <c r="Q697" s="9">
        <f>dynamic[orderPrice]*dynamic[orderQuantity]</f>
        <v>427.5</v>
      </c>
      <c r="R697" s="9">
        <f>dynamic[orderTotal]*(1-dynamic[discountApllied])</f>
        <v>342</v>
      </c>
      <c r="S697" s="9">
        <f>dynamic[revenue]-(dynamic[productCost]*dynamic[orderQuantity])</f>
        <v>84.00818274</v>
      </c>
      <c r="T697" s="25">
        <f>IFERROR(dynamic[profit]/dynamic[revenue], 0)</f>
        <v>0.2456379612</v>
      </c>
    </row>
    <row r="698" ht="15.75" customHeight="1">
      <c r="A698" s="6">
        <v>10514.0</v>
      </c>
      <c r="B698" s="7" t="s">
        <v>24</v>
      </c>
      <c r="C698" s="24" t="str">
        <f>VLOOKUP(dynamic[customerID],customers[],2,FALSE)</f>
        <v>Ernst Handel</v>
      </c>
      <c r="D698" s="24">
        <v>45038.0</v>
      </c>
      <c r="E698" s="6">
        <f>IFERROR(__xludf.DUMMYFUNCTION("COUNTUNIQUEIFS($A$2:$A698,$B$2:$B698,B698)"),11.0)</f>
        <v>11</v>
      </c>
      <c r="F698" s="6">
        <f t="shared" si="1"/>
        <v>70</v>
      </c>
      <c r="G698" s="6" t="str">
        <f>IF(MINIFS(dynamic[orderDate], dynamic[customerID], B698) &gt;= DATE(2024,4,30)-120, 
     "New", 
     IF(MAXIFS(dynamic[orderCount], dynamic[customerID], B698)&lt;=2, 
        IF((DATE(2024,4,30) - MAXIFS(dynamic[orderDate], dynamic[customerID], B698)) &gt; 180, "Non-Returning", "Dormant"), 
        IF(AND(MAX(dynamic[sinceLastOrder]) &gt; 365, (DATE(2024,4,30) - MAXIFS(dynamic[orderDate], dynamic[customerID], B698)) &gt; 180), 
           "Dormant", "Regular")))</f>
        <v>Regular</v>
      </c>
      <c r="H698" s="6">
        <v>20.0</v>
      </c>
      <c r="I698" s="9" t="str">
        <f>VLOOKUP(dynamic[productID],products[],2,FALSE)</f>
        <v>Sir Rodney's Marmalade</v>
      </c>
      <c r="J698" s="9" t="str">
        <f>VLOOKUP(dynamic[productID],products[],12,FALSE)</f>
        <v>Confections</v>
      </c>
      <c r="K698" s="7" t="str">
        <f>IF(VLOOKUP(dynamic[productID],products[],7,FALSE)=1,"Discontinued","Current")</f>
        <v>Current</v>
      </c>
      <c r="L698" s="9">
        <f>VLOOKUP(dynamic[productID],products[],IF(YEAR(dynamic[orderDate])=2022,8,IF(YEAR(dynamic[orderDate])=2023,9,IF(YEAR(dynamic[orderDate])=2024,10,NA))),FALSE)</f>
        <v>57.29342071</v>
      </c>
      <c r="M698" s="9">
        <v>81.0</v>
      </c>
      <c r="N698" s="25">
        <f>(dynamic[orderPrice]-dynamic[productCost])/dynamic[productCost]</f>
        <v>0.4137748976</v>
      </c>
      <c r="O698" s="10">
        <v>39.0</v>
      </c>
      <c r="P698" s="25">
        <v>0.0</v>
      </c>
      <c r="Q698" s="9">
        <f>dynamic[orderPrice]*dynamic[orderQuantity]</f>
        <v>3159</v>
      </c>
      <c r="R698" s="9">
        <f>dynamic[orderTotal]*(1-dynamic[discountApllied])</f>
        <v>3159</v>
      </c>
      <c r="S698" s="9">
        <f>dynamic[revenue]-(dynamic[productCost]*dynamic[orderQuantity])</f>
        <v>924.5565923</v>
      </c>
      <c r="T698" s="25">
        <f>IFERROR(dynamic[profit]/dynamic[revenue], 0)</f>
        <v>0.2926738184</v>
      </c>
    </row>
    <row r="699" ht="15.75" customHeight="1">
      <c r="A699" s="6">
        <v>10514.0</v>
      </c>
      <c r="B699" s="7" t="s">
        <v>24</v>
      </c>
      <c r="C699" s="24" t="str">
        <f>VLOOKUP(dynamic[customerID],customers[],2,FALSE)</f>
        <v>Ernst Handel</v>
      </c>
      <c r="D699" s="24">
        <v>45038.0</v>
      </c>
      <c r="E699" s="6">
        <f>IFERROR(__xludf.DUMMYFUNCTION("COUNTUNIQUEIFS($A$2:$A699,$B$2:$B699,B699)"),11.0)</f>
        <v>11</v>
      </c>
      <c r="F699" s="6">
        <f t="shared" si="1"/>
        <v>70</v>
      </c>
      <c r="G699" s="6" t="str">
        <f>IF(MINIFS(dynamic[orderDate], dynamic[customerID], B699) &gt;= DATE(2024,4,30)-120, 
     "New", 
     IF(MAXIFS(dynamic[orderCount], dynamic[customerID], B699)&lt;=2, 
        IF((DATE(2024,4,30) - MAXIFS(dynamic[orderDate], dynamic[customerID], B699)) &gt; 180, "Non-Returning", "Dormant"), 
        IF(AND(MAX(dynamic[sinceLastOrder]) &gt; 365, (DATE(2024,4,30) - MAXIFS(dynamic[orderDate], dynamic[customerID], B699)) &gt; 180), 
           "Dormant", "Regular")))</f>
        <v>Regular</v>
      </c>
      <c r="H699" s="6">
        <v>28.0</v>
      </c>
      <c r="I699" s="9" t="str">
        <f>VLOOKUP(dynamic[productID],products[],2,FALSE)</f>
        <v>Rössle Sauerkraut</v>
      </c>
      <c r="J699" s="9" t="str">
        <f>VLOOKUP(dynamic[productID],products[],12,FALSE)</f>
        <v>Produce</v>
      </c>
      <c r="K699" s="7" t="str">
        <f>IF(VLOOKUP(dynamic[productID],products[],7,FALSE)=1,"Discontinued","Current")</f>
        <v>Discontinued</v>
      </c>
      <c r="L699" s="9">
        <f>VLOOKUP(dynamic[productID],products[],IF(YEAR(dynamic[orderDate])=2022,8,IF(YEAR(dynamic[orderDate])=2023,9,IF(YEAR(dynamic[orderDate])=2024,10,NA))),FALSE)</f>
        <v>31.52644578</v>
      </c>
      <c r="M699" s="9">
        <v>45.6</v>
      </c>
      <c r="N699" s="25">
        <f>(dynamic[orderPrice]-dynamic[productCost])/dynamic[productCost]</f>
        <v>0.4464047207</v>
      </c>
      <c r="O699" s="10">
        <v>35.0</v>
      </c>
      <c r="P699" s="25">
        <v>0.0</v>
      </c>
      <c r="Q699" s="9">
        <f>dynamic[orderPrice]*dynamic[orderQuantity]</f>
        <v>1596</v>
      </c>
      <c r="R699" s="9">
        <f>dynamic[orderTotal]*(1-dynamic[discountApllied])</f>
        <v>1596</v>
      </c>
      <c r="S699" s="9">
        <f>dynamic[revenue]-(dynamic[productCost]*dynamic[orderQuantity])</f>
        <v>492.5743978</v>
      </c>
      <c r="T699" s="25">
        <f>IFERROR(dynamic[profit]/dynamic[revenue], 0)</f>
        <v>0.308630575</v>
      </c>
    </row>
    <row r="700" ht="15.75" customHeight="1">
      <c r="A700" s="6">
        <v>10514.0</v>
      </c>
      <c r="B700" s="7" t="s">
        <v>24</v>
      </c>
      <c r="C700" s="24" t="str">
        <f>VLOOKUP(dynamic[customerID],customers[],2,FALSE)</f>
        <v>Ernst Handel</v>
      </c>
      <c r="D700" s="24">
        <v>45038.0</v>
      </c>
      <c r="E700" s="6">
        <f>IFERROR(__xludf.DUMMYFUNCTION("COUNTUNIQUEIFS($A$2:$A700,$B$2:$B700,B700)"),11.0)</f>
        <v>11</v>
      </c>
      <c r="F700" s="6">
        <f t="shared" si="1"/>
        <v>70</v>
      </c>
      <c r="G700" s="6" t="str">
        <f>IF(MINIFS(dynamic[orderDate], dynamic[customerID], B700) &gt;= DATE(2024,4,30)-120, 
     "New", 
     IF(MAXIFS(dynamic[orderCount], dynamic[customerID], B700)&lt;=2, 
        IF((DATE(2024,4,30) - MAXIFS(dynamic[orderDate], dynamic[customerID], B700)) &gt; 180, "Non-Returning", "Dormant"), 
        IF(AND(MAX(dynamic[sinceLastOrder]) &gt; 365, (DATE(2024,4,30) - MAXIFS(dynamic[orderDate], dynamic[customerID], B700)) &gt; 180), 
           "Dormant", "Regular")))</f>
        <v>Regular</v>
      </c>
      <c r="H700" s="6">
        <v>56.0</v>
      </c>
      <c r="I700" s="9" t="str">
        <f>VLOOKUP(dynamic[productID],products[],2,FALSE)</f>
        <v>Gnocchi di nonna Alice</v>
      </c>
      <c r="J700" s="9" t="str">
        <f>VLOOKUP(dynamic[productID],products[],12,FALSE)</f>
        <v>Grains/Cereals</v>
      </c>
      <c r="K700" s="7" t="str">
        <f>IF(VLOOKUP(dynamic[productID],products[],7,FALSE)=1,"Discontinued","Current")</f>
        <v>Current</v>
      </c>
      <c r="L700" s="9">
        <f>VLOOKUP(dynamic[productID],products[],IF(YEAR(dynamic[orderDate])=2022,8,IF(YEAR(dynamic[orderDate])=2023,9,IF(YEAR(dynamic[orderDate])=2024,10,NA))),FALSE)</f>
        <v>24.28342441</v>
      </c>
      <c r="M700" s="9">
        <v>38.0</v>
      </c>
      <c r="N700" s="25">
        <f>(dynamic[orderPrice]-dynamic[productCost])/dynamic[productCost]</f>
        <v>0.5648534309</v>
      </c>
      <c r="O700" s="10">
        <v>70.0</v>
      </c>
      <c r="P700" s="25">
        <v>0.0</v>
      </c>
      <c r="Q700" s="9">
        <f>dynamic[orderPrice]*dynamic[orderQuantity]</f>
        <v>2660</v>
      </c>
      <c r="R700" s="9">
        <f>dynamic[orderTotal]*(1-dynamic[discountApllied])</f>
        <v>2660</v>
      </c>
      <c r="S700" s="9">
        <f>dynamic[revenue]-(dynamic[productCost]*dynamic[orderQuantity])</f>
        <v>960.1602914</v>
      </c>
      <c r="T700" s="25">
        <f>IFERROR(dynamic[profit]/dynamic[revenue], 0)</f>
        <v>0.3609625156</v>
      </c>
    </row>
    <row r="701" ht="15.75" customHeight="1">
      <c r="A701" s="6">
        <v>10514.0</v>
      </c>
      <c r="B701" s="7" t="s">
        <v>24</v>
      </c>
      <c r="C701" s="24" t="str">
        <f>VLOOKUP(dynamic[customerID],customers[],2,FALSE)</f>
        <v>Ernst Handel</v>
      </c>
      <c r="D701" s="24">
        <v>45038.0</v>
      </c>
      <c r="E701" s="6">
        <f>IFERROR(__xludf.DUMMYFUNCTION("COUNTUNIQUEIFS($A$2:$A701,$B$2:$B701,B701)"),11.0)</f>
        <v>11</v>
      </c>
      <c r="F701" s="6">
        <f t="shared" si="1"/>
        <v>70</v>
      </c>
      <c r="G701" s="6" t="str">
        <f>IF(MINIFS(dynamic[orderDate], dynamic[customerID], B701) &gt;= DATE(2024,4,30)-120, 
     "New", 
     IF(MAXIFS(dynamic[orderCount], dynamic[customerID], B701)&lt;=2, 
        IF((DATE(2024,4,30) - MAXIFS(dynamic[orderDate], dynamic[customerID], B701)) &gt; 180, "Non-Returning", "Dormant"), 
        IF(AND(MAX(dynamic[sinceLastOrder]) &gt; 365, (DATE(2024,4,30) - MAXIFS(dynamic[orderDate], dynamic[customerID], B701)) &gt; 180), 
           "Dormant", "Regular")))</f>
        <v>Regular</v>
      </c>
      <c r="H701" s="6">
        <v>65.0</v>
      </c>
      <c r="I701" s="9" t="str">
        <f>VLOOKUP(dynamic[productID],products[],2,FALSE)</f>
        <v>Louisiana Fiery Hot Pepper Sauce</v>
      </c>
      <c r="J701" s="9" t="str">
        <f>VLOOKUP(dynamic[productID],products[],12,FALSE)</f>
        <v>Condiments</v>
      </c>
      <c r="K701" s="7" t="str">
        <f>IF(VLOOKUP(dynamic[productID],products[],7,FALSE)=1,"Discontinued","Current")</f>
        <v>Current</v>
      </c>
      <c r="L701" s="9">
        <f>VLOOKUP(dynamic[productID],products[],IF(YEAR(dynamic[orderDate])=2022,8,IF(YEAR(dynamic[orderDate])=2023,9,IF(YEAR(dynamic[orderDate])=2024,10,NA))),FALSE)</f>
        <v>13.21122243</v>
      </c>
      <c r="M701" s="9">
        <v>21.05</v>
      </c>
      <c r="N701" s="25">
        <f>(dynamic[orderPrice]-dynamic[productCost])/dynamic[productCost]</f>
        <v>0.593342335</v>
      </c>
      <c r="O701" s="10">
        <v>39.0</v>
      </c>
      <c r="P701" s="25">
        <v>0.0</v>
      </c>
      <c r="Q701" s="9">
        <f>dynamic[orderPrice]*dynamic[orderQuantity]</f>
        <v>820.95</v>
      </c>
      <c r="R701" s="9">
        <f>dynamic[orderTotal]*(1-dynamic[discountApllied])</f>
        <v>820.95</v>
      </c>
      <c r="S701" s="9">
        <f>dynamic[revenue]-(dynamic[productCost]*dynamic[orderQuantity])</f>
        <v>305.7123251</v>
      </c>
      <c r="T701" s="25">
        <f>IFERROR(dynamic[profit]/dynamic[revenue], 0)</f>
        <v>0.372388483</v>
      </c>
    </row>
    <row r="702" ht="15.75" customHeight="1">
      <c r="A702" s="6">
        <v>10514.0</v>
      </c>
      <c r="B702" s="7" t="s">
        <v>24</v>
      </c>
      <c r="C702" s="24" t="str">
        <f>VLOOKUP(dynamic[customerID],customers[],2,FALSE)</f>
        <v>Ernst Handel</v>
      </c>
      <c r="D702" s="24">
        <v>45038.0</v>
      </c>
      <c r="E702" s="6">
        <f>IFERROR(__xludf.DUMMYFUNCTION("COUNTUNIQUEIFS($A$2:$A702,$B$2:$B702,B702)"),11.0)</f>
        <v>11</v>
      </c>
      <c r="F702" s="6">
        <f t="shared" si="1"/>
        <v>70</v>
      </c>
      <c r="G702" s="6" t="str">
        <f>IF(MINIFS(dynamic[orderDate], dynamic[customerID], B702) &gt;= DATE(2024,4,30)-120, 
     "New", 
     IF(MAXIFS(dynamic[orderCount], dynamic[customerID], B702)&lt;=2, 
        IF((DATE(2024,4,30) - MAXIFS(dynamic[orderDate], dynamic[customerID], B702)) &gt; 180, "Non-Returning", "Dormant"), 
        IF(AND(MAX(dynamic[sinceLastOrder]) &gt; 365, (DATE(2024,4,30) - MAXIFS(dynamic[orderDate], dynamic[customerID], B702)) &gt; 180), 
           "Dormant", "Regular")))</f>
        <v>Regular</v>
      </c>
      <c r="H702" s="6">
        <v>75.0</v>
      </c>
      <c r="I702" s="9" t="str">
        <f>VLOOKUP(dynamic[productID],products[],2,FALSE)</f>
        <v>Rhönbräu Klosterbier</v>
      </c>
      <c r="J702" s="9" t="str">
        <f>VLOOKUP(dynamic[productID],products[],12,FALSE)</f>
        <v>Beverages</v>
      </c>
      <c r="K702" s="7" t="str">
        <f>IF(VLOOKUP(dynamic[productID],products[],7,FALSE)=1,"Discontinued","Current")</f>
        <v>Current</v>
      </c>
      <c r="L702" s="9">
        <f>VLOOKUP(dynamic[productID],products[],IF(YEAR(dynamic[orderDate])=2022,8,IF(YEAR(dynamic[orderDate])=2023,9,IF(YEAR(dynamic[orderDate])=2024,10,NA))),FALSE)</f>
        <v>5.355290472</v>
      </c>
      <c r="M702" s="9">
        <v>7.75</v>
      </c>
      <c r="N702" s="25">
        <f>(dynamic[orderPrice]-dynamic[productCost])/dynamic[productCost]</f>
        <v>0.4471670661</v>
      </c>
      <c r="O702" s="10">
        <v>50.0</v>
      </c>
      <c r="P702" s="25">
        <v>0.0</v>
      </c>
      <c r="Q702" s="9">
        <f>dynamic[orderPrice]*dynamic[orderQuantity]</f>
        <v>387.5</v>
      </c>
      <c r="R702" s="9">
        <f>dynamic[orderTotal]*(1-dynamic[discountApllied])</f>
        <v>387.5</v>
      </c>
      <c r="S702" s="9">
        <f>dynamic[revenue]-(dynamic[productCost]*dynamic[orderQuantity])</f>
        <v>119.7354764</v>
      </c>
      <c r="T702" s="25">
        <f>IFERROR(dynamic[profit]/dynamic[revenue], 0)</f>
        <v>0.3089947778</v>
      </c>
    </row>
    <row r="703" ht="15.75" customHeight="1">
      <c r="A703" s="6">
        <v>10515.0</v>
      </c>
      <c r="B703" s="7" t="s">
        <v>36</v>
      </c>
      <c r="C703" s="24" t="str">
        <f>VLOOKUP(dynamic[customerID],customers[],2,FALSE)</f>
        <v>QUICK-Stop</v>
      </c>
      <c r="D703" s="24">
        <v>45039.0</v>
      </c>
      <c r="E703" s="6">
        <f>IFERROR(__xludf.DUMMYFUNCTION("COUNTUNIQUEIFS($A$2:$A703,$B$2:$B703,B703)"),9.0)</f>
        <v>9</v>
      </c>
      <c r="F703" s="6">
        <f t="shared" si="1"/>
        <v>63</v>
      </c>
      <c r="G703" s="6" t="str">
        <f>IF(MINIFS(dynamic[orderDate], dynamic[customerID], B703) &gt;= DATE(2024,4,30)-120, 
     "New", 
     IF(MAXIFS(dynamic[orderCount], dynamic[customerID], B703)&lt;=2, 
        IF((DATE(2024,4,30) - MAXIFS(dynamic[orderDate], dynamic[customerID], B703)) &gt; 180, "Non-Returning", "Dormant"), 
        IF(AND(MAX(dynamic[sinceLastOrder]) &gt; 365, (DATE(2024,4,30) - MAXIFS(dynamic[orderDate], dynamic[customerID], B703)) &gt; 180), 
           "Dormant", "Regular")))</f>
        <v>Regular</v>
      </c>
      <c r="H703" s="6">
        <v>9.0</v>
      </c>
      <c r="I703" s="9" t="str">
        <f>VLOOKUP(dynamic[productID],products[],2,FALSE)</f>
        <v>Mishi Kobe Niku</v>
      </c>
      <c r="J703" s="9" t="str">
        <f>VLOOKUP(dynamic[productID],products[],12,FALSE)</f>
        <v>Meat/Poultry</v>
      </c>
      <c r="K703" s="7" t="str">
        <f>IF(VLOOKUP(dynamic[productID],products[],7,FALSE)=1,"Discontinued","Current")</f>
        <v>Discontinued</v>
      </c>
      <c r="L703" s="9">
        <f>VLOOKUP(dynamic[productID],products[],IF(YEAR(dynamic[orderDate])=2022,8,IF(YEAR(dynamic[orderDate])=2023,9,IF(YEAR(dynamic[orderDate])=2024,10,NA))),FALSE)</f>
        <v>59.95980959</v>
      </c>
      <c r="M703" s="9">
        <v>97.0</v>
      </c>
      <c r="N703" s="25">
        <f>(dynamic[orderPrice]-dynamic[productCost])/dynamic[productCost]</f>
        <v>0.6177503007</v>
      </c>
      <c r="O703" s="10">
        <v>16.0</v>
      </c>
      <c r="P703" s="25">
        <v>0.15</v>
      </c>
      <c r="Q703" s="9">
        <f>dynamic[orderPrice]*dynamic[orderQuantity]</f>
        <v>1552</v>
      </c>
      <c r="R703" s="9">
        <f>dynamic[orderTotal]*(1-dynamic[discountApllied])</f>
        <v>1319.2</v>
      </c>
      <c r="S703" s="9">
        <f>dynamic[revenue]-(dynamic[productCost]*dynamic[orderQuantity])</f>
        <v>359.8430465</v>
      </c>
      <c r="T703" s="25">
        <f>IFERROR(dynamic[profit]/dynamic[revenue], 0)</f>
        <v>0.2727736859</v>
      </c>
    </row>
    <row r="704" ht="15.75" customHeight="1">
      <c r="A704" s="6">
        <v>10515.0</v>
      </c>
      <c r="B704" s="7" t="s">
        <v>36</v>
      </c>
      <c r="C704" s="24" t="str">
        <f>VLOOKUP(dynamic[customerID],customers[],2,FALSE)</f>
        <v>QUICK-Stop</v>
      </c>
      <c r="D704" s="24">
        <v>45039.0</v>
      </c>
      <c r="E704" s="6">
        <f>IFERROR(__xludf.DUMMYFUNCTION("COUNTUNIQUEIFS($A$2:$A704,$B$2:$B704,B704)"),9.0)</f>
        <v>9</v>
      </c>
      <c r="F704" s="6">
        <f t="shared" si="1"/>
        <v>63</v>
      </c>
      <c r="G704" s="6" t="str">
        <f>IF(MINIFS(dynamic[orderDate], dynamic[customerID], B704) &gt;= DATE(2024,4,30)-120, 
     "New", 
     IF(MAXIFS(dynamic[orderCount], dynamic[customerID], B704)&lt;=2, 
        IF((DATE(2024,4,30) - MAXIFS(dynamic[orderDate], dynamic[customerID], B704)) &gt; 180, "Non-Returning", "Dormant"), 
        IF(AND(MAX(dynamic[sinceLastOrder]) &gt; 365, (DATE(2024,4,30) - MAXIFS(dynamic[orderDate], dynamic[customerID], B704)) &gt; 180), 
           "Dormant", "Regular")))</f>
        <v>Regular</v>
      </c>
      <c r="H704" s="6">
        <v>16.0</v>
      </c>
      <c r="I704" s="9" t="str">
        <f>VLOOKUP(dynamic[productID],products[],2,FALSE)</f>
        <v>Pavlova</v>
      </c>
      <c r="J704" s="9" t="str">
        <f>VLOOKUP(dynamic[productID],products[],12,FALSE)</f>
        <v>Confections</v>
      </c>
      <c r="K704" s="7" t="str">
        <f>IF(VLOOKUP(dynamic[productID],products[],7,FALSE)=1,"Discontinued","Current")</f>
        <v>Current</v>
      </c>
      <c r="L704" s="9">
        <f>VLOOKUP(dynamic[productID],products[],IF(YEAR(dynamic[orderDate])=2022,8,IF(YEAR(dynamic[orderDate])=2023,9,IF(YEAR(dynamic[orderDate])=2024,10,NA))),FALSE)</f>
        <v>11.98504839</v>
      </c>
      <c r="M704" s="9">
        <v>17.45</v>
      </c>
      <c r="N704" s="25">
        <f>(dynamic[orderPrice]-dynamic[productCost])/dynamic[productCost]</f>
        <v>0.455980771</v>
      </c>
      <c r="O704" s="10">
        <v>50.0</v>
      </c>
      <c r="P704" s="25">
        <v>0.0</v>
      </c>
      <c r="Q704" s="9">
        <f>dynamic[orderPrice]*dynamic[orderQuantity]</f>
        <v>872.5</v>
      </c>
      <c r="R704" s="9">
        <f>dynamic[orderTotal]*(1-dynamic[discountApllied])</f>
        <v>872.5</v>
      </c>
      <c r="S704" s="9">
        <f>dynamic[revenue]-(dynamic[productCost]*dynamic[orderQuantity])</f>
        <v>273.2475804</v>
      </c>
      <c r="T704" s="25">
        <f>IFERROR(dynamic[profit]/dynamic[revenue], 0)</f>
        <v>0.3131777425</v>
      </c>
    </row>
    <row r="705" ht="15.75" customHeight="1">
      <c r="A705" s="6">
        <v>10515.0</v>
      </c>
      <c r="B705" s="7" t="s">
        <v>36</v>
      </c>
      <c r="C705" s="24" t="str">
        <f>VLOOKUP(dynamic[customerID],customers[],2,FALSE)</f>
        <v>QUICK-Stop</v>
      </c>
      <c r="D705" s="24">
        <v>45039.0</v>
      </c>
      <c r="E705" s="6">
        <f>IFERROR(__xludf.DUMMYFUNCTION("COUNTUNIQUEIFS($A$2:$A705,$B$2:$B705,B705)"),9.0)</f>
        <v>9</v>
      </c>
      <c r="F705" s="6">
        <f t="shared" si="1"/>
        <v>63</v>
      </c>
      <c r="G705" s="6" t="str">
        <f>IF(MINIFS(dynamic[orderDate], dynamic[customerID], B705) &gt;= DATE(2024,4,30)-120, 
     "New", 
     IF(MAXIFS(dynamic[orderCount], dynamic[customerID], B705)&lt;=2, 
        IF((DATE(2024,4,30) - MAXIFS(dynamic[orderDate], dynamic[customerID], B705)) &gt; 180, "Non-Returning", "Dormant"), 
        IF(AND(MAX(dynamic[sinceLastOrder]) &gt; 365, (DATE(2024,4,30) - MAXIFS(dynamic[orderDate], dynamic[customerID], B705)) &gt; 180), 
           "Dormant", "Regular")))</f>
        <v>Regular</v>
      </c>
      <c r="H705" s="6">
        <v>27.0</v>
      </c>
      <c r="I705" s="9" t="str">
        <f>VLOOKUP(dynamic[productID],products[],2,FALSE)</f>
        <v>Schoggi Schokolade</v>
      </c>
      <c r="J705" s="9" t="str">
        <f>VLOOKUP(dynamic[productID],products[],12,FALSE)</f>
        <v>Confections</v>
      </c>
      <c r="K705" s="7" t="str">
        <f>IF(VLOOKUP(dynamic[productID],products[],7,FALSE)=1,"Discontinued","Current")</f>
        <v>Current</v>
      </c>
      <c r="L705" s="9">
        <f>VLOOKUP(dynamic[productID],products[],IF(YEAR(dynamic[orderDate])=2022,8,IF(YEAR(dynamic[orderDate])=2023,9,IF(YEAR(dynamic[orderDate])=2024,10,NA))),FALSE)</f>
        <v>32.29103982</v>
      </c>
      <c r="M705" s="9">
        <v>43.9</v>
      </c>
      <c r="N705" s="25">
        <f>(dynamic[orderPrice]-dynamic[productCost])/dynamic[productCost]</f>
        <v>0.3595102619</v>
      </c>
      <c r="O705" s="10">
        <v>120.0</v>
      </c>
      <c r="P705" s="25">
        <v>0.0</v>
      </c>
      <c r="Q705" s="9">
        <f>dynamic[orderPrice]*dynamic[orderQuantity]</f>
        <v>5268</v>
      </c>
      <c r="R705" s="9">
        <f>dynamic[orderTotal]*(1-dynamic[discountApllied])</f>
        <v>5268</v>
      </c>
      <c r="S705" s="9">
        <f>dynamic[revenue]-(dynamic[productCost]*dynamic[orderQuantity])</f>
        <v>1393.075222</v>
      </c>
      <c r="T705" s="25">
        <f>IFERROR(dynamic[profit]/dynamic[revenue], 0)</f>
        <v>0.2644410064</v>
      </c>
    </row>
    <row r="706" ht="15.75" customHeight="1">
      <c r="A706" s="6">
        <v>10515.0</v>
      </c>
      <c r="B706" s="7" t="s">
        <v>36</v>
      </c>
      <c r="C706" s="24" t="str">
        <f>VLOOKUP(dynamic[customerID],customers[],2,FALSE)</f>
        <v>QUICK-Stop</v>
      </c>
      <c r="D706" s="24">
        <v>45039.0</v>
      </c>
      <c r="E706" s="6">
        <f>IFERROR(__xludf.DUMMYFUNCTION("COUNTUNIQUEIFS($A$2:$A706,$B$2:$B706,B706)"),9.0)</f>
        <v>9</v>
      </c>
      <c r="F706" s="6">
        <f t="shared" si="1"/>
        <v>63</v>
      </c>
      <c r="G706" s="6" t="str">
        <f>IF(MINIFS(dynamic[orderDate], dynamic[customerID], B706) &gt;= DATE(2024,4,30)-120, 
     "New", 
     IF(MAXIFS(dynamic[orderCount], dynamic[customerID], B706)&lt;=2, 
        IF((DATE(2024,4,30) - MAXIFS(dynamic[orderDate], dynamic[customerID], B706)) &gt; 180, "Non-Returning", "Dormant"), 
        IF(AND(MAX(dynamic[sinceLastOrder]) &gt; 365, (DATE(2024,4,30) - MAXIFS(dynamic[orderDate], dynamic[customerID], B706)) &gt; 180), 
           "Dormant", "Regular")))</f>
        <v>Regular</v>
      </c>
      <c r="H706" s="6">
        <v>33.0</v>
      </c>
      <c r="I706" s="9" t="str">
        <f>VLOOKUP(dynamic[productID],products[],2,FALSE)</f>
        <v>Geitost</v>
      </c>
      <c r="J706" s="9" t="str">
        <f>VLOOKUP(dynamic[productID],products[],12,FALSE)</f>
        <v>Dairy Products</v>
      </c>
      <c r="K706" s="7" t="str">
        <f>IF(VLOOKUP(dynamic[productID],products[],7,FALSE)=1,"Discontinued","Current")</f>
        <v>Current</v>
      </c>
      <c r="L706" s="9">
        <f>VLOOKUP(dynamic[productID],products[],IF(YEAR(dynamic[orderDate])=2022,8,IF(YEAR(dynamic[orderDate])=2023,9,IF(YEAR(dynamic[orderDate])=2024,10,NA))),FALSE)</f>
        <v>1.559072298</v>
      </c>
      <c r="M706" s="9">
        <v>2.5</v>
      </c>
      <c r="N706" s="25">
        <f>(dynamic[orderPrice]-dynamic[productCost])/dynamic[productCost]</f>
        <v>0.603517684</v>
      </c>
      <c r="O706" s="10">
        <v>16.0</v>
      </c>
      <c r="P706" s="25">
        <v>0.15</v>
      </c>
      <c r="Q706" s="9">
        <f>dynamic[orderPrice]*dynamic[orderQuantity]</f>
        <v>40</v>
      </c>
      <c r="R706" s="9">
        <f>dynamic[orderTotal]*(1-dynamic[discountApllied])</f>
        <v>34</v>
      </c>
      <c r="S706" s="9">
        <f>dynamic[revenue]-(dynamic[productCost]*dynamic[orderQuantity])</f>
        <v>9.054843237</v>
      </c>
      <c r="T706" s="25">
        <f>IFERROR(dynamic[profit]/dynamic[revenue], 0)</f>
        <v>0.2663189187</v>
      </c>
    </row>
    <row r="707" ht="15.75" customHeight="1">
      <c r="A707" s="6">
        <v>10515.0</v>
      </c>
      <c r="B707" s="7" t="s">
        <v>36</v>
      </c>
      <c r="C707" s="24" t="str">
        <f>VLOOKUP(dynamic[customerID],customers[],2,FALSE)</f>
        <v>QUICK-Stop</v>
      </c>
      <c r="D707" s="24">
        <v>45039.0</v>
      </c>
      <c r="E707" s="6">
        <f>IFERROR(__xludf.DUMMYFUNCTION("COUNTUNIQUEIFS($A$2:$A707,$B$2:$B707,B707)"),9.0)</f>
        <v>9</v>
      </c>
      <c r="F707" s="6">
        <f t="shared" si="1"/>
        <v>63</v>
      </c>
      <c r="G707" s="6" t="str">
        <f>IF(MINIFS(dynamic[orderDate], dynamic[customerID], B707) &gt;= DATE(2024,4,30)-120, 
     "New", 
     IF(MAXIFS(dynamic[orderCount], dynamic[customerID], B707)&lt;=2, 
        IF((DATE(2024,4,30) - MAXIFS(dynamic[orderDate], dynamic[customerID], B707)) &gt; 180, "Non-Returning", "Dormant"), 
        IF(AND(MAX(dynamic[sinceLastOrder]) &gt; 365, (DATE(2024,4,30) - MAXIFS(dynamic[orderDate], dynamic[customerID], B707)) &gt; 180), 
           "Dormant", "Regular")))</f>
        <v>Regular</v>
      </c>
      <c r="H707" s="6">
        <v>60.0</v>
      </c>
      <c r="I707" s="9" t="str">
        <f>VLOOKUP(dynamic[productID],products[],2,FALSE)</f>
        <v>Camembert Pierrot</v>
      </c>
      <c r="J707" s="9" t="str">
        <f>VLOOKUP(dynamic[productID],products[],12,FALSE)</f>
        <v>Dairy Products</v>
      </c>
      <c r="K707" s="7" t="str">
        <f>IF(VLOOKUP(dynamic[productID],products[],7,FALSE)=1,"Discontinued","Current")</f>
        <v>Current</v>
      </c>
      <c r="L707" s="9">
        <f>VLOOKUP(dynamic[productID],products[],IF(YEAR(dynamic[orderDate])=2022,8,IF(YEAR(dynamic[orderDate])=2023,9,IF(YEAR(dynamic[orderDate])=2024,10,NA))),FALSE)</f>
        <v>22.77098295</v>
      </c>
      <c r="M707" s="9">
        <v>34.0</v>
      </c>
      <c r="N707" s="25">
        <f>(dynamic[orderPrice]-dynamic[productCost])/dynamic[productCost]</f>
        <v>0.4931283415</v>
      </c>
      <c r="O707" s="10">
        <v>84.0</v>
      </c>
      <c r="P707" s="25">
        <v>0.15</v>
      </c>
      <c r="Q707" s="9">
        <f>dynamic[orderPrice]*dynamic[orderQuantity]</f>
        <v>2856</v>
      </c>
      <c r="R707" s="9">
        <f>dynamic[orderTotal]*(1-dynamic[discountApllied])</f>
        <v>2427.6</v>
      </c>
      <c r="S707" s="9">
        <f>dynamic[revenue]-(dynamic[productCost]*dynamic[orderQuantity])</f>
        <v>514.8374325</v>
      </c>
      <c r="T707" s="25">
        <f>IFERROR(dynamic[profit]/dynamic[revenue], 0)</f>
        <v>0.2120767147</v>
      </c>
    </row>
    <row r="708" ht="15.75" customHeight="1">
      <c r="A708" s="6">
        <v>10516.0</v>
      </c>
      <c r="B708" s="7" t="s">
        <v>49</v>
      </c>
      <c r="C708" s="24" t="str">
        <f>VLOOKUP(dynamic[customerID],customers[],2,FALSE)</f>
        <v>Hungry Owl All-Night Grocers</v>
      </c>
      <c r="D708" s="24">
        <v>45040.0</v>
      </c>
      <c r="E708" s="6">
        <f>IFERROR(__xludf.DUMMYFUNCTION("COUNTUNIQUEIFS($A$2:$A708,$B$2:$B708,B708)"),8.0)</f>
        <v>8</v>
      </c>
      <c r="F708" s="6">
        <f t="shared" si="1"/>
        <v>13</v>
      </c>
      <c r="G708" s="6" t="str">
        <f>IF(MINIFS(dynamic[orderDate], dynamic[customerID], B708) &gt;= DATE(2024,4,30)-120, 
     "New", 
     IF(MAXIFS(dynamic[orderCount], dynamic[customerID], B708)&lt;=2, 
        IF((DATE(2024,4,30) - MAXIFS(dynamic[orderDate], dynamic[customerID], B708)) &gt; 180, "Non-Returning", "Dormant"), 
        IF(AND(MAX(dynamic[sinceLastOrder]) &gt; 365, (DATE(2024,4,30) - MAXIFS(dynamic[orderDate], dynamic[customerID], B708)) &gt; 180), 
           "Dormant", "Regular")))</f>
        <v>Regular</v>
      </c>
      <c r="H708" s="6">
        <v>18.0</v>
      </c>
      <c r="I708" s="9" t="str">
        <f>VLOOKUP(dynamic[productID],products[],2,FALSE)</f>
        <v>Carnarvon Tigers</v>
      </c>
      <c r="J708" s="9" t="str">
        <f>VLOOKUP(dynamic[productID],products[],12,FALSE)</f>
        <v>Seafood</v>
      </c>
      <c r="K708" s="7" t="str">
        <f>IF(VLOOKUP(dynamic[productID],products[],7,FALSE)=1,"Discontinued","Current")</f>
        <v>Current</v>
      </c>
      <c r="L708" s="9">
        <f>VLOOKUP(dynamic[productID],products[],IF(YEAR(dynamic[orderDate])=2022,8,IF(YEAR(dynamic[orderDate])=2023,9,IF(YEAR(dynamic[orderDate])=2024,10,NA))),FALSE)</f>
        <v>39.51966651</v>
      </c>
      <c r="M708" s="9">
        <v>62.5</v>
      </c>
      <c r="N708" s="25">
        <f>(dynamic[orderPrice]-dynamic[productCost])/dynamic[productCost]</f>
        <v>0.5814910784</v>
      </c>
      <c r="O708" s="10">
        <v>25.0</v>
      </c>
      <c r="P708" s="25">
        <v>0.1</v>
      </c>
      <c r="Q708" s="9">
        <f>dynamic[orderPrice]*dynamic[orderQuantity]</f>
        <v>1562.5</v>
      </c>
      <c r="R708" s="9">
        <f>dynamic[orderTotal]*(1-dynamic[discountApllied])</f>
        <v>1406.25</v>
      </c>
      <c r="S708" s="9">
        <f>dynamic[revenue]-(dynamic[productCost]*dynamic[orderQuantity])</f>
        <v>418.2583373</v>
      </c>
      <c r="T708" s="25">
        <f>IFERROR(dynamic[profit]/dynamic[revenue], 0)</f>
        <v>0.297428151</v>
      </c>
    </row>
    <row r="709" ht="15.75" customHeight="1">
      <c r="A709" s="6">
        <v>10516.0</v>
      </c>
      <c r="B709" s="7" t="s">
        <v>49</v>
      </c>
      <c r="C709" s="24" t="str">
        <f>VLOOKUP(dynamic[customerID],customers[],2,FALSE)</f>
        <v>Hungry Owl All-Night Grocers</v>
      </c>
      <c r="D709" s="24">
        <v>45040.0</v>
      </c>
      <c r="E709" s="6">
        <f>IFERROR(__xludf.DUMMYFUNCTION("COUNTUNIQUEIFS($A$2:$A709,$B$2:$B709,B709)"),8.0)</f>
        <v>8</v>
      </c>
      <c r="F709" s="6">
        <f t="shared" si="1"/>
        <v>13</v>
      </c>
      <c r="G709" s="6" t="str">
        <f>IF(MINIFS(dynamic[orderDate], dynamic[customerID], B709) &gt;= DATE(2024,4,30)-120, 
     "New", 
     IF(MAXIFS(dynamic[orderCount], dynamic[customerID], B709)&lt;=2, 
        IF((DATE(2024,4,30) - MAXIFS(dynamic[orderDate], dynamic[customerID], B709)) &gt; 180, "Non-Returning", "Dormant"), 
        IF(AND(MAX(dynamic[sinceLastOrder]) &gt; 365, (DATE(2024,4,30) - MAXIFS(dynamic[orderDate], dynamic[customerID], B709)) &gt; 180), 
           "Dormant", "Regular")))</f>
        <v>Regular</v>
      </c>
      <c r="H709" s="6">
        <v>41.0</v>
      </c>
      <c r="I709" s="9" t="str">
        <f>VLOOKUP(dynamic[productID],products[],2,FALSE)</f>
        <v>Jack's New England Clam Chowder</v>
      </c>
      <c r="J709" s="9" t="str">
        <f>VLOOKUP(dynamic[productID],products[],12,FALSE)</f>
        <v>Seafood</v>
      </c>
      <c r="K709" s="7" t="str">
        <f>IF(VLOOKUP(dynamic[productID],products[],7,FALSE)=1,"Discontinued","Current")</f>
        <v>Current</v>
      </c>
      <c r="L709" s="9">
        <f>VLOOKUP(dynamic[productID],products[],IF(YEAR(dynamic[orderDate])=2022,8,IF(YEAR(dynamic[orderDate])=2023,9,IF(YEAR(dynamic[orderDate])=2024,10,NA))),FALSE)</f>
        <v>6.549914856</v>
      </c>
      <c r="M709" s="9">
        <v>9.65</v>
      </c>
      <c r="N709" s="25">
        <f>(dynamic[orderPrice]-dynamic[productCost])/dynamic[productCost]</f>
        <v>0.4733015943</v>
      </c>
      <c r="O709" s="10">
        <v>80.0</v>
      </c>
      <c r="P709" s="25">
        <v>0.1</v>
      </c>
      <c r="Q709" s="9">
        <f>dynamic[orderPrice]*dynamic[orderQuantity]</f>
        <v>772</v>
      </c>
      <c r="R709" s="9">
        <f>dynamic[orderTotal]*(1-dynamic[discountApllied])</f>
        <v>694.8</v>
      </c>
      <c r="S709" s="9">
        <f>dynamic[revenue]-(dynamic[productCost]*dynamic[orderQuantity])</f>
        <v>170.8068115</v>
      </c>
      <c r="T709" s="25">
        <f>IFERROR(dynamic[profit]/dynamic[revenue], 0)</f>
        <v>0.2458359406</v>
      </c>
    </row>
    <row r="710" ht="15.75" customHeight="1">
      <c r="A710" s="6">
        <v>10516.0</v>
      </c>
      <c r="B710" s="7" t="s">
        <v>49</v>
      </c>
      <c r="C710" s="24" t="str">
        <f>VLOOKUP(dynamic[customerID],customers[],2,FALSE)</f>
        <v>Hungry Owl All-Night Grocers</v>
      </c>
      <c r="D710" s="24">
        <v>45040.0</v>
      </c>
      <c r="E710" s="6">
        <f>IFERROR(__xludf.DUMMYFUNCTION("COUNTUNIQUEIFS($A$2:$A710,$B$2:$B710,B710)"),8.0)</f>
        <v>8</v>
      </c>
      <c r="F710" s="6">
        <f t="shared" si="1"/>
        <v>13</v>
      </c>
      <c r="G710" s="6" t="str">
        <f>IF(MINIFS(dynamic[orderDate], dynamic[customerID], B710) &gt;= DATE(2024,4,30)-120, 
     "New", 
     IF(MAXIFS(dynamic[orderCount], dynamic[customerID], B710)&lt;=2, 
        IF((DATE(2024,4,30) - MAXIFS(dynamic[orderDate], dynamic[customerID], B710)) &gt; 180, "Non-Returning", "Dormant"), 
        IF(AND(MAX(dynamic[sinceLastOrder]) &gt; 365, (DATE(2024,4,30) - MAXIFS(dynamic[orderDate], dynamic[customerID], B710)) &gt; 180), 
           "Dormant", "Regular")))</f>
        <v>Regular</v>
      </c>
      <c r="H710" s="6">
        <v>42.0</v>
      </c>
      <c r="I710" s="9" t="str">
        <f>VLOOKUP(dynamic[productID],products[],2,FALSE)</f>
        <v>Singaporean Hokkien Fried Mee</v>
      </c>
      <c r="J710" s="9" t="str">
        <f>VLOOKUP(dynamic[productID],products[],12,FALSE)</f>
        <v>Grains/Cereals</v>
      </c>
      <c r="K710" s="7" t="str">
        <f>IF(VLOOKUP(dynamic[productID],products[],7,FALSE)=1,"Discontinued","Current")</f>
        <v>Discontinued</v>
      </c>
      <c r="L710" s="9">
        <f>VLOOKUP(dynamic[productID],products[],IF(YEAR(dynamic[orderDate])=2022,8,IF(YEAR(dynamic[orderDate])=2023,9,IF(YEAR(dynamic[orderDate])=2024,10,NA))),FALSE)</f>
        <v>9.105641621</v>
      </c>
      <c r="M710" s="9">
        <v>14.0</v>
      </c>
      <c r="N710" s="25">
        <f>(dynamic[orderPrice]-dynamic[productCost])/dynamic[productCost]</f>
        <v>0.5375083474</v>
      </c>
      <c r="O710" s="10">
        <v>20.0</v>
      </c>
      <c r="P710" s="25">
        <v>0.0</v>
      </c>
      <c r="Q710" s="9">
        <f>dynamic[orderPrice]*dynamic[orderQuantity]</f>
        <v>280</v>
      </c>
      <c r="R710" s="9">
        <f>dynamic[orderTotal]*(1-dynamic[discountApllied])</f>
        <v>280</v>
      </c>
      <c r="S710" s="9">
        <f>dynamic[revenue]-(dynamic[productCost]*dynamic[orderQuantity])</f>
        <v>97.88716758</v>
      </c>
      <c r="T710" s="25">
        <f>IFERROR(dynamic[profit]/dynamic[revenue], 0)</f>
        <v>0.3495970271</v>
      </c>
    </row>
    <row r="711" ht="15.75" customHeight="1">
      <c r="A711" s="6">
        <v>10517.0</v>
      </c>
      <c r="B711" s="7" t="s">
        <v>92</v>
      </c>
      <c r="C711" s="24" t="str">
        <f>VLOOKUP(dynamic[customerID],customers[],2,FALSE)</f>
        <v>North/South</v>
      </c>
      <c r="D711" s="24">
        <v>45040.0</v>
      </c>
      <c r="E711" s="6">
        <f>IFERROR(__xludf.DUMMYFUNCTION("COUNTUNIQUEIFS($A$2:$A711,$B$2:$B711,B711)"),1.0)</f>
        <v>1</v>
      </c>
      <c r="F711" s="6">
        <f t="shared" si="1"/>
        <v>0</v>
      </c>
      <c r="G711" s="6" t="str">
        <f>IF(MINIFS(dynamic[orderDate], dynamic[customerID], B711) &gt;= DATE(2024,4,30)-120, 
     "New", 
     IF(MAXIFS(dynamic[orderCount], dynamic[customerID], B711)&lt;=2, 
        IF((DATE(2024,4,30) - MAXIFS(dynamic[orderDate], dynamic[customerID], B711)) &gt; 180, "Non-Returning", "Dormant"), 
        IF(AND(MAX(dynamic[sinceLastOrder]) &gt; 365, (DATE(2024,4,30) - MAXIFS(dynamic[orderDate], dynamic[customerID], B711)) &gt; 180), 
           "Dormant", "Regular")))</f>
        <v>Regular</v>
      </c>
      <c r="H711" s="6">
        <v>52.0</v>
      </c>
      <c r="I711" s="9" t="str">
        <f>VLOOKUP(dynamic[productID],products[],2,FALSE)</f>
        <v>Filo Mix</v>
      </c>
      <c r="J711" s="9" t="str">
        <f>VLOOKUP(dynamic[productID],products[],12,FALSE)</f>
        <v>Grains/Cereals</v>
      </c>
      <c r="K711" s="7" t="str">
        <f>IF(VLOOKUP(dynamic[productID],products[],7,FALSE)=1,"Discontinued","Current")</f>
        <v>Current</v>
      </c>
      <c r="L711" s="9">
        <f>VLOOKUP(dynamic[productID],products[],IF(YEAR(dynamic[orderDate])=2022,8,IF(YEAR(dynamic[orderDate])=2023,9,IF(YEAR(dynamic[orderDate])=2024,10,NA))),FALSE)</f>
        <v>5.001706713</v>
      </c>
      <c r="M711" s="9">
        <v>7.0</v>
      </c>
      <c r="N711" s="25">
        <f>(dynamic[orderPrice]-dynamic[productCost])/dynamic[productCost]</f>
        <v>0.3995222835</v>
      </c>
      <c r="O711" s="10">
        <v>6.0</v>
      </c>
      <c r="P711" s="25">
        <v>0.0</v>
      </c>
      <c r="Q711" s="9">
        <f>dynamic[orderPrice]*dynamic[orderQuantity]</f>
        <v>42</v>
      </c>
      <c r="R711" s="9">
        <f>dynamic[orderTotal]*(1-dynamic[discountApllied])</f>
        <v>42</v>
      </c>
      <c r="S711" s="9">
        <f>dynamic[revenue]-(dynamic[productCost]*dynamic[orderQuantity])</f>
        <v>11.98975972</v>
      </c>
      <c r="T711" s="25">
        <f>IFERROR(dynamic[profit]/dynamic[revenue], 0)</f>
        <v>0.2854704696</v>
      </c>
    </row>
    <row r="712" ht="15.75" customHeight="1">
      <c r="A712" s="6">
        <v>10517.0</v>
      </c>
      <c r="B712" s="7" t="s">
        <v>92</v>
      </c>
      <c r="C712" s="24" t="str">
        <f>VLOOKUP(dynamic[customerID],customers[],2,FALSE)</f>
        <v>North/South</v>
      </c>
      <c r="D712" s="24">
        <v>45040.0</v>
      </c>
      <c r="E712" s="6">
        <f>IFERROR(__xludf.DUMMYFUNCTION("COUNTUNIQUEIFS($A$2:$A712,$B$2:$B712,B712)"),1.0)</f>
        <v>1</v>
      </c>
      <c r="F712" s="6">
        <f t="shared" si="1"/>
        <v>0</v>
      </c>
      <c r="G712" s="6" t="str">
        <f>IF(MINIFS(dynamic[orderDate], dynamic[customerID], B712) &gt;= DATE(2024,4,30)-120, 
     "New", 
     IF(MAXIFS(dynamic[orderCount], dynamic[customerID], B712)&lt;=2, 
        IF((DATE(2024,4,30) - MAXIFS(dynamic[orderDate], dynamic[customerID], B712)) &gt; 180, "Non-Returning", "Dormant"), 
        IF(AND(MAX(dynamic[sinceLastOrder]) &gt; 365, (DATE(2024,4,30) - MAXIFS(dynamic[orderDate], dynamic[customerID], B712)) &gt; 180), 
           "Dormant", "Regular")))</f>
        <v>Regular</v>
      </c>
      <c r="H712" s="6">
        <v>59.0</v>
      </c>
      <c r="I712" s="9" t="str">
        <f>VLOOKUP(dynamic[productID],products[],2,FALSE)</f>
        <v>Raclette Courdavault</v>
      </c>
      <c r="J712" s="9" t="str">
        <f>VLOOKUP(dynamic[productID],products[],12,FALSE)</f>
        <v>Dairy Products</v>
      </c>
      <c r="K712" s="7" t="str">
        <f>IF(VLOOKUP(dynamic[productID],products[],7,FALSE)=1,"Discontinued","Current")</f>
        <v>Current</v>
      </c>
      <c r="L712" s="9">
        <f>VLOOKUP(dynamic[productID],products[],IF(YEAR(dynamic[orderDate])=2022,8,IF(YEAR(dynamic[orderDate])=2023,9,IF(YEAR(dynamic[orderDate])=2024,10,NA))),FALSE)</f>
        <v>35.20472566</v>
      </c>
      <c r="M712" s="9">
        <v>55.0</v>
      </c>
      <c r="N712" s="25">
        <f>(dynamic[orderPrice]-dynamic[productCost])/dynamic[productCost]</f>
        <v>0.5622902598</v>
      </c>
      <c r="O712" s="10">
        <v>4.0</v>
      </c>
      <c r="P712" s="25">
        <v>0.0</v>
      </c>
      <c r="Q712" s="9">
        <f>dynamic[orderPrice]*dynamic[orderQuantity]</f>
        <v>220</v>
      </c>
      <c r="R712" s="9">
        <f>dynamic[orderTotal]*(1-dynamic[discountApllied])</f>
        <v>220</v>
      </c>
      <c r="S712" s="9">
        <f>dynamic[revenue]-(dynamic[productCost]*dynamic[orderQuantity])</f>
        <v>79.18109735</v>
      </c>
      <c r="T712" s="25">
        <f>IFERROR(dynamic[profit]/dynamic[revenue], 0)</f>
        <v>0.3599140789</v>
      </c>
    </row>
    <row r="713" ht="15.75" customHeight="1">
      <c r="A713" s="6">
        <v>10517.0</v>
      </c>
      <c r="B713" s="7" t="s">
        <v>92</v>
      </c>
      <c r="C713" s="24" t="str">
        <f>VLOOKUP(dynamic[customerID],customers[],2,FALSE)</f>
        <v>North/South</v>
      </c>
      <c r="D713" s="24">
        <v>45040.0</v>
      </c>
      <c r="E713" s="6">
        <f>IFERROR(__xludf.DUMMYFUNCTION("COUNTUNIQUEIFS($A$2:$A713,$B$2:$B713,B713)"),1.0)</f>
        <v>1</v>
      </c>
      <c r="F713" s="6">
        <f t="shared" si="1"/>
        <v>0</v>
      </c>
      <c r="G713" s="6" t="str">
        <f>IF(MINIFS(dynamic[orderDate], dynamic[customerID], B713) &gt;= DATE(2024,4,30)-120, 
     "New", 
     IF(MAXIFS(dynamic[orderCount], dynamic[customerID], B713)&lt;=2, 
        IF((DATE(2024,4,30) - MAXIFS(dynamic[orderDate], dynamic[customerID], B713)) &gt; 180, "Non-Returning", "Dormant"), 
        IF(AND(MAX(dynamic[sinceLastOrder]) &gt; 365, (DATE(2024,4,30) - MAXIFS(dynamic[orderDate], dynamic[customerID], B713)) &gt; 180), 
           "Dormant", "Regular")))</f>
        <v>Regular</v>
      </c>
      <c r="H713" s="6">
        <v>70.0</v>
      </c>
      <c r="I713" s="9" t="str">
        <f>VLOOKUP(dynamic[productID],products[],2,FALSE)</f>
        <v>Outback Lager</v>
      </c>
      <c r="J713" s="9" t="str">
        <f>VLOOKUP(dynamic[productID],products[],12,FALSE)</f>
        <v>Beverages</v>
      </c>
      <c r="K713" s="7" t="str">
        <f>IF(VLOOKUP(dynamic[productID],products[],7,FALSE)=1,"Discontinued","Current")</f>
        <v>Current</v>
      </c>
      <c r="L713" s="9">
        <f>VLOOKUP(dynamic[productID],products[],IF(YEAR(dynamic[orderDate])=2022,8,IF(YEAR(dynamic[orderDate])=2023,9,IF(YEAR(dynamic[orderDate])=2024,10,NA))),FALSE)</f>
        <v>9.793094091</v>
      </c>
      <c r="M713" s="9">
        <v>15.0</v>
      </c>
      <c r="N713" s="25">
        <f>(dynamic[orderPrice]-dynamic[productCost])/dynamic[productCost]</f>
        <v>0.5316916044</v>
      </c>
      <c r="O713" s="10">
        <v>6.0</v>
      </c>
      <c r="P713" s="25">
        <v>0.0</v>
      </c>
      <c r="Q713" s="9">
        <f>dynamic[orderPrice]*dynamic[orderQuantity]</f>
        <v>90</v>
      </c>
      <c r="R713" s="9">
        <f>dynamic[orderTotal]*(1-dynamic[discountApllied])</f>
        <v>90</v>
      </c>
      <c r="S713" s="9">
        <f>dynamic[revenue]-(dynamic[productCost]*dynamic[orderQuantity])</f>
        <v>31.24143545</v>
      </c>
      <c r="T713" s="25">
        <f>IFERROR(dynamic[profit]/dynamic[revenue], 0)</f>
        <v>0.3471270606</v>
      </c>
    </row>
    <row r="714" ht="15.75" customHeight="1">
      <c r="A714" s="6">
        <v>10518.0</v>
      </c>
      <c r="B714" s="7" t="s">
        <v>38</v>
      </c>
      <c r="C714" s="24" t="str">
        <f>VLOOKUP(dynamic[customerID],customers[],2,FALSE)</f>
        <v>Tortuga Restaurante</v>
      </c>
      <c r="D714" s="24">
        <v>45041.0</v>
      </c>
      <c r="E714" s="6">
        <f>IFERROR(__xludf.DUMMYFUNCTION("COUNTUNIQUEIFS($A$2:$A714,$B$2:$B714,B714)"),5.0)</f>
        <v>5</v>
      </c>
      <c r="F714" s="6">
        <f t="shared" si="1"/>
        <v>205</v>
      </c>
      <c r="G714" s="6" t="str">
        <f>IF(MINIFS(dynamic[orderDate], dynamic[customerID], B714) &gt;= DATE(2024,4,30)-120, 
     "New", 
     IF(MAXIFS(dynamic[orderCount], dynamic[customerID], B714)&lt;=2, 
        IF((DATE(2024,4,30) - MAXIFS(dynamic[orderDate], dynamic[customerID], B714)) &gt; 180, "Non-Returning", "Dormant"), 
        IF(AND(MAX(dynamic[sinceLastOrder]) &gt; 365, (DATE(2024,4,30) - MAXIFS(dynamic[orderDate], dynamic[customerID], B714)) &gt; 180), 
           "Dormant", "Regular")))</f>
        <v>Regular</v>
      </c>
      <c r="H714" s="6">
        <v>24.0</v>
      </c>
      <c r="I714" s="9" t="str">
        <f>VLOOKUP(dynamic[productID],products[],2,FALSE)</f>
        <v>Brigadeiros Maravilhosos da Lilian</v>
      </c>
      <c r="J714" s="9" t="str">
        <f>VLOOKUP(dynamic[productID],products[],12,FALSE)</f>
        <v>Confections</v>
      </c>
      <c r="K714" s="7" t="str">
        <f>IF(VLOOKUP(dynamic[productID],products[],7,FALSE)=1,"Discontinued","Current")</f>
        <v>Discontinued</v>
      </c>
      <c r="L714" s="9">
        <f>VLOOKUP(dynamic[productID],products[],IF(YEAR(dynamic[orderDate])=2022,8,IF(YEAR(dynamic[orderDate])=2023,9,IF(YEAR(dynamic[orderDate])=2024,10,NA))),FALSE)</f>
        <v>3.131783363</v>
      </c>
      <c r="M714" s="9">
        <v>4.5</v>
      </c>
      <c r="N714" s="25">
        <f>(dynamic[orderPrice]-dynamic[productCost])/dynamic[productCost]</f>
        <v>0.4368809967</v>
      </c>
      <c r="O714" s="10">
        <v>5.0</v>
      </c>
      <c r="P714" s="25">
        <v>0.0</v>
      </c>
      <c r="Q714" s="9">
        <f>dynamic[orderPrice]*dynamic[orderQuantity]</f>
        <v>22.5</v>
      </c>
      <c r="R714" s="9">
        <f>dynamic[orderTotal]*(1-dynamic[discountApllied])</f>
        <v>22.5</v>
      </c>
      <c r="S714" s="9">
        <f>dynamic[revenue]-(dynamic[productCost]*dynamic[orderQuantity])</f>
        <v>6.841083185</v>
      </c>
      <c r="T714" s="25">
        <f>IFERROR(dynamic[profit]/dynamic[revenue], 0)</f>
        <v>0.3040481416</v>
      </c>
    </row>
    <row r="715" ht="15.75" customHeight="1">
      <c r="A715" s="6">
        <v>10518.0</v>
      </c>
      <c r="B715" s="7" t="s">
        <v>38</v>
      </c>
      <c r="C715" s="24" t="str">
        <f>VLOOKUP(dynamic[customerID],customers[],2,FALSE)</f>
        <v>Tortuga Restaurante</v>
      </c>
      <c r="D715" s="24">
        <v>45041.0</v>
      </c>
      <c r="E715" s="6">
        <f>IFERROR(__xludf.DUMMYFUNCTION("COUNTUNIQUEIFS($A$2:$A715,$B$2:$B715,B715)"),5.0)</f>
        <v>5</v>
      </c>
      <c r="F715" s="6">
        <f t="shared" si="1"/>
        <v>205</v>
      </c>
      <c r="G715" s="6" t="str">
        <f>IF(MINIFS(dynamic[orderDate], dynamic[customerID], B715) &gt;= DATE(2024,4,30)-120, 
     "New", 
     IF(MAXIFS(dynamic[orderCount], dynamic[customerID], B715)&lt;=2, 
        IF((DATE(2024,4,30) - MAXIFS(dynamic[orderDate], dynamic[customerID], B715)) &gt; 180, "Non-Returning", "Dormant"), 
        IF(AND(MAX(dynamic[sinceLastOrder]) &gt; 365, (DATE(2024,4,30) - MAXIFS(dynamic[orderDate], dynamic[customerID], B715)) &gt; 180), 
           "Dormant", "Regular")))</f>
        <v>Regular</v>
      </c>
      <c r="H715" s="6">
        <v>38.0</v>
      </c>
      <c r="I715" s="9" t="str">
        <f>VLOOKUP(dynamic[productID],products[],2,FALSE)</f>
        <v>Côte de Blaye</v>
      </c>
      <c r="J715" s="9" t="str">
        <f>VLOOKUP(dynamic[productID],products[],12,FALSE)</f>
        <v>Beverages</v>
      </c>
      <c r="K715" s="7" t="str">
        <f>IF(VLOOKUP(dynamic[productID],products[],7,FALSE)=1,"Discontinued","Current")</f>
        <v>Current</v>
      </c>
      <c r="L715" s="9">
        <f>VLOOKUP(dynamic[productID],products[],IF(YEAR(dynamic[orderDate])=2022,8,IF(YEAR(dynamic[orderDate])=2023,9,IF(YEAR(dynamic[orderDate])=2024,10,NA))),FALSE)</f>
        <v>175.9515711</v>
      </c>
      <c r="M715" s="9">
        <v>263.5</v>
      </c>
      <c r="N715" s="25">
        <f>(dynamic[orderPrice]-dynamic[productCost])/dynamic[productCost]</f>
        <v>0.4975711688</v>
      </c>
      <c r="O715" s="10">
        <v>15.0</v>
      </c>
      <c r="P715" s="25">
        <v>0.0</v>
      </c>
      <c r="Q715" s="9">
        <f>dynamic[orderPrice]*dynamic[orderQuantity]</f>
        <v>3952.5</v>
      </c>
      <c r="R715" s="9">
        <f>dynamic[orderTotal]*(1-dynamic[discountApllied])</f>
        <v>3952.5</v>
      </c>
      <c r="S715" s="9">
        <f>dynamic[revenue]-(dynamic[productCost]*dynamic[orderQuantity])</f>
        <v>1313.226433</v>
      </c>
      <c r="T715" s="25">
        <f>IFERROR(dynamic[profit]/dynamic[revenue], 0)</f>
        <v>0.3322521021</v>
      </c>
    </row>
    <row r="716" ht="15.75" customHeight="1">
      <c r="A716" s="6">
        <v>10518.0</v>
      </c>
      <c r="B716" s="7" t="s">
        <v>38</v>
      </c>
      <c r="C716" s="24" t="str">
        <f>VLOOKUP(dynamic[customerID],customers[],2,FALSE)</f>
        <v>Tortuga Restaurante</v>
      </c>
      <c r="D716" s="24">
        <v>45041.0</v>
      </c>
      <c r="E716" s="6">
        <f>IFERROR(__xludf.DUMMYFUNCTION("COUNTUNIQUEIFS($A$2:$A716,$B$2:$B716,B716)"),5.0)</f>
        <v>5</v>
      </c>
      <c r="F716" s="6">
        <f t="shared" si="1"/>
        <v>205</v>
      </c>
      <c r="G716" s="6" t="str">
        <f>IF(MINIFS(dynamic[orderDate], dynamic[customerID], B716) &gt;= DATE(2024,4,30)-120, 
     "New", 
     IF(MAXIFS(dynamic[orderCount], dynamic[customerID], B716)&lt;=2, 
        IF((DATE(2024,4,30) - MAXIFS(dynamic[orderDate], dynamic[customerID], B716)) &gt; 180, "Non-Returning", "Dormant"), 
        IF(AND(MAX(dynamic[sinceLastOrder]) &gt; 365, (DATE(2024,4,30) - MAXIFS(dynamic[orderDate], dynamic[customerID], B716)) &gt; 180), 
           "Dormant", "Regular")))</f>
        <v>Regular</v>
      </c>
      <c r="H716" s="6">
        <v>44.0</v>
      </c>
      <c r="I716" s="9" t="str">
        <f>VLOOKUP(dynamic[productID],products[],2,FALSE)</f>
        <v>Gula Malacca</v>
      </c>
      <c r="J716" s="9" t="str">
        <f>VLOOKUP(dynamic[productID],products[],12,FALSE)</f>
        <v>Condiments</v>
      </c>
      <c r="K716" s="7" t="str">
        <f>IF(VLOOKUP(dynamic[productID],products[],7,FALSE)=1,"Discontinued","Current")</f>
        <v>Current</v>
      </c>
      <c r="L716" s="9">
        <f>VLOOKUP(dynamic[productID],products[],IF(YEAR(dynamic[orderDate])=2022,8,IF(YEAR(dynamic[orderDate])=2023,9,IF(YEAR(dynamic[orderDate])=2024,10,NA))),FALSE)</f>
        <v>13.06032103</v>
      </c>
      <c r="M716" s="9">
        <v>19.45</v>
      </c>
      <c r="N716" s="25">
        <f>(dynamic[orderPrice]-dynamic[productCost])/dynamic[productCost]</f>
        <v>0.4892436379</v>
      </c>
      <c r="O716" s="10">
        <v>9.0</v>
      </c>
      <c r="P716" s="25">
        <v>0.0</v>
      </c>
      <c r="Q716" s="9">
        <f>dynamic[orderPrice]*dynamic[orderQuantity]</f>
        <v>175.05</v>
      </c>
      <c r="R716" s="9">
        <f>dynamic[orderTotal]*(1-dynamic[discountApllied])</f>
        <v>175.05</v>
      </c>
      <c r="S716" s="9">
        <f>dynamic[revenue]-(dynamic[productCost]*dynamic[orderQuantity])</f>
        <v>57.50711074</v>
      </c>
      <c r="T716" s="25">
        <f>IFERROR(dynamic[profit]/dynamic[revenue], 0)</f>
        <v>0.3285181991</v>
      </c>
    </row>
    <row r="717" ht="15.75" customHeight="1">
      <c r="A717" s="6">
        <v>10519.0</v>
      </c>
      <c r="B717" s="7" t="s">
        <v>20</v>
      </c>
      <c r="C717" s="24" t="str">
        <f>VLOOKUP(dynamic[customerID],customers[],2,FALSE)</f>
        <v>Chop-suey Chinese</v>
      </c>
      <c r="D717" s="24">
        <v>45044.0</v>
      </c>
      <c r="E717" s="6">
        <f>IFERROR(__xludf.DUMMYFUNCTION("COUNTUNIQUEIFS($A$2:$A717,$B$2:$B717,B717)"),3.0)</f>
        <v>3</v>
      </c>
      <c r="F717" s="6">
        <f t="shared" si="1"/>
        <v>146</v>
      </c>
      <c r="G717" s="6" t="str">
        <f>IF(MINIFS(dynamic[orderDate], dynamic[customerID], B717) &gt;= DATE(2024,4,30)-120, 
     "New", 
     IF(MAXIFS(dynamic[orderCount], dynamic[customerID], B717)&lt;=2, 
        IF((DATE(2024,4,30) - MAXIFS(dynamic[orderDate], dynamic[customerID], B717)) &gt; 180, "Non-Returning", "Dormant"), 
        IF(AND(MAX(dynamic[sinceLastOrder]) &gt; 365, (DATE(2024,4,30) - MAXIFS(dynamic[orderDate], dynamic[customerID], B717)) &gt; 180), 
           "Dormant", "Regular")))</f>
        <v>Regular</v>
      </c>
      <c r="H717" s="6">
        <v>10.0</v>
      </c>
      <c r="I717" s="9" t="str">
        <f>VLOOKUP(dynamic[productID],products[],2,FALSE)</f>
        <v>Ikura</v>
      </c>
      <c r="J717" s="9" t="str">
        <f>VLOOKUP(dynamic[productID],products[],12,FALSE)</f>
        <v>Seafood</v>
      </c>
      <c r="K717" s="7" t="str">
        <f>IF(VLOOKUP(dynamic[productID],products[],7,FALSE)=1,"Discontinued","Current")</f>
        <v>Current</v>
      </c>
      <c r="L717" s="9">
        <f>VLOOKUP(dynamic[productID],products[],IF(YEAR(dynamic[orderDate])=2022,8,IF(YEAR(dynamic[orderDate])=2023,9,IF(YEAR(dynamic[orderDate])=2024,10,NA))),FALSE)</f>
        <v>20.72721922</v>
      </c>
      <c r="M717" s="9">
        <v>31.0</v>
      </c>
      <c r="N717" s="25">
        <f>(dynamic[orderPrice]-dynamic[productCost])/dynamic[productCost]</f>
        <v>0.4956178962</v>
      </c>
      <c r="O717" s="10">
        <v>16.0</v>
      </c>
      <c r="P717" s="25">
        <v>0.05</v>
      </c>
      <c r="Q717" s="9">
        <f>dynamic[orderPrice]*dynamic[orderQuantity]</f>
        <v>496</v>
      </c>
      <c r="R717" s="9">
        <f>dynamic[orderTotal]*(1-dynamic[discountApllied])</f>
        <v>471.2</v>
      </c>
      <c r="S717" s="9">
        <f>dynamic[revenue]-(dynamic[productCost]*dynamic[orderQuantity])</f>
        <v>139.5644925</v>
      </c>
      <c r="T717" s="25">
        <f>IFERROR(dynamic[profit]/dynamic[revenue], 0)</f>
        <v>0.2961895003</v>
      </c>
    </row>
    <row r="718" ht="15.75" customHeight="1">
      <c r="A718" s="6">
        <v>10519.0</v>
      </c>
      <c r="B718" s="7" t="s">
        <v>20</v>
      </c>
      <c r="C718" s="24" t="str">
        <f>VLOOKUP(dynamic[customerID],customers[],2,FALSE)</f>
        <v>Chop-suey Chinese</v>
      </c>
      <c r="D718" s="24">
        <v>45044.0</v>
      </c>
      <c r="E718" s="6">
        <f>IFERROR(__xludf.DUMMYFUNCTION("COUNTUNIQUEIFS($A$2:$A718,$B$2:$B718,B718)"),3.0)</f>
        <v>3</v>
      </c>
      <c r="F718" s="6">
        <f t="shared" si="1"/>
        <v>146</v>
      </c>
      <c r="G718" s="6" t="str">
        <f>IF(MINIFS(dynamic[orderDate], dynamic[customerID], B718) &gt;= DATE(2024,4,30)-120, 
     "New", 
     IF(MAXIFS(dynamic[orderCount], dynamic[customerID], B718)&lt;=2, 
        IF((DATE(2024,4,30) - MAXIFS(dynamic[orderDate], dynamic[customerID], B718)) &gt; 180, "Non-Returning", "Dormant"), 
        IF(AND(MAX(dynamic[sinceLastOrder]) &gt; 365, (DATE(2024,4,30) - MAXIFS(dynamic[orderDate], dynamic[customerID], B718)) &gt; 180), 
           "Dormant", "Regular")))</f>
        <v>Regular</v>
      </c>
      <c r="H718" s="6">
        <v>56.0</v>
      </c>
      <c r="I718" s="9" t="str">
        <f>VLOOKUP(dynamic[productID],products[],2,FALSE)</f>
        <v>Gnocchi di nonna Alice</v>
      </c>
      <c r="J718" s="9" t="str">
        <f>VLOOKUP(dynamic[productID],products[],12,FALSE)</f>
        <v>Grains/Cereals</v>
      </c>
      <c r="K718" s="7" t="str">
        <f>IF(VLOOKUP(dynamic[productID],products[],7,FALSE)=1,"Discontinued","Current")</f>
        <v>Current</v>
      </c>
      <c r="L718" s="9">
        <f>VLOOKUP(dynamic[productID],products[],IF(YEAR(dynamic[orderDate])=2022,8,IF(YEAR(dynamic[orderDate])=2023,9,IF(YEAR(dynamic[orderDate])=2024,10,NA))),FALSE)</f>
        <v>24.28342441</v>
      </c>
      <c r="M718" s="9">
        <v>38.0</v>
      </c>
      <c r="N718" s="25">
        <f>(dynamic[orderPrice]-dynamic[productCost])/dynamic[productCost]</f>
        <v>0.5648534309</v>
      </c>
      <c r="O718" s="10">
        <v>40.0</v>
      </c>
      <c r="P718" s="25">
        <v>0.0</v>
      </c>
      <c r="Q718" s="9">
        <f>dynamic[orderPrice]*dynamic[orderQuantity]</f>
        <v>1520</v>
      </c>
      <c r="R718" s="9">
        <f>dynamic[orderTotal]*(1-dynamic[discountApllied])</f>
        <v>1520</v>
      </c>
      <c r="S718" s="9">
        <f>dynamic[revenue]-(dynamic[productCost]*dynamic[orderQuantity])</f>
        <v>548.6630237</v>
      </c>
      <c r="T718" s="25">
        <f>IFERROR(dynamic[profit]/dynamic[revenue], 0)</f>
        <v>0.3609625156</v>
      </c>
    </row>
    <row r="719" ht="15.75" customHeight="1">
      <c r="A719" s="6">
        <v>10519.0</v>
      </c>
      <c r="B719" s="7" t="s">
        <v>20</v>
      </c>
      <c r="C719" s="24" t="str">
        <f>VLOOKUP(dynamic[customerID],customers[],2,FALSE)</f>
        <v>Chop-suey Chinese</v>
      </c>
      <c r="D719" s="24">
        <v>45044.0</v>
      </c>
      <c r="E719" s="6">
        <f>IFERROR(__xludf.DUMMYFUNCTION("COUNTUNIQUEIFS($A$2:$A719,$B$2:$B719,B719)"),3.0)</f>
        <v>3</v>
      </c>
      <c r="F719" s="6">
        <f t="shared" si="1"/>
        <v>146</v>
      </c>
      <c r="G719" s="6" t="str">
        <f>IF(MINIFS(dynamic[orderDate], dynamic[customerID], B719) &gt;= DATE(2024,4,30)-120, 
     "New", 
     IF(MAXIFS(dynamic[orderCount], dynamic[customerID], B719)&lt;=2, 
        IF((DATE(2024,4,30) - MAXIFS(dynamic[orderDate], dynamic[customerID], B719)) &gt; 180, "Non-Returning", "Dormant"), 
        IF(AND(MAX(dynamic[sinceLastOrder]) &gt; 365, (DATE(2024,4,30) - MAXIFS(dynamic[orderDate], dynamic[customerID], B719)) &gt; 180), 
           "Dormant", "Regular")))</f>
        <v>Regular</v>
      </c>
      <c r="H719" s="6">
        <v>60.0</v>
      </c>
      <c r="I719" s="9" t="str">
        <f>VLOOKUP(dynamic[productID],products[],2,FALSE)</f>
        <v>Camembert Pierrot</v>
      </c>
      <c r="J719" s="9" t="str">
        <f>VLOOKUP(dynamic[productID],products[],12,FALSE)</f>
        <v>Dairy Products</v>
      </c>
      <c r="K719" s="7" t="str">
        <f>IF(VLOOKUP(dynamic[productID],products[],7,FALSE)=1,"Discontinued","Current")</f>
        <v>Current</v>
      </c>
      <c r="L719" s="9">
        <f>VLOOKUP(dynamic[productID],products[],IF(YEAR(dynamic[orderDate])=2022,8,IF(YEAR(dynamic[orderDate])=2023,9,IF(YEAR(dynamic[orderDate])=2024,10,NA))),FALSE)</f>
        <v>22.77098295</v>
      </c>
      <c r="M719" s="9">
        <v>34.0</v>
      </c>
      <c r="N719" s="25">
        <f>(dynamic[orderPrice]-dynamic[productCost])/dynamic[productCost]</f>
        <v>0.4931283415</v>
      </c>
      <c r="O719" s="10">
        <v>10.0</v>
      </c>
      <c r="P719" s="25">
        <v>0.05</v>
      </c>
      <c r="Q719" s="9">
        <f>dynamic[orderPrice]*dynamic[orderQuantity]</f>
        <v>340</v>
      </c>
      <c r="R719" s="9">
        <f>dynamic[orderTotal]*(1-dynamic[discountApllied])</f>
        <v>323</v>
      </c>
      <c r="S719" s="9">
        <f>dynamic[revenue]-(dynamic[productCost]*dynamic[orderQuantity])</f>
        <v>95.29017054</v>
      </c>
      <c r="T719" s="25">
        <f>IFERROR(dynamic[profit]/dynamic[revenue], 0)</f>
        <v>0.2950160079</v>
      </c>
    </row>
    <row r="720" ht="15.75" customHeight="1">
      <c r="A720" s="6">
        <v>10520.0</v>
      </c>
      <c r="B720" s="7" t="s">
        <v>80</v>
      </c>
      <c r="C720" s="24" t="str">
        <f>VLOOKUP(dynamic[customerID],customers[],2,FALSE)</f>
        <v>Santé Gourmet</v>
      </c>
      <c r="D720" s="24">
        <v>45045.0</v>
      </c>
      <c r="E720" s="6">
        <f>IFERROR(__xludf.DUMMYFUNCTION("COUNTUNIQUEIFS($A$2:$A720,$B$2:$B720,B720)"),2.0)</f>
        <v>2</v>
      </c>
      <c r="F720" s="6">
        <f t="shared" si="1"/>
        <v>132</v>
      </c>
      <c r="G720" s="6" t="str">
        <f>IF(MINIFS(dynamic[orderDate], dynamic[customerID], B720) &gt;= DATE(2024,4,30)-120, 
     "New", 
     IF(MAXIFS(dynamic[orderCount], dynamic[customerID], B720)&lt;=2, 
        IF((DATE(2024,4,30) - MAXIFS(dynamic[orderDate], dynamic[customerID], B720)) &gt; 180, "Non-Returning", "Dormant"), 
        IF(AND(MAX(dynamic[sinceLastOrder]) &gt; 365, (DATE(2024,4,30) - MAXIFS(dynamic[orderDate], dynamic[customerID], B720)) &gt; 180), 
           "Dormant", "Regular")))</f>
        <v>Regular</v>
      </c>
      <c r="H720" s="6">
        <v>24.0</v>
      </c>
      <c r="I720" s="9" t="str">
        <f>VLOOKUP(dynamic[productID],products[],2,FALSE)</f>
        <v>Brigadeiros Maravilhosos da Lilian</v>
      </c>
      <c r="J720" s="9" t="str">
        <f>VLOOKUP(dynamic[productID],products[],12,FALSE)</f>
        <v>Confections</v>
      </c>
      <c r="K720" s="7" t="str">
        <f>IF(VLOOKUP(dynamic[productID],products[],7,FALSE)=1,"Discontinued","Current")</f>
        <v>Discontinued</v>
      </c>
      <c r="L720" s="9">
        <f>VLOOKUP(dynamic[productID],products[],IF(YEAR(dynamic[orderDate])=2022,8,IF(YEAR(dynamic[orderDate])=2023,9,IF(YEAR(dynamic[orderDate])=2024,10,NA))),FALSE)</f>
        <v>3.131783363</v>
      </c>
      <c r="M720" s="9">
        <v>4.5</v>
      </c>
      <c r="N720" s="25">
        <f>(dynamic[orderPrice]-dynamic[productCost])/dynamic[productCost]</f>
        <v>0.4368809967</v>
      </c>
      <c r="O720" s="10">
        <v>8.0</v>
      </c>
      <c r="P720" s="25">
        <v>0.0</v>
      </c>
      <c r="Q720" s="9">
        <f>dynamic[orderPrice]*dynamic[orderQuantity]</f>
        <v>36</v>
      </c>
      <c r="R720" s="9">
        <f>dynamic[orderTotal]*(1-dynamic[discountApllied])</f>
        <v>36</v>
      </c>
      <c r="S720" s="9">
        <f>dynamic[revenue]-(dynamic[productCost]*dynamic[orderQuantity])</f>
        <v>10.9457331</v>
      </c>
      <c r="T720" s="25">
        <f>IFERROR(dynamic[profit]/dynamic[revenue], 0)</f>
        <v>0.3040481416</v>
      </c>
    </row>
    <row r="721" ht="15.75" customHeight="1">
      <c r="A721" s="6">
        <v>10520.0</v>
      </c>
      <c r="B721" s="7" t="s">
        <v>80</v>
      </c>
      <c r="C721" s="24" t="str">
        <f>VLOOKUP(dynamic[customerID],customers[],2,FALSE)</f>
        <v>Santé Gourmet</v>
      </c>
      <c r="D721" s="24">
        <v>45045.0</v>
      </c>
      <c r="E721" s="6">
        <f>IFERROR(__xludf.DUMMYFUNCTION("COUNTUNIQUEIFS($A$2:$A721,$B$2:$B721,B721)"),2.0)</f>
        <v>2</v>
      </c>
      <c r="F721" s="6">
        <f t="shared" si="1"/>
        <v>132</v>
      </c>
      <c r="G721" s="6" t="str">
        <f>IF(MINIFS(dynamic[orderDate], dynamic[customerID], B721) &gt;= DATE(2024,4,30)-120, 
     "New", 
     IF(MAXIFS(dynamic[orderCount], dynamic[customerID], B721)&lt;=2, 
        IF((DATE(2024,4,30) - MAXIFS(dynamic[orderDate], dynamic[customerID], B721)) &gt; 180, "Non-Returning", "Dormant"), 
        IF(AND(MAX(dynamic[sinceLastOrder]) &gt; 365, (DATE(2024,4,30) - MAXIFS(dynamic[orderDate], dynamic[customerID], B721)) &gt; 180), 
           "Dormant", "Regular")))</f>
        <v>Regular</v>
      </c>
      <c r="H721" s="6">
        <v>53.0</v>
      </c>
      <c r="I721" s="9" t="str">
        <f>VLOOKUP(dynamic[productID],products[],2,FALSE)</f>
        <v>Perth Pasties</v>
      </c>
      <c r="J721" s="9" t="str">
        <f>VLOOKUP(dynamic[productID],products[],12,FALSE)</f>
        <v>Meat/Poultry</v>
      </c>
      <c r="K721" s="7" t="str">
        <f>IF(VLOOKUP(dynamic[productID],products[],7,FALSE)=1,"Discontinued","Current")</f>
        <v>Discontinued</v>
      </c>
      <c r="L721" s="9">
        <f>VLOOKUP(dynamic[productID],products[],IF(YEAR(dynamic[orderDate])=2022,8,IF(YEAR(dynamic[orderDate])=2023,9,IF(YEAR(dynamic[orderDate])=2024,10,NA))),FALSE)</f>
        <v>21.81491556</v>
      </c>
      <c r="M721" s="9">
        <v>32.8</v>
      </c>
      <c r="N721" s="25">
        <f>(dynamic[orderPrice]-dynamic[productCost])/dynamic[productCost]</f>
        <v>0.5035584214</v>
      </c>
      <c r="O721" s="10">
        <v>5.0</v>
      </c>
      <c r="P721" s="25">
        <v>0.0</v>
      </c>
      <c r="Q721" s="9">
        <f>dynamic[orderPrice]*dynamic[orderQuantity]</f>
        <v>164</v>
      </c>
      <c r="R721" s="9">
        <f>dynamic[orderTotal]*(1-dynamic[discountApllied])</f>
        <v>164</v>
      </c>
      <c r="S721" s="9">
        <f>dynamic[revenue]-(dynamic[productCost]*dynamic[orderQuantity])</f>
        <v>54.92542221</v>
      </c>
      <c r="T721" s="25">
        <f>IFERROR(dynamic[profit]/dynamic[revenue], 0)</f>
        <v>0.334911111</v>
      </c>
    </row>
    <row r="722" ht="15.75" customHeight="1">
      <c r="A722" s="6">
        <v>10521.0</v>
      </c>
      <c r="B722" s="7" t="s">
        <v>93</v>
      </c>
      <c r="C722" s="24" t="str">
        <f>VLOOKUP(dynamic[customerID],customers[],2,FALSE)</f>
        <v>Cactus Comidas para llevar</v>
      </c>
      <c r="D722" s="24">
        <v>45045.0</v>
      </c>
      <c r="E722" s="6">
        <f>IFERROR(__xludf.DUMMYFUNCTION("COUNTUNIQUEIFS($A$2:$A722,$B$2:$B722,B722)"),1.0)</f>
        <v>1</v>
      </c>
      <c r="F722" s="6">
        <f t="shared" si="1"/>
        <v>0</v>
      </c>
      <c r="G722" s="6" t="str">
        <f>IF(MINIFS(dynamic[orderDate], dynamic[customerID], B722) &gt;= DATE(2024,4,30)-120, 
     "New", 
     IF(MAXIFS(dynamic[orderCount], dynamic[customerID], B722)&lt;=2, 
        IF((DATE(2024,4,30) - MAXIFS(dynamic[orderDate], dynamic[customerID], B722)) &gt; 180, "Non-Returning", "Dormant"), 
        IF(AND(MAX(dynamic[sinceLastOrder]) &gt; 365, (DATE(2024,4,30) - MAXIFS(dynamic[orderDate], dynamic[customerID], B722)) &gt; 180), 
           "Dormant", "Regular")))</f>
        <v>Regular</v>
      </c>
      <c r="H722" s="6">
        <v>35.0</v>
      </c>
      <c r="I722" s="9" t="str">
        <f>VLOOKUP(dynamic[productID],products[],2,FALSE)</f>
        <v>Cold Brew Nitro</v>
      </c>
      <c r="J722" s="9" t="str">
        <f>VLOOKUP(dynamic[productID],products[],12,FALSE)</f>
        <v>Beverages</v>
      </c>
      <c r="K722" s="7" t="str">
        <f>IF(VLOOKUP(dynamic[productID],products[],7,FALSE)=1,"Discontinued","Current")</f>
        <v>Current</v>
      </c>
      <c r="L722" s="9">
        <f>VLOOKUP(dynamic[productID],products[],IF(YEAR(dynamic[orderDate])=2022,8,IF(YEAR(dynamic[orderDate])=2023,9,IF(YEAR(dynamic[orderDate])=2024,10,NA))),FALSE)</f>
        <v>11.7602531</v>
      </c>
      <c r="M722" s="9">
        <v>18.0</v>
      </c>
      <c r="N722" s="25">
        <f>(dynamic[orderPrice]-dynamic[productCost])/dynamic[productCost]</f>
        <v>0.5305793033</v>
      </c>
      <c r="O722" s="10">
        <v>3.0</v>
      </c>
      <c r="P722" s="25">
        <v>0.0</v>
      </c>
      <c r="Q722" s="9">
        <f>dynamic[orderPrice]*dynamic[orderQuantity]</f>
        <v>54</v>
      </c>
      <c r="R722" s="9">
        <f>dynamic[orderTotal]*(1-dynamic[discountApllied])</f>
        <v>54</v>
      </c>
      <c r="S722" s="9">
        <f>dynamic[revenue]-(dynamic[productCost]*dynamic[orderQuantity])</f>
        <v>18.71924069</v>
      </c>
      <c r="T722" s="25">
        <f>IFERROR(dynamic[profit]/dynamic[revenue], 0)</f>
        <v>0.3466526054</v>
      </c>
    </row>
    <row r="723" ht="15.75" customHeight="1">
      <c r="A723" s="6">
        <v>10521.0</v>
      </c>
      <c r="B723" s="7" t="s">
        <v>93</v>
      </c>
      <c r="C723" s="24" t="str">
        <f>VLOOKUP(dynamic[customerID],customers[],2,FALSE)</f>
        <v>Cactus Comidas para llevar</v>
      </c>
      <c r="D723" s="24">
        <v>45045.0</v>
      </c>
      <c r="E723" s="6">
        <f>IFERROR(__xludf.DUMMYFUNCTION("COUNTUNIQUEIFS($A$2:$A723,$B$2:$B723,B723)"),1.0)</f>
        <v>1</v>
      </c>
      <c r="F723" s="6">
        <f t="shared" si="1"/>
        <v>0</v>
      </c>
      <c r="G723" s="6" t="str">
        <f>IF(MINIFS(dynamic[orderDate], dynamic[customerID], B723) &gt;= DATE(2024,4,30)-120, 
     "New", 
     IF(MAXIFS(dynamic[orderCount], dynamic[customerID], B723)&lt;=2, 
        IF((DATE(2024,4,30) - MAXIFS(dynamic[orderDate], dynamic[customerID], B723)) &gt; 180, "Non-Returning", "Dormant"), 
        IF(AND(MAX(dynamic[sinceLastOrder]) &gt; 365, (DATE(2024,4,30) - MAXIFS(dynamic[orderDate], dynamic[customerID], B723)) &gt; 180), 
           "Dormant", "Regular")))</f>
        <v>Regular</v>
      </c>
      <c r="H723" s="6">
        <v>41.0</v>
      </c>
      <c r="I723" s="9" t="str">
        <f>VLOOKUP(dynamic[productID],products[],2,FALSE)</f>
        <v>Jack's New England Clam Chowder</v>
      </c>
      <c r="J723" s="9" t="str">
        <f>VLOOKUP(dynamic[productID],products[],12,FALSE)</f>
        <v>Seafood</v>
      </c>
      <c r="K723" s="7" t="str">
        <f>IF(VLOOKUP(dynamic[productID],products[],7,FALSE)=1,"Discontinued","Current")</f>
        <v>Current</v>
      </c>
      <c r="L723" s="9">
        <f>VLOOKUP(dynamic[productID],products[],IF(YEAR(dynamic[orderDate])=2022,8,IF(YEAR(dynamic[orderDate])=2023,9,IF(YEAR(dynamic[orderDate])=2024,10,NA))),FALSE)</f>
        <v>6.549914856</v>
      </c>
      <c r="M723" s="9">
        <v>9.65</v>
      </c>
      <c r="N723" s="25">
        <f>(dynamic[orderPrice]-dynamic[productCost])/dynamic[productCost]</f>
        <v>0.4733015943</v>
      </c>
      <c r="O723" s="10">
        <v>10.0</v>
      </c>
      <c r="P723" s="25">
        <v>0.0</v>
      </c>
      <c r="Q723" s="9">
        <f>dynamic[orderPrice]*dynamic[orderQuantity]</f>
        <v>96.5</v>
      </c>
      <c r="R723" s="9">
        <f>dynamic[orderTotal]*(1-dynamic[discountApllied])</f>
        <v>96.5</v>
      </c>
      <c r="S723" s="9">
        <f>dynamic[revenue]-(dynamic[productCost]*dynamic[orderQuantity])</f>
        <v>31.00085144</v>
      </c>
      <c r="T723" s="25">
        <f>IFERROR(dynamic[profit]/dynamic[revenue], 0)</f>
        <v>0.3212523465</v>
      </c>
    </row>
    <row r="724" ht="15.75" customHeight="1">
      <c r="A724" s="6">
        <v>10521.0</v>
      </c>
      <c r="B724" s="7" t="s">
        <v>93</v>
      </c>
      <c r="C724" s="24" t="str">
        <f>VLOOKUP(dynamic[customerID],customers[],2,FALSE)</f>
        <v>Cactus Comidas para llevar</v>
      </c>
      <c r="D724" s="24">
        <v>45045.0</v>
      </c>
      <c r="E724" s="6">
        <f>IFERROR(__xludf.DUMMYFUNCTION("COUNTUNIQUEIFS($A$2:$A724,$B$2:$B724,B724)"),1.0)</f>
        <v>1</v>
      </c>
      <c r="F724" s="6">
        <f t="shared" si="1"/>
        <v>0</v>
      </c>
      <c r="G724" s="6" t="str">
        <f>IF(MINIFS(dynamic[orderDate], dynamic[customerID], B724) &gt;= DATE(2024,4,30)-120, 
     "New", 
     IF(MAXIFS(dynamic[orderCount], dynamic[customerID], B724)&lt;=2, 
        IF((DATE(2024,4,30) - MAXIFS(dynamic[orderDate], dynamic[customerID], B724)) &gt; 180, "Non-Returning", "Dormant"), 
        IF(AND(MAX(dynamic[sinceLastOrder]) &gt; 365, (DATE(2024,4,30) - MAXIFS(dynamic[orderDate], dynamic[customerID], B724)) &gt; 180), 
           "Dormant", "Regular")))</f>
        <v>Regular</v>
      </c>
      <c r="H724" s="6">
        <v>68.0</v>
      </c>
      <c r="I724" s="9" t="str">
        <f>VLOOKUP(dynamic[productID],products[],2,FALSE)</f>
        <v>Scottish Longbreads</v>
      </c>
      <c r="J724" s="9" t="str">
        <f>VLOOKUP(dynamic[productID],products[],12,FALSE)</f>
        <v>Confections</v>
      </c>
      <c r="K724" s="7" t="str">
        <f>IF(VLOOKUP(dynamic[productID],products[],7,FALSE)=1,"Discontinued","Current")</f>
        <v>Current</v>
      </c>
      <c r="L724" s="9">
        <f>VLOOKUP(dynamic[productID],products[],IF(YEAR(dynamic[orderDate])=2022,8,IF(YEAR(dynamic[orderDate])=2023,9,IF(YEAR(dynamic[orderDate])=2024,10,NA))),FALSE)</f>
        <v>8.500000387</v>
      </c>
      <c r="M724" s="9">
        <v>12.5</v>
      </c>
      <c r="N724" s="25">
        <f>(dynamic[orderPrice]-dynamic[productCost])/dynamic[productCost]</f>
        <v>0.4705881684</v>
      </c>
      <c r="O724" s="10">
        <v>6.0</v>
      </c>
      <c r="P724" s="25">
        <v>0.0</v>
      </c>
      <c r="Q724" s="9">
        <f>dynamic[orderPrice]*dynamic[orderQuantity]</f>
        <v>75</v>
      </c>
      <c r="R724" s="9">
        <f>dynamic[orderTotal]*(1-dynamic[discountApllied])</f>
        <v>75</v>
      </c>
      <c r="S724" s="9">
        <f>dynamic[revenue]-(dynamic[productCost]*dynamic[orderQuantity])</f>
        <v>23.99999768</v>
      </c>
      <c r="T724" s="25">
        <f>IFERROR(dynamic[profit]/dynamic[revenue], 0)</f>
        <v>0.3199999691</v>
      </c>
    </row>
    <row r="725" ht="15.75" customHeight="1">
      <c r="A725" s="6">
        <v>10522.0</v>
      </c>
      <c r="B725" s="7" t="s">
        <v>41</v>
      </c>
      <c r="C725" s="24" t="str">
        <f>VLOOKUP(dynamic[customerID],customers[],2,FALSE)</f>
        <v>Lehmanns Marktstand</v>
      </c>
      <c r="D725" s="24">
        <v>45046.0</v>
      </c>
      <c r="E725" s="6">
        <f>IFERROR(__xludf.DUMMYFUNCTION("COUNTUNIQUEIFS($A$2:$A725,$B$2:$B725,B725)"),5.0)</f>
        <v>5</v>
      </c>
      <c r="F725" s="6">
        <f t="shared" si="1"/>
        <v>26</v>
      </c>
      <c r="G725" s="6" t="str">
        <f>IF(MINIFS(dynamic[orderDate], dynamic[customerID], B725) &gt;= DATE(2024,4,30)-120, 
     "New", 
     IF(MAXIFS(dynamic[orderCount], dynamic[customerID], B725)&lt;=2, 
        IF((DATE(2024,4,30) - MAXIFS(dynamic[orderDate], dynamic[customerID], B725)) &gt; 180, "Non-Returning", "Dormant"), 
        IF(AND(MAX(dynamic[sinceLastOrder]) &gt; 365, (DATE(2024,4,30) - MAXIFS(dynamic[orderDate], dynamic[customerID], B725)) &gt; 180), 
           "Dormant", "Regular")))</f>
        <v>Regular</v>
      </c>
      <c r="H725" s="6">
        <v>1.0</v>
      </c>
      <c r="I725" s="9" t="str">
        <f>VLOOKUP(dynamic[productID],products[],2,FALSE)</f>
        <v>Chai</v>
      </c>
      <c r="J725" s="9" t="str">
        <f>VLOOKUP(dynamic[productID],products[],12,FALSE)</f>
        <v>Beverages</v>
      </c>
      <c r="K725" s="7" t="str">
        <f>IF(VLOOKUP(dynamic[productID],products[],7,FALSE)=1,"Discontinued","Current")</f>
        <v>Current</v>
      </c>
      <c r="L725" s="9">
        <f>VLOOKUP(dynamic[productID],products[],IF(YEAR(dynamic[orderDate])=2022,8,IF(YEAR(dynamic[orderDate])=2023,9,IF(YEAR(dynamic[orderDate])=2024,10,NA))),FALSE)</f>
        <v>12.15847607</v>
      </c>
      <c r="M725" s="9">
        <v>18.0</v>
      </c>
      <c r="N725" s="25">
        <f>(dynamic[orderPrice]-dynamic[productCost])/dynamic[productCost]</f>
        <v>0.4804486927</v>
      </c>
      <c r="O725" s="10">
        <v>40.0</v>
      </c>
      <c r="P725" s="25">
        <v>0.2</v>
      </c>
      <c r="Q725" s="9">
        <f>dynamic[orderPrice]*dynamic[orderQuantity]</f>
        <v>720</v>
      </c>
      <c r="R725" s="9">
        <f>dynamic[orderTotal]*(1-dynamic[discountApllied])</f>
        <v>576</v>
      </c>
      <c r="S725" s="9">
        <f>dynamic[revenue]-(dynamic[productCost]*dynamic[orderQuantity])</f>
        <v>89.66095728</v>
      </c>
      <c r="T725" s="25">
        <f>IFERROR(dynamic[profit]/dynamic[revenue], 0)</f>
        <v>0.1556613842</v>
      </c>
    </row>
    <row r="726" ht="15.75" customHeight="1">
      <c r="A726" s="6">
        <v>10522.0</v>
      </c>
      <c r="B726" s="7" t="s">
        <v>41</v>
      </c>
      <c r="C726" s="24" t="str">
        <f>VLOOKUP(dynamic[customerID],customers[],2,FALSE)</f>
        <v>Lehmanns Marktstand</v>
      </c>
      <c r="D726" s="24">
        <v>45046.0</v>
      </c>
      <c r="E726" s="6">
        <f>IFERROR(__xludf.DUMMYFUNCTION("COUNTUNIQUEIFS($A$2:$A726,$B$2:$B726,B726)"),5.0)</f>
        <v>5</v>
      </c>
      <c r="F726" s="6">
        <f t="shared" si="1"/>
        <v>26</v>
      </c>
      <c r="G726" s="6" t="str">
        <f>IF(MINIFS(dynamic[orderDate], dynamic[customerID], B726) &gt;= DATE(2024,4,30)-120, 
     "New", 
     IF(MAXIFS(dynamic[orderCount], dynamic[customerID], B726)&lt;=2, 
        IF((DATE(2024,4,30) - MAXIFS(dynamic[orderDate], dynamic[customerID], B726)) &gt; 180, "Non-Returning", "Dormant"), 
        IF(AND(MAX(dynamic[sinceLastOrder]) &gt; 365, (DATE(2024,4,30) - MAXIFS(dynamic[orderDate], dynamic[customerID], B726)) &gt; 180), 
           "Dormant", "Regular")))</f>
        <v>Regular</v>
      </c>
      <c r="H726" s="6">
        <v>8.0</v>
      </c>
      <c r="I726" s="9" t="str">
        <f>VLOOKUP(dynamic[productID],products[],2,FALSE)</f>
        <v>Northwoods Cranberry Sauce</v>
      </c>
      <c r="J726" s="9" t="str">
        <f>VLOOKUP(dynamic[productID],products[],12,FALSE)</f>
        <v>Condiments</v>
      </c>
      <c r="K726" s="7" t="str">
        <f>IF(VLOOKUP(dynamic[productID],products[],7,FALSE)=1,"Discontinued","Current")</f>
        <v>Current</v>
      </c>
      <c r="L726" s="9">
        <f>VLOOKUP(dynamic[productID],products[],IF(YEAR(dynamic[orderDate])=2022,8,IF(YEAR(dynamic[orderDate])=2023,9,IF(YEAR(dynamic[orderDate])=2024,10,NA))),FALSE)</f>
        <v>26.10620486</v>
      </c>
      <c r="M726" s="9">
        <v>40.0</v>
      </c>
      <c r="N726" s="25">
        <f>(dynamic[orderPrice]-dynamic[productCost])/dynamic[productCost]</f>
        <v>0.5322027928</v>
      </c>
      <c r="O726" s="10">
        <v>24.0</v>
      </c>
      <c r="P726" s="25">
        <v>0.0</v>
      </c>
      <c r="Q726" s="9">
        <f>dynamic[orderPrice]*dynamic[orderQuantity]</f>
        <v>960</v>
      </c>
      <c r="R726" s="9">
        <f>dynamic[orderTotal]*(1-dynamic[discountApllied])</f>
        <v>960</v>
      </c>
      <c r="S726" s="9">
        <f>dynamic[revenue]-(dynamic[productCost]*dynamic[orderQuantity])</f>
        <v>333.4510833</v>
      </c>
      <c r="T726" s="25">
        <f>IFERROR(dynamic[profit]/dynamic[revenue], 0)</f>
        <v>0.3473448784</v>
      </c>
    </row>
    <row r="727" ht="15.75" customHeight="1">
      <c r="A727" s="6">
        <v>10522.0</v>
      </c>
      <c r="B727" s="7" t="s">
        <v>41</v>
      </c>
      <c r="C727" s="24" t="str">
        <f>VLOOKUP(dynamic[customerID],customers[],2,FALSE)</f>
        <v>Lehmanns Marktstand</v>
      </c>
      <c r="D727" s="24">
        <v>45046.0</v>
      </c>
      <c r="E727" s="6">
        <f>IFERROR(__xludf.DUMMYFUNCTION("COUNTUNIQUEIFS($A$2:$A727,$B$2:$B727,B727)"),5.0)</f>
        <v>5</v>
      </c>
      <c r="F727" s="6">
        <f t="shared" si="1"/>
        <v>26</v>
      </c>
      <c r="G727" s="6" t="str">
        <f>IF(MINIFS(dynamic[orderDate], dynamic[customerID], B727) &gt;= DATE(2024,4,30)-120, 
     "New", 
     IF(MAXIFS(dynamic[orderCount], dynamic[customerID], B727)&lt;=2, 
        IF((DATE(2024,4,30) - MAXIFS(dynamic[orderDate], dynamic[customerID], B727)) &gt; 180, "Non-Returning", "Dormant"), 
        IF(AND(MAX(dynamic[sinceLastOrder]) &gt; 365, (DATE(2024,4,30) - MAXIFS(dynamic[orderDate], dynamic[customerID], B727)) &gt; 180), 
           "Dormant", "Regular")))</f>
        <v>Regular</v>
      </c>
      <c r="H727" s="6">
        <v>30.0</v>
      </c>
      <c r="I727" s="9" t="str">
        <f>VLOOKUP(dynamic[productID],products[],2,FALSE)</f>
        <v>Nord-Ost Matjeshering</v>
      </c>
      <c r="J727" s="9" t="str">
        <f>VLOOKUP(dynamic[productID],products[],12,FALSE)</f>
        <v>Seafood</v>
      </c>
      <c r="K727" s="7" t="str">
        <f>IF(VLOOKUP(dynamic[productID],products[],7,FALSE)=1,"Discontinued","Current")</f>
        <v>Current</v>
      </c>
      <c r="L727" s="9">
        <f>VLOOKUP(dynamic[productID],products[],IF(YEAR(dynamic[orderDate])=2022,8,IF(YEAR(dynamic[orderDate])=2023,9,IF(YEAR(dynamic[orderDate])=2024,10,NA))),FALSE)</f>
        <v>16.03885249</v>
      </c>
      <c r="M727" s="9">
        <v>25.89</v>
      </c>
      <c r="N727" s="25">
        <f>(dynamic[orderPrice]-dynamic[productCost])/dynamic[productCost]</f>
        <v>0.6142052564</v>
      </c>
      <c r="O727" s="10">
        <v>20.0</v>
      </c>
      <c r="P727" s="25">
        <v>0.2</v>
      </c>
      <c r="Q727" s="9">
        <f>dynamic[orderPrice]*dynamic[orderQuantity]</f>
        <v>517.8</v>
      </c>
      <c r="R727" s="9">
        <f>dynamic[orderTotal]*(1-dynamic[discountApllied])</f>
        <v>414.24</v>
      </c>
      <c r="S727" s="9">
        <f>dynamic[revenue]-(dynamic[productCost]*dynamic[orderQuantity])</f>
        <v>93.46295015</v>
      </c>
      <c r="T727" s="25">
        <f>IFERROR(dynamic[profit]/dynamic[revenue], 0)</f>
        <v>0.2256251211</v>
      </c>
    </row>
    <row r="728" ht="15.75" customHeight="1">
      <c r="A728" s="6">
        <v>10522.0</v>
      </c>
      <c r="B728" s="7" t="s">
        <v>41</v>
      </c>
      <c r="C728" s="24" t="str">
        <f>VLOOKUP(dynamic[customerID],customers[],2,FALSE)</f>
        <v>Lehmanns Marktstand</v>
      </c>
      <c r="D728" s="24">
        <v>45046.0</v>
      </c>
      <c r="E728" s="6">
        <f>IFERROR(__xludf.DUMMYFUNCTION("COUNTUNIQUEIFS($A$2:$A728,$B$2:$B728,B728)"),5.0)</f>
        <v>5</v>
      </c>
      <c r="F728" s="6">
        <f t="shared" si="1"/>
        <v>26</v>
      </c>
      <c r="G728" s="6" t="str">
        <f>IF(MINIFS(dynamic[orderDate], dynamic[customerID], B728) &gt;= DATE(2024,4,30)-120, 
     "New", 
     IF(MAXIFS(dynamic[orderCount], dynamic[customerID], B728)&lt;=2, 
        IF((DATE(2024,4,30) - MAXIFS(dynamic[orderDate], dynamic[customerID], B728)) &gt; 180, "Non-Returning", "Dormant"), 
        IF(AND(MAX(dynamic[sinceLastOrder]) &gt; 365, (DATE(2024,4,30) - MAXIFS(dynamic[orderDate], dynamic[customerID], B728)) &gt; 180), 
           "Dormant", "Regular")))</f>
        <v>Regular</v>
      </c>
      <c r="H728" s="6">
        <v>40.0</v>
      </c>
      <c r="I728" s="9" t="str">
        <f>VLOOKUP(dynamic[productID],products[],2,FALSE)</f>
        <v>Boston Crab Meat</v>
      </c>
      <c r="J728" s="9" t="str">
        <f>VLOOKUP(dynamic[productID],products[],12,FALSE)</f>
        <v>Seafood</v>
      </c>
      <c r="K728" s="7" t="str">
        <f>IF(VLOOKUP(dynamic[productID],products[],7,FALSE)=1,"Discontinued","Current")</f>
        <v>Current</v>
      </c>
      <c r="L728" s="9">
        <f>VLOOKUP(dynamic[productID],products[],IF(YEAR(dynamic[orderDate])=2022,8,IF(YEAR(dynamic[orderDate])=2023,9,IF(YEAR(dynamic[orderDate])=2024,10,NA))),FALSE)</f>
        <v>11.40496523</v>
      </c>
      <c r="M728" s="9">
        <v>18.4</v>
      </c>
      <c r="N728" s="25">
        <f>(dynamic[orderPrice]-dynamic[productCost])/dynamic[productCost]</f>
        <v>0.6133324069</v>
      </c>
      <c r="O728" s="10">
        <v>25.0</v>
      </c>
      <c r="P728" s="25">
        <v>0.2</v>
      </c>
      <c r="Q728" s="9">
        <f>dynamic[orderPrice]*dynamic[orderQuantity]</f>
        <v>460</v>
      </c>
      <c r="R728" s="9">
        <f>dynamic[orderTotal]*(1-dynamic[discountApllied])</f>
        <v>368</v>
      </c>
      <c r="S728" s="9">
        <f>dynamic[revenue]-(dynamic[productCost]*dynamic[orderQuantity])</f>
        <v>82.87586932</v>
      </c>
      <c r="T728" s="25">
        <f>IFERROR(dynamic[profit]/dynamic[revenue], 0)</f>
        <v>0.2252061666</v>
      </c>
    </row>
    <row r="729" ht="15.75" customHeight="1">
      <c r="A729" s="6">
        <v>10523.0</v>
      </c>
      <c r="B729" s="7" t="s">
        <v>71</v>
      </c>
      <c r="C729" s="24" t="str">
        <f>VLOOKUP(dynamic[customerID],customers[],2,FALSE)</f>
        <v>Seven Seas Imports</v>
      </c>
      <c r="D729" s="24">
        <v>45047.0</v>
      </c>
      <c r="E729" s="6">
        <f>IFERROR(__xludf.DUMMYFUNCTION("COUNTUNIQUEIFS($A$2:$A729,$B$2:$B729,B729)"),5.0)</f>
        <v>5</v>
      </c>
      <c r="F729" s="6">
        <f t="shared" si="1"/>
        <v>50</v>
      </c>
      <c r="G729" s="6" t="str">
        <f>IF(MINIFS(dynamic[orderDate], dynamic[customerID], B729) &gt;= DATE(2024,4,30)-120, 
     "New", 
     IF(MAXIFS(dynamic[orderCount], dynamic[customerID], B729)&lt;=2, 
        IF((DATE(2024,4,30) - MAXIFS(dynamic[orderDate], dynamic[customerID], B729)) &gt; 180, "Non-Returning", "Dormant"), 
        IF(AND(MAX(dynamic[sinceLastOrder]) &gt; 365, (DATE(2024,4,30) - MAXIFS(dynamic[orderDate], dynamic[customerID], B729)) &gt; 180), 
           "Dormant", "Regular")))</f>
        <v>Regular</v>
      </c>
      <c r="H729" s="6">
        <v>17.0</v>
      </c>
      <c r="I729" s="9" t="str">
        <f>VLOOKUP(dynamic[productID],products[],2,FALSE)</f>
        <v>Alice Mutton</v>
      </c>
      <c r="J729" s="9" t="str">
        <f>VLOOKUP(dynamic[productID],products[],12,FALSE)</f>
        <v>Meat/Poultry</v>
      </c>
      <c r="K729" s="7" t="str">
        <f>IF(VLOOKUP(dynamic[productID],products[],7,FALSE)=1,"Discontinued","Current")</f>
        <v>Discontinued</v>
      </c>
      <c r="L729" s="9">
        <f>VLOOKUP(dynamic[productID],products[],IF(YEAR(dynamic[orderDate])=2022,8,IF(YEAR(dynamic[orderDate])=2023,9,IF(YEAR(dynamic[orderDate])=2024,10,NA))),FALSE)</f>
        <v>24.83130504</v>
      </c>
      <c r="M729" s="9">
        <v>39.0</v>
      </c>
      <c r="N729" s="25">
        <f>(dynamic[orderPrice]-dynamic[productCost])/dynamic[productCost]</f>
        <v>0.5705980792</v>
      </c>
      <c r="O729" s="10">
        <v>25.0</v>
      </c>
      <c r="P729" s="25">
        <v>0.1</v>
      </c>
      <c r="Q729" s="9">
        <f>dynamic[orderPrice]*dynamic[orderQuantity]</f>
        <v>975</v>
      </c>
      <c r="R729" s="9">
        <f>dynamic[orderTotal]*(1-dynamic[discountApllied])</f>
        <v>877.5</v>
      </c>
      <c r="S729" s="9">
        <f>dynamic[revenue]-(dynamic[productCost]*dynamic[orderQuantity])</f>
        <v>256.717374</v>
      </c>
      <c r="T729" s="25">
        <f>IFERROR(dynamic[profit]/dynamic[revenue], 0)</f>
        <v>0.292555412</v>
      </c>
    </row>
    <row r="730" ht="15.75" customHeight="1">
      <c r="A730" s="6">
        <v>10523.0</v>
      </c>
      <c r="B730" s="7" t="s">
        <v>71</v>
      </c>
      <c r="C730" s="24" t="str">
        <f>VLOOKUP(dynamic[customerID],customers[],2,FALSE)</f>
        <v>Seven Seas Imports</v>
      </c>
      <c r="D730" s="24">
        <v>45047.0</v>
      </c>
      <c r="E730" s="6">
        <f>IFERROR(__xludf.DUMMYFUNCTION("COUNTUNIQUEIFS($A$2:$A730,$B$2:$B730,B730)"),5.0)</f>
        <v>5</v>
      </c>
      <c r="F730" s="6">
        <f t="shared" si="1"/>
        <v>50</v>
      </c>
      <c r="G730" s="6" t="str">
        <f>IF(MINIFS(dynamic[orderDate], dynamic[customerID], B730) &gt;= DATE(2024,4,30)-120, 
     "New", 
     IF(MAXIFS(dynamic[orderCount], dynamic[customerID], B730)&lt;=2, 
        IF((DATE(2024,4,30) - MAXIFS(dynamic[orderDate], dynamic[customerID], B730)) &gt; 180, "Non-Returning", "Dormant"), 
        IF(AND(MAX(dynamic[sinceLastOrder]) &gt; 365, (DATE(2024,4,30) - MAXIFS(dynamic[orderDate], dynamic[customerID], B730)) &gt; 180), 
           "Dormant", "Regular")))</f>
        <v>Regular</v>
      </c>
      <c r="H730" s="6">
        <v>20.0</v>
      </c>
      <c r="I730" s="9" t="str">
        <f>VLOOKUP(dynamic[productID],products[],2,FALSE)</f>
        <v>Sir Rodney's Marmalade</v>
      </c>
      <c r="J730" s="9" t="str">
        <f>VLOOKUP(dynamic[productID],products[],12,FALSE)</f>
        <v>Confections</v>
      </c>
      <c r="K730" s="7" t="str">
        <f>IF(VLOOKUP(dynamic[productID],products[],7,FALSE)=1,"Discontinued","Current")</f>
        <v>Current</v>
      </c>
      <c r="L730" s="9">
        <f>VLOOKUP(dynamic[productID],products[],IF(YEAR(dynamic[orderDate])=2022,8,IF(YEAR(dynamic[orderDate])=2023,9,IF(YEAR(dynamic[orderDate])=2024,10,NA))),FALSE)</f>
        <v>57.29342071</v>
      </c>
      <c r="M730" s="9">
        <v>81.0</v>
      </c>
      <c r="N730" s="25">
        <f>(dynamic[orderPrice]-dynamic[productCost])/dynamic[productCost]</f>
        <v>0.4137748976</v>
      </c>
      <c r="O730" s="10">
        <v>15.0</v>
      </c>
      <c r="P730" s="25">
        <v>0.1</v>
      </c>
      <c r="Q730" s="9">
        <f>dynamic[orderPrice]*dynamic[orderQuantity]</f>
        <v>1215</v>
      </c>
      <c r="R730" s="9">
        <f>dynamic[orderTotal]*(1-dynamic[discountApllied])</f>
        <v>1093.5</v>
      </c>
      <c r="S730" s="9">
        <f>dynamic[revenue]-(dynamic[productCost]*dynamic[orderQuantity])</f>
        <v>234.0986894</v>
      </c>
      <c r="T730" s="25">
        <f>IFERROR(dynamic[profit]/dynamic[revenue], 0)</f>
        <v>0.2140820204</v>
      </c>
    </row>
    <row r="731" ht="15.75" customHeight="1">
      <c r="A731" s="6">
        <v>10523.0</v>
      </c>
      <c r="B731" s="7" t="s">
        <v>71</v>
      </c>
      <c r="C731" s="24" t="str">
        <f>VLOOKUP(dynamic[customerID],customers[],2,FALSE)</f>
        <v>Seven Seas Imports</v>
      </c>
      <c r="D731" s="24">
        <v>45047.0</v>
      </c>
      <c r="E731" s="6">
        <f>IFERROR(__xludf.DUMMYFUNCTION("COUNTUNIQUEIFS($A$2:$A731,$B$2:$B731,B731)"),5.0)</f>
        <v>5</v>
      </c>
      <c r="F731" s="6">
        <f t="shared" si="1"/>
        <v>50</v>
      </c>
      <c r="G731" s="6" t="str">
        <f>IF(MINIFS(dynamic[orderDate], dynamic[customerID], B731) &gt;= DATE(2024,4,30)-120, 
     "New", 
     IF(MAXIFS(dynamic[orderCount], dynamic[customerID], B731)&lt;=2, 
        IF((DATE(2024,4,30) - MAXIFS(dynamic[orderDate], dynamic[customerID], B731)) &gt; 180, "Non-Returning", "Dormant"), 
        IF(AND(MAX(dynamic[sinceLastOrder]) &gt; 365, (DATE(2024,4,30) - MAXIFS(dynamic[orderDate], dynamic[customerID], B731)) &gt; 180), 
           "Dormant", "Regular")))</f>
        <v>Regular</v>
      </c>
      <c r="H731" s="6">
        <v>37.0</v>
      </c>
      <c r="I731" s="9" t="str">
        <f>VLOOKUP(dynamic[productID],products[],2,FALSE)</f>
        <v>Gravad lax</v>
      </c>
      <c r="J731" s="9" t="str">
        <f>VLOOKUP(dynamic[productID],products[],12,FALSE)</f>
        <v>Seafood</v>
      </c>
      <c r="K731" s="7" t="str">
        <f>IF(VLOOKUP(dynamic[productID],products[],7,FALSE)=1,"Discontinued","Current")</f>
        <v>Current</v>
      </c>
      <c r="L731" s="9">
        <f>VLOOKUP(dynamic[productID],products[],IF(YEAR(dynamic[orderDate])=2022,8,IF(YEAR(dynamic[orderDate])=2023,9,IF(YEAR(dynamic[orderDate])=2024,10,NA))),FALSE)</f>
        <v>15.96170586</v>
      </c>
      <c r="M731" s="9">
        <v>26.0</v>
      </c>
      <c r="N731" s="25">
        <f>(dynamic[orderPrice]-dynamic[productCost])/dynamic[productCost]</f>
        <v>0.6288985793</v>
      </c>
      <c r="O731" s="10">
        <v>18.0</v>
      </c>
      <c r="P731" s="25">
        <v>0.1</v>
      </c>
      <c r="Q731" s="9">
        <f>dynamic[orderPrice]*dynamic[orderQuantity]</f>
        <v>468</v>
      </c>
      <c r="R731" s="9">
        <f>dynamic[orderTotal]*(1-dynamic[discountApllied])</f>
        <v>421.2</v>
      </c>
      <c r="S731" s="9">
        <f>dynamic[revenue]-(dynamic[productCost]*dynamic[orderQuantity])</f>
        <v>133.8892945</v>
      </c>
      <c r="T731" s="25">
        <f>IFERROR(dynamic[profit]/dynamic[revenue], 0)</f>
        <v>0.3178758179</v>
      </c>
    </row>
    <row r="732" ht="15.75" customHeight="1">
      <c r="A732" s="6">
        <v>10523.0</v>
      </c>
      <c r="B732" s="7" t="s">
        <v>71</v>
      </c>
      <c r="C732" s="24" t="str">
        <f>VLOOKUP(dynamic[customerID],customers[],2,FALSE)</f>
        <v>Seven Seas Imports</v>
      </c>
      <c r="D732" s="24">
        <v>45047.0</v>
      </c>
      <c r="E732" s="6">
        <f>IFERROR(__xludf.DUMMYFUNCTION("COUNTUNIQUEIFS($A$2:$A732,$B$2:$B732,B732)"),5.0)</f>
        <v>5</v>
      </c>
      <c r="F732" s="6">
        <f t="shared" si="1"/>
        <v>50</v>
      </c>
      <c r="G732" s="6" t="str">
        <f>IF(MINIFS(dynamic[orderDate], dynamic[customerID], B732) &gt;= DATE(2024,4,30)-120, 
     "New", 
     IF(MAXIFS(dynamic[orderCount], dynamic[customerID], B732)&lt;=2, 
        IF((DATE(2024,4,30) - MAXIFS(dynamic[orderDate], dynamic[customerID], B732)) &gt; 180, "Non-Returning", "Dormant"), 
        IF(AND(MAX(dynamic[sinceLastOrder]) &gt; 365, (DATE(2024,4,30) - MAXIFS(dynamic[orderDate], dynamic[customerID], B732)) &gt; 180), 
           "Dormant", "Regular")))</f>
        <v>Regular</v>
      </c>
      <c r="H732" s="6">
        <v>41.0</v>
      </c>
      <c r="I732" s="9" t="str">
        <f>VLOOKUP(dynamic[productID],products[],2,FALSE)</f>
        <v>Jack's New England Clam Chowder</v>
      </c>
      <c r="J732" s="9" t="str">
        <f>VLOOKUP(dynamic[productID],products[],12,FALSE)</f>
        <v>Seafood</v>
      </c>
      <c r="K732" s="7" t="str">
        <f>IF(VLOOKUP(dynamic[productID],products[],7,FALSE)=1,"Discontinued","Current")</f>
        <v>Current</v>
      </c>
      <c r="L732" s="9">
        <f>VLOOKUP(dynamic[productID],products[],IF(YEAR(dynamic[orderDate])=2022,8,IF(YEAR(dynamic[orderDate])=2023,9,IF(YEAR(dynamic[orderDate])=2024,10,NA))),FALSE)</f>
        <v>6.549914856</v>
      </c>
      <c r="M732" s="9">
        <v>9.65</v>
      </c>
      <c r="N732" s="25">
        <f>(dynamic[orderPrice]-dynamic[productCost])/dynamic[productCost]</f>
        <v>0.4733015943</v>
      </c>
      <c r="O732" s="10">
        <v>6.0</v>
      </c>
      <c r="P732" s="25">
        <v>0.1</v>
      </c>
      <c r="Q732" s="9">
        <f>dynamic[orderPrice]*dynamic[orderQuantity]</f>
        <v>57.9</v>
      </c>
      <c r="R732" s="9">
        <f>dynamic[orderTotal]*(1-dynamic[discountApllied])</f>
        <v>52.11</v>
      </c>
      <c r="S732" s="9">
        <f>dynamic[revenue]-(dynamic[productCost]*dynamic[orderQuantity])</f>
        <v>12.81051086</v>
      </c>
      <c r="T732" s="25">
        <f>IFERROR(dynamic[profit]/dynamic[revenue], 0)</f>
        <v>0.2458359406</v>
      </c>
    </row>
    <row r="733" ht="15.75" customHeight="1">
      <c r="A733" s="6">
        <v>10524.0</v>
      </c>
      <c r="B733" s="7" t="s">
        <v>40</v>
      </c>
      <c r="C733" s="24" t="str">
        <f>VLOOKUP(dynamic[customerID],customers[],2,FALSE)</f>
        <v>Berglunds snabbköp</v>
      </c>
      <c r="D733" s="24">
        <v>45047.0</v>
      </c>
      <c r="E733" s="6">
        <f>IFERROR(__xludf.DUMMYFUNCTION("COUNTUNIQUEIFS($A$2:$A733,$B$2:$B733,B733)"),6.0)</f>
        <v>6</v>
      </c>
      <c r="F733" s="6">
        <f t="shared" si="1"/>
        <v>77</v>
      </c>
      <c r="G733" s="6" t="str">
        <f>IF(MINIFS(dynamic[orderDate], dynamic[customerID], B733) &gt;= DATE(2024,4,30)-120, 
     "New", 
     IF(MAXIFS(dynamic[orderCount], dynamic[customerID], B733)&lt;=2, 
        IF((DATE(2024,4,30) - MAXIFS(dynamic[orderDate], dynamic[customerID], B733)) &gt; 180, "Non-Returning", "Dormant"), 
        IF(AND(MAX(dynamic[sinceLastOrder]) &gt; 365, (DATE(2024,4,30) - MAXIFS(dynamic[orderDate], dynamic[customerID], B733)) &gt; 180), 
           "Dormant", "Regular")))</f>
        <v>Regular</v>
      </c>
      <c r="H733" s="6">
        <v>10.0</v>
      </c>
      <c r="I733" s="9" t="str">
        <f>VLOOKUP(dynamic[productID],products[],2,FALSE)</f>
        <v>Ikura</v>
      </c>
      <c r="J733" s="9" t="str">
        <f>VLOOKUP(dynamic[productID],products[],12,FALSE)</f>
        <v>Seafood</v>
      </c>
      <c r="K733" s="7" t="str">
        <f>IF(VLOOKUP(dynamic[productID],products[],7,FALSE)=1,"Discontinued","Current")</f>
        <v>Current</v>
      </c>
      <c r="L733" s="9">
        <f>VLOOKUP(dynamic[productID],products[],IF(YEAR(dynamic[orderDate])=2022,8,IF(YEAR(dynamic[orderDate])=2023,9,IF(YEAR(dynamic[orderDate])=2024,10,NA))),FALSE)</f>
        <v>20.72721922</v>
      </c>
      <c r="M733" s="9">
        <v>31.0</v>
      </c>
      <c r="N733" s="25">
        <f>(dynamic[orderPrice]-dynamic[productCost])/dynamic[productCost]</f>
        <v>0.4956178962</v>
      </c>
      <c r="O733" s="10">
        <v>2.0</v>
      </c>
      <c r="P733" s="25">
        <v>0.0</v>
      </c>
      <c r="Q733" s="9">
        <f>dynamic[orderPrice]*dynamic[orderQuantity]</f>
        <v>62</v>
      </c>
      <c r="R733" s="9">
        <f>dynamic[orderTotal]*(1-dynamic[discountApllied])</f>
        <v>62</v>
      </c>
      <c r="S733" s="9">
        <f>dynamic[revenue]-(dynamic[productCost]*dynamic[orderQuantity])</f>
        <v>20.54556157</v>
      </c>
      <c r="T733" s="25">
        <f>IFERROR(dynamic[profit]/dynamic[revenue], 0)</f>
        <v>0.3313800252</v>
      </c>
    </row>
    <row r="734" ht="15.75" customHeight="1">
      <c r="A734" s="6">
        <v>10524.0</v>
      </c>
      <c r="B734" s="7" t="s">
        <v>40</v>
      </c>
      <c r="C734" s="24" t="str">
        <f>VLOOKUP(dynamic[customerID],customers[],2,FALSE)</f>
        <v>Berglunds snabbköp</v>
      </c>
      <c r="D734" s="24">
        <v>45047.0</v>
      </c>
      <c r="E734" s="6">
        <f>IFERROR(__xludf.DUMMYFUNCTION("COUNTUNIQUEIFS($A$2:$A734,$B$2:$B734,B734)"),6.0)</f>
        <v>6</v>
      </c>
      <c r="F734" s="6">
        <f t="shared" si="1"/>
        <v>77</v>
      </c>
      <c r="G734" s="6" t="str">
        <f>IF(MINIFS(dynamic[orderDate], dynamic[customerID], B734) &gt;= DATE(2024,4,30)-120, 
     "New", 
     IF(MAXIFS(dynamic[orderCount], dynamic[customerID], B734)&lt;=2, 
        IF((DATE(2024,4,30) - MAXIFS(dynamic[orderDate], dynamic[customerID], B734)) &gt; 180, "Non-Returning", "Dormant"), 
        IF(AND(MAX(dynamic[sinceLastOrder]) &gt; 365, (DATE(2024,4,30) - MAXIFS(dynamic[orderDate], dynamic[customerID], B734)) &gt; 180), 
           "Dormant", "Regular")))</f>
        <v>Regular</v>
      </c>
      <c r="H734" s="6">
        <v>30.0</v>
      </c>
      <c r="I734" s="9" t="str">
        <f>VLOOKUP(dynamic[productID],products[],2,FALSE)</f>
        <v>Nord-Ost Matjeshering</v>
      </c>
      <c r="J734" s="9" t="str">
        <f>VLOOKUP(dynamic[productID],products[],12,FALSE)</f>
        <v>Seafood</v>
      </c>
      <c r="K734" s="7" t="str">
        <f>IF(VLOOKUP(dynamic[productID],products[],7,FALSE)=1,"Discontinued","Current")</f>
        <v>Current</v>
      </c>
      <c r="L734" s="9">
        <f>VLOOKUP(dynamic[productID],products[],IF(YEAR(dynamic[orderDate])=2022,8,IF(YEAR(dynamic[orderDate])=2023,9,IF(YEAR(dynamic[orderDate])=2024,10,NA))),FALSE)</f>
        <v>16.03885249</v>
      </c>
      <c r="M734" s="9">
        <v>25.89</v>
      </c>
      <c r="N734" s="25">
        <f>(dynamic[orderPrice]-dynamic[productCost])/dynamic[productCost]</f>
        <v>0.6142052564</v>
      </c>
      <c r="O734" s="10">
        <v>10.0</v>
      </c>
      <c r="P734" s="25">
        <v>0.0</v>
      </c>
      <c r="Q734" s="9">
        <f>dynamic[orderPrice]*dynamic[orderQuantity]</f>
        <v>258.9</v>
      </c>
      <c r="R734" s="9">
        <f>dynamic[orderTotal]*(1-dynamic[discountApllied])</f>
        <v>258.9</v>
      </c>
      <c r="S734" s="9">
        <f>dynamic[revenue]-(dynamic[productCost]*dynamic[orderQuantity])</f>
        <v>98.51147507</v>
      </c>
      <c r="T734" s="25">
        <f>IFERROR(dynamic[profit]/dynamic[revenue], 0)</f>
        <v>0.3805000968</v>
      </c>
    </row>
    <row r="735" ht="15.75" customHeight="1">
      <c r="A735" s="6">
        <v>10524.0</v>
      </c>
      <c r="B735" s="7" t="s">
        <v>40</v>
      </c>
      <c r="C735" s="24" t="str">
        <f>VLOOKUP(dynamic[customerID],customers[],2,FALSE)</f>
        <v>Berglunds snabbköp</v>
      </c>
      <c r="D735" s="24">
        <v>45047.0</v>
      </c>
      <c r="E735" s="6">
        <f>IFERROR(__xludf.DUMMYFUNCTION("COUNTUNIQUEIFS($A$2:$A735,$B$2:$B735,B735)"),6.0)</f>
        <v>6</v>
      </c>
      <c r="F735" s="6">
        <f t="shared" si="1"/>
        <v>77</v>
      </c>
      <c r="G735" s="6" t="str">
        <f>IF(MINIFS(dynamic[orderDate], dynamic[customerID], B735) &gt;= DATE(2024,4,30)-120, 
     "New", 
     IF(MAXIFS(dynamic[orderCount], dynamic[customerID], B735)&lt;=2, 
        IF((DATE(2024,4,30) - MAXIFS(dynamic[orderDate], dynamic[customerID], B735)) &gt; 180, "Non-Returning", "Dormant"), 
        IF(AND(MAX(dynamic[sinceLastOrder]) &gt; 365, (DATE(2024,4,30) - MAXIFS(dynamic[orderDate], dynamic[customerID], B735)) &gt; 180), 
           "Dormant", "Regular")))</f>
        <v>Regular</v>
      </c>
      <c r="H735" s="6">
        <v>43.0</v>
      </c>
      <c r="I735" s="9" t="str">
        <f>VLOOKUP(dynamic[productID],products[],2,FALSE)</f>
        <v>Ipoh Coffee</v>
      </c>
      <c r="J735" s="9" t="str">
        <f>VLOOKUP(dynamic[productID],products[],12,FALSE)</f>
        <v>Beverages</v>
      </c>
      <c r="K735" s="7" t="str">
        <f>IF(VLOOKUP(dynamic[productID],products[],7,FALSE)=1,"Discontinued","Current")</f>
        <v>Current</v>
      </c>
      <c r="L735" s="9">
        <f>VLOOKUP(dynamic[productID],products[],IF(YEAR(dynamic[orderDate])=2022,8,IF(YEAR(dynamic[orderDate])=2023,9,IF(YEAR(dynamic[orderDate])=2024,10,NA))),FALSE)</f>
        <v>30.96256564</v>
      </c>
      <c r="M735" s="9">
        <v>46.0</v>
      </c>
      <c r="N735" s="25">
        <f>(dynamic[orderPrice]-dynamic[productCost])/dynamic[productCost]</f>
        <v>0.4856649976</v>
      </c>
      <c r="O735" s="10">
        <v>60.0</v>
      </c>
      <c r="P735" s="25">
        <v>0.0</v>
      </c>
      <c r="Q735" s="9">
        <f>dynamic[orderPrice]*dynamic[orderQuantity]</f>
        <v>2760</v>
      </c>
      <c r="R735" s="9">
        <f>dynamic[orderTotal]*(1-dynamic[discountApllied])</f>
        <v>2760</v>
      </c>
      <c r="S735" s="9">
        <f>dynamic[revenue]-(dynamic[productCost]*dynamic[orderQuantity])</f>
        <v>902.2460619</v>
      </c>
      <c r="T735" s="25">
        <f>IFERROR(dynamic[profit]/dynamic[revenue], 0)</f>
        <v>0.3269007471</v>
      </c>
    </row>
    <row r="736" ht="15.75" customHeight="1">
      <c r="A736" s="6">
        <v>10524.0</v>
      </c>
      <c r="B736" s="7" t="s">
        <v>40</v>
      </c>
      <c r="C736" s="24" t="str">
        <f>VLOOKUP(dynamic[customerID],customers[],2,FALSE)</f>
        <v>Berglunds snabbköp</v>
      </c>
      <c r="D736" s="24">
        <v>45047.0</v>
      </c>
      <c r="E736" s="6">
        <f>IFERROR(__xludf.DUMMYFUNCTION("COUNTUNIQUEIFS($A$2:$A736,$B$2:$B736,B736)"),6.0)</f>
        <v>6</v>
      </c>
      <c r="F736" s="6">
        <f t="shared" si="1"/>
        <v>77</v>
      </c>
      <c r="G736" s="6" t="str">
        <f>IF(MINIFS(dynamic[orderDate], dynamic[customerID], B736) &gt;= DATE(2024,4,30)-120, 
     "New", 
     IF(MAXIFS(dynamic[orderCount], dynamic[customerID], B736)&lt;=2, 
        IF((DATE(2024,4,30) - MAXIFS(dynamic[orderDate], dynamic[customerID], B736)) &gt; 180, "Non-Returning", "Dormant"), 
        IF(AND(MAX(dynamic[sinceLastOrder]) &gt; 365, (DATE(2024,4,30) - MAXIFS(dynamic[orderDate], dynamic[customerID], B736)) &gt; 180), 
           "Dormant", "Regular")))</f>
        <v>Regular</v>
      </c>
      <c r="H736" s="6">
        <v>54.0</v>
      </c>
      <c r="I736" s="9" t="str">
        <f>VLOOKUP(dynamic[productID],products[],2,FALSE)</f>
        <v>Tourtière</v>
      </c>
      <c r="J736" s="9" t="str">
        <f>VLOOKUP(dynamic[productID],products[],12,FALSE)</f>
        <v>Meat/Poultry</v>
      </c>
      <c r="K736" s="7" t="str">
        <f>IF(VLOOKUP(dynamic[productID],products[],7,FALSE)=1,"Discontinued","Current")</f>
        <v>Current</v>
      </c>
      <c r="L736" s="9">
        <f>VLOOKUP(dynamic[productID],products[],IF(YEAR(dynamic[orderDate])=2022,8,IF(YEAR(dynamic[orderDate])=2023,9,IF(YEAR(dynamic[orderDate])=2024,10,NA))),FALSE)</f>
        <v>4.924447797</v>
      </c>
      <c r="M736" s="9">
        <v>7.45</v>
      </c>
      <c r="N736" s="25">
        <f>(dynamic[orderPrice]-dynamic[productCost])/dynamic[productCost]</f>
        <v>0.5128599808</v>
      </c>
      <c r="O736" s="10">
        <v>15.0</v>
      </c>
      <c r="P736" s="25">
        <v>0.0</v>
      </c>
      <c r="Q736" s="9">
        <f>dynamic[orderPrice]*dynamic[orderQuantity]</f>
        <v>111.75</v>
      </c>
      <c r="R736" s="9">
        <f>dynamic[orderTotal]*(1-dynamic[discountApllied])</f>
        <v>111.75</v>
      </c>
      <c r="S736" s="9">
        <f>dynamic[revenue]-(dynamic[productCost]*dynamic[orderQuantity])</f>
        <v>37.88328304</v>
      </c>
      <c r="T736" s="25">
        <f>IFERROR(dynamic[profit]/dynamic[revenue], 0)</f>
        <v>0.3390002957</v>
      </c>
    </row>
    <row r="737" ht="15.75" customHeight="1">
      <c r="A737" s="6">
        <v>10525.0</v>
      </c>
      <c r="B737" s="7" t="s">
        <v>63</v>
      </c>
      <c r="C737" s="24" t="str">
        <f>VLOOKUP(dynamic[customerID],customers[],2,FALSE)</f>
        <v>Bon app'</v>
      </c>
      <c r="D737" s="24">
        <v>45048.0</v>
      </c>
      <c r="E737" s="6">
        <f>IFERROR(__xludf.DUMMYFUNCTION("COUNTUNIQUEIFS($A$2:$A737,$B$2:$B737,B737)"),6.0)</f>
        <v>6</v>
      </c>
      <c r="F737" s="6">
        <f t="shared" si="1"/>
        <v>14</v>
      </c>
      <c r="G737" s="6" t="str">
        <f>IF(MINIFS(dynamic[orderDate], dynamic[customerID], B737) &gt;= DATE(2024,4,30)-120, 
     "New", 
     IF(MAXIFS(dynamic[orderCount], dynamic[customerID], B737)&lt;=2, 
        IF((DATE(2024,4,30) - MAXIFS(dynamic[orderDate], dynamic[customerID], B737)) &gt; 180, "Non-Returning", "Dormant"), 
        IF(AND(MAX(dynamic[sinceLastOrder]) &gt; 365, (DATE(2024,4,30) - MAXIFS(dynamic[orderDate], dynamic[customerID], B737)) &gt; 180), 
           "Dormant", "Regular")))</f>
        <v>Regular</v>
      </c>
      <c r="H737" s="6">
        <v>36.0</v>
      </c>
      <c r="I737" s="9" t="str">
        <f>VLOOKUP(dynamic[productID],products[],2,FALSE)</f>
        <v>Inlagd Sill</v>
      </c>
      <c r="J737" s="9" t="str">
        <f>VLOOKUP(dynamic[productID],products[],12,FALSE)</f>
        <v>Seafood</v>
      </c>
      <c r="K737" s="7" t="str">
        <f>IF(VLOOKUP(dynamic[productID],products[],7,FALSE)=1,"Discontinued","Current")</f>
        <v>Current</v>
      </c>
      <c r="L737" s="9">
        <f>VLOOKUP(dynamic[productID],products[],IF(YEAR(dynamic[orderDate])=2022,8,IF(YEAR(dynamic[orderDate])=2023,9,IF(YEAR(dynamic[orderDate])=2024,10,NA))),FALSE)</f>
        <v>12.15246269</v>
      </c>
      <c r="M737" s="9">
        <v>19.0</v>
      </c>
      <c r="N737" s="25">
        <f>(dynamic[orderPrice]-dynamic[productCost])/dynamic[productCost]</f>
        <v>0.5634691082</v>
      </c>
      <c r="O737" s="10">
        <v>30.0</v>
      </c>
      <c r="P737" s="25">
        <v>0.0</v>
      </c>
      <c r="Q737" s="9">
        <f>dynamic[orderPrice]*dynamic[orderQuantity]</f>
        <v>570</v>
      </c>
      <c r="R737" s="9">
        <f>dynamic[orderTotal]*(1-dynamic[discountApllied])</f>
        <v>570</v>
      </c>
      <c r="S737" s="9">
        <f>dynamic[revenue]-(dynamic[productCost]*dynamic[orderQuantity])</f>
        <v>205.4261194</v>
      </c>
      <c r="T737" s="25">
        <f>IFERROR(dynamic[profit]/dynamic[revenue], 0)</f>
        <v>0.3603967007</v>
      </c>
    </row>
    <row r="738" ht="15.75" customHeight="1">
      <c r="A738" s="6">
        <v>10525.0</v>
      </c>
      <c r="B738" s="7" t="s">
        <v>63</v>
      </c>
      <c r="C738" s="24" t="str">
        <f>VLOOKUP(dynamic[customerID],customers[],2,FALSE)</f>
        <v>Bon app'</v>
      </c>
      <c r="D738" s="24">
        <v>45048.0</v>
      </c>
      <c r="E738" s="6">
        <f>IFERROR(__xludf.DUMMYFUNCTION("COUNTUNIQUEIFS($A$2:$A738,$B$2:$B738,B738)"),6.0)</f>
        <v>6</v>
      </c>
      <c r="F738" s="6">
        <f t="shared" si="1"/>
        <v>14</v>
      </c>
      <c r="G738" s="6" t="str">
        <f>IF(MINIFS(dynamic[orderDate], dynamic[customerID], B738) &gt;= DATE(2024,4,30)-120, 
     "New", 
     IF(MAXIFS(dynamic[orderCount], dynamic[customerID], B738)&lt;=2, 
        IF((DATE(2024,4,30) - MAXIFS(dynamic[orderDate], dynamic[customerID], B738)) &gt; 180, "Non-Returning", "Dormant"), 
        IF(AND(MAX(dynamic[sinceLastOrder]) &gt; 365, (DATE(2024,4,30) - MAXIFS(dynamic[orderDate], dynamic[customerID], B738)) &gt; 180), 
           "Dormant", "Regular")))</f>
        <v>Regular</v>
      </c>
      <c r="H738" s="6">
        <v>40.0</v>
      </c>
      <c r="I738" s="9" t="str">
        <f>VLOOKUP(dynamic[productID],products[],2,FALSE)</f>
        <v>Boston Crab Meat</v>
      </c>
      <c r="J738" s="9" t="str">
        <f>VLOOKUP(dynamic[productID],products[],12,FALSE)</f>
        <v>Seafood</v>
      </c>
      <c r="K738" s="7" t="str">
        <f>IF(VLOOKUP(dynamic[productID],products[],7,FALSE)=1,"Discontinued","Current")</f>
        <v>Current</v>
      </c>
      <c r="L738" s="9">
        <f>VLOOKUP(dynamic[productID],products[],IF(YEAR(dynamic[orderDate])=2022,8,IF(YEAR(dynamic[orderDate])=2023,9,IF(YEAR(dynamic[orderDate])=2024,10,NA))),FALSE)</f>
        <v>11.40496523</v>
      </c>
      <c r="M738" s="9">
        <v>18.4</v>
      </c>
      <c r="N738" s="25">
        <f>(dynamic[orderPrice]-dynamic[productCost])/dynamic[productCost]</f>
        <v>0.6133324069</v>
      </c>
      <c r="O738" s="10">
        <v>15.0</v>
      </c>
      <c r="P738" s="25">
        <v>0.1</v>
      </c>
      <c r="Q738" s="9">
        <f>dynamic[orderPrice]*dynamic[orderQuantity]</f>
        <v>276</v>
      </c>
      <c r="R738" s="9">
        <f>dynamic[orderTotal]*(1-dynamic[discountApllied])</f>
        <v>248.4</v>
      </c>
      <c r="S738" s="9">
        <f>dynamic[revenue]-(dynamic[productCost]*dynamic[orderQuantity])</f>
        <v>77.32552159</v>
      </c>
      <c r="T738" s="25">
        <f>IFERROR(dynamic[profit]/dynamic[revenue], 0)</f>
        <v>0.3112943703</v>
      </c>
    </row>
    <row r="739" ht="15.75" customHeight="1">
      <c r="A739" s="6">
        <v>10526.0</v>
      </c>
      <c r="B739" s="7" t="s">
        <v>31</v>
      </c>
      <c r="C739" s="24" t="str">
        <f>VLOOKUP(dynamic[customerID],customers[],2,FALSE)</f>
        <v>Wartian Herkku</v>
      </c>
      <c r="D739" s="24">
        <v>45051.0</v>
      </c>
      <c r="E739" s="6">
        <f>IFERROR(__xludf.DUMMYFUNCTION("COUNTUNIQUEIFS($A$2:$A739,$B$2:$B739,B739)"),9.0)</f>
        <v>9</v>
      </c>
      <c r="F739" s="6">
        <f t="shared" si="1"/>
        <v>70</v>
      </c>
      <c r="G739" s="6" t="str">
        <f>IF(MINIFS(dynamic[orderDate], dynamic[customerID], B739) &gt;= DATE(2024,4,30)-120, 
     "New", 
     IF(MAXIFS(dynamic[orderCount], dynamic[customerID], B739)&lt;=2, 
        IF((DATE(2024,4,30) - MAXIFS(dynamic[orderDate], dynamic[customerID], B739)) &gt; 180, "Non-Returning", "Dormant"), 
        IF(AND(MAX(dynamic[sinceLastOrder]) &gt; 365, (DATE(2024,4,30) - MAXIFS(dynamic[orderDate], dynamic[customerID], B739)) &gt; 180), 
           "Dormant", "Regular")))</f>
        <v>Regular</v>
      </c>
      <c r="H739" s="6">
        <v>1.0</v>
      </c>
      <c r="I739" s="9" t="str">
        <f>VLOOKUP(dynamic[productID],products[],2,FALSE)</f>
        <v>Chai</v>
      </c>
      <c r="J739" s="9" t="str">
        <f>VLOOKUP(dynamic[productID],products[],12,FALSE)</f>
        <v>Beverages</v>
      </c>
      <c r="K739" s="7" t="str">
        <f>IF(VLOOKUP(dynamic[productID],products[],7,FALSE)=1,"Discontinued","Current")</f>
        <v>Current</v>
      </c>
      <c r="L739" s="9">
        <f>VLOOKUP(dynamic[productID],products[],IF(YEAR(dynamic[orderDate])=2022,8,IF(YEAR(dynamic[orderDate])=2023,9,IF(YEAR(dynamic[orderDate])=2024,10,NA))),FALSE)</f>
        <v>12.15847607</v>
      </c>
      <c r="M739" s="9">
        <v>18.0</v>
      </c>
      <c r="N739" s="25">
        <f>(dynamic[orderPrice]-dynamic[productCost])/dynamic[productCost]</f>
        <v>0.4804486927</v>
      </c>
      <c r="O739" s="10">
        <v>8.0</v>
      </c>
      <c r="P739" s="25">
        <v>0.15</v>
      </c>
      <c r="Q739" s="9">
        <f>dynamic[orderPrice]*dynamic[orderQuantity]</f>
        <v>144</v>
      </c>
      <c r="R739" s="9">
        <f>dynamic[orderTotal]*(1-dynamic[discountApllied])</f>
        <v>122.4</v>
      </c>
      <c r="S739" s="9">
        <f>dynamic[revenue]-(dynamic[productCost]*dynamic[orderQuantity])</f>
        <v>25.13219146</v>
      </c>
      <c r="T739" s="25">
        <f>IFERROR(dynamic[profit]/dynamic[revenue], 0)</f>
        <v>0.2053283616</v>
      </c>
    </row>
    <row r="740" ht="15.75" customHeight="1">
      <c r="A740" s="6">
        <v>10526.0</v>
      </c>
      <c r="B740" s="7" t="s">
        <v>31</v>
      </c>
      <c r="C740" s="24" t="str">
        <f>VLOOKUP(dynamic[customerID],customers[],2,FALSE)</f>
        <v>Wartian Herkku</v>
      </c>
      <c r="D740" s="24">
        <v>45051.0</v>
      </c>
      <c r="E740" s="6">
        <f>IFERROR(__xludf.DUMMYFUNCTION("COUNTUNIQUEIFS($A$2:$A740,$B$2:$B740,B740)"),9.0)</f>
        <v>9</v>
      </c>
      <c r="F740" s="6">
        <f t="shared" si="1"/>
        <v>70</v>
      </c>
      <c r="G740" s="6" t="str">
        <f>IF(MINIFS(dynamic[orderDate], dynamic[customerID], B740) &gt;= DATE(2024,4,30)-120, 
     "New", 
     IF(MAXIFS(dynamic[orderCount], dynamic[customerID], B740)&lt;=2, 
        IF((DATE(2024,4,30) - MAXIFS(dynamic[orderDate], dynamic[customerID], B740)) &gt; 180, "Non-Returning", "Dormant"), 
        IF(AND(MAX(dynamic[sinceLastOrder]) &gt; 365, (DATE(2024,4,30) - MAXIFS(dynamic[orderDate], dynamic[customerID], B740)) &gt; 180), 
           "Dormant", "Regular")))</f>
        <v>Regular</v>
      </c>
      <c r="H740" s="6">
        <v>13.0</v>
      </c>
      <c r="I740" s="9" t="str">
        <f>VLOOKUP(dynamic[productID],products[],2,FALSE)</f>
        <v>Konbu</v>
      </c>
      <c r="J740" s="9" t="str">
        <f>VLOOKUP(dynamic[productID],products[],12,FALSE)</f>
        <v>Seafood</v>
      </c>
      <c r="K740" s="7" t="str">
        <f>IF(VLOOKUP(dynamic[productID],products[],7,FALSE)=1,"Discontinued","Current")</f>
        <v>Current</v>
      </c>
      <c r="L740" s="9">
        <f>VLOOKUP(dynamic[productID],products[],IF(YEAR(dynamic[orderDate])=2022,8,IF(YEAR(dynamic[orderDate])=2023,9,IF(YEAR(dynamic[orderDate])=2024,10,NA))),FALSE)</f>
        <v>3.865774949</v>
      </c>
      <c r="M740" s="9">
        <v>6.0</v>
      </c>
      <c r="N740" s="25">
        <f>(dynamic[orderPrice]-dynamic[productCost])/dynamic[productCost]</f>
        <v>0.5520820739</v>
      </c>
      <c r="O740" s="10">
        <v>10.0</v>
      </c>
      <c r="P740" s="25">
        <v>0.0</v>
      </c>
      <c r="Q740" s="9">
        <f>dynamic[orderPrice]*dynamic[orderQuantity]</f>
        <v>60</v>
      </c>
      <c r="R740" s="9">
        <f>dynamic[orderTotal]*(1-dynamic[discountApllied])</f>
        <v>60</v>
      </c>
      <c r="S740" s="9">
        <f>dynamic[revenue]-(dynamic[productCost]*dynamic[orderQuantity])</f>
        <v>21.34225051</v>
      </c>
      <c r="T740" s="25">
        <f>IFERROR(dynamic[profit]/dynamic[revenue], 0)</f>
        <v>0.3557041752</v>
      </c>
    </row>
    <row r="741" ht="15.75" customHeight="1">
      <c r="A741" s="6">
        <v>10526.0</v>
      </c>
      <c r="B741" s="7" t="s">
        <v>31</v>
      </c>
      <c r="C741" s="24" t="str">
        <f>VLOOKUP(dynamic[customerID],customers[],2,FALSE)</f>
        <v>Wartian Herkku</v>
      </c>
      <c r="D741" s="24">
        <v>45051.0</v>
      </c>
      <c r="E741" s="6">
        <f>IFERROR(__xludf.DUMMYFUNCTION("COUNTUNIQUEIFS($A$2:$A741,$B$2:$B741,B741)"),9.0)</f>
        <v>9</v>
      </c>
      <c r="F741" s="6">
        <f t="shared" si="1"/>
        <v>70</v>
      </c>
      <c r="G741" s="6" t="str">
        <f>IF(MINIFS(dynamic[orderDate], dynamic[customerID], B741) &gt;= DATE(2024,4,30)-120, 
     "New", 
     IF(MAXIFS(dynamic[orderCount], dynamic[customerID], B741)&lt;=2, 
        IF((DATE(2024,4,30) - MAXIFS(dynamic[orderDate], dynamic[customerID], B741)) &gt; 180, "Non-Returning", "Dormant"), 
        IF(AND(MAX(dynamic[sinceLastOrder]) &gt; 365, (DATE(2024,4,30) - MAXIFS(dynamic[orderDate], dynamic[customerID], B741)) &gt; 180), 
           "Dormant", "Regular")))</f>
        <v>Regular</v>
      </c>
      <c r="H741" s="6">
        <v>56.0</v>
      </c>
      <c r="I741" s="9" t="str">
        <f>VLOOKUP(dynamic[productID],products[],2,FALSE)</f>
        <v>Gnocchi di nonna Alice</v>
      </c>
      <c r="J741" s="9" t="str">
        <f>VLOOKUP(dynamic[productID],products[],12,FALSE)</f>
        <v>Grains/Cereals</v>
      </c>
      <c r="K741" s="7" t="str">
        <f>IF(VLOOKUP(dynamic[productID],products[],7,FALSE)=1,"Discontinued","Current")</f>
        <v>Current</v>
      </c>
      <c r="L741" s="9">
        <f>VLOOKUP(dynamic[productID],products[],IF(YEAR(dynamic[orderDate])=2022,8,IF(YEAR(dynamic[orderDate])=2023,9,IF(YEAR(dynamic[orderDate])=2024,10,NA))),FALSE)</f>
        <v>24.28342441</v>
      </c>
      <c r="M741" s="9">
        <v>38.0</v>
      </c>
      <c r="N741" s="25">
        <f>(dynamic[orderPrice]-dynamic[productCost])/dynamic[productCost]</f>
        <v>0.5648534309</v>
      </c>
      <c r="O741" s="10">
        <v>30.0</v>
      </c>
      <c r="P741" s="25">
        <v>0.15</v>
      </c>
      <c r="Q741" s="9">
        <f>dynamic[orderPrice]*dynamic[orderQuantity]</f>
        <v>1140</v>
      </c>
      <c r="R741" s="9">
        <f>dynamic[orderTotal]*(1-dynamic[discountApllied])</f>
        <v>969</v>
      </c>
      <c r="S741" s="9">
        <f>dynamic[revenue]-(dynamic[productCost]*dynamic[orderQuantity])</f>
        <v>240.4972678</v>
      </c>
      <c r="T741" s="25">
        <f>IFERROR(dynamic[profit]/dynamic[revenue], 0)</f>
        <v>0.2481911948</v>
      </c>
    </row>
    <row r="742" ht="15.75" customHeight="1">
      <c r="A742" s="6">
        <v>10527.0</v>
      </c>
      <c r="B742" s="7" t="s">
        <v>36</v>
      </c>
      <c r="C742" s="24" t="str">
        <f>VLOOKUP(dynamic[customerID],customers[],2,FALSE)</f>
        <v>QUICK-Stop</v>
      </c>
      <c r="D742" s="24">
        <v>45051.0</v>
      </c>
      <c r="E742" s="6">
        <f>IFERROR(__xludf.DUMMYFUNCTION("COUNTUNIQUEIFS($A$2:$A742,$B$2:$B742,B742)"),10.0)</f>
        <v>10</v>
      </c>
      <c r="F742" s="6">
        <f t="shared" si="1"/>
        <v>12</v>
      </c>
      <c r="G742" s="6" t="str">
        <f>IF(MINIFS(dynamic[orderDate], dynamic[customerID], B742) &gt;= DATE(2024,4,30)-120, 
     "New", 
     IF(MAXIFS(dynamic[orderCount], dynamic[customerID], B742)&lt;=2, 
        IF((DATE(2024,4,30) - MAXIFS(dynamic[orderDate], dynamic[customerID], B742)) &gt; 180, "Non-Returning", "Dormant"), 
        IF(AND(MAX(dynamic[sinceLastOrder]) &gt; 365, (DATE(2024,4,30) - MAXIFS(dynamic[orderDate], dynamic[customerID], B742)) &gt; 180), 
           "Dormant", "Regular")))</f>
        <v>Regular</v>
      </c>
      <c r="H742" s="6">
        <v>4.0</v>
      </c>
      <c r="I742" s="9" t="str">
        <f>VLOOKUP(dynamic[productID],products[],2,FALSE)</f>
        <v>Chef Anton's Cajun Seasoning</v>
      </c>
      <c r="J742" s="9" t="str">
        <f>VLOOKUP(dynamic[productID],products[],12,FALSE)</f>
        <v>Condiments</v>
      </c>
      <c r="K742" s="7" t="str">
        <f>IF(VLOOKUP(dynamic[productID],products[],7,FALSE)=1,"Discontinued","Current")</f>
        <v>Current</v>
      </c>
      <c r="L742" s="9">
        <f>VLOOKUP(dynamic[productID],products[],IF(YEAR(dynamic[orderDate])=2022,8,IF(YEAR(dynamic[orderDate])=2023,9,IF(YEAR(dynamic[orderDate])=2024,10,NA))),FALSE)</f>
        <v>13.81047124</v>
      </c>
      <c r="M742" s="9">
        <v>22.0</v>
      </c>
      <c r="N742" s="25">
        <f>(dynamic[orderPrice]-dynamic[productCost])/dynamic[productCost]</f>
        <v>0.5929941577</v>
      </c>
      <c r="O742" s="10">
        <v>50.0</v>
      </c>
      <c r="P742" s="25">
        <v>0.1</v>
      </c>
      <c r="Q742" s="9">
        <f>dynamic[orderPrice]*dynamic[orderQuantity]</f>
        <v>1100</v>
      </c>
      <c r="R742" s="9">
        <f>dynamic[orderTotal]*(1-dynamic[discountApllied])</f>
        <v>990</v>
      </c>
      <c r="S742" s="9">
        <f>dynamic[revenue]-(dynamic[productCost]*dynamic[orderQuantity])</f>
        <v>299.476438</v>
      </c>
      <c r="T742" s="25">
        <f>IFERROR(dynamic[profit]/dynamic[revenue], 0)</f>
        <v>0.3025014525</v>
      </c>
    </row>
    <row r="743" ht="15.75" customHeight="1">
      <c r="A743" s="6">
        <v>10527.0</v>
      </c>
      <c r="B743" s="7" t="s">
        <v>36</v>
      </c>
      <c r="C743" s="24" t="str">
        <f>VLOOKUP(dynamic[customerID],customers[],2,FALSE)</f>
        <v>QUICK-Stop</v>
      </c>
      <c r="D743" s="24">
        <v>45051.0</v>
      </c>
      <c r="E743" s="6">
        <f>IFERROR(__xludf.DUMMYFUNCTION("COUNTUNIQUEIFS($A$2:$A743,$B$2:$B743,B743)"),10.0)</f>
        <v>10</v>
      </c>
      <c r="F743" s="6">
        <f t="shared" si="1"/>
        <v>12</v>
      </c>
      <c r="G743" s="6" t="str">
        <f>IF(MINIFS(dynamic[orderDate], dynamic[customerID], B743) &gt;= DATE(2024,4,30)-120, 
     "New", 
     IF(MAXIFS(dynamic[orderCount], dynamic[customerID], B743)&lt;=2, 
        IF((DATE(2024,4,30) - MAXIFS(dynamic[orderDate], dynamic[customerID], B743)) &gt; 180, "Non-Returning", "Dormant"), 
        IF(AND(MAX(dynamic[sinceLastOrder]) &gt; 365, (DATE(2024,4,30) - MAXIFS(dynamic[orderDate], dynamic[customerID], B743)) &gt; 180), 
           "Dormant", "Regular")))</f>
        <v>Regular</v>
      </c>
      <c r="H743" s="6">
        <v>36.0</v>
      </c>
      <c r="I743" s="9" t="str">
        <f>VLOOKUP(dynamic[productID],products[],2,FALSE)</f>
        <v>Inlagd Sill</v>
      </c>
      <c r="J743" s="9" t="str">
        <f>VLOOKUP(dynamic[productID],products[],12,FALSE)</f>
        <v>Seafood</v>
      </c>
      <c r="K743" s="7" t="str">
        <f>IF(VLOOKUP(dynamic[productID],products[],7,FALSE)=1,"Discontinued","Current")</f>
        <v>Current</v>
      </c>
      <c r="L743" s="9">
        <f>VLOOKUP(dynamic[productID],products[],IF(YEAR(dynamic[orderDate])=2022,8,IF(YEAR(dynamic[orderDate])=2023,9,IF(YEAR(dynamic[orderDate])=2024,10,NA))),FALSE)</f>
        <v>12.15246269</v>
      </c>
      <c r="M743" s="9">
        <v>19.0</v>
      </c>
      <c r="N743" s="25">
        <f>(dynamic[orderPrice]-dynamic[productCost])/dynamic[productCost]</f>
        <v>0.5634691082</v>
      </c>
      <c r="O743" s="10">
        <v>30.0</v>
      </c>
      <c r="P743" s="25">
        <v>0.1</v>
      </c>
      <c r="Q743" s="9">
        <f>dynamic[orderPrice]*dynamic[orderQuantity]</f>
        <v>570</v>
      </c>
      <c r="R743" s="9">
        <f>dynamic[orderTotal]*(1-dynamic[discountApllied])</f>
        <v>513</v>
      </c>
      <c r="S743" s="9">
        <f>dynamic[revenue]-(dynamic[productCost]*dynamic[orderQuantity])</f>
        <v>148.4261194</v>
      </c>
      <c r="T743" s="25">
        <f>IFERROR(dynamic[profit]/dynamic[revenue], 0)</f>
        <v>0.2893296674</v>
      </c>
    </row>
    <row r="744" ht="15.75" customHeight="1">
      <c r="A744" s="6">
        <v>10528.0</v>
      </c>
      <c r="B744" s="7" t="s">
        <v>94</v>
      </c>
      <c r="C744" s="24" t="str">
        <f>VLOOKUP(dynamic[customerID],customers[],2,FALSE)</f>
        <v>Great Lakes Food Market</v>
      </c>
      <c r="D744" s="24">
        <v>45052.0</v>
      </c>
      <c r="E744" s="6">
        <f>IFERROR(__xludf.DUMMYFUNCTION("COUNTUNIQUEIFS($A$2:$A744,$B$2:$B744,B744)"),1.0)</f>
        <v>1</v>
      </c>
      <c r="F744" s="6">
        <f t="shared" si="1"/>
        <v>0</v>
      </c>
      <c r="G744" s="6" t="str">
        <f>IF(MINIFS(dynamic[orderDate], dynamic[customerID], B744) &gt;= DATE(2024,4,30)-120, 
     "New", 
     IF(MAXIFS(dynamic[orderCount], dynamic[customerID], B744)&lt;=2, 
        IF((DATE(2024,4,30) - MAXIFS(dynamic[orderDate], dynamic[customerID], B744)) &gt; 180, "Non-Returning", "Dormant"), 
        IF(AND(MAX(dynamic[sinceLastOrder]) &gt; 365, (DATE(2024,4,30) - MAXIFS(dynamic[orderDate], dynamic[customerID], B744)) &gt; 180), 
           "Dormant", "Regular")))</f>
        <v>Regular</v>
      </c>
      <c r="H744" s="6">
        <v>11.0</v>
      </c>
      <c r="I744" s="9" t="str">
        <f>VLOOKUP(dynamic[productID],products[],2,FALSE)</f>
        <v>Queso Cabrales</v>
      </c>
      <c r="J744" s="9" t="str">
        <f>VLOOKUP(dynamic[productID],products[],12,FALSE)</f>
        <v>Dairy Products</v>
      </c>
      <c r="K744" s="7" t="str">
        <f>IF(VLOOKUP(dynamic[productID],products[],7,FALSE)=1,"Discontinued","Current")</f>
        <v>Current</v>
      </c>
      <c r="L744" s="9">
        <f>VLOOKUP(dynamic[productID],products[],IF(YEAR(dynamic[orderDate])=2022,8,IF(YEAR(dynamic[orderDate])=2023,9,IF(YEAR(dynamic[orderDate])=2024,10,NA))),FALSE)</f>
        <v>12.90188125</v>
      </c>
      <c r="M744" s="9">
        <v>21.0</v>
      </c>
      <c r="N744" s="25">
        <f>(dynamic[orderPrice]-dynamic[productCost])/dynamic[productCost]</f>
        <v>0.6276696079</v>
      </c>
      <c r="O744" s="10">
        <v>3.0</v>
      </c>
      <c r="P744" s="25">
        <v>0.0</v>
      </c>
      <c r="Q744" s="9">
        <f>dynamic[orderPrice]*dynamic[orderQuantity]</f>
        <v>63</v>
      </c>
      <c r="R744" s="9">
        <f>dynamic[orderTotal]*(1-dynamic[discountApllied])</f>
        <v>63</v>
      </c>
      <c r="S744" s="9">
        <f>dynamic[revenue]-(dynamic[productCost]*dynamic[orderQuantity])</f>
        <v>24.29435624</v>
      </c>
      <c r="T744" s="25">
        <f>IFERROR(dynamic[profit]/dynamic[revenue], 0)</f>
        <v>0.3856247023</v>
      </c>
    </row>
    <row r="745" ht="15.75" customHeight="1">
      <c r="A745" s="6">
        <v>10528.0</v>
      </c>
      <c r="B745" s="7" t="s">
        <v>94</v>
      </c>
      <c r="C745" s="24" t="str">
        <f>VLOOKUP(dynamic[customerID],customers[],2,FALSE)</f>
        <v>Great Lakes Food Market</v>
      </c>
      <c r="D745" s="24">
        <v>45052.0</v>
      </c>
      <c r="E745" s="6">
        <f>IFERROR(__xludf.DUMMYFUNCTION("COUNTUNIQUEIFS($A$2:$A745,$B$2:$B745,B745)"),1.0)</f>
        <v>1</v>
      </c>
      <c r="F745" s="6">
        <f t="shared" si="1"/>
        <v>0</v>
      </c>
      <c r="G745" s="6" t="str">
        <f>IF(MINIFS(dynamic[orderDate], dynamic[customerID], B745) &gt;= DATE(2024,4,30)-120, 
     "New", 
     IF(MAXIFS(dynamic[orderCount], dynamic[customerID], B745)&lt;=2, 
        IF((DATE(2024,4,30) - MAXIFS(dynamic[orderDate], dynamic[customerID], B745)) &gt; 180, "Non-Returning", "Dormant"), 
        IF(AND(MAX(dynamic[sinceLastOrder]) &gt; 365, (DATE(2024,4,30) - MAXIFS(dynamic[orderDate], dynamic[customerID], B745)) &gt; 180), 
           "Dormant", "Regular")))</f>
        <v>Regular</v>
      </c>
      <c r="H745" s="6">
        <v>33.0</v>
      </c>
      <c r="I745" s="9" t="str">
        <f>VLOOKUP(dynamic[productID],products[],2,FALSE)</f>
        <v>Geitost</v>
      </c>
      <c r="J745" s="9" t="str">
        <f>VLOOKUP(dynamic[productID],products[],12,FALSE)</f>
        <v>Dairy Products</v>
      </c>
      <c r="K745" s="7" t="str">
        <f>IF(VLOOKUP(dynamic[productID],products[],7,FALSE)=1,"Discontinued","Current")</f>
        <v>Current</v>
      </c>
      <c r="L745" s="9">
        <f>VLOOKUP(dynamic[productID],products[],IF(YEAR(dynamic[orderDate])=2022,8,IF(YEAR(dynamic[orderDate])=2023,9,IF(YEAR(dynamic[orderDate])=2024,10,NA))),FALSE)</f>
        <v>1.559072298</v>
      </c>
      <c r="M745" s="9">
        <v>2.5</v>
      </c>
      <c r="N745" s="25">
        <f>(dynamic[orderPrice]-dynamic[productCost])/dynamic[productCost]</f>
        <v>0.603517684</v>
      </c>
      <c r="O745" s="10">
        <v>8.0</v>
      </c>
      <c r="P745" s="25">
        <v>0.2</v>
      </c>
      <c r="Q745" s="9">
        <f>dynamic[orderPrice]*dynamic[orderQuantity]</f>
        <v>20</v>
      </c>
      <c r="R745" s="9">
        <f>dynamic[orderTotal]*(1-dynamic[discountApllied])</f>
        <v>16</v>
      </c>
      <c r="S745" s="9">
        <f>dynamic[revenue]-(dynamic[productCost]*dynamic[orderQuantity])</f>
        <v>3.527421619</v>
      </c>
      <c r="T745" s="25">
        <f>IFERROR(dynamic[profit]/dynamic[revenue], 0)</f>
        <v>0.2204638512</v>
      </c>
    </row>
    <row r="746" ht="15.75" customHeight="1">
      <c r="A746" s="6">
        <v>10528.0</v>
      </c>
      <c r="B746" s="7" t="s">
        <v>94</v>
      </c>
      <c r="C746" s="24" t="str">
        <f>VLOOKUP(dynamic[customerID],customers[],2,FALSE)</f>
        <v>Great Lakes Food Market</v>
      </c>
      <c r="D746" s="24">
        <v>45052.0</v>
      </c>
      <c r="E746" s="6">
        <f>IFERROR(__xludf.DUMMYFUNCTION("COUNTUNIQUEIFS($A$2:$A746,$B$2:$B746,B746)"),1.0)</f>
        <v>1</v>
      </c>
      <c r="F746" s="6">
        <f t="shared" si="1"/>
        <v>0</v>
      </c>
      <c r="G746" s="6" t="str">
        <f>IF(MINIFS(dynamic[orderDate], dynamic[customerID], B746) &gt;= DATE(2024,4,30)-120, 
     "New", 
     IF(MAXIFS(dynamic[orderCount], dynamic[customerID], B746)&lt;=2, 
        IF((DATE(2024,4,30) - MAXIFS(dynamic[orderDate], dynamic[customerID], B746)) &gt; 180, "Non-Returning", "Dormant"), 
        IF(AND(MAX(dynamic[sinceLastOrder]) &gt; 365, (DATE(2024,4,30) - MAXIFS(dynamic[orderDate], dynamic[customerID], B746)) &gt; 180), 
           "Dormant", "Regular")))</f>
        <v>Regular</v>
      </c>
      <c r="H746" s="6">
        <v>72.0</v>
      </c>
      <c r="I746" s="9" t="str">
        <f>VLOOKUP(dynamic[productID],products[],2,FALSE)</f>
        <v>Mozzarella di Giovanni</v>
      </c>
      <c r="J746" s="9" t="str">
        <f>VLOOKUP(dynamic[productID],products[],12,FALSE)</f>
        <v>Dairy Products</v>
      </c>
      <c r="K746" s="7" t="str">
        <f>IF(VLOOKUP(dynamic[productID],products[],7,FALSE)=1,"Discontinued","Current")</f>
        <v>Current</v>
      </c>
      <c r="L746" s="9">
        <f>VLOOKUP(dynamic[productID],products[],IF(YEAR(dynamic[orderDate])=2022,8,IF(YEAR(dynamic[orderDate])=2023,9,IF(YEAR(dynamic[orderDate])=2024,10,NA))),FALSE)</f>
        <v>23.51933768</v>
      </c>
      <c r="M746" s="9">
        <v>34.8</v>
      </c>
      <c r="N746" s="25">
        <f>(dynamic[orderPrice]-dynamic[productCost])/dynamic[productCost]</f>
        <v>0.4796335031</v>
      </c>
      <c r="O746" s="10">
        <v>9.0</v>
      </c>
      <c r="P746" s="25">
        <v>0.0</v>
      </c>
      <c r="Q746" s="9">
        <f>dynamic[orderPrice]*dynamic[orderQuantity]</f>
        <v>313.2</v>
      </c>
      <c r="R746" s="9">
        <f>dynamic[orderTotal]*(1-dynamic[discountApllied])</f>
        <v>313.2</v>
      </c>
      <c r="S746" s="9">
        <f>dynamic[revenue]-(dynamic[productCost]*dynamic[orderQuantity])</f>
        <v>101.5259609</v>
      </c>
      <c r="T746" s="25">
        <f>IFERROR(dynamic[profit]/dynamic[revenue], 0)</f>
        <v>0.3241569633</v>
      </c>
    </row>
    <row r="747" ht="15.75" customHeight="1">
      <c r="A747" s="6">
        <v>10529.0</v>
      </c>
      <c r="B747" s="7" t="s">
        <v>95</v>
      </c>
      <c r="C747" s="24" t="str">
        <f>VLOOKUP(dynamic[customerID],customers[],2,FALSE)</f>
        <v>Maison Dewey</v>
      </c>
      <c r="D747" s="24">
        <v>45053.0</v>
      </c>
      <c r="E747" s="6">
        <f>IFERROR(__xludf.DUMMYFUNCTION("COUNTUNIQUEIFS($A$2:$A747,$B$2:$B747,B747)"),1.0)</f>
        <v>1</v>
      </c>
      <c r="F747" s="6">
        <f t="shared" si="1"/>
        <v>0</v>
      </c>
      <c r="G747" s="6" t="str">
        <f>IF(MINIFS(dynamic[orderDate], dynamic[customerID], B747) &gt;= DATE(2024,4,30)-120, 
     "New", 
     IF(MAXIFS(dynamic[orderCount], dynamic[customerID], B747)&lt;=2, 
        IF((DATE(2024,4,30) - MAXIFS(dynamic[orderDate], dynamic[customerID], B747)) &gt; 180, "Non-Returning", "Dormant"), 
        IF(AND(MAX(dynamic[sinceLastOrder]) &gt; 365, (DATE(2024,4,30) - MAXIFS(dynamic[orderDate], dynamic[customerID], B747)) &gt; 180), 
           "Dormant", "Regular")))</f>
        <v>Regular</v>
      </c>
      <c r="H747" s="6">
        <v>55.0</v>
      </c>
      <c r="I747" s="9" t="str">
        <f>VLOOKUP(dynamic[productID],products[],2,FALSE)</f>
        <v>Pâté chinois</v>
      </c>
      <c r="J747" s="9" t="str">
        <f>VLOOKUP(dynamic[productID],products[],12,FALSE)</f>
        <v>Meat/Poultry</v>
      </c>
      <c r="K747" s="7" t="str">
        <f>IF(VLOOKUP(dynamic[productID],products[],7,FALSE)=1,"Discontinued","Current")</f>
        <v>Current</v>
      </c>
      <c r="L747" s="9">
        <f>VLOOKUP(dynamic[productID],products[],IF(YEAR(dynamic[orderDate])=2022,8,IF(YEAR(dynamic[orderDate])=2023,9,IF(YEAR(dynamic[orderDate])=2024,10,NA))),FALSE)</f>
        <v>14.92398776</v>
      </c>
      <c r="M747" s="9">
        <v>24.0</v>
      </c>
      <c r="N747" s="25">
        <f>(dynamic[orderPrice]-dynamic[productCost])/dynamic[productCost]</f>
        <v>0.6081492681</v>
      </c>
      <c r="O747" s="10">
        <v>14.0</v>
      </c>
      <c r="P747" s="25">
        <v>0.0</v>
      </c>
      <c r="Q747" s="9">
        <f>dynamic[orderPrice]*dynamic[orderQuantity]</f>
        <v>336</v>
      </c>
      <c r="R747" s="9">
        <f>dynamic[orderTotal]*(1-dynamic[discountApllied])</f>
        <v>336</v>
      </c>
      <c r="S747" s="9">
        <f>dynamic[revenue]-(dynamic[productCost]*dynamic[orderQuantity])</f>
        <v>127.0641713</v>
      </c>
      <c r="T747" s="25">
        <f>IFERROR(dynamic[profit]/dynamic[revenue], 0)</f>
        <v>0.3781671765</v>
      </c>
    </row>
    <row r="748" ht="15.75" customHeight="1">
      <c r="A748" s="6">
        <v>10529.0</v>
      </c>
      <c r="B748" s="7" t="s">
        <v>95</v>
      </c>
      <c r="C748" s="24" t="str">
        <f>VLOOKUP(dynamic[customerID],customers[],2,FALSE)</f>
        <v>Maison Dewey</v>
      </c>
      <c r="D748" s="24">
        <v>45053.0</v>
      </c>
      <c r="E748" s="6">
        <f>IFERROR(__xludf.DUMMYFUNCTION("COUNTUNIQUEIFS($A$2:$A748,$B$2:$B748,B748)"),1.0)</f>
        <v>1</v>
      </c>
      <c r="F748" s="6">
        <f t="shared" si="1"/>
        <v>0</v>
      </c>
      <c r="G748" s="6" t="str">
        <f>IF(MINIFS(dynamic[orderDate], dynamic[customerID], B748) &gt;= DATE(2024,4,30)-120, 
     "New", 
     IF(MAXIFS(dynamic[orderCount], dynamic[customerID], B748)&lt;=2, 
        IF((DATE(2024,4,30) - MAXIFS(dynamic[orderDate], dynamic[customerID], B748)) &gt; 180, "Non-Returning", "Dormant"), 
        IF(AND(MAX(dynamic[sinceLastOrder]) &gt; 365, (DATE(2024,4,30) - MAXIFS(dynamic[orderDate], dynamic[customerID], B748)) &gt; 180), 
           "Dormant", "Regular")))</f>
        <v>Regular</v>
      </c>
      <c r="H748" s="6">
        <v>68.0</v>
      </c>
      <c r="I748" s="9" t="str">
        <f>VLOOKUP(dynamic[productID],products[],2,FALSE)</f>
        <v>Scottish Longbreads</v>
      </c>
      <c r="J748" s="9" t="str">
        <f>VLOOKUP(dynamic[productID],products[],12,FALSE)</f>
        <v>Confections</v>
      </c>
      <c r="K748" s="7" t="str">
        <f>IF(VLOOKUP(dynamic[productID],products[],7,FALSE)=1,"Discontinued","Current")</f>
        <v>Current</v>
      </c>
      <c r="L748" s="9">
        <f>VLOOKUP(dynamic[productID],products[],IF(YEAR(dynamic[orderDate])=2022,8,IF(YEAR(dynamic[orderDate])=2023,9,IF(YEAR(dynamic[orderDate])=2024,10,NA))),FALSE)</f>
        <v>8.500000387</v>
      </c>
      <c r="M748" s="9">
        <v>12.5</v>
      </c>
      <c r="N748" s="25">
        <f>(dynamic[orderPrice]-dynamic[productCost])/dynamic[productCost]</f>
        <v>0.4705881684</v>
      </c>
      <c r="O748" s="10">
        <v>20.0</v>
      </c>
      <c r="P748" s="25">
        <v>0.0</v>
      </c>
      <c r="Q748" s="9">
        <f>dynamic[orderPrice]*dynamic[orderQuantity]</f>
        <v>250</v>
      </c>
      <c r="R748" s="9">
        <f>dynamic[orderTotal]*(1-dynamic[discountApllied])</f>
        <v>250</v>
      </c>
      <c r="S748" s="9">
        <f>dynamic[revenue]-(dynamic[productCost]*dynamic[orderQuantity])</f>
        <v>79.99999227</v>
      </c>
      <c r="T748" s="25">
        <f>IFERROR(dynamic[profit]/dynamic[revenue], 0)</f>
        <v>0.3199999691</v>
      </c>
    </row>
    <row r="749" ht="15.75" customHeight="1">
      <c r="A749" s="6">
        <v>10529.0</v>
      </c>
      <c r="B749" s="7" t="s">
        <v>95</v>
      </c>
      <c r="C749" s="24" t="str">
        <f>VLOOKUP(dynamic[customerID],customers[],2,FALSE)</f>
        <v>Maison Dewey</v>
      </c>
      <c r="D749" s="24">
        <v>45053.0</v>
      </c>
      <c r="E749" s="6">
        <f>IFERROR(__xludf.DUMMYFUNCTION("COUNTUNIQUEIFS($A$2:$A749,$B$2:$B749,B749)"),1.0)</f>
        <v>1</v>
      </c>
      <c r="F749" s="6">
        <f t="shared" si="1"/>
        <v>0</v>
      </c>
      <c r="G749" s="6" t="str">
        <f>IF(MINIFS(dynamic[orderDate], dynamic[customerID], B749) &gt;= DATE(2024,4,30)-120, 
     "New", 
     IF(MAXIFS(dynamic[orderCount], dynamic[customerID], B749)&lt;=2, 
        IF((DATE(2024,4,30) - MAXIFS(dynamic[orderDate], dynamic[customerID], B749)) &gt; 180, "Non-Returning", "Dormant"), 
        IF(AND(MAX(dynamic[sinceLastOrder]) &gt; 365, (DATE(2024,4,30) - MAXIFS(dynamic[orderDate], dynamic[customerID], B749)) &gt; 180), 
           "Dormant", "Regular")))</f>
        <v>Regular</v>
      </c>
      <c r="H749" s="6">
        <v>69.0</v>
      </c>
      <c r="I749" s="9" t="str">
        <f>VLOOKUP(dynamic[productID],products[],2,FALSE)</f>
        <v>Gudbrandsdalsost</v>
      </c>
      <c r="J749" s="9" t="str">
        <f>VLOOKUP(dynamic[productID],products[],12,FALSE)</f>
        <v>Dairy Products</v>
      </c>
      <c r="K749" s="7" t="str">
        <f>IF(VLOOKUP(dynamic[productID],products[],7,FALSE)=1,"Discontinued","Current")</f>
        <v>Current</v>
      </c>
      <c r="L749" s="9">
        <f>VLOOKUP(dynamic[productID],products[],IF(YEAR(dynamic[orderDate])=2022,8,IF(YEAR(dynamic[orderDate])=2023,9,IF(YEAR(dynamic[orderDate])=2024,10,NA))),FALSE)</f>
        <v>21.82428612</v>
      </c>
      <c r="M749" s="9">
        <v>36.0</v>
      </c>
      <c r="N749" s="25">
        <f>(dynamic[orderPrice]-dynamic[productCost])/dynamic[productCost]</f>
        <v>0.6495384916</v>
      </c>
      <c r="O749" s="10">
        <v>10.0</v>
      </c>
      <c r="P749" s="25">
        <v>0.0</v>
      </c>
      <c r="Q749" s="9">
        <f>dynamic[orderPrice]*dynamic[orderQuantity]</f>
        <v>360</v>
      </c>
      <c r="R749" s="9">
        <f>dynamic[orderTotal]*(1-dynamic[discountApllied])</f>
        <v>360</v>
      </c>
      <c r="S749" s="9">
        <f>dynamic[revenue]-(dynamic[productCost]*dynamic[orderQuantity])</f>
        <v>141.7571388</v>
      </c>
      <c r="T749" s="25">
        <f>IFERROR(dynamic[profit]/dynamic[revenue], 0)</f>
        <v>0.3937698301</v>
      </c>
    </row>
    <row r="750" ht="15.75" customHeight="1">
      <c r="A750" s="6">
        <v>10530.0</v>
      </c>
      <c r="B750" s="7" t="s">
        <v>69</v>
      </c>
      <c r="C750" s="24" t="str">
        <f>VLOOKUP(dynamic[customerID],customers[],2,FALSE)</f>
        <v>Piccolo und mehr</v>
      </c>
      <c r="D750" s="24">
        <v>45054.0</v>
      </c>
      <c r="E750" s="6">
        <f>IFERROR(__xludf.DUMMYFUNCTION("COUNTUNIQUEIFS($A$2:$A750,$B$2:$B750,B750)"),5.0)</f>
        <v>5</v>
      </c>
      <c r="F750" s="6">
        <f t="shared" si="1"/>
        <v>41</v>
      </c>
      <c r="G750" s="6" t="str">
        <f>IF(MINIFS(dynamic[orderDate], dynamic[customerID], B750) &gt;= DATE(2024,4,30)-120, 
     "New", 
     IF(MAXIFS(dynamic[orderCount], dynamic[customerID], B750)&lt;=2, 
        IF((DATE(2024,4,30) - MAXIFS(dynamic[orderDate], dynamic[customerID], B750)) &gt; 180, "Non-Returning", "Dormant"), 
        IF(AND(MAX(dynamic[sinceLastOrder]) &gt; 365, (DATE(2024,4,30) - MAXIFS(dynamic[orderDate], dynamic[customerID], B750)) &gt; 180), 
           "Dormant", "Regular")))</f>
        <v>Regular</v>
      </c>
      <c r="H750" s="6">
        <v>17.0</v>
      </c>
      <c r="I750" s="9" t="str">
        <f>VLOOKUP(dynamic[productID],products[],2,FALSE)</f>
        <v>Alice Mutton</v>
      </c>
      <c r="J750" s="9" t="str">
        <f>VLOOKUP(dynamic[productID],products[],12,FALSE)</f>
        <v>Meat/Poultry</v>
      </c>
      <c r="K750" s="7" t="str">
        <f>IF(VLOOKUP(dynamic[productID],products[],7,FALSE)=1,"Discontinued","Current")</f>
        <v>Discontinued</v>
      </c>
      <c r="L750" s="9">
        <f>VLOOKUP(dynamic[productID],products[],IF(YEAR(dynamic[orderDate])=2022,8,IF(YEAR(dynamic[orderDate])=2023,9,IF(YEAR(dynamic[orderDate])=2024,10,NA))),FALSE)</f>
        <v>24.83130504</v>
      </c>
      <c r="M750" s="9">
        <v>39.0</v>
      </c>
      <c r="N750" s="25">
        <f>(dynamic[orderPrice]-dynamic[productCost])/dynamic[productCost]</f>
        <v>0.5705980792</v>
      </c>
      <c r="O750" s="10">
        <v>40.0</v>
      </c>
      <c r="P750" s="25">
        <v>0.0</v>
      </c>
      <c r="Q750" s="9">
        <f>dynamic[orderPrice]*dynamic[orderQuantity]</f>
        <v>1560</v>
      </c>
      <c r="R750" s="9">
        <f>dynamic[orderTotal]*(1-dynamic[discountApllied])</f>
        <v>1560</v>
      </c>
      <c r="S750" s="9">
        <f>dynamic[revenue]-(dynamic[productCost]*dynamic[orderQuantity])</f>
        <v>566.7477984</v>
      </c>
      <c r="T750" s="25">
        <f>IFERROR(dynamic[profit]/dynamic[revenue], 0)</f>
        <v>0.3632998708</v>
      </c>
    </row>
    <row r="751" ht="15.75" customHeight="1">
      <c r="A751" s="6">
        <v>10530.0</v>
      </c>
      <c r="B751" s="7" t="s">
        <v>69</v>
      </c>
      <c r="C751" s="24" t="str">
        <f>VLOOKUP(dynamic[customerID],customers[],2,FALSE)</f>
        <v>Piccolo und mehr</v>
      </c>
      <c r="D751" s="24">
        <v>45054.0</v>
      </c>
      <c r="E751" s="6">
        <f>IFERROR(__xludf.DUMMYFUNCTION("COUNTUNIQUEIFS($A$2:$A751,$B$2:$B751,B751)"),5.0)</f>
        <v>5</v>
      </c>
      <c r="F751" s="6">
        <f t="shared" si="1"/>
        <v>41</v>
      </c>
      <c r="G751" s="6" t="str">
        <f>IF(MINIFS(dynamic[orderDate], dynamic[customerID], B751) &gt;= DATE(2024,4,30)-120, 
     "New", 
     IF(MAXIFS(dynamic[orderCount], dynamic[customerID], B751)&lt;=2, 
        IF((DATE(2024,4,30) - MAXIFS(dynamic[orderDate], dynamic[customerID], B751)) &gt; 180, "Non-Returning", "Dormant"), 
        IF(AND(MAX(dynamic[sinceLastOrder]) &gt; 365, (DATE(2024,4,30) - MAXIFS(dynamic[orderDate], dynamic[customerID], B751)) &gt; 180), 
           "Dormant", "Regular")))</f>
        <v>Regular</v>
      </c>
      <c r="H751" s="6">
        <v>43.0</v>
      </c>
      <c r="I751" s="9" t="str">
        <f>VLOOKUP(dynamic[productID],products[],2,FALSE)</f>
        <v>Ipoh Coffee</v>
      </c>
      <c r="J751" s="9" t="str">
        <f>VLOOKUP(dynamic[productID],products[],12,FALSE)</f>
        <v>Beverages</v>
      </c>
      <c r="K751" s="7" t="str">
        <f>IF(VLOOKUP(dynamic[productID],products[],7,FALSE)=1,"Discontinued","Current")</f>
        <v>Current</v>
      </c>
      <c r="L751" s="9">
        <f>VLOOKUP(dynamic[productID],products[],IF(YEAR(dynamic[orderDate])=2022,8,IF(YEAR(dynamic[orderDate])=2023,9,IF(YEAR(dynamic[orderDate])=2024,10,NA))),FALSE)</f>
        <v>30.96256564</v>
      </c>
      <c r="M751" s="9">
        <v>46.0</v>
      </c>
      <c r="N751" s="25">
        <f>(dynamic[orderPrice]-dynamic[productCost])/dynamic[productCost]</f>
        <v>0.4856649976</v>
      </c>
      <c r="O751" s="10">
        <v>25.0</v>
      </c>
      <c r="P751" s="25">
        <v>0.0</v>
      </c>
      <c r="Q751" s="9">
        <f>dynamic[orderPrice]*dynamic[orderQuantity]</f>
        <v>1150</v>
      </c>
      <c r="R751" s="9">
        <f>dynamic[orderTotal]*(1-dynamic[discountApllied])</f>
        <v>1150</v>
      </c>
      <c r="S751" s="9">
        <f>dynamic[revenue]-(dynamic[productCost]*dynamic[orderQuantity])</f>
        <v>375.9358591</v>
      </c>
      <c r="T751" s="25">
        <f>IFERROR(dynamic[profit]/dynamic[revenue], 0)</f>
        <v>0.3269007471</v>
      </c>
    </row>
    <row r="752" ht="15.75" customHeight="1">
      <c r="A752" s="6">
        <v>10530.0</v>
      </c>
      <c r="B752" s="7" t="s">
        <v>69</v>
      </c>
      <c r="C752" s="24" t="str">
        <f>VLOOKUP(dynamic[customerID],customers[],2,FALSE)</f>
        <v>Piccolo und mehr</v>
      </c>
      <c r="D752" s="24">
        <v>45054.0</v>
      </c>
      <c r="E752" s="6">
        <f>IFERROR(__xludf.DUMMYFUNCTION("COUNTUNIQUEIFS($A$2:$A752,$B$2:$B752,B752)"),5.0)</f>
        <v>5</v>
      </c>
      <c r="F752" s="6">
        <f t="shared" si="1"/>
        <v>41</v>
      </c>
      <c r="G752" s="6" t="str">
        <f>IF(MINIFS(dynamic[orderDate], dynamic[customerID], B752) &gt;= DATE(2024,4,30)-120, 
     "New", 
     IF(MAXIFS(dynamic[orderCount], dynamic[customerID], B752)&lt;=2, 
        IF((DATE(2024,4,30) - MAXIFS(dynamic[orderDate], dynamic[customerID], B752)) &gt; 180, "Non-Returning", "Dormant"), 
        IF(AND(MAX(dynamic[sinceLastOrder]) &gt; 365, (DATE(2024,4,30) - MAXIFS(dynamic[orderDate], dynamic[customerID], B752)) &gt; 180), 
           "Dormant", "Regular")))</f>
        <v>Regular</v>
      </c>
      <c r="H752" s="6">
        <v>61.0</v>
      </c>
      <c r="I752" s="9" t="str">
        <f>VLOOKUP(dynamic[productID],products[],2,FALSE)</f>
        <v>Sirop d'érable</v>
      </c>
      <c r="J752" s="9" t="str">
        <f>VLOOKUP(dynamic[productID],products[],12,FALSE)</f>
        <v>Condiments</v>
      </c>
      <c r="K752" s="7" t="str">
        <f>IF(VLOOKUP(dynamic[productID],products[],7,FALSE)=1,"Discontinued","Current")</f>
        <v>Current</v>
      </c>
      <c r="L752" s="9">
        <f>VLOOKUP(dynamic[productID],products[],IF(YEAR(dynamic[orderDate])=2022,8,IF(YEAR(dynamic[orderDate])=2023,9,IF(YEAR(dynamic[orderDate])=2024,10,NA))),FALSE)</f>
        <v>17.19945448</v>
      </c>
      <c r="M752" s="9">
        <v>28.5</v>
      </c>
      <c r="N752" s="25">
        <f>(dynamic[orderPrice]-dynamic[productCost])/dynamic[productCost]</f>
        <v>0.6570292986</v>
      </c>
      <c r="O752" s="10">
        <v>20.0</v>
      </c>
      <c r="P752" s="25">
        <v>0.0</v>
      </c>
      <c r="Q752" s="9">
        <f>dynamic[orderPrice]*dynamic[orderQuantity]</f>
        <v>570</v>
      </c>
      <c r="R752" s="9">
        <f>dynamic[orderTotal]*(1-dynamic[discountApllied])</f>
        <v>570</v>
      </c>
      <c r="S752" s="9">
        <f>dynamic[revenue]-(dynamic[productCost]*dynamic[orderQuantity])</f>
        <v>226.0109103</v>
      </c>
      <c r="T752" s="25">
        <f>IFERROR(dynamic[profit]/dynamic[revenue], 0)</f>
        <v>0.396510369</v>
      </c>
    </row>
    <row r="753" ht="15.75" customHeight="1">
      <c r="A753" s="6">
        <v>10530.0</v>
      </c>
      <c r="B753" s="7" t="s">
        <v>69</v>
      </c>
      <c r="C753" s="24" t="str">
        <f>VLOOKUP(dynamic[customerID],customers[],2,FALSE)</f>
        <v>Piccolo und mehr</v>
      </c>
      <c r="D753" s="24">
        <v>45054.0</v>
      </c>
      <c r="E753" s="6">
        <f>IFERROR(__xludf.DUMMYFUNCTION("COUNTUNIQUEIFS($A$2:$A753,$B$2:$B753,B753)"),5.0)</f>
        <v>5</v>
      </c>
      <c r="F753" s="6">
        <f t="shared" si="1"/>
        <v>41</v>
      </c>
      <c r="G753" s="6" t="str">
        <f>IF(MINIFS(dynamic[orderDate], dynamic[customerID], B753) &gt;= DATE(2024,4,30)-120, 
     "New", 
     IF(MAXIFS(dynamic[orderCount], dynamic[customerID], B753)&lt;=2, 
        IF((DATE(2024,4,30) - MAXIFS(dynamic[orderDate], dynamic[customerID], B753)) &gt; 180, "Non-Returning", "Dormant"), 
        IF(AND(MAX(dynamic[sinceLastOrder]) &gt; 365, (DATE(2024,4,30) - MAXIFS(dynamic[orderDate], dynamic[customerID], B753)) &gt; 180), 
           "Dormant", "Regular")))</f>
        <v>Regular</v>
      </c>
      <c r="H753" s="6">
        <v>76.0</v>
      </c>
      <c r="I753" s="9" t="str">
        <f>VLOOKUP(dynamic[productID],products[],2,FALSE)</f>
        <v>Lakkalikööri</v>
      </c>
      <c r="J753" s="9" t="str">
        <f>VLOOKUP(dynamic[productID],products[],12,FALSE)</f>
        <v>Beverages</v>
      </c>
      <c r="K753" s="7" t="str">
        <f>IF(VLOOKUP(dynamic[productID],products[],7,FALSE)=1,"Discontinued","Current")</f>
        <v>Current</v>
      </c>
      <c r="L753" s="9">
        <f>VLOOKUP(dynamic[productID],products[],IF(YEAR(dynamic[orderDate])=2022,8,IF(YEAR(dynamic[orderDate])=2023,9,IF(YEAR(dynamic[orderDate])=2024,10,NA))),FALSE)</f>
        <v>12.1154529</v>
      </c>
      <c r="M753" s="9">
        <v>18.0</v>
      </c>
      <c r="N753" s="25">
        <f>(dynamic[orderPrice]-dynamic[productCost])/dynamic[productCost]</f>
        <v>0.4857059125</v>
      </c>
      <c r="O753" s="10">
        <v>50.0</v>
      </c>
      <c r="P753" s="25">
        <v>0.0</v>
      </c>
      <c r="Q753" s="9">
        <f>dynamic[orderPrice]*dynamic[orderQuantity]</f>
        <v>900</v>
      </c>
      <c r="R753" s="9">
        <f>dynamic[orderTotal]*(1-dynamic[discountApllied])</f>
        <v>900</v>
      </c>
      <c r="S753" s="9">
        <f>dynamic[revenue]-(dynamic[productCost]*dynamic[orderQuantity])</f>
        <v>294.2273552</v>
      </c>
      <c r="T753" s="25">
        <f>IFERROR(dynamic[profit]/dynamic[revenue], 0)</f>
        <v>0.3269192836</v>
      </c>
    </row>
    <row r="754" ht="15.75" customHeight="1">
      <c r="A754" s="6">
        <v>10531.0</v>
      </c>
      <c r="B754" s="7" t="s">
        <v>84</v>
      </c>
      <c r="C754" s="24" t="str">
        <f>VLOOKUP(dynamic[customerID],customers[],2,FALSE)</f>
        <v>Océano Atlántico Ltda.</v>
      </c>
      <c r="D754" s="24">
        <v>45054.0</v>
      </c>
      <c r="E754" s="6">
        <f>IFERROR(__xludf.DUMMYFUNCTION("COUNTUNIQUEIFS($A$2:$A754,$B$2:$B754,B754)"),2.0)</f>
        <v>2</v>
      </c>
      <c r="F754" s="6">
        <f t="shared" si="1"/>
        <v>119</v>
      </c>
      <c r="G754" s="6" t="str">
        <f>IF(MINIFS(dynamic[orderDate], dynamic[customerID], B754) &gt;= DATE(2024,4,30)-120, 
     "New", 
     IF(MAXIFS(dynamic[orderCount], dynamic[customerID], B754)&lt;=2, 
        IF((DATE(2024,4,30) - MAXIFS(dynamic[orderDate], dynamic[customerID], B754)) &gt; 180, "Non-Returning", "Dormant"), 
        IF(AND(MAX(dynamic[sinceLastOrder]) &gt; 365, (DATE(2024,4,30) - MAXIFS(dynamic[orderDate], dynamic[customerID], B754)) &gt; 180), 
           "Dormant", "Regular")))</f>
        <v>Regular</v>
      </c>
      <c r="H754" s="6">
        <v>59.0</v>
      </c>
      <c r="I754" s="9" t="str">
        <f>VLOOKUP(dynamic[productID],products[],2,FALSE)</f>
        <v>Raclette Courdavault</v>
      </c>
      <c r="J754" s="9" t="str">
        <f>VLOOKUP(dynamic[productID],products[],12,FALSE)</f>
        <v>Dairy Products</v>
      </c>
      <c r="K754" s="7" t="str">
        <f>IF(VLOOKUP(dynamic[productID],products[],7,FALSE)=1,"Discontinued","Current")</f>
        <v>Current</v>
      </c>
      <c r="L754" s="9">
        <f>VLOOKUP(dynamic[productID],products[],IF(YEAR(dynamic[orderDate])=2022,8,IF(YEAR(dynamic[orderDate])=2023,9,IF(YEAR(dynamic[orderDate])=2024,10,NA))),FALSE)</f>
        <v>35.20472566</v>
      </c>
      <c r="M754" s="9">
        <v>55.0</v>
      </c>
      <c r="N754" s="25">
        <f>(dynamic[orderPrice]-dynamic[productCost])/dynamic[productCost]</f>
        <v>0.5622902598</v>
      </c>
      <c r="O754" s="10">
        <v>2.0</v>
      </c>
      <c r="P754" s="25">
        <v>0.0</v>
      </c>
      <c r="Q754" s="9">
        <f>dynamic[orderPrice]*dynamic[orderQuantity]</f>
        <v>110</v>
      </c>
      <c r="R754" s="9">
        <f>dynamic[orderTotal]*(1-dynamic[discountApllied])</f>
        <v>110</v>
      </c>
      <c r="S754" s="9">
        <f>dynamic[revenue]-(dynamic[productCost]*dynamic[orderQuantity])</f>
        <v>39.59054868</v>
      </c>
      <c r="T754" s="25">
        <f>IFERROR(dynamic[profit]/dynamic[revenue], 0)</f>
        <v>0.3599140789</v>
      </c>
    </row>
    <row r="755" ht="15.75" customHeight="1">
      <c r="A755" s="6">
        <v>10532.0</v>
      </c>
      <c r="B755" s="7" t="s">
        <v>73</v>
      </c>
      <c r="C755" s="24" t="str">
        <f>VLOOKUP(dynamic[customerID],customers[],2,FALSE)</f>
        <v>Eastern Connection</v>
      </c>
      <c r="D755" s="24">
        <v>45055.0</v>
      </c>
      <c r="E755" s="6">
        <f>IFERROR(__xludf.DUMMYFUNCTION("COUNTUNIQUEIFS($A$2:$A755,$B$2:$B755,B755)"),3.0)</f>
        <v>3</v>
      </c>
      <c r="F755" s="6">
        <f t="shared" si="1"/>
        <v>128</v>
      </c>
      <c r="G755" s="6" t="str">
        <f>IF(MINIFS(dynamic[orderDate], dynamic[customerID], B755) &gt;= DATE(2024,4,30)-120, 
     "New", 
     IF(MAXIFS(dynamic[orderCount], dynamic[customerID], B755)&lt;=2, 
        IF((DATE(2024,4,30) - MAXIFS(dynamic[orderDate], dynamic[customerID], B755)) &gt; 180, "Non-Returning", "Dormant"), 
        IF(AND(MAX(dynamic[sinceLastOrder]) &gt; 365, (DATE(2024,4,30) - MAXIFS(dynamic[orderDate], dynamic[customerID], B755)) &gt; 180), 
           "Dormant", "Regular")))</f>
        <v>Regular</v>
      </c>
      <c r="H755" s="6">
        <v>30.0</v>
      </c>
      <c r="I755" s="9" t="str">
        <f>VLOOKUP(dynamic[productID],products[],2,FALSE)</f>
        <v>Nord-Ost Matjeshering</v>
      </c>
      <c r="J755" s="9" t="str">
        <f>VLOOKUP(dynamic[productID],products[],12,FALSE)</f>
        <v>Seafood</v>
      </c>
      <c r="K755" s="7" t="str">
        <f>IF(VLOOKUP(dynamic[productID],products[],7,FALSE)=1,"Discontinued","Current")</f>
        <v>Current</v>
      </c>
      <c r="L755" s="9">
        <f>VLOOKUP(dynamic[productID],products[],IF(YEAR(dynamic[orderDate])=2022,8,IF(YEAR(dynamic[orderDate])=2023,9,IF(YEAR(dynamic[orderDate])=2024,10,NA))),FALSE)</f>
        <v>16.03885249</v>
      </c>
      <c r="M755" s="9">
        <v>25.89</v>
      </c>
      <c r="N755" s="25">
        <f>(dynamic[orderPrice]-dynamic[productCost])/dynamic[productCost]</f>
        <v>0.6142052564</v>
      </c>
      <c r="O755" s="10">
        <v>15.0</v>
      </c>
      <c r="P755" s="25">
        <v>0.0</v>
      </c>
      <c r="Q755" s="9">
        <f>dynamic[orderPrice]*dynamic[orderQuantity]</f>
        <v>388.35</v>
      </c>
      <c r="R755" s="9">
        <f>dynamic[orderTotal]*(1-dynamic[discountApllied])</f>
        <v>388.35</v>
      </c>
      <c r="S755" s="9">
        <f>dynamic[revenue]-(dynamic[productCost]*dynamic[orderQuantity])</f>
        <v>147.7672126</v>
      </c>
      <c r="T755" s="25">
        <f>IFERROR(dynamic[profit]/dynamic[revenue], 0)</f>
        <v>0.3805000968</v>
      </c>
    </row>
    <row r="756" ht="15.75" customHeight="1">
      <c r="A756" s="6">
        <v>10532.0</v>
      </c>
      <c r="B756" s="7" t="s">
        <v>73</v>
      </c>
      <c r="C756" s="24" t="str">
        <f>VLOOKUP(dynamic[customerID],customers[],2,FALSE)</f>
        <v>Eastern Connection</v>
      </c>
      <c r="D756" s="24">
        <v>45055.0</v>
      </c>
      <c r="E756" s="6">
        <f>IFERROR(__xludf.DUMMYFUNCTION("COUNTUNIQUEIFS($A$2:$A756,$B$2:$B756,B756)"),3.0)</f>
        <v>3</v>
      </c>
      <c r="F756" s="6">
        <f t="shared" si="1"/>
        <v>128</v>
      </c>
      <c r="G756" s="6" t="str">
        <f>IF(MINIFS(dynamic[orderDate], dynamic[customerID], B756) &gt;= DATE(2024,4,30)-120, 
     "New", 
     IF(MAXIFS(dynamic[orderCount], dynamic[customerID], B756)&lt;=2, 
        IF((DATE(2024,4,30) - MAXIFS(dynamic[orderDate], dynamic[customerID], B756)) &gt; 180, "Non-Returning", "Dormant"), 
        IF(AND(MAX(dynamic[sinceLastOrder]) &gt; 365, (DATE(2024,4,30) - MAXIFS(dynamic[orderDate], dynamic[customerID], B756)) &gt; 180), 
           "Dormant", "Regular")))</f>
        <v>Regular</v>
      </c>
      <c r="H756" s="6">
        <v>66.0</v>
      </c>
      <c r="I756" s="9" t="str">
        <f>VLOOKUP(dynamic[productID],products[],2,FALSE)</f>
        <v>Louisiana Hot Spiced Okra</v>
      </c>
      <c r="J756" s="9" t="str">
        <f>VLOOKUP(dynamic[productID],products[],12,FALSE)</f>
        <v>Condiments</v>
      </c>
      <c r="K756" s="7" t="str">
        <f>IF(VLOOKUP(dynamic[productID],products[],7,FALSE)=1,"Discontinued","Current")</f>
        <v>Current</v>
      </c>
      <c r="L756" s="9">
        <f>VLOOKUP(dynamic[productID],products[],IF(YEAR(dynamic[orderDate])=2022,8,IF(YEAR(dynamic[orderDate])=2023,9,IF(YEAR(dynamic[orderDate])=2024,10,NA))),FALSE)</f>
        <v>10.17313149</v>
      </c>
      <c r="M756" s="9">
        <v>17.0</v>
      </c>
      <c r="N756" s="25">
        <f>(dynamic[orderPrice]-dynamic[productCost])/dynamic[productCost]</f>
        <v>0.6710685417</v>
      </c>
      <c r="O756" s="10">
        <v>24.0</v>
      </c>
      <c r="P756" s="25">
        <v>0.0</v>
      </c>
      <c r="Q756" s="9">
        <f>dynamic[orderPrice]*dynamic[orderQuantity]</f>
        <v>408</v>
      </c>
      <c r="R756" s="9">
        <f>dynamic[orderTotal]*(1-dynamic[discountApllied])</f>
        <v>408</v>
      </c>
      <c r="S756" s="9">
        <f>dynamic[revenue]-(dynamic[productCost]*dynamic[orderQuantity])</f>
        <v>163.8448443</v>
      </c>
      <c r="T756" s="25">
        <f>IFERROR(dynamic[profit]/dynamic[revenue], 0)</f>
        <v>0.4015805007</v>
      </c>
    </row>
    <row r="757" ht="15.75" customHeight="1">
      <c r="A757" s="6">
        <v>10533.0</v>
      </c>
      <c r="B757" s="7" t="s">
        <v>29</v>
      </c>
      <c r="C757" s="24" t="str">
        <f>VLOOKUP(dynamic[customerID],customers[],2,FALSE)</f>
        <v>Folk och fä HB</v>
      </c>
      <c r="D757" s="24">
        <v>45058.0</v>
      </c>
      <c r="E757" s="6">
        <f>IFERROR(__xludf.DUMMYFUNCTION("COUNTUNIQUEIFS($A$2:$A757,$B$2:$B757,B757)"),6.0)</f>
        <v>6</v>
      </c>
      <c r="F757" s="6">
        <f t="shared" si="1"/>
        <v>73</v>
      </c>
      <c r="G757" s="6" t="str">
        <f>IF(MINIFS(dynamic[orderDate], dynamic[customerID], B757) &gt;= DATE(2024,4,30)-120, 
     "New", 
     IF(MAXIFS(dynamic[orderCount], dynamic[customerID], B757)&lt;=2, 
        IF((DATE(2024,4,30) - MAXIFS(dynamic[orderDate], dynamic[customerID], B757)) &gt; 180, "Non-Returning", "Dormant"), 
        IF(AND(MAX(dynamic[sinceLastOrder]) &gt; 365, (DATE(2024,4,30) - MAXIFS(dynamic[orderDate], dynamic[customerID], B757)) &gt; 180), 
           "Dormant", "Regular")))</f>
        <v>Regular</v>
      </c>
      <c r="H757" s="6">
        <v>4.0</v>
      </c>
      <c r="I757" s="9" t="str">
        <f>VLOOKUP(dynamic[productID],products[],2,FALSE)</f>
        <v>Chef Anton's Cajun Seasoning</v>
      </c>
      <c r="J757" s="9" t="str">
        <f>VLOOKUP(dynamic[productID],products[],12,FALSE)</f>
        <v>Condiments</v>
      </c>
      <c r="K757" s="7" t="str">
        <f>IF(VLOOKUP(dynamic[productID],products[],7,FALSE)=1,"Discontinued","Current")</f>
        <v>Current</v>
      </c>
      <c r="L757" s="9">
        <f>VLOOKUP(dynamic[productID],products[],IF(YEAR(dynamic[orderDate])=2022,8,IF(YEAR(dynamic[orderDate])=2023,9,IF(YEAR(dynamic[orderDate])=2024,10,NA))),FALSE)</f>
        <v>13.81047124</v>
      </c>
      <c r="M757" s="9">
        <v>22.0</v>
      </c>
      <c r="N757" s="25">
        <f>(dynamic[orderPrice]-dynamic[productCost])/dynamic[productCost]</f>
        <v>0.5929941577</v>
      </c>
      <c r="O757" s="10">
        <v>50.0</v>
      </c>
      <c r="P757" s="25">
        <v>0.05</v>
      </c>
      <c r="Q757" s="9">
        <f>dynamic[orderPrice]*dynamic[orderQuantity]</f>
        <v>1100</v>
      </c>
      <c r="R757" s="9">
        <f>dynamic[orderTotal]*(1-dynamic[discountApllied])</f>
        <v>1045</v>
      </c>
      <c r="S757" s="9">
        <f>dynamic[revenue]-(dynamic[productCost]*dynamic[orderQuantity])</f>
        <v>354.476438</v>
      </c>
      <c r="T757" s="25">
        <f>IFERROR(dynamic[profit]/dynamic[revenue], 0)</f>
        <v>0.3392119024</v>
      </c>
    </row>
    <row r="758" ht="15.75" customHeight="1">
      <c r="A758" s="6">
        <v>10533.0</v>
      </c>
      <c r="B758" s="7" t="s">
        <v>29</v>
      </c>
      <c r="C758" s="24" t="str">
        <f>VLOOKUP(dynamic[customerID],customers[],2,FALSE)</f>
        <v>Folk och fä HB</v>
      </c>
      <c r="D758" s="24">
        <v>45058.0</v>
      </c>
      <c r="E758" s="6">
        <f>IFERROR(__xludf.DUMMYFUNCTION("COUNTUNIQUEIFS($A$2:$A758,$B$2:$B758,B758)"),6.0)</f>
        <v>6</v>
      </c>
      <c r="F758" s="6">
        <f t="shared" si="1"/>
        <v>73</v>
      </c>
      <c r="G758" s="6" t="str">
        <f>IF(MINIFS(dynamic[orderDate], dynamic[customerID], B758) &gt;= DATE(2024,4,30)-120, 
     "New", 
     IF(MAXIFS(dynamic[orderCount], dynamic[customerID], B758)&lt;=2, 
        IF((DATE(2024,4,30) - MAXIFS(dynamic[orderDate], dynamic[customerID], B758)) &gt; 180, "Non-Returning", "Dormant"), 
        IF(AND(MAX(dynamic[sinceLastOrder]) &gt; 365, (DATE(2024,4,30) - MAXIFS(dynamic[orderDate], dynamic[customerID], B758)) &gt; 180), 
           "Dormant", "Regular")))</f>
        <v>Regular</v>
      </c>
      <c r="H758" s="6">
        <v>72.0</v>
      </c>
      <c r="I758" s="9" t="str">
        <f>VLOOKUP(dynamic[productID],products[],2,FALSE)</f>
        <v>Mozzarella di Giovanni</v>
      </c>
      <c r="J758" s="9" t="str">
        <f>VLOOKUP(dynamic[productID],products[],12,FALSE)</f>
        <v>Dairy Products</v>
      </c>
      <c r="K758" s="7" t="str">
        <f>IF(VLOOKUP(dynamic[productID],products[],7,FALSE)=1,"Discontinued","Current")</f>
        <v>Current</v>
      </c>
      <c r="L758" s="9">
        <f>VLOOKUP(dynamic[productID],products[],IF(YEAR(dynamic[orderDate])=2022,8,IF(YEAR(dynamic[orderDate])=2023,9,IF(YEAR(dynamic[orderDate])=2024,10,NA))),FALSE)</f>
        <v>23.51933768</v>
      </c>
      <c r="M758" s="9">
        <v>34.8</v>
      </c>
      <c r="N758" s="25">
        <f>(dynamic[orderPrice]-dynamic[productCost])/dynamic[productCost]</f>
        <v>0.4796335031</v>
      </c>
      <c r="O758" s="10">
        <v>24.0</v>
      </c>
      <c r="P758" s="25">
        <v>0.0</v>
      </c>
      <c r="Q758" s="9">
        <f>dynamic[orderPrice]*dynamic[orderQuantity]</f>
        <v>835.2</v>
      </c>
      <c r="R758" s="9">
        <f>dynamic[orderTotal]*(1-dynamic[discountApllied])</f>
        <v>835.2</v>
      </c>
      <c r="S758" s="9">
        <f>dynamic[revenue]-(dynamic[productCost]*dynamic[orderQuantity])</f>
        <v>270.7358957</v>
      </c>
      <c r="T758" s="25">
        <f>IFERROR(dynamic[profit]/dynamic[revenue], 0)</f>
        <v>0.3241569633</v>
      </c>
    </row>
    <row r="759" ht="15.75" customHeight="1">
      <c r="A759" s="6">
        <v>10533.0</v>
      </c>
      <c r="B759" s="7" t="s">
        <v>29</v>
      </c>
      <c r="C759" s="24" t="str">
        <f>VLOOKUP(dynamic[customerID],customers[],2,FALSE)</f>
        <v>Folk och fä HB</v>
      </c>
      <c r="D759" s="24">
        <v>45058.0</v>
      </c>
      <c r="E759" s="6">
        <f>IFERROR(__xludf.DUMMYFUNCTION("COUNTUNIQUEIFS($A$2:$A759,$B$2:$B759,B759)"),6.0)</f>
        <v>6</v>
      </c>
      <c r="F759" s="6">
        <f t="shared" si="1"/>
        <v>73</v>
      </c>
      <c r="G759" s="6" t="str">
        <f>IF(MINIFS(dynamic[orderDate], dynamic[customerID], B759) &gt;= DATE(2024,4,30)-120, 
     "New", 
     IF(MAXIFS(dynamic[orderCount], dynamic[customerID], B759)&lt;=2, 
        IF((DATE(2024,4,30) - MAXIFS(dynamic[orderDate], dynamic[customerID], B759)) &gt; 180, "Non-Returning", "Dormant"), 
        IF(AND(MAX(dynamic[sinceLastOrder]) &gt; 365, (DATE(2024,4,30) - MAXIFS(dynamic[orderDate], dynamic[customerID], B759)) &gt; 180), 
           "Dormant", "Regular")))</f>
        <v>Regular</v>
      </c>
      <c r="H759" s="6">
        <v>73.0</v>
      </c>
      <c r="I759" s="9" t="str">
        <f>VLOOKUP(dynamic[productID],products[],2,FALSE)</f>
        <v>Röd Kaviar</v>
      </c>
      <c r="J759" s="9" t="str">
        <f>VLOOKUP(dynamic[productID],products[],12,FALSE)</f>
        <v>Seafood</v>
      </c>
      <c r="K759" s="7" t="str">
        <f>IF(VLOOKUP(dynamic[productID],products[],7,FALSE)=1,"Discontinued","Current")</f>
        <v>Current</v>
      </c>
      <c r="L759" s="9">
        <f>VLOOKUP(dynamic[productID],products[],IF(YEAR(dynamic[orderDate])=2022,8,IF(YEAR(dynamic[orderDate])=2023,9,IF(YEAR(dynamic[orderDate])=2024,10,NA))),FALSE)</f>
        <v>9.692999362</v>
      </c>
      <c r="M759" s="9">
        <v>15.0</v>
      </c>
      <c r="N759" s="25">
        <f>(dynamic[orderPrice]-dynamic[productCost])/dynamic[productCost]</f>
        <v>0.5475086131</v>
      </c>
      <c r="O759" s="10">
        <v>24.0</v>
      </c>
      <c r="P759" s="25">
        <v>0.05</v>
      </c>
      <c r="Q759" s="9">
        <f>dynamic[orderPrice]*dynamic[orderQuantity]</f>
        <v>360</v>
      </c>
      <c r="R759" s="9">
        <f>dynamic[orderTotal]*(1-dynamic[discountApllied])</f>
        <v>342</v>
      </c>
      <c r="S759" s="9">
        <f>dynamic[revenue]-(dynamic[productCost]*dynamic[orderQuantity])</f>
        <v>109.3680153</v>
      </c>
      <c r="T759" s="25">
        <f>IFERROR(dynamic[profit]/dynamic[revenue], 0)</f>
        <v>0.3197895184</v>
      </c>
    </row>
    <row r="760" ht="15.75" customHeight="1">
      <c r="A760" s="6">
        <v>10534.0</v>
      </c>
      <c r="B760" s="7" t="s">
        <v>41</v>
      </c>
      <c r="C760" s="24" t="str">
        <f>VLOOKUP(dynamic[customerID],customers[],2,FALSE)</f>
        <v>Lehmanns Marktstand</v>
      </c>
      <c r="D760" s="24">
        <v>45058.0</v>
      </c>
      <c r="E760" s="6">
        <f>IFERROR(__xludf.DUMMYFUNCTION("COUNTUNIQUEIFS($A$2:$A760,$B$2:$B760,B760)"),6.0)</f>
        <v>6</v>
      </c>
      <c r="F760" s="6">
        <f t="shared" si="1"/>
        <v>12</v>
      </c>
      <c r="G760" s="6" t="str">
        <f>IF(MINIFS(dynamic[orderDate], dynamic[customerID], B760) &gt;= DATE(2024,4,30)-120, 
     "New", 
     IF(MAXIFS(dynamic[orderCount], dynamic[customerID], B760)&lt;=2, 
        IF((DATE(2024,4,30) - MAXIFS(dynamic[orderDate], dynamic[customerID], B760)) &gt; 180, "Non-Returning", "Dormant"), 
        IF(AND(MAX(dynamic[sinceLastOrder]) &gt; 365, (DATE(2024,4,30) - MAXIFS(dynamic[orderDate], dynamic[customerID], B760)) &gt; 180), 
           "Dormant", "Regular")))</f>
        <v>Regular</v>
      </c>
      <c r="H760" s="6">
        <v>30.0</v>
      </c>
      <c r="I760" s="9" t="str">
        <f>VLOOKUP(dynamic[productID],products[],2,FALSE)</f>
        <v>Nord-Ost Matjeshering</v>
      </c>
      <c r="J760" s="9" t="str">
        <f>VLOOKUP(dynamic[productID],products[],12,FALSE)</f>
        <v>Seafood</v>
      </c>
      <c r="K760" s="7" t="str">
        <f>IF(VLOOKUP(dynamic[productID],products[],7,FALSE)=1,"Discontinued","Current")</f>
        <v>Current</v>
      </c>
      <c r="L760" s="9">
        <f>VLOOKUP(dynamic[productID],products[],IF(YEAR(dynamic[orderDate])=2022,8,IF(YEAR(dynamic[orderDate])=2023,9,IF(YEAR(dynamic[orderDate])=2024,10,NA))),FALSE)</f>
        <v>16.03885249</v>
      </c>
      <c r="M760" s="9">
        <v>25.89</v>
      </c>
      <c r="N760" s="25">
        <f>(dynamic[orderPrice]-dynamic[productCost])/dynamic[productCost]</f>
        <v>0.6142052564</v>
      </c>
      <c r="O760" s="10">
        <v>10.0</v>
      </c>
      <c r="P760" s="25">
        <v>0.0</v>
      </c>
      <c r="Q760" s="9">
        <f>dynamic[orderPrice]*dynamic[orderQuantity]</f>
        <v>258.9</v>
      </c>
      <c r="R760" s="9">
        <f>dynamic[orderTotal]*(1-dynamic[discountApllied])</f>
        <v>258.9</v>
      </c>
      <c r="S760" s="9">
        <f>dynamic[revenue]-(dynamic[productCost]*dynamic[orderQuantity])</f>
        <v>98.51147507</v>
      </c>
      <c r="T760" s="25">
        <f>IFERROR(dynamic[profit]/dynamic[revenue], 0)</f>
        <v>0.3805000968</v>
      </c>
    </row>
    <row r="761" ht="15.75" customHeight="1">
      <c r="A761" s="6">
        <v>10534.0</v>
      </c>
      <c r="B761" s="7" t="s">
        <v>41</v>
      </c>
      <c r="C761" s="24" t="str">
        <f>VLOOKUP(dynamic[customerID],customers[],2,FALSE)</f>
        <v>Lehmanns Marktstand</v>
      </c>
      <c r="D761" s="24">
        <v>45058.0</v>
      </c>
      <c r="E761" s="6">
        <f>IFERROR(__xludf.DUMMYFUNCTION("COUNTUNIQUEIFS($A$2:$A761,$B$2:$B761,B761)"),6.0)</f>
        <v>6</v>
      </c>
      <c r="F761" s="6">
        <f t="shared" si="1"/>
        <v>12</v>
      </c>
      <c r="G761" s="6" t="str">
        <f>IF(MINIFS(dynamic[orderDate], dynamic[customerID], B761) &gt;= DATE(2024,4,30)-120, 
     "New", 
     IF(MAXIFS(dynamic[orderCount], dynamic[customerID], B761)&lt;=2, 
        IF((DATE(2024,4,30) - MAXIFS(dynamic[orderDate], dynamic[customerID], B761)) &gt; 180, "Non-Returning", "Dormant"), 
        IF(AND(MAX(dynamic[sinceLastOrder]) &gt; 365, (DATE(2024,4,30) - MAXIFS(dynamic[orderDate], dynamic[customerID], B761)) &gt; 180), 
           "Dormant", "Regular")))</f>
        <v>Regular</v>
      </c>
      <c r="H761" s="6">
        <v>40.0</v>
      </c>
      <c r="I761" s="9" t="str">
        <f>VLOOKUP(dynamic[productID],products[],2,FALSE)</f>
        <v>Boston Crab Meat</v>
      </c>
      <c r="J761" s="9" t="str">
        <f>VLOOKUP(dynamic[productID],products[],12,FALSE)</f>
        <v>Seafood</v>
      </c>
      <c r="K761" s="7" t="str">
        <f>IF(VLOOKUP(dynamic[productID],products[],7,FALSE)=1,"Discontinued","Current")</f>
        <v>Current</v>
      </c>
      <c r="L761" s="9">
        <f>VLOOKUP(dynamic[productID],products[],IF(YEAR(dynamic[orderDate])=2022,8,IF(YEAR(dynamic[orderDate])=2023,9,IF(YEAR(dynamic[orderDate])=2024,10,NA))),FALSE)</f>
        <v>11.40496523</v>
      </c>
      <c r="M761" s="9">
        <v>18.4</v>
      </c>
      <c r="N761" s="25">
        <f>(dynamic[orderPrice]-dynamic[productCost])/dynamic[productCost]</f>
        <v>0.6133324069</v>
      </c>
      <c r="O761" s="10">
        <v>10.0</v>
      </c>
      <c r="P761" s="25">
        <v>0.2</v>
      </c>
      <c r="Q761" s="9">
        <f>dynamic[orderPrice]*dynamic[orderQuantity]</f>
        <v>184</v>
      </c>
      <c r="R761" s="9">
        <f>dynamic[orderTotal]*(1-dynamic[discountApllied])</f>
        <v>147.2</v>
      </c>
      <c r="S761" s="9">
        <f>dynamic[revenue]-(dynamic[productCost]*dynamic[orderQuantity])</f>
        <v>33.15034773</v>
      </c>
      <c r="T761" s="25">
        <f>IFERROR(dynamic[profit]/dynamic[revenue], 0)</f>
        <v>0.2252061666</v>
      </c>
    </row>
    <row r="762" ht="15.75" customHeight="1">
      <c r="A762" s="6">
        <v>10534.0</v>
      </c>
      <c r="B762" s="7" t="s">
        <v>41</v>
      </c>
      <c r="C762" s="24" t="str">
        <f>VLOOKUP(dynamic[customerID],customers[],2,FALSE)</f>
        <v>Lehmanns Marktstand</v>
      </c>
      <c r="D762" s="24">
        <v>45058.0</v>
      </c>
      <c r="E762" s="6">
        <f>IFERROR(__xludf.DUMMYFUNCTION("COUNTUNIQUEIFS($A$2:$A762,$B$2:$B762,B762)"),6.0)</f>
        <v>6</v>
      </c>
      <c r="F762" s="6">
        <f t="shared" si="1"/>
        <v>12</v>
      </c>
      <c r="G762" s="6" t="str">
        <f>IF(MINIFS(dynamic[orderDate], dynamic[customerID], B762) &gt;= DATE(2024,4,30)-120, 
     "New", 
     IF(MAXIFS(dynamic[orderCount], dynamic[customerID], B762)&lt;=2, 
        IF((DATE(2024,4,30) - MAXIFS(dynamic[orderDate], dynamic[customerID], B762)) &gt; 180, "Non-Returning", "Dormant"), 
        IF(AND(MAX(dynamic[sinceLastOrder]) &gt; 365, (DATE(2024,4,30) - MAXIFS(dynamic[orderDate], dynamic[customerID], B762)) &gt; 180), 
           "Dormant", "Regular")))</f>
        <v>Regular</v>
      </c>
      <c r="H762" s="6">
        <v>54.0</v>
      </c>
      <c r="I762" s="9" t="str">
        <f>VLOOKUP(dynamic[productID],products[],2,FALSE)</f>
        <v>Tourtière</v>
      </c>
      <c r="J762" s="9" t="str">
        <f>VLOOKUP(dynamic[productID],products[],12,FALSE)</f>
        <v>Meat/Poultry</v>
      </c>
      <c r="K762" s="7" t="str">
        <f>IF(VLOOKUP(dynamic[productID],products[],7,FALSE)=1,"Discontinued","Current")</f>
        <v>Current</v>
      </c>
      <c r="L762" s="9">
        <f>VLOOKUP(dynamic[productID],products[],IF(YEAR(dynamic[orderDate])=2022,8,IF(YEAR(dynamic[orderDate])=2023,9,IF(YEAR(dynamic[orderDate])=2024,10,NA))),FALSE)</f>
        <v>4.924447797</v>
      </c>
      <c r="M762" s="9">
        <v>7.45</v>
      </c>
      <c r="N762" s="25">
        <f>(dynamic[orderPrice]-dynamic[productCost])/dynamic[productCost]</f>
        <v>0.5128599808</v>
      </c>
      <c r="O762" s="10">
        <v>10.0</v>
      </c>
      <c r="P762" s="25">
        <v>0.2</v>
      </c>
      <c r="Q762" s="9">
        <f>dynamic[orderPrice]*dynamic[orderQuantity]</f>
        <v>74.5</v>
      </c>
      <c r="R762" s="9">
        <f>dynamic[orderTotal]*(1-dynamic[discountApllied])</f>
        <v>59.6</v>
      </c>
      <c r="S762" s="9">
        <f>dynamic[revenue]-(dynamic[productCost]*dynamic[orderQuantity])</f>
        <v>10.35552203</v>
      </c>
      <c r="T762" s="25">
        <f>IFERROR(dynamic[profit]/dynamic[revenue], 0)</f>
        <v>0.1737503696</v>
      </c>
    </row>
    <row r="763" ht="15.75" customHeight="1">
      <c r="A763" s="6">
        <v>10535.0</v>
      </c>
      <c r="B763" s="7" t="s">
        <v>74</v>
      </c>
      <c r="C763" s="24" t="str">
        <f>VLOOKUP(dynamic[customerID],customers[],2,FALSE)</f>
        <v>Antonio Moreno Taquería</v>
      </c>
      <c r="D763" s="24">
        <v>45059.0</v>
      </c>
      <c r="E763" s="6">
        <f>IFERROR(__xludf.DUMMYFUNCTION("COUNTUNIQUEIFS($A$2:$A763,$B$2:$B763,B763)"),3.0)</f>
        <v>3</v>
      </c>
      <c r="F763" s="6">
        <f t="shared" si="1"/>
        <v>28</v>
      </c>
      <c r="G763" s="6" t="str">
        <f>IF(MINIFS(dynamic[orderDate], dynamic[customerID], B763) &gt;= DATE(2024,4,30)-120, 
     "New", 
     IF(MAXIFS(dynamic[orderCount], dynamic[customerID], B763)&lt;=2, 
        IF((DATE(2024,4,30) - MAXIFS(dynamic[orderDate], dynamic[customerID], B763)) &gt; 180, "Non-Returning", "Dormant"), 
        IF(AND(MAX(dynamic[sinceLastOrder]) &gt; 365, (DATE(2024,4,30) - MAXIFS(dynamic[orderDate], dynamic[customerID], B763)) &gt; 180), 
           "Dormant", "Regular")))</f>
        <v>Regular</v>
      </c>
      <c r="H763" s="6">
        <v>11.0</v>
      </c>
      <c r="I763" s="9" t="str">
        <f>VLOOKUP(dynamic[productID],products[],2,FALSE)</f>
        <v>Queso Cabrales</v>
      </c>
      <c r="J763" s="9" t="str">
        <f>VLOOKUP(dynamic[productID],products[],12,FALSE)</f>
        <v>Dairy Products</v>
      </c>
      <c r="K763" s="7" t="str">
        <f>IF(VLOOKUP(dynamic[productID],products[],7,FALSE)=1,"Discontinued","Current")</f>
        <v>Current</v>
      </c>
      <c r="L763" s="9">
        <f>VLOOKUP(dynamic[productID],products[],IF(YEAR(dynamic[orderDate])=2022,8,IF(YEAR(dynamic[orderDate])=2023,9,IF(YEAR(dynamic[orderDate])=2024,10,NA))),FALSE)</f>
        <v>12.90188125</v>
      </c>
      <c r="M763" s="9">
        <v>21.0</v>
      </c>
      <c r="N763" s="25">
        <f>(dynamic[orderPrice]-dynamic[productCost])/dynamic[productCost]</f>
        <v>0.6276696079</v>
      </c>
      <c r="O763" s="10">
        <v>50.0</v>
      </c>
      <c r="P763" s="25">
        <v>0.1</v>
      </c>
      <c r="Q763" s="9">
        <f>dynamic[orderPrice]*dynamic[orderQuantity]</f>
        <v>1050</v>
      </c>
      <c r="R763" s="9">
        <f>dynamic[orderTotal]*(1-dynamic[discountApllied])</f>
        <v>945</v>
      </c>
      <c r="S763" s="9">
        <f>dynamic[revenue]-(dynamic[productCost]*dynamic[orderQuantity])</f>
        <v>299.9059374</v>
      </c>
      <c r="T763" s="25">
        <f>IFERROR(dynamic[profit]/dynamic[revenue], 0)</f>
        <v>0.3173607803</v>
      </c>
    </row>
    <row r="764" ht="15.75" customHeight="1">
      <c r="A764" s="6">
        <v>10535.0</v>
      </c>
      <c r="B764" s="7" t="s">
        <v>74</v>
      </c>
      <c r="C764" s="24" t="str">
        <f>VLOOKUP(dynamic[customerID],customers[],2,FALSE)</f>
        <v>Antonio Moreno Taquería</v>
      </c>
      <c r="D764" s="24">
        <v>45059.0</v>
      </c>
      <c r="E764" s="6">
        <f>IFERROR(__xludf.DUMMYFUNCTION("COUNTUNIQUEIFS($A$2:$A764,$B$2:$B764,B764)"),3.0)</f>
        <v>3</v>
      </c>
      <c r="F764" s="6">
        <f t="shared" si="1"/>
        <v>28</v>
      </c>
      <c r="G764" s="6" t="str">
        <f>IF(MINIFS(dynamic[orderDate], dynamic[customerID], B764) &gt;= DATE(2024,4,30)-120, 
     "New", 
     IF(MAXIFS(dynamic[orderCount], dynamic[customerID], B764)&lt;=2, 
        IF((DATE(2024,4,30) - MAXIFS(dynamic[orderDate], dynamic[customerID], B764)) &gt; 180, "Non-Returning", "Dormant"), 
        IF(AND(MAX(dynamic[sinceLastOrder]) &gt; 365, (DATE(2024,4,30) - MAXIFS(dynamic[orderDate], dynamic[customerID], B764)) &gt; 180), 
           "Dormant", "Regular")))</f>
        <v>Regular</v>
      </c>
      <c r="H764" s="6">
        <v>40.0</v>
      </c>
      <c r="I764" s="9" t="str">
        <f>VLOOKUP(dynamic[productID],products[],2,FALSE)</f>
        <v>Boston Crab Meat</v>
      </c>
      <c r="J764" s="9" t="str">
        <f>VLOOKUP(dynamic[productID],products[],12,FALSE)</f>
        <v>Seafood</v>
      </c>
      <c r="K764" s="7" t="str">
        <f>IF(VLOOKUP(dynamic[productID],products[],7,FALSE)=1,"Discontinued","Current")</f>
        <v>Current</v>
      </c>
      <c r="L764" s="9">
        <f>VLOOKUP(dynamic[productID],products[],IF(YEAR(dynamic[orderDate])=2022,8,IF(YEAR(dynamic[orderDate])=2023,9,IF(YEAR(dynamic[orderDate])=2024,10,NA))),FALSE)</f>
        <v>11.40496523</v>
      </c>
      <c r="M764" s="9">
        <v>18.4</v>
      </c>
      <c r="N764" s="25">
        <f>(dynamic[orderPrice]-dynamic[productCost])/dynamic[productCost]</f>
        <v>0.6133324069</v>
      </c>
      <c r="O764" s="10">
        <v>10.0</v>
      </c>
      <c r="P764" s="25">
        <v>0.1</v>
      </c>
      <c r="Q764" s="9">
        <f>dynamic[orderPrice]*dynamic[orderQuantity]</f>
        <v>184</v>
      </c>
      <c r="R764" s="9">
        <f>dynamic[orderTotal]*(1-dynamic[discountApllied])</f>
        <v>165.6</v>
      </c>
      <c r="S764" s="9">
        <f>dynamic[revenue]-(dynamic[productCost]*dynamic[orderQuantity])</f>
        <v>51.55034773</v>
      </c>
      <c r="T764" s="25">
        <f>IFERROR(dynamic[profit]/dynamic[revenue], 0)</f>
        <v>0.3112943703</v>
      </c>
    </row>
    <row r="765" ht="15.75" customHeight="1">
      <c r="A765" s="6">
        <v>10535.0</v>
      </c>
      <c r="B765" s="7" t="s">
        <v>74</v>
      </c>
      <c r="C765" s="24" t="str">
        <f>VLOOKUP(dynamic[customerID],customers[],2,FALSE)</f>
        <v>Antonio Moreno Taquería</v>
      </c>
      <c r="D765" s="24">
        <v>45059.0</v>
      </c>
      <c r="E765" s="6">
        <f>IFERROR(__xludf.DUMMYFUNCTION("COUNTUNIQUEIFS($A$2:$A765,$B$2:$B765,B765)"),3.0)</f>
        <v>3</v>
      </c>
      <c r="F765" s="6">
        <f t="shared" si="1"/>
        <v>28</v>
      </c>
      <c r="G765" s="6" t="str">
        <f>IF(MINIFS(dynamic[orderDate], dynamic[customerID], B765) &gt;= DATE(2024,4,30)-120, 
     "New", 
     IF(MAXIFS(dynamic[orderCount], dynamic[customerID], B765)&lt;=2, 
        IF((DATE(2024,4,30) - MAXIFS(dynamic[orderDate], dynamic[customerID], B765)) &gt; 180, "Non-Returning", "Dormant"), 
        IF(AND(MAX(dynamic[sinceLastOrder]) &gt; 365, (DATE(2024,4,30) - MAXIFS(dynamic[orderDate], dynamic[customerID], B765)) &gt; 180), 
           "Dormant", "Regular")))</f>
        <v>Regular</v>
      </c>
      <c r="H765" s="6">
        <v>57.0</v>
      </c>
      <c r="I765" s="9" t="str">
        <f>VLOOKUP(dynamic[productID],products[],2,FALSE)</f>
        <v>Ravioli Angelo</v>
      </c>
      <c r="J765" s="9" t="str">
        <f>VLOOKUP(dynamic[productID],products[],12,FALSE)</f>
        <v>Grains/Cereals</v>
      </c>
      <c r="K765" s="7" t="str">
        <f>IF(VLOOKUP(dynamic[productID],products[],7,FALSE)=1,"Discontinued","Current")</f>
        <v>Current</v>
      </c>
      <c r="L765" s="9">
        <f>VLOOKUP(dynamic[productID],products[],IF(YEAR(dynamic[orderDate])=2022,8,IF(YEAR(dynamic[orderDate])=2023,9,IF(YEAR(dynamic[orderDate])=2024,10,NA))),FALSE)</f>
        <v>13.01870901</v>
      </c>
      <c r="M765" s="9">
        <v>19.5</v>
      </c>
      <c r="N765" s="25">
        <f>(dynamic[orderPrice]-dynamic[productCost])/dynamic[productCost]</f>
        <v>0.4978443707</v>
      </c>
      <c r="O765" s="10">
        <v>5.0</v>
      </c>
      <c r="P765" s="25">
        <v>0.1</v>
      </c>
      <c r="Q765" s="9">
        <f>dynamic[orderPrice]*dynamic[orderQuantity]</f>
        <v>97.5</v>
      </c>
      <c r="R765" s="9">
        <f>dynamic[orderTotal]*(1-dynamic[discountApllied])</f>
        <v>87.75</v>
      </c>
      <c r="S765" s="9">
        <f>dynamic[revenue]-(dynamic[productCost]*dynamic[orderQuantity])</f>
        <v>22.65645496</v>
      </c>
      <c r="T765" s="25">
        <f>IFERROR(dynamic[profit]/dynamic[revenue], 0)</f>
        <v>0.258193219</v>
      </c>
    </row>
    <row r="766" ht="15.75" customHeight="1">
      <c r="A766" s="6">
        <v>10535.0</v>
      </c>
      <c r="B766" s="7" t="s">
        <v>74</v>
      </c>
      <c r="C766" s="24" t="str">
        <f>VLOOKUP(dynamic[customerID],customers[],2,FALSE)</f>
        <v>Antonio Moreno Taquería</v>
      </c>
      <c r="D766" s="24">
        <v>45059.0</v>
      </c>
      <c r="E766" s="6">
        <f>IFERROR(__xludf.DUMMYFUNCTION("COUNTUNIQUEIFS($A$2:$A766,$B$2:$B766,B766)"),3.0)</f>
        <v>3</v>
      </c>
      <c r="F766" s="6">
        <f t="shared" si="1"/>
        <v>28</v>
      </c>
      <c r="G766" s="6" t="str">
        <f>IF(MINIFS(dynamic[orderDate], dynamic[customerID], B766) &gt;= DATE(2024,4,30)-120, 
     "New", 
     IF(MAXIFS(dynamic[orderCount], dynamic[customerID], B766)&lt;=2, 
        IF((DATE(2024,4,30) - MAXIFS(dynamic[orderDate], dynamic[customerID], B766)) &gt; 180, "Non-Returning", "Dormant"), 
        IF(AND(MAX(dynamic[sinceLastOrder]) &gt; 365, (DATE(2024,4,30) - MAXIFS(dynamic[orderDate], dynamic[customerID], B766)) &gt; 180), 
           "Dormant", "Regular")))</f>
        <v>Regular</v>
      </c>
      <c r="H766" s="6">
        <v>59.0</v>
      </c>
      <c r="I766" s="9" t="str">
        <f>VLOOKUP(dynamic[productID],products[],2,FALSE)</f>
        <v>Raclette Courdavault</v>
      </c>
      <c r="J766" s="9" t="str">
        <f>VLOOKUP(dynamic[productID],products[],12,FALSE)</f>
        <v>Dairy Products</v>
      </c>
      <c r="K766" s="7" t="str">
        <f>IF(VLOOKUP(dynamic[productID],products[],7,FALSE)=1,"Discontinued","Current")</f>
        <v>Current</v>
      </c>
      <c r="L766" s="9">
        <f>VLOOKUP(dynamic[productID],products[],IF(YEAR(dynamic[orderDate])=2022,8,IF(YEAR(dynamic[orderDate])=2023,9,IF(YEAR(dynamic[orderDate])=2024,10,NA))),FALSE)</f>
        <v>35.20472566</v>
      </c>
      <c r="M766" s="9">
        <v>55.0</v>
      </c>
      <c r="N766" s="25">
        <f>(dynamic[orderPrice]-dynamic[productCost])/dynamic[productCost]</f>
        <v>0.5622902598</v>
      </c>
      <c r="O766" s="10">
        <v>15.0</v>
      </c>
      <c r="P766" s="25">
        <v>0.1</v>
      </c>
      <c r="Q766" s="9">
        <f>dynamic[orderPrice]*dynamic[orderQuantity]</f>
        <v>825</v>
      </c>
      <c r="R766" s="9">
        <f>dynamic[orderTotal]*(1-dynamic[discountApllied])</f>
        <v>742.5</v>
      </c>
      <c r="S766" s="9">
        <f>dynamic[revenue]-(dynamic[productCost]*dynamic[orderQuantity])</f>
        <v>214.4291151</v>
      </c>
      <c r="T766" s="25">
        <f>IFERROR(dynamic[profit]/dynamic[revenue], 0)</f>
        <v>0.288793421</v>
      </c>
    </row>
    <row r="767" ht="15.75" customHeight="1">
      <c r="A767" s="6">
        <v>10536.0</v>
      </c>
      <c r="B767" s="7" t="s">
        <v>41</v>
      </c>
      <c r="C767" s="24" t="str">
        <f>VLOOKUP(dynamic[customerID],customers[],2,FALSE)</f>
        <v>Lehmanns Marktstand</v>
      </c>
      <c r="D767" s="24">
        <v>45060.0</v>
      </c>
      <c r="E767" s="6">
        <f>IFERROR(__xludf.DUMMYFUNCTION("COUNTUNIQUEIFS($A$2:$A767,$B$2:$B767,B767)"),7.0)</f>
        <v>7</v>
      </c>
      <c r="F767" s="6">
        <f t="shared" si="1"/>
        <v>2</v>
      </c>
      <c r="G767" s="6" t="str">
        <f>IF(MINIFS(dynamic[orderDate], dynamic[customerID], B767) &gt;= DATE(2024,4,30)-120, 
     "New", 
     IF(MAXIFS(dynamic[orderCount], dynamic[customerID], B767)&lt;=2, 
        IF((DATE(2024,4,30) - MAXIFS(dynamic[orderDate], dynamic[customerID], B767)) &gt; 180, "Non-Returning", "Dormant"), 
        IF(AND(MAX(dynamic[sinceLastOrder]) &gt; 365, (DATE(2024,4,30) - MAXIFS(dynamic[orderDate], dynamic[customerID], B767)) &gt; 180), 
           "Dormant", "Regular")))</f>
        <v>Regular</v>
      </c>
      <c r="H767" s="6">
        <v>12.0</v>
      </c>
      <c r="I767" s="9" t="str">
        <f>VLOOKUP(dynamic[productID],products[],2,FALSE)</f>
        <v>Queso Manchego La Pastora</v>
      </c>
      <c r="J767" s="9" t="str">
        <f>VLOOKUP(dynamic[productID],products[],12,FALSE)</f>
        <v>Dairy Products</v>
      </c>
      <c r="K767" s="7" t="str">
        <f>IF(VLOOKUP(dynamic[productID],products[],7,FALSE)=1,"Discontinued","Current")</f>
        <v>Current</v>
      </c>
      <c r="L767" s="9">
        <f>VLOOKUP(dynamic[productID],products[],IF(YEAR(dynamic[orderDate])=2022,8,IF(YEAR(dynamic[orderDate])=2023,9,IF(YEAR(dynamic[orderDate])=2024,10,NA))),FALSE)</f>
        <v>23.79216617</v>
      </c>
      <c r="M767" s="9">
        <v>38.0</v>
      </c>
      <c r="N767" s="25">
        <f>(dynamic[orderPrice]-dynamic[productCost])/dynamic[productCost]</f>
        <v>0.5971643663</v>
      </c>
      <c r="O767" s="10">
        <v>15.0</v>
      </c>
      <c r="P767" s="25">
        <v>0.25</v>
      </c>
      <c r="Q767" s="9">
        <f>dynamic[orderPrice]*dynamic[orderQuantity]</f>
        <v>570</v>
      </c>
      <c r="R767" s="9">
        <f>dynamic[orderTotal]*(1-dynamic[discountApllied])</f>
        <v>427.5</v>
      </c>
      <c r="S767" s="9">
        <f>dynamic[revenue]-(dynamic[productCost]*dynamic[orderQuantity])</f>
        <v>70.61750749</v>
      </c>
      <c r="T767" s="25">
        <f>IFERROR(dynamic[profit]/dynamic[revenue], 0)</f>
        <v>0.165187152</v>
      </c>
    </row>
    <row r="768" ht="15.75" customHeight="1">
      <c r="A768" s="6">
        <v>10536.0</v>
      </c>
      <c r="B768" s="7" t="s">
        <v>41</v>
      </c>
      <c r="C768" s="24" t="str">
        <f>VLOOKUP(dynamic[customerID],customers[],2,FALSE)</f>
        <v>Lehmanns Marktstand</v>
      </c>
      <c r="D768" s="24">
        <v>45060.0</v>
      </c>
      <c r="E768" s="6">
        <f>IFERROR(__xludf.DUMMYFUNCTION("COUNTUNIQUEIFS($A$2:$A768,$B$2:$B768,B768)"),7.0)</f>
        <v>7</v>
      </c>
      <c r="F768" s="6">
        <f t="shared" si="1"/>
        <v>2</v>
      </c>
      <c r="G768" s="6" t="str">
        <f>IF(MINIFS(dynamic[orderDate], dynamic[customerID], B768) &gt;= DATE(2024,4,30)-120, 
     "New", 
     IF(MAXIFS(dynamic[orderCount], dynamic[customerID], B768)&lt;=2, 
        IF((DATE(2024,4,30) - MAXIFS(dynamic[orderDate], dynamic[customerID], B768)) &gt; 180, "Non-Returning", "Dormant"), 
        IF(AND(MAX(dynamic[sinceLastOrder]) &gt; 365, (DATE(2024,4,30) - MAXIFS(dynamic[orderDate], dynamic[customerID], B768)) &gt; 180), 
           "Dormant", "Regular")))</f>
        <v>Regular</v>
      </c>
      <c r="H768" s="6">
        <v>31.0</v>
      </c>
      <c r="I768" s="9" t="str">
        <f>VLOOKUP(dynamic[productID],products[],2,FALSE)</f>
        <v>Gorgonzola Telino</v>
      </c>
      <c r="J768" s="9" t="str">
        <f>VLOOKUP(dynamic[productID],products[],12,FALSE)</f>
        <v>Dairy Products</v>
      </c>
      <c r="K768" s="7" t="str">
        <f>IF(VLOOKUP(dynamic[productID],products[],7,FALSE)=1,"Discontinued","Current")</f>
        <v>Current</v>
      </c>
      <c r="L768" s="9">
        <f>VLOOKUP(dynamic[productID],products[],IF(YEAR(dynamic[orderDate])=2022,8,IF(YEAR(dynamic[orderDate])=2023,9,IF(YEAR(dynamic[orderDate])=2024,10,NA))),FALSE)</f>
        <v>7.937729254</v>
      </c>
      <c r="M768" s="9">
        <v>12.5</v>
      </c>
      <c r="N768" s="25">
        <f>(dynamic[orderPrice]-dynamic[productCost])/dynamic[productCost]</f>
        <v>0.5747576668</v>
      </c>
      <c r="O768" s="10">
        <v>20.0</v>
      </c>
      <c r="P768" s="25">
        <v>0.0</v>
      </c>
      <c r="Q768" s="9">
        <f>dynamic[orderPrice]*dynamic[orderQuantity]</f>
        <v>250</v>
      </c>
      <c r="R768" s="9">
        <f>dynamic[orderTotal]*(1-dynamic[discountApllied])</f>
        <v>250</v>
      </c>
      <c r="S768" s="9">
        <f>dynamic[revenue]-(dynamic[productCost]*dynamic[orderQuantity])</f>
        <v>91.24541492</v>
      </c>
      <c r="T768" s="25">
        <f>IFERROR(dynamic[profit]/dynamic[revenue], 0)</f>
        <v>0.3649816597</v>
      </c>
    </row>
    <row r="769" ht="15.75" customHeight="1">
      <c r="A769" s="6">
        <v>10536.0</v>
      </c>
      <c r="B769" s="7" t="s">
        <v>41</v>
      </c>
      <c r="C769" s="24" t="str">
        <f>VLOOKUP(dynamic[customerID],customers[],2,FALSE)</f>
        <v>Lehmanns Marktstand</v>
      </c>
      <c r="D769" s="24">
        <v>45060.0</v>
      </c>
      <c r="E769" s="6">
        <f>IFERROR(__xludf.DUMMYFUNCTION("COUNTUNIQUEIFS($A$2:$A769,$B$2:$B769,B769)"),7.0)</f>
        <v>7</v>
      </c>
      <c r="F769" s="6">
        <f t="shared" si="1"/>
        <v>2</v>
      </c>
      <c r="G769" s="6" t="str">
        <f>IF(MINIFS(dynamic[orderDate], dynamic[customerID], B769) &gt;= DATE(2024,4,30)-120, 
     "New", 
     IF(MAXIFS(dynamic[orderCount], dynamic[customerID], B769)&lt;=2, 
        IF((DATE(2024,4,30) - MAXIFS(dynamic[orderDate], dynamic[customerID], B769)) &gt; 180, "Non-Returning", "Dormant"), 
        IF(AND(MAX(dynamic[sinceLastOrder]) &gt; 365, (DATE(2024,4,30) - MAXIFS(dynamic[orderDate], dynamic[customerID], B769)) &gt; 180), 
           "Dormant", "Regular")))</f>
        <v>Regular</v>
      </c>
      <c r="H769" s="6">
        <v>33.0</v>
      </c>
      <c r="I769" s="9" t="str">
        <f>VLOOKUP(dynamic[productID],products[],2,FALSE)</f>
        <v>Geitost</v>
      </c>
      <c r="J769" s="9" t="str">
        <f>VLOOKUP(dynamic[productID],products[],12,FALSE)</f>
        <v>Dairy Products</v>
      </c>
      <c r="K769" s="7" t="str">
        <f>IF(VLOOKUP(dynamic[productID],products[],7,FALSE)=1,"Discontinued","Current")</f>
        <v>Current</v>
      </c>
      <c r="L769" s="9">
        <f>VLOOKUP(dynamic[productID],products[],IF(YEAR(dynamic[orderDate])=2022,8,IF(YEAR(dynamic[orderDate])=2023,9,IF(YEAR(dynamic[orderDate])=2024,10,NA))),FALSE)</f>
        <v>1.559072298</v>
      </c>
      <c r="M769" s="9">
        <v>2.5</v>
      </c>
      <c r="N769" s="25">
        <f>(dynamic[orderPrice]-dynamic[productCost])/dynamic[productCost]</f>
        <v>0.603517684</v>
      </c>
      <c r="O769" s="10">
        <v>30.0</v>
      </c>
      <c r="P769" s="25">
        <v>0.0</v>
      </c>
      <c r="Q769" s="9">
        <f>dynamic[orderPrice]*dynamic[orderQuantity]</f>
        <v>75</v>
      </c>
      <c r="R769" s="9">
        <f>dynamic[orderTotal]*(1-dynamic[discountApllied])</f>
        <v>75</v>
      </c>
      <c r="S769" s="9">
        <f>dynamic[revenue]-(dynamic[productCost]*dynamic[orderQuantity])</f>
        <v>28.22783107</v>
      </c>
      <c r="T769" s="25">
        <f>IFERROR(dynamic[profit]/dynamic[revenue], 0)</f>
        <v>0.3763710809</v>
      </c>
    </row>
    <row r="770" ht="15.75" customHeight="1">
      <c r="A770" s="6">
        <v>10536.0</v>
      </c>
      <c r="B770" s="7" t="s">
        <v>41</v>
      </c>
      <c r="C770" s="24" t="str">
        <f>VLOOKUP(dynamic[customerID],customers[],2,FALSE)</f>
        <v>Lehmanns Marktstand</v>
      </c>
      <c r="D770" s="24">
        <v>45060.0</v>
      </c>
      <c r="E770" s="6">
        <f>IFERROR(__xludf.DUMMYFUNCTION("COUNTUNIQUEIFS($A$2:$A770,$B$2:$B770,B770)"),7.0)</f>
        <v>7</v>
      </c>
      <c r="F770" s="6">
        <f t="shared" si="1"/>
        <v>2</v>
      </c>
      <c r="G770" s="6" t="str">
        <f>IF(MINIFS(dynamic[orderDate], dynamic[customerID], B770) &gt;= DATE(2024,4,30)-120, 
     "New", 
     IF(MAXIFS(dynamic[orderCount], dynamic[customerID], B770)&lt;=2, 
        IF((DATE(2024,4,30) - MAXIFS(dynamic[orderDate], dynamic[customerID], B770)) &gt; 180, "Non-Returning", "Dormant"), 
        IF(AND(MAX(dynamic[sinceLastOrder]) &gt; 365, (DATE(2024,4,30) - MAXIFS(dynamic[orderDate], dynamic[customerID], B770)) &gt; 180), 
           "Dormant", "Regular")))</f>
        <v>Regular</v>
      </c>
      <c r="H770" s="6">
        <v>60.0</v>
      </c>
      <c r="I770" s="9" t="str">
        <f>VLOOKUP(dynamic[productID],products[],2,FALSE)</f>
        <v>Camembert Pierrot</v>
      </c>
      <c r="J770" s="9" t="str">
        <f>VLOOKUP(dynamic[productID],products[],12,FALSE)</f>
        <v>Dairy Products</v>
      </c>
      <c r="K770" s="7" t="str">
        <f>IF(VLOOKUP(dynamic[productID],products[],7,FALSE)=1,"Discontinued","Current")</f>
        <v>Current</v>
      </c>
      <c r="L770" s="9">
        <f>VLOOKUP(dynamic[productID],products[],IF(YEAR(dynamic[orderDate])=2022,8,IF(YEAR(dynamic[orderDate])=2023,9,IF(YEAR(dynamic[orderDate])=2024,10,NA))),FALSE)</f>
        <v>22.77098295</v>
      </c>
      <c r="M770" s="9">
        <v>34.0</v>
      </c>
      <c r="N770" s="25">
        <f>(dynamic[orderPrice]-dynamic[productCost])/dynamic[productCost]</f>
        <v>0.4931283415</v>
      </c>
      <c r="O770" s="10">
        <v>35.0</v>
      </c>
      <c r="P770" s="25">
        <v>0.25</v>
      </c>
      <c r="Q770" s="9">
        <f>dynamic[orderPrice]*dynamic[orderQuantity]</f>
        <v>1190</v>
      </c>
      <c r="R770" s="9">
        <f>dynamic[orderTotal]*(1-dynamic[discountApllied])</f>
        <v>892.5</v>
      </c>
      <c r="S770" s="9">
        <f>dynamic[revenue]-(dynamic[productCost]*dynamic[orderQuantity])</f>
        <v>95.51559688</v>
      </c>
      <c r="T770" s="25">
        <f>IFERROR(dynamic[profit]/dynamic[revenue], 0)</f>
        <v>0.1070202766</v>
      </c>
    </row>
    <row r="771" ht="15.75" customHeight="1">
      <c r="A771" s="6">
        <v>10537.0</v>
      </c>
      <c r="B771" s="7" t="s">
        <v>21</v>
      </c>
      <c r="C771" s="24" t="str">
        <f>VLOOKUP(dynamic[customerID],customers[],2,FALSE)</f>
        <v>Richter Supermarkt</v>
      </c>
      <c r="D771" s="24">
        <v>45060.0</v>
      </c>
      <c r="E771" s="6">
        <f>IFERROR(__xludf.DUMMYFUNCTION("COUNTUNIQUEIFS($A$2:$A771,$B$2:$B771,B771)"),3.0)</f>
        <v>3</v>
      </c>
      <c r="F771" s="6">
        <f t="shared" si="1"/>
        <v>114</v>
      </c>
      <c r="G771" s="6" t="str">
        <f>IF(MINIFS(dynamic[orderDate], dynamic[customerID], B771) &gt;= DATE(2024,4,30)-120, 
     "New", 
     IF(MAXIFS(dynamic[orderCount], dynamic[customerID], B771)&lt;=2, 
        IF((DATE(2024,4,30) - MAXIFS(dynamic[orderDate], dynamic[customerID], B771)) &gt; 180, "Non-Returning", "Dormant"), 
        IF(AND(MAX(dynamic[sinceLastOrder]) &gt; 365, (DATE(2024,4,30) - MAXIFS(dynamic[orderDate], dynamic[customerID], B771)) &gt; 180), 
           "Dormant", "Regular")))</f>
        <v>Regular</v>
      </c>
      <c r="H771" s="6">
        <v>31.0</v>
      </c>
      <c r="I771" s="9" t="str">
        <f>VLOOKUP(dynamic[productID],products[],2,FALSE)</f>
        <v>Gorgonzola Telino</v>
      </c>
      <c r="J771" s="9" t="str">
        <f>VLOOKUP(dynamic[productID],products[],12,FALSE)</f>
        <v>Dairy Products</v>
      </c>
      <c r="K771" s="7" t="str">
        <f>IF(VLOOKUP(dynamic[productID],products[],7,FALSE)=1,"Discontinued","Current")</f>
        <v>Current</v>
      </c>
      <c r="L771" s="9">
        <f>VLOOKUP(dynamic[productID],products[],IF(YEAR(dynamic[orderDate])=2022,8,IF(YEAR(dynamic[orderDate])=2023,9,IF(YEAR(dynamic[orderDate])=2024,10,NA))),FALSE)</f>
        <v>7.937729254</v>
      </c>
      <c r="M771" s="9">
        <v>12.5</v>
      </c>
      <c r="N771" s="25">
        <f>(dynamic[orderPrice]-dynamic[productCost])/dynamic[productCost]</f>
        <v>0.5747576668</v>
      </c>
      <c r="O771" s="10">
        <v>30.0</v>
      </c>
      <c r="P771" s="25">
        <v>0.0</v>
      </c>
      <c r="Q771" s="9">
        <f>dynamic[orderPrice]*dynamic[orderQuantity]</f>
        <v>375</v>
      </c>
      <c r="R771" s="9">
        <f>dynamic[orderTotal]*(1-dynamic[discountApllied])</f>
        <v>375</v>
      </c>
      <c r="S771" s="9">
        <f>dynamic[revenue]-(dynamic[productCost]*dynamic[orderQuantity])</f>
        <v>136.8681224</v>
      </c>
      <c r="T771" s="25">
        <f>IFERROR(dynamic[profit]/dynamic[revenue], 0)</f>
        <v>0.3649816597</v>
      </c>
    </row>
    <row r="772" ht="15.75" customHeight="1">
      <c r="A772" s="6">
        <v>10537.0</v>
      </c>
      <c r="B772" s="7" t="s">
        <v>21</v>
      </c>
      <c r="C772" s="24" t="str">
        <f>VLOOKUP(dynamic[customerID],customers[],2,FALSE)</f>
        <v>Richter Supermarkt</v>
      </c>
      <c r="D772" s="24">
        <v>45060.0</v>
      </c>
      <c r="E772" s="6">
        <f>IFERROR(__xludf.DUMMYFUNCTION("COUNTUNIQUEIFS($A$2:$A772,$B$2:$B772,B772)"),3.0)</f>
        <v>3</v>
      </c>
      <c r="F772" s="6">
        <f t="shared" si="1"/>
        <v>114</v>
      </c>
      <c r="G772" s="6" t="str">
        <f>IF(MINIFS(dynamic[orderDate], dynamic[customerID], B772) &gt;= DATE(2024,4,30)-120, 
     "New", 
     IF(MAXIFS(dynamic[orderCount], dynamic[customerID], B772)&lt;=2, 
        IF((DATE(2024,4,30) - MAXIFS(dynamic[orderDate], dynamic[customerID], B772)) &gt; 180, "Non-Returning", "Dormant"), 
        IF(AND(MAX(dynamic[sinceLastOrder]) &gt; 365, (DATE(2024,4,30) - MAXIFS(dynamic[orderDate], dynamic[customerID], B772)) &gt; 180), 
           "Dormant", "Regular")))</f>
        <v>Regular</v>
      </c>
      <c r="H772" s="6">
        <v>51.0</v>
      </c>
      <c r="I772" s="9" t="str">
        <f>VLOOKUP(dynamic[productID],products[],2,FALSE)</f>
        <v>Manjimup Dried Apples</v>
      </c>
      <c r="J772" s="9" t="str">
        <f>VLOOKUP(dynamic[productID],products[],12,FALSE)</f>
        <v>Produce</v>
      </c>
      <c r="K772" s="7" t="str">
        <f>IF(VLOOKUP(dynamic[productID],products[],7,FALSE)=1,"Discontinued","Current")</f>
        <v>Current</v>
      </c>
      <c r="L772" s="9">
        <f>VLOOKUP(dynamic[productID],products[],IF(YEAR(dynamic[orderDate])=2022,8,IF(YEAR(dynamic[orderDate])=2023,9,IF(YEAR(dynamic[orderDate])=2024,10,NA))),FALSE)</f>
        <v>36.88798027</v>
      </c>
      <c r="M772" s="9">
        <v>53.0</v>
      </c>
      <c r="N772" s="25">
        <f>(dynamic[orderPrice]-dynamic[productCost])/dynamic[productCost]</f>
        <v>0.4367823779</v>
      </c>
      <c r="O772" s="10">
        <v>6.0</v>
      </c>
      <c r="P772" s="25">
        <v>0.0</v>
      </c>
      <c r="Q772" s="9">
        <f>dynamic[orderPrice]*dynamic[orderQuantity]</f>
        <v>318</v>
      </c>
      <c r="R772" s="9">
        <f>dynamic[orderTotal]*(1-dynamic[discountApllied])</f>
        <v>318</v>
      </c>
      <c r="S772" s="9">
        <f>dynamic[revenue]-(dynamic[productCost]*dynamic[orderQuantity])</f>
        <v>96.67211841</v>
      </c>
      <c r="T772" s="25">
        <f>IFERROR(dynamic[profit]/dynamic[revenue], 0)</f>
        <v>0.3040003724</v>
      </c>
    </row>
    <row r="773" ht="15.75" customHeight="1">
      <c r="A773" s="6">
        <v>10537.0</v>
      </c>
      <c r="B773" s="7" t="s">
        <v>21</v>
      </c>
      <c r="C773" s="24" t="str">
        <f>VLOOKUP(dynamic[customerID],customers[],2,FALSE)</f>
        <v>Richter Supermarkt</v>
      </c>
      <c r="D773" s="24">
        <v>45060.0</v>
      </c>
      <c r="E773" s="6">
        <f>IFERROR(__xludf.DUMMYFUNCTION("COUNTUNIQUEIFS($A$2:$A773,$B$2:$B773,B773)"),3.0)</f>
        <v>3</v>
      </c>
      <c r="F773" s="6">
        <f t="shared" si="1"/>
        <v>114</v>
      </c>
      <c r="G773" s="6" t="str">
        <f>IF(MINIFS(dynamic[orderDate], dynamic[customerID], B773) &gt;= DATE(2024,4,30)-120, 
     "New", 
     IF(MAXIFS(dynamic[orderCount], dynamic[customerID], B773)&lt;=2, 
        IF((DATE(2024,4,30) - MAXIFS(dynamic[orderDate], dynamic[customerID], B773)) &gt; 180, "Non-Returning", "Dormant"), 
        IF(AND(MAX(dynamic[sinceLastOrder]) &gt; 365, (DATE(2024,4,30) - MAXIFS(dynamic[orderDate], dynamic[customerID], B773)) &gt; 180), 
           "Dormant", "Regular")))</f>
        <v>Regular</v>
      </c>
      <c r="H773" s="6">
        <v>58.0</v>
      </c>
      <c r="I773" s="9" t="str">
        <f>VLOOKUP(dynamic[productID],products[],2,FALSE)</f>
        <v>Escargots de Bourgogne</v>
      </c>
      <c r="J773" s="9" t="str">
        <f>VLOOKUP(dynamic[productID],products[],12,FALSE)</f>
        <v>Seafood</v>
      </c>
      <c r="K773" s="7" t="str">
        <f>IF(VLOOKUP(dynamic[productID],products[],7,FALSE)=1,"Discontinued","Current")</f>
        <v>Current</v>
      </c>
      <c r="L773" s="9">
        <f>VLOOKUP(dynamic[productID],products[],IF(YEAR(dynamic[orderDate])=2022,8,IF(YEAR(dynamic[orderDate])=2023,9,IF(YEAR(dynamic[orderDate])=2024,10,NA))),FALSE)</f>
        <v>8.208446365</v>
      </c>
      <c r="M773" s="9">
        <v>13.25</v>
      </c>
      <c r="N773" s="25">
        <f>(dynamic[orderPrice]-dynamic[productCost])/dynamic[productCost]</f>
        <v>0.61419097</v>
      </c>
      <c r="O773" s="10">
        <v>20.0</v>
      </c>
      <c r="P773" s="25">
        <v>0.0</v>
      </c>
      <c r="Q773" s="9">
        <f>dynamic[orderPrice]*dynamic[orderQuantity]</f>
        <v>265</v>
      </c>
      <c r="R773" s="9">
        <f>dynamic[orderTotal]*(1-dynamic[discountApllied])</f>
        <v>265</v>
      </c>
      <c r="S773" s="9">
        <f>dynamic[revenue]-(dynamic[productCost]*dynamic[orderQuantity])</f>
        <v>100.8310727</v>
      </c>
      <c r="T773" s="25">
        <f>IFERROR(dynamic[profit]/dynamic[revenue], 0)</f>
        <v>0.380494614</v>
      </c>
    </row>
    <row r="774" ht="15.75" customHeight="1">
      <c r="A774" s="6">
        <v>10537.0</v>
      </c>
      <c r="B774" s="7" t="s">
        <v>21</v>
      </c>
      <c r="C774" s="24" t="str">
        <f>VLOOKUP(dynamic[customerID],customers[],2,FALSE)</f>
        <v>Richter Supermarkt</v>
      </c>
      <c r="D774" s="24">
        <v>45060.0</v>
      </c>
      <c r="E774" s="6">
        <f>IFERROR(__xludf.DUMMYFUNCTION("COUNTUNIQUEIFS($A$2:$A774,$B$2:$B774,B774)"),3.0)</f>
        <v>3</v>
      </c>
      <c r="F774" s="6">
        <f t="shared" si="1"/>
        <v>114</v>
      </c>
      <c r="G774" s="6" t="str">
        <f>IF(MINIFS(dynamic[orderDate], dynamic[customerID], B774) &gt;= DATE(2024,4,30)-120, 
     "New", 
     IF(MAXIFS(dynamic[orderCount], dynamic[customerID], B774)&lt;=2, 
        IF((DATE(2024,4,30) - MAXIFS(dynamic[orderDate], dynamic[customerID], B774)) &gt; 180, "Non-Returning", "Dormant"), 
        IF(AND(MAX(dynamic[sinceLastOrder]) &gt; 365, (DATE(2024,4,30) - MAXIFS(dynamic[orderDate], dynamic[customerID], B774)) &gt; 180), 
           "Dormant", "Regular")))</f>
        <v>Regular</v>
      </c>
      <c r="H774" s="6">
        <v>72.0</v>
      </c>
      <c r="I774" s="9" t="str">
        <f>VLOOKUP(dynamic[productID],products[],2,FALSE)</f>
        <v>Mozzarella di Giovanni</v>
      </c>
      <c r="J774" s="9" t="str">
        <f>VLOOKUP(dynamic[productID],products[],12,FALSE)</f>
        <v>Dairy Products</v>
      </c>
      <c r="K774" s="7" t="str">
        <f>IF(VLOOKUP(dynamic[productID],products[],7,FALSE)=1,"Discontinued","Current")</f>
        <v>Current</v>
      </c>
      <c r="L774" s="9">
        <f>VLOOKUP(dynamic[productID],products[],IF(YEAR(dynamic[orderDate])=2022,8,IF(YEAR(dynamic[orderDate])=2023,9,IF(YEAR(dynamic[orderDate])=2024,10,NA))),FALSE)</f>
        <v>23.51933768</v>
      </c>
      <c r="M774" s="9">
        <v>34.8</v>
      </c>
      <c r="N774" s="25">
        <f>(dynamic[orderPrice]-dynamic[productCost])/dynamic[productCost]</f>
        <v>0.4796335031</v>
      </c>
      <c r="O774" s="10">
        <v>21.0</v>
      </c>
      <c r="P774" s="25">
        <v>0.0</v>
      </c>
      <c r="Q774" s="9">
        <f>dynamic[orderPrice]*dynamic[orderQuantity]</f>
        <v>730.8</v>
      </c>
      <c r="R774" s="9">
        <f>dynamic[orderTotal]*(1-dynamic[discountApllied])</f>
        <v>730.8</v>
      </c>
      <c r="S774" s="9">
        <f>dynamic[revenue]-(dynamic[productCost]*dynamic[orderQuantity])</f>
        <v>236.8939087</v>
      </c>
      <c r="T774" s="25">
        <f>IFERROR(dynamic[profit]/dynamic[revenue], 0)</f>
        <v>0.3241569633</v>
      </c>
    </row>
    <row r="775" ht="15.75" customHeight="1">
      <c r="A775" s="6">
        <v>10537.0</v>
      </c>
      <c r="B775" s="7" t="s">
        <v>21</v>
      </c>
      <c r="C775" s="24" t="str">
        <f>VLOOKUP(dynamic[customerID],customers[],2,FALSE)</f>
        <v>Richter Supermarkt</v>
      </c>
      <c r="D775" s="24">
        <v>45060.0</v>
      </c>
      <c r="E775" s="6">
        <f>IFERROR(__xludf.DUMMYFUNCTION("COUNTUNIQUEIFS($A$2:$A775,$B$2:$B775,B775)"),3.0)</f>
        <v>3</v>
      </c>
      <c r="F775" s="6">
        <f t="shared" si="1"/>
        <v>114</v>
      </c>
      <c r="G775" s="6" t="str">
        <f>IF(MINIFS(dynamic[orderDate], dynamic[customerID], B775) &gt;= DATE(2024,4,30)-120, 
     "New", 
     IF(MAXIFS(dynamic[orderCount], dynamic[customerID], B775)&lt;=2, 
        IF((DATE(2024,4,30) - MAXIFS(dynamic[orderDate], dynamic[customerID], B775)) &gt; 180, "Non-Returning", "Dormant"), 
        IF(AND(MAX(dynamic[sinceLastOrder]) &gt; 365, (DATE(2024,4,30) - MAXIFS(dynamic[orderDate], dynamic[customerID], B775)) &gt; 180), 
           "Dormant", "Regular")))</f>
        <v>Regular</v>
      </c>
      <c r="H775" s="6">
        <v>73.0</v>
      </c>
      <c r="I775" s="9" t="str">
        <f>VLOOKUP(dynamic[productID],products[],2,FALSE)</f>
        <v>Röd Kaviar</v>
      </c>
      <c r="J775" s="9" t="str">
        <f>VLOOKUP(dynamic[productID],products[],12,FALSE)</f>
        <v>Seafood</v>
      </c>
      <c r="K775" s="7" t="str">
        <f>IF(VLOOKUP(dynamic[productID],products[],7,FALSE)=1,"Discontinued","Current")</f>
        <v>Current</v>
      </c>
      <c r="L775" s="9">
        <f>VLOOKUP(dynamic[productID],products[],IF(YEAR(dynamic[orderDate])=2022,8,IF(YEAR(dynamic[orderDate])=2023,9,IF(YEAR(dynamic[orderDate])=2024,10,NA))),FALSE)</f>
        <v>9.692999362</v>
      </c>
      <c r="M775" s="9">
        <v>15.0</v>
      </c>
      <c r="N775" s="25">
        <f>(dynamic[orderPrice]-dynamic[productCost])/dynamic[productCost]</f>
        <v>0.5475086131</v>
      </c>
      <c r="O775" s="10">
        <v>9.0</v>
      </c>
      <c r="P775" s="25">
        <v>0.0</v>
      </c>
      <c r="Q775" s="9">
        <f>dynamic[orderPrice]*dynamic[orderQuantity]</f>
        <v>135</v>
      </c>
      <c r="R775" s="9">
        <f>dynamic[orderTotal]*(1-dynamic[discountApllied])</f>
        <v>135</v>
      </c>
      <c r="S775" s="9">
        <f>dynamic[revenue]-(dynamic[productCost]*dynamic[orderQuantity])</f>
        <v>47.76300574</v>
      </c>
      <c r="T775" s="25">
        <f>IFERROR(dynamic[profit]/dynamic[revenue], 0)</f>
        <v>0.3538000425</v>
      </c>
    </row>
    <row r="776" ht="15.75" customHeight="1">
      <c r="A776" s="6">
        <v>10538.0</v>
      </c>
      <c r="B776" s="7" t="s">
        <v>46</v>
      </c>
      <c r="C776" s="24" t="str">
        <f>VLOOKUP(dynamic[customerID],customers[],2,FALSE)</f>
        <v>B's Beverages</v>
      </c>
      <c r="D776" s="24">
        <v>45061.0</v>
      </c>
      <c r="E776" s="6">
        <f>IFERROR(__xludf.DUMMYFUNCTION("COUNTUNIQUEIFS($A$2:$A776,$B$2:$B776,B776)"),4.0)</f>
        <v>4</v>
      </c>
      <c r="F776" s="6">
        <f t="shared" si="1"/>
        <v>52</v>
      </c>
      <c r="G776" s="6" t="str">
        <f>IF(MINIFS(dynamic[orderDate], dynamic[customerID], B776) &gt;= DATE(2024,4,30)-120, 
     "New", 
     IF(MAXIFS(dynamic[orderCount], dynamic[customerID], B776)&lt;=2, 
        IF((DATE(2024,4,30) - MAXIFS(dynamic[orderDate], dynamic[customerID], B776)) &gt; 180, "Non-Returning", "Dormant"), 
        IF(AND(MAX(dynamic[sinceLastOrder]) &gt; 365, (DATE(2024,4,30) - MAXIFS(dynamic[orderDate], dynamic[customerID], B776)) &gt; 180), 
           "Dormant", "Regular")))</f>
        <v>Regular</v>
      </c>
      <c r="H776" s="6">
        <v>70.0</v>
      </c>
      <c r="I776" s="9" t="str">
        <f>VLOOKUP(dynamic[productID],products[],2,FALSE)</f>
        <v>Outback Lager</v>
      </c>
      <c r="J776" s="9" t="str">
        <f>VLOOKUP(dynamic[productID],products[],12,FALSE)</f>
        <v>Beverages</v>
      </c>
      <c r="K776" s="7" t="str">
        <f>IF(VLOOKUP(dynamic[productID],products[],7,FALSE)=1,"Discontinued","Current")</f>
        <v>Current</v>
      </c>
      <c r="L776" s="9">
        <f>VLOOKUP(dynamic[productID],products[],IF(YEAR(dynamic[orderDate])=2022,8,IF(YEAR(dynamic[orderDate])=2023,9,IF(YEAR(dynamic[orderDate])=2024,10,NA))),FALSE)</f>
        <v>9.793094091</v>
      </c>
      <c r="M776" s="9">
        <v>15.0</v>
      </c>
      <c r="N776" s="25">
        <f>(dynamic[orderPrice]-dynamic[productCost])/dynamic[productCost]</f>
        <v>0.5316916044</v>
      </c>
      <c r="O776" s="10">
        <v>7.0</v>
      </c>
      <c r="P776" s="25">
        <v>0.0</v>
      </c>
      <c r="Q776" s="9">
        <f>dynamic[orderPrice]*dynamic[orderQuantity]</f>
        <v>105</v>
      </c>
      <c r="R776" s="9">
        <f>dynamic[orderTotal]*(1-dynamic[discountApllied])</f>
        <v>105</v>
      </c>
      <c r="S776" s="9">
        <f>dynamic[revenue]-(dynamic[productCost]*dynamic[orderQuantity])</f>
        <v>36.44834136</v>
      </c>
      <c r="T776" s="25">
        <f>IFERROR(dynamic[profit]/dynamic[revenue], 0)</f>
        <v>0.3471270606</v>
      </c>
    </row>
    <row r="777" ht="15.75" customHeight="1">
      <c r="A777" s="6">
        <v>10538.0</v>
      </c>
      <c r="B777" s="7" t="s">
        <v>46</v>
      </c>
      <c r="C777" s="24" t="str">
        <f>VLOOKUP(dynamic[customerID],customers[],2,FALSE)</f>
        <v>B's Beverages</v>
      </c>
      <c r="D777" s="24">
        <v>45061.0</v>
      </c>
      <c r="E777" s="6">
        <f>IFERROR(__xludf.DUMMYFUNCTION("COUNTUNIQUEIFS($A$2:$A777,$B$2:$B777,B777)"),4.0)</f>
        <v>4</v>
      </c>
      <c r="F777" s="6">
        <f t="shared" si="1"/>
        <v>52</v>
      </c>
      <c r="G777" s="6" t="str">
        <f>IF(MINIFS(dynamic[orderDate], dynamic[customerID], B777) &gt;= DATE(2024,4,30)-120, 
     "New", 
     IF(MAXIFS(dynamic[orderCount], dynamic[customerID], B777)&lt;=2, 
        IF((DATE(2024,4,30) - MAXIFS(dynamic[orderDate], dynamic[customerID], B777)) &gt; 180, "Non-Returning", "Dormant"), 
        IF(AND(MAX(dynamic[sinceLastOrder]) &gt; 365, (DATE(2024,4,30) - MAXIFS(dynamic[orderDate], dynamic[customerID], B777)) &gt; 180), 
           "Dormant", "Regular")))</f>
        <v>Regular</v>
      </c>
      <c r="H777" s="6">
        <v>72.0</v>
      </c>
      <c r="I777" s="9" t="str">
        <f>VLOOKUP(dynamic[productID],products[],2,FALSE)</f>
        <v>Mozzarella di Giovanni</v>
      </c>
      <c r="J777" s="9" t="str">
        <f>VLOOKUP(dynamic[productID],products[],12,FALSE)</f>
        <v>Dairy Products</v>
      </c>
      <c r="K777" s="7" t="str">
        <f>IF(VLOOKUP(dynamic[productID],products[],7,FALSE)=1,"Discontinued","Current")</f>
        <v>Current</v>
      </c>
      <c r="L777" s="9">
        <f>VLOOKUP(dynamic[productID],products[],IF(YEAR(dynamic[orderDate])=2022,8,IF(YEAR(dynamic[orderDate])=2023,9,IF(YEAR(dynamic[orderDate])=2024,10,NA))),FALSE)</f>
        <v>23.51933768</v>
      </c>
      <c r="M777" s="9">
        <v>34.8</v>
      </c>
      <c r="N777" s="25">
        <f>(dynamic[orderPrice]-dynamic[productCost])/dynamic[productCost]</f>
        <v>0.4796335031</v>
      </c>
      <c r="O777" s="10">
        <v>1.0</v>
      </c>
      <c r="P777" s="25">
        <v>0.0</v>
      </c>
      <c r="Q777" s="9">
        <f>dynamic[orderPrice]*dynamic[orderQuantity]</f>
        <v>34.8</v>
      </c>
      <c r="R777" s="9">
        <f>dynamic[orderTotal]*(1-dynamic[discountApllied])</f>
        <v>34.8</v>
      </c>
      <c r="S777" s="9">
        <f>dynamic[revenue]-(dynamic[productCost]*dynamic[orderQuantity])</f>
        <v>11.28066232</v>
      </c>
      <c r="T777" s="25">
        <f>IFERROR(dynamic[profit]/dynamic[revenue], 0)</f>
        <v>0.3241569633</v>
      </c>
    </row>
    <row r="778" ht="15.75" customHeight="1">
      <c r="A778" s="6">
        <v>10539.0</v>
      </c>
      <c r="B778" s="7" t="s">
        <v>46</v>
      </c>
      <c r="C778" s="24" t="str">
        <f>VLOOKUP(dynamic[customerID],customers[],2,FALSE)</f>
        <v>B's Beverages</v>
      </c>
      <c r="D778" s="24">
        <v>45062.0</v>
      </c>
      <c r="E778" s="6">
        <f>IFERROR(__xludf.DUMMYFUNCTION("COUNTUNIQUEIFS($A$2:$A778,$B$2:$B778,B778)"),5.0)</f>
        <v>5</v>
      </c>
      <c r="F778" s="6">
        <f t="shared" si="1"/>
        <v>1</v>
      </c>
      <c r="G778" s="6" t="str">
        <f>IF(MINIFS(dynamic[orderDate], dynamic[customerID], B778) &gt;= DATE(2024,4,30)-120, 
     "New", 
     IF(MAXIFS(dynamic[orderCount], dynamic[customerID], B778)&lt;=2, 
        IF((DATE(2024,4,30) - MAXIFS(dynamic[orderDate], dynamic[customerID], B778)) &gt; 180, "Non-Returning", "Dormant"), 
        IF(AND(MAX(dynamic[sinceLastOrder]) &gt; 365, (DATE(2024,4,30) - MAXIFS(dynamic[orderDate], dynamic[customerID], B778)) &gt; 180), 
           "Dormant", "Regular")))</f>
        <v>Regular</v>
      </c>
      <c r="H778" s="6">
        <v>13.0</v>
      </c>
      <c r="I778" s="9" t="str">
        <f>VLOOKUP(dynamic[productID],products[],2,FALSE)</f>
        <v>Konbu</v>
      </c>
      <c r="J778" s="9" t="str">
        <f>VLOOKUP(dynamic[productID],products[],12,FALSE)</f>
        <v>Seafood</v>
      </c>
      <c r="K778" s="7" t="str">
        <f>IF(VLOOKUP(dynamic[productID],products[],7,FALSE)=1,"Discontinued","Current")</f>
        <v>Current</v>
      </c>
      <c r="L778" s="9">
        <f>VLOOKUP(dynamic[productID],products[],IF(YEAR(dynamic[orderDate])=2022,8,IF(YEAR(dynamic[orderDate])=2023,9,IF(YEAR(dynamic[orderDate])=2024,10,NA))),FALSE)</f>
        <v>3.865774949</v>
      </c>
      <c r="M778" s="9">
        <v>6.0</v>
      </c>
      <c r="N778" s="25">
        <f>(dynamic[orderPrice]-dynamic[productCost])/dynamic[productCost]</f>
        <v>0.5520820739</v>
      </c>
      <c r="O778" s="10">
        <v>8.0</v>
      </c>
      <c r="P778" s="25">
        <v>0.0</v>
      </c>
      <c r="Q778" s="9">
        <f>dynamic[orderPrice]*dynamic[orderQuantity]</f>
        <v>48</v>
      </c>
      <c r="R778" s="9">
        <f>dynamic[orderTotal]*(1-dynamic[discountApllied])</f>
        <v>48</v>
      </c>
      <c r="S778" s="9">
        <f>dynamic[revenue]-(dynamic[productCost]*dynamic[orderQuantity])</f>
        <v>17.07380041</v>
      </c>
      <c r="T778" s="25">
        <f>IFERROR(dynamic[profit]/dynamic[revenue], 0)</f>
        <v>0.3557041752</v>
      </c>
    </row>
    <row r="779" ht="15.75" customHeight="1">
      <c r="A779" s="6">
        <v>10539.0</v>
      </c>
      <c r="B779" s="7" t="s">
        <v>46</v>
      </c>
      <c r="C779" s="24" t="str">
        <f>VLOOKUP(dynamic[customerID],customers[],2,FALSE)</f>
        <v>B's Beverages</v>
      </c>
      <c r="D779" s="24">
        <v>45062.0</v>
      </c>
      <c r="E779" s="6">
        <f>IFERROR(__xludf.DUMMYFUNCTION("COUNTUNIQUEIFS($A$2:$A779,$B$2:$B779,B779)"),5.0)</f>
        <v>5</v>
      </c>
      <c r="F779" s="6">
        <f t="shared" si="1"/>
        <v>1</v>
      </c>
      <c r="G779" s="6" t="str">
        <f>IF(MINIFS(dynamic[orderDate], dynamic[customerID], B779) &gt;= DATE(2024,4,30)-120, 
     "New", 
     IF(MAXIFS(dynamic[orderCount], dynamic[customerID], B779)&lt;=2, 
        IF((DATE(2024,4,30) - MAXIFS(dynamic[orderDate], dynamic[customerID], B779)) &gt; 180, "Non-Returning", "Dormant"), 
        IF(AND(MAX(dynamic[sinceLastOrder]) &gt; 365, (DATE(2024,4,30) - MAXIFS(dynamic[orderDate], dynamic[customerID], B779)) &gt; 180), 
           "Dormant", "Regular")))</f>
        <v>Regular</v>
      </c>
      <c r="H779" s="6">
        <v>21.0</v>
      </c>
      <c r="I779" s="9" t="str">
        <f>VLOOKUP(dynamic[productID],products[],2,FALSE)</f>
        <v>Sir Rodney's Scones</v>
      </c>
      <c r="J779" s="9" t="str">
        <f>VLOOKUP(dynamic[productID],products[],12,FALSE)</f>
        <v>Confections</v>
      </c>
      <c r="K779" s="7" t="str">
        <f>IF(VLOOKUP(dynamic[productID],products[],7,FALSE)=1,"Discontinued","Current")</f>
        <v>Current</v>
      </c>
      <c r="L779" s="9">
        <f>VLOOKUP(dynamic[productID],products[],IF(YEAR(dynamic[orderDate])=2022,8,IF(YEAR(dynamic[orderDate])=2023,9,IF(YEAR(dynamic[orderDate])=2024,10,NA))),FALSE)</f>
        <v>6.725636111</v>
      </c>
      <c r="M779" s="9">
        <v>10.0</v>
      </c>
      <c r="N779" s="25">
        <f>(dynamic[orderPrice]-dynamic[productCost])/dynamic[productCost]</f>
        <v>0.486848208</v>
      </c>
      <c r="O779" s="10">
        <v>15.0</v>
      </c>
      <c r="P779" s="25">
        <v>0.0</v>
      </c>
      <c r="Q779" s="9">
        <f>dynamic[orderPrice]*dynamic[orderQuantity]</f>
        <v>150</v>
      </c>
      <c r="R779" s="9">
        <f>dynamic[orderTotal]*(1-dynamic[discountApllied])</f>
        <v>150</v>
      </c>
      <c r="S779" s="9">
        <f>dynamic[revenue]-(dynamic[productCost]*dynamic[orderQuantity])</f>
        <v>49.11545833</v>
      </c>
      <c r="T779" s="25">
        <f>IFERROR(dynamic[profit]/dynamic[revenue], 0)</f>
        <v>0.3274363889</v>
      </c>
    </row>
    <row r="780" ht="15.75" customHeight="1">
      <c r="A780" s="6">
        <v>10539.0</v>
      </c>
      <c r="B780" s="7" t="s">
        <v>46</v>
      </c>
      <c r="C780" s="24" t="str">
        <f>VLOOKUP(dynamic[customerID],customers[],2,FALSE)</f>
        <v>B's Beverages</v>
      </c>
      <c r="D780" s="24">
        <v>45062.0</v>
      </c>
      <c r="E780" s="6">
        <f>IFERROR(__xludf.DUMMYFUNCTION("COUNTUNIQUEIFS($A$2:$A780,$B$2:$B780,B780)"),5.0)</f>
        <v>5</v>
      </c>
      <c r="F780" s="6">
        <f t="shared" si="1"/>
        <v>1</v>
      </c>
      <c r="G780" s="6" t="str">
        <f>IF(MINIFS(dynamic[orderDate], dynamic[customerID], B780) &gt;= DATE(2024,4,30)-120, 
     "New", 
     IF(MAXIFS(dynamic[orderCount], dynamic[customerID], B780)&lt;=2, 
        IF((DATE(2024,4,30) - MAXIFS(dynamic[orderDate], dynamic[customerID], B780)) &gt; 180, "Non-Returning", "Dormant"), 
        IF(AND(MAX(dynamic[sinceLastOrder]) &gt; 365, (DATE(2024,4,30) - MAXIFS(dynamic[orderDate], dynamic[customerID], B780)) &gt; 180), 
           "Dormant", "Regular")))</f>
        <v>Regular</v>
      </c>
      <c r="H780" s="6">
        <v>33.0</v>
      </c>
      <c r="I780" s="9" t="str">
        <f>VLOOKUP(dynamic[productID],products[],2,FALSE)</f>
        <v>Geitost</v>
      </c>
      <c r="J780" s="9" t="str">
        <f>VLOOKUP(dynamic[productID],products[],12,FALSE)</f>
        <v>Dairy Products</v>
      </c>
      <c r="K780" s="7" t="str">
        <f>IF(VLOOKUP(dynamic[productID],products[],7,FALSE)=1,"Discontinued","Current")</f>
        <v>Current</v>
      </c>
      <c r="L780" s="9">
        <f>VLOOKUP(dynamic[productID],products[],IF(YEAR(dynamic[orderDate])=2022,8,IF(YEAR(dynamic[orderDate])=2023,9,IF(YEAR(dynamic[orderDate])=2024,10,NA))),FALSE)</f>
        <v>1.559072298</v>
      </c>
      <c r="M780" s="9">
        <v>2.5</v>
      </c>
      <c r="N780" s="25">
        <f>(dynamic[orderPrice]-dynamic[productCost])/dynamic[productCost]</f>
        <v>0.603517684</v>
      </c>
      <c r="O780" s="10">
        <v>15.0</v>
      </c>
      <c r="P780" s="25">
        <v>0.0</v>
      </c>
      <c r="Q780" s="9">
        <f>dynamic[orderPrice]*dynamic[orderQuantity]</f>
        <v>37.5</v>
      </c>
      <c r="R780" s="9">
        <f>dynamic[orderTotal]*(1-dynamic[discountApllied])</f>
        <v>37.5</v>
      </c>
      <c r="S780" s="9">
        <f>dynamic[revenue]-(dynamic[productCost]*dynamic[orderQuantity])</f>
        <v>14.11391553</v>
      </c>
      <c r="T780" s="25">
        <f>IFERROR(dynamic[profit]/dynamic[revenue], 0)</f>
        <v>0.3763710809</v>
      </c>
    </row>
    <row r="781" ht="15.75" customHeight="1">
      <c r="A781" s="6">
        <v>10539.0</v>
      </c>
      <c r="B781" s="7" t="s">
        <v>46</v>
      </c>
      <c r="C781" s="24" t="str">
        <f>VLOOKUP(dynamic[customerID],customers[],2,FALSE)</f>
        <v>B's Beverages</v>
      </c>
      <c r="D781" s="24">
        <v>45062.0</v>
      </c>
      <c r="E781" s="6">
        <f>IFERROR(__xludf.DUMMYFUNCTION("COUNTUNIQUEIFS($A$2:$A781,$B$2:$B781,B781)"),5.0)</f>
        <v>5</v>
      </c>
      <c r="F781" s="6">
        <f t="shared" si="1"/>
        <v>1</v>
      </c>
      <c r="G781" s="6" t="str">
        <f>IF(MINIFS(dynamic[orderDate], dynamic[customerID], B781) &gt;= DATE(2024,4,30)-120, 
     "New", 
     IF(MAXIFS(dynamic[orderCount], dynamic[customerID], B781)&lt;=2, 
        IF((DATE(2024,4,30) - MAXIFS(dynamic[orderDate], dynamic[customerID], B781)) &gt; 180, "Non-Returning", "Dormant"), 
        IF(AND(MAX(dynamic[sinceLastOrder]) &gt; 365, (DATE(2024,4,30) - MAXIFS(dynamic[orderDate], dynamic[customerID], B781)) &gt; 180), 
           "Dormant", "Regular")))</f>
        <v>Regular</v>
      </c>
      <c r="H781" s="6">
        <v>49.0</v>
      </c>
      <c r="I781" s="9" t="str">
        <f>VLOOKUP(dynamic[productID],products[],2,FALSE)</f>
        <v>Maxilaku</v>
      </c>
      <c r="J781" s="9" t="str">
        <f>VLOOKUP(dynamic[productID],products[],12,FALSE)</f>
        <v>Confections</v>
      </c>
      <c r="K781" s="7" t="str">
        <f>IF(VLOOKUP(dynamic[productID],products[],7,FALSE)=1,"Discontinued","Current")</f>
        <v>Current</v>
      </c>
      <c r="L781" s="9">
        <f>VLOOKUP(dynamic[productID],products[],IF(YEAR(dynamic[orderDate])=2022,8,IF(YEAR(dynamic[orderDate])=2023,9,IF(YEAR(dynamic[orderDate])=2024,10,NA))),FALSE)</f>
        <v>13.04112285</v>
      </c>
      <c r="M781" s="9">
        <v>20.0</v>
      </c>
      <c r="N781" s="25">
        <f>(dynamic[orderPrice]-dynamic[productCost])/dynamic[productCost]</f>
        <v>0.5336102746</v>
      </c>
      <c r="O781" s="10">
        <v>6.0</v>
      </c>
      <c r="P781" s="25">
        <v>0.0</v>
      </c>
      <c r="Q781" s="9">
        <f>dynamic[orderPrice]*dynamic[orderQuantity]</f>
        <v>120</v>
      </c>
      <c r="R781" s="9">
        <f>dynamic[orderTotal]*(1-dynamic[discountApllied])</f>
        <v>120</v>
      </c>
      <c r="S781" s="9">
        <f>dynamic[revenue]-(dynamic[productCost]*dynamic[orderQuantity])</f>
        <v>41.75326288</v>
      </c>
      <c r="T781" s="25">
        <f>IFERROR(dynamic[profit]/dynamic[revenue], 0)</f>
        <v>0.3479438573</v>
      </c>
    </row>
    <row r="782" ht="15.75" customHeight="1">
      <c r="A782" s="6">
        <v>10540.0</v>
      </c>
      <c r="B782" s="7" t="s">
        <v>36</v>
      </c>
      <c r="C782" s="24" t="str">
        <f>VLOOKUP(dynamic[customerID],customers[],2,FALSE)</f>
        <v>QUICK-Stop</v>
      </c>
      <c r="D782" s="24">
        <v>45065.0</v>
      </c>
      <c r="E782" s="6">
        <f>IFERROR(__xludf.DUMMYFUNCTION("COUNTUNIQUEIFS($A$2:$A782,$B$2:$B782,B782)"),11.0)</f>
        <v>11</v>
      </c>
      <c r="F782" s="6">
        <f t="shared" si="1"/>
        <v>14</v>
      </c>
      <c r="G782" s="6" t="str">
        <f>IF(MINIFS(dynamic[orderDate], dynamic[customerID], B782) &gt;= DATE(2024,4,30)-120, 
     "New", 
     IF(MAXIFS(dynamic[orderCount], dynamic[customerID], B782)&lt;=2, 
        IF((DATE(2024,4,30) - MAXIFS(dynamic[orderDate], dynamic[customerID], B782)) &gt; 180, "Non-Returning", "Dormant"), 
        IF(AND(MAX(dynamic[sinceLastOrder]) &gt; 365, (DATE(2024,4,30) - MAXIFS(dynamic[orderDate], dynamic[customerID], B782)) &gt; 180), 
           "Dormant", "Regular")))</f>
        <v>Regular</v>
      </c>
      <c r="H782" s="6">
        <v>3.0</v>
      </c>
      <c r="I782" s="9" t="str">
        <f>VLOOKUP(dynamic[productID],products[],2,FALSE)</f>
        <v>Aniseed Syrup</v>
      </c>
      <c r="J782" s="9" t="str">
        <f>VLOOKUP(dynamic[productID],products[],12,FALSE)</f>
        <v>Condiments</v>
      </c>
      <c r="K782" s="7" t="str">
        <f>IF(VLOOKUP(dynamic[productID],products[],7,FALSE)=1,"Discontinued","Current")</f>
        <v>Current</v>
      </c>
      <c r="L782" s="9">
        <f>VLOOKUP(dynamic[productID],products[],IF(YEAR(dynamic[orderDate])=2022,8,IF(YEAR(dynamic[orderDate])=2023,9,IF(YEAR(dynamic[orderDate])=2024,10,NA))),FALSE)</f>
        <v>6.399802633</v>
      </c>
      <c r="M782" s="9">
        <v>10.0</v>
      </c>
      <c r="N782" s="25">
        <f>(dynamic[orderPrice]-dynamic[productCost])/dynamic[productCost]</f>
        <v>0.5625481867</v>
      </c>
      <c r="O782" s="10">
        <v>60.0</v>
      </c>
      <c r="P782" s="25">
        <v>0.0</v>
      </c>
      <c r="Q782" s="9">
        <f>dynamic[orderPrice]*dynamic[orderQuantity]</f>
        <v>600</v>
      </c>
      <c r="R782" s="9">
        <f>dynamic[orderTotal]*(1-dynamic[discountApllied])</f>
        <v>600</v>
      </c>
      <c r="S782" s="9">
        <f>dynamic[revenue]-(dynamic[productCost]*dynamic[orderQuantity])</f>
        <v>216.011842</v>
      </c>
      <c r="T782" s="25">
        <f>IFERROR(dynamic[profit]/dynamic[revenue], 0)</f>
        <v>0.3600197367</v>
      </c>
    </row>
    <row r="783" ht="15.75" customHeight="1">
      <c r="A783" s="6">
        <v>10540.0</v>
      </c>
      <c r="B783" s="7" t="s">
        <v>36</v>
      </c>
      <c r="C783" s="24" t="str">
        <f>VLOOKUP(dynamic[customerID],customers[],2,FALSE)</f>
        <v>QUICK-Stop</v>
      </c>
      <c r="D783" s="24">
        <v>45065.0</v>
      </c>
      <c r="E783" s="6">
        <f>IFERROR(__xludf.DUMMYFUNCTION("COUNTUNIQUEIFS($A$2:$A783,$B$2:$B783,B783)"),11.0)</f>
        <v>11</v>
      </c>
      <c r="F783" s="6">
        <f t="shared" si="1"/>
        <v>14</v>
      </c>
      <c r="G783" s="6" t="str">
        <f>IF(MINIFS(dynamic[orderDate], dynamic[customerID], B783) &gt;= DATE(2024,4,30)-120, 
     "New", 
     IF(MAXIFS(dynamic[orderCount], dynamic[customerID], B783)&lt;=2, 
        IF((DATE(2024,4,30) - MAXIFS(dynamic[orderDate], dynamic[customerID], B783)) &gt; 180, "Non-Returning", "Dormant"), 
        IF(AND(MAX(dynamic[sinceLastOrder]) &gt; 365, (DATE(2024,4,30) - MAXIFS(dynamic[orderDate], dynamic[customerID], B783)) &gt; 180), 
           "Dormant", "Regular")))</f>
        <v>Regular</v>
      </c>
      <c r="H783" s="6">
        <v>26.0</v>
      </c>
      <c r="I783" s="9" t="str">
        <f>VLOOKUP(dynamic[productID],products[],2,FALSE)</f>
        <v>NuNuCa Nuß-Nougat-Creme</v>
      </c>
      <c r="J783" s="9" t="str">
        <f>VLOOKUP(dynamic[productID],products[],12,FALSE)</f>
        <v>Confections</v>
      </c>
      <c r="K783" s="7" t="str">
        <f>IF(VLOOKUP(dynamic[productID],products[],7,FALSE)=1,"Discontinued","Current")</f>
        <v>Current</v>
      </c>
      <c r="L783" s="9">
        <f>VLOOKUP(dynamic[productID],products[],IF(YEAR(dynamic[orderDate])=2022,8,IF(YEAR(dynamic[orderDate])=2023,9,IF(YEAR(dynamic[orderDate])=2024,10,NA))),FALSE)</f>
        <v>21.20896201</v>
      </c>
      <c r="M783" s="9">
        <v>31.23</v>
      </c>
      <c r="N783" s="25">
        <f>(dynamic[orderPrice]-dynamic[productCost])/dynamic[productCost]</f>
        <v>0.472490732</v>
      </c>
      <c r="O783" s="10">
        <v>40.0</v>
      </c>
      <c r="P783" s="25">
        <v>0.0</v>
      </c>
      <c r="Q783" s="9">
        <f>dynamic[orderPrice]*dynamic[orderQuantity]</f>
        <v>1249.2</v>
      </c>
      <c r="R783" s="9">
        <f>dynamic[orderTotal]*(1-dynamic[discountApllied])</f>
        <v>1249.2</v>
      </c>
      <c r="S783" s="9">
        <f>dynamic[revenue]-(dynamic[productCost]*dynamic[orderQuantity])</f>
        <v>400.8415195</v>
      </c>
      <c r="T783" s="25">
        <f>IFERROR(dynamic[profit]/dynamic[revenue], 0)</f>
        <v>0.3208785779</v>
      </c>
    </row>
    <row r="784" ht="15.75" customHeight="1">
      <c r="A784" s="6">
        <v>10540.0</v>
      </c>
      <c r="B784" s="7" t="s">
        <v>36</v>
      </c>
      <c r="C784" s="24" t="str">
        <f>VLOOKUP(dynamic[customerID],customers[],2,FALSE)</f>
        <v>QUICK-Stop</v>
      </c>
      <c r="D784" s="24">
        <v>45065.0</v>
      </c>
      <c r="E784" s="6">
        <f>IFERROR(__xludf.DUMMYFUNCTION("COUNTUNIQUEIFS($A$2:$A784,$B$2:$B784,B784)"),11.0)</f>
        <v>11</v>
      </c>
      <c r="F784" s="6">
        <f t="shared" si="1"/>
        <v>14</v>
      </c>
      <c r="G784" s="6" t="str">
        <f>IF(MINIFS(dynamic[orderDate], dynamic[customerID], B784) &gt;= DATE(2024,4,30)-120, 
     "New", 
     IF(MAXIFS(dynamic[orderCount], dynamic[customerID], B784)&lt;=2, 
        IF((DATE(2024,4,30) - MAXIFS(dynamic[orderDate], dynamic[customerID], B784)) &gt; 180, "Non-Returning", "Dormant"), 
        IF(AND(MAX(dynamic[sinceLastOrder]) &gt; 365, (DATE(2024,4,30) - MAXIFS(dynamic[orderDate], dynamic[customerID], B784)) &gt; 180), 
           "Dormant", "Regular")))</f>
        <v>Regular</v>
      </c>
      <c r="H784" s="6">
        <v>38.0</v>
      </c>
      <c r="I784" s="9" t="str">
        <f>VLOOKUP(dynamic[productID],products[],2,FALSE)</f>
        <v>Côte de Blaye</v>
      </c>
      <c r="J784" s="9" t="str">
        <f>VLOOKUP(dynamic[productID],products[],12,FALSE)</f>
        <v>Beverages</v>
      </c>
      <c r="K784" s="7" t="str">
        <f>IF(VLOOKUP(dynamic[productID],products[],7,FALSE)=1,"Discontinued","Current")</f>
        <v>Current</v>
      </c>
      <c r="L784" s="9">
        <f>VLOOKUP(dynamic[productID],products[],IF(YEAR(dynamic[orderDate])=2022,8,IF(YEAR(dynamic[orderDate])=2023,9,IF(YEAR(dynamic[orderDate])=2024,10,NA))),FALSE)</f>
        <v>175.9515711</v>
      </c>
      <c r="M784" s="9">
        <v>263.5</v>
      </c>
      <c r="N784" s="25">
        <f>(dynamic[orderPrice]-dynamic[productCost])/dynamic[productCost]</f>
        <v>0.4975711688</v>
      </c>
      <c r="O784" s="10">
        <v>30.0</v>
      </c>
      <c r="P784" s="25">
        <v>0.0</v>
      </c>
      <c r="Q784" s="9">
        <f>dynamic[orderPrice]*dynamic[orderQuantity]</f>
        <v>7905</v>
      </c>
      <c r="R784" s="9">
        <f>dynamic[orderTotal]*(1-dynamic[discountApllied])</f>
        <v>7905</v>
      </c>
      <c r="S784" s="9">
        <f>dynamic[revenue]-(dynamic[productCost]*dynamic[orderQuantity])</f>
        <v>2626.452867</v>
      </c>
      <c r="T784" s="25">
        <f>IFERROR(dynamic[profit]/dynamic[revenue], 0)</f>
        <v>0.3322521021</v>
      </c>
    </row>
    <row r="785" ht="15.75" customHeight="1">
      <c r="A785" s="6">
        <v>10540.0</v>
      </c>
      <c r="B785" s="7" t="s">
        <v>36</v>
      </c>
      <c r="C785" s="24" t="str">
        <f>VLOOKUP(dynamic[customerID],customers[],2,FALSE)</f>
        <v>QUICK-Stop</v>
      </c>
      <c r="D785" s="24">
        <v>45065.0</v>
      </c>
      <c r="E785" s="6">
        <f>IFERROR(__xludf.DUMMYFUNCTION("COUNTUNIQUEIFS($A$2:$A785,$B$2:$B785,B785)"),11.0)</f>
        <v>11</v>
      </c>
      <c r="F785" s="6">
        <f t="shared" si="1"/>
        <v>14</v>
      </c>
      <c r="G785" s="6" t="str">
        <f>IF(MINIFS(dynamic[orderDate], dynamic[customerID], B785) &gt;= DATE(2024,4,30)-120, 
     "New", 
     IF(MAXIFS(dynamic[orderCount], dynamic[customerID], B785)&lt;=2, 
        IF((DATE(2024,4,30) - MAXIFS(dynamic[orderDate], dynamic[customerID], B785)) &gt; 180, "Non-Returning", "Dormant"), 
        IF(AND(MAX(dynamic[sinceLastOrder]) &gt; 365, (DATE(2024,4,30) - MAXIFS(dynamic[orderDate], dynamic[customerID], B785)) &gt; 180), 
           "Dormant", "Regular")))</f>
        <v>Regular</v>
      </c>
      <c r="H785" s="6">
        <v>68.0</v>
      </c>
      <c r="I785" s="9" t="str">
        <f>VLOOKUP(dynamic[productID],products[],2,FALSE)</f>
        <v>Scottish Longbreads</v>
      </c>
      <c r="J785" s="9" t="str">
        <f>VLOOKUP(dynamic[productID],products[],12,FALSE)</f>
        <v>Confections</v>
      </c>
      <c r="K785" s="7" t="str">
        <f>IF(VLOOKUP(dynamic[productID],products[],7,FALSE)=1,"Discontinued","Current")</f>
        <v>Current</v>
      </c>
      <c r="L785" s="9">
        <f>VLOOKUP(dynamic[productID],products[],IF(YEAR(dynamic[orderDate])=2022,8,IF(YEAR(dynamic[orderDate])=2023,9,IF(YEAR(dynamic[orderDate])=2024,10,NA))),FALSE)</f>
        <v>8.500000387</v>
      </c>
      <c r="M785" s="9">
        <v>12.5</v>
      </c>
      <c r="N785" s="25">
        <f>(dynamic[orderPrice]-dynamic[productCost])/dynamic[productCost]</f>
        <v>0.4705881684</v>
      </c>
      <c r="O785" s="10">
        <v>35.0</v>
      </c>
      <c r="P785" s="25">
        <v>0.0</v>
      </c>
      <c r="Q785" s="9">
        <f>dynamic[orderPrice]*dynamic[orderQuantity]</f>
        <v>437.5</v>
      </c>
      <c r="R785" s="9">
        <f>dynamic[orderTotal]*(1-dynamic[discountApllied])</f>
        <v>437.5</v>
      </c>
      <c r="S785" s="9">
        <f>dynamic[revenue]-(dynamic[productCost]*dynamic[orderQuantity])</f>
        <v>139.9999865</v>
      </c>
      <c r="T785" s="25">
        <f>IFERROR(dynamic[profit]/dynamic[revenue], 0)</f>
        <v>0.3199999691</v>
      </c>
    </row>
    <row r="786" ht="15.75" customHeight="1">
      <c r="A786" s="6">
        <v>10541.0</v>
      </c>
      <c r="B786" s="7" t="s">
        <v>16</v>
      </c>
      <c r="C786" s="24" t="str">
        <f>VLOOKUP(dynamic[customerID],customers[],2,FALSE)</f>
        <v>Hanari Carnes</v>
      </c>
      <c r="D786" s="24">
        <v>45065.0</v>
      </c>
      <c r="E786" s="6">
        <f>IFERROR(__xludf.DUMMYFUNCTION("COUNTUNIQUEIFS($A$2:$A786,$B$2:$B786,B786)"),3.0)</f>
        <v>3</v>
      </c>
      <c r="F786" s="6">
        <f t="shared" si="1"/>
        <v>313</v>
      </c>
      <c r="G786" s="6" t="str">
        <f>IF(MINIFS(dynamic[orderDate], dynamic[customerID], B786) &gt;= DATE(2024,4,30)-120, 
     "New", 
     IF(MAXIFS(dynamic[orderCount], dynamic[customerID], B786)&lt;=2, 
        IF((DATE(2024,4,30) - MAXIFS(dynamic[orderDate], dynamic[customerID], B786)) &gt; 180, "Non-Returning", "Dormant"), 
        IF(AND(MAX(dynamic[sinceLastOrder]) &gt; 365, (DATE(2024,4,30) - MAXIFS(dynamic[orderDate], dynamic[customerID], B786)) &gt; 180), 
           "Dormant", "Regular")))</f>
        <v>Regular</v>
      </c>
      <c r="H786" s="6">
        <v>24.0</v>
      </c>
      <c r="I786" s="9" t="str">
        <f>VLOOKUP(dynamic[productID],products[],2,FALSE)</f>
        <v>Brigadeiros Maravilhosos da Lilian</v>
      </c>
      <c r="J786" s="9" t="str">
        <f>VLOOKUP(dynamic[productID],products[],12,FALSE)</f>
        <v>Confections</v>
      </c>
      <c r="K786" s="7" t="str">
        <f>IF(VLOOKUP(dynamic[productID],products[],7,FALSE)=1,"Discontinued","Current")</f>
        <v>Discontinued</v>
      </c>
      <c r="L786" s="9">
        <f>VLOOKUP(dynamic[productID],products[],IF(YEAR(dynamic[orderDate])=2022,8,IF(YEAR(dynamic[orderDate])=2023,9,IF(YEAR(dynamic[orderDate])=2024,10,NA))),FALSE)</f>
        <v>3.131783363</v>
      </c>
      <c r="M786" s="9">
        <v>4.5</v>
      </c>
      <c r="N786" s="25">
        <f>(dynamic[orderPrice]-dynamic[productCost])/dynamic[productCost]</f>
        <v>0.4368809967</v>
      </c>
      <c r="O786" s="10">
        <v>35.0</v>
      </c>
      <c r="P786" s="25">
        <v>0.1</v>
      </c>
      <c r="Q786" s="9">
        <f>dynamic[orderPrice]*dynamic[orderQuantity]</f>
        <v>157.5</v>
      </c>
      <c r="R786" s="9">
        <f>dynamic[orderTotal]*(1-dynamic[discountApllied])</f>
        <v>141.75</v>
      </c>
      <c r="S786" s="9">
        <f>dynamic[revenue]-(dynamic[productCost]*dynamic[orderQuantity])</f>
        <v>32.1375823</v>
      </c>
      <c r="T786" s="25">
        <f>IFERROR(dynamic[profit]/dynamic[revenue], 0)</f>
        <v>0.2267201573</v>
      </c>
    </row>
    <row r="787" ht="15.75" customHeight="1">
      <c r="A787" s="6">
        <v>10541.0</v>
      </c>
      <c r="B787" s="7" t="s">
        <v>16</v>
      </c>
      <c r="C787" s="24" t="str">
        <f>VLOOKUP(dynamic[customerID],customers[],2,FALSE)</f>
        <v>Hanari Carnes</v>
      </c>
      <c r="D787" s="24">
        <v>45065.0</v>
      </c>
      <c r="E787" s="6">
        <f>IFERROR(__xludf.DUMMYFUNCTION("COUNTUNIQUEIFS($A$2:$A787,$B$2:$B787,B787)"),3.0)</f>
        <v>3</v>
      </c>
      <c r="F787" s="6">
        <f t="shared" si="1"/>
        <v>313</v>
      </c>
      <c r="G787" s="6" t="str">
        <f>IF(MINIFS(dynamic[orderDate], dynamic[customerID], B787) &gt;= DATE(2024,4,30)-120, 
     "New", 
     IF(MAXIFS(dynamic[orderCount], dynamic[customerID], B787)&lt;=2, 
        IF((DATE(2024,4,30) - MAXIFS(dynamic[orderDate], dynamic[customerID], B787)) &gt; 180, "Non-Returning", "Dormant"), 
        IF(AND(MAX(dynamic[sinceLastOrder]) &gt; 365, (DATE(2024,4,30) - MAXIFS(dynamic[orderDate], dynamic[customerID], B787)) &gt; 180), 
           "Dormant", "Regular")))</f>
        <v>Regular</v>
      </c>
      <c r="H787" s="6">
        <v>38.0</v>
      </c>
      <c r="I787" s="9" t="str">
        <f>VLOOKUP(dynamic[productID],products[],2,FALSE)</f>
        <v>Côte de Blaye</v>
      </c>
      <c r="J787" s="9" t="str">
        <f>VLOOKUP(dynamic[productID],products[],12,FALSE)</f>
        <v>Beverages</v>
      </c>
      <c r="K787" s="7" t="str">
        <f>IF(VLOOKUP(dynamic[productID],products[],7,FALSE)=1,"Discontinued","Current")</f>
        <v>Current</v>
      </c>
      <c r="L787" s="9">
        <f>VLOOKUP(dynamic[productID],products[],IF(YEAR(dynamic[orderDate])=2022,8,IF(YEAR(dynamic[orderDate])=2023,9,IF(YEAR(dynamic[orderDate])=2024,10,NA))),FALSE)</f>
        <v>175.9515711</v>
      </c>
      <c r="M787" s="9">
        <v>263.5</v>
      </c>
      <c r="N787" s="25">
        <f>(dynamic[orderPrice]-dynamic[productCost])/dynamic[productCost]</f>
        <v>0.4975711688</v>
      </c>
      <c r="O787" s="10">
        <v>4.0</v>
      </c>
      <c r="P787" s="25">
        <v>0.1</v>
      </c>
      <c r="Q787" s="9">
        <f>dynamic[orderPrice]*dynamic[orderQuantity]</f>
        <v>1054</v>
      </c>
      <c r="R787" s="9">
        <f>dynamic[orderTotal]*(1-dynamic[discountApllied])</f>
        <v>948.6</v>
      </c>
      <c r="S787" s="9">
        <f>dynamic[revenue]-(dynamic[productCost]*dynamic[orderQuantity])</f>
        <v>244.7937156</v>
      </c>
      <c r="T787" s="25">
        <f>IFERROR(dynamic[profit]/dynamic[revenue], 0)</f>
        <v>0.2580578912</v>
      </c>
    </row>
    <row r="788" ht="15.75" customHeight="1">
      <c r="A788" s="6">
        <v>10541.0</v>
      </c>
      <c r="B788" s="7" t="s">
        <v>16</v>
      </c>
      <c r="C788" s="24" t="str">
        <f>VLOOKUP(dynamic[customerID],customers[],2,FALSE)</f>
        <v>Hanari Carnes</v>
      </c>
      <c r="D788" s="24">
        <v>45065.0</v>
      </c>
      <c r="E788" s="6">
        <f>IFERROR(__xludf.DUMMYFUNCTION("COUNTUNIQUEIFS($A$2:$A788,$B$2:$B788,B788)"),3.0)</f>
        <v>3</v>
      </c>
      <c r="F788" s="6">
        <f t="shared" si="1"/>
        <v>313</v>
      </c>
      <c r="G788" s="6" t="str">
        <f>IF(MINIFS(dynamic[orderDate], dynamic[customerID], B788) &gt;= DATE(2024,4,30)-120, 
     "New", 
     IF(MAXIFS(dynamic[orderCount], dynamic[customerID], B788)&lt;=2, 
        IF((DATE(2024,4,30) - MAXIFS(dynamic[orderDate], dynamic[customerID], B788)) &gt; 180, "Non-Returning", "Dormant"), 
        IF(AND(MAX(dynamic[sinceLastOrder]) &gt; 365, (DATE(2024,4,30) - MAXIFS(dynamic[orderDate], dynamic[customerID], B788)) &gt; 180), 
           "Dormant", "Regular")))</f>
        <v>Regular</v>
      </c>
      <c r="H788" s="6">
        <v>65.0</v>
      </c>
      <c r="I788" s="9" t="str">
        <f>VLOOKUP(dynamic[productID],products[],2,FALSE)</f>
        <v>Louisiana Fiery Hot Pepper Sauce</v>
      </c>
      <c r="J788" s="9" t="str">
        <f>VLOOKUP(dynamic[productID],products[],12,FALSE)</f>
        <v>Condiments</v>
      </c>
      <c r="K788" s="7" t="str">
        <f>IF(VLOOKUP(dynamic[productID],products[],7,FALSE)=1,"Discontinued","Current")</f>
        <v>Current</v>
      </c>
      <c r="L788" s="9">
        <f>VLOOKUP(dynamic[productID],products[],IF(YEAR(dynamic[orderDate])=2022,8,IF(YEAR(dynamic[orderDate])=2023,9,IF(YEAR(dynamic[orderDate])=2024,10,NA))),FALSE)</f>
        <v>13.21122243</v>
      </c>
      <c r="M788" s="9">
        <v>21.05</v>
      </c>
      <c r="N788" s="25">
        <f>(dynamic[orderPrice]-dynamic[productCost])/dynamic[productCost]</f>
        <v>0.593342335</v>
      </c>
      <c r="O788" s="10">
        <v>36.0</v>
      </c>
      <c r="P788" s="25">
        <v>0.1</v>
      </c>
      <c r="Q788" s="9">
        <f>dynamic[orderPrice]*dynamic[orderQuantity]</f>
        <v>757.8</v>
      </c>
      <c r="R788" s="9">
        <f>dynamic[orderTotal]*(1-dynamic[discountApllied])</f>
        <v>682.02</v>
      </c>
      <c r="S788" s="9">
        <f>dynamic[revenue]-(dynamic[productCost]*dynamic[orderQuantity])</f>
        <v>206.4159924</v>
      </c>
      <c r="T788" s="25">
        <f>IFERROR(dynamic[profit]/dynamic[revenue], 0)</f>
        <v>0.30265387</v>
      </c>
    </row>
    <row r="789" ht="15.75" customHeight="1">
      <c r="A789" s="6">
        <v>10541.0</v>
      </c>
      <c r="B789" s="7" t="s">
        <v>16</v>
      </c>
      <c r="C789" s="24" t="str">
        <f>VLOOKUP(dynamic[customerID],customers[],2,FALSE)</f>
        <v>Hanari Carnes</v>
      </c>
      <c r="D789" s="24">
        <v>45065.0</v>
      </c>
      <c r="E789" s="6">
        <f>IFERROR(__xludf.DUMMYFUNCTION("COUNTUNIQUEIFS($A$2:$A789,$B$2:$B789,B789)"),3.0)</f>
        <v>3</v>
      </c>
      <c r="F789" s="6">
        <f t="shared" si="1"/>
        <v>313</v>
      </c>
      <c r="G789" s="6" t="str">
        <f>IF(MINIFS(dynamic[orderDate], dynamic[customerID], B789) &gt;= DATE(2024,4,30)-120, 
     "New", 
     IF(MAXIFS(dynamic[orderCount], dynamic[customerID], B789)&lt;=2, 
        IF((DATE(2024,4,30) - MAXIFS(dynamic[orderDate], dynamic[customerID], B789)) &gt; 180, "Non-Returning", "Dormant"), 
        IF(AND(MAX(dynamic[sinceLastOrder]) &gt; 365, (DATE(2024,4,30) - MAXIFS(dynamic[orderDate], dynamic[customerID], B789)) &gt; 180), 
           "Dormant", "Regular")))</f>
        <v>Regular</v>
      </c>
      <c r="H789" s="6">
        <v>71.0</v>
      </c>
      <c r="I789" s="9" t="str">
        <f>VLOOKUP(dynamic[productID],products[],2,FALSE)</f>
        <v>Flotemysost</v>
      </c>
      <c r="J789" s="9" t="str">
        <f>VLOOKUP(dynamic[productID],products[],12,FALSE)</f>
        <v>Dairy Products</v>
      </c>
      <c r="K789" s="7" t="str">
        <f>IF(VLOOKUP(dynamic[productID],products[],7,FALSE)=1,"Discontinued","Current")</f>
        <v>Current</v>
      </c>
      <c r="L789" s="9">
        <f>VLOOKUP(dynamic[productID],products[],IF(YEAR(dynamic[orderDate])=2022,8,IF(YEAR(dynamic[orderDate])=2023,9,IF(YEAR(dynamic[orderDate])=2024,10,NA))),FALSE)</f>
        <v>13.4003664</v>
      </c>
      <c r="M789" s="9">
        <v>21.5</v>
      </c>
      <c r="N789" s="25">
        <f>(dynamic[orderPrice]-dynamic[productCost])/dynamic[productCost]</f>
        <v>0.6044337411</v>
      </c>
      <c r="O789" s="10">
        <v>9.0</v>
      </c>
      <c r="P789" s="25">
        <v>0.1</v>
      </c>
      <c r="Q789" s="9">
        <f>dynamic[orderPrice]*dynamic[orderQuantity]</f>
        <v>193.5</v>
      </c>
      <c r="R789" s="9">
        <f>dynamic[orderTotal]*(1-dynamic[discountApllied])</f>
        <v>174.15</v>
      </c>
      <c r="S789" s="9">
        <f>dynamic[revenue]-(dynamic[productCost]*dynamic[orderQuantity])</f>
        <v>53.54670237</v>
      </c>
      <c r="T789" s="25">
        <f>IFERROR(dynamic[profit]/dynamic[revenue], 0)</f>
        <v>0.3074746045</v>
      </c>
    </row>
    <row r="790" ht="15.75" customHeight="1">
      <c r="A790" s="6">
        <v>10542.0</v>
      </c>
      <c r="B790" s="7" t="s">
        <v>59</v>
      </c>
      <c r="C790" s="24" t="str">
        <f>VLOOKUP(dynamic[customerID],customers[],2,FALSE)</f>
        <v>Königlich Essen</v>
      </c>
      <c r="D790" s="24">
        <v>45066.0</v>
      </c>
      <c r="E790" s="6">
        <f>IFERROR(__xludf.DUMMYFUNCTION("COUNTUNIQUEIFS($A$2:$A790,$B$2:$B790,B790)"),7.0)</f>
        <v>7</v>
      </c>
      <c r="F790" s="6">
        <f t="shared" si="1"/>
        <v>35</v>
      </c>
      <c r="G790" s="6" t="str">
        <f>IF(MINIFS(dynamic[orderDate], dynamic[customerID], B790) &gt;= DATE(2024,4,30)-120, 
     "New", 
     IF(MAXIFS(dynamic[orderCount], dynamic[customerID], B790)&lt;=2, 
        IF((DATE(2024,4,30) - MAXIFS(dynamic[orderDate], dynamic[customerID], B790)) &gt; 180, "Non-Returning", "Dormant"), 
        IF(AND(MAX(dynamic[sinceLastOrder]) &gt; 365, (DATE(2024,4,30) - MAXIFS(dynamic[orderDate], dynamic[customerID], B790)) &gt; 180), 
           "Dormant", "Regular")))</f>
        <v>Regular</v>
      </c>
      <c r="H790" s="6">
        <v>11.0</v>
      </c>
      <c r="I790" s="9" t="str">
        <f>VLOOKUP(dynamic[productID],products[],2,FALSE)</f>
        <v>Queso Cabrales</v>
      </c>
      <c r="J790" s="9" t="str">
        <f>VLOOKUP(dynamic[productID],products[],12,FALSE)</f>
        <v>Dairy Products</v>
      </c>
      <c r="K790" s="7" t="str">
        <f>IF(VLOOKUP(dynamic[productID],products[],7,FALSE)=1,"Discontinued","Current")</f>
        <v>Current</v>
      </c>
      <c r="L790" s="9">
        <f>VLOOKUP(dynamic[productID],products[],IF(YEAR(dynamic[orderDate])=2022,8,IF(YEAR(dynamic[orderDate])=2023,9,IF(YEAR(dynamic[orderDate])=2024,10,NA))),FALSE)</f>
        <v>12.90188125</v>
      </c>
      <c r="M790" s="9">
        <v>21.0</v>
      </c>
      <c r="N790" s="25">
        <f>(dynamic[orderPrice]-dynamic[productCost])/dynamic[productCost]</f>
        <v>0.6276696079</v>
      </c>
      <c r="O790" s="10">
        <v>15.0</v>
      </c>
      <c r="P790" s="25">
        <v>0.05</v>
      </c>
      <c r="Q790" s="9">
        <f>dynamic[orderPrice]*dynamic[orderQuantity]</f>
        <v>315</v>
      </c>
      <c r="R790" s="9">
        <f>dynamic[orderTotal]*(1-dynamic[discountApllied])</f>
        <v>299.25</v>
      </c>
      <c r="S790" s="9">
        <f>dynamic[revenue]-(dynamic[productCost]*dynamic[orderQuantity])</f>
        <v>105.7217812</v>
      </c>
      <c r="T790" s="25">
        <f>IFERROR(dynamic[profit]/dynamic[revenue], 0)</f>
        <v>0.3532891603</v>
      </c>
    </row>
    <row r="791" ht="15.75" customHeight="1">
      <c r="A791" s="6">
        <v>10542.0</v>
      </c>
      <c r="B791" s="7" t="s">
        <v>59</v>
      </c>
      <c r="C791" s="24" t="str">
        <f>VLOOKUP(dynamic[customerID],customers[],2,FALSE)</f>
        <v>Königlich Essen</v>
      </c>
      <c r="D791" s="24">
        <v>45066.0</v>
      </c>
      <c r="E791" s="6">
        <f>IFERROR(__xludf.DUMMYFUNCTION("COUNTUNIQUEIFS($A$2:$A791,$B$2:$B791,B791)"),7.0)</f>
        <v>7</v>
      </c>
      <c r="F791" s="6">
        <f t="shared" si="1"/>
        <v>35</v>
      </c>
      <c r="G791" s="6" t="str">
        <f>IF(MINIFS(dynamic[orderDate], dynamic[customerID], B791) &gt;= DATE(2024,4,30)-120, 
     "New", 
     IF(MAXIFS(dynamic[orderCount], dynamic[customerID], B791)&lt;=2, 
        IF((DATE(2024,4,30) - MAXIFS(dynamic[orderDate], dynamic[customerID], B791)) &gt; 180, "Non-Returning", "Dormant"), 
        IF(AND(MAX(dynamic[sinceLastOrder]) &gt; 365, (DATE(2024,4,30) - MAXIFS(dynamic[orderDate], dynamic[customerID], B791)) &gt; 180), 
           "Dormant", "Regular")))</f>
        <v>Regular</v>
      </c>
      <c r="H791" s="6">
        <v>54.0</v>
      </c>
      <c r="I791" s="9" t="str">
        <f>VLOOKUP(dynamic[productID],products[],2,FALSE)</f>
        <v>Tourtière</v>
      </c>
      <c r="J791" s="9" t="str">
        <f>VLOOKUP(dynamic[productID],products[],12,FALSE)</f>
        <v>Meat/Poultry</v>
      </c>
      <c r="K791" s="7" t="str">
        <f>IF(VLOOKUP(dynamic[productID],products[],7,FALSE)=1,"Discontinued","Current")</f>
        <v>Current</v>
      </c>
      <c r="L791" s="9">
        <f>VLOOKUP(dynamic[productID],products[],IF(YEAR(dynamic[orderDate])=2022,8,IF(YEAR(dynamic[orderDate])=2023,9,IF(YEAR(dynamic[orderDate])=2024,10,NA))),FALSE)</f>
        <v>4.924447797</v>
      </c>
      <c r="M791" s="9">
        <v>7.45</v>
      </c>
      <c r="N791" s="25">
        <f>(dynamic[orderPrice]-dynamic[productCost])/dynamic[productCost]</f>
        <v>0.5128599808</v>
      </c>
      <c r="O791" s="10">
        <v>24.0</v>
      </c>
      <c r="P791" s="25">
        <v>0.05</v>
      </c>
      <c r="Q791" s="9">
        <f>dynamic[orderPrice]*dynamic[orderQuantity]</f>
        <v>178.8</v>
      </c>
      <c r="R791" s="9">
        <f>dynamic[orderTotal]*(1-dynamic[discountApllied])</f>
        <v>169.86</v>
      </c>
      <c r="S791" s="9">
        <f>dynamic[revenue]-(dynamic[productCost]*dynamic[orderQuantity])</f>
        <v>51.67325287</v>
      </c>
      <c r="T791" s="25">
        <f>IFERROR(dynamic[profit]/dynamic[revenue], 0)</f>
        <v>0.3042108376</v>
      </c>
    </row>
    <row r="792" ht="15.75" customHeight="1">
      <c r="A792" s="6">
        <v>10543.0</v>
      </c>
      <c r="B792" s="7" t="s">
        <v>43</v>
      </c>
      <c r="C792" s="24" t="str">
        <f>VLOOKUP(dynamic[customerID],customers[],2,FALSE)</f>
        <v>LILA-Supermercado</v>
      </c>
      <c r="D792" s="24">
        <v>45067.0</v>
      </c>
      <c r="E792" s="6">
        <f>IFERROR(__xludf.DUMMYFUNCTION("COUNTUNIQUEIFS($A$2:$A792,$B$2:$B792,B792)"),8.0)</f>
        <v>8</v>
      </c>
      <c r="F792" s="6">
        <f t="shared" si="1"/>
        <v>43</v>
      </c>
      <c r="G792" s="6" t="str">
        <f>IF(MINIFS(dynamic[orderDate], dynamic[customerID], B792) &gt;= DATE(2024,4,30)-120, 
     "New", 
     IF(MAXIFS(dynamic[orderCount], dynamic[customerID], B792)&lt;=2, 
        IF((DATE(2024,4,30) - MAXIFS(dynamic[orderDate], dynamic[customerID], B792)) &gt; 180, "Non-Returning", "Dormant"), 
        IF(AND(MAX(dynamic[sinceLastOrder]) &gt; 365, (DATE(2024,4,30) - MAXIFS(dynamic[orderDate], dynamic[customerID], B792)) &gt; 180), 
           "Dormant", "Regular")))</f>
        <v>Regular</v>
      </c>
      <c r="H792" s="6">
        <v>12.0</v>
      </c>
      <c r="I792" s="9" t="str">
        <f>VLOOKUP(dynamic[productID],products[],2,FALSE)</f>
        <v>Queso Manchego La Pastora</v>
      </c>
      <c r="J792" s="9" t="str">
        <f>VLOOKUP(dynamic[productID],products[],12,FALSE)</f>
        <v>Dairy Products</v>
      </c>
      <c r="K792" s="7" t="str">
        <f>IF(VLOOKUP(dynamic[productID],products[],7,FALSE)=1,"Discontinued","Current")</f>
        <v>Current</v>
      </c>
      <c r="L792" s="9">
        <f>VLOOKUP(dynamic[productID],products[],IF(YEAR(dynamic[orderDate])=2022,8,IF(YEAR(dynamic[orderDate])=2023,9,IF(YEAR(dynamic[orderDate])=2024,10,NA))),FALSE)</f>
        <v>23.79216617</v>
      </c>
      <c r="M792" s="9">
        <v>38.0</v>
      </c>
      <c r="N792" s="25">
        <f>(dynamic[orderPrice]-dynamic[productCost])/dynamic[productCost]</f>
        <v>0.5971643663</v>
      </c>
      <c r="O792" s="10">
        <v>30.0</v>
      </c>
      <c r="P792" s="25">
        <v>0.15</v>
      </c>
      <c r="Q792" s="9">
        <f>dynamic[orderPrice]*dynamic[orderQuantity]</f>
        <v>1140</v>
      </c>
      <c r="R792" s="9">
        <f>dynamic[orderTotal]*(1-dynamic[discountApllied])</f>
        <v>969</v>
      </c>
      <c r="S792" s="9">
        <f>dynamic[revenue]-(dynamic[productCost]*dynamic[orderQuantity])</f>
        <v>255.235015</v>
      </c>
      <c r="T792" s="25">
        <f>IFERROR(dynamic[profit]/dynamic[revenue], 0)</f>
        <v>0.2634004283</v>
      </c>
    </row>
    <row r="793" ht="15.75" customHeight="1">
      <c r="A793" s="6">
        <v>10543.0</v>
      </c>
      <c r="B793" s="7" t="s">
        <v>43</v>
      </c>
      <c r="C793" s="24" t="str">
        <f>VLOOKUP(dynamic[customerID],customers[],2,FALSE)</f>
        <v>LILA-Supermercado</v>
      </c>
      <c r="D793" s="24">
        <v>45067.0</v>
      </c>
      <c r="E793" s="6">
        <f>IFERROR(__xludf.DUMMYFUNCTION("COUNTUNIQUEIFS($A$2:$A793,$B$2:$B793,B793)"),8.0)</f>
        <v>8</v>
      </c>
      <c r="F793" s="6">
        <f t="shared" si="1"/>
        <v>43</v>
      </c>
      <c r="G793" s="6" t="str">
        <f>IF(MINIFS(dynamic[orderDate], dynamic[customerID], B793) &gt;= DATE(2024,4,30)-120, 
     "New", 
     IF(MAXIFS(dynamic[orderCount], dynamic[customerID], B793)&lt;=2, 
        IF((DATE(2024,4,30) - MAXIFS(dynamic[orderDate], dynamic[customerID], B793)) &gt; 180, "Non-Returning", "Dormant"), 
        IF(AND(MAX(dynamic[sinceLastOrder]) &gt; 365, (DATE(2024,4,30) - MAXIFS(dynamic[orderDate], dynamic[customerID], B793)) &gt; 180), 
           "Dormant", "Regular")))</f>
        <v>Regular</v>
      </c>
      <c r="H793" s="6">
        <v>23.0</v>
      </c>
      <c r="I793" s="9" t="str">
        <f>VLOOKUP(dynamic[productID],products[],2,FALSE)</f>
        <v>Tunnbröd</v>
      </c>
      <c r="J793" s="9" t="str">
        <f>VLOOKUP(dynamic[productID],products[],12,FALSE)</f>
        <v>Grains/Cereals</v>
      </c>
      <c r="K793" s="7" t="str">
        <f>IF(VLOOKUP(dynamic[productID],products[],7,FALSE)=1,"Discontinued","Current")</f>
        <v>Current</v>
      </c>
      <c r="L793" s="9">
        <f>VLOOKUP(dynamic[productID],products[],IF(YEAR(dynamic[orderDate])=2022,8,IF(YEAR(dynamic[orderDate])=2023,9,IF(YEAR(dynamic[orderDate])=2024,10,NA))),FALSE)</f>
        <v>5.989059129</v>
      </c>
      <c r="M793" s="9">
        <v>9.0</v>
      </c>
      <c r="N793" s="25">
        <f>(dynamic[orderPrice]-dynamic[productCost])/dynamic[productCost]</f>
        <v>0.5027402146</v>
      </c>
      <c r="O793" s="10">
        <v>70.0</v>
      </c>
      <c r="P793" s="25">
        <v>0.15</v>
      </c>
      <c r="Q793" s="9">
        <f>dynamic[orderPrice]*dynamic[orderQuantity]</f>
        <v>630</v>
      </c>
      <c r="R793" s="9">
        <f>dynamic[orderTotal]*(1-dynamic[discountApllied])</f>
        <v>535.5</v>
      </c>
      <c r="S793" s="9">
        <f>dynamic[revenue]-(dynamic[productCost]*dynamic[orderQuantity])</f>
        <v>116.265861</v>
      </c>
      <c r="T793" s="25">
        <f>IFERROR(dynamic[profit]/dynamic[revenue], 0)</f>
        <v>0.2171164538</v>
      </c>
    </row>
    <row r="794" ht="15.75" customHeight="1">
      <c r="A794" s="6">
        <v>10544.0</v>
      </c>
      <c r="B794" s="7" t="s">
        <v>53</v>
      </c>
      <c r="C794" s="24" t="str">
        <f>VLOOKUP(dynamic[customerID],customers[],2,FALSE)</f>
        <v>Lonesome Pine Restaurant</v>
      </c>
      <c r="D794" s="24">
        <v>45067.0</v>
      </c>
      <c r="E794" s="6">
        <f>IFERROR(__xludf.DUMMYFUNCTION("COUNTUNIQUEIFS($A$2:$A794,$B$2:$B794,B794)"),3.0)</f>
        <v>3</v>
      </c>
      <c r="F794" s="6">
        <f t="shared" si="1"/>
        <v>233</v>
      </c>
      <c r="G794" s="6" t="str">
        <f>IF(MINIFS(dynamic[orderDate], dynamic[customerID], B794) &gt;= DATE(2024,4,30)-120, 
     "New", 
     IF(MAXIFS(dynamic[orderCount], dynamic[customerID], B794)&lt;=2, 
        IF((DATE(2024,4,30) - MAXIFS(dynamic[orderDate], dynamic[customerID], B794)) &gt; 180, "Non-Returning", "Dormant"), 
        IF(AND(MAX(dynamic[sinceLastOrder]) &gt; 365, (DATE(2024,4,30) - MAXIFS(dynamic[orderDate], dynamic[customerID], B794)) &gt; 180), 
           "Dormant", "Regular")))</f>
        <v>Regular</v>
      </c>
      <c r="H794" s="6">
        <v>28.0</v>
      </c>
      <c r="I794" s="9" t="str">
        <f>VLOOKUP(dynamic[productID],products[],2,FALSE)</f>
        <v>Rössle Sauerkraut</v>
      </c>
      <c r="J794" s="9" t="str">
        <f>VLOOKUP(dynamic[productID],products[],12,FALSE)</f>
        <v>Produce</v>
      </c>
      <c r="K794" s="7" t="str">
        <f>IF(VLOOKUP(dynamic[productID],products[],7,FALSE)=1,"Discontinued","Current")</f>
        <v>Discontinued</v>
      </c>
      <c r="L794" s="9">
        <f>VLOOKUP(dynamic[productID],products[],IF(YEAR(dynamic[orderDate])=2022,8,IF(YEAR(dynamic[orderDate])=2023,9,IF(YEAR(dynamic[orderDate])=2024,10,NA))),FALSE)</f>
        <v>31.52644578</v>
      </c>
      <c r="M794" s="9">
        <v>45.6</v>
      </c>
      <c r="N794" s="25">
        <f>(dynamic[orderPrice]-dynamic[productCost])/dynamic[productCost]</f>
        <v>0.4464047207</v>
      </c>
      <c r="O794" s="10">
        <v>7.0</v>
      </c>
      <c r="P794" s="25">
        <v>0.0</v>
      </c>
      <c r="Q794" s="9">
        <f>dynamic[orderPrice]*dynamic[orderQuantity]</f>
        <v>319.2</v>
      </c>
      <c r="R794" s="9">
        <f>dynamic[orderTotal]*(1-dynamic[discountApllied])</f>
        <v>319.2</v>
      </c>
      <c r="S794" s="9">
        <f>dynamic[revenue]-(dynamic[productCost]*dynamic[orderQuantity])</f>
        <v>98.51487955</v>
      </c>
      <c r="T794" s="25">
        <f>IFERROR(dynamic[profit]/dynamic[revenue], 0)</f>
        <v>0.308630575</v>
      </c>
    </row>
    <row r="795" ht="15.75" customHeight="1">
      <c r="A795" s="6">
        <v>10544.0</v>
      </c>
      <c r="B795" s="7" t="s">
        <v>53</v>
      </c>
      <c r="C795" s="24" t="str">
        <f>VLOOKUP(dynamic[customerID],customers[],2,FALSE)</f>
        <v>Lonesome Pine Restaurant</v>
      </c>
      <c r="D795" s="24">
        <v>45067.0</v>
      </c>
      <c r="E795" s="6">
        <f>IFERROR(__xludf.DUMMYFUNCTION("COUNTUNIQUEIFS($A$2:$A795,$B$2:$B795,B795)"),3.0)</f>
        <v>3</v>
      </c>
      <c r="F795" s="6">
        <f t="shared" si="1"/>
        <v>233</v>
      </c>
      <c r="G795" s="6" t="str">
        <f>IF(MINIFS(dynamic[orderDate], dynamic[customerID], B795) &gt;= DATE(2024,4,30)-120, 
     "New", 
     IF(MAXIFS(dynamic[orderCount], dynamic[customerID], B795)&lt;=2, 
        IF((DATE(2024,4,30) - MAXIFS(dynamic[orderDate], dynamic[customerID], B795)) &gt; 180, "Non-Returning", "Dormant"), 
        IF(AND(MAX(dynamic[sinceLastOrder]) &gt; 365, (DATE(2024,4,30) - MAXIFS(dynamic[orderDate], dynamic[customerID], B795)) &gt; 180), 
           "Dormant", "Regular")))</f>
        <v>Regular</v>
      </c>
      <c r="H795" s="6">
        <v>67.0</v>
      </c>
      <c r="I795" s="9" t="str">
        <f>VLOOKUP(dynamic[productID],products[],2,FALSE)</f>
        <v>Laughing Lumberjack Lager</v>
      </c>
      <c r="J795" s="9" t="str">
        <f>VLOOKUP(dynamic[productID],products[],12,FALSE)</f>
        <v>Beverages</v>
      </c>
      <c r="K795" s="7" t="str">
        <f>IF(VLOOKUP(dynamic[productID],products[],7,FALSE)=1,"Discontinued","Current")</f>
        <v>Current</v>
      </c>
      <c r="L795" s="9">
        <f>VLOOKUP(dynamic[productID],products[],IF(YEAR(dynamic[orderDate])=2022,8,IF(YEAR(dynamic[orderDate])=2023,9,IF(YEAR(dynamic[orderDate])=2024,10,NA))),FALSE)</f>
        <v>10.35274539</v>
      </c>
      <c r="M795" s="9">
        <v>14.0</v>
      </c>
      <c r="N795" s="25">
        <f>(dynamic[orderPrice]-dynamic[productCost])/dynamic[productCost]</f>
        <v>0.3522983009</v>
      </c>
      <c r="O795" s="10">
        <v>7.0</v>
      </c>
      <c r="P795" s="25">
        <v>0.0</v>
      </c>
      <c r="Q795" s="9">
        <f>dynamic[orderPrice]*dynamic[orderQuantity]</f>
        <v>98</v>
      </c>
      <c r="R795" s="9">
        <f>dynamic[orderTotal]*(1-dynamic[discountApllied])</f>
        <v>98</v>
      </c>
      <c r="S795" s="9">
        <f>dynamic[revenue]-(dynamic[productCost]*dynamic[orderQuantity])</f>
        <v>25.53078227</v>
      </c>
      <c r="T795" s="25">
        <f>IFERROR(dynamic[profit]/dynamic[revenue], 0)</f>
        <v>0.2605181865</v>
      </c>
    </row>
    <row r="796" ht="15.75" customHeight="1">
      <c r="A796" s="6">
        <v>10545.0</v>
      </c>
      <c r="B796" s="7" t="s">
        <v>89</v>
      </c>
      <c r="C796" s="24" t="str">
        <f>VLOOKUP(dynamic[customerID],customers[],2,FALSE)</f>
        <v>Lazy K Kountry Store</v>
      </c>
      <c r="D796" s="24">
        <v>45068.0</v>
      </c>
      <c r="E796" s="6">
        <f>IFERROR(__xludf.DUMMYFUNCTION("COUNTUNIQUEIFS($A$2:$A796,$B$2:$B796,B796)"),2.0)</f>
        <v>2</v>
      </c>
      <c r="F796" s="6">
        <f t="shared" si="1"/>
        <v>62</v>
      </c>
      <c r="G796" s="6" t="str">
        <f>IF(MINIFS(dynamic[orderDate], dynamic[customerID], B796) &gt;= DATE(2024,4,30)-120, 
     "New", 
     IF(MAXIFS(dynamic[orderCount], dynamic[customerID], B796)&lt;=2, 
        IF((DATE(2024,4,30) - MAXIFS(dynamic[orderDate], dynamic[customerID], B796)) &gt; 180, "Non-Returning", "Dormant"), 
        IF(AND(MAX(dynamic[sinceLastOrder]) &gt; 365, (DATE(2024,4,30) - MAXIFS(dynamic[orderDate], dynamic[customerID], B796)) &gt; 180), 
           "Dormant", "Regular")))</f>
        <v>Non-Returning</v>
      </c>
      <c r="H796" s="6">
        <v>11.0</v>
      </c>
      <c r="I796" s="9" t="str">
        <f>VLOOKUP(dynamic[productID],products[],2,FALSE)</f>
        <v>Queso Cabrales</v>
      </c>
      <c r="J796" s="9" t="str">
        <f>VLOOKUP(dynamic[productID],products[],12,FALSE)</f>
        <v>Dairy Products</v>
      </c>
      <c r="K796" s="7" t="str">
        <f>IF(VLOOKUP(dynamic[productID],products[],7,FALSE)=1,"Discontinued","Current")</f>
        <v>Current</v>
      </c>
      <c r="L796" s="9">
        <f>VLOOKUP(dynamic[productID],products[],IF(YEAR(dynamic[orderDate])=2022,8,IF(YEAR(dynamic[orderDate])=2023,9,IF(YEAR(dynamic[orderDate])=2024,10,NA))),FALSE)</f>
        <v>12.90188125</v>
      </c>
      <c r="M796" s="9">
        <v>21.0</v>
      </c>
      <c r="N796" s="25">
        <f>(dynamic[orderPrice]-dynamic[productCost])/dynamic[productCost]</f>
        <v>0.6276696079</v>
      </c>
      <c r="O796" s="10">
        <v>10.0</v>
      </c>
      <c r="P796" s="25">
        <v>0.0</v>
      </c>
      <c r="Q796" s="9">
        <f>dynamic[orderPrice]*dynamic[orderQuantity]</f>
        <v>210</v>
      </c>
      <c r="R796" s="9">
        <f>dynamic[orderTotal]*(1-dynamic[discountApllied])</f>
        <v>210</v>
      </c>
      <c r="S796" s="9">
        <f>dynamic[revenue]-(dynamic[productCost]*dynamic[orderQuantity])</f>
        <v>80.98118747</v>
      </c>
      <c r="T796" s="25">
        <f>IFERROR(dynamic[profit]/dynamic[revenue], 0)</f>
        <v>0.3856247023</v>
      </c>
    </row>
    <row r="797" ht="15.75" customHeight="1">
      <c r="A797" s="6">
        <v>10546.0</v>
      </c>
      <c r="B797" s="7" t="s">
        <v>18</v>
      </c>
      <c r="C797" s="24" t="str">
        <f>VLOOKUP(dynamic[customerID],customers[],2,FALSE)</f>
        <v>Victuailles en stock</v>
      </c>
      <c r="D797" s="24">
        <v>45069.0</v>
      </c>
      <c r="E797" s="6">
        <f>IFERROR(__xludf.DUMMYFUNCTION("COUNTUNIQUEIFS($A$2:$A797,$B$2:$B797,B797)"),6.0)</f>
        <v>6</v>
      </c>
      <c r="F797" s="6">
        <f t="shared" si="1"/>
        <v>66</v>
      </c>
      <c r="G797" s="6" t="str">
        <f>IF(MINIFS(dynamic[orderDate], dynamic[customerID], B797) &gt;= DATE(2024,4,30)-120, 
     "New", 
     IF(MAXIFS(dynamic[orderCount], dynamic[customerID], B797)&lt;=2, 
        IF((DATE(2024,4,30) - MAXIFS(dynamic[orderDate], dynamic[customerID], B797)) &gt; 180, "Non-Returning", "Dormant"), 
        IF(AND(MAX(dynamic[sinceLastOrder]) &gt; 365, (DATE(2024,4,30) - MAXIFS(dynamic[orderDate], dynamic[customerID], B797)) &gt; 180), 
           "Dormant", "Regular")))</f>
        <v>Regular</v>
      </c>
      <c r="H797" s="6">
        <v>7.0</v>
      </c>
      <c r="I797" s="9" t="str">
        <f>VLOOKUP(dynamic[productID],products[],2,FALSE)</f>
        <v>Uncle Bob's Organic Dried Pears</v>
      </c>
      <c r="J797" s="9" t="str">
        <f>VLOOKUP(dynamic[productID],products[],12,FALSE)</f>
        <v>Produce</v>
      </c>
      <c r="K797" s="7" t="str">
        <f>IF(VLOOKUP(dynamic[productID],products[],7,FALSE)=1,"Discontinued","Current")</f>
        <v>Current</v>
      </c>
      <c r="L797" s="9">
        <f>VLOOKUP(dynamic[productID],products[],IF(YEAR(dynamic[orderDate])=2022,8,IF(YEAR(dynamic[orderDate])=2023,9,IF(YEAR(dynamic[orderDate])=2024,10,NA))),FALSE)</f>
        <v>21.39244625</v>
      </c>
      <c r="M797" s="9">
        <v>30.0</v>
      </c>
      <c r="N797" s="25">
        <f>(dynamic[orderPrice]-dynamic[productCost])/dynamic[productCost]</f>
        <v>0.4023641636</v>
      </c>
      <c r="O797" s="10">
        <v>10.0</v>
      </c>
      <c r="P797" s="25">
        <v>0.0</v>
      </c>
      <c r="Q797" s="9">
        <f>dynamic[orderPrice]*dynamic[orderQuantity]</f>
        <v>300</v>
      </c>
      <c r="R797" s="9">
        <f>dynamic[orderTotal]*(1-dynamic[discountApllied])</f>
        <v>300</v>
      </c>
      <c r="S797" s="9">
        <f>dynamic[revenue]-(dynamic[productCost]*dynamic[orderQuantity])</f>
        <v>86.07553745</v>
      </c>
      <c r="T797" s="25">
        <f>IFERROR(dynamic[profit]/dynamic[revenue], 0)</f>
        <v>0.2869184582</v>
      </c>
    </row>
    <row r="798" ht="15.75" customHeight="1">
      <c r="A798" s="6">
        <v>10546.0</v>
      </c>
      <c r="B798" s="7" t="s">
        <v>18</v>
      </c>
      <c r="C798" s="24" t="str">
        <f>VLOOKUP(dynamic[customerID],customers[],2,FALSE)</f>
        <v>Victuailles en stock</v>
      </c>
      <c r="D798" s="24">
        <v>45069.0</v>
      </c>
      <c r="E798" s="6">
        <f>IFERROR(__xludf.DUMMYFUNCTION("COUNTUNIQUEIFS($A$2:$A798,$B$2:$B798,B798)"),6.0)</f>
        <v>6</v>
      </c>
      <c r="F798" s="6">
        <f t="shared" si="1"/>
        <v>66</v>
      </c>
      <c r="G798" s="6" t="str">
        <f>IF(MINIFS(dynamic[orderDate], dynamic[customerID], B798) &gt;= DATE(2024,4,30)-120, 
     "New", 
     IF(MAXIFS(dynamic[orderCount], dynamic[customerID], B798)&lt;=2, 
        IF((DATE(2024,4,30) - MAXIFS(dynamic[orderDate], dynamic[customerID], B798)) &gt; 180, "Non-Returning", "Dormant"), 
        IF(AND(MAX(dynamic[sinceLastOrder]) &gt; 365, (DATE(2024,4,30) - MAXIFS(dynamic[orderDate], dynamic[customerID], B798)) &gt; 180), 
           "Dormant", "Regular")))</f>
        <v>Regular</v>
      </c>
      <c r="H798" s="6">
        <v>35.0</v>
      </c>
      <c r="I798" s="9" t="str">
        <f>VLOOKUP(dynamic[productID],products[],2,FALSE)</f>
        <v>Cold Brew Nitro</v>
      </c>
      <c r="J798" s="9" t="str">
        <f>VLOOKUP(dynamic[productID],products[],12,FALSE)</f>
        <v>Beverages</v>
      </c>
      <c r="K798" s="7" t="str">
        <f>IF(VLOOKUP(dynamic[productID],products[],7,FALSE)=1,"Discontinued","Current")</f>
        <v>Current</v>
      </c>
      <c r="L798" s="9">
        <f>VLOOKUP(dynamic[productID],products[],IF(YEAR(dynamic[orderDate])=2022,8,IF(YEAR(dynamic[orderDate])=2023,9,IF(YEAR(dynamic[orderDate])=2024,10,NA))),FALSE)</f>
        <v>11.7602531</v>
      </c>
      <c r="M798" s="9">
        <v>18.0</v>
      </c>
      <c r="N798" s="25">
        <f>(dynamic[orderPrice]-dynamic[productCost])/dynamic[productCost]</f>
        <v>0.5305793033</v>
      </c>
      <c r="O798" s="10">
        <v>30.0</v>
      </c>
      <c r="P798" s="25">
        <v>0.0</v>
      </c>
      <c r="Q798" s="9">
        <f>dynamic[orderPrice]*dynamic[orderQuantity]</f>
        <v>540</v>
      </c>
      <c r="R798" s="9">
        <f>dynamic[orderTotal]*(1-dynamic[discountApllied])</f>
        <v>540</v>
      </c>
      <c r="S798" s="9">
        <f>dynamic[revenue]-(dynamic[productCost]*dynamic[orderQuantity])</f>
        <v>187.1924069</v>
      </c>
      <c r="T798" s="25">
        <f>IFERROR(dynamic[profit]/dynamic[revenue], 0)</f>
        <v>0.3466526054</v>
      </c>
    </row>
    <row r="799" ht="15.75" customHeight="1">
      <c r="A799" s="6">
        <v>10546.0</v>
      </c>
      <c r="B799" s="7" t="s">
        <v>18</v>
      </c>
      <c r="C799" s="24" t="str">
        <f>VLOOKUP(dynamic[customerID],customers[],2,FALSE)</f>
        <v>Victuailles en stock</v>
      </c>
      <c r="D799" s="24">
        <v>45069.0</v>
      </c>
      <c r="E799" s="6">
        <f>IFERROR(__xludf.DUMMYFUNCTION("COUNTUNIQUEIFS($A$2:$A799,$B$2:$B799,B799)"),6.0)</f>
        <v>6</v>
      </c>
      <c r="F799" s="6">
        <f t="shared" si="1"/>
        <v>66</v>
      </c>
      <c r="G799" s="6" t="str">
        <f>IF(MINIFS(dynamic[orderDate], dynamic[customerID], B799) &gt;= DATE(2024,4,30)-120, 
     "New", 
     IF(MAXIFS(dynamic[orderCount], dynamic[customerID], B799)&lt;=2, 
        IF((DATE(2024,4,30) - MAXIFS(dynamic[orderDate], dynamic[customerID], B799)) &gt; 180, "Non-Returning", "Dormant"), 
        IF(AND(MAX(dynamic[sinceLastOrder]) &gt; 365, (DATE(2024,4,30) - MAXIFS(dynamic[orderDate], dynamic[customerID], B799)) &gt; 180), 
           "Dormant", "Regular")))</f>
        <v>Regular</v>
      </c>
      <c r="H799" s="6">
        <v>62.0</v>
      </c>
      <c r="I799" s="9" t="str">
        <f>VLOOKUP(dynamic[productID],products[],2,FALSE)</f>
        <v>Tarte au sucre</v>
      </c>
      <c r="J799" s="9" t="str">
        <f>VLOOKUP(dynamic[productID],products[],12,FALSE)</f>
        <v>Confections</v>
      </c>
      <c r="K799" s="7" t="str">
        <f>IF(VLOOKUP(dynamic[productID],products[],7,FALSE)=1,"Discontinued","Current")</f>
        <v>Current</v>
      </c>
      <c r="L799" s="9">
        <f>VLOOKUP(dynamic[productID],products[],IF(YEAR(dynamic[orderDate])=2022,8,IF(YEAR(dynamic[orderDate])=2023,9,IF(YEAR(dynamic[orderDate])=2024,10,NA))),FALSE)</f>
        <v>35.34792781</v>
      </c>
      <c r="M799" s="9">
        <v>49.3</v>
      </c>
      <c r="N799" s="25">
        <f>(dynamic[orderPrice]-dynamic[productCost])/dynamic[productCost]</f>
        <v>0.3947069335</v>
      </c>
      <c r="O799" s="10">
        <v>40.0</v>
      </c>
      <c r="P799" s="25">
        <v>0.0</v>
      </c>
      <c r="Q799" s="9">
        <f>dynamic[orderPrice]*dynamic[orderQuantity]</f>
        <v>1972</v>
      </c>
      <c r="R799" s="9">
        <f>dynamic[orderTotal]*(1-dynamic[discountApllied])</f>
        <v>1972</v>
      </c>
      <c r="S799" s="9">
        <f>dynamic[revenue]-(dynamic[productCost]*dynamic[orderQuantity])</f>
        <v>558.0828876</v>
      </c>
      <c r="T799" s="25">
        <f>IFERROR(dynamic[profit]/dynamic[revenue], 0)</f>
        <v>0.2830034927</v>
      </c>
    </row>
    <row r="800" ht="15.75" customHeight="1">
      <c r="A800" s="6">
        <v>10547.0</v>
      </c>
      <c r="B800" s="7" t="s">
        <v>71</v>
      </c>
      <c r="C800" s="24" t="str">
        <f>VLOOKUP(dynamic[customerID],customers[],2,FALSE)</f>
        <v>Seven Seas Imports</v>
      </c>
      <c r="D800" s="24">
        <v>45069.0</v>
      </c>
      <c r="E800" s="6">
        <f>IFERROR(__xludf.DUMMYFUNCTION("COUNTUNIQUEIFS($A$2:$A800,$B$2:$B800,B800)"),6.0)</f>
        <v>6</v>
      </c>
      <c r="F800" s="6">
        <f t="shared" si="1"/>
        <v>22</v>
      </c>
      <c r="G800" s="6" t="str">
        <f>IF(MINIFS(dynamic[orderDate], dynamic[customerID], B800) &gt;= DATE(2024,4,30)-120, 
     "New", 
     IF(MAXIFS(dynamic[orderCount], dynamic[customerID], B800)&lt;=2, 
        IF((DATE(2024,4,30) - MAXIFS(dynamic[orderDate], dynamic[customerID], B800)) &gt; 180, "Non-Returning", "Dormant"), 
        IF(AND(MAX(dynamic[sinceLastOrder]) &gt; 365, (DATE(2024,4,30) - MAXIFS(dynamic[orderDate], dynamic[customerID], B800)) &gt; 180), 
           "Dormant", "Regular")))</f>
        <v>Regular</v>
      </c>
      <c r="H800" s="6">
        <v>32.0</v>
      </c>
      <c r="I800" s="9" t="str">
        <f>VLOOKUP(dynamic[productID],products[],2,FALSE)</f>
        <v>Mascarpone Fabioli</v>
      </c>
      <c r="J800" s="9" t="str">
        <f>VLOOKUP(dynamic[productID],products[],12,FALSE)</f>
        <v>Dairy Products</v>
      </c>
      <c r="K800" s="7" t="str">
        <f>IF(VLOOKUP(dynamic[productID],products[],7,FALSE)=1,"Discontinued","Current")</f>
        <v>Current</v>
      </c>
      <c r="L800" s="9">
        <f>VLOOKUP(dynamic[productID],products[],IF(YEAR(dynamic[orderDate])=2022,8,IF(YEAR(dynamic[orderDate])=2023,9,IF(YEAR(dynamic[orderDate])=2024,10,NA))),FALSE)</f>
        <v>21.58120628</v>
      </c>
      <c r="M800" s="9">
        <v>32.0</v>
      </c>
      <c r="N800" s="25">
        <f>(dynamic[orderPrice]-dynamic[productCost])/dynamic[productCost]</f>
        <v>0.4827716106</v>
      </c>
      <c r="O800" s="10">
        <v>24.0</v>
      </c>
      <c r="P800" s="25">
        <v>0.15</v>
      </c>
      <c r="Q800" s="9">
        <f>dynamic[orderPrice]*dynamic[orderQuantity]</f>
        <v>768</v>
      </c>
      <c r="R800" s="9">
        <f>dynamic[orderTotal]*(1-dynamic[discountApllied])</f>
        <v>652.8</v>
      </c>
      <c r="S800" s="9">
        <f>dynamic[revenue]-(dynamic[productCost]*dynamic[orderQuantity])</f>
        <v>134.8510492</v>
      </c>
      <c r="T800" s="25">
        <f>IFERROR(dynamic[profit]/dynamic[revenue], 0)</f>
        <v>0.2065732984</v>
      </c>
    </row>
    <row r="801" ht="15.75" customHeight="1">
      <c r="A801" s="6">
        <v>10547.0</v>
      </c>
      <c r="B801" s="7" t="s">
        <v>71</v>
      </c>
      <c r="C801" s="24" t="str">
        <f>VLOOKUP(dynamic[customerID],customers[],2,FALSE)</f>
        <v>Seven Seas Imports</v>
      </c>
      <c r="D801" s="24">
        <v>45069.0</v>
      </c>
      <c r="E801" s="6">
        <f>IFERROR(__xludf.DUMMYFUNCTION("COUNTUNIQUEIFS($A$2:$A801,$B$2:$B801,B801)"),6.0)</f>
        <v>6</v>
      </c>
      <c r="F801" s="6">
        <f t="shared" si="1"/>
        <v>22</v>
      </c>
      <c r="G801" s="6" t="str">
        <f>IF(MINIFS(dynamic[orderDate], dynamic[customerID], B801) &gt;= DATE(2024,4,30)-120, 
     "New", 
     IF(MAXIFS(dynamic[orderCount], dynamic[customerID], B801)&lt;=2, 
        IF((DATE(2024,4,30) - MAXIFS(dynamic[orderDate], dynamic[customerID], B801)) &gt; 180, "Non-Returning", "Dormant"), 
        IF(AND(MAX(dynamic[sinceLastOrder]) &gt; 365, (DATE(2024,4,30) - MAXIFS(dynamic[orderDate], dynamic[customerID], B801)) &gt; 180), 
           "Dormant", "Regular")))</f>
        <v>Regular</v>
      </c>
      <c r="H801" s="6">
        <v>36.0</v>
      </c>
      <c r="I801" s="9" t="str">
        <f>VLOOKUP(dynamic[productID],products[],2,FALSE)</f>
        <v>Inlagd Sill</v>
      </c>
      <c r="J801" s="9" t="str">
        <f>VLOOKUP(dynamic[productID],products[],12,FALSE)</f>
        <v>Seafood</v>
      </c>
      <c r="K801" s="7" t="str">
        <f>IF(VLOOKUP(dynamic[productID],products[],7,FALSE)=1,"Discontinued","Current")</f>
        <v>Current</v>
      </c>
      <c r="L801" s="9">
        <f>VLOOKUP(dynamic[productID],products[],IF(YEAR(dynamic[orderDate])=2022,8,IF(YEAR(dynamic[orderDate])=2023,9,IF(YEAR(dynamic[orderDate])=2024,10,NA))),FALSE)</f>
        <v>12.15246269</v>
      </c>
      <c r="M801" s="9">
        <v>19.0</v>
      </c>
      <c r="N801" s="25">
        <f>(dynamic[orderPrice]-dynamic[productCost])/dynamic[productCost]</f>
        <v>0.5634691082</v>
      </c>
      <c r="O801" s="10">
        <v>60.0</v>
      </c>
      <c r="P801" s="25">
        <v>0.0</v>
      </c>
      <c r="Q801" s="9">
        <f>dynamic[orderPrice]*dynamic[orderQuantity]</f>
        <v>1140</v>
      </c>
      <c r="R801" s="9">
        <f>dynamic[orderTotal]*(1-dynamic[discountApllied])</f>
        <v>1140</v>
      </c>
      <c r="S801" s="9">
        <f>dynamic[revenue]-(dynamic[productCost]*dynamic[orderQuantity])</f>
        <v>410.8522388</v>
      </c>
      <c r="T801" s="25">
        <f>IFERROR(dynamic[profit]/dynamic[revenue], 0)</f>
        <v>0.3603967007</v>
      </c>
    </row>
    <row r="802" ht="15.75" customHeight="1">
      <c r="A802" s="6">
        <v>10548.0</v>
      </c>
      <c r="B802" s="7" t="s">
        <v>14</v>
      </c>
      <c r="C802" s="24" t="str">
        <f>VLOOKUP(dynamic[customerID],customers[],2,FALSE)</f>
        <v>Toms Spezialitäten</v>
      </c>
      <c r="D802" s="24">
        <v>45072.0</v>
      </c>
      <c r="E802" s="6">
        <f>IFERROR(__xludf.DUMMYFUNCTION("COUNTUNIQUEIFS($A$2:$A802,$B$2:$B802,B802)"),4.0)</f>
        <v>4</v>
      </c>
      <c r="F802" s="6">
        <f t="shared" si="1"/>
        <v>101</v>
      </c>
      <c r="G802" s="6" t="str">
        <f>IF(MINIFS(dynamic[orderDate], dynamic[customerID], B802) &gt;= DATE(2024,4,30)-120, 
     "New", 
     IF(MAXIFS(dynamic[orderCount], dynamic[customerID], B802)&lt;=2, 
        IF((DATE(2024,4,30) - MAXIFS(dynamic[orderDate], dynamic[customerID], B802)) &gt; 180, "Non-Returning", "Dormant"), 
        IF(AND(MAX(dynamic[sinceLastOrder]) &gt; 365, (DATE(2024,4,30) - MAXIFS(dynamic[orderDate], dynamic[customerID], B802)) &gt; 180), 
           "Dormant", "Regular")))</f>
        <v>Regular</v>
      </c>
      <c r="H802" s="6">
        <v>34.0</v>
      </c>
      <c r="I802" s="9" t="str">
        <f>VLOOKUP(dynamic[productID],products[],2,FALSE)</f>
        <v>Sasquatch Ale</v>
      </c>
      <c r="J802" s="9" t="str">
        <f>VLOOKUP(dynamic[productID],products[],12,FALSE)</f>
        <v>Beverages</v>
      </c>
      <c r="K802" s="7" t="str">
        <f>IF(VLOOKUP(dynamic[productID],products[],7,FALSE)=1,"Discontinued","Current")</f>
        <v>Current</v>
      </c>
      <c r="L802" s="9">
        <f>VLOOKUP(dynamic[productID],products[],IF(YEAR(dynamic[orderDate])=2022,8,IF(YEAR(dynamic[orderDate])=2023,9,IF(YEAR(dynamic[orderDate])=2024,10,NA))),FALSE)</f>
        <v>8.955654061</v>
      </c>
      <c r="M802" s="9">
        <v>14.0</v>
      </c>
      <c r="N802" s="25">
        <f>(dynamic[orderPrice]-dynamic[productCost])/dynamic[productCost]</f>
        <v>0.5632582394</v>
      </c>
      <c r="O802" s="10">
        <v>10.0</v>
      </c>
      <c r="P802" s="25">
        <v>0.25</v>
      </c>
      <c r="Q802" s="9">
        <f>dynamic[orderPrice]*dynamic[orderQuantity]</f>
        <v>140</v>
      </c>
      <c r="R802" s="9">
        <f>dynamic[orderTotal]*(1-dynamic[discountApllied])</f>
        <v>105</v>
      </c>
      <c r="S802" s="9">
        <f>dynamic[revenue]-(dynamic[productCost]*dynamic[orderQuantity])</f>
        <v>15.44345939</v>
      </c>
      <c r="T802" s="25">
        <f>IFERROR(dynamic[profit]/dynamic[revenue], 0)</f>
        <v>0.1470805656</v>
      </c>
    </row>
    <row r="803" ht="15.75" customHeight="1">
      <c r="A803" s="6">
        <v>10548.0</v>
      </c>
      <c r="B803" s="7" t="s">
        <v>14</v>
      </c>
      <c r="C803" s="24" t="str">
        <f>VLOOKUP(dynamic[customerID],customers[],2,FALSE)</f>
        <v>Toms Spezialitäten</v>
      </c>
      <c r="D803" s="24">
        <v>45072.0</v>
      </c>
      <c r="E803" s="6">
        <f>IFERROR(__xludf.DUMMYFUNCTION("COUNTUNIQUEIFS($A$2:$A803,$B$2:$B803,B803)"),4.0)</f>
        <v>4</v>
      </c>
      <c r="F803" s="6">
        <f t="shared" si="1"/>
        <v>101</v>
      </c>
      <c r="G803" s="6" t="str">
        <f>IF(MINIFS(dynamic[orderDate], dynamic[customerID], B803) &gt;= DATE(2024,4,30)-120, 
     "New", 
     IF(MAXIFS(dynamic[orderCount], dynamic[customerID], B803)&lt;=2, 
        IF((DATE(2024,4,30) - MAXIFS(dynamic[orderDate], dynamic[customerID], B803)) &gt; 180, "Non-Returning", "Dormant"), 
        IF(AND(MAX(dynamic[sinceLastOrder]) &gt; 365, (DATE(2024,4,30) - MAXIFS(dynamic[orderDate], dynamic[customerID], B803)) &gt; 180), 
           "Dormant", "Regular")))</f>
        <v>Regular</v>
      </c>
      <c r="H803" s="6">
        <v>41.0</v>
      </c>
      <c r="I803" s="9" t="str">
        <f>VLOOKUP(dynamic[productID],products[],2,FALSE)</f>
        <v>Jack's New England Clam Chowder</v>
      </c>
      <c r="J803" s="9" t="str">
        <f>VLOOKUP(dynamic[productID],products[],12,FALSE)</f>
        <v>Seafood</v>
      </c>
      <c r="K803" s="7" t="str">
        <f>IF(VLOOKUP(dynamic[productID],products[],7,FALSE)=1,"Discontinued","Current")</f>
        <v>Current</v>
      </c>
      <c r="L803" s="9">
        <f>VLOOKUP(dynamic[productID],products[],IF(YEAR(dynamic[orderDate])=2022,8,IF(YEAR(dynamic[orderDate])=2023,9,IF(YEAR(dynamic[orderDate])=2024,10,NA))),FALSE)</f>
        <v>6.549914856</v>
      </c>
      <c r="M803" s="9">
        <v>9.65</v>
      </c>
      <c r="N803" s="25">
        <f>(dynamic[orderPrice]-dynamic[productCost])/dynamic[productCost]</f>
        <v>0.4733015943</v>
      </c>
      <c r="O803" s="10">
        <v>14.0</v>
      </c>
      <c r="P803" s="25">
        <v>0.0</v>
      </c>
      <c r="Q803" s="9">
        <f>dynamic[orderPrice]*dynamic[orderQuantity]</f>
        <v>135.1</v>
      </c>
      <c r="R803" s="9">
        <f>dynamic[orderTotal]*(1-dynamic[discountApllied])</f>
        <v>135.1</v>
      </c>
      <c r="S803" s="9">
        <f>dynamic[revenue]-(dynamic[productCost]*dynamic[orderQuantity])</f>
        <v>43.40119202</v>
      </c>
      <c r="T803" s="25">
        <f>IFERROR(dynamic[profit]/dynamic[revenue], 0)</f>
        <v>0.3212523465</v>
      </c>
    </row>
    <row r="804" ht="15.75" customHeight="1">
      <c r="A804" s="6">
        <v>10549.0</v>
      </c>
      <c r="B804" s="7" t="s">
        <v>36</v>
      </c>
      <c r="C804" s="24" t="str">
        <f>VLOOKUP(dynamic[customerID],customers[],2,FALSE)</f>
        <v>QUICK-Stop</v>
      </c>
      <c r="D804" s="24">
        <v>45073.0</v>
      </c>
      <c r="E804" s="6">
        <f>IFERROR(__xludf.DUMMYFUNCTION("COUNTUNIQUEIFS($A$2:$A804,$B$2:$B804,B804)"),12.0)</f>
        <v>12</v>
      </c>
      <c r="F804" s="6">
        <f t="shared" si="1"/>
        <v>8</v>
      </c>
      <c r="G804" s="6" t="str">
        <f>IF(MINIFS(dynamic[orderDate], dynamic[customerID], B804) &gt;= DATE(2024,4,30)-120, 
     "New", 
     IF(MAXIFS(dynamic[orderCount], dynamic[customerID], B804)&lt;=2, 
        IF((DATE(2024,4,30) - MAXIFS(dynamic[orderDate], dynamic[customerID], B804)) &gt; 180, "Non-Returning", "Dormant"), 
        IF(AND(MAX(dynamic[sinceLastOrder]) &gt; 365, (DATE(2024,4,30) - MAXIFS(dynamic[orderDate], dynamic[customerID], B804)) &gt; 180), 
           "Dormant", "Regular")))</f>
        <v>Regular</v>
      </c>
      <c r="H804" s="6">
        <v>31.0</v>
      </c>
      <c r="I804" s="9" t="str">
        <f>VLOOKUP(dynamic[productID],products[],2,FALSE)</f>
        <v>Gorgonzola Telino</v>
      </c>
      <c r="J804" s="9" t="str">
        <f>VLOOKUP(dynamic[productID],products[],12,FALSE)</f>
        <v>Dairy Products</v>
      </c>
      <c r="K804" s="7" t="str">
        <f>IF(VLOOKUP(dynamic[productID],products[],7,FALSE)=1,"Discontinued","Current")</f>
        <v>Current</v>
      </c>
      <c r="L804" s="9">
        <f>VLOOKUP(dynamic[productID],products[],IF(YEAR(dynamic[orderDate])=2022,8,IF(YEAR(dynamic[orderDate])=2023,9,IF(YEAR(dynamic[orderDate])=2024,10,NA))),FALSE)</f>
        <v>7.937729254</v>
      </c>
      <c r="M804" s="9">
        <v>12.5</v>
      </c>
      <c r="N804" s="25">
        <f>(dynamic[orderPrice]-dynamic[productCost])/dynamic[productCost]</f>
        <v>0.5747576668</v>
      </c>
      <c r="O804" s="10">
        <v>55.0</v>
      </c>
      <c r="P804" s="25">
        <v>0.15</v>
      </c>
      <c r="Q804" s="9">
        <f>dynamic[orderPrice]*dynamic[orderQuantity]</f>
        <v>687.5</v>
      </c>
      <c r="R804" s="9">
        <f>dynamic[orderTotal]*(1-dynamic[discountApllied])</f>
        <v>584.375</v>
      </c>
      <c r="S804" s="9">
        <f>dynamic[revenue]-(dynamic[productCost]*dynamic[orderQuantity])</f>
        <v>147.799891</v>
      </c>
      <c r="T804" s="25">
        <f>IFERROR(dynamic[profit]/dynamic[revenue], 0)</f>
        <v>0.2529195996</v>
      </c>
    </row>
    <row r="805" ht="15.75" customHeight="1">
      <c r="A805" s="6">
        <v>10549.0</v>
      </c>
      <c r="B805" s="7" t="s">
        <v>36</v>
      </c>
      <c r="C805" s="24" t="str">
        <f>VLOOKUP(dynamic[customerID],customers[],2,FALSE)</f>
        <v>QUICK-Stop</v>
      </c>
      <c r="D805" s="24">
        <v>45073.0</v>
      </c>
      <c r="E805" s="6">
        <f>IFERROR(__xludf.DUMMYFUNCTION("COUNTUNIQUEIFS($A$2:$A805,$B$2:$B805,B805)"),12.0)</f>
        <v>12</v>
      </c>
      <c r="F805" s="6">
        <f t="shared" si="1"/>
        <v>8</v>
      </c>
      <c r="G805" s="6" t="str">
        <f>IF(MINIFS(dynamic[orderDate], dynamic[customerID], B805) &gt;= DATE(2024,4,30)-120, 
     "New", 
     IF(MAXIFS(dynamic[orderCount], dynamic[customerID], B805)&lt;=2, 
        IF((DATE(2024,4,30) - MAXIFS(dynamic[orderDate], dynamic[customerID], B805)) &gt; 180, "Non-Returning", "Dormant"), 
        IF(AND(MAX(dynamic[sinceLastOrder]) &gt; 365, (DATE(2024,4,30) - MAXIFS(dynamic[orderDate], dynamic[customerID], B805)) &gt; 180), 
           "Dormant", "Regular")))</f>
        <v>Regular</v>
      </c>
      <c r="H805" s="6">
        <v>45.0</v>
      </c>
      <c r="I805" s="9" t="str">
        <f>VLOOKUP(dynamic[productID],products[],2,FALSE)</f>
        <v>Rogede sild</v>
      </c>
      <c r="J805" s="9" t="str">
        <f>VLOOKUP(dynamic[productID],products[],12,FALSE)</f>
        <v>Seafood</v>
      </c>
      <c r="K805" s="7" t="str">
        <f>IF(VLOOKUP(dynamic[productID],products[],7,FALSE)=1,"Discontinued","Current")</f>
        <v>Current</v>
      </c>
      <c r="L805" s="9">
        <f>VLOOKUP(dynamic[productID],products[],IF(YEAR(dynamic[orderDate])=2022,8,IF(YEAR(dynamic[orderDate])=2023,9,IF(YEAR(dynamic[orderDate])=2024,10,NA))),FALSE)</f>
        <v>5.965769822</v>
      </c>
      <c r="M805" s="9">
        <v>9.5</v>
      </c>
      <c r="N805" s="25">
        <f>(dynamic[orderPrice]-dynamic[productCost])/dynamic[productCost]</f>
        <v>0.5924181261</v>
      </c>
      <c r="O805" s="10">
        <v>100.0</v>
      </c>
      <c r="P805" s="25">
        <v>0.15</v>
      </c>
      <c r="Q805" s="9">
        <f>dynamic[orderPrice]*dynamic[orderQuantity]</f>
        <v>950</v>
      </c>
      <c r="R805" s="9">
        <f>dynamic[orderTotal]*(1-dynamic[discountApllied])</f>
        <v>807.5</v>
      </c>
      <c r="S805" s="9">
        <f>dynamic[revenue]-(dynamic[productCost]*dynamic[orderQuantity])</f>
        <v>210.9230178</v>
      </c>
      <c r="T805" s="25">
        <f>IFERROR(dynamic[profit]/dynamic[revenue], 0)</f>
        <v>0.2612049756</v>
      </c>
    </row>
    <row r="806" ht="15.75" customHeight="1">
      <c r="A806" s="6">
        <v>10549.0</v>
      </c>
      <c r="B806" s="7" t="s">
        <v>36</v>
      </c>
      <c r="C806" s="24" t="str">
        <f>VLOOKUP(dynamic[customerID],customers[],2,FALSE)</f>
        <v>QUICK-Stop</v>
      </c>
      <c r="D806" s="24">
        <v>45073.0</v>
      </c>
      <c r="E806" s="6">
        <f>IFERROR(__xludf.DUMMYFUNCTION("COUNTUNIQUEIFS($A$2:$A806,$B$2:$B806,B806)"),12.0)</f>
        <v>12</v>
      </c>
      <c r="F806" s="6">
        <f t="shared" si="1"/>
        <v>8</v>
      </c>
      <c r="G806" s="6" t="str">
        <f>IF(MINIFS(dynamic[orderDate], dynamic[customerID], B806) &gt;= DATE(2024,4,30)-120, 
     "New", 
     IF(MAXIFS(dynamic[orderCount], dynamic[customerID], B806)&lt;=2, 
        IF((DATE(2024,4,30) - MAXIFS(dynamic[orderDate], dynamic[customerID], B806)) &gt; 180, "Non-Returning", "Dormant"), 
        IF(AND(MAX(dynamic[sinceLastOrder]) &gt; 365, (DATE(2024,4,30) - MAXIFS(dynamic[orderDate], dynamic[customerID], B806)) &gt; 180), 
           "Dormant", "Regular")))</f>
        <v>Regular</v>
      </c>
      <c r="H806" s="6">
        <v>51.0</v>
      </c>
      <c r="I806" s="9" t="str">
        <f>VLOOKUP(dynamic[productID],products[],2,FALSE)</f>
        <v>Manjimup Dried Apples</v>
      </c>
      <c r="J806" s="9" t="str">
        <f>VLOOKUP(dynamic[productID],products[],12,FALSE)</f>
        <v>Produce</v>
      </c>
      <c r="K806" s="7" t="str">
        <f>IF(VLOOKUP(dynamic[productID],products[],7,FALSE)=1,"Discontinued","Current")</f>
        <v>Current</v>
      </c>
      <c r="L806" s="9">
        <f>VLOOKUP(dynamic[productID],products[],IF(YEAR(dynamic[orderDate])=2022,8,IF(YEAR(dynamic[orderDate])=2023,9,IF(YEAR(dynamic[orderDate])=2024,10,NA))),FALSE)</f>
        <v>36.88798027</v>
      </c>
      <c r="M806" s="9">
        <v>53.0</v>
      </c>
      <c r="N806" s="25">
        <f>(dynamic[orderPrice]-dynamic[productCost])/dynamic[productCost]</f>
        <v>0.4367823779</v>
      </c>
      <c r="O806" s="10">
        <v>48.0</v>
      </c>
      <c r="P806" s="25">
        <v>0.15</v>
      </c>
      <c r="Q806" s="9">
        <f>dynamic[orderPrice]*dynamic[orderQuantity]</f>
        <v>2544</v>
      </c>
      <c r="R806" s="9">
        <f>dynamic[orderTotal]*(1-dynamic[discountApllied])</f>
        <v>2162.4</v>
      </c>
      <c r="S806" s="9">
        <f>dynamic[revenue]-(dynamic[productCost]*dynamic[orderQuantity])</f>
        <v>391.7769473</v>
      </c>
      <c r="T806" s="25">
        <f>IFERROR(dynamic[profit]/dynamic[revenue], 0)</f>
        <v>0.1811769086</v>
      </c>
    </row>
    <row r="807" ht="15.75" customHeight="1">
      <c r="A807" s="6">
        <v>10550.0</v>
      </c>
      <c r="B807" s="7" t="s">
        <v>51</v>
      </c>
      <c r="C807" s="24" t="str">
        <f>VLOOKUP(dynamic[customerID],customers[],2,FALSE)</f>
        <v>Godos Cocina Típica</v>
      </c>
      <c r="D807" s="24">
        <v>45074.0</v>
      </c>
      <c r="E807" s="6">
        <f>IFERROR(__xludf.DUMMYFUNCTION("COUNTUNIQUEIFS($A$2:$A807,$B$2:$B807,B807)"),2.0)</f>
        <v>2</v>
      </c>
      <c r="F807" s="6">
        <f t="shared" si="1"/>
        <v>259</v>
      </c>
      <c r="G807" s="6" t="str">
        <f>IF(MINIFS(dynamic[orderDate], dynamic[customerID], B807) &gt;= DATE(2024,4,30)-120, 
     "New", 
     IF(MAXIFS(dynamic[orderCount], dynamic[customerID], B807)&lt;=2, 
        IF((DATE(2024,4,30) - MAXIFS(dynamic[orderDate], dynamic[customerID], B807)) &gt; 180, "Non-Returning", "Dormant"), 
        IF(AND(MAX(dynamic[sinceLastOrder]) &gt; 365, (DATE(2024,4,30) - MAXIFS(dynamic[orderDate], dynamic[customerID], B807)) &gt; 180), 
           "Dormant", "Regular")))</f>
        <v>Regular</v>
      </c>
      <c r="H807" s="6">
        <v>17.0</v>
      </c>
      <c r="I807" s="9" t="str">
        <f>VLOOKUP(dynamic[productID],products[],2,FALSE)</f>
        <v>Alice Mutton</v>
      </c>
      <c r="J807" s="9" t="str">
        <f>VLOOKUP(dynamic[productID],products[],12,FALSE)</f>
        <v>Meat/Poultry</v>
      </c>
      <c r="K807" s="7" t="str">
        <f>IF(VLOOKUP(dynamic[productID],products[],7,FALSE)=1,"Discontinued","Current")</f>
        <v>Discontinued</v>
      </c>
      <c r="L807" s="9">
        <f>VLOOKUP(dynamic[productID],products[],IF(YEAR(dynamic[orderDate])=2022,8,IF(YEAR(dynamic[orderDate])=2023,9,IF(YEAR(dynamic[orderDate])=2024,10,NA))),FALSE)</f>
        <v>24.83130504</v>
      </c>
      <c r="M807" s="9">
        <v>39.0</v>
      </c>
      <c r="N807" s="25">
        <f>(dynamic[orderPrice]-dynamic[productCost])/dynamic[productCost]</f>
        <v>0.5705980792</v>
      </c>
      <c r="O807" s="10">
        <v>8.0</v>
      </c>
      <c r="P807" s="25">
        <v>0.1</v>
      </c>
      <c r="Q807" s="9">
        <f>dynamic[orderPrice]*dynamic[orderQuantity]</f>
        <v>312</v>
      </c>
      <c r="R807" s="9">
        <f>dynamic[orderTotal]*(1-dynamic[discountApllied])</f>
        <v>280.8</v>
      </c>
      <c r="S807" s="9">
        <f>dynamic[revenue]-(dynamic[productCost]*dynamic[orderQuantity])</f>
        <v>82.14955968</v>
      </c>
      <c r="T807" s="25">
        <f>IFERROR(dynamic[profit]/dynamic[revenue], 0)</f>
        <v>0.292555412</v>
      </c>
    </row>
    <row r="808" ht="15.75" customHeight="1">
      <c r="A808" s="6">
        <v>10550.0</v>
      </c>
      <c r="B808" s="7" t="s">
        <v>51</v>
      </c>
      <c r="C808" s="24" t="str">
        <f>VLOOKUP(dynamic[customerID],customers[],2,FALSE)</f>
        <v>Godos Cocina Típica</v>
      </c>
      <c r="D808" s="24">
        <v>45074.0</v>
      </c>
      <c r="E808" s="6">
        <f>IFERROR(__xludf.DUMMYFUNCTION("COUNTUNIQUEIFS($A$2:$A808,$B$2:$B808,B808)"),2.0)</f>
        <v>2</v>
      </c>
      <c r="F808" s="6">
        <f t="shared" si="1"/>
        <v>259</v>
      </c>
      <c r="G808" s="6" t="str">
        <f>IF(MINIFS(dynamic[orderDate], dynamic[customerID], B808) &gt;= DATE(2024,4,30)-120, 
     "New", 
     IF(MAXIFS(dynamic[orderCount], dynamic[customerID], B808)&lt;=2, 
        IF((DATE(2024,4,30) - MAXIFS(dynamic[orderDate], dynamic[customerID], B808)) &gt; 180, "Non-Returning", "Dormant"), 
        IF(AND(MAX(dynamic[sinceLastOrder]) &gt; 365, (DATE(2024,4,30) - MAXIFS(dynamic[orderDate], dynamic[customerID], B808)) &gt; 180), 
           "Dormant", "Regular")))</f>
        <v>Regular</v>
      </c>
      <c r="H808" s="6">
        <v>19.0</v>
      </c>
      <c r="I808" s="9" t="str">
        <f>VLOOKUP(dynamic[productID],products[],2,FALSE)</f>
        <v>Teatime Chocolate Biscuits</v>
      </c>
      <c r="J808" s="9" t="str">
        <f>VLOOKUP(dynamic[productID],products[],12,FALSE)</f>
        <v>Confections</v>
      </c>
      <c r="K808" s="7" t="str">
        <f>IF(VLOOKUP(dynamic[productID],products[],7,FALSE)=1,"Discontinued","Current")</f>
        <v>Current</v>
      </c>
      <c r="L808" s="9">
        <f>VLOOKUP(dynamic[productID],products[],IF(YEAR(dynamic[orderDate])=2022,8,IF(YEAR(dynamic[orderDate])=2023,9,IF(YEAR(dynamic[orderDate])=2024,10,NA))),FALSE)</f>
        <v>5.901883682</v>
      </c>
      <c r="M808" s="9">
        <v>9.2</v>
      </c>
      <c r="N808" s="25">
        <f>(dynamic[orderPrice]-dynamic[productCost])/dynamic[productCost]</f>
        <v>0.5588243508</v>
      </c>
      <c r="O808" s="10">
        <v>10.0</v>
      </c>
      <c r="P808" s="25">
        <v>0.0</v>
      </c>
      <c r="Q808" s="9">
        <f>dynamic[orderPrice]*dynamic[orderQuantity]</f>
        <v>92</v>
      </c>
      <c r="R808" s="9">
        <f>dynamic[orderTotal]*(1-dynamic[discountApllied])</f>
        <v>92</v>
      </c>
      <c r="S808" s="9">
        <f>dynamic[revenue]-(dynamic[productCost]*dynamic[orderQuantity])</f>
        <v>32.98116318</v>
      </c>
      <c r="T808" s="25">
        <f>IFERROR(dynamic[profit]/dynamic[revenue], 0)</f>
        <v>0.3584909041</v>
      </c>
    </row>
    <row r="809" ht="15.75" customHeight="1">
      <c r="A809" s="6">
        <v>10550.0</v>
      </c>
      <c r="B809" s="7" t="s">
        <v>51</v>
      </c>
      <c r="C809" s="24" t="str">
        <f>VLOOKUP(dynamic[customerID],customers[],2,FALSE)</f>
        <v>Godos Cocina Típica</v>
      </c>
      <c r="D809" s="24">
        <v>45074.0</v>
      </c>
      <c r="E809" s="6">
        <f>IFERROR(__xludf.DUMMYFUNCTION("COUNTUNIQUEIFS($A$2:$A809,$B$2:$B809,B809)"),2.0)</f>
        <v>2</v>
      </c>
      <c r="F809" s="6">
        <f t="shared" si="1"/>
        <v>259</v>
      </c>
      <c r="G809" s="6" t="str">
        <f>IF(MINIFS(dynamic[orderDate], dynamic[customerID], B809) &gt;= DATE(2024,4,30)-120, 
     "New", 
     IF(MAXIFS(dynamic[orderCount], dynamic[customerID], B809)&lt;=2, 
        IF((DATE(2024,4,30) - MAXIFS(dynamic[orderDate], dynamic[customerID], B809)) &gt; 180, "Non-Returning", "Dormant"), 
        IF(AND(MAX(dynamic[sinceLastOrder]) &gt; 365, (DATE(2024,4,30) - MAXIFS(dynamic[orderDate], dynamic[customerID], B809)) &gt; 180), 
           "Dormant", "Regular")))</f>
        <v>Regular</v>
      </c>
      <c r="H809" s="6">
        <v>21.0</v>
      </c>
      <c r="I809" s="9" t="str">
        <f>VLOOKUP(dynamic[productID],products[],2,FALSE)</f>
        <v>Sir Rodney's Scones</v>
      </c>
      <c r="J809" s="9" t="str">
        <f>VLOOKUP(dynamic[productID],products[],12,FALSE)</f>
        <v>Confections</v>
      </c>
      <c r="K809" s="7" t="str">
        <f>IF(VLOOKUP(dynamic[productID],products[],7,FALSE)=1,"Discontinued","Current")</f>
        <v>Current</v>
      </c>
      <c r="L809" s="9">
        <f>VLOOKUP(dynamic[productID],products[],IF(YEAR(dynamic[orderDate])=2022,8,IF(YEAR(dynamic[orderDate])=2023,9,IF(YEAR(dynamic[orderDate])=2024,10,NA))),FALSE)</f>
        <v>6.725636111</v>
      </c>
      <c r="M809" s="9">
        <v>10.0</v>
      </c>
      <c r="N809" s="25">
        <f>(dynamic[orderPrice]-dynamic[productCost])/dynamic[productCost]</f>
        <v>0.486848208</v>
      </c>
      <c r="O809" s="10">
        <v>6.0</v>
      </c>
      <c r="P809" s="25">
        <v>0.1</v>
      </c>
      <c r="Q809" s="9">
        <f>dynamic[orderPrice]*dynamic[orderQuantity]</f>
        <v>60</v>
      </c>
      <c r="R809" s="9">
        <f>dynamic[orderTotal]*(1-dynamic[discountApllied])</f>
        <v>54</v>
      </c>
      <c r="S809" s="9">
        <f>dynamic[revenue]-(dynamic[productCost]*dynamic[orderQuantity])</f>
        <v>13.64618333</v>
      </c>
      <c r="T809" s="25">
        <f>IFERROR(dynamic[profit]/dynamic[revenue], 0)</f>
        <v>0.2527070987</v>
      </c>
    </row>
    <row r="810" ht="15.75" customHeight="1">
      <c r="A810" s="6">
        <v>10550.0</v>
      </c>
      <c r="B810" s="7" t="s">
        <v>51</v>
      </c>
      <c r="C810" s="24" t="str">
        <f>VLOOKUP(dynamic[customerID],customers[],2,FALSE)</f>
        <v>Godos Cocina Típica</v>
      </c>
      <c r="D810" s="24">
        <v>45074.0</v>
      </c>
      <c r="E810" s="6">
        <f>IFERROR(__xludf.DUMMYFUNCTION("COUNTUNIQUEIFS($A$2:$A810,$B$2:$B810,B810)"),2.0)</f>
        <v>2</v>
      </c>
      <c r="F810" s="6">
        <f t="shared" si="1"/>
        <v>259</v>
      </c>
      <c r="G810" s="6" t="str">
        <f>IF(MINIFS(dynamic[orderDate], dynamic[customerID], B810) &gt;= DATE(2024,4,30)-120, 
     "New", 
     IF(MAXIFS(dynamic[orderCount], dynamic[customerID], B810)&lt;=2, 
        IF((DATE(2024,4,30) - MAXIFS(dynamic[orderDate], dynamic[customerID], B810)) &gt; 180, "Non-Returning", "Dormant"), 
        IF(AND(MAX(dynamic[sinceLastOrder]) &gt; 365, (DATE(2024,4,30) - MAXIFS(dynamic[orderDate], dynamic[customerID], B810)) &gt; 180), 
           "Dormant", "Regular")))</f>
        <v>Regular</v>
      </c>
      <c r="H810" s="6">
        <v>61.0</v>
      </c>
      <c r="I810" s="9" t="str">
        <f>VLOOKUP(dynamic[productID],products[],2,FALSE)</f>
        <v>Sirop d'érable</v>
      </c>
      <c r="J810" s="9" t="str">
        <f>VLOOKUP(dynamic[productID],products[],12,FALSE)</f>
        <v>Condiments</v>
      </c>
      <c r="K810" s="7" t="str">
        <f>IF(VLOOKUP(dynamic[productID],products[],7,FALSE)=1,"Discontinued","Current")</f>
        <v>Current</v>
      </c>
      <c r="L810" s="9">
        <f>VLOOKUP(dynamic[productID],products[],IF(YEAR(dynamic[orderDate])=2022,8,IF(YEAR(dynamic[orderDate])=2023,9,IF(YEAR(dynamic[orderDate])=2024,10,NA))),FALSE)</f>
        <v>17.19945448</v>
      </c>
      <c r="M810" s="9">
        <v>28.5</v>
      </c>
      <c r="N810" s="25">
        <f>(dynamic[orderPrice]-dynamic[productCost])/dynamic[productCost]</f>
        <v>0.6570292986</v>
      </c>
      <c r="O810" s="10">
        <v>10.0</v>
      </c>
      <c r="P810" s="25">
        <v>0.1</v>
      </c>
      <c r="Q810" s="9">
        <f>dynamic[orderPrice]*dynamic[orderQuantity]</f>
        <v>285</v>
      </c>
      <c r="R810" s="9">
        <f>dynamic[orderTotal]*(1-dynamic[discountApllied])</f>
        <v>256.5</v>
      </c>
      <c r="S810" s="9">
        <f>dynamic[revenue]-(dynamic[productCost]*dynamic[orderQuantity])</f>
        <v>84.50545516</v>
      </c>
      <c r="T810" s="25">
        <f>IFERROR(dynamic[profit]/dynamic[revenue], 0)</f>
        <v>0.3294559655</v>
      </c>
    </row>
    <row r="811" ht="15.75" customHeight="1">
      <c r="A811" s="6">
        <v>10551.0</v>
      </c>
      <c r="B811" s="7" t="s">
        <v>62</v>
      </c>
      <c r="C811" s="24" t="str">
        <f>VLOOKUP(dynamic[customerID],customers[],2,FALSE)</f>
        <v>Furia Bacalhau e Frutos do Mar</v>
      </c>
      <c r="D811" s="24">
        <v>45074.0</v>
      </c>
      <c r="E811" s="6">
        <f>IFERROR(__xludf.DUMMYFUNCTION("COUNTUNIQUEIFS($A$2:$A811,$B$2:$B811,B811)"),5.0)</f>
        <v>5</v>
      </c>
      <c r="F811" s="6">
        <f t="shared" si="1"/>
        <v>58</v>
      </c>
      <c r="G811" s="6" t="str">
        <f>IF(MINIFS(dynamic[orderDate], dynamic[customerID], B811) &gt;= DATE(2024,4,30)-120, 
     "New", 
     IF(MAXIFS(dynamic[orderCount], dynamic[customerID], B811)&lt;=2, 
        IF((DATE(2024,4,30) - MAXIFS(dynamic[orderDate], dynamic[customerID], B811)) &gt; 180, "Non-Returning", "Dormant"), 
        IF(AND(MAX(dynamic[sinceLastOrder]) &gt; 365, (DATE(2024,4,30) - MAXIFS(dynamic[orderDate], dynamic[customerID], B811)) &gt; 180), 
           "Dormant", "Regular")))</f>
        <v>Regular</v>
      </c>
      <c r="H811" s="6">
        <v>16.0</v>
      </c>
      <c r="I811" s="9" t="str">
        <f>VLOOKUP(dynamic[productID],products[],2,FALSE)</f>
        <v>Pavlova</v>
      </c>
      <c r="J811" s="9" t="str">
        <f>VLOOKUP(dynamic[productID],products[],12,FALSE)</f>
        <v>Confections</v>
      </c>
      <c r="K811" s="7" t="str">
        <f>IF(VLOOKUP(dynamic[productID],products[],7,FALSE)=1,"Discontinued","Current")</f>
        <v>Current</v>
      </c>
      <c r="L811" s="9">
        <f>VLOOKUP(dynamic[productID],products[],IF(YEAR(dynamic[orderDate])=2022,8,IF(YEAR(dynamic[orderDate])=2023,9,IF(YEAR(dynamic[orderDate])=2024,10,NA))),FALSE)</f>
        <v>11.98504839</v>
      </c>
      <c r="M811" s="9">
        <v>17.45</v>
      </c>
      <c r="N811" s="25">
        <f>(dynamic[orderPrice]-dynamic[productCost])/dynamic[productCost]</f>
        <v>0.455980771</v>
      </c>
      <c r="O811" s="10">
        <v>40.0</v>
      </c>
      <c r="P811" s="25">
        <v>0.15</v>
      </c>
      <c r="Q811" s="9">
        <f>dynamic[orderPrice]*dynamic[orderQuantity]</f>
        <v>698</v>
      </c>
      <c r="R811" s="9">
        <f>dynamic[orderTotal]*(1-dynamic[discountApllied])</f>
        <v>593.3</v>
      </c>
      <c r="S811" s="9">
        <f>dynamic[revenue]-(dynamic[productCost]*dynamic[orderQuantity])</f>
        <v>113.8980643</v>
      </c>
      <c r="T811" s="25">
        <f>IFERROR(dynamic[profit]/dynamic[revenue], 0)</f>
        <v>0.1919738147</v>
      </c>
    </row>
    <row r="812" ht="15.75" customHeight="1">
      <c r="A812" s="6">
        <v>10551.0</v>
      </c>
      <c r="B812" s="7" t="s">
        <v>62</v>
      </c>
      <c r="C812" s="24" t="str">
        <f>VLOOKUP(dynamic[customerID],customers[],2,FALSE)</f>
        <v>Furia Bacalhau e Frutos do Mar</v>
      </c>
      <c r="D812" s="24">
        <v>45074.0</v>
      </c>
      <c r="E812" s="6">
        <f>IFERROR(__xludf.DUMMYFUNCTION("COUNTUNIQUEIFS($A$2:$A812,$B$2:$B812,B812)"),5.0)</f>
        <v>5</v>
      </c>
      <c r="F812" s="6">
        <f t="shared" si="1"/>
        <v>58</v>
      </c>
      <c r="G812" s="6" t="str">
        <f>IF(MINIFS(dynamic[orderDate], dynamic[customerID], B812) &gt;= DATE(2024,4,30)-120, 
     "New", 
     IF(MAXIFS(dynamic[orderCount], dynamic[customerID], B812)&lt;=2, 
        IF((DATE(2024,4,30) - MAXIFS(dynamic[orderDate], dynamic[customerID], B812)) &gt; 180, "Non-Returning", "Dormant"), 
        IF(AND(MAX(dynamic[sinceLastOrder]) &gt; 365, (DATE(2024,4,30) - MAXIFS(dynamic[orderDate], dynamic[customerID], B812)) &gt; 180), 
           "Dormant", "Regular")))</f>
        <v>Regular</v>
      </c>
      <c r="H812" s="6">
        <v>35.0</v>
      </c>
      <c r="I812" s="9" t="str">
        <f>VLOOKUP(dynamic[productID],products[],2,FALSE)</f>
        <v>Cold Brew Nitro</v>
      </c>
      <c r="J812" s="9" t="str">
        <f>VLOOKUP(dynamic[productID],products[],12,FALSE)</f>
        <v>Beverages</v>
      </c>
      <c r="K812" s="7" t="str">
        <f>IF(VLOOKUP(dynamic[productID],products[],7,FALSE)=1,"Discontinued","Current")</f>
        <v>Current</v>
      </c>
      <c r="L812" s="9">
        <f>VLOOKUP(dynamic[productID],products[],IF(YEAR(dynamic[orderDate])=2022,8,IF(YEAR(dynamic[orderDate])=2023,9,IF(YEAR(dynamic[orderDate])=2024,10,NA))),FALSE)</f>
        <v>11.7602531</v>
      </c>
      <c r="M812" s="9">
        <v>18.0</v>
      </c>
      <c r="N812" s="25">
        <f>(dynamic[orderPrice]-dynamic[productCost])/dynamic[productCost]</f>
        <v>0.5305793033</v>
      </c>
      <c r="O812" s="10">
        <v>20.0</v>
      </c>
      <c r="P812" s="25">
        <v>0.15</v>
      </c>
      <c r="Q812" s="9">
        <f>dynamic[orderPrice]*dynamic[orderQuantity]</f>
        <v>360</v>
      </c>
      <c r="R812" s="9">
        <f>dynamic[orderTotal]*(1-dynamic[discountApllied])</f>
        <v>306</v>
      </c>
      <c r="S812" s="9">
        <f>dynamic[revenue]-(dynamic[productCost]*dynamic[orderQuantity])</f>
        <v>70.79493795</v>
      </c>
      <c r="T812" s="25">
        <f>IFERROR(dynamic[profit]/dynamic[revenue], 0)</f>
        <v>0.2313560064</v>
      </c>
    </row>
    <row r="813" ht="15.75" customHeight="1">
      <c r="A813" s="6">
        <v>10551.0</v>
      </c>
      <c r="B813" s="7" t="s">
        <v>62</v>
      </c>
      <c r="C813" s="24" t="str">
        <f>VLOOKUP(dynamic[customerID],customers[],2,FALSE)</f>
        <v>Furia Bacalhau e Frutos do Mar</v>
      </c>
      <c r="D813" s="24">
        <v>45074.0</v>
      </c>
      <c r="E813" s="6">
        <f>IFERROR(__xludf.DUMMYFUNCTION("COUNTUNIQUEIFS($A$2:$A813,$B$2:$B813,B813)"),5.0)</f>
        <v>5</v>
      </c>
      <c r="F813" s="6">
        <f t="shared" si="1"/>
        <v>58</v>
      </c>
      <c r="G813" s="6" t="str">
        <f>IF(MINIFS(dynamic[orderDate], dynamic[customerID], B813) &gt;= DATE(2024,4,30)-120, 
     "New", 
     IF(MAXIFS(dynamic[orderCount], dynamic[customerID], B813)&lt;=2, 
        IF((DATE(2024,4,30) - MAXIFS(dynamic[orderDate], dynamic[customerID], B813)) &gt; 180, "Non-Returning", "Dormant"), 
        IF(AND(MAX(dynamic[sinceLastOrder]) &gt; 365, (DATE(2024,4,30) - MAXIFS(dynamic[orderDate], dynamic[customerID], B813)) &gt; 180), 
           "Dormant", "Regular")))</f>
        <v>Regular</v>
      </c>
      <c r="H813" s="6">
        <v>44.0</v>
      </c>
      <c r="I813" s="9" t="str">
        <f>VLOOKUP(dynamic[productID],products[],2,FALSE)</f>
        <v>Gula Malacca</v>
      </c>
      <c r="J813" s="9" t="str">
        <f>VLOOKUP(dynamic[productID],products[],12,FALSE)</f>
        <v>Condiments</v>
      </c>
      <c r="K813" s="7" t="str">
        <f>IF(VLOOKUP(dynamic[productID],products[],7,FALSE)=1,"Discontinued","Current")</f>
        <v>Current</v>
      </c>
      <c r="L813" s="9">
        <f>VLOOKUP(dynamic[productID],products[],IF(YEAR(dynamic[orderDate])=2022,8,IF(YEAR(dynamic[orderDate])=2023,9,IF(YEAR(dynamic[orderDate])=2024,10,NA))),FALSE)</f>
        <v>13.06032103</v>
      </c>
      <c r="M813" s="9">
        <v>19.45</v>
      </c>
      <c r="N813" s="25">
        <f>(dynamic[orderPrice]-dynamic[productCost])/dynamic[productCost]</f>
        <v>0.4892436379</v>
      </c>
      <c r="O813" s="10">
        <v>40.0</v>
      </c>
      <c r="P813" s="25">
        <v>0.0</v>
      </c>
      <c r="Q813" s="9">
        <f>dynamic[orderPrice]*dynamic[orderQuantity]</f>
        <v>778</v>
      </c>
      <c r="R813" s="9">
        <f>dynamic[orderTotal]*(1-dynamic[discountApllied])</f>
        <v>778</v>
      </c>
      <c r="S813" s="9">
        <f>dynamic[revenue]-(dynamic[productCost]*dynamic[orderQuantity])</f>
        <v>255.5871589</v>
      </c>
      <c r="T813" s="25">
        <f>IFERROR(dynamic[profit]/dynamic[revenue], 0)</f>
        <v>0.3285181991</v>
      </c>
    </row>
    <row r="814" ht="15.75" customHeight="1">
      <c r="A814" s="6">
        <v>10552.0</v>
      </c>
      <c r="B814" s="7" t="s">
        <v>23</v>
      </c>
      <c r="C814" s="24" t="str">
        <f>VLOOKUP(dynamic[customerID],customers[],2,FALSE)</f>
        <v>HILARION-Abastos</v>
      </c>
      <c r="D814" s="24">
        <v>45075.0</v>
      </c>
      <c r="E814" s="6">
        <f>IFERROR(__xludf.DUMMYFUNCTION("COUNTUNIQUEIFS($A$2:$A814,$B$2:$B814,B814)"),7.0)</f>
        <v>7</v>
      </c>
      <c r="F814" s="6">
        <f t="shared" si="1"/>
        <v>52</v>
      </c>
      <c r="G814" s="6" t="str">
        <f>IF(MINIFS(dynamic[orderDate], dynamic[customerID], B814) &gt;= DATE(2024,4,30)-120, 
     "New", 
     IF(MAXIFS(dynamic[orderCount], dynamic[customerID], B814)&lt;=2, 
        IF((DATE(2024,4,30) - MAXIFS(dynamic[orderDate], dynamic[customerID], B814)) &gt; 180, "Non-Returning", "Dormant"), 
        IF(AND(MAX(dynamic[sinceLastOrder]) &gt; 365, (DATE(2024,4,30) - MAXIFS(dynamic[orderDate], dynamic[customerID], B814)) &gt; 180), 
           "Dormant", "Regular")))</f>
        <v>Regular</v>
      </c>
      <c r="H814" s="6">
        <v>69.0</v>
      </c>
      <c r="I814" s="9" t="str">
        <f>VLOOKUP(dynamic[productID],products[],2,FALSE)</f>
        <v>Gudbrandsdalsost</v>
      </c>
      <c r="J814" s="9" t="str">
        <f>VLOOKUP(dynamic[productID],products[],12,FALSE)</f>
        <v>Dairy Products</v>
      </c>
      <c r="K814" s="7" t="str">
        <f>IF(VLOOKUP(dynamic[productID],products[],7,FALSE)=1,"Discontinued","Current")</f>
        <v>Current</v>
      </c>
      <c r="L814" s="9">
        <f>VLOOKUP(dynamic[productID],products[],IF(YEAR(dynamic[orderDate])=2022,8,IF(YEAR(dynamic[orderDate])=2023,9,IF(YEAR(dynamic[orderDate])=2024,10,NA))),FALSE)</f>
        <v>21.82428612</v>
      </c>
      <c r="M814" s="9">
        <v>36.0</v>
      </c>
      <c r="N814" s="25">
        <f>(dynamic[orderPrice]-dynamic[productCost])/dynamic[productCost]</f>
        <v>0.6495384916</v>
      </c>
      <c r="O814" s="10">
        <v>18.0</v>
      </c>
      <c r="P814" s="25">
        <v>0.0</v>
      </c>
      <c r="Q814" s="9">
        <f>dynamic[orderPrice]*dynamic[orderQuantity]</f>
        <v>648</v>
      </c>
      <c r="R814" s="9">
        <f>dynamic[orderTotal]*(1-dynamic[discountApllied])</f>
        <v>648</v>
      </c>
      <c r="S814" s="9">
        <f>dynamic[revenue]-(dynamic[productCost]*dynamic[orderQuantity])</f>
        <v>255.1628499</v>
      </c>
      <c r="T814" s="25">
        <f>IFERROR(dynamic[profit]/dynamic[revenue], 0)</f>
        <v>0.3937698301</v>
      </c>
    </row>
    <row r="815" ht="15.75" customHeight="1">
      <c r="A815" s="6">
        <v>10552.0</v>
      </c>
      <c r="B815" s="7" t="s">
        <v>23</v>
      </c>
      <c r="C815" s="24" t="str">
        <f>VLOOKUP(dynamic[customerID],customers[],2,FALSE)</f>
        <v>HILARION-Abastos</v>
      </c>
      <c r="D815" s="24">
        <v>45075.0</v>
      </c>
      <c r="E815" s="6">
        <f>IFERROR(__xludf.DUMMYFUNCTION("COUNTUNIQUEIFS($A$2:$A815,$B$2:$B815,B815)"),7.0)</f>
        <v>7</v>
      </c>
      <c r="F815" s="6">
        <f t="shared" si="1"/>
        <v>52</v>
      </c>
      <c r="G815" s="6" t="str">
        <f>IF(MINIFS(dynamic[orderDate], dynamic[customerID], B815) &gt;= DATE(2024,4,30)-120, 
     "New", 
     IF(MAXIFS(dynamic[orderCount], dynamic[customerID], B815)&lt;=2, 
        IF((DATE(2024,4,30) - MAXIFS(dynamic[orderDate], dynamic[customerID], B815)) &gt; 180, "Non-Returning", "Dormant"), 
        IF(AND(MAX(dynamic[sinceLastOrder]) &gt; 365, (DATE(2024,4,30) - MAXIFS(dynamic[orderDate], dynamic[customerID], B815)) &gt; 180), 
           "Dormant", "Regular")))</f>
        <v>Regular</v>
      </c>
      <c r="H815" s="6">
        <v>75.0</v>
      </c>
      <c r="I815" s="9" t="str">
        <f>VLOOKUP(dynamic[productID],products[],2,FALSE)</f>
        <v>Rhönbräu Klosterbier</v>
      </c>
      <c r="J815" s="9" t="str">
        <f>VLOOKUP(dynamic[productID],products[],12,FALSE)</f>
        <v>Beverages</v>
      </c>
      <c r="K815" s="7" t="str">
        <f>IF(VLOOKUP(dynamic[productID],products[],7,FALSE)=1,"Discontinued","Current")</f>
        <v>Current</v>
      </c>
      <c r="L815" s="9">
        <f>VLOOKUP(dynamic[productID],products[],IF(YEAR(dynamic[orderDate])=2022,8,IF(YEAR(dynamic[orderDate])=2023,9,IF(YEAR(dynamic[orderDate])=2024,10,NA))),FALSE)</f>
        <v>5.355290472</v>
      </c>
      <c r="M815" s="9">
        <v>7.75</v>
      </c>
      <c r="N815" s="25">
        <f>(dynamic[orderPrice]-dynamic[productCost])/dynamic[productCost]</f>
        <v>0.4471670661</v>
      </c>
      <c r="O815" s="10">
        <v>30.0</v>
      </c>
      <c r="P815" s="25">
        <v>0.0</v>
      </c>
      <c r="Q815" s="9">
        <f>dynamic[orderPrice]*dynamic[orderQuantity]</f>
        <v>232.5</v>
      </c>
      <c r="R815" s="9">
        <f>dynamic[orderTotal]*(1-dynamic[discountApllied])</f>
        <v>232.5</v>
      </c>
      <c r="S815" s="9">
        <f>dynamic[revenue]-(dynamic[productCost]*dynamic[orderQuantity])</f>
        <v>71.84128585</v>
      </c>
      <c r="T815" s="25">
        <f>IFERROR(dynamic[profit]/dynamic[revenue], 0)</f>
        <v>0.3089947778</v>
      </c>
    </row>
    <row r="816" ht="15.75" customHeight="1">
      <c r="A816" s="6">
        <v>10553.0</v>
      </c>
      <c r="B816" s="7" t="s">
        <v>31</v>
      </c>
      <c r="C816" s="24" t="str">
        <f>VLOOKUP(dynamic[customerID],customers[],2,FALSE)</f>
        <v>Wartian Herkku</v>
      </c>
      <c r="D816" s="24">
        <v>45076.0</v>
      </c>
      <c r="E816" s="6">
        <f>IFERROR(__xludf.DUMMYFUNCTION("COUNTUNIQUEIFS($A$2:$A816,$B$2:$B816,B816)"),10.0)</f>
        <v>10</v>
      </c>
      <c r="F816" s="6">
        <f t="shared" si="1"/>
        <v>25</v>
      </c>
      <c r="G816" s="6" t="str">
        <f>IF(MINIFS(dynamic[orderDate], dynamic[customerID], B816) &gt;= DATE(2024,4,30)-120, 
     "New", 
     IF(MAXIFS(dynamic[orderCount], dynamic[customerID], B816)&lt;=2, 
        IF((DATE(2024,4,30) - MAXIFS(dynamic[orderDate], dynamic[customerID], B816)) &gt; 180, "Non-Returning", "Dormant"), 
        IF(AND(MAX(dynamic[sinceLastOrder]) &gt; 365, (DATE(2024,4,30) - MAXIFS(dynamic[orderDate], dynamic[customerID], B816)) &gt; 180), 
           "Dormant", "Regular")))</f>
        <v>Regular</v>
      </c>
      <c r="H816" s="6">
        <v>11.0</v>
      </c>
      <c r="I816" s="9" t="str">
        <f>VLOOKUP(dynamic[productID],products[],2,FALSE)</f>
        <v>Queso Cabrales</v>
      </c>
      <c r="J816" s="9" t="str">
        <f>VLOOKUP(dynamic[productID],products[],12,FALSE)</f>
        <v>Dairy Products</v>
      </c>
      <c r="K816" s="7" t="str">
        <f>IF(VLOOKUP(dynamic[productID],products[],7,FALSE)=1,"Discontinued","Current")</f>
        <v>Current</v>
      </c>
      <c r="L816" s="9">
        <f>VLOOKUP(dynamic[productID],products[],IF(YEAR(dynamic[orderDate])=2022,8,IF(YEAR(dynamic[orderDate])=2023,9,IF(YEAR(dynamic[orderDate])=2024,10,NA))),FALSE)</f>
        <v>12.90188125</v>
      </c>
      <c r="M816" s="9">
        <v>21.0</v>
      </c>
      <c r="N816" s="25">
        <f>(dynamic[orderPrice]-dynamic[productCost])/dynamic[productCost]</f>
        <v>0.6276696079</v>
      </c>
      <c r="O816" s="10">
        <v>15.0</v>
      </c>
      <c r="P816" s="25">
        <v>0.0</v>
      </c>
      <c r="Q816" s="9">
        <f>dynamic[orderPrice]*dynamic[orderQuantity]</f>
        <v>315</v>
      </c>
      <c r="R816" s="9">
        <f>dynamic[orderTotal]*(1-dynamic[discountApllied])</f>
        <v>315</v>
      </c>
      <c r="S816" s="9">
        <f>dynamic[revenue]-(dynamic[productCost]*dynamic[orderQuantity])</f>
        <v>121.4717812</v>
      </c>
      <c r="T816" s="25">
        <f>IFERROR(dynamic[profit]/dynamic[revenue], 0)</f>
        <v>0.3856247023</v>
      </c>
    </row>
    <row r="817" ht="15.75" customHeight="1">
      <c r="A817" s="6">
        <v>10553.0</v>
      </c>
      <c r="B817" s="7" t="s">
        <v>31</v>
      </c>
      <c r="C817" s="24" t="str">
        <f>VLOOKUP(dynamic[customerID],customers[],2,FALSE)</f>
        <v>Wartian Herkku</v>
      </c>
      <c r="D817" s="24">
        <v>45076.0</v>
      </c>
      <c r="E817" s="6">
        <f>IFERROR(__xludf.DUMMYFUNCTION("COUNTUNIQUEIFS($A$2:$A817,$B$2:$B817,B817)"),10.0)</f>
        <v>10</v>
      </c>
      <c r="F817" s="6">
        <f t="shared" si="1"/>
        <v>25</v>
      </c>
      <c r="G817" s="6" t="str">
        <f>IF(MINIFS(dynamic[orderDate], dynamic[customerID], B817) &gt;= DATE(2024,4,30)-120, 
     "New", 
     IF(MAXIFS(dynamic[orderCount], dynamic[customerID], B817)&lt;=2, 
        IF((DATE(2024,4,30) - MAXIFS(dynamic[orderDate], dynamic[customerID], B817)) &gt; 180, "Non-Returning", "Dormant"), 
        IF(AND(MAX(dynamic[sinceLastOrder]) &gt; 365, (DATE(2024,4,30) - MAXIFS(dynamic[orderDate], dynamic[customerID], B817)) &gt; 180), 
           "Dormant", "Regular")))</f>
        <v>Regular</v>
      </c>
      <c r="H817" s="6">
        <v>16.0</v>
      </c>
      <c r="I817" s="9" t="str">
        <f>VLOOKUP(dynamic[productID],products[],2,FALSE)</f>
        <v>Pavlova</v>
      </c>
      <c r="J817" s="9" t="str">
        <f>VLOOKUP(dynamic[productID],products[],12,FALSE)</f>
        <v>Confections</v>
      </c>
      <c r="K817" s="7" t="str">
        <f>IF(VLOOKUP(dynamic[productID],products[],7,FALSE)=1,"Discontinued","Current")</f>
        <v>Current</v>
      </c>
      <c r="L817" s="9">
        <f>VLOOKUP(dynamic[productID],products[],IF(YEAR(dynamic[orderDate])=2022,8,IF(YEAR(dynamic[orderDate])=2023,9,IF(YEAR(dynamic[orderDate])=2024,10,NA))),FALSE)</f>
        <v>11.98504839</v>
      </c>
      <c r="M817" s="9">
        <v>17.45</v>
      </c>
      <c r="N817" s="25">
        <f>(dynamic[orderPrice]-dynamic[productCost])/dynamic[productCost]</f>
        <v>0.455980771</v>
      </c>
      <c r="O817" s="10">
        <v>14.0</v>
      </c>
      <c r="P817" s="25">
        <v>0.0</v>
      </c>
      <c r="Q817" s="9">
        <f>dynamic[orderPrice]*dynamic[orderQuantity]</f>
        <v>244.3</v>
      </c>
      <c r="R817" s="9">
        <f>dynamic[orderTotal]*(1-dynamic[discountApllied])</f>
        <v>244.3</v>
      </c>
      <c r="S817" s="9">
        <f>dynamic[revenue]-(dynamic[productCost]*dynamic[orderQuantity])</f>
        <v>76.5093225</v>
      </c>
      <c r="T817" s="25">
        <f>IFERROR(dynamic[profit]/dynamic[revenue], 0)</f>
        <v>0.3131777425</v>
      </c>
    </row>
    <row r="818" ht="15.75" customHeight="1">
      <c r="A818" s="6">
        <v>10553.0</v>
      </c>
      <c r="B818" s="7" t="s">
        <v>31</v>
      </c>
      <c r="C818" s="24" t="str">
        <f>VLOOKUP(dynamic[customerID],customers[],2,FALSE)</f>
        <v>Wartian Herkku</v>
      </c>
      <c r="D818" s="24">
        <v>45076.0</v>
      </c>
      <c r="E818" s="6">
        <f>IFERROR(__xludf.DUMMYFUNCTION("COUNTUNIQUEIFS($A$2:$A818,$B$2:$B818,B818)"),10.0)</f>
        <v>10</v>
      </c>
      <c r="F818" s="6">
        <f t="shared" si="1"/>
        <v>25</v>
      </c>
      <c r="G818" s="6" t="str">
        <f>IF(MINIFS(dynamic[orderDate], dynamic[customerID], B818) &gt;= DATE(2024,4,30)-120, 
     "New", 
     IF(MAXIFS(dynamic[orderCount], dynamic[customerID], B818)&lt;=2, 
        IF((DATE(2024,4,30) - MAXIFS(dynamic[orderDate], dynamic[customerID], B818)) &gt; 180, "Non-Returning", "Dormant"), 
        IF(AND(MAX(dynamic[sinceLastOrder]) &gt; 365, (DATE(2024,4,30) - MAXIFS(dynamic[orderDate], dynamic[customerID], B818)) &gt; 180), 
           "Dormant", "Regular")))</f>
        <v>Regular</v>
      </c>
      <c r="H818" s="6">
        <v>22.0</v>
      </c>
      <c r="I818" s="9" t="str">
        <f>VLOOKUP(dynamic[productID],products[],2,FALSE)</f>
        <v>Gustaf's Knäckebröd</v>
      </c>
      <c r="J818" s="9" t="str">
        <f>VLOOKUP(dynamic[productID],products[],12,FALSE)</f>
        <v>Grains/Cereals</v>
      </c>
      <c r="K818" s="7" t="str">
        <f>IF(VLOOKUP(dynamic[productID],products[],7,FALSE)=1,"Discontinued","Current")</f>
        <v>Current</v>
      </c>
      <c r="L818" s="9">
        <f>VLOOKUP(dynamic[productID],products[],IF(YEAR(dynamic[orderDate])=2022,8,IF(YEAR(dynamic[orderDate])=2023,9,IF(YEAR(dynamic[orderDate])=2024,10,NA))),FALSE)</f>
        <v>14.56814822</v>
      </c>
      <c r="M818" s="9">
        <v>21.0</v>
      </c>
      <c r="N818" s="25">
        <f>(dynamic[orderPrice]-dynamic[productCost])/dynamic[productCost]</f>
        <v>0.4415009841</v>
      </c>
      <c r="O818" s="10">
        <v>24.0</v>
      </c>
      <c r="P818" s="25">
        <v>0.0</v>
      </c>
      <c r="Q818" s="9">
        <f>dynamic[orderPrice]*dynamic[orderQuantity]</f>
        <v>504</v>
      </c>
      <c r="R818" s="9">
        <f>dynamic[orderTotal]*(1-dynamic[discountApllied])</f>
        <v>504</v>
      </c>
      <c r="S818" s="9">
        <f>dynamic[revenue]-(dynamic[productCost]*dynamic[orderQuantity])</f>
        <v>154.3644427</v>
      </c>
      <c r="T818" s="25">
        <f>IFERROR(dynamic[profit]/dynamic[revenue], 0)</f>
        <v>0.3062786561</v>
      </c>
    </row>
    <row r="819" ht="15.75" customHeight="1">
      <c r="A819" s="6">
        <v>10553.0</v>
      </c>
      <c r="B819" s="7" t="s">
        <v>31</v>
      </c>
      <c r="C819" s="24" t="str">
        <f>VLOOKUP(dynamic[customerID],customers[],2,FALSE)</f>
        <v>Wartian Herkku</v>
      </c>
      <c r="D819" s="24">
        <v>45076.0</v>
      </c>
      <c r="E819" s="6">
        <f>IFERROR(__xludf.DUMMYFUNCTION("COUNTUNIQUEIFS($A$2:$A819,$B$2:$B819,B819)"),10.0)</f>
        <v>10</v>
      </c>
      <c r="F819" s="6">
        <f t="shared" si="1"/>
        <v>25</v>
      </c>
      <c r="G819" s="6" t="str">
        <f>IF(MINIFS(dynamic[orderDate], dynamic[customerID], B819) &gt;= DATE(2024,4,30)-120, 
     "New", 
     IF(MAXIFS(dynamic[orderCount], dynamic[customerID], B819)&lt;=2, 
        IF((DATE(2024,4,30) - MAXIFS(dynamic[orderDate], dynamic[customerID], B819)) &gt; 180, "Non-Returning", "Dormant"), 
        IF(AND(MAX(dynamic[sinceLastOrder]) &gt; 365, (DATE(2024,4,30) - MAXIFS(dynamic[orderDate], dynamic[customerID], B819)) &gt; 180), 
           "Dormant", "Regular")))</f>
        <v>Regular</v>
      </c>
      <c r="H819" s="6">
        <v>31.0</v>
      </c>
      <c r="I819" s="9" t="str">
        <f>VLOOKUP(dynamic[productID],products[],2,FALSE)</f>
        <v>Gorgonzola Telino</v>
      </c>
      <c r="J819" s="9" t="str">
        <f>VLOOKUP(dynamic[productID],products[],12,FALSE)</f>
        <v>Dairy Products</v>
      </c>
      <c r="K819" s="7" t="str">
        <f>IF(VLOOKUP(dynamic[productID],products[],7,FALSE)=1,"Discontinued","Current")</f>
        <v>Current</v>
      </c>
      <c r="L819" s="9">
        <f>VLOOKUP(dynamic[productID],products[],IF(YEAR(dynamic[orderDate])=2022,8,IF(YEAR(dynamic[orderDate])=2023,9,IF(YEAR(dynamic[orderDate])=2024,10,NA))),FALSE)</f>
        <v>7.937729254</v>
      </c>
      <c r="M819" s="9">
        <v>12.5</v>
      </c>
      <c r="N819" s="25">
        <f>(dynamic[orderPrice]-dynamic[productCost])/dynamic[productCost]</f>
        <v>0.5747576668</v>
      </c>
      <c r="O819" s="10">
        <v>30.0</v>
      </c>
      <c r="P819" s="25">
        <v>0.0</v>
      </c>
      <c r="Q819" s="9">
        <f>dynamic[orderPrice]*dynamic[orderQuantity]</f>
        <v>375</v>
      </c>
      <c r="R819" s="9">
        <f>dynamic[orderTotal]*(1-dynamic[discountApllied])</f>
        <v>375</v>
      </c>
      <c r="S819" s="9">
        <f>dynamic[revenue]-(dynamic[productCost]*dynamic[orderQuantity])</f>
        <v>136.8681224</v>
      </c>
      <c r="T819" s="25">
        <f>IFERROR(dynamic[profit]/dynamic[revenue], 0)</f>
        <v>0.3649816597</v>
      </c>
    </row>
    <row r="820" ht="15.75" customHeight="1">
      <c r="A820" s="6">
        <v>10553.0</v>
      </c>
      <c r="B820" s="7" t="s">
        <v>31</v>
      </c>
      <c r="C820" s="24" t="str">
        <f>VLOOKUP(dynamic[customerID],customers[],2,FALSE)</f>
        <v>Wartian Herkku</v>
      </c>
      <c r="D820" s="24">
        <v>45076.0</v>
      </c>
      <c r="E820" s="6">
        <f>IFERROR(__xludf.DUMMYFUNCTION("COUNTUNIQUEIFS($A$2:$A820,$B$2:$B820,B820)"),10.0)</f>
        <v>10</v>
      </c>
      <c r="F820" s="6">
        <f t="shared" si="1"/>
        <v>25</v>
      </c>
      <c r="G820" s="6" t="str">
        <f>IF(MINIFS(dynamic[orderDate], dynamic[customerID], B820) &gt;= DATE(2024,4,30)-120, 
     "New", 
     IF(MAXIFS(dynamic[orderCount], dynamic[customerID], B820)&lt;=2, 
        IF((DATE(2024,4,30) - MAXIFS(dynamic[orderDate], dynamic[customerID], B820)) &gt; 180, "Non-Returning", "Dormant"), 
        IF(AND(MAX(dynamic[sinceLastOrder]) &gt; 365, (DATE(2024,4,30) - MAXIFS(dynamic[orderDate], dynamic[customerID], B820)) &gt; 180), 
           "Dormant", "Regular")))</f>
        <v>Regular</v>
      </c>
      <c r="H820" s="6">
        <v>35.0</v>
      </c>
      <c r="I820" s="9" t="str">
        <f>VLOOKUP(dynamic[productID],products[],2,FALSE)</f>
        <v>Cold Brew Nitro</v>
      </c>
      <c r="J820" s="9" t="str">
        <f>VLOOKUP(dynamic[productID],products[],12,FALSE)</f>
        <v>Beverages</v>
      </c>
      <c r="K820" s="7" t="str">
        <f>IF(VLOOKUP(dynamic[productID],products[],7,FALSE)=1,"Discontinued","Current")</f>
        <v>Current</v>
      </c>
      <c r="L820" s="9">
        <f>VLOOKUP(dynamic[productID],products[],IF(YEAR(dynamic[orderDate])=2022,8,IF(YEAR(dynamic[orderDate])=2023,9,IF(YEAR(dynamic[orderDate])=2024,10,NA))),FALSE)</f>
        <v>11.7602531</v>
      </c>
      <c r="M820" s="9">
        <v>18.0</v>
      </c>
      <c r="N820" s="25">
        <f>(dynamic[orderPrice]-dynamic[productCost])/dynamic[productCost]</f>
        <v>0.5305793033</v>
      </c>
      <c r="O820" s="10">
        <v>6.0</v>
      </c>
      <c r="P820" s="25">
        <v>0.0</v>
      </c>
      <c r="Q820" s="9">
        <f>dynamic[orderPrice]*dynamic[orderQuantity]</f>
        <v>108</v>
      </c>
      <c r="R820" s="9">
        <f>dynamic[orderTotal]*(1-dynamic[discountApllied])</f>
        <v>108</v>
      </c>
      <c r="S820" s="9">
        <f>dynamic[revenue]-(dynamic[productCost]*dynamic[orderQuantity])</f>
        <v>37.43848139</v>
      </c>
      <c r="T820" s="25">
        <f>IFERROR(dynamic[profit]/dynamic[revenue], 0)</f>
        <v>0.3466526054</v>
      </c>
    </row>
    <row r="821" ht="15.75" customHeight="1">
      <c r="A821" s="6">
        <v>10554.0</v>
      </c>
      <c r="B821" s="7" t="s">
        <v>26</v>
      </c>
      <c r="C821" s="24" t="str">
        <f>VLOOKUP(dynamic[customerID],customers[],2,FALSE)</f>
        <v>Ottilies Käseladen</v>
      </c>
      <c r="D821" s="24">
        <v>45076.0</v>
      </c>
      <c r="E821" s="6">
        <f>IFERROR(__xludf.DUMMYFUNCTION("COUNTUNIQUEIFS($A$2:$A821,$B$2:$B821,B821)"),4.0)</f>
        <v>4</v>
      </c>
      <c r="F821" s="6">
        <f t="shared" si="1"/>
        <v>44</v>
      </c>
      <c r="G821" s="6" t="str">
        <f>IF(MINIFS(dynamic[orderDate], dynamic[customerID], B821) &gt;= DATE(2024,4,30)-120, 
     "New", 
     IF(MAXIFS(dynamic[orderCount], dynamic[customerID], B821)&lt;=2, 
        IF((DATE(2024,4,30) - MAXIFS(dynamic[orderDate], dynamic[customerID], B821)) &gt; 180, "Non-Returning", "Dormant"), 
        IF(AND(MAX(dynamic[sinceLastOrder]) &gt; 365, (DATE(2024,4,30) - MAXIFS(dynamic[orderDate], dynamic[customerID], B821)) &gt; 180), 
           "Dormant", "Regular")))</f>
        <v>Regular</v>
      </c>
      <c r="H821" s="6">
        <v>16.0</v>
      </c>
      <c r="I821" s="9" t="str">
        <f>VLOOKUP(dynamic[productID],products[],2,FALSE)</f>
        <v>Pavlova</v>
      </c>
      <c r="J821" s="9" t="str">
        <f>VLOOKUP(dynamic[productID],products[],12,FALSE)</f>
        <v>Confections</v>
      </c>
      <c r="K821" s="7" t="str">
        <f>IF(VLOOKUP(dynamic[productID],products[],7,FALSE)=1,"Discontinued","Current")</f>
        <v>Current</v>
      </c>
      <c r="L821" s="9">
        <f>VLOOKUP(dynamic[productID],products[],IF(YEAR(dynamic[orderDate])=2022,8,IF(YEAR(dynamic[orderDate])=2023,9,IF(YEAR(dynamic[orderDate])=2024,10,NA))),FALSE)</f>
        <v>11.98504839</v>
      </c>
      <c r="M821" s="9">
        <v>17.45</v>
      </c>
      <c r="N821" s="25">
        <f>(dynamic[orderPrice]-dynamic[productCost])/dynamic[productCost]</f>
        <v>0.455980771</v>
      </c>
      <c r="O821" s="10">
        <v>30.0</v>
      </c>
      <c r="P821" s="25">
        <v>0.05</v>
      </c>
      <c r="Q821" s="9">
        <f>dynamic[orderPrice]*dynamic[orderQuantity]</f>
        <v>523.5</v>
      </c>
      <c r="R821" s="9">
        <f>dynamic[orderTotal]*(1-dynamic[discountApllied])</f>
        <v>497.325</v>
      </c>
      <c r="S821" s="9">
        <f>dynamic[revenue]-(dynamic[productCost]*dynamic[orderQuantity])</f>
        <v>137.7735482</v>
      </c>
      <c r="T821" s="25">
        <f>IFERROR(dynamic[profit]/dynamic[revenue], 0)</f>
        <v>0.2770292027</v>
      </c>
    </row>
    <row r="822" ht="15.75" customHeight="1">
      <c r="A822" s="6">
        <v>10554.0</v>
      </c>
      <c r="B822" s="7" t="s">
        <v>26</v>
      </c>
      <c r="C822" s="24" t="str">
        <f>VLOOKUP(dynamic[customerID],customers[],2,FALSE)</f>
        <v>Ottilies Käseladen</v>
      </c>
      <c r="D822" s="24">
        <v>45076.0</v>
      </c>
      <c r="E822" s="6">
        <f>IFERROR(__xludf.DUMMYFUNCTION("COUNTUNIQUEIFS($A$2:$A822,$B$2:$B822,B822)"),4.0)</f>
        <v>4</v>
      </c>
      <c r="F822" s="6">
        <f t="shared" si="1"/>
        <v>44</v>
      </c>
      <c r="G822" s="6" t="str">
        <f>IF(MINIFS(dynamic[orderDate], dynamic[customerID], B822) &gt;= DATE(2024,4,30)-120, 
     "New", 
     IF(MAXIFS(dynamic[orderCount], dynamic[customerID], B822)&lt;=2, 
        IF((DATE(2024,4,30) - MAXIFS(dynamic[orderDate], dynamic[customerID], B822)) &gt; 180, "Non-Returning", "Dormant"), 
        IF(AND(MAX(dynamic[sinceLastOrder]) &gt; 365, (DATE(2024,4,30) - MAXIFS(dynamic[orderDate], dynamic[customerID], B822)) &gt; 180), 
           "Dormant", "Regular")))</f>
        <v>Regular</v>
      </c>
      <c r="H822" s="6">
        <v>23.0</v>
      </c>
      <c r="I822" s="9" t="str">
        <f>VLOOKUP(dynamic[productID],products[],2,FALSE)</f>
        <v>Tunnbröd</v>
      </c>
      <c r="J822" s="9" t="str">
        <f>VLOOKUP(dynamic[productID],products[],12,FALSE)</f>
        <v>Grains/Cereals</v>
      </c>
      <c r="K822" s="7" t="str">
        <f>IF(VLOOKUP(dynamic[productID],products[],7,FALSE)=1,"Discontinued","Current")</f>
        <v>Current</v>
      </c>
      <c r="L822" s="9">
        <f>VLOOKUP(dynamic[productID],products[],IF(YEAR(dynamic[orderDate])=2022,8,IF(YEAR(dynamic[orderDate])=2023,9,IF(YEAR(dynamic[orderDate])=2024,10,NA))),FALSE)</f>
        <v>5.989059129</v>
      </c>
      <c r="M822" s="9">
        <v>9.0</v>
      </c>
      <c r="N822" s="25">
        <f>(dynamic[orderPrice]-dynamic[productCost])/dynamic[productCost]</f>
        <v>0.5027402146</v>
      </c>
      <c r="O822" s="10">
        <v>20.0</v>
      </c>
      <c r="P822" s="25">
        <v>0.05</v>
      </c>
      <c r="Q822" s="9">
        <f>dynamic[orderPrice]*dynamic[orderQuantity]</f>
        <v>180</v>
      </c>
      <c r="R822" s="9">
        <f>dynamic[orderTotal]*(1-dynamic[discountApllied])</f>
        <v>171</v>
      </c>
      <c r="S822" s="9">
        <f>dynamic[revenue]-(dynamic[productCost]*dynamic[orderQuantity])</f>
        <v>51.21881743</v>
      </c>
      <c r="T822" s="25">
        <f>IFERROR(dynamic[profit]/dynamic[revenue], 0)</f>
        <v>0.2995252481</v>
      </c>
    </row>
    <row r="823" ht="15.75" customHeight="1">
      <c r="A823" s="6">
        <v>10554.0</v>
      </c>
      <c r="B823" s="7" t="s">
        <v>26</v>
      </c>
      <c r="C823" s="24" t="str">
        <f>VLOOKUP(dynamic[customerID],customers[],2,FALSE)</f>
        <v>Ottilies Käseladen</v>
      </c>
      <c r="D823" s="24">
        <v>45076.0</v>
      </c>
      <c r="E823" s="6">
        <f>IFERROR(__xludf.DUMMYFUNCTION("COUNTUNIQUEIFS($A$2:$A823,$B$2:$B823,B823)"),4.0)</f>
        <v>4</v>
      </c>
      <c r="F823" s="6">
        <f t="shared" si="1"/>
        <v>44</v>
      </c>
      <c r="G823" s="6" t="str">
        <f>IF(MINIFS(dynamic[orderDate], dynamic[customerID], B823) &gt;= DATE(2024,4,30)-120, 
     "New", 
     IF(MAXIFS(dynamic[orderCount], dynamic[customerID], B823)&lt;=2, 
        IF((DATE(2024,4,30) - MAXIFS(dynamic[orderDate], dynamic[customerID], B823)) &gt; 180, "Non-Returning", "Dormant"), 
        IF(AND(MAX(dynamic[sinceLastOrder]) &gt; 365, (DATE(2024,4,30) - MAXIFS(dynamic[orderDate], dynamic[customerID], B823)) &gt; 180), 
           "Dormant", "Regular")))</f>
        <v>Regular</v>
      </c>
      <c r="H823" s="6">
        <v>62.0</v>
      </c>
      <c r="I823" s="9" t="str">
        <f>VLOOKUP(dynamic[productID],products[],2,FALSE)</f>
        <v>Tarte au sucre</v>
      </c>
      <c r="J823" s="9" t="str">
        <f>VLOOKUP(dynamic[productID],products[],12,FALSE)</f>
        <v>Confections</v>
      </c>
      <c r="K823" s="7" t="str">
        <f>IF(VLOOKUP(dynamic[productID],products[],7,FALSE)=1,"Discontinued","Current")</f>
        <v>Current</v>
      </c>
      <c r="L823" s="9">
        <f>VLOOKUP(dynamic[productID],products[],IF(YEAR(dynamic[orderDate])=2022,8,IF(YEAR(dynamic[orderDate])=2023,9,IF(YEAR(dynamic[orderDate])=2024,10,NA))),FALSE)</f>
        <v>35.34792781</v>
      </c>
      <c r="M823" s="9">
        <v>49.3</v>
      </c>
      <c r="N823" s="25">
        <f>(dynamic[orderPrice]-dynamic[productCost])/dynamic[productCost]</f>
        <v>0.3947069335</v>
      </c>
      <c r="O823" s="10">
        <v>20.0</v>
      </c>
      <c r="P823" s="25">
        <v>0.05</v>
      </c>
      <c r="Q823" s="9">
        <f>dynamic[orderPrice]*dynamic[orderQuantity]</f>
        <v>986</v>
      </c>
      <c r="R823" s="9">
        <f>dynamic[orderTotal]*(1-dynamic[discountApllied])</f>
        <v>936.7</v>
      </c>
      <c r="S823" s="9">
        <f>dynamic[revenue]-(dynamic[productCost]*dynamic[orderQuantity])</f>
        <v>229.7414438</v>
      </c>
      <c r="T823" s="25">
        <f>IFERROR(dynamic[profit]/dynamic[revenue], 0)</f>
        <v>0.2452668344</v>
      </c>
    </row>
    <row r="824" ht="15.75" customHeight="1">
      <c r="A824" s="6">
        <v>10554.0</v>
      </c>
      <c r="B824" s="7" t="s">
        <v>26</v>
      </c>
      <c r="C824" s="24" t="str">
        <f>VLOOKUP(dynamic[customerID],customers[],2,FALSE)</f>
        <v>Ottilies Käseladen</v>
      </c>
      <c r="D824" s="24">
        <v>45076.0</v>
      </c>
      <c r="E824" s="6">
        <f>IFERROR(__xludf.DUMMYFUNCTION("COUNTUNIQUEIFS($A$2:$A824,$B$2:$B824,B824)"),4.0)</f>
        <v>4</v>
      </c>
      <c r="F824" s="6">
        <f t="shared" si="1"/>
        <v>44</v>
      </c>
      <c r="G824" s="6" t="str">
        <f>IF(MINIFS(dynamic[orderDate], dynamic[customerID], B824) &gt;= DATE(2024,4,30)-120, 
     "New", 
     IF(MAXIFS(dynamic[orderCount], dynamic[customerID], B824)&lt;=2, 
        IF((DATE(2024,4,30) - MAXIFS(dynamic[orderDate], dynamic[customerID], B824)) &gt; 180, "Non-Returning", "Dormant"), 
        IF(AND(MAX(dynamic[sinceLastOrder]) &gt; 365, (DATE(2024,4,30) - MAXIFS(dynamic[orderDate], dynamic[customerID], B824)) &gt; 180), 
           "Dormant", "Regular")))</f>
        <v>Regular</v>
      </c>
      <c r="H824" s="6">
        <v>77.0</v>
      </c>
      <c r="I824" s="9" t="str">
        <f>VLOOKUP(dynamic[productID],products[],2,FALSE)</f>
        <v>Original Frankfurter grüne Soße</v>
      </c>
      <c r="J824" s="9" t="str">
        <f>VLOOKUP(dynamic[productID],products[],12,FALSE)</f>
        <v>Condiments</v>
      </c>
      <c r="K824" s="7" t="str">
        <f>IF(VLOOKUP(dynamic[productID],products[],7,FALSE)=1,"Discontinued","Current")</f>
        <v>Current</v>
      </c>
      <c r="L824" s="9">
        <f>VLOOKUP(dynamic[productID],products[],IF(YEAR(dynamic[orderDate])=2022,8,IF(YEAR(dynamic[orderDate])=2023,9,IF(YEAR(dynamic[orderDate])=2024,10,NA))),FALSE)</f>
        <v>7.539056452</v>
      </c>
      <c r="M824" s="9">
        <v>13.0</v>
      </c>
      <c r="N824" s="25">
        <f>(dynamic[orderPrice]-dynamic[productCost])/dynamic[productCost]</f>
        <v>0.7243537149</v>
      </c>
      <c r="O824" s="10">
        <v>10.0</v>
      </c>
      <c r="P824" s="25">
        <v>0.05</v>
      </c>
      <c r="Q824" s="9">
        <f>dynamic[orderPrice]*dynamic[orderQuantity]</f>
        <v>130</v>
      </c>
      <c r="R824" s="9">
        <f>dynamic[orderTotal]*(1-dynamic[discountApllied])</f>
        <v>123.5</v>
      </c>
      <c r="S824" s="9">
        <f>dynamic[revenue]-(dynamic[productCost]*dynamic[orderQuantity])</f>
        <v>48.10943548</v>
      </c>
      <c r="T824" s="25">
        <f>IFERROR(dynamic[profit]/dynamic[revenue], 0)</f>
        <v>0.3895500848</v>
      </c>
    </row>
    <row r="825" ht="15.75" customHeight="1">
      <c r="A825" s="6">
        <v>10555.0</v>
      </c>
      <c r="B825" s="7" t="s">
        <v>60</v>
      </c>
      <c r="C825" s="24" t="str">
        <f>VLOOKUP(dynamic[customerID],customers[],2,FALSE)</f>
        <v>Save-a-lot Markets</v>
      </c>
      <c r="D825" s="24">
        <v>45079.0</v>
      </c>
      <c r="E825" s="6">
        <f>IFERROR(__xludf.DUMMYFUNCTION("COUNTUNIQUEIFS($A$2:$A825,$B$2:$B825,B825)"),7.0)</f>
        <v>7</v>
      </c>
      <c r="F825" s="6">
        <f t="shared" si="1"/>
        <v>45</v>
      </c>
      <c r="G825" s="6" t="str">
        <f>IF(MINIFS(dynamic[orderDate], dynamic[customerID], B825) &gt;= DATE(2024,4,30)-120, 
     "New", 
     IF(MAXIFS(dynamic[orderCount], dynamic[customerID], B825)&lt;=2, 
        IF((DATE(2024,4,30) - MAXIFS(dynamic[orderDate], dynamic[customerID], B825)) &gt; 180, "Non-Returning", "Dormant"), 
        IF(AND(MAX(dynamic[sinceLastOrder]) &gt; 365, (DATE(2024,4,30) - MAXIFS(dynamic[orderDate], dynamic[customerID], B825)) &gt; 180), 
           "Dormant", "Regular")))</f>
        <v>Regular</v>
      </c>
      <c r="H825" s="6">
        <v>14.0</v>
      </c>
      <c r="I825" s="9" t="str">
        <f>VLOOKUP(dynamic[productID],products[],2,FALSE)</f>
        <v>Tofu</v>
      </c>
      <c r="J825" s="9" t="str">
        <f>VLOOKUP(dynamic[productID],products[],12,FALSE)</f>
        <v>Produce</v>
      </c>
      <c r="K825" s="7" t="str">
        <f>IF(VLOOKUP(dynamic[productID],products[],7,FALSE)=1,"Discontinued","Current")</f>
        <v>Current</v>
      </c>
      <c r="L825" s="9">
        <f>VLOOKUP(dynamic[productID],products[],IF(YEAR(dynamic[orderDate])=2022,8,IF(YEAR(dynamic[orderDate])=2023,9,IF(YEAR(dynamic[orderDate])=2024,10,NA))),FALSE)</f>
        <v>15.38055417</v>
      </c>
      <c r="M825" s="9">
        <v>23.25</v>
      </c>
      <c r="N825" s="25">
        <f>(dynamic[orderPrice]-dynamic[productCost])/dynamic[productCost]</f>
        <v>0.5116490437</v>
      </c>
      <c r="O825" s="10">
        <v>30.0</v>
      </c>
      <c r="P825" s="25">
        <v>0.2</v>
      </c>
      <c r="Q825" s="9">
        <f>dynamic[orderPrice]*dynamic[orderQuantity]</f>
        <v>697.5</v>
      </c>
      <c r="R825" s="9">
        <f>dynamic[orderTotal]*(1-dynamic[discountApllied])</f>
        <v>558</v>
      </c>
      <c r="S825" s="9">
        <f>dynamic[revenue]-(dynamic[productCost]*dynamic[orderQuantity])</f>
        <v>96.58337495</v>
      </c>
      <c r="T825" s="25">
        <f>IFERROR(dynamic[profit]/dynamic[revenue], 0)</f>
        <v>0.1730884856</v>
      </c>
    </row>
    <row r="826" ht="15.75" customHeight="1">
      <c r="A826" s="6">
        <v>10555.0</v>
      </c>
      <c r="B826" s="7" t="s">
        <v>60</v>
      </c>
      <c r="C826" s="24" t="str">
        <f>VLOOKUP(dynamic[customerID],customers[],2,FALSE)</f>
        <v>Save-a-lot Markets</v>
      </c>
      <c r="D826" s="24">
        <v>45079.0</v>
      </c>
      <c r="E826" s="6">
        <f>IFERROR(__xludf.DUMMYFUNCTION("COUNTUNIQUEIFS($A$2:$A826,$B$2:$B826,B826)"),7.0)</f>
        <v>7</v>
      </c>
      <c r="F826" s="6">
        <f t="shared" si="1"/>
        <v>45</v>
      </c>
      <c r="G826" s="6" t="str">
        <f>IF(MINIFS(dynamic[orderDate], dynamic[customerID], B826) &gt;= DATE(2024,4,30)-120, 
     "New", 
     IF(MAXIFS(dynamic[orderCount], dynamic[customerID], B826)&lt;=2, 
        IF((DATE(2024,4,30) - MAXIFS(dynamic[orderDate], dynamic[customerID], B826)) &gt; 180, "Non-Returning", "Dormant"), 
        IF(AND(MAX(dynamic[sinceLastOrder]) &gt; 365, (DATE(2024,4,30) - MAXIFS(dynamic[orderDate], dynamic[customerID], B826)) &gt; 180), 
           "Dormant", "Regular")))</f>
        <v>Regular</v>
      </c>
      <c r="H826" s="6">
        <v>19.0</v>
      </c>
      <c r="I826" s="9" t="str">
        <f>VLOOKUP(dynamic[productID],products[],2,FALSE)</f>
        <v>Teatime Chocolate Biscuits</v>
      </c>
      <c r="J826" s="9" t="str">
        <f>VLOOKUP(dynamic[productID],products[],12,FALSE)</f>
        <v>Confections</v>
      </c>
      <c r="K826" s="7" t="str">
        <f>IF(VLOOKUP(dynamic[productID],products[],7,FALSE)=1,"Discontinued","Current")</f>
        <v>Current</v>
      </c>
      <c r="L826" s="9">
        <f>VLOOKUP(dynamic[productID],products[],IF(YEAR(dynamic[orderDate])=2022,8,IF(YEAR(dynamic[orderDate])=2023,9,IF(YEAR(dynamic[orderDate])=2024,10,NA))),FALSE)</f>
        <v>5.901883682</v>
      </c>
      <c r="M826" s="9">
        <v>9.2</v>
      </c>
      <c r="N826" s="25">
        <f>(dynamic[orderPrice]-dynamic[productCost])/dynamic[productCost]</f>
        <v>0.5588243508</v>
      </c>
      <c r="O826" s="10">
        <v>35.0</v>
      </c>
      <c r="P826" s="25">
        <v>0.2</v>
      </c>
      <c r="Q826" s="9">
        <f>dynamic[orderPrice]*dynamic[orderQuantity]</f>
        <v>322</v>
      </c>
      <c r="R826" s="9">
        <f>dynamic[orderTotal]*(1-dynamic[discountApllied])</f>
        <v>257.6</v>
      </c>
      <c r="S826" s="9">
        <f>dynamic[revenue]-(dynamic[productCost]*dynamic[orderQuantity])</f>
        <v>51.03407112</v>
      </c>
      <c r="T826" s="25">
        <f>IFERROR(dynamic[profit]/dynamic[revenue], 0)</f>
        <v>0.1981136301</v>
      </c>
    </row>
    <row r="827" ht="15.75" customHeight="1">
      <c r="A827" s="6">
        <v>10555.0</v>
      </c>
      <c r="B827" s="7" t="s">
        <v>60</v>
      </c>
      <c r="C827" s="24" t="str">
        <f>VLOOKUP(dynamic[customerID],customers[],2,FALSE)</f>
        <v>Save-a-lot Markets</v>
      </c>
      <c r="D827" s="24">
        <v>45079.0</v>
      </c>
      <c r="E827" s="6">
        <f>IFERROR(__xludf.DUMMYFUNCTION("COUNTUNIQUEIFS($A$2:$A827,$B$2:$B827,B827)"),7.0)</f>
        <v>7</v>
      </c>
      <c r="F827" s="6">
        <f t="shared" si="1"/>
        <v>45</v>
      </c>
      <c r="G827" s="6" t="str">
        <f>IF(MINIFS(dynamic[orderDate], dynamic[customerID], B827) &gt;= DATE(2024,4,30)-120, 
     "New", 
     IF(MAXIFS(dynamic[orderCount], dynamic[customerID], B827)&lt;=2, 
        IF((DATE(2024,4,30) - MAXIFS(dynamic[orderDate], dynamic[customerID], B827)) &gt; 180, "Non-Returning", "Dormant"), 
        IF(AND(MAX(dynamic[sinceLastOrder]) &gt; 365, (DATE(2024,4,30) - MAXIFS(dynamic[orderDate], dynamic[customerID], B827)) &gt; 180), 
           "Dormant", "Regular")))</f>
        <v>Regular</v>
      </c>
      <c r="H827" s="6">
        <v>24.0</v>
      </c>
      <c r="I827" s="9" t="str">
        <f>VLOOKUP(dynamic[productID],products[],2,FALSE)</f>
        <v>Brigadeiros Maravilhosos da Lilian</v>
      </c>
      <c r="J827" s="9" t="str">
        <f>VLOOKUP(dynamic[productID],products[],12,FALSE)</f>
        <v>Confections</v>
      </c>
      <c r="K827" s="7" t="str">
        <f>IF(VLOOKUP(dynamic[productID],products[],7,FALSE)=1,"Discontinued","Current")</f>
        <v>Discontinued</v>
      </c>
      <c r="L827" s="9">
        <f>VLOOKUP(dynamic[productID],products[],IF(YEAR(dynamic[orderDate])=2022,8,IF(YEAR(dynamic[orderDate])=2023,9,IF(YEAR(dynamic[orderDate])=2024,10,NA))),FALSE)</f>
        <v>3.131783363</v>
      </c>
      <c r="M827" s="9">
        <v>4.5</v>
      </c>
      <c r="N827" s="25">
        <f>(dynamic[orderPrice]-dynamic[productCost])/dynamic[productCost]</f>
        <v>0.4368809967</v>
      </c>
      <c r="O827" s="10">
        <v>18.0</v>
      </c>
      <c r="P827" s="25">
        <v>0.2</v>
      </c>
      <c r="Q827" s="9">
        <f>dynamic[orderPrice]*dynamic[orderQuantity]</f>
        <v>81</v>
      </c>
      <c r="R827" s="9">
        <f>dynamic[orderTotal]*(1-dynamic[discountApllied])</f>
        <v>64.8</v>
      </c>
      <c r="S827" s="9">
        <f>dynamic[revenue]-(dynamic[productCost]*dynamic[orderQuantity])</f>
        <v>8.427899467</v>
      </c>
      <c r="T827" s="25">
        <f>IFERROR(dynamic[profit]/dynamic[revenue], 0)</f>
        <v>0.130060177</v>
      </c>
    </row>
    <row r="828" ht="15.75" customHeight="1">
      <c r="A828" s="6">
        <v>10555.0</v>
      </c>
      <c r="B828" s="7" t="s">
        <v>60</v>
      </c>
      <c r="C828" s="24" t="str">
        <f>VLOOKUP(dynamic[customerID],customers[],2,FALSE)</f>
        <v>Save-a-lot Markets</v>
      </c>
      <c r="D828" s="24">
        <v>45079.0</v>
      </c>
      <c r="E828" s="6">
        <f>IFERROR(__xludf.DUMMYFUNCTION("COUNTUNIQUEIFS($A$2:$A828,$B$2:$B828,B828)"),7.0)</f>
        <v>7</v>
      </c>
      <c r="F828" s="6">
        <f t="shared" si="1"/>
        <v>45</v>
      </c>
      <c r="G828" s="6" t="str">
        <f>IF(MINIFS(dynamic[orderDate], dynamic[customerID], B828) &gt;= DATE(2024,4,30)-120, 
     "New", 
     IF(MAXIFS(dynamic[orderCount], dynamic[customerID], B828)&lt;=2, 
        IF((DATE(2024,4,30) - MAXIFS(dynamic[orderDate], dynamic[customerID], B828)) &gt; 180, "Non-Returning", "Dormant"), 
        IF(AND(MAX(dynamic[sinceLastOrder]) &gt; 365, (DATE(2024,4,30) - MAXIFS(dynamic[orderDate], dynamic[customerID], B828)) &gt; 180), 
           "Dormant", "Regular")))</f>
        <v>Regular</v>
      </c>
      <c r="H828" s="6">
        <v>51.0</v>
      </c>
      <c r="I828" s="9" t="str">
        <f>VLOOKUP(dynamic[productID],products[],2,FALSE)</f>
        <v>Manjimup Dried Apples</v>
      </c>
      <c r="J828" s="9" t="str">
        <f>VLOOKUP(dynamic[productID],products[],12,FALSE)</f>
        <v>Produce</v>
      </c>
      <c r="K828" s="7" t="str">
        <f>IF(VLOOKUP(dynamic[productID],products[],7,FALSE)=1,"Discontinued","Current")</f>
        <v>Current</v>
      </c>
      <c r="L828" s="9">
        <f>VLOOKUP(dynamic[productID],products[],IF(YEAR(dynamic[orderDate])=2022,8,IF(YEAR(dynamic[orderDate])=2023,9,IF(YEAR(dynamic[orderDate])=2024,10,NA))),FALSE)</f>
        <v>36.88798027</v>
      </c>
      <c r="M828" s="9">
        <v>53.0</v>
      </c>
      <c r="N828" s="25">
        <f>(dynamic[orderPrice]-dynamic[productCost])/dynamic[productCost]</f>
        <v>0.4367823779</v>
      </c>
      <c r="O828" s="10">
        <v>20.0</v>
      </c>
      <c r="P828" s="25">
        <v>0.2</v>
      </c>
      <c r="Q828" s="9">
        <f>dynamic[orderPrice]*dynamic[orderQuantity]</f>
        <v>1060</v>
      </c>
      <c r="R828" s="9">
        <f>dynamic[orderTotal]*(1-dynamic[discountApllied])</f>
        <v>848</v>
      </c>
      <c r="S828" s="9">
        <f>dynamic[revenue]-(dynamic[productCost]*dynamic[orderQuantity])</f>
        <v>110.2403947</v>
      </c>
      <c r="T828" s="25">
        <f>IFERROR(dynamic[profit]/dynamic[revenue], 0)</f>
        <v>0.1300004654</v>
      </c>
    </row>
    <row r="829" ht="15.75" customHeight="1">
      <c r="A829" s="6">
        <v>10555.0</v>
      </c>
      <c r="B829" s="7" t="s">
        <v>60</v>
      </c>
      <c r="C829" s="24" t="str">
        <f>VLOOKUP(dynamic[customerID],customers[],2,FALSE)</f>
        <v>Save-a-lot Markets</v>
      </c>
      <c r="D829" s="24">
        <v>45079.0</v>
      </c>
      <c r="E829" s="6">
        <f>IFERROR(__xludf.DUMMYFUNCTION("COUNTUNIQUEIFS($A$2:$A829,$B$2:$B829,B829)"),7.0)</f>
        <v>7</v>
      </c>
      <c r="F829" s="6">
        <f t="shared" si="1"/>
        <v>45</v>
      </c>
      <c r="G829" s="6" t="str">
        <f>IF(MINIFS(dynamic[orderDate], dynamic[customerID], B829) &gt;= DATE(2024,4,30)-120, 
     "New", 
     IF(MAXIFS(dynamic[orderCount], dynamic[customerID], B829)&lt;=2, 
        IF((DATE(2024,4,30) - MAXIFS(dynamic[orderDate], dynamic[customerID], B829)) &gt; 180, "Non-Returning", "Dormant"), 
        IF(AND(MAX(dynamic[sinceLastOrder]) &gt; 365, (DATE(2024,4,30) - MAXIFS(dynamic[orderDate], dynamic[customerID], B829)) &gt; 180), 
           "Dormant", "Regular")))</f>
        <v>Regular</v>
      </c>
      <c r="H829" s="6">
        <v>56.0</v>
      </c>
      <c r="I829" s="9" t="str">
        <f>VLOOKUP(dynamic[productID],products[],2,FALSE)</f>
        <v>Gnocchi di nonna Alice</v>
      </c>
      <c r="J829" s="9" t="str">
        <f>VLOOKUP(dynamic[productID],products[],12,FALSE)</f>
        <v>Grains/Cereals</v>
      </c>
      <c r="K829" s="7" t="str">
        <f>IF(VLOOKUP(dynamic[productID],products[],7,FALSE)=1,"Discontinued","Current")</f>
        <v>Current</v>
      </c>
      <c r="L829" s="9">
        <f>VLOOKUP(dynamic[productID],products[],IF(YEAR(dynamic[orderDate])=2022,8,IF(YEAR(dynamic[orderDate])=2023,9,IF(YEAR(dynamic[orderDate])=2024,10,NA))),FALSE)</f>
        <v>24.28342441</v>
      </c>
      <c r="M829" s="9">
        <v>38.0</v>
      </c>
      <c r="N829" s="25">
        <f>(dynamic[orderPrice]-dynamic[productCost])/dynamic[productCost]</f>
        <v>0.5648534309</v>
      </c>
      <c r="O829" s="10">
        <v>40.0</v>
      </c>
      <c r="P829" s="25">
        <v>0.2</v>
      </c>
      <c r="Q829" s="9">
        <f>dynamic[orderPrice]*dynamic[orderQuantity]</f>
        <v>1520</v>
      </c>
      <c r="R829" s="9">
        <f>dynamic[orderTotal]*(1-dynamic[discountApllied])</f>
        <v>1216</v>
      </c>
      <c r="S829" s="9">
        <f>dynamic[revenue]-(dynamic[productCost]*dynamic[orderQuantity])</f>
        <v>244.6630237</v>
      </c>
      <c r="T829" s="25">
        <f>IFERROR(dynamic[profit]/dynamic[revenue], 0)</f>
        <v>0.2012031445</v>
      </c>
    </row>
    <row r="830" ht="15.75" customHeight="1">
      <c r="A830" s="6">
        <v>10556.0</v>
      </c>
      <c r="B830" s="7" t="s">
        <v>66</v>
      </c>
      <c r="C830" s="24" t="str">
        <f>VLOOKUP(dynamic[customerID],customers[],2,FALSE)</f>
        <v>Simons bistro</v>
      </c>
      <c r="D830" s="24">
        <v>45080.0</v>
      </c>
      <c r="E830" s="6">
        <f>IFERROR(__xludf.DUMMYFUNCTION("COUNTUNIQUEIFS($A$2:$A830,$B$2:$B830,B830)"),3.0)</f>
        <v>3</v>
      </c>
      <c r="F830" s="6">
        <f t="shared" si="1"/>
        <v>138</v>
      </c>
      <c r="G830" s="6" t="str">
        <f>IF(MINIFS(dynamic[orderDate], dynamic[customerID], B830) &gt;= DATE(2024,4,30)-120, 
     "New", 
     IF(MAXIFS(dynamic[orderCount], dynamic[customerID], B830)&lt;=2, 
        IF((DATE(2024,4,30) - MAXIFS(dynamic[orderDate], dynamic[customerID], B830)) &gt; 180, "Non-Returning", "Dormant"), 
        IF(AND(MAX(dynamic[sinceLastOrder]) &gt; 365, (DATE(2024,4,30) - MAXIFS(dynamic[orderDate], dynamic[customerID], B830)) &gt; 180), 
           "Dormant", "Regular")))</f>
        <v>Regular</v>
      </c>
      <c r="H830" s="6">
        <v>72.0</v>
      </c>
      <c r="I830" s="9" t="str">
        <f>VLOOKUP(dynamic[productID],products[],2,FALSE)</f>
        <v>Mozzarella di Giovanni</v>
      </c>
      <c r="J830" s="9" t="str">
        <f>VLOOKUP(dynamic[productID],products[],12,FALSE)</f>
        <v>Dairy Products</v>
      </c>
      <c r="K830" s="7" t="str">
        <f>IF(VLOOKUP(dynamic[productID],products[],7,FALSE)=1,"Discontinued","Current")</f>
        <v>Current</v>
      </c>
      <c r="L830" s="9">
        <f>VLOOKUP(dynamic[productID],products[],IF(YEAR(dynamic[orderDate])=2022,8,IF(YEAR(dynamic[orderDate])=2023,9,IF(YEAR(dynamic[orderDate])=2024,10,NA))),FALSE)</f>
        <v>23.51933768</v>
      </c>
      <c r="M830" s="9">
        <v>34.8</v>
      </c>
      <c r="N830" s="25">
        <f>(dynamic[orderPrice]-dynamic[productCost])/dynamic[productCost]</f>
        <v>0.4796335031</v>
      </c>
      <c r="O830" s="10">
        <v>24.0</v>
      </c>
      <c r="P830" s="25">
        <v>0.0</v>
      </c>
      <c r="Q830" s="9">
        <f>dynamic[orderPrice]*dynamic[orderQuantity]</f>
        <v>835.2</v>
      </c>
      <c r="R830" s="9">
        <f>dynamic[orderTotal]*(1-dynamic[discountApllied])</f>
        <v>835.2</v>
      </c>
      <c r="S830" s="9">
        <f>dynamic[revenue]-(dynamic[productCost]*dynamic[orderQuantity])</f>
        <v>270.7358957</v>
      </c>
      <c r="T830" s="25">
        <f>IFERROR(dynamic[profit]/dynamic[revenue], 0)</f>
        <v>0.3241569633</v>
      </c>
    </row>
    <row r="831" ht="15.75" customHeight="1">
      <c r="A831" s="6">
        <v>10557.0</v>
      </c>
      <c r="B831" s="7" t="s">
        <v>41</v>
      </c>
      <c r="C831" s="24" t="str">
        <f>VLOOKUP(dynamic[customerID],customers[],2,FALSE)</f>
        <v>Lehmanns Marktstand</v>
      </c>
      <c r="D831" s="24">
        <v>45080.0</v>
      </c>
      <c r="E831" s="6">
        <f>IFERROR(__xludf.DUMMYFUNCTION("COUNTUNIQUEIFS($A$2:$A831,$B$2:$B831,B831)"),8.0)</f>
        <v>8</v>
      </c>
      <c r="F831" s="6">
        <f t="shared" si="1"/>
        <v>20</v>
      </c>
      <c r="G831" s="6" t="str">
        <f>IF(MINIFS(dynamic[orderDate], dynamic[customerID], B831) &gt;= DATE(2024,4,30)-120, 
     "New", 
     IF(MAXIFS(dynamic[orderCount], dynamic[customerID], B831)&lt;=2, 
        IF((DATE(2024,4,30) - MAXIFS(dynamic[orderDate], dynamic[customerID], B831)) &gt; 180, "Non-Returning", "Dormant"), 
        IF(AND(MAX(dynamic[sinceLastOrder]) &gt; 365, (DATE(2024,4,30) - MAXIFS(dynamic[orderDate], dynamic[customerID], B831)) &gt; 180), 
           "Dormant", "Regular")))</f>
        <v>Regular</v>
      </c>
      <c r="H831" s="6">
        <v>64.0</v>
      </c>
      <c r="I831" s="9" t="str">
        <f>VLOOKUP(dynamic[productID],products[],2,FALSE)</f>
        <v>Lukas' leckere Sauerteigweggla</v>
      </c>
      <c r="J831" s="9" t="str">
        <f>VLOOKUP(dynamic[productID],products[],12,FALSE)</f>
        <v>Grains/Cereals</v>
      </c>
      <c r="K831" s="7" t="str">
        <f>IF(VLOOKUP(dynamic[productID],products[],7,FALSE)=1,"Discontinued","Current")</f>
        <v>Current</v>
      </c>
      <c r="L831" s="9">
        <f>VLOOKUP(dynamic[productID],products[],IF(YEAR(dynamic[orderDate])=2022,8,IF(YEAR(dynamic[orderDate])=2023,9,IF(YEAR(dynamic[orderDate])=2024,10,NA))),FALSE)</f>
        <v>21.88572728</v>
      </c>
      <c r="M831" s="9">
        <v>33.25</v>
      </c>
      <c r="N831" s="25">
        <f>(dynamic[orderPrice]-dynamic[productCost])/dynamic[productCost]</f>
        <v>0.5192549724</v>
      </c>
      <c r="O831" s="10">
        <v>30.0</v>
      </c>
      <c r="P831" s="25">
        <v>0.0</v>
      </c>
      <c r="Q831" s="9">
        <f>dynamic[orderPrice]*dynamic[orderQuantity]</f>
        <v>997.5</v>
      </c>
      <c r="R831" s="9">
        <f>dynamic[orderTotal]*(1-dynamic[discountApllied])</f>
        <v>997.5</v>
      </c>
      <c r="S831" s="9">
        <f>dynamic[revenue]-(dynamic[productCost]*dynamic[orderQuantity])</f>
        <v>340.9281815</v>
      </c>
      <c r="T831" s="25">
        <f>IFERROR(dynamic[profit]/dynamic[revenue], 0)</f>
        <v>0.3417826381</v>
      </c>
    </row>
    <row r="832" ht="15.75" customHeight="1">
      <c r="A832" s="6">
        <v>10557.0</v>
      </c>
      <c r="B832" s="7" t="s">
        <v>41</v>
      </c>
      <c r="C832" s="24" t="str">
        <f>VLOOKUP(dynamic[customerID],customers[],2,FALSE)</f>
        <v>Lehmanns Marktstand</v>
      </c>
      <c r="D832" s="24">
        <v>45080.0</v>
      </c>
      <c r="E832" s="6">
        <f>IFERROR(__xludf.DUMMYFUNCTION("COUNTUNIQUEIFS($A$2:$A832,$B$2:$B832,B832)"),8.0)</f>
        <v>8</v>
      </c>
      <c r="F832" s="6">
        <f t="shared" si="1"/>
        <v>20</v>
      </c>
      <c r="G832" s="6" t="str">
        <f>IF(MINIFS(dynamic[orderDate], dynamic[customerID], B832) &gt;= DATE(2024,4,30)-120, 
     "New", 
     IF(MAXIFS(dynamic[orderCount], dynamic[customerID], B832)&lt;=2, 
        IF((DATE(2024,4,30) - MAXIFS(dynamic[orderDate], dynamic[customerID], B832)) &gt; 180, "Non-Returning", "Dormant"), 
        IF(AND(MAX(dynamic[sinceLastOrder]) &gt; 365, (DATE(2024,4,30) - MAXIFS(dynamic[orderDate], dynamic[customerID], B832)) &gt; 180), 
           "Dormant", "Regular")))</f>
        <v>Regular</v>
      </c>
      <c r="H832" s="6">
        <v>75.0</v>
      </c>
      <c r="I832" s="9" t="str">
        <f>VLOOKUP(dynamic[productID],products[],2,FALSE)</f>
        <v>Rhönbräu Klosterbier</v>
      </c>
      <c r="J832" s="9" t="str">
        <f>VLOOKUP(dynamic[productID],products[],12,FALSE)</f>
        <v>Beverages</v>
      </c>
      <c r="K832" s="7" t="str">
        <f>IF(VLOOKUP(dynamic[productID],products[],7,FALSE)=1,"Discontinued","Current")</f>
        <v>Current</v>
      </c>
      <c r="L832" s="9">
        <f>VLOOKUP(dynamic[productID],products[],IF(YEAR(dynamic[orderDate])=2022,8,IF(YEAR(dynamic[orderDate])=2023,9,IF(YEAR(dynamic[orderDate])=2024,10,NA))),FALSE)</f>
        <v>5.355290472</v>
      </c>
      <c r="M832" s="9">
        <v>7.75</v>
      </c>
      <c r="N832" s="25">
        <f>(dynamic[orderPrice]-dynamic[productCost])/dynamic[productCost]</f>
        <v>0.4471670661</v>
      </c>
      <c r="O832" s="10">
        <v>20.0</v>
      </c>
      <c r="P832" s="25">
        <v>0.0</v>
      </c>
      <c r="Q832" s="9">
        <f>dynamic[orderPrice]*dynamic[orderQuantity]</f>
        <v>155</v>
      </c>
      <c r="R832" s="9">
        <f>dynamic[orderTotal]*(1-dynamic[discountApllied])</f>
        <v>155</v>
      </c>
      <c r="S832" s="9">
        <f>dynamic[revenue]-(dynamic[productCost]*dynamic[orderQuantity])</f>
        <v>47.89419057</v>
      </c>
      <c r="T832" s="25">
        <f>IFERROR(dynamic[profit]/dynamic[revenue], 0)</f>
        <v>0.3089947778</v>
      </c>
    </row>
    <row r="833" ht="15.75" customHeight="1">
      <c r="A833" s="6">
        <v>10558.0</v>
      </c>
      <c r="B833" s="7" t="s">
        <v>70</v>
      </c>
      <c r="C833" s="24" t="str">
        <f>VLOOKUP(dynamic[customerID],customers[],2,FALSE)</f>
        <v>Around the Horn</v>
      </c>
      <c r="D833" s="24">
        <v>45081.0</v>
      </c>
      <c r="E833" s="6">
        <f>IFERROR(__xludf.DUMMYFUNCTION("COUNTUNIQUEIFS($A$2:$A833,$B$2:$B833,B833)"),4.0)</f>
        <v>4</v>
      </c>
      <c r="F833" s="6">
        <f t="shared" si="1"/>
        <v>103</v>
      </c>
      <c r="G833" s="6" t="str">
        <f>IF(MINIFS(dynamic[orderDate], dynamic[customerID], B833) &gt;= DATE(2024,4,30)-120, 
     "New", 
     IF(MAXIFS(dynamic[orderCount], dynamic[customerID], B833)&lt;=2, 
        IF((DATE(2024,4,30) - MAXIFS(dynamic[orderDate], dynamic[customerID], B833)) &gt; 180, "Non-Returning", "Dormant"), 
        IF(AND(MAX(dynamic[sinceLastOrder]) &gt; 365, (DATE(2024,4,30) - MAXIFS(dynamic[orderDate], dynamic[customerID], B833)) &gt; 180), 
           "Dormant", "Regular")))</f>
        <v>Regular</v>
      </c>
      <c r="H833" s="6">
        <v>47.0</v>
      </c>
      <c r="I833" s="9" t="str">
        <f>VLOOKUP(dynamic[productID],products[],2,FALSE)</f>
        <v>Zaanse koeken</v>
      </c>
      <c r="J833" s="9" t="str">
        <f>VLOOKUP(dynamic[productID],products[],12,FALSE)</f>
        <v>Confections</v>
      </c>
      <c r="K833" s="7" t="str">
        <f>IF(VLOOKUP(dynamic[productID],products[],7,FALSE)=1,"Discontinued","Current")</f>
        <v>Current</v>
      </c>
      <c r="L833" s="9">
        <f>VLOOKUP(dynamic[productID],products[],IF(YEAR(dynamic[orderDate])=2022,8,IF(YEAR(dynamic[orderDate])=2023,9,IF(YEAR(dynamic[orderDate])=2024,10,NA))),FALSE)</f>
        <v>6.57708833</v>
      </c>
      <c r="M833" s="9">
        <v>9.5</v>
      </c>
      <c r="N833" s="25">
        <f>(dynamic[orderPrice]-dynamic[productCost])/dynamic[productCost]</f>
        <v>0.4444081519</v>
      </c>
      <c r="O833" s="10">
        <v>25.0</v>
      </c>
      <c r="P833" s="25">
        <v>0.0</v>
      </c>
      <c r="Q833" s="9">
        <f>dynamic[orderPrice]*dynamic[orderQuantity]</f>
        <v>237.5</v>
      </c>
      <c r="R833" s="9">
        <f>dynamic[orderTotal]*(1-dynamic[discountApllied])</f>
        <v>237.5</v>
      </c>
      <c r="S833" s="9">
        <f>dynamic[revenue]-(dynamic[productCost]*dynamic[orderQuantity])</f>
        <v>73.07279174</v>
      </c>
      <c r="T833" s="25">
        <f>IFERROR(dynamic[profit]/dynamic[revenue], 0)</f>
        <v>0.3076749126</v>
      </c>
    </row>
    <row r="834" ht="15.75" customHeight="1">
      <c r="A834" s="6">
        <v>10558.0</v>
      </c>
      <c r="B834" s="7" t="s">
        <v>70</v>
      </c>
      <c r="C834" s="24" t="str">
        <f>VLOOKUP(dynamic[customerID],customers[],2,FALSE)</f>
        <v>Around the Horn</v>
      </c>
      <c r="D834" s="24">
        <v>45081.0</v>
      </c>
      <c r="E834" s="6">
        <f>IFERROR(__xludf.DUMMYFUNCTION("COUNTUNIQUEIFS($A$2:$A834,$B$2:$B834,B834)"),4.0)</f>
        <v>4</v>
      </c>
      <c r="F834" s="6">
        <f t="shared" si="1"/>
        <v>103</v>
      </c>
      <c r="G834" s="6" t="str">
        <f>IF(MINIFS(dynamic[orderDate], dynamic[customerID], B834) &gt;= DATE(2024,4,30)-120, 
     "New", 
     IF(MAXIFS(dynamic[orderCount], dynamic[customerID], B834)&lt;=2, 
        IF((DATE(2024,4,30) - MAXIFS(dynamic[orderDate], dynamic[customerID], B834)) &gt; 180, "Non-Returning", "Dormant"), 
        IF(AND(MAX(dynamic[sinceLastOrder]) &gt; 365, (DATE(2024,4,30) - MAXIFS(dynamic[orderDate], dynamic[customerID], B834)) &gt; 180), 
           "Dormant", "Regular")))</f>
        <v>Regular</v>
      </c>
      <c r="H834" s="6">
        <v>51.0</v>
      </c>
      <c r="I834" s="9" t="str">
        <f>VLOOKUP(dynamic[productID],products[],2,FALSE)</f>
        <v>Manjimup Dried Apples</v>
      </c>
      <c r="J834" s="9" t="str">
        <f>VLOOKUP(dynamic[productID],products[],12,FALSE)</f>
        <v>Produce</v>
      </c>
      <c r="K834" s="7" t="str">
        <f>IF(VLOOKUP(dynamic[productID],products[],7,FALSE)=1,"Discontinued","Current")</f>
        <v>Current</v>
      </c>
      <c r="L834" s="9">
        <f>VLOOKUP(dynamic[productID],products[],IF(YEAR(dynamic[orderDate])=2022,8,IF(YEAR(dynamic[orderDate])=2023,9,IF(YEAR(dynamic[orderDate])=2024,10,NA))),FALSE)</f>
        <v>36.88798027</v>
      </c>
      <c r="M834" s="9">
        <v>53.0</v>
      </c>
      <c r="N834" s="25">
        <f>(dynamic[orderPrice]-dynamic[productCost])/dynamic[productCost]</f>
        <v>0.4367823779</v>
      </c>
      <c r="O834" s="10">
        <v>20.0</v>
      </c>
      <c r="P834" s="25">
        <v>0.0</v>
      </c>
      <c r="Q834" s="9">
        <f>dynamic[orderPrice]*dynamic[orderQuantity]</f>
        <v>1060</v>
      </c>
      <c r="R834" s="9">
        <f>dynamic[orderTotal]*(1-dynamic[discountApllied])</f>
        <v>1060</v>
      </c>
      <c r="S834" s="9">
        <f>dynamic[revenue]-(dynamic[productCost]*dynamic[orderQuantity])</f>
        <v>322.2403947</v>
      </c>
      <c r="T834" s="25">
        <f>IFERROR(dynamic[profit]/dynamic[revenue], 0)</f>
        <v>0.3040003724</v>
      </c>
    </row>
    <row r="835" ht="15.75" customHeight="1">
      <c r="A835" s="6">
        <v>10558.0</v>
      </c>
      <c r="B835" s="7" t="s">
        <v>70</v>
      </c>
      <c r="C835" s="24" t="str">
        <f>VLOOKUP(dynamic[customerID],customers[],2,FALSE)</f>
        <v>Around the Horn</v>
      </c>
      <c r="D835" s="24">
        <v>45081.0</v>
      </c>
      <c r="E835" s="6">
        <f>IFERROR(__xludf.DUMMYFUNCTION("COUNTUNIQUEIFS($A$2:$A835,$B$2:$B835,B835)"),4.0)</f>
        <v>4</v>
      </c>
      <c r="F835" s="6">
        <f t="shared" si="1"/>
        <v>103</v>
      </c>
      <c r="G835" s="6" t="str">
        <f>IF(MINIFS(dynamic[orderDate], dynamic[customerID], B835) &gt;= DATE(2024,4,30)-120, 
     "New", 
     IF(MAXIFS(dynamic[orderCount], dynamic[customerID], B835)&lt;=2, 
        IF((DATE(2024,4,30) - MAXIFS(dynamic[orderDate], dynamic[customerID], B835)) &gt; 180, "Non-Returning", "Dormant"), 
        IF(AND(MAX(dynamic[sinceLastOrder]) &gt; 365, (DATE(2024,4,30) - MAXIFS(dynamic[orderDate], dynamic[customerID], B835)) &gt; 180), 
           "Dormant", "Regular")))</f>
        <v>Regular</v>
      </c>
      <c r="H835" s="6">
        <v>52.0</v>
      </c>
      <c r="I835" s="9" t="str">
        <f>VLOOKUP(dynamic[productID],products[],2,FALSE)</f>
        <v>Filo Mix</v>
      </c>
      <c r="J835" s="9" t="str">
        <f>VLOOKUP(dynamic[productID],products[],12,FALSE)</f>
        <v>Grains/Cereals</v>
      </c>
      <c r="K835" s="7" t="str">
        <f>IF(VLOOKUP(dynamic[productID],products[],7,FALSE)=1,"Discontinued","Current")</f>
        <v>Current</v>
      </c>
      <c r="L835" s="9">
        <f>VLOOKUP(dynamic[productID],products[],IF(YEAR(dynamic[orderDate])=2022,8,IF(YEAR(dynamic[orderDate])=2023,9,IF(YEAR(dynamic[orderDate])=2024,10,NA))),FALSE)</f>
        <v>5.001706713</v>
      </c>
      <c r="M835" s="9">
        <v>7.0</v>
      </c>
      <c r="N835" s="25">
        <f>(dynamic[orderPrice]-dynamic[productCost])/dynamic[productCost]</f>
        <v>0.3995222835</v>
      </c>
      <c r="O835" s="10">
        <v>30.0</v>
      </c>
      <c r="P835" s="25">
        <v>0.0</v>
      </c>
      <c r="Q835" s="9">
        <f>dynamic[orderPrice]*dynamic[orderQuantity]</f>
        <v>210</v>
      </c>
      <c r="R835" s="9">
        <f>dynamic[orderTotal]*(1-dynamic[discountApllied])</f>
        <v>210</v>
      </c>
      <c r="S835" s="9">
        <f>dynamic[revenue]-(dynamic[productCost]*dynamic[orderQuantity])</f>
        <v>59.94879862</v>
      </c>
      <c r="T835" s="25">
        <f>IFERROR(dynamic[profit]/dynamic[revenue], 0)</f>
        <v>0.2854704696</v>
      </c>
    </row>
    <row r="836" ht="15.75" customHeight="1">
      <c r="A836" s="6">
        <v>10558.0</v>
      </c>
      <c r="B836" s="7" t="s">
        <v>70</v>
      </c>
      <c r="C836" s="24" t="str">
        <f>VLOOKUP(dynamic[customerID],customers[],2,FALSE)</f>
        <v>Around the Horn</v>
      </c>
      <c r="D836" s="24">
        <v>45081.0</v>
      </c>
      <c r="E836" s="6">
        <f>IFERROR(__xludf.DUMMYFUNCTION("COUNTUNIQUEIFS($A$2:$A836,$B$2:$B836,B836)"),4.0)</f>
        <v>4</v>
      </c>
      <c r="F836" s="6">
        <f t="shared" si="1"/>
        <v>103</v>
      </c>
      <c r="G836" s="6" t="str">
        <f>IF(MINIFS(dynamic[orderDate], dynamic[customerID], B836) &gt;= DATE(2024,4,30)-120, 
     "New", 
     IF(MAXIFS(dynamic[orderCount], dynamic[customerID], B836)&lt;=2, 
        IF((DATE(2024,4,30) - MAXIFS(dynamic[orderDate], dynamic[customerID], B836)) &gt; 180, "Non-Returning", "Dormant"), 
        IF(AND(MAX(dynamic[sinceLastOrder]) &gt; 365, (DATE(2024,4,30) - MAXIFS(dynamic[orderDate], dynamic[customerID], B836)) &gt; 180), 
           "Dormant", "Regular")))</f>
        <v>Regular</v>
      </c>
      <c r="H836" s="6">
        <v>53.0</v>
      </c>
      <c r="I836" s="9" t="str">
        <f>VLOOKUP(dynamic[productID],products[],2,FALSE)</f>
        <v>Perth Pasties</v>
      </c>
      <c r="J836" s="9" t="str">
        <f>VLOOKUP(dynamic[productID],products[],12,FALSE)</f>
        <v>Meat/Poultry</v>
      </c>
      <c r="K836" s="7" t="str">
        <f>IF(VLOOKUP(dynamic[productID],products[],7,FALSE)=1,"Discontinued","Current")</f>
        <v>Discontinued</v>
      </c>
      <c r="L836" s="9">
        <f>VLOOKUP(dynamic[productID],products[],IF(YEAR(dynamic[orderDate])=2022,8,IF(YEAR(dynamic[orderDate])=2023,9,IF(YEAR(dynamic[orderDate])=2024,10,NA))),FALSE)</f>
        <v>21.81491556</v>
      </c>
      <c r="M836" s="9">
        <v>32.8</v>
      </c>
      <c r="N836" s="25">
        <f>(dynamic[orderPrice]-dynamic[productCost])/dynamic[productCost]</f>
        <v>0.5035584214</v>
      </c>
      <c r="O836" s="10">
        <v>18.0</v>
      </c>
      <c r="P836" s="25">
        <v>0.0</v>
      </c>
      <c r="Q836" s="9">
        <f>dynamic[orderPrice]*dynamic[orderQuantity]</f>
        <v>590.4</v>
      </c>
      <c r="R836" s="9">
        <f>dynamic[orderTotal]*(1-dynamic[discountApllied])</f>
        <v>590.4</v>
      </c>
      <c r="S836" s="9">
        <f>dynamic[revenue]-(dynamic[productCost]*dynamic[orderQuantity])</f>
        <v>197.7315199</v>
      </c>
      <c r="T836" s="25">
        <f>IFERROR(dynamic[profit]/dynamic[revenue], 0)</f>
        <v>0.334911111</v>
      </c>
    </row>
    <row r="837" ht="15.75" customHeight="1">
      <c r="A837" s="6">
        <v>10558.0</v>
      </c>
      <c r="B837" s="7" t="s">
        <v>70</v>
      </c>
      <c r="C837" s="24" t="str">
        <f>VLOOKUP(dynamic[customerID],customers[],2,FALSE)</f>
        <v>Around the Horn</v>
      </c>
      <c r="D837" s="24">
        <v>45081.0</v>
      </c>
      <c r="E837" s="6">
        <f>IFERROR(__xludf.DUMMYFUNCTION("COUNTUNIQUEIFS($A$2:$A837,$B$2:$B837,B837)"),4.0)</f>
        <v>4</v>
      </c>
      <c r="F837" s="6">
        <f t="shared" si="1"/>
        <v>103</v>
      </c>
      <c r="G837" s="6" t="str">
        <f>IF(MINIFS(dynamic[orderDate], dynamic[customerID], B837) &gt;= DATE(2024,4,30)-120, 
     "New", 
     IF(MAXIFS(dynamic[orderCount], dynamic[customerID], B837)&lt;=2, 
        IF((DATE(2024,4,30) - MAXIFS(dynamic[orderDate], dynamic[customerID], B837)) &gt; 180, "Non-Returning", "Dormant"), 
        IF(AND(MAX(dynamic[sinceLastOrder]) &gt; 365, (DATE(2024,4,30) - MAXIFS(dynamic[orderDate], dynamic[customerID], B837)) &gt; 180), 
           "Dormant", "Regular")))</f>
        <v>Regular</v>
      </c>
      <c r="H837" s="6">
        <v>73.0</v>
      </c>
      <c r="I837" s="9" t="str">
        <f>VLOOKUP(dynamic[productID],products[],2,FALSE)</f>
        <v>Röd Kaviar</v>
      </c>
      <c r="J837" s="9" t="str">
        <f>VLOOKUP(dynamic[productID],products[],12,FALSE)</f>
        <v>Seafood</v>
      </c>
      <c r="K837" s="7" t="str">
        <f>IF(VLOOKUP(dynamic[productID],products[],7,FALSE)=1,"Discontinued","Current")</f>
        <v>Current</v>
      </c>
      <c r="L837" s="9">
        <f>VLOOKUP(dynamic[productID],products[],IF(YEAR(dynamic[orderDate])=2022,8,IF(YEAR(dynamic[orderDate])=2023,9,IF(YEAR(dynamic[orderDate])=2024,10,NA))),FALSE)</f>
        <v>9.692999362</v>
      </c>
      <c r="M837" s="9">
        <v>15.0</v>
      </c>
      <c r="N837" s="25">
        <f>(dynamic[orderPrice]-dynamic[productCost])/dynamic[productCost]</f>
        <v>0.5475086131</v>
      </c>
      <c r="O837" s="10">
        <v>3.0</v>
      </c>
      <c r="P837" s="25">
        <v>0.0</v>
      </c>
      <c r="Q837" s="9">
        <f>dynamic[orderPrice]*dynamic[orderQuantity]</f>
        <v>45</v>
      </c>
      <c r="R837" s="9">
        <f>dynamic[orderTotal]*(1-dynamic[discountApllied])</f>
        <v>45</v>
      </c>
      <c r="S837" s="9">
        <f>dynamic[revenue]-(dynamic[productCost]*dynamic[orderQuantity])</f>
        <v>15.92100191</v>
      </c>
      <c r="T837" s="25">
        <f>IFERROR(dynamic[profit]/dynamic[revenue], 0)</f>
        <v>0.3538000425</v>
      </c>
    </row>
    <row r="838" ht="15.75" customHeight="1">
      <c r="A838" s="6">
        <v>10559.0</v>
      </c>
      <c r="B838" s="7" t="s">
        <v>30</v>
      </c>
      <c r="C838" s="24" t="str">
        <f>VLOOKUP(dynamic[customerID],customers[],2,FALSE)</f>
        <v>Blondesddsl père et fils</v>
      </c>
      <c r="D838" s="24">
        <v>45082.0</v>
      </c>
      <c r="E838" s="6">
        <f>IFERROR(__xludf.DUMMYFUNCTION("COUNTUNIQUEIFS($A$2:$A838,$B$2:$B838,B838)"),6.0)</f>
        <v>6</v>
      </c>
      <c r="F838" s="6">
        <f t="shared" si="1"/>
        <v>107</v>
      </c>
      <c r="G838" s="6" t="str">
        <f>IF(MINIFS(dynamic[orderDate], dynamic[customerID], B838) &gt;= DATE(2024,4,30)-120, 
     "New", 
     IF(MAXIFS(dynamic[orderCount], dynamic[customerID], B838)&lt;=2, 
        IF((DATE(2024,4,30) - MAXIFS(dynamic[orderDate], dynamic[customerID], B838)) &gt; 180, "Non-Returning", "Dormant"), 
        IF(AND(MAX(dynamic[sinceLastOrder]) &gt; 365, (DATE(2024,4,30) - MAXIFS(dynamic[orderDate], dynamic[customerID], B838)) &gt; 180), 
           "Dormant", "Regular")))</f>
        <v>Regular</v>
      </c>
      <c r="H838" s="6">
        <v>41.0</v>
      </c>
      <c r="I838" s="9" t="str">
        <f>VLOOKUP(dynamic[productID],products[],2,FALSE)</f>
        <v>Jack's New England Clam Chowder</v>
      </c>
      <c r="J838" s="9" t="str">
        <f>VLOOKUP(dynamic[productID],products[],12,FALSE)</f>
        <v>Seafood</v>
      </c>
      <c r="K838" s="7" t="str">
        <f>IF(VLOOKUP(dynamic[productID],products[],7,FALSE)=1,"Discontinued","Current")</f>
        <v>Current</v>
      </c>
      <c r="L838" s="9">
        <f>VLOOKUP(dynamic[productID],products[],IF(YEAR(dynamic[orderDate])=2022,8,IF(YEAR(dynamic[orderDate])=2023,9,IF(YEAR(dynamic[orderDate])=2024,10,NA))),FALSE)</f>
        <v>6.549914856</v>
      </c>
      <c r="M838" s="9">
        <v>9.65</v>
      </c>
      <c r="N838" s="25">
        <f>(dynamic[orderPrice]-dynamic[productCost])/dynamic[productCost]</f>
        <v>0.4733015943</v>
      </c>
      <c r="O838" s="10">
        <v>12.0</v>
      </c>
      <c r="P838" s="25">
        <v>0.05</v>
      </c>
      <c r="Q838" s="9">
        <f>dynamic[orderPrice]*dynamic[orderQuantity]</f>
        <v>115.8</v>
      </c>
      <c r="R838" s="9">
        <f>dynamic[orderTotal]*(1-dynamic[discountApllied])</f>
        <v>110.01</v>
      </c>
      <c r="S838" s="9">
        <f>dynamic[revenue]-(dynamic[productCost]*dynamic[orderQuantity])</f>
        <v>31.41102173</v>
      </c>
      <c r="T838" s="25">
        <f>IFERROR(dynamic[profit]/dynamic[revenue], 0)</f>
        <v>0.2855287858</v>
      </c>
    </row>
    <row r="839" ht="15.75" customHeight="1">
      <c r="A839" s="6">
        <v>10559.0</v>
      </c>
      <c r="B839" s="7" t="s">
        <v>30</v>
      </c>
      <c r="C839" s="24" t="str">
        <f>VLOOKUP(dynamic[customerID],customers[],2,FALSE)</f>
        <v>Blondesddsl père et fils</v>
      </c>
      <c r="D839" s="24">
        <v>45082.0</v>
      </c>
      <c r="E839" s="6">
        <f>IFERROR(__xludf.DUMMYFUNCTION("COUNTUNIQUEIFS($A$2:$A839,$B$2:$B839,B839)"),6.0)</f>
        <v>6</v>
      </c>
      <c r="F839" s="6">
        <f t="shared" si="1"/>
        <v>107</v>
      </c>
      <c r="G839" s="6" t="str">
        <f>IF(MINIFS(dynamic[orderDate], dynamic[customerID], B839) &gt;= DATE(2024,4,30)-120, 
     "New", 
     IF(MAXIFS(dynamic[orderCount], dynamic[customerID], B839)&lt;=2, 
        IF((DATE(2024,4,30) - MAXIFS(dynamic[orderDate], dynamic[customerID], B839)) &gt; 180, "Non-Returning", "Dormant"), 
        IF(AND(MAX(dynamic[sinceLastOrder]) &gt; 365, (DATE(2024,4,30) - MAXIFS(dynamic[orderDate], dynamic[customerID], B839)) &gt; 180), 
           "Dormant", "Regular")))</f>
        <v>Regular</v>
      </c>
      <c r="H839" s="6">
        <v>55.0</v>
      </c>
      <c r="I839" s="9" t="str">
        <f>VLOOKUP(dynamic[productID],products[],2,FALSE)</f>
        <v>Pâté chinois</v>
      </c>
      <c r="J839" s="9" t="str">
        <f>VLOOKUP(dynamic[productID],products[],12,FALSE)</f>
        <v>Meat/Poultry</v>
      </c>
      <c r="K839" s="7" t="str">
        <f>IF(VLOOKUP(dynamic[productID],products[],7,FALSE)=1,"Discontinued","Current")</f>
        <v>Current</v>
      </c>
      <c r="L839" s="9">
        <f>VLOOKUP(dynamic[productID],products[],IF(YEAR(dynamic[orderDate])=2022,8,IF(YEAR(dynamic[orderDate])=2023,9,IF(YEAR(dynamic[orderDate])=2024,10,NA))),FALSE)</f>
        <v>14.92398776</v>
      </c>
      <c r="M839" s="9">
        <v>24.0</v>
      </c>
      <c r="N839" s="25">
        <f>(dynamic[orderPrice]-dynamic[productCost])/dynamic[productCost]</f>
        <v>0.6081492681</v>
      </c>
      <c r="O839" s="10">
        <v>18.0</v>
      </c>
      <c r="P839" s="25">
        <v>0.05</v>
      </c>
      <c r="Q839" s="9">
        <f>dynamic[orderPrice]*dynamic[orderQuantity]</f>
        <v>432</v>
      </c>
      <c r="R839" s="9">
        <f>dynamic[orderTotal]*(1-dynamic[discountApllied])</f>
        <v>410.4</v>
      </c>
      <c r="S839" s="9">
        <f>dynamic[revenue]-(dynamic[productCost]*dynamic[orderQuantity])</f>
        <v>141.7682202</v>
      </c>
      <c r="T839" s="25">
        <f>IFERROR(dynamic[profit]/dynamic[revenue], 0)</f>
        <v>0.3454391332</v>
      </c>
    </row>
    <row r="840" ht="15.75" customHeight="1">
      <c r="A840" s="6">
        <v>10560.0</v>
      </c>
      <c r="B840" s="7" t="s">
        <v>32</v>
      </c>
      <c r="C840" s="24" t="str">
        <f>VLOOKUP(dynamic[customerID],customers[],2,FALSE)</f>
        <v>Frankenversand</v>
      </c>
      <c r="D840" s="24">
        <v>45083.0</v>
      </c>
      <c r="E840" s="6">
        <f>IFERROR(__xludf.DUMMYFUNCTION("COUNTUNIQUEIFS($A$2:$A840,$B$2:$B840,B840)"),6.0)</f>
        <v>6</v>
      </c>
      <c r="F840" s="6">
        <f t="shared" si="1"/>
        <v>71</v>
      </c>
      <c r="G840" s="6" t="str">
        <f>IF(MINIFS(dynamic[orderDate], dynamic[customerID], B840) &gt;= DATE(2024,4,30)-120, 
     "New", 
     IF(MAXIFS(dynamic[orderCount], dynamic[customerID], B840)&lt;=2, 
        IF((DATE(2024,4,30) - MAXIFS(dynamic[orderDate], dynamic[customerID], B840)) &gt; 180, "Non-Returning", "Dormant"), 
        IF(AND(MAX(dynamic[sinceLastOrder]) &gt; 365, (DATE(2024,4,30) - MAXIFS(dynamic[orderDate], dynamic[customerID], B840)) &gt; 180), 
           "Dormant", "Regular")))</f>
        <v>Regular</v>
      </c>
      <c r="H840" s="6">
        <v>30.0</v>
      </c>
      <c r="I840" s="9" t="str">
        <f>VLOOKUP(dynamic[productID],products[],2,FALSE)</f>
        <v>Nord-Ost Matjeshering</v>
      </c>
      <c r="J840" s="9" t="str">
        <f>VLOOKUP(dynamic[productID],products[],12,FALSE)</f>
        <v>Seafood</v>
      </c>
      <c r="K840" s="7" t="str">
        <f>IF(VLOOKUP(dynamic[productID],products[],7,FALSE)=1,"Discontinued","Current")</f>
        <v>Current</v>
      </c>
      <c r="L840" s="9">
        <f>VLOOKUP(dynamic[productID],products[],IF(YEAR(dynamic[orderDate])=2022,8,IF(YEAR(dynamic[orderDate])=2023,9,IF(YEAR(dynamic[orderDate])=2024,10,NA))),FALSE)</f>
        <v>16.03885249</v>
      </c>
      <c r="M840" s="9">
        <v>25.89</v>
      </c>
      <c r="N840" s="25">
        <f>(dynamic[orderPrice]-dynamic[productCost])/dynamic[productCost]</f>
        <v>0.6142052564</v>
      </c>
      <c r="O840" s="10">
        <v>20.0</v>
      </c>
      <c r="P840" s="25">
        <v>0.0</v>
      </c>
      <c r="Q840" s="9">
        <f>dynamic[orderPrice]*dynamic[orderQuantity]</f>
        <v>517.8</v>
      </c>
      <c r="R840" s="9">
        <f>dynamic[orderTotal]*(1-dynamic[discountApllied])</f>
        <v>517.8</v>
      </c>
      <c r="S840" s="9">
        <f>dynamic[revenue]-(dynamic[productCost]*dynamic[orderQuantity])</f>
        <v>197.0229501</v>
      </c>
      <c r="T840" s="25">
        <f>IFERROR(dynamic[profit]/dynamic[revenue], 0)</f>
        <v>0.3805000968</v>
      </c>
    </row>
    <row r="841" ht="15.75" customHeight="1">
      <c r="A841" s="6">
        <v>10560.0</v>
      </c>
      <c r="B841" s="7" t="s">
        <v>32</v>
      </c>
      <c r="C841" s="24" t="str">
        <f>VLOOKUP(dynamic[customerID],customers[],2,FALSE)</f>
        <v>Frankenversand</v>
      </c>
      <c r="D841" s="24">
        <v>45083.0</v>
      </c>
      <c r="E841" s="6">
        <f>IFERROR(__xludf.DUMMYFUNCTION("COUNTUNIQUEIFS($A$2:$A841,$B$2:$B841,B841)"),6.0)</f>
        <v>6</v>
      </c>
      <c r="F841" s="6">
        <f t="shared" si="1"/>
        <v>71</v>
      </c>
      <c r="G841" s="6" t="str">
        <f>IF(MINIFS(dynamic[orderDate], dynamic[customerID], B841) &gt;= DATE(2024,4,30)-120, 
     "New", 
     IF(MAXIFS(dynamic[orderCount], dynamic[customerID], B841)&lt;=2, 
        IF((DATE(2024,4,30) - MAXIFS(dynamic[orderDate], dynamic[customerID], B841)) &gt; 180, "Non-Returning", "Dormant"), 
        IF(AND(MAX(dynamic[sinceLastOrder]) &gt; 365, (DATE(2024,4,30) - MAXIFS(dynamic[orderDate], dynamic[customerID], B841)) &gt; 180), 
           "Dormant", "Regular")))</f>
        <v>Regular</v>
      </c>
      <c r="H841" s="6">
        <v>62.0</v>
      </c>
      <c r="I841" s="9" t="str">
        <f>VLOOKUP(dynamic[productID],products[],2,FALSE)</f>
        <v>Tarte au sucre</v>
      </c>
      <c r="J841" s="9" t="str">
        <f>VLOOKUP(dynamic[productID],products[],12,FALSE)</f>
        <v>Confections</v>
      </c>
      <c r="K841" s="7" t="str">
        <f>IF(VLOOKUP(dynamic[productID],products[],7,FALSE)=1,"Discontinued","Current")</f>
        <v>Current</v>
      </c>
      <c r="L841" s="9">
        <f>VLOOKUP(dynamic[productID],products[],IF(YEAR(dynamic[orderDate])=2022,8,IF(YEAR(dynamic[orderDate])=2023,9,IF(YEAR(dynamic[orderDate])=2024,10,NA))),FALSE)</f>
        <v>35.34792781</v>
      </c>
      <c r="M841" s="9">
        <v>49.3</v>
      </c>
      <c r="N841" s="25">
        <f>(dynamic[orderPrice]-dynamic[productCost])/dynamic[productCost]</f>
        <v>0.3947069335</v>
      </c>
      <c r="O841" s="10">
        <v>15.0</v>
      </c>
      <c r="P841" s="25">
        <v>0.25</v>
      </c>
      <c r="Q841" s="9">
        <f>dynamic[orderPrice]*dynamic[orderQuantity]</f>
        <v>739.5</v>
      </c>
      <c r="R841" s="9">
        <f>dynamic[orderTotal]*(1-dynamic[discountApllied])</f>
        <v>554.625</v>
      </c>
      <c r="S841" s="9">
        <f>dynamic[revenue]-(dynamic[productCost]*dynamic[orderQuantity])</f>
        <v>24.40608286</v>
      </c>
      <c r="T841" s="25">
        <f>IFERROR(dynamic[profit]/dynamic[revenue], 0)</f>
        <v>0.04400465695</v>
      </c>
    </row>
    <row r="842" ht="15.75" customHeight="1">
      <c r="A842" s="6">
        <v>10561.0</v>
      </c>
      <c r="B842" s="7" t="s">
        <v>29</v>
      </c>
      <c r="C842" s="24" t="str">
        <f>VLOOKUP(dynamic[customerID],customers[],2,FALSE)</f>
        <v>Folk och fä HB</v>
      </c>
      <c r="D842" s="24">
        <v>45083.0</v>
      </c>
      <c r="E842" s="6">
        <f>IFERROR(__xludf.DUMMYFUNCTION("COUNTUNIQUEIFS($A$2:$A842,$B$2:$B842,B842)"),7.0)</f>
        <v>7</v>
      </c>
      <c r="F842" s="6">
        <f t="shared" si="1"/>
        <v>25</v>
      </c>
      <c r="G842" s="6" t="str">
        <f>IF(MINIFS(dynamic[orderDate], dynamic[customerID], B842) &gt;= DATE(2024,4,30)-120, 
     "New", 
     IF(MAXIFS(dynamic[orderCount], dynamic[customerID], B842)&lt;=2, 
        IF((DATE(2024,4,30) - MAXIFS(dynamic[orderDate], dynamic[customerID], B842)) &gt; 180, "Non-Returning", "Dormant"), 
        IF(AND(MAX(dynamic[sinceLastOrder]) &gt; 365, (DATE(2024,4,30) - MAXIFS(dynamic[orderDate], dynamic[customerID], B842)) &gt; 180), 
           "Dormant", "Regular")))</f>
        <v>Regular</v>
      </c>
      <c r="H842" s="6">
        <v>44.0</v>
      </c>
      <c r="I842" s="9" t="str">
        <f>VLOOKUP(dynamic[productID],products[],2,FALSE)</f>
        <v>Gula Malacca</v>
      </c>
      <c r="J842" s="9" t="str">
        <f>VLOOKUP(dynamic[productID],products[],12,FALSE)</f>
        <v>Condiments</v>
      </c>
      <c r="K842" s="7" t="str">
        <f>IF(VLOOKUP(dynamic[productID],products[],7,FALSE)=1,"Discontinued","Current")</f>
        <v>Current</v>
      </c>
      <c r="L842" s="9">
        <f>VLOOKUP(dynamic[productID],products[],IF(YEAR(dynamic[orderDate])=2022,8,IF(YEAR(dynamic[orderDate])=2023,9,IF(YEAR(dynamic[orderDate])=2024,10,NA))),FALSE)</f>
        <v>13.06032103</v>
      </c>
      <c r="M842" s="9">
        <v>19.45</v>
      </c>
      <c r="N842" s="25">
        <f>(dynamic[orderPrice]-dynamic[productCost])/dynamic[productCost]</f>
        <v>0.4892436379</v>
      </c>
      <c r="O842" s="10">
        <v>10.0</v>
      </c>
      <c r="P842" s="25">
        <v>0.0</v>
      </c>
      <c r="Q842" s="9">
        <f>dynamic[orderPrice]*dynamic[orderQuantity]</f>
        <v>194.5</v>
      </c>
      <c r="R842" s="9">
        <f>dynamic[orderTotal]*(1-dynamic[discountApllied])</f>
        <v>194.5</v>
      </c>
      <c r="S842" s="9">
        <f>dynamic[revenue]-(dynamic[productCost]*dynamic[orderQuantity])</f>
        <v>63.89678972</v>
      </c>
      <c r="T842" s="25">
        <f>IFERROR(dynamic[profit]/dynamic[revenue], 0)</f>
        <v>0.3285181991</v>
      </c>
    </row>
    <row r="843" ht="15.75" customHeight="1">
      <c r="A843" s="6">
        <v>10561.0</v>
      </c>
      <c r="B843" s="7" t="s">
        <v>29</v>
      </c>
      <c r="C843" s="24" t="str">
        <f>VLOOKUP(dynamic[customerID],customers[],2,FALSE)</f>
        <v>Folk och fä HB</v>
      </c>
      <c r="D843" s="24">
        <v>45083.0</v>
      </c>
      <c r="E843" s="6">
        <f>IFERROR(__xludf.DUMMYFUNCTION("COUNTUNIQUEIFS($A$2:$A843,$B$2:$B843,B843)"),7.0)</f>
        <v>7</v>
      </c>
      <c r="F843" s="6">
        <f t="shared" si="1"/>
        <v>25</v>
      </c>
      <c r="G843" s="6" t="str">
        <f>IF(MINIFS(dynamic[orderDate], dynamic[customerID], B843) &gt;= DATE(2024,4,30)-120, 
     "New", 
     IF(MAXIFS(dynamic[orderCount], dynamic[customerID], B843)&lt;=2, 
        IF((DATE(2024,4,30) - MAXIFS(dynamic[orderDate], dynamic[customerID], B843)) &gt; 180, "Non-Returning", "Dormant"), 
        IF(AND(MAX(dynamic[sinceLastOrder]) &gt; 365, (DATE(2024,4,30) - MAXIFS(dynamic[orderDate], dynamic[customerID], B843)) &gt; 180), 
           "Dormant", "Regular")))</f>
        <v>Regular</v>
      </c>
      <c r="H843" s="6">
        <v>51.0</v>
      </c>
      <c r="I843" s="9" t="str">
        <f>VLOOKUP(dynamic[productID],products[],2,FALSE)</f>
        <v>Manjimup Dried Apples</v>
      </c>
      <c r="J843" s="9" t="str">
        <f>VLOOKUP(dynamic[productID],products[],12,FALSE)</f>
        <v>Produce</v>
      </c>
      <c r="K843" s="7" t="str">
        <f>IF(VLOOKUP(dynamic[productID],products[],7,FALSE)=1,"Discontinued","Current")</f>
        <v>Current</v>
      </c>
      <c r="L843" s="9">
        <f>VLOOKUP(dynamic[productID],products[],IF(YEAR(dynamic[orderDate])=2022,8,IF(YEAR(dynamic[orderDate])=2023,9,IF(YEAR(dynamic[orderDate])=2024,10,NA))),FALSE)</f>
        <v>36.88798027</v>
      </c>
      <c r="M843" s="9">
        <v>53.0</v>
      </c>
      <c r="N843" s="25">
        <f>(dynamic[orderPrice]-dynamic[productCost])/dynamic[productCost]</f>
        <v>0.4367823779</v>
      </c>
      <c r="O843" s="10">
        <v>50.0</v>
      </c>
      <c r="P843" s="25">
        <v>0.0</v>
      </c>
      <c r="Q843" s="9">
        <f>dynamic[orderPrice]*dynamic[orderQuantity]</f>
        <v>2650</v>
      </c>
      <c r="R843" s="9">
        <f>dynamic[orderTotal]*(1-dynamic[discountApllied])</f>
        <v>2650</v>
      </c>
      <c r="S843" s="9">
        <f>dynamic[revenue]-(dynamic[productCost]*dynamic[orderQuantity])</f>
        <v>805.6009867</v>
      </c>
      <c r="T843" s="25">
        <f>IFERROR(dynamic[profit]/dynamic[revenue], 0)</f>
        <v>0.3040003724</v>
      </c>
    </row>
    <row r="844" ht="15.75" customHeight="1">
      <c r="A844" s="6">
        <v>10562.0</v>
      </c>
      <c r="B844" s="7" t="s">
        <v>45</v>
      </c>
      <c r="C844" s="24" t="str">
        <f>VLOOKUP(dynamic[customerID],customers[],2,FALSE)</f>
        <v>Reggiani Caseifici</v>
      </c>
      <c r="D844" s="24">
        <v>45086.0</v>
      </c>
      <c r="E844" s="6">
        <f>IFERROR(__xludf.DUMMYFUNCTION("COUNTUNIQUEIFS($A$2:$A844,$B$2:$B844,B844)"),4.0)</f>
        <v>4</v>
      </c>
      <c r="F844" s="6">
        <f t="shared" si="1"/>
        <v>117</v>
      </c>
      <c r="G844" s="6" t="str">
        <f>IF(MINIFS(dynamic[orderDate], dynamic[customerID], B844) &gt;= DATE(2024,4,30)-120, 
     "New", 
     IF(MAXIFS(dynamic[orderCount], dynamic[customerID], B844)&lt;=2, 
        IF((DATE(2024,4,30) - MAXIFS(dynamic[orderDate], dynamic[customerID], B844)) &gt; 180, "Non-Returning", "Dormant"), 
        IF(AND(MAX(dynamic[sinceLastOrder]) &gt; 365, (DATE(2024,4,30) - MAXIFS(dynamic[orderDate], dynamic[customerID], B844)) &gt; 180), 
           "Dormant", "Regular")))</f>
        <v>Regular</v>
      </c>
      <c r="H844" s="6">
        <v>33.0</v>
      </c>
      <c r="I844" s="9" t="str">
        <f>VLOOKUP(dynamic[productID],products[],2,FALSE)</f>
        <v>Geitost</v>
      </c>
      <c r="J844" s="9" t="str">
        <f>VLOOKUP(dynamic[productID],products[],12,FALSE)</f>
        <v>Dairy Products</v>
      </c>
      <c r="K844" s="7" t="str">
        <f>IF(VLOOKUP(dynamic[productID],products[],7,FALSE)=1,"Discontinued","Current")</f>
        <v>Current</v>
      </c>
      <c r="L844" s="9">
        <f>VLOOKUP(dynamic[productID],products[],IF(YEAR(dynamic[orderDate])=2022,8,IF(YEAR(dynamic[orderDate])=2023,9,IF(YEAR(dynamic[orderDate])=2024,10,NA))),FALSE)</f>
        <v>1.559072298</v>
      </c>
      <c r="M844" s="9">
        <v>2.5</v>
      </c>
      <c r="N844" s="25">
        <f>(dynamic[orderPrice]-dynamic[productCost])/dynamic[productCost]</f>
        <v>0.603517684</v>
      </c>
      <c r="O844" s="10">
        <v>20.0</v>
      </c>
      <c r="P844" s="25">
        <v>0.1</v>
      </c>
      <c r="Q844" s="9">
        <f>dynamic[orderPrice]*dynamic[orderQuantity]</f>
        <v>50</v>
      </c>
      <c r="R844" s="9">
        <f>dynamic[orderTotal]*(1-dynamic[discountApllied])</f>
        <v>45</v>
      </c>
      <c r="S844" s="9">
        <f>dynamic[revenue]-(dynamic[productCost]*dynamic[orderQuantity])</f>
        <v>13.81855405</v>
      </c>
      <c r="T844" s="25">
        <f>IFERROR(dynamic[profit]/dynamic[revenue], 0)</f>
        <v>0.3070789788</v>
      </c>
    </row>
    <row r="845" ht="15.75" customHeight="1">
      <c r="A845" s="6">
        <v>10562.0</v>
      </c>
      <c r="B845" s="7" t="s">
        <v>45</v>
      </c>
      <c r="C845" s="24" t="str">
        <f>VLOOKUP(dynamic[customerID],customers[],2,FALSE)</f>
        <v>Reggiani Caseifici</v>
      </c>
      <c r="D845" s="24">
        <v>45086.0</v>
      </c>
      <c r="E845" s="6">
        <f>IFERROR(__xludf.DUMMYFUNCTION("COUNTUNIQUEIFS($A$2:$A845,$B$2:$B845,B845)"),4.0)</f>
        <v>4</v>
      </c>
      <c r="F845" s="6">
        <f t="shared" si="1"/>
        <v>117</v>
      </c>
      <c r="G845" s="6" t="str">
        <f>IF(MINIFS(dynamic[orderDate], dynamic[customerID], B845) &gt;= DATE(2024,4,30)-120, 
     "New", 
     IF(MAXIFS(dynamic[orderCount], dynamic[customerID], B845)&lt;=2, 
        IF((DATE(2024,4,30) - MAXIFS(dynamic[orderDate], dynamic[customerID], B845)) &gt; 180, "Non-Returning", "Dormant"), 
        IF(AND(MAX(dynamic[sinceLastOrder]) &gt; 365, (DATE(2024,4,30) - MAXIFS(dynamic[orderDate], dynamic[customerID], B845)) &gt; 180), 
           "Dormant", "Regular")))</f>
        <v>Regular</v>
      </c>
      <c r="H845" s="6">
        <v>62.0</v>
      </c>
      <c r="I845" s="9" t="str">
        <f>VLOOKUP(dynamic[productID],products[],2,FALSE)</f>
        <v>Tarte au sucre</v>
      </c>
      <c r="J845" s="9" t="str">
        <f>VLOOKUP(dynamic[productID],products[],12,FALSE)</f>
        <v>Confections</v>
      </c>
      <c r="K845" s="7" t="str">
        <f>IF(VLOOKUP(dynamic[productID],products[],7,FALSE)=1,"Discontinued","Current")</f>
        <v>Current</v>
      </c>
      <c r="L845" s="9">
        <f>VLOOKUP(dynamic[productID],products[],IF(YEAR(dynamic[orderDate])=2022,8,IF(YEAR(dynamic[orderDate])=2023,9,IF(YEAR(dynamic[orderDate])=2024,10,NA))),FALSE)</f>
        <v>35.34792781</v>
      </c>
      <c r="M845" s="9">
        <v>49.3</v>
      </c>
      <c r="N845" s="25">
        <f>(dynamic[orderPrice]-dynamic[productCost])/dynamic[productCost]</f>
        <v>0.3947069335</v>
      </c>
      <c r="O845" s="10">
        <v>10.0</v>
      </c>
      <c r="P845" s="25">
        <v>0.1</v>
      </c>
      <c r="Q845" s="9">
        <f>dynamic[orderPrice]*dynamic[orderQuantity]</f>
        <v>493</v>
      </c>
      <c r="R845" s="9">
        <f>dynamic[orderTotal]*(1-dynamic[discountApllied])</f>
        <v>443.7</v>
      </c>
      <c r="S845" s="9">
        <f>dynamic[revenue]-(dynamic[productCost]*dynamic[orderQuantity])</f>
        <v>90.22072191</v>
      </c>
      <c r="T845" s="25">
        <f>IFERROR(dynamic[profit]/dynamic[revenue], 0)</f>
        <v>0.2033372141</v>
      </c>
    </row>
    <row r="846" ht="15.75" customHeight="1">
      <c r="A846" s="6">
        <v>10563.0</v>
      </c>
      <c r="B846" s="7" t="s">
        <v>44</v>
      </c>
      <c r="C846" s="24" t="str">
        <f>VLOOKUP(dynamic[customerID],customers[],2,FALSE)</f>
        <v>Ricardo Adocicados</v>
      </c>
      <c r="D846" s="24">
        <v>45087.0</v>
      </c>
      <c r="E846" s="6">
        <f>IFERROR(__xludf.DUMMYFUNCTION("COUNTUNIQUEIFS($A$2:$A846,$B$2:$B846,B846)"),5.0)</f>
        <v>5</v>
      </c>
      <c r="F846" s="6">
        <f t="shared" si="1"/>
        <v>82</v>
      </c>
      <c r="G846" s="6" t="str">
        <f>IF(MINIFS(dynamic[orderDate], dynamic[customerID], B846) &gt;= DATE(2024,4,30)-120, 
     "New", 
     IF(MAXIFS(dynamic[orderCount], dynamic[customerID], B846)&lt;=2, 
        IF((DATE(2024,4,30) - MAXIFS(dynamic[orderDate], dynamic[customerID], B846)) &gt; 180, "Non-Returning", "Dormant"), 
        IF(AND(MAX(dynamic[sinceLastOrder]) &gt; 365, (DATE(2024,4,30) - MAXIFS(dynamic[orderDate], dynamic[customerID], B846)) &gt; 180), 
           "Dormant", "Regular")))</f>
        <v>Regular</v>
      </c>
      <c r="H846" s="6">
        <v>36.0</v>
      </c>
      <c r="I846" s="9" t="str">
        <f>VLOOKUP(dynamic[productID],products[],2,FALSE)</f>
        <v>Inlagd Sill</v>
      </c>
      <c r="J846" s="9" t="str">
        <f>VLOOKUP(dynamic[productID],products[],12,FALSE)</f>
        <v>Seafood</v>
      </c>
      <c r="K846" s="7" t="str">
        <f>IF(VLOOKUP(dynamic[productID],products[],7,FALSE)=1,"Discontinued","Current")</f>
        <v>Current</v>
      </c>
      <c r="L846" s="9">
        <f>VLOOKUP(dynamic[productID],products[],IF(YEAR(dynamic[orderDate])=2022,8,IF(YEAR(dynamic[orderDate])=2023,9,IF(YEAR(dynamic[orderDate])=2024,10,NA))),FALSE)</f>
        <v>12.15246269</v>
      </c>
      <c r="M846" s="9">
        <v>19.0</v>
      </c>
      <c r="N846" s="25">
        <f>(dynamic[orderPrice]-dynamic[productCost])/dynamic[productCost]</f>
        <v>0.5634691082</v>
      </c>
      <c r="O846" s="10">
        <v>25.0</v>
      </c>
      <c r="P846" s="25">
        <v>0.0</v>
      </c>
      <c r="Q846" s="9">
        <f>dynamic[orderPrice]*dynamic[orderQuantity]</f>
        <v>475</v>
      </c>
      <c r="R846" s="9">
        <f>dynamic[orderTotal]*(1-dynamic[discountApllied])</f>
        <v>475</v>
      </c>
      <c r="S846" s="9">
        <f>dynamic[revenue]-(dynamic[productCost]*dynamic[orderQuantity])</f>
        <v>171.1884328</v>
      </c>
      <c r="T846" s="25">
        <f>IFERROR(dynamic[profit]/dynamic[revenue], 0)</f>
        <v>0.3603967007</v>
      </c>
    </row>
    <row r="847" ht="15.75" customHeight="1">
      <c r="A847" s="6">
        <v>10563.0</v>
      </c>
      <c r="B847" s="7" t="s">
        <v>44</v>
      </c>
      <c r="C847" s="24" t="str">
        <f>VLOOKUP(dynamic[customerID],customers[],2,FALSE)</f>
        <v>Ricardo Adocicados</v>
      </c>
      <c r="D847" s="24">
        <v>45087.0</v>
      </c>
      <c r="E847" s="6">
        <f>IFERROR(__xludf.DUMMYFUNCTION("COUNTUNIQUEIFS($A$2:$A847,$B$2:$B847,B847)"),5.0)</f>
        <v>5</v>
      </c>
      <c r="F847" s="6">
        <f t="shared" si="1"/>
        <v>82</v>
      </c>
      <c r="G847" s="6" t="str">
        <f>IF(MINIFS(dynamic[orderDate], dynamic[customerID], B847) &gt;= DATE(2024,4,30)-120, 
     "New", 
     IF(MAXIFS(dynamic[orderCount], dynamic[customerID], B847)&lt;=2, 
        IF((DATE(2024,4,30) - MAXIFS(dynamic[orderDate], dynamic[customerID], B847)) &gt; 180, "Non-Returning", "Dormant"), 
        IF(AND(MAX(dynamic[sinceLastOrder]) &gt; 365, (DATE(2024,4,30) - MAXIFS(dynamic[orderDate], dynamic[customerID], B847)) &gt; 180), 
           "Dormant", "Regular")))</f>
        <v>Regular</v>
      </c>
      <c r="H847" s="6">
        <v>52.0</v>
      </c>
      <c r="I847" s="9" t="str">
        <f>VLOOKUP(dynamic[productID],products[],2,FALSE)</f>
        <v>Filo Mix</v>
      </c>
      <c r="J847" s="9" t="str">
        <f>VLOOKUP(dynamic[productID],products[],12,FALSE)</f>
        <v>Grains/Cereals</v>
      </c>
      <c r="K847" s="7" t="str">
        <f>IF(VLOOKUP(dynamic[productID],products[],7,FALSE)=1,"Discontinued","Current")</f>
        <v>Current</v>
      </c>
      <c r="L847" s="9">
        <f>VLOOKUP(dynamic[productID],products[],IF(YEAR(dynamic[orderDate])=2022,8,IF(YEAR(dynamic[orderDate])=2023,9,IF(YEAR(dynamic[orderDate])=2024,10,NA))),FALSE)</f>
        <v>5.001706713</v>
      </c>
      <c r="M847" s="9">
        <v>7.0</v>
      </c>
      <c r="N847" s="25">
        <f>(dynamic[orderPrice]-dynamic[productCost])/dynamic[productCost]</f>
        <v>0.3995222835</v>
      </c>
      <c r="O847" s="10">
        <v>70.0</v>
      </c>
      <c r="P847" s="25">
        <v>0.0</v>
      </c>
      <c r="Q847" s="9">
        <f>dynamic[orderPrice]*dynamic[orderQuantity]</f>
        <v>490</v>
      </c>
      <c r="R847" s="9">
        <f>dynamic[orderTotal]*(1-dynamic[discountApllied])</f>
        <v>490</v>
      </c>
      <c r="S847" s="9">
        <f>dynamic[revenue]-(dynamic[productCost]*dynamic[orderQuantity])</f>
        <v>139.8805301</v>
      </c>
      <c r="T847" s="25">
        <f>IFERROR(dynamic[profit]/dynamic[revenue], 0)</f>
        <v>0.2854704696</v>
      </c>
    </row>
    <row r="848" ht="15.75" customHeight="1">
      <c r="A848" s="6">
        <v>10564.0</v>
      </c>
      <c r="B848" s="7" t="s">
        <v>28</v>
      </c>
      <c r="C848" s="24" t="str">
        <f>VLOOKUP(dynamic[customerID],customers[],2,FALSE)</f>
        <v>Rattlesnake Canyon Grocery</v>
      </c>
      <c r="D848" s="24">
        <v>45087.0</v>
      </c>
      <c r="E848" s="6">
        <f>IFERROR(__xludf.DUMMYFUNCTION("COUNTUNIQUEIFS($A$2:$A848,$B$2:$B848,B848)"),9.0)</f>
        <v>9</v>
      </c>
      <c r="F848" s="6">
        <f t="shared" si="1"/>
        <v>83</v>
      </c>
      <c r="G848" s="6" t="str">
        <f>IF(MINIFS(dynamic[orderDate], dynamic[customerID], B848) &gt;= DATE(2024,4,30)-120, 
     "New", 
     IF(MAXIFS(dynamic[orderCount], dynamic[customerID], B848)&lt;=2, 
        IF((DATE(2024,4,30) - MAXIFS(dynamic[orderDate], dynamic[customerID], B848)) &gt; 180, "Non-Returning", "Dormant"), 
        IF(AND(MAX(dynamic[sinceLastOrder]) &gt; 365, (DATE(2024,4,30) - MAXIFS(dynamic[orderDate], dynamic[customerID], B848)) &gt; 180), 
           "Dormant", "Regular")))</f>
        <v>Regular</v>
      </c>
      <c r="H848" s="6">
        <v>17.0</v>
      </c>
      <c r="I848" s="9" t="str">
        <f>VLOOKUP(dynamic[productID],products[],2,FALSE)</f>
        <v>Alice Mutton</v>
      </c>
      <c r="J848" s="9" t="str">
        <f>VLOOKUP(dynamic[productID],products[],12,FALSE)</f>
        <v>Meat/Poultry</v>
      </c>
      <c r="K848" s="7" t="str">
        <f>IF(VLOOKUP(dynamic[productID],products[],7,FALSE)=1,"Discontinued","Current")</f>
        <v>Discontinued</v>
      </c>
      <c r="L848" s="9">
        <f>VLOOKUP(dynamic[productID],products[],IF(YEAR(dynamic[orderDate])=2022,8,IF(YEAR(dynamic[orderDate])=2023,9,IF(YEAR(dynamic[orderDate])=2024,10,NA))),FALSE)</f>
        <v>24.83130504</v>
      </c>
      <c r="M848" s="9">
        <v>39.0</v>
      </c>
      <c r="N848" s="25">
        <f>(dynamic[orderPrice]-dynamic[productCost])/dynamic[productCost]</f>
        <v>0.5705980792</v>
      </c>
      <c r="O848" s="10">
        <v>16.0</v>
      </c>
      <c r="P848" s="25">
        <v>0.05</v>
      </c>
      <c r="Q848" s="9">
        <f>dynamic[orderPrice]*dynamic[orderQuantity]</f>
        <v>624</v>
      </c>
      <c r="R848" s="9">
        <f>dynamic[orderTotal]*(1-dynamic[discountApllied])</f>
        <v>592.8</v>
      </c>
      <c r="S848" s="9">
        <f>dynamic[revenue]-(dynamic[productCost]*dynamic[orderQuantity])</f>
        <v>195.4991194</v>
      </c>
      <c r="T848" s="25">
        <f>IFERROR(dynamic[profit]/dynamic[revenue], 0)</f>
        <v>0.3297893377</v>
      </c>
    </row>
    <row r="849" ht="15.75" customHeight="1">
      <c r="A849" s="6">
        <v>10564.0</v>
      </c>
      <c r="B849" s="7" t="s">
        <v>28</v>
      </c>
      <c r="C849" s="24" t="str">
        <f>VLOOKUP(dynamic[customerID],customers[],2,FALSE)</f>
        <v>Rattlesnake Canyon Grocery</v>
      </c>
      <c r="D849" s="24">
        <v>45087.0</v>
      </c>
      <c r="E849" s="6">
        <f>IFERROR(__xludf.DUMMYFUNCTION("COUNTUNIQUEIFS($A$2:$A849,$B$2:$B849,B849)"),9.0)</f>
        <v>9</v>
      </c>
      <c r="F849" s="6">
        <f t="shared" si="1"/>
        <v>83</v>
      </c>
      <c r="G849" s="6" t="str">
        <f>IF(MINIFS(dynamic[orderDate], dynamic[customerID], B849) &gt;= DATE(2024,4,30)-120, 
     "New", 
     IF(MAXIFS(dynamic[orderCount], dynamic[customerID], B849)&lt;=2, 
        IF((DATE(2024,4,30) - MAXIFS(dynamic[orderDate], dynamic[customerID], B849)) &gt; 180, "Non-Returning", "Dormant"), 
        IF(AND(MAX(dynamic[sinceLastOrder]) &gt; 365, (DATE(2024,4,30) - MAXIFS(dynamic[orderDate], dynamic[customerID], B849)) &gt; 180), 
           "Dormant", "Regular")))</f>
        <v>Regular</v>
      </c>
      <c r="H849" s="6">
        <v>31.0</v>
      </c>
      <c r="I849" s="9" t="str">
        <f>VLOOKUP(dynamic[productID],products[],2,FALSE)</f>
        <v>Gorgonzola Telino</v>
      </c>
      <c r="J849" s="9" t="str">
        <f>VLOOKUP(dynamic[productID],products[],12,FALSE)</f>
        <v>Dairy Products</v>
      </c>
      <c r="K849" s="7" t="str">
        <f>IF(VLOOKUP(dynamic[productID],products[],7,FALSE)=1,"Discontinued","Current")</f>
        <v>Current</v>
      </c>
      <c r="L849" s="9">
        <f>VLOOKUP(dynamic[productID],products[],IF(YEAR(dynamic[orderDate])=2022,8,IF(YEAR(dynamic[orderDate])=2023,9,IF(YEAR(dynamic[orderDate])=2024,10,NA))),FALSE)</f>
        <v>7.937729254</v>
      </c>
      <c r="M849" s="9">
        <v>12.5</v>
      </c>
      <c r="N849" s="25">
        <f>(dynamic[orderPrice]-dynamic[productCost])/dynamic[productCost]</f>
        <v>0.5747576668</v>
      </c>
      <c r="O849" s="10">
        <v>6.0</v>
      </c>
      <c r="P849" s="25">
        <v>0.05</v>
      </c>
      <c r="Q849" s="9">
        <f>dynamic[orderPrice]*dynamic[orderQuantity]</f>
        <v>75</v>
      </c>
      <c r="R849" s="9">
        <f>dynamic[orderTotal]*(1-dynamic[discountApllied])</f>
        <v>71.25</v>
      </c>
      <c r="S849" s="9">
        <f>dynamic[revenue]-(dynamic[productCost]*dynamic[orderQuantity])</f>
        <v>23.62362447</v>
      </c>
      <c r="T849" s="25">
        <f>IFERROR(dynamic[profit]/dynamic[revenue], 0)</f>
        <v>0.3315596417</v>
      </c>
    </row>
    <row r="850" ht="15.75" customHeight="1">
      <c r="A850" s="6">
        <v>10564.0</v>
      </c>
      <c r="B850" s="7" t="s">
        <v>28</v>
      </c>
      <c r="C850" s="24" t="str">
        <f>VLOOKUP(dynamic[customerID],customers[],2,FALSE)</f>
        <v>Rattlesnake Canyon Grocery</v>
      </c>
      <c r="D850" s="24">
        <v>45087.0</v>
      </c>
      <c r="E850" s="6">
        <f>IFERROR(__xludf.DUMMYFUNCTION("COUNTUNIQUEIFS($A$2:$A850,$B$2:$B850,B850)"),9.0)</f>
        <v>9</v>
      </c>
      <c r="F850" s="6">
        <f t="shared" si="1"/>
        <v>83</v>
      </c>
      <c r="G850" s="6" t="str">
        <f>IF(MINIFS(dynamic[orderDate], dynamic[customerID], B850) &gt;= DATE(2024,4,30)-120, 
     "New", 
     IF(MAXIFS(dynamic[orderCount], dynamic[customerID], B850)&lt;=2, 
        IF((DATE(2024,4,30) - MAXIFS(dynamic[orderDate], dynamic[customerID], B850)) &gt; 180, "Non-Returning", "Dormant"), 
        IF(AND(MAX(dynamic[sinceLastOrder]) &gt; 365, (DATE(2024,4,30) - MAXIFS(dynamic[orderDate], dynamic[customerID], B850)) &gt; 180), 
           "Dormant", "Regular")))</f>
        <v>Regular</v>
      </c>
      <c r="H850" s="6">
        <v>55.0</v>
      </c>
      <c r="I850" s="9" t="str">
        <f>VLOOKUP(dynamic[productID],products[],2,FALSE)</f>
        <v>Pâté chinois</v>
      </c>
      <c r="J850" s="9" t="str">
        <f>VLOOKUP(dynamic[productID],products[],12,FALSE)</f>
        <v>Meat/Poultry</v>
      </c>
      <c r="K850" s="7" t="str">
        <f>IF(VLOOKUP(dynamic[productID],products[],7,FALSE)=1,"Discontinued","Current")</f>
        <v>Current</v>
      </c>
      <c r="L850" s="9">
        <f>VLOOKUP(dynamic[productID],products[],IF(YEAR(dynamic[orderDate])=2022,8,IF(YEAR(dynamic[orderDate])=2023,9,IF(YEAR(dynamic[orderDate])=2024,10,NA))),FALSE)</f>
        <v>14.92398776</v>
      </c>
      <c r="M850" s="9">
        <v>24.0</v>
      </c>
      <c r="N850" s="25">
        <f>(dynamic[orderPrice]-dynamic[productCost])/dynamic[productCost]</f>
        <v>0.6081492681</v>
      </c>
      <c r="O850" s="10">
        <v>25.0</v>
      </c>
      <c r="P850" s="25">
        <v>0.05</v>
      </c>
      <c r="Q850" s="9">
        <f>dynamic[orderPrice]*dynamic[orderQuantity]</f>
        <v>600</v>
      </c>
      <c r="R850" s="9">
        <f>dynamic[orderTotal]*(1-dynamic[discountApllied])</f>
        <v>570</v>
      </c>
      <c r="S850" s="9">
        <f>dynamic[revenue]-(dynamic[productCost]*dynamic[orderQuantity])</f>
        <v>196.9003059</v>
      </c>
      <c r="T850" s="25">
        <f>IFERROR(dynamic[profit]/dynamic[revenue], 0)</f>
        <v>0.3454391332</v>
      </c>
    </row>
    <row r="851" ht="15.75" customHeight="1">
      <c r="A851" s="6">
        <v>10565.0</v>
      </c>
      <c r="B851" s="7" t="s">
        <v>64</v>
      </c>
      <c r="C851" s="24" t="str">
        <f>VLOOKUP(dynamic[customerID],customers[],2,FALSE)</f>
        <v>Mère Paillarde</v>
      </c>
      <c r="D851" s="24">
        <v>45088.0</v>
      </c>
      <c r="E851" s="6">
        <f>IFERROR(__xludf.DUMMYFUNCTION("COUNTUNIQUEIFS($A$2:$A851,$B$2:$B851,B851)"),7.0)</f>
        <v>7</v>
      </c>
      <c r="F851" s="6">
        <f t="shared" si="1"/>
        <v>58</v>
      </c>
      <c r="G851" s="6" t="str">
        <f>IF(MINIFS(dynamic[orderDate], dynamic[customerID], B851) &gt;= DATE(2024,4,30)-120, 
     "New", 
     IF(MAXIFS(dynamic[orderCount], dynamic[customerID], B851)&lt;=2, 
        IF((DATE(2024,4,30) - MAXIFS(dynamic[orderDate], dynamic[customerID], B851)) &gt; 180, "Non-Returning", "Dormant"), 
        IF(AND(MAX(dynamic[sinceLastOrder]) &gt; 365, (DATE(2024,4,30) - MAXIFS(dynamic[orderDate], dynamic[customerID], B851)) &gt; 180), 
           "Dormant", "Regular")))</f>
        <v>Dormant</v>
      </c>
      <c r="H851" s="6">
        <v>24.0</v>
      </c>
      <c r="I851" s="9" t="str">
        <f>VLOOKUP(dynamic[productID],products[],2,FALSE)</f>
        <v>Brigadeiros Maravilhosos da Lilian</v>
      </c>
      <c r="J851" s="9" t="str">
        <f>VLOOKUP(dynamic[productID],products[],12,FALSE)</f>
        <v>Confections</v>
      </c>
      <c r="K851" s="7" t="str">
        <f>IF(VLOOKUP(dynamic[productID],products[],7,FALSE)=1,"Discontinued","Current")</f>
        <v>Discontinued</v>
      </c>
      <c r="L851" s="9">
        <f>VLOOKUP(dynamic[productID],products[],IF(YEAR(dynamic[orderDate])=2022,8,IF(YEAR(dynamic[orderDate])=2023,9,IF(YEAR(dynamic[orderDate])=2024,10,NA))),FALSE)</f>
        <v>3.131783363</v>
      </c>
      <c r="M851" s="9">
        <v>4.5</v>
      </c>
      <c r="N851" s="25">
        <f>(dynamic[orderPrice]-dynamic[productCost])/dynamic[productCost]</f>
        <v>0.4368809967</v>
      </c>
      <c r="O851" s="10">
        <v>25.0</v>
      </c>
      <c r="P851" s="25">
        <v>0.1</v>
      </c>
      <c r="Q851" s="9">
        <f>dynamic[orderPrice]*dynamic[orderQuantity]</f>
        <v>112.5</v>
      </c>
      <c r="R851" s="9">
        <f>dynamic[orderTotal]*(1-dynamic[discountApllied])</f>
        <v>101.25</v>
      </c>
      <c r="S851" s="9">
        <f>dynamic[revenue]-(dynamic[productCost]*dynamic[orderQuantity])</f>
        <v>22.95541593</v>
      </c>
      <c r="T851" s="25">
        <f>IFERROR(dynamic[profit]/dynamic[revenue], 0)</f>
        <v>0.2267201573</v>
      </c>
    </row>
    <row r="852" ht="15.75" customHeight="1">
      <c r="A852" s="6">
        <v>10565.0</v>
      </c>
      <c r="B852" s="7" t="s">
        <v>64</v>
      </c>
      <c r="C852" s="24" t="str">
        <f>VLOOKUP(dynamic[customerID],customers[],2,FALSE)</f>
        <v>Mère Paillarde</v>
      </c>
      <c r="D852" s="24">
        <v>45088.0</v>
      </c>
      <c r="E852" s="6">
        <f>IFERROR(__xludf.DUMMYFUNCTION("COUNTUNIQUEIFS($A$2:$A852,$B$2:$B852,B852)"),7.0)</f>
        <v>7</v>
      </c>
      <c r="F852" s="6">
        <f t="shared" si="1"/>
        <v>58</v>
      </c>
      <c r="G852" s="6" t="str">
        <f>IF(MINIFS(dynamic[orderDate], dynamic[customerID], B852) &gt;= DATE(2024,4,30)-120, 
     "New", 
     IF(MAXIFS(dynamic[orderCount], dynamic[customerID], B852)&lt;=2, 
        IF((DATE(2024,4,30) - MAXIFS(dynamic[orderDate], dynamic[customerID], B852)) &gt; 180, "Non-Returning", "Dormant"), 
        IF(AND(MAX(dynamic[sinceLastOrder]) &gt; 365, (DATE(2024,4,30) - MAXIFS(dynamic[orderDate], dynamic[customerID], B852)) &gt; 180), 
           "Dormant", "Regular")))</f>
        <v>Dormant</v>
      </c>
      <c r="H852" s="6">
        <v>64.0</v>
      </c>
      <c r="I852" s="9" t="str">
        <f>VLOOKUP(dynamic[productID],products[],2,FALSE)</f>
        <v>Lukas' leckere Sauerteigweggla</v>
      </c>
      <c r="J852" s="9" t="str">
        <f>VLOOKUP(dynamic[productID],products[],12,FALSE)</f>
        <v>Grains/Cereals</v>
      </c>
      <c r="K852" s="7" t="str">
        <f>IF(VLOOKUP(dynamic[productID],products[],7,FALSE)=1,"Discontinued","Current")</f>
        <v>Current</v>
      </c>
      <c r="L852" s="9">
        <f>VLOOKUP(dynamic[productID],products[],IF(YEAR(dynamic[orderDate])=2022,8,IF(YEAR(dynamic[orderDate])=2023,9,IF(YEAR(dynamic[orderDate])=2024,10,NA))),FALSE)</f>
        <v>21.88572728</v>
      </c>
      <c r="M852" s="9">
        <v>33.25</v>
      </c>
      <c r="N852" s="25">
        <f>(dynamic[orderPrice]-dynamic[productCost])/dynamic[productCost]</f>
        <v>0.5192549724</v>
      </c>
      <c r="O852" s="10">
        <v>18.0</v>
      </c>
      <c r="P852" s="25">
        <v>0.1</v>
      </c>
      <c r="Q852" s="9">
        <f>dynamic[orderPrice]*dynamic[orderQuantity]</f>
        <v>598.5</v>
      </c>
      <c r="R852" s="9">
        <f>dynamic[orderTotal]*(1-dynamic[discountApllied])</f>
        <v>538.65</v>
      </c>
      <c r="S852" s="9">
        <f>dynamic[revenue]-(dynamic[productCost]*dynamic[orderQuantity])</f>
        <v>144.7069089</v>
      </c>
      <c r="T852" s="25">
        <f>IFERROR(dynamic[profit]/dynamic[revenue], 0)</f>
        <v>0.2686473757</v>
      </c>
    </row>
    <row r="853" ht="15.75" customHeight="1">
      <c r="A853" s="6">
        <v>10566.0</v>
      </c>
      <c r="B853" s="7" t="s">
        <v>30</v>
      </c>
      <c r="C853" s="24" t="str">
        <f>VLOOKUP(dynamic[customerID],customers[],2,FALSE)</f>
        <v>Blondesddsl père et fils</v>
      </c>
      <c r="D853" s="24">
        <v>45089.0</v>
      </c>
      <c r="E853" s="6">
        <f>IFERROR(__xludf.DUMMYFUNCTION("COUNTUNIQUEIFS($A$2:$A853,$B$2:$B853,B853)"),7.0)</f>
        <v>7</v>
      </c>
      <c r="F853" s="6">
        <f t="shared" si="1"/>
        <v>7</v>
      </c>
      <c r="G853" s="6" t="str">
        <f>IF(MINIFS(dynamic[orderDate], dynamic[customerID], B853) &gt;= DATE(2024,4,30)-120, 
     "New", 
     IF(MAXIFS(dynamic[orderCount], dynamic[customerID], B853)&lt;=2, 
        IF((DATE(2024,4,30) - MAXIFS(dynamic[orderDate], dynamic[customerID], B853)) &gt; 180, "Non-Returning", "Dormant"), 
        IF(AND(MAX(dynamic[sinceLastOrder]) &gt; 365, (DATE(2024,4,30) - MAXIFS(dynamic[orderDate], dynamic[customerID], B853)) &gt; 180), 
           "Dormant", "Regular")))</f>
        <v>Regular</v>
      </c>
      <c r="H853" s="6">
        <v>11.0</v>
      </c>
      <c r="I853" s="9" t="str">
        <f>VLOOKUP(dynamic[productID],products[],2,FALSE)</f>
        <v>Queso Cabrales</v>
      </c>
      <c r="J853" s="9" t="str">
        <f>VLOOKUP(dynamic[productID],products[],12,FALSE)</f>
        <v>Dairy Products</v>
      </c>
      <c r="K853" s="7" t="str">
        <f>IF(VLOOKUP(dynamic[productID],products[],7,FALSE)=1,"Discontinued","Current")</f>
        <v>Current</v>
      </c>
      <c r="L853" s="9">
        <f>VLOOKUP(dynamic[productID],products[],IF(YEAR(dynamic[orderDate])=2022,8,IF(YEAR(dynamic[orderDate])=2023,9,IF(YEAR(dynamic[orderDate])=2024,10,NA))),FALSE)</f>
        <v>12.90188125</v>
      </c>
      <c r="M853" s="9">
        <v>21.0</v>
      </c>
      <c r="N853" s="25">
        <f>(dynamic[orderPrice]-dynamic[productCost])/dynamic[productCost]</f>
        <v>0.6276696079</v>
      </c>
      <c r="O853" s="10">
        <v>35.0</v>
      </c>
      <c r="P853" s="25">
        <v>0.15</v>
      </c>
      <c r="Q853" s="9">
        <f>dynamic[orderPrice]*dynamic[orderQuantity]</f>
        <v>735</v>
      </c>
      <c r="R853" s="9">
        <f>dynamic[orderTotal]*(1-dynamic[discountApllied])</f>
        <v>624.75</v>
      </c>
      <c r="S853" s="9">
        <f>dynamic[revenue]-(dynamic[productCost]*dynamic[orderQuantity])</f>
        <v>173.1841562</v>
      </c>
      <c r="T853" s="25">
        <f>IFERROR(dynamic[profit]/dynamic[revenue], 0)</f>
        <v>0.2772055321</v>
      </c>
    </row>
    <row r="854" ht="15.75" customHeight="1">
      <c r="A854" s="6">
        <v>10566.0</v>
      </c>
      <c r="B854" s="7" t="s">
        <v>30</v>
      </c>
      <c r="C854" s="24" t="str">
        <f>VLOOKUP(dynamic[customerID],customers[],2,FALSE)</f>
        <v>Blondesddsl père et fils</v>
      </c>
      <c r="D854" s="24">
        <v>45089.0</v>
      </c>
      <c r="E854" s="6">
        <f>IFERROR(__xludf.DUMMYFUNCTION("COUNTUNIQUEIFS($A$2:$A854,$B$2:$B854,B854)"),7.0)</f>
        <v>7</v>
      </c>
      <c r="F854" s="6">
        <f t="shared" si="1"/>
        <v>7</v>
      </c>
      <c r="G854" s="6" t="str">
        <f>IF(MINIFS(dynamic[orderDate], dynamic[customerID], B854) &gt;= DATE(2024,4,30)-120, 
     "New", 
     IF(MAXIFS(dynamic[orderCount], dynamic[customerID], B854)&lt;=2, 
        IF((DATE(2024,4,30) - MAXIFS(dynamic[orderDate], dynamic[customerID], B854)) &gt; 180, "Non-Returning", "Dormant"), 
        IF(AND(MAX(dynamic[sinceLastOrder]) &gt; 365, (DATE(2024,4,30) - MAXIFS(dynamic[orderDate], dynamic[customerID], B854)) &gt; 180), 
           "Dormant", "Regular")))</f>
        <v>Regular</v>
      </c>
      <c r="H854" s="6">
        <v>18.0</v>
      </c>
      <c r="I854" s="9" t="str">
        <f>VLOOKUP(dynamic[productID],products[],2,FALSE)</f>
        <v>Carnarvon Tigers</v>
      </c>
      <c r="J854" s="9" t="str">
        <f>VLOOKUP(dynamic[productID],products[],12,FALSE)</f>
        <v>Seafood</v>
      </c>
      <c r="K854" s="7" t="str">
        <f>IF(VLOOKUP(dynamic[productID],products[],7,FALSE)=1,"Discontinued","Current")</f>
        <v>Current</v>
      </c>
      <c r="L854" s="9">
        <f>VLOOKUP(dynamic[productID],products[],IF(YEAR(dynamic[orderDate])=2022,8,IF(YEAR(dynamic[orderDate])=2023,9,IF(YEAR(dynamic[orderDate])=2024,10,NA))),FALSE)</f>
        <v>39.51966651</v>
      </c>
      <c r="M854" s="9">
        <v>62.5</v>
      </c>
      <c r="N854" s="25">
        <f>(dynamic[orderPrice]-dynamic[productCost])/dynamic[productCost]</f>
        <v>0.5814910784</v>
      </c>
      <c r="O854" s="10">
        <v>18.0</v>
      </c>
      <c r="P854" s="25">
        <v>0.15</v>
      </c>
      <c r="Q854" s="9">
        <f>dynamic[orderPrice]*dynamic[orderQuantity]</f>
        <v>1125</v>
      </c>
      <c r="R854" s="9">
        <f>dynamic[orderTotal]*(1-dynamic[discountApllied])</f>
        <v>956.25</v>
      </c>
      <c r="S854" s="9">
        <f>dynamic[revenue]-(dynamic[productCost]*dynamic[orderQuantity])</f>
        <v>244.8960029</v>
      </c>
      <c r="T854" s="25">
        <f>IFERROR(dynamic[profit]/dynamic[revenue], 0)</f>
        <v>0.2561003952</v>
      </c>
    </row>
    <row r="855" ht="15.75" customHeight="1">
      <c r="A855" s="6">
        <v>10566.0</v>
      </c>
      <c r="B855" s="7" t="s">
        <v>30</v>
      </c>
      <c r="C855" s="24" t="str">
        <f>VLOOKUP(dynamic[customerID],customers[],2,FALSE)</f>
        <v>Blondesddsl père et fils</v>
      </c>
      <c r="D855" s="24">
        <v>45089.0</v>
      </c>
      <c r="E855" s="6">
        <f>IFERROR(__xludf.DUMMYFUNCTION("COUNTUNIQUEIFS($A$2:$A855,$B$2:$B855,B855)"),7.0)</f>
        <v>7</v>
      </c>
      <c r="F855" s="6">
        <f t="shared" si="1"/>
        <v>7</v>
      </c>
      <c r="G855" s="6" t="str">
        <f>IF(MINIFS(dynamic[orderDate], dynamic[customerID], B855) &gt;= DATE(2024,4,30)-120, 
     "New", 
     IF(MAXIFS(dynamic[orderCount], dynamic[customerID], B855)&lt;=2, 
        IF((DATE(2024,4,30) - MAXIFS(dynamic[orderDate], dynamic[customerID], B855)) &gt; 180, "Non-Returning", "Dormant"), 
        IF(AND(MAX(dynamic[sinceLastOrder]) &gt; 365, (DATE(2024,4,30) - MAXIFS(dynamic[orderDate], dynamic[customerID], B855)) &gt; 180), 
           "Dormant", "Regular")))</f>
        <v>Regular</v>
      </c>
      <c r="H855" s="6">
        <v>76.0</v>
      </c>
      <c r="I855" s="9" t="str">
        <f>VLOOKUP(dynamic[productID],products[],2,FALSE)</f>
        <v>Lakkalikööri</v>
      </c>
      <c r="J855" s="9" t="str">
        <f>VLOOKUP(dynamic[productID],products[],12,FALSE)</f>
        <v>Beverages</v>
      </c>
      <c r="K855" s="7" t="str">
        <f>IF(VLOOKUP(dynamic[productID],products[],7,FALSE)=1,"Discontinued","Current")</f>
        <v>Current</v>
      </c>
      <c r="L855" s="9">
        <f>VLOOKUP(dynamic[productID],products[],IF(YEAR(dynamic[orderDate])=2022,8,IF(YEAR(dynamic[orderDate])=2023,9,IF(YEAR(dynamic[orderDate])=2024,10,NA))),FALSE)</f>
        <v>12.1154529</v>
      </c>
      <c r="M855" s="9">
        <v>18.0</v>
      </c>
      <c r="N855" s="25">
        <f>(dynamic[orderPrice]-dynamic[productCost])/dynamic[productCost]</f>
        <v>0.4857059125</v>
      </c>
      <c r="O855" s="10">
        <v>10.0</v>
      </c>
      <c r="P855" s="25">
        <v>0.0</v>
      </c>
      <c r="Q855" s="9">
        <f>dynamic[orderPrice]*dynamic[orderQuantity]</f>
        <v>180</v>
      </c>
      <c r="R855" s="9">
        <f>dynamic[orderTotal]*(1-dynamic[discountApllied])</f>
        <v>180</v>
      </c>
      <c r="S855" s="9">
        <f>dynamic[revenue]-(dynamic[productCost]*dynamic[orderQuantity])</f>
        <v>58.84547105</v>
      </c>
      <c r="T855" s="25">
        <f>IFERROR(dynamic[profit]/dynamic[revenue], 0)</f>
        <v>0.3269192836</v>
      </c>
    </row>
    <row r="856" ht="15.75" customHeight="1">
      <c r="A856" s="6">
        <v>10567.0</v>
      </c>
      <c r="B856" s="7" t="s">
        <v>49</v>
      </c>
      <c r="C856" s="24" t="str">
        <f>VLOOKUP(dynamic[customerID],customers[],2,FALSE)</f>
        <v>Hungry Owl All-Night Grocers</v>
      </c>
      <c r="D856" s="24">
        <v>45089.0</v>
      </c>
      <c r="E856" s="6">
        <f>IFERROR(__xludf.DUMMYFUNCTION("COUNTUNIQUEIFS($A$2:$A856,$B$2:$B856,B856)"),9.0)</f>
        <v>9</v>
      </c>
      <c r="F856" s="6">
        <f t="shared" si="1"/>
        <v>49</v>
      </c>
      <c r="G856" s="6" t="str">
        <f>IF(MINIFS(dynamic[orderDate], dynamic[customerID], B856) &gt;= DATE(2024,4,30)-120, 
     "New", 
     IF(MAXIFS(dynamic[orderCount], dynamic[customerID], B856)&lt;=2, 
        IF((DATE(2024,4,30) - MAXIFS(dynamic[orderDate], dynamic[customerID], B856)) &gt; 180, "Non-Returning", "Dormant"), 
        IF(AND(MAX(dynamic[sinceLastOrder]) &gt; 365, (DATE(2024,4,30) - MAXIFS(dynamic[orderDate], dynamic[customerID], B856)) &gt; 180), 
           "Dormant", "Regular")))</f>
        <v>Regular</v>
      </c>
      <c r="H856" s="6">
        <v>31.0</v>
      </c>
      <c r="I856" s="9" t="str">
        <f>VLOOKUP(dynamic[productID],products[],2,FALSE)</f>
        <v>Gorgonzola Telino</v>
      </c>
      <c r="J856" s="9" t="str">
        <f>VLOOKUP(dynamic[productID],products[],12,FALSE)</f>
        <v>Dairy Products</v>
      </c>
      <c r="K856" s="7" t="str">
        <f>IF(VLOOKUP(dynamic[productID],products[],7,FALSE)=1,"Discontinued","Current")</f>
        <v>Current</v>
      </c>
      <c r="L856" s="9">
        <f>VLOOKUP(dynamic[productID],products[],IF(YEAR(dynamic[orderDate])=2022,8,IF(YEAR(dynamic[orderDate])=2023,9,IF(YEAR(dynamic[orderDate])=2024,10,NA))),FALSE)</f>
        <v>7.937729254</v>
      </c>
      <c r="M856" s="9">
        <v>12.5</v>
      </c>
      <c r="N856" s="25">
        <f>(dynamic[orderPrice]-dynamic[productCost])/dynamic[productCost]</f>
        <v>0.5747576668</v>
      </c>
      <c r="O856" s="10">
        <v>60.0</v>
      </c>
      <c r="P856" s="25">
        <v>0.2</v>
      </c>
      <c r="Q856" s="9">
        <f>dynamic[orderPrice]*dynamic[orderQuantity]</f>
        <v>750</v>
      </c>
      <c r="R856" s="9">
        <f>dynamic[orderTotal]*(1-dynamic[discountApllied])</f>
        <v>600</v>
      </c>
      <c r="S856" s="9">
        <f>dynamic[revenue]-(dynamic[productCost]*dynamic[orderQuantity])</f>
        <v>123.7362447</v>
      </c>
      <c r="T856" s="25">
        <f>IFERROR(dynamic[profit]/dynamic[revenue], 0)</f>
        <v>0.2062270746</v>
      </c>
    </row>
    <row r="857" ht="15.75" customHeight="1">
      <c r="A857" s="6">
        <v>10567.0</v>
      </c>
      <c r="B857" s="7" t="s">
        <v>49</v>
      </c>
      <c r="C857" s="24" t="str">
        <f>VLOOKUP(dynamic[customerID],customers[],2,FALSE)</f>
        <v>Hungry Owl All-Night Grocers</v>
      </c>
      <c r="D857" s="24">
        <v>45089.0</v>
      </c>
      <c r="E857" s="6">
        <f>IFERROR(__xludf.DUMMYFUNCTION("COUNTUNIQUEIFS($A$2:$A857,$B$2:$B857,B857)"),9.0)</f>
        <v>9</v>
      </c>
      <c r="F857" s="6">
        <f t="shared" si="1"/>
        <v>49</v>
      </c>
      <c r="G857" s="6" t="str">
        <f>IF(MINIFS(dynamic[orderDate], dynamic[customerID], B857) &gt;= DATE(2024,4,30)-120, 
     "New", 
     IF(MAXIFS(dynamic[orderCount], dynamic[customerID], B857)&lt;=2, 
        IF((DATE(2024,4,30) - MAXIFS(dynamic[orderDate], dynamic[customerID], B857)) &gt; 180, "Non-Returning", "Dormant"), 
        IF(AND(MAX(dynamic[sinceLastOrder]) &gt; 365, (DATE(2024,4,30) - MAXIFS(dynamic[orderDate], dynamic[customerID], B857)) &gt; 180), 
           "Dormant", "Regular")))</f>
        <v>Regular</v>
      </c>
      <c r="H857" s="6">
        <v>51.0</v>
      </c>
      <c r="I857" s="9" t="str">
        <f>VLOOKUP(dynamic[productID],products[],2,FALSE)</f>
        <v>Manjimup Dried Apples</v>
      </c>
      <c r="J857" s="9" t="str">
        <f>VLOOKUP(dynamic[productID],products[],12,FALSE)</f>
        <v>Produce</v>
      </c>
      <c r="K857" s="7" t="str">
        <f>IF(VLOOKUP(dynamic[productID],products[],7,FALSE)=1,"Discontinued","Current")</f>
        <v>Current</v>
      </c>
      <c r="L857" s="9">
        <f>VLOOKUP(dynamic[productID],products[],IF(YEAR(dynamic[orderDate])=2022,8,IF(YEAR(dynamic[orderDate])=2023,9,IF(YEAR(dynamic[orderDate])=2024,10,NA))),FALSE)</f>
        <v>36.88798027</v>
      </c>
      <c r="M857" s="9">
        <v>53.0</v>
      </c>
      <c r="N857" s="25">
        <f>(dynamic[orderPrice]-dynamic[productCost])/dynamic[productCost]</f>
        <v>0.4367823779</v>
      </c>
      <c r="O857" s="10">
        <v>3.0</v>
      </c>
      <c r="P857" s="25">
        <v>0.0</v>
      </c>
      <c r="Q857" s="9">
        <f>dynamic[orderPrice]*dynamic[orderQuantity]</f>
        <v>159</v>
      </c>
      <c r="R857" s="9">
        <f>dynamic[orderTotal]*(1-dynamic[discountApllied])</f>
        <v>159</v>
      </c>
      <c r="S857" s="9">
        <f>dynamic[revenue]-(dynamic[productCost]*dynamic[orderQuantity])</f>
        <v>48.3360592</v>
      </c>
      <c r="T857" s="25">
        <f>IFERROR(dynamic[profit]/dynamic[revenue], 0)</f>
        <v>0.3040003724</v>
      </c>
    </row>
    <row r="858" ht="15.75" customHeight="1">
      <c r="A858" s="6">
        <v>10567.0</v>
      </c>
      <c r="B858" s="7" t="s">
        <v>49</v>
      </c>
      <c r="C858" s="24" t="str">
        <f>VLOOKUP(dynamic[customerID],customers[],2,FALSE)</f>
        <v>Hungry Owl All-Night Grocers</v>
      </c>
      <c r="D858" s="24">
        <v>45089.0</v>
      </c>
      <c r="E858" s="6">
        <f>IFERROR(__xludf.DUMMYFUNCTION("COUNTUNIQUEIFS($A$2:$A858,$B$2:$B858,B858)"),9.0)</f>
        <v>9</v>
      </c>
      <c r="F858" s="6">
        <f t="shared" si="1"/>
        <v>49</v>
      </c>
      <c r="G858" s="6" t="str">
        <f>IF(MINIFS(dynamic[orderDate], dynamic[customerID], B858) &gt;= DATE(2024,4,30)-120, 
     "New", 
     IF(MAXIFS(dynamic[orderCount], dynamic[customerID], B858)&lt;=2, 
        IF((DATE(2024,4,30) - MAXIFS(dynamic[orderDate], dynamic[customerID], B858)) &gt; 180, "Non-Returning", "Dormant"), 
        IF(AND(MAX(dynamic[sinceLastOrder]) &gt; 365, (DATE(2024,4,30) - MAXIFS(dynamic[orderDate], dynamic[customerID], B858)) &gt; 180), 
           "Dormant", "Regular")))</f>
        <v>Regular</v>
      </c>
      <c r="H858" s="6">
        <v>59.0</v>
      </c>
      <c r="I858" s="9" t="str">
        <f>VLOOKUP(dynamic[productID],products[],2,FALSE)</f>
        <v>Raclette Courdavault</v>
      </c>
      <c r="J858" s="9" t="str">
        <f>VLOOKUP(dynamic[productID],products[],12,FALSE)</f>
        <v>Dairy Products</v>
      </c>
      <c r="K858" s="7" t="str">
        <f>IF(VLOOKUP(dynamic[productID],products[],7,FALSE)=1,"Discontinued","Current")</f>
        <v>Current</v>
      </c>
      <c r="L858" s="9">
        <f>VLOOKUP(dynamic[productID],products[],IF(YEAR(dynamic[orderDate])=2022,8,IF(YEAR(dynamic[orderDate])=2023,9,IF(YEAR(dynamic[orderDate])=2024,10,NA))),FALSE)</f>
        <v>35.20472566</v>
      </c>
      <c r="M858" s="9">
        <v>55.0</v>
      </c>
      <c r="N858" s="25">
        <f>(dynamic[orderPrice]-dynamic[productCost])/dynamic[productCost]</f>
        <v>0.5622902598</v>
      </c>
      <c r="O858" s="10">
        <v>40.0</v>
      </c>
      <c r="P858" s="25">
        <v>0.2</v>
      </c>
      <c r="Q858" s="9">
        <f>dynamic[orderPrice]*dynamic[orderQuantity]</f>
        <v>2200</v>
      </c>
      <c r="R858" s="9">
        <f>dynamic[orderTotal]*(1-dynamic[discountApllied])</f>
        <v>1760</v>
      </c>
      <c r="S858" s="9">
        <f>dynamic[revenue]-(dynamic[productCost]*dynamic[orderQuantity])</f>
        <v>351.8109735</v>
      </c>
      <c r="T858" s="25">
        <f>IFERROR(dynamic[profit]/dynamic[revenue], 0)</f>
        <v>0.1998925986</v>
      </c>
    </row>
    <row r="859" ht="15.75" customHeight="1">
      <c r="A859" s="6">
        <v>10568.0</v>
      </c>
      <c r="B859" s="7" t="s">
        <v>75</v>
      </c>
      <c r="C859" s="24" t="str">
        <f>VLOOKUP(dynamic[customerID],customers[],2,FALSE)</f>
        <v>Galería del gastrónomo</v>
      </c>
      <c r="D859" s="24">
        <v>45090.0</v>
      </c>
      <c r="E859" s="6">
        <f>IFERROR(__xludf.DUMMYFUNCTION("COUNTUNIQUEIFS($A$2:$A859,$B$2:$B859,B859)"),3.0)</f>
        <v>3</v>
      </c>
      <c r="F859" s="6">
        <f t="shared" si="1"/>
        <v>137</v>
      </c>
      <c r="G859" s="6" t="str">
        <f>IF(MINIFS(dynamic[orderDate], dynamic[customerID], B859) &gt;= DATE(2024,4,30)-120, 
     "New", 
     IF(MAXIFS(dynamic[orderCount], dynamic[customerID], B859)&lt;=2, 
        IF((DATE(2024,4,30) - MAXIFS(dynamic[orderDate], dynamic[customerID], B859)) &gt; 180, "Non-Returning", "Dormant"), 
        IF(AND(MAX(dynamic[sinceLastOrder]) &gt; 365, (DATE(2024,4,30) - MAXIFS(dynamic[orderDate], dynamic[customerID], B859)) &gt; 180), 
           "Dormant", "Regular")))</f>
        <v>Regular</v>
      </c>
      <c r="H859" s="6">
        <v>10.0</v>
      </c>
      <c r="I859" s="9" t="str">
        <f>VLOOKUP(dynamic[productID],products[],2,FALSE)</f>
        <v>Ikura</v>
      </c>
      <c r="J859" s="9" t="str">
        <f>VLOOKUP(dynamic[productID],products[],12,FALSE)</f>
        <v>Seafood</v>
      </c>
      <c r="K859" s="7" t="str">
        <f>IF(VLOOKUP(dynamic[productID],products[],7,FALSE)=1,"Discontinued","Current")</f>
        <v>Current</v>
      </c>
      <c r="L859" s="9">
        <f>VLOOKUP(dynamic[productID],products[],IF(YEAR(dynamic[orderDate])=2022,8,IF(YEAR(dynamic[orderDate])=2023,9,IF(YEAR(dynamic[orderDate])=2024,10,NA))),FALSE)</f>
        <v>20.72721922</v>
      </c>
      <c r="M859" s="9">
        <v>31.0</v>
      </c>
      <c r="N859" s="25">
        <f>(dynamic[orderPrice]-dynamic[productCost])/dynamic[productCost]</f>
        <v>0.4956178962</v>
      </c>
      <c r="O859" s="10">
        <v>5.0</v>
      </c>
      <c r="P859" s="25">
        <v>0.0</v>
      </c>
      <c r="Q859" s="9">
        <f>dynamic[orderPrice]*dynamic[orderQuantity]</f>
        <v>155</v>
      </c>
      <c r="R859" s="9">
        <f>dynamic[orderTotal]*(1-dynamic[discountApllied])</f>
        <v>155</v>
      </c>
      <c r="S859" s="9">
        <f>dynamic[revenue]-(dynamic[productCost]*dynamic[orderQuantity])</f>
        <v>51.36390391</v>
      </c>
      <c r="T859" s="25">
        <f>IFERROR(dynamic[profit]/dynamic[revenue], 0)</f>
        <v>0.3313800252</v>
      </c>
    </row>
    <row r="860" ht="15.75" customHeight="1">
      <c r="A860" s="6">
        <v>10569.0</v>
      </c>
      <c r="B860" s="7" t="s">
        <v>28</v>
      </c>
      <c r="C860" s="24" t="str">
        <f>VLOOKUP(dynamic[customerID],customers[],2,FALSE)</f>
        <v>Rattlesnake Canyon Grocery</v>
      </c>
      <c r="D860" s="24">
        <v>45093.0</v>
      </c>
      <c r="E860" s="6">
        <f>IFERROR(__xludf.DUMMYFUNCTION("COUNTUNIQUEIFS($A$2:$A860,$B$2:$B860,B860)"),10.0)</f>
        <v>10</v>
      </c>
      <c r="F860" s="6">
        <f t="shared" si="1"/>
        <v>6</v>
      </c>
      <c r="G860" s="6" t="str">
        <f>IF(MINIFS(dynamic[orderDate], dynamic[customerID], B860) &gt;= DATE(2024,4,30)-120, 
     "New", 
     IF(MAXIFS(dynamic[orderCount], dynamic[customerID], B860)&lt;=2, 
        IF((DATE(2024,4,30) - MAXIFS(dynamic[orderDate], dynamic[customerID], B860)) &gt; 180, "Non-Returning", "Dormant"), 
        IF(AND(MAX(dynamic[sinceLastOrder]) &gt; 365, (DATE(2024,4,30) - MAXIFS(dynamic[orderDate], dynamic[customerID], B860)) &gt; 180), 
           "Dormant", "Regular")))</f>
        <v>Regular</v>
      </c>
      <c r="H860" s="6">
        <v>31.0</v>
      </c>
      <c r="I860" s="9" t="str">
        <f>VLOOKUP(dynamic[productID],products[],2,FALSE)</f>
        <v>Gorgonzola Telino</v>
      </c>
      <c r="J860" s="9" t="str">
        <f>VLOOKUP(dynamic[productID],products[],12,FALSE)</f>
        <v>Dairy Products</v>
      </c>
      <c r="K860" s="7" t="str">
        <f>IF(VLOOKUP(dynamic[productID],products[],7,FALSE)=1,"Discontinued","Current")</f>
        <v>Current</v>
      </c>
      <c r="L860" s="9">
        <f>VLOOKUP(dynamic[productID],products[],IF(YEAR(dynamic[orderDate])=2022,8,IF(YEAR(dynamic[orderDate])=2023,9,IF(YEAR(dynamic[orderDate])=2024,10,NA))),FALSE)</f>
        <v>7.937729254</v>
      </c>
      <c r="M860" s="9">
        <v>12.5</v>
      </c>
      <c r="N860" s="25">
        <f>(dynamic[orderPrice]-dynamic[productCost])/dynamic[productCost]</f>
        <v>0.5747576668</v>
      </c>
      <c r="O860" s="10">
        <v>35.0</v>
      </c>
      <c r="P860" s="25">
        <v>0.2</v>
      </c>
      <c r="Q860" s="9">
        <f>dynamic[orderPrice]*dynamic[orderQuantity]</f>
        <v>437.5</v>
      </c>
      <c r="R860" s="9">
        <f>dynamic[orderTotal]*(1-dynamic[discountApllied])</f>
        <v>350</v>
      </c>
      <c r="S860" s="9">
        <f>dynamic[revenue]-(dynamic[productCost]*dynamic[orderQuantity])</f>
        <v>72.1794761</v>
      </c>
      <c r="T860" s="25">
        <f>IFERROR(dynamic[profit]/dynamic[revenue], 0)</f>
        <v>0.2062270746</v>
      </c>
    </row>
    <row r="861" ht="15.75" customHeight="1">
      <c r="A861" s="6">
        <v>10569.0</v>
      </c>
      <c r="B861" s="7" t="s">
        <v>28</v>
      </c>
      <c r="C861" s="24" t="str">
        <f>VLOOKUP(dynamic[customerID],customers[],2,FALSE)</f>
        <v>Rattlesnake Canyon Grocery</v>
      </c>
      <c r="D861" s="24">
        <v>45093.0</v>
      </c>
      <c r="E861" s="6">
        <f>IFERROR(__xludf.DUMMYFUNCTION("COUNTUNIQUEIFS($A$2:$A861,$B$2:$B861,B861)"),10.0)</f>
        <v>10</v>
      </c>
      <c r="F861" s="6">
        <f t="shared" si="1"/>
        <v>6</v>
      </c>
      <c r="G861" s="6" t="str">
        <f>IF(MINIFS(dynamic[orderDate], dynamic[customerID], B861) &gt;= DATE(2024,4,30)-120, 
     "New", 
     IF(MAXIFS(dynamic[orderCount], dynamic[customerID], B861)&lt;=2, 
        IF((DATE(2024,4,30) - MAXIFS(dynamic[orderDate], dynamic[customerID], B861)) &gt; 180, "Non-Returning", "Dormant"), 
        IF(AND(MAX(dynamic[sinceLastOrder]) &gt; 365, (DATE(2024,4,30) - MAXIFS(dynamic[orderDate], dynamic[customerID], B861)) &gt; 180), 
           "Dormant", "Regular")))</f>
        <v>Regular</v>
      </c>
      <c r="H861" s="6">
        <v>76.0</v>
      </c>
      <c r="I861" s="9" t="str">
        <f>VLOOKUP(dynamic[productID],products[],2,FALSE)</f>
        <v>Lakkalikööri</v>
      </c>
      <c r="J861" s="9" t="str">
        <f>VLOOKUP(dynamic[productID],products[],12,FALSE)</f>
        <v>Beverages</v>
      </c>
      <c r="K861" s="7" t="str">
        <f>IF(VLOOKUP(dynamic[productID],products[],7,FALSE)=1,"Discontinued","Current")</f>
        <v>Current</v>
      </c>
      <c r="L861" s="9">
        <f>VLOOKUP(dynamic[productID],products[],IF(YEAR(dynamic[orderDate])=2022,8,IF(YEAR(dynamic[orderDate])=2023,9,IF(YEAR(dynamic[orderDate])=2024,10,NA))),FALSE)</f>
        <v>12.1154529</v>
      </c>
      <c r="M861" s="9">
        <v>18.0</v>
      </c>
      <c r="N861" s="25">
        <f>(dynamic[orderPrice]-dynamic[productCost])/dynamic[productCost]</f>
        <v>0.4857059125</v>
      </c>
      <c r="O861" s="10">
        <v>30.0</v>
      </c>
      <c r="P861" s="25">
        <v>0.0</v>
      </c>
      <c r="Q861" s="9">
        <f>dynamic[orderPrice]*dynamic[orderQuantity]</f>
        <v>540</v>
      </c>
      <c r="R861" s="9">
        <f>dynamic[orderTotal]*(1-dynamic[discountApllied])</f>
        <v>540</v>
      </c>
      <c r="S861" s="9">
        <f>dynamic[revenue]-(dynamic[productCost]*dynamic[orderQuantity])</f>
        <v>176.5364131</v>
      </c>
      <c r="T861" s="25">
        <f>IFERROR(dynamic[profit]/dynamic[revenue], 0)</f>
        <v>0.3269192836</v>
      </c>
    </row>
    <row r="862" ht="15.75" customHeight="1">
      <c r="A862" s="6">
        <v>10570.0</v>
      </c>
      <c r="B862" s="7" t="s">
        <v>64</v>
      </c>
      <c r="C862" s="24" t="str">
        <f>VLOOKUP(dynamic[customerID],customers[],2,FALSE)</f>
        <v>Mère Paillarde</v>
      </c>
      <c r="D862" s="24">
        <v>45094.0</v>
      </c>
      <c r="E862" s="6">
        <f>IFERROR(__xludf.DUMMYFUNCTION("COUNTUNIQUEIFS($A$2:$A862,$B$2:$B862,B862)"),8.0)</f>
        <v>8</v>
      </c>
      <c r="F862" s="6">
        <f t="shared" si="1"/>
        <v>6</v>
      </c>
      <c r="G862" s="6" t="str">
        <f>IF(MINIFS(dynamic[orderDate], dynamic[customerID], B862) &gt;= DATE(2024,4,30)-120, 
     "New", 
     IF(MAXIFS(dynamic[orderCount], dynamic[customerID], B862)&lt;=2, 
        IF((DATE(2024,4,30) - MAXIFS(dynamic[orderDate], dynamic[customerID], B862)) &gt; 180, "Non-Returning", "Dormant"), 
        IF(AND(MAX(dynamic[sinceLastOrder]) &gt; 365, (DATE(2024,4,30) - MAXIFS(dynamic[orderDate], dynamic[customerID], B862)) &gt; 180), 
           "Dormant", "Regular")))</f>
        <v>Dormant</v>
      </c>
      <c r="H862" s="6">
        <v>11.0</v>
      </c>
      <c r="I862" s="9" t="str">
        <f>VLOOKUP(dynamic[productID],products[],2,FALSE)</f>
        <v>Queso Cabrales</v>
      </c>
      <c r="J862" s="9" t="str">
        <f>VLOOKUP(dynamic[productID],products[],12,FALSE)</f>
        <v>Dairy Products</v>
      </c>
      <c r="K862" s="7" t="str">
        <f>IF(VLOOKUP(dynamic[productID],products[],7,FALSE)=1,"Discontinued","Current")</f>
        <v>Current</v>
      </c>
      <c r="L862" s="9">
        <f>VLOOKUP(dynamic[productID],products[],IF(YEAR(dynamic[orderDate])=2022,8,IF(YEAR(dynamic[orderDate])=2023,9,IF(YEAR(dynamic[orderDate])=2024,10,NA))),FALSE)</f>
        <v>12.90188125</v>
      </c>
      <c r="M862" s="9">
        <v>21.0</v>
      </c>
      <c r="N862" s="25">
        <f>(dynamic[orderPrice]-dynamic[productCost])/dynamic[productCost]</f>
        <v>0.6276696079</v>
      </c>
      <c r="O862" s="10">
        <v>15.0</v>
      </c>
      <c r="P862" s="25">
        <v>0.05</v>
      </c>
      <c r="Q862" s="9">
        <f>dynamic[orderPrice]*dynamic[orderQuantity]</f>
        <v>315</v>
      </c>
      <c r="R862" s="9">
        <f>dynamic[orderTotal]*(1-dynamic[discountApllied])</f>
        <v>299.25</v>
      </c>
      <c r="S862" s="9">
        <f>dynamic[revenue]-(dynamic[productCost]*dynamic[orderQuantity])</f>
        <v>105.7217812</v>
      </c>
      <c r="T862" s="25">
        <f>IFERROR(dynamic[profit]/dynamic[revenue], 0)</f>
        <v>0.3532891603</v>
      </c>
    </row>
    <row r="863" ht="15.75" customHeight="1">
      <c r="A863" s="6">
        <v>10570.0</v>
      </c>
      <c r="B863" s="7" t="s">
        <v>64</v>
      </c>
      <c r="C863" s="24" t="str">
        <f>VLOOKUP(dynamic[customerID],customers[],2,FALSE)</f>
        <v>Mère Paillarde</v>
      </c>
      <c r="D863" s="24">
        <v>45094.0</v>
      </c>
      <c r="E863" s="6">
        <f>IFERROR(__xludf.DUMMYFUNCTION("COUNTUNIQUEIFS($A$2:$A863,$B$2:$B863,B863)"),8.0)</f>
        <v>8</v>
      </c>
      <c r="F863" s="6">
        <f t="shared" si="1"/>
        <v>6</v>
      </c>
      <c r="G863" s="6" t="str">
        <f>IF(MINIFS(dynamic[orderDate], dynamic[customerID], B863) &gt;= DATE(2024,4,30)-120, 
     "New", 
     IF(MAXIFS(dynamic[orderCount], dynamic[customerID], B863)&lt;=2, 
        IF((DATE(2024,4,30) - MAXIFS(dynamic[orderDate], dynamic[customerID], B863)) &gt; 180, "Non-Returning", "Dormant"), 
        IF(AND(MAX(dynamic[sinceLastOrder]) &gt; 365, (DATE(2024,4,30) - MAXIFS(dynamic[orderDate], dynamic[customerID], B863)) &gt; 180), 
           "Dormant", "Regular")))</f>
        <v>Dormant</v>
      </c>
      <c r="H863" s="6">
        <v>56.0</v>
      </c>
      <c r="I863" s="9" t="str">
        <f>VLOOKUP(dynamic[productID],products[],2,FALSE)</f>
        <v>Gnocchi di nonna Alice</v>
      </c>
      <c r="J863" s="9" t="str">
        <f>VLOOKUP(dynamic[productID],products[],12,FALSE)</f>
        <v>Grains/Cereals</v>
      </c>
      <c r="K863" s="7" t="str">
        <f>IF(VLOOKUP(dynamic[productID],products[],7,FALSE)=1,"Discontinued","Current")</f>
        <v>Current</v>
      </c>
      <c r="L863" s="9">
        <f>VLOOKUP(dynamic[productID],products[],IF(YEAR(dynamic[orderDate])=2022,8,IF(YEAR(dynamic[orderDate])=2023,9,IF(YEAR(dynamic[orderDate])=2024,10,NA))),FALSE)</f>
        <v>24.28342441</v>
      </c>
      <c r="M863" s="9">
        <v>38.0</v>
      </c>
      <c r="N863" s="25">
        <f>(dynamic[orderPrice]-dynamic[productCost])/dynamic[productCost]</f>
        <v>0.5648534309</v>
      </c>
      <c r="O863" s="10">
        <v>60.0</v>
      </c>
      <c r="P863" s="25">
        <v>0.05</v>
      </c>
      <c r="Q863" s="9">
        <f>dynamic[orderPrice]*dynamic[orderQuantity]</f>
        <v>2280</v>
      </c>
      <c r="R863" s="9">
        <f>dynamic[orderTotal]*(1-dynamic[discountApllied])</f>
        <v>2166</v>
      </c>
      <c r="S863" s="9">
        <f>dynamic[revenue]-(dynamic[productCost]*dynamic[orderQuantity])</f>
        <v>708.9945355</v>
      </c>
      <c r="T863" s="25">
        <f>IFERROR(dynamic[profit]/dynamic[revenue], 0)</f>
        <v>0.3273289638</v>
      </c>
    </row>
    <row r="864" ht="15.75" customHeight="1">
      <c r="A864" s="6">
        <v>10571.0</v>
      </c>
      <c r="B864" s="7" t="s">
        <v>24</v>
      </c>
      <c r="C864" s="24" t="str">
        <f>VLOOKUP(dynamic[customerID],customers[],2,FALSE)</f>
        <v>Ernst Handel</v>
      </c>
      <c r="D864" s="24">
        <v>45094.0</v>
      </c>
      <c r="E864" s="6">
        <f>IFERROR(__xludf.DUMMYFUNCTION("COUNTUNIQUEIFS($A$2:$A864,$B$2:$B864,B864)"),12.0)</f>
        <v>12</v>
      </c>
      <c r="F864" s="6">
        <f t="shared" si="1"/>
        <v>56</v>
      </c>
      <c r="G864" s="6" t="str">
        <f>IF(MINIFS(dynamic[orderDate], dynamic[customerID], B864) &gt;= DATE(2024,4,30)-120, 
     "New", 
     IF(MAXIFS(dynamic[orderCount], dynamic[customerID], B864)&lt;=2, 
        IF((DATE(2024,4,30) - MAXIFS(dynamic[orderDate], dynamic[customerID], B864)) &gt; 180, "Non-Returning", "Dormant"), 
        IF(AND(MAX(dynamic[sinceLastOrder]) &gt; 365, (DATE(2024,4,30) - MAXIFS(dynamic[orderDate], dynamic[customerID], B864)) &gt; 180), 
           "Dormant", "Regular")))</f>
        <v>Regular</v>
      </c>
      <c r="H864" s="6">
        <v>14.0</v>
      </c>
      <c r="I864" s="9" t="str">
        <f>VLOOKUP(dynamic[productID],products[],2,FALSE)</f>
        <v>Tofu</v>
      </c>
      <c r="J864" s="9" t="str">
        <f>VLOOKUP(dynamic[productID],products[],12,FALSE)</f>
        <v>Produce</v>
      </c>
      <c r="K864" s="7" t="str">
        <f>IF(VLOOKUP(dynamic[productID],products[],7,FALSE)=1,"Discontinued","Current")</f>
        <v>Current</v>
      </c>
      <c r="L864" s="9">
        <f>VLOOKUP(dynamic[productID],products[],IF(YEAR(dynamic[orderDate])=2022,8,IF(YEAR(dynamic[orderDate])=2023,9,IF(YEAR(dynamic[orderDate])=2024,10,NA))),FALSE)</f>
        <v>15.38055417</v>
      </c>
      <c r="M864" s="9">
        <v>23.25</v>
      </c>
      <c r="N864" s="25">
        <f>(dynamic[orderPrice]-dynamic[productCost])/dynamic[productCost]</f>
        <v>0.5116490437</v>
      </c>
      <c r="O864" s="10">
        <v>11.0</v>
      </c>
      <c r="P864" s="25">
        <v>0.15</v>
      </c>
      <c r="Q864" s="9">
        <f>dynamic[orderPrice]*dynamic[orderQuantity]</f>
        <v>255.75</v>
      </c>
      <c r="R864" s="9">
        <f>dynamic[orderTotal]*(1-dynamic[discountApllied])</f>
        <v>217.3875</v>
      </c>
      <c r="S864" s="9">
        <f>dynamic[revenue]-(dynamic[productCost]*dynamic[orderQuantity])</f>
        <v>48.20140415</v>
      </c>
      <c r="T864" s="25">
        <f>IFERROR(dynamic[profit]/dynamic[revenue], 0)</f>
        <v>0.2217303394</v>
      </c>
    </row>
    <row r="865" ht="15.75" customHeight="1">
      <c r="A865" s="6">
        <v>10571.0</v>
      </c>
      <c r="B865" s="7" t="s">
        <v>24</v>
      </c>
      <c r="C865" s="24" t="str">
        <f>VLOOKUP(dynamic[customerID],customers[],2,FALSE)</f>
        <v>Ernst Handel</v>
      </c>
      <c r="D865" s="24">
        <v>45094.0</v>
      </c>
      <c r="E865" s="6">
        <f>IFERROR(__xludf.DUMMYFUNCTION("COUNTUNIQUEIFS($A$2:$A865,$B$2:$B865,B865)"),12.0)</f>
        <v>12</v>
      </c>
      <c r="F865" s="6">
        <f t="shared" si="1"/>
        <v>56</v>
      </c>
      <c r="G865" s="6" t="str">
        <f>IF(MINIFS(dynamic[orderDate], dynamic[customerID], B865) &gt;= DATE(2024,4,30)-120, 
     "New", 
     IF(MAXIFS(dynamic[orderCount], dynamic[customerID], B865)&lt;=2, 
        IF((DATE(2024,4,30) - MAXIFS(dynamic[orderDate], dynamic[customerID], B865)) &gt; 180, "Non-Returning", "Dormant"), 
        IF(AND(MAX(dynamic[sinceLastOrder]) &gt; 365, (DATE(2024,4,30) - MAXIFS(dynamic[orderDate], dynamic[customerID], B865)) &gt; 180), 
           "Dormant", "Regular")))</f>
        <v>Regular</v>
      </c>
      <c r="H865" s="6">
        <v>42.0</v>
      </c>
      <c r="I865" s="9" t="str">
        <f>VLOOKUP(dynamic[productID],products[],2,FALSE)</f>
        <v>Singaporean Hokkien Fried Mee</v>
      </c>
      <c r="J865" s="9" t="str">
        <f>VLOOKUP(dynamic[productID],products[],12,FALSE)</f>
        <v>Grains/Cereals</v>
      </c>
      <c r="K865" s="7" t="str">
        <f>IF(VLOOKUP(dynamic[productID],products[],7,FALSE)=1,"Discontinued","Current")</f>
        <v>Discontinued</v>
      </c>
      <c r="L865" s="9">
        <f>VLOOKUP(dynamic[productID],products[],IF(YEAR(dynamic[orderDate])=2022,8,IF(YEAR(dynamic[orderDate])=2023,9,IF(YEAR(dynamic[orderDate])=2024,10,NA))),FALSE)</f>
        <v>9.105641621</v>
      </c>
      <c r="M865" s="9">
        <v>14.0</v>
      </c>
      <c r="N865" s="25">
        <f>(dynamic[orderPrice]-dynamic[productCost])/dynamic[productCost]</f>
        <v>0.5375083474</v>
      </c>
      <c r="O865" s="10">
        <v>28.0</v>
      </c>
      <c r="P865" s="25">
        <v>0.15</v>
      </c>
      <c r="Q865" s="9">
        <f>dynamic[orderPrice]*dynamic[orderQuantity]</f>
        <v>392</v>
      </c>
      <c r="R865" s="9">
        <f>dynamic[orderTotal]*(1-dynamic[discountApllied])</f>
        <v>333.2</v>
      </c>
      <c r="S865" s="9">
        <f>dynamic[revenue]-(dynamic[productCost]*dynamic[orderQuantity])</f>
        <v>78.24203462</v>
      </c>
      <c r="T865" s="25">
        <f>IFERROR(dynamic[profit]/dynamic[revenue], 0)</f>
        <v>0.2348200319</v>
      </c>
    </row>
    <row r="866" ht="15.75" customHeight="1">
      <c r="A866" s="6">
        <v>10572.0</v>
      </c>
      <c r="B866" s="7" t="s">
        <v>40</v>
      </c>
      <c r="C866" s="24" t="str">
        <f>VLOOKUP(dynamic[customerID],customers[],2,FALSE)</f>
        <v>Berglunds snabbköp</v>
      </c>
      <c r="D866" s="24">
        <v>45095.0</v>
      </c>
      <c r="E866" s="6">
        <f>IFERROR(__xludf.DUMMYFUNCTION("COUNTUNIQUEIFS($A$2:$A866,$B$2:$B866,B866)"),7.0)</f>
        <v>7</v>
      </c>
      <c r="F866" s="6">
        <f t="shared" si="1"/>
        <v>48</v>
      </c>
      <c r="G866" s="6" t="str">
        <f>IF(MINIFS(dynamic[orderDate], dynamic[customerID], B866) &gt;= DATE(2024,4,30)-120, 
     "New", 
     IF(MAXIFS(dynamic[orderCount], dynamic[customerID], B866)&lt;=2, 
        IF((DATE(2024,4,30) - MAXIFS(dynamic[orderDate], dynamic[customerID], B866)) &gt; 180, "Non-Returning", "Dormant"), 
        IF(AND(MAX(dynamic[sinceLastOrder]) &gt; 365, (DATE(2024,4,30) - MAXIFS(dynamic[orderDate], dynamic[customerID], B866)) &gt; 180), 
           "Dormant", "Regular")))</f>
        <v>Regular</v>
      </c>
      <c r="H866" s="6">
        <v>16.0</v>
      </c>
      <c r="I866" s="9" t="str">
        <f>VLOOKUP(dynamic[productID],products[],2,FALSE)</f>
        <v>Pavlova</v>
      </c>
      <c r="J866" s="9" t="str">
        <f>VLOOKUP(dynamic[productID],products[],12,FALSE)</f>
        <v>Confections</v>
      </c>
      <c r="K866" s="7" t="str">
        <f>IF(VLOOKUP(dynamic[productID],products[],7,FALSE)=1,"Discontinued","Current")</f>
        <v>Current</v>
      </c>
      <c r="L866" s="9">
        <f>VLOOKUP(dynamic[productID],products[],IF(YEAR(dynamic[orderDate])=2022,8,IF(YEAR(dynamic[orderDate])=2023,9,IF(YEAR(dynamic[orderDate])=2024,10,NA))),FALSE)</f>
        <v>11.98504839</v>
      </c>
      <c r="M866" s="9">
        <v>17.45</v>
      </c>
      <c r="N866" s="25">
        <f>(dynamic[orderPrice]-dynamic[productCost])/dynamic[productCost]</f>
        <v>0.455980771</v>
      </c>
      <c r="O866" s="10">
        <v>12.0</v>
      </c>
      <c r="P866" s="25">
        <v>0.1</v>
      </c>
      <c r="Q866" s="9">
        <f>dynamic[orderPrice]*dynamic[orderQuantity]</f>
        <v>209.4</v>
      </c>
      <c r="R866" s="9">
        <f>dynamic[orderTotal]*(1-dynamic[discountApllied])</f>
        <v>188.46</v>
      </c>
      <c r="S866" s="9">
        <f>dynamic[revenue]-(dynamic[productCost]*dynamic[orderQuantity])</f>
        <v>44.63941929</v>
      </c>
      <c r="T866" s="25">
        <f>IFERROR(dynamic[profit]/dynamic[revenue], 0)</f>
        <v>0.2368641584</v>
      </c>
    </row>
    <row r="867" ht="15.75" customHeight="1">
      <c r="A867" s="6">
        <v>10572.0</v>
      </c>
      <c r="B867" s="7" t="s">
        <v>40</v>
      </c>
      <c r="C867" s="24" t="str">
        <f>VLOOKUP(dynamic[customerID],customers[],2,FALSE)</f>
        <v>Berglunds snabbköp</v>
      </c>
      <c r="D867" s="24">
        <v>45095.0</v>
      </c>
      <c r="E867" s="6">
        <f>IFERROR(__xludf.DUMMYFUNCTION("COUNTUNIQUEIFS($A$2:$A867,$B$2:$B867,B867)"),7.0)</f>
        <v>7</v>
      </c>
      <c r="F867" s="6">
        <f t="shared" si="1"/>
        <v>48</v>
      </c>
      <c r="G867" s="6" t="str">
        <f>IF(MINIFS(dynamic[orderDate], dynamic[customerID], B867) &gt;= DATE(2024,4,30)-120, 
     "New", 
     IF(MAXIFS(dynamic[orderCount], dynamic[customerID], B867)&lt;=2, 
        IF((DATE(2024,4,30) - MAXIFS(dynamic[orderDate], dynamic[customerID], B867)) &gt; 180, "Non-Returning", "Dormant"), 
        IF(AND(MAX(dynamic[sinceLastOrder]) &gt; 365, (DATE(2024,4,30) - MAXIFS(dynamic[orderDate], dynamic[customerID], B867)) &gt; 180), 
           "Dormant", "Regular")))</f>
        <v>Regular</v>
      </c>
      <c r="H867" s="6">
        <v>32.0</v>
      </c>
      <c r="I867" s="9" t="str">
        <f>VLOOKUP(dynamic[productID],products[],2,FALSE)</f>
        <v>Mascarpone Fabioli</v>
      </c>
      <c r="J867" s="9" t="str">
        <f>VLOOKUP(dynamic[productID],products[],12,FALSE)</f>
        <v>Dairy Products</v>
      </c>
      <c r="K867" s="7" t="str">
        <f>IF(VLOOKUP(dynamic[productID],products[],7,FALSE)=1,"Discontinued","Current")</f>
        <v>Current</v>
      </c>
      <c r="L867" s="9">
        <f>VLOOKUP(dynamic[productID],products[],IF(YEAR(dynamic[orderDate])=2022,8,IF(YEAR(dynamic[orderDate])=2023,9,IF(YEAR(dynamic[orderDate])=2024,10,NA))),FALSE)</f>
        <v>21.58120628</v>
      </c>
      <c r="M867" s="9">
        <v>32.0</v>
      </c>
      <c r="N867" s="25">
        <f>(dynamic[orderPrice]-dynamic[productCost])/dynamic[productCost]</f>
        <v>0.4827716106</v>
      </c>
      <c r="O867" s="10">
        <v>10.0</v>
      </c>
      <c r="P867" s="25">
        <v>0.1</v>
      </c>
      <c r="Q867" s="9">
        <f>dynamic[orderPrice]*dynamic[orderQuantity]</f>
        <v>320</v>
      </c>
      <c r="R867" s="9">
        <f>dynamic[orderTotal]*(1-dynamic[discountApllied])</f>
        <v>288</v>
      </c>
      <c r="S867" s="9">
        <f>dynamic[revenue]-(dynamic[productCost]*dynamic[orderQuantity])</f>
        <v>72.18793716</v>
      </c>
      <c r="T867" s="25">
        <f>IFERROR(dynamic[profit]/dynamic[revenue], 0)</f>
        <v>0.2506525596</v>
      </c>
    </row>
    <row r="868" ht="15.75" customHeight="1">
      <c r="A868" s="6">
        <v>10572.0</v>
      </c>
      <c r="B868" s="7" t="s">
        <v>40</v>
      </c>
      <c r="C868" s="24" t="str">
        <f>VLOOKUP(dynamic[customerID],customers[],2,FALSE)</f>
        <v>Berglunds snabbköp</v>
      </c>
      <c r="D868" s="24">
        <v>45095.0</v>
      </c>
      <c r="E868" s="6">
        <f>IFERROR(__xludf.DUMMYFUNCTION("COUNTUNIQUEIFS($A$2:$A868,$B$2:$B868,B868)"),7.0)</f>
        <v>7</v>
      </c>
      <c r="F868" s="6">
        <f t="shared" si="1"/>
        <v>48</v>
      </c>
      <c r="G868" s="6" t="str">
        <f>IF(MINIFS(dynamic[orderDate], dynamic[customerID], B868) &gt;= DATE(2024,4,30)-120, 
     "New", 
     IF(MAXIFS(dynamic[orderCount], dynamic[customerID], B868)&lt;=2, 
        IF((DATE(2024,4,30) - MAXIFS(dynamic[orderDate], dynamic[customerID], B868)) &gt; 180, "Non-Returning", "Dormant"), 
        IF(AND(MAX(dynamic[sinceLastOrder]) &gt; 365, (DATE(2024,4,30) - MAXIFS(dynamic[orderDate], dynamic[customerID], B868)) &gt; 180), 
           "Dormant", "Regular")))</f>
        <v>Regular</v>
      </c>
      <c r="H868" s="6">
        <v>40.0</v>
      </c>
      <c r="I868" s="9" t="str">
        <f>VLOOKUP(dynamic[productID],products[],2,FALSE)</f>
        <v>Boston Crab Meat</v>
      </c>
      <c r="J868" s="9" t="str">
        <f>VLOOKUP(dynamic[productID],products[],12,FALSE)</f>
        <v>Seafood</v>
      </c>
      <c r="K868" s="7" t="str">
        <f>IF(VLOOKUP(dynamic[productID],products[],7,FALSE)=1,"Discontinued","Current")</f>
        <v>Current</v>
      </c>
      <c r="L868" s="9">
        <f>VLOOKUP(dynamic[productID],products[],IF(YEAR(dynamic[orderDate])=2022,8,IF(YEAR(dynamic[orderDate])=2023,9,IF(YEAR(dynamic[orderDate])=2024,10,NA))),FALSE)</f>
        <v>11.40496523</v>
      </c>
      <c r="M868" s="9">
        <v>18.4</v>
      </c>
      <c r="N868" s="25">
        <f>(dynamic[orderPrice]-dynamic[productCost])/dynamic[productCost]</f>
        <v>0.6133324069</v>
      </c>
      <c r="O868" s="10">
        <v>50.0</v>
      </c>
      <c r="P868" s="25">
        <v>0.0</v>
      </c>
      <c r="Q868" s="9">
        <f>dynamic[orderPrice]*dynamic[orderQuantity]</f>
        <v>920</v>
      </c>
      <c r="R868" s="9">
        <f>dynamic[orderTotal]*(1-dynamic[discountApllied])</f>
        <v>920</v>
      </c>
      <c r="S868" s="9">
        <f>dynamic[revenue]-(dynamic[productCost]*dynamic[orderQuantity])</f>
        <v>349.7517386</v>
      </c>
      <c r="T868" s="25">
        <f>IFERROR(dynamic[profit]/dynamic[revenue], 0)</f>
        <v>0.3801649333</v>
      </c>
    </row>
    <row r="869" ht="15.75" customHeight="1">
      <c r="A869" s="6">
        <v>10572.0</v>
      </c>
      <c r="B869" s="7" t="s">
        <v>40</v>
      </c>
      <c r="C869" s="24" t="str">
        <f>VLOOKUP(dynamic[customerID],customers[],2,FALSE)</f>
        <v>Berglunds snabbköp</v>
      </c>
      <c r="D869" s="24">
        <v>45095.0</v>
      </c>
      <c r="E869" s="6">
        <f>IFERROR(__xludf.DUMMYFUNCTION("COUNTUNIQUEIFS($A$2:$A869,$B$2:$B869,B869)"),7.0)</f>
        <v>7</v>
      </c>
      <c r="F869" s="6">
        <f t="shared" si="1"/>
        <v>48</v>
      </c>
      <c r="G869" s="6" t="str">
        <f>IF(MINIFS(dynamic[orderDate], dynamic[customerID], B869) &gt;= DATE(2024,4,30)-120, 
     "New", 
     IF(MAXIFS(dynamic[orderCount], dynamic[customerID], B869)&lt;=2, 
        IF((DATE(2024,4,30) - MAXIFS(dynamic[orderDate], dynamic[customerID], B869)) &gt; 180, "Non-Returning", "Dormant"), 
        IF(AND(MAX(dynamic[sinceLastOrder]) &gt; 365, (DATE(2024,4,30) - MAXIFS(dynamic[orderDate], dynamic[customerID], B869)) &gt; 180), 
           "Dormant", "Regular")))</f>
        <v>Regular</v>
      </c>
      <c r="H869" s="6">
        <v>75.0</v>
      </c>
      <c r="I869" s="9" t="str">
        <f>VLOOKUP(dynamic[productID],products[],2,FALSE)</f>
        <v>Rhönbräu Klosterbier</v>
      </c>
      <c r="J869" s="9" t="str">
        <f>VLOOKUP(dynamic[productID],products[],12,FALSE)</f>
        <v>Beverages</v>
      </c>
      <c r="K869" s="7" t="str">
        <f>IF(VLOOKUP(dynamic[productID],products[],7,FALSE)=1,"Discontinued","Current")</f>
        <v>Current</v>
      </c>
      <c r="L869" s="9">
        <f>VLOOKUP(dynamic[productID],products[],IF(YEAR(dynamic[orderDate])=2022,8,IF(YEAR(dynamic[orderDate])=2023,9,IF(YEAR(dynamic[orderDate])=2024,10,NA))),FALSE)</f>
        <v>5.355290472</v>
      </c>
      <c r="M869" s="9">
        <v>7.75</v>
      </c>
      <c r="N869" s="25">
        <f>(dynamic[orderPrice]-dynamic[productCost])/dynamic[productCost]</f>
        <v>0.4471670661</v>
      </c>
      <c r="O869" s="10">
        <v>15.0</v>
      </c>
      <c r="P869" s="25">
        <v>0.1</v>
      </c>
      <c r="Q869" s="9">
        <f>dynamic[orderPrice]*dynamic[orderQuantity]</f>
        <v>116.25</v>
      </c>
      <c r="R869" s="9">
        <f>dynamic[orderTotal]*(1-dynamic[discountApllied])</f>
        <v>104.625</v>
      </c>
      <c r="S869" s="9">
        <f>dynamic[revenue]-(dynamic[productCost]*dynamic[orderQuantity])</f>
        <v>24.29564292</v>
      </c>
      <c r="T869" s="25">
        <f>IFERROR(dynamic[profit]/dynamic[revenue], 0)</f>
        <v>0.2322164198</v>
      </c>
    </row>
    <row r="870" ht="15.75" customHeight="1">
      <c r="A870" s="6">
        <v>10573.0</v>
      </c>
      <c r="B870" s="7" t="s">
        <v>74</v>
      </c>
      <c r="C870" s="24" t="str">
        <f>VLOOKUP(dynamic[customerID],customers[],2,FALSE)</f>
        <v>Antonio Moreno Taquería</v>
      </c>
      <c r="D870" s="24">
        <v>45096.0</v>
      </c>
      <c r="E870" s="6">
        <f>IFERROR(__xludf.DUMMYFUNCTION("COUNTUNIQUEIFS($A$2:$A870,$B$2:$B870,B870)"),4.0)</f>
        <v>4</v>
      </c>
      <c r="F870" s="6">
        <f t="shared" si="1"/>
        <v>37</v>
      </c>
      <c r="G870" s="6" t="str">
        <f>IF(MINIFS(dynamic[orderDate], dynamic[customerID], B870) &gt;= DATE(2024,4,30)-120, 
     "New", 
     IF(MAXIFS(dynamic[orderCount], dynamic[customerID], B870)&lt;=2, 
        IF((DATE(2024,4,30) - MAXIFS(dynamic[orderDate], dynamic[customerID], B870)) &gt; 180, "Non-Returning", "Dormant"), 
        IF(AND(MAX(dynamic[sinceLastOrder]) &gt; 365, (DATE(2024,4,30) - MAXIFS(dynamic[orderDate], dynamic[customerID], B870)) &gt; 180), 
           "Dormant", "Regular")))</f>
        <v>Regular</v>
      </c>
      <c r="H870" s="6">
        <v>17.0</v>
      </c>
      <c r="I870" s="9" t="str">
        <f>VLOOKUP(dynamic[productID],products[],2,FALSE)</f>
        <v>Alice Mutton</v>
      </c>
      <c r="J870" s="9" t="str">
        <f>VLOOKUP(dynamic[productID],products[],12,FALSE)</f>
        <v>Meat/Poultry</v>
      </c>
      <c r="K870" s="7" t="str">
        <f>IF(VLOOKUP(dynamic[productID],products[],7,FALSE)=1,"Discontinued","Current")</f>
        <v>Discontinued</v>
      </c>
      <c r="L870" s="9">
        <f>VLOOKUP(dynamic[productID],products[],IF(YEAR(dynamic[orderDate])=2022,8,IF(YEAR(dynamic[orderDate])=2023,9,IF(YEAR(dynamic[orderDate])=2024,10,NA))),FALSE)</f>
        <v>24.83130504</v>
      </c>
      <c r="M870" s="9">
        <v>39.0</v>
      </c>
      <c r="N870" s="25">
        <f>(dynamic[orderPrice]-dynamic[productCost])/dynamic[productCost]</f>
        <v>0.5705980792</v>
      </c>
      <c r="O870" s="10">
        <v>18.0</v>
      </c>
      <c r="P870" s="25">
        <v>0.0</v>
      </c>
      <c r="Q870" s="9">
        <f>dynamic[orderPrice]*dynamic[orderQuantity]</f>
        <v>702</v>
      </c>
      <c r="R870" s="9">
        <f>dynamic[orderTotal]*(1-dynamic[discountApllied])</f>
        <v>702</v>
      </c>
      <c r="S870" s="9">
        <f>dynamic[revenue]-(dynamic[productCost]*dynamic[orderQuantity])</f>
        <v>255.0365093</v>
      </c>
      <c r="T870" s="25">
        <f>IFERROR(dynamic[profit]/dynamic[revenue], 0)</f>
        <v>0.3632998708</v>
      </c>
    </row>
    <row r="871" ht="15.75" customHeight="1">
      <c r="A871" s="6">
        <v>10573.0</v>
      </c>
      <c r="B871" s="7" t="s">
        <v>74</v>
      </c>
      <c r="C871" s="24" t="str">
        <f>VLOOKUP(dynamic[customerID],customers[],2,FALSE)</f>
        <v>Antonio Moreno Taquería</v>
      </c>
      <c r="D871" s="24">
        <v>45096.0</v>
      </c>
      <c r="E871" s="6">
        <f>IFERROR(__xludf.DUMMYFUNCTION("COUNTUNIQUEIFS($A$2:$A871,$B$2:$B871,B871)"),4.0)</f>
        <v>4</v>
      </c>
      <c r="F871" s="6">
        <f t="shared" si="1"/>
        <v>37</v>
      </c>
      <c r="G871" s="6" t="str">
        <f>IF(MINIFS(dynamic[orderDate], dynamic[customerID], B871) &gt;= DATE(2024,4,30)-120, 
     "New", 
     IF(MAXIFS(dynamic[orderCount], dynamic[customerID], B871)&lt;=2, 
        IF((DATE(2024,4,30) - MAXIFS(dynamic[orderDate], dynamic[customerID], B871)) &gt; 180, "Non-Returning", "Dormant"), 
        IF(AND(MAX(dynamic[sinceLastOrder]) &gt; 365, (DATE(2024,4,30) - MAXIFS(dynamic[orderDate], dynamic[customerID], B871)) &gt; 180), 
           "Dormant", "Regular")))</f>
        <v>Regular</v>
      </c>
      <c r="H871" s="6">
        <v>34.0</v>
      </c>
      <c r="I871" s="9" t="str">
        <f>VLOOKUP(dynamic[productID],products[],2,FALSE)</f>
        <v>Sasquatch Ale</v>
      </c>
      <c r="J871" s="9" t="str">
        <f>VLOOKUP(dynamic[productID],products[],12,FALSE)</f>
        <v>Beverages</v>
      </c>
      <c r="K871" s="7" t="str">
        <f>IF(VLOOKUP(dynamic[productID],products[],7,FALSE)=1,"Discontinued","Current")</f>
        <v>Current</v>
      </c>
      <c r="L871" s="9">
        <f>VLOOKUP(dynamic[productID],products[],IF(YEAR(dynamic[orderDate])=2022,8,IF(YEAR(dynamic[orderDate])=2023,9,IF(YEAR(dynamic[orderDate])=2024,10,NA))),FALSE)</f>
        <v>8.955654061</v>
      </c>
      <c r="M871" s="9">
        <v>14.0</v>
      </c>
      <c r="N871" s="25">
        <f>(dynamic[orderPrice]-dynamic[productCost])/dynamic[productCost]</f>
        <v>0.5632582394</v>
      </c>
      <c r="O871" s="10">
        <v>40.0</v>
      </c>
      <c r="P871" s="25">
        <v>0.0</v>
      </c>
      <c r="Q871" s="9">
        <f>dynamic[orderPrice]*dynamic[orderQuantity]</f>
        <v>560</v>
      </c>
      <c r="R871" s="9">
        <f>dynamic[orderTotal]*(1-dynamic[discountApllied])</f>
        <v>560</v>
      </c>
      <c r="S871" s="9">
        <f>dynamic[revenue]-(dynamic[productCost]*dynamic[orderQuantity])</f>
        <v>201.7738376</v>
      </c>
      <c r="T871" s="25">
        <f>IFERROR(dynamic[profit]/dynamic[revenue], 0)</f>
        <v>0.3603104242</v>
      </c>
    </row>
    <row r="872" ht="15.75" customHeight="1">
      <c r="A872" s="6">
        <v>10573.0</v>
      </c>
      <c r="B872" s="7" t="s">
        <v>74</v>
      </c>
      <c r="C872" s="24" t="str">
        <f>VLOOKUP(dynamic[customerID],customers[],2,FALSE)</f>
        <v>Antonio Moreno Taquería</v>
      </c>
      <c r="D872" s="24">
        <v>45096.0</v>
      </c>
      <c r="E872" s="6">
        <f>IFERROR(__xludf.DUMMYFUNCTION("COUNTUNIQUEIFS($A$2:$A872,$B$2:$B872,B872)"),4.0)</f>
        <v>4</v>
      </c>
      <c r="F872" s="6">
        <f t="shared" si="1"/>
        <v>37</v>
      </c>
      <c r="G872" s="6" t="str">
        <f>IF(MINIFS(dynamic[orderDate], dynamic[customerID], B872) &gt;= DATE(2024,4,30)-120, 
     "New", 
     IF(MAXIFS(dynamic[orderCount], dynamic[customerID], B872)&lt;=2, 
        IF((DATE(2024,4,30) - MAXIFS(dynamic[orderDate], dynamic[customerID], B872)) &gt; 180, "Non-Returning", "Dormant"), 
        IF(AND(MAX(dynamic[sinceLastOrder]) &gt; 365, (DATE(2024,4,30) - MAXIFS(dynamic[orderDate], dynamic[customerID], B872)) &gt; 180), 
           "Dormant", "Regular")))</f>
        <v>Regular</v>
      </c>
      <c r="H872" s="6">
        <v>53.0</v>
      </c>
      <c r="I872" s="9" t="str">
        <f>VLOOKUP(dynamic[productID],products[],2,FALSE)</f>
        <v>Perth Pasties</v>
      </c>
      <c r="J872" s="9" t="str">
        <f>VLOOKUP(dynamic[productID],products[],12,FALSE)</f>
        <v>Meat/Poultry</v>
      </c>
      <c r="K872" s="7" t="str">
        <f>IF(VLOOKUP(dynamic[productID],products[],7,FALSE)=1,"Discontinued","Current")</f>
        <v>Discontinued</v>
      </c>
      <c r="L872" s="9">
        <f>VLOOKUP(dynamic[productID],products[],IF(YEAR(dynamic[orderDate])=2022,8,IF(YEAR(dynamic[orderDate])=2023,9,IF(YEAR(dynamic[orderDate])=2024,10,NA))),FALSE)</f>
        <v>21.81491556</v>
      </c>
      <c r="M872" s="9">
        <v>32.8</v>
      </c>
      <c r="N872" s="25">
        <f>(dynamic[orderPrice]-dynamic[productCost])/dynamic[productCost]</f>
        <v>0.5035584214</v>
      </c>
      <c r="O872" s="10">
        <v>25.0</v>
      </c>
      <c r="P872" s="25">
        <v>0.0</v>
      </c>
      <c r="Q872" s="9">
        <f>dynamic[orderPrice]*dynamic[orderQuantity]</f>
        <v>820</v>
      </c>
      <c r="R872" s="9">
        <f>dynamic[orderTotal]*(1-dynamic[discountApllied])</f>
        <v>820</v>
      </c>
      <c r="S872" s="9">
        <f>dynamic[revenue]-(dynamic[productCost]*dynamic[orderQuantity])</f>
        <v>274.627111</v>
      </c>
      <c r="T872" s="25">
        <f>IFERROR(dynamic[profit]/dynamic[revenue], 0)</f>
        <v>0.334911111</v>
      </c>
    </row>
    <row r="873" ht="15.75" customHeight="1">
      <c r="A873" s="6">
        <v>10574.0</v>
      </c>
      <c r="B873" s="7" t="s">
        <v>96</v>
      </c>
      <c r="C873" s="24" t="str">
        <f>VLOOKUP(dynamic[customerID],customers[],2,FALSE)</f>
        <v>Trail's Head Gourmet Provisioners</v>
      </c>
      <c r="D873" s="24">
        <v>45096.0</v>
      </c>
      <c r="E873" s="6">
        <f>IFERROR(__xludf.DUMMYFUNCTION("COUNTUNIQUEIFS($A$2:$A873,$B$2:$B873,B873)"),1.0)</f>
        <v>1</v>
      </c>
      <c r="F873" s="6">
        <f t="shared" si="1"/>
        <v>0</v>
      </c>
      <c r="G873" s="6" t="str">
        <f>IF(MINIFS(dynamic[orderDate], dynamic[customerID], B873) &gt;= DATE(2024,4,30)-120, 
     "New", 
     IF(MAXIFS(dynamic[orderCount], dynamic[customerID], B873)&lt;=2, 
        IF((DATE(2024,4,30) - MAXIFS(dynamic[orderDate], dynamic[customerID], B873)) &gt; 180, "Non-Returning", "Dormant"), 
        IF(AND(MAX(dynamic[sinceLastOrder]) &gt; 365, (DATE(2024,4,30) - MAXIFS(dynamic[orderDate], dynamic[customerID], B873)) &gt; 180), 
           "Dormant", "Regular")))</f>
        <v>Regular</v>
      </c>
      <c r="H873" s="6">
        <v>33.0</v>
      </c>
      <c r="I873" s="9" t="str">
        <f>VLOOKUP(dynamic[productID],products[],2,FALSE)</f>
        <v>Geitost</v>
      </c>
      <c r="J873" s="9" t="str">
        <f>VLOOKUP(dynamic[productID],products[],12,FALSE)</f>
        <v>Dairy Products</v>
      </c>
      <c r="K873" s="7" t="str">
        <f>IF(VLOOKUP(dynamic[productID],products[],7,FALSE)=1,"Discontinued","Current")</f>
        <v>Current</v>
      </c>
      <c r="L873" s="9">
        <f>VLOOKUP(dynamic[productID],products[],IF(YEAR(dynamic[orderDate])=2022,8,IF(YEAR(dynamic[orderDate])=2023,9,IF(YEAR(dynamic[orderDate])=2024,10,NA))),FALSE)</f>
        <v>1.559072298</v>
      </c>
      <c r="M873" s="9">
        <v>2.5</v>
      </c>
      <c r="N873" s="25">
        <f>(dynamic[orderPrice]-dynamic[productCost])/dynamic[productCost]</f>
        <v>0.603517684</v>
      </c>
      <c r="O873" s="10">
        <v>14.0</v>
      </c>
      <c r="P873" s="25">
        <v>0.0</v>
      </c>
      <c r="Q873" s="9">
        <f>dynamic[orderPrice]*dynamic[orderQuantity]</f>
        <v>35</v>
      </c>
      <c r="R873" s="9">
        <f>dynamic[orderTotal]*(1-dynamic[discountApllied])</f>
        <v>35</v>
      </c>
      <c r="S873" s="9">
        <f>dynamic[revenue]-(dynamic[productCost]*dynamic[orderQuantity])</f>
        <v>13.17298783</v>
      </c>
      <c r="T873" s="25">
        <f>IFERROR(dynamic[profit]/dynamic[revenue], 0)</f>
        <v>0.3763710809</v>
      </c>
    </row>
    <row r="874" ht="15.75" customHeight="1">
      <c r="A874" s="6">
        <v>10574.0</v>
      </c>
      <c r="B874" s="7" t="s">
        <v>96</v>
      </c>
      <c r="C874" s="24" t="str">
        <f>VLOOKUP(dynamic[customerID],customers[],2,FALSE)</f>
        <v>Trail's Head Gourmet Provisioners</v>
      </c>
      <c r="D874" s="24">
        <v>45096.0</v>
      </c>
      <c r="E874" s="6">
        <f>IFERROR(__xludf.DUMMYFUNCTION("COUNTUNIQUEIFS($A$2:$A874,$B$2:$B874,B874)"),1.0)</f>
        <v>1</v>
      </c>
      <c r="F874" s="6">
        <f t="shared" si="1"/>
        <v>0</v>
      </c>
      <c r="G874" s="6" t="str">
        <f>IF(MINIFS(dynamic[orderDate], dynamic[customerID], B874) &gt;= DATE(2024,4,30)-120, 
     "New", 
     IF(MAXIFS(dynamic[orderCount], dynamic[customerID], B874)&lt;=2, 
        IF((DATE(2024,4,30) - MAXIFS(dynamic[orderDate], dynamic[customerID], B874)) &gt; 180, "Non-Returning", "Dormant"), 
        IF(AND(MAX(dynamic[sinceLastOrder]) &gt; 365, (DATE(2024,4,30) - MAXIFS(dynamic[orderDate], dynamic[customerID], B874)) &gt; 180), 
           "Dormant", "Regular")))</f>
        <v>Regular</v>
      </c>
      <c r="H874" s="6">
        <v>40.0</v>
      </c>
      <c r="I874" s="9" t="str">
        <f>VLOOKUP(dynamic[productID],products[],2,FALSE)</f>
        <v>Boston Crab Meat</v>
      </c>
      <c r="J874" s="9" t="str">
        <f>VLOOKUP(dynamic[productID],products[],12,FALSE)</f>
        <v>Seafood</v>
      </c>
      <c r="K874" s="7" t="str">
        <f>IF(VLOOKUP(dynamic[productID],products[],7,FALSE)=1,"Discontinued","Current")</f>
        <v>Current</v>
      </c>
      <c r="L874" s="9">
        <f>VLOOKUP(dynamic[productID],products[],IF(YEAR(dynamic[orderDate])=2022,8,IF(YEAR(dynamic[orderDate])=2023,9,IF(YEAR(dynamic[orderDate])=2024,10,NA))),FALSE)</f>
        <v>11.40496523</v>
      </c>
      <c r="M874" s="9">
        <v>18.4</v>
      </c>
      <c r="N874" s="25">
        <f>(dynamic[orderPrice]-dynamic[productCost])/dynamic[productCost]</f>
        <v>0.6133324069</v>
      </c>
      <c r="O874" s="10">
        <v>2.0</v>
      </c>
      <c r="P874" s="25">
        <v>0.0</v>
      </c>
      <c r="Q874" s="9">
        <f>dynamic[orderPrice]*dynamic[orderQuantity]</f>
        <v>36.8</v>
      </c>
      <c r="R874" s="9">
        <f>dynamic[orderTotal]*(1-dynamic[discountApllied])</f>
        <v>36.8</v>
      </c>
      <c r="S874" s="9">
        <f>dynamic[revenue]-(dynamic[productCost]*dynamic[orderQuantity])</f>
        <v>13.99006955</v>
      </c>
      <c r="T874" s="25">
        <f>IFERROR(dynamic[profit]/dynamic[revenue], 0)</f>
        <v>0.3801649333</v>
      </c>
    </row>
    <row r="875" ht="15.75" customHeight="1">
      <c r="A875" s="6">
        <v>10574.0</v>
      </c>
      <c r="B875" s="7" t="s">
        <v>96</v>
      </c>
      <c r="C875" s="24" t="str">
        <f>VLOOKUP(dynamic[customerID],customers[],2,FALSE)</f>
        <v>Trail's Head Gourmet Provisioners</v>
      </c>
      <c r="D875" s="24">
        <v>45096.0</v>
      </c>
      <c r="E875" s="6">
        <f>IFERROR(__xludf.DUMMYFUNCTION("COUNTUNIQUEIFS($A$2:$A875,$B$2:$B875,B875)"),1.0)</f>
        <v>1</v>
      </c>
      <c r="F875" s="6">
        <f t="shared" si="1"/>
        <v>0</v>
      </c>
      <c r="G875" s="6" t="str">
        <f>IF(MINIFS(dynamic[orderDate], dynamic[customerID], B875) &gt;= DATE(2024,4,30)-120, 
     "New", 
     IF(MAXIFS(dynamic[orderCount], dynamic[customerID], B875)&lt;=2, 
        IF((DATE(2024,4,30) - MAXIFS(dynamic[orderDate], dynamic[customerID], B875)) &gt; 180, "Non-Returning", "Dormant"), 
        IF(AND(MAX(dynamic[sinceLastOrder]) &gt; 365, (DATE(2024,4,30) - MAXIFS(dynamic[orderDate], dynamic[customerID], B875)) &gt; 180), 
           "Dormant", "Regular")))</f>
        <v>Regular</v>
      </c>
      <c r="H875" s="6">
        <v>62.0</v>
      </c>
      <c r="I875" s="9" t="str">
        <f>VLOOKUP(dynamic[productID],products[],2,FALSE)</f>
        <v>Tarte au sucre</v>
      </c>
      <c r="J875" s="9" t="str">
        <f>VLOOKUP(dynamic[productID],products[],12,FALSE)</f>
        <v>Confections</v>
      </c>
      <c r="K875" s="7" t="str">
        <f>IF(VLOOKUP(dynamic[productID],products[],7,FALSE)=1,"Discontinued","Current")</f>
        <v>Current</v>
      </c>
      <c r="L875" s="9">
        <f>VLOOKUP(dynamic[productID],products[],IF(YEAR(dynamic[orderDate])=2022,8,IF(YEAR(dynamic[orderDate])=2023,9,IF(YEAR(dynamic[orderDate])=2024,10,NA))),FALSE)</f>
        <v>35.34792781</v>
      </c>
      <c r="M875" s="9">
        <v>49.3</v>
      </c>
      <c r="N875" s="25">
        <f>(dynamic[orderPrice]-dynamic[productCost])/dynamic[productCost]</f>
        <v>0.3947069335</v>
      </c>
      <c r="O875" s="10">
        <v>10.0</v>
      </c>
      <c r="P875" s="25">
        <v>0.0</v>
      </c>
      <c r="Q875" s="9">
        <f>dynamic[orderPrice]*dynamic[orderQuantity]</f>
        <v>493</v>
      </c>
      <c r="R875" s="9">
        <f>dynamic[orderTotal]*(1-dynamic[discountApllied])</f>
        <v>493</v>
      </c>
      <c r="S875" s="9">
        <f>dynamic[revenue]-(dynamic[productCost]*dynamic[orderQuantity])</f>
        <v>139.5207219</v>
      </c>
      <c r="T875" s="25">
        <f>IFERROR(dynamic[profit]/dynamic[revenue], 0)</f>
        <v>0.2830034927</v>
      </c>
    </row>
    <row r="876" ht="15.75" customHeight="1">
      <c r="A876" s="6">
        <v>10574.0</v>
      </c>
      <c r="B876" s="7" t="s">
        <v>96</v>
      </c>
      <c r="C876" s="24" t="str">
        <f>VLOOKUP(dynamic[customerID],customers[],2,FALSE)</f>
        <v>Trail's Head Gourmet Provisioners</v>
      </c>
      <c r="D876" s="24">
        <v>45096.0</v>
      </c>
      <c r="E876" s="6">
        <f>IFERROR(__xludf.DUMMYFUNCTION("COUNTUNIQUEIFS($A$2:$A876,$B$2:$B876,B876)"),1.0)</f>
        <v>1</v>
      </c>
      <c r="F876" s="6">
        <f t="shared" si="1"/>
        <v>0</v>
      </c>
      <c r="G876" s="6" t="str">
        <f>IF(MINIFS(dynamic[orderDate], dynamic[customerID], B876) &gt;= DATE(2024,4,30)-120, 
     "New", 
     IF(MAXIFS(dynamic[orderCount], dynamic[customerID], B876)&lt;=2, 
        IF((DATE(2024,4,30) - MAXIFS(dynamic[orderDate], dynamic[customerID], B876)) &gt; 180, "Non-Returning", "Dormant"), 
        IF(AND(MAX(dynamic[sinceLastOrder]) &gt; 365, (DATE(2024,4,30) - MAXIFS(dynamic[orderDate], dynamic[customerID], B876)) &gt; 180), 
           "Dormant", "Regular")))</f>
        <v>Regular</v>
      </c>
      <c r="H876" s="6">
        <v>64.0</v>
      </c>
      <c r="I876" s="9" t="str">
        <f>VLOOKUP(dynamic[productID],products[],2,FALSE)</f>
        <v>Lukas' leckere Sauerteigweggla</v>
      </c>
      <c r="J876" s="9" t="str">
        <f>VLOOKUP(dynamic[productID],products[],12,FALSE)</f>
        <v>Grains/Cereals</v>
      </c>
      <c r="K876" s="7" t="str">
        <f>IF(VLOOKUP(dynamic[productID],products[],7,FALSE)=1,"Discontinued","Current")</f>
        <v>Current</v>
      </c>
      <c r="L876" s="9">
        <f>VLOOKUP(dynamic[productID],products[],IF(YEAR(dynamic[orderDate])=2022,8,IF(YEAR(dynamic[orderDate])=2023,9,IF(YEAR(dynamic[orderDate])=2024,10,NA))),FALSE)</f>
        <v>21.88572728</v>
      </c>
      <c r="M876" s="9">
        <v>33.25</v>
      </c>
      <c r="N876" s="25">
        <f>(dynamic[orderPrice]-dynamic[productCost])/dynamic[productCost]</f>
        <v>0.5192549724</v>
      </c>
      <c r="O876" s="10">
        <v>6.0</v>
      </c>
      <c r="P876" s="25">
        <v>0.0</v>
      </c>
      <c r="Q876" s="9">
        <f>dynamic[orderPrice]*dynamic[orderQuantity]</f>
        <v>199.5</v>
      </c>
      <c r="R876" s="9">
        <f>dynamic[orderTotal]*(1-dynamic[discountApllied])</f>
        <v>199.5</v>
      </c>
      <c r="S876" s="9">
        <f>dynamic[revenue]-(dynamic[productCost]*dynamic[orderQuantity])</f>
        <v>68.1856363</v>
      </c>
      <c r="T876" s="25">
        <f>IFERROR(dynamic[profit]/dynamic[revenue], 0)</f>
        <v>0.3417826381</v>
      </c>
    </row>
    <row r="877" ht="15.75" customHeight="1">
      <c r="A877" s="6">
        <v>10575.0</v>
      </c>
      <c r="B877" s="7" t="s">
        <v>39</v>
      </c>
      <c r="C877" s="24" t="str">
        <f>VLOOKUP(dynamic[customerID],customers[],2,FALSE)</f>
        <v>Morgenstern Gesundkost</v>
      </c>
      <c r="D877" s="24">
        <v>45097.0</v>
      </c>
      <c r="E877" s="6">
        <f>IFERROR(__xludf.DUMMYFUNCTION("COUNTUNIQUEIFS($A$2:$A877,$B$2:$B877,B877)"),2.0)</f>
        <v>2</v>
      </c>
      <c r="F877" s="6">
        <f t="shared" si="1"/>
        <v>315</v>
      </c>
      <c r="G877" s="6" t="str">
        <f>IF(MINIFS(dynamic[orderDate], dynamic[customerID], B877) &gt;= DATE(2024,4,30)-120, 
     "New", 
     IF(MAXIFS(dynamic[orderCount], dynamic[customerID], B877)&lt;=2, 
        IF((DATE(2024,4,30) - MAXIFS(dynamic[orderDate], dynamic[customerID], B877)) &gt; 180, "Non-Returning", "Dormant"), 
        IF(AND(MAX(dynamic[sinceLastOrder]) &gt; 365, (DATE(2024,4,30) - MAXIFS(dynamic[orderDate], dynamic[customerID], B877)) &gt; 180), 
           "Dormant", "Regular")))</f>
        <v>Regular</v>
      </c>
      <c r="H877" s="6">
        <v>59.0</v>
      </c>
      <c r="I877" s="9" t="str">
        <f>VLOOKUP(dynamic[productID],products[],2,FALSE)</f>
        <v>Raclette Courdavault</v>
      </c>
      <c r="J877" s="9" t="str">
        <f>VLOOKUP(dynamic[productID],products[],12,FALSE)</f>
        <v>Dairy Products</v>
      </c>
      <c r="K877" s="7" t="str">
        <f>IF(VLOOKUP(dynamic[productID],products[],7,FALSE)=1,"Discontinued","Current")</f>
        <v>Current</v>
      </c>
      <c r="L877" s="9">
        <f>VLOOKUP(dynamic[productID],products[],IF(YEAR(dynamic[orderDate])=2022,8,IF(YEAR(dynamic[orderDate])=2023,9,IF(YEAR(dynamic[orderDate])=2024,10,NA))),FALSE)</f>
        <v>35.20472566</v>
      </c>
      <c r="M877" s="9">
        <v>55.0</v>
      </c>
      <c r="N877" s="25">
        <f>(dynamic[orderPrice]-dynamic[productCost])/dynamic[productCost]</f>
        <v>0.5622902598</v>
      </c>
      <c r="O877" s="10">
        <v>12.0</v>
      </c>
      <c r="P877" s="25">
        <v>0.0</v>
      </c>
      <c r="Q877" s="9">
        <f>dynamic[orderPrice]*dynamic[orderQuantity]</f>
        <v>660</v>
      </c>
      <c r="R877" s="9">
        <f>dynamic[orderTotal]*(1-dynamic[discountApllied])</f>
        <v>660</v>
      </c>
      <c r="S877" s="9">
        <f>dynamic[revenue]-(dynamic[productCost]*dynamic[orderQuantity])</f>
        <v>237.5432921</v>
      </c>
      <c r="T877" s="25">
        <f>IFERROR(dynamic[profit]/dynamic[revenue], 0)</f>
        <v>0.3599140789</v>
      </c>
    </row>
    <row r="878" ht="15.75" customHeight="1">
      <c r="A878" s="6">
        <v>10575.0</v>
      </c>
      <c r="B878" s="7" t="s">
        <v>39</v>
      </c>
      <c r="C878" s="24" t="str">
        <f>VLOOKUP(dynamic[customerID],customers[],2,FALSE)</f>
        <v>Morgenstern Gesundkost</v>
      </c>
      <c r="D878" s="24">
        <v>45097.0</v>
      </c>
      <c r="E878" s="6">
        <f>IFERROR(__xludf.DUMMYFUNCTION("COUNTUNIQUEIFS($A$2:$A878,$B$2:$B878,B878)"),2.0)</f>
        <v>2</v>
      </c>
      <c r="F878" s="6">
        <f t="shared" si="1"/>
        <v>315</v>
      </c>
      <c r="G878" s="6" t="str">
        <f>IF(MINIFS(dynamic[orderDate], dynamic[customerID], B878) &gt;= DATE(2024,4,30)-120, 
     "New", 
     IF(MAXIFS(dynamic[orderCount], dynamic[customerID], B878)&lt;=2, 
        IF((DATE(2024,4,30) - MAXIFS(dynamic[orderDate], dynamic[customerID], B878)) &gt; 180, "Non-Returning", "Dormant"), 
        IF(AND(MAX(dynamic[sinceLastOrder]) &gt; 365, (DATE(2024,4,30) - MAXIFS(dynamic[orderDate], dynamic[customerID], B878)) &gt; 180), 
           "Dormant", "Regular")))</f>
        <v>Regular</v>
      </c>
      <c r="H878" s="6">
        <v>63.0</v>
      </c>
      <c r="I878" s="9" t="str">
        <f>VLOOKUP(dynamic[productID],products[],2,FALSE)</f>
        <v>Vegie-spread</v>
      </c>
      <c r="J878" s="9" t="str">
        <f>VLOOKUP(dynamic[productID],products[],12,FALSE)</f>
        <v>Condiments</v>
      </c>
      <c r="K878" s="7" t="str">
        <f>IF(VLOOKUP(dynamic[productID],products[],7,FALSE)=1,"Discontinued","Current")</f>
        <v>Current</v>
      </c>
      <c r="L878" s="9">
        <f>VLOOKUP(dynamic[productID],products[],IF(YEAR(dynamic[orderDate])=2022,8,IF(YEAR(dynamic[orderDate])=2023,9,IF(YEAR(dynamic[orderDate])=2024,10,NA))),FALSE)</f>
        <v>27.72225706</v>
      </c>
      <c r="M878" s="9">
        <v>43.9</v>
      </c>
      <c r="N878" s="25">
        <f>(dynamic[orderPrice]-dynamic[productCost])/dynamic[productCost]</f>
        <v>0.5835651445</v>
      </c>
      <c r="O878" s="10">
        <v>6.0</v>
      </c>
      <c r="P878" s="25">
        <v>0.0</v>
      </c>
      <c r="Q878" s="9">
        <f>dynamic[orderPrice]*dynamic[orderQuantity]</f>
        <v>263.4</v>
      </c>
      <c r="R878" s="9">
        <f>dynamic[orderTotal]*(1-dynamic[discountApllied])</f>
        <v>263.4</v>
      </c>
      <c r="S878" s="9">
        <f>dynamic[revenue]-(dynamic[productCost]*dynamic[orderQuantity])</f>
        <v>97.06645766</v>
      </c>
      <c r="T878" s="25">
        <f>IFERROR(dynamic[profit]/dynamic[revenue], 0)</f>
        <v>0.3685135067</v>
      </c>
    </row>
    <row r="879" ht="15.75" customHeight="1">
      <c r="A879" s="6">
        <v>10575.0</v>
      </c>
      <c r="B879" s="7" t="s">
        <v>39</v>
      </c>
      <c r="C879" s="24" t="str">
        <f>VLOOKUP(dynamic[customerID],customers[],2,FALSE)</f>
        <v>Morgenstern Gesundkost</v>
      </c>
      <c r="D879" s="24">
        <v>45097.0</v>
      </c>
      <c r="E879" s="6">
        <f>IFERROR(__xludf.DUMMYFUNCTION("COUNTUNIQUEIFS($A$2:$A879,$B$2:$B879,B879)"),2.0)</f>
        <v>2</v>
      </c>
      <c r="F879" s="6">
        <f t="shared" si="1"/>
        <v>315</v>
      </c>
      <c r="G879" s="6" t="str">
        <f>IF(MINIFS(dynamic[orderDate], dynamic[customerID], B879) &gt;= DATE(2024,4,30)-120, 
     "New", 
     IF(MAXIFS(dynamic[orderCount], dynamic[customerID], B879)&lt;=2, 
        IF((DATE(2024,4,30) - MAXIFS(dynamic[orderDate], dynamic[customerID], B879)) &gt; 180, "Non-Returning", "Dormant"), 
        IF(AND(MAX(dynamic[sinceLastOrder]) &gt; 365, (DATE(2024,4,30) - MAXIFS(dynamic[orderDate], dynamic[customerID], B879)) &gt; 180), 
           "Dormant", "Regular")))</f>
        <v>Regular</v>
      </c>
      <c r="H879" s="6">
        <v>72.0</v>
      </c>
      <c r="I879" s="9" t="str">
        <f>VLOOKUP(dynamic[productID],products[],2,FALSE)</f>
        <v>Mozzarella di Giovanni</v>
      </c>
      <c r="J879" s="9" t="str">
        <f>VLOOKUP(dynamic[productID],products[],12,FALSE)</f>
        <v>Dairy Products</v>
      </c>
      <c r="K879" s="7" t="str">
        <f>IF(VLOOKUP(dynamic[productID],products[],7,FALSE)=1,"Discontinued","Current")</f>
        <v>Current</v>
      </c>
      <c r="L879" s="9">
        <f>VLOOKUP(dynamic[productID],products[],IF(YEAR(dynamic[orderDate])=2022,8,IF(YEAR(dynamic[orderDate])=2023,9,IF(YEAR(dynamic[orderDate])=2024,10,NA))),FALSE)</f>
        <v>23.51933768</v>
      </c>
      <c r="M879" s="9">
        <v>34.8</v>
      </c>
      <c r="N879" s="25">
        <f>(dynamic[orderPrice]-dynamic[productCost])/dynamic[productCost]</f>
        <v>0.4796335031</v>
      </c>
      <c r="O879" s="10">
        <v>30.0</v>
      </c>
      <c r="P879" s="25">
        <v>0.0</v>
      </c>
      <c r="Q879" s="9">
        <f>dynamic[orderPrice]*dynamic[orderQuantity]</f>
        <v>1044</v>
      </c>
      <c r="R879" s="9">
        <f>dynamic[orderTotal]*(1-dynamic[discountApllied])</f>
        <v>1044</v>
      </c>
      <c r="S879" s="9">
        <f>dynamic[revenue]-(dynamic[productCost]*dynamic[orderQuantity])</f>
        <v>338.4198696</v>
      </c>
      <c r="T879" s="25">
        <f>IFERROR(dynamic[profit]/dynamic[revenue], 0)</f>
        <v>0.3241569633</v>
      </c>
    </row>
    <row r="880" ht="15.75" customHeight="1">
      <c r="A880" s="6">
        <v>10575.0</v>
      </c>
      <c r="B880" s="7" t="s">
        <v>39</v>
      </c>
      <c r="C880" s="24" t="str">
        <f>VLOOKUP(dynamic[customerID],customers[],2,FALSE)</f>
        <v>Morgenstern Gesundkost</v>
      </c>
      <c r="D880" s="24">
        <v>45097.0</v>
      </c>
      <c r="E880" s="6">
        <f>IFERROR(__xludf.DUMMYFUNCTION("COUNTUNIQUEIFS($A$2:$A880,$B$2:$B880,B880)"),2.0)</f>
        <v>2</v>
      </c>
      <c r="F880" s="6">
        <f t="shared" si="1"/>
        <v>315</v>
      </c>
      <c r="G880" s="6" t="str">
        <f>IF(MINIFS(dynamic[orderDate], dynamic[customerID], B880) &gt;= DATE(2024,4,30)-120, 
     "New", 
     IF(MAXIFS(dynamic[orderCount], dynamic[customerID], B880)&lt;=2, 
        IF((DATE(2024,4,30) - MAXIFS(dynamic[orderDate], dynamic[customerID], B880)) &gt; 180, "Non-Returning", "Dormant"), 
        IF(AND(MAX(dynamic[sinceLastOrder]) &gt; 365, (DATE(2024,4,30) - MAXIFS(dynamic[orderDate], dynamic[customerID], B880)) &gt; 180), 
           "Dormant", "Regular")))</f>
        <v>Regular</v>
      </c>
      <c r="H880" s="6">
        <v>76.0</v>
      </c>
      <c r="I880" s="9" t="str">
        <f>VLOOKUP(dynamic[productID],products[],2,FALSE)</f>
        <v>Lakkalikööri</v>
      </c>
      <c r="J880" s="9" t="str">
        <f>VLOOKUP(dynamic[productID],products[],12,FALSE)</f>
        <v>Beverages</v>
      </c>
      <c r="K880" s="7" t="str">
        <f>IF(VLOOKUP(dynamic[productID],products[],7,FALSE)=1,"Discontinued","Current")</f>
        <v>Current</v>
      </c>
      <c r="L880" s="9">
        <f>VLOOKUP(dynamic[productID],products[],IF(YEAR(dynamic[orderDate])=2022,8,IF(YEAR(dynamic[orderDate])=2023,9,IF(YEAR(dynamic[orderDate])=2024,10,NA))),FALSE)</f>
        <v>12.1154529</v>
      </c>
      <c r="M880" s="9">
        <v>18.0</v>
      </c>
      <c r="N880" s="25">
        <f>(dynamic[orderPrice]-dynamic[productCost])/dynamic[productCost]</f>
        <v>0.4857059125</v>
      </c>
      <c r="O880" s="10">
        <v>10.0</v>
      </c>
      <c r="P880" s="25">
        <v>0.0</v>
      </c>
      <c r="Q880" s="9">
        <f>dynamic[orderPrice]*dynamic[orderQuantity]</f>
        <v>180</v>
      </c>
      <c r="R880" s="9">
        <f>dynamic[orderTotal]*(1-dynamic[discountApllied])</f>
        <v>180</v>
      </c>
      <c r="S880" s="9">
        <f>dynamic[revenue]-(dynamic[productCost]*dynamic[orderQuantity])</f>
        <v>58.84547105</v>
      </c>
      <c r="T880" s="25">
        <f>IFERROR(dynamic[profit]/dynamic[revenue], 0)</f>
        <v>0.3269192836</v>
      </c>
    </row>
    <row r="881" ht="15.75" customHeight="1">
      <c r="A881" s="6">
        <v>10576.0</v>
      </c>
      <c r="B881" s="7" t="s">
        <v>38</v>
      </c>
      <c r="C881" s="24" t="str">
        <f>VLOOKUP(dynamic[customerID],customers[],2,FALSE)</f>
        <v>Tortuga Restaurante</v>
      </c>
      <c r="D881" s="24">
        <v>45100.0</v>
      </c>
      <c r="E881" s="6">
        <f>IFERROR(__xludf.DUMMYFUNCTION("COUNTUNIQUEIFS($A$2:$A881,$B$2:$B881,B881)"),6.0)</f>
        <v>6</v>
      </c>
      <c r="F881" s="6">
        <f t="shared" si="1"/>
        <v>59</v>
      </c>
      <c r="G881" s="6" t="str">
        <f>IF(MINIFS(dynamic[orderDate], dynamic[customerID], B881) &gt;= DATE(2024,4,30)-120, 
     "New", 
     IF(MAXIFS(dynamic[orderCount], dynamic[customerID], B881)&lt;=2, 
        IF((DATE(2024,4,30) - MAXIFS(dynamic[orderDate], dynamic[customerID], B881)) &gt; 180, "Non-Returning", "Dormant"), 
        IF(AND(MAX(dynamic[sinceLastOrder]) &gt; 365, (DATE(2024,4,30) - MAXIFS(dynamic[orderDate], dynamic[customerID], B881)) &gt; 180), 
           "Dormant", "Regular")))</f>
        <v>Regular</v>
      </c>
      <c r="H881" s="6">
        <v>1.0</v>
      </c>
      <c r="I881" s="9" t="str">
        <f>VLOOKUP(dynamic[productID],products[],2,FALSE)</f>
        <v>Chai</v>
      </c>
      <c r="J881" s="9" t="str">
        <f>VLOOKUP(dynamic[productID],products[],12,FALSE)</f>
        <v>Beverages</v>
      </c>
      <c r="K881" s="7" t="str">
        <f>IF(VLOOKUP(dynamic[productID],products[],7,FALSE)=1,"Discontinued","Current")</f>
        <v>Current</v>
      </c>
      <c r="L881" s="9">
        <f>VLOOKUP(dynamic[productID],products[],IF(YEAR(dynamic[orderDate])=2022,8,IF(YEAR(dynamic[orderDate])=2023,9,IF(YEAR(dynamic[orderDate])=2024,10,NA))),FALSE)</f>
        <v>12.15847607</v>
      </c>
      <c r="M881" s="9">
        <v>18.0</v>
      </c>
      <c r="N881" s="25">
        <f>(dynamic[orderPrice]-dynamic[productCost])/dynamic[productCost]</f>
        <v>0.4804486927</v>
      </c>
      <c r="O881" s="10">
        <v>10.0</v>
      </c>
      <c r="P881" s="25">
        <v>0.0</v>
      </c>
      <c r="Q881" s="9">
        <f>dynamic[orderPrice]*dynamic[orderQuantity]</f>
        <v>180</v>
      </c>
      <c r="R881" s="9">
        <f>dynamic[orderTotal]*(1-dynamic[discountApllied])</f>
        <v>180</v>
      </c>
      <c r="S881" s="9">
        <f>dynamic[revenue]-(dynamic[productCost]*dynamic[orderQuantity])</f>
        <v>58.41523932</v>
      </c>
      <c r="T881" s="25">
        <f>IFERROR(dynamic[profit]/dynamic[revenue], 0)</f>
        <v>0.3245291073</v>
      </c>
    </row>
    <row r="882" ht="15.75" customHeight="1">
      <c r="A882" s="6">
        <v>10576.0</v>
      </c>
      <c r="B882" s="7" t="s">
        <v>38</v>
      </c>
      <c r="C882" s="24" t="str">
        <f>VLOOKUP(dynamic[customerID],customers[],2,FALSE)</f>
        <v>Tortuga Restaurante</v>
      </c>
      <c r="D882" s="24">
        <v>45100.0</v>
      </c>
      <c r="E882" s="6">
        <f>IFERROR(__xludf.DUMMYFUNCTION("COUNTUNIQUEIFS($A$2:$A882,$B$2:$B882,B882)"),6.0)</f>
        <v>6</v>
      </c>
      <c r="F882" s="6">
        <f t="shared" si="1"/>
        <v>59</v>
      </c>
      <c r="G882" s="6" t="str">
        <f>IF(MINIFS(dynamic[orderDate], dynamic[customerID], B882) &gt;= DATE(2024,4,30)-120, 
     "New", 
     IF(MAXIFS(dynamic[orderCount], dynamic[customerID], B882)&lt;=2, 
        IF((DATE(2024,4,30) - MAXIFS(dynamic[orderDate], dynamic[customerID], B882)) &gt; 180, "Non-Returning", "Dormant"), 
        IF(AND(MAX(dynamic[sinceLastOrder]) &gt; 365, (DATE(2024,4,30) - MAXIFS(dynamic[orderDate], dynamic[customerID], B882)) &gt; 180), 
           "Dormant", "Regular")))</f>
        <v>Regular</v>
      </c>
      <c r="H882" s="6">
        <v>31.0</v>
      </c>
      <c r="I882" s="9" t="str">
        <f>VLOOKUP(dynamic[productID],products[],2,FALSE)</f>
        <v>Gorgonzola Telino</v>
      </c>
      <c r="J882" s="9" t="str">
        <f>VLOOKUP(dynamic[productID],products[],12,FALSE)</f>
        <v>Dairy Products</v>
      </c>
      <c r="K882" s="7" t="str">
        <f>IF(VLOOKUP(dynamic[productID],products[],7,FALSE)=1,"Discontinued","Current")</f>
        <v>Current</v>
      </c>
      <c r="L882" s="9">
        <f>VLOOKUP(dynamic[productID],products[],IF(YEAR(dynamic[orderDate])=2022,8,IF(YEAR(dynamic[orderDate])=2023,9,IF(YEAR(dynamic[orderDate])=2024,10,NA))),FALSE)</f>
        <v>7.937729254</v>
      </c>
      <c r="M882" s="9">
        <v>12.5</v>
      </c>
      <c r="N882" s="25">
        <f>(dynamic[orderPrice]-dynamic[productCost])/dynamic[productCost]</f>
        <v>0.5747576668</v>
      </c>
      <c r="O882" s="10">
        <v>20.0</v>
      </c>
      <c r="P882" s="25">
        <v>0.0</v>
      </c>
      <c r="Q882" s="9">
        <f>dynamic[orderPrice]*dynamic[orderQuantity]</f>
        <v>250</v>
      </c>
      <c r="R882" s="9">
        <f>dynamic[orderTotal]*(1-dynamic[discountApllied])</f>
        <v>250</v>
      </c>
      <c r="S882" s="9">
        <f>dynamic[revenue]-(dynamic[productCost]*dynamic[orderQuantity])</f>
        <v>91.24541492</v>
      </c>
      <c r="T882" s="25">
        <f>IFERROR(dynamic[profit]/dynamic[revenue], 0)</f>
        <v>0.3649816597</v>
      </c>
    </row>
    <row r="883" ht="15.75" customHeight="1">
      <c r="A883" s="6">
        <v>10576.0</v>
      </c>
      <c r="B883" s="7" t="s">
        <v>38</v>
      </c>
      <c r="C883" s="24" t="str">
        <f>VLOOKUP(dynamic[customerID],customers[],2,FALSE)</f>
        <v>Tortuga Restaurante</v>
      </c>
      <c r="D883" s="24">
        <v>45100.0</v>
      </c>
      <c r="E883" s="6">
        <f>IFERROR(__xludf.DUMMYFUNCTION("COUNTUNIQUEIFS($A$2:$A883,$B$2:$B883,B883)"),6.0)</f>
        <v>6</v>
      </c>
      <c r="F883" s="6">
        <f t="shared" si="1"/>
        <v>59</v>
      </c>
      <c r="G883" s="6" t="str">
        <f>IF(MINIFS(dynamic[orderDate], dynamic[customerID], B883) &gt;= DATE(2024,4,30)-120, 
     "New", 
     IF(MAXIFS(dynamic[orderCount], dynamic[customerID], B883)&lt;=2, 
        IF((DATE(2024,4,30) - MAXIFS(dynamic[orderDate], dynamic[customerID], B883)) &gt; 180, "Non-Returning", "Dormant"), 
        IF(AND(MAX(dynamic[sinceLastOrder]) &gt; 365, (DATE(2024,4,30) - MAXIFS(dynamic[orderDate], dynamic[customerID], B883)) &gt; 180), 
           "Dormant", "Regular")))</f>
        <v>Regular</v>
      </c>
      <c r="H883" s="6">
        <v>44.0</v>
      </c>
      <c r="I883" s="9" t="str">
        <f>VLOOKUP(dynamic[productID],products[],2,FALSE)</f>
        <v>Gula Malacca</v>
      </c>
      <c r="J883" s="9" t="str">
        <f>VLOOKUP(dynamic[productID],products[],12,FALSE)</f>
        <v>Condiments</v>
      </c>
      <c r="K883" s="7" t="str">
        <f>IF(VLOOKUP(dynamic[productID],products[],7,FALSE)=1,"Discontinued","Current")</f>
        <v>Current</v>
      </c>
      <c r="L883" s="9">
        <f>VLOOKUP(dynamic[productID],products[],IF(YEAR(dynamic[orderDate])=2022,8,IF(YEAR(dynamic[orderDate])=2023,9,IF(YEAR(dynamic[orderDate])=2024,10,NA))),FALSE)</f>
        <v>13.06032103</v>
      </c>
      <c r="M883" s="9">
        <v>19.45</v>
      </c>
      <c r="N883" s="25">
        <f>(dynamic[orderPrice]-dynamic[productCost])/dynamic[productCost]</f>
        <v>0.4892436379</v>
      </c>
      <c r="O883" s="10">
        <v>21.0</v>
      </c>
      <c r="P883" s="25">
        <v>0.0</v>
      </c>
      <c r="Q883" s="9">
        <f>dynamic[orderPrice]*dynamic[orderQuantity]</f>
        <v>408.45</v>
      </c>
      <c r="R883" s="9">
        <f>dynamic[orderTotal]*(1-dynamic[discountApllied])</f>
        <v>408.45</v>
      </c>
      <c r="S883" s="9">
        <f>dynamic[revenue]-(dynamic[productCost]*dynamic[orderQuantity])</f>
        <v>134.1832584</v>
      </c>
      <c r="T883" s="25">
        <f>IFERROR(dynamic[profit]/dynamic[revenue], 0)</f>
        <v>0.3285181991</v>
      </c>
    </row>
    <row r="884" ht="15.75" customHeight="1">
      <c r="A884" s="6">
        <v>10577.0</v>
      </c>
      <c r="B884" s="7" t="s">
        <v>96</v>
      </c>
      <c r="C884" s="24" t="str">
        <f>VLOOKUP(dynamic[customerID],customers[],2,FALSE)</f>
        <v>Trail's Head Gourmet Provisioners</v>
      </c>
      <c r="D884" s="24">
        <v>45100.0</v>
      </c>
      <c r="E884" s="6">
        <f>IFERROR(__xludf.DUMMYFUNCTION("COUNTUNIQUEIFS($A$2:$A884,$B$2:$B884,B884)"),2.0)</f>
        <v>2</v>
      </c>
      <c r="F884" s="6">
        <f t="shared" si="1"/>
        <v>4</v>
      </c>
      <c r="G884" s="6" t="str">
        <f>IF(MINIFS(dynamic[orderDate], dynamic[customerID], B884) &gt;= DATE(2024,4,30)-120, 
     "New", 
     IF(MAXIFS(dynamic[orderCount], dynamic[customerID], B884)&lt;=2, 
        IF((DATE(2024,4,30) - MAXIFS(dynamic[orderDate], dynamic[customerID], B884)) &gt; 180, "Non-Returning", "Dormant"), 
        IF(AND(MAX(dynamic[sinceLastOrder]) &gt; 365, (DATE(2024,4,30) - MAXIFS(dynamic[orderDate], dynamic[customerID], B884)) &gt; 180), 
           "Dormant", "Regular")))</f>
        <v>Regular</v>
      </c>
      <c r="H884" s="6">
        <v>39.0</v>
      </c>
      <c r="I884" s="9" t="str">
        <f>VLOOKUP(dynamic[productID],products[],2,FALSE)</f>
        <v>Chartreuse verte</v>
      </c>
      <c r="J884" s="9" t="str">
        <f>VLOOKUP(dynamic[productID],products[],12,FALSE)</f>
        <v>Beverages</v>
      </c>
      <c r="K884" s="7" t="str">
        <f>IF(VLOOKUP(dynamic[productID],products[],7,FALSE)=1,"Discontinued","Current")</f>
        <v>Current</v>
      </c>
      <c r="L884" s="9">
        <f>VLOOKUP(dynamic[productID],products[],IF(YEAR(dynamic[orderDate])=2022,8,IF(YEAR(dynamic[orderDate])=2023,9,IF(YEAR(dynamic[orderDate])=2024,10,NA))),FALSE)</f>
        <v>11.73311441</v>
      </c>
      <c r="M884" s="9">
        <v>18.0</v>
      </c>
      <c r="N884" s="25">
        <f>(dynamic[orderPrice]-dynamic[productCost])/dynamic[productCost]</f>
        <v>0.5341195326</v>
      </c>
      <c r="O884" s="10">
        <v>10.0</v>
      </c>
      <c r="P884" s="25">
        <v>0.0</v>
      </c>
      <c r="Q884" s="9">
        <f>dynamic[orderPrice]*dynamic[orderQuantity]</f>
        <v>180</v>
      </c>
      <c r="R884" s="9">
        <f>dynamic[orderTotal]*(1-dynamic[discountApllied])</f>
        <v>180</v>
      </c>
      <c r="S884" s="9">
        <f>dynamic[revenue]-(dynamic[productCost]*dynamic[orderQuantity])</f>
        <v>62.66885587</v>
      </c>
      <c r="T884" s="25">
        <f>IFERROR(dynamic[profit]/dynamic[revenue], 0)</f>
        <v>0.3481603104</v>
      </c>
    </row>
    <row r="885" ht="15.75" customHeight="1">
      <c r="A885" s="6">
        <v>10577.0</v>
      </c>
      <c r="B885" s="7" t="s">
        <v>96</v>
      </c>
      <c r="C885" s="24" t="str">
        <f>VLOOKUP(dynamic[customerID],customers[],2,FALSE)</f>
        <v>Trail's Head Gourmet Provisioners</v>
      </c>
      <c r="D885" s="24">
        <v>45100.0</v>
      </c>
      <c r="E885" s="6">
        <f>IFERROR(__xludf.DUMMYFUNCTION("COUNTUNIQUEIFS($A$2:$A885,$B$2:$B885,B885)"),2.0)</f>
        <v>2</v>
      </c>
      <c r="F885" s="6">
        <f t="shared" si="1"/>
        <v>4</v>
      </c>
      <c r="G885" s="6" t="str">
        <f>IF(MINIFS(dynamic[orderDate], dynamic[customerID], B885) &gt;= DATE(2024,4,30)-120, 
     "New", 
     IF(MAXIFS(dynamic[orderCount], dynamic[customerID], B885)&lt;=2, 
        IF((DATE(2024,4,30) - MAXIFS(dynamic[orderDate], dynamic[customerID], B885)) &gt; 180, "Non-Returning", "Dormant"), 
        IF(AND(MAX(dynamic[sinceLastOrder]) &gt; 365, (DATE(2024,4,30) - MAXIFS(dynamic[orderDate], dynamic[customerID], B885)) &gt; 180), 
           "Dormant", "Regular")))</f>
        <v>Regular</v>
      </c>
      <c r="H885" s="6">
        <v>75.0</v>
      </c>
      <c r="I885" s="9" t="str">
        <f>VLOOKUP(dynamic[productID],products[],2,FALSE)</f>
        <v>Rhönbräu Klosterbier</v>
      </c>
      <c r="J885" s="9" t="str">
        <f>VLOOKUP(dynamic[productID],products[],12,FALSE)</f>
        <v>Beverages</v>
      </c>
      <c r="K885" s="7" t="str">
        <f>IF(VLOOKUP(dynamic[productID],products[],7,FALSE)=1,"Discontinued","Current")</f>
        <v>Current</v>
      </c>
      <c r="L885" s="9">
        <f>VLOOKUP(dynamic[productID],products[],IF(YEAR(dynamic[orderDate])=2022,8,IF(YEAR(dynamic[orderDate])=2023,9,IF(YEAR(dynamic[orderDate])=2024,10,NA))),FALSE)</f>
        <v>5.355290472</v>
      </c>
      <c r="M885" s="9">
        <v>7.75</v>
      </c>
      <c r="N885" s="25">
        <f>(dynamic[orderPrice]-dynamic[productCost])/dynamic[productCost]</f>
        <v>0.4471670661</v>
      </c>
      <c r="O885" s="10">
        <v>20.0</v>
      </c>
      <c r="P885" s="25">
        <v>0.0</v>
      </c>
      <c r="Q885" s="9">
        <f>dynamic[orderPrice]*dynamic[orderQuantity]</f>
        <v>155</v>
      </c>
      <c r="R885" s="9">
        <f>dynamic[orderTotal]*(1-dynamic[discountApllied])</f>
        <v>155</v>
      </c>
      <c r="S885" s="9">
        <f>dynamic[revenue]-(dynamic[productCost]*dynamic[orderQuantity])</f>
        <v>47.89419057</v>
      </c>
      <c r="T885" s="25">
        <f>IFERROR(dynamic[profit]/dynamic[revenue], 0)</f>
        <v>0.3089947778</v>
      </c>
    </row>
    <row r="886" ht="15.75" customHeight="1">
      <c r="A886" s="6">
        <v>10577.0</v>
      </c>
      <c r="B886" s="7" t="s">
        <v>96</v>
      </c>
      <c r="C886" s="24" t="str">
        <f>VLOOKUP(dynamic[customerID],customers[],2,FALSE)</f>
        <v>Trail's Head Gourmet Provisioners</v>
      </c>
      <c r="D886" s="24">
        <v>45100.0</v>
      </c>
      <c r="E886" s="6">
        <f>IFERROR(__xludf.DUMMYFUNCTION("COUNTUNIQUEIFS($A$2:$A886,$B$2:$B886,B886)"),2.0)</f>
        <v>2</v>
      </c>
      <c r="F886" s="6">
        <f t="shared" si="1"/>
        <v>4</v>
      </c>
      <c r="G886" s="6" t="str">
        <f>IF(MINIFS(dynamic[orderDate], dynamic[customerID], B886) &gt;= DATE(2024,4,30)-120, 
     "New", 
     IF(MAXIFS(dynamic[orderCount], dynamic[customerID], B886)&lt;=2, 
        IF((DATE(2024,4,30) - MAXIFS(dynamic[orderDate], dynamic[customerID], B886)) &gt; 180, "Non-Returning", "Dormant"), 
        IF(AND(MAX(dynamic[sinceLastOrder]) &gt; 365, (DATE(2024,4,30) - MAXIFS(dynamic[orderDate], dynamic[customerID], B886)) &gt; 180), 
           "Dormant", "Regular")))</f>
        <v>Regular</v>
      </c>
      <c r="H886" s="6">
        <v>77.0</v>
      </c>
      <c r="I886" s="9" t="str">
        <f>VLOOKUP(dynamic[productID],products[],2,FALSE)</f>
        <v>Original Frankfurter grüne Soße</v>
      </c>
      <c r="J886" s="9" t="str">
        <f>VLOOKUP(dynamic[productID],products[],12,FALSE)</f>
        <v>Condiments</v>
      </c>
      <c r="K886" s="7" t="str">
        <f>IF(VLOOKUP(dynamic[productID],products[],7,FALSE)=1,"Discontinued","Current")</f>
        <v>Current</v>
      </c>
      <c r="L886" s="9">
        <f>VLOOKUP(dynamic[productID],products[],IF(YEAR(dynamic[orderDate])=2022,8,IF(YEAR(dynamic[orderDate])=2023,9,IF(YEAR(dynamic[orderDate])=2024,10,NA))),FALSE)</f>
        <v>7.539056452</v>
      </c>
      <c r="M886" s="9">
        <v>13.0</v>
      </c>
      <c r="N886" s="25">
        <f>(dynamic[orderPrice]-dynamic[productCost])/dynamic[productCost]</f>
        <v>0.7243537149</v>
      </c>
      <c r="O886" s="10">
        <v>18.0</v>
      </c>
      <c r="P886" s="25">
        <v>0.0</v>
      </c>
      <c r="Q886" s="9">
        <f>dynamic[orderPrice]*dynamic[orderQuantity]</f>
        <v>234</v>
      </c>
      <c r="R886" s="9">
        <f>dynamic[orderTotal]*(1-dynamic[discountApllied])</f>
        <v>234</v>
      </c>
      <c r="S886" s="9">
        <f>dynamic[revenue]-(dynamic[productCost]*dynamic[orderQuantity])</f>
        <v>98.29698386</v>
      </c>
      <c r="T886" s="25">
        <f>IFERROR(dynamic[profit]/dynamic[revenue], 0)</f>
        <v>0.4200725806</v>
      </c>
    </row>
    <row r="887" ht="15.75" customHeight="1">
      <c r="A887" s="6">
        <v>10578.0</v>
      </c>
      <c r="B887" s="7" t="s">
        <v>46</v>
      </c>
      <c r="C887" s="24" t="str">
        <f>VLOOKUP(dynamic[customerID],customers[],2,FALSE)</f>
        <v>B's Beverages</v>
      </c>
      <c r="D887" s="24">
        <v>45101.0</v>
      </c>
      <c r="E887" s="6">
        <f>IFERROR(__xludf.DUMMYFUNCTION("COUNTUNIQUEIFS($A$2:$A887,$B$2:$B887,B887)"),6.0)</f>
        <v>6</v>
      </c>
      <c r="F887" s="6">
        <f t="shared" si="1"/>
        <v>39</v>
      </c>
      <c r="G887" s="6" t="str">
        <f>IF(MINIFS(dynamic[orderDate], dynamic[customerID], B887) &gt;= DATE(2024,4,30)-120, 
     "New", 
     IF(MAXIFS(dynamic[orderCount], dynamic[customerID], B887)&lt;=2, 
        IF((DATE(2024,4,30) - MAXIFS(dynamic[orderDate], dynamic[customerID], B887)) &gt; 180, "Non-Returning", "Dormant"), 
        IF(AND(MAX(dynamic[sinceLastOrder]) &gt; 365, (DATE(2024,4,30) - MAXIFS(dynamic[orderDate], dynamic[customerID], B887)) &gt; 180), 
           "Dormant", "Regular")))</f>
        <v>Regular</v>
      </c>
      <c r="H887" s="6">
        <v>35.0</v>
      </c>
      <c r="I887" s="9" t="str">
        <f>VLOOKUP(dynamic[productID],products[],2,FALSE)</f>
        <v>Cold Brew Nitro</v>
      </c>
      <c r="J887" s="9" t="str">
        <f>VLOOKUP(dynamic[productID],products[],12,FALSE)</f>
        <v>Beverages</v>
      </c>
      <c r="K887" s="7" t="str">
        <f>IF(VLOOKUP(dynamic[productID],products[],7,FALSE)=1,"Discontinued","Current")</f>
        <v>Current</v>
      </c>
      <c r="L887" s="9">
        <f>VLOOKUP(dynamic[productID],products[],IF(YEAR(dynamic[orderDate])=2022,8,IF(YEAR(dynamic[orderDate])=2023,9,IF(YEAR(dynamic[orderDate])=2024,10,NA))),FALSE)</f>
        <v>11.7602531</v>
      </c>
      <c r="M887" s="9">
        <v>18.0</v>
      </c>
      <c r="N887" s="25">
        <f>(dynamic[orderPrice]-dynamic[productCost])/dynamic[productCost]</f>
        <v>0.5305793033</v>
      </c>
      <c r="O887" s="10">
        <v>20.0</v>
      </c>
      <c r="P887" s="25">
        <v>0.0</v>
      </c>
      <c r="Q887" s="9">
        <f>dynamic[orderPrice]*dynamic[orderQuantity]</f>
        <v>360</v>
      </c>
      <c r="R887" s="9">
        <f>dynamic[orderTotal]*(1-dynamic[discountApllied])</f>
        <v>360</v>
      </c>
      <c r="S887" s="9">
        <f>dynamic[revenue]-(dynamic[productCost]*dynamic[orderQuantity])</f>
        <v>124.794938</v>
      </c>
      <c r="T887" s="25">
        <f>IFERROR(dynamic[profit]/dynamic[revenue], 0)</f>
        <v>0.3466526054</v>
      </c>
    </row>
    <row r="888" ht="15.75" customHeight="1">
      <c r="A888" s="6">
        <v>10578.0</v>
      </c>
      <c r="B888" s="7" t="s">
        <v>46</v>
      </c>
      <c r="C888" s="24" t="str">
        <f>VLOOKUP(dynamic[customerID],customers[],2,FALSE)</f>
        <v>B's Beverages</v>
      </c>
      <c r="D888" s="24">
        <v>45101.0</v>
      </c>
      <c r="E888" s="6">
        <f>IFERROR(__xludf.DUMMYFUNCTION("COUNTUNIQUEIFS($A$2:$A888,$B$2:$B888,B888)"),6.0)</f>
        <v>6</v>
      </c>
      <c r="F888" s="6">
        <f t="shared" si="1"/>
        <v>39</v>
      </c>
      <c r="G888" s="6" t="str">
        <f>IF(MINIFS(dynamic[orderDate], dynamic[customerID], B888) &gt;= DATE(2024,4,30)-120, 
     "New", 
     IF(MAXIFS(dynamic[orderCount], dynamic[customerID], B888)&lt;=2, 
        IF((DATE(2024,4,30) - MAXIFS(dynamic[orderDate], dynamic[customerID], B888)) &gt; 180, "Non-Returning", "Dormant"), 
        IF(AND(MAX(dynamic[sinceLastOrder]) &gt; 365, (DATE(2024,4,30) - MAXIFS(dynamic[orderDate], dynamic[customerID], B888)) &gt; 180), 
           "Dormant", "Regular")))</f>
        <v>Regular</v>
      </c>
      <c r="H888" s="6">
        <v>57.0</v>
      </c>
      <c r="I888" s="9" t="str">
        <f>VLOOKUP(dynamic[productID],products[],2,FALSE)</f>
        <v>Ravioli Angelo</v>
      </c>
      <c r="J888" s="9" t="str">
        <f>VLOOKUP(dynamic[productID],products[],12,FALSE)</f>
        <v>Grains/Cereals</v>
      </c>
      <c r="K888" s="7" t="str">
        <f>IF(VLOOKUP(dynamic[productID],products[],7,FALSE)=1,"Discontinued","Current")</f>
        <v>Current</v>
      </c>
      <c r="L888" s="9">
        <f>VLOOKUP(dynamic[productID],products[],IF(YEAR(dynamic[orderDate])=2022,8,IF(YEAR(dynamic[orderDate])=2023,9,IF(YEAR(dynamic[orderDate])=2024,10,NA))),FALSE)</f>
        <v>13.01870901</v>
      </c>
      <c r="M888" s="9">
        <v>19.5</v>
      </c>
      <c r="N888" s="25">
        <f>(dynamic[orderPrice]-dynamic[productCost])/dynamic[productCost]</f>
        <v>0.4978443707</v>
      </c>
      <c r="O888" s="10">
        <v>6.0</v>
      </c>
      <c r="P888" s="25">
        <v>0.0</v>
      </c>
      <c r="Q888" s="9">
        <f>dynamic[orderPrice]*dynamic[orderQuantity]</f>
        <v>117</v>
      </c>
      <c r="R888" s="9">
        <f>dynamic[orderTotal]*(1-dynamic[discountApllied])</f>
        <v>117</v>
      </c>
      <c r="S888" s="9">
        <f>dynamic[revenue]-(dynamic[productCost]*dynamic[orderQuantity])</f>
        <v>38.88774596</v>
      </c>
      <c r="T888" s="25">
        <f>IFERROR(dynamic[profit]/dynamic[revenue], 0)</f>
        <v>0.3323738971</v>
      </c>
    </row>
    <row r="889" ht="15.75" customHeight="1">
      <c r="A889" s="6">
        <v>10579.0</v>
      </c>
      <c r="B889" s="7" t="s">
        <v>97</v>
      </c>
      <c r="C889" s="24" t="str">
        <f>VLOOKUP(dynamic[customerID],customers[],2,FALSE)</f>
        <v>Let's Stop N Shop</v>
      </c>
      <c r="D889" s="24">
        <v>45102.0</v>
      </c>
      <c r="E889" s="6">
        <f>IFERROR(__xludf.DUMMYFUNCTION("COUNTUNIQUEIFS($A$2:$A889,$B$2:$B889,B889)"),1.0)</f>
        <v>1</v>
      </c>
      <c r="F889" s="6">
        <f t="shared" si="1"/>
        <v>0</v>
      </c>
      <c r="G889" s="6" t="str">
        <f>IF(MINIFS(dynamic[orderDate], dynamic[customerID], B889) &gt;= DATE(2024,4,30)-120, 
     "New", 
     IF(MAXIFS(dynamic[orderCount], dynamic[customerID], B889)&lt;=2, 
        IF((DATE(2024,4,30) - MAXIFS(dynamic[orderDate], dynamic[customerID], B889)) &gt; 180, "Non-Returning", "Dormant"), 
        IF(AND(MAX(dynamic[sinceLastOrder]) &gt; 365, (DATE(2024,4,30) - MAXIFS(dynamic[orderDate], dynamic[customerID], B889)) &gt; 180), 
           "Dormant", "Regular")))</f>
        <v>Regular</v>
      </c>
      <c r="H889" s="6">
        <v>15.0</v>
      </c>
      <c r="I889" s="9" t="str">
        <f>VLOOKUP(dynamic[productID],products[],2,FALSE)</f>
        <v>Genen Shouyu</v>
      </c>
      <c r="J889" s="9" t="str">
        <f>VLOOKUP(dynamic[productID],products[],12,FALSE)</f>
        <v>Condiments</v>
      </c>
      <c r="K889" s="7" t="str">
        <f>IF(VLOOKUP(dynamic[productID],products[],7,FALSE)=1,"Discontinued","Current")</f>
        <v>Current</v>
      </c>
      <c r="L889" s="9">
        <f>VLOOKUP(dynamic[productID],products[],IF(YEAR(dynamic[orderDate])=2022,8,IF(YEAR(dynamic[orderDate])=2023,9,IF(YEAR(dynamic[orderDate])=2024,10,NA))),FALSE)</f>
        <v>10.78394742</v>
      </c>
      <c r="M889" s="9">
        <v>15.5</v>
      </c>
      <c r="N889" s="25">
        <f>(dynamic[orderPrice]-dynamic[productCost])/dynamic[productCost]</f>
        <v>0.4373215478</v>
      </c>
      <c r="O889" s="10">
        <v>10.0</v>
      </c>
      <c r="P889" s="25">
        <v>0.0</v>
      </c>
      <c r="Q889" s="9">
        <f>dynamic[orderPrice]*dynamic[orderQuantity]</f>
        <v>155</v>
      </c>
      <c r="R889" s="9">
        <f>dynamic[orderTotal]*(1-dynamic[discountApllied])</f>
        <v>155</v>
      </c>
      <c r="S889" s="9">
        <f>dynamic[revenue]-(dynamic[productCost]*dynamic[orderQuantity])</f>
        <v>47.16052578</v>
      </c>
      <c r="T889" s="25">
        <f>IFERROR(dynamic[profit]/dynamic[revenue], 0)</f>
        <v>0.3042614566</v>
      </c>
    </row>
    <row r="890" ht="15.75" customHeight="1">
      <c r="A890" s="6">
        <v>10579.0</v>
      </c>
      <c r="B890" s="7" t="s">
        <v>97</v>
      </c>
      <c r="C890" s="24" t="str">
        <f>VLOOKUP(dynamic[customerID],customers[],2,FALSE)</f>
        <v>Let's Stop N Shop</v>
      </c>
      <c r="D890" s="24">
        <v>45102.0</v>
      </c>
      <c r="E890" s="6">
        <f>IFERROR(__xludf.DUMMYFUNCTION("COUNTUNIQUEIFS($A$2:$A890,$B$2:$B890,B890)"),1.0)</f>
        <v>1</v>
      </c>
      <c r="F890" s="6">
        <f t="shared" si="1"/>
        <v>0</v>
      </c>
      <c r="G890" s="6" t="str">
        <f>IF(MINIFS(dynamic[orderDate], dynamic[customerID], B890) &gt;= DATE(2024,4,30)-120, 
     "New", 
     IF(MAXIFS(dynamic[orderCount], dynamic[customerID], B890)&lt;=2, 
        IF((DATE(2024,4,30) - MAXIFS(dynamic[orderDate], dynamic[customerID], B890)) &gt; 180, "Non-Returning", "Dormant"), 
        IF(AND(MAX(dynamic[sinceLastOrder]) &gt; 365, (DATE(2024,4,30) - MAXIFS(dynamic[orderDate], dynamic[customerID], B890)) &gt; 180), 
           "Dormant", "Regular")))</f>
        <v>Regular</v>
      </c>
      <c r="H890" s="6">
        <v>75.0</v>
      </c>
      <c r="I890" s="9" t="str">
        <f>VLOOKUP(dynamic[productID],products[],2,FALSE)</f>
        <v>Rhönbräu Klosterbier</v>
      </c>
      <c r="J890" s="9" t="str">
        <f>VLOOKUP(dynamic[productID],products[],12,FALSE)</f>
        <v>Beverages</v>
      </c>
      <c r="K890" s="7" t="str">
        <f>IF(VLOOKUP(dynamic[productID],products[],7,FALSE)=1,"Discontinued","Current")</f>
        <v>Current</v>
      </c>
      <c r="L890" s="9">
        <f>VLOOKUP(dynamic[productID],products[],IF(YEAR(dynamic[orderDate])=2022,8,IF(YEAR(dynamic[orderDate])=2023,9,IF(YEAR(dynamic[orderDate])=2024,10,NA))),FALSE)</f>
        <v>5.355290472</v>
      </c>
      <c r="M890" s="9">
        <v>7.75</v>
      </c>
      <c r="N890" s="25">
        <f>(dynamic[orderPrice]-dynamic[productCost])/dynamic[productCost]</f>
        <v>0.4471670661</v>
      </c>
      <c r="O890" s="10">
        <v>21.0</v>
      </c>
      <c r="P890" s="25">
        <v>0.0</v>
      </c>
      <c r="Q890" s="9">
        <f>dynamic[orderPrice]*dynamic[orderQuantity]</f>
        <v>162.75</v>
      </c>
      <c r="R890" s="9">
        <f>dynamic[orderTotal]*(1-dynamic[discountApllied])</f>
        <v>162.75</v>
      </c>
      <c r="S890" s="9">
        <f>dynamic[revenue]-(dynamic[productCost]*dynamic[orderQuantity])</f>
        <v>50.28890009</v>
      </c>
      <c r="T890" s="25">
        <f>IFERROR(dynamic[profit]/dynamic[revenue], 0)</f>
        <v>0.3089947778</v>
      </c>
    </row>
    <row r="891" ht="15.75" customHeight="1">
      <c r="A891" s="6">
        <v>10580.0</v>
      </c>
      <c r="B891" s="7" t="s">
        <v>26</v>
      </c>
      <c r="C891" s="24" t="str">
        <f>VLOOKUP(dynamic[customerID],customers[],2,FALSE)</f>
        <v>Ottilies Käseladen</v>
      </c>
      <c r="D891" s="24">
        <v>45103.0</v>
      </c>
      <c r="E891" s="6">
        <f>IFERROR(__xludf.DUMMYFUNCTION("COUNTUNIQUEIFS($A$2:$A891,$B$2:$B891,B891)"),5.0)</f>
        <v>5</v>
      </c>
      <c r="F891" s="6">
        <f t="shared" si="1"/>
        <v>27</v>
      </c>
      <c r="G891" s="6" t="str">
        <f>IF(MINIFS(dynamic[orderDate], dynamic[customerID], B891) &gt;= DATE(2024,4,30)-120, 
     "New", 
     IF(MAXIFS(dynamic[orderCount], dynamic[customerID], B891)&lt;=2, 
        IF((DATE(2024,4,30) - MAXIFS(dynamic[orderDate], dynamic[customerID], B891)) &gt; 180, "Non-Returning", "Dormant"), 
        IF(AND(MAX(dynamic[sinceLastOrder]) &gt; 365, (DATE(2024,4,30) - MAXIFS(dynamic[orderDate], dynamic[customerID], B891)) &gt; 180), 
           "Dormant", "Regular")))</f>
        <v>Regular</v>
      </c>
      <c r="H891" s="6">
        <v>14.0</v>
      </c>
      <c r="I891" s="9" t="str">
        <f>VLOOKUP(dynamic[productID],products[],2,FALSE)</f>
        <v>Tofu</v>
      </c>
      <c r="J891" s="9" t="str">
        <f>VLOOKUP(dynamic[productID],products[],12,FALSE)</f>
        <v>Produce</v>
      </c>
      <c r="K891" s="7" t="str">
        <f>IF(VLOOKUP(dynamic[productID],products[],7,FALSE)=1,"Discontinued","Current")</f>
        <v>Current</v>
      </c>
      <c r="L891" s="9">
        <f>VLOOKUP(dynamic[productID],products[],IF(YEAR(dynamic[orderDate])=2022,8,IF(YEAR(dynamic[orderDate])=2023,9,IF(YEAR(dynamic[orderDate])=2024,10,NA))),FALSE)</f>
        <v>15.38055417</v>
      </c>
      <c r="M891" s="9">
        <v>23.25</v>
      </c>
      <c r="N891" s="25">
        <f>(dynamic[orderPrice]-dynamic[productCost])/dynamic[productCost]</f>
        <v>0.5116490437</v>
      </c>
      <c r="O891" s="10">
        <v>15.0</v>
      </c>
      <c r="P891" s="25">
        <v>0.05</v>
      </c>
      <c r="Q891" s="9">
        <f>dynamic[orderPrice]*dynamic[orderQuantity]</f>
        <v>348.75</v>
      </c>
      <c r="R891" s="9">
        <f>dynamic[orderTotal]*(1-dynamic[discountApllied])</f>
        <v>331.3125</v>
      </c>
      <c r="S891" s="9">
        <f>dynamic[revenue]-(dynamic[productCost]*dynamic[orderQuantity])</f>
        <v>100.6041875</v>
      </c>
      <c r="T891" s="25">
        <f>IFERROR(dynamic[profit]/dynamic[revenue], 0)</f>
        <v>0.3036534615</v>
      </c>
    </row>
    <row r="892" ht="15.75" customHeight="1">
      <c r="A892" s="6">
        <v>10580.0</v>
      </c>
      <c r="B892" s="7" t="s">
        <v>26</v>
      </c>
      <c r="C892" s="24" t="str">
        <f>VLOOKUP(dynamic[customerID],customers[],2,FALSE)</f>
        <v>Ottilies Käseladen</v>
      </c>
      <c r="D892" s="24">
        <v>45103.0</v>
      </c>
      <c r="E892" s="6">
        <f>IFERROR(__xludf.DUMMYFUNCTION("COUNTUNIQUEIFS($A$2:$A892,$B$2:$B892,B892)"),5.0)</f>
        <v>5</v>
      </c>
      <c r="F892" s="6">
        <f t="shared" si="1"/>
        <v>27</v>
      </c>
      <c r="G892" s="6" t="str">
        <f>IF(MINIFS(dynamic[orderDate], dynamic[customerID], B892) &gt;= DATE(2024,4,30)-120, 
     "New", 
     IF(MAXIFS(dynamic[orderCount], dynamic[customerID], B892)&lt;=2, 
        IF((DATE(2024,4,30) - MAXIFS(dynamic[orderDate], dynamic[customerID], B892)) &gt; 180, "Non-Returning", "Dormant"), 
        IF(AND(MAX(dynamic[sinceLastOrder]) &gt; 365, (DATE(2024,4,30) - MAXIFS(dynamic[orderDate], dynamic[customerID], B892)) &gt; 180), 
           "Dormant", "Regular")))</f>
        <v>Regular</v>
      </c>
      <c r="H892" s="6">
        <v>41.0</v>
      </c>
      <c r="I892" s="9" t="str">
        <f>VLOOKUP(dynamic[productID],products[],2,FALSE)</f>
        <v>Jack's New England Clam Chowder</v>
      </c>
      <c r="J892" s="9" t="str">
        <f>VLOOKUP(dynamic[productID],products[],12,FALSE)</f>
        <v>Seafood</v>
      </c>
      <c r="K892" s="7" t="str">
        <f>IF(VLOOKUP(dynamic[productID],products[],7,FALSE)=1,"Discontinued","Current")</f>
        <v>Current</v>
      </c>
      <c r="L892" s="9">
        <f>VLOOKUP(dynamic[productID],products[],IF(YEAR(dynamic[orderDate])=2022,8,IF(YEAR(dynamic[orderDate])=2023,9,IF(YEAR(dynamic[orderDate])=2024,10,NA))),FALSE)</f>
        <v>6.549914856</v>
      </c>
      <c r="M892" s="9">
        <v>9.65</v>
      </c>
      <c r="N892" s="25">
        <f>(dynamic[orderPrice]-dynamic[productCost])/dynamic[productCost]</f>
        <v>0.4733015943</v>
      </c>
      <c r="O892" s="10">
        <v>9.0</v>
      </c>
      <c r="P892" s="25">
        <v>0.05</v>
      </c>
      <c r="Q892" s="9">
        <f>dynamic[orderPrice]*dynamic[orderQuantity]</f>
        <v>86.85</v>
      </c>
      <c r="R892" s="9">
        <f>dynamic[orderTotal]*(1-dynamic[discountApllied])</f>
        <v>82.5075</v>
      </c>
      <c r="S892" s="9">
        <f>dynamic[revenue]-(dynamic[productCost]*dynamic[orderQuantity])</f>
        <v>23.5582663</v>
      </c>
      <c r="T892" s="25">
        <f>IFERROR(dynamic[profit]/dynamic[revenue], 0)</f>
        <v>0.2855287858</v>
      </c>
    </row>
    <row r="893" ht="15.75" customHeight="1">
      <c r="A893" s="6">
        <v>10580.0</v>
      </c>
      <c r="B893" s="7" t="s">
        <v>26</v>
      </c>
      <c r="C893" s="24" t="str">
        <f>VLOOKUP(dynamic[customerID],customers[],2,FALSE)</f>
        <v>Ottilies Käseladen</v>
      </c>
      <c r="D893" s="24">
        <v>45103.0</v>
      </c>
      <c r="E893" s="6">
        <f>IFERROR(__xludf.DUMMYFUNCTION("COUNTUNIQUEIFS($A$2:$A893,$B$2:$B893,B893)"),5.0)</f>
        <v>5</v>
      </c>
      <c r="F893" s="6">
        <f t="shared" si="1"/>
        <v>27</v>
      </c>
      <c r="G893" s="6" t="str">
        <f>IF(MINIFS(dynamic[orderDate], dynamic[customerID], B893) &gt;= DATE(2024,4,30)-120, 
     "New", 
     IF(MAXIFS(dynamic[orderCount], dynamic[customerID], B893)&lt;=2, 
        IF((DATE(2024,4,30) - MAXIFS(dynamic[orderDate], dynamic[customerID], B893)) &gt; 180, "Non-Returning", "Dormant"), 
        IF(AND(MAX(dynamic[sinceLastOrder]) &gt; 365, (DATE(2024,4,30) - MAXIFS(dynamic[orderDate], dynamic[customerID], B893)) &gt; 180), 
           "Dormant", "Regular")))</f>
        <v>Regular</v>
      </c>
      <c r="H893" s="6">
        <v>65.0</v>
      </c>
      <c r="I893" s="9" t="str">
        <f>VLOOKUP(dynamic[productID],products[],2,FALSE)</f>
        <v>Louisiana Fiery Hot Pepper Sauce</v>
      </c>
      <c r="J893" s="9" t="str">
        <f>VLOOKUP(dynamic[productID],products[],12,FALSE)</f>
        <v>Condiments</v>
      </c>
      <c r="K893" s="7" t="str">
        <f>IF(VLOOKUP(dynamic[productID],products[],7,FALSE)=1,"Discontinued","Current")</f>
        <v>Current</v>
      </c>
      <c r="L893" s="9">
        <f>VLOOKUP(dynamic[productID],products[],IF(YEAR(dynamic[orderDate])=2022,8,IF(YEAR(dynamic[orderDate])=2023,9,IF(YEAR(dynamic[orderDate])=2024,10,NA))),FALSE)</f>
        <v>13.21122243</v>
      </c>
      <c r="M893" s="9">
        <v>21.05</v>
      </c>
      <c r="N893" s="25">
        <f>(dynamic[orderPrice]-dynamic[productCost])/dynamic[productCost]</f>
        <v>0.593342335</v>
      </c>
      <c r="O893" s="10">
        <v>30.0</v>
      </c>
      <c r="P893" s="25">
        <v>0.05</v>
      </c>
      <c r="Q893" s="9">
        <f>dynamic[orderPrice]*dynamic[orderQuantity]</f>
        <v>631.5</v>
      </c>
      <c r="R893" s="9">
        <f>dynamic[orderTotal]*(1-dynamic[discountApllied])</f>
        <v>599.925</v>
      </c>
      <c r="S893" s="9">
        <f>dynamic[revenue]-(dynamic[productCost]*dynamic[orderQuantity])</f>
        <v>203.588327</v>
      </c>
      <c r="T893" s="25">
        <f>IFERROR(dynamic[profit]/dynamic[revenue], 0)</f>
        <v>0.3393562979</v>
      </c>
    </row>
    <row r="894" ht="15.75" customHeight="1">
      <c r="A894" s="6">
        <v>10581.0</v>
      </c>
      <c r="B894" s="7" t="s">
        <v>67</v>
      </c>
      <c r="C894" s="24" t="str">
        <f>VLOOKUP(dynamic[customerID],customers[],2,FALSE)</f>
        <v>Familia Arquibaldo</v>
      </c>
      <c r="D894" s="24">
        <v>45103.0</v>
      </c>
      <c r="E894" s="6">
        <f>IFERROR(__xludf.DUMMYFUNCTION("COUNTUNIQUEIFS($A$2:$A894,$B$2:$B894,B894)"),5.0)</f>
        <v>5</v>
      </c>
      <c r="F894" s="6">
        <f t="shared" si="1"/>
        <v>66</v>
      </c>
      <c r="G894" s="6" t="str">
        <f>IF(MINIFS(dynamic[orderDate], dynamic[customerID], B894) &gt;= DATE(2024,4,30)-120, 
     "New", 
     IF(MAXIFS(dynamic[orderCount], dynamic[customerID], B894)&lt;=2, 
        IF((DATE(2024,4,30) - MAXIFS(dynamic[orderDate], dynamic[customerID], B894)) &gt; 180, "Non-Returning", "Dormant"), 
        IF(AND(MAX(dynamic[sinceLastOrder]) &gt; 365, (DATE(2024,4,30) - MAXIFS(dynamic[orderDate], dynamic[customerID], B894)) &gt; 180), 
           "Dormant", "Regular")))</f>
        <v>Dormant</v>
      </c>
      <c r="H894" s="6">
        <v>75.0</v>
      </c>
      <c r="I894" s="9" t="str">
        <f>VLOOKUP(dynamic[productID],products[],2,FALSE)</f>
        <v>Rhönbräu Klosterbier</v>
      </c>
      <c r="J894" s="9" t="str">
        <f>VLOOKUP(dynamic[productID],products[],12,FALSE)</f>
        <v>Beverages</v>
      </c>
      <c r="K894" s="7" t="str">
        <f>IF(VLOOKUP(dynamic[productID],products[],7,FALSE)=1,"Discontinued","Current")</f>
        <v>Current</v>
      </c>
      <c r="L894" s="9">
        <f>VLOOKUP(dynamic[productID],products[],IF(YEAR(dynamic[orderDate])=2022,8,IF(YEAR(dynamic[orderDate])=2023,9,IF(YEAR(dynamic[orderDate])=2024,10,NA))),FALSE)</f>
        <v>5.355290472</v>
      </c>
      <c r="M894" s="9">
        <v>7.75</v>
      </c>
      <c r="N894" s="25">
        <f>(dynamic[orderPrice]-dynamic[productCost])/dynamic[productCost]</f>
        <v>0.4471670661</v>
      </c>
      <c r="O894" s="10">
        <v>50.0</v>
      </c>
      <c r="P894" s="25">
        <v>0.2</v>
      </c>
      <c r="Q894" s="9">
        <f>dynamic[orderPrice]*dynamic[orderQuantity]</f>
        <v>387.5</v>
      </c>
      <c r="R894" s="9">
        <f>dynamic[orderTotal]*(1-dynamic[discountApllied])</f>
        <v>310</v>
      </c>
      <c r="S894" s="9">
        <f>dynamic[revenue]-(dynamic[productCost]*dynamic[orderQuantity])</f>
        <v>42.23547641</v>
      </c>
      <c r="T894" s="25">
        <f>IFERROR(dynamic[profit]/dynamic[revenue], 0)</f>
        <v>0.1362434723</v>
      </c>
    </row>
    <row r="895" ht="15.75" customHeight="1">
      <c r="A895" s="6">
        <v>10582.0</v>
      </c>
      <c r="B895" s="7" t="s">
        <v>91</v>
      </c>
      <c r="C895" s="24" t="str">
        <f>VLOOKUP(dynamic[customerID],customers[],2,FALSE)</f>
        <v>Blauer See Delikatessen</v>
      </c>
      <c r="D895" s="24">
        <v>45104.0</v>
      </c>
      <c r="E895" s="6">
        <f>IFERROR(__xludf.DUMMYFUNCTION("COUNTUNIQUEIFS($A$2:$A895,$B$2:$B895,B895)"),3.0)</f>
        <v>3</v>
      </c>
      <c r="F895" s="6">
        <f t="shared" si="1"/>
        <v>71</v>
      </c>
      <c r="G895" s="6" t="str">
        <f>IF(MINIFS(dynamic[orderDate], dynamic[customerID], B895) &gt;= DATE(2024,4,30)-120, 
     "New", 
     IF(MAXIFS(dynamic[orderCount], dynamic[customerID], B895)&lt;=2, 
        IF((DATE(2024,4,30) - MAXIFS(dynamic[orderDate], dynamic[customerID], B895)) &gt; 180, "Non-Returning", "Dormant"), 
        IF(AND(MAX(dynamic[sinceLastOrder]) &gt; 365, (DATE(2024,4,30) - MAXIFS(dynamic[orderDate], dynamic[customerID], B895)) &gt; 180), 
           "Dormant", "Regular")))</f>
        <v>Regular</v>
      </c>
      <c r="H895" s="6">
        <v>57.0</v>
      </c>
      <c r="I895" s="9" t="str">
        <f>VLOOKUP(dynamic[productID],products[],2,FALSE)</f>
        <v>Ravioli Angelo</v>
      </c>
      <c r="J895" s="9" t="str">
        <f>VLOOKUP(dynamic[productID],products[],12,FALSE)</f>
        <v>Grains/Cereals</v>
      </c>
      <c r="K895" s="7" t="str">
        <f>IF(VLOOKUP(dynamic[productID],products[],7,FALSE)=1,"Discontinued","Current")</f>
        <v>Current</v>
      </c>
      <c r="L895" s="9">
        <f>VLOOKUP(dynamic[productID],products[],IF(YEAR(dynamic[orderDate])=2022,8,IF(YEAR(dynamic[orderDate])=2023,9,IF(YEAR(dynamic[orderDate])=2024,10,NA))),FALSE)</f>
        <v>13.01870901</v>
      </c>
      <c r="M895" s="9">
        <v>19.5</v>
      </c>
      <c r="N895" s="25">
        <f>(dynamic[orderPrice]-dynamic[productCost])/dynamic[productCost]</f>
        <v>0.4978443707</v>
      </c>
      <c r="O895" s="10">
        <v>4.0</v>
      </c>
      <c r="P895" s="25">
        <v>0.0</v>
      </c>
      <c r="Q895" s="9">
        <f>dynamic[orderPrice]*dynamic[orderQuantity]</f>
        <v>78</v>
      </c>
      <c r="R895" s="9">
        <f>dynamic[orderTotal]*(1-dynamic[discountApllied])</f>
        <v>78</v>
      </c>
      <c r="S895" s="9">
        <f>dynamic[revenue]-(dynamic[productCost]*dynamic[orderQuantity])</f>
        <v>25.92516397</v>
      </c>
      <c r="T895" s="25">
        <f>IFERROR(dynamic[profit]/dynamic[revenue], 0)</f>
        <v>0.3323738971</v>
      </c>
    </row>
    <row r="896" ht="15.75" customHeight="1">
      <c r="A896" s="6">
        <v>10582.0</v>
      </c>
      <c r="B896" s="7" t="s">
        <v>91</v>
      </c>
      <c r="C896" s="24" t="str">
        <f>VLOOKUP(dynamic[customerID],customers[],2,FALSE)</f>
        <v>Blauer See Delikatessen</v>
      </c>
      <c r="D896" s="24">
        <v>45104.0</v>
      </c>
      <c r="E896" s="6">
        <f>IFERROR(__xludf.DUMMYFUNCTION("COUNTUNIQUEIFS($A$2:$A896,$B$2:$B896,B896)"),3.0)</f>
        <v>3</v>
      </c>
      <c r="F896" s="6">
        <f t="shared" si="1"/>
        <v>71</v>
      </c>
      <c r="G896" s="6" t="str">
        <f>IF(MINIFS(dynamic[orderDate], dynamic[customerID], B896) &gt;= DATE(2024,4,30)-120, 
     "New", 
     IF(MAXIFS(dynamic[orderCount], dynamic[customerID], B896)&lt;=2, 
        IF((DATE(2024,4,30) - MAXIFS(dynamic[orderDate], dynamic[customerID], B896)) &gt; 180, "Non-Returning", "Dormant"), 
        IF(AND(MAX(dynamic[sinceLastOrder]) &gt; 365, (DATE(2024,4,30) - MAXIFS(dynamic[orderDate], dynamic[customerID], B896)) &gt; 180), 
           "Dormant", "Regular")))</f>
        <v>Regular</v>
      </c>
      <c r="H896" s="6">
        <v>76.0</v>
      </c>
      <c r="I896" s="9" t="str">
        <f>VLOOKUP(dynamic[productID],products[],2,FALSE)</f>
        <v>Lakkalikööri</v>
      </c>
      <c r="J896" s="9" t="str">
        <f>VLOOKUP(dynamic[productID],products[],12,FALSE)</f>
        <v>Beverages</v>
      </c>
      <c r="K896" s="7" t="str">
        <f>IF(VLOOKUP(dynamic[productID],products[],7,FALSE)=1,"Discontinued","Current")</f>
        <v>Current</v>
      </c>
      <c r="L896" s="9">
        <f>VLOOKUP(dynamic[productID],products[],IF(YEAR(dynamic[orderDate])=2022,8,IF(YEAR(dynamic[orderDate])=2023,9,IF(YEAR(dynamic[orderDate])=2024,10,NA))),FALSE)</f>
        <v>12.1154529</v>
      </c>
      <c r="M896" s="9">
        <v>18.0</v>
      </c>
      <c r="N896" s="25">
        <f>(dynamic[orderPrice]-dynamic[productCost])/dynamic[productCost]</f>
        <v>0.4857059125</v>
      </c>
      <c r="O896" s="10">
        <v>14.0</v>
      </c>
      <c r="P896" s="25">
        <v>0.0</v>
      </c>
      <c r="Q896" s="9">
        <f>dynamic[orderPrice]*dynamic[orderQuantity]</f>
        <v>252</v>
      </c>
      <c r="R896" s="9">
        <f>dynamic[orderTotal]*(1-dynamic[discountApllied])</f>
        <v>252</v>
      </c>
      <c r="S896" s="9">
        <f>dynamic[revenue]-(dynamic[productCost]*dynamic[orderQuantity])</f>
        <v>82.38365946</v>
      </c>
      <c r="T896" s="25">
        <f>IFERROR(dynamic[profit]/dynamic[revenue], 0)</f>
        <v>0.3269192836</v>
      </c>
    </row>
    <row r="897" ht="15.75" customHeight="1">
      <c r="A897" s="6">
        <v>10583.0</v>
      </c>
      <c r="B897" s="7" t="s">
        <v>31</v>
      </c>
      <c r="C897" s="24" t="str">
        <f>VLOOKUP(dynamic[customerID],customers[],2,FALSE)</f>
        <v>Wartian Herkku</v>
      </c>
      <c r="D897" s="24">
        <v>45107.0</v>
      </c>
      <c r="E897" s="6">
        <f>IFERROR(__xludf.DUMMYFUNCTION("COUNTUNIQUEIFS($A$2:$A897,$B$2:$B897,B897)"),11.0)</f>
        <v>11</v>
      </c>
      <c r="F897" s="6">
        <f t="shared" si="1"/>
        <v>31</v>
      </c>
      <c r="G897" s="6" t="str">
        <f>IF(MINIFS(dynamic[orderDate], dynamic[customerID], B897) &gt;= DATE(2024,4,30)-120, 
     "New", 
     IF(MAXIFS(dynamic[orderCount], dynamic[customerID], B897)&lt;=2, 
        IF((DATE(2024,4,30) - MAXIFS(dynamic[orderDate], dynamic[customerID], B897)) &gt; 180, "Non-Returning", "Dormant"), 
        IF(AND(MAX(dynamic[sinceLastOrder]) &gt; 365, (DATE(2024,4,30) - MAXIFS(dynamic[orderDate], dynamic[customerID], B897)) &gt; 180), 
           "Dormant", "Regular")))</f>
        <v>Regular</v>
      </c>
      <c r="H897" s="6">
        <v>29.0</v>
      </c>
      <c r="I897" s="9" t="str">
        <f>VLOOKUP(dynamic[productID],products[],2,FALSE)</f>
        <v>Thüringer Rostbratwurst</v>
      </c>
      <c r="J897" s="9" t="str">
        <f>VLOOKUP(dynamic[productID],products[],12,FALSE)</f>
        <v>Meat/Poultry</v>
      </c>
      <c r="K897" s="7" t="str">
        <f>IF(VLOOKUP(dynamic[productID],products[],7,FALSE)=1,"Discontinued","Current")</f>
        <v>Discontinued</v>
      </c>
      <c r="L897" s="9">
        <f>VLOOKUP(dynamic[productID],products[],IF(YEAR(dynamic[orderDate])=2022,8,IF(YEAR(dynamic[orderDate])=2023,9,IF(YEAR(dynamic[orderDate])=2024,10,NA))),FALSE)</f>
        <v>80.85619497</v>
      </c>
      <c r="M897" s="9">
        <v>123.79</v>
      </c>
      <c r="N897" s="25">
        <f>(dynamic[orderPrice]-dynamic[productCost])/dynamic[productCost]</f>
        <v>0.5309896792</v>
      </c>
      <c r="O897" s="10">
        <v>10.0</v>
      </c>
      <c r="P897" s="25">
        <v>0.0</v>
      </c>
      <c r="Q897" s="9">
        <f>dynamic[orderPrice]*dynamic[orderQuantity]</f>
        <v>1237.9</v>
      </c>
      <c r="R897" s="9">
        <f>dynamic[orderTotal]*(1-dynamic[discountApllied])</f>
        <v>1237.9</v>
      </c>
      <c r="S897" s="9">
        <f>dynamic[revenue]-(dynamic[productCost]*dynamic[orderQuantity])</f>
        <v>429.3380503</v>
      </c>
      <c r="T897" s="25">
        <f>IFERROR(dynamic[profit]/dynamic[revenue], 0)</f>
        <v>0.3468277327</v>
      </c>
    </row>
    <row r="898" ht="15.75" customHeight="1">
      <c r="A898" s="6">
        <v>10583.0</v>
      </c>
      <c r="B898" s="7" t="s">
        <v>31</v>
      </c>
      <c r="C898" s="24" t="str">
        <f>VLOOKUP(dynamic[customerID],customers[],2,FALSE)</f>
        <v>Wartian Herkku</v>
      </c>
      <c r="D898" s="24">
        <v>45107.0</v>
      </c>
      <c r="E898" s="6">
        <f>IFERROR(__xludf.DUMMYFUNCTION("COUNTUNIQUEIFS($A$2:$A898,$B$2:$B898,B898)"),11.0)</f>
        <v>11</v>
      </c>
      <c r="F898" s="6">
        <f t="shared" si="1"/>
        <v>31</v>
      </c>
      <c r="G898" s="6" t="str">
        <f>IF(MINIFS(dynamic[orderDate], dynamic[customerID], B898) &gt;= DATE(2024,4,30)-120, 
     "New", 
     IF(MAXIFS(dynamic[orderCount], dynamic[customerID], B898)&lt;=2, 
        IF((DATE(2024,4,30) - MAXIFS(dynamic[orderDate], dynamic[customerID], B898)) &gt; 180, "Non-Returning", "Dormant"), 
        IF(AND(MAX(dynamic[sinceLastOrder]) &gt; 365, (DATE(2024,4,30) - MAXIFS(dynamic[orderDate], dynamic[customerID], B898)) &gt; 180), 
           "Dormant", "Regular")))</f>
        <v>Regular</v>
      </c>
      <c r="H898" s="6">
        <v>60.0</v>
      </c>
      <c r="I898" s="9" t="str">
        <f>VLOOKUP(dynamic[productID],products[],2,FALSE)</f>
        <v>Camembert Pierrot</v>
      </c>
      <c r="J898" s="9" t="str">
        <f>VLOOKUP(dynamic[productID],products[],12,FALSE)</f>
        <v>Dairy Products</v>
      </c>
      <c r="K898" s="7" t="str">
        <f>IF(VLOOKUP(dynamic[productID],products[],7,FALSE)=1,"Discontinued","Current")</f>
        <v>Current</v>
      </c>
      <c r="L898" s="9">
        <f>VLOOKUP(dynamic[productID],products[],IF(YEAR(dynamic[orderDate])=2022,8,IF(YEAR(dynamic[orderDate])=2023,9,IF(YEAR(dynamic[orderDate])=2024,10,NA))),FALSE)</f>
        <v>22.77098295</v>
      </c>
      <c r="M898" s="9">
        <v>34.0</v>
      </c>
      <c r="N898" s="25">
        <f>(dynamic[orderPrice]-dynamic[productCost])/dynamic[productCost]</f>
        <v>0.4931283415</v>
      </c>
      <c r="O898" s="10">
        <v>24.0</v>
      </c>
      <c r="P898" s="25">
        <v>0.15</v>
      </c>
      <c r="Q898" s="9">
        <f>dynamic[orderPrice]*dynamic[orderQuantity]</f>
        <v>816</v>
      </c>
      <c r="R898" s="9">
        <f>dynamic[orderTotal]*(1-dynamic[discountApllied])</f>
        <v>693.6</v>
      </c>
      <c r="S898" s="9">
        <f>dynamic[revenue]-(dynamic[productCost]*dynamic[orderQuantity])</f>
        <v>147.0964093</v>
      </c>
      <c r="T898" s="25">
        <f>IFERROR(dynamic[profit]/dynamic[revenue], 0)</f>
        <v>0.2120767147</v>
      </c>
    </row>
    <row r="899" ht="15.75" customHeight="1">
      <c r="A899" s="6">
        <v>10583.0</v>
      </c>
      <c r="B899" s="7" t="s">
        <v>31</v>
      </c>
      <c r="C899" s="24" t="str">
        <f>VLOOKUP(dynamic[customerID],customers[],2,FALSE)</f>
        <v>Wartian Herkku</v>
      </c>
      <c r="D899" s="24">
        <v>45107.0</v>
      </c>
      <c r="E899" s="6">
        <f>IFERROR(__xludf.DUMMYFUNCTION("COUNTUNIQUEIFS($A$2:$A899,$B$2:$B899,B899)"),11.0)</f>
        <v>11</v>
      </c>
      <c r="F899" s="6">
        <f t="shared" si="1"/>
        <v>31</v>
      </c>
      <c r="G899" s="6" t="str">
        <f>IF(MINIFS(dynamic[orderDate], dynamic[customerID], B899) &gt;= DATE(2024,4,30)-120, 
     "New", 
     IF(MAXIFS(dynamic[orderCount], dynamic[customerID], B899)&lt;=2, 
        IF((DATE(2024,4,30) - MAXIFS(dynamic[orderDate], dynamic[customerID], B899)) &gt; 180, "Non-Returning", "Dormant"), 
        IF(AND(MAX(dynamic[sinceLastOrder]) &gt; 365, (DATE(2024,4,30) - MAXIFS(dynamic[orderDate], dynamic[customerID], B899)) &gt; 180), 
           "Dormant", "Regular")))</f>
        <v>Regular</v>
      </c>
      <c r="H899" s="6">
        <v>69.0</v>
      </c>
      <c r="I899" s="9" t="str">
        <f>VLOOKUP(dynamic[productID],products[],2,FALSE)</f>
        <v>Gudbrandsdalsost</v>
      </c>
      <c r="J899" s="9" t="str">
        <f>VLOOKUP(dynamic[productID],products[],12,FALSE)</f>
        <v>Dairy Products</v>
      </c>
      <c r="K899" s="7" t="str">
        <f>IF(VLOOKUP(dynamic[productID],products[],7,FALSE)=1,"Discontinued","Current")</f>
        <v>Current</v>
      </c>
      <c r="L899" s="9">
        <f>VLOOKUP(dynamic[productID],products[],IF(YEAR(dynamic[orderDate])=2022,8,IF(YEAR(dynamic[orderDate])=2023,9,IF(YEAR(dynamic[orderDate])=2024,10,NA))),FALSE)</f>
        <v>21.82428612</v>
      </c>
      <c r="M899" s="9">
        <v>36.0</v>
      </c>
      <c r="N899" s="25">
        <f>(dynamic[orderPrice]-dynamic[productCost])/dynamic[productCost]</f>
        <v>0.6495384916</v>
      </c>
      <c r="O899" s="10">
        <v>10.0</v>
      </c>
      <c r="P899" s="25">
        <v>0.15</v>
      </c>
      <c r="Q899" s="9">
        <f>dynamic[orderPrice]*dynamic[orderQuantity]</f>
        <v>360</v>
      </c>
      <c r="R899" s="9">
        <f>dynamic[orderTotal]*(1-dynamic[discountApllied])</f>
        <v>306</v>
      </c>
      <c r="S899" s="9">
        <f>dynamic[revenue]-(dynamic[productCost]*dynamic[orderQuantity])</f>
        <v>87.75713884</v>
      </c>
      <c r="T899" s="25">
        <f>IFERROR(dynamic[profit]/dynamic[revenue], 0)</f>
        <v>0.2867880354</v>
      </c>
    </row>
    <row r="900" ht="15.75" customHeight="1">
      <c r="A900" s="6">
        <v>10584.0</v>
      </c>
      <c r="B900" s="7" t="s">
        <v>30</v>
      </c>
      <c r="C900" s="24" t="str">
        <f>VLOOKUP(dynamic[customerID],customers[],2,FALSE)</f>
        <v>Blondesddsl père et fils</v>
      </c>
      <c r="D900" s="24">
        <v>45107.0</v>
      </c>
      <c r="E900" s="6">
        <f>IFERROR(__xludf.DUMMYFUNCTION("COUNTUNIQUEIFS($A$2:$A900,$B$2:$B900,B900)"),8.0)</f>
        <v>8</v>
      </c>
      <c r="F900" s="6">
        <f t="shared" si="1"/>
        <v>18</v>
      </c>
      <c r="G900" s="6" t="str">
        <f>IF(MINIFS(dynamic[orderDate], dynamic[customerID], B900) &gt;= DATE(2024,4,30)-120, 
     "New", 
     IF(MAXIFS(dynamic[orderCount], dynamic[customerID], B900)&lt;=2, 
        IF((DATE(2024,4,30) - MAXIFS(dynamic[orderDate], dynamic[customerID], B900)) &gt; 180, "Non-Returning", "Dormant"), 
        IF(AND(MAX(dynamic[sinceLastOrder]) &gt; 365, (DATE(2024,4,30) - MAXIFS(dynamic[orderDate], dynamic[customerID], B900)) &gt; 180), 
           "Dormant", "Regular")))</f>
        <v>Regular</v>
      </c>
      <c r="H900" s="6">
        <v>31.0</v>
      </c>
      <c r="I900" s="9" t="str">
        <f>VLOOKUP(dynamic[productID],products[],2,FALSE)</f>
        <v>Gorgonzola Telino</v>
      </c>
      <c r="J900" s="9" t="str">
        <f>VLOOKUP(dynamic[productID],products[],12,FALSE)</f>
        <v>Dairy Products</v>
      </c>
      <c r="K900" s="7" t="str">
        <f>IF(VLOOKUP(dynamic[productID],products[],7,FALSE)=1,"Discontinued","Current")</f>
        <v>Current</v>
      </c>
      <c r="L900" s="9">
        <f>VLOOKUP(dynamic[productID],products[],IF(YEAR(dynamic[orderDate])=2022,8,IF(YEAR(dynamic[orderDate])=2023,9,IF(YEAR(dynamic[orderDate])=2024,10,NA))),FALSE)</f>
        <v>7.937729254</v>
      </c>
      <c r="M900" s="9">
        <v>12.5</v>
      </c>
      <c r="N900" s="25">
        <f>(dynamic[orderPrice]-dynamic[productCost])/dynamic[productCost]</f>
        <v>0.5747576668</v>
      </c>
      <c r="O900" s="10">
        <v>50.0</v>
      </c>
      <c r="P900" s="25">
        <v>0.05</v>
      </c>
      <c r="Q900" s="9">
        <f>dynamic[orderPrice]*dynamic[orderQuantity]</f>
        <v>625</v>
      </c>
      <c r="R900" s="9">
        <f>dynamic[orderTotal]*(1-dynamic[discountApllied])</f>
        <v>593.75</v>
      </c>
      <c r="S900" s="9">
        <f>dynamic[revenue]-(dynamic[productCost]*dynamic[orderQuantity])</f>
        <v>196.8635373</v>
      </c>
      <c r="T900" s="25">
        <f>IFERROR(dynamic[profit]/dynamic[revenue], 0)</f>
        <v>0.3315596417</v>
      </c>
    </row>
    <row r="901" ht="15.75" customHeight="1">
      <c r="A901" s="6">
        <v>10585.0</v>
      </c>
      <c r="B901" s="7" t="s">
        <v>22</v>
      </c>
      <c r="C901" s="24" t="str">
        <f>VLOOKUP(dynamic[customerID],customers[],2,FALSE)</f>
        <v>Wellington Importadora</v>
      </c>
      <c r="D901" s="24">
        <v>45108.0</v>
      </c>
      <c r="E901" s="6">
        <f>IFERROR(__xludf.DUMMYFUNCTION("COUNTUNIQUEIFS($A$2:$A901,$B$2:$B901,B901)"),3.0)</f>
        <v>3</v>
      </c>
      <c r="F901" s="6">
        <f t="shared" si="1"/>
        <v>161</v>
      </c>
      <c r="G901" s="6" t="str">
        <f>IF(MINIFS(dynamic[orderDate], dynamic[customerID], B901) &gt;= DATE(2024,4,30)-120, 
     "New", 
     IF(MAXIFS(dynamic[orderCount], dynamic[customerID], B901)&lt;=2, 
        IF((DATE(2024,4,30) - MAXIFS(dynamic[orderDate], dynamic[customerID], B901)) &gt; 180, "Non-Returning", "Dormant"), 
        IF(AND(MAX(dynamic[sinceLastOrder]) &gt; 365, (DATE(2024,4,30) - MAXIFS(dynamic[orderDate], dynamic[customerID], B901)) &gt; 180), 
           "Dormant", "Regular")))</f>
        <v>Regular</v>
      </c>
      <c r="H901" s="6">
        <v>47.0</v>
      </c>
      <c r="I901" s="9" t="str">
        <f>VLOOKUP(dynamic[productID],products[],2,FALSE)</f>
        <v>Zaanse koeken</v>
      </c>
      <c r="J901" s="9" t="str">
        <f>VLOOKUP(dynamic[productID],products[],12,FALSE)</f>
        <v>Confections</v>
      </c>
      <c r="K901" s="7" t="str">
        <f>IF(VLOOKUP(dynamic[productID],products[],7,FALSE)=1,"Discontinued","Current")</f>
        <v>Current</v>
      </c>
      <c r="L901" s="9">
        <f>VLOOKUP(dynamic[productID],products[],IF(YEAR(dynamic[orderDate])=2022,8,IF(YEAR(dynamic[orderDate])=2023,9,IF(YEAR(dynamic[orderDate])=2024,10,NA))),FALSE)</f>
        <v>6.57708833</v>
      </c>
      <c r="M901" s="9">
        <v>9.5</v>
      </c>
      <c r="N901" s="25">
        <f>(dynamic[orderPrice]-dynamic[productCost])/dynamic[productCost]</f>
        <v>0.4444081519</v>
      </c>
      <c r="O901" s="10">
        <v>15.0</v>
      </c>
      <c r="P901" s="25">
        <v>0.0</v>
      </c>
      <c r="Q901" s="9">
        <f>dynamic[orderPrice]*dynamic[orderQuantity]</f>
        <v>142.5</v>
      </c>
      <c r="R901" s="9">
        <f>dynamic[orderTotal]*(1-dynamic[discountApllied])</f>
        <v>142.5</v>
      </c>
      <c r="S901" s="9">
        <f>dynamic[revenue]-(dynamic[productCost]*dynamic[orderQuantity])</f>
        <v>43.84367504</v>
      </c>
      <c r="T901" s="25">
        <f>IFERROR(dynamic[profit]/dynamic[revenue], 0)</f>
        <v>0.3076749126</v>
      </c>
    </row>
    <row r="902" ht="15.75" customHeight="1">
      <c r="A902" s="6">
        <v>10586.0</v>
      </c>
      <c r="B902" s="7" t="s">
        <v>45</v>
      </c>
      <c r="C902" s="24" t="str">
        <f>VLOOKUP(dynamic[customerID],customers[],2,FALSE)</f>
        <v>Reggiani Caseifici</v>
      </c>
      <c r="D902" s="24">
        <v>45109.0</v>
      </c>
      <c r="E902" s="6">
        <f>IFERROR(__xludf.DUMMYFUNCTION("COUNTUNIQUEIFS($A$2:$A902,$B$2:$B902,B902)"),5.0)</f>
        <v>5</v>
      </c>
      <c r="F902" s="6">
        <f t="shared" si="1"/>
        <v>23</v>
      </c>
      <c r="G902" s="6" t="str">
        <f>IF(MINIFS(dynamic[orderDate], dynamic[customerID], B902) &gt;= DATE(2024,4,30)-120, 
     "New", 
     IF(MAXIFS(dynamic[orderCount], dynamic[customerID], B902)&lt;=2, 
        IF((DATE(2024,4,30) - MAXIFS(dynamic[orderDate], dynamic[customerID], B902)) &gt; 180, "Non-Returning", "Dormant"), 
        IF(AND(MAX(dynamic[sinceLastOrder]) &gt; 365, (DATE(2024,4,30) - MAXIFS(dynamic[orderDate], dynamic[customerID], B902)) &gt; 180), 
           "Dormant", "Regular")))</f>
        <v>Regular</v>
      </c>
      <c r="H902" s="6">
        <v>52.0</v>
      </c>
      <c r="I902" s="9" t="str">
        <f>VLOOKUP(dynamic[productID],products[],2,FALSE)</f>
        <v>Filo Mix</v>
      </c>
      <c r="J902" s="9" t="str">
        <f>VLOOKUP(dynamic[productID],products[],12,FALSE)</f>
        <v>Grains/Cereals</v>
      </c>
      <c r="K902" s="7" t="str">
        <f>IF(VLOOKUP(dynamic[productID],products[],7,FALSE)=1,"Discontinued","Current")</f>
        <v>Current</v>
      </c>
      <c r="L902" s="9">
        <f>VLOOKUP(dynamic[productID],products[],IF(YEAR(dynamic[orderDate])=2022,8,IF(YEAR(dynamic[orderDate])=2023,9,IF(YEAR(dynamic[orderDate])=2024,10,NA))),FALSE)</f>
        <v>5.001706713</v>
      </c>
      <c r="M902" s="9">
        <v>7.0</v>
      </c>
      <c r="N902" s="25">
        <f>(dynamic[orderPrice]-dynamic[productCost])/dynamic[productCost]</f>
        <v>0.3995222835</v>
      </c>
      <c r="O902" s="10">
        <v>4.0</v>
      </c>
      <c r="P902" s="25">
        <v>0.15</v>
      </c>
      <c r="Q902" s="9">
        <f>dynamic[orderPrice]*dynamic[orderQuantity]</f>
        <v>28</v>
      </c>
      <c r="R902" s="9">
        <f>dynamic[orderTotal]*(1-dynamic[discountApllied])</f>
        <v>23.8</v>
      </c>
      <c r="S902" s="9">
        <f>dynamic[revenue]-(dynamic[productCost]*dynamic[orderQuantity])</f>
        <v>3.793173149</v>
      </c>
      <c r="T902" s="25">
        <f>IFERROR(dynamic[profit]/dynamic[revenue], 0)</f>
        <v>0.1593770231</v>
      </c>
    </row>
    <row r="903" ht="15.75" customHeight="1">
      <c r="A903" s="6">
        <v>10587.0</v>
      </c>
      <c r="B903" s="7" t="s">
        <v>27</v>
      </c>
      <c r="C903" s="24" t="str">
        <f>VLOOKUP(dynamic[customerID],customers[],2,FALSE)</f>
        <v>Que Delícia</v>
      </c>
      <c r="D903" s="24">
        <v>45109.0</v>
      </c>
      <c r="E903" s="6">
        <f>IFERROR(__xludf.DUMMYFUNCTION("COUNTUNIQUEIFS($A$2:$A903,$B$2:$B903,B903)"),5.0)</f>
        <v>5</v>
      </c>
      <c r="F903" s="6">
        <f t="shared" si="1"/>
        <v>162</v>
      </c>
      <c r="G903" s="6" t="str">
        <f>IF(MINIFS(dynamic[orderDate], dynamic[customerID], B903) &gt;= DATE(2024,4,30)-120, 
     "New", 
     IF(MAXIFS(dynamic[orderCount], dynamic[customerID], B903)&lt;=2, 
        IF((DATE(2024,4,30) - MAXIFS(dynamic[orderDate], dynamic[customerID], B903)) &gt; 180, "Non-Returning", "Dormant"), 
        IF(AND(MAX(dynamic[sinceLastOrder]) &gt; 365, (DATE(2024,4,30) - MAXIFS(dynamic[orderDate], dynamic[customerID], B903)) &gt; 180), 
           "Dormant", "Regular")))</f>
        <v>Regular</v>
      </c>
      <c r="H903" s="6">
        <v>26.0</v>
      </c>
      <c r="I903" s="9" t="str">
        <f>VLOOKUP(dynamic[productID],products[],2,FALSE)</f>
        <v>NuNuCa Nuß-Nougat-Creme</v>
      </c>
      <c r="J903" s="9" t="str">
        <f>VLOOKUP(dynamic[productID],products[],12,FALSE)</f>
        <v>Confections</v>
      </c>
      <c r="K903" s="7" t="str">
        <f>IF(VLOOKUP(dynamic[productID],products[],7,FALSE)=1,"Discontinued","Current")</f>
        <v>Current</v>
      </c>
      <c r="L903" s="9">
        <f>VLOOKUP(dynamic[productID],products[],IF(YEAR(dynamic[orderDate])=2022,8,IF(YEAR(dynamic[orderDate])=2023,9,IF(YEAR(dynamic[orderDate])=2024,10,NA))),FALSE)</f>
        <v>21.20896201</v>
      </c>
      <c r="M903" s="9">
        <v>31.23</v>
      </c>
      <c r="N903" s="25">
        <f>(dynamic[orderPrice]-dynamic[productCost])/dynamic[productCost]</f>
        <v>0.472490732</v>
      </c>
      <c r="O903" s="10">
        <v>6.0</v>
      </c>
      <c r="P903" s="25">
        <v>0.0</v>
      </c>
      <c r="Q903" s="9">
        <f>dynamic[orderPrice]*dynamic[orderQuantity]</f>
        <v>187.38</v>
      </c>
      <c r="R903" s="9">
        <f>dynamic[orderTotal]*(1-dynamic[discountApllied])</f>
        <v>187.38</v>
      </c>
      <c r="S903" s="9">
        <f>dynamic[revenue]-(dynamic[productCost]*dynamic[orderQuantity])</f>
        <v>60.12622792</v>
      </c>
      <c r="T903" s="25">
        <f>IFERROR(dynamic[profit]/dynamic[revenue], 0)</f>
        <v>0.3208785779</v>
      </c>
    </row>
    <row r="904" ht="15.75" customHeight="1">
      <c r="A904" s="6">
        <v>10587.0</v>
      </c>
      <c r="B904" s="7" t="s">
        <v>27</v>
      </c>
      <c r="C904" s="24" t="str">
        <f>VLOOKUP(dynamic[customerID],customers[],2,FALSE)</f>
        <v>Que Delícia</v>
      </c>
      <c r="D904" s="24">
        <v>45109.0</v>
      </c>
      <c r="E904" s="6">
        <f>IFERROR(__xludf.DUMMYFUNCTION("COUNTUNIQUEIFS($A$2:$A904,$B$2:$B904,B904)"),5.0)</f>
        <v>5</v>
      </c>
      <c r="F904" s="6">
        <f t="shared" si="1"/>
        <v>162</v>
      </c>
      <c r="G904" s="6" t="str">
        <f>IF(MINIFS(dynamic[orderDate], dynamic[customerID], B904) &gt;= DATE(2024,4,30)-120, 
     "New", 
     IF(MAXIFS(dynamic[orderCount], dynamic[customerID], B904)&lt;=2, 
        IF((DATE(2024,4,30) - MAXIFS(dynamic[orderDate], dynamic[customerID], B904)) &gt; 180, "Non-Returning", "Dormant"), 
        IF(AND(MAX(dynamic[sinceLastOrder]) &gt; 365, (DATE(2024,4,30) - MAXIFS(dynamic[orderDate], dynamic[customerID], B904)) &gt; 180), 
           "Dormant", "Regular")))</f>
        <v>Regular</v>
      </c>
      <c r="H904" s="6">
        <v>35.0</v>
      </c>
      <c r="I904" s="9" t="str">
        <f>VLOOKUP(dynamic[productID],products[],2,FALSE)</f>
        <v>Cold Brew Nitro</v>
      </c>
      <c r="J904" s="9" t="str">
        <f>VLOOKUP(dynamic[productID],products[],12,FALSE)</f>
        <v>Beverages</v>
      </c>
      <c r="K904" s="7" t="str">
        <f>IF(VLOOKUP(dynamic[productID],products[],7,FALSE)=1,"Discontinued","Current")</f>
        <v>Current</v>
      </c>
      <c r="L904" s="9">
        <f>VLOOKUP(dynamic[productID],products[],IF(YEAR(dynamic[orderDate])=2022,8,IF(YEAR(dynamic[orderDate])=2023,9,IF(YEAR(dynamic[orderDate])=2024,10,NA))),FALSE)</f>
        <v>11.7602531</v>
      </c>
      <c r="M904" s="9">
        <v>18.0</v>
      </c>
      <c r="N904" s="25">
        <f>(dynamic[orderPrice]-dynamic[productCost])/dynamic[productCost]</f>
        <v>0.5305793033</v>
      </c>
      <c r="O904" s="10">
        <v>20.0</v>
      </c>
      <c r="P904" s="25">
        <v>0.0</v>
      </c>
      <c r="Q904" s="9">
        <f>dynamic[orderPrice]*dynamic[orderQuantity]</f>
        <v>360</v>
      </c>
      <c r="R904" s="9">
        <f>dynamic[orderTotal]*(1-dynamic[discountApllied])</f>
        <v>360</v>
      </c>
      <c r="S904" s="9">
        <f>dynamic[revenue]-(dynamic[productCost]*dynamic[orderQuantity])</f>
        <v>124.794938</v>
      </c>
      <c r="T904" s="25">
        <f>IFERROR(dynamic[profit]/dynamic[revenue], 0)</f>
        <v>0.3466526054</v>
      </c>
    </row>
    <row r="905" ht="15.75" customHeight="1">
      <c r="A905" s="6">
        <v>10587.0</v>
      </c>
      <c r="B905" s="7" t="s">
        <v>27</v>
      </c>
      <c r="C905" s="24" t="str">
        <f>VLOOKUP(dynamic[customerID],customers[],2,FALSE)</f>
        <v>Que Delícia</v>
      </c>
      <c r="D905" s="24">
        <v>45109.0</v>
      </c>
      <c r="E905" s="6">
        <f>IFERROR(__xludf.DUMMYFUNCTION("COUNTUNIQUEIFS($A$2:$A905,$B$2:$B905,B905)"),5.0)</f>
        <v>5</v>
      </c>
      <c r="F905" s="6">
        <f t="shared" si="1"/>
        <v>162</v>
      </c>
      <c r="G905" s="6" t="str">
        <f>IF(MINIFS(dynamic[orderDate], dynamic[customerID], B905) &gt;= DATE(2024,4,30)-120, 
     "New", 
     IF(MAXIFS(dynamic[orderCount], dynamic[customerID], B905)&lt;=2, 
        IF((DATE(2024,4,30) - MAXIFS(dynamic[orderDate], dynamic[customerID], B905)) &gt; 180, "Non-Returning", "Dormant"), 
        IF(AND(MAX(dynamic[sinceLastOrder]) &gt; 365, (DATE(2024,4,30) - MAXIFS(dynamic[orderDate], dynamic[customerID], B905)) &gt; 180), 
           "Dormant", "Regular")))</f>
        <v>Regular</v>
      </c>
      <c r="H905" s="6">
        <v>77.0</v>
      </c>
      <c r="I905" s="9" t="str">
        <f>VLOOKUP(dynamic[productID],products[],2,FALSE)</f>
        <v>Original Frankfurter grüne Soße</v>
      </c>
      <c r="J905" s="9" t="str">
        <f>VLOOKUP(dynamic[productID],products[],12,FALSE)</f>
        <v>Condiments</v>
      </c>
      <c r="K905" s="7" t="str">
        <f>IF(VLOOKUP(dynamic[productID],products[],7,FALSE)=1,"Discontinued","Current")</f>
        <v>Current</v>
      </c>
      <c r="L905" s="9">
        <f>VLOOKUP(dynamic[productID],products[],IF(YEAR(dynamic[orderDate])=2022,8,IF(YEAR(dynamic[orderDate])=2023,9,IF(YEAR(dynamic[orderDate])=2024,10,NA))),FALSE)</f>
        <v>7.539056452</v>
      </c>
      <c r="M905" s="9">
        <v>13.0</v>
      </c>
      <c r="N905" s="25">
        <f>(dynamic[orderPrice]-dynamic[productCost])/dynamic[productCost]</f>
        <v>0.7243537149</v>
      </c>
      <c r="O905" s="10">
        <v>20.0</v>
      </c>
      <c r="P905" s="25">
        <v>0.0</v>
      </c>
      <c r="Q905" s="9">
        <f>dynamic[orderPrice]*dynamic[orderQuantity]</f>
        <v>260</v>
      </c>
      <c r="R905" s="9">
        <f>dynamic[orderTotal]*(1-dynamic[discountApllied])</f>
        <v>260</v>
      </c>
      <c r="S905" s="9">
        <f>dynamic[revenue]-(dynamic[productCost]*dynamic[orderQuantity])</f>
        <v>109.218871</v>
      </c>
      <c r="T905" s="25">
        <f>IFERROR(dynamic[profit]/dynamic[revenue], 0)</f>
        <v>0.4200725806</v>
      </c>
    </row>
    <row r="906" ht="15.75" customHeight="1">
      <c r="A906" s="6">
        <v>10588.0</v>
      </c>
      <c r="B906" s="7" t="s">
        <v>36</v>
      </c>
      <c r="C906" s="24" t="str">
        <f>VLOOKUP(dynamic[customerID],customers[],2,FALSE)</f>
        <v>QUICK-Stop</v>
      </c>
      <c r="D906" s="24">
        <v>45110.0</v>
      </c>
      <c r="E906" s="6">
        <f>IFERROR(__xludf.DUMMYFUNCTION("COUNTUNIQUEIFS($A$2:$A906,$B$2:$B906,B906)"),13.0)</f>
        <v>13</v>
      </c>
      <c r="F906" s="6">
        <f t="shared" si="1"/>
        <v>37</v>
      </c>
      <c r="G906" s="6" t="str">
        <f>IF(MINIFS(dynamic[orderDate], dynamic[customerID], B906) &gt;= DATE(2024,4,30)-120, 
     "New", 
     IF(MAXIFS(dynamic[orderCount], dynamic[customerID], B906)&lt;=2, 
        IF((DATE(2024,4,30) - MAXIFS(dynamic[orderDate], dynamic[customerID], B906)) &gt; 180, "Non-Returning", "Dormant"), 
        IF(AND(MAX(dynamic[sinceLastOrder]) &gt; 365, (DATE(2024,4,30) - MAXIFS(dynamic[orderDate], dynamic[customerID], B906)) &gt; 180), 
           "Dormant", "Regular")))</f>
        <v>Regular</v>
      </c>
      <c r="H906" s="6">
        <v>18.0</v>
      </c>
      <c r="I906" s="9" t="str">
        <f>VLOOKUP(dynamic[productID],products[],2,FALSE)</f>
        <v>Carnarvon Tigers</v>
      </c>
      <c r="J906" s="9" t="str">
        <f>VLOOKUP(dynamic[productID],products[],12,FALSE)</f>
        <v>Seafood</v>
      </c>
      <c r="K906" s="7" t="str">
        <f>IF(VLOOKUP(dynamic[productID],products[],7,FALSE)=1,"Discontinued","Current")</f>
        <v>Current</v>
      </c>
      <c r="L906" s="9">
        <f>VLOOKUP(dynamic[productID],products[],IF(YEAR(dynamic[orderDate])=2022,8,IF(YEAR(dynamic[orderDate])=2023,9,IF(YEAR(dynamic[orderDate])=2024,10,NA))),FALSE)</f>
        <v>39.51966651</v>
      </c>
      <c r="M906" s="9">
        <v>62.5</v>
      </c>
      <c r="N906" s="25">
        <f>(dynamic[orderPrice]-dynamic[productCost])/dynamic[productCost]</f>
        <v>0.5814910784</v>
      </c>
      <c r="O906" s="10">
        <v>40.0</v>
      </c>
      <c r="P906" s="25">
        <v>0.2</v>
      </c>
      <c r="Q906" s="9">
        <f>dynamic[orderPrice]*dynamic[orderQuantity]</f>
        <v>2500</v>
      </c>
      <c r="R906" s="9">
        <f>dynamic[orderTotal]*(1-dynamic[discountApllied])</f>
        <v>2000</v>
      </c>
      <c r="S906" s="9">
        <f>dynamic[revenue]-(dynamic[productCost]*dynamic[orderQuantity])</f>
        <v>419.2133398</v>
      </c>
      <c r="T906" s="25">
        <f>IFERROR(dynamic[profit]/dynamic[revenue], 0)</f>
        <v>0.2096066699</v>
      </c>
    </row>
    <row r="907" ht="15.75" customHeight="1">
      <c r="A907" s="6">
        <v>10588.0</v>
      </c>
      <c r="B907" s="7" t="s">
        <v>36</v>
      </c>
      <c r="C907" s="24" t="str">
        <f>VLOOKUP(dynamic[customerID],customers[],2,FALSE)</f>
        <v>QUICK-Stop</v>
      </c>
      <c r="D907" s="24">
        <v>45110.0</v>
      </c>
      <c r="E907" s="6">
        <f>IFERROR(__xludf.DUMMYFUNCTION("COUNTUNIQUEIFS($A$2:$A907,$B$2:$B907,B907)"),13.0)</f>
        <v>13</v>
      </c>
      <c r="F907" s="6">
        <f t="shared" si="1"/>
        <v>37</v>
      </c>
      <c r="G907" s="6" t="str">
        <f>IF(MINIFS(dynamic[orderDate], dynamic[customerID], B907) &gt;= DATE(2024,4,30)-120, 
     "New", 
     IF(MAXIFS(dynamic[orderCount], dynamic[customerID], B907)&lt;=2, 
        IF((DATE(2024,4,30) - MAXIFS(dynamic[orderDate], dynamic[customerID], B907)) &gt; 180, "Non-Returning", "Dormant"), 
        IF(AND(MAX(dynamic[sinceLastOrder]) &gt; 365, (DATE(2024,4,30) - MAXIFS(dynamic[orderDate], dynamic[customerID], B907)) &gt; 180), 
           "Dormant", "Regular")))</f>
        <v>Regular</v>
      </c>
      <c r="H907" s="6">
        <v>42.0</v>
      </c>
      <c r="I907" s="9" t="str">
        <f>VLOOKUP(dynamic[productID],products[],2,FALSE)</f>
        <v>Singaporean Hokkien Fried Mee</v>
      </c>
      <c r="J907" s="9" t="str">
        <f>VLOOKUP(dynamic[productID],products[],12,FALSE)</f>
        <v>Grains/Cereals</v>
      </c>
      <c r="K907" s="7" t="str">
        <f>IF(VLOOKUP(dynamic[productID],products[],7,FALSE)=1,"Discontinued","Current")</f>
        <v>Discontinued</v>
      </c>
      <c r="L907" s="9">
        <f>VLOOKUP(dynamic[productID],products[],IF(YEAR(dynamic[orderDate])=2022,8,IF(YEAR(dynamic[orderDate])=2023,9,IF(YEAR(dynamic[orderDate])=2024,10,NA))),FALSE)</f>
        <v>9.105641621</v>
      </c>
      <c r="M907" s="9">
        <v>14.0</v>
      </c>
      <c r="N907" s="25">
        <f>(dynamic[orderPrice]-dynamic[productCost])/dynamic[productCost]</f>
        <v>0.5375083474</v>
      </c>
      <c r="O907" s="10">
        <v>100.0</v>
      </c>
      <c r="P907" s="25">
        <v>0.2</v>
      </c>
      <c r="Q907" s="9">
        <f>dynamic[orderPrice]*dynamic[orderQuantity]</f>
        <v>1400</v>
      </c>
      <c r="R907" s="9">
        <f>dynamic[orderTotal]*(1-dynamic[discountApllied])</f>
        <v>1120</v>
      </c>
      <c r="S907" s="9">
        <f>dynamic[revenue]-(dynamic[productCost]*dynamic[orderQuantity])</f>
        <v>209.4358379</v>
      </c>
      <c r="T907" s="25">
        <f>IFERROR(dynamic[profit]/dynamic[revenue], 0)</f>
        <v>0.1869962839</v>
      </c>
    </row>
    <row r="908" ht="15.75" customHeight="1">
      <c r="A908" s="6">
        <v>10589.0</v>
      </c>
      <c r="B908" s="7" t="s">
        <v>94</v>
      </c>
      <c r="C908" s="24" t="str">
        <f>VLOOKUP(dynamic[customerID],customers[],2,FALSE)</f>
        <v>Great Lakes Food Market</v>
      </c>
      <c r="D908" s="24">
        <v>45111.0</v>
      </c>
      <c r="E908" s="6">
        <f>IFERROR(__xludf.DUMMYFUNCTION("COUNTUNIQUEIFS($A$2:$A908,$B$2:$B908,B908)"),2.0)</f>
        <v>2</v>
      </c>
      <c r="F908" s="6">
        <f t="shared" si="1"/>
        <v>59</v>
      </c>
      <c r="G908" s="6" t="str">
        <f>IF(MINIFS(dynamic[orderDate], dynamic[customerID], B908) &gt;= DATE(2024,4,30)-120, 
     "New", 
     IF(MAXIFS(dynamic[orderCount], dynamic[customerID], B908)&lt;=2, 
        IF((DATE(2024,4,30) - MAXIFS(dynamic[orderDate], dynamic[customerID], B908)) &gt; 180, "Non-Returning", "Dormant"), 
        IF(AND(MAX(dynamic[sinceLastOrder]) &gt; 365, (DATE(2024,4,30) - MAXIFS(dynamic[orderDate], dynamic[customerID], B908)) &gt; 180), 
           "Dormant", "Regular")))</f>
        <v>Regular</v>
      </c>
      <c r="H908" s="6">
        <v>35.0</v>
      </c>
      <c r="I908" s="9" t="str">
        <f>VLOOKUP(dynamic[productID],products[],2,FALSE)</f>
        <v>Cold Brew Nitro</v>
      </c>
      <c r="J908" s="9" t="str">
        <f>VLOOKUP(dynamic[productID],products[],12,FALSE)</f>
        <v>Beverages</v>
      </c>
      <c r="K908" s="7" t="str">
        <f>IF(VLOOKUP(dynamic[productID],products[],7,FALSE)=1,"Discontinued","Current")</f>
        <v>Current</v>
      </c>
      <c r="L908" s="9">
        <f>VLOOKUP(dynamic[productID],products[],IF(YEAR(dynamic[orderDate])=2022,8,IF(YEAR(dynamic[orderDate])=2023,9,IF(YEAR(dynamic[orderDate])=2024,10,NA))),FALSE)</f>
        <v>11.7602531</v>
      </c>
      <c r="M908" s="9">
        <v>18.0</v>
      </c>
      <c r="N908" s="25">
        <f>(dynamic[orderPrice]-dynamic[productCost])/dynamic[productCost]</f>
        <v>0.5305793033</v>
      </c>
      <c r="O908" s="10">
        <v>4.0</v>
      </c>
      <c r="P908" s="25">
        <v>0.0</v>
      </c>
      <c r="Q908" s="9">
        <f>dynamic[orderPrice]*dynamic[orderQuantity]</f>
        <v>72</v>
      </c>
      <c r="R908" s="9">
        <f>dynamic[orderTotal]*(1-dynamic[discountApllied])</f>
        <v>72</v>
      </c>
      <c r="S908" s="9">
        <f>dynamic[revenue]-(dynamic[productCost]*dynamic[orderQuantity])</f>
        <v>24.95898759</v>
      </c>
      <c r="T908" s="25">
        <f>IFERROR(dynamic[profit]/dynamic[revenue], 0)</f>
        <v>0.3466526054</v>
      </c>
    </row>
    <row r="909" ht="15.75" customHeight="1">
      <c r="A909" s="6">
        <v>10590.0</v>
      </c>
      <c r="B909" s="7" t="s">
        <v>64</v>
      </c>
      <c r="C909" s="24" t="str">
        <f>VLOOKUP(dynamic[customerID],customers[],2,FALSE)</f>
        <v>Mère Paillarde</v>
      </c>
      <c r="D909" s="24">
        <v>45114.0</v>
      </c>
      <c r="E909" s="6">
        <f>IFERROR(__xludf.DUMMYFUNCTION("COUNTUNIQUEIFS($A$2:$A909,$B$2:$B909,B909)"),9.0)</f>
        <v>9</v>
      </c>
      <c r="F909" s="6">
        <f t="shared" si="1"/>
        <v>20</v>
      </c>
      <c r="G909" s="6" t="str">
        <f>IF(MINIFS(dynamic[orderDate], dynamic[customerID], B909) &gt;= DATE(2024,4,30)-120, 
     "New", 
     IF(MAXIFS(dynamic[orderCount], dynamic[customerID], B909)&lt;=2, 
        IF((DATE(2024,4,30) - MAXIFS(dynamic[orderDate], dynamic[customerID], B909)) &gt; 180, "Non-Returning", "Dormant"), 
        IF(AND(MAX(dynamic[sinceLastOrder]) &gt; 365, (DATE(2024,4,30) - MAXIFS(dynamic[orderDate], dynamic[customerID], B909)) &gt; 180), 
           "Dormant", "Regular")))</f>
        <v>Dormant</v>
      </c>
      <c r="H909" s="6">
        <v>1.0</v>
      </c>
      <c r="I909" s="9" t="str">
        <f>VLOOKUP(dynamic[productID],products[],2,FALSE)</f>
        <v>Chai</v>
      </c>
      <c r="J909" s="9" t="str">
        <f>VLOOKUP(dynamic[productID],products[],12,FALSE)</f>
        <v>Beverages</v>
      </c>
      <c r="K909" s="7" t="str">
        <f>IF(VLOOKUP(dynamic[productID],products[],7,FALSE)=1,"Discontinued","Current")</f>
        <v>Current</v>
      </c>
      <c r="L909" s="9">
        <f>VLOOKUP(dynamic[productID],products[],IF(YEAR(dynamic[orderDate])=2022,8,IF(YEAR(dynamic[orderDate])=2023,9,IF(YEAR(dynamic[orderDate])=2024,10,NA))),FALSE)</f>
        <v>12.15847607</v>
      </c>
      <c r="M909" s="9">
        <v>18.0</v>
      </c>
      <c r="N909" s="25">
        <f>(dynamic[orderPrice]-dynamic[productCost])/dynamic[productCost]</f>
        <v>0.4804486927</v>
      </c>
      <c r="O909" s="10">
        <v>20.0</v>
      </c>
      <c r="P909" s="25">
        <v>0.0</v>
      </c>
      <c r="Q909" s="9">
        <f>dynamic[orderPrice]*dynamic[orderQuantity]</f>
        <v>360</v>
      </c>
      <c r="R909" s="9">
        <f>dynamic[orderTotal]*(1-dynamic[discountApllied])</f>
        <v>360</v>
      </c>
      <c r="S909" s="9">
        <f>dynamic[revenue]-(dynamic[productCost]*dynamic[orderQuantity])</f>
        <v>116.8304786</v>
      </c>
      <c r="T909" s="25">
        <f>IFERROR(dynamic[profit]/dynamic[revenue], 0)</f>
        <v>0.3245291073</v>
      </c>
    </row>
    <row r="910" ht="15.75" customHeight="1">
      <c r="A910" s="6">
        <v>10590.0</v>
      </c>
      <c r="B910" s="7" t="s">
        <v>64</v>
      </c>
      <c r="C910" s="24" t="str">
        <f>VLOOKUP(dynamic[customerID],customers[],2,FALSE)</f>
        <v>Mère Paillarde</v>
      </c>
      <c r="D910" s="24">
        <v>45114.0</v>
      </c>
      <c r="E910" s="6">
        <f>IFERROR(__xludf.DUMMYFUNCTION("COUNTUNIQUEIFS($A$2:$A910,$B$2:$B910,B910)"),9.0)</f>
        <v>9</v>
      </c>
      <c r="F910" s="6">
        <f t="shared" si="1"/>
        <v>20</v>
      </c>
      <c r="G910" s="6" t="str">
        <f>IF(MINIFS(dynamic[orderDate], dynamic[customerID], B910) &gt;= DATE(2024,4,30)-120, 
     "New", 
     IF(MAXIFS(dynamic[orderCount], dynamic[customerID], B910)&lt;=2, 
        IF((DATE(2024,4,30) - MAXIFS(dynamic[orderDate], dynamic[customerID], B910)) &gt; 180, "Non-Returning", "Dormant"), 
        IF(AND(MAX(dynamic[sinceLastOrder]) &gt; 365, (DATE(2024,4,30) - MAXIFS(dynamic[orderDate], dynamic[customerID], B910)) &gt; 180), 
           "Dormant", "Regular")))</f>
        <v>Dormant</v>
      </c>
      <c r="H910" s="6">
        <v>77.0</v>
      </c>
      <c r="I910" s="9" t="str">
        <f>VLOOKUP(dynamic[productID],products[],2,FALSE)</f>
        <v>Original Frankfurter grüne Soße</v>
      </c>
      <c r="J910" s="9" t="str">
        <f>VLOOKUP(dynamic[productID],products[],12,FALSE)</f>
        <v>Condiments</v>
      </c>
      <c r="K910" s="7" t="str">
        <f>IF(VLOOKUP(dynamic[productID],products[],7,FALSE)=1,"Discontinued","Current")</f>
        <v>Current</v>
      </c>
      <c r="L910" s="9">
        <f>VLOOKUP(dynamic[productID],products[],IF(YEAR(dynamic[orderDate])=2022,8,IF(YEAR(dynamic[orderDate])=2023,9,IF(YEAR(dynamic[orderDate])=2024,10,NA))),FALSE)</f>
        <v>7.539056452</v>
      </c>
      <c r="M910" s="9">
        <v>13.0</v>
      </c>
      <c r="N910" s="25">
        <f>(dynamic[orderPrice]-dynamic[productCost])/dynamic[productCost]</f>
        <v>0.7243537149</v>
      </c>
      <c r="O910" s="10">
        <v>60.0</v>
      </c>
      <c r="P910" s="25">
        <v>0.05</v>
      </c>
      <c r="Q910" s="9">
        <f>dynamic[orderPrice]*dynamic[orderQuantity]</f>
        <v>780</v>
      </c>
      <c r="R910" s="9">
        <f>dynamic[orderTotal]*(1-dynamic[discountApllied])</f>
        <v>741</v>
      </c>
      <c r="S910" s="9">
        <f>dynamic[revenue]-(dynamic[productCost]*dynamic[orderQuantity])</f>
        <v>288.6566129</v>
      </c>
      <c r="T910" s="25">
        <f>IFERROR(dynamic[profit]/dynamic[revenue], 0)</f>
        <v>0.3895500848</v>
      </c>
    </row>
    <row r="911" ht="15.75" customHeight="1">
      <c r="A911" s="6">
        <v>10591.0</v>
      </c>
      <c r="B911" s="7" t="s">
        <v>76</v>
      </c>
      <c r="C911" s="24" t="str">
        <f>VLOOKUP(dynamic[customerID],customers[],2,FALSE)</f>
        <v>Vaffeljernet</v>
      </c>
      <c r="D911" s="24">
        <v>45114.0</v>
      </c>
      <c r="E911" s="6">
        <f>IFERROR(__xludf.DUMMYFUNCTION("COUNTUNIQUEIFS($A$2:$A911,$B$2:$B911,B911)"),4.0)</f>
        <v>4</v>
      </c>
      <c r="F911" s="6">
        <f t="shared" si="1"/>
        <v>124</v>
      </c>
      <c r="G911" s="6" t="str">
        <f>IF(MINIFS(dynamic[orderDate], dynamic[customerID], B911) &gt;= DATE(2024,4,30)-120, 
     "New", 
     IF(MAXIFS(dynamic[orderCount], dynamic[customerID], B911)&lt;=2, 
        IF((DATE(2024,4,30) - MAXIFS(dynamic[orderDate], dynamic[customerID], B911)) &gt; 180, "Non-Returning", "Dormant"), 
        IF(AND(MAX(dynamic[sinceLastOrder]) &gt; 365, (DATE(2024,4,30) - MAXIFS(dynamic[orderDate], dynamic[customerID], B911)) &gt; 180), 
           "Dormant", "Regular")))</f>
        <v>Regular</v>
      </c>
      <c r="H911" s="6">
        <v>3.0</v>
      </c>
      <c r="I911" s="9" t="str">
        <f>VLOOKUP(dynamic[productID],products[],2,FALSE)</f>
        <v>Aniseed Syrup</v>
      </c>
      <c r="J911" s="9" t="str">
        <f>VLOOKUP(dynamic[productID],products[],12,FALSE)</f>
        <v>Condiments</v>
      </c>
      <c r="K911" s="7" t="str">
        <f>IF(VLOOKUP(dynamic[productID],products[],7,FALSE)=1,"Discontinued","Current")</f>
        <v>Current</v>
      </c>
      <c r="L911" s="9">
        <f>VLOOKUP(dynamic[productID],products[],IF(YEAR(dynamic[orderDate])=2022,8,IF(YEAR(dynamic[orderDate])=2023,9,IF(YEAR(dynamic[orderDate])=2024,10,NA))),FALSE)</f>
        <v>6.399802633</v>
      </c>
      <c r="M911" s="9">
        <v>10.0</v>
      </c>
      <c r="N911" s="25">
        <f>(dynamic[orderPrice]-dynamic[productCost])/dynamic[productCost]</f>
        <v>0.5625481867</v>
      </c>
      <c r="O911" s="10">
        <v>14.0</v>
      </c>
      <c r="P911" s="25">
        <v>0.0</v>
      </c>
      <c r="Q911" s="9">
        <f>dynamic[orderPrice]*dynamic[orderQuantity]</f>
        <v>140</v>
      </c>
      <c r="R911" s="9">
        <f>dynamic[orderTotal]*(1-dynamic[discountApllied])</f>
        <v>140</v>
      </c>
      <c r="S911" s="9">
        <f>dynamic[revenue]-(dynamic[productCost]*dynamic[orderQuantity])</f>
        <v>50.40276313</v>
      </c>
      <c r="T911" s="25">
        <f>IFERROR(dynamic[profit]/dynamic[revenue], 0)</f>
        <v>0.3600197367</v>
      </c>
    </row>
    <row r="912" ht="15.75" customHeight="1">
      <c r="A912" s="6">
        <v>10591.0</v>
      </c>
      <c r="B912" s="7" t="s">
        <v>76</v>
      </c>
      <c r="C912" s="24" t="str">
        <f>VLOOKUP(dynamic[customerID],customers[],2,FALSE)</f>
        <v>Vaffeljernet</v>
      </c>
      <c r="D912" s="24">
        <v>45114.0</v>
      </c>
      <c r="E912" s="6">
        <f>IFERROR(__xludf.DUMMYFUNCTION("COUNTUNIQUEIFS($A$2:$A912,$B$2:$B912,B912)"),4.0)</f>
        <v>4</v>
      </c>
      <c r="F912" s="6">
        <f t="shared" si="1"/>
        <v>124</v>
      </c>
      <c r="G912" s="6" t="str">
        <f>IF(MINIFS(dynamic[orderDate], dynamic[customerID], B912) &gt;= DATE(2024,4,30)-120, 
     "New", 
     IF(MAXIFS(dynamic[orderCount], dynamic[customerID], B912)&lt;=2, 
        IF((DATE(2024,4,30) - MAXIFS(dynamic[orderDate], dynamic[customerID], B912)) &gt; 180, "Non-Returning", "Dormant"), 
        IF(AND(MAX(dynamic[sinceLastOrder]) &gt; 365, (DATE(2024,4,30) - MAXIFS(dynamic[orderDate], dynamic[customerID], B912)) &gt; 180), 
           "Dormant", "Regular")))</f>
        <v>Regular</v>
      </c>
      <c r="H912" s="6">
        <v>7.0</v>
      </c>
      <c r="I912" s="9" t="str">
        <f>VLOOKUP(dynamic[productID],products[],2,FALSE)</f>
        <v>Uncle Bob's Organic Dried Pears</v>
      </c>
      <c r="J912" s="9" t="str">
        <f>VLOOKUP(dynamic[productID],products[],12,FALSE)</f>
        <v>Produce</v>
      </c>
      <c r="K912" s="7" t="str">
        <f>IF(VLOOKUP(dynamic[productID],products[],7,FALSE)=1,"Discontinued","Current")</f>
        <v>Current</v>
      </c>
      <c r="L912" s="9">
        <f>VLOOKUP(dynamic[productID],products[],IF(YEAR(dynamic[orderDate])=2022,8,IF(YEAR(dynamic[orderDate])=2023,9,IF(YEAR(dynamic[orderDate])=2024,10,NA))),FALSE)</f>
        <v>21.39244625</v>
      </c>
      <c r="M912" s="9">
        <v>30.0</v>
      </c>
      <c r="N912" s="25">
        <f>(dynamic[orderPrice]-dynamic[productCost])/dynamic[productCost]</f>
        <v>0.4023641636</v>
      </c>
      <c r="O912" s="10">
        <v>10.0</v>
      </c>
      <c r="P912" s="25">
        <v>0.0</v>
      </c>
      <c r="Q912" s="9">
        <f>dynamic[orderPrice]*dynamic[orderQuantity]</f>
        <v>300</v>
      </c>
      <c r="R912" s="9">
        <f>dynamic[orderTotal]*(1-dynamic[discountApllied])</f>
        <v>300</v>
      </c>
      <c r="S912" s="9">
        <f>dynamic[revenue]-(dynamic[productCost]*dynamic[orderQuantity])</f>
        <v>86.07553745</v>
      </c>
      <c r="T912" s="25">
        <f>IFERROR(dynamic[profit]/dynamic[revenue], 0)</f>
        <v>0.2869184582</v>
      </c>
    </row>
    <row r="913" ht="15.75" customHeight="1">
      <c r="A913" s="6">
        <v>10591.0</v>
      </c>
      <c r="B913" s="7" t="s">
        <v>76</v>
      </c>
      <c r="C913" s="24" t="str">
        <f>VLOOKUP(dynamic[customerID],customers[],2,FALSE)</f>
        <v>Vaffeljernet</v>
      </c>
      <c r="D913" s="24">
        <v>45114.0</v>
      </c>
      <c r="E913" s="6">
        <f>IFERROR(__xludf.DUMMYFUNCTION("COUNTUNIQUEIFS($A$2:$A913,$B$2:$B913,B913)"),4.0)</f>
        <v>4</v>
      </c>
      <c r="F913" s="6">
        <f t="shared" si="1"/>
        <v>124</v>
      </c>
      <c r="G913" s="6" t="str">
        <f>IF(MINIFS(dynamic[orderDate], dynamic[customerID], B913) &gt;= DATE(2024,4,30)-120, 
     "New", 
     IF(MAXIFS(dynamic[orderCount], dynamic[customerID], B913)&lt;=2, 
        IF((DATE(2024,4,30) - MAXIFS(dynamic[orderDate], dynamic[customerID], B913)) &gt; 180, "Non-Returning", "Dormant"), 
        IF(AND(MAX(dynamic[sinceLastOrder]) &gt; 365, (DATE(2024,4,30) - MAXIFS(dynamic[orderDate], dynamic[customerID], B913)) &gt; 180), 
           "Dormant", "Regular")))</f>
        <v>Regular</v>
      </c>
      <c r="H913" s="6">
        <v>54.0</v>
      </c>
      <c r="I913" s="9" t="str">
        <f>VLOOKUP(dynamic[productID],products[],2,FALSE)</f>
        <v>Tourtière</v>
      </c>
      <c r="J913" s="9" t="str">
        <f>VLOOKUP(dynamic[productID],products[],12,FALSE)</f>
        <v>Meat/Poultry</v>
      </c>
      <c r="K913" s="7" t="str">
        <f>IF(VLOOKUP(dynamic[productID],products[],7,FALSE)=1,"Discontinued","Current")</f>
        <v>Current</v>
      </c>
      <c r="L913" s="9">
        <f>VLOOKUP(dynamic[productID],products[],IF(YEAR(dynamic[orderDate])=2022,8,IF(YEAR(dynamic[orderDate])=2023,9,IF(YEAR(dynamic[orderDate])=2024,10,NA))),FALSE)</f>
        <v>4.924447797</v>
      </c>
      <c r="M913" s="9">
        <v>7.45</v>
      </c>
      <c r="N913" s="25">
        <f>(dynamic[orderPrice]-dynamic[productCost])/dynamic[productCost]</f>
        <v>0.5128599808</v>
      </c>
      <c r="O913" s="10">
        <v>50.0</v>
      </c>
      <c r="P913" s="25">
        <v>0.0</v>
      </c>
      <c r="Q913" s="9">
        <f>dynamic[orderPrice]*dynamic[orderQuantity]</f>
        <v>372.5</v>
      </c>
      <c r="R913" s="9">
        <f>dynamic[orderTotal]*(1-dynamic[discountApllied])</f>
        <v>372.5</v>
      </c>
      <c r="S913" s="9">
        <f>dynamic[revenue]-(dynamic[productCost]*dynamic[orderQuantity])</f>
        <v>126.2776101</v>
      </c>
      <c r="T913" s="25">
        <f>IFERROR(dynamic[profit]/dynamic[revenue], 0)</f>
        <v>0.3390002957</v>
      </c>
    </row>
    <row r="914" ht="15.75" customHeight="1">
      <c r="A914" s="6">
        <v>10592.0</v>
      </c>
      <c r="B914" s="7" t="s">
        <v>41</v>
      </c>
      <c r="C914" s="24" t="str">
        <f>VLOOKUP(dynamic[customerID],customers[],2,FALSE)</f>
        <v>Lehmanns Marktstand</v>
      </c>
      <c r="D914" s="24">
        <v>45115.0</v>
      </c>
      <c r="E914" s="6">
        <f>IFERROR(__xludf.DUMMYFUNCTION("COUNTUNIQUEIFS($A$2:$A914,$B$2:$B914,B914)"),9.0)</f>
        <v>9</v>
      </c>
      <c r="F914" s="6">
        <f t="shared" si="1"/>
        <v>35</v>
      </c>
      <c r="G914" s="6" t="str">
        <f>IF(MINIFS(dynamic[orderDate], dynamic[customerID], B914) &gt;= DATE(2024,4,30)-120, 
     "New", 
     IF(MAXIFS(dynamic[orderCount], dynamic[customerID], B914)&lt;=2, 
        IF((DATE(2024,4,30) - MAXIFS(dynamic[orderDate], dynamic[customerID], B914)) &gt; 180, "Non-Returning", "Dormant"), 
        IF(AND(MAX(dynamic[sinceLastOrder]) &gt; 365, (DATE(2024,4,30) - MAXIFS(dynamic[orderDate], dynamic[customerID], B914)) &gt; 180), 
           "Dormant", "Regular")))</f>
        <v>Regular</v>
      </c>
      <c r="H914" s="6">
        <v>15.0</v>
      </c>
      <c r="I914" s="9" t="str">
        <f>VLOOKUP(dynamic[productID],products[],2,FALSE)</f>
        <v>Genen Shouyu</v>
      </c>
      <c r="J914" s="9" t="str">
        <f>VLOOKUP(dynamic[productID],products[],12,FALSE)</f>
        <v>Condiments</v>
      </c>
      <c r="K914" s="7" t="str">
        <f>IF(VLOOKUP(dynamic[productID],products[],7,FALSE)=1,"Discontinued","Current")</f>
        <v>Current</v>
      </c>
      <c r="L914" s="9">
        <f>VLOOKUP(dynamic[productID],products[],IF(YEAR(dynamic[orderDate])=2022,8,IF(YEAR(dynamic[orderDate])=2023,9,IF(YEAR(dynamic[orderDate])=2024,10,NA))),FALSE)</f>
        <v>10.78394742</v>
      </c>
      <c r="M914" s="9">
        <v>15.5</v>
      </c>
      <c r="N914" s="25">
        <f>(dynamic[orderPrice]-dynamic[productCost])/dynamic[productCost]</f>
        <v>0.4373215478</v>
      </c>
      <c r="O914" s="10">
        <v>25.0</v>
      </c>
      <c r="P914" s="25">
        <v>0.05</v>
      </c>
      <c r="Q914" s="9">
        <f>dynamic[orderPrice]*dynamic[orderQuantity]</f>
        <v>387.5</v>
      </c>
      <c r="R914" s="9">
        <f>dynamic[orderTotal]*(1-dynamic[discountApllied])</f>
        <v>368.125</v>
      </c>
      <c r="S914" s="9">
        <f>dynamic[revenue]-(dynamic[productCost]*dynamic[orderQuantity])</f>
        <v>98.52631444</v>
      </c>
      <c r="T914" s="25">
        <f>IFERROR(dynamic[profit]/dynamic[revenue], 0)</f>
        <v>0.2676436386</v>
      </c>
    </row>
    <row r="915" ht="15.75" customHeight="1">
      <c r="A915" s="6">
        <v>10592.0</v>
      </c>
      <c r="B915" s="7" t="s">
        <v>41</v>
      </c>
      <c r="C915" s="24" t="str">
        <f>VLOOKUP(dynamic[customerID],customers[],2,FALSE)</f>
        <v>Lehmanns Marktstand</v>
      </c>
      <c r="D915" s="24">
        <v>45115.0</v>
      </c>
      <c r="E915" s="6">
        <f>IFERROR(__xludf.DUMMYFUNCTION("COUNTUNIQUEIFS($A$2:$A915,$B$2:$B915,B915)"),9.0)</f>
        <v>9</v>
      </c>
      <c r="F915" s="6">
        <f t="shared" si="1"/>
        <v>35</v>
      </c>
      <c r="G915" s="6" t="str">
        <f>IF(MINIFS(dynamic[orderDate], dynamic[customerID], B915) &gt;= DATE(2024,4,30)-120, 
     "New", 
     IF(MAXIFS(dynamic[orderCount], dynamic[customerID], B915)&lt;=2, 
        IF((DATE(2024,4,30) - MAXIFS(dynamic[orderDate], dynamic[customerID], B915)) &gt; 180, "Non-Returning", "Dormant"), 
        IF(AND(MAX(dynamic[sinceLastOrder]) &gt; 365, (DATE(2024,4,30) - MAXIFS(dynamic[orderDate], dynamic[customerID], B915)) &gt; 180), 
           "Dormant", "Regular")))</f>
        <v>Regular</v>
      </c>
      <c r="H915" s="6">
        <v>26.0</v>
      </c>
      <c r="I915" s="9" t="str">
        <f>VLOOKUP(dynamic[productID],products[],2,FALSE)</f>
        <v>NuNuCa Nuß-Nougat-Creme</v>
      </c>
      <c r="J915" s="9" t="str">
        <f>VLOOKUP(dynamic[productID],products[],12,FALSE)</f>
        <v>Confections</v>
      </c>
      <c r="K915" s="7" t="str">
        <f>IF(VLOOKUP(dynamic[productID],products[],7,FALSE)=1,"Discontinued","Current")</f>
        <v>Current</v>
      </c>
      <c r="L915" s="9">
        <f>VLOOKUP(dynamic[productID],products[],IF(YEAR(dynamic[orderDate])=2022,8,IF(YEAR(dynamic[orderDate])=2023,9,IF(YEAR(dynamic[orderDate])=2024,10,NA))),FALSE)</f>
        <v>21.20896201</v>
      </c>
      <c r="M915" s="9">
        <v>31.23</v>
      </c>
      <c r="N915" s="25">
        <f>(dynamic[orderPrice]-dynamic[productCost])/dynamic[productCost]</f>
        <v>0.472490732</v>
      </c>
      <c r="O915" s="10">
        <v>5.0</v>
      </c>
      <c r="P915" s="25">
        <v>0.05</v>
      </c>
      <c r="Q915" s="9">
        <f>dynamic[orderPrice]*dynamic[orderQuantity]</f>
        <v>156.15</v>
      </c>
      <c r="R915" s="9">
        <f>dynamic[orderTotal]*(1-dynamic[discountApllied])</f>
        <v>148.3425</v>
      </c>
      <c r="S915" s="9">
        <f>dynamic[revenue]-(dynamic[productCost]*dynamic[orderQuantity])</f>
        <v>42.29768994</v>
      </c>
      <c r="T915" s="25">
        <f>IFERROR(dynamic[profit]/dynamic[revenue], 0)</f>
        <v>0.2851353451</v>
      </c>
    </row>
    <row r="916" ht="15.75" customHeight="1">
      <c r="A916" s="6">
        <v>10593.0</v>
      </c>
      <c r="B916" s="7" t="s">
        <v>41</v>
      </c>
      <c r="C916" s="24" t="str">
        <f>VLOOKUP(dynamic[customerID],customers[],2,FALSE)</f>
        <v>Lehmanns Marktstand</v>
      </c>
      <c r="D916" s="24">
        <v>45116.0</v>
      </c>
      <c r="E916" s="6">
        <f>IFERROR(__xludf.DUMMYFUNCTION("COUNTUNIQUEIFS($A$2:$A916,$B$2:$B916,B916)"),10.0)</f>
        <v>10</v>
      </c>
      <c r="F916" s="6">
        <f t="shared" si="1"/>
        <v>1</v>
      </c>
      <c r="G916" s="6" t="str">
        <f>IF(MINIFS(dynamic[orderDate], dynamic[customerID], B916) &gt;= DATE(2024,4,30)-120, 
     "New", 
     IF(MAXIFS(dynamic[orderCount], dynamic[customerID], B916)&lt;=2, 
        IF((DATE(2024,4,30) - MAXIFS(dynamic[orderDate], dynamic[customerID], B916)) &gt; 180, "Non-Returning", "Dormant"), 
        IF(AND(MAX(dynamic[sinceLastOrder]) &gt; 365, (DATE(2024,4,30) - MAXIFS(dynamic[orderDate], dynamic[customerID], B916)) &gt; 180), 
           "Dormant", "Regular")))</f>
        <v>Regular</v>
      </c>
      <c r="H916" s="6">
        <v>20.0</v>
      </c>
      <c r="I916" s="9" t="str">
        <f>VLOOKUP(dynamic[productID],products[],2,FALSE)</f>
        <v>Sir Rodney's Marmalade</v>
      </c>
      <c r="J916" s="9" t="str">
        <f>VLOOKUP(dynamic[productID],products[],12,FALSE)</f>
        <v>Confections</v>
      </c>
      <c r="K916" s="7" t="str">
        <f>IF(VLOOKUP(dynamic[productID],products[],7,FALSE)=1,"Discontinued","Current")</f>
        <v>Current</v>
      </c>
      <c r="L916" s="9">
        <f>VLOOKUP(dynamic[productID],products[],IF(YEAR(dynamic[orderDate])=2022,8,IF(YEAR(dynamic[orderDate])=2023,9,IF(YEAR(dynamic[orderDate])=2024,10,NA))),FALSE)</f>
        <v>57.29342071</v>
      </c>
      <c r="M916" s="9">
        <v>81.0</v>
      </c>
      <c r="N916" s="25">
        <f>(dynamic[orderPrice]-dynamic[productCost])/dynamic[productCost]</f>
        <v>0.4137748976</v>
      </c>
      <c r="O916" s="10">
        <v>21.0</v>
      </c>
      <c r="P916" s="25">
        <v>0.2</v>
      </c>
      <c r="Q916" s="9">
        <f>dynamic[orderPrice]*dynamic[orderQuantity]</f>
        <v>1701</v>
      </c>
      <c r="R916" s="9">
        <f>dynamic[orderTotal]*(1-dynamic[discountApllied])</f>
        <v>1360.8</v>
      </c>
      <c r="S916" s="9">
        <f>dynamic[revenue]-(dynamic[productCost]*dynamic[orderQuantity])</f>
        <v>157.6381651</v>
      </c>
      <c r="T916" s="25">
        <f>IFERROR(dynamic[profit]/dynamic[revenue], 0)</f>
        <v>0.115842273</v>
      </c>
    </row>
    <row r="917" ht="15.75" customHeight="1">
      <c r="A917" s="6">
        <v>10593.0</v>
      </c>
      <c r="B917" s="7" t="s">
        <v>41</v>
      </c>
      <c r="C917" s="24" t="str">
        <f>VLOOKUP(dynamic[customerID],customers[],2,FALSE)</f>
        <v>Lehmanns Marktstand</v>
      </c>
      <c r="D917" s="24">
        <v>45116.0</v>
      </c>
      <c r="E917" s="6">
        <f>IFERROR(__xludf.DUMMYFUNCTION("COUNTUNIQUEIFS($A$2:$A917,$B$2:$B917,B917)"),10.0)</f>
        <v>10</v>
      </c>
      <c r="F917" s="6">
        <f t="shared" si="1"/>
        <v>1</v>
      </c>
      <c r="G917" s="6" t="str">
        <f>IF(MINIFS(dynamic[orderDate], dynamic[customerID], B917) &gt;= DATE(2024,4,30)-120, 
     "New", 
     IF(MAXIFS(dynamic[orderCount], dynamic[customerID], B917)&lt;=2, 
        IF((DATE(2024,4,30) - MAXIFS(dynamic[orderDate], dynamic[customerID], B917)) &gt; 180, "Non-Returning", "Dormant"), 
        IF(AND(MAX(dynamic[sinceLastOrder]) &gt; 365, (DATE(2024,4,30) - MAXIFS(dynamic[orderDate], dynamic[customerID], B917)) &gt; 180), 
           "Dormant", "Regular")))</f>
        <v>Regular</v>
      </c>
      <c r="H917" s="6">
        <v>69.0</v>
      </c>
      <c r="I917" s="9" t="str">
        <f>VLOOKUP(dynamic[productID],products[],2,FALSE)</f>
        <v>Gudbrandsdalsost</v>
      </c>
      <c r="J917" s="9" t="str">
        <f>VLOOKUP(dynamic[productID],products[],12,FALSE)</f>
        <v>Dairy Products</v>
      </c>
      <c r="K917" s="7" t="str">
        <f>IF(VLOOKUP(dynamic[productID],products[],7,FALSE)=1,"Discontinued","Current")</f>
        <v>Current</v>
      </c>
      <c r="L917" s="9">
        <f>VLOOKUP(dynamic[productID],products[],IF(YEAR(dynamic[orderDate])=2022,8,IF(YEAR(dynamic[orderDate])=2023,9,IF(YEAR(dynamic[orderDate])=2024,10,NA))),FALSE)</f>
        <v>21.82428612</v>
      </c>
      <c r="M917" s="9">
        <v>36.0</v>
      </c>
      <c r="N917" s="25">
        <f>(dynamic[orderPrice]-dynamic[productCost])/dynamic[productCost]</f>
        <v>0.6495384916</v>
      </c>
      <c r="O917" s="10">
        <v>20.0</v>
      </c>
      <c r="P917" s="25">
        <v>0.2</v>
      </c>
      <c r="Q917" s="9">
        <f>dynamic[orderPrice]*dynamic[orderQuantity]</f>
        <v>720</v>
      </c>
      <c r="R917" s="9">
        <f>dynamic[orderTotal]*(1-dynamic[discountApllied])</f>
        <v>576</v>
      </c>
      <c r="S917" s="9">
        <f>dynamic[revenue]-(dynamic[productCost]*dynamic[orderQuantity])</f>
        <v>139.5142777</v>
      </c>
      <c r="T917" s="25">
        <f>IFERROR(dynamic[profit]/dynamic[revenue], 0)</f>
        <v>0.2422122877</v>
      </c>
    </row>
    <row r="918" ht="15.75" customHeight="1">
      <c r="A918" s="6">
        <v>10593.0</v>
      </c>
      <c r="B918" s="7" t="s">
        <v>41</v>
      </c>
      <c r="C918" s="24" t="str">
        <f>VLOOKUP(dynamic[customerID],customers[],2,FALSE)</f>
        <v>Lehmanns Marktstand</v>
      </c>
      <c r="D918" s="24">
        <v>45116.0</v>
      </c>
      <c r="E918" s="6">
        <f>IFERROR(__xludf.DUMMYFUNCTION("COUNTUNIQUEIFS($A$2:$A918,$B$2:$B918,B918)"),10.0)</f>
        <v>10</v>
      </c>
      <c r="F918" s="6">
        <f t="shared" si="1"/>
        <v>1</v>
      </c>
      <c r="G918" s="6" t="str">
        <f>IF(MINIFS(dynamic[orderDate], dynamic[customerID], B918) &gt;= DATE(2024,4,30)-120, 
     "New", 
     IF(MAXIFS(dynamic[orderCount], dynamic[customerID], B918)&lt;=2, 
        IF((DATE(2024,4,30) - MAXIFS(dynamic[orderDate], dynamic[customerID], B918)) &gt; 180, "Non-Returning", "Dormant"), 
        IF(AND(MAX(dynamic[sinceLastOrder]) &gt; 365, (DATE(2024,4,30) - MAXIFS(dynamic[orderDate], dynamic[customerID], B918)) &gt; 180), 
           "Dormant", "Regular")))</f>
        <v>Regular</v>
      </c>
      <c r="H918" s="6">
        <v>76.0</v>
      </c>
      <c r="I918" s="9" t="str">
        <f>VLOOKUP(dynamic[productID],products[],2,FALSE)</f>
        <v>Lakkalikööri</v>
      </c>
      <c r="J918" s="9" t="str">
        <f>VLOOKUP(dynamic[productID],products[],12,FALSE)</f>
        <v>Beverages</v>
      </c>
      <c r="K918" s="7" t="str">
        <f>IF(VLOOKUP(dynamic[productID],products[],7,FALSE)=1,"Discontinued","Current")</f>
        <v>Current</v>
      </c>
      <c r="L918" s="9">
        <f>VLOOKUP(dynamic[productID],products[],IF(YEAR(dynamic[orderDate])=2022,8,IF(YEAR(dynamic[orderDate])=2023,9,IF(YEAR(dynamic[orderDate])=2024,10,NA))),FALSE)</f>
        <v>12.1154529</v>
      </c>
      <c r="M918" s="9">
        <v>18.0</v>
      </c>
      <c r="N918" s="25">
        <f>(dynamic[orderPrice]-dynamic[productCost])/dynamic[productCost]</f>
        <v>0.4857059125</v>
      </c>
      <c r="O918" s="10">
        <v>4.0</v>
      </c>
      <c r="P918" s="25">
        <v>0.2</v>
      </c>
      <c r="Q918" s="9">
        <f>dynamic[orderPrice]*dynamic[orderQuantity]</f>
        <v>72</v>
      </c>
      <c r="R918" s="9">
        <f>dynamic[orderTotal]*(1-dynamic[discountApllied])</f>
        <v>57.6</v>
      </c>
      <c r="S918" s="9">
        <f>dynamic[revenue]-(dynamic[productCost]*dynamic[orderQuantity])</f>
        <v>9.138188418</v>
      </c>
      <c r="T918" s="25">
        <f>IFERROR(dynamic[profit]/dynamic[revenue], 0)</f>
        <v>0.1586491045</v>
      </c>
    </row>
    <row r="919" ht="15.75" customHeight="1">
      <c r="A919" s="6">
        <v>10594.0</v>
      </c>
      <c r="B919" s="7" t="s">
        <v>52</v>
      </c>
      <c r="C919" s="24" t="str">
        <f>VLOOKUP(dynamic[customerID],customers[],2,FALSE)</f>
        <v>Old World Delicatessen</v>
      </c>
      <c r="D919" s="24">
        <v>45116.0</v>
      </c>
      <c r="E919" s="6">
        <f>IFERROR(__xludf.DUMMYFUNCTION("COUNTUNIQUEIFS($A$2:$A919,$B$2:$B919,B919)"),4.0)</f>
        <v>4</v>
      </c>
      <c r="F919" s="6">
        <f t="shared" si="1"/>
        <v>149</v>
      </c>
      <c r="G919" s="6" t="str">
        <f>IF(MINIFS(dynamic[orderDate], dynamic[customerID], B919) &gt;= DATE(2024,4,30)-120, 
     "New", 
     IF(MAXIFS(dynamic[orderCount], dynamic[customerID], B919)&lt;=2, 
        IF((DATE(2024,4,30) - MAXIFS(dynamic[orderDate], dynamic[customerID], B919)) &gt; 180, "Non-Returning", "Dormant"), 
        IF(AND(MAX(dynamic[sinceLastOrder]) &gt; 365, (DATE(2024,4,30) - MAXIFS(dynamic[orderDate], dynamic[customerID], B919)) &gt; 180), 
           "Dormant", "Regular")))</f>
        <v>Regular</v>
      </c>
      <c r="H919" s="6">
        <v>52.0</v>
      </c>
      <c r="I919" s="9" t="str">
        <f>VLOOKUP(dynamic[productID],products[],2,FALSE)</f>
        <v>Filo Mix</v>
      </c>
      <c r="J919" s="9" t="str">
        <f>VLOOKUP(dynamic[productID],products[],12,FALSE)</f>
        <v>Grains/Cereals</v>
      </c>
      <c r="K919" s="7" t="str">
        <f>IF(VLOOKUP(dynamic[productID],products[],7,FALSE)=1,"Discontinued","Current")</f>
        <v>Current</v>
      </c>
      <c r="L919" s="9">
        <f>VLOOKUP(dynamic[productID],products[],IF(YEAR(dynamic[orderDate])=2022,8,IF(YEAR(dynamic[orderDate])=2023,9,IF(YEAR(dynamic[orderDate])=2024,10,NA))),FALSE)</f>
        <v>5.001706713</v>
      </c>
      <c r="M919" s="9">
        <v>7.0</v>
      </c>
      <c r="N919" s="25">
        <f>(dynamic[orderPrice]-dynamic[productCost])/dynamic[productCost]</f>
        <v>0.3995222835</v>
      </c>
      <c r="O919" s="10">
        <v>24.0</v>
      </c>
      <c r="P919" s="25">
        <v>0.0</v>
      </c>
      <c r="Q919" s="9">
        <f>dynamic[orderPrice]*dynamic[orderQuantity]</f>
        <v>168</v>
      </c>
      <c r="R919" s="9">
        <f>dynamic[orderTotal]*(1-dynamic[discountApllied])</f>
        <v>168</v>
      </c>
      <c r="S919" s="9">
        <f>dynamic[revenue]-(dynamic[productCost]*dynamic[orderQuantity])</f>
        <v>47.95903889</v>
      </c>
      <c r="T919" s="25">
        <f>IFERROR(dynamic[profit]/dynamic[revenue], 0)</f>
        <v>0.2854704696</v>
      </c>
    </row>
    <row r="920" ht="15.75" customHeight="1">
      <c r="A920" s="6">
        <v>10594.0</v>
      </c>
      <c r="B920" s="7" t="s">
        <v>52</v>
      </c>
      <c r="C920" s="24" t="str">
        <f>VLOOKUP(dynamic[customerID],customers[],2,FALSE)</f>
        <v>Old World Delicatessen</v>
      </c>
      <c r="D920" s="24">
        <v>45116.0</v>
      </c>
      <c r="E920" s="6">
        <f>IFERROR(__xludf.DUMMYFUNCTION("COUNTUNIQUEIFS($A$2:$A920,$B$2:$B920,B920)"),4.0)</f>
        <v>4</v>
      </c>
      <c r="F920" s="6">
        <f t="shared" si="1"/>
        <v>149</v>
      </c>
      <c r="G920" s="6" t="str">
        <f>IF(MINIFS(dynamic[orderDate], dynamic[customerID], B920) &gt;= DATE(2024,4,30)-120, 
     "New", 
     IF(MAXIFS(dynamic[orderCount], dynamic[customerID], B920)&lt;=2, 
        IF((DATE(2024,4,30) - MAXIFS(dynamic[orderDate], dynamic[customerID], B920)) &gt; 180, "Non-Returning", "Dormant"), 
        IF(AND(MAX(dynamic[sinceLastOrder]) &gt; 365, (DATE(2024,4,30) - MAXIFS(dynamic[orderDate], dynamic[customerID], B920)) &gt; 180), 
           "Dormant", "Regular")))</f>
        <v>Regular</v>
      </c>
      <c r="H920" s="6">
        <v>58.0</v>
      </c>
      <c r="I920" s="9" t="str">
        <f>VLOOKUP(dynamic[productID],products[],2,FALSE)</f>
        <v>Escargots de Bourgogne</v>
      </c>
      <c r="J920" s="9" t="str">
        <f>VLOOKUP(dynamic[productID],products[],12,FALSE)</f>
        <v>Seafood</v>
      </c>
      <c r="K920" s="7" t="str">
        <f>IF(VLOOKUP(dynamic[productID],products[],7,FALSE)=1,"Discontinued","Current")</f>
        <v>Current</v>
      </c>
      <c r="L920" s="9">
        <f>VLOOKUP(dynamic[productID],products[],IF(YEAR(dynamic[orderDate])=2022,8,IF(YEAR(dynamic[orderDate])=2023,9,IF(YEAR(dynamic[orderDate])=2024,10,NA))),FALSE)</f>
        <v>8.208446365</v>
      </c>
      <c r="M920" s="9">
        <v>13.25</v>
      </c>
      <c r="N920" s="25">
        <f>(dynamic[orderPrice]-dynamic[productCost])/dynamic[productCost]</f>
        <v>0.61419097</v>
      </c>
      <c r="O920" s="10">
        <v>30.0</v>
      </c>
      <c r="P920" s="25">
        <v>0.0</v>
      </c>
      <c r="Q920" s="9">
        <f>dynamic[orderPrice]*dynamic[orderQuantity]</f>
        <v>397.5</v>
      </c>
      <c r="R920" s="9">
        <f>dynamic[orderTotal]*(1-dynamic[discountApllied])</f>
        <v>397.5</v>
      </c>
      <c r="S920" s="9">
        <f>dynamic[revenue]-(dynamic[productCost]*dynamic[orderQuantity])</f>
        <v>151.2466091</v>
      </c>
      <c r="T920" s="25">
        <f>IFERROR(dynamic[profit]/dynamic[revenue], 0)</f>
        <v>0.380494614</v>
      </c>
    </row>
    <row r="921" ht="15.75" customHeight="1">
      <c r="A921" s="6">
        <v>10595.0</v>
      </c>
      <c r="B921" s="7" t="s">
        <v>24</v>
      </c>
      <c r="C921" s="24" t="str">
        <f>VLOOKUP(dynamic[customerID],customers[],2,FALSE)</f>
        <v>Ernst Handel</v>
      </c>
      <c r="D921" s="24">
        <v>45117.0</v>
      </c>
      <c r="E921" s="6">
        <f>IFERROR(__xludf.DUMMYFUNCTION("COUNTUNIQUEIFS($A$2:$A921,$B$2:$B921,B921)"),13.0)</f>
        <v>13</v>
      </c>
      <c r="F921" s="6">
        <f t="shared" si="1"/>
        <v>23</v>
      </c>
      <c r="G921" s="6" t="str">
        <f>IF(MINIFS(dynamic[orderDate], dynamic[customerID], B921) &gt;= DATE(2024,4,30)-120, 
     "New", 
     IF(MAXIFS(dynamic[orderCount], dynamic[customerID], B921)&lt;=2, 
        IF((DATE(2024,4,30) - MAXIFS(dynamic[orderDate], dynamic[customerID], B921)) &gt; 180, "Non-Returning", "Dormant"), 
        IF(AND(MAX(dynamic[sinceLastOrder]) &gt; 365, (DATE(2024,4,30) - MAXIFS(dynamic[orderDate], dynamic[customerID], B921)) &gt; 180), 
           "Dormant", "Regular")))</f>
        <v>Regular</v>
      </c>
      <c r="H921" s="6">
        <v>35.0</v>
      </c>
      <c r="I921" s="9" t="str">
        <f>VLOOKUP(dynamic[productID],products[],2,FALSE)</f>
        <v>Cold Brew Nitro</v>
      </c>
      <c r="J921" s="9" t="str">
        <f>VLOOKUP(dynamic[productID],products[],12,FALSE)</f>
        <v>Beverages</v>
      </c>
      <c r="K921" s="7" t="str">
        <f>IF(VLOOKUP(dynamic[productID],products[],7,FALSE)=1,"Discontinued","Current")</f>
        <v>Current</v>
      </c>
      <c r="L921" s="9">
        <f>VLOOKUP(dynamic[productID],products[],IF(YEAR(dynamic[orderDate])=2022,8,IF(YEAR(dynamic[orderDate])=2023,9,IF(YEAR(dynamic[orderDate])=2024,10,NA))),FALSE)</f>
        <v>11.7602531</v>
      </c>
      <c r="M921" s="9">
        <v>18.0</v>
      </c>
      <c r="N921" s="25">
        <f>(dynamic[orderPrice]-dynamic[productCost])/dynamic[productCost]</f>
        <v>0.5305793033</v>
      </c>
      <c r="O921" s="10">
        <v>30.0</v>
      </c>
      <c r="P921" s="25">
        <v>0.25</v>
      </c>
      <c r="Q921" s="9">
        <f>dynamic[orderPrice]*dynamic[orderQuantity]</f>
        <v>540</v>
      </c>
      <c r="R921" s="9">
        <f>dynamic[orderTotal]*(1-dynamic[discountApllied])</f>
        <v>405</v>
      </c>
      <c r="S921" s="9">
        <f>dynamic[revenue]-(dynamic[productCost]*dynamic[orderQuantity])</f>
        <v>52.19240693</v>
      </c>
      <c r="T921" s="25">
        <f>IFERROR(dynamic[profit]/dynamic[revenue], 0)</f>
        <v>0.1288701406</v>
      </c>
    </row>
    <row r="922" ht="15.75" customHeight="1">
      <c r="A922" s="6">
        <v>10595.0</v>
      </c>
      <c r="B922" s="7" t="s">
        <v>24</v>
      </c>
      <c r="C922" s="24" t="str">
        <f>VLOOKUP(dynamic[customerID],customers[],2,FALSE)</f>
        <v>Ernst Handel</v>
      </c>
      <c r="D922" s="24">
        <v>45117.0</v>
      </c>
      <c r="E922" s="6">
        <f>IFERROR(__xludf.DUMMYFUNCTION("COUNTUNIQUEIFS($A$2:$A922,$B$2:$B922,B922)"),13.0)</f>
        <v>13</v>
      </c>
      <c r="F922" s="6">
        <f t="shared" si="1"/>
        <v>23</v>
      </c>
      <c r="G922" s="6" t="str">
        <f>IF(MINIFS(dynamic[orderDate], dynamic[customerID], B922) &gt;= DATE(2024,4,30)-120, 
     "New", 
     IF(MAXIFS(dynamic[orderCount], dynamic[customerID], B922)&lt;=2, 
        IF((DATE(2024,4,30) - MAXIFS(dynamic[orderDate], dynamic[customerID], B922)) &gt; 180, "Non-Returning", "Dormant"), 
        IF(AND(MAX(dynamic[sinceLastOrder]) &gt; 365, (DATE(2024,4,30) - MAXIFS(dynamic[orderDate], dynamic[customerID], B922)) &gt; 180), 
           "Dormant", "Regular")))</f>
        <v>Regular</v>
      </c>
      <c r="H922" s="6">
        <v>61.0</v>
      </c>
      <c r="I922" s="9" t="str">
        <f>VLOOKUP(dynamic[productID],products[],2,FALSE)</f>
        <v>Sirop d'érable</v>
      </c>
      <c r="J922" s="9" t="str">
        <f>VLOOKUP(dynamic[productID],products[],12,FALSE)</f>
        <v>Condiments</v>
      </c>
      <c r="K922" s="7" t="str">
        <f>IF(VLOOKUP(dynamic[productID],products[],7,FALSE)=1,"Discontinued","Current")</f>
        <v>Current</v>
      </c>
      <c r="L922" s="9">
        <f>VLOOKUP(dynamic[productID],products[],IF(YEAR(dynamic[orderDate])=2022,8,IF(YEAR(dynamic[orderDate])=2023,9,IF(YEAR(dynamic[orderDate])=2024,10,NA))),FALSE)</f>
        <v>17.19945448</v>
      </c>
      <c r="M922" s="9">
        <v>28.5</v>
      </c>
      <c r="N922" s="25">
        <f>(dynamic[orderPrice]-dynamic[productCost])/dynamic[productCost]</f>
        <v>0.6570292986</v>
      </c>
      <c r="O922" s="10">
        <v>120.0</v>
      </c>
      <c r="P922" s="25">
        <v>0.25</v>
      </c>
      <c r="Q922" s="9">
        <f>dynamic[orderPrice]*dynamic[orderQuantity]</f>
        <v>3420</v>
      </c>
      <c r="R922" s="9">
        <f>dynamic[orderTotal]*(1-dynamic[discountApllied])</f>
        <v>2565</v>
      </c>
      <c r="S922" s="9">
        <f>dynamic[revenue]-(dynamic[productCost]*dynamic[orderQuantity])</f>
        <v>501.0654619</v>
      </c>
      <c r="T922" s="25">
        <f>IFERROR(dynamic[profit]/dynamic[revenue], 0)</f>
        <v>0.1953471586</v>
      </c>
    </row>
    <row r="923" ht="15.75" customHeight="1">
      <c r="A923" s="6">
        <v>10595.0</v>
      </c>
      <c r="B923" s="7" t="s">
        <v>24</v>
      </c>
      <c r="C923" s="24" t="str">
        <f>VLOOKUP(dynamic[customerID],customers[],2,FALSE)</f>
        <v>Ernst Handel</v>
      </c>
      <c r="D923" s="24">
        <v>45117.0</v>
      </c>
      <c r="E923" s="6">
        <f>IFERROR(__xludf.DUMMYFUNCTION("COUNTUNIQUEIFS($A$2:$A923,$B$2:$B923,B923)"),13.0)</f>
        <v>13</v>
      </c>
      <c r="F923" s="6">
        <f t="shared" si="1"/>
        <v>23</v>
      </c>
      <c r="G923" s="6" t="str">
        <f>IF(MINIFS(dynamic[orderDate], dynamic[customerID], B923) &gt;= DATE(2024,4,30)-120, 
     "New", 
     IF(MAXIFS(dynamic[orderCount], dynamic[customerID], B923)&lt;=2, 
        IF((DATE(2024,4,30) - MAXIFS(dynamic[orderDate], dynamic[customerID], B923)) &gt; 180, "Non-Returning", "Dormant"), 
        IF(AND(MAX(dynamic[sinceLastOrder]) &gt; 365, (DATE(2024,4,30) - MAXIFS(dynamic[orderDate], dynamic[customerID], B923)) &gt; 180), 
           "Dormant", "Regular")))</f>
        <v>Regular</v>
      </c>
      <c r="H923" s="6">
        <v>69.0</v>
      </c>
      <c r="I923" s="9" t="str">
        <f>VLOOKUP(dynamic[productID],products[],2,FALSE)</f>
        <v>Gudbrandsdalsost</v>
      </c>
      <c r="J923" s="9" t="str">
        <f>VLOOKUP(dynamic[productID],products[],12,FALSE)</f>
        <v>Dairy Products</v>
      </c>
      <c r="K923" s="7" t="str">
        <f>IF(VLOOKUP(dynamic[productID],products[],7,FALSE)=1,"Discontinued","Current")</f>
        <v>Current</v>
      </c>
      <c r="L923" s="9">
        <f>VLOOKUP(dynamic[productID],products[],IF(YEAR(dynamic[orderDate])=2022,8,IF(YEAR(dynamic[orderDate])=2023,9,IF(YEAR(dynamic[orderDate])=2024,10,NA))),FALSE)</f>
        <v>21.82428612</v>
      </c>
      <c r="M923" s="9">
        <v>36.0</v>
      </c>
      <c r="N923" s="25">
        <f>(dynamic[orderPrice]-dynamic[productCost])/dynamic[productCost]</f>
        <v>0.6495384916</v>
      </c>
      <c r="O923" s="10">
        <v>65.0</v>
      </c>
      <c r="P923" s="25">
        <v>0.25</v>
      </c>
      <c r="Q923" s="9">
        <f>dynamic[orderPrice]*dynamic[orderQuantity]</f>
        <v>2340</v>
      </c>
      <c r="R923" s="9">
        <f>dynamic[orderTotal]*(1-dynamic[discountApllied])</f>
        <v>1755</v>
      </c>
      <c r="S923" s="9">
        <f>dynamic[revenue]-(dynamic[productCost]*dynamic[orderQuantity])</f>
        <v>336.4214025</v>
      </c>
      <c r="T923" s="25">
        <f>IFERROR(dynamic[profit]/dynamic[revenue], 0)</f>
        <v>0.1916931068</v>
      </c>
    </row>
    <row r="924" ht="15.75" customHeight="1">
      <c r="A924" s="6">
        <v>10596.0</v>
      </c>
      <c r="B924" s="7" t="s">
        <v>34</v>
      </c>
      <c r="C924" s="24" t="str">
        <f>VLOOKUP(dynamic[customerID],customers[],2,FALSE)</f>
        <v>White Clover Markets</v>
      </c>
      <c r="D924" s="24">
        <v>45118.0</v>
      </c>
      <c r="E924" s="6">
        <f>IFERROR(__xludf.DUMMYFUNCTION("COUNTUNIQUEIFS($A$2:$A924,$B$2:$B924,B924)"),6.0)</f>
        <v>6</v>
      </c>
      <c r="F924" s="6">
        <f t="shared" si="1"/>
        <v>91</v>
      </c>
      <c r="G924" s="6" t="str">
        <f>IF(MINIFS(dynamic[orderDate], dynamic[customerID], B924) &gt;= DATE(2024,4,30)-120, 
     "New", 
     IF(MAXIFS(dynamic[orderCount], dynamic[customerID], B924)&lt;=2, 
        IF((DATE(2024,4,30) - MAXIFS(dynamic[orderDate], dynamic[customerID], B924)) &gt; 180, "Non-Returning", "Dormant"), 
        IF(AND(MAX(dynamic[sinceLastOrder]) &gt; 365, (DATE(2024,4,30) - MAXIFS(dynamic[orderDate], dynamic[customerID], B924)) &gt; 180), 
           "Dormant", "Regular")))</f>
        <v>Regular</v>
      </c>
      <c r="H924" s="6">
        <v>56.0</v>
      </c>
      <c r="I924" s="9" t="str">
        <f>VLOOKUP(dynamic[productID],products[],2,FALSE)</f>
        <v>Gnocchi di nonna Alice</v>
      </c>
      <c r="J924" s="9" t="str">
        <f>VLOOKUP(dynamic[productID],products[],12,FALSE)</f>
        <v>Grains/Cereals</v>
      </c>
      <c r="K924" s="7" t="str">
        <f>IF(VLOOKUP(dynamic[productID],products[],7,FALSE)=1,"Discontinued","Current")</f>
        <v>Current</v>
      </c>
      <c r="L924" s="9">
        <f>VLOOKUP(dynamic[productID],products[],IF(YEAR(dynamic[orderDate])=2022,8,IF(YEAR(dynamic[orderDate])=2023,9,IF(YEAR(dynamic[orderDate])=2024,10,NA))),FALSE)</f>
        <v>24.28342441</v>
      </c>
      <c r="M924" s="9">
        <v>38.0</v>
      </c>
      <c r="N924" s="25">
        <f>(dynamic[orderPrice]-dynamic[productCost])/dynamic[productCost]</f>
        <v>0.5648534309</v>
      </c>
      <c r="O924" s="10">
        <v>5.0</v>
      </c>
      <c r="P924" s="25">
        <v>0.2</v>
      </c>
      <c r="Q924" s="9">
        <f>dynamic[orderPrice]*dynamic[orderQuantity]</f>
        <v>190</v>
      </c>
      <c r="R924" s="9">
        <f>dynamic[orderTotal]*(1-dynamic[discountApllied])</f>
        <v>152</v>
      </c>
      <c r="S924" s="9">
        <f>dynamic[revenue]-(dynamic[productCost]*dynamic[orderQuantity])</f>
        <v>30.58287796</v>
      </c>
      <c r="T924" s="25">
        <f>IFERROR(dynamic[profit]/dynamic[revenue], 0)</f>
        <v>0.2012031445</v>
      </c>
    </row>
    <row r="925" ht="15.75" customHeight="1">
      <c r="A925" s="6">
        <v>10596.0</v>
      </c>
      <c r="B925" s="7" t="s">
        <v>34</v>
      </c>
      <c r="C925" s="24" t="str">
        <f>VLOOKUP(dynamic[customerID],customers[],2,FALSE)</f>
        <v>White Clover Markets</v>
      </c>
      <c r="D925" s="24">
        <v>45118.0</v>
      </c>
      <c r="E925" s="6">
        <f>IFERROR(__xludf.DUMMYFUNCTION("COUNTUNIQUEIFS($A$2:$A925,$B$2:$B925,B925)"),6.0)</f>
        <v>6</v>
      </c>
      <c r="F925" s="6">
        <f t="shared" si="1"/>
        <v>91</v>
      </c>
      <c r="G925" s="6" t="str">
        <f>IF(MINIFS(dynamic[orderDate], dynamic[customerID], B925) &gt;= DATE(2024,4,30)-120, 
     "New", 
     IF(MAXIFS(dynamic[orderCount], dynamic[customerID], B925)&lt;=2, 
        IF((DATE(2024,4,30) - MAXIFS(dynamic[orderDate], dynamic[customerID], B925)) &gt; 180, "Non-Returning", "Dormant"), 
        IF(AND(MAX(dynamic[sinceLastOrder]) &gt; 365, (DATE(2024,4,30) - MAXIFS(dynamic[orderDate], dynamic[customerID], B925)) &gt; 180), 
           "Dormant", "Regular")))</f>
        <v>Regular</v>
      </c>
      <c r="H925" s="6">
        <v>63.0</v>
      </c>
      <c r="I925" s="9" t="str">
        <f>VLOOKUP(dynamic[productID],products[],2,FALSE)</f>
        <v>Vegie-spread</v>
      </c>
      <c r="J925" s="9" t="str">
        <f>VLOOKUP(dynamic[productID],products[],12,FALSE)</f>
        <v>Condiments</v>
      </c>
      <c r="K925" s="7" t="str">
        <f>IF(VLOOKUP(dynamic[productID],products[],7,FALSE)=1,"Discontinued","Current")</f>
        <v>Current</v>
      </c>
      <c r="L925" s="9">
        <f>VLOOKUP(dynamic[productID],products[],IF(YEAR(dynamic[orderDate])=2022,8,IF(YEAR(dynamic[orderDate])=2023,9,IF(YEAR(dynamic[orderDate])=2024,10,NA))),FALSE)</f>
        <v>27.72225706</v>
      </c>
      <c r="M925" s="9">
        <v>43.9</v>
      </c>
      <c r="N925" s="25">
        <f>(dynamic[orderPrice]-dynamic[productCost])/dynamic[productCost]</f>
        <v>0.5835651445</v>
      </c>
      <c r="O925" s="10">
        <v>24.0</v>
      </c>
      <c r="P925" s="25">
        <v>0.2</v>
      </c>
      <c r="Q925" s="9">
        <f>dynamic[orderPrice]*dynamic[orderQuantity]</f>
        <v>1053.6</v>
      </c>
      <c r="R925" s="9">
        <f>dynamic[orderTotal]*(1-dynamic[discountApllied])</f>
        <v>842.88</v>
      </c>
      <c r="S925" s="9">
        <f>dynamic[revenue]-(dynamic[productCost]*dynamic[orderQuantity])</f>
        <v>177.5458307</v>
      </c>
      <c r="T925" s="25">
        <f>IFERROR(dynamic[profit]/dynamic[revenue], 0)</f>
        <v>0.2106418834</v>
      </c>
    </row>
    <row r="926" ht="15.75" customHeight="1">
      <c r="A926" s="6">
        <v>10596.0</v>
      </c>
      <c r="B926" s="7" t="s">
        <v>34</v>
      </c>
      <c r="C926" s="24" t="str">
        <f>VLOOKUP(dynamic[customerID],customers[],2,FALSE)</f>
        <v>White Clover Markets</v>
      </c>
      <c r="D926" s="24">
        <v>45118.0</v>
      </c>
      <c r="E926" s="6">
        <f>IFERROR(__xludf.DUMMYFUNCTION("COUNTUNIQUEIFS($A$2:$A926,$B$2:$B926,B926)"),6.0)</f>
        <v>6</v>
      </c>
      <c r="F926" s="6">
        <f t="shared" si="1"/>
        <v>91</v>
      </c>
      <c r="G926" s="6" t="str">
        <f>IF(MINIFS(dynamic[orderDate], dynamic[customerID], B926) &gt;= DATE(2024,4,30)-120, 
     "New", 
     IF(MAXIFS(dynamic[orderCount], dynamic[customerID], B926)&lt;=2, 
        IF((DATE(2024,4,30) - MAXIFS(dynamic[orderDate], dynamic[customerID], B926)) &gt; 180, "Non-Returning", "Dormant"), 
        IF(AND(MAX(dynamic[sinceLastOrder]) &gt; 365, (DATE(2024,4,30) - MAXIFS(dynamic[orderDate], dynamic[customerID], B926)) &gt; 180), 
           "Dormant", "Regular")))</f>
        <v>Regular</v>
      </c>
      <c r="H926" s="6">
        <v>75.0</v>
      </c>
      <c r="I926" s="9" t="str">
        <f>VLOOKUP(dynamic[productID],products[],2,FALSE)</f>
        <v>Rhönbräu Klosterbier</v>
      </c>
      <c r="J926" s="9" t="str">
        <f>VLOOKUP(dynamic[productID],products[],12,FALSE)</f>
        <v>Beverages</v>
      </c>
      <c r="K926" s="7" t="str">
        <f>IF(VLOOKUP(dynamic[productID],products[],7,FALSE)=1,"Discontinued","Current")</f>
        <v>Current</v>
      </c>
      <c r="L926" s="9">
        <f>VLOOKUP(dynamic[productID],products[],IF(YEAR(dynamic[orderDate])=2022,8,IF(YEAR(dynamic[orderDate])=2023,9,IF(YEAR(dynamic[orderDate])=2024,10,NA))),FALSE)</f>
        <v>5.355290472</v>
      </c>
      <c r="M926" s="9">
        <v>7.75</v>
      </c>
      <c r="N926" s="25">
        <f>(dynamic[orderPrice]-dynamic[productCost])/dynamic[productCost]</f>
        <v>0.4471670661</v>
      </c>
      <c r="O926" s="10">
        <v>30.0</v>
      </c>
      <c r="P926" s="25">
        <v>0.2</v>
      </c>
      <c r="Q926" s="9">
        <f>dynamic[orderPrice]*dynamic[orderQuantity]</f>
        <v>232.5</v>
      </c>
      <c r="R926" s="9">
        <f>dynamic[orderTotal]*(1-dynamic[discountApllied])</f>
        <v>186</v>
      </c>
      <c r="S926" s="9">
        <f>dynamic[revenue]-(dynamic[productCost]*dynamic[orderQuantity])</f>
        <v>25.34128585</v>
      </c>
      <c r="T926" s="25">
        <f>IFERROR(dynamic[profit]/dynamic[revenue], 0)</f>
        <v>0.1362434723</v>
      </c>
    </row>
    <row r="927" ht="15.75" customHeight="1">
      <c r="A927" s="6">
        <v>10597.0</v>
      </c>
      <c r="B927" s="7" t="s">
        <v>69</v>
      </c>
      <c r="C927" s="24" t="str">
        <f>VLOOKUP(dynamic[customerID],customers[],2,FALSE)</f>
        <v>Piccolo und mehr</v>
      </c>
      <c r="D927" s="24">
        <v>45118.0</v>
      </c>
      <c r="E927" s="6">
        <f>IFERROR(__xludf.DUMMYFUNCTION("COUNTUNIQUEIFS($A$2:$A927,$B$2:$B927,B927)"),6.0)</f>
        <v>6</v>
      </c>
      <c r="F927" s="6">
        <f t="shared" si="1"/>
        <v>64</v>
      </c>
      <c r="G927" s="6" t="str">
        <f>IF(MINIFS(dynamic[orderDate], dynamic[customerID], B927) &gt;= DATE(2024,4,30)-120, 
     "New", 
     IF(MAXIFS(dynamic[orderCount], dynamic[customerID], B927)&lt;=2, 
        IF((DATE(2024,4,30) - MAXIFS(dynamic[orderDate], dynamic[customerID], B927)) &gt; 180, "Non-Returning", "Dormant"), 
        IF(AND(MAX(dynamic[sinceLastOrder]) &gt; 365, (DATE(2024,4,30) - MAXIFS(dynamic[orderDate], dynamic[customerID], B927)) &gt; 180), 
           "Dormant", "Regular")))</f>
        <v>Regular</v>
      </c>
      <c r="H927" s="6">
        <v>24.0</v>
      </c>
      <c r="I927" s="9" t="str">
        <f>VLOOKUP(dynamic[productID],products[],2,FALSE)</f>
        <v>Brigadeiros Maravilhosos da Lilian</v>
      </c>
      <c r="J927" s="9" t="str">
        <f>VLOOKUP(dynamic[productID],products[],12,FALSE)</f>
        <v>Confections</v>
      </c>
      <c r="K927" s="7" t="str">
        <f>IF(VLOOKUP(dynamic[productID],products[],7,FALSE)=1,"Discontinued","Current")</f>
        <v>Discontinued</v>
      </c>
      <c r="L927" s="9">
        <f>VLOOKUP(dynamic[productID],products[],IF(YEAR(dynamic[orderDate])=2022,8,IF(YEAR(dynamic[orderDate])=2023,9,IF(YEAR(dynamic[orderDate])=2024,10,NA))),FALSE)</f>
        <v>3.131783363</v>
      </c>
      <c r="M927" s="9">
        <v>4.5</v>
      </c>
      <c r="N927" s="25">
        <f>(dynamic[orderPrice]-dynamic[productCost])/dynamic[productCost]</f>
        <v>0.4368809967</v>
      </c>
      <c r="O927" s="10">
        <v>35.0</v>
      </c>
      <c r="P927" s="25">
        <v>0.2</v>
      </c>
      <c r="Q927" s="9">
        <f>dynamic[orderPrice]*dynamic[orderQuantity]</f>
        <v>157.5</v>
      </c>
      <c r="R927" s="9">
        <f>dynamic[orderTotal]*(1-dynamic[discountApllied])</f>
        <v>126</v>
      </c>
      <c r="S927" s="9">
        <f>dynamic[revenue]-(dynamic[productCost]*dynamic[orderQuantity])</f>
        <v>16.3875823</v>
      </c>
      <c r="T927" s="25">
        <f>IFERROR(dynamic[profit]/dynamic[revenue], 0)</f>
        <v>0.130060177</v>
      </c>
    </row>
    <row r="928" ht="15.75" customHeight="1">
      <c r="A928" s="6">
        <v>10597.0</v>
      </c>
      <c r="B928" s="7" t="s">
        <v>69</v>
      </c>
      <c r="C928" s="24" t="str">
        <f>VLOOKUP(dynamic[customerID],customers[],2,FALSE)</f>
        <v>Piccolo und mehr</v>
      </c>
      <c r="D928" s="24">
        <v>45118.0</v>
      </c>
      <c r="E928" s="6">
        <f>IFERROR(__xludf.DUMMYFUNCTION("COUNTUNIQUEIFS($A$2:$A928,$B$2:$B928,B928)"),6.0)</f>
        <v>6</v>
      </c>
      <c r="F928" s="6">
        <f t="shared" si="1"/>
        <v>64</v>
      </c>
      <c r="G928" s="6" t="str">
        <f>IF(MINIFS(dynamic[orderDate], dynamic[customerID], B928) &gt;= DATE(2024,4,30)-120, 
     "New", 
     IF(MAXIFS(dynamic[orderCount], dynamic[customerID], B928)&lt;=2, 
        IF((DATE(2024,4,30) - MAXIFS(dynamic[orderDate], dynamic[customerID], B928)) &gt; 180, "Non-Returning", "Dormant"), 
        IF(AND(MAX(dynamic[sinceLastOrder]) &gt; 365, (DATE(2024,4,30) - MAXIFS(dynamic[orderDate], dynamic[customerID], B928)) &gt; 180), 
           "Dormant", "Regular")))</f>
        <v>Regular</v>
      </c>
      <c r="H928" s="6">
        <v>57.0</v>
      </c>
      <c r="I928" s="9" t="str">
        <f>VLOOKUP(dynamic[productID],products[],2,FALSE)</f>
        <v>Ravioli Angelo</v>
      </c>
      <c r="J928" s="9" t="str">
        <f>VLOOKUP(dynamic[productID],products[],12,FALSE)</f>
        <v>Grains/Cereals</v>
      </c>
      <c r="K928" s="7" t="str">
        <f>IF(VLOOKUP(dynamic[productID],products[],7,FALSE)=1,"Discontinued","Current")</f>
        <v>Current</v>
      </c>
      <c r="L928" s="9">
        <f>VLOOKUP(dynamic[productID],products[],IF(YEAR(dynamic[orderDate])=2022,8,IF(YEAR(dynamic[orderDate])=2023,9,IF(YEAR(dynamic[orderDate])=2024,10,NA))),FALSE)</f>
        <v>13.01870901</v>
      </c>
      <c r="M928" s="9">
        <v>19.5</v>
      </c>
      <c r="N928" s="25">
        <f>(dynamic[orderPrice]-dynamic[productCost])/dynamic[productCost]</f>
        <v>0.4978443707</v>
      </c>
      <c r="O928" s="10">
        <v>20.0</v>
      </c>
      <c r="P928" s="25">
        <v>0.0</v>
      </c>
      <c r="Q928" s="9">
        <f>dynamic[orderPrice]*dynamic[orderQuantity]</f>
        <v>390</v>
      </c>
      <c r="R928" s="9">
        <f>dynamic[orderTotal]*(1-dynamic[discountApllied])</f>
        <v>390</v>
      </c>
      <c r="S928" s="9">
        <f>dynamic[revenue]-(dynamic[productCost]*dynamic[orderQuantity])</f>
        <v>129.6258199</v>
      </c>
      <c r="T928" s="25">
        <f>IFERROR(dynamic[profit]/dynamic[revenue], 0)</f>
        <v>0.3323738971</v>
      </c>
    </row>
    <row r="929" ht="15.75" customHeight="1">
      <c r="A929" s="6">
        <v>10597.0</v>
      </c>
      <c r="B929" s="7" t="s">
        <v>69</v>
      </c>
      <c r="C929" s="24" t="str">
        <f>VLOOKUP(dynamic[customerID],customers[],2,FALSE)</f>
        <v>Piccolo und mehr</v>
      </c>
      <c r="D929" s="24">
        <v>45118.0</v>
      </c>
      <c r="E929" s="6">
        <f>IFERROR(__xludf.DUMMYFUNCTION("COUNTUNIQUEIFS($A$2:$A929,$B$2:$B929,B929)"),6.0)</f>
        <v>6</v>
      </c>
      <c r="F929" s="6">
        <f t="shared" si="1"/>
        <v>64</v>
      </c>
      <c r="G929" s="6" t="str">
        <f>IF(MINIFS(dynamic[orderDate], dynamic[customerID], B929) &gt;= DATE(2024,4,30)-120, 
     "New", 
     IF(MAXIFS(dynamic[orderCount], dynamic[customerID], B929)&lt;=2, 
        IF((DATE(2024,4,30) - MAXIFS(dynamic[orderDate], dynamic[customerID], B929)) &gt; 180, "Non-Returning", "Dormant"), 
        IF(AND(MAX(dynamic[sinceLastOrder]) &gt; 365, (DATE(2024,4,30) - MAXIFS(dynamic[orderDate], dynamic[customerID], B929)) &gt; 180), 
           "Dormant", "Regular")))</f>
        <v>Regular</v>
      </c>
      <c r="H929" s="6">
        <v>65.0</v>
      </c>
      <c r="I929" s="9" t="str">
        <f>VLOOKUP(dynamic[productID],products[],2,FALSE)</f>
        <v>Louisiana Fiery Hot Pepper Sauce</v>
      </c>
      <c r="J929" s="9" t="str">
        <f>VLOOKUP(dynamic[productID],products[],12,FALSE)</f>
        <v>Condiments</v>
      </c>
      <c r="K929" s="7" t="str">
        <f>IF(VLOOKUP(dynamic[productID],products[],7,FALSE)=1,"Discontinued","Current")</f>
        <v>Current</v>
      </c>
      <c r="L929" s="9">
        <f>VLOOKUP(dynamic[productID],products[],IF(YEAR(dynamic[orderDate])=2022,8,IF(YEAR(dynamic[orderDate])=2023,9,IF(YEAR(dynamic[orderDate])=2024,10,NA))),FALSE)</f>
        <v>13.21122243</v>
      </c>
      <c r="M929" s="9">
        <v>21.05</v>
      </c>
      <c r="N929" s="25">
        <f>(dynamic[orderPrice]-dynamic[productCost])/dynamic[productCost]</f>
        <v>0.593342335</v>
      </c>
      <c r="O929" s="10">
        <v>12.0</v>
      </c>
      <c r="P929" s="25">
        <v>0.2</v>
      </c>
      <c r="Q929" s="9">
        <f>dynamic[orderPrice]*dynamic[orderQuantity]</f>
        <v>252.6</v>
      </c>
      <c r="R929" s="9">
        <f>dynamic[orderTotal]*(1-dynamic[discountApllied])</f>
        <v>202.08</v>
      </c>
      <c r="S929" s="9">
        <f>dynamic[revenue]-(dynamic[productCost]*dynamic[orderQuantity])</f>
        <v>43.5453308</v>
      </c>
      <c r="T929" s="25">
        <f>IFERROR(dynamic[profit]/dynamic[revenue], 0)</f>
        <v>0.2154856037</v>
      </c>
    </row>
    <row r="930" ht="15.75" customHeight="1">
      <c r="A930" s="6">
        <v>10598.0</v>
      </c>
      <c r="B930" s="7" t="s">
        <v>28</v>
      </c>
      <c r="C930" s="24" t="str">
        <f>VLOOKUP(dynamic[customerID],customers[],2,FALSE)</f>
        <v>Rattlesnake Canyon Grocery</v>
      </c>
      <c r="D930" s="24">
        <v>45121.0</v>
      </c>
      <c r="E930" s="6">
        <f>IFERROR(__xludf.DUMMYFUNCTION("COUNTUNIQUEIFS($A$2:$A930,$B$2:$B930,B930)"),11.0)</f>
        <v>11</v>
      </c>
      <c r="F930" s="6">
        <f t="shared" si="1"/>
        <v>28</v>
      </c>
      <c r="G930" s="6" t="str">
        <f>IF(MINIFS(dynamic[orderDate], dynamic[customerID], B930) &gt;= DATE(2024,4,30)-120, 
     "New", 
     IF(MAXIFS(dynamic[orderCount], dynamic[customerID], B930)&lt;=2, 
        IF((DATE(2024,4,30) - MAXIFS(dynamic[orderDate], dynamic[customerID], B930)) &gt; 180, "Non-Returning", "Dormant"), 
        IF(AND(MAX(dynamic[sinceLastOrder]) &gt; 365, (DATE(2024,4,30) - MAXIFS(dynamic[orderDate], dynamic[customerID], B930)) &gt; 180), 
           "Dormant", "Regular")))</f>
        <v>Regular</v>
      </c>
      <c r="H930" s="6">
        <v>27.0</v>
      </c>
      <c r="I930" s="9" t="str">
        <f>VLOOKUP(dynamic[productID],products[],2,FALSE)</f>
        <v>Schoggi Schokolade</v>
      </c>
      <c r="J930" s="9" t="str">
        <f>VLOOKUP(dynamic[productID],products[],12,FALSE)</f>
        <v>Confections</v>
      </c>
      <c r="K930" s="7" t="str">
        <f>IF(VLOOKUP(dynamic[productID],products[],7,FALSE)=1,"Discontinued","Current")</f>
        <v>Current</v>
      </c>
      <c r="L930" s="9">
        <f>VLOOKUP(dynamic[productID],products[],IF(YEAR(dynamic[orderDate])=2022,8,IF(YEAR(dynamic[orderDate])=2023,9,IF(YEAR(dynamic[orderDate])=2024,10,NA))),FALSE)</f>
        <v>32.29103982</v>
      </c>
      <c r="M930" s="9">
        <v>43.9</v>
      </c>
      <c r="N930" s="25">
        <f>(dynamic[orderPrice]-dynamic[productCost])/dynamic[productCost]</f>
        <v>0.3595102619</v>
      </c>
      <c r="O930" s="10">
        <v>50.0</v>
      </c>
      <c r="P930" s="25">
        <v>0.0</v>
      </c>
      <c r="Q930" s="9">
        <f>dynamic[orderPrice]*dynamic[orderQuantity]</f>
        <v>2195</v>
      </c>
      <c r="R930" s="9">
        <f>dynamic[orderTotal]*(1-dynamic[discountApllied])</f>
        <v>2195</v>
      </c>
      <c r="S930" s="9">
        <f>dynamic[revenue]-(dynamic[productCost]*dynamic[orderQuantity])</f>
        <v>580.4480091</v>
      </c>
      <c r="T930" s="25">
        <f>IFERROR(dynamic[profit]/dynamic[revenue], 0)</f>
        <v>0.2644410064</v>
      </c>
    </row>
    <row r="931" ht="15.75" customHeight="1">
      <c r="A931" s="6">
        <v>10598.0</v>
      </c>
      <c r="B931" s="7" t="s">
        <v>28</v>
      </c>
      <c r="C931" s="24" t="str">
        <f>VLOOKUP(dynamic[customerID],customers[],2,FALSE)</f>
        <v>Rattlesnake Canyon Grocery</v>
      </c>
      <c r="D931" s="24">
        <v>45121.0</v>
      </c>
      <c r="E931" s="6">
        <f>IFERROR(__xludf.DUMMYFUNCTION("COUNTUNIQUEIFS($A$2:$A931,$B$2:$B931,B931)"),11.0)</f>
        <v>11</v>
      </c>
      <c r="F931" s="6">
        <f t="shared" si="1"/>
        <v>28</v>
      </c>
      <c r="G931" s="6" t="str">
        <f>IF(MINIFS(dynamic[orderDate], dynamic[customerID], B931) &gt;= DATE(2024,4,30)-120, 
     "New", 
     IF(MAXIFS(dynamic[orderCount], dynamic[customerID], B931)&lt;=2, 
        IF((DATE(2024,4,30) - MAXIFS(dynamic[orderDate], dynamic[customerID], B931)) &gt; 180, "Non-Returning", "Dormant"), 
        IF(AND(MAX(dynamic[sinceLastOrder]) &gt; 365, (DATE(2024,4,30) - MAXIFS(dynamic[orderDate], dynamic[customerID], B931)) &gt; 180), 
           "Dormant", "Regular")))</f>
        <v>Regular</v>
      </c>
      <c r="H931" s="6">
        <v>71.0</v>
      </c>
      <c r="I931" s="9" t="str">
        <f>VLOOKUP(dynamic[productID],products[],2,FALSE)</f>
        <v>Flotemysost</v>
      </c>
      <c r="J931" s="9" t="str">
        <f>VLOOKUP(dynamic[productID],products[],12,FALSE)</f>
        <v>Dairy Products</v>
      </c>
      <c r="K931" s="7" t="str">
        <f>IF(VLOOKUP(dynamic[productID],products[],7,FALSE)=1,"Discontinued","Current")</f>
        <v>Current</v>
      </c>
      <c r="L931" s="9">
        <f>VLOOKUP(dynamic[productID],products[],IF(YEAR(dynamic[orderDate])=2022,8,IF(YEAR(dynamic[orderDate])=2023,9,IF(YEAR(dynamic[orderDate])=2024,10,NA))),FALSE)</f>
        <v>13.4003664</v>
      </c>
      <c r="M931" s="9">
        <v>21.5</v>
      </c>
      <c r="N931" s="25">
        <f>(dynamic[orderPrice]-dynamic[productCost])/dynamic[productCost]</f>
        <v>0.6044337411</v>
      </c>
      <c r="O931" s="10">
        <v>9.0</v>
      </c>
      <c r="P931" s="25">
        <v>0.0</v>
      </c>
      <c r="Q931" s="9">
        <f>dynamic[orderPrice]*dynamic[orderQuantity]</f>
        <v>193.5</v>
      </c>
      <c r="R931" s="9">
        <f>dynamic[orderTotal]*(1-dynamic[discountApllied])</f>
        <v>193.5</v>
      </c>
      <c r="S931" s="9">
        <f>dynamic[revenue]-(dynamic[productCost]*dynamic[orderQuantity])</f>
        <v>72.89670237</v>
      </c>
      <c r="T931" s="25">
        <f>IFERROR(dynamic[profit]/dynamic[revenue], 0)</f>
        <v>0.376727144</v>
      </c>
    </row>
    <row r="932" ht="15.75" customHeight="1">
      <c r="A932" s="6">
        <v>10599.0</v>
      </c>
      <c r="B932" s="7" t="s">
        <v>46</v>
      </c>
      <c r="C932" s="24" t="str">
        <f>VLOOKUP(dynamic[customerID],customers[],2,FALSE)</f>
        <v>B's Beverages</v>
      </c>
      <c r="D932" s="24">
        <v>45122.0</v>
      </c>
      <c r="E932" s="6">
        <f>IFERROR(__xludf.DUMMYFUNCTION("COUNTUNIQUEIFS($A$2:$A932,$B$2:$B932,B932)"),7.0)</f>
        <v>7</v>
      </c>
      <c r="F932" s="6">
        <f t="shared" si="1"/>
        <v>21</v>
      </c>
      <c r="G932" s="6" t="str">
        <f>IF(MINIFS(dynamic[orderDate], dynamic[customerID], B932) &gt;= DATE(2024,4,30)-120, 
     "New", 
     IF(MAXIFS(dynamic[orderCount], dynamic[customerID], B932)&lt;=2, 
        IF((DATE(2024,4,30) - MAXIFS(dynamic[orderDate], dynamic[customerID], B932)) &gt; 180, "Non-Returning", "Dormant"), 
        IF(AND(MAX(dynamic[sinceLastOrder]) &gt; 365, (DATE(2024,4,30) - MAXIFS(dynamic[orderDate], dynamic[customerID], B932)) &gt; 180), 
           "Dormant", "Regular")))</f>
        <v>Regular</v>
      </c>
      <c r="H932" s="6">
        <v>62.0</v>
      </c>
      <c r="I932" s="9" t="str">
        <f>VLOOKUP(dynamic[productID],products[],2,FALSE)</f>
        <v>Tarte au sucre</v>
      </c>
      <c r="J932" s="9" t="str">
        <f>VLOOKUP(dynamic[productID],products[],12,FALSE)</f>
        <v>Confections</v>
      </c>
      <c r="K932" s="7" t="str">
        <f>IF(VLOOKUP(dynamic[productID],products[],7,FALSE)=1,"Discontinued","Current")</f>
        <v>Current</v>
      </c>
      <c r="L932" s="9">
        <f>VLOOKUP(dynamic[productID],products[],IF(YEAR(dynamic[orderDate])=2022,8,IF(YEAR(dynamic[orderDate])=2023,9,IF(YEAR(dynamic[orderDate])=2024,10,NA))),FALSE)</f>
        <v>35.34792781</v>
      </c>
      <c r="M932" s="9">
        <v>49.3</v>
      </c>
      <c r="N932" s="25">
        <f>(dynamic[orderPrice]-dynamic[productCost])/dynamic[productCost]</f>
        <v>0.3947069335</v>
      </c>
      <c r="O932" s="10">
        <v>10.0</v>
      </c>
      <c r="P932" s="25">
        <v>0.0</v>
      </c>
      <c r="Q932" s="9">
        <f>dynamic[orderPrice]*dynamic[orderQuantity]</f>
        <v>493</v>
      </c>
      <c r="R932" s="9">
        <f>dynamic[orderTotal]*(1-dynamic[discountApllied])</f>
        <v>493</v>
      </c>
      <c r="S932" s="9">
        <f>dynamic[revenue]-(dynamic[productCost]*dynamic[orderQuantity])</f>
        <v>139.5207219</v>
      </c>
      <c r="T932" s="25">
        <f>IFERROR(dynamic[profit]/dynamic[revenue], 0)</f>
        <v>0.2830034927</v>
      </c>
    </row>
    <row r="933" ht="15.75" customHeight="1">
      <c r="A933" s="6">
        <v>10600.0</v>
      </c>
      <c r="B933" s="7" t="s">
        <v>79</v>
      </c>
      <c r="C933" s="24" t="str">
        <f>VLOOKUP(dynamic[customerID],customers[],2,FALSE)</f>
        <v>Hungry Coyote Import Store</v>
      </c>
      <c r="D933" s="24">
        <v>45123.0</v>
      </c>
      <c r="E933" s="6">
        <f>IFERROR(__xludf.DUMMYFUNCTION("COUNTUNIQUEIFS($A$2:$A933,$B$2:$B933,B933)"),4.0)</f>
        <v>4</v>
      </c>
      <c r="F933" s="6">
        <f t="shared" si="1"/>
        <v>182</v>
      </c>
      <c r="G933" s="6" t="str">
        <f>IF(MINIFS(dynamic[orderDate], dynamic[customerID], B933) &gt;= DATE(2024,4,30)-120, 
     "New", 
     IF(MAXIFS(dynamic[orderCount], dynamic[customerID], B933)&lt;=2, 
        IF((DATE(2024,4,30) - MAXIFS(dynamic[orderDate], dynamic[customerID], B933)) &gt; 180, "Non-Returning", "Dormant"), 
        IF(AND(MAX(dynamic[sinceLastOrder]) &gt; 365, (DATE(2024,4,30) - MAXIFS(dynamic[orderDate], dynamic[customerID], B933)) &gt; 180), 
           "Dormant", "Regular")))</f>
        <v>Dormant</v>
      </c>
      <c r="H933" s="6">
        <v>54.0</v>
      </c>
      <c r="I933" s="9" t="str">
        <f>VLOOKUP(dynamic[productID],products[],2,FALSE)</f>
        <v>Tourtière</v>
      </c>
      <c r="J933" s="9" t="str">
        <f>VLOOKUP(dynamic[productID],products[],12,FALSE)</f>
        <v>Meat/Poultry</v>
      </c>
      <c r="K933" s="7" t="str">
        <f>IF(VLOOKUP(dynamic[productID],products[],7,FALSE)=1,"Discontinued","Current")</f>
        <v>Current</v>
      </c>
      <c r="L933" s="9">
        <f>VLOOKUP(dynamic[productID],products[],IF(YEAR(dynamic[orderDate])=2022,8,IF(YEAR(dynamic[orderDate])=2023,9,IF(YEAR(dynamic[orderDate])=2024,10,NA))),FALSE)</f>
        <v>4.924447797</v>
      </c>
      <c r="M933" s="9">
        <v>7.45</v>
      </c>
      <c r="N933" s="25">
        <f>(dynamic[orderPrice]-dynamic[productCost])/dynamic[productCost]</f>
        <v>0.5128599808</v>
      </c>
      <c r="O933" s="10">
        <v>4.0</v>
      </c>
      <c r="P933" s="25">
        <v>0.0</v>
      </c>
      <c r="Q933" s="9">
        <f>dynamic[orderPrice]*dynamic[orderQuantity]</f>
        <v>29.8</v>
      </c>
      <c r="R933" s="9">
        <f>dynamic[orderTotal]*(1-dynamic[discountApllied])</f>
        <v>29.8</v>
      </c>
      <c r="S933" s="9">
        <f>dynamic[revenue]-(dynamic[productCost]*dynamic[orderQuantity])</f>
        <v>10.10220881</v>
      </c>
      <c r="T933" s="25">
        <f>IFERROR(dynamic[profit]/dynamic[revenue], 0)</f>
        <v>0.3390002957</v>
      </c>
    </row>
    <row r="934" ht="15.75" customHeight="1">
      <c r="A934" s="6">
        <v>10600.0</v>
      </c>
      <c r="B934" s="7" t="s">
        <v>79</v>
      </c>
      <c r="C934" s="24" t="str">
        <f>VLOOKUP(dynamic[customerID],customers[],2,FALSE)</f>
        <v>Hungry Coyote Import Store</v>
      </c>
      <c r="D934" s="24">
        <v>45123.0</v>
      </c>
      <c r="E934" s="6">
        <f>IFERROR(__xludf.DUMMYFUNCTION("COUNTUNIQUEIFS($A$2:$A934,$B$2:$B934,B934)"),4.0)</f>
        <v>4</v>
      </c>
      <c r="F934" s="6">
        <f t="shared" si="1"/>
        <v>182</v>
      </c>
      <c r="G934" s="6" t="str">
        <f>IF(MINIFS(dynamic[orderDate], dynamic[customerID], B934) &gt;= DATE(2024,4,30)-120, 
     "New", 
     IF(MAXIFS(dynamic[orderCount], dynamic[customerID], B934)&lt;=2, 
        IF((DATE(2024,4,30) - MAXIFS(dynamic[orderDate], dynamic[customerID], B934)) &gt; 180, "Non-Returning", "Dormant"), 
        IF(AND(MAX(dynamic[sinceLastOrder]) &gt; 365, (DATE(2024,4,30) - MAXIFS(dynamic[orderDate], dynamic[customerID], B934)) &gt; 180), 
           "Dormant", "Regular")))</f>
        <v>Dormant</v>
      </c>
      <c r="H934" s="6">
        <v>73.0</v>
      </c>
      <c r="I934" s="9" t="str">
        <f>VLOOKUP(dynamic[productID],products[],2,FALSE)</f>
        <v>Röd Kaviar</v>
      </c>
      <c r="J934" s="9" t="str">
        <f>VLOOKUP(dynamic[productID],products[],12,FALSE)</f>
        <v>Seafood</v>
      </c>
      <c r="K934" s="7" t="str">
        <f>IF(VLOOKUP(dynamic[productID],products[],7,FALSE)=1,"Discontinued","Current")</f>
        <v>Current</v>
      </c>
      <c r="L934" s="9">
        <f>VLOOKUP(dynamic[productID],products[],IF(YEAR(dynamic[orderDate])=2022,8,IF(YEAR(dynamic[orderDate])=2023,9,IF(YEAR(dynamic[orderDate])=2024,10,NA))),FALSE)</f>
        <v>9.692999362</v>
      </c>
      <c r="M934" s="9">
        <v>15.0</v>
      </c>
      <c r="N934" s="25">
        <f>(dynamic[orderPrice]-dynamic[productCost])/dynamic[productCost]</f>
        <v>0.5475086131</v>
      </c>
      <c r="O934" s="10">
        <v>30.0</v>
      </c>
      <c r="P934" s="25">
        <v>0.0</v>
      </c>
      <c r="Q934" s="9">
        <f>dynamic[orderPrice]*dynamic[orderQuantity]</f>
        <v>450</v>
      </c>
      <c r="R934" s="9">
        <f>dynamic[orderTotal]*(1-dynamic[discountApllied])</f>
        <v>450</v>
      </c>
      <c r="S934" s="9">
        <f>dynamic[revenue]-(dynamic[productCost]*dynamic[orderQuantity])</f>
        <v>159.2100191</v>
      </c>
      <c r="T934" s="25">
        <f>IFERROR(dynamic[profit]/dynamic[revenue], 0)</f>
        <v>0.3538000425</v>
      </c>
    </row>
    <row r="935" ht="15.75" customHeight="1">
      <c r="A935" s="6">
        <v>10601.0</v>
      </c>
      <c r="B935" s="7" t="s">
        <v>23</v>
      </c>
      <c r="C935" s="24" t="str">
        <f>VLOOKUP(dynamic[customerID],customers[],2,FALSE)</f>
        <v>HILARION-Abastos</v>
      </c>
      <c r="D935" s="24">
        <v>45123.0</v>
      </c>
      <c r="E935" s="6">
        <f>IFERROR(__xludf.DUMMYFUNCTION("COUNTUNIQUEIFS($A$2:$A935,$B$2:$B935,B935)"),8.0)</f>
        <v>8</v>
      </c>
      <c r="F935" s="6">
        <f t="shared" si="1"/>
        <v>48</v>
      </c>
      <c r="G935" s="6" t="str">
        <f>IF(MINIFS(dynamic[orderDate], dynamic[customerID], B935) &gt;= DATE(2024,4,30)-120, 
     "New", 
     IF(MAXIFS(dynamic[orderCount], dynamic[customerID], B935)&lt;=2, 
        IF((DATE(2024,4,30) - MAXIFS(dynamic[orderDate], dynamic[customerID], B935)) &gt; 180, "Non-Returning", "Dormant"), 
        IF(AND(MAX(dynamic[sinceLastOrder]) &gt; 365, (DATE(2024,4,30) - MAXIFS(dynamic[orderDate], dynamic[customerID], B935)) &gt; 180), 
           "Dormant", "Regular")))</f>
        <v>Regular</v>
      </c>
      <c r="H935" s="6">
        <v>13.0</v>
      </c>
      <c r="I935" s="9" t="str">
        <f>VLOOKUP(dynamic[productID],products[],2,FALSE)</f>
        <v>Konbu</v>
      </c>
      <c r="J935" s="9" t="str">
        <f>VLOOKUP(dynamic[productID],products[],12,FALSE)</f>
        <v>Seafood</v>
      </c>
      <c r="K935" s="7" t="str">
        <f>IF(VLOOKUP(dynamic[productID],products[],7,FALSE)=1,"Discontinued","Current")</f>
        <v>Current</v>
      </c>
      <c r="L935" s="9">
        <f>VLOOKUP(dynamic[productID],products[],IF(YEAR(dynamic[orderDate])=2022,8,IF(YEAR(dynamic[orderDate])=2023,9,IF(YEAR(dynamic[orderDate])=2024,10,NA))),FALSE)</f>
        <v>3.865774949</v>
      </c>
      <c r="M935" s="9">
        <v>6.0</v>
      </c>
      <c r="N935" s="25">
        <f>(dynamic[orderPrice]-dynamic[productCost])/dynamic[productCost]</f>
        <v>0.5520820739</v>
      </c>
      <c r="O935" s="10">
        <v>60.0</v>
      </c>
      <c r="P935" s="25">
        <v>0.0</v>
      </c>
      <c r="Q935" s="9">
        <f>dynamic[orderPrice]*dynamic[orderQuantity]</f>
        <v>360</v>
      </c>
      <c r="R935" s="9">
        <f>dynamic[orderTotal]*(1-dynamic[discountApllied])</f>
        <v>360</v>
      </c>
      <c r="S935" s="9">
        <f>dynamic[revenue]-(dynamic[productCost]*dynamic[orderQuantity])</f>
        <v>128.0535031</v>
      </c>
      <c r="T935" s="25">
        <f>IFERROR(dynamic[profit]/dynamic[revenue], 0)</f>
        <v>0.3557041752</v>
      </c>
    </row>
    <row r="936" ht="15.75" customHeight="1">
      <c r="A936" s="6">
        <v>10601.0</v>
      </c>
      <c r="B936" s="7" t="s">
        <v>23</v>
      </c>
      <c r="C936" s="24" t="str">
        <f>VLOOKUP(dynamic[customerID],customers[],2,FALSE)</f>
        <v>HILARION-Abastos</v>
      </c>
      <c r="D936" s="24">
        <v>45123.0</v>
      </c>
      <c r="E936" s="6">
        <f>IFERROR(__xludf.DUMMYFUNCTION("COUNTUNIQUEIFS($A$2:$A936,$B$2:$B936,B936)"),8.0)</f>
        <v>8</v>
      </c>
      <c r="F936" s="6">
        <f t="shared" si="1"/>
        <v>48</v>
      </c>
      <c r="G936" s="6" t="str">
        <f>IF(MINIFS(dynamic[orderDate], dynamic[customerID], B936) &gt;= DATE(2024,4,30)-120, 
     "New", 
     IF(MAXIFS(dynamic[orderCount], dynamic[customerID], B936)&lt;=2, 
        IF((DATE(2024,4,30) - MAXIFS(dynamic[orderDate], dynamic[customerID], B936)) &gt; 180, "Non-Returning", "Dormant"), 
        IF(AND(MAX(dynamic[sinceLastOrder]) &gt; 365, (DATE(2024,4,30) - MAXIFS(dynamic[orderDate], dynamic[customerID], B936)) &gt; 180), 
           "Dormant", "Regular")))</f>
        <v>Regular</v>
      </c>
      <c r="H936" s="6">
        <v>59.0</v>
      </c>
      <c r="I936" s="9" t="str">
        <f>VLOOKUP(dynamic[productID],products[],2,FALSE)</f>
        <v>Raclette Courdavault</v>
      </c>
      <c r="J936" s="9" t="str">
        <f>VLOOKUP(dynamic[productID],products[],12,FALSE)</f>
        <v>Dairy Products</v>
      </c>
      <c r="K936" s="7" t="str">
        <f>IF(VLOOKUP(dynamic[productID],products[],7,FALSE)=1,"Discontinued","Current")</f>
        <v>Current</v>
      </c>
      <c r="L936" s="9">
        <f>VLOOKUP(dynamic[productID],products[],IF(YEAR(dynamic[orderDate])=2022,8,IF(YEAR(dynamic[orderDate])=2023,9,IF(YEAR(dynamic[orderDate])=2024,10,NA))),FALSE)</f>
        <v>35.20472566</v>
      </c>
      <c r="M936" s="9">
        <v>55.0</v>
      </c>
      <c r="N936" s="25">
        <f>(dynamic[orderPrice]-dynamic[productCost])/dynamic[productCost]</f>
        <v>0.5622902598</v>
      </c>
      <c r="O936" s="10">
        <v>35.0</v>
      </c>
      <c r="P936" s="25">
        <v>0.0</v>
      </c>
      <c r="Q936" s="9">
        <f>dynamic[orderPrice]*dynamic[orderQuantity]</f>
        <v>1925</v>
      </c>
      <c r="R936" s="9">
        <f>dynamic[orderTotal]*(1-dynamic[discountApllied])</f>
        <v>1925</v>
      </c>
      <c r="S936" s="9">
        <f>dynamic[revenue]-(dynamic[productCost]*dynamic[orderQuantity])</f>
        <v>692.8346018</v>
      </c>
      <c r="T936" s="25">
        <f>IFERROR(dynamic[profit]/dynamic[revenue], 0)</f>
        <v>0.3599140789</v>
      </c>
    </row>
    <row r="937" ht="15.75" customHeight="1">
      <c r="A937" s="6">
        <v>10602.0</v>
      </c>
      <c r="B937" s="7" t="s">
        <v>76</v>
      </c>
      <c r="C937" s="24" t="str">
        <f>VLOOKUP(dynamic[customerID],customers[],2,FALSE)</f>
        <v>Vaffeljernet</v>
      </c>
      <c r="D937" s="24">
        <v>45124.0</v>
      </c>
      <c r="E937" s="6">
        <f>IFERROR(__xludf.DUMMYFUNCTION("COUNTUNIQUEIFS($A$2:$A937,$B$2:$B937,B937)"),5.0)</f>
        <v>5</v>
      </c>
      <c r="F937" s="6">
        <f t="shared" si="1"/>
        <v>10</v>
      </c>
      <c r="G937" s="6" t="str">
        <f>IF(MINIFS(dynamic[orderDate], dynamic[customerID], B937) &gt;= DATE(2024,4,30)-120, 
     "New", 
     IF(MAXIFS(dynamic[orderCount], dynamic[customerID], B937)&lt;=2, 
        IF((DATE(2024,4,30) - MAXIFS(dynamic[orderDate], dynamic[customerID], B937)) &gt; 180, "Non-Returning", "Dormant"), 
        IF(AND(MAX(dynamic[sinceLastOrder]) &gt; 365, (DATE(2024,4,30) - MAXIFS(dynamic[orderDate], dynamic[customerID], B937)) &gt; 180), 
           "Dormant", "Regular")))</f>
        <v>Regular</v>
      </c>
      <c r="H937" s="6">
        <v>77.0</v>
      </c>
      <c r="I937" s="9" t="str">
        <f>VLOOKUP(dynamic[productID],products[],2,FALSE)</f>
        <v>Original Frankfurter grüne Soße</v>
      </c>
      <c r="J937" s="9" t="str">
        <f>VLOOKUP(dynamic[productID],products[],12,FALSE)</f>
        <v>Condiments</v>
      </c>
      <c r="K937" s="7" t="str">
        <f>IF(VLOOKUP(dynamic[productID],products[],7,FALSE)=1,"Discontinued","Current")</f>
        <v>Current</v>
      </c>
      <c r="L937" s="9">
        <f>VLOOKUP(dynamic[productID],products[],IF(YEAR(dynamic[orderDate])=2022,8,IF(YEAR(dynamic[orderDate])=2023,9,IF(YEAR(dynamic[orderDate])=2024,10,NA))),FALSE)</f>
        <v>7.539056452</v>
      </c>
      <c r="M937" s="9">
        <v>13.0</v>
      </c>
      <c r="N937" s="25">
        <f>(dynamic[orderPrice]-dynamic[productCost])/dynamic[productCost]</f>
        <v>0.7243537149</v>
      </c>
      <c r="O937" s="10">
        <v>5.0</v>
      </c>
      <c r="P937" s="25">
        <v>0.25</v>
      </c>
      <c r="Q937" s="9">
        <f>dynamic[orderPrice]*dynamic[orderQuantity]</f>
        <v>65</v>
      </c>
      <c r="R937" s="9">
        <f>dynamic[orderTotal]*(1-dynamic[discountApllied])</f>
        <v>48.75</v>
      </c>
      <c r="S937" s="9">
        <f>dynamic[revenue]-(dynamic[productCost]*dynamic[orderQuantity])</f>
        <v>11.05471774</v>
      </c>
      <c r="T937" s="25">
        <f>IFERROR(dynamic[profit]/dynamic[revenue], 0)</f>
        <v>0.2267634408</v>
      </c>
    </row>
    <row r="938" ht="15.75" customHeight="1">
      <c r="A938" s="6">
        <v>10603.0</v>
      </c>
      <c r="B938" s="7" t="s">
        <v>60</v>
      </c>
      <c r="C938" s="24" t="str">
        <f>VLOOKUP(dynamic[customerID],customers[],2,FALSE)</f>
        <v>Save-a-lot Markets</v>
      </c>
      <c r="D938" s="24">
        <v>45125.0</v>
      </c>
      <c r="E938" s="6">
        <f>IFERROR(__xludf.DUMMYFUNCTION("COUNTUNIQUEIFS($A$2:$A938,$B$2:$B938,B938)"),8.0)</f>
        <v>8</v>
      </c>
      <c r="F938" s="6">
        <f t="shared" si="1"/>
        <v>46</v>
      </c>
      <c r="G938" s="6" t="str">
        <f>IF(MINIFS(dynamic[orderDate], dynamic[customerID], B938) &gt;= DATE(2024,4,30)-120, 
     "New", 
     IF(MAXIFS(dynamic[orderCount], dynamic[customerID], B938)&lt;=2, 
        IF((DATE(2024,4,30) - MAXIFS(dynamic[orderDate], dynamic[customerID], B938)) &gt; 180, "Non-Returning", "Dormant"), 
        IF(AND(MAX(dynamic[sinceLastOrder]) &gt; 365, (DATE(2024,4,30) - MAXIFS(dynamic[orderDate], dynamic[customerID], B938)) &gt; 180), 
           "Dormant", "Regular")))</f>
        <v>Regular</v>
      </c>
      <c r="H938" s="6">
        <v>22.0</v>
      </c>
      <c r="I938" s="9" t="str">
        <f>VLOOKUP(dynamic[productID],products[],2,FALSE)</f>
        <v>Gustaf's Knäckebröd</v>
      </c>
      <c r="J938" s="9" t="str">
        <f>VLOOKUP(dynamic[productID],products[],12,FALSE)</f>
        <v>Grains/Cereals</v>
      </c>
      <c r="K938" s="7" t="str">
        <f>IF(VLOOKUP(dynamic[productID],products[],7,FALSE)=1,"Discontinued","Current")</f>
        <v>Current</v>
      </c>
      <c r="L938" s="9">
        <f>VLOOKUP(dynamic[productID],products[],IF(YEAR(dynamic[orderDate])=2022,8,IF(YEAR(dynamic[orderDate])=2023,9,IF(YEAR(dynamic[orderDate])=2024,10,NA))),FALSE)</f>
        <v>14.56814822</v>
      </c>
      <c r="M938" s="9">
        <v>21.0</v>
      </c>
      <c r="N938" s="25">
        <f>(dynamic[orderPrice]-dynamic[productCost])/dynamic[productCost]</f>
        <v>0.4415009841</v>
      </c>
      <c r="O938" s="10">
        <v>48.0</v>
      </c>
      <c r="P938" s="25">
        <v>0.0</v>
      </c>
      <c r="Q938" s="9">
        <f>dynamic[orderPrice]*dynamic[orderQuantity]</f>
        <v>1008</v>
      </c>
      <c r="R938" s="9">
        <f>dynamic[orderTotal]*(1-dynamic[discountApllied])</f>
        <v>1008</v>
      </c>
      <c r="S938" s="9">
        <f>dynamic[revenue]-(dynamic[productCost]*dynamic[orderQuantity])</f>
        <v>308.7288853</v>
      </c>
      <c r="T938" s="25">
        <f>IFERROR(dynamic[profit]/dynamic[revenue], 0)</f>
        <v>0.3062786561</v>
      </c>
    </row>
    <row r="939" ht="15.75" customHeight="1">
      <c r="A939" s="6">
        <v>10603.0</v>
      </c>
      <c r="B939" s="7" t="s">
        <v>60</v>
      </c>
      <c r="C939" s="24" t="str">
        <f>VLOOKUP(dynamic[customerID],customers[],2,FALSE)</f>
        <v>Save-a-lot Markets</v>
      </c>
      <c r="D939" s="24">
        <v>45125.0</v>
      </c>
      <c r="E939" s="6">
        <f>IFERROR(__xludf.DUMMYFUNCTION("COUNTUNIQUEIFS($A$2:$A939,$B$2:$B939,B939)"),8.0)</f>
        <v>8</v>
      </c>
      <c r="F939" s="6">
        <f t="shared" si="1"/>
        <v>46</v>
      </c>
      <c r="G939" s="6" t="str">
        <f>IF(MINIFS(dynamic[orderDate], dynamic[customerID], B939) &gt;= DATE(2024,4,30)-120, 
     "New", 
     IF(MAXIFS(dynamic[orderCount], dynamic[customerID], B939)&lt;=2, 
        IF((DATE(2024,4,30) - MAXIFS(dynamic[orderDate], dynamic[customerID], B939)) &gt; 180, "Non-Returning", "Dormant"), 
        IF(AND(MAX(dynamic[sinceLastOrder]) &gt; 365, (DATE(2024,4,30) - MAXIFS(dynamic[orderDate], dynamic[customerID], B939)) &gt; 180), 
           "Dormant", "Regular")))</f>
        <v>Regular</v>
      </c>
      <c r="H939" s="6">
        <v>49.0</v>
      </c>
      <c r="I939" s="9" t="str">
        <f>VLOOKUP(dynamic[productID],products[],2,FALSE)</f>
        <v>Maxilaku</v>
      </c>
      <c r="J939" s="9" t="str">
        <f>VLOOKUP(dynamic[productID],products[],12,FALSE)</f>
        <v>Confections</v>
      </c>
      <c r="K939" s="7" t="str">
        <f>IF(VLOOKUP(dynamic[productID],products[],7,FALSE)=1,"Discontinued","Current")</f>
        <v>Current</v>
      </c>
      <c r="L939" s="9">
        <f>VLOOKUP(dynamic[productID],products[],IF(YEAR(dynamic[orderDate])=2022,8,IF(YEAR(dynamic[orderDate])=2023,9,IF(YEAR(dynamic[orderDate])=2024,10,NA))),FALSE)</f>
        <v>13.04112285</v>
      </c>
      <c r="M939" s="9">
        <v>20.0</v>
      </c>
      <c r="N939" s="25">
        <f>(dynamic[orderPrice]-dynamic[productCost])/dynamic[productCost]</f>
        <v>0.5336102746</v>
      </c>
      <c r="O939" s="10">
        <v>25.0</v>
      </c>
      <c r="P939" s="25">
        <v>0.05</v>
      </c>
      <c r="Q939" s="9">
        <f>dynamic[orderPrice]*dynamic[orderQuantity]</f>
        <v>500</v>
      </c>
      <c r="R939" s="9">
        <f>dynamic[orderTotal]*(1-dynamic[discountApllied])</f>
        <v>475</v>
      </c>
      <c r="S939" s="9">
        <f>dynamic[revenue]-(dynamic[productCost]*dynamic[orderQuantity])</f>
        <v>148.9719287</v>
      </c>
      <c r="T939" s="25">
        <f>IFERROR(dynamic[profit]/dynamic[revenue], 0)</f>
        <v>0.313625113</v>
      </c>
    </row>
    <row r="940" ht="15.75" customHeight="1">
      <c r="A940" s="6">
        <v>10604.0</v>
      </c>
      <c r="B940" s="7" t="s">
        <v>62</v>
      </c>
      <c r="C940" s="24" t="str">
        <f>VLOOKUP(dynamic[customerID],customers[],2,FALSE)</f>
        <v>Furia Bacalhau e Frutos do Mar</v>
      </c>
      <c r="D940" s="24">
        <v>45125.0</v>
      </c>
      <c r="E940" s="6">
        <f>IFERROR(__xludf.DUMMYFUNCTION("COUNTUNIQUEIFS($A$2:$A940,$B$2:$B940,B940)"),6.0)</f>
        <v>6</v>
      </c>
      <c r="F940" s="6">
        <f t="shared" si="1"/>
        <v>51</v>
      </c>
      <c r="G940" s="6" t="str">
        <f>IF(MINIFS(dynamic[orderDate], dynamic[customerID], B940) &gt;= DATE(2024,4,30)-120, 
     "New", 
     IF(MAXIFS(dynamic[orderCount], dynamic[customerID], B940)&lt;=2, 
        IF((DATE(2024,4,30) - MAXIFS(dynamic[orderDate], dynamic[customerID], B940)) &gt; 180, "Non-Returning", "Dormant"), 
        IF(AND(MAX(dynamic[sinceLastOrder]) &gt; 365, (DATE(2024,4,30) - MAXIFS(dynamic[orderDate], dynamic[customerID], B940)) &gt; 180), 
           "Dormant", "Regular")))</f>
        <v>Regular</v>
      </c>
      <c r="H940" s="6">
        <v>48.0</v>
      </c>
      <c r="I940" s="9" t="str">
        <f>VLOOKUP(dynamic[productID],products[],2,FALSE)</f>
        <v>Chocolade</v>
      </c>
      <c r="J940" s="9" t="str">
        <f>VLOOKUP(dynamic[productID],products[],12,FALSE)</f>
        <v>Confections</v>
      </c>
      <c r="K940" s="7" t="str">
        <f>IF(VLOOKUP(dynamic[productID],products[],7,FALSE)=1,"Discontinued","Current")</f>
        <v>Current</v>
      </c>
      <c r="L940" s="9">
        <f>VLOOKUP(dynamic[productID],products[],IF(YEAR(dynamic[orderDate])=2022,8,IF(YEAR(dynamic[orderDate])=2023,9,IF(YEAR(dynamic[orderDate])=2024,10,NA))),FALSE)</f>
        <v>8.079671685</v>
      </c>
      <c r="M940" s="9">
        <v>12.75</v>
      </c>
      <c r="N940" s="25">
        <f>(dynamic[orderPrice]-dynamic[productCost])/dynamic[productCost]</f>
        <v>0.5780344174</v>
      </c>
      <c r="O940" s="10">
        <v>6.0</v>
      </c>
      <c r="P940" s="25">
        <v>0.1</v>
      </c>
      <c r="Q940" s="9">
        <f>dynamic[orderPrice]*dynamic[orderQuantity]</f>
        <v>76.5</v>
      </c>
      <c r="R940" s="9">
        <f>dynamic[orderTotal]*(1-dynamic[discountApllied])</f>
        <v>68.85</v>
      </c>
      <c r="S940" s="9">
        <f>dynamic[revenue]-(dynamic[productCost]*dynamic[orderQuantity])</f>
        <v>20.37196989</v>
      </c>
      <c r="T940" s="25">
        <f>IFERROR(dynamic[profit]/dynamic[revenue], 0)</f>
        <v>0.2958891778</v>
      </c>
    </row>
    <row r="941" ht="15.75" customHeight="1">
      <c r="A941" s="6">
        <v>10604.0</v>
      </c>
      <c r="B941" s="7" t="s">
        <v>62</v>
      </c>
      <c r="C941" s="24" t="str">
        <f>VLOOKUP(dynamic[customerID],customers[],2,FALSE)</f>
        <v>Furia Bacalhau e Frutos do Mar</v>
      </c>
      <c r="D941" s="24">
        <v>45125.0</v>
      </c>
      <c r="E941" s="6">
        <f>IFERROR(__xludf.DUMMYFUNCTION("COUNTUNIQUEIFS($A$2:$A941,$B$2:$B941,B941)"),6.0)</f>
        <v>6</v>
      </c>
      <c r="F941" s="6">
        <f t="shared" si="1"/>
        <v>51</v>
      </c>
      <c r="G941" s="6" t="str">
        <f>IF(MINIFS(dynamic[orderDate], dynamic[customerID], B941) &gt;= DATE(2024,4,30)-120, 
     "New", 
     IF(MAXIFS(dynamic[orderCount], dynamic[customerID], B941)&lt;=2, 
        IF((DATE(2024,4,30) - MAXIFS(dynamic[orderDate], dynamic[customerID], B941)) &gt; 180, "Non-Returning", "Dormant"), 
        IF(AND(MAX(dynamic[sinceLastOrder]) &gt; 365, (DATE(2024,4,30) - MAXIFS(dynamic[orderDate], dynamic[customerID], B941)) &gt; 180), 
           "Dormant", "Regular")))</f>
        <v>Regular</v>
      </c>
      <c r="H941" s="6">
        <v>76.0</v>
      </c>
      <c r="I941" s="9" t="str">
        <f>VLOOKUP(dynamic[productID],products[],2,FALSE)</f>
        <v>Lakkalikööri</v>
      </c>
      <c r="J941" s="9" t="str">
        <f>VLOOKUP(dynamic[productID],products[],12,FALSE)</f>
        <v>Beverages</v>
      </c>
      <c r="K941" s="7" t="str">
        <f>IF(VLOOKUP(dynamic[productID],products[],7,FALSE)=1,"Discontinued","Current")</f>
        <v>Current</v>
      </c>
      <c r="L941" s="9">
        <f>VLOOKUP(dynamic[productID],products[],IF(YEAR(dynamic[orderDate])=2022,8,IF(YEAR(dynamic[orderDate])=2023,9,IF(YEAR(dynamic[orderDate])=2024,10,NA))),FALSE)</f>
        <v>12.1154529</v>
      </c>
      <c r="M941" s="9">
        <v>18.0</v>
      </c>
      <c r="N941" s="25">
        <f>(dynamic[orderPrice]-dynamic[productCost])/dynamic[productCost]</f>
        <v>0.4857059125</v>
      </c>
      <c r="O941" s="10">
        <v>10.0</v>
      </c>
      <c r="P941" s="25">
        <v>0.1</v>
      </c>
      <c r="Q941" s="9">
        <f>dynamic[orderPrice]*dynamic[orderQuantity]</f>
        <v>180</v>
      </c>
      <c r="R941" s="9">
        <f>dynamic[orderTotal]*(1-dynamic[discountApllied])</f>
        <v>162</v>
      </c>
      <c r="S941" s="9">
        <f>dynamic[revenue]-(dynamic[productCost]*dynamic[orderQuantity])</f>
        <v>40.84547105</v>
      </c>
      <c r="T941" s="25">
        <f>IFERROR(dynamic[profit]/dynamic[revenue], 0)</f>
        <v>0.2521325373</v>
      </c>
    </row>
    <row r="942" ht="15.75" customHeight="1">
      <c r="A942" s="6">
        <v>10605.0</v>
      </c>
      <c r="B942" s="7" t="s">
        <v>64</v>
      </c>
      <c r="C942" s="24" t="str">
        <f>VLOOKUP(dynamic[customerID],customers[],2,FALSE)</f>
        <v>Mère Paillarde</v>
      </c>
      <c r="D942" s="24">
        <v>45128.0</v>
      </c>
      <c r="E942" s="6">
        <f>IFERROR(__xludf.DUMMYFUNCTION("COUNTUNIQUEIFS($A$2:$A942,$B$2:$B942,B942)"),10.0)</f>
        <v>10</v>
      </c>
      <c r="F942" s="6">
        <f t="shared" si="1"/>
        <v>14</v>
      </c>
      <c r="G942" s="6" t="str">
        <f>IF(MINIFS(dynamic[orderDate], dynamic[customerID], B942) &gt;= DATE(2024,4,30)-120, 
     "New", 
     IF(MAXIFS(dynamic[orderCount], dynamic[customerID], B942)&lt;=2, 
        IF((DATE(2024,4,30) - MAXIFS(dynamic[orderDate], dynamic[customerID], B942)) &gt; 180, "Non-Returning", "Dormant"), 
        IF(AND(MAX(dynamic[sinceLastOrder]) &gt; 365, (DATE(2024,4,30) - MAXIFS(dynamic[orderDate], dynamic[customerID], B942)) &gt; 180), 
           "Dormant", "Regular")))</f>
        <v>Dormant</v>
      </c>
      <c r="H942" s="6">
        <v>16.0</v>
      </c>
      <c r="I942" s="9" t="str">
        <f>VLOOKUP(dynamic[productID],products[],2,FALSE)</f>
        <v>Pavlova</v>
      </c>
      <c r="J942" s="9" t="str">
        <f>VLOOKUP(dynamic[productID],products[],12,FALSE)</f>
        <v>Confections</v>
      </c>
      <c r="K942" s="7" t="str">
        <f>IF(VLOOKUP(dynamic[productID],products[],7,FALSE)=1,"Discontinued","Current")</f>
        <v>Current</v>
      </c>
      <c r="L942" s="9">
        <f>VLOOKUP(dynamic[productID],products[],IF(YEAR(dynamic[orderDate])=2022,8,IF(YEAR(dynamic[orderDate])=2023,9,IF(YEAR(dynamic[orderDate])=2024,10,NA))),FALSE)</f>
        <v>11.98504839</v>
      </c>
      <c r="M942" s="9">
        <v>17.45</v>
      </c>
      <c r="N942" s="25">
        <f>(dynamic[orderPrice]-dynamic[productCost])/dynamic[productCost]</f>
        <v>0.455980771</v>
      </c>
      <c r="O942" s="10">
        <v>30.0</v>
      </c>
      <c r="P942" s="25">
        <v>0.05</v>
      </c>
      <c r="Q942" s="9">
        <f>dynamic[orderPrice]*dynamic[orderQuantity]</f>
        <v>523.5</v>
      </c>
      <c r="R942" s="9">
        <f>dynamic[orderTotal]*(1-dynamic[discountApllied])</f>
        <v>497.325</v>
      </c>
      <c r="S942" s="9">
        <f>dynamic[revenue]-(dynamic[productCost]*dynamic[orderQuantity])</f>
        <v>137.7735482</v>
      </c>
      <c r="T942" s="25">
        <f>IFERROR(dynamic[profit]/dynamic[revenue], 0)</f>
        <v>0.2770292027</v>
      </c>
    </row>
    <row r="943" ht="15.75" customHeight="1">
      <c r="A943" s="6">
        <v>10605.0</v>
      </c>
      <c r="B943" s="7" t="s">
        <v>64</v>
      </c>
      <c r="C943" s="24" t="str">
        <f>VLOOKUP(dynamic[customerID],customers[],2,FALSE)</f>
        <v>Mère Paillarde</v>
      </c>
      <c r="D943" s="24">
        <v>45128.0</v>
      </c>
      <c r="E943" s="6">
        <f>IFERROR(__xludf.DUMMYFUNCTION("COUNTUNIQUEIFS($A$2:$A943,$B$2:$B943,B943)"),10.0)</f>
        <v>10</v>
      </c>
      <c r="F943" s="6">
        <f t="shared" si="1"/>
        <v>14</v>
      </c>
      <c r="G943" s="6" t="str">
        <f>IF(MINIFS(dynamic[orderDate], dynamic[customerID], B943) &gt;= DATE(2024,4,30)-120, 
     "New", 
     IF(MAXIFS(dynamic[orderCount], dynamic[customerID], B943)&lt;=2, 
        IF((DATE(2024,4,30) - MAXIFS(dynamic[orderDate], dynamic[customerID], B943)) &gt; 180, "Non-Returning", "Dormant"), 
        IF(AND(MAX(dynamic[sinceLastOrder]) &gt; 365, (DATE(2024,4,30) - MAXIFS(dynamic[orderDate], dynamic[customerID], B943)) &gt; 180), 
           "Dormant", "Regular")))</f>
        <v>Dormant</v>
      </c>
      <c r="H943" s="6">
        <v>59.0</v>
      </c>
      <c r="I943" s="9" t="str">
        <f>VLOOKUP(dynamic[productID],products[],2,FALSE)</f>
        <v>Raclette Courdavault</v>
      </c>
      <c r="J943" s="9" t="str">
        <f>VLOOKUP(dynamic[productID],products[],12,FALSE)</f>
        <v>Dairy Products</v>
      </c>
      <c r="K943" s="7" t="str">
        <f>IF(VLOOKUP(dynamic[productID],products[],7,FALSE)=1,"Discontinued","Current")</f>
        <v>Current</v>
      </c>
      <c r="L943" s="9">
        <f>VLOOKUP(dynamic[productID],products[],IF(YEAR(dynamic[orderDate])=2022,8,IF(YEAR(dynamic[orderDate])=2023,9,IF(YEAR(dynamic[orderDate])=2024,10,NA))),FALSE)</f>
        <v>35.20472566</v>
      </c>
      <c r="M943" s="9">
        <v>55.0</v>
      </c>
      <c r="N943" s="25">
        <f>(dynamic[orderPrice]-dynamic[productCost])/dynamic[productCost]</f>
        <v>0.5622902598</v>
      </c>
      <c r="O943" s="10">
        <v>20.0</v>
      </c>
      <c r="P943" s="25">
        <v>0.05</v>
      </c>
      <c r="Q943" s="9">
        <f>dynamic[orderPrice]*dynamic[orderQuantity]</f>
        <v>1100</v>
      </c>
      <c r="R943" s="9">
        <f>dynamic[orderTotal]*(1-dynamic[discountApllied])</f>
        <v>1045</v>
      </c>
      <c r="S943" s="9">
        <f>dynamic[revenue]-(dynamic[productCost]*dynamic[orderQuantity])</f>
        <v>340.9054868</v>
      </c>
      <c r="T943" s="25">
        <f>IFERROR(dynamic[profit]/dynamic[revenue], 0)</f>
        <v>0.3262253462</v>
      </c>
    </row>
    <row r="944" ht="15.75" customHeight="1">
      <c r="A944" s="6">
        <v>10605.0</v>
      </c>
      <c r="B944" s="7" t="s">
        <v>64</v>
      </c>
      <c r="C944" s="24" t="str">
        <f>VLOOKUP(dynamic[customerID],customers[],2,FALSE)</f>
        <v>Mère Paillarde</v>
      </c>
      <c r="D944" s="24">
        <v>45128.0</v>
      </c>
      <c r="E944" s="6">
        <f>IFERROR(__xludf.DUMMYFUNCTION("COUNTUNIQUEIFS($A$2:$A944,$B$2:$B944,B944)"),10.0)</f>
        <v>10</v>
      </c>
      <c r="F944" s="6">
        <f t="shared" si="1"/>
        <v>14</v>
      </c>
      <c r="G944" s="6" t="str">
        <f>IF(MINIFS(dynamic[orderDate], dynamic[customerID], B944) &gt;= DATE(2024,4,30)-120, 
     "New", 
     IF(MAXIFS(dynamic[orderCount], dynamic[customerID], B944)&lt;=2, 
        IF((DATE(2024,4,30) - MAXIFS(dynamic[orderDate], dynamic[customerID], B944)) &gt; 180, "Non-Returning", "Dormant"), 
        IF(AND(MAX(dynamic[sinceLastOrder]) &gt; 365, (DATE(2024,4,30) - MAXIFS(dynamic[orderDate], dynamic[customerID], B944)) &gt; 180), 
           "Dormant", "Regular")))</f>
        <v>Dormant</v>
      </c>
      <c r="H944" s="6">
        <v>60.0</v>
      </c>
      <c r="I944" s="9" t="str">
        <f>VLOOKUP(dynamic[productID],products[],2,FALSE)</f>
        <v>Camembert Pierrot</v>
      </c>
      <c r="J944" s="9" t="str">
        <f>VLOOKUP(dynamic[productID],products[],12,FALSE)</f>
        <v>Dairy Products</v>
      </c>
      <c r="K944" s="7" t="str">
        <f>IF(VLOOKUP(dynamic[productID],products[],7,FALSE)=1,"Discontinued","Current")</f>
        <v>Current</v>
      </c>
      <c r="L944" s="9">
        <f>VLOOKUP(dynamic[productID],products[],IF(YEAR(dynamic[orderDate])=2022,8,IF(YEAR(dynamic[orderDate])=2023,9,IF(YEAR(dynamic[orderDate])=2024,10,NA))),FALSE)</f>
        <v>22.77098295</v>
      </c>
      <c r="M944" s="9">
        <v>34.0</v>
      </c>
      <c r="N944" s="25">
        <f>(dynamic[orderPrice]-dynamic[productCost])/dynamic[productCost]</f>
        <v>0.4931283415</v>
      </c>
      <c r="O944" s="10">
        <v>70.0</v>
      </c>
      <c r="P944" s="25">
        <v>0.05</v>
      </c>
      <c r="Q944" s="9">
        <f>dynamic[orderPrice]*dynamic[orderQuantity]</f>
        <v>2380</v>
      </c>
      <c r="R944" s="9">
        <f>dynamic[orderTotal]*(1-dynamic[discountApllied])</f>
        <v>2261</v>
      </c>
      <c r="S944" s="9">
        <f>dynamic[revenue]-(dynamic[productCost]*dynamic[orderQuantity])</f>
        <v>667.0311938</v>
      </c>
      <c r="T944" s="25">
        <f>IFERROR(dynamic[profit]/dynamic[revenue], 0)</f>
        <v>0.2950160079</v>
      </c>
    </row>
    <row r="945" ht="15.75" customHeight="1">
      <c r="A945" s="6">
        <v>10605.0</v>
      </c>
      <c r="B945" s="7" t="s">
        <v>64</v>
      </c>
      <c r="C945" s="24" t="str">
        <f>VLOOKUP(dynamic[customerID],customers[],2,FALSE)</f>
        <v>Mère Paillarde</v>
      </c>
      <c r="D945" s="24">
        <v>45128.0</v>
      </c>
      <c r="E945" s="6">
        <f>IFERROR(__xludf.DUMMYFUNCTION("COUNTUNIQUEIFS($A$2:$A945,$B$2:$B945,B945)"),10.0)</f>
        <v>10</v>
      </c>
      <c r="F945" s="6">
        <f t="shared" si="1"/>
        <v>14</v>
      </c>
      <c r="G945" s="6" t="str">
        <f>IF(MINIFS(dynamic[orderDate], dynamic[customerID], B945) &gt;= DATE(2024,4,30)-120, 
     "New", 
     IF(MAXIFS(dynamic[orderCount], dynamic[customerID], B945)&lt;=2, 
        IF((DATE(2024,4,30) - MAXIFS(dynamic[orderDate], dynamic[customerID], B945)) &gt; 180, "Non-Returning", "Dormant"), 
        IF(AND(MAX(dynamic[sinceLastOrder]) &gt; 365, (DATE(2024,4,30) - MAXIFS(dynamic[orderDate], dynamic[customerID], B945)) &gt; 180), 
           "Dormant", "Regular")))</f>
        <v>Dormant</v>
      </c>
      <c r="H945" s="6">
        <v>71.0</v>
      </c>
      <c r="I945" s="9" t="str">
        <f>VLOOKUP(dynamic[productID],products[],2,FALSE)</f>
        <v>Flotemysost</v>
      </c>
      <c r="J945" s="9" t="str">
        <f>VLOOKUP(dynamic[productID],products[],12,FALSE)</f>
        <v>Dairy Products</v>
      </c>
      <c r="K945" s="7" t="str">
        <f>IF(VLOOKUP(dynamic[productID],products[],7,FALSE)=1,"Discontinued","Current")</f>
        <v>Current</v>
      </c>
      <c r="L945" s="9">
        <f>VLOOKUP(dynamic[productID],products[],IF(YEAR(dynamic[orderDate])=2022,8,IF(YEAR(dynamic[orderDate])=2023,9,IF(YEAR(dynamic[orderDate])=2024,10,NA))),FALSE)</f>
        <v>13.4003664</v>
      </c>
      <c r="M945" s="9">
        <v>21.5</v>
      </c>
      <c r="N945" s="25">
        <f>(dynamic[orderPrice]-dynamic[productCost])/dynamic[productCost]</f>
        <v>0.6044337411</v>
      </c>
      <c r="O945" s="10">
        <v>15.0</v>
      </c>
      <c r="P945" s="25">
        <v>0.05</v>
      </c>
      <c r="Q945" s="9">
        <f>dynamic[orderPrice]*dynamic[orderQuantity]</f>
        <v>322.5</v>
      </c>
      <c r="R945" s="9">
        <f>dynamic[orderTotal]*(1-dynamic[discountApllied])</f>
        <v>306.375</v>
      </c>
      <c r="S945" s="9">
        <f>dynamic[revenue]-(dynamic[productCost]*dynamic[orderQuantity])</f>
        <v>105.369504</v>
      </c>
      <c r="T945" s="25">
        <f>IFERROR(dynamic[profit]/dynamic[revenue], 0)</f>
        <v>0.3439233095</v>
      </c>
    </row>
    <row r="946" ht="15.75" customHeight="1">
      <c r="A946" s="6">
        <v>10606.0</v>
      </c>
      <c r="B946" s="7" t="s">
        <v>48</v>
      </c>
      <c r="C946" s="24" t="str">
        <f>VLOOKUP(dynamic[customerID],customers[],2,FALSE)</f>
        <v>Tradição Hipermercados</v>
      </c>
      <c r="D946" s="24">
        <v>45129.0</v>
      </c>
      <c r="E946" s="6">
        <f>IFERROR(__xludf.DUMMYFUNCTION("COUNTUNIQUEIFS($A$2:$A946,$B$2:$B946,B946)"),3.0)</f>
        <v>3</v>
      </c>
      <c r="F946" s="6">
        <f t="shared" si="1"/>
        <v>109</v>
      </c>
      <c r="G946" s="6" t="str">
        <f>IF(MINIFS(dynamic[orderDate], dynamic[customerID], B946) &gt;= DATE(2024,4,30)-120, 
     "New", 
     IF(MAXIFS(dynamic[orderCount], dynamic[customerID], B946)&lt;=2, 
        IF((DATE(2024,4,30) - MAXIFS(dynamic[orderDate], dynamic[customerID], B946)) &gt; 180, "Non-Returning", "Dormant"), 
        IF(AND(MAX(dynamic[sinceLastOrder]) &gt; 365, (DATE(2024,4,30) - MAXIFS(dynamic[orderDate], dynamic[customerID], B946)) &gt; 180), 
           "Dormant", "Regular")))</f>
        <v>Regular</v>
      </c>
      <c r="H946" s="6">
        <v>4.0</v>
      </c>
      <c r="I946" s="9" t="str">
        <f>VLOOKUP(dynamic[productID],products[],2,FALSE)</f>
        <v>Chef Anton's Cajun Seasoning</v>
      </c>
      <c r="J946" s="9" t="str">
        <f>VLOOKUP(dynamic[productID],products[],12,FALSE)</f>
        <v>Condiments</v>
      </c>
      <c r="K946" s="7" t="str">
        <f>IF(VLOOKUP(dynamic[productID],products[],7,FALSE)=1,"Discontinued","Current")</f>
        <v>Current</v>
      </c>
      <c r="L946" s="9">
        <f>VLOOKUP(dynamic[productID],products[],IF(YEAR(dynamic[orderDate])=2022,8,IF(YEAR(dynamic[orderDate])=2023,9,IF(YEAR(dynamic[orderDate])=2024,10,NA))),FALSE)</f>
        <v>13.81047124</v>
      </c>
      <c r="M946" s="9">
        <v>22.0</v>
      </c>
      <c r="N946" s="25">
        <f>(dynamic[orderPrice]-dynamic[productCost])/dynamic[productCost]</f>
        <v>0.5929941577</v>
      </c>
      <c r="O946" s="10">
        <v>20.0</v>
      </c>
      <c r="P946" s="25">
        <v>0.2</v>
      </c>
      <c r="Q946" s="9">
        <f>dynamic[orderPrice]*dynamic[orderQuantity]</f>
        <v>440</v>
      </c>
      <c r="R946" s="9">
        <f>dynamic[orderTotal]*(1-dynamic[discountApllied])</f>
        <v>352</v>
      </c>
      <c r="S946" s="9">
        <f>dynamic[revenue]-(dynamic[productCost]*dynamic[orderQuantity])</f>
        <v>75.79057521</v>
      </c>
      <c r="T946" s="25">
        <f>IFERROR(dynamic[profit]/dynamic[revenue], 0)</f>
        <v>0.2153141341</v>
      </c>
    </row>
    <row r="947" ht="15.75" customHeight="1">
      <c r="A947" s="6">
        <v>10606.0</v>
      </c>
      <c r="B947" s="7" t="s">
        <v>48</v>
      </c>
      <c r="C947" s="24" t="str">
        <f>VLOOKUP(dynamic[customerID],customers[],2,FALSE)</f>
        <v>Tradição Hipermercados</v>
      </c>
      <c r="D947" s="24">
        <v>45129.0</v>
      </c>
      <c r="E947" s="6">
        <f>IFERROR(__xludf.DUMMYFUNCTION("COUNTUNIQUEIFS($A$2:$A947,$B$2:$B947,B947)"),3.0)</f>
        <v>3</v>
      </c>
      <c r="F947" s="6">
        <f t="shared" si="1"/>
        <v>109</v>
      </c>
      <c r="G947" s="6" t="str">
        <f>IF(MINIFS(dynamic[orderDate], dynamic[customerID], B947) &gt;= DATE(2024,4,30)-120, 
     "New", 
     IF(MAXIFS(dynamic[orderCount], dynamic[customerID], B947)&lt;=2, 
        IF((DATE(2024,4,30) - MAXIFS(dynamic[orderDate], dynamic[customerID], B947)) &gt; 180, "Non-Returning", "Dormant"), 
        IF(AND(MAX(dynamic[sinceLastOrder]) &gt; 365, (DATE(2024,4,30) - MAXIFS(dynamic[orderDate], dynamic[customerID], B947)) &gt; 180), 
           "Dormant", "Regular")))</f>
        <v>Regular</v>
      </c>
      <c r="H947" s="6">
        <v>55.0</v>
      </c>
      <c r="I947" s="9" t="str">
        <f>VLOOKUP(dynamic[productID],products[],2,FALSE)</f>
        <v>Pâté chinois</v>
      </c>
      <c r="J947" s="9" t="str">
        <f>VLOOKUP(dynamic[productID],products[],12,FALSE)</f>
        <v>Meat/Poultry</v>
      </c>
      <c r="K947" s="7" t="str">
        <f>IF(VLOOKUP(dynamic[productID],products[],7,FALSE)=1,"Discontinued","Current")</f>
        <v>Current</v>
      </c>
      <c r="L947" s="9">
        <f>VLOOKUP(dynamic[productID],products[],IF(YEAR(dynamic[orderDate])=2022,8,IF(YEAR(dynamic[orderDate])=2023,9,IF(YEAR(dynamic[orderDate])=2024,10,NA))),FALSE)</f>
        <v>14.92398776</v>
      </c>
      <c r="M947" s="9">
        <v>24.0</v>
      </c>
      <c r="N947" s="25">
        <f>(dynamic[orderPrice]-dynamic[productCost])/dynamic[productCost]</f>
        <v>0.6081492681</v>
      </c>
      <c r="O947" s="10">
        <v>20.0</v>
      </c>
      <c r="P947" s="25">
        <v>0.2</v>
      </c>
      <c r="Q947" s="9">
        <f>dynamic[orderPrice]*dynamic[orderQuantity]</f>
        <v>480</v>
      </c>
      <c r="R947" s="9">
        <f>dynamic[orderTotal]*(1-dynamic[discountApllied])</f>
        <v>384</v>
      </c>
      <c r="S947" s="9">
        <f>dynamic[revenue]-(dynamic[productCost]*dynamic[orderQuantity])</f>
        <v>85.52024472</v>
      </c>
      <c r="T947" s="25">
        <f>IFERROR(dynamic[profit]/dynamic[revenue], 0)</f>
        <v>0.2227089706</v>
      </c>
    </row>
    <row r="948" ht="15.75" customHeight="1">
      <c r="A948" s="6">
        <v>10606.0</v>
      </c>
      <c r="B948" s="7" t="s">
        <v>48</v>
      </c>
      <c r="C948" s="24" t="str">
        <f>VLOOKUP(dynamic[customerID],customers[],2,FALSE)</f>
        <v>Tradição Hipermercados</v>
      </c>
      <c r="D948" s="24">
        <v>45129.0</v>
      </c>
      <c r="E948" s="6">
        <f>IFERROR(__xludf.DUMMYFUNCTION("COUNTUNIQUEIFS($A$2:$A948,$B$2:$B948,B948)"),3.0)</f>
        <v>3</v>
      </c>
      <c r="F948" s="6">
        <f t="shared" si="1"/>
        <v>109</v>
      </c>
      <c r="G948" s="6" t="str">
        <f>IF(MINIFS(dynamic[orderDate], dynamic[customerID], B948) &gt;= DATE(2024,4,30)-120, 
     "New", 
     IF(MAXIFS(dynamic[orderCount], dynamic[customerID], B948)&lt;=2, 
        IF((DATE(2024,4,30) - MAXIFS(dynamic[orderDate], dynamic[customerID], B948)) &gt; 180, "Non-Returning", "Dormant"), 
        IF(AND(MAX(dynamic[sinceLastOrder]) &gt; 365, (DATE(2024,4,30) - MAXIFS(dynamic[orderDate], dynamic[customerID], B948)) &gt; 180), 
           "Dormant", "Regular")))</f>
        <v>Regular</v>
      </c>
      <c r="H948" s="6">
        <v>62.0</v>
      </c>
      <c r="I948" s="9" t="str">
        <f>VLOOKUP(dynamic[productID],products[],2,FALSE)</f>
        <v>Tarte au sucre</v>
      </c>
      <c r="J948" s="9" t="str">
        <f>VLOOKUP(dynamic[productID],products[],12,FALSE)</f>
        <v>Confections</v>
      </c>
      <c r="K948" s="7" t="str">
        <f>IF(VLOOKUP(dynamic[productID],products[],7,FALSE)=1,"Discontinued","Current")</f>
        <v>Current</v>
      </c>
      <c r="L948" s="9">
        <f>VLOOKUP(dynamic[productID],products[],IF(YEAR(dynamic[orderDate])=2022,8,IF(YEAR(dynamic[orderDate])=2023,9,IF(YEAR(dynamic[orderDate])=2024,10,NA))),FALSE)</f>
        <v>35.34792781</v>
      </c>
      <c r="M948" s="9">
        <v>49.3</v>
      </c>
      <c r="N948" s="25">
        <f>(dynamic[orderPrice]-dynamic[productCost])/dynamic[productCost]</f>
        <v>0.3947069335</v>
      </c>
      <c r="O948" s="10">
        <v>10.0</v>
      </c>
      <c r="P948" s="25">
        <v>0.2</v>
      </c>
      <c r="Q948" s="9">
        <f>dynamic[orderPrice]*dynamic[orderQuantity]</f>
        <v>493</v>
      </c>
      <c r="R948" s="9">
        <f>dynamic[orderTotal]*(1-dynamic[discountApllied])</f>
        <v>394.4</v>
      </c>
      <c r="S948" s="9">
        <f>dynamic[revenue]-(dynamic[productCost]*dynamic[orderQuantity])</f>
        <v>40.92072191</v>
      </c>
      <c r="T948" s="25">
        <f>IFERROR(dynamic[profit]/dynamic[revenue], 0)</f>
        <v>0.1037543659</v>
      </c>
    </row>
    <row r="949" ht="15.75" customHeight="1">
      <c r="A949" s="6">
        <v>10607.0</v>
      </c>
      <c r="B949" s="7" t="s">
        <v>60</v>
      </c>
      <c r="C949" s="24" t="str">
        <f>VLOOKUP(dynamic[customerID],customers[],2,FALSE)</f>
        <v>Save-a-lot Markets</v>
      </c>
      <c r="D949" s="24">
        <v>45129.0</v>
      </c>
      <c r="E949" s="6">
        <f>IFERROR(__xludf.DUMMYFUNCTION("COUNTUNIQUEIFS($A$2:$A949,$B$2:$B949,B949)"),9.0)</f>
        <v>9</v>
      </c>
      <c r="F949" s="6">
        <f t="shared" si="1"/>
        <v>4</v>
      </c>
      <c r="G949" s="6" t="str">
        <f>IF(MINIFS(dynamic[orderDate], dynamic[customerID], B949) &gt;= DATE(2024,4,30)-120, 
     "New", 
     IF(MAXIFS(dynamic[orderCount], dynamic[customerID], B949)&lt;=2, 
        IF((DATE(2024,4,30) - MAXIFS(dynamic[orderDate], dynamic[customerID], B949)) &gt; 180, "Non-Returning", "Dormant"), 
        IF(AND(MAX(dynamic[sinceLastOrder]) &gt; 365, (DATE(2024,4,30) - MAXIFS(dynamic[orderDate], dynamic[customerID], B949)) &gt; 180), 
           "Dormant", "Regular")))</f>
        <v>Regular</v>
      </c>
      <c r="H949" s="6">
        <v>7.0</v>
      </c>
      <c r="I949" s="9" t="str">
        <f>VLOOKUP(dynamic[productID],products[],2,FALSE)</f>
        <v>Uncle Bob's Organic Dried Pears</v>
      </c>
      <c r="J949" s="9" t="str">
        <f>VLOOKUP(dynamic[productID],products[],12,FALSE)</f>
        <v>Produce</v>
      </c>
      <c r="K949" s="7" t="str">
        <f>IF(VLOOKUP(dynamic[productID],products[],7,FALSE)=1,"Discontinued","Current")</f>
        <v>Current</v>
      </c>
      <c r="L949" s="9">
        <f>VLOOKUP(dynamic[productID],products[],IF(YEAR(dynamic[orderDate])=2022,8,IF(YEAR(dynamic[orderDate])=2023,9,IF(YEAR(dynamic[orderDate])=2024,10,NA))),FALSE)</f>
        <v>21.39244625</v>
      </c>
      <c r="M949" s="9">
        <v>30.0</v>
      </c>
      <c r="N949" s="25">
        <f>(dynamic[orderPrice]-dynamic[productCost])/dynamic[productCost]</f>
        <v>0.4023641636</v>
      </c>
      <c r="O949" s="10">
        <v>45.0</v>
      </c>
      <c r="P949" s="25">
        <v>0.0</v>
      </c>
      <c r="Q949" s="9">
        <f>dynamic[orderPrice]*dynamic[orderQuantity]</f>
        <v>1350</v>
      </c>
      <c r="R949" s="9">
        <f>dynamic[orderTotal]*(1-dynamic[discountApllied])</f>
        <v>1350</v>
      </c>
      <c r="S949" s="9">
        <f>dynamic[revenue]-(dynamic[productCost]*dynamic[orderQuantity])</f>
        <v>387.3399185</v>
      </c>
      <c r="T949" s="25">
        <f>IFERROR(dynamic[profit]/dynamic[revenue], 0)</f>
        <v>0.2869184582</v>
      </c>
    </row>
    <row r="950" ht="15.75" customHeight="1">
      <c r="A950" s="6">
        <v>10607.0</v>
      </c>
      <c r="B950" s="7" t="s">
        <v>60</v>
      </c>
      <c r="C950" s="24" t="str">
        <f>VLOOKUP(dynamic[customerID],customers[],2,FALSE)</f>
        <v>Save-a-lot Markets</v>
      </c>
      <c r="D950" s="24">
        <v>45129.0</v>
      </c>
      <c r="E950" s="6">
        <f>IFERROR(__xludf.DUMMYFUNCTION("COUNTUNIQUEIFS($A$2:$A950,$B$2:$B950,B950)"),9.0)</f>
        <v>9</v>
      </c>
      <c r="F950" s="6">
        <f t="shared" si="1"/>
        <v>4</v>
      </c>
      <c r="G950" s="6" t="str">
        <f>IF(MINIFS(dynamic[orderDate], dynamic[customerID], B950) &gt;= DATE(2024,4,30)-120, 
     "New", 
     IF(MAXIFS(dynamic[orderCount], dynamic[customerID], B950)&lt;=2, 
        IF((DATE(2024,4,30) - MAXIFS(dynamic[orderDate], dynamic[customerID], B950)) &gt; 180, "Non-Returning", "Dormant"), 
        IF(AND(MAX(dynamic[sinceLastOrder]) &gt; 365, (DATE(2024,4,30) - MAXIFS(dynamic[orderDate], dynamic[customerID], B950)) &gt; 180), 
           "Dormant", "Regular")))</f>
        <v>Regular</v>
      </c>
      <c r="H950" s="6">
        <v>17.0</v>
      </c>
      <c r="I950" s="9" t="str">
        <f>VLOOKUP(dynamic[productID],products[],2,FALSE)</f>
        <v>Alice Mutton</v>
      </c>
      <c r="J950" s="9" t="str">
        <f>VLOOKUP(dynamic[productID],products[],12,FALSE)</f>
        <v>Meat/Poultry</v>
      </c>
      <c r="K950" s="7" t="str">
        <f>IF(VLOOKUP(dynamic[productID],products[],7,FALSE)=1,"Discontinued","Current")</f>
        <v>Discontinued</v>
      </c>
      <c r="L950" s="9">
        <f>VLOOKUP(dynamic[productID],products[],IF(YEAR(dynamic[orderDate])=2022,8,IF(YEAR(dynamic[orderDate])=2023,9,IF(YEAR(dynamic[orderDate])=2024,10,NA))),FALSE)</f>
        <v>24.83130504</v>
      </c>
      <c r="M950" s="9">
        <v>39.0</v>
      </c>
      <c r="N950" s="25">
        <f>(dynamic[orderPrice]-dynamic[productCost])/dynamic[productCost]</f>
        <v>0.5705980792</v>
      </c>
      <c r="O950" s="10">
        <v>100.0</v>
      </c>
      <c r="P950" s="25">
        <v>0.0</v>
      </c>
      <c r="Q950" s="9">
        <f>dynamic[orderPrice]*dynamic[orderQuantity]</f>
        <v>3900</v>
      </c>
      <c r="R950" s="9">
        <f>dynamic[orderTotal]*(1-dynamic[discountApllied])</f>
        <v>3900</v>
      </c>
      <c r="S950" s="9">
        <f>dynamic[revenue]-(dynamic[productCost]*dynamic[orderQuantity])</f>
        <v>1416.869496</v>
      </c>
      <c r="T950" s="25">
        <f>IFERROR(dynamic[profit]/dynamic[revenue], 0)</f>
        <v>0.3632998708</v>
      </c>
    </row>
    <row r="951" ht="15.75" customHeight="1">
      <c r="A951" s="6">
        <v>10607.0</v>
      </c>
      <c r="B951" s="7" t="s">
        <v>60</v>
      </c>
      <c r="C951" s="24" t="str">
        <f>VLOOKUP(dynamic[customerID],customers[],2,FALSE)</f>
        <v>Save-a-lot Markets</v>
      </c>
      <c r="D951" s="24">
        <v>45129.0</v>
      </c>
      <c r="E951" s="6">
        <f>IFERROR(__xludf.DUMMYFUNCTION("COUNTUNIQUEIFS($A$2:$A951,$B$2:$B951,B951)"),9.0)</f>
        <v>9</v>
      </c>
      <c r="F951" s="6">
        <f t="shared" si="1"/>
        <v>4</v>
      </c>
      <c r="G951" s="6" t="str">
        <f>IF(MINIFS(dynamic[orderDate], dynamic[customerID], B951) &gt;= DATE(2024,4,30)-120, 
     "New", 
     IF(MAXIFS(dynamic[orderCount], dynamic[customerID], B951)&lt;=2, 
        IF((DATE(2024,4,30) - MAXIFS(dynamic[orderDate], dynamic[customerID], B951)) &gt; 180, "Non-Returning", "Dormant"), 
        IF(AND(MAX(dynamic[sinceLastOrder]) &gt; 365, (DATE(2024,4,30) - MAXIFS(dynamic[orderDate], dynamic[customerID], B951)) &gt; 180), 
           "Dormant", "Regular")))</f>
        <v>Regular</v>
      </c>
      <c r="H951" s="6">
        <v>33.0</v>
      </c>
      <c r="I951" s="9" t="str">
        <f>VLOOKUP(dynamic[productID],products[],2,FALSE)</f>
        <v>Geitost</v>
      </c>
      <c r="J951" s="9" t="str">
        <f>VLOOKUP(dynamic[productID],products[],12,FALSE)</f>
        <v>Dairy Products</v>
      </c>
      <c r="K951" s="7" t="str">
        <f>IF(VLOOKUP(dynamic[productID],products[],7,FALSE)=1,"Discontinued","Current")</f>
        <v>Current</v>
      </c>
      <c r="L951" s="9">
        <f>VLOOKUP(dynamic[productID],products[],IF(YEAR(dynamic[orderDate])=2022,8,IF(YEAR(dynamic[orderDate])=2023,9,IF(YEAR(dynamic[orderDate])=2024,10,NA))),FALSE)</f>
        <v>1.559072298</v>
      </c>
      <c r="M951" s="9">
        <v>2.5</v>
      </c>
      <c r="N951" s="25">
        <f>(dynamic[orderPrice]-dynamic[productCost])/dynamic[productCost]</f>
        <v>0.603517684</v>
      </c>
      <c r="O951" s="10">
        <v>14.0</v>
      </c>
      <c r="P951" s="25">
        <v>0.0</v>
      </c>
      <c r="Q951" s="9">
        <f>dynamic[orderPrice]*dynamic[orderQuantity]</f>
        <v>35</v>
      </c>
      <c r="R951" s="9">
        <f>dynamic[orderTotal]*(1-dynamic[discountApllied])</f>
        <v>35</v>
      </c>
      <c r="S951" s="9">
        <f>dynamic[revenue]-(dynamic[productCost]*dynamic[orderQuantity])</f>
        <v>13.17298783</v>
      </c>
      <c r="T951" s="25">
        <f>IFERROR(dynamic[profit]/dynamic[revenue], 0)</f>
        <v>0.3763710809</v>
      </c>
    </row>
    <row r="952" ht="15.75" customHeight="1">
      <c r="A952" s="6">
        <v>10607.0</v>
      </c>
      <c r="B952" s="7" t="s">
        <v>60</v>
      </c>
      <c r="C952" s="24" t="str">
        <f>VLOOKUP(dynamic[customerID],customers[],2,FALSE)</f>
        <v>Save-a-lot Markets</v>
      </c>
      <c r="D952" s="24">
        <v>45129.0</v>
      </c>
      <c r="E952" s="6">
        <f>IFERROR(__xludf.DUMMYFUNCTION("COUNTUNIQUEIFS($A$2:$A952,$B$2:$B952,B952)"),9.0)</f>
        <v>9</v>
      </c>
      <c r="F952" s="6">
        <f t="shared" si="1"/>
        <v>4</v>
      </c>
      <c r="G952" s="6" t="str">
        <f>IF(MINIFS(dynamic[orderDate], dynamic[customerID], B952) &gt;= DATE(2024,4,30)-120, 
     "New", 
     IF(MAXIFS(dynamic[orderCount], dynamic[customerID], B952)&lt;=2, 
        IF((DATE(2024,4,30) - MAXIFS(dynamic[orderDate], dynamic[customerID], B952)) &gt; 180, "Non-Returning", "Dormant"), 
        IF(AND(MAX(dynamic[sinceLastOrder]) &gt; 365, (DATE(2024,4,30) - MAXIFS(dynamic[orderDate], dynamic[customerID], B952)) &gt; 180), 
           "Dormant", "Regular")))</f>
        <v>Regular</v>
      </c>
      <c r="H952" s="6">
        <v>40.0</v>
      </c>
      <c r="I952" s="9" t="str">
        <f>VLOOKUP(dynamic[productID],products[],2,FALSE)</f>
        <v>Boston Crab Meat</v>
      </c>
      <c r="J952" s="9" t="str">
        <f>VLOOKUP(dynamic[productID],products[],12,FALSE)</f>
        <v>Seafood</v>
      </c>
      <c r="K952" s="7" t="str">
        <f>IF(VLOOKUP(dynamic[productID],products[],7,FALSE)=1,"Discontinued","Current")</f>
        <v>Current</v>
      </c>
      <c r="L952" s="9">
        <f>VLOOKUP(dynamic[productID],products[],IF(YEAR(dynamic[orderDate])=2022,8,IF(YEAR(dynamic[orderDate])=2023,9,IF(YEAR(dynamic[orderDate])=2024,10,NA))),FALSE)</f>
        <v>11.40496523</v>
      </c>
      <c r="M952" s="9">
        <v>18.4</v>
      </c>
      <c r="N952" s="25">
        <f>(dynamic[orderPrice]-dynamic[productCost])/dynamic[productCost]</f>
        <v>0.6133324069</v>
      </c>
      <c r="O952" s="10">
        <v>42.0</v>
      </c>
      <c r="P952" s="25">
        <v>0.0</v>
      </c>
      <c r="Q952" s="9">
        <f>dynamic[orderPrice]*dynamic[orderQuantity]</f>
        <v>772.8</v>
      </c>
      <c r="R952" s="9">
        <f>dynamic[orderTotal]*(1-dynamic[discountApllied])</f>
        <v>772.8</v>
      </c>
      <c r="S952" s="9">
        <f>dynamic[revenue]-(dynamic[productCost]*dynamic[orderQuantity])</f>
        <v>293.7914605</v>
      </c>
      <c r="T952" s="25">
        <f>IFERROR(dynamic[profit]/dynamic[revenue], 0)</f>
        <v>0.3801649333</v>
      </c>
    </row>
    <row r="953" ht="15.75" customHeight="1">
      <c r="A953" s="6">
        <v>10607.0</v>
      </c>
      <c r="B953" s="7" t="s">
        <v>60</v>
      </c>
      <c r="C953" s="24" t="str">
        <f>VLOOKUP(dynamic[customerID],customers[],2,FALSE)</f>
        <v>Save-a-lot Markets</v>
      </c>
      <c r="D953" s="24">
        <v>45129.0</v>
      </c>
      <c r="E953" s="6">
        <f>IFERROR(__xludf.DUMMYFUNCTION("COUNTUNIQUEIFS($A$2:$A953,$B$2:$B953,B953)"),9.0)</f>
        <v>9</v>
      </c>
      <c r="F953" s="6">
        <f t="shared" si="1"/>
        <v>4</v>
      </c>
      <c r="G953" s="6" t="str">
        <f>IF(MINIFS(dynamic[orderDate], dynamic[customerID], B953) &gt;= DATE(2024,4,30)-120, 
     "New", 
     IF(MAXIFS(dynamic[orderCount], dynamic[customerID], B953)&lt;=2, 
        IF((DATE(2024,4,30) - MAXIFS(dynamic[orderDate], dynamic[customerID], B953)) &gt; 180, "Non-Returning", "Dormant"), 
        IF(AND(MAX(dynamic[sinceLastOrder]) &gt; 365, (DATE(2024,4,30) - MAXIFS(dynamic[orderDate], dynamic[customerID], B953)) &gt; 180), 
           "Dormant", "Regular")))</f>
        <v>Regular</v>
      </c>
      <c r="H953" s="6">
        <v>72.0</v>
      </c>
      <c r="I953" s="9" t="str">
        <f>VLOOKUP(dynamic[productID],products[],2,FALSE)</f>
        <v>Mozzarella di Giovanni</v>
      </c>
      <c r="J953" s="9" t="str">
        <f>VLOOKUP(dynamic[productID],products[],12,FALSE)</f>
        <v>Dairy Products</v>
      </c>
      <c r="K953" s="7" t="str">
        <f>IF(VLOOKUP(dynamic[productID],products[],7,FALSE)=1,"Discontinued","Current")</f>
        <v>Current</v>
      </c>
      <c r="L953" s="9">
        <f>VLOOKUP(dynamic[productID],products[],IF(YEAR(dynamic[orderDate])=2022,8,IF(YEAR(dynamic[orderDate])=2023,9,IF(YEAR(dynamic[orderDate])=2024,10,NA))),FALSE)</f>
        <v>23.51933768</v>
      </c>
      <c r="M953" s="9">
        <v>34.8</v>
      </c>
      <c r="N953" s="25">
        <f>(dynamic[orderPrice]-dynamic[productCost])/dynamic[productCost]</f>
        <v>0.4796335031</v>
      </c>
      <c r="O953" s="10">
        <v>12.0</v>
      </c>
      <c r="P953" s="25">
        <v>0.0</v>
      </c>
      <c r="Q953" s="9">
        <f>dynamic[orderPrice]*dynamic[orderQuantity]</f>
        <v>417.6</v>
      </c>
      <c r="R953" s="9">
        <f>dynamic[orderTotal]*(1-dynamic[discountApllied])</f>
        <v>417.6</v>
      </c>
      <c r="S953" s="9">
        <f>dynamic[revenue]-(dynamic[productCost]*dynamic[orderQuantity])</f>
        <v>135.3679479</v>
      </c>
      <c r="T953" s="25">
        <f>IFERROR(dynamic[profit]/dynamic[revenue], 0)</f>
        <v>0.3241569633</v>
      </c>
    </row>
    <row r="954" ht="15.75" customHeight="1">
      <c r="A954" s="6">
        <v>10608.0</v>
      </c>
      <c r="B954" s="7" t="s">
        <v>14</v>
      </c>
      <c r="C954" s="24" t="str">
        <f>VLOOKUP(dynamic[customerID],customers[],2,FALSE)</f>
        <v>Toms Spezialitäten</v>
      </c>
      <c r="D954" s="24">
        <v>45130.0</v>
      </c>
      <c r="E954" s="6">
        <f>IFERROR(__xludf.DUMMYFUNCTION("COUNTUNIQUEIFS($A$2:$A954,$B$2:$B954,B954)"),5.0)</f>
        <v>5</v>
      </c>
      <c r="F954" s="6">
        <f t="shared" si="1"/>
        <v>58</v>
      </c>
      <c r="G954" s="6" t="str">
        <f>IF(MINIFS(dynamic[orderDate], dynamic[customerID], B954) &gt;= DATE(2024,4,30)-120, 
     "New", 
     IF(MAXIFS(dynamic[orderCount], dynamic[customerID], B954)&lt;=2, 
        IF((DATE(2024,4,30) - MAXIFS(dynamic[orderDate], dynamic[customerID], B954)) &gt; 180, "Non-Returning", "Dormant"), 
        IF(AND(MAX(dynamic[sinceLastOrder]) &gt; 365, (DATE(2024,4,30) - MAXIFS(dynamic[orderDate], dynamic[customerID], B954)) &gt; 180), 
           "Dormant", "Regular")))</f>
        <v>Regular</v>
      </c>
      <c r="H954" s="6">
        <v>56.0</v>
      </c>
      <c r="I954" s="9" t="str">
        <f>VLOOKUP(dynamic[productID],products[],2,FALSE)</f>
        <v>Gnocchi di nonna Alice</v>
      </c>
      <c r="J954" s="9" t="str">
        <f>VLOOKUP(dynamic[productID],products[],12,FALSE)</f>
        <v>Grains/Cereals</v>
      </c>
      <c r="K954" s="7" t="str">
        <f>IF(VLOOKUP(dynamic[productID],products[],7,FALSE)=1,"Discontinued","Current")</f>
        <v>Current</v>
      </c>
      <c r="L954" s="9">
        <f>VLOOKUP(dynamic[productID],products[],IF(YEAR(dynamic[orderDate])=2022,8,IF(YEAR(dynamic[orderDate])=2023,9,IF(YEAR(dynamic[orderDate])=2024,10,NA))),FALSE)</f>
        <v>24.28342441</v>
      </c>
      <c r="M954" s="9">
        <v>38.0</v>
      </c>
      <c r="N954" s="25">
        <f>(dynamic[orderPrice]-dynamic[productCost])/dynamic[productCost]</f>
        <v>0.5648534309</v>
      </c>
      <c r="O954" s="10">
        <v>28.0</v>
      </c>
      <c r="P954" s="25">
        <v>0.0</v>
      </c>
      <c r="Q954" s="9">
        <f>dynamic[orderPrice]*dynamic[orderQuantity]</f>
        <v>1064</v>
      </c>
      <c r="R954" s="9">
        <f>dynamic[orderTotal]*(1-dynamic[discountApllied])</f>
        <v>1064</v>
      </c>
      <c r="S954" s="9">
        <f>dynamic[revenue]-(dynamic[productCost]*dynamic[orderQuantity])</f>
        <v>384.0641166</v>
      </c>
      <c r="T954" s="25">
        <f>IFERROR(dynamic[profit]/dynamic[revenue], 0)</f>
        <v>0.3609625156</v>
      </c>
    </row>
    <row r="955" ht="15.75" customHeight="1">
      <c r="A955" s="6">
        <v>10609.0</v>
      </c>
      <c r="B955" s="7" t="s">
        <v>56</v>
      </c>
      <c r="C955" s="24" t="str">
        <f>VLOOKUP(dynamic[customerID],customers[],2,FALSE)</f>
        <v>Du monde entier</v>
      </c>
      <c r="D955" s="24">
        <v>45131.0</v>
      </c>
      <c r="E955" s="6">
        <f>IFERROR(__xludf.DUMMYFUNCTION("COUNTUNIQUEIFS($A$2:$A955,$B$2:$B955,B955)"),2.0)</f>
        <v>2</v>
      </c>
      <c r="F955" s="6">
        <f t="shared" si="1"/>
        <v>307</v>
      </c>
      <c r="G955" s="6" t="str">
        <f>IF(MINIFS(dynamic[orderDate], dynamic[customerID], B955) &gt;= DATE(2024,4,30)-120, 
     "New", 
     IF(MAXIFS(dynamic[orderCount], dynamic[customerID], B955)&lt;=2, 
        IF((DATE(2024,4,30) - MAXIFS(dynamic[orderDate], dynamic[customerID], B955)) &gt; 180, "Non-Returning", "Dormant"), 
        IF(AND(MAX(dynamic[sinceLastOrder]) &gt; 365, (DATE(2024,4,30) - MAXIFS(dynamic[orderDate], dynamic[customerID], B955)) &gt; 180), 
           "Dormant", "Regular")))</f>
        <v>Regular</v>
      </c>
      <c r="H955" s="6">
        <v>1.0</v>
      </c>
      <c r="I955" s="9" t="str">
        <f>VLOOKUP(dynamic[productID],products[],2,FALSE)</f>
        <v>Chai</v>
      </c>
      <c r="J955" s="9" t="str">
        <f>VLOOKUP(dynamic[productID],products[],12,FALSE)</f>
        <v>Beverages</v>
      </c>
      <c r="K955" s="7" t="str">
        <f>IF(VLOOKUP(dynamic[productID],products[],7,FALSE)=1,"Discontinued","Current")</f>
        <v>Current</v>
      </c>
      <c r="L955" s="9">
        <f>VLOOKUP(dynamic[productID],products[],IF(YEAR(dynamic[orderDate])=2022,8,IF(YEAR(dynamic[orderDate])=2023,9,IF(YEAR(dynamic[orderDate])=2024,10,NA))),FALSE)</f>
        <v>12.15847607</v>
      </c>
      <c r="M955" s="9">
        <v>18.0</v>
      </c>
      <c r="N955" s="25">
        <f>(dynamic[orderPrice]-dynamic[productCost])/dynamic[productCost]</f>
        <v>0.4804486927</v>
      </c>
      <c r="O955" s="10">
        <v>3.0</v>
      </c>
      <c r="P955" s="25">
        <v>0.0</v>
      </c>
      <c r="Q955" s="9">
        <f>dynamic[orderPrice]*dynamic[orderQuantity]</f>
        <v>54</v>
      </c>
      <c r="R955" s="9">
        <f>dynamic[orderTotal]*(1-dynamic[discountApllied])</f>
        <v>54</v>
      </c>
      <c r="S955" s="9">
        <f>dynamic[revenue]-(dynamic[productCost]*dynamic[orderQuantity])</f>
        <v>17.5245718</v>
      </c>
      <c r="T955" s="25">
        <f>IFERROR(dynamic[profit]/dynamic[revenue], 0)</f>
        <v>0.3245291073</v>
      </c>
    </row>
    <row r="956" ht="15.75" customHeight="1">
      <c r="A956" s="6">
        <v>10609.0</v>
      </c>
      <c r="B956" s="7" t="s">
        <v>56</v>
      </c>
      <c r="C956" s="24" t="str">
        <f>VLOOKUP(dynamic[customerID],customers[],2,FALSE)</f>
        <v>Du monde entier</v>
      </c>
      <c r="D956" s="24">
        <v>45131.0</v>
      </c>
      <c r="E956" s="6">
        <f>IFERROR(__xludf.DUMMYFUNCTION("COUNTUNIQUEIFS($A$2:$A956,$B$2:$B956,B956)"),2.0)</f>
        <v>2</v>
      </c>
      <c r="F956" s="6">
        <f t="shared" si="1"/>
        <v>307</v>
      </c>
      <c r="G956" s="6" t="str">
        <f>IF(MINIFS(dynamic[orderDate], dynamic[customerID], B956) &gt;= DATE(2024,4,30)-120, 
     "New", 
     IF(MAXIFS(dynamic[orderCount], dynamic[customerID], B956)&lt;=2, 
        IF((DATE(2024,4,30) - MAXIFS(dynamic[orderDate], dynamic[customerID], B956)) &gt; 180, "Non-Returning", "Dormant"), 
        IF(AND(MAX(dynamic[sinceLastOrder]) &gt; 365, (DATE(2024,4,30) - MAXIFS(dynamic[orderDate], dynamic[customerID], B956)) &gt; 180), 
           "Dormant", "Regular")))</f>
        <v>Regular</v>
      </c>
      <c r="H956" s="6">
        <v>10.0</v>
      </c>
      <c r="I956" s="9" t="str">
        <f>VLOOKUP(dynamic[productID],products[],2,FALSE)</f>
        <v>Ikura</v>
      </c>
      <c r="J956" s="9" t="str">
        <f>VLOOKUP(dynamic[productID],products[],12,FALSE)</f>
        <v>Seafood</v>
      </c>
      <c r="K956" s="7" t="str">
        <f>IF(VLOOKUP(dynamic[productID],products[],7,FALSE)=1,"Discontinued","Current")</f>
        <v>Current</v>
      </c>
      <c r="L956" s="9">
        <f>VLOOKUP(dynamic[productID],products[],IF(YEAR(dynamic[orderDate])=2022,8,IF(YEAR(dynamic[orderDate])=2023,9,IF(YEAR(dynamic[orderDate])=2024,10,NA))),FALSE)</f>
        <v>20.72721922</v>
      </c>
      <c r="M956" s="9">
        <v>31.0</v>
      </c>
      <c r="N956" s="25">
        <f>(dynamic[orderPrice]-dynamic[productCost])/dynamic[productCost]</f>
        <v>0.4956178962</v>
      </c>
      <c r="O956" s="10">
        <v>10.0</v>
      </c>
      <c r="P956" s="25">
        <v>0.0</v>
      </c>
      <c r="Q956" s="9">
        <f>dynamic[orderPrice]*dynamic[orderQuantity]</f>
        <v>310</v>
      </c>
      <c r="R956" s="9">
        <f>dynamic[orderTotal]*(1-dynamic[discountApllied])</f>
        <v>310</v>
      </c>
      <c r="S956" s="9">
        <f>dynamic[revenue]-(dynamic[productCost]*dynamic[orderQuantity])</f>
        <v>102.7278078</v>
      </c>
      <c r="T956" s="25">
        <f>IFERROR(dynamic[profit]/dynamic[revenue], 0)</f>
        <v>0.3313800252</v>
      </c>
    </row>
    <row r="957" ht="15.75" customHeight="1">
      <c r="A957" s="6">
        <v>10609.0</v>
      </c>
      <c r="B957" s="7" t="s">
        <v>56</v>
      </c>
      <c r="C957" s="24" t="str">
        <f>VLOOKUP(dynamic[customerID],customers[],2,FALSE)</f>
        <v>Du monde entier</v>
      </c>
      <c r="D957" s="24">
        <v>45131.0</v>
      </c>
      <c r="E957" s="6">
        <f>IFERROR(__xludf.DUMMYFUNCTION("COUNTUNIQUEIFS($A$2:$A957,$B$2:$B957,B957)"),2.0)</f>
        <v>2</v>
      </c>
      <c r="F957" s="6">
        <f t="shared" si="1"/>
        <v>307</v>
      </c>
      <c r="G957" s="6" t="str">
        <f>IF(MINIFS(dynamic[orderDate], dynamic[customerID], B957) &gt;= DATE(2024,4,30)-120, 
     "New", 
     IF(MAXIFS(dynamic[orderCount], dynamic[customerID], B957)&lt;=2, 
        IF((DATE(2024,4,30) - MAXIFS(dynamic[orderDate], dynamic[customerID], B957)) &gt; 180, "Non-Returning", "Dormant"), 
        IF(AND(MAX(dynamic[sinceLastOrder]) &gt; 365, (DATE(2024,4,30) - MAXIFS(dynamic[orderDate], dynamic[customerID], B957)) &gt; 180), 
           "Dormant", "Regular")))</f>
        <v>Regular</v>
      </c>
      <c r="H957" s="6">
        <v>21.0</v>
      </c>
      <c r="I957" s="9" t="str">
        <f>VLOOKUP(dynamic[productID],products[],2,FALSE)</f>
        <v>Sir Rodney's Scones</v>
      </c>
      <c r="J957" s="9" t="str">
        <f>VLOOKUP(dynamic[productID],products[],12,FALSE)</f>
        <v>Confections</v>
      </c>
      <c r="K957" s="7" t="str">
        <f>IF(VLOOKUP(dynamic[productID],products[],7,FALSE)=1,"Discontinued","Current")</f>
        <v>Current</v>
      </c>
      <c r="L957" s="9">
        <f>VLOOKUP(dynamic[productID],products[],IF(YEAR(dynamic[orderDate])=2022,8,IF(YEAR(dynamic[orderDate])=2023,9,IF(YEAR(dynamic[orderDate])=2024,10,NA))),FALSE)</f>
        <v>6.725636111</v>
      </c>
      <c r="M957" s="9">
        <v>10.0</v>
      </c>
      <c r="N957" s="25">
        <f>(dynamic[orderPrice]-dynamic[productCost])/dynamic[productCost]</f>
        <v>0.486848208</v>
      </c>
      <c r="O957" s="10">
        <v>6.0</v>
      </c>
      <c r="P957" s="25">
        <v>0.0</v>
      </c>
      <c r="Q957" s="9">
        <f>dynamic[orderPrice]*dynamic[orderQuantity]</f>
        <v>60</v>
      </c>
      <c r="R957" s="9">
        <f>dynamic[orderTotal]*(1-dynamic[discountApllied])</f>
        <v>60</v>
      </c>
      <c r="S957" s="9">
        <f>dynamic[revenue]-(dynamic[productCost]*dynamic[orderQuantity])</f>
        <v>19.64618333</v>
      </c>
      <c r="T957" s="25">
        <f>IFERROR(dynamic[profit]/dynamic[revenue], 0)</f>
        <v>0.3274363889</v>
      </c>
    </row>
    <row r="958" ht="15.75" customHeight="1">
      <c r="A958" s="6">
        <v>10610.0</v>
      </c>
      <c r="B958" s="7" t="s">
        <v>68</v>
      </c>
      <c r="C958" s="24" t="str">
        <f>VLOOKUP(dynamic[customerID],customers[],2,FALSE)</f>
        <v>La maison d'Asie</v>
      </c>
      <c r="D958" s="24">
        <v>45132.0</v>
      </c>
      <c r="E958" s="6">
        <f>IFERROR(__xludf.DUMMYFUNCTION("COUNTUNIQUEIFS($A$2:$A958,$B$2:$B958,B958)"),9.0)</f>
        <v>9</v>
      </c>
      <c r="F958" s="6">
        <f t="shared" si="1"/>
        <v>107</v>
      </c>
      <c r="G958" s="6" t="str">
        <f>IF(MINIFS(dynamic[orderDate], dynamic[customerID], B958) &gt;= DATE(2024,4,30)-120, 
     "New", 
     IF(MAXIFS(dynamic[orderCount], dynamic[customerID], B958)&lt;=2, 
        IF((DATE(2024,4,30) - MAXIFS(dynamic[orderDate], dynamic[customerID], B958)) &gt; 180, "Non-Returning", "Dormant"), 
        IF(AND(MAX(dynamic[sinceLastOrder]) &gt; 365, (DATE(2024,4,30) - MAXIFS(dynamic[orderDate], dynamic[customerID], B958)) &gt; 180), 
           "Dormant", "Regular")))</f>
        <v>Regular</v>
      </c>
      <c r="H958" s="6">
        <v>36.0</v>
      </c>
      <c r="I958" s="9" t="str">
        <f>VLOOKUP(dynamic[productID],products[],2,FALSE)</f>
        <v>Inlagd Sill</v>
      </c>
      <c r="J958" s="9" t="str">
        <f>VLOOKUP(dynamic[productID],products[],12,FALSE)</f>
        <v>Seafood</v>
      </c>
      <c r="K958" s="7" t="str">
        <f>IF(VLOOKUP(dynamic[productID],products[],7,FALSE)=1,"Discontinued","Current")</f>
        <v>Current</v>
      </c>
      <c r="L958" s="9">
        <f>VLOOKUP(dynamic[productID],products[],IF(YEAR(dynamic[orderDate])=2022,8,IF(YEAR(dynamic[orderDate])=2023,9,IF(YEAR(dynamic[orderDate])=2024,10,NA))),FALSE)</f>
        <v>12.15246269</v>
      </c>
      <c r="M958" s="9">
        <v>19.0</v>
      </c>
      <c r="N958" s="25">
        <f>(dynamic[orderPrice]-dynamic[productCost])/dynamic[productCost]</f>
        <v>0.5634691082</v>
      </c>
      <c r="O958" s="10">
        <v>21.0</v>
      </c>
      <c r="P958" s="25">
        <v>0.25</v>
      </c>
      <c r="Q958" s="9">
        <f>dynamic[orderPrice]*dynamic[orderQuantity]</f>
        <v>399</v>
      </c>
      <c r="R958" s="9">
        <f>dynamic[orderTotal]*(1-dynamic[discountApllied])</f>
        <v>299.25</v>
      </c>
      <c r="S958" s="9">
        <f>dynamic[revenue]-(dynamic[productCost]*dynamic[orderQuantity])</f>
        <v>44.04828358</v>
      </c>
      <c r="T958" s="25">
        <f>IFERROR(dynamic[profit]/dynamic[revenue], 0)</f>
        <v>0.1471956009</v>
      </c>
    </row>
    <row r="959" ht="15.75" customHeight="1">
      <c r="A959" s="6">
        <v>10611.0</v>
      </c>
      <c r="B959" s="7" t="s">
        <v>78</v>
      </c>
      <c r="C959" s="24" t="str">
        <f>VLOOKUP(dynamic[customerID],customers[],2,FALSE)</f>
        <v>Wolski  Zajazd</v>
      </c>
      <c r="D959" s="24">
        <v>45132.0</v>
      </c>
      <c r="E959" s="6">
        <f>IFERROR(__xludf.DUMMYFUNCTION("COUNTUNIQUEIFS($A$2:$A959,$B$2:$B959,B959)"),2.0)</f>
        <v>2</v>
      </c>
      <c r="F959" s="6">
        <f t="shared" si="1"/>
        <v>232</v>
      </c>
      <c r="G959" s="6" t="str">
        <f>IF(MINIFS(dynamic[orderDate], dynamic[customerID], B959) &gt;= DATE(2024,4,30)-120, 
     "New", 
     IF(MAXIFS(dynamic[orderCount], dynamic[customerID], B959)&lt;=2, 
        IF((DATE(2024,4,30) - MAXIFS(dynamic[orderDate], dynamic[customerID], B959)) &gt; 180, "Non-Returning", "Dormant"), 
        IF(AND(MAX(dynamic[sinceLastOrder]) &gt; 365, (DATE(2024,4,30) - MAXIFS(dynamic[orderDate], dynamic[customerID], B959)) &gt; 180), 
           "Dormant", "Regular")))</f>
        <v>Regular</v>
      </c>
      <c r="H959" s="6">
        <v>1.0</v>
      </c>
      <c r="I959" s="9" t="str">
        <f>VLOOKUP(dynamic[productID],products[],2,FALSE)</f>
        <v>Chai</v>
      </c>
      <c r="J959" s="9" t="str">
        <f>VLOOKUP(dynamic[productID],products[],12,FALSE)</f>
        <v>Beverages</v>
      </c>
      <c r="K959" s="7" t="str">
        <f>IF(VLOOKUP(dynamic[productID],products[],7,FALSE)=1,"Discontinued","Current")</f>
        <v>Current</v>
      </c>
      <c r="L959" s="9">
        <f>VLOOKUP(dynamic[productID],products[],IF(YEAR(dynamic[orderDate])=2022,8,IF(YEAR(dynamic[orderDate])=2023,9,IF(YEAR(dynamic[orderDate])=2024,10,NA))),FALSE)</f>
        <v>12.15847607</v>
      </c>
      <c r="M959" s="9">
        <v>18.0</v>
      </c>
      <c r="N959" s="25">
        <f>(dynamic[orderPrice]-dynamic[productCost])/dynamic[productCost]</f>
        <v>0.4804486927</v>
      </c>
      <c r="O959" s="10">
        <v>6.0</v>
      </c>
      <c r="P959" s="25">
        <v>0.0</v>
      </c>
      <c r="Q959" s="9">
        <f>dynamic[orderPrice]*dynamic[orderQuantity]</f>
        <v>108</v>
      </c>
      <c r="R959" s="9">
        <f>dynamic[orderTotal]*(1-dynamic[discountApllied])</f>
        <v>108</v>
      </c>
      <c r="S959" s="9">
        <f>dynamic[revenue]-(dynamic[productCost]*dynamic[orderQuantity])</f>
        <v>35.04914359</v>
      </c>
      <c r="T959" s="25">
        <f>IFERROR(dynamic[profit]/dynamic[revenue], 0)</f>
        <v>0.3245291073</v>
      </c>
    </row>
    <row r="960" ht="15.75" customHeight="1">
      <c r="A960" s="6">
        <v>10611.0</v>
      </c>
      <c r="B960" s="7" t="s">
        <v>78</v>
      </c>
      <c r="C960" s="24" t="str">
        <f>VLOOKUP(dynamic[customerID],customers[],2,FALSE)</f>
        <v>Wolski  Zajazd</v>
      </c>
      <c r="D960" s="24">
        <v>45132.0</v>
      </c>
      <c r="E960" s="6">
        <f>IFERROR(__xludf.DUMMYFUNCTION("COUNTUNIQUEIFS($A$2:$A960,$B$2:$B960,B960)"),2.0)</f>
        <v>2</v>
      </c>
      <c r="F960" s="6">
        <f t="shared" si="1"/>
        <v>232</v>
      </c>
      <c r="G960" s="6" t="str">
        <f>IF(MINIFS(dynamic[orderDate], dynamic[customerID], B960) &gt;= DATE(2024,4,30)-120, 
     "New", 
     IF(MAXIFS(dynamic[orderCount], dynamic[customerID], B960)&lt;=2, 
        IF((DATE(2024,4,30) - MAXIFS(dynamic[orderDate], dynamic[customerID], B960)) &gt; 180, "Non-Returning", "Dormant"), 
        IF(AND(MAX(dynamic[sinceLastOrder]) &gt; 365, (DATE(2024,4,30) - MAXIFS(dynamic[orderDate], dynamic[customerID], B960)) &gt; 180), 
           "Dormant", "Regular")))</f>
        <v>Regular</v>
      </c>
      <c r="H960" s="6">
        <v>2.0</v>
      </c>
      <c r="I960" s="9" t="str">
        <f>VLOOKUP(dynamic[productID],products[],2,FALSE)</f>
        <v>Chang</v>
      </c>
      <c r="J960" s="9" t="str">
        <f>VLOOKUP(dynamic[productID],products[],12,FALSE)</f>
        <v>Beverages</v>
      </c>
      <c r="K960" s="7" t="str">
        <f>IF(VLOOKUP(dynamic[productID],products[],7,FALSE)=1,"Discontinued","Current")</f>
        <v>Current</v>
      </c>
      <c r="L960" s="9">
        <f>VLOOKUP(dynamic[productID],products[],IF(YEAR(dynamic[orderDate])=2022,8,IF(YEAR(dynamic[orderDate])=2023,9,IF(YEAR(dynamic[orderDate])=2024,10,NA))),FALSE)</f>
        <v>12.14626904</v>
      </c>
      <c r="M960" s="9">
        <v>19.0</v>
      </c>
      <c r="N960" s="25">
        <f>(dynamic[orderPrice]-dynamic[productCost])/dynamic[productCost]</f>
        <v>0.5642663547</v>
      </c>
      <c r="O960" s="10">
        <v>10.0</v>
      </c>
      <c r="P960" s="25">
        <v>0.0</v>
      </c>
      <c r="Q960" s="9">
        <f>dynamic[orderPrice]*dynamic[orderQuantity]</f>
        <v>190</v>
      </c>
      <c r="R960" s="9">
        <f>dynamic[orderTotal]*(1-dynamic[discountApllied])</f>
        <v>190</v>
      </c>
      <c r="S960" s="9">
        <f>dynamic[revenue]-(dynamic[productCost]*dynamic[orderQuantity])</f>
        <v>68.53730956</v>
      </c>
      <c r="T960" s="25">
        <f>IFERROR(dynamic[profit]/dynamic[revenue], 0)</f>
        <v>0.3607226819</v>
      </c>
    </row>
    <row r="961" ht="15.75" customHeight="1">
      <c r="A961" s="6">
        <v>10611.0</v>
      </c>
      <c r="B961" s="7" t="s">
        <v>78</v>
      </c>
      <c r="C961" s="24" t="str">
        <f>VLOOKUP(dynamic[customerID],customers[],2,FALSE)</f>
        <v>Wolski  Zajazd</v>
      </c>
      <c r="D961" s="24">
        <v>45132.0</v>
      </c>
      <c r="E961" s="6">
        <f>IFERROR(__xludf.DUMMYFUNCTION("COUNTUNIQUEIFS($A$2:$A961,$B$2:$B961,B961)"),2.0)</f>
        <v>2</v>
      </c>
      <c r="F961" s="6">
        <f t="shared" si="1"/>
        <v>232</v>
      </c>
      <c r="G961" s="6" t="str">
        <f>IF(MINIFS(dynamic[orderDate], dynamic[customerID], B961) &gt;= DATE(2024,4,30)-120, 
     "New", 
     IF(MAXIFS(dynamic[orderCount], dynamic[customerID], B961)&lt;=2, 
        IF((DATE(2024,4,30) - MAXIFS(dynamic[orderDate], dynamic[customerID], B961)) &gt; 180, "Non-Returning", "Dormant"), 
        IF(AND(MAX(dynamic[sinceLastOrder]) &gt; 365, (DATE(2024,4,30) - MAXIFS(dynamic[orderDate], dynamic[customerID], B961)) &gt; 180), 
           "Dormant", "Regular")))</f>
        <v>Regular</v>
      </c>
      <c r="H961" s="6">
        <v>60.0</v>
      </c>
      <c r="I961" s="9" t="str">
        <f>VLOOKUP(dynamic[productID],products[],2,FALSE)</f>
        <v>Camembert Pierrot</v>
      </c>
      <c r="J961" s="9" t="str">
        <f>VLOOKUP(dynamic[productID],products[],12,FALSE)</f>
        <v>Dairy Products</v>
      </c>
      <c r="K961" s="7" t="str">
        <f>IF(VLOOKUP(dynamic[productID],products[],7,FALSE)=1,"Discontinued","Current")</f>
        <v>Current</v>
      </c>
      <c r="L961" s="9">
        <f>VLOOKUP(dynamic[productID],products[],IF(YEAR(dynamic[orderDate])=2022,8,IF(YEAR(dynamic[orderDate])=2023,9,IF(YEAR(dynamic[orderDate])=2024,10,NA))),FALSE)</f>
        <v>22.77098295</v>
      </c>
      <c r="M961" s="9">
        <v>34.0</v>
      </c>
      <c r="N961" s="25">
        <f>(dynamic[orderPrice]-dynamic[productCost])/dynamic[productCost]</f>
        <v>0.4931283415</v>
      </c>
      <c r="O961" s="10">
        <v>15.0</v>
      </c>
      <c r="P961" s="25">
        <v>0.0</v>
      </c>
      <c r="Q961" s="9">
        <f>dynamic[orderPrice]*dynamic[orderQuantity]</f>
        <v>510</v>
      </c>
      <c r="R961" s="9">
        <f>dynamic[orderTotal]*(1-dynamic[discountApllied])</f>
        <v>510</v>
      </c>
      <c r="S961" s="9">
        <f>dynamic[revenue]-(dynamic[productCost]*dynamic[orderQuantity])</f>
        <v>168.4352558</v>
      </c>
      <c r="T961" s="25">
        <f>IFERROR(dynamic[profit]/dynamic[revenue], 0)</f>
        <v>0.3302652075</v>
      </c>
    </row>
    <row r="962" ht="15.75" customHeight="1">
      <c r="A962" s="6">
        <v>10612.0</v>
      </c>
      <c r="B962" s="7" t="s">
        <v>60</v>
      </c>
      <c r="C962" s="24" t="str">
        <f>VLOOKUP(dynamic[customerID],customers[],2,FALSE)</f>
        <v>Save-a-lot Markets</v>
      </c>
      <c r="D962" s="24">
        <v>45135.0</v>
      </c>
      <c r="E962" s="6">
        <f>IFERROR(__xludf.DUMMYFUNCTION("COUNTUNIQUEIFS($A$2:$A962,$B$2:$B962,B962)"),10.0)</f>
        <v>10</v>
      </c>
      <c r="F962" s="6">
        <f t="shared" si="1"/>
        <v>6</v>
      </c>
      <c r="G962" s="6" t="str">
        <f>IF(MINIFS(dynamic[orderDate], dynamic[customerID], B962) &gt;= DATE(2024,4,30)-120, 
     "New", 
     IF(MAXIFS(dynamic[orderCount], dynamic[customerID], B962)&lt;=2, 
        IF((DATE(2024,4,30) - MAXIFS(dynamic[orderDate], dynamic[customerID], B962)) &gt; 180, "Non-Returning", "Dormant"), 
        IF(AND(MAX(dynamic[sinceLastOrder]) &gt; 365, (DATE(2024,4,30) - MAXIFS(dynamic[orderDate], dynamic[customerID], B962)) &gt; 180), 
           "Dormant", "Regular")))</f>
        <v>Regular</v>
      </c>
      <c r="H962" s="6">
        <v>10.0</v>
      </c>
      <c r="I962" s="9" t="str">
        <f>VLOOKUP(dynamic[productID],products[],2,FALSE)</f>
        <v>Ikura</v>
      </c>
      <c r="J962" s="9" t="str">
        <f>VLOOKUP(dynamic[productID],products[],12,FALSE)</f>
        <v>Seafood</v>
      </c>
      <c r="K962" s="7" t="str">
        <f>IF(VLOOKUP(dynamic[productID],products[],7,FALSE)=1,"Discontinued","Current")</f>
        <v>Current</v>
      </c>
      <c r="L962" s="9">
        <f>VLOOKUP(dynamic[productID],products[],IF(YEAR(dynamic[orderDate])=2022,8,IF(YEAR(dynamic[orderDate])=2023,9,IF(YEAR(dynamic[orderDate])=2024,10,NA))),FALSE)</f>
        <v>20.72721922</v>
      </c>
      <c r="M962" s="9">
        <v>31.0</v>
      </c>
      <c r="N962" s="25">
        <f>(dynamic[orderPrice]-dynamic[productCost])/dynamic[productCost]</f>
        <v>0.4956178962</v>
      </c>
      <c r="O962" s="10">
        <v>70.0</v>
      </c>
      <c r="P962" s="25">
        <v>0.0</v>
      </c>
      <c r="Q962" s="9">
        <f>dynamic[orderPrice]*dynamic[orderQuantity]</f>
        <v>2170</v>
      </c>
      <c r="R962" s="9">
        <f>dynamic[orderTotal]*(1-dynamic[discountApllied])</f>
        <v>2170</v>
      </c>
      <c r="S962" s="9">
        <f>dynamic[revenue]-(dynamic[productCost]*dynamic[orderQuantity])</f>
        <v>719.0946548</v>
      </c>
      <c r="T962" s="25">
        <f>IFERROR(dynamic[profit]/dynamic[revenue], 0)</f>
        <v>0.3313800252</v>
      </c>
    </row>
    <row r="963" ht="15.75" customHeight="1">
      <c r="A963" s="6">
        <v>10612.0</v>
      </c>
      <c r="B963" s="7" t="s">
        <v>60</v>
      </c>
      <c r="C963" s="24" t="str">
        <f>VLOOKUP(dynamic[customerID],customers[],2,FALSE)</f>
        <v>Save-a-lot Markets</v>
      </c>
      <c r="D963" s="24">
        <v>45135.0</v>
      </c>
      <c r="E963" s="6">
        <f>IFERROR(__xludf.DUMMYFUNCTION("COUNTUNIQUEIFS($A$2:$A963,$B$2:$B963,B963)"),10.0)</f>
        <v>10</v>
      </c>
      <c r="F963" s="6">
        <f t="shared" si="1"/>
        <v>6</v>
      </c>
      <c r="G963" s="6" t="str">
        <f>IF(MINIFS(dynamic[orderDate], dynamic[customerID], B963) &gt;= DATE(2024,4,30)-120, 
     "New", 
     IF(MAXIFS(dynamic[orderCount], dynamic[customerID], B963)&lt;=2, 
        IF((DATE(2024,4,30) - MAXIFS(dynamic[orderDate], dynamic[customerID], B963)) &gt; 180, "Non-Returning", "Dormant"), 
        IF(AND(MAX(dynamic[sinceLastOrder]) &gt; 365, (DATE(2024,4,30) - MAXIFS(dynamic[orderDate], dynamic[customerID], B963)) &gt; 180), 
           "Dormant", "Regular")))</f>
        <v>Regular</v>
      </c>
      <c r="H963" s="6">
        <v>36.0</v>
      </c>
      <c r="I963" s="9" t="str">
        <f>VLOOKUP(dynamic[productID],products[],2,FALSE)</f>
        <v>Inlagd Sill</v>
      </c>
      <c r="J963" s="9" t="str">
        <f>VLOOKUP(dynamic[productID],products[],12,FALSE)</f>
        <v>Seafood</v>
      </c>
      <c r="K963" s="7" t="str">
        <f>IF(VLOOKUP(dynamic[productID],products[],7,FALSE)=1,"Discontinued","Current")</f>
        <v>Current</v>
      </c>
      <c r="L963" s="9">
        <f>VLOOKUP(dynamic[productID],products[],IF(YEAR(dynamic[orderDate])=2022,8,IF(YEAR(dynamic[orderDate])=2023,9,IF(YEAR(dynamic[orderDate])=2024,10,NA))),FALSE)</f>
        <v>12.15246269</v>
      </c>
      <c r="M963" s="9">
        <v>19.0</v>
      </c>
      <c r="N963" s="25">
        <f>(dynamic[orderPrice]-dynamic[productCost])/dynamic[productCost]</f>
        <v>0.5634691082</v>
      </c>
      <c r="O963" s="10">
        <v>55.0</v>
      </c>
      <c r="P963" s="25">
        <v>0.0</v>
      </c>
      <c r="Q963" s="9">
        <f>dynamic[orderPrice]*dynamic[orderQuantity]</f>
        <v>1045</v>
      </c>
      <c r="R963" s="9">
        <f>dynamic[orderTotal]*(1-dynamic[discountApllied])</f>
        <v>1045</v>
      </c>
      <c r="S963" s="9">
        <f>dynamic[revenue]-(dynamic[productCost]*dynamic[orderQuantity])</f>
        <v>376.6145522</v>
      </c>
      <c r="T963" s="25">
        <f>IFERROR(dynamic[profit]/dynamic[revenue], 0)</f>
        <v>0.3603967007</v>
      </c>
    </row>
    <row r="964" ht="15.75" customHeight="1">
      <c r="A964" s="6">
        <v>10612.0</v>
      </c>
      <c r="B964" s="7" t="s">
        <v>60</v>
      </c>
      <c r="C964" s="24" t="str">
        <f>VLOOKUP(dynamic[customerID],customers[],2,FALSE)</f>
        <v>Save-a-lot Markets</v>
      </c>
      <c r="D964" s="24">
        <v>45135.0</v>
      </c>
      <c r="E964" s="6">
        <f>IFERROR(__xludf.DUMMYFUNCTION("COUNTUNIQUEIFS($A$2:$A964,$B$2:$B964,B964)"),10.0)</f>
        <v>10</v>
      </c>
      <c r="F964" s="6">
        <f t="shared" si="1"/>
        <v>6</v>
      </c>
      <c r="G964" s="6" t="str">
        <f>IF(MINIFS(dynamic[orderDate], dynamic[customerID], B964) &gt;= DATE(2024,4,30)-120, 
     "New", 
     IF(MAXIFS(dynamic[orderCount], dynamic[customerID], B964)&lt;=2, 
        IF((DATE(2024,4,30) - MAXIFS(dynamic[orderDate], dynamic[customerID], B964)) &gt; 180, "Non-Returning", "Dormant"), 
        IF(AND(MAX(dynamic[sinceLastOrder]) &gt; 365, (DATE(2024,4,30) - MAXIFS(dynamic[orderDate], dynamic[customerID], B964)) &gt; 180), 
           "Dormant", "Regular")))</f>
        <v>Regular</v>
      </c>
      <c r="H964" s="6">
        <v>49.0</v>
      </c>
      <c r="I964" s="9" t="str">
        <f>VLOOKUP(dynamic[productID],products[],2,FALSE)</f>
        <v>Maxilaku</v>
      </c>
      <c r="J964" s="9" t="str">
        <f>VLOOKUP(dynamic[productID],products[],12,FALSE)</f>
        <v>Confections</v>
      </c>
      <c r="K964" s="7" t="str">
        <f>IF(VLOOKUP(dynamic[productID],products[],7,FALSE)=1,"Discontinued","Current")</f>
        <v>Current</v>
      </c>
      <c r="L964" s="9">
        <f>VLOOKUP(dynamic[productID],products[],IF(YEAR(dynamic[orderDate])=2022,8,IF(YEAR(dynamic[orderDate])=2023,9,IF(YEAR(dynamic[orderDate])=2024,10,NA))),FALSE)</f>
        <v>13.04112285</v>
      </c>
      <c r="M964" s="9">
        <v>20.0</v>
      </c>
      <c r="N964" s="25">
        <f>(dynamic[orderPrice]-dynamic[productCost])/dynamic[productCost]</f>
        <v>0.5336102746</v>
      </c>
      <c r="O964" s="10">
        <v>18.0</v>
      </c>
      <c r="P964" s="25">
        <v>0.0</v>
      </c>
      <c r="Q964" s="9">
        <f>dynamic[orderPrice]*dynamic[orderQuantity]</f>
        <v>360</v>
      </c>
      <c r="R964" s="9">
        <f>dynamic[orderTotal]*(1-dynamic[discountApllied])</f>
        <v>360</v>
      </c>
      <c r="S964" s="9">
        <f>dynamic[revenue]-(dynamic[productCost]*dynamic[orderQuantity])</f>
        <v>125.2597886</v>
      </c>
      <c r="T964" s="25">
        <f>IFERROR(dynamic[profit]/dynamic[revenue], 0)</f>
        <v>0.3479438573</v>
      </c>
    </row>
    <row r="965" ht="15.75" customHeight="1">
      <c r="A965" s="6">
        <v>10612.0</v>
      </c>
      <c r="B965" s="7" t="s">
        <v>60</v>
      </c>
      <c r="C965" s="24" t="str">
        <f>VLOOKUP(dynamic[customerID],customers[],2,FALSE)</f>
        <v>Save-a-lot Markets</v>
      </c>
      <c r="D965" s="24">
        <v>45135.0</v>
      </c>
      <c r="E965" s="6">
        <f>IFERROR(__xludf.DUMMYFUNCTION("COUNTUNIQUEIFS($A$2:$A965,$B$2:$B965,B965)"),10.0)</f>
        <v>10</v>
      </c>
      <c r="F965" s="6">
        <f t="shared" si="1"/>
        <v>6</v>
      </c>
      <c r="G965" s="6" t="str">
        <f>IF(MINIFS(dynamic[orderDate], dynamic[customerID], B965) &gt;= DATE(2024,4,30)-120, 
     "New", 
     IF(MAXIFS(dynamic[orderCount], dynamic[customerID], B965)&lt;=2, 
        IF((DATE(2024,4,30) - MAXIFS(dynamic[orderDate], dynamic[customerID], B965)) &gt; 180, "Non-Returning", "Dormant"), 
        IF(AND(MAX(dynamic[sinceLastOrder]) &gt; 365, (DATE(2024,4,30) - MAXIFS(dynamic[orderDate], dynamic[customerID], B965)) &gt; 180), 
           "Dormant", "Regular")))</f>
        <v>Regular</v>
      </c>
      <c r="H965" s="6">
        <v>60.0</v>
      </c>
      <c r="I965" s="9" t="str">
        <f>VLOOKUP(dynamic[productID],products[],2,FALSE)</f>
        <v>Camembert Pierrot</v>
      </c>
      <c r="J965" s="9" t="str">
        <f>VLOOKUP(dynamic[productID],products[],12,FALSE)</f>
        <v>Dairy Products</v>
      </c>
      <c r="K965" s="7" t="str">
        <f>IF(VLOOKUP(dynamic[productID],products[],7,FALSE)=1,"Discontinued","Current")</f>
        <v>Current</v>
      </c>
      <c r="L965" s="9">
        <f>VLOOKUP(dynamic[productID],products[],IF(YEAR(dynamic[orderDate])=2022,8,IF(YEAR(dynamic[orderDate])=2023,9,IF(YEAR(dynamic[orderDate])=2024,10,NA))),FALSE)</f>
        <v>22.77098295</v>
      </c>
      <c r="M965" s="9">
        <v>34.0</v>
      </c>
      <c r="N965" s="25">
        <f>(dynamic[orderPrice]-dynamic[productCost])/dynamic[productCost]</f>
        <v>0.4931283415</v>
      </c>
      <c r="O965" s="10">
        <v>40.0</v>
      </c>
      <c r="P965" s="25">
        <v>0.0</v>
      </c>
      <c r="Q965" s="9">
        <f>dynamic[orderPrice]*dynamic[orderQuantity]</f>
        <v>1360</v>
      </c>
      <c r="R965" s="9">
        <f>dynamic[orderTotal]*(1-dynamic[discountApllied])</f>
        <v>1360</v>
      </c>
      <c r="S965" s="9">
        <f>dynamic[revenue]-(dynamic[productCost]*dynamic[orderQuantity])</f>
        <v>449.1606822</v>
      </c>
      <c r="T965" s="25">
        <f>IFERROR(dynamic[profit]/dynamic[revenue], 0)</f>
        <v>0.3302652075</v>
      </c>
    </row>
    <row r="966" ht="15.75" customHeight="1">
      <c r="A966" s="6">
        <v>10612.0</v>
      </c>
      <c r="B966" s="7" t="s">
        <v>60</v>
      </c>
      <c r="C966" s="24" t="str">
        <f>VLOOKUP(dynamic[customerID],customers[],2,FALSE)</f>
        <v>Save-a-lot Markets</v>
      </c>
      <c r="D966" s="24">
        <v>45135.0</v>
      </c>
      <c r="E966" s="6">
        <f>IFERROR(__xludf.DUMMYFUNCTION("COUNTUNIQUEIFS($A$2:$A966,$B$2:$B966,B966)"),10.0)</f>
        <v>10</v>
      </c>
      <c r="F966" s="6">
        <f t="shared" si="1"/>
        <v>6</v>
      </c>
      <c r="G966" s="6" t="str">
        <f>IF(MINIFS(dynamic[orderDate], dynamic[customerID], B966) &gt;= DATE(2024,4,30)-120, 
     "New", 
     IF(MAXIFS(dynamic[orderCount], dynamic[customerID], B966)&lt;=2, 
        IF((DATE(2024,4,30) - MAXIFS(dynamic[orderDate], dynamic[customerID], B966)) &gt; 180, "Non-Returning", "Dormant"), 
        IF(AND(MAX(dynamic[sinceLastOrder]) &gt; 365, (DATE(2024,4,30) - MAXIFS(dynamic[orderDate], dynamic[customerID], B966)) &gt; 180), 
           "Dormant", "Regular")))</f>
        <v>Regular</v>
      </c>
      <c r="H966" s="6">
        <v>76.0</v>
      </c>
      <c r="I966" s="9" t="str">
        <f>VLOOKUP(dynamic[productID],products[],2,FALSE)</f>
        <v>Lakkalikööri</v>
      </c>
      <c r="J966" s="9" t="str">
        <f>VLOOKUP(dynamic[productID],products[],12,FALSE)</f>
        <v>Beverages</v>
      </c>
      <c r="K966" s="7" t="str">
        <f>IF(VLOOKUP(dynamic[productID],products[],7,FALSE)=1,"Discontinued","Current")</f>
        <v>Current</v>
      </c>
      <c r="L966" s="9">
        <f>VLOOKUP(dynamic[productID],products[],IF(YEAR(dynamic[orderDate])=2022,8,IF(YEAR(dynamic[orderDate])=2023,9,IF(YEAR(dynamic[orderDate])=2024,10,NA))),FALSE)</f>
        <v>12.1154529</v>
      </c>
      <c r="M966" s="9">
        <v>18.0</v>
      </c>
      <c r="N966" s="25">
        <f>(dynamic[orderPrice]-dynamic[productCost])/dynamic[productCost]</f>
        <v>0.4857059125</v>
      </c>
      <c r="O966" s="10">
        <v>80.0</v>
      </c>
      <c r="P966" s="25">
        <v>0.0</v>
      </c>
      <c r="Q966" s="9">
        <f>dynamic[orderPrice]*dynamic[orderQuantity]</f>
        <v>1440</v>
      </c>
      <c r="R966" s="9">
        <f>dynamic[orderTotal]*(1-dynamic[discountApllied])</f>
        <v>1440</v>
      </c>
      <c r="S966" s="9">
        <f>dynamic[revenue]-(dynamic[productCost]*dynamic[orderQuantity])</f>
        <v>470.7637684</v>
      </c>
      <c r="T966" s="25">
        <f>IFERROR(dynamic[profit]/dynamic[revenue], 0)</f>
        <v>0.3269192836</v>
      </c>
    </row>
    <row r="967" ht="15.75" customHeight="1">
      <c r="A967" s="6">
        <v>10613.0</v>
      </c>
      <c r="B967" s="7" t="s">
        <v>23</v>
      </c>
      <c r="C967" s="24" t="str">
        <f>VLOOKUP(dynamic[customerID],customers[],2,FALSE)</f>
        <v>HILARION-Abastos</v>
      </c>
      <c r="D967" s="24">
        <v>45136.0</v>
      </c>
      <c r="E967" s="6">
        <f>IFERROR(__xludf.DUMMYFUNCTION("COUNTUNIQUEIFS($A$2:$A967,$B$2:$B967,B967)"),9.0)</f>
        <v>9</v>
      </c>
      <c r="F967" s="6">
        <f t="shared" si="1"/>
        <v>13</v>
      </c>
      <c r="G967" s="6" t="str">
        <f>IF(MINIFS(dynamic[orderDate], dynamic[customerID], B967) &gt;= DATE(2024,4,30)-120, 
     "New", 
     IF(MAXIFS(dynamic[orderCount], dynamic[customerID], B967)&lt;=2, 
        IF((DATE(2024,4,30) - MAXIFS(dynamic[orderDate], dynamic[customerID], B967)) &gt; 180, "Non-Returning", "Dormant"), 
        IF(AND(MAX(dynamic[sinceLastOrder]) &gt; 365, (DATE(2024,4,30) - MAXIFS(dynamic[orderDate], dynamic[customerID], B967)) &gt; 180), 
           "Dormant", "Regular")))</f>
        <v>Regular</v>
      </c>
      <c r="H967" s="6">
        <v>13.0</v>
      </c>
      <c r="I967" s="9" t="str">
        <f>VLOOKUP(dynamic[productID],products[],2,FALSE)</f>
        <v>Konbu</v>
      </c>
      <c r="J967" s="9" t="str">
        <f>VLOOKUP(dynamic[productID],products[],12,FALSE)</f>
        <v>Seafood</v>
      </c>
      <c r="K967" s="7" t="str">
        <f>IF(VLOOKUP(dynamic[productID],products[],7,FALSE)=1,"Discontinued","Current")</f>
        <v>Current</v>
      </c>
      <c r="L967" s="9">
        <f>VLOOKUP(dynamic[productID],products[],IF(YEAR(dynamic[orderDate])=2022,8,IF(YEAR(dynamic[orderDate])=2023,9,IF(YEAR(dynamic[orderDate])=2024,10,NA))),FALSE)</f>
        <v>3.865774949</v>
      </c>
      <c r="M967" s="9">
        <v>6.0</v>
      </c>
      <c r="N967" s="25">
        <f>(dynamic[orderPrice]-dynamic[productCost])/dynamic[productCost]</f>
        <v>0.5520820739</v>
      </c>
      <c r="O967" s="10">
        <v>8.0</v>
      </c>
      <c r="P967" s="25">
        <v>0.1</v>
      </c>
      <c r="Q967" s="9">
        <f>dynamic[orderPrice]*dynamic[orderQuantity]</f>
        <v>48</v>
      </c>
      <c r="R967" s="9">
        <f>dynamic[orderTotal]*(1-dynamic[discountApllied])</f>
        <v>43.2</v>
      </c>
      <c r="S967" s="9">
        <f>dynamic[revenue]-(dynamic[productCost]*dynamic[orderQuantity])</f>
        <v>12.27380041</v>
      </c>
      <c r="T967" s="25">
        <f>IFERROR(dynamic[profit]/dynamic[revenue], 0)</f>
        <v>0.2841157502</v>
      </c>
    </row>
    <row r="968" ht="15.75" customHeight="1">
      <c r="A968" s="6">
        <v>10613.0</v>
      </c>
      <c r="B968" s="7" t="s">
        <v>23</v>
      </c>
      <c r="C968" s="24" t="str">
        <f>VLOOKUP(dynamic[customerID],customers[],2,FALSE)</f>
        <v>HILARION-Abastos</v>
      </c>
      <c r="D968" s="24">
        <v>45136.0</v>
      </c>
      <c r="E968" s="6">
        <f>IFERROR(__xludf.DUMMYFUNCTION("COUNTUNIQUEIFS($A$2:$A968,$B$2:$B968,B968)"),9.0)</f>
        <v>9</v>
      </c>
      <c r="F968" s="6">
        <f t="shared" si="1"/>
        <v>13</v>
      </c>
      <c r="G968" s="6" t="str">
        <f>IF(MINIFS(dynamic[orderDate], dynamic[customerID], B968) &gt;= DATE(2024,4,30)-120, 
     "New", 
     IF(MAXIFS(dynamic[orderCount], dynamic[customerID], B968)&lt;=2, 
        IF((DATE(2024,4,30) - MAXIFS(dynamic[orderDate], dynamic[customerID], B968)) &gt; 180, "Non-Returning", "Dormant"), 
        IF(AND(MAX(dynamic[sinceLastOrder]) &gt; 365, (DATE(2024,4,30) - MAXIFS(dynamic[orderDate], dynamic[customerID], B968)) &gt; 180), 
           "Dormant", "Regular")))</f>
        <v>Regular</v>
      </c>
      <c r="H968" s="6">
        <v>75.0</v>
      </c>
      <c r="I968" s="9" t="str">
        <f>VLOOKUP(dynamic[productID],products[],2,FALSE)</f>
        <v>Rhönbräu Klosterbier</v>
      </c>
      <c r="J968" s="9" t="str">
        <f>VLOOKUP(dynamic[productID],products[],12,FALSE)</f>
        <v>Beverages</v>
      </c>
      <c r="K968" s="7" t="str">
        <f>IF(VLOOKUP(dynamic[productID],products[],7,FALSE)=1,"Discontinued","Current")</f>
        <v>Current</v>
      </c>
      <c r="L968" s="9">
        <f>VLOOKUP(dynamic[productID],products[],IF(YEAR(dynamic[orderDate])=2022,8,IF(YEAR(dynamic[orderDate])=2023,9,IF(YEAR(dynamic[orderDate])=2024,10,NA))),FALSE)</f>
        <v>5.355290472</v>
      </c>
      <c r="M968" s="9">
        <v>7.75</v>
      </c>
      <c r="N968" s="25">
        <f>(dynamic[orderPrice]-dynamic[productCost])/dynamic[productCost]</f>
        <v>0.4471670661</v>
      </c>
      <c r="O968" s="10">
        <v>40.0</v>
      </c>
      <c r="P968" s="25">
        <v>0.0</v>
      </c>
      <c r="Q968" s="9">
        <f>dynamic[orderPrice]*dynamic[orderQuantity]</f>
        <v>310</v>
      </c>
      <c r="R968" s="9">
        <f>dynamic[orderTotal]*(1-dynamic[discountApllied])</f>
        <v>310</v>
      </c>
      <c r="S968" s="9">
        <f>dynamic[revenue]-(dynamic[productCost]*dynamic[orderQuantity])</f>
        <v>95.78838113</v>
      </c>
      <c r="T968" s="25">
        <f>IFERROR(dynamic[profit]/dynamic[revenue], 0)</f>
        <v>0.3089947778</v>
      </c>
    </row>
    <row r="969" ht="15.75" customHeight="1">
      <c r="A969" s="6">
        <v>10614.0</v>
      </c>
      <c r="B969" s="7" t="s">
        <v>91</v>
      </c>
      <c r="C969" s="24" t="str">
        <f>VLOOKUP(dynamic[customerID],customers[],2,FALSE)</f>
        <v>Blauer See Delikatessen</v>
      </c>
      <c r="D969" s="24">
        <v>45136.0</v>
      </c>
      <c r="E969" s="6">
        <f>IFERROR(__xludf.DUMMYFUNCTION("COUNTUNIQUEIFS($A$2:$A969,$B$2:$B969,B969)"),4.0)</f>
        <v>4</v>
      </c>
      <c r="F969" s="6">
        <f t="shared" si="1"/>
        <v>32</v>
      </c>
      <c r="G969" s="6" t="str">
        <f>IF(MINIFS(dynamic[orderDate], dynamic[customerID], B969) &gt;= DATE(2024,4,30)-120, 
     "New", 
     IF(MAXIFS(dynamic[orderCount], dynamic[customerID], B969)&lt;=2, 
        IF((DATE(2024,4,30) - MAXIFS(dynamic[orderDate], dynamic[customerID], B969)) &gt; 180, "Non-Returning", "Dormant"), 
        IF(AND(MAX(dynamic[sinceLastOrder]) &gt; 365, (DATE(2024,4,30) - MAXIFS(dynamic[orderDate], dynamic[customerID], B969)) &gt; 180), 
           "Dormant", "Regular")))</f>
        <v>Regular</v>
      </c>
      <c r="H969" s="6">
        <v>11.0</v>
      </c>
      <c r="I969" s="9" t="str">
        <f>VLOOKUP(dynamic[productID],products[],2,FALSE)</f>
        <v>Queso Cabrales</v>
      </c>
      <c r="J969" s="9" t="str">
        <f>VLOOKUP(dynamic[productID],products[],12,FALSE)</f>
        <v>Dairy Products</v>
      </c>
      <c r="K969" s="7" t="str">
        <f>IF(VLOOKUP(dynamic[productID],products[],7,FALSE)=1,"Discontinued","Current")</f>
        <v>Current</v>
      </c>
      <c r="L969" s="9">
        <f>VLOOKUP(dynamic[productID],products[],IF(YEAR(dynamic[orderDate])=2022,8,IF(YEAR(dynamic[orderDate])=2023,9,IF(YEAR(dynamic[orderDate])=2024,10,NA))),FALSE)</f>
        <v>12.90188125</v>
      </c>
      <c r="M969" s="9">
        <v>21.0</v>
      </c>
      <c r="N969" s="25">
        <f>(dynamic[orderPrice]-dynamic[productCost])/dynamic[productCost]</f>
        <v>0.6276696079</v>
      </c>
      <c r="O969" s="10">
        <v>14.0</v>
      </c>
      <c r="P969" s="25">
        <v>0.0</v>
      </c>
      <c r="Q969" s="9">
        <f>dynamic[orderPrice]*dynamic[orderQuantity]</f>
        <v>294</v>
      </c>
      <c r="R969" s="9">
        <f>dynamic[orderTotal]*(1-dynamic[discountApllied])</f>
        <v>294</v>
      </c>
      <c r="S969" s="9">
        <f>dynamic[revenue]-(dynamic[productCost]*dynamic[orderQuantity])</f>
        <v>113.3736625</v>
      </c>
      <c r="T969" s="25">
        <f>IFERROR(dynamic[profit]/dynamic[revenue], 0)</f>
        <v>0.3856247023</v>
      </c>
    </row>
    <row r="970" ht="15.75" customHeight="1">
      <c r="A970" s="6">
        <v>10614.0</v>
      </c>
      <c r="B970" s="7" t="s">
        <v>91</v>
      </c>
      <c r="C970" s="24" t="str">
        <f>VLOOKUP(dynamic[customerID],customers[],2,FALSE)</f>
        <v>Blauer See Delikatessen</v>
      </c>
      <c r="D970" s="24">
        <v>45136.0</v>
      </c>
      <c r="E970" s="6">
        <f>IFERROR(__xludf.DUMMYFUNCTION("COUNTUNIQUEIFS($A$2:$A970,$B$2:$B970,B970)"),4.0)</f>
        <v>4</v>
      </c>
      <c r="F970" s="6">
        <f t="shared" si="1"/>
        <v>32</v>
      </c>
      <c r="G970" s="6" t="str">
        <f>IF(MINIFS(dynamic[orderDate], dynamic[customerID], B970) &gt;= DATE(2024,4,30)-120, 
     "New", 
     IF(MAXIFS(dynamic[orderCount], dynamic[customerID], B970)&lt;=2, 
        IF((DATE(2024,4,30) - MAXIFS(dynamic[orderDate], dynamic[customerID], B970)) &gt; 180, "Non-Returning", "Dormant"), 
        IF(AND(MAX(dynamic[sinceLastOrder]) &gt; 365, (DATE(2024,4,30) - MAXIFS(dynamic[orderDate], dynamic[customerID], B970)) &gt; 180), 
           "Dormant", "Regular")))</f>
        <v>Regular</v>
      </c>
      <c r="H970" s="6">
        <v>21.0</v>
      </c>
      <c r="I970" s="9" t="str">
        <f>VLOOKUP(dynamic[productID],products[],2,FALSE)</f>
        <v>Sir Rodney's Scones</v>
      </c>
      <c r="J970" s="9" t="str">
        <f>VLOOKUP(dynamic[productID],products[],12,FALSE)</f>
        <v>Confections</v>
      </c>
      <c r="K970" s="7" t="str">
        <f>IF(VLOOKUP(dynamic[productID],products[],7,FALSE)=1,"Discontinued","Current")</f>
        <v>Current</v>
      </c>
      <c r="L970" s="9">
        <f>VLOOKUP(dynamic[productID],products[],IF(YEAR(dynamic[orderDate])=2022,8,IF(YEAR(dynamic[orderDate])=2023,9,IF(YEAR(dynamic[orderDate])=2024,10,NA))),FALSE)</f>
        <v>6.725636111</v>
      </c>
      <c r="M970" s="9">
        <v>10.0</v>
      </c>
      <c r="N970" s="25">
        <f>(dynamic[orderPrice]-dynamic[productCost])/dynamic[productCost]</f>
        <v>0.486848208</v>
      </c>
      <c r="O970" s="10">
        <v>8.0</v>
      </c>
      <c r="P970" s="25">
        <v>0.0</v>
      </c>
      <c r="Q970" s="9">
        <f>dynamic[orderPrice]*dynamic[orderQuantity]</f>
        <v>80</v>
      </c>
      <c r="R970" s="9">
        <f>dynamic[orderTotal]*(1-dynamic[discountApllied])</f>
        <v>80</v>
      </c>
      <c r="S970" s="9">
        <f>dynamic[revenue]-(dynamic[productCost]*dynamic[orderQuantity])</f>
        <v>26.19491111</v>
      </c>
      <c r="T970" s="25">
        <f>IFERROR(dynamic[profit]/dynamic[revenue], 0)</f>
        <v>0.3274363889</v>
      </c>
    </row>
    <row r="971" ht="15.75" customHeight="1">
      <c r="A971" s="6">
        <v>10614.0</v>
      </c>
      <c r="B971" s="7" t="s">
        <v>91</v>
      </c>
      <c r="C971" s="24" t="str">
        <f>VLOOKUP(dynamic[customerID],customers[],2,FALSE)</f>
        <v>Blauer See Delikatessen</v>
      </c>
      <c r="D971" s="24">
        <v>45136.0</v>
      </c>
      <c r="E971" s="6">
        <f>IFERROR(__xludf.DUMMYFUNCTION("COUNTUNIQUEIFS($A$2:$A971,$B$2:$B971,B971)"),4.0)</f>
        <v>4</v>
      </c>
      <c r="F971" s="6">
        <f t="shared" si="1"/>
        <v>32</v>
      </c>
      <c r="G971" s="6" t="str">
        <f>IF(MINIFS(dynamic[orderDate], dynamic[customerID], B971) &gt;= DATE(2024,4,30)-120, 
     "New", 
     IF(MAXIFS(dynamic[orderCount], dynamic[customerID], B971)&lt;=2, 
        IF((DATE(2024,4,30) - MAXIFS(dynamic[orderDate], dynamic[customerID], B971)) &gt; 180, "Non-Returning", "Dormant"), 
        IF(AND(MAX(dynamic[sinceLastOrder]) &gt; 365, (DATE(2024,4,30) - MAXIFS(dynamic[orderDate], dynamic[customerID], B971)) &gt; 180), 
           "Dormant", "Regular")))</f>
        <v>Regular</v>
      </c>
      <c r="H971" s="6">
        <v>39.0</v>
      </c>
      <c r="I971" s="9" t="str">
        <f>VLOOKUP(dynamic[productID],products[],2,FALSE)</f>
        <v>Chartreuse verte</v>
      </c>
      <c r="J971" s="9" t="str">
        <f>VLOOKUP(dynamic[productID],products[],12,FALSE)</f>
        <v>Beverages</v>
      </c>
      <c r="K971" s="7" t="str">
        <f>IF(VLOOKUP(dynamic[productID],products[],7,FALSE)=1,"Discontinued","Current")</f>
        <v>Current</v>
      </c>
      <c r="L971" s="9">
        <f>VLOOKUP(dynamic[productID],products[],IF(YEAR(dynamic[orderDate])=2022,8,IF(YEAR(dynamic[orderDate])=2023,9,IF(YEAR(dynamic[orderDate])=2024,10,NA))),FALSE)</f>
        <v>11.73311441</v>
      </c>
      <c r="M971" s="9">
        <v>18.0</v>
      </c>
      <c r="N971" s="25">
        <f>(dynamic[orderPrice]-dynamic[productCost])/dynamic[productCost]</f>
        <v>0.5341195326</v>
      </c>
      <c r="O971" s="10">
        <v>5.0</v>
      </c>
      <c r="P971" s="25">
        <v>0.0</v>
      </c>
      <c r="Q971" s="9">
        <f>dynamic[orderPrice]*dynamic[orderQuantity]</f>
        <v>90</v>
      </c>
      <c r="R971" s="9">
        <f>dynamic[orderTotal]*(1-dynamic[discountApllied])</f>
        <v>90</v>
      </c>
      <c r="S971" s="9">
        <f>dynamic[revenue]-(dynamic[productCost]*dynamic[orderQuantity])</f>
        <v>31.33442793</v>
      </c>
      <c r="T971" s="25">
        <f>IFERROR(dynamic[profit]/dynamic[revenue], 0)</f>
        <v>0.3481603104</v>
      </c>
    </row>
    <row r="972" ht="15.75" customHeight="1">
      <c r="A972" s="6">
        <v>10615.0</v>
      </c>
      <c r="B972" s="7" t="s">
        <v>98</v>
      </c>
      <c r="C972" s="24" t="str">
        <f>VLOOKUP(dynamic[customerID],customers[],2,FALSE)</f>
        <v>Wilman Kala</v>
      </c>
      <c r="D972" s="24">
        <v>45137.0</v>
      </c>
      <c r="E972" s="6">
        <f>IFERROR(__xludf.DUMMYFUNCTION("COUNTUNIQUEIFS($A$2:$A972,$B$2:$B972,B972)"),1.0)</f>
        <v>1</v>
      </c>
      <c r="F972" s="6">
        <f t="shared" si="1"/>
        <v>0</v>
      </c>
      <c r="G972" s="6" t="str">
        <f>IF(MINIFS(dynamic[orderDate], dynamic[customerID], B972) &gt;= DATE(2024,4,30)-120, 
     "New", 
     IF(MAXIFS(dynamic[orderCount], dynamic[customerID], B972)&lt;=2, 
        IF((DATE(2024,4,30) - MAXIFS(dynamic[orderDate], dynamic[customerID], B972)) &gt; 180, "Non-Returning", "Dormant"), 
        IF(AND(MAX(dynamic[sinceLastOrder]) &gt; 365, (DATE(2024,4,30) - MAXIFS(dynamic[orderDate], dynamic[customerID], B972)) &gt; 180), 
           "Dormant", "Regular")))</f>
        <v>Regular</v>
      </c>
      <c r="H972" s="6">
        <v>55.0</v>
      </c>
      <c r="I972" s="9" t="str">
        <f>VLOOKUP(dynamic[productID],products[],2,FALSE)</f>
        <v>Pâté chinois</v>
      </c>
      <c r="J972" s="9" t="str">
        <f>VLOOKUP(dynamic[productID],products[],12,FALSE)</f>
        <v>Meat/Poultry</v>
      </c>
      <c r="K972" s="7" t="str">
        <f>IF(VLOOKUP(dynamic[productID],products[],7,FALSE)=1,"Discontinued","Current")</f>
        <v>Current</v>
      </c>
      <c r="L972" s="9">
        <f>VLOOKUP(dynamic[productID],products[],IF(YEAR(dynamic[orderDate])=2022,8,IF(YEAR(dynamic[orderDate])=2023,9,IF(YEAR(dynamic[orderDate])=2024,10,NA))),FALSE)</f>
        <v>14.92398776</v>
      </c>
      <c r="M972" s="9">
        <v>24.0</v>
      </c>
      <c r="N972" s="25">
        <f>(dynamic[orderPrice]-dynamic[productCost])/dynamic[productCost]</f>
        <v>0.6081492681</v>
      </c>
      <c r="O972" s="10">
        <v>5.0</v>
      </c>
      <c r="P972" s="25">
        <v>0.0</v>
      </c>
      <c r="Q972" s="9">
        <f>dynamic[orderPrice]*dynamic[orderQuantity]</f>
        <v>120</v>
      </c>
      <c r="R972" s="9">
        <f>dynamic[orderTotal]*(1-dynamic[discountApllied])</f>
        <v>120</v>
      </c>
      <c r="S972" s="9">
        <f>dynamic[revenue]-(dynamic[productCost]*dynamic[orderQuantity])</f>
        <v>45.38006118</v>
      </c>
      <c r="T972" s="25">
        <f>IFERROR(dynamic[profit]/dynamic[revenue], 0)</f>
        <v>0.3781671765</v>
      </c>
    </row>
    <row r="973" ht="15.75" customHeight="1">
      <c r="A973" s="6">
        <v>10616.0</v>
      </c>
      <c r="B973" s="7" t="s">
        <v>94</v>
      </c>
      <c r="C973" s="24" t="str">
        <f>VLOOKUP(dynamic[customerID],customers[],2,FALSE)</f>
        <v>Great Lakes Food Market</v>
      </c>
      <c r="D973" s="24">
        <v>45138.0</v>
      </c>
      <c r="E973" s="6">
        <f>IFERROR(__xludf.DUMMYFUNCTION("COUNTUNIQUEIFS($A$2:$A973,$B$2:$B973,B973)"),3.0)</f>
        <v>3</v>
      </c>
      <c r="F973" s="6">
        <f t="shared" si="1"/>
        <v>27</v>
      </c>
      <c r="G973" s="6" t="str">
        <f>IF(MINIFS(dynamic[orderDate], dynamic[customerID], B973) &gt;= DATE(2024,4,30)-120, 
     "New", 
     IF(MAXIFS(dynamic[orderCount], dynamic[customerID], B973)&lt;=2, 
        IF((DATE(2024,4,30) - MAXIFS(dynamic[orderDate], dynamic[customerID], B973)) &gt; 180, "Non-Returning", "Dormant"), 
        IF(AND(MAX(dynamic[sinceLastOrder]) &gt; 365, (DATE(2024,4,30) - MAXIFS(dynamic[orderDate], dynamic[customerID], B973)) &gt; 180), 
           "Dormant", "Regular")))</f>
        <v>Regular</v>
      </c>
      <c r="H973" s="6">
        <v>38.0</v>
      </c>
      <c r="I973" s="9" t="str">
        <f>VLOOKUP(dynamic[productID],products[],2,FALSE)</f>
        <v>Côte de Blaye</v>
      </c>
      <c r="J973" s="9" t="str">
        <f>VLOOKUP(dynamic[productID],products[],12,FALSE)</f>
        <v>Beverages</v>
      </c>
      <c r="K973" s="7" t="str">
        <f>IF(VLOOKUP(dynamic[productID],products[],7,FALSE)=1,"Discontinued","Current")</f>
        <v>Current</v>
      </c>
      <c r="L973" s="9">
        <f>VLOOKUP(dynamic[productID],products[],IF(YEAR(dynamic[orderDate])=2022,8,IF(YEAR(dynamic[orderDate])=2023,9,IF(YEAR(dynamic[orderDate])=2024,10,NA))),FALSE)</f>
        <v>175.9515711</v>
      </c>
      <c r="M973" s="9">
        <v>263.5</v>
      </c>
      <c r="N973" s="25">
        <f>(dynamic[orderPrice]-dynamic[productCost])/dynamic[productCost]</f>
        <v>0.4975711688</v>
      </c>
      <c r="O973" s="10">
        <v>15.0</v>
      </c>
      <c r="P973" s="25">
        <v>0.05</v>
      </c>
      <c r="Q973" s="9">
        <f>dynamic[orderPrice]*dynamic[orderQuantity]</f>
        <v>3952.5</v>
      </c>
      <c r="R973" s="9">
        <f>dynamic[orderTotal]*(1-dynamic[discountApllied])</f>
        <v>3754.875</v>
      </c>
      <c r="S973" s="9">
        <f>dynamic[revenue]-(dynamic[productCost]*dynamic[orderQuantity])</f>
        <v>1115.601433</v>
      </c>
      <c r="T973" s="25">
        <f>IFERROR(dynamic[profit]/dynamic[revenue], 0)</f>
        <v>0.2971074759</v>
      </c>
    </row>
    <row r="974" ht="15.75" customHeight="1">
      <c r="A974" s="6">
        <v>10616.0</v>
      </c>
      <c r="B974" s="7" t="s">
        <v>94</v>
      </c>
      <c r="C974" s="24" t="str">
        <f>VLOOKUP(dynamic[customerID],customers[],2,FALSE)</f>
        <v>Great Lakes Food Market</v>
      </c>
      <c r="D974" s="24">
        <v>45138.0</v>
      </c>
      <c r="E974" s="6">
        <f>IFERROR(__xludf.DUMMYFUNCTION("COUNTUNIQUEIFS($A$2:$A974,$B$2:$B974,B974)"),3.0)</f>
        <v>3</v>
      </c>
      <c r="F974" s="6">
        <f t="shared" si="1"/>
        <v>27</v>
      </c>
      <c r="G974" s="6" t="str">
        <f>IF(MINIFS(dynamic[orderDate], dynamic[customerID], B974) &gt;= DATE(2024,4,30)-120, 
     "New", 
     IF(MAXIFS(dynamic[orderCount], dynamic[customerID], B974)&lt;=2, 
        IF((DATE(2024,4,30) - MAXIFS(dynamic[orderDate], dynamic[customerID], B974)) &gt; 180, "Non-Returning", "Dormant"), 
        IF(AND(MAX(dynamic[sinceLastOrder]) &gt; 365, (DATE(2024,4,30) - MAXIFS(dynamic[orderDate], dynamic[customerID], B974)) &gt; 180), 
           "Dormant", "Regular")))</f>
        <v>Regular</v>
      </c>
      <c r="H974" s="6">
        <v>56.0</v>
      </c>
      <c r="I974" s="9" t="str">
        <f>VLOOKUP(dynamic[productID],products[],2,FALSE)</f>
        <v>Gnocchi di nonna Alice</v>
      </c>
      <c r="J974" s="9" t="str">
        <f>VLOOKUP(dynamic[productID],products[],12,FALSE)</f>
        <v>Grains/Cereals</v>
      </c>
      <c r="K974" s="7" t="str">
        <f>IF(VLOOKUP(dynamic[productID],products[],7,FALSE)=1,"Discontinued","Current")</f>
        <v>Current</v>
      </c>
      <c r="L974" s="9">
        <f>VLOOKUP(dynamic[productID],products[],IF(YEAR(dynamic[orderDate])=2022,8,IF(YEAR(dynamic[orderDate])=2023,9,IF(YEAR(dynamic[orderDate])=2024,10,NA))),FALSE)</f>
        <v>24.28342441</v>
      </c>
      <c r="M974" s="9">
        <v>38.0</v>
      </c>
      <c r="N974" s="25">
        <f>(dynamic[orderPrice]-dynamic[productCost])/dynamic[productCost]</f>
        <v>0.5648534309</v>
      </c>
      <c r="O974" s="10">
        <v>14.0</v>
      </c>
      <c r="P974" s="25">
        <v>0.0</v>
      </c>
      <c r="Q974" s="9">
        <f>dynamic[orderPrice]*dynamic[orderQuantity]</f>
        <v>532</v>
      </c>
      <c r="R974" s="9">
        <f>dynamic[orderTotal]*(1-dynamic[discountApllied])</f>
        <v>532</v>
      </c>
      <c r="S974" s="9">
        <f>dynamic[revenue]-(dynamic[productCost]*dynamic[orderQuantity])</f>
        <v>192.0320583</v>
      </c>
      <c r="T974" s="25">
        <f>IFERROR(dynamic[profit]/dynamic[revenue], 0)</f>
        <v>0.3609625156</v>
      </c>
    </row>
    <row r="975" ht="15.75" customHeight="1">
      <c r="A975" s="6">
        <v>10616.0</v>
      </c>
      <c r="B975" s="7" t="s">
        <v>94</v>
      </c>
      <c r="C975" s="24" t="str">
        <f>VLOOKUP(dynamic[customerID],customers[],2,FALSE)</f>
        <v>Great Lakes Food Market</v>
      </c>
      <c r="D975" s="24">
        <v>45138.0</v>
      </c>
      <c r="E975" s="6">
        <f>IFERROR(__xludf.DUMMYFUNCTION("COUNTUNIQUEIFS($A$2:$A975,$B$2:$B975,B975)"),3.0)</f>
        <v>3</v>
      </c>
      <c r="F975" s="6">
        <f t="shared" si="1"/>
        <v>27</v>
      </c>
      <c r="G975" s="6" t="str">
        <f>IF(MINIFS(dynamic[orderDate], dynamic[customerID], B975) &gt;= DATE(2024,4,30)-120, 
     "New", 
     IF(MAXIFS(dynamic[orderCount], dynamic[customerID], B975)&lt;=2, 
        IF((DATE(2024,4,30) - MAXIFS(dynamic[orderDate], dynamic[customerID], B975)) &gt; 180, "Non-Returning", "Dormant"), 
        IF(AND(MAX(dynamic[sinceLastOrder]) &gt; 365, (DATE(2024,4,30) - MAXIFS(dynamic[orderDate], dynamic[customerID], B975)) &gt; 180), 
           "Dormant", "Regular")))</f>
        <v>Regular</v>
      </c>
      <c r="H975" s="6">
        <v>70.0</v>
      </c>
      <c r="I975" s="9" t="str">
        <f>VLOOKUP(dynamic[productID],products[],2,FALSE)</f>
        <v>Outback Lager</v>
      </c>
      <c r="J975" s="9" t="str">
        <f>VLOOKUP(dynamic[productID],products[],12,FALSE)</f>
        <v>Beverages</v>
      </c>
      <c r="K975" s="7" t="str">
        <f>IF(VLOOKUP(dynamic[productID],products[],7,FALSE)=1,"Discontinued","Current")</f>
        <v>Current</v>
      </c>
      <c r="L975" s="9">
        <f>VLOOKUP(dynamic[productID],products[],IF(YEAR(dynamic[orderDate])=2022,8,IF(YEAR(dynamic[orderDate])=2023,9,IF(YEAR(dynamic[orderDate])=2024,10,NA))),FALSE)</f>
        <v>9.793094091</v>
      </c>
      <c r="M975" s="9">
        <v>15.0</v>
      </c>
      <c r="N975" s="25">
        <f>(dynamic[orderPrice]-dynamic[productCost])/dynamic[productCost]</f>
        <v>0.5316916044</v>
      </c>
      <c r="O975" s="10">
        <v>15.0</v>
      </c>
      <c r="P975" s="25">
        <v>0.05</v>
      </c>
      <c r="Q975" s="9">
        <f>dynamic[orderPrice]*dynamic[orderQuantity]</f>
        <v>225</v>
      </c>
      <c r="R975" s="9">
        <f>dynamic[orderTotal]*(1-dynamic[discountApllied])</f>
        <v>213.75</v>
      </c>
      <c r="S975" s="9">
        <f>dynamic[revenue]-(dynamic[productCost]*dynamic[orderQuantity])</f>
        <v>66.85358863</v>
      </c>
      <c r="T975" s="25">
        <f>IFERROR(dynamic[profit]/dynamic[revenue], 0)</f>
        <v>0.3127653269</v>
      </c>
    </row>
    <row r="976" ht="15.75" customHeight="1">
      <c r="A976" s="6">
        <v>10616.0</v>
      </c>
      <c r="B976" s="7" t="s">
        <v>94</v>
      </c>
      <c r="C976" s="24" t="str">
        <f>VLOOKUP(dynamic[customerID],customers[],2,FALSE)</f>
        <v>Great Lakes Food Market</v>
      </c>
      <c r="D976" s="24">
        <v>45138.0</v>
      </c>
      <c r="E976" s="6">
        <f>IFERROR(__xludf.DUMMYFUNCTION("COUNTUNIQUEIFS($A$2:$A976,$B$2:$B976,B976)"),3.0)</f>
        <v>3</v>
      </c>
      <c r="F976" s="6">
        <f t="shared" si="1"/>
        <v>27</v>
      </c>
      <c r="G976" s="6" t="str">
        <f>IF(MINIFS(dynamic[orderDate], dynamic[customerID], B976) &gt;= DATE(2024,4,30)-120, 
     "New", 
     IF(MAXIFS(dynamic[orderCount], dynamic[customerID], B976)&lt;=2, 
        IF((DATE(2024,4,30) - MAXIFS(dynamic[orderDate], dynamic[customerID], B976)) &gt; 180, "Non-Returning", "Dormant"), 
        IF(AND(MAX(dynamic[sinceLastOrder]) &gt; 365, (DATE(2024,4,30) - MAXIFS(dynamic[orderDate], dynamic[customerID], B976)) &gt; 180), 
           "Dormant", "Regular")))</f>
        <v>Regular</v>
      </c>
      <c r="H976" s="6">
        <v>71.0</v>
      </c>
      <c r="I976" s="9" t="str">
        <f>VLOOKUP(dynamic[productID],products[],2,FALSE)</f>
        <v>Flotemysost</v>
      </c>
      <c r="J976" s="9" t="str">
        <f>VLOOKUP(dynamic[productID],products[],12,FALSE)</f>
        <v>Dairy Products</v>
      </c>
      <c r="K976" s="7" t="str">
        <f>IF(VLOOKUP(dynamic[productID],products[],7,FALSE)=1,"Discontinued","Current")</f>
        <v>Current</v>
      </c>
      <c r="L976" s="9">
        <f>VLOOKUP(dynamic[productID],products[],IF(YEAR(dynamic[orderDate])=2022,8,IF(YEAR(dynamic[orderDate])=2023,9,IF(YEAR(dynamic[orderDate])=2024,10,NA))),FALSE)</f>
        <v>13.4003664</v>
      </c>
      <c r="M976" s="9">
        <v>21.5</v>
      </c>
      <c r="N976" s="25">
        <f>(dynamic[orderPrice]-dynamic[productCost])/dynamic[productCost]</f>
        <v>0.6044337411</v>
      </c>
      <c r="O976" s="10">
        <v>15.0</v>
      </c>
      <c r="P976" s="25">
        <v>0.05</v>
      </c>
      <c r="Q976" s="9">
        <f>dynamic[orderPrice]*dynamic[orderQuantity]</f>
        <v>322.5</v>
      </c>
      <c r="R976" s="9">
        <f>dynamic[orderTotal]*(1-dynamic[discountApllied])</f>
        <v>306.375</v>
      </c>
      <c r="S976" s="9">
        <f>dynamic[revenue]-(dynamic[productCost]*dynamic[orderQuantity])</f>
        <v>105.369504</v>
      </c>
      <c r="T976" s="25">
        <f>IFERROR(dynamic[profit]/dynamic[revenue], 0)</f>
        <v>0.3439233095</v>
      </c>
    </row>
    <row r="977" ht="15.75" customHeight="1">
      <c r="A977" s="6">
        <v>10617.0</v>
      </c>
      <c r="B977" s="7" t="s">
        <v>94</v>
      </c>
      <c r="C977" s="24" t="str">
        <f>VLOOKUP(dynamic[customerID],customers[],2,FALSE)</f>
        <v>Great Lakes Food Market</v>
      </c>
      <c r="D977" s="24">
        <v>45138.0</v>
      </c>
      <c r="E977" s="6">
        <f>IFERROR(__xludf.DUMMYFUNCTION("COUNTUNIQUEIFS($A$2:$A977,$B$2:$B977,B977)"),4.0)</f>
        <v>4</v>
      </c>
      <c r="F977" s="6">
        <f t="shared" si="1"/>
        <v>0</v>
      </c>
      <c r="G977" s="6" t="str">
        <f>IF(MINIFS(dynamic[orderDate], dynamic[customerID], B977) &gt;= DATE(2024,4,30)-120, 
     "New", 
     IF(MAXIFS(dynamic[orderCount], dynamic[customerID], B977)&lt;=2, 
        IF((DATE(2024,4,30) - MAXIFS(dynamic[orderDate], dynamic[customerID], B977)) &gt; 180, "Non-Returning", "Dormant"), 
        IF(AND(MAX(dynamic[sinceLastOrder]) &gt; 365, (DATE(2024,4,30) - MAXIFS(dynamic[orderDate], dynamic[customerID], B977)) &gt; 180), 
           "Dormant", "Regular")))</f>
        <v>Regular</v>
      </c>
      <c r="H977" s="6">
        <v>59.0</v>
      </c>
      <c r="I977" s="9" t="str">
        <f>VLOOKUP(dynamic[productID],products[],2,FALSE)</f>
        <v>Raclette Courdavault</v>
      </c>
      <c r="J977" s="9" t="str">
        <f>VLOOKUP(dynamic[productID],products[],12,FALSE)</f>
        <v>Dairy Products</v>
      </c>
      <c r="K977" s="7" t="str">
        <f>IF(VLOOKUP(dynamic[productID],products[],7,FALSE)=1,"Discontinued","Current")</f>
        <v>Current</v>
      </c>
      <c r="L977" s="9">
        <f>VLOOKUP(dynamic[productID],products[],IF(YEAR(dynamic[orderDate])=2022,8,IF(YEAR(dynamic[orderDate])=2023,9,IF(YEAR(dynamic[orderDate])=2024,10,NA))),FALSE)</f>
        <v>35.20472566</v>
      </c>
      <c r="M977" s="9">
        <v>55.0</v>
      </c>
      <c r="N977" s="25">
        <f>(dynamic[orderPrice]-dynamic[productCost])/dynamic[productCost]</f>
        <v>0.5622902598</v>
      </c>
      <c r="O977" s="10">
        <v>30.0</v>
      </c>
      <c r="P977" s="25">
        <v>0.15</v>
      </c>
      <c r="Q977" s="9">
        <f>dynamic[orderPrice]*dynamic[orderQuantity]</f>
        <v>1650</v>
      </c>
      <c r="R977" s="9">
        <f>dynamic[orderTotal]*(1-dynamic[discountApllied])</f>
        <v>1402.5</v>
      </c>
      <c r="S977" s="9">
        <f>dynamic[revenue]-(dynamic[productCost]*dynamic[orderQuantity])</f>
        <v>346.3582302</v>
      </c>
      <c r="T977" s="25">
        <f>IFERROR(dynamic[profit]/dynamic[revenue], 0)</f>
        <v>0.2469577399</v>
      </c>
    </row>
    <row r="978" ht="15.75" customHeight="1">
      <c r="A978" s="6">
        <v>10618.0</v>
      </c>
      <c r="B978" s="7" t="s">
        <v>64</v>
      </c>
      <c r="C978" s="24" t="str">
        <f>VLOOKUP(dynamic[customerID],customers[],2,FALSE)</f>
        <v>Mère Paillarde</v>
      </c>
      <c r="D978" s="24">
        <v>45139.0</v>
      </c>
      <c r="E978" s="6">
        <f>IFERROR(__xludf.DUMMYFUNCTION("COUNTUNIQUEIFS($A$2:$A978,$B$2:$B978,B978)"),11.0)</f>
        <v>11</v>
      </c>
      <c r="F978" s="6">
        <f t="shared" si="1"/>
        <v>11</v>
      </c>
      <c r="G978" s="6" t="str">
        <f>IF(MINIFS(dynamic[orderDate], dynamic[customerID], B978) &gt;= DATE(2024,4,30)-120, 
     "New", 
     IF(MAXIFS(dynamic[orderCount], dynamic[customerID], B978)&lt;=2, 
        IF((DATE(2024,4,30) - MAXIFS(dynamic[orderDate], dynamic[customerID], B978)) &gt; 180, "Non-Returning", "Dormant"), 
        IF(AND(MAX(dynamic[sinceLastOrder]) &gt; 365, (DATE(2024,4,30) - MAXIFS(dynamic[orderDate], dynamic[customerID], B978)) &gt; 180), 
           "Dormant", "Regular")))</f>
        <v>Dormant</v>
      </c>
      <c r="H978" s="6">
        <v>6.0</v>
      </c>
      <c r="I978" s="9" t="str">
        <f>VLOOKUP(dynamic[productID],products[],2,FALSE)</f>
        <v>Grandma's Boysenberry Spread</v>
      </c>
      <c r="J978" s="9" t="str">
        <f>VLOOKUP(dynamic[productID],products[],12,FALSE)</f>
        <v>Condiments</v>
      </c>
      <c r="K978" s="7" t="str">
        <f>IF(VLOOKUP(dynamic[productID],products[],7,FALSE)=1,"Discontinued","Current")</f>
        <v>Current</v>
      </c>
      <c r="L978" s="9">
        <f>VLOOKUP(dynamic[productID],products[],IF(YEAR(dynamic[orderDate])=2022,8,IF(YEAR(dynamic[orderDate])=2023,9,IF(YEAR(dynamic[orderDate])=2024,10,NA))),FALSE)</f>
        <v>17.8511037</v>
      </c>
      <c r="M978" s="9">
        <v>25.0</v>
      </c>
      <c r="N978" s="25">
        <f>(dynamic[orderPrice]-dynamic[productCost])/dynamic[productCost]</f>
        <v>0.4004736302</v>
      </c>
      <c r="O978" s="10">
        <v>70.0</v>
      </c>
      <c r="P978" s="25">
        <v>0.0</v>
      </c>
      <c r="Q978" s="9">
        <f>dynamic[orderPrice]*dynamic[orderQuantity]</f>
        <v>1750</v>
      </c>
      <c r="R978" s="9">
        <f>dynamic[orderTotal]*(1-dynamic[discountApllied])</f>
        <v>1750</v>
      </c>
      <c r="S978" s="9">
        <f>dynamic[revenue]-(dynamic[productCost]*dynamic[orderQuantity])</f>
        <v>500.4227411</v>
      </c>
      <c r="T978" s="25">
        <f>IFERROR(dynamic[profit]/dynamic[revenue], 0)</f>
        <v>0.285955852</v>
      </c>
    </row>
    <row r="979" ht="15.75" customHeight="1">
      <c r="A979" s="6">
        <v>10618.0</v>
      </c>
      <c r="B979" s="7" t="s">
        <v>64</v>
      </c>
      <c r="C979" s="24" t="str">
        <f>VLOOKUP(dynamic[customerID],customers[],2,FALSE)</f>
        <v>Mère Paillarde</v>
      </c>
      <c r="D979" s="24">
        <v>45139.0</v>
      </c>
      <c r="E979" s="6">
        <f>IFERROR(__xludf.DUMMYFUNCTION("COUNTUNIQUEIFS($A$2:$A979,$B$2:$B979,B979)"),11.0)</f>
        <v>11</v>
      </c>
      <c r="F979" s="6">
        <f t="shared" si="1"/>
        <v>11</v>
      </c>
      <c r="G979" s="6" t="str">
        <f>IF(MINIFS(dynamic[orderDate], dynamic[customerID], B979) &gt;= DATE(2024,4,30)-120, 
     "New", 
     IF(MAXIFS(dynamic[orderCount], dynamic[customerID], B979)&lt;=2, 
        IF((DATE(2024,4,30) - MAXIFS(dynamic[orderDate], dynamic[customerID], B979)) &gt; 180, "Non-Returning", "Dormant"), 
        IF(AND(MAX(dynamic[sinceLastOrder]) &gt; 365, (DATE(2024,4,30) - MAXIFS(dynamic[orderDate], dynamic[customerID], B979)) &gt; 180), 
           "Dormant", "Regular")))</f>
        <v>Dormant</v>
      </c>
      <c r="H979" s="6">
        <v>56.0</v>
      </c>
      <c r="I979" s="9" t="str">
        <f>VLOOKUP(dynamic[productID],products[],2,FALSE)</f>
        <v>Gnocchi di nonna Alice</v>
      </c>
      <c r="J979" s="9" t="str">
        <f>VLOOKUP(dynamic[productID],products[],12,FALSE)</f>
        <v>Grains/Cereals</v>
      </c>
      <c r="K979" s="7" t="str">
        <f>IF(VLOOKUP(dynamic[productID],products[],7,FALSE)=1,"Discontinued","Current")</f>
        <v>Current</v>
      </c>
      <c r="L979" s="9">
        <f>VLOOKUP(dynamic[productID],products[],IF(YEAR(dynamic[orderDate])=2022,8,IF(YEAR(dynamic[orderDate])=2023,9,IF(YEAR(dynamic[orderDate])=2024,10,NA))),FALSE)</f>
        <v>24.28342441</v>
      </c>
      <c r="M979" s="9">
        <v>38.0</v>
      </c>
      <c r="N979" s="25">
        <f>(dynamic[orderPrice]-dynamic[productCost])/dynamic[productCost]</f>
        <v>0.5648534309</v>
      </c>
      <c r="O979" s="10">
        <v>20.0</v>
      </c>
      <c r="P979" s="25">
        <v>0.0</v>
      </c>
      <c r="Q979" s="9">
        <f>dynamic[orderPrice]*dynamic[orderQuantity]</f>
        <v>760</v>
      </c>
      <c r="R979" s="9">
        <f>dynamic[orderTotal]*(1-dynamic[discountApllied])</f>
        <v>760</v>
      </c>
      <c r="S979" s="9">
        <f>dynamic[revenue]-(dynamic[productCost]*dynamic[orderQuantity])</f>
        <v>274.3315118</v>
      </c>
      <c r="T979" s="25">
        <f>IFERROR(dynamic[profit]/dynamic[revenue], 0)</f>
        <v>0.3609625156</v>
      </c>
    </row>
    <row r="980" ht="15.75" customHeight="1">
      <c r="A980" s="6">
        <v>10618.0</v>
      </c>
      <c r="B980" s="7" t="s">
        <v>64</v>
      </c>
      <c r="C980" s="24" t="str">
        <f>VLOOKUP(dynamic[customerID],customers[],2,FALSE)</f>
        <v>Mère Paillarde</v>
      </c>
      <c r="D980" s="24">
        <v>45139.0</v>
      </c>
      <c r="E980" s="6">
        <f>IFERROR(__xludf.DUMMYFUNCTION("COUNTUNIQUEIFS($A$2:$A980,$B$2:$B980,B980)"),11.0)</f>
        <v>11</v>
      </c>
      <c r="F980" s="6">
        <f t="shared" si="1"/>
        <v>11</v>
      </c>
      <c r="G980" s="6" t="str">
        <f>IF(MINIFS(dynamic[orderDate], dynamic[customerID], B980) &gt;= DATE(2024,4,30)-120, 
     "New", 
     IF(MAXIFS(dynamic[orderCount], dynamic[customerID], B980)&lt;=2, 
        IF((DATE(2024,4,30) - MAXIFS(dynamic[orderDate], dynamic[customerID], B980)) &gt; 180, "Non-Returning", "Dormant"), 
        IF(AND(MAX(dynamic[sinceLastOrder]) &gt; 365, (DATE(2024,4,30) - MAXIFS(dynamic[orderDate], dynamic[customerID], B980)) &gt; 180), 
           "Dormant", "Regular")))</f>
        <v>Dormant</v>
      </c>
      <c r="H980" s="6">
        <v>68.0</v>
      </c>
      <c r="I980" s="9" t="str">
        <f>VLOOKUP(dynamic[productID],products[],2,FALSE)</f>
        <v>Scottish Longbreads</v>
      </c>
      <c r="J980" s="9" t="str">
        <f>VLOOKUP(dynamic[productID],products[],12,FALSE)</f>
        <v>Confections</v>
      </c>
      <c r="K980" s="7" t="str">
        <f>IF(VLOOKUP(dynamic[productID],products[],7,FALSE)=1,"Discontinued","Current")</f>
        <v>Current</v>
      </c>
      <c r="L980" s="9">
        <f>VLOOKUP(dynamic[productID],products[],IF(YEAR(dynamic[orderDate])=2022,8,IF(YEAR(dynamic[orderDate])=2023,9,IF(YEAR(dynamic[orderDate])=2024,10,NA))),FALSE)</f>
        <v>8.500000387</v>
      </c>
      <c r="M980" s="9">
        <v>12.5</v>
      </c>
      <c r="N980" s="25">
        <f>(dynamic[orderPrice]-dynamic[productCost])/dynamic[productCost]</f>
        <v>0.4705881684</v>
      </c>
      <c r="O980" s="10">
        <v>15.0</v>
      </c>
      <c r="P980" s="25">
        <v>0.0</v>
      </c>
      <c r="Q980" s="9">
        <f>dynamic[orderPrice]*dynamic[orderQuantity]</f>
        <v>187.5</v>
      </c>
      <c r="R980" s="9">
        <f>dynamic[orderTotal]*(1-dynamic[discountApllied])</f>
        <v>187.5</v>
      </c>
      <c r="S980" s="9">
        <f>dynamic[revenue]-(dynamic[productCost]*dynamic[orderQuantity])</f>
        <v>59.9999942</v>
      </c>
      <c r="T980" s="25">
        <f>IFERROR(dynamic[profit]/dynamic[revenue], 0)</f>
        <v>0.3199999691</v>
      </c>
    </row>
    <row r="981" ht="15.75" customHeight="1">
      <c r="A981" s="6">
        <v>10619.0</v>
      </c>
      <c r="B981" s="7" t="s">
        <v>64</v>
      </c>
      <c r="C981" s="24" t="str">
        <f>VLOOKUP(dynamic[customerID],customers[],2,FALSE)</f>
        <v>Mère Paillarde</v>
      </c>
      <c r="D981" s="24">
        <v>45142.0</v>
      </c>
      <c r="E981" s="6">
        <f>IFERROR(__xludf.DUMMYFUNCTION("COUNTUNIQUEIFS($A$2:$A981,$B$2:$B981,B981)"),12.0)</f>
        <v>12</v>
      </c>
      <c r="F981" s="6">
        <f t="shared" si="1"/>
        <v>3</v>
      </c>
      <c r="G981" s="6" t="str">
        <f>IF(MINIFS(dynamic[orderDate], dynamic[customerID], B981) &gt;= DATE(2024,4,30)-120, 
     "New", 
     IF(MAXIFS(dynamic[orderCount], dynamic[customerID], B981)&lt;=2, 
        IF((DATE(2024,4,30) - MAXIFS(dynamic[orderDate], dynamic[customerID], B981)) &gt; 180, "Non-Returning", "Dormant"), 
        IF(AND(MAX(dynamic[sinceLastOrder]) &gt; 365, (DATE(2024,4,30) - MAXIFS(dynamic[orderDate], dynamic[customerID], B981)) &gt; 180), 
           "Dormant", "Regular")))</f>
        <v>Dormant</v>
      </c>
      <c r="H981" s="6">
        <v>21.0</v>
      </c>
      <c r="I981" s="9" t="str">
        <f>VLOOKUP(dynamic[productID],products[],2,FALSE)</f>
        <v>Sir Rodney's Scones</v>
      </c>
      <c r="J981" s="9" t="str">
        <f>VLOOKUP(dynamic[productID],products[],12,FALSE)</f>
        <v>Confections</v>
      </c>
      <c r="K981" s="7" t="str">
        <f>IF(VLOOKUP(dynamic[productID],products[],7,FALSE)=1,"Discontinued","Current")</f>
        <v>Current</v>
      </c>
      <c r="L981" s="9">
        <f>VLOOKUP(dynamic[productID],products[],IF(YEAR(dynamic[orderDate])=2022,8,IF(YEAR(dynamic[orderDate])=2023,9,IF(YEAR(dynamic[orderDate])=2024,10,NA))),FALSE)</f>
        <v>6.725636111</v>
      </c>
      <c r="M981" s="9">
        <v>10.0</v>
      </c>
      <c r="N981" s="25">
        <f>(dynamic[orderPrice]-dynamic[productCost])/dynamic[productCost]</f>
        <v>0.486848208</v>
      </c>
      <c r="O981" s="10">
        <v>42.0</v>
      </c>
      <c r="P981" s="25">
        <v>0.0</v>
      </c>
      <c r="Q981" s="9">
        <f>dynamic[orderPrice]*dynamic[orderQuantity]</f>
        <v>420</v>
      </c>
      <c r="R981" s="9">
        <f>dynamic[orderTotal]*(1-dynamic[discountApllied])</f>
        <v>420</v>
      </c>
      <c r="S981" s="9">
        <f>dynamic[revenue]-(dynamic[productCost]*dynamic[orderQuantity])</f>
        <v>137.5232833</v>
      </c>
      <c r="T981" s="25">
        <f>IFERROR(dynamic[profit]/dynamic[revenue], 0)</f>
        <v>0.3274363889</v>
      </c>
    </row>
    <row r="982" ht="15.75" customHeight="1">
      <c r="A982" s="6">
        <v>10619.0</v>
      </c>
      <c r="B982" s="7" t="s">
        <v>64</v>
      </c>
      <c r="C982" s="24" t="str">
        <f>VLOOKUP(dynamic[customerID],customers[],2,FALSE)</f>
        <v>Mère Paillarde</v>
      </c>
      <c r="D982" s="24">
        <v>45142.0</v>
      </c>
      <c r="E982" s="6">
        <f>IFERROR(__xludf.DUMMYFUNCTION("COUNTUNIQUEIFS($A$2:$A982,$B$2:$B982,B982)"),12.0)</f>
        <v>12</v>
      </c>
      <c r="F982" s="6">
        <f t="shared" si="1"/>
        <v>3</v>
      </c>
      <c r="G982" s="6" t="str">
        <f>IF(MINIFS(dynamic[orderDate], dynamic[customerID], B982) &gt;= DATE(2024,4,30)-120, 
     "New", 
     IF(MAXIFS(dynamic[orderCount], dynamic[customerID], B982)&lt;=2, 
        IF((DATE(2024,4,30) - MAXIFS(dynamic[orderDate], dynamic[customerID], B982)) &gt; 180, "Non-Returning", "Dormant"), 
        IF(AND(MAX(dynamic[sinceLastOrder]) &gt; 365, (DATE(2024,4,30) - MAXIFS(dynamic[orderDate], dynamic[customerID], B982)) &gt; 180), 
           "Dormant", "Regular")))</f>
        <v>Dormant</v>
      </c>
      <c r="H982" s="6">
        <v>22.0</v>
      </c>
      <c r="I982" s="9" t="str">
        <f>VLOOKUP(dynamic[productID],products[],2,FALSE)</f>
        <v>Gustaf's Knäckebröd</v>
      </c>
      <c r="J982" s="9" t="str">
        <f>VLOOKUP(dynamic[productID],products[],12,FALSE)</f>
        <v>Grains/Cereals</v>
      </c>
      <c r="K982" s="7" t="str">
        <f>IF(VLOOKUP(dynamic[productID],products[],7,FALSE)=1,"Discontinued","Current")</f>
        <v>Current</v>
      </c>
      <c r="L982" s="9">
        <f>VLOOKUP(dynamic[productID],products[],IF(YEAR(dynamic[orderDate])=2022,8,IF(YEAR(dynamic[orderDate])=2023,9,IF(YEAR(dynamic[orderDate])=2024,10,NA))),FALSE)</f>
        <v>14.56814822</v>
      </c>
      <c r="M982" s="9">
        <v>21.0</v>
      </c>
      <c r="N982" s="25">
        <f>(dynamic[orderPrice]-dynamic[productCost])/dynamic[productCost]</f>
        <v>0.4415009841</v>
      </c>
      <c r="O982" s="10">
        <v>40.0</v>
      </c>
      <c r="P982" s="25">
        <v>0.0</v>
      </c>
      <c r="Q982" s="9">
        <f>dynamic[orderPrice]*dynamic[orderQuantity]</f>
        <v>840</v>
      </c>
      <c r="R982" s="9">
        <f>dynamic[orderTotal]*(1-dynamic[discountApllied])</f>
        <v>840</v>
      </c>
      <c r="S982" s="9">
        <f>dynamic[revenue]-(dynamic[productCost]*dynamic[orderQuantity])</f>
        <v>257.2740711</v>
      </c>
      <c r="T982" s="25">
        <f>IFERROR(dynamic[profit]/dynamic[revenue], 0)</f>
        <v>0.3062786561</v>
      </c>
    </row>
    <row r="983" ht="15.75" customHeight="1">
      <c r="A983" s="6">
        <v>10620.0</v>
      </c>
      <c r="B983" s="7" t="s">
        <v>90</v>
      </c>
      <c r="C983" s="24" t="str">
        <f>VLOOKUP(dynamic[customerID],customers[],2,FALSE)</f>
        <v>Laughing Bacchus Wine Cellars</v>
      </c>
      <c r="D983" s="24">
        <v>45143.0</v>
      </c>
      <c r="E983" s="6">
        <f>IFERROR(__xludf.DUMMYFUNCTION("COUNTUNIQUEIFS($A$2:$A983,$B$2:$B983,B983)"),2.0)</f>
        <v>2</v>
      </c>
      <c r="F983" s="6">
        <f t="shared" si="1"/>
        <v>124</v>
      </c>
      <c r="G983" s="6" t="str">
        <f>IF(MINIFS(dynamic[orderDate], dynamic[customerID], B983) &gt;= DATE(2024,4,30)-120, 
     "New", 
     IF(MAXIFS(dynamic[orderCount], dynamic[customerID], B983)&lt;=2, 
        IF((DATE(2024,4,30) - MAXIFS(dynamic[orderDate], dynamic[customerID], B983)) &gt; 180, "Non-Returning", "Dormant"), 
        IF(AND(MAX(dynamic[sinceLastOrder]) &gt; 365, (DATE(2024,4,30) - MAXIFS(dynamic[orderDate], dynamic[customerID], B983)) &gt; 180), 
           "Dormant", "Regular")))</f>
        <v>Regular</v>
      </c>
      <c r="H983" s="6">
        <v>24.0</v>
      </c>
      <c r="I983" s="9" t="str">
        <f>VLOOKUP(dynamic[productID],products[],2,FALSE)</f>
        <v>Brigadeiros Maravilhosos da Lilian</v>
      </c>
      <c r="J983" s="9" t="str">
        <f>VLOOKUP(dynamic[productID],products[],12,FALSE)</f>
        <v>Confections</v>
      </c>
      <c r="K983" s="7" t="str">
        <f>IF(VLOOKUP(dynamic[productID],products[],7,FALSE)=1,"Discontinued","Current")</f>
        <v>Discontinued</v>
      </c>
      <c r="L983" s="9">
        <f>VLOOKUP(dynamic[productID],products[],IF(YEAR(dynamic[orderDate])=2022,8,IF(YEAR(dynamic[orderDate])=2023,9,IF(YEAR(dynamic[orderDate])=2024,10,NA))),FALSE)</f>
        <v>3.131783363</v>
      </c>
      <c r="M983" s="9">
        <v>4.5</v>
      </c>
      <c r="N983" s="25">
        <f>(dynamic[orderPrice]-dynamic[productCost])/dynamic[productCost]</f>
        <v>0.4368809967</v>
      </c>
      <c r="O983" s="10">
        <v>5.0</v>
      </c>
      <c r="P983" s="25">
        <v>0.0</v>
      </c>
      <c r="Q983" s="9">
        <f>dynamic[orderPrice]*dynamic[orderQuantity]</f>
        <v>22.5</v>
      </c>
      <c r="R983" s="9">
        <f>dynamic[orderTotal]*(1-dynamic[discountApllied])</f>
        <v>22.5</v>
      </c>
      <c r="S983" s="9">
        <f>dynamic[revenue]-(dynamic[productCost]*dynamic[orderQuantity])</f>
        <v>6.841083185</v>
      </c>
      <c r="T983" s="25">
        <f>IFERROR(dynamic[profit]/dynamic[revenue], 0)</f>
        <v>0.3040481416</v>
      </c>
    </row>
    <row r="984" ht="15.75" customHeight="1">
      <c r="A984" s="6">
        <v>10620.0</v>
      </c>
      <c r="B984" s="7" t="s">
        <v>90</v>
      </c>
      <c r="C984" s="24" t="str">
        <f>VLOOKUP(dynamic[customerID],customers[],2,FALSE)</f>
        <v>Laughing Bacchus Wine Cellars</v>
      </c>
      <c r="D984" s="24">
        <v>45143.0</v>
      </c>
      <c r="E984" s="6">
        <f>IFERROR(__xludf.DUMMYFUNCTION("COUNTUNIQUEIFS($A$2:$A984,$B$2:$B984,B984)"),2.0)</f>
        <v>2</v>
      </c>
      <c r="F984" s="6">
        <f t="shared" si="1"/>
        <v>124</v>
      </c>
      <c r="G984" s="6" t="str">
        <f>IF(MINIFS(dynamic[orderDate], dynamic[customerID], B984) &gt;= DATE(2024,4,30)-120, 
     "New", 
     IF(MAXIFS(dynamic[orderCount], dynamic[customerID], B984)&lt;=2, 
        IF((DATE(2024,4,30) - MAXIFS(dynamic[orderDate], dynamic[customerID], B984)) &gt; 180, "Non-Returning", "Dormant"), 
        IF(AND(MAX(dynamic[sinceLastOrder]) &gt; 365, (DATE(2024,4,30) - MAXIFS(dynamic[orderDate], dynamic[customerID], B984)) &gt; 180), 
           "Dormant", "Regular")))</f>
        <v>Regular</v>
      </c>
      <c r="H984" s="6">
        <v>52.0</v>
      </c>
      <c r="I984" s="9" t="str">
        <f>VLOOKUP(dynamic[productID],products[],2,FALSE)</f>
        <v>Filo Mix</v>
      </c>
      <c r="J984" s="9" t="str">
        <f>VLOOKUP(dynamic[productID],products[],12,FALSE)</f>
        <v>Grains/Cereals</v>
      </c>
      <c r="K984" s="7" t="str">
        <f>IF(VLOOKUP(dynamic[productID],products[],7,FALSE)=1,"Discontinued","Current")</f>
        <v>Current</v>
      </c>
      <c r="L984" s="9">
        <f>VLOOKUP(dynamic[productID],products[],IF(YEAR(dynamic[orderDate])=2022,8,IF(YEAR(dynamic[orderDate])=2023,9,IF(YEAR(dynamic[orderDate])=2024,10,NA))),FALSE)</f>
        <v>5.001706713</v>
      </c>
      <c r="M984" s="9">
        <v>7.0</v>
      </c>
      <c r="N984" s="25">
        <f>(dynamic[orderPrice]-dynamic[productCost])/dynamic[productCost]</f>
        <v>0.3995222835</v>
      </c>
      <c r="O984" s="10">
        <v>5.0</v>
      </c>
      <c r="P984" s="25">
        <v>0.0</v>
      </c>
      <c r="Q984" s="9">
        <f>dynamic[orderPrice]*dynamic[orderQuantity]</f>
        <v>35</v>
      </c>
      <c r="R984" s="9">
        <f>dynamic[orderTotal]*(1-dynamic[discountApllied])</f>
        <v>35</v>
      </c>
      <c r="S984" s="9">
        <f>dynamic[revenue]-(dynamic[productCost]*dynamic[orderQuantity])</f>
        <v>9.991466436</v>
      </c>
      <c r="T984" s="25">
        <f>IFERROR(dynamic[profit]/dynamic[revenue], 0)</f>
        <v>0.2854704696</v>
      </c>
    </row>
    <row r="985" ht="15.75" customHeight="1">
      <c r="A985" s="6">
        <v>10621.0</v>
      </c>
      <c r="B985" s="7" t="s">
        <v>57</v>
      </c>
      <c r="C985" s="24" t="str">
        <f>VLOOKUP(dynamic[customerID],customers[],2,FALSE)</f>
        <v>Island Trading</v>
      </c>
      <c r="D985" s="24">
        <v>45143.0</v>
      </c>
      <c r="E985" s="6">
        <f>IFERROR(__xludf.DUMMYFUNCTION("COUNTUNIQUEIFS($A$2:$A985,$B$2:$B985,B985)"),5.0)</f>
        <v>5</v>
      </c>
      <c r="F985" s="6">
        <f t="shared" si="1"/>
        <v>145</v>
      </c>
      <c r="G985" s="6" t="str">
        <f>IF(MINIFS(dynamic[orderDate], dynamic[customerID], B985) &gt;= DATE(2024,4,30)-120, 
     "New", 
     IF(MAXIFS(dynamic[orderCount], dynamic[customerID], B985)&lt;=2, 
        IF((DATE(2024,4,30) - MAXIFS(dynamic[orderDate], dynamic[customerID], B985)) &gt; 180, "Non-Returning", "Dormant"), 
        IF(AND(MAX(dynamic[sinceLastOrder]) &gt; 365, (DATE(2024,4,30) - MAXIFS(dynamic[orderDate], dynamic[customerID], B985)) &gt; 180), 
           "Dormant", "Regular")))</f>
        <v>Regular</v>
      </c>
      <c r="H985" s="6">
        <v>19.0</v>
      </c>
      <c r="I985" s="9" t="str">
        <f>VLOOKUP(dynamic[productID],products[],2,FALSE)</f>
        <v>Teatime Chocolate Biscuits</v>
      </c>
      <c r="J985" s="9" t="str">
        <f>VLOOKUP(dynamic[productID],products[],12,FALSE)</f>
        <v>Confections</v>
      </c>
      <c r="K985" s="7" t="str">
        <f>IF(VLOOKUP(dynamic[productID],products[],7,FALSE)=1,"Discontinued","Current")</f>
        <v>Current</v>
      </c>
      <c r="L985" s="9">
        <f>VLOOKUP(dynamic[productID],products[],IF(YEAR(dynamic[orderDate])=2022,8,IF(YEAR(dynamic[orderDate])=2023,9,IF(YEAR(dynamic[orderDate])=2024,10,NA))),FALSE)</f>
        <v>5.901883682</v>
      </c>
      <c r="M985" s="9">
        <v>9.2</v>
      </c>
      <c r="N985" s="25">
        <f>(dynamic[orderPrice]-dynamic[productCost])/dynamic[productCost]</f>
        <v>0.5588243508</v>
      </c>
      <c r="O985" s="10">
        <v>5.0</v>
      </c>
      <c r="P985" s="25">
        <v>0.0</v>
      </c>
      <c r="Q985" s="9">
        <f>dynamic[orderPrice]*dynamic[orderQuantity]</f>
        <v>46</v>
      </c>
      <c r="R985" s="9">
        <f>dynamic[orderTotal]*(1-dynamic[discountApllied])</f>
        <v>46</v>
      </c>
      <c r="S985" s="9">
        <f>dynamic[revenue]-(dynamic[productCost]*dynamic[orderQuantity])</f>
        <v>16.49058159</v>
      </c>
      <c r="T985" s="25">
        <f>IFERROR(dynamic[profit]/dynamic[revenue], 0)</f>
        <v>0.3584909041</v>
      </c>
    </row>
    <row r="986" ht="15.75" customHeight="1">
      <c r="A986" s="6">
        <v>10621.0</v>
      </c>
      <c r="B986" s="7" t="s">
        <v>57</v>
      </c>
      <c r="C986" s="24" t="str">
        <f>VLOOKUP(dynamic[customerID],customers[],2,FALSE)</f>
        <v>Island Trading</v>
      </c>
      <c r="D986" s="24">
        <v>45143.0</v>
      </c>
      <c r="E986" s="6">
        <f>IFERROR(__xludf.DUMMYFUNCTION("COUNTUNIQUEIFS($A$2:$A986,$B$2:$B986,B986)"),5.0)</f>
        <v>5</v>
      </c>
      <c r="F986" s="6">
        <f t="shared" si="1"/>
        <v>145</v>
      </c>
      <c r="G986" s="6" t="str">
        <f>IF(MINIFS(dynamic[orderDate], dynamic[customerID], B986) &gt;= DATE(2024,4,30)-120, 
     "New", 
     IF(MAXIFS(dynamic[orderCount], dynamic[customerID], B986)&lt;=2, 
        IF((DATE(2024,4,30) - MAXIFS(dynamic[orderDate], dynamic[customerID], B986)) &gt; 180, "Non-Returning", "Dormant"), 
        IF(AND(MAX(dynamic[sinceLastOrder]) &gt; 365, (DATE(2024,4,30) - MAXIFS(dynamic[orderDate], dynamic[customerID], B986)) &gt; 180), 
           "Dormant", "Regular")))</f>
        <v>Regular</v>
      </c>
      <c r="H986" s="6">
        <v>23.0</v>
      </c>
      <c r="I986" s="9" t="str">
        <f>VLOOKUP(dynamic[productID],products[],2,FALSE)</f>
        <v>Tunnbröd</v>
      </c>
      <c r="J986" s="9" t="str">
        <f>VLOOKUP(dynamic[productID],products[],12,FALSE)</f>
        <v>Grains/Cereals</v>
      </c>
      <c r="K986" s="7" t="str">
        <f>IF(VLOOKUP(dynamic[productID],products[],7,FALSE)=1,"Discontinued","Current")</f>
        <v>Current</v>
      </c>
      <c r="L986" s="9">
        <f>VLOOKUP(dynamic[productID],products[],IF(YEAR(dynamic[orderDate])=2022,8,IF(YEAR(dynamic[orderDate])=2023,9,IF(YEAR(dynamic[orderDate])=2024,10,NA))),FALSE)</f>
        <v>5.989059129</v>
      </c>
      <c r="M986" s="9">
        <v>9.0</v>
      </c>
      <c r="N986" s="25">
        <f>(dynamic[orderPrice]-dynamic[productCost])/dynamic[productCost]</f>
        <v>0.5027402146</v>
      </c>
      <c r="O986" s="10">
        <v>10.0</v>
      </c>
      <c r="P986" s="25">
        <v>0.0</v>
      </c>
      <c r="Q986" s="9">
        <f>dynamic[orderPrice]*dynamic[orderQuantity]</f>
        <v>90</v>
      </c>
      <c r="R986" s="9">
        <f>dynamic[orderTotal]*(1-dynamic[discountApllied])</f>
        <v>90</v>
      </c>
      <c r="S986" s="9">
        <f>dynamic[revenue]-(dynamic[productCost]*dynamic[orderQuantity])</f>
        <v>30.10940871</v>
      </c>
      <c r="T986" s="25">
        <f>IFERROR(dynamic[profit]/dynamic[revenue], 0)</f>
        <v>0.3345489857</v>
      </c>
    </row>
    <row r="987" ht="15.75" customHeight="1">
      <c r="A987" s="6">
        <v>10621.0</v>
      </c>
      <c r="B987" s="7" t="s">
        <v>57</v>
      </c>
      <c r="C987" s="24" t="str">
        <f>VLOOKUP(dynamic[customerID],customers[],2,FALSE)</f>
        <v>Island Trading</v>
      </c>
      <c r="D987" s="24">
        <v>45143.0</v>
      </c>
      <c r="E987" s="6">
        <f>IFERROR(__xludf.DUMMYFUNCTION("COUNTUNIQUEIFS($A$2:$A987,$B$2:$B987,B987)"),5.0)</f>
        <v>5</v>
      </c>
      <c r="F987" s="6">
        <f t="shared" si="1"/>
        <v>145</v>
      </c>
      <c r="G987" s="6" t="str">
        <f>IF(MINIFS(dynamic[orderDate], dynamic[customerID], B987) &gt;= DATE(2024,4,30)-120, 
     "New", 
     IF(MAXIFS(dynamic[orderCount], dynamic[customerID], B987)&lt;=2, 
        IF((DATE(2024,4,30) - MAXIFS(dynamic[orderDate], dynamic[customerID], B987)) &gt; 180, "Non-Returning", "Dormant"), 
        IF(AND(MAX(dynamic[sinceLastOrder]) &gt; 365, (DATE(2024,4,30) - MAXIFS(dynamic[orderDate], dynamic[customerID], B987)) &gt; 180), 
           "Dormant", "Regular")))</f>
        <v>Regular</v>
      </c>
      <c r="H987" s="6">
        <v>70.0</v>
      </c>
      <c r="I987" s="9" t="str">
        <f>VLOOKUP(dynamic[productID],products[],2,FALSE)</f>
        <v>Outback Lager</v>
      </c>
      <c r="J987" s="9" t="str">
        <f>VLOOKUP(dynamic[productID],products[],12,FALSE)</f>
        <v>Beverages</v>
      </c>
      <c r="K987" s="7" t="str">
        <f>IF(VLOOKUP(dynamic[productID],products[],7,FALSE)=1,"Discontinued","Current")</f>
        <v>Current</v>
      </c>
      <c r="L987" s="9">
        <f>VLOOKUP(dynamic[productID],products[],IF(YEAR(dynamic[orderDate])=2022,8,IF(YEAR(dynamic[orderDate])=2023,9,IF(YEAR(dynamic[orderDate])=2024,10,NA))),FALSE)</f>
        <v>9.793094091</v>
      </c>
      <c r="M987" s="9">
        <v>15.0</v>
      </c>
      <c r="N987" s="25">
        <f>(dynamic[orderPrice]-dynamic[productCost])/dynamic[productCost]</f>
        <v>0.5316916044</v>
      </c>
      <c r="O987" s="10">
        <v>20.0</v>
      </c>
      <c r="P987" s="25">
        <v>0.0</v>
      </c>
      <c r="Q987" s="9">
        <f>dynamic[orderPrice]*dynamic[orderQuantity]</f>
        <v>300</v>
      </c>
      <c r="R987" s="9">
        <f>dynamic[orderTotal]*(1-dynamic[discountApllied])</f>
        <v>300</v>
      </c>
      <c r="S987" s="9">
        <f>dynamic[revenue]-(dynamic[productCost]*dynamic[orderQuantity])</f>
        <v>104.1381182</v>
      </c>
      <c r="T987" s="25">
        <f>IFERROR(dynamic[profit]/dynamic[revenue], 0)</f>
        <v>0.3471270606</v>
      </c>
    </row>
    <row r="988" ht="15.75" customHeight="1">
      <c r="A988" s="6">
        <v>10621.0</v>
      </c>
      <c r="B988" s="7" t="s">
        <v>57</v>
      </c>
      <c r="C988" s="24" t="str">
        <f>VLOOKUP(dynamic[customerID],customers[],2,FALSE)</f>
        <v>Island Trading</v>
      </c>
      <c r="D988" s="24">
        <v>45143.0</v>
      </c>
      <c r="E988" s="6">
        <f>IFERROR(__xludf.DUMMYFUNCTION("COUNTUNIQUEIFS($A$2:$A988,$B$2:$B988,B988)"),5.0)</f>
        <v>5</v>
      </c>
      <c r="F988" s="6">
        <f t="shared" si="1"/>
        <v>145</v>
      </c>
      <c r="G988" s="6" t="str">
        <f>IF(MINIFS(dynamic[orderDate], dynamic[customerID], B988) &gt;= DATE(2024,4,30)-120, 
     "New", 
     IF(MAXIFS(dynamic[orderCount], dynamic[customerID], B988)&lt;=2, 
        IF((DATE(2024,4,30) - MAXIFS(dynamic[orderDate], dynamic[customerID], B988)) &gt; 180, "Non-Returning", "Dormant"), 
        IF(AND(MAX(dynamic[sinceLastOrder]) &gt; 365, (DATE(2024,4,30) - MAXIFS(dynamic[orderDate], dynamic[customerID], B988)) &gt; 180), 
           "Dormant", "Regular")))</f>
        <v>Regular</v>
      </c>
      <c r="H988" s="6">
        <v>71.0</v>
      </c>
      <c r="I988" s="9" t="str">
        <f>VLOOKUP(dynamic[productID],products[],2,FALSE)</f>
        <v>Flotemysost</v>
      </c>
      <c r="J988" s="9" t="str">
        <f>VLOOKUP(dynamic[productID],products[],12,FALSE)</f>
        <v>Dairy Products</v>
      </c>
      <c r="K988" s="7" t="str">
        <f>IF(VLOOKUP(dynamic[productID],products[],7,FALSE)=1,"Discontinued","Current")</f>
        <v>Current</v>
      </c>
      <c r="L988" s="9">
        <f>VLOOKUP(dynamic[productID],products[],IF(YEAR(dynamic[orderDate])=2022,8,IF(YEAR(dynamic[orderDate])=2023,9,IF(YEAR(dynamic[orderDate])=2024,10,NA))),FALSE)</f>
        <v>13.4003664</v>
      </c>
      <c r="M988" s="9">
        <v>21.5</v>
      </c>
      <c r="N988" s="25">
        <f>(dynamic[orderPrice]-dynamic[productCost])/dynamic[productCost]</f>
        <v>0.6044337411</v>
      </c>
      <c r="O988" s="10">
        <v>15.0</v>
      </c>
      <c r="P988" s="25">
        <v>0.0</v>
      </c>
      <c r="Q988" s="9">
        <f>dynamic[orderPrice]*dynamic[orderQuantity]</f>
        <v>322.5</v>
      </c>
      <c r="R988" s="9">
        <f>dynamic[orderTotal]*(1-dynamic[discountApllied])</f>
        <v>322.5</v>
      </c>
      <c r="S988" s="9">
        <f>dynamic[revenue]-(dynamic[productCost]*dynamic[orderQuantity])</f>
        <v>121.494504</v>
      </c>
      <c r="T988" s="25">
        <f>IFERROR(dynamic[profit]/dynamic[revenue], 0)</f>
        <v>0.376727144</v>
      </c>
    </row>
    <row r="989" ht="15.75" customHeight="1">
      <c r="A989" s="6">
        <v>10622.0</v>
      </c>
      <c r="B989" s="7" t="s">
        <v>44</v>
      </c>
      <c r="C989" s="24" t="str">
        <f>VLOOKUP(dynamic[customerID],customers[],2,FALSE)</f>
        <v>Ricardo Adocicados</v>
      </c>
      <c r="D989" s="24">
        <v>45144.0</v>
      </c>
      <c r="E989" s="6">
        <f>IFERROR(__xludf.DUMMYFUNCTION("COUNTUNIQUEIFS($A$2:$A989,$B$2:$B989,B989)"),6.0)</f>
        <v>6</v>
      </c>
      <c r="F989" s="6">
        <f t="shared" si="1"/>
        <v>57</v>
      </c>
      <c r="G989" s="6" t="str">
        <f>IF(MINIFS(dynamic[orderDate], dynamic[customerID], B989) &gt;= DATE(2024,4,30)-120, 
     "New", 
     IF(MAXIFS(dynamic[orderCount], dynamic[customerID], B989)&lt;=2, 
        IF((DATE(2024,4,30) - MAXIFS(dynamic[orderDate], dynamic[customerID], B989)) &gt; 180, "Non-Returning", "Dormant"), 
        IF(AND(MAX(dynamic[sinceLastOrder]) &gt; 365, (DATE(2024,4,30) - MAXIFS(dynamic[orderDate], dynamic[customerID], B989)) &gt; 180), 
           "Dormant", "Regular")))</f>
        <v>Regular</v>
      </c>
      <c r="H989" s="6">
        <v>2.0</v>
      </c>
      <c r="I989" s="9" t="str">
        <f>VLOOKUP(dynamic[productID],products[],2,FALSE)</f>
        <v>Chang</v>
      </c>
      <c r="J989" s="9" t="str">
        <f>VLOOKUP(dynamic[productID],products[],12,FALSE)</f>
        <v>Beverages</v>
      </c>
      <c r="K989" s="7" t="str">
        <f>IF(VLOOKUP(dynamic[productID],products[],7,FALSE)=1,"Discontinued","Current")</f>
        <v>Current</v>
      </c>
      <c r="L989" s="9">
        <f>VLOOKUP(dynamic[productID],products[],IF(YEAR(dynamic[orderDate])=2022,8,IF(YEAR(dynamic[orderDate])=2023,9,IF(YEAR(dynamic[orderDate])=2024,10,NA))),FALSE)</f>
        <v>12.14626904</v>
      </c>
      <c r="M989" s="9">
        <v>19.0</v>
      </c>
      <c r="N989" s="25">
        <f>(dynamic[orderPrice]-dynamic[productCost])/dynamic[productCost]</f>
        <v>0.5642663547</v>
      </c>
      <c r="O989" s="10">
        <v>20.0</v>
      </c>
      <c r="P989" s="25">
        <v>0.0</v>
      </c>
      <c r="Q989" s="9">
        <f>dynamic[orderPrice]*dynamic[orderQuantity]</f>
        <v>380</v>
      </c>
      <c r="R989" s="9">
        <f>dynamic[orderTotal]*(1-dynamic[discountApllied])</f>
        <v>380</v>
      </c>
      <c r="S989" s="9">
        <f>dynamic[revenue]-(dynamic[productCost]*dynamic[orderQuantity])</f>
        <v>137.0746191</v>
      </c>
      <c r="T989" s="25">
        <f>IFERROR(dynamic[profit]/dynamic[revenue], 0)</f>
        <v>0.3607226819</v>
      </c>
    </row>
    <row r="990" ht="15.75" customHeight="1">
      <c r="A990" s="6">
        <v>10622.0</v>
      </c>
      <c r="B990" s="7" t="s">
        <v>44</v>
      </c>
      <c r="C990" s="24" t="str">
        <f>VLOOKUP(dynamic[customerID],customers[],2,FALSE)</f>
        <v>Ricardo Adocicados</v>
      </c>
      <c r="D990" s="24">
        <v>45144.0</v>
      </c>
      <c r="E990" s="6">
        <f>IFERROR(__xludf.DUMMYFUNCTION("COUNTUNIQUEIFS($A$2:$A990,$B$2:$B990,B990)"),6.0)</f>
        <v>6</v>
      </c>
      <c r="F990" s="6">
        <f t="shared" si="1"/>
        <v>57</v>
      </c>
      <c r="G990" s="6" t="str">
        <f>IF(MINIFS(dynamic[orderDate], dynamic[customerID], B990) &gt;= DATE(2024,4,30)-120, 
     "New", 
     IF(MAXIFS(dynamic[orderCount], dynamic[customerID], B990)&lt;=2, 
        IF((DATE(2024,4,30) - MAXIFS(dynamic[orderDate], dynamic[customerID], B990)) &gt; 180, "Non-Returning", "Dormant"), 
        IF(AND(MAX(dynamic[sinceLastOrder]) &gt; 365, (DATE(2024,4,30) - MAXIFS(dynamic[orderDate], dynamic[customerID], B990)) &gt; 180), 
           "Dormant", "Regular")))</f>
        <v>Regular</v>
      </c>
      <c r="H990" s="6">
        <v>68.0</v>
      </c>
      <c r="I990" s="9" t="str">
        <f>VLOOKUP(dynamic[productID],products[],2,FALSE)</f>
        <v>Scottish Longbreads</v>
      </c>
      <c r="J990" s="9" t="str">
        <f>VLOOKUP(dynamic[productID],products[],12,FALSE)</f>
        <v>Confections</v>
      </c>
      <c r="K990" s="7" t="str">
        <f>IF(VLOOKUP(dynamic[productID],products[],7,FALSE)=1,"Discontinued","Current")</f>
        <v>Current</v>
      </c>
      <c r="L990" s="9">
        <f>VLOOKUP(dynamic[productID],products[],IF(YEAR(dynamic[orderDate])=2022,8,IF(YEAR(dynamic[orderDate])=2023,9,IF(YEAR(dynamic[orderDate])=2024,10,NA))),FALSE)</f>
        <v>8.500000387</v>
      </c>
      <c r="M990" s="9">
        <v>12.5</v>
      </c>
      <c r="N990" s="25">
        <f>(dynamic[orderPrice]-dynamic[productCost])/dynamic[productCost]</f>
        <v>0.4705881684</v>
      </c>
      <c r="O990" s="10">
        <v>18.0</v>
      </c>
      <c r="P990" s="25">
        <v>0.2</v>
      </c>
      <c r="Q990" s="9">
        <f>dynamic[orderPrice]*dynamic[orderQuantity]</f>
        <v>225</v>
      </c>
      <c r="R990" s="9">
        <f>dynamic[orderTotal]*(1-dynamic[discountApllied])</f>
        <v>180</v>
      </c>
      <c r="S990" s="9">
        <f>dynamic[revenue]-(dynamic[productCost]*dynamic[orderQuantity])</f>
        <v>26.99999304</v>
      </c>
      <c r="T990" s="25">
        <f>IFERROR(dynamic[profit]/dynamic[revenue], 0)</f>
        <v>0.1499999613</v>
      </c>
    </row>
    <row r="991" ht="15.75" customHeight="1">
      <c r="A991" s="6">
        <v>10623.0</v>
      </c>
      <c r="B991" s="7" t="s">
        <v>32</v>
      </c>
      <c r="C991" s="24" t="str">
        <f>VLOOKUP(dynamic[customerID],customers[],2,FALSE)</f>
        <v>Frankenversand</v>
      </c>
      <c r="D991" s="24">
        <v>45145.0</v>
      </c>
      <c r="E991" s="6">
        <f>IFERROR(__xludf.DUMMYFUNCTION("COUNTUNIQUEIFS($A$2:$A991,$B$2:$B991,B991)"),7.0)</f>
        <v>7</v>
      </c>
      <c r="F991" s="6">
        <f t="shared" si="1"/>
        <v>62</v>
      </c>
      <c r="G991" s="6" t="str">
        <f>IF(MINIFS(dynamic[orderDate], dynamic[customerID], B991) &gt;= DATE(2024,4,30)-120, 
     "New", 
     IF(MAXIFS(dynamic[orderCount], dynamic[customerID], B991)&lt;=2, 
        IF((DATE(2024,4,30) - MAXIFS(dynamic[orderDate], dynamic[customerID], B991)) &gt; 180, "Non-Returning", "Dormant"), 
        IF(AND(MAX(dynamic[sinceLastOrder]) &gt; 365, (DATE(2024,4,30) - MAXIFS(dynamic[orderDate], dynamic[customerID], B991)) &gt; 180), 
           "Dormant", "Regular")))</f>
        <v>Regular</v>
      </c>
      <c r="H991" s="6">
        <v>14.0</v>
      </c>
      <c r="I991" s="9" t="str">
        <f>VLOOKUP(dynamic[productID],products[],2,FALSE)</f>
        <v>Tofu</v>
      </c>
      <c r="J991" s="9" t="str">
        <f>VLOOKUP(dynamic[productID],products[],12,FALSE)</f>
        <v>Produce</v>
      </c>
      <c r="K991" s="7" t="str">
        <f>IF(VLOOKUP(dynamic[productID],products[],7,FALSE)=1,"Discontinued","Current")</f>
        <v>Current</v>
      </c>
      <c r="L991" s="9">
        <f>VLOOKUP(dynamic[productID],products[],IF(YEAR(dynamic[orderDate])=2022,8,IF(YEAR(dynamic[orderDate])=2023,9,IF(YEAR(dynamic[orderDate])=2024,10,NA))),FALSE)</f>
        <v>15.38055417</v>
      </c>
      <c r="M991" s="9">
        <v>23.25</v>
      </c>
      <c r="N991" s="25">
        <f>(dynamic[orderPrice]-dynamic[productCost])/dynamic[productCost]</f>
        <v>0.5116490437</v>
      </c>
      <c r="O991" s="10">
        <v>21.0</v>
      </c>
      <c r="P991" s="25">
        <v>0.0</v>
      </c>
      <c r="Q991" s="9">
        <f>dynamic[orderPrice]*dynamic[orderQuantity]</f>
        <v>488.25</v>
      </c>
      <c r="R991" s="9">
        <f>dynamic[orderTotal]*(1-dynamic[discountApllied])</f>
        <v>488.25</v>
      </c>
      <c r="S991" s="9">
        <f>dynamic[revenue]-(dynamic[productCost]*dynamic[orderQuantity])</f>
        <v>165.2583625</v>
      </c>
      <c r="T991" s="25">
        <f>IFERROR(dynamic[profit]/dynamic[revenue], 0)</f>
        <v>0.3384707885</v>
      </c>
    </row>
    <row r="992" ht="15.75" customHeight="1">
      <c r="A992" s="6">
        <v>10623.0</v>
      </c>
      <c r="B992" s="7" t="s">
        <v>32</v>
      </c>
      <c r="C992" s="24" t="str">
        <f>VLOOKUP(dynamic[customerID],customers[],2,FALSE)</f>
        <v>Frankenversand</v>
      </c>
      <c r="D992" s="24">
        <v>45145.0</v>
      </c>
      <c r="E992" s="6">
        <f>IFERROR(__xludf.DUMMYFUNCTION("COUNTUNIQUEIFS($A$2:$A992,$B$2:$B992,B992)"),7.0)</f>
        <v>7</v>
      </c>
      <c r="F992" s="6">
        <f t="shared" si="1"/>
        <v>62</v>
      </c>
      <c r="G992" s="6" t="str">
        <f>IF(MINIFS(dynamic[orderDate], dynamic[customerID], B992) &gt;= DATE(2024,4,30)-120, 
     "New", 
     IF(MAXIFS(dynamic[orderCount], dynamic[customerID], B992)&lt;=2, 
        IF((DATE(2024,4,30) - MAXIFS(dynamic[orderDate], dynamic[customerID], B992)) &gt; 180, "Non-Returning", "Dormant"), 
        IF(AND(MAX(dynamic[sinceLastOrder]) &gt; 365, (DATE(2024,4,30) - MAXIFS(dynamic[orderDate], dynamic[customerID], B992)) &gt; 180), 
           "Dormant", "Regular")))</f>
        <v>Regular</v>
      </c>
      <c r="H992" s="6">
        <v>19.0</v>
      </c>
      <c r="I992" s="9" t="str">
        <f>VLOOKUP(dynamic[productID],products[],2,FALSE)</f>
        <v>Teatime Chocolate Biscuits</v>
      </c>
      <c r="J992" s="9" t="str">
        <f>VLOOKUP(dynamic[productID],products[],12,FALSE)</f>
        <v>Confections</v>
      </c>
      <c r="K992" s="7" t="str">
        <f>IF(VLOOKUP(dynamic[productID],products[],7,FALSE)=1,"Discontinued","Current")</f>
        <v>Current</v>
      </c>
      <c r="L992" s="9">
        <f>VLOOKUP(dynamic[productID],products[],IF(YEAR(dynamic[orderDate])=2022,8,IF(YEAR(dynamic[orderDate])=2023,9,IF(YEAR(dynamic[orderDate])=2024,10,NA))),FALSE)</f>
        <v>5.901883682</v>
      </c>
      <c r="M992" s="9">
        <v>9.2</v>
      </c>
      <c r="N992" s="25">
        <f>(dynamic[orderPrice]-dynamic[productCost])/dynamic[productCost]</f>
        <v>0.5588243508</v>
      </c>
      <c r="O992" s="10">
        <v>15.0</v>
      </c>
      <c r="P992" s="25">
        <v>0.1</v>
      </c>
      <c r="Q992" s="9">
        <f>dynamic[orderPrice]*dynamic[orderQuantity]</f>
        <v>138</v>
      </c>
      <c r="R992" s="9">
        <f>dynamic[orderTotal]*(1-dynamic[discountApllied])</f>
        <v>124.2</v>
      </c>
      <c r="S992" s="9">
        <f>dynamic[revenue]-(dynamic[productCost]*dynamic[orderQuantity])</f>
        <v>35.67174476</v>
      </c>
      <c r="T992" s="25">
        <f>IFERROR(dynamic[profit]/dynamic[revenue], 0)</f>
        <v>0.2872121157</v>
      </c>
    </row>
    <row r="993" ht="15.75" customHeight="1">
      <c r="A993" s="6">
        <v>10623.0</v>
      </c>
      <c r="B993" s="7" t="s">
        <v>32</v>
      </c>
      <c r="C993" s="24" t="str">
        <f>VLOOKUP(dynamic[customerID],customers[],2,FALSE)</f>
        <v>Frankenversand</v>
      </c>
      <c r="D993" s="24">
        <v>45145.0</v>
      </c>
      <c r="E993" s="6">
        <f>IFERROR(__xludf.DUMMYFUNCTION("COUNTUNIQUEIFS($A$2:$A993,$B$2:$B993,B993)"),7.0)</f>
        <v>7</v>
      </c>
      <c r="F993" s="6">
        <f t="shared" si="1"/>
        <v>62</v>
      </c>
      <c r="G993" s="6" t="str">
        <f>IF(MINIFS(dynamic[orderDate], dynamic[customerID], B993) &gt;= DATE(2024,4,30)-120, 
     "New", 
     IF(MAXIFS(dynamic[orderCount], dynamic[customerID], B993)&lt;=2, 
        IF((DATE(2024,4,30) - MAXIFS(dynamic[orderDate], dynamic[customerID], B993)) &gt; 180, "Non-Returning", "Dormant"), 
        IF(AND(MAX(dynamic[sinceLastOrder]) &gt; 365, (DATE(2024,4,30) - MAXIFS(dynamic[orderDate], dynamic[customerID], B993)) &gt; 180), 
           "Dormant", "Regular")))</f>
        <v>Regular</v>
      </c>
      <c r="H993" s="6">
        <v>21.0</v>
      </c>
      <c r="I993" s="9" t="str">
        <f>VLOOKUP(dynamic[productID],products[],2,FALSE)</f>
        <v>Sir Rodney's Scones</v>
      </c>
      <c r="J993" s="9" t="str">
        <f>VLOOKUP(dynamic[productID],products[],12,FALSE)</f>
        <v>Confections</v>
      </c>
      <c r="K993" s="7" t="str">
        <f>IF(VLOOKUP(dynamic[productID],products[],7,FALSE)=1,"Discontinued","Current")</f>
        <v>Current</v>
      </c>
      <c r="L993" s="9">
        <f>VLOOKUP(dynamic[productID],products[],IF(YEAR(dynamic[orderDate])=2022,8,IF(YEAR(dynamic[orderDate])=2023,9,IF(YEAR(dynamic[orderDate])=2024,10,NA))),FALSE)</f>
        <v>6.725636111</v>
      </c>
      <c r="M993" s="9">
        <v>10.0</v>
      </c>
      <c r="N993" s="25">
        <f>(dynamic[orderPrice]-dynamic[productCost])/dynamic[productCost]</f>
        <v>0.486848208</v>
      </c>
      <c r="O993" s="10">
        <v>25.0</v>
      </c>
      <c r="P993" s="25">
        <v>0.1</v>
      </c>
      <c r="Q993" s="9">
        <f>dynamic[orderPrice]*dynamic[orderQuantity]</f>
        <v>250</v>
      </c>
      <c r="R993" s="9">
        <f>dynamic[orderTotal]*(1-dynamic[discountApllied])</f>
        <v>225</v>
      </c>
      <c r="S993" s="9">
        <f>dynamic[revenue]-(dynamic[productCost]*dynamic[orderQuantity])</f>
        <v>56.85909721</v>
      </c>
      <c r="T993" s="25">
        <f>IFERROR(dynamic[profit]/dynamic[revenue], 0)</f>
        <v>0.2527070987</v>
      </c>
    </row>
    <row r="994" ht="15.75" customHeight="1">
      <c r="A994" s="6">
        <v>10623.0</v>
      </c>
      <c r="B994" s="7" t="s">
        <v>32</v>
      </c>
      <c r="C994" s="24" t="str">
        <f>VLOOKUP(dynamic[customerID],customers[],2,FALSE)</f>
        <v>Frankenversand</v>
      </c>
      <c r="D994" s="24">
        <v>45145.0</v>
      </c>
      <c r="E994" s="6">
        <f>IFERROR(__xludf.DUMMYFUNCTION("COUNTUNIQUEIFS($A$2:$A994,$B$2:$B994,B994)"),7.0)</f>
        <v>7</v>
      </c>
      <c r="F994" s="6">
        <f t="shared" si="1"/>
        <v>62</v>
      </c>
      <c r="G994" s="6" t="str">
        <f>IF(MINIFS(dynamic[orderDate], dynamic[customerID], B994) &gt;= DATE(2024,4,30)-120, 
     "New", 
     IF(MAXIFS(dynamic[orderCount], dynamic[customerID], B994)&lt;=2, 
        IF((DATE(2024,4,30) - MAXIFS(dynamic[orderDate], dynamic[customerID], B994)) &gt; 180, "Non-Returning", "Dormant"), 
        IF(AND(MAX(dynamic[sinceLastOrder]) &gt; 365, (DATE(2024,4,30) - MAXIFS(dynamic[orderDate], dynamic[customerID], B994)) &gt; 180), 
           "Dormant", "Regular")))</f>
        <v>Regular</v>
      </c>
      <c r="H994" s="6">
        <v>24.0</v>
      </c>
      <c r="I994" s="9" t="str">
        <f>VLOOKUP(dynamic[productID],products[],2,FALSE)</f>
        <v>Brigadeiros Maravilhosos da Lilian</v>
      </c>
      <c r="J994" s="9" t="str">
        <f>VLOOKUP(dynamic[productID],products[],12,FALSE)</f>
        <v>Confections</v>
      </c>
      <c r="K994" s="7" t="str">
        <f>IF(VLOOKUP(dynamic[productID],products[],7,FALSE)=1,"Discontinued","Current")</f>
        <v>Discontinued</v>
      </c>
      <c r="L994" s="9">
        <f>VLOOKUP(dynamic[productID],products[],IF(YEAR(dynamic[orderDate])=2022,8,IF(YEAR(dynamic[orderDate])=2023,9,IF(YEAR(dynamic[orderDate])=2024,10,NA))),FALSE)</f>
        <v>3.131783363</v>
      </c>
      <c r="M994" s="9">
        <v>4.5</v>
      </c>
      <c r="N994" s="25">
        <f>(dynamic[orderPrice]-dynamic[productCost])/dynamic[productCost]</f>
        <v>0.4368809967</v>
      </c>
      <c r="O994" s="10">
        <v>3.0</v>
      </c>
      <c r="P994" s="25">
        <v>0.0</v>
      </c>
      <c r="Q994" s="9">
        <f>dynamic[orderPrice]*dynamic[orderQuantity]</f>
        <v>13.5</v>
      </c>
      <c r="R994" s="9">
        <f>dynamic[orderTotal]*(1-dynamic[discountApllied])</f>
        <v>13.5</v>
      </c>
      <c r="S994" s="9">
        <f>dynamic[revenue]-(dynamic[productCost]*dynamic[orderQuantity])</f>
        <v>4.104649911</v>
      </c>
      <c r="T994" s="25">
        <f>IFERROR(dynamic[profit]/dynamic[revenue], 0)</f>
        <v>0.3040481416</v>
      </c>
    </row>
    <row r="995" ht="15.75" customHeight="1">
      <c r="A995" s="6">
        <v>10623.0</v>
      </c>
      <c r="B995" s="7" t="s">
        <v>32</v>
      </c>
      <c r="C995" s="24" t="str">
        <f>VLOOKUP(dynamic[customerID],customers[],2,FALSE)</f>
        <v>Frankenversand</v>
      </c>
      <c r="D995" s="24">
        <v>45145.0</v>
      </c>
      <c r="E995" s="6">
        <f>IFERROR(__xludf.DUMMYFUNCTION("COUNTUNIQUEIFS($A$2:$A995,$B$2:$B995,B995)"),7.0)</f>
        <v>7</v>
      </c>
      <c r="F995" s="6">
        <f t="shared" si="1"/>
        <v>62</v>
      </c>
      <c r="G995" s="6" t="str">
        <f>IF(MINIFS(dynamic[orderDate], dynamic[customerID], B995) &gt;= DATE(2024,4,30)-120, 
     "New", 
     IF(MAXIFS(dynamic[orderCount], dynamic[customerID], B995)&lt;=2, 
        IF((DATE(2024,4,30) - MAXIFS(dynamic[orderDate], dynamic[customerID], B995)) &gt; 180, "Non-Returning", "Dormant"), 
        IF(AND(MAX(dynamic[sinceLastOrder]) &gt; 365, (DATE(2024,4,30) - MAXIFS(dynamic[orderDate], dynamic[customerID], B995)) &gt; 180), 
           "Dormant", "Regular")))</f>
        <v>Regular</v>
      </c>
      <c r="H995" s="6">
        <v>35.0</v>
      </c>
      <c r="I995" s="9" t="str">
        <f>VLOOKUP(dynamic[productID],products[],2,FALSE)</f>
        <v>Cold Brew Nitro</v>
      </c>
      <c r="J995" s="9" t="str">
        <f>VLOOKUP(dynamic[productID],products[],12,FALSE)</f>
        <v>Beverages</v>
      </c>
      <c r="K995" s="7" t="str">
        <f>IF(VLOOKUP(dynamic[productID],products[],7,FALSE)=1,"Discontinued","Current")</f>
        <v>Current</v>
      </c>
      <c r="L995" s="9">
        <f>VLOOKUP(dynamic[productID],products[],IF(YEAR(dynamic[orderDate])=2022,8,IF(YEAR(dynamic[orderDate])=2023,9,IF(YEAR(dynamic[orderDate])=2024,10,NA))),FALSE)</f>
        <v>11.7602531</v>
      </c>
      <c r="M995" s="9">
        <v>18.0</v>
      </c>
      <c r="N995" s="25">
        <f>(dynamic[orderPrice]-dynamic[productCost])/dynamic[productCost]</f>
        <v>0.5305793033</v>
      </c>
      <c r="O995" s="10">
        <v>30.0</v>
      </c>
      <c r="P995" s="25">
        <v>0.1</v>
      </c>
      <c r="Q995" s="9">
        <f>dynamic[orderPrice]*dynamic[orderQuantity]</f>
        <v>540</v>
      </c>
      <c r="R995" s="9">
        <f>dynamic[orderTotal]*(1-dynamic[discountApllied])</f>
        <v>486</v>
      </c>
      <c r="S995" s="9">
        <f>dynamic[revenue]-(dynamic[productCost]*dynamic[orderQuantity])</f>
        <v>133.1924069</v>
      </c>
      <c r="T995" s="25">
        <f>IFERROR(dynamic[profit]/dynamic[revenue], 0)</f>
        <v>0.2740584505</v>
      </c>
    </row>
    <row r="996" ht="15.75" customHeight="1">
      <c r="A996" s="6">
        <v>10624.0</v>
      </c>
      <c r="B996" s="7" t="s">
        <v>99</v>
      </c>
      <c r="C996" s="24" t="str">
        <f>VLOOKUP(dynamic[customerID],customers[],2,FALSE)</f>
        <v>The Cracker Box</v>
      </c>
      <c r="D996" s="24">
        <v>45145.0</v>
      </c>
      <c r="E996" s="6">
        <f>IFERROR(__xludf.DUMMYFUNCTION("COUNTUNIQUEIFS($A$2:$A996,$B$2:$B996,B996)"),1.0)</f>
        <v>1</v>
      </c>
      <c r="F996" s="6">
        <f t="shared" si="1"/>
        <v>0</v>
      </c>
      <c r="G996" s="6" t="str">
        <f>IF(MINIFS(dynamic[orderDate], dynamic[customerID], B996) &gt;= DATE(2024,4,30)-120, 
     "New", 
     IF(MAXIFS(dynamic[orderCount], dynamic[customerID], B996)&lt;=2, 
        IF((DATE(2024,4,30) - MAXIFS(dynamic[orderDate], dynamic[customerID], B996)) &gt; 180, "Non-Returning", "Dormant"), 
        IF(AND(MAX(dynamic[sinceLastOrder]) &gt; 365, (DATE(2024,4,30) - MAXIFS(dynamic[orderDate], dynamic[customerID], B996)) &gt; 180), 
           "Dormant", "Regular")))</f>
        <v>Regular</v>
      </c>
      <c r="H996" s="6">
        <v>28.0</v>
      </c>
      <c r="I996" s="9" t="str">
        <f>VLOOKUP(dynamic[productID],products[],2,FALSE)</f>
        <v>Rössle Sauerkraut</v>
      </c>
      <c r="J996" s="9" t="str">
        <f>VLOOKUP(dynamic[productID],products[],12,FALSE)</f>
        <v>Produce</v>
      </c>
      <c r="K996" s="7" t="str">
        <f>IF(VLOOKUP(dynamic[productID],products[],7,FALSE)=1,"Discontinued","Current")</f>
        <v>Discontinued</v>
      </c>
      <c r="L996" s="9">
        <f>VLOOKUP(dynamic[productID],products[],IF(YEAR(dynamic[orderDate])=2022,8,IF(YEAR(dynamic[orderDate])=2023,9,IF(YEAR(dynamic[orderDate])=2024,10,NA))),FALSE)</f>
        <v>31.52644578</v>
      </c>
      <c r="M996" s="9">
        <v>45.6</v>
      </c>
      <c r="N996" s="25">
        <f>(dynamic[orderPrice]-dynamic[productCost])/dynamic[productCost]</f>
        <v>0.4464047207</v>
      </c>
      <c r="O996" s="10">
        <v>10.0</v>
      </c>
      <c r="P996" s="25">
        <v>0.0</v>
      </c>
      <c r="Q996" s="9">
        <f>dynamic[orderPrice]*dynamic[orderQuantity]</f>
        <v>456</v>
      </c>
      <c r="R996" s="9">
        <f>dynamic[orderTotal]*(1-dynamic[discountApllied])</f>
        <v>456</v>
      </c>
      <c r="S996" s="9">
        <f>dynamic[revenue]-(dynamic[productCost]*dynamic[orderQuantity])</f>
        <v>140.7355422</v>
      </c>
      <c r="T996" s="25">
        <f>IFERROR(dynamic[profit]/dynamic[revenue], 0)</f>
        <v>0.308630575</v>
      </c>
    </row>
    <row r="997" ht="15.75" customHeight="1">
      <c r="A997" s="6">
        <v>10624.0</v>
      </c>
      <c r="B997" s="7" t="s">
        <v>99</v>
      </c>
      <c r="C997" s="24" t="str">
        <f>VLOOKUP(dynamic[customerID],customers[],2,FALSE)</f>
        <v>The Cracker Box</v>
      </c>
      <c r="D997" s="24">
        <v>45145.0</v>
      </c>
      <c r="E997" s="6">
        <f>IFERROR(__xludf.DUMMYFUNCTION("COUNTUNIQUEIFS($A$2:$A997,$B$2:$B997,B997)"),1.0)</f>
        <v>1</v>
      </c>
      <c r="F997" s="6">
        <f t="shared" si="1"/>
        <v>0</v>
      </c>
      <c r="G997" s="6" t="str">
        <f>IF(MINIFS(dynamic[orderDate], dynamic[customerID], B997) &gt;= DATE(2024,4,30)-120, 
     "New", 
     IF(MAXIFS(dynamic[orderCount], dynamic[customerID], B997)&lt;=2, 
        IF((DATE(2024,4,30) - MAXIFS(dynamic[orderDate], dynamic[customerID], B997)) &gt; 180, "Non-Returning", "Dormant"), 
        IF(AND(MAX(dynamic[sinceLastOrder]) &gt; 365, (DATE(2024,4,30) - MAXIFS(dynamic[orderDate], dynamic[customerID], B997)) &gt; 180), 
           "Dormant", "Regular")))</f>
        <v>Regular</v>
      </c>
      <c r="H997" s="6">
        <v>29.0</v>
      </c>
      <c r="I997" s="9" t="str">
        <f>VLOOKUP(dynamic[productID],products[],2,FALSE)</f>
        <v>Thüringer Rostbratwurst</v>
      </c>
      <c r="J997" s="9" t="str">
        <f>VLOOKUP(dynamic[productID],products[],12,FALSE)</f>
        <v>Meat/Poultry</v>
      </c>
      <c r="K997" s="7" t="str">
        <f>IF(VLOOKUP(dynamic[productID],products[],7,FALSE)=1,"Discontinued","Current")</f>
        <v>Discontinued</v>
      </c>
      <c r="L997" s="9">
        <f>VLOOKUP(dynamic[productID],products[],IF(YEAR(dynamic[orderDate])=2022,8,IF(YEAR(dynamic[orderDate])=2023,9,IF(YEAR(dynamic[orderDate])=2024,10,NA))),FALSE)</f>
        <v>80.85619497</v>
      </c>
      <c r="M997" s="9">
        <v>123.79</v>
      </c>
      <c r="N997" s="25">
        <f>(dynamic[orderPrice]-dynamic[productCost])/dynamic[productCost]</f>
        <v>0.5309896792</v>
      </c>
      <c r="O997" s="10">
        <v>6.0</v>
      </c>
      <c r="P997" s="25">
        <v>0.0</v>
      </c>
      <c r="Q997" s="9">
        <f>dynamic[orderPrice]*dynamic[orderQuantity]</f>
        <v>742.74</v>
      </c>
      <c r="R997" s="9">
        <f>dynamic[orderTotal]*(1-dynamic[discountApllied])</f>
        <v>742.74</v>
      </c>
      <c r="S997" s="9">
        <f>dynamic[revenue]-(dynamic[productCost]*dynamic[orderQuantity])</f>
        <v>257.6028302</v>
      </c>
      <c r="T997" s="25">
        <f>IFERROR(dynamic[profit]/dynamic[revenue], 0)</f>
        <v>0.3468277327</v>
      </c>
    </row>
    <row r="998" ht="15.75" customHeight="1">
      <c r="A998" s="6">
        <v>10624.0</v>
      </c>
      <c r="B998" s="7" t="s">
        <v>99</v>
      </c>
      <c r="C998" s="24" t="str">
        <f>VLOOKUP(dynamic[customerID],customers[],2,FALSE)</f>
        <v>The Cracker Box</v>
      </c>
      <c r="D998" s="24">
        <v>45145.0</v>
      </c>
      <c r="E998" s="6">
        <f>IFERROR(__xludf.DUMMYFUNCTION("COUNTUNIQUEIFS($A$2:$A998,$B$2:$B998,B998)"),1.0)</f>
        <v>1</v>
      </c>
      <c r="F998" s="6">
        <f t="shared" si="1"/>
        <v>0</v>
      </c>
      <c r="G998" s="6" t="str">
        <f>IF(MINIFS(dynamic[orderDate], dynamic[customerID], B998) &gt;= DATE(2024,4,30)-120, 
     "New", 
     IF(MAXIFS(dynamic[orderCount], dynamic[customerID], B998)&lt;=2, 
        IF((DATE(2024,4,30) - MAXIFS(dynamic[orderDate], dynamic[customerID], B998)) &gt; 180, "Non-Returning", "Dormant"), 
        IF(AND(MAX(dynamic[sinceLastOrder]) &gt; 365, (DATE(2024,4,30) - MAXIFS(dynamic[orderDate], dynamic[customerID], B998)) &gt; 180), 
           "Dormant", "Regular")))</f>
        <v>Regular</v>
      </c>
      <c r="H998" s="6">
        <v>44.0</v>
      </c>
      <c r="I998" s="9" t="str">
        <f>VLOOKUP(dynamic[productID],products[],2,FALSE)</f>
        <v>Gula Malacca</v>
      </c>
      <c r="J998" s="9" t="str">
        <f>VLOOKUP(dynamic[productID],products[],12,FALSE)</f>
        <v>Condiments</v>
      </c>
      <c r="K998" s="7" t="str">
        <f>IF(VLOOKUP(dynamic[productID],products[],7,FALSE)=1,"Discontinued","Current")</f>
        <v>Current</v>
      </c>
      <c r="L998" s="9">
        <f>VLOOKUP(dynamic[productID],products[],IF(YEAR(dynamic[orderDate])=2022,8,IF(YEAR(dynamic[orderDate])=2023,9,IF(YEAR(dynamic[orderDate])=2024,10,NA))),FALSE)</f>
        <v>13.06032103</v>
      </c>
      <c r="M998" s="9">
        <v>19.45</v>
      </c>
      <c r="N998" s="25">
        <f>(dynamic[orderPrice]-dynamic[productCost])/dynamic[productCost]</f>
        <v>0.4892436379</v>
      </c>
      <c r="O998" s="10">
        <v>10.0</v>
      </c>
      <c r="P998" s="25">
        <v>0.0</v>
      </c>
      <c r="Q998" s="9">
        <f>dynamic[orderPrice]*dynamic[orderQuantity]</f>
        <v>194.5</v>
      </c>
      <c r="R998" s="9">
        <f>dynamic[orderTotal]*(1-dynamic[discountApllied])</f>
        <v>194.5</v>
      </c>
      <c r="S998" s="9">
        <f>dynamic[revenue]-(dynamic[productCost]*dynamic[orderQuantity])</f>
        <v>63.89678972</v>
      </c>
      <c r="T998" s="25">
        <f>IFERROR(dynamic[profit]/dynamic[revenue], 0)</f>
        <v>0.3285181991</v>
      </c>
    </row>
    <row r="999" ht="15.75" customHeight="1">
      <c r="A999" s="6">
        <v>10625.0</v>
      </c>
      <c r="B999" s="7" t="s">
        <v>54</v>
      </c>
      <c r="C999" s="24" t="str">
        <f>VLOOKUP(dynamic[customerID],customers[],2,FALSE)</f>
        <v>Ana Trujillo Emparedados y helados</v>
      </c>
      <c r="D999" s="24">
        <v>45146.0</v>
      </c>
      <c r="E999" s="6">
        <f>IFERROR(__xludf.DUMMYFUNCTION("COUNTUNIQUEIFS($A$2:$A999,$B$2:$B999,B999)"),2.0)</f>
        <v>2</v>
      </c>
      <c r="F999" s="6">
        <f t="shared" si="1"/>
        <v>324</v>
      </c>
      <c r="G999" s="6" t="str">
        <f>IF(MINIFS(dynamic[orderDate], dynamic[customerID], B999) &gt;= DATE(2024,4,30)-120, 
     "New", 
     IF(MAXIFS(dynamic[orderCount], dynamic[customerID], B999)&lt;=2, 
        IF((DATE(2024,4,30) - MAXIFS(dynamic[orderDate], dynamic[customerID], B999)) &gt; 180, "Non-Returning", "Dormant"), 
        IF(AND(MAX(dynamic[sinceLastOrder]) &gt; 365, (DATE(2024,4,30) - MAXIFS(dynamic[orderDate], dynamic[customerID], B999)) &gt; 180), 
           "Dormant", "Regular")))</f>
        <v>Regular</v>
      </c>
      <c r="H999" s="6">
        <v>14.0</v>
      </c>
      <c r="I999" s="9" t="str">
        <f>VLOOKUP(dynamic[productID],products[],2,FALSE)</f>
        <v>Tofu</v>
      </c>
      <c r="J999" s="9" t="str">
        <f>VLOOKUP(dynamic[productID],products[],12,FALSE)</f>
        <v>Produce</v>
      </c>
      <c r="K999" s="7" t="str">
        <f>IF(VLOOKUP(dynamic[productID],products[],7,FALSE)=1,"Discontinued","Current")</f>
        <v>Current</v>
      </c>
      <c r="L999" s="9">
        <f>VLOOKUP(dynamic[productID],products[],IF(YEAR(dynamic[orderDate])=2022,8,IF(YEAR(dynamic[orderDate])=2023,9,IF(YEAR(dynamic[orderDate])=2024,10,NA))),FALSE)</f>
        <v>15.38055417</v>
      </c>
      <c r="M999" s="9">
        <v>23.25</v>
      </c>
      <c r="N999" s="25">
        <f>(dynamic[orderPrice]-dynamic[productCost])/dynamic[productCost]</f>
        <v>0.5116490437</v>
      </c>
      <c r="O999" s="10">
        <v>3.0</v>
      </c>
      <c r="P999" s="25">
        <v>0.0</v>
      </c>
      <c r="Q999" s="9">
        <f>dynamic[orderPrice]*dynamic[orderQuantity]</f>
        <v>69.75</v>
      </c>
      <c r="R999" s="9">
        <f>dynamic[orderTotal]*(1-dynamic[discountApllied])</f>
        <v>69.75</v>
      </c>
      <c r="S999" s="9">
        <f>dynamic[revenue]-(dynamic[productCost]*dynamic[orderQuantity])</f>
        <v>23.60833749</v>
      </c>
      <c r="T999" s="25">
        <f>IFERROR(dynamic[profit]/dynamic[revenue], 0)</f>
        <v>0.3384707885</v>
      </c>
    </row>
    <row r="1000" ht="15.75" customHeight="1">
      <c r="A1000" s="6">
        <v>10625.0</v>
      </c>
      <c r="B1000" s="7" t="s">
        <v>54</v>
      </c>
      <c r="C1000" s="24" t="str">
        <f>VLOOKUP(dynamic[customerID],customers[],2,FALSE)</f>
        <v>Ana Trujillo Emparedados y helados</v>
      </c>
      <c r="D1000" s="24">
        <v>45146.0</v>
      </c>
      <c r="E1000" s="6">
        <f>IFERROR(__xludf.DUMMYFUNCTION("COUNTUNIQUEIFS($A$2:$A1000,$B$2:$B1000,B1000)"),2.0)</f>
        <v>2</v>
      </c>
      <c r="F1000" s="6">
        <f t="shared" si="1"/>
        <v>324</v>
      </c>
      <c r="G1000" s="6" t="str">
        <f>IF(MINIFS(dynamic[orderDate], dynamic[customerID], B1000) &gt;= DATE(2024,4,30)-120, 
     "New", 
     IF(MAXIFS(dynamic[orderCount], dynamic[customerID], B1000)&lt;=2, 
        IF((DATE(2024,4,30) - MAXIFS(dynamic[orderDate], dynamic[customerID], B1000)) &gt; 180, "Non-Returning", "Dormant"), 
        IF(AND(MAX(dynamic[sinceLastOrder]) &gt; 365, (DATE(2024,4,30) - MAXIFS(dynamic[orderDate], dynamic[customerID], B1000)) &gt; 180), 
           "Dormant", "Regular")))</f>
        <v>Regular</v>
      </c>
      <c r="H1000" s="6">
        <v>42.0</v>
      </c>
      <c r="I1000" s="9" t="str">
        <f>VLOOKUP(dynamic[productID],products[],2,FALSE)</f>
        <v>Singaporean Hokkien Fried Mee</v>
      </c>
      <c r="J1000" s="9" t="str">
        <f>VLOOKUP(dynamic[productID],products[],12,FALSE)</f>
        <v>Grains/Cereals</v>
      </c>
      <c r="K1000" s="7" t="str">
        <f>IF(VLOOKUP(dynamic[productID],products[],7,FALSE)=1,"Discontinued","Current")</f>
        <v>Discontinued</v>
      </c>
      <c r="L1000" s="9">
        <f>VLOOKUP(dynamic[productID],products[],IF(YEAR(dynamic[orderDate])=2022,8,IF(YEAR(dynamic[orderDate])=2023,9,IF(YEAR(dynamic[orderDate])=2024,10,NA))),FALSE)</f>
        <v>9.105641621</v>
      </c>
      <c r="M1000" s="9">
        <v>14.0</v>
      </c>
      <c r="N1000" s="25">
        <f>(dynamic[orderPrice]-dynamic[productCost])/dynamic[productCost]</f>
        <v>0.5375083474</v>
      </c>
      <c r="O1000" s="10">
        <v>5.0</v>
      </c>
      <c r="P1000" s="25">
        <v>0.0</v>
      </c>
      <c r="Q1000" s="9">
        <f>dynamic[orderPrice]*dynamic[orderQuantity]</f>
        <v>70</v>
      </c>
      <c r="R1000" s="9">
        <f>dynamic[orderTotal]*(1-dynamic[discountApllied])</f>
        <v>70</v>
      </c>
      <c r="S1000" s="9">
        <f>dynamic[revenue]-(dynamic[productCost]*dynamic[orderQuantity])</f>
        <v>24.4717919</v>
      </c>
      <c r="T1000" s="25">
        <f>IFERROR(dynamic[profit]/dynamic[revenue], 0)</f>
        <v>0.3495970271</v>
      </c>
    </row>
    <row r="1001" ht="15.75" customHeight="1">
      <c r="A1001" s="6">
        <v>10625.0</v>
      </c>
      <c r="B1001" s="7" t="s">
        <v>54</v>
      </c>
      <c r="C1001" s="24" t="str">
        <f>VLOOKUP(dynamic[customerID],customers[],2,FALSE)</f>
        <v>Ana Trujillo Emparedados y helados</v>
      </c>
      <c r="D1001" s="24">
        <v>45146.0</v>
      </c>
      <c r="E1001" s="6">
        <f>IFERROR(__xludf.DUMMYFUNCTION("COUNTUNIQUEIFS($A$2:$A1001,$B$2:$B1001,B1001)"),2.0)</f>
        <v>2</v>
      </c>
      <c r="F1001" s="6">
        <f t="shared" si="1"/>
        <v>324</v>
      </c>
      <c r="G1001" s="6" t="str">
        <f>IF(MINIFS(dynamic[orderDate], dynamic[customerID], B1001) &gt;= DATE(2024,4,30)-120, 
     "New", 
     IF(MAXIFS(dynamic[orderCount], dynamic[customerID], B1001)&lt;=2, 
        IF((DATE(2024,4,30) - MAXIFS(dynamic[orderDate], dynamic[customerID], B1001)) &gt; 180, "Non-Returning", "Dormant"), 
        IF(AND(MAX(dynamic[sinceLastOrder]) &gt; 365, (DATE(2024,4,30) - MAXIFS(dynamic[orderDate], dynamic[customerID], B1001)) &gt; 180), 
           "Dormant", "Regular")))</f>
        <v>Regular</v>
      </c>
      <c r="H1001" s="6">
        <v>60.0</v>
      </c>
      <c r="I1001" s="9" t="str">
        <f>VLOOKUP(dynamic[productID],products[],2,FALSE)</f>
        <v>Camembert Pierrot</v>
      </c>
      <c r="J1001" s="9" t="str">
        <f>VLOOKUP(dynamic[productID],products[],12,FALSE)</f>
        <v>Dairy Products</v>
      </c>
      <c r="K1001" s="7" t="str">
        <f>IF(VLOOKUP(dynamic[productID],products[],7,FALSE)=1,"Discontinued","Current")</f>
        <v>Current</v>
      </c>
      <c r="L1001" s="9">
        <f>VLOOKUP(dynamic[productID],products[],IF(YEAR(dynamic[orderDate])=2022,8,IF(YEAR(dynamic[orderDate])=2023,9,IF(YEAR(dynamic[orderDate])=2024,10,NA))),FALSE)</f>
        <v>22.77098295</v>
      </c>
      <c r="M1001" s="9">
        <v>34.0</v>
      </c>
      <c r="N1001" s="25">
        <f>(dynamic[orderPrice]-dynamic[productCost])/dynamic[productCost]</f>
        <v>0.4931283415</v>
      </c>
      <c r="O1001" s="10">
        <v>10.0</v>
      </c>
      <c r="P1001" s="25">
        <v>0.0</v>
      </c>
      <c r="Q1001" s="9">
        <f>dynamic[orderPrice]*dynamic[orderQuantity]</f>
        <v>340</v>
      </c>
      <c r="R1001" s="9">
        <f>dynamic[orderTotal]*(1-dynamic[discountApllied])</f>
        <v>340</v>
      </c>
      <c r="S1001" s="9">
        <f>dynamic[revenue]-(dynamic[productCost]*dynamic[orderQuantity])</f>
        <v>112.2901705</v>
      </c>
      <c r="T1001" s="25">
        <f>IFERROR(dynamic[profit]/dynamic[revenue], 0)</f>
        <v>0.3302652075</v>
      </c>
    </row>
    <row r="1002" ht="15.75" customHeight="1">
      <c r="A1002" s="6">
        <v>10626.0</v>
      </c>
      <c r="B1002" s="7" t="s">
        <v>40</v>
      </c>
      <c r="C1002" s="24" t="str">
        <f>VLOOKUP(dynamic[customerID],customers[],2,FALSE)</f>
        <v>Berglunds snabbköp</v>
      </c>
      <c r="D1002" s="24">
        <v>45149.0</v>
      </c>
      <c r="E1002" s="6">
        <f>IFERROR(__xludf.DUMMYFUNCTION("COUNTUNIQUEIFS($A$2:$A1002,$B$2:$B1002,B1002)"),8.0)</f>
        <v>8</v>
      </c>
      <c r="F1002" s="6">
        <f t="shared" si="1"/>
        <v>54</v>
      </c>
      <c r="G1002" s="6" t="str">
        <f>IF(MINIFS(dynamic[orderDate], dynamic[customerID], B1002) &gt;= DATE(2024,4,30)-120, 
     "New", 
     IF(MAXIFS(dynamic[orderCount], dynamic[customerID], B1002)&lt;=2, 
        IF((DATE(2024,4,30) - MAXIFS(dynamic[orderDate], dynamic[customerID], B1002)) &gt; 180, "Non-Returning", "Dormant"), 
        IF(AND(MAX(dynamic[sinceLastOrder]) &gt; 365, (DATE(2024,4,30) - MAXIFS(dynamic[orderDate], dynamic[customerID], B1002)) &gt; 180), 
           "Dormant", "Regular")))</f>
        <v>Regular</v>
      </c>
      <c r="H1002" s="6">
        <v>53.0</v>
      </c>
      <c r="I1002" s="9" t="str">
        <f>VLOOKUP(dynamic[productID],products[],2,FALSE)</f>
        <v>Perth Pasties</v>
      </c>
      <c r="J1002" s="9" t="str">
        <f>VLOOKUP(dynamic[productID],products[],12,FALSE)</f>
        <v>Meat/Poultry</v>
      </c>
      <c r="K1002" s="7" t="str">
        <f>IF(VLOOKUP(dynamic[productID],products[],7,FALSE)=1,"Discontinued","Current")</f>
        <v>Discontinued</v>
      </c>
      <c r="L1002" s="9">
        <f>VLOOKUP(dynamic[productID],products[],IF(YEAR(dynamic[orderDate])=2022,8,IF(YEAR(dynamic[orderDate])=2023,9,IF(YEAR(dynamic[orderDate])=2024,10,NA))),FALSE)</f>
        <v>21.81491556</v>
      </c>
      <c r="M1002" s="9">
        <v>32.8</v>
      </c>
      <c r="N1002" s="25">
        <f>(dynamic[orderPrice]-dynamic[productCost])/dynamic[productCost]</f>
        <v>0.5035584214</v>
      </c>
      <c r="O1002" s="10">
        <v>12.0</v>
      </c>
      <c r="P1002" s="25">
        <v>0.0</v>
      </c>
      <c r="Q1002" s="9">
        <f>dynamic[orderPrice]*dynamic[orderQuantity]</f>
        <v>393.6</v>
      </c>
      <c r="R1002" s="9">
        <f>dynamic[orderTotal]*(1-dynamic[discountApllied])</f>
        <v>393.6</v>
      </c>
      <c r="S1002" s="9">
        <f>dynamic[revenue]-(dynamic[productCost]*dynamic[orderQuantity])</f>
        <v>131.8210133</v>
      </c>
      <c r="T1002" s="25">
        <f>IFERROR(dynamic[profit]/dynamic[revenue], 0)</f>
        <v>0.334911111</v>
      </c>
    </row>
    <row r="1003" ht="15.75" customHeight="1">
      <c r="A1003" s="6">
        <v>10626.0</v>
      </c>
      <c r="B1003" s="7" t="s">
        <v>40</v>
      </c>
      <c r="C1003" s="24" t="str">
        <f>VLOOKUP(dynamic[customerID],customers[],2,FALSE)</f>
        <v>Berglunds snabbköp</v>
      </c>
      <c r="D1003" s="24">
        <v>45149.0</v>
      </c>
      <c r="E1003" s="6">
        <f>IFERROR(__xludf.DUMMYFUNCTION("COUNTUNIQUEIFS($A$2:$A1003,$B$2:$B1003,B1003)"),8.0)</f>
        <v>8</v>
      </c>
      <c r="F1003" s="6">
        <f t="shared" si="1"/>
        <v>54</v>
      </c>
      <c r="G1003" s="6" t="str">
        <f>IF(MINIFS(dynamic[orderDate], dynamic[customerID], B1003) &gt;= DATE(2024,4,30)-120, 
     "New", 
     IF(MAXIFS(dynamic[orderCount], dynamic[customerID], B1003)&lt;=2, 
        IF((DATE(2024,4,30) - MAXIFS(dynamic[orderDate], dynamic[customerID], B1003)) &gt; 180, "Non-Returning", "Dormant"), 
        IF(AND(MAX(dynamic[sinceLastOrder]) &gt; 365, (DATE(2024,4,30) - MAXIFS(dynamic[orderDate], dynamic[customerID], B1003)) &gt; 180), 
           "Dormant", "Regular")))</f>
        <v>Regular</v>
      </c>
      <c r="H1003" s="6">
        <v>60.0</v>
      </c>
      <c r="I1003" s="9" t="str">
        <f>VLOOKUP(dynamic[productID],products[],2,FALSE)</f>
        <v>Camembert Pierrot</v>
      </c>
      <c r="J1003" s="9" t="str">
        <f>VLOOKUP(dynamic[productID],products[],12,FALSE)</f>
        <v>Dairy Products</v>
      </c>
      <c r="K1003" s="7" t="str">
        <f>IF(VLOOKUP(dynamic[productID],products[],7,FALSE)=1,"Discontinued","Current")</f>
        <v>Current</v>
      </c>
      <c r="L1003" s="9">
        <f>VLOOKUP(dynamic[productID],products[],IF(YEAR(dynamic[orderDate])=2022,8,IF(YEAR(dynamic[orderDate])=2023,9,IF(YEAR(dynamic[orderDate])=2024,10,NA))),FALSE)</f>
        <v>22.77098295</v>
      </c>
      <c r="M1003" s="9">
        <v>34.0</v>
      </c>
      <c r="N1003" s="25">
        <f>(dynamic[orderPrice]-dynamic[productCost])/dynamic[productCost]</f>
        <v>0.4931283415</v>
      </c>
      <c r="O1003" s="10">
        <v>20.0</v>
      </c>
      <c r="P1003" s="25">
        <v>0.0</v>
      </c>
      <c r="Q1003" s="9">
        <f>dynamic[orderPrice]*dynamic[orderQuantity]</f>
        <v>680</v>
      </c>
      <c r="R1003" s="9">
        <f>dynamic[orderTotal]*(1-dynamic[discountApllied])</f>
        <v>680</v>
      </c>
      <c r="S1003" s="9">
        <f>dynamic[revenue]-(dynamic[productCost]*dynamic[orderQuantity])</f>
        <v>224.5803411</v>
      </c>
      <c r="T1003" s="25">
        <f>IFERROR(dynamic[profit]/dynamic[revenue], 0)</f>
        <v>0.3302652075</v>
      </c>
    </row>
    <row r="1004" ht="15.75" customHeight="1">
      <c r="A1004" s="6">
        <v>10626.0</v>
      </c>
      <c r="B1004" s="7" t="s">
        <v>40</v>
      </c>
      <c r="C1004" s="24" t="str">
        <f>VLOOKUP(dynamic[customerID],customers[],2,FALSE)</f>
        <v>Berglunds snabbköp</v>
      </c>
      <c r="D1004" s="24">
        <v>45149.0</v>
      </c>
      <c r="E1004" s="6">
        <f>IFERROR(__xludf.DUMMYFUNCTION("COUNTUNIQUEIFS($A$2:$A1004,$B$2:$B1004,B1004)"),8.0)</f>
        <v>8</v>
      </c>
      <c r="F1004" s="6">
        <f t="shared" si="1"/>
        <v>54</v>
      </c>
      <c r="G1004" s="6" t="str">
        <f>IF(MINIFS(dynamic[orderDate], dynamic[customerID], B1004) &gt;= DATE(2024,4,30)-120, 
     "New", 
     IF(MAXIFS(dynamic[orderCount], dynamic[customerID], B1004)&lt;=2, 
        IF((DATE(2024,4,30) - MAXIFS(dynamic[orderDate], dynamic[customerID], B1004)) &gt; 180, "Non-Returning", "Dormant"), 
        IF(AND(MAX(dynamic[sinceLastOrder]) &gt; 365, (DATE(2024,4,30) - MAXIFS(dynamic[orderDate], dynamic[customerID], B1004)) &gt; 180), 
           "Dormant", "Regular")))</f>
        <v>Regular</v>
      </c>
      <c r="H1004" s="6">
        <v>71.0</v>
      </c>
      <c r="I1004" s="9" t="str">
        <f>VLOOKUP(dynamic[productID],products[],2,FALSE)</f>
        <v>Flotemysost</v>
      </c>
      <c r="J1004" s="9" t="str">
        <f>VLOOKUP(dynamic[productID],products[],12,FALSE)</f>
        <v>Dairy Products</v>
      </c>
      <c r="K1004" s="7" t="str">
        <f>IF(VLOOKUP(dynamic[productID],products[],7,FALSE)=1,"Discontinued","Current")</f>
        <v>Current</v>
      </c>
      <c r="L1004" s="9">
        <f>VLOOKUP(dynamic[productID],products[],IF(YEAR(dynamic[orderDate])=2022,8,IF(YEAR(dynamic[orderDate])=2023,9,IF(YEAR(dynamic[orderDate])=2024,10,NA))),FALSE)</f>
        <v>13.4003664</v>
      </c>
      <c r="M1004" s="9">
        <v>21.5</v>
      </c>
      <c r="N1004" s="25">
        <f>(dynamic[orderPrice]-dynamic[productCost])/dynamic[productCost]</f>
        <v>0.6044337411</v>
      </c>
      <c r="O1004" s="10">
        <v>20.0</v>
      </c>
      <c r="P1004" s="25">
        <v>0.0</v>
      </c>
      <c r="Q1004" s="9">
        <f>dynamic[orderPrice]*dynamic[orderQuantity]</f>
        <v>430</v>
      </c>
      <c r="R1004" s="9">
        <f>dynamic[orderTotal]*(1-dynamic[discountApllied])</f>
        <v>430</v>
      </c>
      <c r="S1004" s="9">
        <f>dynamic[revenue]-(dynamic[productCost]*dynamic[orderQuantity])</f>
        <v>161.9926719</v>
      </c>
      <c r="T1004" s="25">
        <f>IFERROR(dynamic[profit]/dynamic[revenue], 0)</f>
        <v>0.376727144</v>
      </c>
    </row>
    <row r="1005" ht="15.75" customHeight="1">
      <c r="A1005" s="6">
        <v>10627.0</v>
      </c>
      <c r="B1005" s="7" t="s">
        <v>60</v>
      </c>
      <c r="C1005" s="24" t="str">
        <f>VLOOKUP(dynamic[customerID],customers[],2,FALSE)</f>
        <v>Save-a-lot Markets</v>
      </c>
      <c r="D1005" s="24">
        <v>45149.0</v>
      </c>
      <c r="E1005" s="6">
        <f>IFERROR(__xludf.DUMMYFUNCTION("COUNTUNIQUEIFS($A$2:$A1005,$B$2:$B1005,B1005)"),11.0)</f>
        <v>11</v>
      </c>
      <c r="F1005" s="6">
        <f t="shared" si="1"/>
        <v>14</v>
      </c>
      <c r="G1005" s="6" t="str">
        <f>IF(MINIFS(dynamic[orderDate], dynamic[customerID], B1005) &gt;= DATE(2024,4,30)-120, 
     "New", 
     IF(MAXIFS(dynamic[orderCount], dynamic[customerID], B1005)&lt;=2, 
        IF((DATE(2024,4,30) - MAXIFS(dynamic[orderDate], dynamic[customerID], B1005)) &gt; 180, "Non-Returning", "Dormant"), 
        IF(AND(MAX(dynamic[sinceLastOrder]) &gt; 365, (DATE(2024,4,30) - MAXIFS(dynamic[orderDate], dynamic[customerID], B1005)) &gt; 180), 
           "Dormant", "Regular")))</f>
        <v>Regular</v>
      </c>
      <c r="H1005" s="6">
        <v>62.0</v>
      </c>
      <c r="I1005" s="9" t="str">
        <f>VLOOKUP(dynamic[productID],products[],2,FALSE)</f>
        <v>Tarte au sucre</v>
      </c>
      <c r="J1005" s="9" t="str">
        <f>VLOOKUP(dynamic[productID],products[],12,FALSE)</f>
        <v>Confections</v>
      </c>
      <c r="K1005" s="7" t="str">
        <f>IF(VLOOKUP(dynamic[productID],products[],7,FALSE)=1,"Discontinued","Current")</f>
        <v>Current</v>
      </c>
      <c r="L1005" s="9">
        <f>VLOOKUP(dynamic[productID],products[],IF(YEAR(dynamic[orderDate])=2022,8,IF(YEAR(dynamic[orderDate])=2023,9,IF(YEAR(dynamic[orderDate])=2024,10,NA))),FALSE)</f>
        <v>35.34792781</v>
      </c>
      <c r="M1005" s="9">
        <v>49.3</v>
      </c>
      <c r="N1005" s="25">
        <f>(dynamic[orderPrice]-dynamic[productCost])/dynamic[productCost]</f>
        <v>0.3947069335</v>
      </c>
      <c r="O1005" s="10">
        <v>15.0</v>
      </c>
      <c r="P1005" s="25">
        <v>0.0</v>
      </c>
      <c r="Q1005" s="9">
        <f>dynamic[orderPrice]*dynamic[orderQuantity]</f>
        <v>739.5</v>
      </c>
      <c r="R1005" s="9">
        <f>dynamic[orderTotal]*(1-dynamic[discountApllied])</f>
        <v>739.5</v>
      </c>
      <c r="S1005" s="9">
        <f>dynamic[revenue]-(dynamic[productCost]*dynamic[orderQuantity])</f>
        <v>209.2810829</v>
      </c>
      <c r="T1005" s="25">
        <f>IFERROR(dynamic[profit]/dynamic[revenue], 0)</f>
        <v>0.2830034927</v>
      </c>
    </row>
    <row r="1006" ht="15.75" customHeight="1">
      <c r="A1006" s="6">
        <v>10627.0</v>
      </c>
      <c r="B1006" s="7" t="s">
        <v>60</v>
      </c>
      <c r="C1006" s="24" t="str">
        <f>VLOOKUP(dynamic[customerID],customers[],2,FALSE)</f>
        <v>Save-a-lot Markets</v>
      </c>
      <c r="D1006" s="24">
        <v>45149.0</v>
      </c>
      <c r="E1006" s="6">
        <f>IFERROR(__xludf.DUMMYFUNCTION("COUNTUNIQUEIFS($A$2:$A1006,$B$2:$B1006,B1006)"),11.0)</f>
        <v>11</v>
      </c>
      <c r="F1006" s="6">
        <f t="shared" si="1"/>
        <v>14</v>
      </c>
      <c r="G1006" s="6" t="str">
        <f>IF(MINIFS(dynamic[orderDate], dynamic[customerID], B1006) &gt;= DATE(2024,4,30)-120, 
     "New", 
     IF(MAXIFS(dynamic[orderCount], dynamic[customerID], B1006)&lt;=2, 
        IF((DATE(2024,4,30) - MAXIFS(dynamic[orderDate], dynamic[customerID], B1006)) &gt; 180, "Non-Returning", "Dormant"), 
        IF(AND(MAX(dynamic[sinceLastOrder]) &gt; 365, (DATE(2024,4,30) - MAXIFS(dynamic[orderDate], dynamic[customerID], B1006)) &gt; 180), 
           "Dormant", "Regular")))</f>
        <v>Regular</v>
      </c>
      <c r="H1006" s="6">
        <v>73.0</v>
      </c>
      <c r="I1006" s="9" t="str">
        <f>VLOOKUP(dynamic[productID],products[],2,FALSE)</f>
        <v>Röd Kaviar</v>
      </c>
      <c r="J1006" s="9" t="str">
        <f>VLOOKUP(dynamic[productID],products[],12,FALSE)</f>
        <v>Seafood</v>
      </c>
      <c r="K1006" s="7" t="str">
        <f>IF(VLOOKUP(dynamic[productID],products[],7,FALSE)=1,"Discontinued","Current")</f>
        <v>Current</v>
      </c>
      <c r="L1006" s="9">
        <f>VLOOKUP(dynamic[productID],products[],IF(YEAR(dynamic[orderDate])=2022,8,IF(YEAR(dynamic[orderDate])=2023,9,IF(YEAR(dynamic[orderDate])=2024,10,NA))),FALSE)</f>
        <v>9.692999362</v>
      </c>
      <c r="M1006" s="9">
        <v>15.0</v>
      </c>
      <c r="N1006" s="25">
        <f>(dynamic[orderPrice]-dynamic[productCost])/dynamic[productCost]</f>
        <v>0.5475086131</v>
      </c>
      <c r="O1006" s="10">
        <v>35.0</v>
      </c>
      <c r="P1006" s="25">
        <v>0.15</v>
      </c>
      <c r="Q1006" s="9">
        <f>dynamic[orderPrice]*dynamic[orderQuantity]</f>
        <v>525</v>
      </c>
      <c r="R1006" s="9">
        <f>dynamic[orderTotal]*(1-dynamic[discountApllied])</f>
        <v>446.25</v>
      </c>
      <c r="S1006" s="9">
        <f>dynamic[revenue]-(dynamic[productCost]*dynamic[orderQuantity])</f>
        <v>106.9950223</v>
      </c>
      <c r="T1006" s="25">
        <f>IFERROR(dynamic[profit]/dynamic[revenue], 0)</f>
        <v>0.2397647559</v>
      </c>
    </row>
    <row r="1007" ht="15.75" customHeight="1">
      <c r="A1007" s="6">
        <v>10628.0</v>
      </c>
      <c r="B1007" s="7" t="s">
        <v>30</v>
      </c>
      <c r="C1007" s="24" t="str">
        <f>VLOOKUP(dynamic[customerID],customers[],2,FALSE)</f>
        <v>Blondesddsl père et fils</v>
      </c>
      <c r="D1007" s="24">
        <v>45150.0</v>
      </c>
      <c r="E1007" s="6">
        <f>IFERROR(__xludf.DUMMYFUNCTION("COUNTUNIQUEIFS($A$2:$A1007,$B$2:$B1007,B1007)"),9.0)</f>
        <v>9</v>
      </c>
      <c r="F1007" s="6">
        <f t="shared" si="1"/>
        <v>43</v>
      </c>
      <c r="G1007" s="6" t="str">
        <f>IF(MINIFS(dynamic[orderDate], dynamic[customerID], B1007) &gt;= DATE(2024,4,30)-120, 
     "New", 
     IF(MAXIFS(dynamic[orderCount], dynamic[customerID], B1007)&lt;=2, 
        IF((DATE(2024,4,30) - MAXIFS(dynamic[orderDate], dynamic[customerID], B1007)) &gt; 180, "Non-Returning", "Dormant"), 
        IF(AND(MAX(dynamic[sinceLastOrder]) &gt; 365, (DATE(2024,4,30) - MAXIFS(dynamic[orderDate], dynamic[customerID], B1007)) &gt; 180), 
           "Dormant", "Regular")))</f>
        <v>Regular</v>
      </c>
      <c r="H1007" s="6">
        <v>1.0</v>
      </c>
      <c r="I1007" s="9" t="str">
        <f>VLOOKUP(dynamic[productID],products[],2,FALSE)</f>
        <v>Chai</v>
      </c>
      <c r="J1007" s="9" t="str">
        <f>VLOOKUP(dynamic[productID],products[],12,FALSE)</f>
        <v>Beverages</v>
      </c>
      <c r="K1007" s="7" t="str">
        <f>IF(VLOOKUP(dynamic[productID],products[],7,FALSE)=1,"Discontinued","Current")</f>
        <v>Current</v>
      </c>
      <c r="L1007" s="9">
        <f>VLOOKUP(dynamic[productID],products[],IF(YEAR(dynamic[orderDate])=2022,8,IF(YEAR(dynamic[orderDate])=2023,9,IF(YEAR(dynamic[orderDate])=2024,10,NA))),FALSE)</f>
        <v>12.15847607</v>
      </c>
      <c r="M1007" s="9">
        <v>18.0</v>
      </c>
      <c r="N1007" s="25">
        <f>(dynamic[orderPrice]-dynamic[productCost])/dynamic[productCost]</f>
        <v>0.4804486927</v>
      </c>
      <c r="O1007" s="10">
        <v>25.0</v>
      </c>
      <c r="P1007" s="25">
        <v>0.0</v>
      </c>
      <c r="Q1007" s="9">
        <f>dynamic[orderPrice]*dynamic[orderQuantity]</f>
        <v>450</v>
      </c>
      <c r="R1007" s="9">
        <f>dynamic[orderTotal]*(1-dynamic[discountApllied])</f>
        <v>450</v>
      </c>
      <c r="S1007" s="9">
        <f>dynamic[revenue]-(dynamic[productCost]*dynamic[orderQuantity])</f>
        <v>146.0380983</v>
      </c>
      <c r="T1007" s="25">
        <f>IFERROR(dynamic[profit]/dynamic[revenue], 0)</f>
        <v>0.3245291073</v>
      </c>
    </row>
    <row r="1008" ht="15.75" customHeight="1">
      <c r="A1008" s="6">
        <v>10629.0</v>
      </c>
      <c r="B1008" s="7" t="s">
        <v>51</v>
      </c>
      <c r="C1008" s="24" t="str">
        <f>VLOOKUP(dynamic[customerID],customers[],2,FALSE)</f>
        <v>Godos Cocina Típica</v>
      </c>
      <c r="D1008" s="24">
        <v>45150.0</v>
      </c>
      <c r="E1008" s="6">
        <f>IFERROR(__xludf.DUMMYFUNCTION("COUNTUNIQUEIFS($A$2:$A1008,$B$2:$B1008,B1008)"),3.0)</f>
        <v>3</v>
      </c>
      <c r="F1008" s="6">
        <f t="shared" si="1"/>
        <v>76</v>
      </c>
      <c r="G1008" s="6" t="str">
        <f>IF(MINIFS(dynamic[orderDate], dynamic[customerID], B1008) &gt;= DATE(2024,4,30)-120, 
     "New", 
     IF(MAXIFS(dynamic[orderCount], dynamic[customerID], B1008)&lt;=2, 
        IF((DATE(2024,4,30) - MAXIFS(dynamic[orderDate], dynamic[customerID], B1008)) &gt; 180, "Non-Returning", "Dormant"), 
        IF(AND(MAX(dynamic[sinceLastOrder]) &gt; 365, (DATE(2024,4,30) - MAXIFS(dynamic[orderDate], dynamic[customerID], B1008)) &gt; 180), 
           "Dormant", "Regular")))</f>
        <v>Regular</v>
      </c>
      <c r="H1008" s="6">
        <v>29.0</v>
      </c>
      <c r="I1008" s="9" t="str">
        <f>VLOOKUP(dynamic[productID],products[],2,FALSE)</f>
        <v>Thüringer Rostbratwurst</v>
      </c>
      <c r="J1008" s="9" t="str">
        <f>VLOOKUP(dynamic[productID],products[],12,FALSE)</f>
        <v>Meat/Poultry</v>
      </c>
      <c r="K1008" s="7" t="str">
        <f>IF(VLOOKUP(dynamic[productID],products[],7,FALSE)=1,"Discontinued","Current")</f>
        <v>Discontinued</v>
      </c>
      <c r="L1008" s="9">
        <f>VLOOKUP(dynamic[productID],products[],IF(YEAR(dynamic[orderDate])=2022,8,IF(YEAR(dynamic[orderDate])=2023,9,IF(YEAR(dynamic[orderDate])=2024,10,NA))),FALSE)</f>
        <v>80.85619497</v>
      </c>
      <c r="M1008" s="9">
        <v>123.79</v>
      </c>
      <c r="N1008" s="25">
        <f>(dynamic[orderPrice]-dynamic[productCost])/dynamic[productCost]</f>
        <v>0.5309896792</v>
      </c>
      <c r="O1008" s="10">
        <v>20.0</v>
      </c>
      <c r="P1008" s="25">
        <v>0.0</v>
      </c>
      <c r="Q1008" s="9">
        <f>dynamic[orderPrice]*dynamic[orderQuantity]</f>
        <v>2475.8</v>
      </c>
      <c r="R1008" s="9">
        <f>dynamic[orderTotal]*(1-dynamic[discountApllied])</f>
        <v>2475.8</v>
      </c>
      <c r="S1008" s="9">
        <f>dynamic[revenue]-(dynamic[productCost]*dynamic[orderQuantity])</f>
        <v>858.6761006</v>
      </c>
      <c r="T1008" s="25">
        <f>IFERROR(dynamic[profit]/dynamic[revenue], 0)</f>
        <v>0.3468277327</v>
      </c>
    </row>
    <row r="1009" ht="15.75" customHeight="1">
      <c r="A1009" s="6">
        <v>10629.0</v>
      </c>
      <c r="B1009" s="7" t="s">
        <v>51</v>
      </c>
      <c r="C1009" s="24" t="str">
        <f>VLOOKUP(dynamic[customerID],customers[],2,FALSE)</f>
        <v>Godos Cocina Típica</v>
      </c>
      <c r="D1009" s="24">
        <v>45150.0</v>
      </c>
      <c r="E1009" s="6">
        <f>IFERROR(__xludf.DUMMYFUNCTION("COUNTUNIQUEIFS($A$2:$A1009,$B$2:$B1009,B1009)"),3.0)</f>
        <v>3</v>
      </c>
      <c r="F1009" s="6">
        <f t="shared" si="1"/>
        <v>76</v>
      </c>
      <c r="G1009" s="6" t="str">
        <f>IF(MINIFS(dynamic[orderDate], dynamic[customerID], B1009) &gt;= DATE(2024,4,30)-120, 
     "New", 
     IF(MAXIFS(dynamic[orderCount], dynamic[customerID], B1009)&lt;=2, 
        IF((DATE(2024,4,30) - MAXIFS(dynamic[orderDate], dynamic[customerID], B1009)) &gt; 180, "Non-Returning", "Dormant"), 
        IF(AND(MAX(dynamic[sinceLastOrder]) &gt; 365, (DATE(2024,4,30) - MAXIFS(dynamic[orderDate], dynamic[customerID], B1009)) &gt; 180), 
           "Dormant", "Regular")))</f>
        <v>Regular</v>
      </c>
      <c r="H1009" s="6">
        <v>64.0</v>
      </c>
      <c r="I1009" s="9" t="str">
        <f>VLOOKUP(dynamic[productID],products[],2,FALSE)</f>
        <v>Lukas' leckere Sauerteigweggla</v>
      </c>
      <c r="J1009" s="9" t="str">
        <f>VLOOKUP(dynamic[productID],products[],12,FALSE)</f>
        <v>Grains/Cereals</v>
      </c>
      <c r="K1009" s="7" t="str">
        <f>IF(VLOOKUP(dynamic[productID],products[],7,FALSE)=1,"Discontinued","Current")</f>
        <v>Current</v>
      </c>
      <c r="L1009" s="9">
        <f>VLOOKUP(dynamic[productID],products[],IF(YEAR(dynamic[orderDate])=2022,8,IF(YEAR(dynamic[orderDate])=2023,9,IF(YEAR(dynamic[orderDate])=2024,10,NA))),FALSE)</f>
        <v>21.88572728</v>
      </c>
      <c r="M1009" s="9">
        <v>33.25</v>
      </c>
      <c r="N1009" s="25">
        <f>(dynamic[orderPrice]-dynamic[productCost])/dynamic[productCost]</f>
        <v>0.5192549724</v>
      </c>
      <c r="O1009" s="10">
        <v>9.0</v>
      </c>
      <c r="P1009" s="25">
        <v>0.0</v>
      </c>
      <c r="Q1009" s="9">
        <f>dynamic[orderPrice]*dynamic[orderQuantity]</f>
        <v>299.25</v>
      </c>
      <c r="R1009" s="9">
        <f>dynamic[orderTotal]*(1-dynamic[discountApllied])</f>
        <v>299.25</v>
      </c>
      <c r="S1009" s="9">
        <f>dynamic[revenue]-(dynamic[productCost]*dynamic[orderQuantity])</f>
        <v>102.2784545</v>
      </c>
      <c r="T1009" s="25">
        <f>IFERROR(dynamic[profit]/dynamic[revenue], 0)</f>
        <v>0.3417826381</v>
      </c>
    </row>
    <row r="1010" ht="15.75" customHeight="1">
      <c r="A1010" s="6">
        <v>10630.0</v>
      </c>
      <c r="B1010" s="7" t="s">
        <v>59</v>
      </c>
      <c r="C1010" s="24" t="str">
        <f>VLOOKUP(dynamic[customerID],customers[],2,FALSE)</f>
        <v>Königlich Essen</v>
      </c>
      <c r="D1010" s="24">
        <v>45151.0</v>
      </c>
      <c r="E1010" s="6">
        <f>IFERROR(__xludf.DUMMYFUNCTION("COUNTUNIQUEIFS($A$2:$A1010,$B$2:$B1010,B1010)"),8.0)</f>
        <v>8</v>
      </c>
      <c r="F1010" s="6">
        <f t="shared" si="1"/>
        <v>85</v>
      </c>
      <c r="G1010" s="6" t="str">
        <f>IF(MINIFS(dynamic[orderDate], dynamic[customerID], B1010) &gt;= DATE(2024,4,30)-120, 
     "New", 
     IF(MAXIFS(dynamic[orderCount], dynamic[customerID], B1010)&lt;=2, 
        IF((DATE(2024,4,30) - MAXIFS(dynamic[orderDate], dynamic[customerID], B1010)) &gt; 180, "Non-Returning", "Dormant"), 
        IF(AND(MAX(dynamic[sinceLastOrder]) &gt; 365, (DATE(2024,4,30) - MAXIFS(dynamic[orderDate], dynamic[customerID], B1010)) &gt; 180), 
           "Dormant", "Regular")))</f>
        <v>Regular</v>
      </c>
      <c r="H1010" s="6">
        <v>55.0</v>
      </c>
      <c r="I1010" s="9" t="str">
        <f>VLOOKUP(dynamic[productID],products[],2,FALSE)</f>
        <v>Pâté chinois</v>
      </c>
      <c r="J1010" s="9" t="str">
        <f>VLOOKUP(dynamic[productID],products[],12,FALSE)</f>
        <v>Meat/Poultry</v>
      </c>
      <c r="K1010" s="7" t="str">
        <f>IF(VLOOKUP(dynamic[productID],products[],7,FALSE)=1,"Discontinued","Current")</f>
        <v>Current</v>
      </c>
      <c r="L1010" s="9">
        <f>VLOOKUP(dynamic[productID],products[],IF(YEAR(dynamic[orderDate])=2022,8,IF(YEAR(dynamic[orderDate])=2023,9,IF(YEAR(dynamic[orderDate])=2024,10,NA))),FALSE)</f>
        <v>14.92398776</v>
      </c>
      <c r="M1010" s="9">
        <v>24.0</v>
      </c>
      <c r="N1010" s="25">
        <f>(dynamic[orderPrice]-dynamic[productCost])/dynamic[productCost]</f>
        <v>0.6081492681</v>
      </c>
      <c r="O1010" s="10">
        <v>12.0</v>
      </c>
      <c r="P1010" s="25">
        <v>0.05</v>
      </c>
      <c r="Q1010" s="9">
        <f>dynamic[orderPrice]*dynamic[orderQuantity]</f>
        <v>288</v>
      </c>
      <c r="R1010" s="9">
        <f>dynamic[orderTotal]*(1-dynamic[discountApllied])</f>
        <v>273.6</v>
      </c>
      <c r="S1010" s="9">
        <f>dynamic[revenue]-(dynamic[productCost]*dynamic[orderQuantity])</f>
        <v>94.51214683</v>
      </c>
      <c r="T1010" s="25">
        <f>IFERROR(dynamic[profit]/dynamic[revenue], 0)</f>
        <v>0.3454391332</v>
      </c>
    </row>
    <row r="1011" ht="15.75" customHeight="1">
      <c r="A1011" s="6">
        <v>10630.0</v>
      </c>
      <c r="B1011" s="7" t="s">
        <v>59</v>
      </c>
      <c r="C1011" s="24" t="str">
        <f>VLOOKUP(dynamic[customerID],customers[],2,FALSE)</f>
        <v>Königlich Essen</v>
      </c>
      <c r="D1011" s="24">
        <v>45151.0</v>
      </c>
      <c r="E1011" s="6">
        <f>IFERROR(__xludf.DUMMYFUNCTION("COUNTUNIQUEIFS($A$2:$A1011,$B$2:$B1011,B1011)"),8.0)</f>
        <v>8</v>
      </c>
      <c r="F1011" s="6">
        <f t="shared" si="1"/>
        <v>85</v>
      </c>
      <c r="G1011" s="6" t="str">
        <f>IF(MINIFS(dynamic[orderDate], dynamic[customerID], B1011) &gt;= DATE(2024,4,30)-120, 
     "New", 
     IF(MAXIFS(dynamic[orderCount], dynamic[customerID], B1011)&lt;=2, 
        IF((DATE(2024,4,30) - MAXIFS(dynamic[orderDate], dynamic[customerID], B1011)) &gt; 180, "Non-Returning", "Dormant"), 
        IF(AND(MAX(dynamic[sinceLastOrder]) &gt; 365, (DATE(2024,4,30) - MAXIFS(dynamic[orderDate], dynamic[customerID], B1011)) &gt; 180), 
           "Dormant", "Regular")))</f>
        <v>Regular</v>
      </c>
      <c r="H1011" s="6">
        <v>76.0</v>
      </c>
      <c r="I1011" s="9" t="str">
        <f>VLOOKUP(dynamic[productID],products[],2,FALSE)</f>
        <v>Lakkalikööri</v>
      </c>
      <c r="J1011" s="9" t="str">
        <f>VLOOKUP(dynamic[productID],products[],12,FALSE)</f>
        <v>Beverages</v>
      </c>
      <c r="K1011" s="7" t="str">
        <f>IF(VLOOKUP(dynamic[productID],products[],7,FALSE)=1,"Discontinued","Current")</f>
        <v>Current</v>
      </c>
      <c r="L1011" s="9">
        <f>VLOOKUP(dynamic[productID],products[],IF(YEAR(dynamic[orderDate])=2022,8,IF(YEAR(dynamic[orderDate])=2023,9,IF(YEAR(dynamic[orderDate])=2024,10,NA))),FALSE)</f>
        <v>12.1154529</v>
      </c>
      <c r="M1011" s="9">
        <v>18.0</v>
      </c>
      <c r="N1011" s="25">
        <f>(dynamic[orderPrice]-dynamic[productCost])/dynamic[productCost]</f>
        <v>0.4857059125</v>
      </c>
      <c r="O1011" s="10">
        <v>35.0</v>
      </c>
      <c r="P1011" s="25">
        <v>0.0</v>
      </c>
      <c r="Q1011" s="9">
        <f>dynamic[orderPrice]*dynamic[orderQuantity]</f>
        <v>630</v>
      </c>
      <c r="R1011" s="9">
        <f>dynamic[orderTotal]*(1-dynamic[discountApllied])</f>
        <v>630</v>
      </c>
      <c r="S1011" s="9">
        <f>dynamic[revenue]-(dynamic[productCost]*dynamic[orderQuantity])</f>
        <v>205.9591487</v>
      </c>
      <c r="T1011" s="25">
        <f>IFERROR(dynamic[profit]/dynamic[revenue], 0)</f>
        <v>0.3269192836</v>
      </c>
    </row>
    <row r="1012" ht="15.75" customHeight="1">
      <c r="A1012" s="6">
        <v>10631.0</v>
      </c>
      <c r="B1012" s="7" t="s">
        <v>68</v>
      </c>
      <c r="C1012" s="24" t="str">
        <f>VLOOKUP(dynamic[customerID],customers[],2,FALSE)</f>
        <v>La maison d'Asie</v>
      </c>
      <c r="D1012" s="24">
        <v>45152.0</v>
      </c>
      <c r="E1012" s="6">
        <f>IFERROR(__xludf.DUMMYFUNCTION("COUNTUNIQUEIFS($A$2:$A1012,$B$2:$B1012,B1012)"),10.0)</f>
        <v>10</v>
      </c>
      <c r="F1012" s="6">
        <f t="shared" si="1"/>
        <v>20</v>
      </c>
      <c r="G1012" s="6" t="str">
        <f>IF(MINIFS(dynamic[orderDate], dynamic[customerID], B1012) &gt;= DATE(2024,4,30)-120, 
     "New", 
     IF(MAXIFS(dynamic[orderCount], dynamic[customerID], B1012)&lt;=2, 
        IF((DATE(2024,4,30) - MAXIFS(dynamic[orderDate], dynamic[customerID], B1012)) &gt; 180, "Non-Returning", "Dormant"), 
        IF(AND(MAX(dynamic[sinceLastOrder]) &gt; 365, (DATE(2024,4,30) - MAXIFS(dynamic[orderDate], dynamic[customerID], B1012)) &gt; 180), 
           "Dormant", "Regular")))</f>
        <v>Regular</v>
      </c>
      <c r="H1012" s="6">
        <v>75.0</v>
      </c>
      <c r="I1012" s="9" t="str">
        <f>VLOOKUP(dynamic[productID],products[],2,FALSE)</f>
        <v>Rhönbräu Klosterbier</v>
      </c>
      <c r="J1012" s="9" t="str">
        <f>VLOOKUP(dynamic[productID],products[],12,FALSE)</f>
        <v>Beverages</v>
      </c>
      <c r="K1012" s="7" t="str">
        <f>IF(VLOOKUP(dynamic[productID],products[],7,FALSE)=1,"Discontinued","Current")</f>
        <v>Current</v>
      </c>
      <c r="L1012" s="9">
        <f>VLOOKUP(dynamic[productID],products[],IF(YEAR(dynamic[orderDate])=2022,8,IF(YEAR(dynamic[orderDate])=2023,9,IF(YEAR(dynamic[orderDate])=2024,10,NA))),FALSE)</f>
        <v>5.355290472</v>
      </c>
      <c r="M1012" s="9">
        <v>7.75</v>
      </c>
      <c r="N1012" s="25">
        <f>(dynamic[orderPrice]-dynamic[productCost])/dynamic[productCost]</f>
        <v>0.4471670661</v>
      </c>
      <c r="O1012" s="10">
        <v>8.0</v>
      </c>
      <c r="P1012" s="25">
        <v>0.1</v>
      </c>
      <c r="Q1012" s="9">
        <f>dynamic[orderPrice]*dynamic[orderQuantity]</f>
        <v>62</v>
      </c>
      <c r="R1012" s="9">
        <f>dynamic[orderTotal]*(1-dynamic[discountApllied])</f>
        <v>55.8</v>
      </c>
      <c r="S1012" s="9">
        <f>dynamic[revenue]-(dynamic[productCost]*dynamic[orderQuantity])</f>
        <v>12.95767623</v>
      </c>
      <c r="T1012" s="25">
        <f>IFERROR(dynamic[profit]/dynamic[revenue], 0)</f>
        <v>0.2322164198</v>
      </c>
    </row>
    <row r="1013" ht="15.75" customHeight="1">
      <c r="A1013" s="6">
        <v>10632.0</v>
      </c>
      <c r="B1013" s="7" t="s">
        <v>50</v>
      </c>
      <c r="C1013" s="24" t="str">
        <f>VLOOKUP(dynamic[customerID],customers[],2,FALSE)</f>
        <v>Die Wandernde Kuh</v>
      </c>
      <c r="D1013" s="24">
        <v>45152.0</v>
      </c>
      <c r="E1013" s="6">
        <f>IFERROR(__xludf.DUMMYFUNCTION("COUNTUNIQUEIFS($A$2:$A1013,$B$2:$B1013,B1013)"),6.0)</f>
        <v>6</v>
      </c>
      <c r="F1013" s="6">
        <f t="shared" si="1"/>
        <v>114</v>
      </c>
      <c r="G1013" s="6" t="str">
        <f>IF(MINIFS(dynamic[orderDate], dynamic[customerID], B1013) &gt;= DATE(2024,4,30)-120, 
     "New", 
     IF(MAXIFS(dynamic[orderCount], dynamic[customerID], B1013)&lt;=2, 
        IF((DATE(2024,4,30) - MAXIFS(dynamic[orderDate], dynamic[customerID], B1013)) &gt; 180, "Non-Returning", "Dormant"), 
        IF(AND(MAX(dynamic[sinceLastOrder]) &gt; 365, (DATE(2024,4,30) - MAXIFS(dynamic[orderDate], dynamic[customerID], B1013)) &gt; 180), 
           "Dormant", "Regular")))</f>
        <v>Regular</v>
      </c>
      <c r="H1013" s="6">
        <v>2.0</v>
      </c>
      <c r="I1013" s="9" t="str">
        <f>VLOOKUP(dynamic[productID],products[],2,FALSE)</f>
        <v>Chang</v>
      </c>
      <c r="J1013" s="9" t="str">
        <f>VLOOKUP(dynamic[productID],products[],12,FALSE)</f>
        <v>Beverages</v>
      </c>
      <c r="K1013" s="7" t="str">
        <f>IF(VLOOKUP(dynamic[productID],products[],7,FALSE)=1,"Discontinued","Current")</f>
        <v>Current</v>
      </c>
      <c r="L1013" s="9">
        <f>VLOOKUP(dynamic[productID],products[],IF(YEAR(dynamic[orderDate])=2022,8,IF(YEAR(dynamic[orderDate])=2023,9,IF(YEAR(dynamic[orderDate])=2024,10,NA))),FALSE)</f>
        <v>12.14626904</v>
      </c>
      <c r="M1013" s="9">
        <v>19.0</v>
      </c>
      <c r="N1013" s="25">
        <f>(dynamic[orderPrice]-dynamic[productCost])/dynamic[productCost]</f>
        <v>0.5642663547</v>
      </c>
      <c r="O1013" s="10">
        <v>30.0</v>
      </c>
      <c r="P1013" s="25">
        <v>0.05</v>
      </c>
      <c r="Q1013" s="9">
        <f>dynamic[orderPrice]*dynamic[orderQuantity]</f>
        <v>570</v>
      </c>
      <c r="R1013" s="9">
        <f>dynamic[orderTotal]*(1-dynamic[discountApllied])</f>
        <v>541.5</v>
      </c>
      <c r="S1013" s="9">
        <f>dynamic[revenue]-(dynamic[productCost]*dynamic[orderQuantity])</f>
        <v>177.1119287</v>
      </c>
      <c r="T1013" s="25">
        <f>IFERROR(dynamic[profit]/dynamic[revenue], 0)</f>
        <v>0.3270765073</v>
      </c>
    </row>
    <row r="1014" ht="15.75" customHeight="1">
      <c r="A1014" s="6">
        <v>10632.0</v>
      </c>
      <c r="B1014" s="7" t="s">
        <v>50</v>
      </c>
      <c r="C1014" s="24" t="str">
        <f>VLOOKUP(dynamic[customerID],customers[],2,FALSE)</f>
        <v>Die Wandernde Kuh</v>
      </c>
      <c r="D1014" s="24">
        <v>45152.0</v>
      </c>
      <c r="E1014" s="6">
        <f>IFERROR(__xludf.DUMMYFUNCTION("COUNTUNIQUEIFS($A$2:$A1014,$B$2:$B1014,B1014)"),6.0)</f>
        <v>6</v>
      </c>
      <c r="F1014" s="6">
        <f t="shared" si="1"/>
        <v>114</v>
      </c>
      <c r="G1014" s="6" t="str">
        <f>IF(MINIFS(dynamic[orderDate], dynamic[customerID], B1014) &gt;= DATE(2024,4,30)-120, 
     "New", 
     IF(MAXIFS(dynamic[orderCount], dynamic[customerID], B1014)&lt;=2, 
        IF((DATE(2024,4,30) - MAXIFS(dynamic[orderDate], dynamic[customerID], B1014)) &gt; 180, "Non-Returning", "Dormant"), 
        IF(AND(MAX(dynamic[sinceLastOrder]) &gt; 365, (DATE(2024,4,30) - MAXIFS(dynamic[orderDate], dynamic[customerID], B1014)) &gt; 180), 
           "Dormant", "Regular")))</f>
        <v>Regular</v>
      </c>
      <c r="H1014" s="6">
        <v>33.0</v>
      </c>
      <c r="I1014" s="9" t="str">
        <f>VLOOKUP(dynamic[productID],products[],2,FALSE)</f>
        <v>Geitost</v>
      </c>
      <c r="J1014" s="9" t="str">
        <f>VLOOKUP(dynamic[productID],products[],12,FALSE)</f>
        <v>Dairy Products</v>
      </c>
      <c r="K1014" s="7" t="str">
        <f>IF(VLOOKUP(dynamic[productID],products[],7,FALSE)=1,"Discontinued","Current")</f>
        <v>Current</v>
      </c>
      <c r="L1014" s="9">
        <f>VLOOKUP(dynamic[productID],products[],IF(YEAR(dynamic[orderDate])=2022,8,IF(YEAR(dynamic[orderDate])=2023,9,IF(YEAR(dynamic[orderDate])=2024,10,NA))),FALSE)</f>
        <v>1.559072298</v>
      </c>
      <c r="M1014" s="9">
        <v>2.5</v>
      </c>
      <c r="N1014" s="25">
        <f>(dynamic[orderPrice]-dynamic[productCost])/dynamic[productCost]</f>
        <v>0.603517684</v>
      </c>
      <c r="O1014" s="10">
        <v>20.0</v>
      </c>
      <c r="P1014" s="25">
        <v>0.05</v>
      </c>
      <c r="Q1014" s="9">
        <f>dynamic[orderPrice]*dynamic[orderQuantity]</f>
        <v>50</v>
      </c>
      <c r="R1014" s="9">
        <f>dynamic[orderTotal]*(1-dynamic[discountApllied])</f>
        <v>47.5</v>
      </c>
      <c r="S1014" s="9">
        <f>dynamic[revenue]-(dynamic[productCost]*dynamic[orderQuantity])</f>
        <v>16.31855405</v>
      </c>
      <c r="T1014" s="25">
        <f>IFERROR(dynamic[profit]/dynamic[revenue], 0)</f>
        <v>0.3435485062</v>
      </c>
    </row>
    <row r="1015" ht="15.75" customHeight="1">
      <c r="A1015" s="6">
        <v>10633.0</v>
      </c>
      <c r="B1015" s="7" t="s">
        <v>24</v>
      </c>
      <c r="C1015" s="24" t="str">
        <f>VLOOKUP(dynamic[customerID],customers[],2,FALSE)</f>
        <v>Ernst Handel</v>
      </c>
      <c r="D1015" s="24">
        <v>45153.0</v>
      </c>
      <c r="E1015" s="6">
        <f>IFERROR(__xludf.DUMMYFUNCTION("COUNTUNIQUEIFS($A$2:$A1015,$B$2:$B1015,B1015)"),14.0)</f>
        <v>14</v>
      </c>
      <c r="F1015" s="6">
        <f t="shared" si="1"/>
        <v>36</v>
      </c>
      <c r="G1015" s="6" t="str">
        <f>IF(MINIFS(dynamic[orderDate], dynamic[customerID], B1015) &gt;= DATE(2024,4,30)-120, 
     "New", 
     IF(MAXIFS(dynamic[orderCount], dynamic[customerID], B1015)&lt;=2, 
        IF((DATE(2024,4,30) - MAXIFS(dynamic[orderDate], dynamic[customerID], B1015)) &gt; 180, "Non-Returning", "Dormant"), 
        IF(AND(MAX(dynamic[sinceLastOrder]) &gt; 365, (DATE(2024,4,30) - MAXIFS(dynamic[orderDate], dynamic[customerID], B1015)) &gt; 180), 
           "Dormant", "Regular")))</f>
        <v>Regular</v>
      </c>
      <c r="H1015" s="6">
        <v>12.0</v>
      </c>
      <c r="I1015" s="9" t="str">
        <f>VLOOKUP(dynamic[productID],products[],2,FALSE)</f>
        <v>Queso Manchego La Pastora</v>
      </c>
      <c r="J1015" s="9" t="str">
        <f>VLOOKUP(dynamic[productID],products[],12,FALSE)</f>
        <v>Dairy Products</v>
      </c>
      <c r="K1015" s="7" t="str">
        <f>IF(VLOOKUP(dynamic[productID],products[],7,FALSE)=1,"Discontinued","Current")</f>
        <v>Current</v>
      </c>
      <c r="L1015" s="9">
        <f>VLOOKUP(dynamic[productID],products[],IF(YEAR(dynamic[orderDate])=2022,8,IF(YEAR(dynamic[orderDate])=2023,9,IF(YEAR(dynamic[orderDate])=2024,10,NA))),FALSE)</f>
        <v>23.79216617</v>
      </c>
      <c r="M1015" s="9">
        <v>38.0</v>
      </c>
      <c r="N1015" s="25">
        <f>(dynamic[orderPrice]-dynamic[productCost])/dynamic[productCost]</f>
        <v>0.5971643663</v>
      </c>
      <c r="O1015" s="10">
        <v>36.0</v>
      </c>
      <c r="P1015" s="25">
        <v>0.15</v>
      </c>
      <c r="Q1015" s="9">
        <f>dynamic[orderPrice]*dynamic[orderQuantity]</f>
        <v>1368</v>
      </c>
      <c r="R1015" s="9">
        <f>dynamic[orderTotal]*(1-dynamic[discountApllied])</f>
        <v>1162.8</v>
      </c>
      <c r="S1015" s="9">
        <f>dynamic[revenue]-(dynamic[productCost]*dynamic[orderQuantity])</f>
        <v>306.282018</v>
      </c>
      <c r="T1015" s="25">
        <f>IFERROR(dynamic[profit]/dynamic[revenue], 0)</f>
        <v>0.2634004283</v>
      </c>
    </row>
    <row r="1016" ht="15.75" customHeight="1">
      <c r="A1016" s="6">
        <v>10633.0</v>
      </c>
      <c r="B1016" s="7" t="s">
        <v>24</v>
      </c>
      <c r="C1016" s="24" t="str">
        <f>VLOOKUP(dynamic[customerID],customers[],2,FALSE)</f>
        <v>Ernst Handel</v>
      </c>
      <c r="D1016" s="24">
        <v>45153.0</v>
      </c>
      <c r="E1016" s="6">
        <f>IFERROR(__xludf.DUMMYFUNCTION("COUNTUNIQUEIFS($A$2:$A1016,$B$2:$B1016,B1016)"),14.0)</f>
        <v>14</v>
      </c>
      <c r="F1016" s="6">
        <f t="shared" si="1"/>
        <v>36</v>
      </c>
      <c r="G1016" s="6" t="str">
        <f>IF(MINIFS(dynamic[orderDate], dynamic[customerID], B1016) &gt;= DATE(2024,4,30)-120, 
     "New", 
     IF(MAXIFS(dynamic[orderCount], dynamic[customerID], B1016)&lt;=2, 
        IF((DATE(2024,4,30) - MAXIFS(dynamic[orderDate], dynamic[customerID], B1016)) &gt; 180, "Non-Returning", "Dormant"), 
        IF(AND(MAX(dynamic[sinceLastOrder]) &gt; 365, (DATE(2024,4,30) - MAXIFS(dynamic[orderDate], dynamic[customerID], B1016)) &gt; 180), 
           "Dormant", "Regular")))</f>
        <v>Regular</v>
      </c>
      <c r="H1016" s="6">
        <v>13.0</v>
      </c>
      <c r="I1016" s="9" t="str">
        <f>VLOOKUP(dynamic[productID],products[],2,FALSE)</f>
        <v>Konbu</v>
      </c>
      <c r="J1016" s="9" t="str">
        <f>VLOOKUP(dynamic[productID],products[],12,FALSE)</f>
        <v>Seafood</v>
      </c>
      <c r="K1016" s="7" t="str">
        <f>IF(VLOOKUP(dynamic[productID],products[],7,FALSE)=1,"Discontinued","Current")</f>
        <v>Current</v>
      </c>
      <c r="L1016" s="9">
        <f>VLOOKUP(dynamic[productID],products[],IF(YEAR(dynamic[orderDate])=2022,8,IF(YEAR(dynamic[orderDate])=2023,9,IF(YEAR(dynamic[orderDate])=2024,10,NA))),FALSE)</f>
        <v>3.865774949</v>
      </c>
      <c r="M1016" s="9">
        <v>6.0</v>
      </c>
      <c r="N1016" s="25">
        <f>(dynamic[orderPrice]-dynamic[productCost])/dynamic[productCost]</f>
        <v>0.5520820739</v>
      </c>
      <c r="O1016" s="10">
        <v>13.0</v>
      </c>
      <c r="P1016" s="25">
        <v>0.15</v>
      </c>
      <c r="Q1016" s="9">
        <f>dynamic[orderPrice]*dynamic[orderQuantity]</f>
        <v>78</v>
      </c>
      <c r="R1016" s="9">
        <f>dynamic[orderTotal]*(1-dynamic[discountApllied])</f>
        <v>66.3</v>
      </c>
      <c r="S1016" s="9">
        <f>dynamic[revenue]-(dynamic[productCost]*dynamic[orderQuantity])</f>
        <v>16.04492566</v>
      </c>
      <c r="T1016" s="25">
        <f>IFERROR(dynamic[profit]/dynamic[revenue], 0)</f>
        <v>0.242004912</v>
      </c>
    </row>
    <row r="1017" ht="15.75" customHeight="1">
      <c r="A1017" s="6">
        <v>10633.0</v>
      </c>
      <c r="B1017" s="7" t="s">
        <v>24</v>
      </c>
      <c r="C1017" s="24" t="str">
        <f>VLOOKUP(dynamic[customerID],customers[],2,FALSE)</f>
        <v>Ernst Handel</v>
      </c>
      <c r="D1017" s="24">
        <v>45153.0</v>
      </c>
      <c r="E1017" s="6">
        <f>IFERROR(__xludf.DUMMYFUNCTION("COUNTUNIQUEIFS($A$2:$A1017,$B$2:$B1017,B1017)"),14.0)</f>
        <v>14</v>
      </c>
      <c r="F1017" s="6">
        <f t="shared" si="1"/>
        <v>36</v>
      </c>
      <c r="G1017" s="6" t="str">
        <f>IF(MINIFS(dynamic[orderDate], dynamic[customerID], B1017) &gt;= DATE(2024,4,30)-120, 
     "New", 
     IF(MAXIFS(dynamic[orderCount], dynamic[customerID], B1017)&lt;=2, 
        IF((DATE(2024,4,30) - MAXIFS(dynamic[orderDate], dynamic[customerID], B1017)) &gt; 180, "Non-Returning", "Dormant"), 
        IF(AND(MAX(dynamic[sinceLastOrder]) &gt; 365, (DATE(2024,4,30) - MAXIFS(dynamic[orderDate], dynamic[customerID], B1017)) &gt; 180), 
           "Dormant", "Regular")))</f>
        <v>Regular</v>
      </c>
      <c r="H1017" s="6">
        <v>26.0</v>
      </c>
      <c r="I1017" s="9" t="str">
        <f>VLOOKUP(dynamic[productID],products[],2,FALSE)</f>
        <v>NuNuCa Nuß-Nougat-Creme</v>
      </c>
      <c r="J1017" s="9" t="str">
        <f>VLOOKUP(dynamic[productID],products[],12,FALSE)</f>
        <v>Confections</v>
      </c>
      <c r="K1017" s="7" t="str">
        <f>IF(VLOOKUP(dynamic[productID],products[],7,FALSE)=1,"Discontinued","Current")</f>
        <v>Current</v>
      </c>
      <c r="L1017" s="9">
        <f>VLOOKUP(dynamic[productID],products[],IF(YEAR(dynamic[orderDate])=2022,8,IF(YEAR(dynamic[orderDate])=2023,9,IF(YEAR(dynamic[orderDate])=2024,10,NA))),FALSE)</f>
        <v>21.20896201</v>
      </c>
      <c r="M1017" s="9">
        <v>31.23</v>
      </c>
      <c r="N1017" s="25">
        <f>(dynamic[orderPrice]-dynamic[productCost])/dynamic[productCost]</f>
        <v>0.472490732</v>
      </c>
      <c r="O1017" s="10">
        <v>35.0</v>
      </c>
      <c r="P1017" s="25">
        <v>0.15</v>
      </c>
      <c r="Q1017" s="9">
        <f>dynamic[orderPrice]*dynamic[orderQuantity]</f>
        <v>1093.05</v>
      </c>
      <c r="R1017" s="9">
        <f>dynamic[orderTotal]*(1-dynamic[discountApllied])</f>
        <v>929.0925</v>
      </c>
      <c r="S1017" s="9">
        <f>dynamic[revenue]-(dynamic[productCost]*dynamic[orderQuantity])</f>
        <v>186.7788296</v>
      </c>
      <c r="T1017" s="25">
        <f>IFERROR(dynamic[profit]/dynamic[revenue], 0)</f>
        <v>0.201033621</v>
      </c>
    </row>
    <row r="1018" ht="15.75" customHeight="1">
      <c r="A1018" s="6">
        <v>10633.0</v>
      </c>
      <c r="B1018" s="7" t="s">
        <v>24</v>
      </c>
      <c r="C1018" s="24" t="str">
        <f>VLOOKUP(dynamic[customerID],customers[],2,FALSE)</f>
        <v>Ernst Handel</v>
      </c>
      <c r="D1018" s="24">
        <v>45153.0</v>
      </c>
      <c r="E1018" s="6">
        <f>IFERROR(__xludf.DUMMYFUNCTION("COUNTUNIQUEIFS($A$2:$A1018,$B$2:$B1018,B1018)"),14.0)</f>
        <v>14</v>
      </c>
      <c r="F1018" s="6">
        <f t="shared" si="1"/>
        <v>36</v>
      </c>
      <c r="G1018" s="6" t="str">
        <f>IF(MINIFS(dynamic[orderDate], dynamic[customerID], B1018) &gt;= DATE(2024,4,30)-120, 
     "New", 
     IF(MAXIFS(dynamic[orderCount], dynamic[customerID], B1018)&lt;=2, 
        IF((DATE(2024,4,30) - MAXIFS(dynamic[orderDate], dynamic[customerID], B1018)) &gt; 180, "Non-Returning", "Dormant"), 
        IF(AND(MAX(dynamic[sinceLastOrder]) &gt; 365, (DATE(2024,4,30) - MAXIFS(dynamic[orderDate], dynamic[customerID], B1018)) &gt; 180), 
           "Dormant", "Regular")))</f>
        <v>Regular</v>
      </c>
      <c r="H1018" s="6">
        <v>62.0</v>
      </c>
      <c r="I1018" s="9" t="str">
        <f>VLOOKUP(dynamic[productID],products[],2,FALSE)</f>
        <v>Tarte au sucre</v>
      </c>
      <c r="J1018" s="9" t="str">
        <f>VLOOKUP(dynamic[productID],products[],12,FALSE)</f>
        <v>Confections</v>
      </c>
      <c r="K1018" s="7" t="str">
        <f>IF(VLOOKUP(dynamic[productID],products[],7,FALSE)=1,"Discontinued","Current")</f>
        <v>Current</v>
      </c>
      <c r="L1018" s="9">
        <f>VLOOKUP(dynamic[productID],products[],IF(YEAR(dynamic[orderDate])=2022,8,IF(YEAR(dynamic[orderDate])=2023,9,IF(YEAR(dynamic[orderDate])=2024,10,NA))),FALSE)</f>
        <v>35.34792781</v>
      </c>
      <c r="M1018" s="9">
        <v>49.3</v>
      </c>
      <c r="N1018" s="25">
        <f>(dynamic[orderPrice]-dynamic[productCost])/dynamic[productCost]</f>
        <v>0.3947069335</v>
      </c>
      <c r="O1018" s="10">
        <v>80.0</v>
      </c>
      <c r="P1018" s="25">
        <v>0.15</v>
      </c>
      <c r="Q1018" s="9">
        <f>dynamic[orderPrice]*dynamic[orderQuantity]</f>
        <v>3944</v>
      </c>
      <c r="R1018" s="9">
        <f>dynamic[orderTotal]*(1-dynamic[discountApllied])</f>
        <v>3352.4</v>
      </c>
      <c r="S1018" s="9">
        <f>dynamic[revenue]-(dynamic[productCost]*dynamic[orderQuantity])</f>
        <v>524.5657753</v>
      </c>
      <c r="T1018" s="25">
        <f>IFERROR(dynamic[profit]/dynamic[revenue], 0)</f>
        <v>0.1564746973</v>
      </c>
    </row>
    <row r="1019" ht="15.75" customHeight="1">
      <c r="A1019" s="6">
        <v>10634.0</v>
      </c>
      <c r="B1019" s="7" t="s">
        <v>83</v>
      </c>
      <c r="C1019" s="24" t="str">
        <f>VLOOKUP(dynamic[customerID],customers[],2,FALSE)</f>
        <v>Folies gourmandes</v>
      </c>
      <c r="D1019" s="24">
        <v>45153.0</v>
      </c>
      <c r="E1019" s="6">
        <f>IFERROR(__xludf.DUMMYFUNCTION("COUNTUNIQUEIFS($A$2:$A1019,$B$2:$B1019,B1019)"),3.0)</f>
        <v>3</v>
      </c>
      <c r="F1019" s="6">
        <f t="shared" si="1"/>
        <v>148</v>
      </c>
      <c r="G1019" s="6" t="str">
        <f>IF(MINIFS(dynamic[orderDate], dynamic[customerID], B1019) &gt;= DATE(2024,4,30)-120, 
     "New", 
     IF(MAXIFS(dynamic[orderCount], dynamic[customerID], B1019)&lt;=2, 
        IF((DATE(2024,4,30) - MAXIFS(dynamic[orderDate], dynamic[customerID], B1019)) &gt; 180, "Non-Returning", "Dormant"), 
        IF(AND(MAX(dynamic[sinceLastOrder]) &gt; 365, (DATE(2024,4,30) - MAXIFS(dynamic[orderDate], dynamic[customerID], B1019)) &gt; 180), 
           "Dormant", "Regular")))</f>
        <v>Regular</v>
      </c>
      <c r="H1019" s="6">
        <v>7.0</v>
      </c>
      <c r="I1019" s="9" t="str">
        <f>VLOOKUP(dynamic[productID],products[],2,FALSE)</f>
        <v>Uncle Bob's Organic Dried Pears</v>
      </c>
      <c r="J1019" s="9" t="str">
        <f>VLOOKUP(dynamic[productID],products[],12,FALSE)</f>
        <v>Produce</v>
      </c>
      <c r="K1019" s="7" t="str">
        <f>IF(VLOOKUP(dynamic[productID],products[],7,FALSE)=1,"Discontinued","Current")</f>
        <v>Current</v>
      </c>
      <c r="L1019" s="9">
        <f>VLOOKUP(dynamic[productID],products[],IF(YEAR(dynamic[orderDate])=2022,8,IF(YEAR(dynamic[orderDate])=2023,9,IF(YEAR(dynamic[orderDate])=2024,10,NA))),FALSE)</f>
        <v>21.39244625</v>
      </c>
      <c r="M1019" s="9">
        <v>30.0</v>
      </c>
      <c r="N1019" s="25">
        <f>(dynamic[orderPrice]-dynamic[productCost])/dynamic[productCost]</f>
        <v>0.4023641636</v>
      </c>
      <c r="O1019" s="10">
        <v>35.0</v>
      </c>
      <c r="P1019" s="25">
        <v>0.0</v>
      </c>
      <c r="Q1019" s="9">
        <f>dynamic[orderPrice]*dynamic[orderQuantity]</f>
        <v>1050</v>
      </c>
      <c r="R1019" s="9">
        <f>dynamic[orderTotal]*(1-dynamic[discountApllied])</f>
        <v>1050</v>
      </c>
      <c r="S1019" s="9">
        <f>dynamic[revenue]-(dynamic[productCost]*dynamic[orderQuantity])</f>
        <v>301.2643811</v>
      </c>
      <c r="T1019" s="25">
        <f>IFERROR(dynamic[profit]/dynamic[revenue], 0)</f>
        <v>0.2869184582</v>
      </c>
    </row>
    <row r="1020" ht="15.75" customHeight="1">
      <c r="A1020" s="6">
        <v>10634.0</v>
      </c>
      <c r="B1020" s="7" t="s">
        <v>83</v>
      </c>
      <c r="C1020" s="24" t="str">
        <f>VLOOKUP(dynamic[customerID],customers[],2,FALSE)</f>
        <v>Folies gourmandes</v>
      </c>
      <c r="D1020" s="24">
        <v>45153.0</v>
      </c>
      <c r="E1020" s="6">
        <f>IFERROR(__xludf.DUMMYFUNCTION("COUNTUNIQUEIFS($A$2:$A1020,$B$2:$B1020,B1020)"),3.0)</f>
        <v>3</v>
      </c>
      <c r="F1020" s="6">
        <f t="shared" si="1"/>
        <v>148</v>
      </c>
      <c r="G1020" s="6" t="str">
        <f>IF(MINIFS(dynamic[orderDate], dynamic[customerID], B1020) &gt;= DATE(2024,4,30)-120, 
     "New", 
     IF(MAXIFS(dynamic[orderCount], dynamic[customerID], B1020)&lt;=2, 
        IF((DATE(2024,4,30) - MAXIFS(dynamic[orderDate], dynamic[customerID], B1020)) &gt; 180, "Non-Returning", "Dormant"), 
        IF(AND(MAX(dynamic[sinceLastOrder]) &gt; 365, (DATE(2024,4,30) - MAXIFS(dynamic[orderDate], dynamic[customerID], B1020)) &gt; 180), 
           "Dormant", "Regular")))</f>
        <v>Regular</v>
      </c>
      <c r="H1020" s="6">
        <v>18.0</v>
      </c>
      <c r="I1020" s="9" t="str">
        <f>VLOOKUP(dynamic[productID],products[],2,FALSE)</f>
        <v>Carnarvon Tigers</v>
      </c>
      <c r="J1020" s="9" t="str">
        <f>VLOOKUP(dynamic[productID],products[],12,FALSE)</f>
        <v>Seafood</v>
      </c>
      <c r="K1020" s="7" t="str">
        <f>IF(VLOOKUP(dynamic[productID],products[],7,FALSE)=1,"Discontinued","Current")</f>
        <v>Current</v>
      </c>
      <c r="L1020" s="9">
        <f>VLOOKUP(dynamic[productID],products[],IF(YEAR(dynamic[orderDate])=2022,8,IF(YEAR(dynamic[orderDate])=2023,9,IF(YEAR(dynamic[orderDate])=2024,10,NA))),FALSE)</f>
        <v>39.51966651</v>
      </c>
      <c r="M1020" s="9">
        <v>62.5</v>
      </c>
      <c r="N1020" s="25">
        <f>(dynamic[orderPrice]-dynamic[productCost])/dynamic[productCost]</f>
        <v>0.5814910784</v>
      </c>
      <c r="O1020" s="10">
        <v>50.0</v>
      </c>
      <c r="P1020" s="25">
        <v>0.0</v>
      </c>
      <c r="Q1020" s="9">
        <f>dynamic[orderPrice]*dynamic[orderQuantity]</f>
        <v>3125</v>
      </c>
      <c r="R1020" s="9">
        <f>dynamic[orderTotal]*(1-dynamic[discountApllied])</f>
        <v>3125</v>
      </c>
      <c r="S1020" s="9">
        <f>dynamic[revenue]-(dynamic[productCost]*dynamic[orderQuantity])</f>
        <v>1149.016675</v>
      </c>
      <c r="T1020" s="25">
        <f>IFERROR(dynamic[profit]/dynamic[revenue], 0)</f>
        <v>0.3676853359</v>
      </c>
    </row>
    <row r="1021" ht="15.75" customHeight="1">
      <c r="A1021" s="6">
        <v>10634.0</v>
      </c>
      <c r="B1021" s="7" t="s">
        <v>83</v>
      </c>
      <c r="C1021" s="24" t="str">
        <f>VLOOKUP(dynamic[customerID],customers[],2,FALSE)</f>
        <v>Folies gourmandes</v>
      </c>
      <c r="D1021" s="24">
        <v>45153.0</v>
      </c>
      <c r="E1021" s="6">
        <f>IFERROR(__xludf.DUMMYFUNCTION("COUNTUNIQUEIFS($A$2:$A1021,$B$2:$B1021,B1021)"),3.0)</f>
        <v>3</v>
      </c>
      <c r="F1021" s="6">
        <f t="shared" si="1"/>
        <v>148</v>
      </c>
      <c r="G1021" s="6" t="str">
        <f>IF(MINIFS(dynamic[orderDate], dynamic[customerID], B1021) &gt;= DATE(2024,4,30)-120, 
     "New", 
     IF(MAXIFS(dynamic[orderCount], dynamic[customerID], B1021)&lt;=2, 
        IF((DATE(2024,4,30) - MAXIFS(dynamic[orderDate], dynamic[customerID], B1021)) &gt; 180, "Non-Returning", "Dormant"), 
        IF(AND(MAX(dynamic[sinceLastOrder]) &gt; 365, (DATE(2024,4,30) - MAXIFS(dynamic[orderDate], dynamic[customerID], B1021)) &gt; 180), 
           "Dormant", "Regular")))</f>
        <v>Regular</v>
      </c>
      <c r="H1021" s="6">
        <v>51.0</v>
      </c>
      <c r="I1021" s="9" t="str">
        <f>VLOOKUP(dynamic[productID],products[],2,FALSE)</f>
        <v>Manjimup Dried Apples</v>
      </c>
      <c r="J1021" s="9" t="str">
        <f>VLOOKUP(dynamic[productID],products[],12,FALSE)</f>
        <v>Produce</v>
      </c>
      <c r="K1021" s="7" t="str">
        <f>IF(VLOOKUP(dynamic[productID],products[],7,FALSE)=1,"Discontinued","Current")</f>
        <v>Current</v>
      </c>
      <c r="L1021" s="9">
        <f>VLOOKUP(dynamic[productID],products[],IF(YEAR(dynamic[orderDate])=2022,8,IF(YEAR(dynamic[orderDate])=2023,9,IF(YEAR(dynamic[orderDate])=2024,10,NA))),FALSE)</f>
        <v>36.88798027</v>
      </c>
      <c r="M1021" s="9">
        <v>53.0</v>
      </c>
      <c r="N1021" s="25">
        <f>(dynamic[orderPrice]-dynamic[productCost])/dynamic[productCost]</f>
        <v>0.4367823779</v>
      </c>
      <c r="O1021" s="10">
        <v>15.0</v>
      </c>
      <c r="P1021" s="25">
        <v>0.0</v>
      </c>
      <c r="Q1021" s="9">
        <f>dynamic[orderPrice]*dynamic[orderQuantity]</f>
        <v>795</v>
      </c>
      <c r="R1021" s="9">
        <f>dynamic[orderTotal]*(1-dynamic[discountApllied])</f>
        <v>795</v>
      </c>
      <c r="S1021" s="9">
        <f>dynamic[revenue]-(dynamic[productCost]*dynamic[orderQuantity])</f>
        <v>241.680296</v>
      </c>
      <c r="T1021" s="25">
        <f>IFERROR(dynamic[profit]/dynamic[revenue], 0)</f>
        <v>0.3040003724</v>
      </c>
    </row>
    <row r="1022" ht="15.75" customHeight="1">
      <c r="A1022" s="6">
        <v>10634.0</v>
      </c>
      <c r="B1022" s="7" t="s">
        <v>83</v>
      </c>
      <c r="C1022" s="24" t="str">
        <f>VLOOKUP(dynamic[customerID],customers[],2,FALSE)</f>
        <v>Folies gourmandes</v>
      </c>
      <c r="D1022" s="24">
        <v>45153.0</v>
      </c>
      <c r="E1022" s="6">
        <f>IFERROR(__xludf.DUMMYFUNCTION("COUNTUNIQUEIFS($A$2:$A1022,$B$2:$B1022,B1022)"),3.0)</f>
        <v>3</v>
      </c>
      <c r="F1022" s="6">
        <f t="shared" si="1"/>
        <v>148</v>
      </c>
      <c r="G1022" s="6" t="str">
        <f>IF(MINIFS(dynamic[orderDate], dynamic[customerID], B1022) &gt;= DATE(2024,4,30)-120, 
     "New", 
     IF(MAXIFS(dynamic[orderCount], dynamic[customerID], B1022)&lt;=2, 
        IF((DATE(2024,4,30) - MAXIFS(dynamic[orderDate], dynamic[customerID], B1022)) &gt; 180, "Non-Returning", "Dormant"), 
        IF(AND(MAX(dynamic[sinceLastOrder]) &gt; 365, (DATE(2024,4,30) - MAXIFS(dynamic[orderDate], dynamic[customerID], B1022)) &gt; 180), 
           "Dormant", "Regular")))</f>
        <v>Regular</v>
      </c>
      <c r="H1022" s="6">
        <v>75.0</v>
      </c>
      <c r="I1022" s="9" t="str">
        <f>VLOOKUP(dynamic[productID],products[],2,FALSE)</f>
        <v>Rhönbräu Klosterbier</v>
      </c>
      <c r="J1022" s="9" t="str">
        <f>VLOOKUP(dynamic[productID],products[],12,FALSE)</f>
        <v>Beverages</v>
      </c>
      <c r="K1022" s="7" t="str">
        <f>IF(VLOOKUP(dynamic[productID],products[],7,FALSE)=1,"Discontinued","Current")</f>
        <v>Current</v>
      </c>
      <c r="L1022" s="9">
        <f>VLOOKUP(dynamic[productID],products[],IF(YEAR(dynamic[orderDate])=2022,8,IF(YEAR(dynamic[orderDate])=2023,9,IF(YEAR(dynamic[orderDate])=2024,10,NA))),FALSE)</f>
        <v>5.355290472</v>
      </c>
      <c r="M1022" s="9">
        <v>7.75</v>
      </c>
      <c r="N1022" s="25">
        <f>(dynamic[orderPrice]-dynamic[productCost])/dynamic[productCost]</f>
        <v>0.4471670661</v>
      </c>
      <c r="O1022" s="10">
        <v>2.0</v>
      </c>
      <c r="P1022" s="25">
        <v>0.0</v>
      </c>
      <c r="Q1022" s="9">
        <f>dynamic[orderPrice]*dynamic[orderQuantity]</f>
        <v>15.5</v>
      </c>
      <c r="R1022" s="9">
        <f>dynamic[orderTotal]*(1-dynamic[discountApllied])</f>
        <v>15.5</v>
      </c>
      <c r="S1022" s="9">
        <f>dynamic[revenue]-(dynamic[productCost]*dynamic[orderQuantity])</f>
        <v>4.789419057</v>
      </c>
      <c r="T1022" s="25">
        <f>IFERROR(dynamic[profit]/dynamic[revenue], 0)</f>
        <v>0.3089947778</v>
      </c>
    </row>
    <row r="1023" ht="15.75" customHeight="1">
      <c r="A1023" s="6">
        <v>10635.0</v>
      </c>
      <c r="B1023" s="7" t="s">
        <v>37</v>
      </c>
      <c r="C1023" s="24" t="str">
        <f>VLOOKUP(dynamic[customerID],customers[],2,FALSE)</f>
        <v>Magazzini Alimentari Riuniti</v>
      </c>
      <c r="D1023" s="24">
        <v>45156.0</v>
      </c>
      <c r="E1023" s="6">
        <f>IFERROR(__xludf.DUMMYFUNCTION("COUNTUNIQUEIFS($A$2:$A1023,$B$2:$B1023,B1023)"),5.0)</f>
        <v>5</v>
      </c>
      <c r="F1023" s="6">
        <f t="shared" si="1"/>
        <v>165</v>
      </c>
      <c r="G1023" s="6" t="str">
        <f>IF(MINIFS(dynamic[orderDate], dynamic[customerID], B1023) &gt;= DATE(2024,4,30)-120, 
     "New", 
     IF(MAXIFS(dynamic[orderCount], dynamic[customerID], B1023)&lt;=2, 
        IF((DATE(2024,4,30) - MAXIFS(dynamic[orderDate], dynamic[customerID], B1023)) &gt; 180, "Non-Returning", "Dormant"), 
        IF(AND(MAX(dynamic[sinceLastOrder]) &gt; 365, (DATE(2024,4,30) - MAXIFS(dynamic[orderDate], dynamic[customerID], B1023)) &gt; 180), 
           "Dormant", "Regular")))</f>
        <v>Regular</v>
      </c>
      <c r="H1023" s="6">
        <v>4.0</v>
      </c>
      <c r="I1023" s="9" t="str">
        <f>VLOOKUP(dynamic[productID],products[],2,FALSE)</f>
        <v>Chef Anton's Cajun Seasoning</v>
      </c>
      <c r="J1023" s="9" t="str">
        <f>VLOOKUP(dynamic[productID],products[],12,FALSE)</f>
        <v>Condiments</v>
      </c>
      <c r="K1023" s="7" t="str">
        <f>IF(VLOOKUP(dynamic[productID],products[],7,FALSE)=1,"Discontinued","Current")</f>
        <v>Current</v>
      </c>
      <c r="L1023" s="9">
        <f>VLOOKUP(dynamic[productID],products[],IF(YEAR(dynamic[orderDate])=2022,8,IF(YEAR(dynamic[orderDate])=2023,9,IF(YEAR(dynamic[orderDate])=2024,10,NA))),FALSE)</f>
        <v>13.81047124</v>
      </c>
      <c r="M1023" s="9">
        <v>22.0</v>
      </c>
      <c r="N1023" s="25">
        <f>(dynamic[orderPrice]-dynamic[productCost])/dynamic[productCost]</f>
        <v>0.5929941577</v>
      </c>
      <c r="O1023" s="10">
        <v>10.0</v>
      </c>
      <c r="P1023" s="25">
        <v>0.1</v>
      </c>
      <c r="Q1023" s="9">
        <f>dynamic[orderPrice]*dynamic[orderQuantity]</f>
        <v>220</v>
      </c>
      <c r="R1023" s="9">
        <f>dynamic[orderTotal]*(1-dynamic[discountApllied])</f>
        <v>198</v>
      </c>
      <c r="S1023" s="9">
        <f>dynamic[revenue]-(dynamic[productCost]*dynamic[orderQuantity])</f>
        <v>59.8952876</v>
      </c>
      <c r="T1023" s="25">
        <f>IFERROR(dynamic[profit]/dynamic[revenue], 0)</f>
        <v>0.3025014525</v>
      </c>
    </row>
    <row r="1024" ht="15.75" customHeight="1">
      <c r="A1024" s="6">
        <v>10635.0</v>
      </c>
      <c r="B1024" s="7" t="s">
        <v>37</v>
      </c>
      <c r="C1024" s="24" t="str">
        <f>VLOOKUP(dynamic[customerID],customers[],2,FALSE)</f>
        <v>Magazzini Alimentari Riuniti</v>
      </c>
      <c r="D1024" s="24">
        <v>45156.0</v>
      </c>
      <c r="E1024" s="6">
        <f>IFERROR(__xludf.DUMMYFUNCTION("COUNTUNIQUEIFS($A$2:$A1024,$B$2:$B1024,B1024)"),5.0)</f>
        <v>5</v>
      </c>
      <c r="F1024" s="6">
        <f t="shared" si="1"/>
        <v>165</v>
      </c>
      <c r="G1024" s="6" t="str">
        <f>IF(MINIFS(dynamic[orderDate], dynamic[customerID], B1024) &gt;= DATE(2024,4,30)-120, 
     "New", 
     IF(MAXIFS(dynamic[orderCount], dynamic[customerID], B1024)&lt;=2, 
        IF((DATE(2024,4,30) - MAXIFS(dynamic[orderDate], dynamic[customerID], B1024)) &gt; 180, "Non-Returning", "Dormant"), 
        IF(AND(MAX(dynamic[sinceLastOrder]) &gt; 365, (DATE(2024,4,30) - MAXIFS(dynamic[orderDate], dynamic[customerID], B1024)) &gt; 180), 
           "Dormant", "Regular")))</f>
        <v>Regular</v>
      </c>
      <c r="H1024" s="6">
        <v>5.0</v>
      </c>
      <c r="I1024" s="9" t="str">
        <f>VLOOKUP(dynamic[productID],products[],2,FALSE)</f>
        <v>Chef Anton's Gumbo Mix</v>
      </c>
      <c r="J1024" s="9" t="str">
        <f>VLOOKUP(dynamic[productID],products[],12,FALSE)</f>
        <v>Condiments</v>
      </c>
      <c r="K1024" s="7" t="str">
        <f>IF(VLOOKUP(dynamic[productID],products[],7,FALSE)=1,"Discontinued","Current")</f>
        <v>Discontinued</v>
      </c>
      <c r="L1024" s="9">
        <f>VLOOKUP(dynamic[productID],products[],IF(YEAR(dynamic[orderDate])=2022,8,IF(YEAR(dynamic[orderDate])=2023,9,IF(YEAR(dynamic[orderDate])=2024,10,NA))),FALSE)</f>
        <v>14.65258256</v>
      </c>
      <c r="M1024" s="9">
        <v>21.35</v>
      </c>
      <c r="N1024" s="25">
        <f>(dynamic[orderPrice]-dynamic[productCost])/dynamic[productCost]</f>
        <v>0.4570810239</v>
      </c>
      <c r="O1024" s="10">
        <v>15.0</v>
      </c>
      <c r="P1024" s="25">
        <v>0.1</v>
      </c>
      <c r="Q1024" s="9">
        <f>dynamic[orderPrice]*dynamic[orderQuantity]</f>
        <v>320.25</v>
      </c>
      <c r="R1024" s="9">
        <f>dynamic[orderTotal]*(1-dynamic[discountApllied])</f>
        <v>288.225</v>
      </c>
      <c r="S1024" s="9">
        <f>dynamic[revenue]-(dynamic[productCost]*dynamic[orderQuantity])</f>
        <v>68.43626159</v>
      </c>
      <c r="T1024" s="25">
        <f>IFERROR(dynamic[profit]/dynamic[revenue], 0)</f>
        <v>0.237440408</v>
      </c>
    </row>
    <row r="1025" ht="15.75" customHeight="1">
      <c r="A1025" s="6">
        <v>10635.0</v>
      </c>
      <c r="B1025" s="7" t="s">
        <v>37</v>
      </c>
      <c r="C1025" s="24" t="str">
        <f>VLOOKUP(dynamic[customerID],customers[],2,FALSE)</f>
        <v>Magazzini Alimentari Riuniti</v>
      </c>
      <c r="D1025" s="24">
        <v>45156.0</v>
      </c>
      <c r="E1025" s="6">
        <f>IFERROR(__xludf.DUMMYFUNCTION("COUNTUNIQUEIFS($A$2:$A1025,$B$2:$B1025,B1025)"),5.0)</f>
        <v>5</v>
      </c>
      <c r="F1025" s="6">
        <f t="shared" si="1"/>
        <v>165</v>
      </c>
      <c r="G1025" s="6" t="str">
        <f>IF(MINIFS(dynamic[orderDate], dynamic[customerID], B1025) &gt;= DATE(2024,4,30)-120, 
     "New", 
     IF(MAXIFS(dynamic[orderCount], dynamic[customerID], B1025)&lt;=2, 
        IF((DATE(2024,4,30) - MAXIFS(dynamic[orderDate], dynamic[customerID], B1025)) &gt; 180, "Non-Returning", "Dormant"), 
        IF(AND(MAX(dynamic[sinceLastOrder]) &gt; 365, (DATE(2024,4,30) - MAXIFS(dynamic[orderDate], dynamic[customerID], B1025)) &gt; 180), 
           "Dormant", "Regular")))</f>
        <v>Regular</v>
      </c>
      <c r="H1025" s="6">
        <v>22.0</v>
      </c>
      <c r="I1025" s="9" t="str">
        <f>VLOOKUP(dynamic[productID],products[],2,FALSE)</f>
        <v>Gustaf's Knäckebröd</v>
      </c>
      <c r="J1025" s="9" t="str">
        <f>VLOOKUP(dynamic[productID],products[],12,FALSE)</f>
        <v>Grains/Cereals</v>
      </c>
      <c r="K1025" s="7" t="str">
        <f>IF(VLOOKUP(dynamic[productID],products[],7,FALSE)=1,"Discontinued","Current")</f>
        <v>Current</v>
      </c>
      <c r="L1025" s="9">
        <f>VLOOKUP(dynamic[productID],products[],IF(YEAR(dynamic[orderDate])=2022,8,IF(YEAR(dynamic[orderDate])=2023,9,IF(YEAR(dynamic[orderDate])=2024,10,NA))),FALSE)</f>
        <v>14.56814822</v>
      </c>
      <c r="M1025" s="9">
        <v>21.0</v>
      </c>
      <c r="N1025" s="25">
        <f>(dynamic[orderPrice]-dynamic[productCost])/dynamic[productCost]</f>
        <v>0.4415009841</v>
      </c>
      <c r="O1025" s="10">
        <v>40.0</v>
      </c>
      <c r="P1025" s="25">
        <v>0.0</v>
      </c>
      <c r="Q1025" s="9">
        <f>dynamic[orderPrice]*dynamic[orderQuantity]</f>
        <v>840</v>
      </c>
      <c r="R1025" s="9">
        <f>dynamic[orderTotal]*(1-dynamic[discountApllied])</f>
        <v>840</v>
      </c>
      <c r="S1025" s="9">
        <f>dynamic[revenue]-(dynamic[productCost]*dynamic[orderQuantity])</f>
        <v>257.2740711</v>
      </c>
      <c r="T1025" s="25">
        <f>IFERROR(dynamic[profit]/dynamic[revenue], 0)</f>
        <v>0.3062786561</v>
      </c>
    </row>
    <row r="1026" ht="15.75" customHeight="1">
      <c r="A1026" s="6">
        <v>10636.0</v>
      </c>
      <c r="B1026" s="7" t="s">
        <v>31</v>
      </c>
      <c r="C1026" s="24" t="str">
        <f>VLOOKUP(dynamic[customerID],customers[],2,FALSE)</f>
        <v>Wartian Herkku</v>
      </c>
      <c r="D1026" s="24">
        <v>45157.0</v>
      </c>
      <c r="E1026" s="6">
        <f>IFERROR(__xludf.DUMMYFUNCTION("COUNTUNIQUEIFS($A$2:$A1026,$B$2:$B1026,B1026)"),12.0)</f>
        <v>12</v>
      </c>
      <c r="F1026" s="6">
        <f t="shared" si="1"/>
        <v>50</v>
      </c>
      <c r="G1026" s="6" t="str">
        <f>IF(MINIFS(dynamic[orderDate], dynamic[customerID], B1026) &gt;= DATE(2024,4,30)-120, 
     "New", 
     IF(MAXIFS(dynamic[orderCount], dynamic[customerID], B1026)&lt;=2, 
        IF((DATE(2024,4,30) - MAXIFS(dynamic[orderDate], dynamic[customerID], B1026)) &gt; 180, "Non-Returning", "Dormant"), 
        IF(AND(MAX(dynamic[sinceLastOrder]) &gt; 365, (DATE(2024,4,30) - MAXIFS(dynamic[orderDate], dynamic[customerID], B1026)) &gt; 180), 
           "Dormant", "Regular")))</f>
        <v>Regular</v>
      </c>
      <c r="H1026" s="6">
        <v>4.0</v>
      </c>
      <c r="I1026" s="9" t="str">
        <f>VLOOKUP(dynamic[productID],products[],2,FALSE)</f>
        <v>Chef Anton's Cajun Seasoning</v>
      </c>
      <c r="J1026" s="9" t="str">
        <f>VLOOKUP(dynamic[productID],products[],12,FALSE)</f>
        <v>Condiments</v>
      </c>
      <c r="K1026" s="7" t="str">
        <f>IF(VLOOKUP(dynamic[productID],products[],7,FALSE)=1,"Discontinued","Current")</f>
        <v>Current</v>
      </c>
      <c r="L1026" s="9">
        <f>VLOOKUP(dynamic[productID],products[],IF(YEAR(dynamic[orderDate])=2022,8,IF(YEAR(dynamic[orderDate])=2023,9,IF(YEAR(dynamic[orderDate])=2024,10,NA))),FALSE)</f>
        <v>13.81047124</v>
      </c>
      <c r="M1026" s="9">
        <v>22.0</v>
      </c>
      <c r="N1026" s="25">
        <f>(dynamic[orderPrice]-dynamic[productCost])/dynamic[productCost]</f>
        <v>0.5929941577</v>
      </c>
      <c r="O1026" s="10">
        <v>25.0</v>
      </c>
      <c r="P1026" s="25">
        <v>0.0</v>
      </c>
      <c r="Q1026" s="9">
        <f>dynamic[orderPrice]*dynamic[orderQuantity]</f>
        <v>550</v>
      </c>
      <c r="R1026" s="9">
        <f>dynamic[orderTotal]*(1-dynamic[discountApllied])</f>
        <v>550</v>
      </c>
      <c r="S1026" s="9">
        <f>dynamic[revenue]-(dynamic[productCost]*dynamic[orderQuantity])</f>
        <v>204.738219</v>
      </c>
      <c r="T1026" s="25">
        <f>IFERROR(dynamic[profit]/dynamic[revenue], 0)</f>
        <v>0.3722513073</v>
      </c>
    </row>
    <row r="1027" ht="15.75" customHeight="1">
      <c r="A1027" s="6">
        <v>10636.0</v>
      </c>
      <c r="B1027" s="7" t="s">
        <v>31</v>
      </c>
      <c r="C1027" s="24" t="str">
        <f>VLOOKUP(dynamic[customerID],customers[],2,FALSE)</f>
        <v>Wartian Herkku</v>
      </c>
      <c r="D1027" s="24">
        <v>45157.0</v>
      </c>
      <c r="E1027" s="6">
        <f>IFERROR(__xludf.DUMMYFUNCTION("COUNTUNIQUEIFS($A$2:$A1027,$B$2:$B1027,B1027)"),12.0)</f>
        <v>12</v>
      </c>
      <c r="F1027" s="6">
        <f t="shared" si="1"/>
        <v>50</v>
      </c>
      <c r="G1027" s="6" t="str">
        <f>IF(MINIFS(dynamic[orderDate], dynamic[customerID], B1027) &gt;= DATE(2024,4,30)-120, 
     "New", 
     IF(MAXIFS(dynamic[orderCount], dynamic[customerID], B1027)&lt;=2, 
        IF((DATE(2024,4,30) - MAXIFS(dynamic[orderDate], dynamic[customerID], B1027)) &gt; 180, "Non-Returning", "Dormant"), 
        IF(AND(MAX(dynamic[sinceLastOrder]) &gt; 365, (DATE(2024,4,30) - MAXIFS(dynamic[orderDate], dynamic[customerID], B1027)) &gt; 180), 
           "Dormant", "Regular")))</f>
        <v>Regular</v>
      </c>
      <c r="H1027" s="6">
        <v>58.0</v>
      </c>
      <c r="I1027" s="9" t="str">
        <f>VLOOKUP(dynamic[productID],products[],2,FALSE)</f>
        <v>Escargots de Bourgogne</v>
      </c>
      <c r="J1027" s="9" t="str">
        <f>VLOOKUP(dynamic[productID],products[],12,FALSE)</f>
        <v>Seafood</v>
      </c>
      <c r="K1027" s="7" t="str">
        <f>IF(VLOOKUP(dynamic[productID],products[],7,FALSE)=1,"Discontinued","Current")</f>
        <v>Current</v>
      </c>
      <c r="L1027" s="9">
        <f>VLOOKUP(dynamic[productID],products[],IF(YEAR(dynamic[orderDate])=2022,8,IF(YEAR(dynamic[orderDate])=2023,9,IF(YEAR(dynamic[orderDate])=2024,10,NA))),FALSE)</f>
        <v>8.208446365</v>
      </c>
      <c r="M1027" s="9">
        <v>13.25</v>
      </c>
      <c r="N1027" s="25">
        <f>(dynamic[orderPrice]-dynamic[productCost])/dynamic[productCost]</f>
        <v>0.61419097</v>
      </c>
      <c r="O1027" s="10">
        <v>6.0</v>
      </c>
      <c r="P1027" s="25">
        <v>0.0</v>
      </c>
      <c r="Q1027" s="9">
        <f>dynamic[orderPrice]*dynamic[orderQuantity]</f>
        <v>79.5</v>
      </c>
      <c r="R1027" s="9">
        <f>dynamic[orderTotal]*(1-dynamic[discountApllied])</f>
        <v>79.5</v>
      </c>
      <c r="S1027" s="9">
        <f>dynamic[revenue]-(dynamic[productCost]*dynamic[orderQuantity])</f>
        <v>30.24932181</v>
      </c>
      <c r="T1027" s="25">
        <f>IFERROR(dynamic[profit]/dynamic[revenue], 0)</f>
        <v>0.380494614</v>
      </c>
    </row>
    <row r="1028" ht="15.75" customHeight="1">
      <c r="A1028" s="6">
        <v>10637.0</v>
      </c>
      <c r="B1028" s="7" t="s">
        <v>77</v>
      </c>
      <c r="C1028" s="24" t="str">
        <f>VLOOKUP(dynamic[customerID],customers[],2,FALSE)</f>
        <v>Queen Cozinha</v>
      </c>
      <c r="D1028" s="24">
        <v>45157.0</v>
      </c>
      <c r="E1028" s="6">
        <f>IFERROR(__xludf.DUMMYFUNCTION("COUNTUNIQUEIFS($A$2:$A1028,$B$2:$B1028,B1028)"),4.0)</f>
        <v>4</v>
      </c>
      <c r="F1028" s="6">
        <f t="shared" si="1"/>
        <v>146</v>
      </c>
      <c r="G1028" s="6" t="str">
        <f>IF(MINIFS(dynamic[orderDate], dynamic[customerID], B1028) &gt;= DATE(2024,4,30)-120, 
     "New", 
     IF(MAXIFS(dynamic[orderCount], dynamic[customerID], B1028)&lt;=2, 
        IF((DATE(2024,4,30) - MAXIFS(dynamic[orderDate], dynamic[customerID], B1028)) &gt; 180, "Non-Returning", "Dormant"), 
        IF(AND(MAX(dynamic[sinceLastOrder]) &gt; 365, (DATE(2024,4,30) - MAXIFS(dynamic[orderDate], dynamic[customerID], B1028)) &gt; 180), 
           "Dormant", "Regular")))</f>
        <v>Regular</v>
      </c>
      <c r="H1028" s="6">
        <v>11.0</v>
      </c>
      <c r="I1028" s="9" t="str">
        <f>VLOOKUP(dynamic[productID],products[],2,FALSE)</f>
        <v>Queso Cabrales</v>
      </c>
      <c r="J1028" s="9" t="str">
        <f>VLOOKUP(dynamic[productID],products[],12,FALSE)</f>
        <v>Dairy Products</v>
      </c>
      <c r="K1028" s="7" t="str">
        <f>IF(VLOOKUP(dynamic[productID],products[],7,FALSE)=1,"Discontinued","Current")</f>
        <v>Current</v>
      </c>
      <c r="L1028" s="9">
        <f>VLOOKUP(dynamic[productID],products[],IF(YEAR(dynamic[orderDate])=2022,8,IF(YEAR(dynamic[orderDate])=2023,9,IF(YEAR(dynamic[orderDate])=2024,10,NA))),FALSE)</f>
        <v>12.90188125</v>
      </c>
      <c r="M1028" s="9">
        <v>21.0</v>
      </c>
      <c r="N1028" s="25">
        <f>(dynamic[orderPrice]-dynamic[productCost])/dynamic[productCost]</f>
        <v>0.6276696079</v>
      </c>
      <c r="O1028" s="10">
        <v>10.0</v>
      </c>
      <c r="P1028" s="25">
        <v>0.0</v>
      </c>
      <c r="Q1028" s="9">
        <f>dynamic[orderPrice]*dynamic[orderQuantity]</f>
        <v>210</v>
      </c>
      <c r="R1028" s="9">
        <f>dynamic[orderTotal]*(1-dynamic[discountApllied])</f>
        <v>210</v>
      </c>
      <c r="S1028" s="9">
        <f>dynamic[revenue]-(dynamic[productCost]*dynamic[orderQuantity])</f>
        <v>80.98118747</v>
      </c>
      <c r="T1028" s="25">
        <f>IFERROR(dynamic[profit]/dynamic[revenue], 0)</f>
        <v>0.3856247023</v>
      </c>
    </row>
    <row r="1029" ht="15.75" customHeight="1">
      <c r="A1029" s="6">
        <v>10637.0</v>
      </c>
      <c r="B1029" s="7" t="s">
        <v>77</v>
      </c>
      <c r="C1029" s="24" t="str">
        <f>VLOOKUP(dynamic[customerID],customers[],2,FALSE)</f>
        <v>Queen Cozinha</v>
      </c>
      <c r="D1029" s="24">
        <v>45157.0</v>
      </c>
      <c r="E1029" s="6">
        <f>IFERROR(__xludf.DUMMYFUNCTION("COUNTUNIQUEIFS($A$2:$A1029,$B$2:$B1029,B1029)"),4.0)</f>
        <v>4</v>
      </c>
      <c r="F1029" s="6">
        <f t="shared" si="1"/>
        <v>146</v>
      </c>
      <c r="G1029" s="6" t="str">
        <f>IF(MINIFS(dynamic[orderDate], dynamic[customerID], B1029) &gt;= DATE(2024,4,30)-120, 
     "New", 
     IF(MAXIFS(dynamic[orderCount], dynamic[customerID], B1029)&lt;=2, 
        IF((DATE(2024,4,30) - MAXIFS(dynamic[orderDate], dynamic[customerID], B1029)) &gt; 180, "Non-Returning", "Dormant"), 
        IF(AND(MAX(dynamic[sinceLastOrder]) &gt; 365, (DATE(2024,4,30) - MAXIFS(dynamic[orderDate], dynamic[customerID], B1029)) &gt; 180), 
           "Dormant", "Regular")))</f>
        <v>Regular</v>
      </c>
      <c r="H1029" s="6">
        <v>50.0</v>
      </c>
      <c r="I1029" s="9" t="str">
        <f>VLOOKUP(dynamic[productID],products[],2,FALSE)</f>
        <v>Valkoinen suklaa</v>
      </c>
      <c r="J1029" s="9" t="str">
        <f>VLOOKUP(dynamic[productID],products[],12,FALSE)</f>
        <v>Confections</v>
      </c>
      <c r="K1029" s="7" t="str">
        <f>IF(VLOOKUP(dynamic[productID],products[],7,FALSE)=1,"Discontinued","Current")</f>
        <v>Current</v>
      </c>
      <c r="L1029" s="9">
        <f>VLOOKUP(dynamic[productID],products[],IF(YEAR(dynamic[orderDate])=2022,8,IF(YEAR(dynamic[orderDate])=2023,9,IF(YEAR(dynamic[orderDate])=2024,10,NA))),FALSE)</f>
        <v>11.16021436</v>
      </c>
      <c r="M1029" s="9">
        <v>16.25</v>
      </c>
      <c r="N1029" s="25">
        <f>(dynamic[orderPrice]-dynamic[productCost])/dynamic[productCost]</f>
        <v>0.4560652217</v>
      </c>
      <c r="O1029" s="10">
        <v>25.0</v>
      </c>
      <c r="P1029" s="25">
        <v>0.05</v>
      </c>
      <c r="Q1029" s="9">
        <f>dynamic[orderPrice]*dynamic[orderQuantity]</f>
        <v>406.25</v>
      </c>
      <c r="R1029" s="9">
        <f>dynamic[orderTotal]*(1-dynamic[discountApllied])</f>
        <v>385.9375</v>
      </c>
      <c r="S1029" s="9">
        <f>dynamic[revenue]-(dynamic[productCost]*dynamic[orderQuantity])</f>
        <v>106.9321409</v>
      </c>
      <c r="T1029" s="25">
        <f>IFERROR(dynamic[profit]/dynamic[revenue], 0)</f>
        <v>0.2770711344</v>
      </c>
    </row>
    <row r="1030" ht="15.75" customHeight="1">
      <c r="A1030" s="6">
        <v>10637.0</v>
      </c>
      <c r="B1030" s="7" t="s">
        <v>77</v>
      </c>
      <c r="C1030" s="24" t="str">
        <f>VLOOKUP(dynamic[customerID],customers[],2,FALSE)</f>
        <v>Queen Cozinha</v>
      </c>
      <c r="D1030" s="24">
        <v>45157.0</v>
      </c>
      <c r="E1030" s="6">
        <f>IFERROR(__xludf.DUMMYFUNCTION("COUNTUNIQUEIFS($A$2:$A1030,$B$2:$B1030,B1030)"),4.0)</f>
        <v>4</v>
      </c>
      <c r="F1030" s="6">
        <f t="shared" si="1"/>
        <v>146</v>
      </c>
      <c r="G1030" s="6" t="str">
        <f>IF(MINIFS(dynamic[orderDate], dynamic[customerID], B1030) &gt;= DATE(2024,4,30)-120, 
     "New", 
     IF(MAXIFS(dynamic[orderCount], dynamic[customerID], B1030)&lt;=2, 
        IF((DATE(2024,4,30) - MAXIFS(dynamic[orderDate], dynamic[customerID], B1030)) &gt; 180, "Non-Returning", "Dormant"), 
        IF(AND(MAX(dynamic[sinceLastOrder]) &gt; 365, (DATE(2024,4,30) - MAXIFS(dynamic[orderDate], dynamic[customerID], B1030)) &gt; 180), 
           "Dormant", "Regular")))</f>
        <v>Regular</v>
      </c>
      <c r="H1030" s="6">
        <v>56.0</v>
      </c>
      <c r="I1030" s="9" t="str">
        <f>VLOOKUP(dynamic[productID],products[],2,FALSE)</f>
        <v>Gnocchi di nonna Alice</v>
      </c>
      <c r="J1030" s="9" t="str">
        <f>VLOOKUP(dynamic[productID],products[],12,FALSE)</f>
        <v>Grains/Cereals</v>
      </c>
      <c r="K1030" s="7" t="str">
        <f>IF(VLOOKUP(dynamic[productID],products[],7,FALSE)=1,"Discontinued","Current")</f>
        <v>Current</v>
      </c>
      <c r="L1030" s="9">
        <f>VLOOKUP(dynamic[productID],products[],IF(YEAR(dynamic[orderDate])=2022,8,IF(YEAR(dynamic[orderDate])=2023,9,IF(YEAR(dynamic[orderDate])=2024,10,NA))),FALSE)</f>
        <v>24.28342441</v>
      </c>
      <c r="M1030" s="9">
        <v>38.0</v>
      </c>
      <c r="N1030" s="25">
        <f>(dynamic[orderPrice]-dynamic[productCost])/dynamic[productCost]</f>
        <v>0.5648534309</v>
      </c>
      <c r="O1030" s="10">
        <v>60.0</v>
      </c>
      <c r="P1030" s="25">
        <v>0.05</v>
      </c>
      <c r="Q1030" s="9">
        <f>dynamic[orderPrice]*dynamic[orderQuantity]</f>
        <v>2280</v>
      </c>
      <c r="R1030" s="9">
        <f>dynamic[orderTotal]*(1-dynamic[discountApllied])</f>
        <v>2166</v>
      </c>
      <c r="S1030" s="9">
        <f>dynamic[revenue]-(dynamic[productCost]*dynamic[orderQuantity])</f>
        <v>708.9945355</v>
      </c>
      <c r="T1030" s="25">
        <f>IFERROR(dynamic[profit]/dynamic[revenue], 0)</f>
        <v>0.3273289638</v>
      </c>
    </row>
    <row r="1031" ht="15.75" customHeight="1">
      <c r="A1031" s="6">
        <v>10638.0</v>
      </c>
      <c r="B1031" s="7" t="s">
        <v>82</v>
      </c>
      <c r="C1031" s="24" t="str">
        <f>VLOOKUP(dynamic[customerID],customers[],2,FALSE)</f>
        <v>LINO-Delicateses</v>
      </c>
      <c r="D1031" s="24">
        <v>45158.0</v>
      </c>
      <c r="E1031" s="6">
        <f>IFERROR(__xludf.DUMMYFUNCTION("COUNTUNIQUEIFS($A$2:$A1031,$B$2:$B1031,B1031)"),3.0)</f>
        <v>3</v>
      </c>
      <c r="F1031" s="6">
        <f t="shared" si="1"/>
        <v>148</v>
      </c>
      <c r="G1031" s="6" t="str">
        <f>IF(MINIFS(dynamic[orderDate], dynamic[customerID], B1031) &gt;= DATE(2024,4,30)-120, 
     "New", 
     IF(MAXIFS(dynamic[orderCount], dynamic[customerID], B1031)&lt;=2, 
        IF((DATE(2024,4,30) - MAXIFS(dynamic[orderDate], dynamic[customerID], B1031)) &gt; 180, "Non-Returning", "Dormant"), 
        IF(AND(MAX(dynamic[sinceLastOrder]) &gt; 365, (DATE(2024,4,30) - MAXIFS(dynamic[orderDate], dynamic[customerID], B1031)) &gt; 180), 
           "Dormant", "Regular")))</f>
        <v>Regular</v>
      </c>
      <c r="H1031" s="6">
        <v>45.0</v>
      </c>
      <c r="I1031" s="9" t="str">
        <f>VLOOKUP(dynamic[productID],products[],2,FALSE)</f>
        <v>Rogede sild</v>
      </c>
      <c r="J1031" s="9" t="str">
        <f>VLOOKUP(dynamic[productID],products[],12,FALSE)</f>
        <v>Seafood</v>
      </c>
      <c r="K1031" s="7" t="str">
        <f>IF(VLOOKUP(dynamic[productID],products[],7,FALSE)=1,"Discontinued","Current")</f>
        <v>Current</v>
      </c>
      <c r="L1031" s="9">
        <f>VLOOKUP(dynamic[productID],products[],IF(YEAR(dynamic[orderDate])=2022,8,IF(YEAR(dynamic[orderDate])=2023,9,IF(YEAR(dynamic[orderDate])=2024,10,NA))),FALSE)</f>
        <v>5.965769822</v>
      </c>
      <c r="M1031" s="9">
        <v>9.5</v>
      </c>
      <c r="N1031" s="25">
        <f>(dynamic[orderPrice]-dynamic[productCost])/dynamic[productCost]</f>
        <v>0.5924181261</v>
      </c>
      <c r="O1031" s="10">
        <v>20.0</v>
      </c>
      <c r="P1031" s="25">
        <v>0.0</v>
      </c>
      <c r="Q1031" s="9">
        <f>dynamic[orderPrice]*dynamic[orderQuantity]</f>
        <v>190</v>
      </c>
      <c r="R1031" s="9">
        <f>dynamic[orderTotal]*(1-dynamic[discountApllied])</f>
        <v>190</v>
      </c>
      <c r="S1031" s="9">
        <f>dynamic[revenue]-(dynamic[productCost]*dynamic[orderQuantity])</f>
        <v>70.68460357</v>
      </c>
      <c r="T1031" s="25">
        <f>IFERROR(dynamic[profit]/dynamic[revenue], 0)</f>
        <v>0.3720242293</v>
      </c>
    </row>
    <row r="1032" ht="15.75" customHeight="1">
      <c r="A1032" s="6">
        <v>10638.0</v>
      </c>
      <c r="B1032" s="7" t="s">
        <v>82</v>
      </c>
      <c r="C1032" s="24" t="str">
        <f>VLOOKUP(dynamic[customerID],customers[],2,FALSE)</f>
        <v>LINO-Delicateses</v>
      </c>
      <c r="D1032" s="24">
        <v>45158.0</v>
      </c>
      <c r="E1032" s="6">
        <f>IFERROR(__xludf.DUMMYFUNCTION("COUNTUNIQUEIFS($A$2:$A1032,$B$2:$B1032,B1032)"),3.0)</f>
        <v>3</v>
      </c>
      <c r="F1032" s="6">
        <f t="shared" si="1"/>
        <v>148</v>
      </c>
      <c r="G1032" s="6" t="str">
        <f>IF(MINIFS(dynamic[orderDate], dynamic[customerID], B1032) &gt;= DATE(2024,4,30)-120, 
     "New", 
     IF(MAXIFS(dynamic[orderCount], dynamic[customerID], B1032)&lt;=2, 
        IF((DATE(2024,4,30) - MAXIFS(dynamic[orderDate], dynamic[customerID], B1032)) &gt; 180, "Non-Returning", "Dormant"), 
        IF(AND(MAX(dynamic[sinceLastOrder]) &gt; 365, (DATE(2024,4,30) - MAXIFS(dynamic[orderDate], dynamic[customerID], B1032)) &gt; 180), 
           "Dormant", "Regular")))</f>
        <v>Regular</v>
      </c>
      <c r="H1032" s="6">
        <v>65.0</v>
      </c>
      <c r="I1032" s="9" t="str">
        <f>VLOOKUP(dynamic[productID],products[],2,FALSE)</f>
        <v>Louisiana Fiery Hot Pepper Sauce</v>
      </c>
      <c r="J1032" s="9" t="str">
        <f>VLOOKUP(dynamic[productID],products[],12,FALSE)</f>
        <v>Condiments</v>
      </c>
      <c r="K1032" s="7" t="str">
        <f>IF(VLOOKUP(dynamic[productID],products[],7,FALSE)=1,"Discontinued","Current")</f>
        <v>Current</v>
      </c>
      <c r="L1032" s="9">
        <f>VLOOKUP(dynamic[productID],products[],IF(YEAR(dynamic[orderDate])=2022,8,IF(YEAR(dynamic[orderDate])=2023,9,IF(YEAR(dynamic[orderDate])=2024,10,NA))),FALSE)</f>
        <v>13.21122243</v>
      </c>
      <c r="M1032" s="9">
        <v>21.05</v>
      </c>
      <c r="N1032" s="25">
        <f>(dynamic[orderPrice]-dynamic[productCost])/dynamic[productCost]</f>
        <v>0.593342335</v>
      </c>
      <c r="O1032" s="10">
        <v>21.0</v>
      </c>
      <c r="P1032" s="25">
        <v>0.0</v>
      </c>
      <c r="Q1032" s="9">
        <f>dynamic[orderPrice]*dynamic[orderQuantity]</f>
        <v>442.05</v>
      </c>
      <c r="R1032" s="9">
        <f>dynamic[orderTotal]*(1-dynamic[discountApllied])</f>
        <v>442.05</v>
      </c>
      <c r="S1032" s="9">
        <f>dynamic[revenue]-(dynamic[productCost]*dynamic[orderQuantity])</f>
        <v>164.6143289</v>
      </c>
      <c r="T1032" s="25">
        <f>IFERROR(dynamic[profit]/dynamic[revenue], 0)</f>
        <v>0.372388483</v>
      </c>
    </row>
    <row r="1033" ht="15.75" customHeight="1">
      <c r="A1033" s="6">
        <v>10638.0</v>
      </c>
      <c r="B1033" s="7" t="s">
        <v>82</v>
      </c>
      <c r="C1033" s="24" t="str">
        <f>VLOOKUP(dynamic[customerID],customers[],2,FALSE)</f>
        <v>LINO-Delicateses</v>
      </c>
      <c r="D1033" s="24">
        <v>45158.0</v>
      </c>
      <c r="E1033" s="6">
        <f>IFERROR(__xludf.DUMMYFUNCTION("COUNTUNIQUEIFS($A$2:$A1033,$B$2:$B1033,B1033)"),3.0)</f>
        <v>3</v>
      </c>
      <c r="F1033" s="6">
        <f t="shared" si="1"/>
        <v>148</v>
      </c>
      <c r="G1033" s="6" t="str">
        <f>IF(MINIFS(dynamic[orderDate], dynamic[customerID], B1033) &gt;= DATE(2024,4,30)-120, 
     "New", 
     IF(MAXIFS(dynamic[orderCount], dynamic[customerID], B1033)&lt;=2, 
        IF((DATE(2024,4,30) - MAXIFS(dynamic[orderDate], dynamic[customerID], B1033)) &gt; 180, "Non-Returning", "Dormant"), 
        IF(AND(MAX(dynamic[sinceLastOrder]) &gt; 365, (DATE(2024,4,30) - MAXIFS(dynamic[orderDate], dynamic[customerID], B1033)) &gt; 180), 
           "Dormant", "Regular")))</f>
        <v>Regular</v>
      </c>
      <c r="H1033" s="6">
        <v>72.0</v>
      </c>
      <c r="I1033" s="9" t="str">
        <f>VLOOKUP(dynamic[productID],products[],2,FALSE)</f>
        <v>Mozzarella di Giovanni</v>
      </c>
      <c r="J1033" s="9" t="str">
        <f>VLOOKUP(dynamic[productID],products[],12,FALSE)</f>
        <v>Dairy Products</v>
      </c>
      <c r="K1033" s="7" t="str">
        <f>IF(VLOOKUP(dynamic[productID],products[],7,FALSE)=1,"Discontinued","Current")</f>
        <v>Current</v>
      </c>
      <c r="L1033" s="9">
        <f>VLOOKUP(dynamic[productID],products[],IF(YEAR(dynamic[orderDate])=2022,8,IF(YEAR(dynamic[orderDate])=2023,9,IF(YEAR(dynamic[orderDate])=2024,10,NA))),FALSE)</f>
        <v>23.51933768</v>
      </c>
      <c r="M1033" s="9">
        <v>34.8</v>
      </c>
      <c r="N1033" s="25">
        <f>(dynamic[orderPrice]-dynamic[productCost])/dynamic[productCost]</f>
        <v>0.4796335031</v>
      </c>
      <c r="O1033" s="10">
        <v>60.0</v>
      </c>
      <c r="P1033" s="25">
        <v>0.0</v>
      </c>
      <c r="Q1033" s="9">
        <f>dynamic[orderPrice]*dynamic[orderQuantity]</f>
        <v>2088</v>
      </c>
      <c r="R1033" s="9">
        <f>dynamic[orderTotal]*(1-dynamic[discountApllied])</f>
        <v>2088</v>
      </c>
      <c r="S1033" s="9">
        <f>dynamic[revenue]-(dynamic[productCost]*dynamic[orderQuantity])</f>
        <v>676.8397393</v>
      </c>
      <c r="T1033" s="25">
        <f>IFERROR(dynamic[profit]/dynamic[revenue], 0)</f>
        <v>0.3241569633</v>
      </c>
    </row>
    <row r="1034" ht="15.75" customHeight="1">
      <c r="A1034" s="6">
        <v>10639.0</v>
      </c>
      <c r="B1034" s="7" t="s">
        <v>80</v>
      </c>
      <c r="C1034" s="24" t="str">
        <f>VLOOKUP(dynamic[customerID],customers[],2,FALSE)</f>
        <v>Santé Gourmet</v>
      </c>
      <c r="D1034" s="24">
        <v>45158.0</v>
      </c>
      <c r="E1034" s="6">
        <f>IFERROR(__xludf.DUMMYFUNCTION("COUNTUNIQUEIFS($A$2:$A1034,$B$2:$B1034,B1034)"),3.0)</f>
        <v>3</v>
      </c>
      <c r="F1034" s="6">
        <f t="shared" si="1"/>
        <v>113</v>
      </c>
      <c r="G1034" s="6" t="str">
        <f>IF(MINIFS(dynamic[orderDate], dynamic[customerID], B1034) &gt;= DATE(2024,4,30)-120, 
     "New", 
     IF(MAXIFS(dynamic[orderCount], dynamic[customerID], B1034)&lt;=2, 
        IF((DATE(2024,4,30) - MAXIFS(dynamic[orderDate], dynamic[customerID], B1034)) &gt; 180, "Non-Returning", "Dormant"), 
        IF(AND(MAX(dynamic[sinceLastOrder]) &gt; 365, (DATE(2024,4,30) - MAXIFS(dynamic[orderDate], dynamic[customerID], B1034)) &gt; 180), 
           "Dormant", "Regular")))</f>
        <v>Regular</v>
      </c>
      <c r="H1034" s="6">
        <v>18.0</v>
      </c>
      <c r="I1034" s="9" t="str">
        <f>VLOOKUP(dynamic[productID],products[],2,FALSE)</f>
        <v>Carnarvon Tigers</v>
      </c>
      <c r="J1034" s="9" t="str">
        <f>VLOOKUP(dynamic[productID],products[],12,FALSE)</f>
        <v>Seafood</v>
      </c>
      <c r="K1034" s="7" t="str">
        <f>IF(VLOOKUP(dynamic[productID],products[],7,FALSE)=1,"Discontinued","Current")</f>
        <v>Current</v>
      </c>
      <c r="L1034" s="9">
        <f>VLOOKUP(dynamic[productID],products[],IF(YEAR(dynamic[orderDate])=2022,8,IF(YEAR(dynamic[orderDate])=2023,9,IF(YEAR(dynamic[orderDate])=2024,10,NA))),FALSE)</f>
        <v>39.51966651</v>
      </c>
      <c r="M1034" s="9">
        <v>62.5</v>
      </c>
      <c r="N1034" s="25">
        <f>(dynamic[orderPrice]-dynamic[productCost])/dynamic[productCost]</f>
        <v>0.5814910784</v>
      </c>
      <c r="O1034" s="10">
        <v>8.0</v>
      </c>
      <c r="P1034" s="25">
        <v>0.0</v>
      </c>
      <c r="Q1034" s="9">
        <f>dynamic[orderPrice]*dynamic[orderQuantity]</f>
        <v>500</v>
      </c>
      <c r="R1034" s="9">
        <f>dynamic[orderTotal]*(1-dynamic[discountApllied])</f>
        <v>500</v>
      </c>
      <c r="S1034" s="9">
        <f>dynamic[revenue]-(dynamic[productCost]*dynamic[orderQuantity])</f>
        <v>183.842668</v>
      </c>
      <c r="T1034" s="25">
        <f>IFERROR(dynamic[profit]/dynamic[revenue], 0)</f>
        <v>0.3676853359</v>
      </c>
    </row>
    <row r="1035" ht="15.75" customHeight="1">
      <c r="A1035" s="6">
        <v>10640.0</v>
      </c>
      <c r="B1035" s="7" t="s">
        <v>50</v>
      </c>
      <c r="C1035" s="24" t="str">
        <f>VLOOKUP(dynamic[customerID],customers[],2,FALSE)</f>
        <v>Die Wandernde Kuh</v>
      </c>
      <c r="D1035" s="24">
        <v>45159.0</v>
      </c>
      <c r="E1035" s="6">
        <f>IFERROR(__xludf.DUMMYFUNCTION("COUNTUNIQUEIFS($A$2:$A1035,$B$2:$B1035,B1035)"),7.0)</f>
        <v>7</v>
      </c>
      <c r="F1035" s="6">
        <f t="shared" si="1"/>
        <v>7</v>
      </c>
      <c r="G1035" s="6" t="str">
        <f>IF(MINIFS(dynamic[orderDate], dynamic[customerID], B1035) &gt;= DATE(2024,4,30)-120, 
     "New", 
     IF(MAXIFS(dynamic[orderCount], dynamic[customerID], B1035)&lt;=2, 
        IF((DATE(2024,4,30) - MAXIFS(dynamic[orderDate], dynamic[customerID], B1035)) &gt; 180, "Non-Returning", "Dormant"), 
        IF(AND(MAX(dynamic[sinceLastOrder]) &gt; 365, (DATE(2024,4,30) - MAXIFS(dynamic[orderDate], dynamic[customerID], B1035)) &gt; 180), 
           "Dormant", "Regular")))</f>
        <v>Regular</v>
      </c>
      <c r="H1035" s="6">
        <v>69.0</v>
      </c>
      <c r="I1035" s="9" t="str">
        <f>VLOOKUP(dynamic[productID],products[],2,FALSE)</f>
        <v>Gudbrandsdalsost</v>
      </c>
      <c r="J1035" s="9" t="str">
        <f>VLOOKUP(dynamic[productID],products[],12,FALSE)</f>
        <v>Dairy Products</v>
      </c>
      <c r="K1035" s="7" t="str">
        <f>IF(VLOOKUP(dynamic[productID],products[],7,FALSE)=1,"Discontinued","Current")</f>
        <v>Current</v>
      </c>
      <c r="L1035" s="9">
        <f>VLOOKUP(dynamic[productID],products[],IF(YEAR(dynamic[orderDate])=2022,8,IF(YEAR(dynamic[orderDate])=2023,9,IF(YEAR(dynamic[orderDate])=2024,10,NA))),FALSE)</f>
        <v>21.82428612</v>
      </c>
      <c r="M1035" s="9">
        <v>36.0</v>
      </c>
      <c r="N1035" s="25">
        <f>(dynamic[orderPrice]-dynamic[productCost])/dynamic[productCost]</f>
        <v>0.6495384916</v>
      </c>
      <c r="O1035" s="10">
        <v>20.0</v>
      </c>
      <c r="P1035" s="25">
        <v>0.25</v>
      </c>
      <c r="Q1035" s="9">
        <f>dynamic[orderPrice]*dynamic[orderQuantity]</f>
        <v>720</v>
      </c>
      <c r="R1035" s="9">
        <f>dynamic[orderTotal]*(1-dynamic[discountApllied])</f>
        <v>540</v>
      </c>
      <c r="S1035" s="9">
        <f>dynamic[revenue]-(dynamic[productCost]*dynamic[orderQuantity])</f>
        <v>103.5142777</v>
      </c>
      <c r="T1035" s="25">
        <f>IFERROR(dynamic[profit]/dynamic[revenue], 0)</f>
        <v>0.1916931068</v>
      </c>
    </row>
    <row r="1036" ht="15.75" customHeight="1">
      <c r="A1036" s="6">
        <v>10640.0</v>
      </c>
      <c r="B1036" s="7" t="s">
        <v>50</v>
      </c>
      <c r="C1036" s="24" t="str">
        <f>VLOOKUP(dynamic[customerID],customers[],2,FALSE)</f>
        <v>Die Wandernde Kuh</v>
      </c>
      <c r="D1036" s="24">
        <v>45159.0</v>
      </c>
      <c r="E1036" s="6">
        <f>IFERROR(__xludf.DUMMYFUNCTION("COUNTUNIQUEIFS($A$2:$A1036,$B$2:$B1036,B1036)"),7.0)</f>
        <v>7</v>
      </c>
      <c r="F1036" s="6">
        <f t="shared" si="1"/>
        <v>7</v>
      </c>
      <c r="G1036" s="6" t="str">
        <f>IF(MINIFS(dynamic[orderDate], dynamic[customerID], B1036) &gt;= DATE(2024,4,30)-120, 
     "New", 
     IF(MAXIFS(dynamic[orderCount], dynamic[customerID], B1036)&lt;=2, 
        IF((DATE(2024,4,30) - MAXIFS(dynamic[orderDate], dynamic[customerID], B1036)) &gt; 180, "Non-Returning", "Dormant"), 
        IF(AND(MAX(dynamic[sinceLastOrder]) &gt; 365, (DATE(2024,4,30) - MAXIFS(dynamic[orderDate], dynamic[customerID], B1036)) &gt; 180), 
           "Dormant", "Regular")))</f>
        <v>Regular</v>
      </c>
      <c r="H1036" s="6">
        <v>70.0</v>
      </c>
      <c r="I1036" s="9" t="str">
        <f>VLOOKUP(dynamic[productID],products[],2,FALSE)</f>
        <v>Outback Lager</v>
      </c>
      <c r="J1036" s="9" t="str">
        <f>VLOOKUP(dynamic[productID],products[],12,FALSE)</f>
        <v>Beverages</v>
      </c>
      <c r="K1036" s="7" t="str">
        <f>IF(VLOOKUP(dynamic[productID],products[],7,FALSE)=1,"Discontinued","Current")</f>
        <v>Current</v>
      </c>
      <c r="L1036" s="9">
        <f>VLOOKUP(dynamic[productID],products[],IF(YEAR(dynamic[orderDate])=2022,8,IF(YEAR(dynamic[orderDate])=2023,9,IF(YEAR(dynamic[orderDate])=2024,10,NA))),FALSE)</f>
        <v>9.793094091</v>
      </c>
      <c r="M1036" s="9">
        <v>15.0</v>
      </c>
      <c r="N1036" s="25">
        <f>(dynamic[orderPrice]-dynamic[productCost])/dynamic[productCost]</f>
        <v>0.5316916044</v>
      </c>
      <c r="O1036" s="10">
        <v>15.0</v>
      </c>
      <c r="P1036" s="25">
        <v>0.25</v>
      </c>
      <c r="Q1036" s="9">
        <f>dynamic[orderPrice]*dynamic[orderQuantity]</f>
        <v>225</v>
      </c>
      <c r="R1036" s="9">
        <f>dynamic[orderTotal]*(1-dynamic[discountApllied])</f>
        <v>168.75</v>
      </c>
      <c r="S1036" s="9">
        <f>dynamic[revenue]-(dynamic[productCost]*dynamic[orderQuantity])</f>
        <v>21.85358863</v>
      </c>
      <c r="T1036" s="25">
        <f>IFERROR(dynamic[profit]/dynamic[revenue], 0)</f>
        <v>0.1295027475</v>
      </c>
    </row>
    <row r="1037" ht="15.75" customHeight="1">
      <c r="A1037" s="6">
        <v>10641.0</v>
      </c>
      <c r="B1037" s="7" t="s">
        <v>23</v>
      </c>
      <c r="C1037" s="24" t="str">
        <f>VLOOKUP(dynamic[customerID],customers[],2,FALSE)</f>
        <v>HILARION-Abastos</v>
      </c>
      <c r="D1037" s="24">
        <v>45160.0</v>
      </c>
      <c r="E1037" s="6">
        <f>IFERROR(__xludf.DUMMYFUNCTION("COUNTUNIQUEIFS($A$2:$A1037,$B$2:$B1037,B1037)"),10.0)</f>
        <v>10</v>
      </c>
      <c r="F1037" s="6">
        <f t="shared" si="1"/>
        <v>24</v>
      </c>
      <c r="G1037" s="6" t="str">
        <f>IF(MINIFS(dynamic[orderDate], dynamic[customerID], B1037) &gt;= DATE(2024,4,30)-120, 
     "New", 
     IF(MAXIFS(dynamic[orderCount], dynamic[customerID], B1037)&lt;=2, 
        IF((DATE(2024,4,30) - MAXIFS(dynamic[orderDate], dynamic[customerID], B1037)) &gt; 180, "Non-Returning", "Dormant"), 
        IF(AND(MAX(dynamic[sinceLastOrder]) &gt; 365, (DATE(2024,4,30) - MAXIFS(dynamic[orderDate], dynamic[customerID], B1037)) &gt; 180), 
           "Dormant", "Regular")))</f>
        <v>Regular</v>
      </c>
      <c r="H1037" s="6">
        <v>2.0</v>
      </c>
      <c r="I1037" s="9" t="str">
        <f>VLOOKUP(dynamic[productID],products[],2,FALSE)</f>
        <v>Chang</v>
      </c>
      <c r="J1037" s="9" t="str">
        <f>VLOOKUP(dynamic[productID],products[],12,FALSE)</f>
        <v>Beverages</v>
      </c>
      <c r="K1037" s="7" t="str">
        <f>IF(VLOOKUP(dynamic[productID],products[],7,FALSE)=1,"Discontinued","Current")</f>
        <v>Current</v>
      </c>
      <c r="L1037" s="9">
        <f>VLOOKUP(dynamic[productID],products[],IF(YEAR(dynamic[orderDate])=2022,8,IF(YEAR(dynamic[orderDate])=2023,9,IF(YEAR(dynamic[orderDate])=2024,10,NA))),FALSE)</f>
        <v>12.14626904</v>
      </c>
      <c r="M1037" s="9">
        <v>19.0</v>
      </c>
      <c r="N1037" s="25">
        <f>(dynamic[orderPrice]-dynamic[productCost])/dynamic[productCost]</f>
        <v>0.5642663547</v>
      </c>
      <c r="O1037" s="10">
        <v>50.0</v>
      </c>
      <c r="P1037" s="25">
        <v>0.0</v>
      </c>
      <c r="Q1037" s="9">
        <f>dynamic[orderPrice]*dynamic[orderQuantity]</f>
        <v>950</v>
      </c>
      <c r="R1037" s="9">
        <f>dynamic[orderTotal]*(1-dynamic[discountApllied])</f>
        <v>950</v>
      </c>
      <c r="S1037" s="9">
        <f>dynamic[revenue]-(dynamic[productCost]*dynamic[orderQuantity])</f>
        <v>342.6865478</v>
      </c>
      <c r="T1037" s="25">
        <f>IFERROR(dynamic[profit]/dynamic[revenue], 0)</f>
        <v>0.3607226819</v>
      </c>
    </row>
    <row r="1038" ht="15.75" customHeight="1">
      <c r="A1038" s="6">
        <v>10641.0</v>
      </c>
      <c r="B1038" s="7" t="s">
        <v>23</v>
      </c>
      <c r="C1038" s="24" t="str">
        <f>VLOOKUP(dynamic[customerID],customers[],2,FALSE)</f>
        <v>HILARION-Abastos</v>
      </c>
      <c r="D1038" s="24">
        <v>45160.0</v>
      </c>
      <c r="E1038" s="6">
        <f>IFERROR(__xludf.DUMMYFUNCTION("COUNTUNIQUEIFS($A$2:$A1038,$B$2:$B1038,B1038)"),10.0)</f>
        <v>10</v>
      </c>
      <c r="F1038" s="6">
        <f t="shared" si="1"/>
        <v>24</v>
      </c>
      <c r="G1038" s="6" t="str">
        <f>IF(MINIFS(dynamic[orderDate], dynamic[customerID], B1038) &gt;= DATE(2024,4,30)-120, 
     "New", 
     IF(MAXIFS(dynamic[orderCount], dynamic[customerID], B1038)&lt;=2, 
        IF((DATE(2024,4,30) - MAXIFS(dynamic[orderDate], dynamic[customerID], B1038)) &gt; 180, "Non-Returning", "Dormant"), 
        IF(AND(MAX(dynamic[sinceLastOrder]) &gt; 365, (DATE(2024,4,30) - MAXIFS(dynamic[orderDate], dynamic[customerID], B1038)) &gt; 180), 
           "Dormant", "Regular")))</f>
        <v>Regular</v>
      </c>
      <c r="H1038" s="6">
        <v>40.0</v>
      </c>
      <c r="I1038" s="9" t="str">
        <f>VLOOKUP(dynamic[productID],products[],2,FALSE)</f>
        <v>Boston Crab Meat</v>
      </c>
      <c r="J1038" s="9" t="str">
        <f>VLOOKUP(dynamic[productID],products[],12,FALSE)</f>
        <v>Seafood</v>
      </c>
      <c r="K1038" s="7" t="str">
        <f>IF(VLOOKUP(dynamic[productID],products[],7,FALSE)=1,"Discontinued","Current")</f>
        <v>Current</v>
      </c>
      <c r="L1038" s="9">
        <f>VLOOKUP(dynamic[productID],products[],IF(YEAR(dynamic[orderDate])=2022,8,IF(YEAR(dynamic[orderDate])=2023,9,IF(YEAR(dynamic[orderDate])=2024,10,NA))),FALSE)</f>
        <v>11.40496523</v>
      </c>
      <c r="M1038" s="9">
        <v>18.4</v>
      </c>
      <c r="N1038" s="25">
        <f>(dynamic[orderPrice]-dynamic[productCost])/dynamic[productCost]</f>
        <v>0.6133324069</v>
      </c>
      <c r="O1038" s="10">
        <v>60.0</v>
      </c>
      <c r="P1038" s="25">
        <v>0.0</v>
      </c>
      <c r="Q1038" s="9">
        <f>dynamic[orderPrice]*dynamic[orderQuantity]</f>
        <v>1104</v>
      </c>
      <c r="R1038" s="9">
        <f>dynamic[orderTotal]*(1-dynamic[discountApllied])</f>
        <v>1104</v>
      </c>
      <c r="S1038" s="9">
        <f>dynamic[revenue]-(dynamic[productCost]*dynamic[orderQuantity])</f>
        <v>419.7020864</v>
      </c>
      <c r="T1038" s="25">
        <f>IFERROR(dynamic[profit]/dynamic[revenue], 0)</f>
        <v>0.3801649333</v>
      </c>
    </row>
    <row r="1039" ht="15.75" customHeight="1">
      <c r="A1039" s="6">
        <v>10642.0</v>
      </c>
      <c r="B1039" s="7" t="s">
        <v>66</v>
      </c>
      <c r="C1039" s="24" t="str">
        <f>VLOOKUP(dynamic[customerID],customers[],2,FALSE)</f>
        <v>Simons bistro</v>
      </c>
      <c r="D1039" s="24">
        <v>45160.0</v>
      </c>
      <c r="E1039" s="6">
        <f>IFERROR(__xludf.DUMMYFUNCTION("COUNTUNIQUEIFS($A$2:$A1039,$B$2:$B1039,B1039)"),4.0)</f>
        <v>4</v>
      </c>
      <c r="F1039" s="6">
        <f t="shared" si="1"/>
        <v>80</v>
      </c>
      <c r="G1039" s="6" t="str">
        <f>IF(MINIFS(dynamic[orderDate], dynamic[customerID], B1039) &gt;= DATE(2024,4,30)-120, 
     "New", 
     IF(MAXIFS(dynamic[orderCount], dynamic[customerID], B1039)&lt;=2, 
        IF((DATE(2024,4,30) - MAXIFS(dynamic[orderDate], dynamic[customerID], B1039)) &gt; 180, "Non-Returning", "Dormant"), 
        IF(AND(MAX(dynamic[sinceLastOrder]) &gt; 365, (DATE(2024,4,30) - MAXIFS(dynamic[orderDate], dynamic[customerID], B1039)) &gt; 180), 
           "Dormant", "Regular")))</f>
        <v>Regular</v>
      </c>
      <c r="H1039" s="6">
        <v>21.0</v>
      </c>
      <c r="I1039" s="9" t="str">
        <f>VLOOKUP(dynamic[productID],products[],2,FALSE)</f>
        <v>Sir Rodney's Scones</v>
      </c>
      <c r="J1039" s="9" t="str">
        <f>VLOOKUP(dynamic[productID],products[],12,FALSE)</f>
        <v>Confections</v>
      </c>
      <c r="K1039" s="7" t="str">
        <f>IF(VLOOKUP(dynamic[productID],products[],7,FALSE)=1,"Discontinued","Current")</f>
        <v>Current</v>
      </c>
      <c r="L1039" s="9">
        <f>VLOOKUP(dynamic[productID],products[],IF(YEAR(dynamic[orderDate])=2022,8,IF(YEAR(dynamic[orderDate])=2023,9,IF(YEAR(dynamic[orderDate])=2024,10,NA))),FALSE)</f>
        <v>6.725636111</v>
      </c>
      <c r="M1039" s="9">
        <v>10.0</v>
      </c>
      <c r="N1039" s="25">
        <f>(dynamic[orderPrice]-dynamic[productCost])/dynamic[productCost]</f>
        <v>0.486848208</v>
      </c>
      <c r="O1039" s="10">
        <v>30.0</v>
      </c>
      <c r="P1039" s="25">
        <v>0.2</v>
      </c>
      <c r="Q1039" s="9">
        <f>dynamic[orderPrice]*dynamic[orderQuantity]</f>
        <v>300</v>
      </c>
      <c r="R1039" s="9">
        <f>dynamic[orderTotal]*(1-dynamic[discountApllied])</f>
        <v>240</v>
      </c>
      <c r="S1039" s="9">
        <f>dynamic[revenue]-(dynamic[productCost]*dynamic[orderQuantity])</f>
        <v>38.23091666</v>
      </c>
      <c r="T1039" s="25">
        <f>IFERROR(dynamic[profit]/dynamic[revenue], 0)</f>
        <v>0.1592954861</v>
      </c>
    </row>
    <row r="1040" ht="15.75" customHeight="1">
      <c r="A1040" s="6">
        <v>10642.0</v>
      </c>
      <c r="B1040" s="7" t="s">
        <v>66</v>
      </c>
      <c r="C1040" s="24" t="str">
        <f>VLOOKUP(dynamic[customerID],customers[],2,FALSE)</f>
        <v>Simons bistro</v>
      </c>
      <c r="D1040" s="24">
        <v>45160.0</v>
      </c>
      <c r="E1040" s="6">
        <f>IFERROR(__xludf.DUMMYFUNCTION("COUNTUNIQUEIFS($A$2:$A1040,$B$2:$B1040,B1040)"),4.0)</f>
        <v>4</v>
      </c>
      <c r="F1040" s="6">
        <f t="shared" si="1"/>
        <v>80</v>
      </c>
      <c r="G1040" s="6" t="str">
        <f>IF(MINIFS(dynamic[orderDate], dynamic[customerID], B1040) &gt;= DATE(2024,4,30)-120, 
     "New", 
     IF(MAXIFS(dynamic[orderCount], dynamic[customerID], B1040)&lt;=2, 
        IF((DATE(2024,4,30) - MAXIFS(dynamic[orderDate], dynamic[customerID], B1040)) &gt; 180, "Non-Returning", "Dormant"), 
        IF(AND(MAX(dynamic[sinceLastOrder]) &gt; 365, (DATE(2024,4,30) - MAXIFS(dynamic[orderDate], dynamic[customerID], B1040)) &gt; 180), 
           "Dormant", "Regular")))</f>
        <v>Regular</v>
      </c>
      <c r="H1040" s="6">
        <v>61.0</v>
      </c>
      <c r="I1040" s="9" t="str">
        <f>VLOOKUP(dynamic[productID],products[],2,FALSE)</f>
        <v>Sirop d'érable</v>
      </c>
      <c r="J1040" s="9" t="str">
        <f>VLOOKUP(dynamic[productID],products[],12,FALSE)</f>
        <v>Condiments</v>
      </c>
      <c r="K1040" s="7" t="str">
        <f>IF(VLOOKUP(dynamic[productID],products[],7,FALSE)=1,"Discontinued","Current")</f>
        <v>Current</v>
      </c>
      <c r="L1040" s="9">
        <f>VLOOKUP(dynamic[productID],products[],IF(YEAR(dynamic[orderDate])=2022,8,IF(YEAR(dynamic[orderDate])=2023,9,IF(YEAR(dynamic[orderDate])=2024,10,NA))),FALSE)</f>
        <v>17.19945448</v>
      </c>
      <c r="M1040" s="9">
        <v>28.5</v>
      </c>
      <c r="N1040" s="25">
        <f>(dynamic[orderPrice]-dynamic[productCost])/dynamic[productCost]</f>
        <v>0.6570292986</v>
      </c>
      <c r="O1040" s="10">
        <v>20.0</v>
      </c>
      <c r="P1040" s="25">
        <v>0.2</v>
      </c>
      <c r="Q1040" s="9">
        <f>dynamic[orderPrice]*dynamic[orderQuantity]</f>
        <v>570</v>
      </c>
      <c r="R1040" s="9">
        <f>dynamic[orderTotal]*(1-dynamic[discountApllied])</f>
        <v>456</v>
      </c>
      <c r="S1040" s="9">
        <f>dynamic[revenue]-(dynamic[productCost]*dynamic[orderQuantity])</f>
        <v>112.0109103</v>
      </c>
      <c r="T1040" s="25">
        <f>IFERROR(dynamic[profit]/dynamic[revenue], 0)</f>
        <v>0.2456379612</v>
      </c>
    </row>
    <row r="1041" ht="15.75" customHeight="1">
      <c r="A1041" s="6">
        <v>10643.0</v>
      </c>
      <c r="B1041" s="7" t="s">
        <v>100</v>
      </c>
      <c r="C1041" s="24" t="str">
        <f>VLOOKUP(dynamic[customerID],customers[],2,FALSE)</f>
        <v>Alfreds Futterkiste</v>
      </c>
      <c r="D1041" s="24">
        <v>45163.0</v>
      </c>
      <c r="E1041" s="6">
        <f>IFERROR(__xludf.DUMMYFUNCTION("COUNTUNIQUEIFS($A$2:$A1041,$B$2:$B1041,B1041)"),1.0)</f>
        <v>1</v>
      </c>
      <c r="F1041" s="6">
        <f t="shared" si="1"/>
        <v>0</v>
      </c>
      <c r="G1041" s="6" t="str">
        <f>IF(MINIFS(dynamic[orderDate], dynamic[customerID], B1041) &gt;= DATE(2024,4,30)-120, 
     "New", 
     IF(MAXIFS(dynamic[orderCount], dynamic[customerID], B1041)&lt;=2, 
        IF((DATE(2024,4,30) - MAXIFS(dynamic[orderDate], dynamic[customerID], B1041)) &gt; 180, "Non-Returning", "Dormant"), 
        IF(AND(MAX(dynamic[sinceLastOrder]) &gt; 365, (DATE(2024,4,30) - MAXIFS(dynamic[orderDate], dynamic[customerID], B1041)) &gt; 180), 
           "Dormant", "Regular")))</f>
        <v>Regular</v>
      </c>
      <c r="H1041" s="6">
        <v>28.0</v>
      </c>
      <c r="I1041" s="9" t="str">
        <f>VLOOKUP(dynamic[productID],products[],2,FALSE)</f>
        <v>Rössle Sauerkraut</v>
      </c>
      <c r="J1041" s="9" t="str">
        <f>VLOOKUP(dynamic[productID],products[],12,FALSE)</f>
        <v>Produce</v>
      </c>
      <c r="K1041" s="7" t="str">
        <f>IF(VLOOKUP(dynamic[productID],products[],7,FALSE)=1,"Discontinued","Current")</f>
        <v>Discontinued</v>
      </c>
      <c r="L1041" s="9">
        <f>VLOOKUP(dynamic[productID],products[],IF(YEAR(dynamic[orderDate])=2022,8,IF(YEAR(dynamic[orderDate])=2023,9,IF(YEAR(dynamic[orderDate])=2024,10,NA))),FALSE)</f>
        <v>31.52644578</v>
      </c>
      <c r="M1041" s="9">
        <v>45.6</v>
      </c>
      <c r="N1041" s="25">
        <f>(dynamic[orderPrice]-dynamic[productCost])/dynamic[productCost]</f>
        <v>0.4464047207</v>
      </c>
      <c r="O1041" s="10">
        <v>15.0</v>
      </c>
      <c r="P1041" s="25">
        <v>0.25</v>
      </c>
      <c r="Q1041" s="9">
        <f>dynamic[orderPrice]*dynamic[orderQuantity]</f>
        <v>684</v>
      </c>
      <c r="R1041" s="9">
        <f>dynamic[orderTotal]*(1-dynamic[discountApllied])</f>
        <v>513</v>
      </c>
      <c r="S1041" s="9">
        <f>dynamic[revenue]-(dynamic[productCost]*dynamic[orderQuantity])</f>
        <v>40.10331333</v>
      </c>
      <c r="T1041" s="25">
        <f>IFERROR(dynamic[profit]/dynamic[revenue], 0)</f>
        <v>0.07817410005</v>
      </c>
    </row>
    <row r="1042" ht="15.75" customHeight="1">
      <c r="A1042" s="6">
        <v>10643.0</v>
      </c>
      <c r="B1042" s="7" t="s">
        <v>100</v>
      </c>
      <c r="C1042" s="24" t="str">
        <f>VLOOKUP(dynamic[customerID],customers[],2,FALSE)</f>
        <v>Alfreds Futterkiste</v>
      </c>
      <c r="D1042" s="24">
        <v>45163.0</v>
      </c>
      <c r="E1042" s="6">
        <f>IFERROR(__xludf.DUMMYFUNCTION("COUNTUNIQUEIFS($A$2:$A1042,$B$2:$B1042,B1042)"),1.0)</f>
        <v>1</v>
      </c>
      <c r="F1042" s="6">
        <f t="shared" si="1"/>
        <v>0</v>
      </c>
      <c r="G1042" s="6" t="str">
        <f>IF(MINIFS(dynamic[orderDate], dynamic[customerID], B1042) &gt;= DATE(2024,4,30)-120, 
     "New", 
     IF(MAXIFS(dynamic[orderCount], dynamic[customerID], B1042)&lt;=2, 
        IF((DATE(2024,4,30) - MAXIFS(dynamic[orderDate], dynamic[customerID], B1042)) &gt; 180, "Non-Returning", "Dormant"), 
        IF(AND(MAX(dynamic[sinceLastOrder]) &gt; 365, (DATE(2024,4,30) - MAXIFS(dynamic[orderDate], dynamic[customerID], B1042)) &gt; 180), 
           "Dormant", "Regular")))</f>
        <v>Regular</v>
      </c>
      <c r="H1042" s="6">
        <v>39.0</v>
      </c>
      <c r="I1042" s="9" t="str">
        <f>VLOOKUP(dynamic[productID],products[],2,FALSE)</f>
        <v>Chartreuse verte</v>
      </c>
      <c r="J1042" s="9" t="str">
        <f>VLOOKUP(dynamic[productID],products[],12,FALSE)</f>
        <v>Beverages</v>
      </c>
      <c r="K1042" s="7" t="str">
        <f>IF(VLOOKUP(dynamic[productID],products[],7,FALSE)=1,"Discontinued","Current")</f>
        <v>Current</v>
      </c>
      <c r="L1042" s="9">
        <f>VLOOKUP(dynamic[productID],products[],IF(YEAR(dynamic[orderDate])=2022,8,IF(YEAR(dynamic[orderDate])=2023,9,IF(YEAR(dynamic[orderDate])=2024,10,NA))),FALSE)</f>
        <v>11.73311441</v>
      </c>
      <c r="M1042" s="9">
        <v>18.0</v>
      </c>
      <c r="N1042" s="25">
        <f>(dynamic[orderPrice]-dynamic[productCost])/dynamic[productCost]</f>
        <v>0.5341195326</v>
      </c>
      <c r="O1042" s="10">
        <v>21.0</v>
      </c>
      <c r="P1042" s="25">
        <v>0.25</v>
      </c>
      <c r="Q1042" s="9">
        <f>dynamic[orderPrice]*dynamic[orderQuantity]</f>
        <v>378</v>
      </c>
      <c r="R1042" s="9">
        <f>dynamic[orderTotal]*(1-dynamic[discountApllied])</f>
        <v>283.5</v>
      </c>
      <c r="S1042" s="9">
        <f>dynamic[revenue]-(dynamic[productCost]*dynamic[orderQuantity])</f>
        <v>37.10459732</v>
      </c>
      <c r="T1042" s="25">
        <f>IFERROR(dynamic[profit]/dynamic[revenue], 0)</f>
        <v>0.1308804138</v>
      </c>
    </row>
    <row r="1043" ht="15.75" customHeight="1">
      <c r="A1043" s="6">
        <v>10643.0</v>
      </c>
      <c r="B1043" s="7" t="s">
        <v>100</v>
      </c>
      <c r="C1043" s="24" t="str">
        <f>VLOOKUP(dynamic[customerID],customers[],2,FALSE)</f>
        <v>Alfreds Futterkiste</v>
      </c>
      <c r="D1043" s="24">
        <v>45163.0</v>
      </c>
      <c r="E1043" s="6">
        <f>IFERROR(__xludf.DUMMYFUNCTION("COUNTUNIQUEIFS($A$2:$A1043,$B$2:$B1043,B1043)"),1.0)</f>
        <v>1</v>
      </c>
      <c r="F1043" s="6">
        <f t="shared" si="1"/>
        <v>0</v>
      </c>
      <c r="G1043" s="6" t="str">
        <f>IF(MINIFS(dynamic[orderDate], dynamic[customerID], B1043) &gt;= DATE(2024,4,30)-120, 
     "New", 
     IF(MAXIFS(dynamic[orderCount], dynamic[customerID], B1043)&lt;=2, 
        IF((DATE(2024,4,30) - MAXIFS(dynamic[orderDate], dynamic[customerID], B1043)) &gt; 180, "Non-Returning", "Dormant"), 
        IF(AND(MAX(dynamic[sinceLastOrder]) &gt; 365, (DATE(2024,4,30) - MAXIFS(dynamic[orderDate], dynamic[customerID], B1043)) &gt; 180), 
           "Dormant", "Regular")))</f>
        <v>Regular</v>
      </c>
      <c r="H1043" s="6">
        <v>46.0</v>
      </c>
      <c r="I1043" s="9" t="str">
        <f>VLOOKUP(dynamic[productID],products[],2,FALSE)</f>
        <v>Spegesild</v>
      </c>
      <c r="J1043" s="9" t="str">
        <f>VLOOKUP(dynamic[productID],products[],12,FALSE)</f>
        <v>Seafood</v>
      </c>
      <c r="K1043" s="7" t="str">
        <f>IF(VLOOKUP(dynamic[productID],products[],7,FALSE)=1,"Discontinued","Current")</f>
        <v>Current</v>
      </c>
      <c r="L1043" s="9">
        <f>VLOOKUP(dynamic[productID],products[],IF(YEAR(dynamic[orderDate])=2022,8,IF(YEAR(dynamic[orderDate])=2023,9,IF(YEAR(dynamic[orderDate])=2024,10,NA))),FALSE)</f>
        <v>7.087990753</v>
      </c>
      <c r="M1043" s="9">
        <v>12.0</v>
      </c>
      <c r="N1043" s="25">
        <f>(dynamic[orderPrice]-dynamic[productCost])/dynamic[productCost]</f>
        <v>0.693004466</v>
      </c>
      <c r="O1043" s="10">
        <v>2.0</v>
      </c>
      <c r="P1043" s="25">
        <v>0.25</v>
      </c>
      <c r="Q1043" s="9">
        <f>dynamic[orderPrice]*dynamic[orderQuantity]</f>
        <v>24</v>
      </c>
      <c r="R1043" s="9">
        <f>dynamic[orderTotal]*(1-dynamic[discountApllied])</f>
        <v>18</v>
      </c>
      <c r="S1043" s="9">
        <f>dynamic[revenue]-(dynamic[productCost]*dynamic[orderQuantity])</f>
        <v>3.824018494</v>
      </c>
      <c r="T1043" s="25">
        <f>IFERROR(dynamic[profit]/dynamic[revenue], 0)</f>
        <v>0.2124454719</v>
      </c>
    </row>
    <row r="1044" ht="15.75" customHeight="1">
      <c r="A1044" s="6">
        <v>10644.0</v>
      </c>
      <c r="B1044" s="7" t="s">
        <v>22</v>
      </c>
      <c r="C1044" s="24" t="str">
        <f>VLOOKUP(dynamic[customerID],customers[],2,FALSE)</f>
        <v>Wellington Importadora</v>
      </c>
      <c r="D1044" s="24">
        <v>45163.0</v>
      </c>
      <c r="E1044" s="6">
        <f>IFERROR(__xludf.DUMMYFUNCTION("COUNTUNIQUEIFS($A$2:$A1044,$B$2:$B1044,B1044)"),4.0)</f>
        <v>4</v>
      </c>
      <c r="F1044" s="6">
        <f t="shared" si="1"/>
        <v>55</v>
      </c>
      <c r="G1044" s="6" t="str">
        <f>IF(MINIFS(dynamic[orderDate], dynamic[customerID], B1044) &gt;= DATE(2024,4,30)-120, 
     "New", 
     IF(MAXIFS(dynamic[orderCount], dynamic[customerID], B1044)&lt;=2, 
        IF((DATE(2024,4,30) - MAXIFS(dynamic[orderDate], dynamic[customerID], B1044)) &gt; 180, "Non-Returning", "Dormant"), 
        IF(AND(MAX(dynamic[sinceLastOrder]) &gt; 365, (DATE(2024,4,30) - MAXIFS(dynamic[orderDate], dynamic[customerID], B1044)) &gt; 180), 
           "Dormant", "Regular")))</f>
        <v>Regular</v>
      </c>
      <c r="H1044" s="6">
        <v>18.0</v>
      </c>
      <c r="I1044" s="9" t="str">
        <f>VLOOKUP(dynamic[productID],products[],2,FALSE)</f>
        <v>Carnarvon Tigers</v>
      </c>
      <c r="J1044" s="9" t="str">
        <f>VLOOKUP(dynamic[productID],products[],12,FALSE)</f>
        <v>Seafood</v>
      </c>
      <c r="K1044" s="7" t="str">
        <f>IF(VLOOKUP(dynamic[productID],products[],7,FALSE)=1,"Discontinued","Current")</f>
        <v>Current</v>
      </c>
      <c r="L1044" s="9">
        <f>VLOOKUP(dynamic[productID],products[],IF(YEAR(dynamic[orderDate])=2022,8,IF(YEAR(dynamic[orderDate])=2023,9,IF(YEAR(dynamic[orderDate])=2024,10,NA))),FALSE)</f>
        <v>39.51966651</v>
      </c>
      <c r="M1044" s="9">
        <v>62.5</v>
      </c>
      <c r="N1044" s="25">
        <f>(dynamic[orderPrice]-dynamic[productCost])/dynamic[productCost]</f>
        <v>0.5814910784</v>
      </c>
      <c r="O1044" s="10">
        <v>4.0</v>
      </c>
      <c r="P1044" s="25">
        <v>0.1</v>
      </c>
      <c r="Q1044" s="9">
        <f>dynamic[orderPrice]*dynamic[orderQuantity]</f>
        <v>250</v>
      </c>
      <c r="R1044" s="9">
        <f>dynamic[orderTotal]*(1-dynamic[discountApllied])</f>
        <v>225</v>
      </c>
      <c r="S1044" s="9">
        <f>dynamic[revenue]-(dynamic[productCost]*dynamic[orderQuantity])</f>
        <v>66.92133398</v>
      </c>
      <c r="T1044" s="25">
        <f>IFERROR(dynamic[profit]/dynamic[revenue], 0)</f>
        <v>0.297428151</v>
      </c>
    </row>
    <row r="1045" ht="15.75" customHeight="1">
      <c r="A1045" s="6">
        <v>10644.0</v>
      </c>
      <c r="B1045" s="7" t="s">
        <v>22</v>
      </c>
      <c r="C1045" s="24" t="str">
        <f>VLOOKUP(dynamic[customerID],customers[],2,FALSE)</f>
        <v>Wellington Importadora</v>
      </c>
      <c r="D1045" s="24">
        <v>45163.0</v>
      </c>
      <c r="E1045" s="6">
        <f>IFERROR(__xludf.DUMMYFUNCTION("COUNTUNIQUEIFS($A$2:$A1045,$B$2:$B1045,B1045)"),4.0)</f>
        <v>4</v>
      </c>
      <c r="F1045" s="6">
        <f t="shared" si="1"/>
        <v>55</v>
      </c>
      <c r="G1045" s="6" t="str">
        <f>IF(MINIFS(dynamic[orderDate], dynamic[customerID], B1045) &gt;= DATE(2024,4,30)-120, 
     "New", 
     IF(MAXIFS(dynamic[orderCount], dynamic[customerID], B1045)&lt;=2, 
        IF((DATE(2024,4,30) - MAXIFS(dynamic[orderDate], dynamic[customerID], B1045)) &gt; 180, "Non-Returning", "Dormant"), 
        IF(AND(MAX(dynamic[sinceLastOrder]) &gt; 365, (DATE(2024,4,30) - MAXIFS(dynamic[orderDate], dynamic[customerID], B1045)) &gt; 180), 
           "Dormant", "Regular")))</f>
        <v>Regular</v>
      </c>
      <c r="H1045" s="6">
        <v>43.0</v>
      </c>
      <c r="I1045" s="9" t="str">
        <f>VLOOKUP(dynamic[productID],products[],2,FALSE)</f>
        <v>Ipoh Coffee</v>
      </c>
      <c r="J1045" s="9" t="str">
        <f>VLOOKUP(dynamic[productID],products[],12,FALSE)</f>
        <v>Beverages</v>
      </c>
      <c r="K1045" s="7" t="str">
        <f>IF(VLOOKUP(dynamic[productID],products[],7,FALSE)=1,"Discontinued","Current")</f>
        <v>Current</v>
      </c>
      <c r="L1045" s="9">
        <f>VLOOKUP(dynamic[productID],products[],IF(YEAR(dynamic[orderDate])=2022,8,IF(YEAR(dynamic[orderDate])=2023,9,IF(YEAR(dynamic[orderDate])=2024,10,NA))),FALSE)</f>
        <v>30.96256564</v>
      </c>
      <c r="M1045" s="9">
        <v>46.0</v>
      </c>
      <c r="N1045" s="25">
        <f>(dynamic[orderPrice]-dynamic[productCost])/dynamic[productCost]</f>
        <v>0.4856649976</v>
      </c>
      <c r="O1045" s="10">
        <v>20.0</v>
      </c>
      <c r="P1045" s="25">
        <v>0.0</v>
      </c>
      <c r="Q1045" s="9">
        <f>dynamic[orderPrice]*dynamic[orderQuantity]</f>
        <v>920</v>
      </c>
      <c r="R1045" s="9">
        <f>dynamic[orderTotal]*(1-dynamic[discountApllied])</f>
        <v>920</v>
      </c>
      <c r="S1045" s="9">
        <f>dynamic[revenue]-(dynamic[productCost]*dynamic[orderQuantity])</f>
        <v>300.7486873</v>
      </c>
      <c r="T1045" s="25">
        <f>IFERROR(dynamic[profit]/dynamic[revenue], 0)</f>
        <v>0.3269007471</v>
      </c>
    </row>
    <row r="1046" ht="15.75" customHeight="1">
      <c r="A1046" s="6">
        <v>10644.0</v>
      </c>
      <c r="B1046" s="7" t="s">
        <v>22</v>
      </c>
      <c r="C1046" s="24" t="str">
        <f>VLOOKUP(dynamic[customerID],customers[],2,FALSE)</f>
        <v>Wellington Importadora</v>
      </c>
      <c r="D1046" s="24">
        <v>45163.0</v>
      </c>
      <c r="E1046" s="6">
        <f>IFERROR(__xludf.DUMMYFUNCTION("COUNTUNIQUEIFS($A$2:$A1046,$B$2:$B1046,B1046)"),4.0)</f>
        <v>4</v>
      </c>
      <c r="F1046" s="6">
        <f t="shared" si="1"/>
        <v>55</v>
      </c>
      <c r="G1046" s="6" t="str">
        <f>IF(MINIFS(dynamic[orderDate], dynamic[customerID], B1046) &gt;= DATE(2024,4,30)-120, 
     "New", 
     IF(MAXIFS(dynamic[orderCount], dynamic[customerID], B1046)&lt;=2, 
        IF((DATE(2024,4,30) - MAXIFS(dynamic[orderDate], dynamic[customerID], B1046)) &gt; 180, "Non-Returning", "Dormant"), 
        IF(AND(MAX(dynamic[sinceLastOrder]) &gt; 365, (DATE(2024,4,30) - MAXIFS(dynamic[orderDate], dynamic[customerID], B1046)) &gt; 180), 
           "Dormant", "Regular")))</f>
        <v>Regular</v>
      </c>
      <c r="H1046" s="6">
        <v>46.0</v>
      </c>
      <c r="I1046" s="9" t="str">
        <f>VLOOKUP(dynamic[productID],products[],2,FALSE)</f>
        <v>Spegesild</v>
      </c>
      <c r="J1046" s="9" t="str">
        <f>VLOOKUP(dynamic[productID],products[],12,FALSE)</f>
        <v>Seafood</v>
      </c>
      <c r="K1046" s="7" t="str">
        <f>IF(VLOOKUP(dynamic[productID],products[],7,FALSE)=1,"Discontinued","Current")</f>
        <v>Current</v>
      </c>
      <c r="L1046" s="9">
        <f>VLOOKUP(dynamic[productID],products[],IF(YEAR(dynamic[orderDate])=2022,8,IF(YEAR(dynamic[orderDate])=2023,9,IF(YEAR(dynamic[orderDate])=2024,10,NA))),FALSE)</f>
        <v>7.087990753</v>
      </c>
      <c r="M1046" s="9">
        <v>12.0</v>
      </c>
      <c r="N1046" s="25">
        <f>(dynamic[orderPrice]-dynamic[productCost])/dynamic[productCost]</f>
        <v>0.693004466</v>
      </c>
      <c r="O1046" s="10">
        <v>21.0</v>
      </c>
      <c r="P1046" s="25">
        <v>0.1</v>
      </c>
      <c r="Q1046" s="9">
        <f>dynamic[orderPrice]*dynamic[orderQuantity]</f>
        <v>252</v>
      </c>
      <c r="R1046" s="9">
        <f>dynamic[orderTotal]*(1-dynamic[discountApllied])</f>
        <v>226.8</v>
      </c>
      <c r="S1046" s="9">
        <f>dynamic[revenue]-(dynamic[productCost]*dynamic[orderQuantity])</f>
        <v>77.95219418</v>
      </c>
      <c r="T1046" s="25">
        <f>IFERROR(dynamic[profit]/dynamic[revenue], 0)</f>
        <v>0.3437045599</v>
      </c>
    </row>
    <row r="1047" ht="15.75" customHeight="1">
      <c r="A1047" s="6">
        <v>10645.0</v>
      </c>
      <c r="B1047" s="7" t="s">
        <v>16</v>
      </c>
      <c r="C1047" s="24" t="str">
        <f>VLOOKUP(dynamic[customerID],customers[],2,FALSE)</f>
        <v>Hanari Carnes</v>
      </c>
      <c r="D1047" s="24">
        <v>45164.0</v>
      </c>
      <c r="E1047" s="6">
        <f>IFERROR(__xludf.DUMMYFUNCTION("COUNTUNIQUEIFS($A$2:$A1047,$B$2:$B1047,B1047)"),4.0)</f>
        <v>4</v>
      </c>
      <c r="F1047" s="6">
        <f t="shared" si="1"/>
        <v>99</v>
      </c>
      <c r="G1047" s="6" t="str">
        <f>IF(MINIFS(dynamic[orderDate], dynamic[customerID], B1047) &gt;= DATE(2024,4,30)-120, 
     "New", 
     IF(MAXIFS(dynamic[orderCount], dynamic[customerID], B1047)&lt;=2, 
        IF((DATE(2024,4,30) - MAXIFS(dynamic[orderDate], dynamic[customerID], B1047)) &gt; 180, "Non-Returning", "Dormant"), 
        IF(AND(MAX(dynamic[sinceLastOrder]) &gt; 365, (DATE(2024,4,30) - MAXIFS(dynamic[orderDate], dynamic[customerID], B1047)) &gt; 180), 
           "Dormant", "Regular")))</f>
        <v>Regular</v>
      </c>
      <c r="H1047" s="6">
        <v>18.0</v>
      </c>
      <c r="I1047" s="9" t="str">
        <f>VLOOKUP(dynamic[productID],products[],2,FALSE)</f>
        <v>Carnarvon Tigers</v>
      </c>
      <c r="J1047" s="9" t="str">
        <f>VLOOKUP(dynamic[productID],products[],12,FALSE)</f>
        <v>Seafood</v>
      </c>
      <c r="K1047" s="7" t="str">
        <f>IF(VLOOKUP(dynamic[productID],products[],7,FALSE)=1,"Discontinued","Current")</f>
        <v>Current</v>
      </c>
      <c r="L1047" s="9">
        <f>VLOOKUP(dynamic[productID],products[],IF(YEAR(dynamic[orderDate])=2022,8,IF(YEAR(dynamic[orderDate])=2023,9,IF(YEAR(dynamic[orderDate])=2024,10,NA))),FALSE)</f>
        <v>39.51966651</v>
      </c>
      <c r="M1047" s="9">
        <v>62.5</v>
      </c>
      <c r="N1047" s="25">
        <f>(dynamic[orderPrice]-dynamic[productCost])/dynamic[productCost]</f>
        <v>0.5814910784</v>
      </c>
      <c r="O1047" s="10">
        <v>20.0</v>
      </c>
      <c r="P1047" s="25">
        <v>0.0</v>
      </c>
      <c r="Q1047" s="9">
        <f>dynamic[orderPrice]*dynamic[orderQuantity]</f>
        <v>1250</v>
      </c>
      <c r="R1047" s="9">
        <f>dynamic[orderTotal]*(1-dynamic[discountApllied])</f>
        <v>1250</v>
      </c>
      <c r="S1047" s="9">
        <f>dynamic[revenue]-(dynamic[productCost]*dynamic[orderQuantity])</f>
        <v>459.6066699</v>
      </c>
      <c r="T1047" s="25">
        <f>IFERROR(dynamic[profit]/dynamic[revenue], 0)</f>
        <v>0.3676853359</v>
      </c>
    </row>
    <row r="1048" ht="15.75" customHeight="1">
      <c r="A1048" s="6">
        <v>10645.0</v>
      </c>
      <c r="B1048" s="7" t="s">
        <v>16</v>
      </c>
      <c r="C1048" s="24" t="str">
        <f>VLOOKUP(dynamic[customerID],customers[],2,FALSE)</f>
        <v>Hanari Carnes</v>
      </c>
      <c r="D1048" s="24">
        <v>45164.0</v>
      </c>
      <c r="E1048" s="6">
        <f>IFERROR(__xludf.DUMMYFUNCTION("COUNTUNIQUEIFS($A$2:$A1048,$B$2:$B1048,B1048)"),4.0)</f>
        <v>4</v>
      </c>
      <c r="F1048" s="6">
        <f t="shared" si="1"/>
        <v>99</v>
      </c>
      <c r="G1048" s="6" t="str">
        <f>IF(MINIFS(dynamic[orderDate], dynamic[customerID], B1048) &gt;= DATE(2024,4,30)-120, 
     "New", 
     IF(MAXIFS(dynamic[orderCount], dynamic[customerID], B1048)&lt;=2, 
        IF((DATE(2024,4,30) - MAXIFS(dynamic[orderDate], dynamic[customerID], B1048)) &gt; 180, "Non-Returning", "Dormant"), 
        IF(AND(MAX(dynamic[sinceLastOrder]) &gt; 365, (DATE(2024,4,30) - MAXIFS(dynamic[orderDate], dynamic[customerID], B1048)) &gt; 180), 
           "Dormant", "Regular")))</f>
        <v>Regular</v>
      </c>
      <c r="H1048" s="6">
        <v>36.0</v>
      </c>
      <c r="I1048" s="9" t="str">
        <f>VLOOKUP(dynamic[productID],products[],2,FALSE)</f>
        <v>Inlagd Sill</v>
      </c>
      <c r="J1048" s="9" t="str">
        <f>VLOOKUP(dynamic[productID],products[],12,FALSE)</f>
        <v>Seafood</v>
      </c>
      <c r="K1048" s="7" t="str">
        <f>IF(VLOOKUP(dynamic[productID],products[],7,FALSE)=1,"Discontinued","Current")</f>
        <v>Current</v>
      </c>
      <c r="L1048" s="9">
        <f>VLOOKUP(dynamic[productID],products[],IF(YEAR(dynamic[orderDate])=2022,8,IF(YEAR(dynamic[orderDate])=2023,9,IF(YEAR(dynamic[orderDate])=2024,10,NA))),FALSE)</f>
        <v>12.15246269</v>
      </c>
      <c r="M1048" s="9">
        <v>19.0</v>
      </c>
      <c r="N1048" s="25">
        <f>(dynamic[orderPrice]-dynamic[productCost])/dynamic[productCost]</f>
        <v>0.5634691082</v>
      </c>
      <c r="O1048" s="10">
        <v>15.0</v>
      </c>
      <c r="P1048" s="25">
        <v>0.0</v>
      </c>
      <c r="Q1048" s="9">
        <f>dynamic[orderPrice]*dynamic[orderQuantity]</f>
        <v>285</v>
      </c>
      <c r="R1048" s="9">
        <f>dynamic[orderTotal]*(1-dynamic[discountApllied])</f>
        <v>285</v>
      </c>
      <c r="S1048" s="9">
        <f>dynamic[revenue]-(dynamic[productCost]*dynamic[orderQuantity])</f>
        <v>102.7130597</v>
      </c>
      <c r="T1048" s="25">
        <f>IFERROR(dynamic[profit]/dynamic[revenue], 0)</f>
        <v>0.3603967007</v>
      </c>
    </row>
    <row r="1049" ht="15.75" customHeight="1">
      <c r="A1049" s="6">
        <v>10646.0</v>
      </c>
      <c r="B1049" s="7" t="s">
        <v>49</v>
      </c>
      <c r="C1049" s="24" t="str">
        <f>VLOOKUP(dynamic[customerID],customers[],2,FALSE)</f>
        <v>Hungry Owl All-Night Grocers</v>
      </c>
      <c r="D1049" s="24">
        <v>45165.0</v>
      </c>
      <c r="E1049" s="6">
        <f>IFERROR(__xludf.DUMMYFUNCTION("COUNTUNIQUEIFS($A$2:$A1049,$B$2:$B1049,B1049)"),10.0)</f>
        <v>10</v>
      </c>
      <c r="F1049" s="6">
        <f t="shared" si="1"/>
        <v>76</v>
      </c>
      <c r="G1049" s="6" t="str">
        <f>IF(MINIFS(dynamic[orderDate], dynamic[customerID], B1049) &gt;= DATE(2024,4,30)-120, 
     "New", 
     IF(MAXIFS(dynamic[orderCount], dynamic[customerID], B1049)&lt;=2, 
        IF((DATE(2024,4,30) - MAXIFS(dynamic[orderDate], dynamic[customerID], B1049)) &gt; 180, "Non-Returning", "Dormant"), 
        IF(AND(MAX(dynamic[sinceLastOrder]) &gt; 365, (DATE(2024,4,30) - MAXIFS(dynamic[orderDate], dynamic[customerID], B1049)) &gt; 180), 
           "Dormant", "Regular")))</f>
        <v>Regular</v>
      </c>
      <c r="H1049" s="6">
        <v>1.0</v>
      </c>
      <c r="I1049" s="9" t="str">
        <f>VLOOKUP(dynamic[productID],products[],2,FALSE)</f>
        <v>Chai</v>
      </c>
      <c r="J1049" s="9" t="str">
        <f>VLOOKUP(dynamic[productID],products[],12,FALSE)</f>
        <v>Beverages</v>
      </c>
      <c r="K1049" s="7" t="str">
        <f>IF(VLOOKUP(dynamic[productID],products[],7,FALSE)=1,"Discontinued","Current")</f>
        <v>Current</v>
      </c>
      <c r="L1049" s="9">
        <f>VLOOKUP(dynamic[productID],products[],IF(YEAR(dynamic[orderDate])=2022,8,IF(YEAR(dynamic[orderDate])=2023,9,IF(YEAR(dynamic[orderDate])=2024,10,NA))),FALSE)</f>
        <v>12.15847607</v>
      </c>
      <c r="M1049" s="9">
        <v>18.0</v>
      </c>
      <c r="N1049" s="25">
        <f>(dynamic[orderPrice]-dynamic[productCost])/dynamic[productCost]</f>
        <v>0.4804486927</v>
      </c>
      <c r="O1049" s="10">
        <v>15.0</v>
      </c>
      <c r="P1049" s="25">
        <v>0.25</v>
      </c>
      <c r="Q1049" s="9">
        <f>dynamic[orderPrice]*dynamic[orderQuantity]</f>
        <v>270</v>
      </c>
      <c r="R1049" s="9">
        <f>dynamic[orderTotal]*(1-dynamic[discountApllied])</f>
        <v>202.5</v>
      </c>
      <c r="S1049" s="9">
        <f>dynamic[revenue]-(dynamic[productCost]*dynamic[orderQuantity])</f>
        <v>20.12285898</v>
      </c>
      <c r="T1049" s="25">
        <f>IFERROR(dynamic[profit]/dynamic[revenue], 0)</f>
        <v>0.09937214312</v>
      </c>
    </row>
    <row r="1050" ht="15.75" customHeight="1">
      <c r="A1050" s="6">
        <v>10646.0</v>
      </c>
      <c r="B1050" s="7" t="s">
        <v>49</v>
      </c>
      <c r="C1050" s="24" t="str">
        <f>VLOOKUP(dynamic[customerID],customers[],2,FALSE)</f>
        <v>Hungry Owl All-Night Grocers</v>
      </c>
      <c r="D1050" s="24">
        <v>45165.0</v>
      </c>
      <c r="E1050" s="6">
        <f>IFERROR(__xludf.DUMMYFUNCTION("COUNTUNIQUEIFS($A$2:$A1050,$B$2:$B1050,B1050)"),10.0)</f>
        <v>10</v>
      </c>
      <c r="F1050" s="6">
        <f t="shared" si="1"/>
        <v>76</v>
      </c>
      <c r="G1050" s="6" t="str">
        <f>IF(MINIFS(dynamic[orderDate], dynamic[customerID], B1050) &gt;= DATE(2024,4,30)-120, 
     "New", 
     IF(MAXIFS(dynamic[orderCount], dynamic[customerID], B1050)&lt;=2, 
        IF((DATE(2024,4,30) - MAXIFS(dynamic[orderDate], dynamic[customerID], B1050)) &gt; 180, "Non-Returning", "Dormant"), 
        IF(AND(MAX(dynamic[sinceLastOrder]) &gt; 365, (DATE(2024,4,30) - MAXIFS(dynamic[orderDate], dynamic[customerID], B1050)) &gt; 180), 
           "Dormant", "Regular")))</f>
        <v>Regular</v>
      </c>
      <c r="H1050" s="6">
        <v>10.0</v>
      </c>
      <c r="I1050" s="9" t="str">
        <f>VLOOKUP(dynamic[productID],products[],2,FALSE)</f>
        <v>Ikura</v>
      </c>
      <c r="J1050" s="9" t="str">
        <f>VLOOKUP(dynamic[productID],products[],12,FALSE)</f>
        <v>Seafood</v>
      </c>
      <c r="K1050" s="7" t="str">
        <f>IF(VLOOKUP(dynamic[productID],products[],7,FALSE)=1,"Discontinued","Current")</f>
        <v>Current</v>
      </c>
      <c r="L1050" s="9">
        <f>VLOOKUP(dynamic[productID],products[],IF(YEAR(dynamic[orderDate])=2022,8,IF(YEAR(dynamic[orderDate])=2023,9,IF(YEAR(dynamic[orderDate])=2024,10,NA))),FALSE)</f>
        <v>20.72721922</v>
      </c>
      <c r="M1050" s="9">
        <v>31.0</v>
      </c>
      <c r="N1050" s="25">
        <f>(dynamic[orderPrice]-dynamic[productCost])/dynamic[productCost]</f>
        <v>0.4956178962</v>
      </c>
      <c r="O1050" s="10">
        <v>18.0</v>
      </c>
      <c r="P1050" s="25">
        <v>0.25</v>
      </c>
      <c r="Q1050" s="9">
        <f>dynamic[orderPrice]*dynamic[orderQuantity]</f>
        <v>558</v>
      </c>
      <c r="R1050" s="9">
        <f>dynamic[orderTotal]*(1-dynamic[discountApllied])</f>
        <v>418.5</v>
      </c>
      <c r="S1050" s="9">
        <f>dynamic[revenue]-(dynamic[productCost]*dynamic[orderQuantity])</f>
        <v>45.41005409</v>
      </c>
      <c r="T1050" s="25">
        <f>IFERROR(dynamic[profit]/dynamic[revenue], 0)</f>
        <v>0.1085067003</v>
      </c>
    </row>
    <row r="1051" ht="15.75" customHeight="1">
      <c r="A1051" s="6">
        <v>10646.0</v>
      </c>
      <c r="B1051" s="7" t="s">
        <v>49</v>
      </c>
      <c r="C1051" s="24" t="str">
        <f>VLOOKUP(dynamic[customerID],customers[],2,FALSE)</f>
        <v>Hungry Owl All-Night Grocers</v>
      </c>
      <c r="D1051" s="24">
        <v>45165.0</v>
      </c>
      <c r="E1051" s="6">
        <f>IFERROR(__xludf.DUMMYFUNCTION("COUNTUNIQUEIFS($A$2:$A1051,$B$2:$B1051,B1051)"),10.0)</f>
        <v>10</v>
      </c>
      <c r="F1051" s="6">
        <f t="shared" si="1"/>
        <v>76</v>
      </c>
      <c r="G1051" s="6" t="str">
        <f>IF(MINIFS(dynamic[orderDate], dynamic[customerID], B1051) &gt;= DATE(2024,4,30)-120, 
     "New", 
     IF(MAXIFS(dynamic[orderCount], dynamic[customerID], B1051)&lt;=2, 
        IF((DATE(2024,4,30) - MAXIFS(dynamic[orderDate], dynamic[customerID], B1051)) &gt; 180, "Non-Returning", "Dormant"), 
        IF(AND(MAX(dynamic[sinceLastOrder]) &gt; 365, (DATE(2024,4,30) - MAXIFS(dynamic[orderDate], dynamic[customerID], B1051)) &gt; 180), 
           "Dormant", "Regular")))</f>
        <v>Regular</v>
      </c>
      <c r="H1051" s="6">
        <v>71.0</v>
      </c>
      <c r="I1051" s="9" t="str">
        <f>VLOOKUP(dynamic[productID],products[],2,FALSE)</f>
        <v>Flotemysost</v>
      </c>
      <c r="J1051" s="9" t="str">
        <f>VLOOKUP(dynamic[productID],products[],12,FALSE)</f>
        <v>Dairy Products</v>
      </c>
      <c r="K1051" s="7" t="str">
        <f>IF(VLOOKUP(dynamic[productID],products[],7,FALSE)=1,"Discontinued","Current")</f>
        <v>Current</v>
      </c>
      <c r="L1051" s="9">
        <f>VLOOKUP(dynamic[productID],products[],IF(YEAR(dynamic[orderDate])=2022,8,IF(YEAR(dynamic[orderDate])=2023,9,IF(YEAR(dynamic[orderDate])=2024,10,NA))),FALSE)</f>
        <v>13.4003664</v>
      </c>
      <c r="M1051" s="9">
        <v>21.5</v>
      </c>
      <c r="N1051" s="25">
        <f>(dynamic[orderPrice]-dynamic[productCost])/dynamic[productCost]</f>
        <v>0.6044337411</v>
      </c>
      <c r="O1051" s="10">
        <v>30.0</v>
      </c>
      <c r="P1051" s="25">
        <v>0.25</v>
      </c>
      <c r="Q1051" s="9">
        <f>dynamic[orderPrice]*dynamic[orderQuantity]</f>
        <v>645</v>
      </c>
      <c r="R1051" s="9">
        <f>dynamic[orderTotal]*(1-dynamic[discountApllied])</f>
        <v>483.75</v>
      </c>
      <c r="S1051" s="9">
        <f>dynamic[revenue]-(dynamic[productCost]*dynamic[orderQuantity])</f>
        <v>81.73900791</v>
      </c>
      <c r="T1051" s="25">
        <f>IFERROR(dynamic[profit]/dynamic[revenue], 0)</f>
        <v>0.1689695254</v>
      </c>
    </row>
    <row r="1052" ht="15.75" customHeight="1">
      <c r="A1052" s="6">
        <v>10646.0</v>
      </c>
      <c r="B1052" s="7" t="s">
        <v>49</v>
      </c>
      <c r="C1052" s="24" t="str">
        <f>VLOOKUP(dynamic[customerID],customers[],2,FALSE)</f>
        <v>Hungry Owl All-Night Grocers</v>
      </c>
      <c r="D1052" s="24">
        <v>45165.0</v>
      </c>
      <c r="E1052" s="6">
        <f>IFERROR(__xludf.DUMMYFUNCTION("COUNTUNIQUEIFS($A$2:$A1052,$B$2:$B1052,B1052)"),10.0)</f>
        <v>10</v>
      </c>
      <c r="F1052" s="6">
        <f t="shared" si="1"/>
        <v>76</v>
      </c>
      <c r="G1052" s="6" t="str">
        <f>IF(MINIFS(dynamic[orderDate], dynamic[customerID], B1052) &gt;= DATE(2024,4,30)-120, 
     "New", 
     IF(MAXIFS(dynamic[orderCount], dynamic[customerID], B1052)&lt;=2, 
        IF((DATE(2024,4,30) - MAXIFS(dynamic[orderDate], dynamic[customerID], B1052)) &gt; 180, "Non-Returning", "Dormant"), 
        IF(AND(MAX(dynamic[sinceLastOrder]) &gt; 365, (DATE(2024,4,30) - MAXIFS(dynamic[orderDate], dynamic[customerID], B1052)) &gt; 180), 
           "Dormant", "Regular")))</f>
        <v>Regular</v>
      </c>
      <c r="H1052" s="6">
        <v>77.0</v>
      </c>
      <c r="I1052" s="9" t="str">
        <f>VLOOKUP(dynamic[productID],products[],2,FALSE)</f>
        <v>Original Frankfurter grüne Soße</v>
      </c>
      <c r="J1052" s="9" t="str">
        <f>VLOOKUP(dynamic[productID],products[],12,FALSE)</f>
        <v>Condiments</v>
      </c>
      <c r="K1052" s="7" t="str">
        <f>IF(VLOOKUP(dynamic[productID],products[],7,FALSE)=1,"Discontinued","Current")</f>
        <v>Current</v>
      </c>
      <c r="L1052" s="9">
        <f>VLOOKUP(dynamic[productID],products[],IF(YEAR(dynamic[orderDate])=2022,8,IF(YEAR(dynamic[orderDate])=2023,9,IF(YEAR(dynamic[orderDate])=2024,10,NA))),FALSE)</f>
        <v>7.539056452</v>
      </c>
      <c r="M1052" s="9">
        <v>13.0</v>
      </c>
      <c r="N1052" s="25">
        <f>(dynamic[orderPrice]-dynamic[productCost])/dynamic[productCost]</f>
        <v>0.7243537149</v>
      </c>
      <c r="O1052" s="10">
        <v>35.0</v>
      </c>
      <c r="P1052" s="25">
        <v>0.25</v>
      </c>
      <c r="Q1052" s="9">
        <f>dynamic[orderPrice]*dynamic[orderQuantity]</f>
        <v>455</v>
      </c>
      <c r="R1052" s="9">
        <f>dynamic[orderTotal]*(1-dynamic[discountApllied])</f>
        <v>341.25</v>
      </c>
      <c r="S1052" s="9">
        <f>dynamic[revenue]-(dynamic[productCost]*dynamic[orderQuantity])</f>
        <v>77.38302418</v>
      </c>
      <c r="T1052" s="25">
        <f>IFERROR(dynamic[profit]/dynamic[revenue], 0)</f>
        <v>0.2267634408</v>
      </c>
    </row>
    <row r="1053" ht="15.75" customHeight="1">
      <c r="A1053" s="6">
        <v>10647.0</v>
      </c>
      <c r="B1053" s="7" t="s">
        <v>27</v>
      </c>
      <c r="C1053" s="24" t="str">
        <f>VLOOKUP(dynamic[customerID],customers[],2,FALSE)</f>
        <v>Que Delícia</v>
      </c>
      <c r="D1053" s="24">
        <v>45165.0</v>
      </c>
      <c r="E1053" s="6">
        <f>IFERROR(__xludf.DUMMYFUNCTION("COUNTUNIQUEIFS($A$2:$A1053,$B$2:$B1053,B1053)"),6.0)</f>
        <v>6</v>
      </c>
      <c r="F1053" s="6">
        <f t="shared" si="1"/>
        <v>56</v>
      </c>
      <c r="G1053" s="6" t="str">
        <f>IF(MINIFS(dynamic[orderDate], dynamic[customerID], B1053) &gt;= DATE(2024,4,30)-120, 
     "New", 
     IF(MAXIFS(dynamic[orderCount], dynamic[customerID], B1053)&lt;=2, 
        IF((DATE(2024,4,30) - MAXIFS(dynamic[orderDate], dynamic[customerID], B1053)) &gt; 180, "Non-Returning", "Dormant"), 
        IF(AND(MAX(dynamic[sinceLastOrder]) &gt; 365, (DATE(2024,4,30) - MAXIFS(dynamic[orderDate], dynamic[customerID], B1053)) &gt; 180), 
           "Dormant", "Regular")))</f>
        <v>Regular</v>
      </c>
      <c r="H1053" s="6">
        <v>19.0</v>
      </c>
      <c r="I1053" s="9" t="str">
        <f>VLOOKUP(dynamic[productID],products[],2,FALSE)</f>
        <v>Teatime Chocolate Biscuits</v>
      </c>
      <c r="J1053" s="9" t="str">
        <f>VLOOKUP(dynamic[productID],products[],12,FALSE)</f>
        <v>Confections</v>
      </c>
      <c r="K1053" s="7" t="str">
        <f>IF(VLOOKUP(dynamic[productID],products[],7,FALSE)=1,"Discontinued","Current")</f>
        <v>Current</v>
      </c>
      <c r="L1053" s="9">
        <f>VLOOKUP(dynamic[productID],products[],IF(YEAR(dynamic[orderDate])=2022,8,IF(YEAR(dynamic[orderDate])=2023,9,IF(YEAR(dynamic[orderDate])=2024,10,NA))),FALSE)</f>
        <v>5.901883682</v>
      </c>
      <c r="M1053" s="9">
        <v>9.2</v>
      </c>
      <c r="N1053" s="25">
        <f>(dynamic[orderPrice]-dynamic[productCost])/dynamic[productCost]</f>
        <v>0.5588243508</v>
      </c>
      <c r="O1053" s="10">
        <v>30.0</v>
      </c>
      <c r="P1053" s="25">
        <v>0.0</v>
      </c>
      <c r="Q1053" s="9">
        <f>dynamic[orderPrice]*dynamic[orderQuantity]</f>
        <v>276</v>
      </c>
      <c r="R1053" s="9">
        <f>dynamic[orderTotal]*(1-dynamic[discountApllied])</f>
        <v>276</v>
      </c>
      <c r="S1053" s="9">
        <f>dynamic[revenue]-(dynamic[productCost]*dynamic[orderQuantity])</f>
        <v>98.94348953</v>
      </c>
      <c r="T1053" s="25">
        <f>IFERROR(dynamic[profit]/dynamic[revenue], 0)</f>
        <v>0.3584909041</v>
      </c>
    </row>
    <row r="1054" ht="15.75" customHeight="1">
      <c r="A1054" s="6">
        <v>10647.0</v>
      </c>
      <c r="B1054" s="7" t="s">
        <v>27</v>
      </c>
      <c r="C1054" s="24" t="str">
        <f>VLOOKUP(dynamic[customerID],customers[],2,FALSE)</f>
        <v>Que Delícia</v>
      </c>
      <c r="D1054" s="24">
        <v>45165.0</v>
      </c>
      <c r="E1054" s="6">
        <f>IFERROR(__xludf.DUMMYFUNCTION("COUNTUNIQUEIFS($A$2:$A1054,$B$2:$B1054,B1054)"),6.0)</f>
        <v>6</v>
      </c>
      <c r="F1054" s="6">
        <f t="shared" si="1"/>
        <v>56</v>
      </c>
      <c r="G1054" s="6" t="str">
        <f>IF(MINIFS(dynamic[orderDate], dynamic[customerID], B1054) &gt;= DATE(2024,4,30)-120, 
     "New", 
     IF(MAXIFS(dynamic[orderCount], dynamic[customerID], B1054)&lt;=2, 
        IF((DATE(2024,4,30) - MAXIFS(dynamic[orderDate], dynamic[customerID], B1054)) &gt; 180, "Non-Returning", "Dormant"), 
        IF(AND(MAX(dynamic[sinceLastOrder]) &gt; 365, (DATE(2024,4,30) - MAXIFS(dynamic[orderDate], dynamic[customerID], B1054)) &gt; 180), 
           "Dormant", "Regular")))</f>
        <v>Regular</v>
      </c>
      <c r="H1054" s="6">
        <v>39.0</v>
      </c>
      <c r="I1054" s="9" t="str">
        <f>VLOOKUP(dynamic[productID],products[],2,FALSE)</f>
        <v>Chartreuse verte</v>
      </c>
      <c r="J1054" s="9" t="str">
        <f>VLOOKUP(dynamic[productID],products[],12,FALSE)</f>
        <v>Beverages</v>
      </c>
      <c r="K1054" s="7" t="str">
        <f>IF(VLOOKUP(dynamic[productID],products[],7,FALSE)=1,"Discontinued","Current")</f>
        <v>Current</v>
      </c>
      <c r="L1054" s="9">
        <f>VLOOKUP(dynamic[productID],products[],IF(YEAR(dynamic[orderDate])=2022,8,IF(YEAR(dynamic[orderDate])=2023,9,IF(YEAR(dynamic[orderDate])=2024,10,NA))),FALSE)</f>
        <v>11.73311441</v>
      </c>
      <c r="M1054" s="9">
        <v>18.0</v>
      </c>
      <c r="N1054" s="25">
        <f>(dynamic[orderPrice]-dynamic[productCost])/dynamic[productCost]</f>
        <v>0.5341195326</v>
      </c>
      <c r="O1054" s="10">
        <v>20.0</v>
      </c>
      <c r="P1054" s="25">
        <v>0.0</v>
      </c>
      <c r="Q1054" s="9">
        <f>dynamic[orderPrice]*dynamic[orderQuantity]</f>
        <v>360</v>
      </c>
      <c r="R1054" s="9">
        <f>dynamic[orderTotal]*(1-dynamic[discountApllied])</f>
        <v>360</v>
      </c>
      <c r="S1054" s="9">
        <f>dynamic[revenue]-(dynamic[productCost]*dynamic[orderQuantity])</f>
        <v>125.3377117</v>
      </c>
      <c r="T1054" s="25">
        <f>IFERROR(dynamic[profit]/dynamic[revenue], 0)</f>
        <v>0.3481603104</v>
      </c>
    </row>
    <row r="1055" ht="15.75" customHeight="1">
      <c r="A1055" s="6">
        <v>10648.0</v>
      </c>
      <c r="B1055" s="7" t="s">
        <v>44</v>
      </c>
      <c r="C1055" s="24" t="str">
        <f>VLOOKUP(dynamic[customerID],customers[],2,FALSE)</f>
        <v>Ricardo Adocicados</v>
      </c>
      <c r="D1055" s="24">
        <v>45166.0</v>
      </c>
      <c r="E1055" s="6">
        <f>IFERROR(__xludf.DUMMYFUNCTION("COUNTUNIQUEIFS($A$2:$A1055,$B$2:$B1055,B1055)"),7.0)</f>
        <v>7</v>
      </c>
      <c r="F1055" s="6">
        <f t="shared" si="1"/>
        <v>22</v>
      </c>
      <c r="G1055" s="6" t="str">
        <f>IF(MINIFS(dynamic[orderDate], dynamic[customerID], B1055) &gt;= DATE(2024,4,30)-120, 
     "New", 
     IF(MAXIFS(dynamic[orderCount], dynamic[customerID], B1055)&lt;=2, 
        IF((DATE(2024,4,30) - MAXIFS(dynamic[orderDate], dynamic[customerID], B1055)) &gt; 180, "Non-Returning", "Dormant"), 
        IF(AND(MAX(dynamic[sinceLastOrder]) &gt; 365, (DATE(2024,4,30) - MAXIFS(dynamic[orderDate], dynamic[customerID], B1055)) &gt; 180), 
           "Dormant", "Regular")))</f>
        <v>Regular</v>
      </c>
      <c r="H1055" s="6">
        <v>22.0</v>
      </c>
      <c r="I1055" s="9" t="str">
        <f>VLOOKUP(dynamic[productID],products[],2,FALSE)</f>
        <v>Gustaf's Knäckebröd</v>
      </c>
      <c r="J1055" s="9" t="str">
        <f>VLOOKUP(dynamic[productID],products[],12,FALSE)</f>
        <v>Grains/Cereals</v>
      </c>
      <c r="K1055" s="7" t="str">
        <f>IF(VLOOKUP(dynamic[productID],products[],7,FALSE)=1,"Discontinued","Current")</f>
        <v>Current</v>
      </c>
      <c r="L1055" s="9">
        <f>VLOOKUP(dynamic[productID],products[],IF(YEAR(dynamic[orderDate])=2022,8,IF(YEAR(dynamic[orderDate])=2023,9,IF(YEAR(dynamic[orderDate])=2024,10,NA))),FALSE)</f>
        <v>14.56814822</v>
      </c>
      <c r="M1055" s="9">
        <v>21.0</v>
      </c>
      <c r="N1055" s="25">
        <f>(dynamic[orderPrice]-dynamic[productCost])/dynamic[productCost]</f>
        <v>0.4415009841</v>
      </c>
      <c r="O1055" s="10">
        <v>15.0</v>
      </c>
      <c r="P1055" s="25">
        <v>0.0</v>
      </c>
      <c r="Q1055" s="9">
        <f>dynamic[orderPrice]*dynamic[orderQuantity]</f>
        <v>315</v>
      </c>
      <c r="R1055" s="9">
        <f>dynamic[orderTotal]*(1-dynamic[discountApllied])</f>
        <v>315</v>
      </c>
      <c r="S1055" s="9">
        <f>dynamic[revenue]-(dynamic[productCost]*dynamic[orderQuantity])</f>
        <v>96.47777666</v>
      </c>
      <c r="T1055" s="25">
        <f>IFERROR(dynamic[profit]/dynamic[revenue], 0)</f>
        <v>0.3062786561</v>
      </c>
    </row>
    <row r="1056" ht="15.75" customHeight="1">
      <c r="A1056" s="6">
        <v>10648.0</v>
      </c>
      <c r="B1056" s="7" t="s">
        <v>44</v>
      </c>
      <c r="C1056" s="24" t="str">
        <f>VLOOKUP(dynamic[customerID],customers[],2,FALSE)</f>
        <v>Ricardo Adocicados</v>
      </c>
      <c r="D1056" s="24">
        <v>45166.0</v>
      </c>
      <c r="E1056" s="6">
        <f>IFERROR(__xludf.DUMMYFUNCTION("COUNTUNIQUEIFS($A$2:$A1056,$B$2:$B1056,B1056)"),7.0)</f>
        <v>7</v>
      </c>
      <c r="F1056" s="6">
        <f t="shared" si="1"/>
        <v>22</v>
      </c>
      <c r="G1056" s="6" t="str">
        <f>IF(MINIFS(dynamic[orderDate], dynamic[customerID], B1056) &gt;= DATE(2024,4,30)-120, 
     "New", 
     IF(MAXIFS(dynamic[orderCount], dynamic[customerID], B1056)&lt;=2, 
        IF((DATE(2024,4,30) - MAXIFS(dynamic[orderDate], dynamic[customerID], B1056)) &gt; 180, "Non-Returning", "Dormant"), 
        IF(AND(MAX(dynamic[sinceLastOrder]) &gt; 365, (DATE(2024,4,30) - MAXIFS(dynamic[orderDate], dynamic[customerID], B1056)) &gt; 180), 
           "Dormant", "Regular")))</f>
        <v>Regular</v>
      </c>
      <c r="H1056" s="6">
        <v>24.0</v>
      </c>
      <c r="I1056" s="9" t="str">
        <f>VLOOKUP(dynamic[productID],products[],2,FALSE)</f>
        <v>Brigadeiros Maravilhosos da Lilian</v>
      </c>
      <c r="J1056" s="9" t="str">
        <f>VLOOKUP(dynamic[productID],products[],12,FALSE)</f>
        <v>Confections</v>
      </c>
      <c r="K1056" s="7" t="str">
        <f>IF(VLOOKUP(dynamic[productID],products[],7,FALSE)=1,"Discontinued","Current")</f>
        <v>Discontinued</v>
      </c>
      <c r="L1056" s="9">
        <f>VLOOKUP(dynamic[productID],products[],IF(YEAR(dynamic[orderDate])=2022,8,IF(YEAR(dynamic[orderDate])=2023,9,IF(YEAR(dynamic[orderDate])=2024,10,NA))),FALSE)</f>
        <v>3.131783363</v>
      </c>
      <c r="M1056" s="9">
        <v>4.5</v>
      </c>
      <c r="N1056" s="25">
        <f>(dynamic[orderPrice]-dynamic[productCost])/dynamic[productCost]</f>
        <v>0.4368809967</v>
      </c>
      <c r="O1056" s="10">
        <v>15.0</v>
      </c>
      <c r="P1056" s="25">
        <v>0.15</v>
      </c>
      <c r="Q1056" s="9">
        <f>dynamic[orderPrice]*dynamic[orderQuantity]</f>
        <v>67.5</v>
      </c>
      <c r="R1056" s="9">
        <f>dynamic[orderTotal]*(1-dynamic[discountApllied])</f>
        <v>57.375</v>
      </c>
      <c r="S1056" s="9">
        <f>dynamic[revenue]-(dynamic[productCost]*dynamic[orderQuantity])</f>
        <v>10.39824956</v>
      </c>
      <c r="T1056" s="25">
        <f>IFERROR(dynamic[profit]/dynamic[revenue], 0)</f>
        <v>0.1812331077</v>
      </c>
    </row>
    <row r="1057" ht="15.75" customHeight="1">
      <c r="A1057" s="6">
        <v>10649.0</v>
      </c>
      <c r="B1057" s="7" t="s">
        <v>95</v>
      </c>
      <c r="C1057" s="24" t="str">
        <f>VLOOKUP(dynamic[customerID],customers[],2,FALSE)</f>
        <v>Maison Dewey</v>
      </c>
      <c r="D1057" s="24">
        <v>45166.0</v>
      </c>
      <c r="E1057" s="6">
        <f>IFERROR(__xludf.DUMMYFUNCTION("COUNTUNIQUEIFS($A$2:$A1057,$B$2:$B1057,B1057)"),2.0)</f>
        <v>2</v>
      </c>
      <c r="F1057" s="6">
        <f t="shared" si="1"/>
        <v>113</v>
      </c>
      <c r="G1057" s="6" t="str">
        <f>IF(MINIFS(dynamic[orderDate], dynamic[customerID], B1057) &gt;= DATE(2024,4,30)-120, 
     "New", 
     IF(MAXIFS(dynamic[orderCount], dynamic[customerID], B1057)&lt;=2, 
        IF((DATE(2024,4,30) - MAXIFS(dynamic[orderDate], dynamic[customerID], B1057)) &gt; 180, "Non-Returning", "Dormant"), 
        IF(AND(MAX(dynamic[sinceLastOrder]) &gt; 365, (DATE(2024,4,30) - MAXIFS(dynamic[orderDate], dynamic[customerID], B1057)) &gt; 180), 
           "Dormant", "Regular")))</f>
        <v>Regular</v>
      </c>
      <c r="H1057" s="6">
        <v>28.0</v>
      </c>
      <c r="I1057" s="9" t="str">
        <f>VLOOKUP(dynamic[productID],products[],2,FALSE)</f>
        <v>Rössle Sauerkraut</v>
      </c>
      <c r="J1057" s="9" t="str">
        <f>VLOOKUP(dynamic[productID],products[],12,FALSE)</f>
        <v>Produce</v>
      </c>
      <c r="K1057" s="7" t="str">
        <f>IF(VLOOKUP(dynamic[productID],products[],7,FALSE)=1,"Discontinued","Current")</f>
        <v>Discontinued</v>
      </c>
      <c r="L1057" s="9">
        <f>VLOOKUP(dynamic[productID],products[],IF(YEAR(dynamic[orderDate])=2022,8,IF(YEAR(dynamic[orderDate])=2023,9,IF(YEAR(dynamic[orderDate])=2024,10,NA))),FALSE)</f>
        <v>31.52644578</v>
      </c>
      <c r="M1057" s="9">
        <v>45.6</v>
      </c>
      <c r="N1057" s="25">
        <f>(dynamic[orderPrice]-dynamic[productCost])/dynamic[productCost]</f>
        <v>0.4464047207</v>
      </c>
      <c r="O1057" s="10">
        <v>20.0</v>
      </c>
      <c r="P1057" s="25">
        <v>0.0</v>
      </c>
      <c r="Q1057" s="9">
        <f>dynamic[orderPrice]*dynamic[orderQuantity]</f>
        <v>912</v>
      </c>
      <c r="R1057" s="9">
        <f>dynamic[orderTotal]*(1-dynamic[discountApllied])</f>
        <v>912</v>
      </c>
      <c r="S1057" s="9">
        <f>dynamic[revenue]-(dynamic[productCost]*dynamic[orderQuantity])</f>
        <v>281.4710844</v>
      </c>
      <c r="T1057" s="25">
        <f>IFERROR(dynamic[profit]/dynamic[revenue], 0)</f>
        <v>0.308630575</v>
      </c>
    </row>
    <row r="1058" ht="15.75" customHeight="1">
      <c r="A1058" s="6">
        <v>10649.0</v>
      </c>
      <c r="B1058" s="7" t="s">
        <v>95</v>
      </c>
      <c r="C1058" s="24" t="str">
        <f>VLOOKUP(dynamic[customerID],customers[],2,FALSE)</f>
        <v>Maison Dewey</v>
      </c>
      <c r="D1058" s="24">
        <v>45166.0</v>
      </c>
      <c r="E1058" s="6">
        <f>IFERROR(__xludf.DUMMYFUNCTION("COUNTUNIQUEIFS($A$2:$A1058,$B$2:$B1058,B1058)"),2.0)</f>
        <v>2</v>
      </c>
      <c r="F1058" s="6">
        <f t="shared" si="1"/>
        <v>113</v>
      </c>
      <c r="G1058" s="6" t="str">
        <f>IF(MINIFS(dynamic[orderDate], dynamic[customerID], B1058) &gt;= DATE(2024,4,30)-120, 
     "New", 
     IF(MAXIFS(dynamic[orderCount], dynamic[customerID], B1058)&lt;=2, 
        IF((DATE(2024,4,30) - MAXIFS(dynamic[orderDate], dynamic[customerID], B1058)) &gt; 180, "Non-Returning", "Dormant"), 
        IF(AND(MAX(dynamic[sinceLastOrder]) &gt; 365, (DATE(2024,4,30) - MAXIFS(dynamic[orderDate], dynamic[customerID], B1058)) &gt; 180), 
           "Dormant", "Regular")))</f>
        <v>Regular</v>
      </c>
      <c r="H1058" s="6">
        <v>72.0</v>
      </c>
      <c r="I1058" s="9" t="str">
        <f>VLOOKUP(dynamic[productID],products[],2,FALSE)</f>
        <v>Mozzarella di Giovanni</v>
      </c>
      <c r="J1058" s="9" t="str">
        <f>VLOOKUP(dynamic[productID],products[],12,FALSE)</f>
        <v>Dairy Products</v>
      </c>
      <c r="K1058" s="7" t="str">
        <f>IF(VLOOKUP(dynamic[productID],products[],7,FALSE)=1,"Discontinued","Current")</f>
        <v>Current</v>
      </c>
      <c r="L1058" s="9">
        <f>VLOOKUP(dynamic[productID],products[],IF(YEAR(dynamic[orderDate])=2022,8,IF(YEAR(dynamic[orderDate])=2023,9,IF(YEAR(dynamic[orderDate])=2024,10,NA))),FALSE)</f>
        <v>23.51933768</v>
      </c>
      <c r="M1058" s="9">
        <v>34.8</v>
      </c>
      <c r="N1058" s="25">
        <f>(dynamic[orderPrice]-dynamic[productCost])/dynamic[productCost]</f>
        <v>0.4796335031</v>
      </c>
      <c r="O1058" s="10">
        <v>15.0</v>
      </c>
      <c r="P1058" s="25">
        <v>0.0</v>
      </c>
      <c r="Q1058" s="9">
        <f>dynamic[orderPrice]*dynamic[orderQuantity]</f>
        <v>522</v>
      </c>
      <c r="R1058" s="9">
        <f>dynamic[orderTotal]*(1-dynamic[discountApllied])</f>
        <v>522</v>
      </c>
      <c r="S1058" s="9">
        <f>dynamic[revenue]-(dynamic[productCost]*dynamic[orderQuantity])</f>
        <v>169.2099348</v>
      </c>
      <c r="T1058" s="25">
        <f>IFERROR(dynamic[profit]/dynamic[revenue], 0)</f>
        <v>0.3241569633</v>
      </c>
    </row>
    <row r="1059" ht="15.75" customHeight="1">
      <c r="A1059" s="6">
        <v>10650.0</v>
      </c>
      <c r="B1059" s="7" t="s">
        <v>67</v>
      </c>
      <c r="C1059" s="24" t="str">
        <f>VLOOKUP(dynamic[customerID],customers[],2,FALSE)</f>
        <v>Familia Arquibaldo</v>
      </c>
      <c r="D1059" s="24">
        <v>45167.0</v>
      </c>
      <c r="E1059" s="6">
        <f>IFERROR(__xludf.DUMMYFUNCTION("COUNTUNIQUEIFS($A$2:$A1059,$B$2:$B1059,B1059)"),6.0)</f>
        <v>6</v>
      </c>
      <c r="F1059" s="6">
        <f t="shared" si="1"/>
        <v>64</v>
      </c>
      <c r="G1059" s="6" t="str">
        <f>IF(MINIFS(dynamic[orderDate], dynamic[customerID], B1059) &gt;= DATE(2024,4,30)-120, 
     "New", 
     IF(MAXIFS(dynamic[orderCount], dynamic[customerID], B1059)&lt;=2, 
        IF((DATE(2024,4,30) - MAXIFS(dynamic[orderDate], dynamic[customerID], B1059)) &gt; 180, "Non-Returning", "Dormant"), 
        IF(AND(MAX(dynamic[sinceLastOrder]) &gt; 365, (DATE(2024,4,30) - MAXIFS(dynamic[orderDate], dynamic[customerID], B1059)) &gt; 180), 
           "Dormant", "Regular")))</f>
        <v>Dormant</v>
      </c>
      <c r="H1059" s="6">
        <v>30.0</v>
      </c>
      <c r="I1059" s="9" t="str">
        <f>VLOOKUP(dynamic[productID],products[],2,FALSE)</f>
        <v>Nord-Ost Matjeshering</v>
      </c>
      <c r="J1059" s="9" t="str">
        <f>VLOOKUP(dynamic[productID],products[],12,FALSE)</f>
        <v>Seafood</v>
      </c>
      <c r="K1059" s="7" t="str">
        <f>IF(VLOOKUP(dynamic[productID],products[],7,FALSE)=1,"Discontinued","Current")</f>
        <v>Current</v>
      </c>
      <c r="L1059" s="9">
        <f>VLOOKUP(dynamic[productID],products[],IF(YEAR(dynamic[orderDate])=2022,8,IF(YEAR(dynamic[orderDate])=2023,9,IF(YEAR(dynamic[orderDate])=2024,10,NA))),FALSE)</f>
        <v>16.03885249</v>
      </c>
      <c r="M1059" s="9">
        <v>25.89</v>
      </c>
      <c r="N1059" s="25">
        <f>(dynamic[orderPrice]-dynamic[productCost])/dynamic[productCost]</f>
        <v>0.6142052564</v>
      </c>
      <c r="O1059" s="10">
        <v>30.0</v>
      </c>
      <c r="P1059" s="25">
        <v>0.0</v>
      </c>
      <c r="Q1059" s="9">
        <f>dynamic[orderPrice]*dynamic[orderQuantity]</f>
        <v>776.7</v>
      </c>
      <c r="R1059" s="9">
        <f>dynamic[orderTotal]*(1-dynamic[discountApllied])</f>
        <v>776.7</v>
      </c>
      <c r="S1059" s="9">
        <f>dynamic[revenue]-(dynamic[productCost]*dynamic[orderQuantity])</f>
        <v>295.5344252</v>
      </c>
      <c r="T1059" s="25">
        <f>IFERROR(dynamic[profit]/dynamic[revenue], 0)</f>
        <v>0.3805000968</v>
      </c>
    </row>
    <row r="1060" ht="15.75" customHeight="1">
      <c r="A1060" s="6">
        <v>10650.0</v>
      </c>
      <c r="B1060" s="7" t="s">
        <v>67</v>
      </c>
      <c r="C1060" s="24" t="str">
        <f>VLOOKUP(dynamic[customerID],customers[],2,FALSE)</f>
        <v>Familia Arquibaldo</v>
      </c>
      <c r="D1060" s="24">
        <v>45167.0</v>
      </c>
      <c r="E1060" s="6">
        <f>IFERROR(__xludf.DUMMYFUNCTION("COUNTUNIQUEIFS($A$2:$A1060,$B$2:$B1060,B1060)"),6.0)</f>
        <v>6</v>
      </c>
      <c r="F1060" s="6">
        <f t="shared" si="1"/>
        <v>64</v>
      </c>
      <c r="G1060" s="6" t="str">
        <f>IF(MINIFS(dynamic[orderDate], dynamic[customerID], B1060) &gt;= DATE(2024,4,30)-120, 
     "New", 
     IF(MAXIFS(dynamic[orderCount], dynamic[customerID], B1060)&lt;=2, 
        IF((DATE(2024,4,30) - MAXIFS(dynamic[orderDate], dynamic[customerID], B1060)) &gt; 180, "Non-Returning", "Dormant"), 
        IF(AND(MAX(dynamic[sinceLastOrder]) &gt; 365, (DATE(2024,4,30) - MAXIFS(dynamic[orderDate], dynamic[customerID], B1060)) &gt; 180), 
           "Dormant", "Regular")))</f>
        <v>Dormant</v>
      </c>
      <c r="H1060" s="6">
        <v>53.0</v>
      </c>
      <c r="I1060" s="9" t="str">
        <f>VLOOKUP(dynamic[productID],products[],2,FALSE)</f>
        <v>Perth Pasties</v>
      </c>
      <c r="J1060" s="9" t="str">
        <f>VLOOKUP(dynamic[productID],products[],12,FALSE)</f>
        <v>Meat/Poultry</v>
      </c>
      <c r="K1060" s="7" t="str">
        <f>IF(VLOOKUP(dynamic[productID],products[],7,FALSE)=1,"Discontinued","Current")</f>
        <v>Discontinued</v>
      </c>
      <c r="L1060" s="9">
        <f>VLOOKUP(dynamic[productID],products[],IF(YEAR(dynamic[orderDate])=2022,8,IF(YEAR(dynamic[orderDate])=2023,9,IF(YEAR(dynamic[orderDate])=2024,10,NA))),FALSE)</f>
        <v>21.81491556</v>
      </c>
      <c r="M1060" s="9">
        <v>32.8</v>
      </c>
      <c r="N1060" s="25">
        <f>(dynamic[orderPrice]-dynamic[productCost])/dynamic[productCost]</f>
        <v>0.5035584214</v>
      </c>
      <c r="O1060" s="10">
        <v>25.0</v>
      </c>
      <c r="P1060" s="25">
        <v>0.05</v>
      </c>
      <c r="Q1060" s="9">
        <f>dynamic[orderPrice]*dynamic[orderQuantity]</f>
        <v>820</v>
      </c>
      <c r="R1060" s="9">
        <f>dynamic[orderTotal]*(1-dynamic[discountApllied])</f>
        <v>779</v>
      </c>
      <c r="S1060" s="9">
        <f>dynamic[revenue]-(dynamic[productCost]*dynamic[orderQuantity])</f>
        <v>233.627111</v>
      </c>
      <c r="T1060" s="25">
        <f>IFERROR(dynamic[profit]/dynamic[revenue], 0)</f>
        <v>0.2999064326</v>
      </c>
    </row>
    <row r="1061" ht="15.75" customHeight="1">
      <c r="A1061" s="6">
        <v>10650.0</v>
      </c>
      <c r="B1061" s="7" t="s">
        <v>67</v>
      </c>
      <c r="C1061" s="24" t="str">
        <f>VLOOKUP(dynamic[customerID],customers[],2,FALSE)</f>
        <v>Familia Arquibaldo</v>
      </c>
      <c r="D1061" s="24">
        <v>45167.0</v>
      </c>
      <c r="E1061" s="6">
        <f>IFERROR(__xludf.DUMMYFUNCTION("COUNTUNIQUEIFS($A$2:$A1061,$B$2:$B1061,B1061)"),6.0)</f>
        <v>6</v>
      </c>
      <c r="F1061" s="6">
        <f t="shared" si="1"/>
        <v>64</v>
      </c>
      <c r="G1061" s="6" t="str">
        <f>IF(MINIFS(dynamic[orderDate], dynamic[customerID], B1061) &gt;= DATE(2024,4,30)-120, 
     "New", 
     IF(MAXIFS(dynamic[orderCount], dynamic[customerID], B1061)&lt;=2, 
        IF((DATE(2024,4,30) - MAXIFS(dynamic[orderDate], dynamic[customerID], B1061)) &gt; 180, "Non-Returning", "Dormant"), 
        IF(AND(MAX(dynamic[sinceLastOrder]) &gt; 365, (DATE(2024,4,30) - MAXIFS(dynamic[orderDate], dynamic[customerID], B1061)) &gt; 180), 
           "Dormant", "Regular")))</f>
        <v>Dormant</v>
      </c>
      <c r="H1061" s="6">
        <v>54.0</v>
      </c>
      <c r="I1061" s="9" t="str">
        <f>VLOOKUP(dynamic[productID],products[],2,FALSE)</f>
        <v>Tourtière</v>
      </c>
      <c r="J1061" s="9" t="str">
        <f>VLOOKUP(dynamic[productID],products[],12,FALSE)</f>
        <v>Meat/Poultry</v>
      </c>
      <c r="K1061" s="7" t="str">
        <f>IF(VLOOKUP(dynamic[productID],products[],7,FALSE)=1,"Discontinued","Current")</f>
        <v>Current</v>
      </c>
      <c r="L1061" s="9">
        <f>VLOOKUP(dynamic[productID],products[],IF(YEAR(dynamic[orderDate])=2022,8,IF(YEAR(dynamic[orderDate])=2023,9,IF(YEAR(dynamic[orderDate])=2024,10,NA))),FALSE)</f>
        <v>4.924447797</v>
      </c>
      <c r="M1061" s="9">
        <v>7.45</v>
      </c>
      <c r="N1061" s="25">
        <f>(dynamic[orderPrice]-dynamic[productCost])/dynamic[productCost]</f>
        <v>0.5128599808</v>
      </c>
      <c r="O1061" s="10">
        <v>30.0</v>
      </c>
      <c r="P1061" s="25">
        <v>0.0</v>
      </c>
      <c r="Q1061" s="9">
        <f>dynamic[orderPrice]*dynamic[orderQuantity]</f>
        <v>223.5</v>
      </c>
      <c r="R1061" s="9">
        <f>dynamic[orderTotal]*(1-dynamic[discountApllied])</f>
        <v>223.5</v>
      </c>
      <c r="S1061" s="9">
        <f>dynamic[revenue]-(dynamic[productCost]*dynamic[orderQuantity])</f>
        <v>75.76656609</v>
      </c>
      <c r="T1061" s="25">
        <f>IFERROR(dynamic[profit]/dynamic[revenue], 0)</f>
        <v>0.3390002957</v>
      </c>
    </row>
    <row r="1062" ht="15.75" customHeight="1">
      <c r="A1062" s="6">
        <v>10651.0</v>
      </c>
      <c r="B1062" s="7" t="s">
        <v>50</v>
      </c>
      <c r="C1062" s="24" t="str">
        <f>VLOOKUP(dynamic[customerID],customers[],2,FALSE)</f>
        <v>Die Wandernde Kuh</v>
      </c>
      <c r="D1062" s="24">
        <v>45170.0</v>
      </c>
      <c r="E1062" s="6">
        <f>IFERROR(__xludf.DUMMYFUNCTION("COUNTUNIQUEIFS($A$2:$A1062,$B$2:$B1062,B1062)"),8.0)</f>
        <v>8</v>
      </c>
      <c r="F1062" s="6">
        <f t="shared" si="1"/>
        <v>11</v>
      </c>
      <c r="G1062" s="6" t="str">
        <f>IF(MINIFS(dynamic[orderDate], dynamic[customerID], B1062) &gt;= DATE(2024,4,30)-120, 
     "New", 
     IF(MAXIFS(dynamic[orderCount], dynamic[customerID], B1062)&lt;=2, 
        IF((DATE(2024,4,30) - MAXIFS(dynamic[orderDate], dynamic[customerID], B1062)) &gt; 180, "Non-Returning", "Dormant"), 
        IF(AND(MAX(dynamic[sinceLastOrder]) &gt; 365, (DATE(2024,4,30) - MAXIFS(dynamic[orderDate], dynamic[customerID], B1062)) &gt; 180), 
           "Dormant", "Regular")))</f>
        <v>Regular</v>
      </c>
      <c r="H1062" s="6">
        <v>19.0</v>
      </c>
      <c r="I1062" s="9" t="str">
        <f>VLOOKUP(dynamic[productID],products[],2,FALSE)</f>
        <v>Teatime Chocolate Biscuits</v>
      </c>
      <c r="J1062" s="9" t="str">
        <f>VLOOKUP(dynamic[productID],products[],12,FALSE)</f>
        <v>Confections</v>
      </c>
      <c r="K1062" s="7" t="str">
        <f>IF(VLOOKUP(dynamic[productID],products[],7,FALSE)=1,"Discontinued","Current")</f>
        <v>Current</v>
      </c>
      <c r="L1062" s="9">
        <f>VLOOKUP(dynamic[productID],products[],IF(YEAR(dynamic[orderDate])=2022,8,IF(YEAR(dynamic[orderDate])=2023,9,IF(YEAR(dynamic[orderDate])=2024,10,NA))),FALSE)</f>
        <v>5.901883682</v>
      </c>
      <c r="M1062" s="9">
        <v>9.2</v>
      </c>
      <c r="N1062" s="25">
        <f>(dynamic[orderPrice]-dynamic[productCost])/dynamic[productCost]</f>
        <v>0.5588243508</v>
      </c>
      <c r="O1062" s="10">
        <v>12.0</v>
      </c>
      <c r="P1062" s="25">
        <v>0.25</v>
      </c>
      <c r="Q1062" s="9">
        <f>dynamic[orderPrice]*dynamic[orderQuantity]</f>
        <v>110.4</v>
      </c>
      <c r="R1062" s="9">
        <f>dynamic[orderTotal]*(1-dynamic[discountApllied])</f>
        <v>82.8</v>
      </c>
      <c r="S1062" s="9">
        <f>dynamic[revenue]-(dynamic[productCost]*dynamic[orderQuantity])</f>
        <v>11.97739581</v>
      </c>
      <c r="T1062" s="25">
        <f>IFERROR(dynamic[profit]/dynamic[revenue], 0)</f>
        <v>0.1446545388</v>
      </c>
    </row>
    <row r="1063" ht="15.75" customHeight="1">
      <c r="A1063" s="6">
        <v>10651.0</v>
      </c>
      <c r="B1063" s="7" t="s">
        <v>50</v>
      </c>
      <c r="C1063" s="24" t="str">
        <f>VLOOKUP(dynamic[customerID],customers[],2,FALSE)</f>
        <v>Die Wandernde Kuh</v>
      </c>
      <c r="D1063" s="24">
        <v>45170.0</v>
      </c>
      <c r="E1063" s="6">
        <f>IFERROR(__xludf.DUMMYFUNCTION("COUNTUNIQUEIFS($A$2:$A1063,$B$2:$B1063,B1063)"),8.0)</f>
        <v>8</v>
      </c>
      <c r="F1063" s="6">
        <f t="shared" si="1"/>
        <v>11</v>
      </c>
      <c r="G1063" s="6" t="str">
        <f>IF(MINIFS(dynamic[orderDate], dynamic[customerID], B1063) &gt;= DATE(2024,4,30)-120, 
     "New", 
     IF(MAXIFS(dynamic[orderCount], dynamic[customerID], B1063)&lt;=2, 
        IF((DATE(2024,4,30) - MAXIFS(dynamic[orderDate], dynamic[customerID], B1063)) &gt; 180, "Non-Returning", "Dormant"), 
        IF(AND(MAX(dynamic[sinceLastOrder]) &gt; 365, (DATE(2024,4,30) - MAXIFS(dynamic[orderDate], dynamic[customerID], B1063)) &gt; 180), 
           "Dormant", "Regular")))</f>
        <v>Regular</v>
      </c>
      <c r="H1063" s="6">
        <v>22.0</v>
      </c>
      <c r="I1063" s="9" t="str">
        <f>VLOOKUP(dynamic[productID],products[],2,FALSE)</f>
        <v>Gustaf's Knäckebröd</v>
      </c>
      <c r="J1063" s="9" t="str">
        <f>VLOOKUP(dynamic[productID],products[],12,FALSE)</f>
        <v>Grains/Cereals</v>
      </c>
      <c r="K1063" s="7" t="str">
        <f>IF(VLOOKUP(dynamic[productID],products[],7,FALSE)=1,"Discontinued","Current")</f>
        <v>Current</v>
      </c>
      <c r="L1063" s="9">
        <f>VLOOKUP(dynamic[productID],products[],IF(YEAR(dynamic[orderDate])=2022,8,IF(YEAR(dynamic[orderDate])=2023,9,IF(YEAR(dynamic[orderDate])=2024,10,NA))),FALSE)</f>
        <v>14.56814822</v>
      </c>
      <c r="M1063" s="9">
        <v>21.0</v>
      </c>
      <c r="N1063" s="25">
        <f>(dynamic[orderPrice]-dynamic[productCost])/dynamic[productCost]</f>
        <v>0.4415009841</v>
      </c>
      <c r="O1063" s="10">
        <v>20.0</v>
      </c>
      <c r="P1063" s="25">
        <v>0.25</v>
      </c>
      <c r="Q1063" s="9">
        <f>dynamic[orderPrice]*dynamic[orderQuantity]</f>
        <v>420</v>
      </c>
      <c r="R1063" s="9">
        <f>dynamic[orderTotal]*(1-dynamic[discountApllied])</f>
        <v>315</v>
      </c>
      <c r="S1063" s="9">
        <f>dynamic[revenue]-(dynamic[productCost]*dynamic[orderQuantity])</f>
        <v>23.63703554</v>
      </c>
      <c r="T1063" s="25">
        <f>IFERROR(dynamic[profit]/dynamic[revenue], 0)</f>
        <v>0.07503820808</v>
      </c>
    </row>
    <row r="1064" ht="15.75" customHeight="1">
      <c r="A1064" s="6">
        <v>10652.0</v>
      </c>
      <c r="B1064" s="7" t="s">
        <v>86</v>
      </c>
      <c r="C1064" s="24" t="str">
        <f>VLOOKUP(dynamic[customerID],customers[],2,FALSE)</f>
        <v>Gourmet Lanchonetes</v>
      </c>
      <c r="D1064" s="24">
        <v>45170.0</v>
      </c>
      <c r="E1064" s="6">
        <f>IFERROR(__xludf.DUMMYFUNCTION("COUNTUNIQUEIFS($A$2:$A1064,$B$2:$B1064,B1064)"),2.0)</f>
        <v>2</v>
      </c>
      <c r="F1064" s="6">
        <f t="shared" si="1"/>
        <v>221</v>
      </c>
      <c r="G1064" s="6" t="str">
        <f>IF(MINIFS(dynamic[orderDate], dynamic[customerID], B1064) &gt;= DATE(2024,4,30)-120, 
     "New", 
     IF(MAXIFS(dynamic[orderCount], dynamic[customerID], B1064)&lt;=2, 
        IF((DATE(2024,4,30) - MAXIFS(dynamic[orderDate], dynamic[customerID], B1064)) &gt; 180, "Non-Returning", "Dormant"), 
        IF(AND(MAX(dynamic[sinceLastOrder]) &gt; 365, (DATE(2024,4,30) - MAXIFS(dynamic[orderDate], dynamic[customerID], B1064)) &gt; 180), 
           "Dormant", "Regular")))</f>
        <v>Regular</v>
      </c>
      <c r="H1064" s="6">
        <v>30.0</v>
      </c>
      <c r="I1064" s="9" t="str">
        <f>VLOOKUP(dynamic[productID],products[],2,FALSE)</f>
        <v>Nord-Ost Matjeshering</v>
      </c>
      <c r="J1064" s="9" t="str">
        <f>VLOOKUP(dynamic[productID],products[],12,FALSE)</f>
        <v>Seafood</v>
      </c>
      <c r="K1064" s="7" t="str">
        <f>IF(VLOOKUP(dynamic[productID],products[],7,FALSE)=1,"Discontinued","Current")</f>
        <v>Current</v>
      </c>
      <c r="L1064" s="9">
        <f>VLOOKUP(dynamic[productID],products[],IF(YEAR(dynamic[orderDate])=2022,8,IF(YEAR(dynamic[orderDate])=2023,9,IF(YEAR(dynamic[orderDate])=2024,10,NA))),FALSE)</f>
        <v>16.03885249</v>
      </c>
      <c r="M1064" s="9">
        <v>25.89</v>
      </c>
      <c r="N1064" s="25">
        <f>(dynamic[orderPrice]-dynamic[productCost])/dynamic[productCost]</f>
        <v>0.6142052564</v>
      </c>
      <c r="O1064" s="10">
        <v>2.0</v>
      </c>
      <c r="P1064" s="25">
        <v>0.25</v>
      </c>
      <c r="Q1064" s="9">
        <f>dynamic[orderPrice]*dynamic[orderQuantity]</f>
        <v>51.78</v>
      </c>
      <c r="R1064" s="9">
        <f>dynamic[orderTotal]*(1-dynamic[discountApllied])</f>
        <v>38.835</v>
      </c>
      <c r="S1064" s="9">
        <f>dynamic[revenue]-(dynamic[productCost]*dynamic[orderQuantity])</f>
        <v>6.757295015</v>
      </c>
      <c r="T1064" s="25">
        <f>IFERROR(dynamic[profit]/dynamic[revenue], 0)</f>
        <v>0.1740001291</v>
      </c>
    </row>
    <row r="1065" ht="15.75" customHeight="1">
      <c r="A1065" s="6">
        <v>10652.0</v>
      </c>
      <c r="B1065" s="7" t="s">
        <v>86</v>
      </c>
      <c r="C1065" s="24" t="str">
        <f>VLOOKUP(dynamic[customerID],customers[],2,FALSE)</f>
        <v>Gourmet Lanchonetes</v>
      </c>
      <c r="D1065" s="24">
        <v>45170.0</v>
      </c>
      <c r="E1065" s="6">
        <f>IFERROR(__xludf.DUMMYFUNCTION("COUNTUNIQUEIFS($A$2:$A1065,$B$2:$B1065,B1065)"),2.0)</f>
        <v>2</v>
      </c>
      <c r="F1065" s="6">
        <f t="shared" si="1"/>
        <v>221</v>
      </c>
      <c r="G1065" s="6" t="str">
        <f>IF(MINIFS(dynamic[orderDate], dynamic[customerID], B1065) &gt;= DATE(2024,4,30)-120, 
     "New", 
     IF(MAXIFS(dynamic[orderCount], dynamic[customerID], B1065)&lt;=2, 
        IF((DATE(2024,4,30) - MAXIFS(dynamic[orderDate], dynamic[customerID], B1065)) &gt; 180, "Non-Returning", "Dormant"), 
        IF(AND(MAX(dynamic[sinceLastOrder]) &gt; 365, (DATE(2024,4,30) - MAXIFS(dynamic[orderDate], dynamic[customerID], B1065)) &gt; 180), 
           "Dormant", "Regular")))</f>
        <v>Regular</v>
      </c>
      <c r="H1065" s="6">
        <v>42.0</v>
      </c>
      <c r="I1065" s="9" t="str">
        <f>VLOOKUP(dynamic[productID],products[],2,FALSE)</f>
        <v>Singaporean Hokkien Fried Mee</v>
      </c>
      <c r="J1065" s="9" t="str">
        <f>VLOOKUP(dynamic[productID],products[],12,FALSE)</f>
        <v>Grains/Cereals</v>
      </c>
      <c r="K1065" s="7" t="str">
        <f>IF(VLOOKUP(dynamic[productID],products[],7,FALSE)=1,"Discontinued","Current")</f>
        <v>Discontinued</v>
      </c>
      <c r="L1065" s="9">
        <f>VLOOKUP(dynamic[productID],products[],IF(YEAR(dynamic[orderDate])=2022,8,IF(YEAR(dynamic[orderDate])=2023,9,IF(YEAR(dynamic[orderDate])=2024,10,NA))),FALSE)</f>
        <v>9.105641621</v>
      </c>
      <c r="M1065" s="9">
        <v>14.0</v>
      </c>
      <c r="N1065" s="25">
        <f>(dynamic[orderPrice]-dynamic[productCost])/dynamic[productCost]</f>
        <v>0.5375083474</v>
      </c>
      <c r="O1065" s="10">
        <v>20.0</v>
      </c>
      <c r="P1065" s="25">
        <v>0.0</v>
      </c>
      <c r="Q1065" s="9">
        <f>dynamic[orderPrice]*dynamic[orderQuantity]</f>
        <v>280</v>
      </c>
      <c r="R1065" s="9">
        <f>dynamic[orderTotal]*(1-dynamic[discountApllied])</f>
        <v>280</v>
      </c>
      <c r="S1065" s="9">
        <f>dynamic[revenue]-(dynamic[productCost]*dynamic[orderQuantity])</f>
        <v>97.88716758</v>
      </c>
      <c r="T1065" s="25">
        <f>IFERROR(dynamic[profit]/dynamic[revenue], 0)</f>
        <v>0.3495970271</v>
      </c>
    </row>
    <row r="1066" ht="15.75" customHeight="1">
      <c r="A1066" s="6">
        <v>10653.0</v>
      </c>
      <c r="B1066" s="7" t="s">
        <v>32</v>
      </c>
      <c r="C1066" s="24" t="str">
        <f>VLOOKUP(dynamic[customerID],customers[],2,FALSE)</f>
        <v>Frankenversand</v>
      </c>
      <c r="D1066" s="24">
        <v>45171.0</v>
      </c>
      <c r="E1066" s="6">
        <f>IFERROR(__xludf.DUMMYFUNCTION("COUNTUNIQUEIFS($A$2:$A1066,$B$2:$B1066,B1066)"),8.0)</f>
        <v>8</v>
      </c>
      <c r="F1066" s="6">
        <f t="shared" si="1"/>
        <v>26</v>
      </c>
      <c r="G1066" s="6" t="str">
        <f>IF(MINIFS(dynamic[orderDate], dynamic[customerID], B1066) &gt;= DATE(2024,4,30)-120, 
     "New", 
     IF(MAXIFS(dynamic[orderCount], dynamic[customerID], B1066)&lt;=2, 
        IF((DATE(2024,4,30) - MAXIFS(dynamic[orderDate], dynamic[customerID], B1066)) &gt; 180, "Non-Returning", "Dormant"), 
        IF(AND(MAX(dynamic[sinceLastOrder]) &gt; 365, (DATE(2024,4,30) - MAXIFS(dynamic[orderDate], dynamic[customerID], B1066)) &gt; 180), 
           "Dormant", "Regular")))</f>
        <v>Regular</v>
      </c>
      <c r="H1066" s="6">
        <v>16.0</v>
      </c>
      <c r="I1066" s="9" t="str">
        <f>VLOOKUP(dynamic[productID],products[],2,FALSE)</f>
        <v>Pavlova</v>
      </c>
      <c r="J1066" s="9" t="str">
        <f>VLOOKUP(dynamic[productID],products[],12,FALSE)</f>
        <v>Confections</v>
      </c>
      <c r="K1066" s="7" t="str">
        <f>IF(VLOOKUP(dynamic[productID],products[],7,FALSE)=1,"Discontinued","Current")</f>
        <v>Current</v>
      </c>
      <c r="L1066" s="9">
        <f>VLOOKUP(dynamic[productID],products[],IF(YEAR(dynamic[orderDate])=2022,8,IF(YEAR(dynamic[orderDate])=2023,9,IF(YEAR(dynamic[orderDate])=2024,10,NA))),FALSE)</f>
        <v>11.98504839</v>
      </c>
      <c r="M1066" s="9">
        <v>17.45</v>
      </c>
      <c r="N1066" s="25">
        <f>(dynamic[orderPrice]-dynamic[productCost])/dynamic[productCost]</f>
        <v>0.455980771</v>
      </c>
      <c r="O1066" s="10">
        <v>30.0</v>
      </c>
      <c r="P1066" s="25">
        <v>0.1</v>
      </c>
      <c r="Q1066" s="9">
        <f>dynamic[orderPrice]*dynamic[orderQuantity]</f>
        <v>523.5</v>
      </c>
      <c r="R1066" s="9">
        <f>dynamic[orderTotal]*(1-dynamic[discountApllied])</f>
        <v>471.15</v>
      </c>
      <c r="S1066" s="9">
        <f>dynamic[revenue]-(dynamic[productCost]*dynamic[orderQuantity])</f>
        <v>111.5985482</v>
      </c>
      <c r="T1066" s="25">
        <f>IFERROR(dynamic[profit]/dynamic[revenue], 0)</f>
        <v>0.2368641584</v>
      </c>
    </row>
    <row r="1067" ht="15.75" customHeight="1">
      <c r="A1067" s="6">
        <v>10653.0</v>
      </c>
      <c r="B1067" s="7" t="s">
        <v>32</v>
      </c>
      <c r="C1067" s="24" t="str">
        <f>VLOOKUP(dynamic[customerID],customers[],2,FALSE)</f>
        <v>Frankenversand</v>
      </c>
      <c r="D1067" s="24">
        <v>45171.0</v>
      </c>
      <c r="E1067" s="6">
        <f>IFERROR(__xludf.DUMMYFUNCTION("COUNTUNIQUEIFS($A$2:$A1067,$B$2:$B1067,B1067)"),8.0)</f>
        <v>8</v>
      </c>
      <c r="F1067" s="6">
        <f t="shared" si="1"/>
        <v>26</v>
      </c>
      <c r="G1067" s="6" t="str">
        <f>IF(MINIFS(dynamic[orderDate], dynamic[customerID], B1067) &gt;= DATE(2024,4,30)-120, 
     "New", 
     IF(MAXIFS(dynamic[orderCount], dynamic[customerID], B1067)&lt;=2, 
        IF((DATE(2024,4,30) - MAXIFS(dynamic[orderDate], dynamic[customerID], B1067)) &gt; 180, "Non-Returning", "Dormant"), 
        IF(AND(MAX(dynamic[sinceLastOrder]) &gt; 365, (DATE(2024,4,30) - MAXIFS(dynamic[orderDate], dynamic[customerID], B1067)) &gt; 180), 
           "Dormant", "Regular")))</f>
        <v>Regular</v>
      </c>
      <c r="H1067" s="6">
        <v>60.0</v>
      </c>
      <c r="I1067" s="9" t="str">
        <f>VLOOKUP(dynamic[productID],products[],2,FALSE)</f>
        <v>Camembert Pierrot</v>
      </c>
      <c r="J1067" s="9" t="str">
        <f>VLOOKUP(dynamic[productID],products[],12,FALSE)</f>
        <v>Dairy Products</v>
      </c>
      <c r="K1067" s="7" t="str">
        <f>IF(VLOOKUP(dynamic[productID],products[],7,FALSE)=1,"Discontinued","Current")</f>
        <v>Current</v>
      </c>
      <c r="L1067" s="9">
        <f>VLOOKUP(dynamic[productID],products[],IF(YEAR(dynamic[orderDate])=2022,8,IF(YEAR(dynamic[orderDate])=2023,9,IF(YEAR(dynamic[orderDate])=2024,10,NA))),FALSE)</f>
        <v>22.77098295</v>
      </c>
      <c r="M1067" s="9">
        <v>34.0</v>
      </c>
      <c r="N1067" s="25">
        <f>(dynamic[orderPrice]-dynamic[productCost])/dynamic[productCost]</f>
        <v>0.4931283415</v>
      </c>
      <c r="O1067" s="10">
        <v>20.0</v>
      </c>
      <c r="P1067" s="25">
        <v>0.1</v>
      </c>
      <c r="Q1067" s="9">
        <f>dynamic[orderPrice]*dynamic[orderQuantity]</f>
        <v>680</v>
      </c>
      <c r="R1067" s="9">
        <f>dynamic[orderTotal]*(1-dynamic[discountApllied])</f>
        <v>612</v>
      </c>
      <c r="S1067" s="9">
        <f>dynamic[revenue]-(dynamic[productCost]*dynamic[orderQuantity])</f>
        <v>156.5803411</v>
      </c>
      <c r="T1067" s="25">
        <f>IFERROR(dynamic[profit]/dynamic[revenue], 0)</f>
        <v>0.2558502305</v>
      </c>
    </row>
    <row r="1068" ht="15.75" customHeight="1">
      <c r="A1068" s="6">
        <v>10654.0</v>
      </c>
      <c r="B1068" s="7" t="s">
        <v>40</v>
      </c>
      <c r="C1068" s="24" t="str">
        <f>VLOOKUP(dynamic[customerID],customers[],2,FALSE)</f>
        <v>Berglunds snabbköp</v>
      </c>
      <c r="D1068" s="24">
        <v>45171.0</v>
      </c>
      <c r="E1068" s="6">
        <f>IFERROR(__xludf.DUMMYFUNCTION("COUNTUNIQUEIFS($A$2:$A1068,$B$2:$B1068,B1068)"),9.0)</f>
        <v>9</v>
      </c>
      <c r="F1068" s="6">
        <f t="shared" si="1"/>
        <v>22</v>
      </c>
      <c r="G1068" s="6" t="str">
        <f>IF(MINIFS(dynamic[orderDate], dynamic[customerID], B1068) &gt;= DATE(2024,4,30)-120, 
     "New", 
     IF(MAXIFS(dynamic[orderCount], dynamic[customerID], B1068)&lt;=2, 
        IF((DATE(2024,4,30) - MAXIFS(dynamic[orderDate], dynamic[customerID], B1068)) &gt; 180, "Non-Returning", "Dormant"), 
        IF(AND(MAX(dynamic[sinceLastOrder]) &gt; 365, (DATE(2024,4,30) - MAXIFS(dynamic[orderDate], dynamic[customerID], B1068)) &gt; 180), 
           "Dormant", "Regular")))</f>
        <v>Regular</v>
      </c>
      <c r="H1068" s="6">
        <v>4.0</v>
      </c>
      <c r="I1068" s="9" t="str">
        <f>VLOOKUP(dynamic[productID],products[],2,FALSE)</f>
        <v>Chef Anton's Cajun Seasoning</v>
      </c>
      <c r="J1068" s="9" t="str">
        <f>VLOOKUP(dynamic[productID],products[],12,FALSE)</f>
        <v>Condiments</v>
      </c>
      <c r="K1068" s="7" t="str">
        <f>IF(VLOOKUP(dynamic[productID],products[],7,FALSE)=1,"Discontinued","Current")</f>
        <v>Current</v>
      </c>
      <c r="L1068" s="9">
        <f>VLOOKUP(dynamic[productID],products[],IF(YEAR(dynamic[orderDate])=2022,8,IF(YEAR(dynamic[orderDate])=2023,9,IF(YEAR(dynamic[orderDate])=2024,10,NA))),FALSE)</f>
        <v>13.81047124</v>
      </c>
      <c r="M1068" s="9">
        <v>22.0</v>
      </c>
      <c r="N1068" s="25">
        <f>(dynamic[orderPrice]-dynamic[productCost])/dynamic[productCost]</f>
        <v>0.5929941577</v>
      </c>
      <c r="O1068" s="10">
        <v>12.0</v>
      </c>
      <c r="P1068" s="25">
        <v>0.1</v>
      </c>
      <c r="Q1068" s="9">
        <f>dynamic[orderPrice]*dynamic[orderQuantity]</f>
        <v>264</v>
      </c>
      <c r="R1068" s="9">
        <f>dynamic[orderTotal]*(1-dynamic[discountApllied])</f>
        <v>237.6</v>
      </c>
      <c r="S1068" s="9">
        <f>dynamic[revenue]-(dynamic[productCost]*dynamic[orderQuantity])</f>
        <v>71.87434512</v>
      </c>
      <c r="T1068" s="25">
        <f>IFERROR(dynamic[profit]/dynamic[revenue], 0)</f>
        <v>0.3025014525</v>
      </c>
    </row>
    <row r="1069" ht="15.75" customHeight="1">
      <c r="A1069" s="6">
        <v>10654.0</v>
      </c>
      <c r="B1069" s="7" t="s">
        <v>40</v>
      </c>
      <c r="C1069" s="24" t="str">
        <f>VLOOKUP(dynamic[customerID],customers[],2,FALSE)</f>
        <v>Berglunds snabbköp</v>
      </c>
      <c r="D1069" s="24">
        <v>45171.0</v>
      </c>
      <c r="E1069" s="6">
        <f>IFERROR(__xludf.DUMMYFUNCTION("COUNTUNIQUEIFS($A$2:$A1069,$B$2:$B1069,B1069)"),9.0)</f>
        <v>9</v>
      </c>
      <c r="F1069" s="6">
        <f t="shared" si="1"/>
        <v>22</v>
      </c>
      <c r="G1069" s="6" t="str">
        <f>IF(MINIFS(dynamic[orderDate], dynamic[customerID], B1069) &gt;= DATE(2024,4,30)-120, 
     "New", 
     IF(MAXIFS(dynamic[orderCount], dynamic[customerID], B1069)&lt;=2, 
        IF((DATE(2024,4,30) - MAXIFS(dynamic[orderDate], dynamic[customerID], B1069)) &gt; 180, "Non-Returning", "Dormant"), 
        IF(AND(MAX(dynamic[sinceLastOrder]) &gt; 365, (DATE(2024,4,30) - MAXIFS(dynamic[orderDate], dynamic[customerID], B1069)) &gt; 180), 
           "Dormant", "Regular")))</f>
        <v>Regular</v>
      </c>
      <c r="H1069" s="6">
        <v>39.0</v>
      </c>
      <c r="I1069" s="9" t="str">
        <f>VLOOKUP(dynamic[productID],products[],2,FALSE)</f>
        <v>Chartreuse verte</v>
      </c>
      <c r="J1069" s="9" t="str">
        <f>VLOOKUP(dynamic[productID],products[],12,FALSE)</f>
        <v>Beverages</v>
      </c>
      <c r="K1069" s="7" t="str">
        <f>IF(VLOOKUP(dynamic[productID],products[],7,FALSE)=1,"Discontinued","Current")</f>
        <v>Current</v>
      </c>
      <c r="L1069" s="9">
        <f>VLOOKUP(dynamic[productID],products[],IF(YEAR(dynamic[orderDate])=2022,8,IF(YEAR(dynamic[orderDate])=2023,9,IF(YEAR(dynamic[orderDate])=2024,10,NA))),FALSE)</f>
        <v>11.73311441</v>
      </c>
      <c r="M1069" s="9">
        <v>18.0</v>
      </c>
      <c r="N1069" s="25">
        <f>(dynamic[orderPrice]-dynamic[productCost])/dynamic[productCost]</f>
        <v>0.5341195326</v>
      </c>
      <c r="O1069" s="10">
        <v>20.0</v>
      </c>
      <c r="P1069" s="25">
        <v>0.1</v>
      </c>
      <c r="Q1069" s="9">
        <f>dynamic[orderPrice]*dynamic[orderQuantity]</f>
        <v>360</v>
      </c>
      <c r="R1069" s="9">
        <f>dynamic[orderTotal]*(1-dynamic[discountApllied])</f>
        <v>324</v>
      </c>
      <c r="S1069" s="9">
        <f>dynamic[revenue]-(dynamic[productCost]*dynamic[orderQuantity])</f>
        <v>89.33771174</v>
      </c>
      <c r="T1069" s="25">
        <f>IFERROR(dynamic[profit]/dynamic[revenue], 0)</f>
        <v>0.2757336782</v>
      </c>
    </row>
    <row r="1070" ht="15.75" customHeight="1">
      <c r="A1070" s="6">
        <v>10654.0</v>
      </c>
      <c r="B1070" s="7" t="s">
        <v>40</v>
      </c>
      <c r="C1070" s="24" t="str">
        <f>VLOOKUP(dynamic[customerID],customers[],2,FALSE)</f>
        <v>Berglunds snabbköp</v>
      </c>
      <c r="D1070" s="24">
        <v>45171.0</v>
      </c>
      <c r="E1070" s="6">
        <f>IFERROR(__xludf.DUMMYFUNCTION("COUNTUNIQUEIFS($A$2:$A1070,$B$2:$B1070,B1070)"),9.0)</f>
        <v>9</v>
      </c>
      <c r="F1070" s="6">
        <f t="shared" si="1"/>
        <v>22</v>
      </c>
      <c r="G1070" s="6" t="str">
        <f>IF(MINIFS(dynamic[orderDate], dynamic[customerID], B1070) &gt;= DATE(2024,4,30)-120, 
     "New", 
     IF(MAXIFS(dynamic[orderCount], dynamic[customerID], B1070)&lt;=2, 
        IF((DATE(2024,4,30) - MAXIFS(dynamic[orderDate], dynamic[customerID], B1070)) &gt; 180, "Non-Returning", "Dormant"), 
        IF(AND(MAX(dynamic[sinceLastOrder]) &gt; 365, (DATE(2024,4,30) - MAXIFS(dynamic[orderDate], dynamic[customerID], B1070)) &gt; 180), 
           "Dormant", "Regular")))</f>
        <v>Regular</v>
      </c>
      <c r="H1070" s="6">
        <v>54.0</v>
      </c>
      <c r="I1070" s="9" t="str">
        <f>VLOOKUP(dynamic[productID],products[],2,FALSE)</f>
        <v>Tourtière</v>
      </c>
      <c r="J1070" s="9" t="str">
        <f>VLOOKUP(dynamic[productID],products[],12,FALSE)</f>
        <v>Meat/Poultry</v>
      </c>
      <c r="K1070" s="7" t="str">
        <f>IF(VLOOKUP(dynamic[productID],products[],7,FALSE)=1,"Discontinued","Current")</f>
        <v>Current</v>
      </c>
      <c r="L1070" s="9">
        <f>VLOOKUP(dynamic[productID],products[],IF(YEAR(dynamic[orderDate])=2022,8,IF(YEAR(dynamic[orderDate])=2023,9,IF(YEAR(dynamic[orderDate])=2024,10,NA))),FALSE)</f>
        <v>4.924447797</v>
      </c>
      <c r="M1070" s="9">
        <v>7.45</v>
      </c>
      <c r="N1070" s="25">
        <f>(dynamic[orderPrice]-dynamic[productCost])/dynamic[productCost]</f>
        <v>0.5128599808</v>
      </c>
      <c r="O1070" s="10">
        <v>6.0</v>
      </c>
      <c r="P1070" s="25">
        <v>0.1</v>
      </c>
      <c r="Q1070" s="9">
        <f>dynamic[orderPrice]*dynamic[orderQuantity]</f>
        <v>44.7</v>
      </c>
      <c r="R1070" s="9">
        <f>dynamic[orderTotal]*(1-dynamic[discountApllied])</f>
        <v>40.23</v>
      </c>
      <c r="S1070" s="9">
        <f>dynamic[revenue]-(dynamic[productCost]*dynamic[orderQuantity])</f>
        <v>10.68331322</v>
      </c>
      <c r="T1070" s="25">
        <f>IFERROR(dynamic[profit]/dynamic[revenue], 0)</f>
        <v>0.2655558841</v>
      </c>
    </row>
    <row r="1071" ht="15.75" customHeight="1">
      <c r="A1071" s="6">
        <v>10655.0</v>
      </c>
      <c r="B1071" s="7" t="s">
        <v>45</v>
      </c>
      <c r="C1071" s="24" t="str">
        <f>VLOOKUP(dynamic[customerID],customers[],2,FALSE)</f>
        <v>Reggiani Caseifici</v>
      </c>
      <c r="D1071" s="24">
        <v>45172.0</v>
      </c>
      <c r="E1071" s="6">
        <f>IFERROR(__xludf.DUMMYFUNCTION("COUNTUNIQUEIFS($A$2:$A1071,$B$2:$B1071,B1071)"),6.0)</f>
        <v>6</v>
      </c>
      <c r="F1071" s="6">
        <f t="shared" si="1"/>
        <v>63</v>
      </c>
      <c r="G1071" s="6" t="str">
        <f>IF(MINIFS(dynamic[orderDate], dynamic[customerID], B1071) &gt;= DATE(2024,4,30)-120, 
     "New", 
     IF(MAXIFS(dynamic[orderCount], dynamic[customerID], B1071)&lt;=2, 
        IF((DATE(2024,4,30) - MAXIFS(dynamic[orderDate], dynamic[customerID], B1071)) &gt; 180, "Non-Returning", "Dormant"), 
        IF(AND(MAX(dynamic[sinceLastOrder]) &gt; 365, (DATE(2024,4,30) - MAXIFS(dynamic[orderDate], dynamic[customerID], B1071)) &gt; 180), 
           "Dormant", "Regular")))</f>
        <v>Regular</v>
      </c>
      <c r="H1071" s="6">
        <v>41.0</v>
      </c>
      <c r="I1071" s="9" t="str">
        <f>VLOOKUP(dynamic[productID],products[],2,FALSE)</f>
        <v>Jack's New England Clam Chowder</v>
      </c>
      <c r="J1071" s="9" t="str">
        <f>VLOOKUP(dynamic[productID],products[],12,FALSE)</f>
        <v>Seafood</v>
      </c>
      <c r="K1071" s="7" t="str">
        <f>IF(VLOOKUP(dynamic[productID],products[],7,FALSE)=1,"Discontinued","Current")</f>
        <v>Current</v>
      </c>
      <c r="L1071" s="9">
        <f>VLOOKUP(dynamic[productID],products[],IF(YEAR(dynamic[orderDate])=2022,8,IF(YEAR(dynamic[orderDate])=2023,9,IF(YEAR(dynamic[orderDate])=2024,10,NA))),FALSE)</f>
        <v>6.549914856</v>
      </c>
      <c r="M1071" s="9">
        <v>9.65</v>
      </c>
      <c r="N1071" s="25">
        <f>(dynamic[orderPrice]-dynamic[productCost])/dynamic[productCost]</f>
        <v>0.4733015943</v>
      </c>
      <c r="O1071" s="10">
        <v>20.0</v>
      </c>
      <c r="P1071" s="25">
        <v>0.2</v>
      </c>
      <c r="Q1071" s="9">
        <f>dynamic[orderPrice]*dynamic[orderQuantity]</f>
        <v>193</v>
      </c>
      <c r="R1071" s="9">
        <f>dynamic[orderTotal]*(1-dynamic[discountApllied])</f>
        <v>154.4</v>
      </c>
      <c r="S1071" s="9">
        <f>dynamic[revenue]-(dynamic[productCost]*dynamic[orderQuantity])</f>
        <v>23.40170288</v>
      </c>
      <c r="T1071" s="25">
        <f>IFERROR(dynamic[profit]/dynamic[revenue], 0)</f>
        <v>0.1515654332</v>
      </c>
    </row>
    <row r="1072" ht="15.75" customHeight="1">
      <c r="A1072" s="6">
        <v>10656.0</v>
      </c>
      <c r="B1072" s="7" t="s">
        <v>94</v>
      </c>
      <c r="C1072" s="24" t="str">
        <f>VLOOKUP(dynamic[customerID],customers[],2,FALSE)</f>
        <v>Great Lakes Food Market</v>
      </c>
      <c r="D1072" s="24">
        <v>45173.0</v>
      </c>
      <c r="E1072" s="6">
        <f>IFERROR(__xludf.DUMMYFUNCTION("COUNTUNIQUEIFS($A$2:$A1072,$B$2:$B1072,B1072)"),5.0)</f>
        <v>5</v>
      </c>
      <c r="F1072" s="6">
        <f t="shared" si="1"/>
        <v>35</v>
      </c>
      <c r="G1072" s="6" t="str">
        <f>IF(MINIFS(dynamic[orderDate], dynamic[customerID], B1072) &gt;= DATE(2024,4,30)-120, 
     "New", 
     IF(MAXIFS(dynamic[orderCount], dynamic[customerID], B1072)&lt;=2, 
        IF((DATE(2024,4,30) - MAXIFS(dynamic[orderDate], dynamic[customerID], B1072)) &gt; 180, "Non-Returning", "Dormant"), 
        IF(AND(MAX(dynamic[sinceLastOrder]) &gt; 365, (DATE(2024,4,30) - MAXIFS(dynamic[orderDate], dynamic[customerID], B1072)) &gt; 180), 
           "Dormant", "Regular")))</f>
        <v>Regular</v>
      </c>
      <c r="H1072" s="6">
        <v>14.0</v>
      </c>
      <c r="I1072" s="9" t="str">
        <f>VLOOKUP(dynamic[productID],products[],2,FALSE)</f>
        <v>Tofu</v>
      </c>
      <c r="J1072" s="9" t="str">
        <f>VLOOKUP(dynamic[productID],products[],12,FALSE)</f>
        <v>Produce</v>
      </c>
      <c r="K1072" s="7" t="str">
        <f>IF(VLOOKUP(dynamic[productID],products[],7,FALSE)=1,"Discontinued","Current")</f>
        <v>Current</v>
      </c>
      <c r="L1072" s="9">
        <f>VLOOKUP(dynamic[productID],products[],IF(YEAR(dynamic[orderDate])=2022,8,IF(YEAR(dynamic[orderDate])=2023,9,IF(YEAR(dynamic[orderDate])=2024,10,NA))),FALSE)</f>
        <v>15.38055417</v>
      </c>
      <c r="M1072" s="9">
        <v>23.25</v>
      </c>
      <c r="N1072" s="25">
        <f>(dynamic[orderPrice]-dynamic[productCost])/dynamic[productCost]</f>
        <v>0.5116490437</v>
      </c>
      <c r="O1072" s="10">
        <v>3.0</v>
      </c>
      <c r="P1072" s="25">
        <v>0.1</v>
      </c>
      <c r="Q1072" s="9">
        <f>dynamic[orderPrice]*dynamic[orderQuantity]</f>
        <v>69.75</v>
      </c>
      <c r="R1072" s="9">
        <f>dynamic[orderTotal]*(1-dynamic[discountApllied])</f>
        <v>62.775</v>
      </c>
      <c r="S1072" s="9">
        <f>dynamic[revenue]-(dynamic[productCost]*dynamic[orderQuantity])</f>
        <v>16.63333749</v>
      </c>
      <c r="T1072" s="25">
        <f>IFERROR(dynamic[profit]/dynamic[revenue], 0)</f>
        <v>0.2649675427</v>
      </c>
    </row>
    <row r="1073" ht="15.75" customHeight="1">
      <c r="A1073" s="6">
        <v>10656.0</v>
      </c>
      <c r="B1073" s="7" t="s">
        <v>94</v>
      </c>
      <c r="C1073" s="24" t="str">
        <f>VLOOKUP(dynamic[customerID],customers[],2,FALSE)</f>
        <v>Great Lakes Food Market</v>
      </c>
      <c r="D1073" s="24">
        <v>45173.0</v>
      </c>
      <c r="E1073" s="6">
        <f>IFERROR(__xludf.DUMMYFUNCTION("COUNTUNIQUEIFS($A$2:$A1073,$B$2:$B1073,B1073)"),5.0)</f>
        <v>5</v>
      </c>
      <c r="F1073" s="6">
        <f t="shared" si="1"/>
        <v>35</v>
      </c>
      <c r="G1073" s="6" t="str">
        <f>IF(MINIFS(dynamic[orderDate], dynamic[customerID], B1073) &gt;= DATE(2024,4,30)-120, 
     "New", 
     IF(MAXIFS(dynamic[orderCount], dynamic[customerID], B1073)&lt;=2, 
        IF((DATE(2024,4,30) - MAXIFS(dynamic[orderDate], dynamic[customerID], B1073)) &gt; 180, "Non-Returning", "Dormant"), 
        IF(AND(MAX(dynamic[sinceLastOrder]) &gt; 365, (DATE(2024,4,30) - MAXIFS(dynamic[orderDate], dynamic[customerID], B1073)) &gt; 180), 
           "Dormant", "Regular")))</f>
        <v>Regular</v>
      </c>
      <c r="H1073" s="6">
        <v>44.0</v>
      </c>
      <c r="I1073" s="9" t="str">
        <f>VLOOKUP(dynamic[productID],products[],2,FALSE)</f>
        <v>Gula Malacca</v>
      </c>
      <c r="J1073" s="9" t="str">
        <f>VLOOKUP(dynamic[productID],products[],12,FALSE)</f>
        <v>Condiments</v>
      </c>
      <c r="K1073" s="7" t="str">
        <f>IF(VLOOKUP(dynamic[productID],products[],7,FALSE)=1,"Discontinued","Current")</f>
        <v>Current</v>
      </c>
      <c r="L1073" s="9">
        <f>VLOOKUP(dynamic[productID],products[],IF(YEAR(dynamic[orderDate])=2022,8,IF(YEAR(dynamic[orderDate])=2023,9,IF(YEAR(dynamic[orderDate])=2024,10,NA))),FALSE)</f>
        <v>13.06032103</v>
      </c>
      <c r="M1073" s="9">
        <v>19.45</v>
      </c>
      <c r="N1073" s="25">
        <f>(dynamic[orderPrice]-dynamic[productCost])/dynamic[productCost]</f>
        <v>0.4892436379</v>
      </c>
      <c r="O1073" s="10">
        <v>28.0</v>
      </c>
      <c r="P1073" s="25">
        <v>0.1</v>
      </c>
      <c r="Q1073" s="9">
        <f>dynamic[orderPrice]*dynamic[orderQuantity]</f>
        <v>544.6</v>
      </c>
      <c r="R1073" s="9">
        <f>dynamic[orderTotal]*(1-dynamic[discountApllied])</f>
        <v>490.14</v>
      </c>
      <c r="S1073" s="9">
        <f>dynamic[revenue]-(dynamic[productCost]*dynamic[orderQuantity])</f>
        <v>124.4510112</v>
      </c>
      <c r="T1073" s="25">
        <f>IFERROR(dynamic[profit]/dynamic[revenue], 0)</f>
        <v>0.2539091101</v>
      </c>
    </row>
    <row r="1074" ht="15.75" customHeight="1">
      <c r="A1074" s="6">
        <v>10656.0</v>
      </c>
      <c r="B1074" s="7" t="s">
        <v>94</v>
      </c>
      <c r="C1074" s="24" t="str">
        <f>VLOOKUP(dynamic[customerID],customers[],2,FALSE)</f>
        <v>Great Lakes Food Market</v>
      </c>
      <c r="D1074" s="24">
        <v>45173.0</v>
      </c>
      <c r="E1074" s="6">
        <f>IFERROR(__xludf.DUMMYFUNCTION("COUNTUNIQUEIFS($A$2:$A1074,$B$2:$B1074,B1074)"),5.0)</f>
        <v>5</v>
      </c>
      <c r="F1074" s="6">
        <f t="shared" si="1"/>
        <v>35</v>
      </c>
      <c r="G1074" s="6" t="str">
        <f>IF(MINIFS(dynamic[orderDate], dynamic[customerID], B1074) &gt;= DATE(2024,4,30)-120, 
     "New", 
     IF(MAXIFS(dynamic[orderCount], dynamic[customerID], B1074)&lt;=2, 
        IF((DATE(2024,4,30) - MAXIFS(dynamic[orderDate], dynamic[customerID], B1074)) &gt; 180, "Non-Returning", "Dormant"), 
        IF(AND(MAX(dynamic[sinceLastOrder]) &gt; 365, (DATE(2024,4,30) - MAXIFS(dynamic[orderDate], dynamic[customerID], B1074)) &gt; 180), 
           "Dormant", "Regular")))</f>
        <v>Regular</v>
      </c>
      <c r="H1074" s="6">
        <v>47.0</v>
      </c>
      <c r="I1074" s="9" t="str">
        <f>VLOOKUP(dynamic[productID],products[],2,FALSE)</f>
        <v>Zaanse koeken</v>
      </c>
      <c r="J1074" s="9" t="str">
        <f>VLOOKUP(dynamic[productID],products[],12,FALSE)</f>
        <v>Confections</v>
      </c>
      <c r="K1074" s="7" t="str">
        <f>IF(VLOOKUP(dynamic[productID],products[],7,FALSE)=1,"Discontinued","Current")</f>
        <v>Current</v>
      </c>
      <c r="L1074" s="9">
        <f>VLOOKUP(dynamic[productID],products[],IF(YEAR(dynamic[orderDate])=2022,8,IF(YEAR(dynamic[orderDate])=2023,9,IF(YEAR(dynamic[orderDate])=2024,10,NA))),FALSE)</f>
        <v>6.57708833</v>
      </c>
      <c r="M1074" s="9">
        <v>9.5</v>
      </c>
      <c r="N1074" s="25">
        <f>(dynamic[orderPrice]-dynamic[productCost])/dynamic[productCost]</f>
        <v>0.4444081519</v>
      </c>
      <c r="O1074" s="10">
        <v>6.0</v>
      </c>
      <c r="P1074" s="25">
        <v>0.1</v>
      </c>
      <c r="Q1074" s="9">
        <f>dynamic[orderPrice]*dynamic[orderQuantity]</f>
        <v>57</v>
      </c>
      <c r="R1074" s="9">
        <f>dynamic[orderTotal]*(1-dynamic[discountApllied])</f>
        <v>51.3</v>
      </c>
      <c r="S1074" s="9">
        <f>dynamic[revenue]-(dynamic[productCost]*dynamic[orderQuantity])</f>
        <v>11.83747002</v>
      </c>
      <c r="T1074" s="25">
        <f>IFERROR(dynamic[profit]/dynamic[revenue], 0)</f>
        <v>0.2307499029</v>
      </c>
    </row>
    <row r="1075" ht="15.75" customHeight="1">
      <c r="A1075" s="6">
        <v>10657.0</v>
      </c>
      <c r="B1075" s="7" t="s">
        <v>60</v>
      </c>
      <c r="C1075" s="24" t="str">
        <f>VLOOKUP(dynamic[customerID],customers[],2,FALSE)</f>
        <v>Save-a-lot Markets</v>
      </c>
      <c r="D1075" s="24">
        <v>45173.0</v>
      </c>
      <c r="E1075" s="6">
        <f>IFERROR(__xludf.DUMMYFUNCTION("COUNTUNIQUEIFS($A$2:$A1075,$B$2:$B1075,B1075)"),12.0)</f>
        <v>12</v>
      </c>
      <c r="F1075" s="6">
        <f t="shared" si="1"/>
        <v>24</v>
      </c>
      <c r="G1075" s="6" t="str">
        <f>IF(MINIFS(dynamic[orderDate], dynamic[customerID], B1075) &gt;= DATE(2024,4,30)-120, 
     "New", 
     IF(MAXIFS(dynamic[orderCount], dynamic[customerID], B1075)&lt;=2, 
        IF((DATE(2024,4,30) - MAXIFS(dynamic[orderDate], dynamic[customerID], B1075)) &gt; 180, "Non-Returning", "Dormant"), 
        IF(AND(MAX(dynamic[sinceLastOrder]) &gt; 365, (DATE(2024,4,30) - MAXIFS(dynamic[orderDate], dynamic[customerID], B1075)) &gt; 180), 
           "Dormant", "Regular")))</f>
        <v>Regular</v>
      </c>
      <c r="H1075" s="6">
        <v>15.0</v>
      </c>
      <c r="I1075" s="9" t="str">
        <f>VLOOKUP(dynamic[productID],products[],2,FALSE)</f>
        <v>Genen Shouyu</v>
      </c>
      <c r="J1075" s="9" t="str">
        <f>VLOOKUP(dynamic[productID],products[],12,FALSE)</f>
        <v>Condiments</v>
      </c>
      <c r="K1075" s="7" t="str">
        <f>IF(VLOOKUP(dynamic[productID],products[],7,FALSE)=1,"Discontinued","Current")</f>
        <v>Current</v>
      </c>
      <c r="L1075" s="9">
        <f>VLOOKUP(dynamic[productID],products[],IF(YEAR(dynamic[orderDate])=2022,8,IF(YEAR(dynamic[orderDate])=2023,9,IF(YEAR(dynamic[orderDate])=2024,10,NA))),FALSE)</f>
        <v>10.78394742</v>
      </c>
      <c r="M1075" s="9">
        <v>15.5</v>
      </c>
      <c r="N1075" s="25">
        <f>(dynamic[orderPrice]-dynamic[productCost])/dynamic[productCost]</f>
        <v>0.4373215478</v>
      </c>
      <c r="O1075" s="10">
        <v>50.0</v>
      </c>
      <c r="P1075" s="25">
        <v>0.0</v>
      </c>
      <c r="Q1075" s="9">
        <f>dynamic[orderPrice]*dynamic[orderQuantity]</f>
        <v>775</v>
      </c>
      <c r="R1075" s="9">
        <f>dynamic[orderTotal]*(1-dynamic[discountApllied])</f>
        <v>775</v>
      </c>
      <c r="S1075" s="9">
        <f>dynamic[revenue]-(dynamic[productCost]*dynamic[orderQuantity])</f>
        <v>235.8026289</v>
      </c>
      <c r="T1075" s="25">
        <f>IFERROR(dynamic[profit]/dynamic[revenue], 0)</f>
        <v>0.3042614566</v>
      </c>
    </row>
    <row r="1076" ht="15.75" customHeight="1">
      <c r="A1076" s="6">
        <v>10657.0</v>
      </c>
      <c r="B1076" s="7" t="s">
        <v>60</v>
      </c>
      <c r="C1076" s="24" t="str">
        <f>VLOOKUP(dynamic[customerID],customers[],2,FALSE)</f>
        <v>Save-a-lot Markets</v>
      </c>
      <c r="D1076" s="24">
        <v>45173.0</v>
      </c>
      <c r="E1076" s="6">
        <f>IFERROR(__xludf.DUMMYFUNCTION("COUNTUNIQUEIFS($A$2:$A1076,$B$2:$B1076,B1076)"),12.0)</f>
        <v>12</v>
      </c>
      <c r="F1076" s="6">
        <f t="shared" si="1"/>
        <v>24</v>
      </c>
      <c r="G1076" s="6" t="str">
        <f>IF(MINIFS(dynamic[orderDate], dynamic[customerID], B1076) &gt;= DATE(2024,4,30)-120, 
     "New", 
     IF(MAXIFS(dynamic[orderCount], dynamic[customerID], B1076)&lt;=2, 
        IF((DATE(2024,4,30) - MAXIFS(dynamic[orderDate], dynamic[customerID], B1076)) &gt; 180, "Non-Returning", "Dormant"), 
        IF(AND(MAX(dynamic[sinceLastOrder]) &gt; 365, (DATE(2024,4,30) - MAXIFS(dynamic[orderDate], dynamic[customerID], B1076)) &gt; 180), 
           "Dormant", "Regular")))</f>
        <v>Regular</v>
      </c>
      <c r="H1076" s="6">
        <v>41.0</v>
      </c>
      <c r="I1076" s="9" t="str">
        <f>VLOOKUP(dynamic[productID],products[],2,FALSE)</f>
        <v>Jack's New England Clam Chowder</v>
      </c>
      <c r="J1076" s="9" t="str">
        <f>VLOOKUP(dynamic[productID],products[],12,FALSE)</f>
        <v>Seafood</v>
      </c>
      <c r="K1076" s="7" t="str">
        <f>IF(VLOOKUP(dynamic[productID],products[],7,FALSE)=1,"Discontinued","Current")</f>
        <v>Current</v>
      </c>
      <c r="L1076" s="9">
        <f>VLOOKUP(dynamic[productID],products[],IF(YEAR(dynamic[orderDate])=2022,8,IF(YEAR(dynamic[orderDate])=2023,9,IF(YEAR(dynamic[orderDate])=2024,10,NA))),FALSE)</f>
        <v>6.549914856</v>
      </c>
      <c r="M1076" s="9">
        <v>9.65</v>
      </c>
      <c r="N1076" s="25">
        <f>(dynamic[orderPrice]-dynamic[productCost])/dynamic[productCost]</f>
        <v>0.4733015943</v>
      </c>
      <c r="O1076" s="10">
        <v>24.0</v>
      </c>
      <c r="P1076" s="25">
        <v>0.0</v>
      </c>
      <c r="Q1076" s="9">
        <f>dynamic[orderPrice]*dynamic[orderQuantity]</f>
        <v>231.6</v>
      </c>
      <c r="R1076" s="9">
        <f>dynamic[orderTotal]*(1-dynamic[discountApllied])</f>
        <v>231.6</v>
      </c>
      <c r="S1076" s="9">
        <f>dynamic[revenue]-(dynamic[productCost]*dynamic[orderQuantity])</f>
        <v>74.40204346</v>
      </c>
      <c r="T1076" s="25">
        <f>IFERROR(dynamic[profit]/dynamic[revenue], 0)</f>
        <v>0.3212523465</v>
      </c>
    </row>
    <row r="1077" ht="15.75" customHeight="1">
      <c r="A1077" s="6">
        <v>10657.0</v>
      </c>
      <c r="B1077" s="7" t="s">
        <v>60</v>
      </c>
      <c r="C1077" s="24" t="str">
        <f>VLOOKUP(dynamic[customerID],customers[],2,FALSE)</f>
        <v>Save-a-lot Markets</v>
      </c>
      <c r="D1077" s="24">
        <v>45173.0</v>
      </c>
      <c r="E1077" s="6">
        <f>IFERROR(__xludf.DUMMYFUNCTION("COUNTUNIQUEIFS($A$2:$A1077,$B$2:$B1077,B1077)"),12.0)</f>
        <v>12</v>
      </c>
      <c r="F1077" s="6">
        <f t="shared" si="1"/>
        <v>24</v>
      </c>
      <c r="G1077" s="6" t="str">
        <f>IF(MINIFS(dynamic[orderDate], dynamic[customerID], B1077) &gt;= DATE(2024,4,30)-120, 
     "New", 
     IF(MAXIFS(dynamic[orderCount], dynamic[customerID], B1077)&lt;=2, 
        IF((DATE(2024,4,30) - MAXIFS(dynamic[orderDate], dynamic[customerID], B1077)) &gt; 180, "Non-Returning", "Dormant"), 
        IF(AND(MAX(dynamic[sinceLastOrder]) &gt; 365, (DATE(2024,4,30) - MAXIFS(dynamic[orderDate], dynamic[customerID], B1077)) &gt; 180), 
           "Dormant", "Regular")))</f>
        <v>Regular</v>
      </c>
      <c r="H1077" s="6">
        <v>46.0</v>
      </c>
      <c r="I1077" s="9" t="str">
        <f>VLOOKUP(dynamic[productID],products[],2,FALSE)</f>
        <v>Spegesild</v>
      </c>
      <c r="J1077" s="9" t="str">
        <f>VLOOKUP(dynamic[productID],products[],12,FALSE)</f>
        <v>Seafood</v>
      </c>
      <c r="K1077" s="7" t="str">
        <f>IF(VLOOKUP(dynamic[productID],products[],7,FALSE)=1,"Discontinued","Current")</f>
        <v>Current</v>
      </c>
      <c r="L1077" s="9">
        <f>VLOOKUP(dynamic[productID],products[],IF(YEAR(dynamic[orderDate])=2022,8,IF(YEAR(dynamic[orderDate])=2023,9,IF(YEAR(dynamic[orderDate])=2024,10,NA))),FALSE)</f>
        <v>7.087990753</v>
      </c>
      <c r="M1077" s="9">
        <v>12.0</v>
      </c>
      <c r="N1077" s="25">
        <f>(dynamic[orderPrice]-dynamic[productCost])/dynamic[productCost]</f>
        <v>0.693004466</v>
      </c>
      <c r="O1077" s="10">
        <v>45.0</v>
      </c>
      <c r="P1077" s="25">
        <v>0.0</v>
      </c>
      <c r="Q1077" s="9">
        <f>dynamic[orderPrice]*dynamic[orderQuantity]</f>
        <v>540</v>
      </c>
      <c r="R1077" s="9">
        <f>dynamic[orderTotal]*(1-dynamic[discountApllied])</f>
        <v>540</v>
      </c>
      <c r="S1077" s="9">
        <f>dynamic[revenue]-(dynamic[productCost]*dynamic[orderQuantity])</f>
        <v>221.0404161</v>
      </c>
      <c r="T1077" s="25">
        <f>IFERROR(dynamic[profit]/dynamic[revenue], 0)</f>
        <v>0.4093341039</v>
      </c>
    </row>
    <row r="1078" ht="15.75" customHeight="1">
      <c r="A1078" s="6">
        <v>10657.0</v>
      </c>
      <c r="B1078" s="7" t="s">
        <v>60</v>
      </c>
      <c r="C1078" s="24" t="str">
        <f>VLOOKUP(dynamic[customerID],customers[],2,FALSE)</f>
        <v>Save-a-lot Markets</v>
      </c>
      <c r="D1078" s="24">
        <v>45173.0</v>
      </c>
      <c r="E1078" s="6">
        <f>IFERROR(__xludf.DUMMYFUNCTION("COUNTUNIQUEIFS($A$2:$A1078,$B$2:$B1078,B1078)"),12.0)</f>
        <v>12</v>
      </c>
      <c r="F1078" s="6">
        <f t="shared" si="1"/>
        <v>24</v>
      </c>
      <c r="G1078" s="6" t="str">
        <f>IF(MINIFS(dynamic[orderDate], dynamic[customerID], B1078) &gt;= DATE(2024,4,30)-120, 
     "New", 
     IF(MAXIFS(dynamic[orderCount], dynamic[customerID], B1078)&lt;=2, 
        IF((DATE(2024,4,30) - MAXIFS(dynamic[orderDate], dynamic[customerID], B1078)) &gt; 180, "Non-Returning", "Dormant"), 
        IF(AND(MAX(dynamic[sinceLastOrder]) &gt; 365, (DATE(2024,4,30) - MAXIFS(dynamic[orderDate], dynamic[customerID], B1078)) &gt; 180), 
           "Dormant", "Regular")))</f>
        <v>Regular</v>
      </c>
      <c r="H1078" s="6">
        <v>47.0</v>
      </c>
      <c r="I1078" s="9" t="str">
        <f>VLOOKUP(dynamic[productID],products[],2,FALSE)</f>
        <v>Zaanse koeken</v>
      </c>
      <c r="J1078" s="9" t="str">
        <f>VLOOKUP(dynamic[productID],products[],12,FALSE)</f>
        <v>Confections</v>
      </c>
      <c r="K1078" s="7" t="str">
        <f>IF(VLOOKUP(dynamic[productID],products[],7,FALSE)=1,"Discontinued","Current")</f>
        <v>Current</v>
      </c>
      <c r="L1078" s="9">
        <f>VLOOKUP(dynamic[productID],products[],IF(YEAR(dynamic[orderDate])=2022,8,IF(YEAR(dynamic[orderDate])=2023,9,IF(YEAR(dynamic[orderDate])=2024,10,NA))),FALSE)</f>
        <v>6.57708833</v>
      </c>
      <c r="M1078" s="9">
        <v>9.5</v>
      </c>
      <c r="N1078" s="25">
        <f>(dynamic[orderPrice]-dynamic[productCost])/dynamic[productCost]</f>
        <v>0.4444081519</v>
      </c>
      <c r="O1078" s="10">
        <v>10.0</v>
      </c>
      <c r="P1078" s="25">
        <v>0.0</v>
      </c>
      <c r="Q1078" s="9">
        <f>dynamic[orderPrice]*dynamic[orderQuantity]</f>
        <v>95</v>
      </c>
      <c r="R1078" s="9">
        <f>dynamic[orderTotal]*(1-dynamic[discountApllied])</f>
        <v>95</v>
      </c>
      <c r="S1078" s="9">
        <f>dynamic[revenue]-(dynamic[productCost]*dynamic[orderQuantity])</f>
        <v>29.2291167</v>
      </c>
      <c r="T1078" s="25">
        <f>IFERROR(dynamic[profit]/dynamic[revenue], 0)</f>
        <v>0.3076749126</v>
      </c>
    </row>
    <row r="1079" ht="15.75" customHeight="1">
      <c r="A1079" s="6">
        <v>10657.0</v>
      </c>
      <c r="B1079" s="7" t="s">
        <v>60</v>
      </c>
      <c r="C1079" s="24" t="str">
        <f>VLOOKUP(dynamic[customerID],customers[],2,FALSE)</f>
        <v>Save-a-lot Markets</v>
      </c>
      <c r="D1079" s="24">
        <v>45173.0</v>
      </c>
      <c r="E1079" s="6">
        <f>IFERROR(__xludf.DUMMYFUNCTION("COUNTUNIQUEIFS($A$2:$A1079,$B$2:$B1079,B1079)"),12.0)</f>
        <v>12</v>
      </c>
      <c r="F1079" s="6">
        <f t="shared" si="1"/>
        <v>24</v>
      </c>
      <c r="G1079" s="6" t="str">
        <f>IF(MINIFS(dynamic[orderDate], dynamic[customerID], B1079) &gt;= DATE(2024,4,30)-120, 
     "New", 
     IF(MAXIFS(dynamic[orderCount], dynamic[customerID], B1079)&lt;=2, 
        IF((DATE(2024,4,30) - MAXIFS(dynamic[orderDate], dynamic[customerID], B1079)) &gt; 180, "Non-Returning", "Dormant"), 
        IF(AND(MAX(dynamic[sinceLastOrder]) &gt; 365, (DATE(2024,4,30) - MAXIFS(dynamic[orderDate], dynamic[customerID], B1079)) &gt; 180), 
           "Dormant", "Regular")))</f>
        <v>Regular</v>
      </c>
      <c r="H1079" s="6">
        <v>56.0</v>
      </c>
      <c r="I1079" s="9" t="str">
        <f>VLOOKUP(dynamic[productID],products[],2,FALSE)</f>
        <v>Gnocchi di nonna Alice</v>
      </c>
      <c r="J1079" s="9" t="str">
        <f>VLOOKUP(dynamic[productID],products[],12,FALSE)</f>
        <v>Grains/Cereals</v>
      </c>
      <c r="K1079" s="7" t="str">
        <f>IF(VLOOKUP(dynamic[productID],products[],7,FALSE)=1,"Discontinued","Current")</f>
        <v>Current</v>
      </c>
      <c r="L1079" s="9">
        <f>VLOOKUP(dynamic[productID],products[],IF(YEAR(dynamic[orderDate])=2022,8,IF(YEAR(dynamic[orderDate])=2023,9,IF(YEAR(dynamic[orderDate])=2024,10,NA))),FALSE)</f>
        <v>24.28342441</v>
      </c>
      <c r="M1079" s="9">
        <v>38.0</v>
      </c>
      <c r="N1079" s="25">
        <f>(dynamic[orderPrice]-dynamic[productCost])/dynamic[productCost]</f>
        <v>0.5648534309</v>
      </c>
      <c r="O1079" s="10">
        <v>45.0</v>
      </c>
      <c r="P1079" s="25">
        <v>0.0</v>
      </c>
      <c r="Q1079" s="9">
        <f>dynamic[orderPrice]*dynamic[orderQuantity]</f>
        <v>1710</v>
      </c>
      <c r="R1079" s="9">
        <f>dynamic[orderTotal]*(1-dynamic[discountApllied])</f>
        <v>1710</v>
      </c>
      <c r="S1079" s="9">
        <f>dynamic[revenue]-(dynamic[productCost]*dynamic[orderQuantity])</f>
        <v>617.2459016</v>
      </c>
      <c r="T1079" s="25">
        <f>IFERROR(dynamic[profit]/dynamic[revenue], 0)</f>
        <v>0.3609625156</v>
      </c>
    </row>
    <row r="1080" ht="15.75" customHeight="1">
      <c r="A1080" s="6">
        <v>10657.0</v>
      </c>
      <c r="B1080" s="7" t="s">
        <v>60</v>
      </c>
      <c r="C1080" s="24" t="str">
        <f>VLOOKUP(dynamic[customerID],customers[],2,FALSE)</f>
        <v>Save-a-lot Markets</v>
      </c>
      <c r="D1080" s="24">
        <v>45173.0</v>
      </c>
      <c r="E1080" s="6">
        <f>IFERROR(__xludf.DUMMYFUNCTION("COUNTUNIQUEIFS($A$2:$A1080,$B$2:$B1080,B1080)"),12.0)</f>
        <v>12</v>
      </c>
      <c r="F1080" s="6">
        <f t="shared" si="1"/>
        <v>24</v>
      </c>
      <c r="G1080" s="6" t="str">
        <f>IF(MINIFS(dynamic[orderDate], dynamic[customerID], B1080) &gt;= DATE(2024,4,30)-120, 
     "New", 
     IF(MAXIFS(dynamic[orderCount], dynamic[customerID], B1080)&lt;=2, 
        IF((DATE(2024,4,30) - MAXIFS(dynamic[orderDate], dynamic[customerID], B1080)) &gt; 180, "Non-Returning", "Dormant"), 
        IF(AND(MAX(dynamic[sinceLastOrder]) &gt; 365, (DATE(2024,4,30) - MAXIFS(dynamic[orderDate], dynamic[customerID], B1080)) &gt; 180), 
           "Dormant", "Regular")))</f>
        <v>Regular</v>
      </c>
      <c r="H1080" s="6">
        <v>60.0</v>
      </c>
      <c r="I1080" s="9" t="str">
        <f>VLOOKUP(dynamic[productID],products[],2,FALSE)</f>
        <v>Camembert Pierrot</v>
      </c>
      <c r="J1080" s="9" t="str">
        <f>VLOOKUP(dynamic[productID],products[],12,FALSE)</f>
        <v>Dairy Products</v>
      </c>
      <c r="K1080" s="7" t="str">
        <f>IF(VLOOKUP(dynamic[productID],products[],7,FALSE)=1,"Discontinued","Current")</f>
        <v>Current</v>
      </c>
      <c r="L1080" s="9">
        <f>VLOOKUP(dynamic[productID],products[],IF(YEAR(dynamic[orderDate])=2022,8,IF(YEAR(dynamic[orderDate])=2023,9,IF(YEAR(dynamic[orderDate])=2024,10,NA))),FALSE)</f>
        <v>22.77098295</v>
      </c>
      <c r="M1080" s="9">
        <v>34.0</v>
      </c>
      <c r="N1080" s="25">
        <f>(dynamic[orderPrice]-dynamic[productCost])/dynamic[productCost]</f>
        <v>0.4931283415</v>
      </c>
      <c r="O1080" s="10">
        <v>30.0</v>
      </c>
      <c r="P1080" s="25">
        <v>0.0</v>
      </c>
      <c r="Q1080" s="9">
        <f>dynamic[orderPrice]*dynamic[orderQuantity]</f>
        <v>1020</v>
      </c>
      <c r="R1080" s="9">
        <f>dynamic[orderTotal]*(1-dynamic[discountApllied])</f>
        <v>1020</v>
      </c>
      <c r="S1080" s="9">
        <f>dynamic[revenue]-(dynamic[productCost]*dynamic[orderQuantity])</f>
        <v>336.8705116</v>
      </c>
      <c r="T1080" s="25">
        <f>IFERROR(dynamic[profit]/dynamic[revenue], 0)</f>
        <v>0.3302652075</v>
      </c>
    </row>
    <row r="1081" ht="15.75" customHeight="1">
      <c r="A1081" s="6">
        <v>10658.0</v>
      </c>
      <c r="B1081" s="7" t="s">
        <v>36</v>
      </c>
      <c r="C1081" s="24" t="str">
        <f>VLOOKUP(dynamic[customerID],customers[],2,FALSE)</f>
        <v>QUICK-Stop</v>
      </c>
      <c r="D1081" s="24">
        <v>45174.0</v>
      </c>
      <c r="E1081" s="6">
        <f>IFERROR(__xludf.DUMMYFUNCTION("COUNTUNIQUEIFS($A$2:$A1081,$B$2:$B1081,B1081)"),14.0)</f>
        <v>14</v>
      </c>
      <c r="F1081" s="6">
        <f t="shared" si="1"/>
        <v>64</v>
      </c>
      <c r="G1081" s="6" t="str">
        <f>IF(MINIFS(dynamic[orderDate], dynamic[customerID], B1081) &gt;= DATE(2024,4,30)-120, 
     "New", 
     IF(MAXIFS(dynamic[orderCount], dynamic[customerID], B1081)&lt;=2, 
        IF((DATE(2024,4,30) - MAXIFS(dynamic[orderDate], dynamic[customerID], B1081)) &gt; 180, "Non-Returning", "Dormant"), 
        IF(AND(MAX(dynamic[sinceLastOrder]) &gt; 365, (DATE(2024,4,30) - MAXIFS(dynamic[orderDate], dynamic[customerID], B1081)) &gt; 180), 
           "Dormant", "Regular")))</f>
        <v>Regular</v>
      </c>
      <c r="H1081" s="6">
        <v>21.0</v>
      </c>
      <c r="I1081" s="9" t="str">
        <f>VLOOKUP(dynamic[productID],products[],2,FALSE)</f>
        <v>Sir Rodney's Scones</v>
      </c>
      <c r="J1081" s="9" t="str">
        <f>VLOOKUP(dynamic[productID],products[],12,FALSE)</f>
        <v>Confections</v>
      </c>
      <c r="K1081" s="7" t="str">
        <f>IF(VLOOKUP(dynamic[productID],products[],7,FALSE)=1,"Discontinued","Current")</f>
        <v>Current</v>
      </c>
      <c r="L1081" s="9">
        <f>VLOOKUP(dynamic[productID],products[],IF(YEAR(dynamic[orderDate])=2022,8,IF(YEAR(dynamic[orderDate])=2023,9,IF(YEAR(dynamic[orderDate])=2024,10,NA))),FALSE)</f>
        <v>6.725636111</v>
      </c>
      <c r="M1081" s="9">
        <v>10.0</v>
      </c>
      <c r="N1081" s="25">
        <f>(dynamic[orderPrice]-dynamic[productCost])/dynamic[productCost]</f>
        <v>0.486848208</v>
      </c>
      <c r="O1081" s="10">
        <v>60.0</v>
      </c>
      <c r="P1081" s="25">
        <v>0.0</v>
      </c>
      <c r="Q1081" s="9">
        <f>dynamic[orderPrice]*dynamic[orderQuantity]</f>
        <v>600</v>
      </c>
      <c r="R1081" s="9">
        <f>dynamic[orderTotal]*(1-dynamic[discountApllied])</f>
        <v>600</v>
      </c>
      <c r="S1081" s="9">
        <f>dynamic[revenue]-(dynamic[productCost]*dynamic[orderQuantity])</f>
        <v>196.4618333</v>
      </c>
      <c r="T1081" s="25">
        <f>IFERROR(dynamic[profit]/dynamic[revenue], 0)</f>
        <v>0.3274363889</v>
      </c>
    </row>
    <row r="1082" ht="15.75" customHeight="1">
      <c r="A1082" s="6">
        <v>10658.0</v>
      </c>
      <c r="B1082" s="7" t="s">
        <v>36</v>
      </c>
      <c r="C1082" s="24" t="str">
        <f>VLOOKUP(dynamic[customerID],customers[],2,FALSE)</f>
        <v>QUICK-Stop</v>
      </c>
      <c r="D1082" s="24">
        <v>45174.0</v>
      </c>
      <c r="E1082" s="6">
        <f>IFERROR(__xludf.DUMMYFUNCTION("COUNTUNIQUEIFS($A$2:$A1082,$B$2:$B1082,B1082)"),14.0)</f>
        <v>14</v>
      </c>
      <c r="F1082" s="6">
        <f t="shared" si="1"/>
        <v>64</v>
      </c>
      <c r="G1082" s="6" t="str">
        <f>IF(MINIFS(dynamic[orderDate], dynamic[customerID], B1082) &gt;= DATE(2024,4,30)-120, 
     "New", 
     IF(MAXIFS(dynamic[orderCount], dynamic[customerID], B1082)&lt;=2, 
        IF((DATE(2024,4,30) - MAXIFS(dynamic[orderDate], dynamic[customerID], B1082)) &gt; 180, "Non-Returning", "Dormant"), 
        IF(AND(MAX(dynamic[sinceLastOrder]) &gt; 365, (DATE(2024,4,30) - MAXIFS(dynamic[orderDate], dynamic[customerID], B1082)) &gt; 180), 
           "Dormant", "Regular")))</f>
        <v>Regular</v>
      </c>
      <c r="H1082" s="6">
        <v>40.0</v>
      </c>
      <c r="I1082" s="9" t="str">
        <f>VLOOKUP(dynamic[productID],products[],2,FALSE)</f>
        <v>Boston Crab Meat</v>
      </c>
      <c r="J1082" s="9" t="str">
        <f>VLOOKUP(dynamic[productID],products[],12,FALSE)</f>
        <v>Seafood</v>
      </c>
      <c r="K1082" s="7" t="str">
        <f>IF(VLOOKUP(dynamic[productID],products[],7,FALSE)=1,"Discontinued","Current")</f>
        <v>Current</v>
      </c>
      <c r="L1082" s="9">
        <f>VLOOKUP(dynamic[productID],products[],IF(YEAR(dynamic[orderDate])=2022,8,IF(YEAR(dynamic[orderDate])=2023,9,IF(YEAR(dynamic[orderDate])=2024,10,NA))),FALSE)</f>
        <v>11.40496523</v>
      </c>
      <c r="M1082" s="9">
        <v>18.4</v>
      </c>
      <c r="N1082" s="25">
        <f>(dynamic[orderPrice]-dynamic[productCost])/dynamic[productCost]</f>
        <v>0.6133324069</v>
      </c>
      <c r="O1082" s="10">
        <v>70.0</v>
      </c>
      <c r="P1082" s="25">
        <v>0.05</v>
      </c>
      <c r="Q1082" s="9">
        <f>dynamic[orderPrice]*dynamic[orderQuantity]</f>
        <v>1288</v>
      </c>
      <c r="R1082" s="9">
        <f>dynamic[orderTotal]*(1-dynamic[discountApllied])</f>
        <v>1223.6</v>
      </c>
      <c r="S1082" s="9">
        <f>dynamic[revenue]-(dynamic[productCost]*dynamic[orderQuantity])</f>
        <v>425.2524341</v>
      </c>
      <c r="T1082" s="25">
        <f>IFERROR(dynamic[profit]/dynamic[revenue], 0)</f>
        <v>0.3475420351</v>
      </c>
    </row>
    <row r="1083" ht="15.75" customHeight="1">
      <c r="A1083" s="6">
        <v>10658.0</v>
      </c>
      <c r="B1083" s="7" t="s">
        <v>36</v>
      </c>
      <c r="C1083" s="24" t="str">
        <f>VLOOKUP(dynamic[customerID],customers[],2,FALSE)</f>
        <v>QUICK-Stop</v>
      </c>
      <c r="D1083" s="24">
        <v>45174.0</v>
      </c>
      <c r="E1083" s="6">
        <f>IFERROR(__xludf.DUMMYFUNCTION("COUNTUNIQUEIFS($A$2:$A1083,$B$2:$B1083,B1083)"),14.0)</f>
        <v>14</v>
      </c>
      <c r="F1083" s="6">
        <f t="shared" si="1"/>
        <v>64</v>
      </c>
      <c r="G1083" s="6" t="str">
        <f>IF(MINIFS(dynamic[orderDate], dynamic[customerID], B1083) &gt;= DATE(2024,4,30)-120, 
     "New", 
     IF(MAXIFS(dynamic[orderCount], dynamic[customerID], B1083)&lt;=2, 
        IF((DATE(2024,4,30) - MAXIFS(dynamic[orderDate], dynamic[customerID], B1083)) &gt; 180, "Non-Returning", "Dormant"), 
        IF(AND(MAX(dynamic[sinceLastOrder]) &gt; 365, (DATE(2024,4,30) - MAXIFS(dynamic[orderDate], dynamic[customerID], B1083)) &gt; 180), 
           "Dormant", "Regular")))</f>
        <v>Regular</v>
      </c>
      <c r="H1083" s="6">
        <v>60.0</v>
      </c>
      <c r="I1083" s="9" t="str">
        <f>VLOOKUP(dynamic[productID],products[],2,FALSE)</f>
        <v>Camembert Pierrot</v>
      </c>
      <c r="J1083" s="9" t="str">
        <f>VLOOKUP(dynamic[productID],products[],12,FALSE)</f>
        <v>Dairy Products</v>
      </c>
      <c r="K1083" s="7" t="str">
        <f>IF(VLOOKUP(dynamic[productID],products[],7,FALSE)=1,"Discontinued","Current")</f>
        <v>Current</v>
      </c>
      <c r="L1083" s="9">
        <f>VLOOKUP(dynamic[productID],products[],IF(YEAR(dynamic[orderDate])=2022,8,IF(YEAR(dynamic[orderDate])=2023,9,IF(YEAR(dynamic[orderDate])=2024,10,NA))),FALSE)</f>
        <v>22.77098295</v>
      </c>
      <c r="M1083" s="9">
        <v>34.0</v>
      </c>
      <c r="N1083" s="25">
        <f>(dynamic[orderPrice]-dynamic[productCost])/dynamic[productCost]</f>
        <v>0.4931283415</v>
      </c>
      <c r="O1083" s="10">
        <v>55.0</v>
      </c>
      <c r="P1083" s="25">
        <v>0.05</v>
      </c>
      <c r="Q1083" s="9">
        <f>dynamic[orderPrice]*dynamic[orderQuantity]</f>
        <v>1870</v>
      </c>
      <c r="R1083" s="9">
        <f>dynamic[orderTotal]*(1-dynamic[discountApllied])</f>
        <v>1776.5</v>
      </c>
      <c r="S1083" s="9">
        <f>dynamic[revenue]-(dynamic[productCost]*dynamic[orderQuantity])</f>
        <v>524.095938</v>
      </c>
      <c r="T1083" s="25">
        <f>IFERROR(dynamic[profit]/dynamic[revenue], 0)</f>
        <v>0.2950160079</v>
      </c>
    </row>
    <row r="1084" ht="15.75" customHeight="1">
      <c r="A1084" s="6">
        <v>10658.0</v>
      </c>
      <c r="B1084" s="7" t="s">
        <v>36</v>
      </c>
      <c r="C1084" s="24" t="str">
        <f>VLOOKUP(dynamic[customerID],customers[],2,FALSE)</f>
        <v>QUICK-Stop</v>
      </c>
      <c r="D1084" s="24">
        <v>45174.0</v>
      </c>
      <c r="E1084" s="6">
        <f>IFERROR(__xludf.DUMMYFUNCTION("COUNTUNIQUEIFS($A$2:$A1084,$B$2:$B1084,B1084)"),14.0)</f>
        <v>14</v>
      </c>
      <c r="F1084" s="6">
        <f t="shared" si="1"/>
        <v>64</v>
      </c>
      <c r="G1084" s="6" t="str">
        <f>IF(MINIFS(dynamic[orderDate], dynamic[customerID], B1084) &gt;= DATE(2024,4,30)-120, 
     "New", 
     IF(MAXIFS(dynamic[orderCount], dynamic[customerID], B1084)&lt;=2, 
        IF((DATE(2024,4,30) - MAXIFS(dynamic[orderDate], dynamic[customerID], B1084)) &gt; 180, "Non-Returning", "Dormant"), 
        IF(AND(MAX(dynamic[sinceLastOrder]) &gt; 365, (DATE(2024,4,30) - MAXIFS(dynamic[orderDate], dynamic[customerID], B1084)) &gt; 180), 
           "Dormant", "Regular")))</f>
        <v>Regular</v>
      </c>
      <c r="H1084" s="6">
        <v>77.0</v>
      </c>
      <c r="I1084" s="9" t="str">
        <f>VLOOKUP(dynamic[productID],products[],2,FALSE)</f>
        <v>Original Frankfurter grüne Soße</v>
      </c>
      <c r="J1084" s="9" t="str">
        <f>VLOOKUP(dynamic[productID],products[],12,FALSE)</f>
        <v>Condiments</v>
      </c>
      <c r="K1084" s="7" t="str">
        <f>IF(VLOOKUP(dynamic[productID],products[],7,FALSE)=1,"Discontinued","Current")</f>
        <v>Current</v>
      </c>
      <c r="L1084" s="9">
        <f>VLOOKUP(dynamic[productID],products[],IF(YEAR(dynamic[orderDate])=2022,8,IF(YEAR(dynamic[orderDate])=2023,9,IF(YEAR(dynamic[orderDate])=2024,10,NA))),FALSE)</f>
        <v>7.539056452</v>
      </c>
      <c r="M1084" s="9">
        <v>13.0</v>
      </c>
      <c r="N1084" s="25">
        <f>(dynamic[orderPrice]-dynamic[productCost])/dynamic[productCost]</f>
        <v>0.7243537149</v>
      </c>
      <c r="O1084" s="10">
        <v>70.0</v>
      </c>
      <c r="P1084" s="25">
        <v>0.05</v>
      </c>
      <c r="Q1084" s="9">
        <f>dynamic[orderPrice]*dynamic[orderQuantity]</f>
        <v>910</v>
      </c>
      <c r="R1084" s="9">
        <f>dynamic[orderTotal]*(1-dynamic[discountApllied])</f>
        <v>864.5</v>
      </c>
      <c r="S1084" s="9">
        <f>dynamic[revenue]-(dynamic[productCost]*dynamic[orderQuantity])</f>
        <v>336.7660484</v>
      </c>
      <c r="T1084" s="25">
        <f>IFERROR(dynamic[profit]/dynamic[revenue], 0)</f>
        <v>0.3895500848</v>
      </c>
    </row>
    <row r="1085" ht="15.75" customHeight="1">
      <c r="A1085" s="6">
        <v>10659.0</v>
      </c>
      <c r="B1085" s="7" t="s">
        <v>77</v>
      </c>
      <c r="C1085" s="24" t="str">
        <f>VLOOKUP(dynamic[customerID],customers[],2,FALSE)</f>
        <v>Queen Cozinha</v>
      </c>
      <c r="D1085" s="24">
        <v>45174.0</v>
      </c>
      <c r="E1085" s="6">
        <f>IFERROR(__xludf.DUMMYFUNCTION("COUNTUNIQUEIFS($A$2:$A1085,$B$2:$B1085,B1085)"),5.0)</f>
        <v>5</v>
      </c>
      <c r="F1085" s="6">
        <f t="shared" si="1"/>
        <v>17</v>
      </c>
      <c r="G1085" s="6" t="str">
        <f>IF(MINIFS(dynamic[orderDate], dynamic[customerID], B1085) &gt;= DATE(2024,4,30)-120, 
     "New", 
     IF(MAXIFS(dynamic[orderCount], dynamic[customerID], B1085)&lt;=2, 
        IF((DATE(2024,4,30) - MAXIFS(dynamic[orderDate], dynamic[customerID], B1085)) &gt; 180, "Non-Returning", "Dormant"), 
        IF(AND(MAX(dynamic[sinceLastOrder]) &gt; 365, (DATE(2024,4,30) - MAXIFS(dynamic[orderDate], dynamic[customerID], B1085)) &gt; 180), 
           "Dormant", "Regular")))</f>
        <v>Regular</v>
      </c>
      <c r="H1085" s="6">
        <v>31.0</v>
      </c>
      <c r="I1085" s="9" t="str">
        <f>VLOOKUP(dynamic[productID],products[],2,FALSE)</f>
        <v>Gorgonzola Telino</v>
      </c>
      <c r="J1085" s="9" t="str">
        <f>VLOOKUP(dynamic[productID],products[],12,FALSE)</f>
        <v>Dairy Products</v>
      </c>
      <c r="K1085" s="7" t="str">
        <f>IF(VLOOKUP(dynamic[productID],products[],7,FALSE)=1,"Discontinued","Current")</f>
        <v>Current</v>
      </c>
      <c r="L1085" s="9">
        <f>VLOOKUP(dynamic[productID],products[],IF(YEAR(dynamic[orderDate])=2022,8,IF(YEAR(dynamic[orderDate])=2023,9,IF(YEAR(dynamic[orderDate])=2024,10,NA))),FALSE)</f>
        <v>7.937729254</v>
      </c>
      <c r="M1085" s="9">
        <v>12.5</v>
      </c>
      <c r="N1085" s="25">
        <f>(dynamic[orderPrice]-dynamic[productCost])/dynamic[productCost]</f>
        <v>0.5747576668</v>
      </c>
      <c r="O1085" s="10">
        <v>20.0</v>
      </c>
      <c r="P1085" s="25">
        <v>0.05</v>
      </c>
      <c r="Q1085" s="9">
        <f>dynamic[orderPrice]*dynamic[orderQuantity]</f>
        <v>250</v>
      </c>
      <c r="R1085" s="9">
        <f>dynamic[orderTotal]*(1-dynamic[discountApllied])</f>
        <v>237.5</v>
      </c>
      <c r="S1085" s="9">
        <f>dynamic[revenue]-(dynamic[productCost]*dynamic[orderQuantity])</f>
        <v>78.74541492</v>
      </c>
      <c r="T1085" s="25">
        <f>IFERROR(dynamic[profit]/dynamic[revenue], 0)</f>
        <v>0.3315596417</v>
      </c>
    </row>
    <row r="1086" ht="15.75" customHeight="1">
      <c r="A1086" s="6">
        <v>10659.0</v>
      </c>
      <c r="B1086" s="7" t="s">
        <v>77</v>
      </c>
      <c r="C1086" s="24" t="str">
        <f>VLOOKUP(dynamic[customerID],customers[],2,FALSE)</f>
        <v>Queen Cozinha</v>
      </c>
      <c r="D1086" s="24">
        <v>45174.0</v>
      </c>
      <c r="E1086" s="6">
        <f>IFERROR(__xludf.DUMMYFUNCTION("COUNTUNIQUEIFS($A$2:$A1086,$B$2:$B1086,B1086)"),5.0)</f>
        <v>5</v>
      </c>
      <c r="F1086" s="6">
        <f t="shared" si="1"/>
        <v>17</v>
      </c>
      <c r="G1086" s="6" t="str">
        <f>IF(MINIFS(dynamic[orderDate], dynamic[customerID], B1086) &gt;= DATE(2024,4,30)-120, 
     "New", 
     IF(MAXIFS(dynamic[orderCount], dynamic[customerID], B1086)&lt;=2, 
        IF((DATE(2024,4,30) - MAXIFS(dynamic[orderDate], dynamic[customerID], B1086)) &gt; 180, "Non-Returning", "Dormant"), 
        IF(AND(MAX(dynamic[sinceLastOrder]) &gt; 365, (DATE(2024,4,30) - MAXIFS(dynamic[orderDate], dynamic[customerID], B1086)) &gt; 180), 
           "Dormant", "Regular")))</f>
        <v>Regular</v>
      </c>
      <c r="H1086" s="6">
        <v>40.0</v>
      </c>
      <c r="I1086" s="9" t="str">
        <f>VLOOKUP(dynamic[productID],products[],2,FALSE)</f>
        <v>Boston Crab Meat</v>
      </c>
      <c r="J1086" s="9" t="str">
        <f>VLOOKUP(dynamic[productID],products[],12,FALSE)</f>
        <v>Seafood</v>
      </c>
      <c r="K1086" s="7" t="str">
        <f>IF(VLOOKUP(dynamic[productID],products[],7,FALSE)=1,"Discontinued","Current")</f>
        <v>Current</v>
      </c>
      <c r="L1086" s="9">
        <f>VLOOKUP(dynamic[productID],products[],IF(YEAR(dynamic[orderDate])=2022,8,IF(YEAR(dynamic[orderDate])=2023,9,IF(YEAR(dynamic[orderDate])=2024,10,NA))),FALSE)</f>
        <v>11.40496523</v>
      </c>
      <c r="M1086" s="9">
        <v>18.4</v>
      </c>
      <c r="N1086" s="25">
        <f>(dynamic[orderPrice]-dynamic[productCost])/dynamic[productCost]</f>
        <v>0.6133324069</v>
      </c>
      <c r="O1086" s="10">
        <v>24.0</v>
      </c>
      <c r="P1086" s="25">
        <v>0.05</v>
      </c>
      <c r="Q1086" s="9">
        <f>dynamic[orderPrice]*dynamic[orderQuantity]</f>
        <v>441.6</v>
      </c>
      <c r="R1086" s="9">
        <f>dynamic[orderTotal]*(1-dynamic[discountApllied])</f>
        <v>419.52</v>
      </c>
      <c r="S1086" s="9">
        <f>dynamic[revenue]-(dynamic[productCost]*dynamic[orderQuantity])</f>
        <v>145.8008346</v>
      </c>
      <c r="T1086" s="25">
        <f>IFERROR(dynamic[profit]/dynamic[revenue], 0)</f>
        <v>0.3475420351</v>
      </c>
    </row>
    <row r="1087" ht="15.75" customHeight="1">
      <c r="A1087" s="6">
        <v>10659.0</v>
      </c>
      <c r="B1087" s="7" t="s">
        <v>77</v>
      </c>
      <c r="C1087" s="24" t="str">
        <f>VLOOKUP(dynamic[customerID],customers[],2,FALSE)</f>
        <v>Queen Cozinha</v>
      </c>
      <c r="D1087" s="24">
        <v>45174.0</v>
      </c>
      <c r="E1087" s="6">
        <f>IFERROR(__xludf.DUMMYFUNCTION("COUNTUNIQUEIFS($A$2:$A1087,$B$2:$B1087,B1087)"),5.0)</f>
        <v>5</v>
      </c>
      <c r="F1087" s="6">
        <f t="shared" si="1"/>
        <v>17</v>
      </c>
      <c r="G1087" s="6" t="str">
        <f>IF(MINIFS(dynamic[orderDate], dynamic[customerID], B1087) &gt;= DATE(2024,4,30)-120, 
     "New", 
     IF(MAXIFS(dynamic[orderCount], dynamic[customerID], B1087)&lt;=2, 
        IF((DATE(2024,4,30) - MAXIFS(dynamic[orderDate], dynamic[customerID], B1087)) &gt; 180, "Non-Returning", "Dormant"), 
        IF(AND(MAX(dynamic[sinceLastOrder]) &gt; 365, (DATE(2024,4,30) - MAXIFS(dynamic[orderDate], dynamic[customerID], B1087)) &gt; 180), 
           "Dormant", "Regular")))</f>
        <v>Regular</v>
      </c>
      <c r="H1087" s="6">
        <v>70.0</v>
      </c>
      <c r="I1087" s="9" t="str">
        <f>VLOOKUP(dynamic[productID],products[],2,FALSE)</f>
        <v>Outback Lager</v>
      </c>
      <c r="J1087" s="9" t="str">
        <f>VLOOKUP(dynamic[productID],products[],12,FALSE)</f>
        <v>Beverages</v>
      </c>
      <c r="K1087" s="7" t="str">
        <f>IF(VLOOKUP(dynamic[productID],products[],7,FALSE)=1,"Discontinued","Current")</f>
        <v>Current</v>
      </c>
      <c r="L1087" s="9">
        <f>VLOOKUP(dynamic[productID],products[],IF(YEAR(dynamic[orderDate])=2022,8,IF(YEAR(dynamic[orderDate])=2023,9,IF(YEAR(dynamic[orderDate])=2024,10,NA))),FALSE)</f>
        <v>9.793094091</v>
      </c>
      <c r="M1087" s="9">
        <v>15.0</v>
      </c>
      <c r="N1087" s="25">
        <f>(dynamic[orderPrice]-dynamic[productCost])/dynamic[productCost]</f>
        <v>0.5316916044</v>
      </c>
      <c r="O1087" s="10">
        <v>40.0</v>
      </c>
      <c r="P1087" s="25">
        <v>0.05</v>
      </c>
      <c r="Q1087" s="9">
        <f>dynamic[orderPrice]*dynamic[orderQuantity]</f>
        <v>600</v>
      </c>
      <c r="R1087" s="9">
        <f>dynamic[orderTotal]*(1-dynamic[discountApllied])</f>
        <v>570</v>
      </c>
      <c r="S1087" s="9">
        <f>dynamic[revenue]-(dynamic[productCost]*dynamic[orderQuantity])</f>
        <v>178.2762364</v>
      </c>
      <c r="T1087" s="25">
        <f>IFERROR(dynamic[profit]/dynamic[revenue], 0)</f>
        <v>0.3127653269</v>
      </c>
    </row>
    <row r="1088" ht="15.75" customHeight="1">
      <c r="A1088" s="6">
        <v>10660.0</v>
      </c>
      <c r="B1088" s="7" t="s">
        <v>79</v>
      </c>
      <c r="C1088" s="24" t="str">
        <f>VLOOKUP(dynamic[customerID],customers[],2,FALSE)</f>
        <v>Hungry Coyote Import Store</v>
      </c>
      <c r="D1088" s="24">
        <v>45177.0</v>
      </c>
      <c r="E1088" s="6">
        <f>IFERROR(__xludf.DUMMYFUNCTION("COUNTUNIQUEIFS($A$2:$A1088,$B$2:$B1088,B1088)"),5.0)</f>
        <v>5</v>
      </c>
      <c r="F1088" s="6">
        <f t="shared" si="1"/>
        <v>54</v>
      </c>
      <c r="G1088" s="6" t="str">
        <f>IF(MINIFS(dynamic[orderDate], dynamic[customerID], B1088) &gt;= DATE(2024,4,30)-120, 
     "New", 
     IF(MAXIFS(dynamic[orderCount], dynamic[customerID], B1088)&lt;=2, 
        IF((DATE(2024,4,30) - MAXIFS(dynamic[orderDate], dynamic[customerID], B1088)) &gt; 180, "Non-Returning", "Dormant"), 
        IF(AND(MAX(dynamic[sinceLastOrder]) &gt; 365, (DATE(2024,4,30) - MAXIFS(dynamic[orderDate], dynamic[customerID], B1088)) &gt; 180), 
           "Dormant", "Regular")))</f>
        <v>Dormant</v>
      </c>
      <c r="H1088" s="6">
        <v>20.0</v>
      </c>
      <c r="I1088" s="9" t="str">
        <f>VLOOKUP(dynamic[productID],products[],2,FALSE)</f>
        <v>Sir Rodney's Marmalade</v>
      </c>
      <c r="J1088" s="9" t="str">
        <f>VLOOKUP(dynamic[productID],products[],12,FALSE)</f>
        <v>Confections</v>
      </c>
      <c r="K1088" s="7" t="str">
        <f>IF(VLOOKUP(dynamic[productID],products[],7,FALSE)=1,"Discontinued","Current")</f>
        <v>Current</v>
      </c>
      <c r="L1088" s="9">
        <f>VLOOKUP(dynamic[productID],products[],IF(YEAR(dynamic[orderDate])=2022,8,IF(YEAR(dynamic[orderDate])=2023,9,IF(YEAR(dynamic[orderDate])=2024,10,NA))),FALSE)</f>
        <v>57.29342071</v>
      </c>
      <c r="M1088" s="9">
        <v>81.0</v>
      </c>
      <c r="N1088" s="25">
        <f>(dynamic[orderPrice]-dynamic[productCost])/dynamic[productCost]</f>
        <v>0.4137748976</v>
      </c>
      <c r="O1088" s="10">
        <v>21.0</v>
      </c>
      <c r="P1088" s="25">
        <v>0.0</v>
      </c>
      <c r="Q1088" s="9">
        <f>dynamic[orderPrice]*dynamic[orderQuantity]</f>
        <v>1701</v>
      </c>
      <c r="R1088" s="9">
        <f>dynamic[orderTotal]*(1-dynamic[discountApllied])</f>
        <v>1701</v>
      </c>
      <c r="S1088" s="9">
        <f>dynamic[revenue]-(dynamic[productCost]*dynamic[orderQuantity])</f>
        <v>497.8381651</v>
      </c>
      <c r="T1088" s="25">
        <f>IFERROR(dynamic[profit]/dynamic[revenue], 0)</f>
        <v>0.2926738184</v>
      </c>
    </row>
    <row r="1089" ht="15.75" customHeight="1">
      <c r="A1089" s="6">
        <v>10661.0</v>
      </c>
      <c r="B1089" s="7" t="s">
        <v>49</v>
      </c>
      <c r="C1089" s="24" t="str">
        <f>VLOOKUP(dynamic[customerID],customers[],2,FALSE)</f>
        <v>Hungry Owl All-Night Grocers</v>
      </c>
      <c r="D1089" s="24">
        <v>45178.0</v>
      </c>
      <c r="E1089" s="6">
        <f>IFERROR(__xludf.DUMMYFUNCTION("COUNTUNIQUEIFS($A$2:$A1089,$B$2:$B1089,B1089)"),11.0)</f>
        <v>11</v>
      </c>
      <c r="F1089" s="6">
        <f t="shared" si="1"/>
        <v>13</v>
      </c>
      <c r="G1089" s="6" t="str">
        <f>IF(MINIFS(dynamic[orderDate], dynamic[customerID], B1089) &gt;= DATE(2024,4,30)-120, 
     "New", 
     IF(MAXIFS(dynamic[orderCount], dynamic[customerID], B1089)&lt;=2, 
        IF((DATE(2024,4,30) - MAXIFS(dynamic[orderDate], dynamic[customerID], B1089)) &gt; 180, "Non-Returning", "Dormant"), 
        IF(AND(MAX(dynamic[sinceLastOrder]) &gt; 365, (DATE(2024,4,30) - MAXIFS(dynamic[orderDate], dynamic[customerID], B1089)) &gt; 180), 
           "Dormant", "Regular")))</f>
        <v>Regular</v>
      </c>
      <c r="H1089" s="6">
        <v>39.0</v>
      </c>
      <c r="I1089" s="9" t="str">
        <f>VLOOKUP(dynamic[productID],products[],2,FALSE)</f>
        <v>Chartreuse verte</v>
      </c>
      <c r="J1089" s="9" t="str">
        <f>VLOOKUP(dynamic[productID],products[],12,FALSE)</f>
        <v>Beverages</v>
      </c>
      <c r="K1089" s="7" t="str">
        <f>IF(VLOOKUP(dynamic[productID],products[],7,FALSE)=1,"Discontinued","Current")</f>
        <v>Current</v>
      </c>
      <c r="L1089" s="9">
        <f>VLOOKUP(dynamic[productID],products[],IF(YEAR(dynamic[orderDate])=2022,8,IF(YEAR(dynamic[orderDate])=2023,9,IF(YEAR(dynamic[orderDate])=2024,10,NA))),FALSE)</f>
        <v>11.73311441</v>
      </c>
      <c r="M1089" s="9">
        <v>18.0</v>
      </c>
      <c r="N1089" s="25">
        <f>(dynamic[orderPrice]-dynamic[productCost])/dynamic[productCost]</f>
        <v>0.5341195326</v>
      </c>
      <c r="O1089" s="10">
        <v>3.0</v>
      </c>
      <c r="P1089" s="25">
        <v>0.2</v>
      </c>
      <c r="Q1089" s="9">
        <f>dynamic[orderPrice]*dynamic[orderQuantity]</f>
        <v>54</v>
      </c>
      <c r="R1089" s="9">
        <f>dynamic[orderTotal]*(1-dynamic[discountApllied])</f>
        <v>43.2</v>
      </c>
      <c r="S1089" s="9">
        <f>dynamic[revenue]-(dynamic[productCost]*dynamic[orderQuantity])</f>
        <v>8.00065676</v>
      </c>
      <c r="T1089" s="25">
        <f>IFERROR(dynamic[profit]/dynamic[revenue], 0)</f>
        <v>0.185200388</v>
      </c>
    </row>
    <row r="1090" ht="15.75" customHeight="1">
      <c r="A1090" s="6">
        <v>10661.0</v>
      </c>
      <c r="B1090" s="7" t="s">
        <v>49</v>
      </c>
      <c r="C1090" s="24" t="str">
        <f>VLOOKUP(dynamic[customerID],customers[],2,FALSE)</f>
        <v>Hungry Owl All-Night Grocers</v>
      </c>
      <c r="D1090" s="24">
        <v>45178.0</v>
      </c>
      <c r="E1090" s="6">
        <f>IFERROR(__xludf.DUMMYFUNCTION("COUNTUNIQUEIFS($A$2:$A1090,$B$2:$B1090,B1090)"),11.0)</f>
        <v>11</v>
      </c>
      <c r="F1090" s="6">
        <f t="shared" si="1"/>
        <v>13</v>
      </c>
      <c r="G1090" s="6" t="str">
        <f>IF(MINIFS(dynamic[orderDate], dynamic[customerID], B1090) &gt;= DATE(2024,4,30)-120, 
     "New", 
     IF(MAXIFS(dynamic[orderCount], dynamic[customerID], B1090)&lt;=2, 
        IF((DATE(2024,4,30) - MAXIFS(dynamic[orderDate], dynamic[customerID], B1090)) &gt; 180, "Non-Returning", "Dormant"), 
        IF(AND(MAX(dynamic[sinceLastOrder]) &gt; 365, (DATE(2024,4,30) - MAXIFS(dynamic[orderDate], dynamic[customerID], B1090)) &gt; 180), 
           "Dormant", "Regular")))</f>
        <v>Regular</v>
      </c>
      <c r="H1090" s="6">
        <v>58.0</v>
      </c>
      <c r="I1090" s="9" t="str">
        <f>VLOOKUP(dynamic[productID],products[],2,FALSE)</f>
        <v>Escargots de Bourgogne</v>
      </c>
      <c r="J1090" s="9" t="str">
        <f>VLOOKUP(dynamic[productID],products[],12,FALSE)</f>
        <v>Seafood</v>
      </c>
      <c r="K1090" s="7" t="str">
        <f>IF(VLOOKUP(dynamic[productID],products[],7,FALSE)=1,"Discontinued","Current")</f>
        <v>Current</v>
      </c>
      <c r="L1090" s="9">
        <f>VLOOKUP(dynamic[productID],products[],IF(YEAR(dynamic[orderDate])=2022,8,IF(YEAR(dynamic[orderDate])=2023,9,IF(YEAR(dynamic[orderDate])=2024,10,NA))),FALSE)</f>
        <v>8.208446365</v>
      </c>
      <c r="M1090" s="9">
        <v>13.25</v>
      </c>
      <c r="N1090" s="25">
        <f>(dynamic[orderPrice]-dynamic[productCost])/dynamic[productCost]</f>
        <v>0.61419097</v>
      </c>
      <c r="O1090" s="10">
        <v>49.0</v>
      </c>
      <c r="P1090" s="25">
        <v>0.2</v>
      </c>
      <c r="Q1090" s="9">
        <f>dynamic[orderPrice]*dynamic[orderQuantity]</f>
        <v>649.25</v>
      </c>
      <c r="R1090" s="9">
        <f>dynamic[orderTotal]*(1-dynamic[discountApllied])</f>
        <v>519.4</v>
      </c>
      <c r="S1090" s="9">
        <f>dynamic[revenue]-(dynamic[productCost]*dynamic[orderQuantity])</f>
        <v>117.1861281</v>
      </c>
      <c r="T1090" s="25">
        <f>IFERROR(dynamic[profit]/dynamic[revenue], 0)</f>
        <v>0.2256182675</v>
      </c>
    </row>
    <row r="1091" ht="15.75" customHeight="1">
      <c r="A1091" s="6">
        <v>10662.0</v>
      </c>
      <c r="B1091" s="7" t="s">
        <v>53</v>
      </c>
      <c r="C1091" s="24" t="str">
        <f>VLOOKUP(dynamic[customerID],customers[],2,FALSE)</f>
        <v>Lonesome Pine Restaurant</v>
      </c>
      <c r="D1091" s="24">
        <v>45178.0</v>
      </c>
      <c r="E1091" s="6">
        <f>IFERROR(__xludf.DUMMYFUNCTION("COUNTUNIQUEIFS($A$2:$A1091,$B$2:$B1091,B1091)"),4.0)</f>
        <v>4</v>
      </c>
      <c r="F1091" s="6">
        <f t="shared" si="1"/>
        <v>111</v>
      </c>
      <c r="G1091" s="6" t="str">
        <f>IF(MINIFS(dynamic[orderDate], dynamic[customerID], B1091) &gt;= DATE(2024,4,30)-120, 
     "New", 
     IF(MAXIFS(dynamic[orderCount], dynamic[customerID], B1091)&lt;=2, 
        IF((DATE(2024,4,30) - MAXIFS(dynamic[orderDate], dynamic[customerID], B1091)) &gt; 180, "Non-Returning", "Dormant"), 
        IF(AND(MAX(dynamic[sinceLastOrder]) &gt; 365, (DATE(2024,4,30) - MAXIFS(dynamic[orderDate], dynamic[customerID], B1091)) &gt; 180), 
           "Dormant", "Regular")))</f>
        <v>Regular</v>
      </c>
      <c r="H1091" s="6">
        <v>68.0</v>
      </c>
      <c r="I1091" s="9" t="str">
        <f>VLOOKUP(dynamic[productID],products[],2,FALSE)</f>
        <v>Scottish Longbreads</v>
      </c>
      <c r="J1091" s="9" t="str">
        <f>VLOOKUP(dynamic[productID],products[],12,FALSE)</f>
        <v>Confections</v>
      </c>
      <c r="K1091" s="7" t="str">
        <f>IF(VLOOKUP(dynamic[productID],products[],7,FALSE)=1,"Discontinued","Current")</f>
        <v>Current</v>
      </c>
      <c r="L1091" s="9">
        <f>VLOOKUP(dynamic[productID],products[],IF(YEAR(dynamic[orderDate])=2022,8,IF(YEAR(dynamic[orderDate])=2023,9,IF(YEAR(dynamic[orderDate])=2024,10,NA))),FALSE)</f>
        <v>8.500000387</v>
      </c>
      <c r="M1091" s="9">
        <v>12.5</v>
      </c>
      <c r="N1091" s="25">
        <f>(dynamic[orderPrice]-dynamic[productCost])/dynamic[productCost]</f>
        <v>0.4705881684</v>
      </c>
      <c r="O1091" s="10">
        <v>10.0</v>
      </c>
      <c r="P1091" s="25">
        <v>0.0</v>
      </c>
      <c r="Q1091" s="9">
        <f>dynamic[orderPrice]*dynamic[orderQuantity]</f>
        <v>125</v>
      </c>
      <c r="R1091" s="9">
        <f>dynamic[orderTotal]*(1-dynamic[discountApllied])</f>
        <v>125</v>
      </c>
      <c r="S1091" s="9">
        <f>dynamic[revenue]-(dynamic[productCost]*dynamic[orderQuantity])</f>
        <v>39.99999613</v>
      </c>
      <c r="T1091" s="25">
        <f>IFERROR(dynamic[profit]/dynamic[revenue], 0)</f>
        <v>0.3199999691</v>
      </c>
    </row>
    <row r="1092" ht="15.75" customHeight="1">
      <c r="A1092" s="6">
        <v>10663.0</v>
      </c>
      <c r="B1092" s="7" t="s">
        <v>63</v>
      </c>
      <c r="C1092" s="24" t="str">
        <f>VLOOKUP(dynamic[customerID],customers[],2,FALSE)</f>
        <v>Bon app'</v>
      </c>
      <c r="D1092" s="24">
        <v>45179.0</v>
      </c>
      <c r="E1092" s="6">
        <f>IFERROR(__xludf.DUMMYFUNCTION("COUNTUNIQUEIFS($A$2:$A1092,$B$2:$B1092,B1092)"),7.0)</f>
        <v>7</v>
      </c>
      <c r="F1092" s="6">
        <f t="shared" si="1"/>
        <v>131</v>
      </c>
      <c r="G1092" s="6" t="str">
        <f>IF(MINIFS(dynamic[orderDate], dynamic[customerID], B1092) &gt;= DATE(2024,4,30)-120, 
     "New", 
     IF(MAXIFS(dynamic[orderCount], dynamic[customerID], B1092)&lt;=2, 
        IF((DATE(2024,4,30) - MAXIFS(dynamic[orderDate], dynamic[customerID], B1092)) &gt; 180, "Non-Returning", "Dormant"), 
        IF(AND(MAX(dynamic[sinceLastOrder]) &gt; 365, (DATE(2024,4,30) - MAXIFS(dynamic[orderDate], dynamic[customerID], B1092)) &gt; 180), 
           "Dormant", "Regular")))</f>
        <v>Regular</v>
      </c>
      <c r="H1092" s="6">
        <v>40.0</v>
      </c>
      <c r="I1092" s="9" t="str">
        <f>VLOOKUP(dynamic[productID],products[],2,FALSE)</f>
        <v>Boston Crab Meat</v>
      </c>
      <c r="J1092" s="9" t="str">
        <f>VLOOKUP(dynamic[productID],products[],12,FALSE)</f>
        <v>Seafood</v>
      </c>
      <c r="K1092" s="7" t="str">
        <f>IF(VLOOKUP(dynamic[productID],products[],7,FALSE)=1,"Discontinued","Current")</f>
        <v>Current</v>
      </c>
      <c r="L1092" s="9">
        <f>VLOOKUP(dynamic[productID],products[],IF(YEAR(dynamic[orderDate])=2022,8,IF(YEAR(dynamic[orderDate])=2023,9,IF(YEAR(dynamic[orderDate])=2024,10,NA))),FALSE)</f>
        <v>11.40496523</v>
      </c>
      <c r="M1092" s="9">
        <v>18.4</v>
      </c>
      <c r="N1092" s="25">
        <f>(dynamic[orderPrice]-dynamic[productCost])/dynamic[productCost]</f>
        <v>0.6133324069</v>
      </c>
      <c r="O1092" s="10">
        <v>30.0</v>
      </c>
      <c r="P1092" s="25">
        <v>0.05</v>
      </c>
      <c r="Q1092" s="9">
        <f>dynamic[orderPrice]*dynamic[orderQuantity]</f>
        <v>552</v>
      </c>
      <c r="R1092" s="9">
        <f>dynamic[orderTotal]*(1-dynamic[discountApllied])</f>
        <v>524.4</v>
      </c>
      <c r="S1092" s="9">
        <f>dynamic[revenue]-(dynamic[productCost]*dynamic[orderQuantity])</f>
        <v>182.2510432</v>
      </c>
      <c r="T1092" s="25">
        <f>IFERROR(dynamic[profit]/dynamic[revenue], 0)</f>
        <v>0.3475420351</v>
      </c>
    </row>
    <row r="1093" ht="15.75" customHeight="1">
      <c r="A1093" s="6">
        <v>10663.0</v>
      </c>
      <c r="B1093" s="7" t="s">
        <v>63</v>
      </c>
      <c r="C1093" s="24" t="str">
        <f>VLOOKUP(dynamic[customerID],customers[],2,FALSE)</f>
        <v>Bon app'</v>
      </c>
      <c r="D1093" s="24">
        <v>45179.0</v>
      </c>
      <c r="E1093" s="6">
        <f>IFERROR(__xludf.DUMMYFUNCTION("COUNTUNIQUEIFS($A$2:$A1093,$B$2:$B1093,B1093)"),7.0)</f>
        <v>7</v>
      </c>
      <c r="F1093" s="6">
        <f t="shared" si="1"/>
        <v>131</v>
      </c>
      <c r="G1093" s="6" t="str">
        <f>IF(MINIFS(dynamic[orderDate], dynamic[customerID], B1093) &gt;= DATE(2024,4,30)-120, 
     "New", 
     IF(MAXIFS(dynamic[orderCount], dynamic[customerID], B1093)&lt;=2, 
        IF((DATE(2024,4,30) - MAXIFS(dynamic[orderDate], dynamic[customerID], B1093)) &gt; 180, "Non-Returning", "Dormant"), 
        IF(AND(MAX(dynamic[sinceLastOrder]) &gt; 365, (DATE(2024,4,30) - MAXIFS(dynamic[orderDate], dynamic[customerID], B1093)) &gt; 180), 
           "Dormant", "Regular")))</f>
        <v>Regular</v>
      </c>
      <c r="H1093" s="6">
        <v>42.0</v>
      </c>
      <c r="I1093" s="9" t="str">
        <f>VLOOKUP(dynamic[productID],products[],2,FALSE)</f>
        <v>Singaporean Hokkien Fried Mee</v>
      </c>
      <c r="J1093" s="9" t="str">
        <f>VLOOKUP(dynamic[productID],products[],12,FALSE)</f>
        <v>Grains/Cereals</v>
      </c>
      <c r="K1093" s="7" t="str">
        <f>IF(VLOOKUP(dynamic[productID],products[],7,FALSE)=1,"Discontinued","Current")</f>
        <v>Discontinued</v>
      </c>
      <c r="L1093" s="9">
        <f>VLOOKUP(dynamic[productID],products[],IF(YEAR(dynamic[orderDate])=2022,8,IF(YEAR(dynamic[orderDate])=2023,9,IF(YEAR(dynamic[orderDate])=2024,10,NA))),FALSE)</f>
        <v>9.105641621</v>
      </c>
      <c r="M1093" s="9">
        <v>14.0</v>
      </c>
      <c r="N1093" s="25">
        <f>(dynamic[orderPrice]-dynamic[productCost])/dynamic[productCost]</f>
        <v>0.5375083474</v>
      </c>
      <c r="O1093" s="10">
        <v>30.0</v>
      </c>
      <c r="P1093" s="25">
        <v>0.05</v>
      </c>
      <c r="Q1093" s="9">
        <f>dynamic[orderPrice]*dynamic[orderQuantity]</f>
        <v>420</v>
      </c>
      <c r="R1093" s="9">
        <f>dynamic[orderTotal]*(1-dynamic[discountApllied])</f>
        <v>399</v>
      </c>
      <c r="S1093" s="9">
        <f>dynamic[revenue]-(dynamic[productCost]*dynamic[orderQuantity])</f>
        <v>125.8307514</v>
      </c>
      <c r="T1093" s="25">
        <f>IFERROR(dynamic[profit]/dynamic[revenue], 0)</f>
        <v>0.3153652917</v>
      </c>
    </row>
    <row r="1094" ht="15.75" customHeight="1">
      <c r="A1094" s="6">
        <v>10663.0</v>
      </c>
      <c r="B1094" s="7" t="s">
        <v>63</v>
      </c>
      <c r="C1094" s="24" t="str">
        <f>VLOOKUP(dynamic[customerID],customers[],2,FALSE)</f>
        <v>Bon app'</v>
      </c>
      <c r="D1094" s="24">
        <v>45179.0</v>
      </c>
      <c r="E1094" s="6">
        <f>IFERROR(__xludf.DUMMYFUNCTION("COUNTUNIQUEIFS($A$2:$A1094,$B$2:$B1094,B1094)"),7.0)</f>
        <v>7</v>
      </c>
      <c r="F1094" s="6">
        <f t="shared" si="1"/>
        <v>131</v>
      </c>
      <c r="G1094" s="6" t="str">
        <f>IF(MINIFS(dynamic[orderDate], dynamic[customerID], B1094) &gt;= DATE(2024,4,30)-120, 
     "New", 
     IF(MAXIFS(dynamic[orderCount], dynamic[customerID], B1094)&lt;=2, 
        IF((DATE(2024,4,30) - MAXIFS(dynamic[orderDate], dynamic[customerID], B1094)) &gt; 180, "Non-Returning", "Dormant"), 
        IF(AND(MAX(dynamic[sinceLastOrder]) &gt; 365, (DATE(2024,4,30) - MAXIFS(dynamic[orderDate], dynamic[customerID], B1094)) &gt; 180), 
           "Dormant", "Regular")))</f>
        <v>Regular</v>
      </c>
      <c r="H1094" s="6">
        <v>51.0</v>
      </c>
      <c r="I1094" s="9" t="str">
        <f>VLOOKUP(dynamic[productID],products[],2,FALSE)</f>
        <v>Manjimup Dried Apples</v>
      </c>
      <c r="J1094" s="9" t="str">
        <f>VLOOKUP(dynamic[productID],products[],12,FALSE)</f>
        <v>Produce</v>
      </c>
      <c r="K1094" s="7" t="str">
        <f>IF(VLOOKUP(dynamic[productID],products[],7,FALSE)=1,"Discontinued","Current")</f>
        <v>Current</v>
      </c>
      <c r="L1094" s="9">
        <f>VLOOKUP(dynamic[productID],products[],IF(YEAR(dynamic[orderDate])=2022,8,IF(YEAR(dynamic[orderDate])=2023,9,IF(YEAR(dynamic[orderDate])=2024,10,NA))),FALSE)</f>
        <v>36.88798027</v>
      </c>
      <c r="M1094" s="9">
        <v>53.0</v>
      </c>
      <c r="N1094" s="25">
        <f>(dynamic[orderPrice]-dynamic[productCost])/dynamic[productCost]</f>
        <v>0.4367823779</v>
      </c>
      <c r="O1094" s="10">
        <v>20.0</v>
      </c>
      <c r="P1094" s="25">
        <v>0.05</v>
      </c>
      <c r="Q1094" s="9">
        <f>dynamic[orderPrice]*dynamic[orderQuantity]</f>
        <v>1060</v>
      </c>
      <c r="R1094" s="9">
        <f>dynamic[orderTotal]*(1-dynamic[discountApllied])</f>
        <v>1007</v>
      </c>
      <c r="S1094" s="9">
        <f>dynamic[revenue]-(dynamic[productCost]*dynamic[orderQuantity])</f>
        <v>269.2403947</v>
      </c>
      <c r="T1094" s="25">
        <f>IFERROR(dynamic[profit]/dynamic[revenue], 0)</f>
        <v>0.267368813</v>
      </c>
    </row>
    <row r="1095" ht="15.75" customHeight="1">
      <c r="A1095" s="6">
        <v>10664.0</v>
      </c>
      <c r="B1095" s="7" t="s">
        <v>62</v>
      </c>
      <c r="C1095" s="24" t="str">
        <f>VLOOKUP(dynamic[customerID],customers[],2,FALSE)</f>
        <v>Furia Bacalhau e Frutos do Mar</v>
      </c>
      <c r="D1095" s="24">
        <v>45179.0</v>
      </c>
      <c r="E1095" s="6">
        <f>IFERROR(__xludf.DUMMYFUNCTION("COUNTUNIQUEIFS($A$2:$A1095,$B$2:$B1095,B1095)"),7.0)</f>
        <v>7</v>
      </c>
      <c r="F1095" s="6">
        <f t="shared" si="1"/>
        <v>54</v>
      </c>
      <c r="G1095" s="6" t="str">
        <f>IF(MINIFS(dynamic[orderDate], dynamic[customerID], B1095) &gt;= DATE(2024,4,30)-120, 
     "New", 
     IF(MAXIFS(dynamic[orderCount], dynamic[customerID], B1095)&lt;=2, 
        IF((DATE(2024,4,30) - MAXIFS(dynamic[orderDate], dynamic[customerID], B1095)) &gt; 180, "Non-Returning", "Dormant"), 
        IF(AND(MAX(dynamic[sinceLastOrder]) &gt; 365, (DATE(2024,4,30) - MAXIFS(dynamic[orderDate], dynamic[customerID], B1095)) &gt; 180), 
           "Dormant", "Regular")))</f>
        <v>Regular</v>
      </c>
      <c r="H1095" s="6">
        <v>10.0</v>
      </c>
      <c r="I1095" s="9" t="str">
        <f>VLOOKUP(dynamic[productID],products[],2,FALSE)</f>
        <v>Ikura</v>
      </c>
      <c r="J1095" s="9" t="str">
        <f>VLOOKUP(dynamic[productID],products[],12,FALSE)</f>
        <v>Seafood</v>
      </c>
      <c r="K1095" s="7" t="str">
        <f>IF(VLOOKUP(dynamic[productID],products[],7,FALSE)=1,"Discontinued","Current")</f>
        <v>Current</v>
      </c>
      <c r="L1095" s="9">
        <f>VLOOKUP(dynamic[productID],products[],IF(YEAR(dynamic[orderDate])=2022,8,IF(YEAR(dynamic[orderDate])=2023,9,IF(YEAR(dynamic[orderDate])=2024,10,NA))),FALSE)</f>
        <v>20.72721922</v>
      </c>
      <c r="M1095" s="9">
        <v>31.0</v>
      </c>
      <c r="N1095" s="25">
        <f>(dynamic[orderPrice]-dynamic[productCost])/dynamic[productCost]</f>
        <v>0.4956178962</v>
      </c>
      <c r="O1095" s="10">
        <v>24.0</v>
      </c>
      <c r="P1095" s="25">
        <v>0.15</v>
      </c>
      <c r="Q1095" s="9">
        <f>dynamic[orderPrice]*dynamic[orderQuantity]</f>
        <v>744</v>
      </c>
      <c r="R1095" s="9">
        <f>dynamic[orderTotal]*(1-dynamic[discountApllied])</f>
        <v>632.4</v>
      </c>
      <c r="S1095" s="9">
        <f>dynamic[revenue]-(dynamic[productCost]*dynamic[orderQuantity])</f>
        <v>134.9467388</v>
      </c>
      <c r="T1095" s="25">
        <f>IFERROR(dynamic[profit]/dynamic[revenue], 0)</f>
        <v>0.213388265</v>
      </c>
    </row>
    <row r="1096" ht="15.75" customHeight="1">
      <c r="A1096" s="6">
        <v>10664.0</v>
      </c>
      <c r="B1096" s="7" t="s">
        <v>62</v>
      </c>
      <c r="C1096" s="24" t="str">
        <f>VLOOKUP(dynamic[customerID],customers[],2,FALSE)</f>
        <v>Furia Bacalhau e Frutos do Mar</v>
      </c>
      <c r="D1096" s="24">
        <v>45179.0</v>
      </c>
      <c r="E1096" s="6">
        <f>IFERROR(__xludf.DUMMYFUNCTION("COUNTUNIQUEIFS($A$2:$A1096,$B$2:$B1096,B1096)"),7.0)</f>
        <v>7</v>
      </c>
      <c r="F1096" s="6">
        <f t="shared" si="1"/>
        <v>54</v>
      </c>
      <c r="G1096" s="6" t="str">
        <f>IF(MINIFS(dynamic[orderDate], dynamic[customerID], B1096) &gt;= DATE(2024,4,30)-120, 
     "New", 
     IF(MAXIFS(dynamic[orderCount], dynamic[customerID], B1096)&lt;=2, 
        IF((DATE(2024,4,30) - MAXIFS(dynamic[orderDate], dynamic[customerID], B1096)) &gt; 180, "Non-Returning", "Dormant"), 
        IF(AND(MAX(dynamic[sinceLastOrder]) &gt; 365, (DATE(2024,4,30) - MAXIFS(dynamic[orderDate], dynamic[customerID], B1096)) &gt; 180), 
           "Dormant", "Regular")))</f>
        <v>Regular</v>
      </c>
      <c r="H1096" s="6">
        <v>56.0</v>
      </c>
      <c r="I1096" s="9" t="str">
        <f>VLOOKUP(dynamic[productID],products[],2,FALSE)</f>
        <v>Gnocchi di nonna Alice</v>
      </c>
      <c r="J1096" s="9" t="str">
        <f>VLOOKUP(dynamic[productID],products[],12,FALSE)</f>
        <v>Grains/Cereals</v>
      </c>
      <c r="K1096" s="7" t="str">
        <f>IF(VLOOKUP(dynamic[productID],products[],7,FALSE)=1,"Discontinued","Current")</f>
        <v>Current</v>
      </c>
      <c r="L1096" s="9">
        <f>VLOOKUP(dynamic[productID],products[],IF(YEAR(dynamic[orderDate])=2022,8,IF(YEAR(dynamic[orderDate])=2023,9,IF(YEAR(dynamic[orderDate])=2024,10,NA))),FALSE)</f>
        <v>24.28342441</v>
      </c>
      <c r="M1096" s="9">
        <v>38.0</v>
      </c>
      <c r="N1096" s="25">
        <f>(dynamic[orderPrice]-dynamic[productCost])/dynamic[productCost]</f>
        <v>0.5648534309</v>
      </c>
      <c r="O1096" s="10">
        <v>12.0</v>
      </c>
      <c r="P1096" s="25">
        <v>0.15</v>
      </c>
      <c r="Q1096" s="9">
        <f>dynamic[orderPrice]*dynamic[orderQuantity]</f>
        <v>456</v>
      </c>
      <c r="R1096" s="9">
        <f>dynamic[orderTotal]*(1-dynamic[discountApllied])</f>
        <v>387.6</v>
      </c>
      <c r="S1096" s="9">
        <f>dynamic[revenue]-(dynamic[productCost]*dynamic[orderQuantity])</f>
        <v>96.1989071</v>
      </c>
      <c r="T1096" s="25">
        <f>IFERROR(dynamic[profit]/dynamic[revenue], 0)</f>
        <v>0.2481911948</v>
      </c>
    </row>
    <row r="1097" ht="15.75" customHeight="1">
      <c r="A1097" s="6">
        <v>10664.0</v>
      </c>
      <c r="B1097" s="7" t="s">
        <v>62</v>
      </c>
      <c r="C1097" s="24" t="str">
        <f>VLOOKUP(dynamic[customerID],customers[],2,FALSE)</f>
        <v>Furia Bacalhau e Frutos do Mar</v>
      </c>
      <c r="D1097" s="24">
        <v>45179.0</v>
      </c>
      <c r="E1097" s="6">
        <f>IFERROR(__xludf.DUMMYFUNCTION("COUNTUNIQUEIFS($A$2:$A1097,$B$2:$B1097,B1097)"),7.0)</f>
        <v>7</v>
      </c>
      <c r="F1097" s="6">
        <f t="shared" si="1"/>
        <v>54</v>
      </c>
      <c r="G1097" s="6" t="str">
        <f>IF(MINIFS(dynamic[orderDate], dynamic[customerID], B1097) &gt;= DATE(2024,4,30)-120, 
     "New", 
     IF(MAXIFS(dynamic[orderCount], dynamic[customerID], B1097)&lt;=2, 
        IF((DATE(2024,4,30) - MAXIFS(dynamic[orderDate], dynamic[customerID], B1097)) &gt; 180, "Non-Returning", "Dormant"), 
        IF(AND(MAX(dynamic[sinceLastOrder]) &gt; 365, (DATE(2024,4,30) - MAXIFS(dynamic[orderDate], dynamic[customerID], B1097)) &gt; 180), 
           "Dormant", "Regular")))</f>
        <v>Regular</v>
      </c>
      <c r="H1097" s="6">
        <v>65.0</v>
      </c>
      <c r="I1097" s="9" t="str">
        <f>VLOOKUP(dynamic[productID],products[],2,FALSE)</f>
        <v>Louisiana Fiery Hot Pepper Sauce</v>
      </c>
      <c r="J1097" s="9" t="str">
        <f>VLOOKUP(dynamic[productID],products[],12,FALSE)</f>
        <v>Condiments</v>
      </c>
      <c r="K1097" s="7" t="str">
        <f>IF(VLOOKUP(dynamic[productID],products[],7,FALSE)=1,"Discontinued","Current")</f>
        <v>Current</v>
      </c>
      <c r="L1097" s="9">
        <f>VLOOKUP(dynamic[productID],products[],IF(YEAR(dynamic[orderDate])=2022,8,IF(YEAR(dynamic[orderDate])=2023,9,IF(YEAR(dynamic[orderDate])=2024,10,NA))),FALSE)</f>
        <v>13.21122243</v>
      </c>
      <c r="M1097" s="9">
        <v>21.05</v>
      </c>
      <c r="N1097" s="25">
        <f>(dynamic[orderPrice]-dynamic[productCost])/dynamic[productCost]</f>
        <v>0.593342335</v>
      </c>
      <c r="O1097" s="10">
        <v>15.0</v>
      </c>
      <c r="P1097" s="25">
        <v>0.15</v>
      </c>
      <c r="Q1097" s="9">
        <f>dynamic[orderPrice]*dynamic[orderQuantity]</f>
        <v>315.75</v>
      </c>
      <c r="R1097" s="9">
        <f>dynamic[orderTotal]*(1-dynamic[discountApllied])</f>
        <v>268.3875</v>
      </c>
      <c r="S1097" s="9">
        <f>dynamic[revenue]-(dynamic[productCost]*dynamic[orderQuantity])</f>
        <v>70.2191635</v>
      </c>
      <c r="T1097" s="25">
        <f>IFERROR(dynamic[profit]/dynamic[revenue], 0)</f>
        <v>0.2616335094</v>
      </c>
    </row>
    <row r="1098" ht="15.75" customHeight="1">
      <c r="A1098" s="6">
        <v>10665.0</v>
      </c>
      <c r="B1098" s="7" t="s">
        <v>53</v>
      </c>
      <c r="C1098" s="24" t="str">
        <f>VLOOKUP(dynamic[customerID],customers[],2,FALSE)</f>
        <v>Lonesome Pine Restaurant</v>
      </c>
      <c r="D1098" s="24">
        <v>45180.0</v>
      </c>
      <c r="E1098" s="6">
        <f>IFERROR(__xludf.DUMMYFUNCTION("COUNTUNIQUEIFS($A$2:$A1098,$B$2:$B1098,B1098)"),5.0)</f>
        <v>5</v>
      </c>
      <c r="F1098" s="6">
        <f t="shared" si="1"/>
        <v>2</v>
      </c>
      <c r="G1098" s="6" t="str">
        <f>IF(MINIFS(dynamic[orderDate], dynamic[customerID], B1098) &gt;= DATE(2024,4,30)-120, 
     "New", 
     IF(MAXIFS(dynamic[orderCount], dynamic[customerID], B1098)&lt;=2, 
        IF((DATE(2024,4,30) - MAXIFS(dynamic[orderDate], dynamic[customerID], B1098)) &gt; 180, "Non-Returning", "Dormant"), 
        IF(AND(MAX(dynamic[sinceLastOrder]) &gt; 365, (DATE(2024,4,30) - MAXIFS(dynamic[orderDate], dynamic[customerID], B1098)) &gt; 180), 
           "Dormant", "Regular")))</f>
        <v>Regular</v>
      </c>
      <c r="H1098" s="6">
        <v>51.0</v>
      </c>
      <c r="I1098" s="9" t="str">
        <f>VLOOKUP(dynamic[productID],products[],2,FALSE)</f>
        <v>Manjimup Dried Apples</v>
      </c>
      <c r="J1098" s="9" t="str">
        <f>VLOOKUP(dynamic[productID],products[],12,FALSE)</f>
        <v>Produce</v>
      </c>
      <c r="K1098" s="7" t="str">
        <f>IF(VLOOKUP(dynamic[productID],products[],7,FALSE)=1,"Discontinued","Current")</f>
        <v>Current</v>
      </c>
      <c r="L1098" s="9">
        <f>VLOOKUP(dynamic[productID],products[],IF(YEAR(dynamic[orderDate])=2022,8,IF(YEAR(dynamic[orderDate])=2023,9,IF(YEAR(dynamic[orderDate])=2024,10,NA))),FALSE)</f>
        <v>36.88798027</v>
      </c>
      <c r="M1098" s="9">
        <v>53.0</v>
      </c>
      <c r="N1098" s="25">
        <f>(dynamic[orderPrice]-dynamic[productCost])/dynamic[productCost]</f>
        <v>0.4367823779</v>
      </c>
      <c r="O1098" s="10">
        <v>20.0</v>
      </c>
      <c r="P1098" s="25">
        <v>0.0</v>
      </c>
      <c r="Q1098" s="9">
        <f>dynamic[orderPrice]*dynamic[orderQuantity]</f>
        <v>1060</v>
      </c>
      <c r="R1098" s="9">
        <f>dynamic[orderTotal]*(1-dynamic[discountApllied])</f>
        <v>1060</v>
      </c>
      <c r="S1098" s="9">
        <f>dynamic[revenue]-(dynamic[productCost]*dynamic[orderQuantity])</f>
        <v>322.2403947</v>
      </c>
      <c r="T1098" s="25">
        <f>IFERROR(dynamic[profit]/dynamic[revenue], 0)</f>
        <v>0.3040003724</v>
      </c>
    </row>
    <row r="1099" ht="15.75" customHeight="1">
      <c r="A1099" s="6">
        <v>10665.0</v>
      </c>
      <c r="B1099" s="7" t="s">
        <v>53</v>
      </c>
      <c r="C1099" s="24" t="str">
        <f>VLOOKUP(dynamic[customerID],customers[],2,FALSE)</f>
        <v>Lonesome Pine Restaurant</v>
      </c>
      <c r="D1099" s="24">
        <v>45180.0</v>
      </c>
      <c r="E1099" s="6">
        <f>IFERROR(__xludf.DUMMYFUNCTION("COUNTUNIQUEIFS($A$2:$A1099,$B$2:$B1099,B1099)"),5.0)</f>
        <v>5</v>
      </c>
      <c r="F1099" s="6">
        <f t="shared" si="1"/>
        <v>2</v>
      </c>
      <c r="G1099" s="6" t="str">
        <f>IF(MINIFS(dynamic[orderDate], dynamic[customerID], B1099) &gt;= DATE(2024,4,30)-120, 
     "New", 
     IF(MAXIFS(dynamic[orderCount], dynamic[customerID], B1099)&lt;=2, 
        IF((DATE(2024,4,30) - MAXIFS(dynamic[orderDate], dynamic[customerID], B1099)) &gt; 180, "Non-Returning", "Dormant"), 
        IF(AND(MAX(dynamic[sinceLastOrder]) &gt; 365, (DATE(2024,4,30) - MAXIFS(dynamic[orderDate], dynamic[customerID], B1099)) &gt; 180), 
           "Dormant", "Regular")))</f>
        <v>Regular</v>
      </c>
      <c r="H1099" s="6">
        <v>59.0</v>
      </c>
      <c r="I1099" s="9" t="str">
        <f>VLOOKUP(dynamic[productID],products[],2,FALSE)</f>
        <v>Raclette Courdavault</v>
      </c>
      <c r="J1099" s="9" t="str">
        <f>VLOOKUP(dynamic[productID],products[],12,FALSE)</f>
        <v>Dairy Products</v>
      </c>
      <c r="K1099" s="7" t="str">
        <f>IF(VLOOKUP(dynamic[productID],products[],7,FALSE)=1,"Discontinued","Current")</f>
        <v>Current</v>
      </c>
      <c r="L1099" s="9">
        <f>VLOOKUP(dynamic[productID],products[],IF(YEAR(dynamic[orderDate])=2022,8,IF(YEAR(dynamic[orderDate])=2023,9,IF(YEAR(dynamic[orderDate])=2024,10,NA))),FALSE)</f>
        <v>35.20472566</v>
      </c>
      <c r="M1099" s="9">
        <v>55.0</v>
      </c>
      <c r="N1099" s="25">
        <f>(dynamic[orderPrice]-dynamic[productCost])/dynamic[productCost]</f>
        <v>0.5622902598</v>
      </c>
      <c r="O1099" s="10">
        <v>1.0</v>
      </c>
      <c r="P1099" s="25">
        <v>0.0</v>
      </c>
      <c r="Q1099" s="9">
        <f>dynamic[orderPrice]*dynamic[orderQuantity]</f>
        <v>55</v>
      </c>
      <c r="R1099" s="9">
        <f>dynamic[orderTotal]*(1-dynamic[discountApllied])</f>
        <v>55</v>
      </c>
      <c r="S1099" s="9">
        <f>dynamic[revenue]-(dynamic[productCost]*dynamic[orderQuantity])</f>
        <v>19.79527434</v>
      </c>
      <c r="T1099" s="25">
        <f>IFERROR(dynamic[profit]/dynamic[revenue], 0)</f>
        <v>0.3599140789</v>
      </c>
    </row>
    <row r="1100" ht="15.75" customHeight="1">
      <c r="A1100" s="6">
        <v>10665.0</v>
      </c>
      <c r="B1100" s="7" t="s">
        <v>53</v>
      </c>
      <c r="C1100" s="24" t="str">
        <f>VLOOKUP(dynamic[customerID],customers[],2,FALSE)</f>
        <v>Lonesome Pine Restaurant</v>
      </c>
      <c r="D1100" s="24">
        <v>45180.0</v>
      </c>
      <c r="E1100" s="6">
        <f>IFERROR(__xludf.DUMMYFUNCTION("COUNTUNIQUEIFS($A$2:$A1100,$B$2:$B1100,B1100)"),5.0)</f>
        <v>5</v>
      </c>
      <c r="F1100" s="6">
        <f t="shared" si="1"/>
        <v>2</v>
      </c>
      <c r="G1100" s="6" t="str">
        <f>IF(MINIFS(dynamic[orderDate], dynamic[customerID], B1100) &gt;= DATE(2024,4,30)-120, 
     "New", 
     IF(MAXIFS(dynamic[orderCount], dynamic[customerID], B1100)&lt;=2, 
        IF((DATE(2024,4,30) - MAXIFS(dynamic[orderDate], dynamic[customerID], B1100)) &gt; 180, "Non-Returning", "Dormant"), 
        IF(AND(MAX(dynamic[sinceLastOrder]) &gt; 365, (DATE(2024,4,30) - MAXIFS(dynamic[orderDate], dynamic[customerID], B1100)) &gt; 180), 
           "Dormant", "Regular")))</f>
        <v>Regular</v>
      </c>
      <c r="H1100" s="6">
        <v>76.0</v>
      </c>
      <c r="I1100" s="9" t="str">
        <f>VLOOKUP(dynamic[productID],products[],2,FALSE)</f>
        <v>Lakkalikööri</v>
      </c>
      <c r="J1100" s="9" t="str">
        <f>VLOOKUP(dynamic[productID],products[],12,FALSE)</f>
        <v>Beverages</v>
      </c>
      <c r="K1100" s="7" t="str">
        <f>IF(VLOOKUP(dynamic[productID],products[],7,FALSE)=1,"Discontinued","Current")</f>
        <v>Current</v>
      </c>
      <c r="L1100" s="9">
        <f>VLOOKUP(dynamic[productID],products[],IF(YEAR(dynamic[orderDate])=2022,8,IF(YEAR(dynamic[orderDate])=2023,9,IF(YEAR(dynamic[orderDate])=2024,10,NA))),FALSE)</f>
        <v>12.1154529</v>
      </c>
      <c r="M1100" s="9">
        <v>18.0</v>
      </c>
      <c r="N1100" s="25">
        <f>(dynamic[orderPrice]-dynamic[productCost])/dynamic[productCost]</f>
        <v>0.4857059125</v>
      </c>
      <c r="O1100" s="10">
        <v>10.0</v>
      </c>
      <c r="P1100" s="25">
        <v>0.0</v>
      </c>
      <c r="Q1100" s="9">
        <f>dynamic[orderPrice]*dynamic[orderQuantity]</f>
        <v>180</v>
      </c>
      <c r="R1100" s="9">
        <f>dynamic[orderTotal]*(1-dynamic[discountApllied])</f>
        <v>180</v>
      </c>
      <c r="S1100" s="9">
        <f>dynamic[revenue]-(dynamic[productCost]*dynamic[orderQuantity])</f>
        <v>58.84547105</v>
      </c>
      <c r="T1100" s="25">
        <f>IFERROR(dynamic[profit]/dynamic[revenue], 0)</f>
        <v>0.3269192836</v>
      </c>
    </row>
    <row r="1101" ht="15.75" customHeight="1">
      <c r="A1101" s="6">
        <v>10666.0</v>
      </c>
      <c r="B1101" s="7" t="s">
        <v>21</v>
      </c>
      <c r="C1101" s="24" t="str">
        <f>VLOOKUP(dynamic[customerID],customers[],2,FALSE)</f>
        <v>Richter Supermarkt</v>
      </c>
      <c r="D1101" s="24">
        <v>45181.0</v>
      </c>
      <c r="E1101" s="6">
        <f>IFERROR(__xludf.DUMMYFUNCTION("COUNTUNIQUEIFS($A$2:$A1101,$B$2:$B1101,B1101)"),4.0)</f>
        <v>4</v>
      </c>
      <c r="F1101" s="6">
        <f t="shared" si="1"/>
        <v>121</v>
      </c>
      <c r="G1101" s="6" t="str">
        <f>IF(MINIFS(dynamic[orderDate], dynamic[customerID], B1101) &gt;= DATE(2024,4,30)-120, 
     "New", 
     IF(MAXIFS(dynamic[orderCount], dynamic[customerID], B1101)&lt;=2, 
        IF((DATE(2024,4,30) - MAXIFS(dynamic[orderDate], dynamic[customerID], B1101)) &gt; 180, "Non-Returning", "Dormant"), 
        IF(AND(MAX(dynamic[sinceLastOrder]) &gt; 365, (DATE(2024,4,30) - MAXIFS(dynamic[orderDate], dynamic[customerID], B1101)) &gt; 180), 
           "Dormant", "Regular")))</f>
        <v>Regular</v>
      </c>
      <c r="H1101" s="6">
        <v>29.0</v>
      </c>
      <c r="I1101" s="9" t="str">
        <f>VLOOKUP(dynamic[productID],products[],2,FALSE)</f>
        <v>Thüringer Rostbratwurst</v>
      </c>
      <c r="J1101" s="9" t="str">
        <f>VLOOKUP(dynamic[productID],products[],12,FALSE)</f>
        <v>Meat/Poultry</v>
      </c>
      <c r="K1101" s="7" t="str">
        <f>IF(VLOOKUP(dynamic[productID],products[],7,FALSE)=1,"Discontinued","Current")</f>
        <v>Discontinued</v>
      </c>
      <c r="L1101" s="9">
        <f>VLOOKUP(dynamic[productID],products[],IF(YEAR(dynamic[orderDate])=2022,8,IF(YEAR(dynamic[orderDate])=2023,9,IF(YEAR(dynamic[orderDate])=2024,10,NA))),FALSE)</f>
        <v>80.85619497</v>
      </c>
      <c r="M1101" s="9">
        <v>123.79</v>
      </c>
      <c r="N1101" s="25">
        <f>(dynamic[orderPrice]-dynamic[productCost])/dynamic[productCost]</f>
        <v>0.5309896792</v>
      </c>
      <c r="O1101" s="10">
        <v>36.0</v>
      </c>
      <c r="P1101" s="25">
        <v>0.0</v>
      </c>
      <c r="Q1101" s="9">
        <f>dynamic[orderPrice]*dynamic[orderQuantity]</f>
        <v>4456.44</v>
      </c>
      <c r="R1101" s="9">
        <f>dynamic[orderTotal]*(1-dynamic[discountApllied])</f>
        <v>4456.44</v>
      </c>
      <c r="S1101" s="9">
        <f>dynamic[revenue]-(dynamic[productCost]*dynamic[orderQuantity])</f>
        <v>1545.616981</v>
      </c>
      <c r="T1101" s="25">
        <f>IFERROR(dynamic[profit]/dynamic[revenue], 0)</f>
        <v>0.3468277327</v>
      </c>
    </row>
    <row r="1102" ht="15.75" customHeight="1">
      <c r="A1102" s="6">
        <v>10666.0</v>
      </c>
      <c r="B1102" s="7" t="s">
        <v>21</v>
      </c>
      <c r="C1102" s="24" t="str">
        <f>VLOOKUP(dynamic[customerID],customers[],2,FALSE)</f>
        <v>Richter Supermarkt</v>
      </c>
      <c r="D1102" s="24">
        <v>45181.0</v>
      </c>
      <c r="E1102" s="6">
        <f>IFERROR(__xludf.DUMMYFUNCTION("COUNTUNIQUEIFS($A$2:$A1102,$B$2:$B1102,B1102)"),4.0)</f>
        <v>4</v>
      </c>
      <c r="F1102" s="6">
        <f t="shared" si="1"/>
        <v>121</v>
      </c>
      <c r="G1102" s="6" t="str">
        <f>IF(MINIFS(dynamic[orderDate], dynamic[customerID], B1102) &gt;= DATE(2024,4,30)-120, 
     "New", 
     IF(MAXIFS(dynamic[orderCount], dynamic[customerID], B1102)&lt;=2, 
        IF((DATE(2024,4,30) - MAXIFS(dynamic[orderDate], dynamic[customerID], B1102)) &gt; 180, "Non-Returning", "Dormant"), 
        IF(AND(MAX(dynamic[sinceLastOrder]) &gt; 365, (DATE(2024,4,30) - MAXIFS(dynamic[orderDate], dynamic[customerID], B1102)) &gt; 180), 
           "Dormant", "Regular")))</f>
        <v>Regular</v>
      </c>
      <c r="H1102" s="6">
        <v>65.0</v>
      </c>
      <c r="I1102" s="9" t="str">
        <f>VLOOKUP(dynamic[productID],products[],2,FALSE)</f>
        <v>Louisiana Fiery Hot Pepper Sauce</v>
      </c>
      <c r="J1102" s="9" t="str">
        <f>VLOOKUP(dynamic[productID],products[],12,FALSE)</f>
        <v>Condiments</v>
      </c>
      <c r="K1102" s="7" t="str">
        <f>IF(VLOOKUP(dynamic[productID],products[],7,FALSE)=1,"Discontinued","Current")</f>
        <v>Current</v>
      </c>
      <c r="L1102" s="9">
        <f>VLOOKUP(dynamic[productID],products[],IF(YEAR(dynamic[orderDate])=2022,8,IF(YEAR(dynamic[orderDate])=2023,9,IF(YEAR(dynamic[orderDate])=2024,10,NA))),FALSE)</f>
        <v>13.21122243</v>
      </c>
      <c r="M1102" s="9">
        <v>21.05</v>
      </c>
      <c r="N1102" s="25">
        <f>(dynamic[orderPrice]-dynamic[productCost])/dynamic[productCost]</f>
        <v>0.593342335</v>
      </c>
      <c r="O1102" s="10">
        <v>10.0</v>
      </c>
      <c r="P1102" s="25">
        <v>0.0</v>
      </c>
      <c r="Q1102" s="9">
        <f>dynamic[orderPrice]*dynamic[orderQuantity]</f>
        <v>210.5</v>
      </c>
      <c r="R1102" s="9">
        <f>dynamic[orderTotal]*(1-dynamic[discountApllied])</f>
        <v>210.5</v>
      </c>
      <c r="S1102" s="9">
        <f>dynamic[revenue]-(dynamic[productCost]*dynamic[orderQuantity])</f>
        <v>78.38777567</v>
      </c>
      <c r="T1102" s="25">
        <f>IFERROR(dynamic[profit]/dynamic[revenue], 0)</f>
        <v>0.372388483</v>
      </c>
    </row>
    <row r="1103" ht="15.75" customHeight="1">
      <c r="A1103" s="6">
        <v>10667.0</v>
      </c>
      <c r="B1103" s="7" t="s">
        <v>24</v>
      </c>
      <c r="C1103" s="24" t="str">
        <f>VLOOKUP(dynamic[customerID],customers[],2,FALSE)</f>
        <v>Ernst Handel</v>
      </c>
      <c r="D1103" s="24">
        <v>45181.0</v>
      </c>
      <c r="E1103" s="6">
        <f>IFERROR(__xludf.DUMMYFUNCTION("COUNTUNIQUEIFS($A$2:$A1103,$B$2:$B1103,B1103)"),15.0)</f>
        <v>15</v>
      </c>
      <c r="F1103" s="6">
        <f t="shared" si="1"/>
        <v>28</v>
      </c>
      <c r="G1103" s="6" t="str">
        <f>IF(MINIFS(dynamic[orderDate], dynamic[customerID], B1103) &gt;= DATE(2024,4,30)-120, 
     "New", 
     IF(MAXIFS(dynamic[orderCount], dynamic[customerID], B1103)&lt;=2, 
        IF((DATE(2024,4,30) - MAXIFS(dynamic[orderDate], dynamic[customerID], B1103)) &gt; 180, "Non-Returning", "Dormant"), 
        IF(AND(MAX(dynamic[sinceLastOrder]) &gt; 365, (DATE(2024,4,30) - MAXIFS(dynamic[orderDate], dynamic[customerID], B1103)) &gt; 180), 
           "Dormant", "Regular")))</f>
        <v>Regular</v>
      </c>
      <c r="H1103" s="6">
        <v>69.0</v>
      </c>
      <c r="I1103" s="9" t="str">
        <f>VLOOKUP(dynamic[productID],products[],2,FALSE)</f>
        <v>Gudbrandsdalsost</v>
      </c>
      <c r="J1103" s="9" t="str">
        <f>VLOOKUP(dynamic[productID],products[],12,FALSE)</f>
        <v>Dairy Products</v>
      </c>
      <c r="K1103" s="7" t="str">
        <f>IF(VLOOKUP(dynamic[productID],products[],7,FALSE)=1,"Discontinued","Current")</f>
        <v>Current</v>
      </c>
      <c r="L1103" s="9">
        <f>VLOOKUP(dynamic[productID],products[],IF(YEAR(dynamic[orderDate])=2022,8,IF(YEAR(dynamic[orderDate])=2023,9,IF(YEAR(dynamic[orderDate])=2024,10,NA))),FALSE)</f>
        <v>21.82428612</v>
      </c>
      <c r="M1103" s="9">
        <v>36.0</v>
      </c>
      <c r="N1103" s="25">
        <f>(dynamic[orderPrice]-dynamic[productCost])/dynamic[productCost]</f>
        <v>0.6495384916</v>
      </c>
      <c r="O1103" s="10">
        <v>45.0</v>
      </c>
      <c r="P1103" s="25">
        <v>0.2</v>
      </c>
      <c r="Q1103" s="9">
        <f>dynamic[orderPrice]*dynamic[orderQuantity]</f>
        <v>1620</v>
      </c>
      <c r="R1103" s="9">
        <f>dynamic[orderTotal]*(1-dynamic[discountApllied])</f>
        <v>1296</v>
      </c>
      <c r="S1103" s="9">
        <f>dynamic[revenue]-(dynamic[productCost]*dynamic[orderQuantity])</f>
        <v>313.9071248</v>
      </c>
      <c r="T1103" s="25">
        <f>IFERROR(dynamic[profit]/dynamic[revenue], 0)</f>
        <v>0.2422122877</v>
      </c>
    </row>
    <row r="1104" ht="15.75" customHeight="1">
      <c r="A1104" s="6">
        <v>10667.0</v>
      </c>
      <c r="B1104" s="7" t="s">
        <v>24</v>
      </c>
      <c r="C1104" s="24" t="str">
        <f>VLOOKUP(dynamic[customerID],customers[],2,FALSE)</f>
        <v>Ernst Handel</v>
      </c>
      <c r="D1104" s="24">
        <v>45181.0</v>
      </c>
      <c r="E1104" s="6">
        <f>IFERROR(__xludf.DUMMYFUNCTION("COUNTUNIQUEIFS($A$2:$A1104,$B$2:$B1104,B1104)"),15.0)</f>
        <v>15</v>
      </c>
      <c r="F1104" s="6">
        <f t="shared" si="1"/>
        <v>28</v>
      </c>
      <c r="G1104" s="6" t="str">
        <f>IF(MINIFS(dynamic[orderDate], dynamic[customerID], B1104) &gt;= DATE(2024,4,30)-120, 
     "New", 
     IF(MAXIFS(dynamic[orderCount], dynamic[customerID], B1104)&lt;=2, 
        IF((DATE(2024,4,30) - MAXIFS(dynamic[orderDate], dynamic[customerID], B1104)) &gt; 180, "Non-Returning", "Dormant"), 
        IF(AND(MAX(dynamic[sinceLastOrder]) &gt; 365, (DATE(2024,4,30) - MAXIFS(dynamic[orderDate], dynamic[customerID], B1104)) &gt; 180), 
           "Dormant", "Regular")))</f>
        <v>Regular</v>
      </c>
      <c r="H1104" s="6">
        <v>71.0</v>
      </c>
      <c r="I1104" s="9" t="str">
        <f>VLOOKUP(dynamic[productID],products[],2,FALSE)</f>
        <v>Flotemysost</v>
      </c>
      <c r="J1104" s="9" t="str">
        <f>VLOOKUP(dynamic[productID],products[],12,FALSE)</f>
        <v>Dairy Products</v>
      </c>
      <c r="K1104" s="7" t="str">
        <f>IF(VLOOKUP(dynamic[productID],products[],7,FALSE)=1,"Discontinued","Current")</f>
        <v>Current</v>
      </c>
      <c r="L1104" s="9">
        <f>VLOOKUP(dynamic[productID],products[],IF(YEAR(dynamic[orderDate])=2022,8,IF(YEAR(dynamic[orderDate])=2023,9,IF(YEAR(dynamic[orderDate])=2024,10,NA))),FALSE)</f>
        <v>13.4003664</v>
      </c>
      <c r="M1104" s="9">
        <v>21.5</v>
      </c>
      <c r="N1104" s="25">
        <f>(dynamic[orderPrice]-dynamic[productCost])/dynamic[productCost]</f>
        <v>0.6044337411</v>
      </c>
      <c r="O1104" s="10">
        <v>14.0</v>
      </c>
      <c r="P1104" s="25">
        <v>0.2</v>
      </c>
      <c r="Q1104" s="9">
        <f>dynamic[orderPrice]*dynamic[orderQuantity]</f>
        <v>301</v>
      </c>
      <c r="R1104" s="9">
        <f>dynamic[orderTotal]*(1-dynamic[discountApllied])</f>
        <v>240.8</v>
      </c>
      <c r="S1104" s="9">
        <f>dynamic[revenue]-(dynamic[productCost]*dynamic[orderQuantity])</f>
        <v>53.19487036</v>
      </c>
      <c r="T1104" s="25">
        <f>IFERROR(dynamic[profit]/dynamic[revenue], 0)</f>
        <v>0.2209089301</v>
      </c>
    </row>
    <row r="1105" ht="15.75" customHeight="1">
      <c r="A1105" s="6">
        <v>10668.0</v>
      </c>
      <c r="B1105" s="7" t="s">
        <v>50</v>
      </c>
      <c r="C1105" s="24" t="str">
        <f>VLOOKUP(dynamic[customerID],customers[],2,FALSE)</f>
        <v>Die Wandernde Kuh</v>
      </c>
      <c r="D1105" s="24">
        <v>45184.0</v>
      </c>
      <c r="E1105" s="6">
        <f>IFERROR(__xludf.DUMMYFUNCTION("COUNTUNIQUEIFS($A$2:$A1105,$B$2:$B1105,B1105)"),9.0)</f>
        <v>9</v>
      </c>
      <c r="F1105" s="6">
        <f t="shared" si="1"/>
        <v>14</v>
      </c>
      <c r="G1105" s="6" t="str">
        <f>IF(MINIFS(dynamic[orderDate], dynamic[customerID], B1105) &gt;= DATE(2024,4,30)-120, 
     "New", 
     IF(MAXIFS(dynamic[orderCount], dynamic[customerID], B1105)&lt;=2, 
        IF((DATE(2024,4,30) - MAXIFS(dynamic[orderDate], dynamic[customerID], B1105)) &gt; 180, "Non-Returning", "Dormant"), 
        IF(AND(MAX(dynamic[sinceLastOrder]) &gt; 365, (DATE(2024,4,30) - MAXIFS(dynamic[orderDate], dynamic[customerID], B1105)) &gt; 180), 
           "Dormant", "Regular")))</f>
        <v>Regular</v>
      </c>
      <c r="H1105" s="6">
        <v>31.0</v>
      </c>
      <c r="I1105" s="9" t="str">
        <f>VLOOKUP(dynamic[productID],products[],2,FALSE)</f>
        <v>Gorgonzola Telino</v>
      </c>
      <c r="J1105" s="9" t="str">
        <f>VLOOKUP(dynamic[productID],products[],12,FALSE)</f>
        <v>Dairy Products</v>
      </c>
      <c r="K1105" s="7" t="str">
        <f>IF(VLOOKUP(dynamic[productID],products[],7,FALSE)=1,"Discontinued","Current")</f>
        <v>Current</v>
      </c>
      <c r="L1105" s="9">
        <f>VLOOKUP(dynamic[productID],products[],IF(YEAR(dynamic[orderDate])=2022,8,IF(YEAR(dynamic[orderDate])=2023,9,IF(YEAR(dynamic[orderDate])=2024,10,NA))),FALSE)</f>
        <v>7.937729254</v>
      </c>
      <c r="M1105" s="9">
        <v>12.5</v>
      </c>
      <c r="N1105" s="25">
        <f>(dynamic[orderPrice]-dynamic[productCost])/dynamic[productCost]</f>
        <v>0.5747576668</v>
      </c>
      <c r="O1105" s="10">
        <v>8.0</v>
      </c>
      <c r="P1105" s="25">
        <v>0.1</v>
      </c>
      <c r="Q1105" s="9">
        <f>dynamic[orderPrice]*dynamic[orderQuantity]</f>
        <v>100</v>
      </c>
      <c r="R1105" s="9">
        <f>dynamic[orderTotal]*(1-dynamic[discountApllied])</f>
        <v>90</v>
      </c>
      <c r="S1105" s="9">
        <f>dynamic[revenue]-(dynamic[productCost]*dynamic[orderQuantity])</f>
        <v>26.49816597</v>
      </c>
      <c r="T1105" s="25">
        <f>IFERROR(dynamic[profit]/dynamic[revenue], 0)</f>
        <v>0.2944240663</v>
      </c>
    </row>
    <row r="1106" ht="15.75" customHeight="1">
      <c r="A1106" s="6">
        <v>10668.0</v>
      </c>
      <c r="B1106" s="7" t="s">
        <v>50</v>
      </c>
      <c r="C1106" s="24" t="str">
        <f>VLOOKUP(dynamic[customerID],customers[],2,FALSE)</f>
        <v>Die Wandernde Kuh</v>
      </c>
      <c r="D1106" s="24">
        <v>45184.0</v>
      </c>
      <c r="E1106" s="6">
        <f>IFERROR(__xludf.DUMMYFUNCTION("COUNTUNIQUEIFS($A$2:$A1106,$B$2:$B1106,B1106)"),9.0)</f>
        <v>9</v>
      </c>
      <c r="F1106" s="6">
        <f t="shared" si="1"/>
        <v>14</v>
      </c>
      <c r="G1106" s="6" t="str">
        <f>IF(MINIFS(dynamic[orderDate], dynamic[customerID], B1106) &gt;= DATE(2024,4,30)-120, 
     "New", 
     IF(MAXIFS(dynamic[orderCount], dynamic[customerID], B1106)&lt;=2, 
        IF((DATE(2024,4,30) - MAXIFS(dynamic[orderDate], dynamic[customerID], B1106)) &gt; 180, "Non-Returning", "Dormant"), 
        IF(AND(MAX(dynamic[sinceLastOrder]) &gt; 365, (DATE(2024,4,30) - MAXIFS(dynamic[orderDate], dynamic[customerID], B1106)) &gt; 180), 
           "Dormant", "Regular")))</f>
        <v>Regular</v>
      </c>
      <c r="H1106" s="6">
        <v>55.0</v>
      </c>
      <c r="I1106" s="9" t="str">
        <f>VLOOKUP(dynamic[productID],products[],2,FALSE)</f>
        <v>Pâté chinois</v>
      </c>
      <c r="J1106" s="9" t="str">
        <f>VLOOKUP(dynamic[productID],products[],12,FALSE)</f>
        <v>Meat/Poultry</v>
      </c>
      <c r="K1106" s="7" t="str">
        <f>IF(VLOOKUP(dynamic[productID],products[],7,FALSE)=1,"Discontinued","Current")</f>
        <v>Current</v>
      </c>
      <c r="L1106" s="9">
        <f>VLOOKUP(dynamic[productID],products[],IF(YEAR(dynamic[orderDate])=2022,8,IF(YEAR(dynamic[orderDate])=2023,9,IF(YEAR(dynamic[orderDate])=2024,10,NA))),FALSE)</f>
        <v>14.92398776</v>
      </c>
      <c r="M1106" s="9">
        <v>24.0</v>
      </c>
      <c r="N1106" s="25">
        <f>(dynamic[orderPrice]-dynamic[productCost])/dynamic[productCost]</f>
        <v>0.6081492681</v>
      </c>
      <c r="O1106" s="10">
        <v>4.0</v>
      </c>
      <c r="P1106" s="25">
        <v>0.1</v>
      </c>
      <c r="Q1106" s="9">
        <f>dynamic[orderPrice]*dynamic[orderQuantity]</f>
        <v>96</v>
      </c>
      <c r="R1106" s="9">
        <f>dynamic[orderTotal]*(1-dynamic[discountApllied])</f>
        <v>86.4</v>
      </c>
      <c r="S1106" s="9">
        <f>dynamic[revenue]-(dynamic[productCost]*dynamic[orderQuantity])</f>
        <v>26.70404894</v>
      </c>
      <c r="T1106" s="25">
        <f>IFERROR(dynamic[profit]/dynamic[revenue], 0)</f>
        <v>0.3090746406</v>
      </c>
    </row>
    <row r="1107" ht="15.75" customHeight="1">
      <c r="A1107" s="6">
        <v>10668.0</v>
      </c>
      <c r="B1107" s="7" t="s">
        <v>50</v>
      </c>
      <c r="C1107" s="24" t="str">
        <f>VLOOKUP(dynamic[customerID],customers[],2,FALSE)</f>
        <v>Die Wandernde Kuh</v>
      </c>
      <c r="D1107" s="24">
        <v>45184.0</v>
      </c>
      <c r="E1107" s="6">
        <f>IFERROR(__xludf.DUMMYFUNCTION("COUNTUNIQUEIFS($A$2:$A1107,$B$2:$B1107,B1107)"),9.0)</f>
        <v>9</v>
      </c>
      <c r="F1107" s="6">
        <f t="shared" si="1"/>
        <v>14</v>
      </c>
      <c r="G1107" s="6" t="str">
        <f>IF(MINIFS(dynamic[orderDate], dynamic[customerID], B1107) &gt;= DATE(2024,4,30)-120, 
     "New", 
     IF(MAXIFS(dynamic[orderCount], dynamic[customerID], B1107)&lt;=2, 
        IF((DATE(2024,4,30) - MAXIFS(dynamic[orderDate], dynamic[customerID], B1107)) &gt; 180, "Non-Returning", "Dormant"), 
        IF(AND(MAX(dynamic[sinceLastOrder]) &gt; 365, (DATE(2024,4,30) - MAXIFS(dynamic[orderDate], dynamic[customerID], B1107)) &gt; 180), 
           "Dormant", "Regular")))</f>
        <v>Regular</v>
      </c>
      <c r="H1107" s="6">
        <v>64.0</v>
      </c>
      <c r="I1107" s="9" t="str">
        <f>VLOOKUP(dynamic[productID],products[],2,FALSE)</f>
        <v>Lukas' leckere Sauerteigweggla</v>
      </c>
      <c r="J1107" s="9" t="str">
        <f>VLOOKUP(dynamic[productID],products[],12,FALSE)</f>
        <v>Grains/Cereals</v>
      </c>
      <c r="K1107" s="7" t="str">
        <f>IF(VLOOKUP(dynamic[productID],products[],7,FALSE)=1,"Discontinued","Current")</f>
        <v>Current</v>
      </c>
      <c r="L1107" s="9">
        <f>VLOOKUP(dynamic[productID],products[],IF(YEAR(dynamic[orderDate])=2022,8,IF(YEAR(dynamic[orderDate])=2023,9,IF(YEAR(dynamic[orderDate])=2024,10,NA))),FALSE)</f>
        <v>21.88572728</v>
      </c>
      <c r="M1107" s="9">
        <v>33.25</v>
      </c>
      <c r="N1107" s="25">
        <f>(dynamic[orderPrice]-dynamic[productCost])/dynamic[productCost]</f>
        <v>0.5192549724</v>
      </c>
      <c r="O1107" s="10">
        <v>15.0</v>
      </c>
      <c r="P1107" s="25">
        <v>0.1</v>
      </c>
      <c r="Q1107" s="9">
        <f>dynamic[orderPrice]*dynamic[orderQuantity]</f>
        <v>498.75</v>
      </c>
      <c r="R1107" s="9">
        <f>dynamic[orderTotal]*(1-dynamic[discountApllied])</f>
        <v>448.875</v>
      </c>
      <c r="S1107" s="9">
        <f>dynamic[revenue]-(dynamic[productCost]*dynamic[orderQuantity])</f>
        <v>120.5890908</v>
      </c>
      <c r="T1107" s="25">
        <f>IFERROR(dynamic[profit]/dynamic[revenue], 0)</f>
        <v>0.2686473757</v>
      </c>
    </row>
    <row r="1108" ht="15.75" customHeight="1">
      <c r="A1108" s="6">
        <v>10669.0</v>
      </c>
      <c r="B1108" s="7" t="s">
        <v>66</v>
      </c>
      <c r="C1108" s="24" t="str">
        <f>VLOOKUP(dynamic[customerID],customers[],2,FALSE)</f>
        <v>Simons bistro</v>
      </c>
      <c r="D1108" s="24">
        <v>45184.0</v>
      </c>
      <c r="E1108" s="6">
        <f>IFERROR(__xludf.DUMMYFUNCTION("COUNTUNIQUEIFS($A$2:$A1108,$B$2:$B1108,B1108)"),5.0)</f>
        <v>5</v>
      </c>
      <c r="F1108" s="6">
        <f t="shared" si="1"/>
        <v>24</v>
      </c>
      <c r="G1108" s="6" t="str">
        <f>IF(MINIFS(dynamic[orderDate], dynamic[customerID], B1108) &gt;= DATE(2024,4,30)-120, 
     "New", 
     IF(MAXIFS(dynamic[orderCount], dynamic[customerID], B1108)&lt;=2, 
        IF((DATE(2024,4,30) - MAXIFS(dynamic[orderDate], dynamic[customerID], B1108)) &gt; 180, "Non-Returning", "Dormant"), 
        IF(AND(MAX(dynamic[sinceLastOrder]) &gt; 365, (DATE(2024,4,30) - MAXIFS(dynamic[orderDate], dynamic[customerID], B1108)) &gt; 180), 
           "Dormant", "Regular")))</f>
        <v>Regular</v>
      </c>
      <c r="H1108" s="6">
        <v>36.0</v>
      </c>
      <c r="I1108" s="9" t="str">
        <f>VLOOKUP(dynamic[productID],products[],2,FALSE)</f>
        <v>Inlagd Sill</v>
      </c>
      <c r="J1108" s="9" t="str">
        <f>VLOOKUP(dynamic[productID],products[],12,FALSE)</f>
        <v>Seafood</v>
      </c>
      <c r="K1108" s="7" t="str">
        <f>IF(VLOOKUP(dynamic[productID],products[],7,FALSE)=1,"Discontinued","Current")</f>
        <v>Current</v>
      </c>
      <c r="L1108" s="9">
        <f>VLOOKUP(dynamic[productID],products[],IF(YEAR(dynamic[orderDate])=2022,8,IF(YEAR(dynamic[orderDate])=2023,9,IF(YEAR(dynamic[orderDate])=2024,10,NA))),FALSE)</f>
        <v>12.15246269</v>
      </c>
      <c r="M1108" s="9">
        <v>19.0</v>
      </c>
      <c r="N1108" s="25">
        <f>(dynamic[orderPrice]-dynamic[productCost])/dynamic[productCost]</f>
        <v>0.5634691082</v>
      </c>
      <c r="O1108" s="10">
        <v>30.0</v>
      </c>
      <c r="P1108" s="25">
        <v>0.0</v>
      </c>
      <c r="Q1108" s="9">
        <f>dynamic[orderPrice]*dynamic[orderQuantity]</f>
        <v>570</v>
      </c>
      <c r="R1108" s="9">
        <f>dynamic[orderTotal]*(1-dynamic[discountApllied])</f>
        <v>570</v>
      </c>
      <c r="S1108" s="9">
        <f>dynamic[revenue]-(dynamic[productCost]*dynamic[orderQuantity])</f>
        <v>205.4261194</v>
      </c>
      <c r="T1108" s="25">
        <f>IFERROR(dynamic[profit]/dynamic[revenue], 0)</f>
        <v>0.3603967007</v>
      </c>
    </row>
    <row r="1109" ht="15.75" customHeight="1">
      <c r="A1109" s="6">
        <v>10670.0</v>
      </c>
      <c r="B1109" s="7" t="s">
        <v>32</v>
      </c>
      <c r="C1109" s="24" t="str">
        <f>VLOOKUP(dynamic[customerID],customers[],2,FALSE)</f>
        <v>Frankenversand</v>
      </c>
      <c r="D1109" s="24">
        <v>45185.0</v>
      </c>
      <c r="E1109" s="6">
        <f>IFERROR(__xludf.DUMMYFUNCTION("COUNTUNIQUEIFS($A$2:$A1109,$B$2:$B1109,B1109)"),9.0)</f>
        <v>9</v>
      </c>
      <c r="F1109" s="6">
        <f t="shared" si="1"/>
        <v>14</v>
      </c>
      <c r="G1109" s="6" t="str">
        <f>IF(MINIFS(dynamic[orderDate], dynamic[customerID], B1109) &gt;= DATE(2024,4,30)-120, 
     "New", 
     IF(MAXIFS(dynamic[orderCount], dynamic[customerID], B1109)&lt;=2, 
        IF((DATE(2024,4,30) - MAXIFS(dynamic[orderDate], dynamic[customerID], B1109)) &gt; 180, "Non-Returning", "Dormant"), 
        IF(AND(MAX(dynamic[sinceLastOrder]) &gt; 365, (DATE(2024,4,30) - MAXIFS(dynamic[orderDate], dynamic[customerID], B1109)) &gt; 180), 
           "Dormant", "Regular")))</f>
        <v>Regular</v>
      </c>
      <c r="H1109" s="6">
        <v>23.0</v>
      </c>
      <c r="I1109" s="9" t="str">
        <f>VLOOKUP(dynamic[productID],products[],2,FALSE)</f>
        <v>Tunnbröd</v>
      </c>
      <c r="J1109" s="9" t="str">
        <f>VLOOKUP(dynamic[productID],products[],12,FALSE)</f>
        <v>Grains/Cereals</v>
      </c>
      <c r="K1109" s="7" t="str">
        <f>IF(VLOOKUP(dynamic[productID],products[],7,FALSE)=1,"Discontinued","Current")</f>
        <v>Current</v>
      </c>
      <c r="L1109" s="9">
        <f>VLOOKUP(dynamic[productID],products[],IF(YEAR(dynamic[orderDate])=2022,8,IF(YEAR(dynamic[orderDate])=2023,9,IF(YEAR(dynamic[orderDate])=2024,10,NA))),FALSE)</f>
        <v>5.989059129</v>
      </c>
      <c r="M1109" s="9">
        <v>9.0</v>
      </c>
      <c r="N1109" s="25">
        <f>(dynamic[orderPrice]-dynamic[productCost])/dynamic[productCost]</f>
        <v>0.5027402146</v>
      </c>
      <c r="O1109" s="10">
        <v>32.0</v>
      </c>
      <c r="P1109" s="25">
        <v>0.0</v>
      </c>
      <c r="Q1109" s="9">
        <f>dynamic[orderPrice]*dynamic[orderQuantity]</f>
        <v>288</v>
      </c>
      <c r="R1109" s="9">
        <f>dynamic[orderTotal]*(1-dynamic[discountApllied])</f>
        <v>288</v>
      </c>
      <c r="S1109" s="9">
        <f>dynamic[revenue]-(dynamic[productCost]*dynamic[orderQuantity])</f>
        <v>96.35010789</v>
      </c>
      <c r="T1109" s="25">
        <f>IFERROR(dynamic[profit]/dynamic[revenue], 0)</f>
        <v>0.3345489857</v>
      </c>
    </row>
    <row r="1110" ht="15.75" customHeight="1">
      <c r="A1110" s="6">
        <v>10670.0</v>
      </c>
      <c r="B1110" s="7" t="s">
        <v>32</v>
      </c>
      <c r="C1110" s="24" t="str">
        <f>VLOOKUP(dynamic[customerID],customers[],2,FALSE)</f>
        <v>Frankenversand</v>
      </c>
      <c r="D1110" s="24">
        <v>45185.0</v>
      </c>
      <c r="E1110" s="6">
        <f>IFERROR(__xludf.DUMMYFUNCTION("COUNTUNIQUEIFS($A$2:$A1110,$B$2:$B1110,B1110)"),9.0)</f>
        <v>9</v>
      </c>
      <c r="F1110" s="6">
        <f t="shared" si="1"/>
        <v>14</v>
      </c>
      <c r="G1110" s="6" t="str">
        <f>IF(MINIFS(dynamic[orderDate], dynamic[customerID], B1110) &gt;= DATE(2024,4,30)-120, 
     "New", 
     IF(MAXIFS(dynamic[orderCount], dynamic[customerID], B1110)&lt;=2, 
        IF((DATE(2024,4,30) - MAXIFS(dynamic[orderDate], dynamic[customerID], B1110)) &gt; 180, "Non-Returning", "Dormant"), 
        IF(AND(MAX(dynamic[sinceLastOrder]) &gt; 365, (DATE(2024,4,30) - MAXIFS(dynamic[orderDate], dynamic[customerID], B1110)) &gt; 180), 
           "Dormant", "Regular")))</f>
        <v>Regular</v>
      </c>
      <c r="H1110" s="6">
        <v>46.0</v>
      </c>
      <c r="I1110" s="9" t="str">
        <f>VLOOKUP(dynamic[productID],products[],2,FALSE)</f>
        <v>Spegesild</v>
      </c>
      <c r="J1110" s="9" t="str">
        <f>VLOOKUP(dynamic[productID],products[],12,FALSE)</f>
        <v>Seafood</v>
      </c>
      <c r="K1110" s="7" t="str">
        <f>IF(VLOOKUP(dynamic[productID],products[],7,FALSE)=1,"Discontinued","Current")</f>
        <v>Current</v>
      </c>
      <c r="L1110" s="9">
        <f>VLOOKUP(dynamic[productID],products[],IF(YEAR(dynamic[orderDate])=2022,8,IF(YEAR(dynamic[orderDate])=2023,9,IF(YEAR(dynamic[orderDate])=2024,10,NA))),FALSE)</f>
        <v>7.087990753</v>
      </c>
      <c r="M1110" s="9">
        <v>12.0</v>
      </c>
      <c r="N1110" s="25">
        <f>(dynamic[orderPrice]-dynamic[productCost])/dynamic[productCost]</f>
        <v>0.693004466</v>
      </c>
      <c r="O1110" s="10">
        <v>60.0</v>
      </c>
      <c r="P1110" s="25">
        <v>0.0</v>
      </c>
      <c r="Q1110" s="9">
        <f>dynamic[orderPrice]*dynamic[orderQuantity]</f>
        <v>720</v>
      </c>
      <c r="R1110" s="9">
        <f>dynamic[orderTotal]*(1-dynamic[discountApllied])</f>
        <v>720</v>
      </c>
      <c r="S1110" s="9">
        <f>dynamic[revenue]-(dynamic[productCost]*dynamic[orderQuantity])</f>
        <v>294.7205548</v>
      </c>
      <c r="T1110" s="25">
        <f>IFERROR(dynamic[profit]/dynamic[revenue], 0)</f>
        <v>0.4093341039</v>
      </c>
    </row>
    <row r="1111" ht="15.75" customHeight="1">
      <c r="A1111" s="6">
        <v>10670.0</v>
      </c>
      <c r="B1111" s="7" t="s">
        <v>32</v>
      </c>
      <c r="C1111" s="24" t="str">
        <f>VLOOKUP(dynamic[customerID],customers[],2,FALSE)</f>
        <v>Frankenversand</v>
      </c>
      <c r="D1111" s="24">
        <v>45185.0</v>
      </c>
      <c r="E1111" s="6">
        <f>IFERROR(__xludf.DUMMYFUNCTION("COUNTUNIQUEIFS($A$2:$A1111,$B$2:$B1111,B1111)"),9.0)</f>
        <v>9</v>
      </c>
      <c r="F1111" s="6">
        <f t="shared" si="1"/>
        <v>14</v>
      </c>
      <c r="G1111" s="6" t="str">
        <f>IF(MINIFS(dynamic[orderDate], dynamic[customerID], B1111) &gt;= DATE(2024,4,30)-120, 
     "New", 
     IF(MAXIFS(dynamic[orderCount], dynamic[customerID], B1111)&lt;=2, 
        IF((DATE(2024,4,30) - MAXIFS(dynamic[orderDate], dynamic[customerID], B1111)) &gt; 180, "Non-Returning", "Dormant"), 
        IF(AND(MAX(dynamic[sinceLastOrder]) &gt; 365, (DATE(2024,4,30) - MAXIFS(dynamic[orderDate], dynamic[customerID], B1111)) &gt; 180), 
           "Dormant", "Regular")))</f>
        <v>Regular</v>
      </c>
      <c r="H1111" s="6">
        <v>67.0</v>
      </c>
      <c r="I1111" s="9" t="str">
        <f>VLOOKUP(dynamic[productID],products[],2,FALSE)</f>
        <v>Laughing Lumberjack Lager</v>
      </c>
      <c r="J1111" s="9" t="str">
        <f>VLOOKUP(dynamic[productID],products[],12,FALSE)</f>
        <v>Beverages</v>
      </c>
      <c r="K1111" s="7" t="str">
        <f>IF(VLOOKUP(dynamic[productID],products[],7,FALSE)=1,"Discontinued","Current")</f>
        <v>Current</v>
      </c>
      <c r="L1111" s="9">
        <f>VLOOKUP(dynamic[productID],products[],IF(YEAR(dynamic[orderDate])=2022,8,IF(YEAR(dynamic[orderDate])=2023,9,IF(YEAR(dynamic[orderDate])=2024,10,NA))),FALSE)</f>
        <v>10.35274539</v>
      </c>
      <c r="M1111" s="9">
        <v>14.0</v>
      </c>
      <c r="N1111" s="25">
        <f>(dynamic[orderPrice]-dynamic[productCost])/dynamic[productCost]</f>
        <v>0.3522983009</v>
      </c>
      <c r="O1111" s="10">
        <v>25.0</v>
      </c>
      <c r="P1111" s="25">
        <v>0.0</v>
      </c>
      <c r="Q1111" s="9">
        <f>dynamic[orderPrice]*dynamic[orderQuantity]</f>
        <v>350</v>
      </c>
      <c r="R1111" s="9">
        <f>dynamic[orderTotal]*(1-dynamic[discountApllied])</f>
        <v>350</v>
      </c>
      <c r="S1111" s="9">
        <f>dynamic[revenue]-(dynamic[productCost]*dynamic[orderQuantity])</f>
        <v>91.18136526</v>
      </c>
      <c r="T1111" s="25">
        <f>IFERROR(dynamic[profit]/dynamic[revenue], 0)</f>
        <v>0.2605181865</v>
      </c>
    </row>
    <row r="1112" ht="15.75" customHeight="1">
      <c r="A1112" s="6">
        <v>10670.0</v>
      </c>
      <c r="B1112" s="7" t="s">
        <v>32</v>
      </c>
      <c r="C1112" s="24" t="str">
        <f>VLOOKUP(dynamic[customerID],customers[],2,FALSE)</f>
        <v>Frankenversand</v>
      </c>
      <c r="D1112" s="24">
        <v>45185.0</v>
      </c>
      <c r="E1112" s="6">
        <f>IFERROR(__xludf.DUMMYFUNCTION("COUNTUNIQUEIFS($A$2:$A1112,$B$2:$B1112,B1112)"),9.0)</f>
        <v>9</v>
      </c>
      <c r="F1112" s="6">
        <f t="shared" si="1"/>
        <v>14</v>
      </c>
      <c r="G1112" s="6" t="str">
        <f>IF(MINIFS(dynamic[orderDate], dynamic[customerID], B1112) &gt;= DATE(2024,4,30)-120, 
     "New", 
     IF(MAXIFS(dynamic[orderCount], dynamic[customerID], B1112)&lt;=2, 
        IF((DATE(2024,4,30) - MAXIFS(dynamic[orderDate], dynamic[customerID], B1112)) &gt; 180, "Non-Returning", "Dormant"), 
        IF(AND(MAX(dynamic[sinceLastOrder]) &gt; 365, (DATE(2024,4,30) - MAXIFS(dynamic[orderDate], dynamic[customerID], B1112)) &gt; 180), 
           "Dormant", "Regular")))</f>
        <v>Regular</v>
      </c>
      <c r="H1112" s="6">
        <v>73.0</v>
      </c>
      <c r="I1112" s="9" t="str">
        <f>VLOOKUP(dynamic[productID],products[],2,FALSE)</f>
        <v>Röd Kaviar</v>
      </c>
      <c r="J1112" s="9" t="str">
        <f>VLOOKUP(dynamic[productID],products[],12,FALSE)</f>
        <v>Seafood</v>
      </c>
      <c r="K1112" s="7" t="str">
        <f>IF(VLOOKUP(dynamic[productID],products[],7,FALSE)=1,"Discontinued","Current")</f>
        <v>Current</v>
      </c>
      <c r="L1112" s="9">
        <f>VLOOKUP(dynamic[productID],products[],IF(YEAR(dynamic[orderDate])=2022,8,IF(YEAR(dynamic[orderDate])=2023,9,IF(YEAR(dynamic[orderDate])=2024,10,NA))),FALSE)</f>
        <v>9.692999362</v>
      </c>
      <c r="M1112" s="9">
        <v>15.0</v>
      </c>
      <c r="N1112" s="25">
        <f>(dynamic[orderPrice]-dynamic[productCost])/dynamic[productCost]</f>
        <v>0.5475086131</v>
      </c>
      <c r="O1112" s="10">
        <v>50.0</v>
      </c>
      <c r="P1112" s="25">
        <v>0.0</v>
      </c>
      <c r="Q1112" s="9">
        <f>dynamic[orderPrice]*dynamic[orderQuantity]</f>
        <v>750</v>
      </c>
      <c r="R1112" s="9">
        <f>dynamic[orderTotal]*(1-dynamic[discountApllied])</f>
        <v>750</v>
      </c>
      <c r="S1112" s="9">
        <f>dynamic[revenue]-(dynamic[productCost]*dynamic[orderQuantity])</f>
        <v>265.3500319</v>
      </c>
      <c r="T1112" s="25">
        <f>IFERROR(dynamic[profit]/dynamic[revenue], 0)</f>
        <v>0.3538000425</v>
      </c>
    </row>
    <row r="1113" ht="15.75" customHeight="1">
      <c r="A1113" s="6">
        <v>10670.0</v>
      </c>
      <c r="B1113" s="7" t="s">
        <v>32</v>
      </c>
      <c r="C1113" s="24" t="str">
        <f>VLOOKUP(dynamic[customerID],customers[],2,FALSE)</f>
        <v>Frankenversand</v>
      </c>
      <c r="D1113" s="24">
        <v>45185.0</v>
      </c>
      <c r="E1113" s="6">
        <f>IFERROR(__xludf.DUMMYFUNCTION("COUNTUNIQUEIFS($A$2:$A1113,$B$2:$B1113,B1113)"),9.0)</f>
        <v>9</v>
      </c>
      <c r="F1113" s="6">
        <f t="shared" si="1"/>
        <v>14</v>
      </c>
      <c r="G1113" s="6" t="str">
        <f>IF(MINIFS(dynamic[orderDate], dynamic[customerID], B1113) &gt;= DATE(2024,4,30)-120, 
     "New", 
     IF(MAXIFS(dynamic[orderCount], dynamic[customerID], B1113)&lt;=2, 
        IF((DATE(2024,4,30) - MAXIFS(dynamic[orderDate], dynamic[customerID], B1113)) &gt; 180, "Non-Returning", "Dormant"), 
        IF(AND(MAX(dynamic[sinceLastOrder]) &gt; 365, (DATE(2024,4,30) - MAXIFS(dynamic[orderDate], dynamic[customerID], B1113)) &gt; 180), 
           "Dormant", "Regular")))</f>
        <v>Regular</v>
      </c>
      <c r="H1113" s="6">
        <v>75.0</v>
      </c>
      <c r="I1113" s="9" t="str">
        <f>VLOOKUP(dynamic[productID],products[],2,FALSE)</f>
        <v>Rhönbräu Klosterbier</v>
      </c>
      <c r="J1113" s="9" t="str">
        <f>VLOOKUP(dynamic[productID],products[],12,FALSE)</f>
        <v>Beverages</v>
      </c>
      <c r="K1113" s="7" t="str">
        <f>IF(VLOOKUP(dynamic[productID],products[],7,FALSE)=1,"Discontinued","Current")</f>
        <v>Current</v>
      </c>
      <c r="L1113" s="9">
        <f>VLOOKUP(dynamic[productID],products[],IF(YEAR(dynamic[orderDate])=2022,8,IF(YEAR(dynamic[orderDate])=2023,9,IF(YEAR(dynamic[orderDate])=2024,10,NA))),FALSE)</f>
        <v>5.355290472</v>
      </c>
      <c r="M1113" s="9">
        <v>7.75</v>
      </c>
      <c r="N1113" s="25">
        <f>(dynamic[orderPrice]-dynamic[productCost])/dynamic[productCost]</f>
        <v>0.4471670661</v>
      </c>
      <c r="O1113" s="10">
        <v>25.0</v>
      </c>
      <c r="P1113" s="25">
        <v>0.0</v>
      </c>
      <c r="Q1113" s="9">
        <f>dynamic[orderPrice]*dynamic[orderQuantity]</f>
        <v>193.75</v>
      </c>
      <c r="R1113" s="9">
        <f>dynamic[orderTotal]*(1-dynamic[discountApllied])</f>
        <v>193.75</v>
      </c>
      <c r="S1113" s="9">
        <f>dynamic[revenue]-(dynamic[productCost]*dynamic[orderQuantity])</f>
        <v>59.86773821</v>
      </c>
      <c r="T1113" s="25">
        <f>IFERROR(dynamic[profit]/dynamic[revenue], 0)</f>
        <v>0.3089947778</v>
      </c>
    </row>
    <row r="1114" ht="15.75" customHeight="1">
      <c r="A1114" s="6">
        <v>10671.0</v>
      </c>
      <c r="B1114" s="7" t="s">
        <v>101</v>
      </c>
      <c r="C1114" s="24" t="str">
        <f>VLOOKUP(dynamic[customerID],customers[],2,FALSE)</f>
        <v>France restauration</v>
      </c>
      <c r="D1114" s="24">
        <v>45186.0</v>
      </c>
      <c r="E1114" s="6">
        <f>IFERROR(__xludf.DUMMYFUNCTION("COUNTUNIQUEIFS($A$2:$A1114,$B$2:$B1114,B1114)"),1.0)</f>
        <v>1</v>
      </c>
      <c r="F1114" s="6">
        <f t="shared" si="1"/>
        <v>0</v>
      </c>
      <c r="G1114" s="6" t="str">
        <f>IF(MINIFS(dynamic[orderDate], dynamic[customerID], B1114) &gt;= DATE(2024,4,30)-120, 
     "New", 
     IF(MAXIFS(dynamic[orderCount], dynamic[customerID], B1114)&lt;=2, 
        IF((DATE(2024,4,30) - MAXIFS(dynamic[orderDate], dynamic[customerID], B1114)) &gt; 180, "Non-Returning", "Dormant"), 
        IF(AND(MAX(dynamic[sinceLastOrder]) &gt; 365, (DATE(2024,4,30) - MAXIFS(dynamic[orderDate], dynamic[customerID], B1114)) &gt; 180), 
           "Dormant", "Regular")))</f>
        <v>Regular</v>
      </c>
      <c r="H1114" s="6">
        <v>16.0</v>
      </c>
      <c r="I1114" s="9" t="str">
        <f>VLOOKUP(dynamic[productID],products[],2,FALSE)</f>
        <v>Pavlova</v>
      </c>
      <c r="J1114" s="9" t="str">
        <f>VLOOKUP(dynamic[productID],products[],12,FALSE)</f>
        <v>Confections</v>
      </c>
      <c r="K1114" s="7" t="str">
        <f>IF(VLOOKUP(dynamic[productID],products[],7,FALSE)=1,"Discontinued","Current")</f>
        <v>Current</v>
      </c>
      <c r="L1114" s="9">
        <f>VLOOKUP(dynamic[productID],products[],IF(YEAR(dynamic[orderDate])=2022,8,IF(YEAR(dynamic[orderDate])=2023,9,IF(YEAR(dynamic[orderDate])=2024,10,NA))),FALSE)</f>
        <v>11.98504839</v>
      </c>
      <c r="M1114" s="9">
        <v>17.45</v>
      </c>
      <c r="N1114" s="25">
        <f>(dynamic[orderPrice]-dynamic[productCost])/dynamic[productCost]</f>
        <v>0.455980771</v>
      </c>
      <c r="O1114" s="10">
        <v>10.0</v>
      </c>
      <c r="P1114" s="25">
        <v>0.0</v>
      </c>
      <c r="Q1114" s="9">
        <f>dynamic[orderPrice]*dynamic[orderQuantity]</f>
        <v>174.5</v>
      </c>
      <c r="R1114" s="9">
        <f>dynamic[orderTotal]*(1-dynamic[discountApllied])</f>
        <v>174.5</v>
      </c>
      <c r="S1114" s="9">
        <f>dynamic[revenue]-(dynamic[productCost]*dynamic[orderQuantity])</f>
        <v>54.64951607</v>
      </c>
      <c r="T1114" s="25">
        <f>IFERROR(dynamic[profit]/dynamic[revenue], 0)</f>
        <v>0.3131777425</v>
      </c>
    </row>
    <row r="1115" ht="15.75" customHeight="1">
      <c r="A1115" s="6">
        <v>10671.0</v>
      </c>
      <c r="B1115" s="7" t="s">
        <v>101</v>
      </c>
      <c r="C1115" s="24" t="str">
        <f>VLOOKUP(dynamic[customerID],customers[],2,FALSE)</f>
        <v>France restauration</v>
      </c>
      <c r="D1115" s="24">
        <v>45186.0</v>
      </c>
      <c r="E1115" s="6">
        <f>IFERROR(__xludf.DUMMYFUNCTION("COUNTUNIQUEIFS($A$2:$A1115,$B$2:$B1115,B1115)"),1.0)</f>
        <v>1</v>
      </c>
      <c r="F1115" s="6">
        <f t="shared" si="1"/>
        <v>0</v>
      </c>
      <c r="G1115" s="6" t="str">
        <f>IF(MINIFS(dynamic[orderDate], dynamic[customerID], B1115) &gt;= DATE(2024,4,30)-120, 
     "New", 
     IF(MAXIFS(dynamic[orderCount], dynamic[customerID], B1115)&lt;=2, 
        IF((DATE(2024,4,30) - MAXIFS(dynamic[orderDate], dynamic[customerID], B1115)) &gt; 180, "Non-Returning", "Dormant"), 
        IF(AND(MAX(dynamic[sinceLastOrder]) &gt; 365, (DATE(2024,4,30) - MAXIFS(dynamic[orderDate], dynamic[customerID], B1115)) &gt; 180), 
           "Dormant", "Regular")))</f>
        <v>Regular</v>
      </c>
      <c r="H1115" s="6">
        <v>62.0</v>
      </c>
      <c r="I1115" s="9" t="str">
        <f>VLOOKUP(dynamic[productID],products[],2,FALSE)</f>
        <v>Tarte au sucre</v>
      </c>
      <c r="J1115" s="9" t="str">
        <f>VLOOKUP(dynamic[productID],products[],12,FALSE)</f>
        <v>Confections</v>
      </c>
      <c r="K1115" s="7" t="str">
        <f>IF(VLOOKUP(dynamic[productID],products[],7,FALSE)=1,"Discontinued","Current")</f>
        <v>Current</v>
      </c>
      <c r="L1115" s="9">
        <f>VLOOKUP(dynamic[productID],products[],IF(YEAR(dynamic[orderDate])=2022,8,IF(YEAR(dynamic[orderDate])=2023,9,IF(YEAR(dynamic[orderDate])=2024,10,NA))),FALSE)</f>
        <v>35.34792781</v>
      </c>
      <c r="M1115" s="9">
        <v>49.3</v>
      </c>
      <c r="N1115" s="25">
        <f>(dynamic[orderPrice]-dynamic[productCost])/dynamic[productCost]</f>
        <v>0.3947069335</v>
      </c>
      <c r="O1115" s="10">
        <v>10.0</v>
      </c>
      <c r="P1115" s="25">
        <v>0.0</v>
      </c>
      <c r="Q1115" s="9">
        <f>dynamic[orderPrice]*dynamic[orderQuantity]</f>
        <v>493</v>
      </c>
      <c r="R1115" s="9">
        <f>dynamic[orderTotal]*(1-dynamic[discountApllied])</f>
        <v>493</v>
      </c>
      <c r="S1115" s="9">
        <f>dynamic[revenue]-(dynamic[productCost]*dynamic[orderQuantity])</f>
        <v>139.5207219</v>
      </c>
      <c r="T1115" s="25">
        <f>IFERROR(dynamic[profit]/dynamic[revenue], 0)</f>
        <v>0.2830034927</v>
      </c>
    </row>
    <row r="1116" ht="15.75" customHeight="1">
      <c r="A1116" s="6">
        <v>10671.0</v>
      </c>
      <c r="B1116" s="7" t="s">
        <v>101</v>
      </c>
      <c r="C1116" s="24" t="str">
        <f>VLOOKUP(dynamic[customerID],customers[],2,FALSE)</f>
        <v>France restauration</v>
      </c>
      <c r="D1116" s="24">
        <v>45186.0</v>
      </c>
      <c r="E1116" s="6">
        <f>IFERROR(__xludf.DUMMYFUNCTION("COUNTUNIQUEIFS($A$2:$A1116,$B$2:$B1116,B1116)"),1.0)</f>
        <v>1</v>
      </c>
      <c r="F1116" s="6">
        <f t="shared" si="1"/>
        <v>0</v>
      </c>
      <c r="G1116" s="6" t="str">
        <f>IF(MINIFS(dynamic[orderDate], dynamic[customerID], B1116) &gt;= DATE(2024,4,30)-120, 
     "New", 
     IF(MAXIFS(dynamic[orderCount], dynamic[customerID], B1116)&lt;=2, 
        IF((DATE(2024,4,30) - MAXIFS(dynamic[orderDate], dynamic[customerID], B1116)) &gt; 180, "Non-Returning", "Dormant"), 
        IF(AND(MAX(dynamic[sinceLastOrder]) &gt; 365, (DATE(2024,4,30) - MAXIFS(dynamic[orderDate], dynamic[customerID], B1116)) &gt; 180), 
           "Dormant", "Regular")))</f>
        <v>Regular</v>
      </c>
      <c r="H1116" s="6">
        <v>65.0</v>
      </c>
      <c r="I1116" s="9" t="str">
        <f>VLOOKUP(dynamic[productID],products[],2,FALSE)</f>
        <v>Louisiana Fiery Hot Pepper Sauce</v>
      </c>
      <c r="J1116" s="9" t="str">
        <f>VLOOKUP(dynamic[productID],products[],12,FALSE)</f>
        <v>Condiments</v>
      </c>
      <c r="K1116" s="7" t="str">
        <f>IF(VLOOKUP(dynamic[productID],products[],7,FALSE)=1,"Discontinued","Current")</f>
        <v>Current</v>
      </c>
      <c r="L1116" s="9">
        <f>VLOOKUP(dynamic[productID],products[],IF(YEAR(dynamic[orderDate])=2022,8,IF(YEAR(dynamic[orderDate])=2023,9,IF(YEAR(dynamic[orderDate])=2024,10,NA))),FALSE)</f>
        <v>13.21122243</v>
      </c>
      <c r="M1116" s="9">
        <v>21.05</v>
      </c>
      <c r="N1116" s="25">
        <f>(dynamic[orderPrice]-dynamic[productCost])/dynamic[productCost]</f>
        <v>0.593342335</v>
      </c>
      <c r="O1116" s="10">
        <v>12.0</v>
      </c>
      <c r="P1116" s="25">
        <v>0.0</v>
      </c>
      <c r="Q1116" s="9">
        <f>dynamic[orderPrice]*dynamic[orderQuantity]</f>
        <v>252.6</v>
      </c>
      <c r="R1116" s="9">
        <f>dynamic[orderTotal]*(1-dynamic[discountApllied])</f>
        <v>252.6</v>
      </c>
      <c r="S1116" s="9">
        <f>dynamic[revenue]-(dynamic[productCost]*dynamic[orderQuantity])</f>
        <v>94.0653308</v>
      </c>
      <c r="T1116" s="25">
        <f>IFERROR(dynamic[profit]/dynamic[revenue], 0)</f>
        <v>0.372388483</v>
      </c>
    </row>
    <row r="1117" ht="15.75" customHeight="1">
      <c r="A1117" s="6">
        <v>10672.0</v>
      </c>
      <c r="B1117" s="7" t="s">
        <v>40</v>
      </c>
      <c r="C1117" s="24" t="str">
        <f>VLOOKUP(dynamic[customerID],customers[],2,FALSE)</f>
        <v>Berglunds snabbköp</v>
      </c>
      <c r="D1117" s="24">
        <v>45186.0</v>
      </c>
      <c r="E1117" s="6">
        <f>IFERROR(__xludf.DUMMYFUNCTION("COUNTUNIQUEIFS($A$2:$A1117,$B$2:$B1117,B1117)"),10.0)</f>
        <v>10</v>
      </c>
      <c r="F1117" s="6">
        <f t="shared" si="1"/>
        <v>15</v>
      </c>
      <c r="G1117" s="6" t="str">
        <f>IF(MINIFS(dynamic[orderDate], dynamic[customerID], B1117) &gt;= DATE(2024,4,30)-120, 
     "New", 
     IF(MAXIFS(dynamic[orderCount], dynamic[customerID], B1117)&lt;=2, 
        IF((DATE(2024,4,30) - MAXIFS(dynamic[orderDate], dynamic[customerID], B1117)) &gt; 180, "Non-Returning", "Dormant"), 
        IF(AND(MAX(dynamic[sinceLastOrder]) &gt; 365, (DATE(2024,4,30) - MAXIFS(dynamic[orderDate], dynamic[customerID], B1117)) &gt; 180), 
           "Dormant", "Regular")))</f>
        <v>Regular</v>
      </c>
      <c r="H1117" s="6">
        <v>38.0</v>
      </c>
      <c r="I1117" s="9" t="str">
        <f>VLOOKUP(dynamic[productID],products[],2,FALSE)</f>
        <v>Côte de Blaye</v>
      </c>
      <c r="J1117" s="9" t="str">
        <f>VLOOKUP(dynamic[productID],products[],12,FALSE)</f>
        <v>Beverages</v>
      </c>
      <c r="K1117" s="7" t="str">
        <f>IF(VLOOKUP(dynamic[productID],products[],7,FALSE)=1,"Discontinued","Current")</f>
        <v>Current</v>
      </c>
      <c r="L1117" s="9">
        <f>VLOOKUP(dynamic[productID],products[],IF(YEAR(dynamic[orderDate])=2022,8,IF(YEAR(dynamic[orderDate])=2023,9,IF(YEAR(dynamic[orderDate])=2024,10,NA))),FALSE)</f>
        <v>175.9515711</v>
      </c>
      <c r="M1117" s="9">
        <v>263.5</v>
      </c>
      <c r="N1117" s="25">
        <f>(dynamic[orderPrice]-dynamic[productCost])/dynamic[productCost]</f>
        <v>0.4975711688</v>
      </c>
      <c r="O1117" s="10">
        <v>15.0</v>
      </c>
      <c r="P1117" s="25">
        <v>0.1</v>
      </c>
      <c r="Q1117" s="9">
        <f>dynamic[orderPrice]*dynamic[orderQuantity]</f>
        <v>3952.5</v>
      </c>
      <c r="R1117" s="9">
        <f>dynamic[orderTotal]*(1-dynamic[discountApllied])</f>
        <v>3557.25</v>
      </c>
      <c r="S1117" s="9">
        <f>dynamic[revenue]-(dynamic[productCost]*dynamic[orderQuantity])</f>
        <v>917.9764334</v>
      </c>
      <c r="T1117" s="25">
        <f>IFERROR(dynamic[profit]/dynamic[revenue], 0)</f>
        <v>0.2580578912</v>
      </c>
    </row>
    <row r="1118" ht="15.75" customHeight="1">
      <c r="A1118" s="6">
        <v>10672.0</v>
      </c>
      <c r="B1118" s="7" t="s">
        <v>40</v>
      </c>
      <c r="C1118" s="24" t="str">
        <f>VLOOKUP(dynamic[customerID],customers[],2,FALSE)</f>
        <v>Berglunds snabbköp</v>
      </c>
      <c r="D1118" s="24">
        <v>45186.0</v>
      </c>
      <c r="E1118" s="6">
        <f>IFERROR(__xludf.DUMMYFUNCTION("COUNTUNIQUEIFS($A$2:$A1118,$B$2:$B1118,B1118)"),10.0)</f>
        <v>10</v>
      </c>
      <c r="F1118" s="6">
        <f t="shared" si="1"/>
        <v>15</v>
      </c>
      <c r="G1118" s="6" t="str">
        <f>IF(MINIFS(dynamic[orderDate], dynamic[customerID], B1118) &gt;= DATE(2024,4,30)-120, 
     "New", 
     IF(MAXIFS(dynamic[orderCount], dynamic[customerID], B1118)&lt;=2, 
        IF((DATE(2024,4,30) - MAXIFS(dynamic[orderDate], dynamic[customerID], B1118)) &gt; 180, "Non-Returning", "Dormant"), 
        IF(AND(MAX(dynamic[sinceLastOrder]) &gt; 365, (DATE(2024,4,30) - MAXIFS(dynamic[orderDate], dynamic[customerID], B1118)) &gt; 180), 
           "Dormant", "Regular")))</f>
        <v>Regular</v>
      </c>
      <c r="H1118" s="6">
        <v>71.0</v>
      </c>
      <c r="I1118" s="9" t="str">
        <f>VLOOKUP(dynamic[productID],products[],2,FALSE)</f>
        <v>Flotemysost</v>
      </c>
      <c r="J1118" s="9" t="str">
        <f>VLOOKUP(dynamic[productID],products[],12,FALSE)</f>
        <v>Dairy Products</v>
      </c>
      <c r="K1118" s="7" t="str">
        <f>IF(VLOOKUP(dynamic[productID],products[],7,FALSE)=1,"Discontinued","Current")</f>
        <v>Current</v>
      </c>
      <c r="L1118" s="9">
        <f>VLOOKUP(dynamic[productID],products[],IF(YEAR(dynamic[orderDate])=2022,8,IF(YEAR(dynamic[orderDate])=2023,9,IF(YEAR(dynamic[orderDate])=2024,10,NA))),FALSE)</f>
        <v>13.4003664</v>
      </c>
      <c r="M1118" s="9">
        <v>21.5</v>
      </c>
      <c r="N1118" s="25">
        <f>(dynamic[orderPrice]-dynamic[productCost])/dynamic[productCost]</f>
        <v>0.6044337411</v>
      </c>
      <c r="O1118" s="10">
        <v>12.0</v>
      </c>
      <c r="P1118" s="25">
        <v>0.0</v>
      </c>
      <c r="Q1118" s="9">
        <f>dynamic[orderPrice]*dynamic[orderQuantity]</f>
        <v>258</v>
      </c>
      <c r="R1118" s="9">
        <f>dynamic[orderTotal]*(1-dynamic[discountApllied])</f>
        <v>258</v>
      </c>
      <c r="S1118" s="9">
        <f>dynamic[revenue]-(dynamic[productCost]*dynamic[orderQuantity])</f>
        <v>97.19560316</v>
      </c>
      <c r="T1118" s="25">
        <f>IFERROR(dynamic[profit]/dynamic[revenue], 0)</f>
        <v>0.376727144</v>
      </c>
    </row>
    <row r="1119" ht="15.75" customHeight="1">
      <c r="A1119" s="6">
        <v>10673.0</v>
      </c>
      <c r="B1119" s="7" t="s">
        <v>98</v>
      </c>
      <c r="C1119" s="24" t="str">
        <f>VLOOKUP(dynamic[customerID],customers[],2,FALSE)</f>
        <v>Wilman Kala</v>
      </c>
      <c r="D1119" s="24">
        <v>45187.0</v>
      </c>
      <c r="E1119" s="6">
        <f>IFERROR(__xludf.DUMMYFUNCTION("COUNTUNIQUEIFS($A$2:$A1119,$B$2:$B1119,B1119)"),2.0)</f>
        <v>2</v>
      </c>
      <c r="F1119" s="6">
        <f t="shared" si="1"/>
        <v>50</v>
      </c>
      <c r="G1119" s="6" t="str">
        <f>IF(MINIFS(dynamic[orderDate], dynamic[customerID], B1119) &gt;= DATE(2024,4,30)-120, 
     "New", 
     IF(MAXIFS(dynamic[orderCount], dynamic[customerID], B1119)&lt;=2, 
        IF((DATE(2024,4,30) - MAXIFS(dynamic[orderDate], dynamic[customerID], B1119)) &gt; 180, "Non-Returning", "Dormant"), 
        IF(AND(MAX(dynamic[sinceLastOrder]) &gt; 365, (DATE(2024,4,30) - MAXIFS(dynamic[orderDate], dynamic[customerID], B1119)) &gt; 180), 
           "Dormant", "Regular")))</f>
        <v>Regular</v>
      </c>
      <c r="H1119" s="6">
        <v>16.0</v>
      </c>
      <c r="I1119" s="9" t="str">
        <f>VLOOKUP(dynamic[productID],products[],2,FALSE)</f>
        <v>Pavlova</v>
      </c>
      <c r="J1119" s="9" t="str">
        <f>VLOOKUP(dynamic[productID],products[],12,FALSE)</f>
        <v>Confections</v>
      </c>
      <c r="K1119" s="7" t="str">
        <f>IF(VLOOKUP(dynamic[productID],products[],7,FALSE)=1,"Discontinued","Current")</f>
        <v>Current</v>
      </c>
      <c r="L1119" s="9">
        <f>VLOOKUP(dynamic[productID],products[],IF(YEAR(dynamic[orderDate])=2022,8,IF(YEAR(dynamic[orderDate])=2023,9,IF(YEAR(dynamic[orderDate])=2024,10,NA))),FALSE)</f>
        <v>11.98504839</v>
      </c>
      <c r="M1119" s="9">
        <v>17.45</v>
      </c>
      <c r="N1119" s="25">
        <f>(dynamic[orderPrice]-dynamic[productCost])/dynamic[productCost]</f>
        <v>0.455980771</v>
      </c>
      <c r="O1119" s="10">
        <v>3.0</v>
      </c>
      <c r="P1119" s="25">
        <v>0.0</v>
      </c>
      <c r="Q1119" s="9">
        <f>dynamic[orderPrice]*dynamic[orderQuantity]</f>
        <v>52.35</v>
      </c>
      <c r="R1119" s="9">
        <f>dynamic[orderTotal]*(1-dynamic[discountApllied])</f>
        <v>52.35</v>
      </c>
      <c r="S1119" s="9">
        <f>dynamic[revenue]-(dynamic[productCost]*dynamic[orderQuantity])</f>
        <v>16.39485482</v>
      </c>
      <c r="T1119" s="25">
        <f>IFERROR(dynamic[profit]/dynamic[revenue], 0)</f>
        <v>0.3131777425</v>
      </c>
    </row>
    <row r="1120" ht="15.75" customHeight="1">
      <c r="A1120" s="6">
        <v>10673.0</v>
      </c>
      <c r="B1120" s="7" t="s">
        <v>98</v>
      </c>
      <c r="C1120" s="24" t="str">
        <f>VLOOKUP(dynamic[customerID],customers[],2,FALSE)</f>
        <v>Wilman Kala</v>
      </c>
      <c r="D1120" s="24">
        <v>45187.0</v>
      </c>
      <c r="E1120" s="6">
        <f>IFERROR(__xludf.DUMMYFUNCTION("COUNTUNIQUEIFS($A$2:$A1120,$B$2:$B1120,B1120)"),2.0)</f>
        <v>2</v>
      </c>
      <c r="F1120" s="6">
        <f t="shared" si="1"/>
        <v>50</v>
      </c>
      <c r="G1120" s="6" t="str">
        <f>IF(MINIFS(dynamic[orderDate], dynamic[customerID], B1120) &gt;= DATE(2024,4,30)-120, 
     "New", 
     IF(MAXIFS(dynamic[orderCount], dynamic[customerID], B1120)&lt;=2, 
        IF((DATE(2024,4,30) - MAXIFS(dynamic[orderDate], dynamic[customerID], B1120)) &gt; 180, "Non-Returning", "Dormant"), 
        IF(AND(MAX(dynamic[sinceLastOrder]) &gt; 365, (DATE(2024,4,30) - MAXIFS(dynamic[orderDate], dynamic[customerID], B1120)) &gt; 180), 
           "Dormant", "Regular")))</f>
        <v>Regular</v>
      </c>
      <c r="H1120" s="6">
        <v>42.0</v>
      </c>
      <c r="I1120" s="9" t="str">
        <f>VLOOKUP(dynamic[productID],products[],2,FALSE)</f>
        <v>Singaporean Hokkien Fried Mee</v>
      </c>
      <c r="J1120" s="9" t="str">
        <f>VLOOKUP(dynamic[productID],products[],12,FALSE)</f>
        <v>Grains/Cereals</v>
      </c>
      <c r="K1120" s="7" t="str">
        <f>IF(VLOOKUP(dynamic[productID],products[],7,FALSE)=1,"Discontinued","Current")</f>
        <v>Discontinued</v>
      </c>
      <c r="L1120" s="9">
        <f>VLOOKUP(dynamic[productID],products[],IF(YEAR(dynamic[orderDate])=2022,8,IF(YEAR(dynamic[orderDate])=2023,9,IF(YEAR(dynamic[orderDate])=2024,10,NA))),FALSE)</f>
        <v>9.105641621</v>
      </c>
      <c r="M1120" s="9">
        <v>14.0</v>
      </c>
      <c r="N1120" s="25">
        <f>(dynamic[orderPrice]-dynamic[productCost])/dynamic[productCost]</f>
        <v>0.5375083474</v>
      </c>
      <c r="O1120" s="10">
        <v>6.0</v>
      </c>
      <c r="P1120" s="25">
        <v>0.0</v>
      </c>
      <c r="Q1120" s="9">
        <f>dynamic[orderPrice]*dynamic[orderQuantity]</f>
        <v>84</v>
      </c>
      <c r="R1120" s="9">
        <f>dynamic[orderTotal]*(1-dynamic[discountApllied])</f>
        <v>84</v>
      </c>
      <c r="S1120" s="9">
        <f>dynamic[revenue]-(dynamic[productCost]*dynamic[orderQuantity])</f>
        <v>29.36615028</v>
      </c>
      <c r="T1120" s="25">
        <f>IFERROR(dynamic[profit]/dynamic[revenue], 0)</f>
        <v>0.3495970271</v>
      </c>
    </row>
    <row r="1121" ht="15.75" customHeight="1">
      <c r="A1121" s="6">
        <v>10673.0</v>
      </c>
      <c r="B1121" s="7" t="s">
        <v>98</v>
      </c>
      <c r="C1121" s="24" t="str">
        <f>VLOOKUP(dynamic[customerID],customers[],2,FALSE)</f>
        <v>Wilman Kala</v>
      </c>
      <c r="D1121" s="24">
        <v>45187.0</v>
      </c>
      <c r="E1121" s="6">
        <f>IFERROR(__xludf.DUMMYFUNCTION("COUNTUNIQUEIFS($A$2:$A1121,$B$2:$B1121,B1121)"),2.0)</f>
        <v>2</v>
      </c>
      <c r="F1121" s="6">
        <f t="shared" si="1"/>
        <v>50</v>
      </c>
      <c r="G1121" s="6" t="str">
        <f>IF(MINIFS(dynamic[orderDate], dynamic[customerID], B1121) &gt;= DATE(2024,4,30)-120, 
     "New", 
     IF(MAXIFS(dynamic[orderCount], dynamic[customerID], B1121)&lt;=2, 
        IF((DATE(2024,4,30) - MAXIFS(dynamic[orderDate], dynamic[customerID], B1121)) &gt; 180, "Non-Returning", "Dormant"), 
        IF(AND(MAX(dynamic[sinceLastOrder]) &gt; 365, (DATE(2024,4,30) - MAXIFS(dynamic[orderDate], dynamic[customerID], B1121)) &gt; 180), 
           "Dormant", "Regular")))</f>
        <v>Regular</v>
      </c>
      <c r="H1121" s="6">
        <v>43.0</v>
      </c>
      <c r="I1121" s="9" t="str">
        <f>VLOOKUP(dynamic[productID],products[],2,FALSE)</f>
        <v>Ipoh Coffee</v>
      </c>
      <c r="J1121" s="9" t="str">
        <f>VLOOKUP(dynamic[productID],products[],12,FALSE)</f>
        <v>Beverages</v>
      </c>
      <c r="K1121" s="7" t="str">
        <f>IF(VLOOKUP(dynamic[productID],products[],7,FALSE)=1,"Discontinued","Current")</f>
        <v>Current</v>
      </c>
      <c r="L1121" s="9">
        <f>VLOOKUP(dynamic[productID],products[],IF(YEAR(dynamic[orderDate])=2022,8,IF(YEAR(dynamic[orderDate])=2023,9,IF(YEAR(dynamic[orderDate])=2024,10,NA))),FALSE)</f>
        <v>30.96256564</v>
      </c>
      <c r="M1121" s="9">
        <v>46.0</v>
      </c>
      <c r="N1121" s="25">
        <f>(dynamic[orderPrice]-dynamic[productCost])/dynamic[productCost]</f>
        <v>0.4856649976</v>
      </c>
      <c r="O1121" s="10">
        <v>6.0</v>
      </c>
      <c r="P1121" s="25">
        <v>0.0</v>
      </c>
      <c r="Q1121" s="9">
        <f>dynamic[orderPrice]*dynamic[orderQuantity]</f>
        <v>276</v>
      </c>
      <c r="R1121" s="9">
        <f>dynamic[orderTotal]*(1-dynamic[discountApllied])</f>
        <v>276</v>
      </c>
      <c r="S1121" s="9">
        <f>dynamic[revenue]-(dynamic[productCost]*dynamic[orderQuantity])</f>
        <v>90.22460619</v>
      </c>
      <c r="T1121" s="25">
        <f>IFERROR(dynamic[profit]/dynamic[revenue], 0)</f>
        <v>0.3269007471</v>
      </c>
    </row>
    <row r="1122" ht="15.75" customHeight="1">
      <c r="A1122" s="6">
        <v>10674.0</v>
      </c>
      <c r="B1122" s="7" t="s">
        <v>57</v>
      </c>
      <c r="C1122" s="24" t="str">
        <f>VLOOKUP(dynamic[customerID],customers[],2,FALSE)</f>
        <v>Island Trading</v>
      </c>
      <c r="D1122" s="24">
        <v>45187.0</v>
      </c>
      <c r="E1122" s="6">
        <f>IFERROR(__xludf.DUMMYFUNCTION("COUNTUNIQUEIFS($A$2:$A1122,$B$2:$B1122,B1122)"),6.0)</f>
        <v>6</v>
      </c>
      <c r="F1122" s="6">
        <f t="shared" si="1"/>
        <v>44</v>
      </c>
      <c r="G1122" s="6" t="str">
        <f>IF(MINIFS(dynamic[orderDate], dynamic[customerID], B1122) &gt;= DATE(2024,4,30)-120, 
     "New", 
     IF(MAXIFS(dynamic[orderCount], dynamic[customerID], B1122)&lt;=2, 
        IF((DATE(2024,4,30) - MAXIFS(dynamic[orderDate], dynamic[customerID], B1122)) &gt; 180, "Non-Returning", "Dormant"), 
        IF(AND(MAX(dynamic[sinceLastOrder]) &gt; 365, (DATE(2024,4,30) - MAXIFS(dynamic[orderDate], dynamic[customerID], B1122)) &gt; 180), 
           "Dormant", "Regular")))</f>
        <v>Regular</v>
      </c>
      <c r="H1122" s="6">
        <v>23.0</v>
      </c>
      <c r="I1122" s="9" t="str">
        <f>VLOOKUP(dynamic[productID],products[],2,FALSE)</f>
        <v>Tunnbröd</v>
      </c>
      <c r="J1122" s="9" t="str">
        <f>VLOOKUP(dynamic[productID],products[],12,FALSE)</f>
        <v>Grains/Cereals</v>
      </c>
      <c r="K1122" s="7" t="str">
        <f>IF(VLOOKUP(dynamic[productID],products[],7,FALSE)=1,"Discontinued","Current")</f>
        <v>Current</v>
      </c>
      <c r="L1122" s="9">
        <f>VLOOKUP(dynamic[productID],products[],IF(YEAR(dynamic[orderDate])=2022,8,IF(YEAR(dynamic[orderDate])=2023,9,IF(YEAR(dynamic[orderDate])=2024,10,NA))),FALSE)</f>
        <v>5.989059129</v>
      </c>
      <c r="M1122" s="9">
        <v>9.0</v>
      </c>
      <c r="N1122" s="25">
        <f>(dynamic[orderPrice]-dynamic[productCost])/dynamic[productCost]</f>
        <v>0.5027402146</v>
      </c>
      <c r="O1122" s="10">
        <v>5.0</v>
      </c>
      <c r="P1122" s="25">
        <v>0.0</v>
      </c>
      <c r="Q1122" s="9">
        <f>dynamic[orderPrice]*dynamic[orderQuantity]</f>
        <v>45</v>
      </c>
      <c r="R1122" s="9">
        <f>dynamic[orderTotal]*(1-dynamic[discountApllied])</f>
        <v>45</v>
      </c>
      <c r="S1122" s="9">
        <f>dynamic[revenue]-(dynamic[productCost]*dynamic[orderQuantity])</f>
        <v>15.05470436</v>
      </c>
      <c r="T1122" s="25">
        <f>IFERROR(dynamic[profit]/dynamic[revenue], 0)</f>
        <v>0.3345489857</v>
      </c>
    </row>
    <row r="1123" ht="15.75" customHeight="1">
      <c r="A1123" s="6">
        <v>10675.0</v>
      </c>
      <c r="B1123" s="7" t="s">
        <v>32</v>
      </c>
      <c r="C1123" s="24" t="str">
        <f>VLOOKUP(dynamic[customerID],customers[],2,FALSE)</f>
        <v>Frankenversand</v>
      </c>
      <c r="D1123" s="24">
        <v>45188.0</v>
      </c>
      <c r="E1123" s="6">
        <f>IFERROR(__xludf.DUMMYFUNCTION("COUNTUNIQUEIFS($A$2:$A1123,$B$2:$B1123,B1123)"),10.0)</f>
        <v>10</v>
      </c>
      <c r="F1123" s="6">
        <f t="shared" si="1"/>
        <v>3</v>
      </c>
      <c r="G1123" s="6" t="str">
        <f>IF(MINIFS(dynamic[orderDate], dynamic[customerID], B1123) &gt;= DATE(2024,4,30)-120, 
     "New", 
     IF(MAXIFS(dynamic[orderCount], dynamic[customerID], B1123)&lt;=2, 
        IF((DATE(2024,4,30) - MAXIFS(dynamic[orderDate], dynamic[customerID], B1123)) &gt; 180, "Non-Returning", "Dormant"), 
        IF(AND(MAX(dynamic[sinceLastOrder]) &gt; 365, (DATE(2024,4,30) - MAXIFS(dynamic[orderDate], dynamic[customerID], B1123)) &gt; 180), 
           "Dormant", "Regular")))</f>
        <v>Regular</v>
      </c>
      <c r="H1123" s="6">
        <v>14.0</v>
      </c>
      <c r="I1123" s="9" t="str">
        <f>VLOOKUP(dynamic[productID],products[],2,FALSE)</f>
        <v>Tofu</v>
      </c>
      <c r="J1123" s="9" t="str">
        <f>VLOOKUP(dynamic[productID],products[],12,FALSE)</f>
        <v>Produce</v>
      </c>
      <c r="K1123" s="7" t="str">
        <f>IF(VLOOKUP(dynamic[productID],products[],7,FALSE)=1,"Discontinued","Current")</f>
        <v>Current</v>
      </c>
      <c r="L1123" s="9">
        <f>VLOOKUP(dynamic[productID],products[],IF(YEAR(dynamic[orderDate])=2022,8,IF(YEAR(dynamic[orderDate])=2023,9,IF(YEAR(dynamic[orderDate])=2024,10,NA))),FALSE)</f>
        <v>15.38055417</v>
      </c>
      <c r="M1123" s="9">
        <v>23.25</v>
      </c>
      <c r="N1123" s="25">
        <f>(dynamic[orderPrice]-dynamic[productCost])/dynamic[productCost]</f>
        <v>0.5116490437</v>
      </c>
      <c r="O1123" s="10">
        <v>30.0</v>
      </c>
      <c r="P1123" s="25">
        <v>0.0</v>
      </c>
      <c r="Q1123" s="9">
        <f>dynamic[orderPrice]*dynamic[orderQuantity]</f>
        <v>697.5</v>
      </c>
      <c r="R1123" s="9">
        <f>dynamic[orderTotal]*(1-dynamic[discountApllied])</f>
        <v>697.5</v>
      </c>
      <c r="S1123" s="9">
        <f>dynamic[revenue]-(dynamic[productCost]*dynamic[orderQuantity])</f>
        <v>236.0833749</v>
      </c>
      <c r="T1123" s="25">
        <f>IFERROR(dynamic[profit]/dynamic[revenue], 0)</f>
        <v>0.3384707885</v>
      </c>
    </row>
    <row r="1124" ht="15.75" customHeight="1">
      <c r="A1124" s="6">
        <v>10675.0</v>
      </c>
      <c r="B1124" s="7" t="s">
        <v>32</v>
      </c>
      <c r="C1124" s="24" t="str">
        <f>VLOOKUP(dynamic[customerID],customers[],2,FALSE)</f>
        <v>Frankenversand</v>
      </c>
      <c r="D1124" s="24">
        <v>45188.0</v>
      </c>
      <c r="E1124" s="6">
        <f>IFERROR(__xludf.DUMMYFUNCTION("COUNTUNIQUEIFS($A$2:$A1124,$B$2:$B1124,B1124)"),10.0)</f>
        <v>10</v>
      </c>
      <c r="F1124" s="6">
        <f t="shared" si="1"/>
        <v>3</v>
      </c>
      <c r="G1124" s="6" t="str">
        <f>IF(MINIFS(dynamic[orderDate], dynamic[customerID], B1124) &gt;= DATE(2024,4,30)-120, 
     "New", 
     IF(MAXIFS(dynamic[orderCount], dynamic[customerID], B1124)&lt;=2, 
        IF((DATE(2024,4,30) - MAXIFS(dynamic[orderDate], dynamic[customerID], B1124)) &gt; 180, "Non-Returning", "Dormant"), 
        IF(AND(MAX(dynamic[sinceLastOrder]) &gt; 365, (DATE(2024,4,30) - MAXIFS(dynamic[orderDate], dynamic[customerID], B1124)) &gt; 180), 
           "Dormant", "Regular")))</f>
        <v>Regular</v>
      </c>
      <c r="H1124" s="6">
        <v>53.0</v>
      </c>
      <c r="I1124" s="9" t="str">
        <f>VLOOKUP(dynamic[productID],products[],2,FALSE)</f>
        <v>Perth Pasties</v>
      </c>
      <c r="J1124" s="9" t="str">
        <f>VLOOKUP(dynamic[productID],products[],12,FALSE)</f>
        <v>Meat/Poultry</v>
      </c>
      <c r="K1124" s="7" t="str">
        <f>IF(VLOOKUP(dynamic[productID],products[],7,FALSE)=1,"Discontinued","Current")</f>
        <v>Discontinued</v>
      </c>
      <c r="L1124" s="9">
        <f>VLOOKUP(dynamic[productID],products[],IF(YEAR(dynamic[orderDate])=2022,8,IF(YEAR(dynamic[orderDate])=2023,9,IF(YEAR(dynamic[orderDate])=2024,10,NA))),FALSE)</f>
        <v>21.81491556</v>
      </c>
      <c r="M1124" s="9">
        <v>32.8</v>
      </c>
      <c r="N1124" s="25">
        <f>(dynamic[orderPrice]-dynamic[productCost])/dynamic[productCost]</f>
        <v>0.5035584214</v>
      </c>
      <c r="O1124" s="10">
        <v>10.0</v>
      </c>
      <c r="P1124" s="25">
        <v>0.0</v>
      </c>
      <c r="Q1124" s="9">
        <f>dynamic[orderPrice]*dynamic[orderQuantity]</f>
        <v>328</v>
      </c>
      <c r="R1124" s="9">
        <f>dynamic[orderTotal]*(1-dynamic[discountApllied])</f>
        <v>328</v>
      </c>
      <c r="S1124" s="9">
        <f>dynamic[revenue]-(dynamic[productCost]*dynamic[orderQuantity])</f>
        <v>109.8508444</v>
      </c>
      <c r="T1124" s="25">
        <f>IFERROR(dynamic[profit]/dynamic[revenue], 0)</f>
        <v>0.334911111</v>
      </c>
    </row>
    <row r="1125" ht="15.75" customHeight="1">
      <c r="A1125" s="6">
        <v>10675.0</v>
      </c>
      <c r="B1125" s="7" t="s">
        <v>32</v>
      </c>
      <c r="C1125" s="24" t="str">
        <f>VLOOKUP(dynamic[customerID],customers[],2,FALSE)</f>
        <v>Frankenversand</v>
      </c>
      <c r="D1125" s="24">
        <v>45188.0</v>
      </c>
      <c r="E1125" s="6">
        <f>IFERROR(__xludf.DUMMYFUNCTION("COUNTUNIQUEIFS($A$2:$A1125,$B$2:$B1125,B1125)"),10.0)</f>
        <v>10</v>
      </c>
      <c r="F1125" s="6">
        <f t="shared" si="1"/>
        <v>3</v>
      </c>
      <c r="G1125" s="6" t="str">
        <f>IF(MINIFS(dynamic[orderDate], dynamic[customerID], B1125) &gt;= DATE(2024,4,30)-120, 
     "New", 
     IF(MAXIFS(dynamic[orderCount], dynamic[customerID], B1125)&lt;=2, 
        IF((DATE(2024,4,30) - MAXIFS(dynamic[orderDate], dynamic[customerID], B1125)) &gt; 180, "Non-Returning", "Dormant"), 
        IF(AND(MAX(dynamic[sinceLastOrder]) &gt; 365, (DATE(2024,4,30) - MAXIFS(dynamic[orderDate], dynamic[customerID], B1125)) &gt; 180), 
           "Dormant", "Regular")))</f>
        <v>Regular</v>
      </c>
      <c r="H1125" s="6">
        <v>58.0</v>
      </c>
      <c r="I1125" s="9" t="str">
        <f>VLOOKUP(dynamic[productID],products[],2,FALSE)</f>
        <v>Escargots de Bourgogne</v>
      </c>
      <c r="J1125" s="9" t="str">
        <f>VLOOKUP(dynamic[productID],products[],12,FALSE)</f>
        <v>Seafood</v>
      </c>
      <c r="K1125" s="7" t="str">
        <f>IF(VLOOKUP(dynamic[productID],products[],7,FALSE)=1,"Discontinued","Current")</f>
        <v>Current</v>
      </c>
      <c r="L1125" s="9">
        <f>VLOOKUP(dynamic[productID],products[],IF(YEAR(dynamic[orderDate])=2022,8,IF(YEAR(dynamic[orderDate])=2023,9,IF(YEAR(dynamic[orderDate])=2024,10,NA))),FALSE)</f>
        <v>8.208446365</v>
      </c>
      <c r="M1125" s="9">
        <v>13.25</v>
      </c>
      <c r="N1125" s="25">
        <f>(dynamic[orderPrice]-dynamic[productCost])/dynamic[productCost]</f>
        <v>0.61419097</v>
      </c>
      <c r="O1125" s="10">
        <v>30.0</v>
      </c>
      <c r="P1125" s="25">
        <v>0.0</v>
      </c>
      <c r="Q1125" s="9">
        <f>dynamic[orderPrice]*dynamic[orderQuantity]</f>
        <v>397.5</v>
      </c>
      <c r="R1125" s="9">
        <f>dynamic[orderTotal]*(1-dynamic[discountApllied])</f>
        <v>397.5</v>
      </c>
      <c r="S1125" s="9">
        <f>dynamic[revenue]-(dynamic[productCost]*dynamic[orderQuantity])</f>
        <v>151.2466091</v>
      </c>
      <c r="T1125" s="25">
        <f>IFERROR(dynamic[profit]/dynamic[revenue], 0)</f>
        <v>0.380494614</v>
      </c>
    </row>
    <row r="1126" ht="15.75" customHeight="1">
      <c r="A1126" s="6">
        <v>10676.0</v>
      </c>
      <c r="B1126" s="7" t="s">
        <v>38</v>
      </c>
      <c r="C1126" s="24" t="str">
        <f>VLOOKUP(dynamic[customerID],customers[],2,FALSE)</f>
        <v>Tortuga Restaurante</v>
      </c>
      <c r="D1126" s="24">
        <v>45191.0</v>
      </c>
      <c r="E1126" s="6">
        <f>IFERROR(__xludf.DUMMYFUNCTION("COUNTUNIQUEIFS($A$2:$A1126,$B$2:$B1126,B1126)"),7.0)</f>
        <v>7</v>
      </c>
      <c r="F1126" s="6">
        <f t="shared" si="1"/>
        <v>91</v>
      </c>
      <c r="G1126" s="6" t="str">
        <f>IF(MINIFS(dynamic[orderDate], dynamic[customerID], B1126) &gt;= DATE(2024,4,30)-120, 
     "New", 
     IF(MAXIFS(dynamic[orderCount], dynamic[customerID], B1126)&lt;=2, 
        IF((DATE(2024,4,30) - MAXIFS(dynamic[orderDate], dynamic[customerID], B1126)) &gt; 180, "Non-Returning", "Dormant"), 
        IF(AND(MAX(dynamic[sinceLastOrder]) &gt; 365, (DATE(2024,4,30) - MAXIFS(dynamic[orderDate], dynamic[customerID], B1126)) &gt; 180), 
           "Dormant", "Regular")))</f>
        <v>Regular</v>
      </c>
      <c r="H1126" s="6">
        <v>10.0</v>
      </c>
      <c r="I1126" s="9" t="str">
        <f>VLOOKUP(dynamic[productID],products[],2,FALSE)</f>
        <v>Ikura</v>
      </c>
      <c r="J1126" s="9" t="str">
        <f>VLOOKUP(dynamic[productID],products[],12,FALSE)</f>
        <v>Seafood</v>
      </c>
      <c r="K1126" s="7" t="str">
        <f>IF(VLOOKUP(dynamic[productID],products[],7,FALSE)=1,"Discontinued","Current")</f>
        <v>Current</v>
      </c>
      <c r="L1126" s="9">
        <f>VLOOKUP(dynamic[productID],products[],IF(YEAR(dynamic[orderDate])=2022,8,IF(YEAR(dynamic[orderDate])=2023,9,IF(YEAR(dynamic[orderDate])=2024,10,NA))),FALSE)</f>
        <v>20.72721922</v>
      </c>
      <c r="M1126" s="9">
        <v>31.0</v>
      </c>
      <c r="N1126" s="25">
        <f>(dynamic[orderPrice]-dynamic[productCost])/dynamic[productCost]</f>
        <v>0.4956178962</v>
      </c>
      <c r="O1126" s="10">
        <v>2.0</v>
      </c>
      <c r="P1126" s="25">
        <v>0.0</v>
      </c>
      <c r="Q1126" s="9">
        <f>dynamic[orderPrice]*dynamic[orderQuantity]</f>
        <v>62</v>
      </c>
      <c r="R1126" s="9">
        <f>dynamic[orderTotal]*(1-dynamic[discountApllied])</f>
        <v>62</v>
      </c>
      <c r="S1126" s="9">
        <f>dynamic[revenue]-(dynamic[productCost]*dynamic[orderQuantity])</f>
        <v>20.54556157</v>
      </c>
      <c r="T1126" s="25">
        <f>IFERROR(dynamic[profit]/dynamic[revenue], 0)</f>
        <v>0.3313800252</v>
      </c>
    </row>
    <row r="1127" ht="15.75" customHeight="1">
      <c r="A1127" s="6">
        <v>10676.0</v>
      </c>
      <c r="B1127" s="7" t="s">
        <v>38</v>
      </c>
      <c r="C1127" s="24" t="str">
        <f>VLOOKUP(dynamic[customerID],customers[],2,FALSE)</f>
        <v>Tortuga Restaurante</v>
      </c>
      <c r="D1127" s="24">
        <v>45191.0</v>
      </c>
      <c r="E1127" s="6">
        <f>IFERROR(__xludf.DUMMYFUNCTION("COUNTUNIQUEIFS($A$2:$A1127,$B$2:$B1127,B1127)"),7.0)</f>
        <v>7</v>
      </c>
      <c r="F1127" s="6">
        <f t="shared" si="1"/>
        <v>91</v>
      </c>
      <c r="G1127" s="6" t="str">
        <f>IF(MINIFS(dynamic[orderDate], dynamic[customerID], B1127) &gt;= DATE(2024,4,30)-120, 
     "New", 
     IF(MAXIFS(dynamic[orderCount], dynamic[customerID], B1127)&lt;=2, 
        IF((DATE(2024,4,30) - MAXIFS(dynamic[orderDate], dynamic[customerID], B1127)) &gt; 180, "Non-Returning", "Dormant"), 
        IF(AND(MAX(dynamic[sinceLastOrder]) &gt; 365, (DATE(2024,4,30) - MAXIFS(dynamic[orderDate], dynamic[customerID], B1127)) &gt; 180), 
           "Dormant", "Regular")))</f>
        <v>Regular</v>
      </c>
      <c r="H1127" s="6">
        <v>19.0</v>
      </c>
      <c r="I1127" s="9" t="str">
        <f>VLOOKUP(dynamic[productID],products[],2,FALSE)</f>
        <v>Teatime Chocolate Biscuits</v>
      </c>
      <c r="J1127" s="9" t="str">
        <f>VLOOKUP(dynamic[productID],products[],12,FALSE)</f>
        <v>Confections</v>
      </c>
      <c r="K1127" s="7" t="str">
        <f>IF(VLOOKUP(dynamic[productID],products[],7,FALSE)=1,"Discontinued","Current")</f>
        <v>Current</v>
      </c>
      <c r="L1127" s="9">
        <f>VLOOKUP(dynamic[productID],products[],IF(YEAR(dynamic[orderDate])=2022,8,IF(YEAR(dynamic[orderDate])=2023,9,IF(YEAR(dynamic[orderDate])=2024,10,NA))),FALSE)</f>
        <v>5.901883682</v>
      </c>
      <c r="M1127" s="9">
        <v>9.2</v>
      </c>
      <c r="N1127" s="25">
        <f>(dynamic[orderPrice]-dynamic[productCost])/dynamic[productCost]</f>
        <v>0.5588243508</v>
      </c>
      <c r="O1127" s="10">
        <v>7.0</v>
      </c>
      <c r="P1127" s="25">
        <v>0.0</v>
      </c>
      <c r="Q1127" s="9">
        <f>dynamic[orderPrice]*dynamic[orderQuantity]</f>
        <v>64.4</v>
      </c>
      <c r="R1127" s="9">
        <f>dynamic[orderTotal]*(1-dynamic[discountApllied])</f>
        <v>64.4</v>
      </c>
      <c r="S1127" s="9">
        <f>dynamic[revenue]-(dynamic[productCost]*dynamic[orderQuantity])</f>
        <v>23.08681422</v>
      </c>
      <c r="T1127" s="25">
        <f>IFERROR(dynamic[profit]/dynamic[revenue], 0)</f>
        <v>0.3584909041</v>
      </c>
    </row>
    <row r="1128" ht="15.75" customHeight="1">
      <c r="A1128" s="6">
        <v>10676.0</v>
      </c>
      <c r="B1128" s="7" t="s">
        <v>38</v>
      </c>
      <c r="C1128" s="24" t="str">
        <f>VLOOKUP(dynamic[customerID],customers[],2,FALSE)</f>
        <v>Tortuga Restaurante</v>
      </c>
      <c r="D1128" s="24">
        <v>45191.0</v>
      </c>
      <c r="E1128" s="6">
        <f>IFERROR(__xludf.DUMMYFUNCTION("COUNTUNIQUEIFS($A$2:$A1128,$B$2:$B1128,B1128)"),7.0)</f>
        <v>7</v>
      </c>
      <c r="F1128" s="6">
        <f t="shared" si="1"/>
        <v>91</v>
      </c>
      <c r="G1128" s="6" t="str">
        <f>IF(MINIFS(dynamic[orderDate], dynamic[customerID], B1128) &gt;= DATE(2024,4,30)-120, 
     "New", 
     IF(MAXIFS(dynamic[orderCount], dynamic[customerID], B1128)&lt;=2, 
        IF((DATE(2024,4,30) - MAXIFS(dynamic[orderDate], dynamic[customerID], B1128)) &gt; 180, "Non-Returning", "Dormant"), 
        IF(AND(MAX(dynamic[sinceLastOrder]) &gt; 365, (DATE(2024,4,30) - MAXIFS(dynamic[orderDate], dynamic[customerID], B1128)) &gt; 180), 
           "Dormant", "Regular")))</f>
        <v>Regular</v>
      </c>
      <c r="H1128" s="6">
        <v>44.0</v>
      </c>
      <c r="I1128" s="9" t="str">
        <f>VLOOKUP(dynamic[productID],products[],2,FALSE)</f>
        <v>Gula Malacca</v>
      </c>
      <c r="J1128" s="9" t="str">
        <f>VLOOKUP(dynamic[productID],products[],12,FALSE)</f>
        <v>Condiments</v>
      </c>
      <c r="K1128" s="7" t="str">
        <f>IF(VLOOKUP(dynamic[productID],products[],7,FALSE)=1,"Discontinued","Current")</f>
        <v>Current</v>
      </c>
      <c r="L1128" s="9">
        <f>VLOOKUP(dynamic[productID],products[],IF(YEAR(dynamic[orderDate])=2022,8,IF(YEAR(dynamic[orderDate])=2023,9,IF(YEAR(dynamic[orderDate])=2024,10,NA))),FALSE)</f>
        <v>13.06032103</v>
      </c>
      <c r="M1128" s="9">
        <v>19.45</v>
      </c>
      <c r="N1128" s="25">
        <f>(dynamic[orderPrice]-dynamic[productCost])/dynamic[productCost]</f>
        <v>0.4892436379</v>
      </c>
      <c r="O1128" s="10">
        <v>21.0</v>
      </c>
      <c r="P1128" s="25">
        <v>0.0</v>
      </c>
      <c r="Q1128" s="9">
        <f>dynamic[orderPrice]*dynamic[orderQuantity]</f>
        <v>408.45</v>
      </c>
      <c r="R1128" s="9">
        <f>dynamic[orderTotal]*(1-dynamic[discountApllied])</f>
        <v>408.45</v>
      </c>
      <c r="S1128" s="9">
        <f>dynamic[revenue]-(dynamic[productCost]*dynamic[orderQuantity])</f>
        <v>134.1832584</v>
      </c>
      <c r="T1128" s="25">
        <f>IFERROR(dynamic[profit]/dynamic[revenue], 0)</f>
        <v>0.3285181991</v>
      </c>
    </row>
    <row r="1129" ht="15.75" customHeight="1">
      <c r="A1129" s="6">
        <v>10677.0</v>
      </c>
      <c r="B1129" s="7" t="s">
        <v>74</v>
      </c>
      <c r="C1129" s="24" t="str">
        <f>VLOOKUP(dynamic[customerID],customers[],2,FALSE)</f>
        <v>Antonio Moreno Taquería</v>
      </c>
      <c r="D1129" s="24">
        <v>45191.0</v>
      </c>
      <c r="E1129" s="6">
        <f>IFERROR(__xludf.DUMMYFUNCTION("COUNTUNIQUEIFS($A$2:$A1129,$B$2:$B1129,B1129)"),5.0)</f>
        <v>5</v>
      </c>
      <c r="F1129" s="6">
        <f t="shared" si="1"/>
        <v>95</v>
      </c>
      <c r="G1129" s="6" t="str">
        <f>IF(MINIFS(dynamic[orderDate], dynamic[customerID], B1129) &gt;= DATE(2024,4,30)-120, 
     "New", 
     IF(MAXIFS(dynamic[orderCount], dynamic[customerID], B1129)&lt;=2, 
        IF((DATE(2024,4,30) - MAXIFS(dynamic[orderDate], dynamic[customerID], B1129)) &gt; 180, "Non-Returning", "Dormant"), 
        IF(AND(MAX(dynamic[sinceLastOrder]) &gt; 365, (DATE(2024,4,30) - MAXIFS(dynamic[orderDate], dynamic[customerID], B1129)) &gt; 180), 
           "Dormant", "Regular")))</f>
        <v>Regular</v>
      </c>
      <c r="H1129" s="6">
        <v>26.0</v>
      </c>
      <c r="I1129" s="9" t="str">
        <f>VLOOKUP(dynamic[productID],products[],2,FALSE)</f>
        <v>NuNuCa Nuß-Nougat-Creme</v>
      </c>
      <c r="J1129" s="9" t="str">
        <f>VLOOKUP(dynamic[productID],products[],12,FALSE)</f>
        <v>Confections</v>
      </c>
      <c r="K1129" s="7" t="str">
        <f>IF(VLOOKUP(dynamic[productID],products[],7,FALSE)=1,"Discontinued","Current")</f>
        <v>Current</v>
      </c>
      <c r="L1129" s="9">
        <f>VLOOKUP(dynamic[productID],products[],IF(YEAR(dynamic[orderDate])=2022,8,IF(YEAR(dynamic[orderDate])=2023,9,IF(YEAR(dynamic[orderDate])=2024,10,NA))),FALSE)</f>
        <v>21.20896201</v>
      </c>
      <c r="M1129" s="9">
        <v>31.23</v>
      </c>
      <c r="N1129" s="25">
        <f>(dynamic[orderPrice]-dynamic[productCost])/dynamic[productCost]</f>
        <v>0.472490732</v>
      </c>
      <c r="O1129" s="10">
        <v>30.0</v>
      </c>
      <c r="P1129" s="25">
        <v>0.15</v>
      </c>
      <c r="Q1129" s="9">
        <f>dynamic[orderPrice]*dynamic[orderQuantity]</f>
        <v>936.9</v>
      </c>
      <c r="R1129" s="9">
        <f>dynamic[orderTotal]*(1-dynamic[discountApllied])</f>
        <v>796.365</v>
      </c>
      <c r="S1129" s="9">
        <f>dynamic[revenue]-(dynamic[productCost]*dynamic[orderQuantity])</f>
        <v>160.0961396</v>
      </c>
      <c r="T1129" s="25">
        <f>IFERROR(dynamic[profit]/dynamic[revenue], 0)</f>
        <v>0.201033621</v>
      </c>
    </row>
    <row r="1130" ht="15.75" customHeight="1">
      <c r="A1130" s="6">
        <v>10677.0</v>
      </c>
      <c r="B1130" s="7" t="s">
        <v>74</v>
      </c>
      <c r="C1130" s="24" t="str">
        <f>VLOOKUP(dynamic[customerID],customers[],2,FALSE)</f>
        <v>Antonio Moreno Taquería</v>
      </c>
      <c r="D1130" s="24">
        <v>45191.0</v>
      </c>
      <c r="E1130" s="6">
        <f>IFERROR(__xludf.DUMMYFUNCTION("COUNTUNIQUEIFS($A$2:$A1130,$B$2:$B1130,B1130)"),5.0)</f>
        <v>5</v>
      </c>
      <c r="F1130" s="6">
        <f t="shared" si="1"/>
        <v>95</v>
      </c>
      <c r="G1130" s="6" t="str">
        <f>IF(MINIFS(dynamic[orderDate], dynamic[customerID], B1130) &gt;= DATE(2024,4,30)-120, 
     "New", 
     IF(MAXIFS(dynamic[orderCount], dynamic[customerID], B1130)&lt;=2, 
        IF((DATE(2024,4,30) - MAXIFS(dynamic[orderDate], dynamic[customerID], B1130)) &gt; 180, "Non-Returning", "Dormant"), 
        IF(AND(MAX(dynamic[sinceLastOrder]) &gt; 365, (DATE(2024,4,30) - MAXIFS(dynamic[orderDate], dynamic[customerID], B1130)) &gt; 180), 
           "Dormant", "Regular")))</f>
        <v>Regular</v>
      </c>
      <c r="H1130" s="6">
        <v>33.0</v>
      </c>
      <c r="I1130" s="9" t="str">
        <f>VLOOKUP(dynamic[productID],products[],2,FALSE)</f>
        <v>Geitost</v>
      </c>
      <c r="J1130" s="9" t="str">
        <f>VLOOKUP(dynamic[productID],products[],12,FALSE)</f>
        <v>Dairy Products</v>
      </c>
      <c r="K1130" s="7" t="str">
        <f>IF(VLOOKUP(dynamic[productID],products[],7,FALSE)=1,"Discontinued","Current")</f>
        <v>Current</v>
      </c>
      <c r="L1130" s="9">
        <f>VLOOKUP(dynamic[productID],products[],IF(YEAR(dynamic[orderDate])=2022,8,IF(YEAR(dynamic[orderDate])=2023,9,IF(YEAR(dynamic[orderDate])=2024,10,NA))),FALSE)</f>
        <v>1.559072298</v>
      </c>
      <c r="M1130" s="9">
        <v>2.5</v>
      </c>
      <c r="N1130" s="25">
        <f>(dynamic[orderPrice]-dynamic[productCost])/dynamic[productCost]</f>
        <v>0.603517684</v>
      </c>
      <c r="O1130" s="10">
        <v>8.0</v>
      </c>
      <c r="P1130" s="25">
        <v>0.15</v>
      </c>
      <c r="Q1130" s="9">
        <f>dynamic[orderPrice]*dynamic[orderQuantity]</f>
        <v>20</v>
      </c>
      <c r="R1130" s="9">
        <f>dynamic[orderTotal]*(1-dynamic[discountApllied])</f>
        <v>17</v>
      </c>
      <c r="S1130" s="9">
        <f>dynamic[revenue]-(dynamic[productCost]*dynamic[orderQuantity])</f>
        <v>4.527421619</v>
      </c>
      <c r="T1130" s="25">
        <f>IFERROR(dynamic[profit]/dynamic[revenue], 0)</f>
        <v>0.2663189187</v>
      </c>
    </row>
    <row r="1131" ht="15.75" customHeight="1">
      <c r="A1131" s="6">
        <v>10678.0</v>
      </c>
      <c r="B1131" s="7" t="s">
        <v>60</v>
      </c>
      <c r="C1131" s="24" t="str">
        <f>VLOOKUP(dynamic[customerID],customers[],2,FALSE)</f>
        <v>Save-a-lot Markets</v>
      </c>
      <c r="D1131" s="24">
        <v>45192.0</v>
      </c>
      <c r="E1131" s="6">
        <f>IFERROR(__xludf.DUMMYFUNCTION("COUNTUNIQUEIFS($A$2:$A1131,$B$2:$B1131,B1131)"),13.0)</f>
        <v>13</v>
      </c>
      <c r="F1131" s="6">
        <f t="shared" si="1"/>
        <v>19</v>
      </c>
      <c r="G1131" s="6" t="str">
        <f>IF(MINIFS(dynamic[orderDate], dynamic[customerID], B1131) &gt;= DATE(2024,4,30)-120, 
     "New", 
     IF(MAXIFS(dynamic[orderCount], dynamic[customerID], B1131)&lt;=2, 
        IF((DATE(2024,4,30) - MAXIFS(dynamic[orderDate], dynamic[customerID], B1131)) &gt; 180, "Non-Returning", "Dormant"), 
        IF(AND(MAX(dynamic[sinceLastOrder]) &gt; 365, (DATE(2024,4,30) - MAXIFS(dynamic[orderDate], dynamic[customerID], B1131)) &gt; 180), 
           "Dormant", "Regular")))</f>
        <v>Regular</v>
      </c>
      <c r="H1131" s="6">
        <v>12.0</v>
      </c>
      <c r="I1131" s="9" t="str">
        <f>VLOOKUP(dynamic[productID],products[],2,FALSE)</f>
        <v>Queso Manchego La Pastora</v>
      </c>
      <c r="J1131" s="9" t="str">
        <f>VLOOKUP(dynamic[productID],products[],12,FALSE)</f>
        <v>Dairy Products</v>
      </c>
      <c r="K1131" s="7" t="str">
        <f>IF(VLOOKUP(dynamic[productID],products[],7,FALSE)=1,"Discontinued","Current")</f>
        <v>Current</v>
      </c>
      <c r="L1131" s="9">
        <f>VLOOKUP(dynamic[productID],products[],IF(YEAR(dynamic[orderDate])=2022,8,IF(YEAR(dynamic[orderDate])=2023,9,IF(YEAR(dynamic[orderDate])=2024,10,NA))),FALSE)</f>
        <v>23.79216617</v>
      </c>
      <c r="M1131" s="9">
        <v>38.0</v>
      </c>
      <c r="N1131" s="25">
        <f>(dynamic[orderPrice]-dynamic[productCost])/dynamic[productCost]</f>
        <v>0.5971643663</v>
      </c>
      <c r="O1131" s="10">
        <v>100.0</v>
      </c>
      <c r="P1131" s="25">
        <v>0.0</v>
      </c>
      <c r="Q1131" s="9">
        <f>dynamic[orderPrice]*dynamic[orderQuantity]</f>
        <v>3800</v>
      </c>
      <c r="R1131" s="9">
        <f>dynamic[orderTotal]*(1-dynamic[discountApllied])</f>
        <v>3800</v>
      </c>
      <c r="S1131" s="9">
        <f>dynamic[revenue]-(dynamic[productCost]*dynamic[orderQuantity])</f>
        <v>1420.783383</v>
      </c>
      <c r="T1131" s="25">
        <f>IFERROR(dynamic[profit]/dynamic[revenue], 0)</f>
        <v>0.373890364</v>
      </c>
    </row>
    <row r="1132" ht="15.75" customHeight="1">
      <c r="A1132" s="6">
        <v>10678.0</v>
      </c>
      <c r="B1132" s="7" t="s">
        <v>60</v>
      </c>
      <c r="C1132" s="24" t="str">
        <f>VLOOKUP(dynamic[customerID],customers[],2,FALSE)</f>
        <v>Save-a-lot Markets</v>
      </c>
      <c r="D1132" s="24">
        <v>45192.0</v>
      </c>
      <c r="E1132" s="6">
        <f>IFERROR(__xludf.DUMMYFUNCTION("COUNTUNIQUEIFS($A$2:$A1132,$B$2:$B1132,B1132)"),13.0)</f>
        <v>13</v>
      </c>
      <c r="F1132" s="6">
        <f t="shared" si="1"/>
        <v>19</v>
      </c>
      <c r="G1132" s="6" t="str">
        <f>IF(MINIFS(dynamic[orderDate], dynamic[customerID], B1132) &gt;= DATE(2024,4,30)-120, 
     "New", 
     IF(MAXIFS(dynamic[orderCount], dynamic[customerID], B1132)&lt;=2, 
        IF((DATE(2024,4,30) - MAXIFS(dynamic[orderDate], dynamic[customerID], B1132)) &gt; 180, "Non-Returning", "Dormant"), 
        IF(AND(MAX(dynamic[sinceLastOrder]) &gt; 365, (DATE(2024,4,30) - MAXIFS(dynamic[orderDate], dynamic[customerID], B1132)) &gt; 180), 
           "Dormant", "Regular")))</f>
        <v>Regular</v>
      </c>
      <c r="H1132" s="6">
        <v>33.0</v>
      </c>
      <c r="I1132" s="9" t="str">
        <f>VLOOKUP(dynamic[productID],products[],2,FALSE)</f>
        <v>Geitost</v>
      </c>
      <c r="J1132" s="9" t="str">
        <f>VLOOKUP(dynamic[productID],products[],12,FALSE)</f>
        <v>Dairy Products</v>
      </c>
      <c r="K1132" s="7" t="str">
        <f>IF(VLOOKUP(dynamic[productID],products[],7,FALSE)=1,"Discontinued","Current")</f>
        <v>Current</v>
      </c>
      <c r="L1132" s="9">
        <f>VLOOKUP(dynamic[productID],products[],IF(YEAR(dynamic[orderDate])=2022,8,IF(YEAR(dynamic[orderDate])=2023,9,IF(YEAR(dynamic[orderDate])=2024,10,NA))),FALSE)</f>
        <v>1.559072298</v>
      </c>
      <c r="M1132" s="9">
        <v>2.5</v>
      </c>
      <c r="N1132" s="25">
        <f>(dynamic[orderPrice]-dynamic[productCost])/dynamic[productCost]</f>
        <v>0.603517684</v>
      </c>
      <c r="O1132" s="10">
        <v>30.0</v>
      </c>
      <c r="P1132" s="25">
        <v>0.0</v>
      </c>
      <c r="Q1132" s="9">
        <f>dynamic[orderPrice]*dynamic[orderQuantity]</f>
        <v>75</v>
      </c>
      <c r="R1132" s="9">
        <f>dynamic[orderTotal]*(1-dynamic[discountApllied])</f>
        <v>75</v>
      </c>
      <c r="S1132" s="9">
        <f>dynamic[revenue]-(dynamic[productCost]*dynamic[orderQuantity])</f>
        <v>28.22783107</v>
      </c>
      <c r="T1132" s="25">
        <f>IFERROR(dynamic[profit]/dynamic[revenue], 0)</f>
        <v>0.3763710809</v>
      </c>
    </row>
    <row r="1133" ht="15.75" customHeight="1">
      <c r="A1133" s="6">
        <v>10678.0</v>
      </c>
      <c r="B1133" s="7" t="s">
        <v>60</v>
      </c>
      <c r="C1133" s="24" t="str">
        <f>VLOOKUP(dynamic[customerID],customers[],2,FALSE)</f>
        <v>Save-a-lot Markets</v>
      </c>
      <c r="D1133" s="24">
        <v>45192.0</v>
      </c>
      <c r="E1133" s="6">
        <f>IFERROR(__xludf.DUMMYFUNCTION("COUNTUNIQUEIFS($A$2:$A1133,$B$2:$B1133,B1133)"),13.0)</f>
        <v>13</v>
      </c>
      <c r="F1133" s="6">
        <f t="shared" si="1"/>
        <v>19</v>
      </c>
      <c r="G1133" s="6" t="str">
        <f>IF(MINIFS(dynamic[orderDate], dynamic[customerID], B1133) &gt;= DATE(2024,4,30)-120, 
     "New", 
     IF(MAXIFS(dynamic[orderCount], dynamic[customerID], B1133)&lt;=2, 
        IF((DATE(2024,4,30) - MAXIFS(dynamic[orderDate], dynamic[customerID], B1133)) &gt; 180, "Non-Returning", "Dormant"), 
        IF(AND(MAX(dynamic[sinceLastOrder]) &gt; 365, (DATE(2024,4,30) - MAXIFS(dynamic[orderDate], dynamic[customerID], B1133)) &gt; 180), 
           "Dormant", "Regular")))</f>
        <v>Regular</v>
      </c>
      <c r="H1133" s="6">
        <v>41.0</v>
      </c>
      <c r="I1133" s="9" t="str">
        <f>VLOOKUP(dynamic[productID],products[],2,FALSE)</f>
        <v>Jack's New England Clam Chowder</v>
      </c>
      <c r="J1133" s="9" t="str">
        <f>VLOOKUP(dynamic[productID],products[],12,FALSE)</f>
        <v>Seafood</v>
      </c>
      <c r="K1133" s="7" t="str">
        <f>IF(VLOOKUP(dynamic[productID],products[],7,FALSE)=1,"Discontinued","Current")</f>
        <v>Current</v>
      </c>
      <c r="L1133" s="9">
        <f>VLOOKUP(dynamic[productID],products[],IF(YEAR(dynamic[orderDate])=2022,8,IF(YEAR(dynamic[orderDate])=2023,9,IF(YEAR(dynamic[orderDate])=2024,10,NA))),FALSE)</f>
        <v>6.549914856</v>
      </c>
      <c r="M1133" s="9">
        <v>9.65</v>
      </c>
      <c r="N1133" s="25">
        <f>(dynamic[orderPrice]-dynamic[productCost])/dynamic[productCost]</f>
        <v>0.4733015943</v>
      </c>
      <c r="O1133" s="10">
        <v>120.0</v>
      </c>
      <c r="P1133" s="25">
        <v>0.0</v>
      </c>
      <c r="Q1133" s="9">
        <f>dynamic[orderPrice]*dynamic[orderQuantity]</f>
        <v>1158</v>
      </c>
      <c r="R1133" s="9">
        <f>dynamic[orderTotal]*(1-dynamic[discountApllied])</f>
        <v>1158</v>
      </c>
      <c r="S1133" s="9">
        <f>dynamic[revenue]-(dynamic[productCost]*dynamic[orderQuantity])</f>
        <v>372.0102173</v>
      </c>
      <c r="T1133" s="25">
        <f>IFERROR(dynamic[profit]/dynamic[revenue], 0)</f>
        <v>0.3212523465</v>
      </c>
    </row>
    <row r="1134" ht="15.75" customHeight="1">
      <c r="A1134" s="6">
        <v>10678.0</v>
      </c>
      <c r="B1134" s="7" t="s">
        <v>60</v>
      </c>
      <c r="C1134" s="24" t="str">
        <f>VLOOKUP(dynamic[customerID],customers[],2,FALSE)</f>
        <v>Save-a-lot Markets</v>
      </c>
      <c r="D1134" s="24">
        <v>45192.0</v>
      </c>
      <c r="E1134" s="6">
        <f>IFERROR(__xludf.DUMMYFUNCTION("COUNTUNIQUEIFS($A$2:$A1134,$B$2:$B1134,B1134)"),13.0)</f>
        <v>13</v>
      </c>
      <c r="F1134" s="6">
        <f t="shared" si="1"/>
        <v>19</v>
      </c>
      <c r="G1134" s="6" t="str">
        <f>IF(MINIFS(dynamic[orderDate], dynamic[customerID], B1134) &gt;= DATE(2024,4,30)-120, 
     "New", 
     IF(MAXIFS(dynamic[orderCount], dynamic[customerID], B1134)&lt;=2, 
        IF((DATE(2024,4,30) - MAXIFS(dynamic[orderDate], dynamic[customerID], B1134)) &gt; 180, "Non-Returning", "Dormant"), 
        IF(AND(MAX(dynamic[sinceLastOrder]) &gt; 365, (DATE(2024,4,30) - MAXIFS(dynamic[orderDate], dynamic[customerID], B1134)) &gt; 180), 
           "Dormant", "Regular")))</f>
        <v>Regular</v>
      </c>
      <c r="H1134" s="6">
        <v>54.0</v>
      </c>
      <c r="I1134" s="9" t="str">
        <f>VLOOKUP(dynamic[productID],products[],2,FALSE)</f>
        <v>Tourtière</v>
      </c>
      <c r="J1134" s="9" t="str">
        <f>VLOOKUP(dynamic[productID],products[],12,FALSE)</f>
        <v>Meat/Poultry</v>
      </c>
      <c r="K1134" s="7" t="str">
        <f>IF(VLOOKUP(dynamic[productID],products[],7,FALSE)=1,"Discontinued","Current")</f>
        <v>Current</v>
      </c>
      <c r="L1134" s="9">
        <f>VLOOKUP(dynamic[productID],products[],IF(YEAR(dynamic[orderDate])=2022,8,IF(YEAR(dynamic[orderDate])=2023,9,IF(YEAR(dynamic[orderDate])=2024,10,NA))),FALSE)</f>
        <v>4.924447797</v>
      </c>
      <c r="M1134" s="9">
        <v>7.45</v>
      </c>
      <c r="N1134" s="25">
        <f>(dynamic[orderPrice]-dynamic[productCost])/dynamic[productCost]</f>
        <v>0.5128599808</v>
      </c>
      <c r="O1134" s="10">
        <v>30.0</v>
      </c>
      <c r="P1134" s="25">
        <v>0.0</v>
      </c>
      <c r="Q1134" s="9">
        <f>dynamic[orderPrice]*dynamic[orderQuantity]</f>
        <v>223.5</v>
      </c>
      <c r="R1134" s="9">
        <f>dynamic[orderTotal]*(1-dynamic[discountApllied])</f>
        <v>223.5</v>
      </c>
      <c r="S1134" s="9">
        <f>dynamic[revenue]-(dynamic[productCost]*dynamic[orderQuantity])</f>
        <v>75.76656609</v>
      </c>
      <c r="T1134" s="25">
        <f>IFERROR(dynamic[profit]/dynamic[revenue], 0)</f>
        <v>0.3390002957</v>
      </c>
    </row>
    <row r="1135" ht="15.75" customHeight="1">
      <c r="A1135" s="6">
        <v>10679.0</v>
      </c>
      <c r="B1135" s="7" t="s">
        <v>30</v>
      </c>
      <c r="C1135" s="24" t="str">
        <f>VLOOKUP(dynamic[customerID],customers[],2,FALSE)</f>
        <v>Blondesddsl père et fils</v>
      </c>
      <c r="D1135" s="24">
        <v>45192.0</v>
      </c>
      <c r="E1135" s="6">
        <f>IFERROR(__xludf.DUMMYFUNCTION("COUNTUNIQUEIFS($A$2:$A1135,$B$2:$B1135,B1135)"),10.0)</f>
        <v>10</v>
      </c>
      <c r="F1135" s="6">
        <f t="shared" si="1"/>
        <v>42</v>
      </c>
      <c r="G1135" s="6" t="str">
        <f>IF(MINIFS(dynamic[orderDate], dynamic[customerID], B1135) &gt;= DATE(2024,4,30)-120, 
     "New", 
     IF(MAXIFS(dynamic[orderCount], dynamic[customerID], B1135)&lt;=2, 
        IF((DATE(2024,4,30) - MAXIFS(dynamic[orderDate], dynamic[customerID], B1135)) &gt; 180, "Non-Returning", "Dormant"), 
        IF(AND(MAX(dynamic[sinceLastOrder]) &gt; 365, (DATE(2024,4,30) - MAXIFS(dynamic[orderDate], dynamic[customerID], B1135)) &gt; 180), 
           "Dormant", "Regular")))</f>
        <v>Regular</v>
      </c>
      <c r="H1135" s="6">
        <v>59.0</v>
      </c>
      <c r="I1135" s="9" t="str">
        <f>VLOOKUP(dynamic[productID],products[],2,FALSE)</f>
        <v>Raclette Courdavault</v>
      </c>
      <c r="J1135" s="9" t="str">
        <f>VLOOKUP(dynamic[productID],products[],12,FALSE)</f>
        <v>Dairy Products</v>
      </c>
      <c r="K1135" s="7" t="str">
        <f>IF(VLOOKUP(dynamic[productID],products[],7,FALSE)=1,"Discontinued","Current")</f>
        <v>Current</v>
      </c>
      <c r="L1135" s="9">
        <f>VLOOKUP(dynamic[productID],products[],IF(YEAR(dynamic[orderDate])=2022,8,IF(YEAR(dynamic[orderDate])=2023,9,IF(YEAR(dynamic[orderDate])=2024,10,NA))),FALSE)</f>
        <v>35.20472566</v>
      </c>
      <c r="M1135" s="9">
        <v>55.0</v>
      </c>
      <c r="N1135" s="25">
        <f>(dynamic[orderPrice]-dynamic[productCost])/dynamic[productCost]</f>
        <v>0.5622902598</v>
      </c>
      <c r="O1135" s="10">
        <v>12.0</v>
      </c>
      <c r="P1135" s="25">
        <v>0.0</v>
      </c>
      <c r="Q1135" s="9">
        <f>dynamic[orderPrice]*dynamic[orderQuantity]</f>
        <v>660</v>
      </c>
      <c r="R1135" s="9">
        <f>dynamic[orderTotal]*(1-dynamic[discountApllied])</f>
        <v>660</v>
      </c>
      <c r="S1135" s="9">
        <f>dynamic[revenue]-(dynamic[productCost]*dynamic[orderQuantity])</f>
        <v>237.5432921</v>
      </c>
      <c r="T1135" s="25">
        <f>IFERROR(dynamic[profit]/dynamic[revenue], 0)</f>
        <v>0.3599140789</v>
      </c>
    </row>
    <row r="1136" ht="15.75" customHeight="1">
      <c r="A1136" s="6">
        <v>10680.0</v>
      </c>
      <c r="B1136" s="7" t="s">
        <v>52</v>
      </c>
      <c r="C1136" s="24" t="str">
        <f>VLOOKUP(dynamic[customerID],customers[],2,FALSE)</f>
        <v>Old World Delicatessen</v>
      </c>
      <c r="D1136" s="24">
        <v>45193.0</v>
      </c>
      <c r="E1136" s="6">
        <f>IFERROR(__xludf.DUMMYFUNCTION("COUNTUNIQUEIFS($A$2:$A1136,$B$2:$B1136,B1136)"),5.0)</f>
        <v>5</v>
      </c>
      <c r="F1136" s="6">
        <f t="shared" si="1"/>
        <v>77</v>
      </c>
      <c r="G1136" s="6" t="str">
        <f>IF(MINIFS(dynamic[orderDate], dynamic[customerID], B1136) &gt;= DATE(2024,4,30)-120, 
     "New", 
     IF(MAXIFS(dynamic[orderCount], dynamic[customerID], B1136)&lt;=2, 
        IF((DATE(2024,4,30) - MAXIFS(dynamic[orderDate], dynamic[customerID], B1136)) &gt; 180, "Non-Returning", "Dormant"), 
        IF(AND(MAX(dynamic[sinceLastOrder]) &gt; 365, (DATE(2024,4,30) - MAXIFS(dynamic[orderDate], dynamic[customerID], B1136)) &gt; 180), 
           "Dormant", "Regular")))</f>
        <v>Regular</v>
      </c>
      <c r="H1136" s="6">
        <v>16.0</v>
      </c>
      <c r="I1136" s="9" t="str">
        <f>VLOOKUP(dynamic[productID],products[],2,FALSE)</f>
        <v>Pavlova</v>
      </c>
      <c r="J1136" s="9" t="str">
        <f>VLOOKUP(dynamic[productID],products[],12,FALSE)</f>
        <v>Confections</v>
      </c>
      <c r="K1136" s="7" t="str">
        <f>IF(VLOOKUP(dynamic[productID],products[],7,FALSE)=1,"Discontinued","Current")</f>
        <v>Current</v>
      </c>
      <c r="L1136" s="9">
        <f>VLOOKUP(dynamic[productID],products[],IF(YEAR(dynamic[orderDate])=2022,8,IF(YEAR(dynamic[orderDate])=2023,9,IF(YEAR(dynamic[orderDate])=2024,10,NA))),FALSE)</f>
        <v>11.98504839</v>
      </c>
      <c r="M1136" s="9">
        <v>17.45</v>
      </c>
      <c r="N1136" s="25">
        <f>(dynamic[orderPrice]-dynamic[productCost])/dynamic[productCost]</f>
        <v>0.455980771</v>
      </c>
      <c r="O1136" s="10">
        <v>50.0</v>
      </c>
      <c r="P1136" s="25">
        <v>0.25</v>
      </c>
      <c r="Q1136" s="9">
        <f>dynamic[orderPrice]*dynamic[orderQuantity]</f>
        <v>872.5</v>
      </c>
      <c r="R1136" s="9">
        <f>dynamic[orderTotal]*(1-dynamic[discountApllied])</f>
        <v>654.375</v>
      </c>
      <c r="S1136" s="9">
        <f>dynamic[revenue]-(dynamic[productCost]*dynamic[orderQuantity])</f>
        <v>55.12258036</v>
      </c>
      <c r="T1136" s="25">
        <f>IFERROR(dynamic[profit]/dynamic[revenue], 0)</f>
        <v>0.08423699004</v>
      </c>
    </row>
    <row r="1137" ht="15.75" customHeight="1">
      <c r="A1137" s="6">
        <v>10680.0</v>
      </c>
      <c r="B1137" s="7" t="s">
        <v>52</v>
      </c>
      <c r="C1137" s="24" t="str">
        <f>VLOOKUP(dynamic[customerID],customers[],2,FALSE)</f>
        <v>Old World Delicatessen</v>
      </c>
      <c r="D1137" s="24">
        <v>45193.0</v>
      </c>
      <c r="E1137" s="6">
        <f>IFERROR(__xludf.DUMMYFUNCTION("COUNTUNIQUEIFS($A$2:$A1137,$B$2:$B1137,B1137)"),5.0)</f>
        <v>5</v>
      </c>
      <c r="F1137" s="6">
        <f t="shared" si="1"/>
        <v>77</v>
      </c>
      <c r="G1137" s="6" t="str">
        <f>IF(MINIFS(dynamic[orderDate], dynamic[customerID], B1137) &gt;= DATE(2024,4,30)-120, 
     "New", 
     IF(MAXIFS(dynamic[orderCount], dynamic[customerID], B1137)&lt;=2, 
        IF((DATE(2024,4,30) - MAXIFS(dynamic[orderDate], dynamic[customerID], B1137)) &gt; 180, "Non-Returning", "Dormant"), 
        IF(AND(MAX(dynamic[sinceLastOrder]) &gt; 365, (DATE(2024,4,30) - MAXIFS(dynamic[orderDate], dynamic[customerID], B1137)) &gt; 180), 
           "Dormant", "Regular")))</f>
        <v>Regular</v>
      </c>
      <c r="H1137" s="6">
        <v>31.0</v>
      </c>
      <c r="I1137" s="9" t="str">
        <f>VLOOKUP(dynamic[productID],products[],2,FALSE)</f>
        <v>Gorgonzola Telino</v>
      </c>
      <c r="J1137" s="9" t="str">
        <f>VLOOKUP(dynamic[productID],products[],12,FALSE)</f>
        <v>Dairy Products</v>
      </c>
      <c r="K1137" s="7" t="str">
        <f>IF(VLOOKUP(dynamic[productID],products[],7,FALSE)=1,"Discontinued","Current")</f>
        <v>Current</v>
      </c>
      <c r="L1137" s="9">
        <f>VLOOKUP(dynamic[productID],products[],IF(YEAR(dynamic[orderDate])=2022,8,IF(YEAR(dynamic[orderDate])=2023,9,IF(YEAR(dynamic[orderDate])=2024,10,NA))),FALSE)</f>
        <v>7.937729254</v>
      </c>
      <c r="M1137" s="9">
        <v>12.5</v>
      </c>
      <c r="N1137" s="25">
        <f>(dynamic[orderPrice]-dynamic[productCost])/dynamic[productCost]</f>
        <v>0.5747576668</v>
      </c>
      <c r="O1137" s="10">
        <v>20.0</v>
      </c>
      <c r="P1137" s="25">
        <v>0.25</v>
      </c>
      <c r="Q1137" s="9">
        <f>dynamic[orderPrice]*dynamic[orderQuantity]</f>
        <v>250</v>
      </c>
      <c r="R1137" s="9">
        <f>dynamic[orderTotal]*(1-dynamic[discountApllied])</f>
        <v>187.5</v>
      </c>
      <c r="S1137" s="9">
        <f>dynamic[revenue]-(dynamic[productCost]*dynamic[orderQuantity])</f>
        <v>28.74541492</v>
      </c>
      <c r="T1137" s="25">
        <f>IFERROR(dynamic[profit]/dynamic[revenue], 0)</f>
        <v>0.1533088795</v>
      </c>
    </row>
    <row r="1138" ht="15.75" customHeight="1">
      <c r="A1138" s="6">
        <v>10680.0</v>
      </c>
      <c r="B1138" s="7" t="s">
        <v>52</v>
      </c>
      <c r="C1138" s="24" t="str">
        <f>VLOOKUP(dynamic[customerID],customers[],2,FALSE)</f>
        <v>Old World Delicatessen</v>
      </c>
      <c r="D1138" s="24">
        <v>45193.0</v>
      </c>
      <c r="E1138" s="6">
        <f>IFERROR(__xludf.DUMMYFUNCTION("COUNTUNIQUEIFS($A$2:$A1138,$B$2:$B1138,B1138)"),5.0)</f>
        <v>5</v>
      </c>
      <c r="F1138" s="6">
        <f t="shared" si="1"/>
        <v>77</v>
      </c>
      <c r="G1138" s="6" t="str">
        <f>IF(MINIFS(dynamic[orderDate], dynamic[customerID], B1138) &gt;= DATE(2024,4,30)-120, 
     "New", 
     IF(MAXIFS(dynamic[orderCount], dynamic[customerID], B1138)&lt;=2, 
        IF((DATE(2024,4,30) - MAXIFS(dynamic[orderDate], dynamic[customerID], B1138)) &gt; 180, "Non-Returning", "Dormant"), 
        IF(AND(MAX(dynamic[sinceLastOrder]) &gt; 365, (DATE(2024,4,30) - MAXIFS(dynamic[orderDate], dynamic[customerID], B1138)) &gt; 180), 
           "Dormant", "Regular")))</f>
        <v>Regular</v>
      </c>
      <c r="H1138" s="6">
        <v>42.0</v>
      </c>
      <c r="I1138" s="9" t="str">
        <f>VLOOKUP(dynamic[productID],products[],2,FALSE)</f>
        <v>Singaporean Hokkien Fried Mee</v>
      </c>
      <c r="J1138" s="9" t="str">
        <f>VLOOKUP(dynamic[productID],products[],12,FALSE)</f>
        <v>Grains/Cereals</v>
      </c>
      <c r="K1138" s="7" t="str">
        <f>IF(VLOOKUP(dynamic[productID],products[],7,FALSE)=1,"Discontinued","Current")</f>
        <v>Discontinued</v>
      </c>
      <c r="L1138" s="9">
        <f>VLOOKUP(dynamic[productID],products[],IF(YEAR(dynamic[orderDate])=2022,8,IF(YEAR(dynamic[orderDate])=2023,9,IF(YEAR(dynamic[orderDate])=2024,10,NA))),FALSE)</f>
        <v>9.105641621</v>
      </c>
      <c r="M1138" s="9">
        <v>14.0</v>
      </c>
      <c r="N1138" s="25">
        <f>(dynamic[orderPrice]-dynamic[productCost])/dynamic[productCost]</f>
        <v>0.5375083474</v>
      </c>
      <c r="O1138" s="10">
        <v>40.0</v>
      </c>
      <c r="P1138" s="25">
        <v>0.25</v>
      </c>
      <c r="Q1138" s="9">
        <f>dynamic[orderPrice]*dynamic[orderQuantity]</f>
        <v>560</v>
      </c>
      <c r="R1138" s="9">
        <f>dynamic[orderTotal]*(1-dynamic[discountApllied])</f>
        <v>420</v>
      </c>
      <c r="S1138" s="9">
        <f>dynamic[revenue]-(dynamic[productCost]*dynamic[orderQuantity])</f>
        <v>55.77433517</v>
      </c>
      <c r="T1138" s="25">
        <f>IFERROR(dynamic[profit]/dynamic[revenue], 0)</f>
        <v>0.1327960361</v>
      </c>
    </row>
    <row r="1139" ht="15.75" customHeight="1">
      <c r="A1139" s="6">
        <v>10681.0</v>
      </c>
      <c r="B1139" s="7" t="s">
        <v>94</v>
      </c>
      <c r="C1139" s="24" t="str">
        <f>VLOOKUP(dynamic[customerID],customers[],2,FALSE)</f>
        <v>Great Lakes Food Market</v>
      </c>
      <c r="D1139" s="24">
        <v>45194.0</v>
      </c>
      <c r="E1139" s="6">
        <f>IFERROR(__xludf.DUMMYFUNCTION("COUNTUNIQUEIFS($A$2:$A1139,$B$2:$B1139,B1139)"),6.0)</f>
        <v>6</v>
      </c>
      <c r="F1139" s="6">
        <f t="shared" si="1"/>
        <v>21</v>
      </c>
      <c r="G1139" s="6" t="str">
        <f>IF(MINIFS(dynamic[orderDate], dynamic[customerID], B1139) &gt;= DATE(2024,4,30)-120, 
     "New", 
     IF(MAXIFS(dynamic[orderCount], dynamic[customerID], B1139)&lt;=2, 
        IF((DATE(2024,4,30) - MAXIFS(dynamic[orderDate], dynamic[customerID], B1139)) &gt; 180, "Non-Returning", "Dormant"), 
        IF(AND(MAX(dynamic[sinceLastOrder]) &gt; 365, (DATE(2024,4,30) - MAXIFS(dynamic[orderDate], dynamic[customerID], B1139)) &gt; 180), 
           "Dormant", "Regular")))</f>
        <v>Regular</v>
      </c>
      <c r="H1139" s="6">
        <v>19.0</v>
      </c>
      <c r="I1139" s="9" t="str">
        <f>VLOOKUP(dynamic[productID],products[],2,FALSE)</f>
        <v>Teatime Chocolate Biscuits</v>
      </c>
      <c r="J1139" s="9" t="str">
        <f>VLOOKUP(dynamic[productID],products[],12,FALSE)</f>
        <v>Confections</v>
      </c>
      <c r="K1139" s="7" t="str">
        <f>IF(VLOOKUP(dynamic[productID],products[],7,FALSE)=1,"Discontinued","Current")</f>
        <v>Current</v>
      </c>
      <c r="L1139" s="9">
        <f>VLOOKUP(dynamic[productID],products[],IF(YEAR(dynamic[orderDate])=2022,8,IF(YEAR(dynamic[orderDate])=2023,9,IF(YEAR(dynamic[orderDate])=2024,10,NA))),FALSE)</f>
        <v>5.901883682</v>
      </c>
      <c r="M1139" s="9">
        <v>9.2</v>
      </c>
      <c r="N1139" s="25">
        <f>(dynamic[orderPrice]-dynamic[productCost])/dynamic[productCost]</f>
        <v>0.5588243508</v>
      </c>
      <c r="O1139" s="10">
        <v>30.0</v>
      </c>
      <c r="P1139" s="25">
        <v>0.1</v>
      </c>
      <c r="Q1139" s="9">
        <f>dynamic[orderPrice]*dynamic[orderQuantity]</f>
        <v>276</v>
      </c>
      <c r="R1139" s="9">
        <f>dynamic[orderTotal]*(1-dynamic[discountApllied])</f>
        <v>248.4</v>
      </c>
      <c r="S1139" s="9">
        <f>dynamic[revenue]-(dynamic[productCost]*dynamic[orderQuantity])</f>
        <v>71.34348953</v>
      </c>
      <c r="T1139" s="25">
        <f>IFERROR(dynamic[profit]/dynamic[revenue], 0)</f>
        <v>0.2872121157</v>
      </c>
    </row>
    <row r="1140" ht="15.75" customHeight="1">
      <c r="A1140" s="6">
        <v>10681.0</v>
      </c>
      <c r="B1140" s="7" t="s">
        <v>94</v>
      </c>
      <c r="C1140" s="24" t="str">
        <f>VLOOKUP(dynamic[customerID],customers[],2,FALSE)</f>
        <v>Great Lakes Food Market</v>
      </c>
      <c r="D1140" s="24">
        <v>45194.0</v>
      </c>
      <c r="E1140" s="6">
        <f>IFERROR(__xludf.DUMMYFUNCTION("COUNTUNIQUEIFS($A$2:$A1140,$B$2:$B1140,B1140)"),6.0)</f>
        <v>6</v>
      </c>
      <c r="F1140" s="6">
        <f t="shared" si="1"/>
        <v>21</v>
      </c>
      <c r="G1140" s="6" t="str">
        <f>IF(MINIFS(dynamic[orderDate], dynamic[customerID], B1140) &gt;= DATE(2024,4,30)-120, 
     "New", 
     IF(MAXIFS(dynamic[orderCount], dynamic[customerID], B1140)&lt;=2, 
        IF((DATE(2024,4,30) - MAXIFS(dynamic[orderDate], dynamic[customerID], B1140)) &gt; 180, "Non-Returning", "Dormant"), 
        IF(AND(MAX(dynamic[sinceLastOrder]) &gt; 365, (DATE(2024,4,30) - MAXIFS(dynamic[orderDate], dynamic[customerID], B1140)) &gt; 180), 
           "Dormant", "Regular")))</f>
        <v>Regular</v>
      </c>
      <c r="H1140" s="6">
        <v>21.0</v>
      </c>
      <c r="I1140" s="9" t="str">
        <f>VLOOKUP(dynamic[productID],products[],2,FALSE)</f>
        <v>Sir Rodney's Scones</v>
      </c>
      <c r="J1140" s="9" t="str">
        <f>VLOOKUP(dynamic[productID],products[],12,FALSE)</f>
        <v>Confections</v>
      </c>
      <c r="K1140" s="7" t="str">
        <f>IF(VLOOKUP(dynamic[productID],products[],7,FALSE)=1,"Discontinued","Current")</f>
        <v>Current</v>
      </c>
      <c r="L1140" s="9">
        <f>VLOOKUP(dynamic[productID],products[],IF(YEAR(dynamic[orderDate])=2022,8,IF(YEAR(dynamic[orderDate])=2023,9,IF(YEAR(dynamic[orderDate])=2024,10,NA))),FALSE)</f>
        <v>6.725636111</v>
      </c>
      <c r="M1140" s="9">
        <v>10.0</v>
      </c>
      <c r="N1140" s="25">
        <f>(dynamic[orderPrice]-dynamic[productCost])/dynamic[productCost]</f>
        <v>0.486848208</v>
      </c>
      <c r="O1140" s="10">
        <v>12.0</v>
      </c>
      <c r="P1140" s="25">
        <v>0.1</v>
      </c>
      <c r="Q1140" s="9">
        <f>dynamic[orderPrice]*dynamic[orderQuantity]</f>
        <v>120</v>
      </c>
      <c r="R1140" s="9">
        <f>dynamic[orderTotal]*(1-dynamic[discountApllied])</f>
        <v>108</v>
      </c>
      <c r="S1140" s="9">
        <f>dynamic[revenue]-(dynamic[productCost]*dynamic[orderQuantity])</f>
        <v>27.29236666</v>
      </c>
      <c r="T1140" s="25">
        <f>IFERROR(dynamic[profit]/dynamic[revenue], 0)</f>
        <v>0.2527070987</v>
      </c>
    </row>
    <row r="1141" ht="15.75" customHeight="1">
      <c r="A1141" s="6">
        <v>10681.0</v>
      </c>
      <c r="B1141" s="7" t="s">
        <v>94</v>
      </c>
      <c r="C1141" s="24" t="str">
        <f>VLOOKUP(dynamic[customerID],customers[],2,FALSE)</f>
        <v>Great Lakes Food Market</v>
      </c>
      <c r="D1141" s="24">
        <v>45194.0</v>
      </c>
      <c r="E1141" s="6">
        <f>IFERROR(__xludf.DUMMYFUNCTION("COUNTUNIQUEIFS($A$2:$A1141,$B$2:$B1141,B1141)"),6.0)</f>
        <v>6</v>
      </c>
      <c r="F1141" s="6">
        <f t="shared" si="1"/>
        <v>21</v>
      </c>
      <c r="G1141" s="6" t="str">
        <f>IF(MINIFS(dynamic[orderDate], dynamic[customerID], B1141) &gt;= DATE(2024,4,30)-120, 
     "New", 
     IF(MAXIFS(dynamic[orderCount], dynamic[customerID], B1141)&lt;=2, 
        IF((DATE(2024,4,30) - MAXIFS(dynamic[orderDate], dynamic[customerID], B1141)) &gt; 180, "Non-Returning", "Dormant"), 
        IF(AND(MAX(dynamic[sinceLastOrder]) &gt; 365, (DATE(2024,4,30) - MAXIFS(dynamic[orderDate], dynamic[customerID], B1141)) &gt; 180), 
           "Dormant", "Regular")))</f>
        <v>Regular</v>
      </c>
      <c r="H1141" s="6">
        <v>64.0</v>
      </c>
      <c r="I1141" s="9" t="str">
        <f>VLOOKUP(dynamic[productID],products[],2,FALSE)</f>
        <v>Lukas' leckere Sauerteigweggla</v>
      </c>
      <c r="J1141" s="9" t="str">
        <f>VLOOKUP(dynamic[productID],products[],12,FALSE)</f>
        <v>Grains/Cereals</v>
      </c>
      <c r="K1141" s="7" t="str">
        <f>IF(VLOOKUP(dynamic[productID],products[],7,FALSE)=1,"Discontinued","Current")</f>
        <v>Current</v>
      </c>
      <c r="L1141" s="9">
        <f>VLOOKUP(dynamic[productID],products[],IF(YEAR(dynamic[orderDate])=2022,8,IF(YEAR(dynamic[orderDate])=2023,9,IF(YEAR(dynamic[orderDate])=2024,10,NA))),FALSE)</f>
        <v>21.88572728</v>
      </c>
      <c r="M1141" s="9">
        <v>33.25</v>
      </c>
      <c r="N1141" s="25">
        <f>(dynamic[orderPrice]-dynamic[productCost])/dynamic[productCost]</f>
        <v>0.5192549724</v>
      </c>
      <c r="O1141" s="10">
        <v>28.0</v>
      </c>
      <c r="P1141" s="25">
        <v>0.0</v>
      </c>
      <c r="Q1141" s="9">
        <f>dynamic[orderPrice]*dynamic[orderQuantity]</f>
        <v>931</v>
      </c>
      <c r="R1141" s="9">
        <f>dynamic[orderTotal]*(1-dynamic[discountApllied])</f>
        <v>931</v>
      </c>
      <c r="S1141" s="9">
        <f>dynamic[revenue]-(dynamic[productCost]*dynamic[orderQuantity])</f>
        <v>318.1996361</v>
      </c>
      <c r="T1141" s="25">
        <f>IFERROR(dynamic[profit]/dynamic[revenue], 0)</f>
        <v>0.3417826381</v>
      </c>
    </row>
    <row r="1142" ht="15.75" customHeight="1">
      <c r="A1142" s="6">
        <v>10682.0</v>
      </c>
      <c r="B1142" s="7" t="s">
        <v>74</v>
      </c>
      <c r="C1142" s="24" t="str">
        <f>VLOOKUP(dynamic[customerID],customers[],2,FALSE)</f>
        <v>Antonio Moreno Taquería</v>
      </c>
      <c r="D1142" s="24">
        <v>45194.0</v>
      </c>
      <c r="E1142" s="6">
        <f>IFERROR(__xludf.DUMMYFUNCTION("COUNTUNIQUEIFS($A$2:$A1142,$B$2:$B1142,B1142)"),6.0)</f>
        <v>6</v>
      </c>
      <c r="F1142" s="6">
        <f t="shared" si="1"/>
        <v>3</v>
      </c>
      <c r="G1142" s="6" t="str">
        <f>IF(MINIFS(dynamic[orderDate], dynamic[customerID], B1142) &gt;= DATE(2024,4,30)-120, 
     "New", 
     IF(MAXIFS(dynamic[orderCount], dynamic[customerID], B1142)&lt;=2, 
        IF((DATE(2024,4,30) - MAXIFS(dynamic[orderDate], dynamic[customerID], B1142)) &gt; 180, "Non-Returning", "Dormant"), 
        IF(AND(MAX(dynamic[sinceLastOrder]) &gt; 365, (DATE(2024,4,30) - MAXIFS(dynamic[orderDate], dynamic[customerID], B1142)) &gt; 180), 
           "Dormant", "Regular")))</f>
        <v>Regular</v>
      </c>
      <c r="H1142" s="6">
        <v>33.0</v>
      </c>
      <c r="I1142" s="9" t="str">
        <f>VLOOKUP(dynamic[productID],products[],2,FALSE)</f>
        <v>Geitost</v>
      </c>
      <c r="J1142" s="9" t="str">
        <f>VLOOKUP(dynamic[productID],products[],12,FALSE)</f>
        <v>Dairy Products</v>
      </c>
      <c r="K1142" s="7" t="str">
        <f>IF(VLOOKUP(dynamic[productID],products[],7,FALSE)=1,"Discontinued","Current")</f>
        <v>Current</v>
      </c>
      <c r="L1142" s="9">
        <f>VLOOKUP(dynamic[productID],products[],IF(YEAR(dynamic[orderDate])=2022,8,IF(YEAR(dynamic[orderDate])=2023,9,IF(YEAR(dynamic[orderDate])=2024,10,NA))),FALSE)</f>
        <v>1.559072298</v>
      </c>
      <c r="M1142" s="9">
        <v>2.5</v>
      </c>
      <c r="N1142" s="25">
        <f>(dynamic[orderPrice]-dynamic[productCost])/dynamic[productCost]</f>
        <v>0.603517684</v>
      </c>
      <c r="O1142" s="10">
        <v>30.0</v>
      </c>
      <c r="P1142" s="25">
        <v>0.0</v>
      </c>
      <c r="Q1142" s="9">
        <f>dynamic[orderPrice]*dynamic[orderQuantity]</f>
        <v>75</v>
      </c>
      <c r="R1142" s="9">
        <f>dynamic[orderTotal]*(1-dynamic[discountApllied])</f>
        <v>75</v>
      </c>
      <c r="S1142" s="9">
        <f>dynamic[revenue]-(dynamic[productCost]*dynamic[orderQuantity])</f>
        <v>28.22783107</v>
      </c>
      <c r="T1142" s="25">
        <f>IFERROR(dynamic[profit]/dynamic[revenue], 0)</f>
        <v>0.3763710809</v>
      </c>
    </row>
    <row r="1143" ht="15.75" customHeight="1">
      <c r="A1143" s="6">
        <v>10682.0</v>
      </c>
      <c r="B1143" s="7" t="s">
        <v>74</v>
      </c>
      <c r="C1143" s="24" t="str">
        <f>VLOOKUP(dynamic[customerID],customers[],2,FALSE)</f>
        <v>Antonio Moreno Taquería</v>
      </c>
      <c r="D1143" s="24">
        <v>45194.0</v>
      </c>
      <c r="E1143" s="6">
        <f>IFERROR(__xludf.DUMMYFUNCTION("COUNTUNIQUEIFS($A$2:$A1143,$B$2:$B1143,B1143)"),6.0)</f>
        <v>6</v>
      </c>
      <c r="F1143" s="6">
        <f t="shared" si="1"/>
        <v>3</v>
      </c>
      <c r="G1143" s="6" t="str">
        <f>IF(MINIFS(dynamic[orderDate], dynamic[customerID], B1143) &gt;= DATE(2024,4,30)-120, 
     "New", 
     IF(MAXIFS(dynamic[orderCount], dynamic[customerID], B1143)&lt;=2, 
        IF((DATE(2024,4,30) - MAXIFS(dynamic[orderDate], dynamic[customerID], B1143)) &gt; 180, "Non-Returning", "Dormant"), 
        IF(AND(MAX(dynamic[sinceLastOrder]) &gt; 365, (DATE(2024,4,30) - MAXIFS(dynamic[orderDate], dynamic[customerID], B1143)) &gt; 180), 
           "Dormant", "Regular")))</f>
        <v>Regular</v>
      </c>
      <c r="H1143" s="6">
        <v>66.0</v>
      </c>
      <c r="I1143" s="9" t="str">
        <f>VLOOKUP(dynamic[productID],products[],2,FALSE)</f>
        <v>Louisiana Hot Spiced Okra</v>
      </c>
      <c r="J1143" s="9" t="str">
        <f>VLOOKUP(dynamic[productID],products[],12,FALSE)</f>
        <v>Condiments</v>
      </c>
      <c r="K1143" s="7" t="str">
        <f>IF(VLOOKUP(dynamic[productID],products[],7,FALSE)=1,"Discontinued","Current")</f>
        <v>Current</v>
      </c>
      <c r="L1143" s="9">
        <f>VLOOKUP(dynamic[productID],products[],IF(YEAR(dynamic[orderDate])=2022,8,IF(YEAR(dynamic[orderDate])=2023,9,IF(YEAR(dynamic[orderDate])=2024,10,NA))),FALSE)</f>
        <v>10.17313149</v>
      </c>
      <c r="M1143" s="9">
        <v>17.0</v>
      </c>
      <c r="N1143" s="25">
        <f>(dynamic[orderPrice]-dynamic[productCost])/dynamic[productCost]</f>
        <v>0.6710685417</v>
      </c>
      <c r="O1143" s="10">
        <v>4.0</v>
      </c>
      <c r="P1143" s="25">
        <v>0.0</v>
      </c>
      <c r="Q1143" s="9">
        <f>dynamic[orderPrice]*dynamic[orderQuantity]</f>
        <v>68</v>
      </c>
      <c r="R1143" s="9">
        <f>dynamic[orderTotal]*(1-dynamic[discountApllied])</f>
        <v>68</v>
      </c>
      <c r="S1143" s="9">
        <f>dynamic[revenue]-(dynamic[productCost]*dynamic[orderQuantity])</f>
        <v>27.30747405</v>
      </c>
      <c r="T1143" s="25">
        <f>IFERROR(dynamic[profit]/dynamic[revenue], 0)</f>
        <v>0.4015805007</v>
      </c>
    </row>
    <row r="1144" ht="15.75" customHeight="1">
      <c r="A1144" s="6">
        <v>10682.0</v>
      </c>
      <c r="B1144" s="7" t="s">
        <v>74</v>
      </c>
      <c r="C1144" s="24" t="str">
        <f>VLOOKUP(dynamic[customerID],customers[],2,FALSE)</f>
        <v>Antonio Moreno Taquería</v>
      </c>
      <c r="D1144" s="24">
        <v>45194.0</v>
      </c>
      <c r="E1144" s="6">
        <f>IFERROR(__xludf.DUMMYFUNCTION("COUNTUNIQUEIFS($A$2:$A1144,$B$2:$B1144,B1144)"),6.0)</f>
        <v>6</v>
      </c>
      <c r="F1144" s="6">
        <f t="shared" si="1"/>
        <v>3</v>
      </c>
      <c r="G1144" s="6" t="str">
        <f>IF(MINIFS(dynamic[orderDate], dynamic[customerID], B1144) &gt;= DATE(2024,4,30)-120, 
     "New", 
     IF(MAXIFS(dynamic[orderCount], dynamic[customerID], B1144)&lt;=2, 
        IF((DATE(2024,4,30) - MAXIFS(dynamic[orderDate], dynamic[customerID], B1144)) &gt; 180, "Non-Returning", "Dormant"), 
        IF(AND(MAX(dynamic[sinceLastOrder]) &gt; 365, (DATE(2024,4,30) - MAXIFS(dynamic[orderDate], dynamic[customerID], B1144)) &gt; 180), 
           "Dormant", "Regular")))</f>
        <v>Regular</v>
      </c>
      <c r="H1144" s="6">
        <v>75.0</v>
      </c>
      <c r="I1144" s="9" t="str">
        <f>VLOOKUP(dynamic[productID],products[],2,FALSE)</f>
        <v>Rhönbräu Klosterbier</v>
      </c>
      <c r="J1144" s="9" t="str">
        <f>VLOOKUP(dynamic[productID],products[],12,FALSE)</f>
        <v>Beverages</v>
      </c>
      <c r="K1144" s="7" t="str">
        <f>IF(VLOOKUP(dynamic[productID],products[],7,FALSE)=1,"Discontinued","Current")</f>
        <v>Current</v>
      </c>
      <c r="L1144" s="9">
        <f>VLOOKUP(dynamic[productID],products[],IF(YEAR(dynamic[orderDate])=2022,8,IF(YEAR(dynamic[orderDate])=2023,9,IF(YEAR(dynamic[orderDate])=2024,10,NA))),FALSE)</f>
        <v>5.355290472</v>
      </c>
      <c r="M1144" s="9">
        <v>7.75</v>
      </c>
      <c r="N1144" s="25">
        <f>(dynamic[orderPrice]-dynamic[productCost])/dynamic[productCost]</f>
        <v>0.4471670661</v>
      </c>
      <c r="O1144" s="10">
        <v>30.0</v>
      </c>
      <c r="P1144" s="25">
        <v>0.0</v>
      </c>
      <c r="Q1144" s="9">
        <f>dynamic[orderPrice]*dynamic[orderQuantity]</f>
        <v>232.5</v>
      </c>
      <c r="R1144" s="9">
        <f>dynamic[orderTotal]*(1-dynamic[discountApllied])</f>
        <v>232.5</v>
      </c>
      <c r="S1144" s="9">
        <f>dynamic[revenue]-(dynamic[productCost]*dynamic[orderQuantity])</f>
        <v>71.84128585</v>
      </c>
      <c r="T1144" s="25">
        <f>IFERROR(dynamic[profit]/dynamic[revenue], 0)</f>
        <v>0.3089947778</v>
      </c>
    </row>
    <row r="1145" ht="15.75" customHeight="1">
      <c r="A1145" s="6">
        <v>10683.0</v>
      </c>
      <c r="B1145" s="7" t="s">
        <v>56</v>
      </c>
      <c r="C1145" s="24" t="str">
        <f>VLOOKUP(dynamic[customerID],customers[],2,FALSE)</f>
        <v>Du monde entier</v>
      </c>
      <c r="D1145" s="24">
        <v>45195.0</v>
      </c>
      <c r="E1145" s="6">
        <f>IFERROR(__xludf.DUMMYFUNCTION("COUNTUNIQUEIFS($A$2:$A1145,$B$2:$B1145,B1145)"),3.0)</f>
        <v>3</v>
      </c>
      <c r="F1145" s="6">
        <f t="shared" si="1"/>
        <v>64</v>
      </c>
      <c r="G1145" s="6" t="str">
        <f>IF(MINIFS(dynamic[orderDate], dynamic[customerID], B1145) &gt;= DATE(2024,4,30)-120, 
     "New", 
     IF(MAXIFS(dynamic[orderCount], dynamic[customerID], B1145)&lt;=2, 
        IF((DATE(2024,4,30) - MAXIFS(dynamic[orderDate], dynamic[customerID], B1145)) &gt; 180, "Non-Returning", "Dormant"), 
        IF(AND(MAX(dynamic[sinceLastOrder]) &gt; 365, (DATE(2024,4,30) - MAXIFS(dynamic[orderDate], dynamic[customerID], B1145)) &gt; 180), 
           "Dormant", "Regular")))</f>
        <v>Regular</v>
      </c>
      <c r="H1145" s="6">
        <v>52.0</v>
      </c>
      <c r="I1145" s="9" t="str">
        <f>VLOOKUP(dynamic[productID],products[],2,FALSE)</f>
        <v>Filo Mix</v>
      </c>
      <c r="J1145" s="9" t="str">
        <f>VLOOKUP(dynamic[productID],products[],12,FALSE)</f>
        <v>Grains/Cereals</v>
      </c>
      <c r="K1145" s="7" t="str">
        <f>IF(VLOOKUP(dynamic[productID],products[],7,FALSE)=1,"Discontinued","Current")</f>
        <v>Current</v>
      </c>
      <c r="L1145" s="9">
        <f>VLOOKUP(dynamic[productID],products[],IF(YEAR(dynamic[orderDate])=2022,8,IF(YEAR(dynamic[orderDate])=2023,9,IF(YEAR(dynamic[orderDate])=2024,10,NA))),FALSE)</f>
        <v>5.001706713</v>
      </c>
      <c r="M1145" s="9">
        <v>7.0</v>
      </c>
      <c r="N1145" s="25">
        <f>(dynamic[orderPrice]-dynamic[productCost])/dynamic[productCost]</f>
        <v>0.3995222835</v>
      </c>
      <c r="O1145" s="10">
        <v>9.0</v>
      </c>
      <c r="P1145" s="25">
        <v>0.0</v>
      </c>
      <c r="Q1145" s="9">
        <f>dynamic[orderPrice]*dynamic[orderQuantity]</f>
        <v>63</v>
      </c>
      <c r="R1145" s="9">
        <f>dynamic[orderTotal]*(1-dynamic[discountApllied])</f>
        <v>63</v>
      </c>
      <c r="S1145" s="9">
        <f>dynamic[revenue]-(dynamic[productCost]*dynamic[orderQuantity])</f>
        <v>17.98463959</v>
      </c>
      <c r="T1145" s="25">
        <f>IFERROR(dynamic[profit]/dynamic[revenue], 0)</f>
        <v>0.2854704696</v>
      </c>
    </row>
    <row r="1146" ht="15.75" customHeight="1">
      <c r="A1146" s="6">
        <v>10684.0</v>
      </c>
      <c r="B1146" s="7" t="s">
        <v>26</v>
      </c>
      <c r="C1146" s="24" t="str">
        <f>VLOOKUP(dynamic[customerID],customers[],2,FALSE)</f>
        <v>Ottilies Käseladen</v>
      </c>
      <c r="D1146" s="24">
        <v>45195.0</v>
      </c>
      <c r="E1146" s="6">
        <f>IFERROR(__xludf.DUMMYFUNCTION("COUNTUNIQUEIFS($A$2:$A1146,$B$2:$B1146,B1146)"),6.0)</f>
        <v>6</v>
      </c>
      <c r="F1146" s="6">
        <f t="shared" si="1"/>
        <v>92</v>
      </c>
      <c r="G1146" s="6" t="str">
        <f>IF(MINIFS(dynamic[orderDate], dynamic[customerID], B1146) &gt;= DATE(2024,4,30)-120, 
     "New", 
     IF(MAXIFS(dynamic[orderCount], dynamic[customerID], B1146)&lt;=2, 
        IF((DATE(2024,4,30) - MAXIFS(dynamic[orderDate], dynamic[customerID], B1146)) &gt; 180, "Non-Returning", "Dormant"), 
        IF(AND(MAX(dynamic[sinceLastOrder]) &gt; 365, (DATE(2024,4,30) - MAXIFS(dynamic[orderDate], dynamic[customerID], B1146)) &gt; 180), 
           "Dormant", "Regular")))</f>
        <v>Regular</v>
      </c>
      <c r="H1146" s="6">
        <v>40.0</v>
      </c>
      <c r="I1146" s="9" t="str">
        <f>VLOOKUP(dynamic[productID],products[],2,FALSE)</f>
        <v>Boston Crab Meat</v>
      </c>
      <c r="J1146" s="9" t="str">
        <f>VLOOKUP(dynamic[productID],products[],12,FALSE)</f>
        <v>Seafood</v>
      </c>
      <c r="K1146" s="7" t="str">
        <f>IF(VLOOKUP(dynamic[productID],products[],7,FALSE)=1,"Discontinued","Current")</f>
        <v>Current</v>
      </c>
      <c r="L1146" s="9">
        <f>VLOOKUP(dynamic[productID],products[],IF(YEAR(dynamic[orderDate])=2022,8,IF(YEAR(dynamic[orderDate])=2023,9,IF(YEAR(dynamic[orderDate])=2024,10,NA))),FALSE)</f>
        <v>11.40496523</v>
      </c>
      <c r="M1146" s="9">
        <v>18.4</v>
      </c>
      <c r="N1146" s="25">
        <f>(dynamic[orderPrice]-dynamic[productCost])/dynamic[productCost]</f>
        <v>0.6133324069</v>
      </c>
      <c r="O1146" s="10">
        <v>20.0</v>
      </c>
      <c r="P1146" s="25">
        <v>0.0</v>
      </c>
      <c r="Q1146" s="9">
        <f>dynamic[orderPrice]*dynamic[orderQuantity]</f>
        <v>368</v>
      </c>
      <c r="R1146" s="9">
        <f>dynamic[orderTotal]*(1-dynamic[discountApllied])</f>
        <v>368</v>
      </c>
      <c r="S1146" s="9">
        <f>dynamic[revenue]-(dynamic[productCost]*dynamic[orderQuantity])</f>
        <v>139.9006955</v>
      </c>
      <c r="T1146" s="25">
        <f>IFERROR(dynamic[profit]/dynamic[revenue], 0)</f>
        <v>0.3801649333</v>
      </c>
    </row>
    <row r="1147" ht="15.75" customHeight="1">
      <c r="A1147" s="6">
        <v>10684.0</v>
      </c>
      <c r="B1147" s="7" t="s">
        <v>26</v>
      </c>
      <c r="C1147" s="24" t="str">
        <f>VLOOKUP(dynamic[customerID],customers[],2,FALSE)</f>
        <v>Ottilies Käseladen</v>
      </c>
      <c r="D1147" s="24">
        <v>45195.0</v>
      </c>
      <c r="E1147" s="6">
        <f>IFERROR(__xludf.DUMMYFUNCTION("COUNTUNIQUEIFS($A$2:$A1147,$B$2:$B1147,B1147)"),6.0)</f>
        <v>6</v>
      </c>
      <c r="F1147" s="6">
        <f t="shared" si="1"/>
        <v>92</v>
      </c>
      <c r="G1147" s="6" t="str">
        <f>IF(MINIFS(dynamic[orderDate], dynamic[customerID], B1147) &gt;= DATE(2024,4,30)-120, 
     "New", 
     IF(MAXIFS(dynamic[orderCount], dynamic[customerID], B1147)&lt;=2, 
        IF((DATE(2024,4,30) - MAXIFS(dynamic[orderDate], dynamic[customerID], B1147)) &gt; 180, "Non-Returning", "Dormant"), 
        IF(AND(MAX(dynamic[sinceLastOrder]) &gt; 365, (DATE(2024,4,30) - MAXIFS(dynamic[orderDate], dynamic[customerID], B1147)) &gt; 180), 
           "Dormant", "Regular")))</f>
        <v>Regular</v>
      </c>
      <c r="H1147" s="6">
        <v>47.0</v>
      </c>
      <c r="I1147" s="9" t="str">
        <f>VLOOKUP(dynamic[productID],products[],2,FALSE)</f>
        <v>Zaanse koeken</v>
      </c>
      <c r="J1147" s="9" t="str">
        <f>VLOOKUP(dynamic[productID],products[],12,FALSE)</f>
        <v>Confections</v>
      </c>
      <c r="K1147" s="7" t="str">
        <f>IF(VLOOKUP(dynamic[productID],products[],7,FALSE)=1,"Discontinued","Current")</f>
        <v>Current</v>
      </c>
      <c r="L1147" s="9">
        <f>VLOOKUP(dynamic[productID],products[],IF(YEAR(dynamic[orderDate])=2022,8,IF(YEAR(dynamic[orderDate])=2023,9,IF(YEAR(dynamic[orderDate])=2024,10,NA))),FALSE)</f>
        <v>6.57708833</v>
      </c>
      <c r="M1147" s="9">
        <v>9.5</v>
      </c>
      <c r="N1147" s="25">
        <f>(dynamic[orderPrice]-dynamic[productCost])/dynamic[productCost]</f>
        <v>0.4444081519</v>
      </c>
      <c r="O1147" s="10">
        <v>40.0</v>
      </c>
      <c r="P1147" s="25">
        <v>0.0</v>
      </c>
      <c r="Q1147" s="9">
        <f>dynamic[orderPrice]*dynamic[orderQuantity]</f>
        <v>380</v>
      </c>
      <c r="R1147" s="9">
        <f>dynamic[orderTotal]*(1-dynamic[discountApllied])</f>
        <v>380</v>
      </c>
      <c r="S1147" s="9">
        <f>dynamic[revenue]-(dynamic[productCost]*dynamic[orderQuantity])</f>
        <v>116.9164668</v>
      </c>
      <c r="T1147" s="25">
        <f>IFERROR(dynamic[profit]/dynamic[revenue], 0)</f>
        <v>0.3076749126</v>
      </c>
    </row>
    <row r="1148" ht="15.75" customHeight="1">
      <c r="A1148" s="6">
        <v>10684.0</v>
      </c>
      <c r="B1148" s="7" t="s">
        <v>26</v>
      </c>
      <c r="C1148" s="24" t="str">
        <f>VLOOKUP(dynamic[customerID],customers[],2,FALSE)</f>
        <v>Ottilies Käseladen</v>
      </c>
      <c r="D1148" s="24">
        <v>45195.0</v>
      </c>
      <c r="E1148" s="6">
        <f>IFERROR(__xludf.DUMMYFUNCTION("COUNTUNIQUEIFS($A$2:$A1148,$B$2:$B1148,B1148)"),6.0)</f>
        <v>6</v>
      </c>
      <c r="F1148" s="6">
        <f t="shared" si="1"/>
        <v>92</v>
      </c>
      <c r="G1148" s="6" t="str">
        <f>IF(MINIFS(dynamic[orderDate], dynamic[customerID], B1148) &gt;= DATE(2024,4,30)-120, 
     "New", 
     IF(MAXIFS(dynamic[orderCount], dynamic[customerID], B1148)&lt;=2, 
        IF((DATE(2024,4,30) - MAXIFS(dynamic[orderDate], dynamic[customerID], B1148)) &gt; 180, "Non-Returning", "Dormant"), 
        IF(AND(MAX(dynamic[sinceLastOrder]) &gt; 365, (DATE(2024,4,30) - MAXIFS(dynamic[orderDate], dynamic[customerID], B1148)) &gt; 180), 
           "Dormant", "Regular")))</f>
        <v>Regular</v>
      </c>
      <c r="H1148" s="6">
        <v>60.0</v>
      </c>
      <c r="I1148" s="9" t="str">
        <f>VLOOKUP(dynamic[productID],products[],2,FALSE)</f>
        <v>Camembert Pierrot</v>
      </c>
      <c r="J1148" s="9" t="str">
        <f>VLOOKUP(dynamic[productID],products[],12,FALSE)</f>
        <v>Dairy Products</v>
      </c>
      <c r="K1148" s="7" t="str">
        <f>IF(VLOOKUP(dynamic[productID],products[],7,FALSE)=1,"Discontinued","Current")</f>
        <v>Current</v>
      </c>
      <c r="L1148" s="9">
        <f>VLOOKUP(dynamic[productID],products[],IF(YEAR(dynamic[orderDate])=2022,8,IF(YEAR(dynamic[orderDate])=2023,9,IF(YEAR(dynamic[orderDate])=2024,10,NA))),FALSE)</f>
        <v>22.77098295</v>
      </c>
      <c r="M1148" s="9">
        <v>34.0</v>
      </c>
      <c r="N1148" s="25">
        <f>(dynamic[orderPrice]-dynamic[productCost])/dynamic[productCost]</f>
        <v>0.4931283415</v>
      </c>
      <c r="O1148" s="10">
        <v>30.0</v>
      </c>
      <c r="P1148" s="25">
        <v>0.0</v>
      </c>
      <c r="Q1148" s="9">
        <f>dynamic[orderPrice]*dynamic[orderQuantity]</f>
        <v>1020</v>
      </c>
      <c r="R1148" s="9">
        <f>dynamic[orderTotal]*(1-dynamic[discountApllied])</f>
        <v>1020</v>
      </c>
      <c r="S1148" s="9">
        <f>dynamic[revenue]-(dynamic[productCost]*dynamic[orderQuantity])</f>
        <v>336.8705116</v>
      </c>
      <c r="T1148" s="25">
        <f>IFERROR(dynamic[profit]/dynamic[revenue], 0)</f>
        <v>0.3302652075</v>
      </c>
    </row>
    <row r="1149" ht="15.75" customHeight="1">
      <c r="A1149" s="6">
        <v>10685.0</v>
      </c>
      <c r="B1149" s="7" t="s">
        <v>86</v>
      </c>
      <c r="C1149" s="24" t="str">
        <f>VLOOKUP(dynamic[customerID],customers[],2,FALSE)</f>
        <v>Gourmet Lanchonetes</v>
      </c>
      <c r="D1149" s="24">
        <v>45198.0</v>
      </c>
      <c r="E1149" s="6">
        <f>IFERROR(__xludf.DUMMYFUNCTION("COUNTUNIQUEIFS($A$2:$A1149,$B$2:$B1149,B1149)"),3.0)</f>
        <v>3</v>
      </c>
      <c r="F1149" s="6">
        <f t="shared" si="1"/>
        <v>28</v>
      </c>
      <c r="G1149" s="6" t="str">
        <f>IF(MINIFS(dynamic[orderDate], dynamic[customerID], B1149) &gt;= DATE(2024,4,30)-120, 
     "New", 
     IF(MAXIFS(dynamic[orderCount], dynamic[customerID], B1149)&lt;=2, 
        IF((DATE(2024,4,30) - MAXIFS(dynamic[orderDate], dynamic[customerID], B1149)) &gt; 180, "Non-Returning", "Dormant"), 
        IF(AND(MAX(dynamic[sinceLastOrder]) &gt; 365, (DATE(2024,4,30) - MAXIFS(dynamic[orderDate], dynamic[customerID], B1149)) &gt; 180), 
           "Dormant", "Regular")))</f>
        <v>Regular</v>
      </c>
      <c r="H1149" s="6">
        <v>10.0</v>
      </c>
      <c r="I1149" s="9" t="str">
        <f>VLOOKUP(dynamic[productID],products[],2,FALSE)</f>
        <v>Ikura</v>
      </c>
      <c r="J1149" s="9" t="str">
        <f>VLOOKUP(dynamic[productID],products[],12,FALSE)</f>
        <v>Seafood</v>
      </c>
      <c r="K1149" s="7" t="str">
        <f>IF(VLOOKUP(dynamic[productID],products[],7,FALSE)=1,"Discontinued","Current")</f>
        <v>Current</v>
      </c>
      <c r="L1149" s="9">
        <f>VLOOKUP(dynamic[productID],products[],IF(YEAR(dynamic[orderDate])=2022,8,IF(YEAR(dynamic[orderDate])=2023,9,IF(YEAR(dynamic[orderDate])=2024,10,NA))),FALSE)</f>
        <v>20.72721922</v>
      </c>
      <c r="M1149" s="9">
        <v>31.0</v>
      </c>
      <c r="N1149" s="25">
        <f>(dynamic[orderPrice]-dynamic[productCost])/dynamic[productCost]</f>
        <v>0.4956178962</v>
      </c>
      <c r="O1149" s="10">
        <v>20.0</v>
      </c>
      <c r="P1149" s="25">
        <v>0.0</v>
      </c>
      <c r="Q1149" s="9">
        <f>dynamic[orderPrice]*dynamic[orderQuantity]</f>
        <v>620</v>
      </c>
      <c r="R1149" s="9">
        <f>dynamic[orderTotal]*(1-dynamic[discountApllied])</f>
        <v>620</v>
      </c>
      <c r="S1149" s="9">
        <f>dynamic[revenue]-(dynamic[productCost]*dynamic[orderQuantity])</f>
        <v>205.4556157</v>
      </c>
      <c r="T1149" s="25">
        <f>IFERROR(dynamic[profit]/dynamic[revenue], 0)</f>
        <v>0.3313800252</v>
      </c>
    </row>
    <row r="1150" ht="15.75" customHeight="1">
      <c r="A1150" s="6">
        <v>10685.0</v>
      </c>
      <c r="B1150" s="7" t="s">
        <v>86</v>
      </c>
      <c r="C1150" s="24" t="str">
        <f>VLOOKUP(dynamic[customerID],customers[],2,FALSE)</f>
        <v>Gourmet Lanchonetes</v>
      </c>
      <c r="D1150" s="24">
        <v>45198.0</v>
      </c>
      <c r="E1150" s="6">
        <f>IFERROR(__xludf.DUMMYFUNCTION("COUNTUNIQUEIFS($A$2:$A1150,$B$2:$B1150,B1150)"),3.0)</f>
        <v>3</v>
      </c>
      <c r="F1150" s="6">
        <f t="shared" si="1"/>
        <v>28</v>
      </c>
      <c r="G1150" s="6" t="str">
        <f>IF(MINIFS(dynamic[orderDate], dynamic[customerID], B1150) &gt;= DATE(2024,4,30)-120, 
     "New", 
     IF(MAXIFS(dynamic[orderCount], dynamic[customerID], B1150)&lt;=2, 
        IF((DATE(2024,4,30) - MAXIFS(dynamic[orderDate], dynamic[customerID], B1150)) &gt; 180, "Non-Returning", "Dormant"), 
        IF(AND(MAX(dynamic[sinceLastOrder]) &gt; 365, (DATE(2024,4,30) - MAXIFS(dynamic[orderDate], dynamic[customerID], B1150)) &gt; 180), 
           "Dormant", "Regular")))</f>
        <v>Regular</v>
      </c>
      <c r="H1150" s="6">
        <v>41.0</v>
      </c>
      <c r="I1150" s="9" t="str">
        <f>VLOOKUP(dynamic[productID],products[],2,FALSE)</f>
        <v>Jack's New England Clam Chowder</v>
      </c>
      <c r="J1150" s="9" t="str">
        <f>VLOOKUP(dynamic[productID],products[],12,FALSE)</f>
        <v>Seafood</v>
      </c>
      <c r="K1150" s="7" t="str">
        <f>IF(VLOOKUP(dynamic[productID],products[],7,FALSE)=1,"Discontinued","Current")</f>
        <v>Current</v>
      </c>
      <c r="L1150" s="9">
        <f>VLOOKUP(dynamic[productID],products[],IF(YEAR(dynamic[orderDate])=2022,8,IF(YEAR(dynamic[orderDate])=2023,9,IF(YEAR(dynamic[orderDate])=2024,10,NA))),FALSE)</f>
        <v>6.549914856</v>
      </c>
      <c r="M1150" s="9">
        <v>9.65</v>
      </c>
      <c r="N1150" s="25">
        <f>(dynamic[orderPrice]-dynamic[productCost])/dynamic[productCost]</f>
        <v>0.4733015943</v>
      </c>
      <c r="O1150" s="10">
        <v>4.0</v>
      </c>
      <c r="P1150" s="25">
        <v>0.0</v>
      </c>
      <c r="Q1150" s="9">
        <f>dynamic[orderPrice]*dynamic[orderQuantity]</f>
        <v>38.6</v>
      </c>
      <c r="R1150" s="9">
        <f>dynamic[orderTotal]*(1-dynamic[discountApllied])</f>
        <v>38.6</v>
      </c>
      <c r="S1150" s="9">
        <f>dynamic[revenue]-(dynamic[productCost]*dynamic[orderQuantity])</f>
        <v>12.40034058</v>
      </c>
      <c r="T1150" s="25">
        <f>IFERROR(dynamic[profit]/dynamic[revenue], 0)</f>
        <v>0.3212523465</v>
      </c>
    </row>
    <row r="1151" ht="15.75" customHeight="1">
      <c r="A1151" s="6">
        <v>10685.0</v>
      </c>
      <c r="B1151" s="7" t="s">
        <v>86</v>
      </c>
      <c r="C1151" s="24" t="str">
        <f>VLOOKUP(dynamic[customerID],customers[],2,FALSE)</f>
        <v>Gourmet Lanchonetes</v>
      </c>
      <c r="D1151" s="24">
        <v>45198.0</v>
      </c>
      <c r="E1151" s="6">
        <f>IFERROR(__xludf.DUMMYFUNCTION("COUNTUNIQUEIFS($A$2:$A1151,$B$2:$B1151,B1151)"),3.0)</f>
        <v>3</v>
      </c>
      <c r="F1151" s="6">
        <f t="shared" si="1"/>
        <v>28</v>
      </c>
      <c r="G1151" s="6" t="str">
        <f>IF(MINIFS(dynamic[orderDate], dynamic[customerID], B1151) &gt;= DATE(2024,4,30)-120, 
     "New", 
     IF(MAXIFS(dynamic[orderCount], dynamic[customerID], B1151)&lt;=2, 
        IF((DATE(2024,4,30) - MAXIFS(dynamic[orderDate], dynamic[customerID], B1151)) &gt; 180, "Non-Returning", "Dormant"), 
        IF(AND(MAX(dynamic[sinceLastOrder]) &gt; 365, (DATE(2024,4,30) - MAXIFS(dynamic[orderDate], dynamic[customerID], B1151)) &gt; 180), 
           "Dormant", "Regular")))</f>
        <v>Regular</v>
      </c>
      <c r="H1151" s="6">
        <v>47.0</v>
      </c>
      <c r="I1151" s="9" t="str">
        <f>VLOOKUP(dynamic[productID],products[],2,FALSE)</f>
        <v>Zaanse koeken</v>
      </c>
      <c r="J1151" s="9" t="str">
        <f>VLOOKUP(dynamic[productID],products[],12,FALSE)</f>
        <v>Confections</v>
      </c>
      <c r="K1151" s="7" t="str">
        <f>IF(VLOOKUP(dynamic[productID],products[],7,FALSE)=1,"Discontinued","Current")</f>
        <v>Current</v>
      </c>
      <c r="L1151" s="9">
        <f>VLOOKUP(dynamic[productID],products[],IF(YEAR(dynamic[orderDate])=2022,8,IF(YEAR(dynamic[orderDate])=2023,9,IF(YEAR(dynamic[orderDate])=2024,10,NA))),FALSE)</f>
        <v>6.57708833</v>
      </c>
      <c r="M1151" s="9">
        <v>9.5</v>
      </c>
      <c r="N1151" s="25">
        <f>(dynamic[orderPrice]-dynamic[productCost])/dynamic[productCost]</f>
        <v>0.4444081519</v>
      </c>
      <c r="O1151" s="10">
        <v>15.0</v>
      </c>
      <c r="P1151" s="25">
        <v>0.0</v>
      </c>
      <c r="Q1151" s="9">
        <f>dynamic[orderPrice]*dynamic[orderQuantity]</f>
        <v>142.5</v>
      </c>
      <c r="R1151" s="9">
        <f>dynamic[orderTotal]*(1-dynamic[discountApllied])</f>
        <v>142.5</v>
      </c>
      <c r="S1151" s="9">
        <f>dynamic[revenue]-(dynamic[productCost]*dynamic[orderQuantity])</f>
        <v>43.84367504</v>
      </c>
      <c r="T1151" s="25">
        <f>IFERROR(dynamic[profit]/dynamic[revenue], 0)</f>
        <v>0.3076749126</v>
      </c>
    </row>
    <row r="1152" ht="15.75" customHeight="1">
      <c r="A1152" s="6">
        <v>10686.0</v>
      </c>
      <c r="B1152" s="7" t="s">
        <v>69</v>
      </c>
      <c r="C1152" s="24" t="str">
        <f>VLOOKUP(dynamic[customerID],customers[],2,FALSE)</f>
        <v>Piccolo und mehr</v>
      </c>
      <c r="D1152" s="24">
        <v>45199.0</v>
      </c>
      <c r="E1152" s="6">
        <f>IFERROR(__xludf.DUMMYFUNCTION("COUNTUNIQUEIFS($A$2:$A1152,$B$2:$B1152,B1152)"),7.0)</f>
        <v>7</v>
      </c>
      <c r="F1152" s="6">
        <f t="shared" si="1"/>
        <v>81</v>
      </c>
      <c r="G1152" s="6" t="str">
        <f>IF(MINIFS(dynamic[orderDate], dynamic[customerID], B1152) &gt;= DATE(2024,4,30)-120, 
     "New", 
     IF(MAXIFS(dynamic[orderCount], dynamic[customerID], B1152)&lt;=2, 
        IF((DATE(2024,4,30) - MAXIFS(dynamic[orderDate], dynamic[customerID], B1152)) &gt; 180, "Non-Returning", "Dormant"), 
        IF(AND(MAX(dynamic[sinceLastOrder]) &gt; 365, (DATE(2024,4,30) - MAXIFS(dynamic[orderDate], dynamic[customerID], B1152)) &gt; 180), 
           "Dormant", "Regular")))</f>
        <v>Regular</v>
      </c>
      <c r="H1152" s="6">
        <v>17.0</v>
      </c>
      <c r="I1152" s="9" t="str">
        <f>VLOOKUP(dynamic[productID],products[],2,FALSE)</f>
        <v>Alice Mutton</v>
      </c>
      <c r="J1152" s="9" t="str">
        <f>VLOOKUP(dynamic[productID],products[],12,FALSE)</f>
        <v>Meat/Poultry</v>
      </c>
      <c r="K1152" s="7" t="str">
        <f>IF(VLOOKUP(dynamic[productID],products[],7,FALSE)=1,"Discontinued","Current")</f>
        <v>Discontinued</v>
      </c>
      <c r="L1152" s="9">
        <f>VLOOKUP(dynamic[productID],products[],IF(YEAR(dynamic[orderDate])=2022,8,IF(YEAR(dynamic[orderDate])=2023,9,IF(YEAR(dynamic[orderDate])=2024,10,NA))),FALSE)</f>
        <v>24.83130504</v>
      </c>
      <c r="M1152" s="9">
        <v>39.0</v>
      </c>
      <c r="N1152" s="25">
        <f>(dynamic[orderPrice]-dynamic[productCost])/dynamic[productCost]</f>
        <v>0.5705980792</v>
      </c>
      <c r="O1152" s="10">
        <v>30.0</v>
      </c>
      <c r="P1152" s="25">
        <v>0.2</v>
      </c>
      <c r="Q1152" s="9">
        <f>dynamic[orderPrice]*dynamic[orderQuantity]</f>
        <v>1170</v>
      </c>
      <c r="R1152" s="9">
        <f>dynamic[orderTotal]*(1-dynamic[discountApllied])</f>
        <v>936</v>
      </c>
      <c r="S1152" s="9">
        <f>dynamic[revenue]-(dynamic[productCost]*dynamic[orderQuantity])</f>
        <v>191.0608488</v>
      </c>
      <c r="T1152" s="25">
        <f>IFERROR(dynamic[profit]/dynamic[revenue], 0)</f>
        <v>0.2041248385</v>
      </c>
    </row>
    <row r="1153" ht="15.75" customHeight="1">
      <c r="A1153" s="6">
        <v>10686.0</v>
      </c>
      <c r="B1153" s="7" t="s">
        <v>69</v>
      </c>
      <c r="C1153" s="24" t="str">
        <f>VLOOKUP(dynamic[customerID],customers[],2,FALSE)</f>
        <v>Piccolo und mehr</v>
      </c>
      <c r="D1153" s="24">
        <v>45199.0</v>
      </c>
      <c r="E1153" s="6">
        <f>IFERROR(__xludf.DUMMYFUNCTION("COUNTUNIQUEIFS($A$2:$A1153,$B$2:$B1153,B1153)"),7.0)</f>
        <v>7</v>
      </c>
      <c r="F1153" s="6">
        <f t="shared" si="1"/>
        <v>81</v>
      </c>
      <c r="G1153" s="6" t="str">
        <f>IF(MINIFS(dynamic[orderDate], dynamic[customerID], B1153) &gt;= DATE(2024,4,30)-120, 
     "New", 
     IF(MAXIFS(dynamic[orderCount], dynamic[customerID], B1153)&lt;=2, 
        IF((DATE(2024,4,30) - MAXIFS(dynamic[orderDate], dynamic[customerID], B1153)) &gt; 180, "Non-Returning", "Dormant"), 
        IF(AND(MAX(dynamic[sinceLastOrder]) &gt; 365, (DATE(2024,4,30) - MAXIFS(dynamic[orderDate], dynamic[customerID], B1153)) &gt; 180), 
           "Dormant", "Regular")))</f>
        <v>Regular</v>
      </c>
      <c r="H1153" s="6">
        <v>26.0</v>
      </c>
      <c r="I1153" s="9" t="str">
        <f>VLOOKUP(dynamic[productID],products[],2,FALSE)</f>
        <v>NuNuCa Nuß-Nougat-Creme</v>
      </c>
      <c r="J1153" s="9" t="str">
        <f>VLOOKUP(dynamic[productID],products[],12,FALSE)</f>
        <v>Confections</v>
      </c>
      <c r="K1153" s="7" t="str">
        <f>IF(VLOOKUP(dynamic[productID],products[],7,FALSE)=1,"Discontinued","Current")</f>
        <v>Current</v>
      </c>
      <c r="L1153" s="9">
        <f>VLOOKUP(dynamic[productID],products[],IF(YEAR(dynamic[orderDate])=2022,8,IF(YEAR(dynamic[orderDate])=2023,9,IF(YEAR(dynamic[orderDate])=2024,10,NA))),FALSE)</f>
        <v>21.20896201</v>
      </c>
      <c r="M1153" s="9">
        <v>31.23</v>
      </c>
      <c r="N1153" s="25">
        <f>(dynamic[orderPrice]-dynamic[productCost])/dynamic[productCost]</f>
        <v>0.472490732</v>
      </c>
      <c r="O1153" s="10">
        <v>15.0</v>
      </c>
      <c r="P1153" s="25">
        <v>0.0</v>
      </c>
      <c r="Q1153" s="9">
        <f>dynamic[orderPrice]*dynamic[orderQuantity]</f>
        <v>468.45</v>
      </c>
      <c r="R1153" s="9">
        <f>dynamic[orderTotal]*(1-dynamic[discountApllied])</f>
        <v>468.45</v>
      </c>
      <c r="S1153" s="9">
        <f>dynamic[revenue]-(dynamic[productCost]*dynamic[orderQuantity])</f>
        <v>150.3155698</v>
      </c>
      <c r="T1153" s="25">
        <f>IFERROR(dynamic[profit]/dynamic[revenue], 0)</f>
        <v>0.3208785779</v>
      </c>
    </row>
    <row r="1154" ht="15.75" customHeight="1">
      <c r="A1154" s="6">
        <v>10687.0</v>
      </c>
      <c r="B1154" s="7" t="s">
        <v>49</v>
      </c>
      <c r="C1154" s="24" t="str">
        <f>VLOOKUP(dynamic[customerID],customers[],2,FALSE)</f>
        <v>Hungry Owl All-Night Grocers</v>
      </c>
      <c r="D1154" s="24">
        <v>45199.0</v>
      </c>
      <c r="E1154" s="6">
        <f>IFERROR(__xludf.DUMMYFUNCTION("COUNTUNIQUEIFS($A$2:$A1154,$B$2:$B1154,B1154)"),12.0)</f>
        <v>12</v>
      </c>
      <c r="F1154" s="6">
        <f t="shared" si="1"/>
        <v>21</v>
      </c>
      <c r="G1154" s="6" t="str">
        <f>IF(MINIFS(dynamic[orderDate], dynamic[customerID], B1154) &gt;= DATE(2024,4,30)-120, 
     "New", 
     IF(MAXIFS(dynamic[orderCount], dynamic[customerID], B1154)&lt;=2, 
        IF((DATE(2024,4,30) - MAXIFS(dynamic[orderDate], dynamic[customerID], B1154)) &gt; 180, "Non-Returning", "Dormant"), 
        IF(AND(MAX(dynamic[sinceLastOrder]) &gt; 365, (DATE(2024,4,30) - MAXIFS(dynamic[orderDate], dynamic[customerID], B1154)) &gt; 180), 
           "Dormant", "Regular")))</f>
        <v>Regular</v>
      </c>
      <c r="H1154" s="6">
        <v>9.0</v>
      </c>
      <c r="I1154" s="9" t="str">
        <f>VLOOKUP(dynamic[productID],products[],2,FALSE)</f>
        <v>Mishi Kobe Niku</v>
      </c>
      <c r="J1154" s="9" t="str">
        <f>VLOOKUP(dynamic[productID],products[],12,FALSE)</f>
        <v>Meat/Poultry</v>
      </c>
      <c r="K1154" s="7" t="str">
        <f>IF(VLOOKUP(dynamic[productID],products[],7,FALSE)=1,"Discontinued","Current")</f>
        <v>Discontinued</v>
      </c>
      <c r="L1154" s="9">
        <f>VLOOKUP(dynamic[productID],products[],IF(YEAR(dynamic[orderDate])=2022,8,IF(YEAR(dynamic[orderDate])=2023,9,IF(YEAR(dynamic[orderDate])=2024,10,NA))),FALSE)</f>
        <v>59.95980959</v>
      </c>
      <c r="M1154" s="9">
        <v>97.0</v>
      </c>
      <c r="N1154" s="25">
        <f>(dynamic[orderPrice]-dynamic[productCost])/dynamic[productCost]</f>
        <v>0.6177503007</v>
      </c>
      <c r="O1154" s="10">
        <v>50.0</v>
      </c>
      <c r="P1154" s="25">
        <v>0.25</v>
      </c>
      <c r="Q1154" s="9">
        <f>dynamic[orderPrice]*dynamic[orderQuantity]</f>
        <v>4850</v>
      </c>
      <c r="R1154" s="9">
        <f>dynamic[orderTotal]*(1-dynamic[discountApllied])</f>
        <v>3637.5</v>
      </c>
      <c r="S1154" s="9">
        <f>dynamic[revenue]-(dynamic[productCost]*dynamic[orderQuantity])</f>
        <v>639.5095203</v>
      </c>
      <c r="T1154" s="25">
        <f>IFERROR(dynamic[profit]/dynamic[revenue], 0)</f>
        <v>0.1758101774</v>
      </c>
    </row>
    <row r="1155" ht="15.75" customHeight="1">
      <c r="A1155" s="6">
        <v>10687.0</v>
      </c>
      <c r="B1155" s="7" t="s">
        <v>49</v>
      </c>
      <c r="C1155" s="24" t="str">
        <f>VLOOKUP(dynamic[customerID],customers[],2,FALSE)</f>
        <v>Hungry Owl All-Night Grocers</v>
      </c>
      <c r="D1155" s="24">
        <v>45199.0</v>
      </c>
      <c r="E1155" s="6">
        <f>IFERROR(__xludf.DUMMYFUNCTION("COUNTUNIQUEIFS($A$2:$A1155,$B$2:$B1155,B1155)"),12.0)</f>
        <v>12</v>
      </c>
      <c r="F1155" s="6">
        <f t="shared" si="1"/>
        <v>21</v>
      </c>
      <c r="G1155" s="6" t="str">
        <f>IF(MINIFS(dynamic[orderDate], dynamic[customerID], B1155) &gt;= DATE(2024,4,30)-120, 
     "New", 
     IF(MAXIFS(dynamic[orderCount], dynamic[customerID], B1155)&lt;=2, 
        IF((DATE(2024,4,30) - MAXIFS(dynamic[orderDate], dynamic[customerID], B1155)) &gt; 180, "Non-Returning", "Dormant"), 
        IF(AND(MAX(dynamic[sinceLastOrder]) &gt; 365, (DATE(2024,4,30) - MAXIFS(dynamic[orderDate], dynamic[customerID], B1155)) &gt; 180), 
           "Dormant", "Regular")))</f>
        <v>Regular</v>
      </c>
      <c r="H1155" s="6">
        <v>29.0</v>
      </c>
      <c r="I1155" s="9" t="str">
        <f>VLOOKUP(dynamic[productID],products[],2,FALSE)</f>
        <v>Thüringer Rostbratwurst</v>
      </c>
      <c r="J1155" s="9" t="str">
        <f>VLOOKUP(dynamic[productID],products[],12,FALSE)</f>
        <v>Meat/Poultry</v>
      </c>
      <c r="K1155" s="7" t="str">
        <f>IF(VLOOKUP(dynamic[productID],products[],7,FALSE)=1,"Discontinued","Current")</f>
        <v>Discontinued</v>
      </c>
      <c r="L1155" s="9">
        <f>VLOOKUP(dynamic[productID],products[],IF(YEAR(dynamic[orderDate])=2022,8,IF(YEAR(dynamic[orderDate])=2023,9,IF(YEAR(dynamic[orderDate])=2024,10,NA))),FALSE)</f>
        <v>80.85619497</v>
      </c>
      <c r="M1155" s="9">
        <v>123.79</v>
      </c>
      <c r="N1155" s="25">
        <f>(dynamic[orderPrice]-dynamic[productCost])/dynamic[productCost]</f>
        <v>0.5309896792</v>
      </c>
      <c r="O1155" s="10">
        <v>10.0</v>
      </c>
      <c r="P1155" s="25">
        <v>0.0</v>
      </c>
      <c r="Q1155" s="9">
        <f>dynamic[orderPrice]*dynamic[orderQuantity]</f>
        <v>1237.9</v>
      </c>
      <c r="R1155" s="9">
        <f>dynamic[orderTotal]*(1-dynamic[discountApllied])</f>
        <v>1237.9</v>
      </c>
      <c r="S1155" s="9">
        <f>dynamic[revenue]-(dynamic[productCost]*dynamic[orderQuantity])</f>
        <v>429.3380503</v>
      </c>
      <c r="T1155" s="25">
        <f>IFERROR(dynamic[profit]/dynamic[revenue], 0)</f>
        <v>0.3468277327</v>
      </c>
    </row>
    <row r="1156" ht="15.75" customHeight="1">
      <c r="A1156" s="6">
        <v>10687.0</v>
      </c>
      <c r="B1156" s="7" t="s">
        <v>49</v>
      </c>
      <c r="C1156" s="24" t="str">
        <f>VLOOKUP(dynamic[customerID],customers[],2,FALSE)</f>
        <v>Hungry Owl All-Night Grocers</v>
      </c>
      <c r="D1156" s="24">
        <v>45199.0</v>
      </c>
      <c r="E1156" s="6">
        <f>IFERROR(__xludf.DUMMYFUNCTION("COUNTUNIQUEIFS($A$2:$A1156,$B$2:$B1156,B1156)"),12.0)</f>
        <v>12</v>
      </c>
      <c r="F1156" s="6">
        <f t="shared" si="1"/>
        <v>21</v>
      </c>
      <c r="G1156" s="6" t="str">
        <f>IF(MINIFS(dynamic[orderDate], dynamic[customerID], B1156) &gt;= DATE(2024,4,30)-120, 
     "New", 
     IF(MAXIFS(dynamic[orderCount], dynamic[customerID], B1156)&lt;=2, 
        IF((DATE(2024,4,30) - MAXIFS(dynamic[orderDate], dynamic[customerID], B1156)) &gt; 180, "Non-Returning", "Dormant"), 
        IF(AND(MAX(dynamic[sinceLastOrder]) &gt; 365, (DATE(2024,4,30) - MAXIFS(dynamic[orderDate], dynamic[customerID], B1156)) &gt; 180), 
           "Dormant", "Regular")))</f>
        <v>Regular</v>
      </c>
      <c r="H1156" s="6">
        <v>36.0</v>
      </c>
      <c r="I1156" s="9" t="str">
        <f>VLOOKUP(dynamic[productID],products[],2,FALSE)</f>
        <v>Inlagd Sill</v>
      </c>
      <c r="J1156" s="9" t="str">
        <f>VLOOKUP(dynamic[productID],products[],12,FALSE)</f>
        <v>Seafood</v>
      </c>
      <c r="K1156" s="7" t="str">
        <f>IF(VLOOKUP(dynamic[productID],products[],7,FALSE)=1,"Discontinued","Current")</f>
        <v>Current</v>
      </c>
      <c r="L1156" s="9">
        <f>VLOOKUP(dynamic[productID],products[],IF(YEAR(dynamic[orderDate])=2022,8,IF(YEAR(dynamic[orderDate])=2023,9,IF(YEAR(dynamic[orderDate])=2024,10,NA))),FALSE)</f>
        <v>12.15246269</v>
      </c>
      <c r="M1156" s="9">
        <v>19.0</v>
      </c>
      <c r="N1156" s="25">
        <f>(dynamic[orderPrice]-dynamic[productCost])/dynamic[productCost]</f>
        <v>0.5634691082</v>
      </c>
      <c r="O1156" s="10">
        <v>6.0</v>
      </c>
      <c r="P1156" s="25">
        <v>0.25</v>
      </c>
      <c r="Q1156" s="9">
        <f>dynamic[orderPrice]*dynamic[orderQuantity]</f>
        <v>114</v>
      </c>
      <c r="R1156" s="9">
        <f>dynamic[orderTotal]*(1-dynamic[discountApllied])</f>
        <v>85.5</v>
      </c>
      <c r="S1156" s="9">
        <f>dynamic[revenue]-(dynamic[productCost]*dynamic[orderQuantity])</f>
        <v>12.58522388</v>
      </c>
      <c r="T1156" s="25">
        <f>IFERROR(dynamic[profit]/dynamic[revenue], 0)</f>
        <v>0.1471956009</v>
      </c>
    </row>
    <row r="1157" ht="15.75" customHeight="1">
      <c r="A1157" s="6">
        <v>10688.0</v>
      </c>
      <c r="B1157" s="7" t="s">
        <v>76</v>
      </c>
      <c r="C1157" s="24" t="str">
        <f>VLOOKUP(dynamic[customerID],customers[],2,FALSE)</f>
        <v>Vaffeljernet</v>
      </c>
      <c r="D1157" s="24">
        <v>45200.0</v>
      </c>
      <c r="E1157" s="6">
        <f>IFERROR(__xludf.DUMMYFUNCTION("COUNTUNIQUEIFS($A$2:$A1157,$B$2:$B1157,B1157)"),6.0)</f>
        <v>6</v>
      </c>
      <c r="F1157" s="6">
        <f t="shared" si="1"/>
        <v>76</v>
      </c>
      <c r="G1157" s="6" t="str">
        <f>IF(MINIFS(dynamic[orderDate], dynamic[customerID], B1157) &gt;= DATE(2024,4,30)-120, 
     "New", 
     IF(MAXIFS(dynamic[orderCount], dynamic[customerID], B1157)&lt;=2, 
        IF((DATE(2024,4,30) - MAXIFS(dynamic[orderDate], dynamic[customerID], B1157)) &gt; 180, "Non-Returning", "Dormant"), 
        IF(AND(MAX(dynamic[sinceLastOrder]) &gt; 365, (DATE(2024,4,30) - MAXIFS(dynamic[orderDate], dynamic[customerID], B1157)) &gt; 180), 
           "Dormant", "Regular")))</f>
        <v>Regular</v>
      </c>
      <c r="H1157" s="6">
        <v>10.0</v>
      </c>
      <c r="I1157" s="9" t="str">
        <f>VLOOKUP(dynamic[productID],products[],2,FALSE)</f>
        <v>Ikura</v>
      </c>
      <c r="J1157" s="9" t="str">
        <f>VLOOKUP(dynamic[productID],products[],12,FALSE)</f>
        <v>Seafood</v>
      </c>
      <c r="K1157" s="7" t="str">
        <f>IF(VLOOKUP(dynamic[productID],products[],7,FALSE)=1,"Discontinued","Current")</f>
        <v>Current</v>
      </c>
      <c r="L1157" s="9">
        <f>VLOOKUP(dynamic[productID],products[],IF(YEAR(dynamic[orderDate])=2022,8,IF(YEAR(dynamic[orderDate])=2023,9,IF(YEAR(dynamic[orderDate])=2024,10,NA))),FALSE)</f>
        <v>20.72721922</v>
      </c>
      <c r="M1157" s="9">
        <v>31.0</v>
      </c>
      <c r="N1157" s="25">
        <f>(dynamic[orderPrice]-dynamic[productCost])/dynamic[productCost]</f>
        <v>0.4956178962</v>
      </c>
      <c r="O1157" s="10">
        <v>18.0</v>
      </c>
      <c r="P1157" s="25">
        <v>0.1</v>
      </c>
      <c r="Q1157" s="9">
        <f>dynamic[orderPrice]*dynamic[orderQuantity]</f>
        <v>558</v>
      </c>
      <c r="R1157" s="9">
        <f>dynamic[orderTotal]*(1-dynamic[discountApllied])</f>
        <v>502.2</v>
      </c>
      <c r="S1157" s="9">
        <f>dynamic[revenue]-(dynamic[productCost]*dynamic[orderQuantity])</f>
        <v>129.1100541</v>
      </c>
      <c r="T1157" s="25">
        <f>IFERROR(dynamic[profit]/dynamic[revenue], 0)</f>
        <v>0.2570889169</v>
      </c>
    </row>
    <row r="1158" ht="15.75" customHeight="1">
      <c r="A1158" s="6">
        <v>10688.0</v>
      </c>
      <c r="B1158" s="7" t="s">
        <v>76</v>
      </c>
      <c r="C1158" s="24" t="str">
        <f>VLOOKUP(dynamic[customerID],customers[],2,FALSE)</f>
        <v>Vaffeljernet</v>
      </c>
      <c r="D1158" s="24">
        <v>45200.0</v>
      </c>
      <c r="E1158" s="6">
        <f>IFERROR(__xludf.DUMMYFUNCTION("COUNTUNIQUEIFS($A$2:$A1158,$B$2:$B1158,B1158)"),6.0)</f>
        <v>6</v>
      </c>
      <c r="F1158" s="6">
        <f t="shared" si="1"/>
        <v>76</v>
      </c>
      <c r="G1158" s="6" t="str">
        <f>IF(MINIFS(dynamic[orderDate], dynamic[customerID], B1158) &gt;= DATE(2024,4,30)-120, 
     "New", 
     IF(MAXIFS(dynamic[orderCount], dynamic[customerID], B1158)&lt;=2, 
        IF((DATE(2024,4,30) - MAXIFS(dynamic[orderDate], dynamic[customerID], B1158)) &gt; 180, "Non-Returning", "Dormant"), 
        IF(AND(MAX(dynamic[sinceLastOrder]) &gt; 365, (DATE(2024,4,30) - MAXIFS(dynamic[orderDate], dynamic[customerID], B1158)) &gt; 180), 
           "Dormant", "Regular")))</f>
        <v>Regular</v>
      </c>
      <c r="H1158" s="6">
        <v>28.0</v>
      </c>
      <c r="I1158" s="9" t="str">
        <f>VLOOKUP(dynamic[productID],products[],2,FALSE)</f>
        <v>Rössle Sauerkraut</v>
      </c>
      <c r="J1158" s="9" t="str">
        <f>VLOOKUP(dynamic[productID],products[],12,FALSE)</f>
        <v>Produce</v>
      </c>
      <c r="K1158" s="7" t="str">
        <f>IF(VLOOKUP(dynamic[productID],products[],7,FALSE)=1,"Discontinued","Current")</f>
        <v>Discontinued</v>
      </c>
      <c r="L1158" s="9">
        <f>VLOOKUP(dynamic[productID],products[],IF(YEAR(dynamic[orderDate])=2022,8,IF(YEAR(dynamic[orderDate])=2023,9,IF(YEAR(dynamic[orderDate])=2024,10,NA))),FALSE)</f>
        <v>31.52644578</v>
      </c>
      <c r="M1158" s="9">
        <v>45.6</v>
      </c>
      <c r="N1158" s="25">
        <f>(dynamic[orderPrice]-dynamic[productCost])/dynamic[productCost]</f>
        <v>0.4464047207</v>
      </c>
      <c r="O1158" s="10">
        <v>60.0</v>
      </c>
      <c r="P1158" s="25">
        <v>0.1</v>
      </c>
      <c r="Q1158" s="9">
        <f>dynamic[orderPrice]*dynamic[orderQuantity]</f>
        <v>2736</v>
      </c>
      <c r="R1158" s="9">
        <f>dynamic[orderTotal]*(1-dynamic[discountApllied])</f>
        <v>2462.4</v>
      </c>
      <c r="S1158" s="9">
        <f>dynamic[revenue]-(dynamic[productCost]*dynamic[orderQuantity])</f>
        <v>570.8132533</v>
      </c>
      <c r="T1158" s="25">
        <f>IFERROR(dynamic[profit]/dynamic[revenue], 0)</f>
        <v>0.23181175</v>
      </c>
    </row>
    <row r="1159" ht="15.75" customHeight="1">
      <c r="A1159" s="6">
        <v>10688.0</v>
      </c>
      <c r="B1159" s="7" t="s">
        <v>76</v>
      </c>
      <c r="C1159" s="24" t="str">
        <f>VLOOKUP(dynamic[customerID],customers[],2,FALSE)</f>
        <v>Vaffeljernet</v>
      </c>
      <c r="D1159" s="24">
        <v>45200.0</v>
      </c>
      <c r="E1159" s="6">
        <f>IFERROR(__xludf.DUMMYFUNCTION("COUNTUNIQUEIFS($A$2:$A1159,$B$2:$B1159,B1159)"),6.0)</f>
        <v>6</v>
      </c>
      <c r="F1159" s="6">
        <f t="shared" si="1"/>
        <v>76</v>
      </c>
      <c r="G1159" s="6" t="str">
        <f>IF(MINIFS(dynamic[orderDate], dynamic[customerID], B1159) &gt;= DATE(2024,4,30)-120, 
     "New", 
     IF(MAXIFS(dynamic[orderCount], dynamic[customerID], B1159)&lt;=2, 
        IF((DATE(2024,4,30) - MAXIFS(dynamic[orderDate], dynamic[customerID], B1159)) &gt; 180, "Non-Returning", "Dormant"), 
        IF(AND(MAX(dynamic[sinceLastOrder]) &gt; 365, (DATE(2024,4,30) - MAXIFS(dynamic[orderDate], dynamic[customerID], B1159)) &gt; 180), 
           "Dormant", "Regular")))</f>
        <v>Regular</v>
      </c>
      <c r="H1159" s="6">
        <v>34.0</v>
      </c>
      <c r="I1159" s="9" t="str">
        <f>VLOOKUP(dynamic[productID],products[],2,FALSE)</f>
        <v>Sasquatch Ale</v>
      </c>
      <c r="J1159" s="9" t="str">
        <f>VLOOKUP(dynamic[productID],products[],12,FALSE)</f>
        <v>Beverages</v>
      </c>
      <c r="K1159" s="7" t="str">
        <f>IF(VLOOKUP(dynamic[productID],products[],7,FALSE)=1,"Discontinued","Current")</f>
        <v>Current</v>
      </c>
      <c r="L1159" s="9">
        <f>VLOOKUP(dynamic[productID],products[],IF(YEAR(dynamic[orderDate])=2022,8,IF(YEAR(dynamic[orderDate])=2023,9,IF(YEAR(dynamic[orderDate])=2024,10,NA))),FALSE)</f>
        <v>8.955654061</v>
      </c>
      <c r="M1159" s="9">
        <v>14.0</v>
      </c>
      <c r="N1159" s="25">
        <f>(dynamic[orderPrice]-dynamic[productCost])/dynamic[productCost]</f>
        <v>0.5632582394</v>
      </c>
      <c r="O1159" s="10">
        <v>14.0</v>
      </c>
      <c r="P1159" s="25">
        <v>0.0</v>
      </c>
      <c r="Q1159" s="9">
        <f>dynamic[orderPrice]*dynamic[orderQuantity]</f>
        <v>196</v>
      </c>
      <c r="R1159" s="9">
        <f>dynamic[orderTotal]*(1-dynamic[discountApllied])</f>
        <v>196</v>
      </c>
      <c r="S1159" s="9">
        <f>dynamic[revenue]-(dynamic[productCost]*dynamic[orderQuantity])</f>
        <v>70.62084315</v>
      </c>
      <c r="T1159" s="25">
        <f>IFERROR(dynamic[profit]/dynamic[revenue], 0)</f>
        <v>0.3603104242</v>
      </c>
    </row>
    <row r="1160" ht="15.75" customHeight="1">
      <c r="A1160" s="6">
        <v>10689.0</v>
      </c>
      <c r="B1160" s="7" t="s">
        <v>40</v>
      </c>
      <c r="C1160" s="24" t="str">
        <f>VLOOKUP(dynamic[customerID],customers[],2,FALSE)</f>
        <v>Berglunds snabbköp</v>
      </c>
      <c r="D1160" s="24">
        <v>45200.0</v>
      </c>
      <c r="E1160" s="6">
        <f>IFERROR(__xludf.DUMMYFUNCTION("COUNTUNIQUEIFS($A$2:$A1160,$B$2:$B1160,B1160)"),11.0)</f>
        <v>11</v>
      </c>
      <c r="F1160" s="6">
        <f t="shared" si="1"/>
        <v>14</v>
      </c>
      <c r="G1160" s="6" t="str">
        <f>IF(MINIFS(dynamic[orderDate], dynamic[customerID], B1160) &gt;= DATE(2024,4,30)-120, 
     "New", 
     IF(MAXIFS(dynamic[orderCount], dynamic[customerID], B1160)&lt;=2, 
        IF((DATE(2024,4,30) - MAXIFS(dynamic[orderDate], dynamic[customerID], B1160)) &gt; 180, "Non-Returning", "Dormant"), 
        IF(AND(MAX(dynamic[sinceLastOrder]) &gt; 365, (DATE(2024,4,30) - MAXIFS(dynamic[orderDate], dynamic[customerID], B1160)) &gt; 180), 
           "Dormant", "Regular")))</f>
        <v>Regular</v>
      </c>
      <c r="H1160" s="6">
        <v>1.0</v>
      </c>
      <c r="I1160" s="9" t="str">
        <f>VLOOKUP(dynamic[productID],products[],2,FALSE)</f>
        <v>Chai</v>
      </c>
      <c r="J1160" s="9" t="str">
        <f>VLOOKUP(dynamic[productID],products[],12,FALSE)</f>
        <v>Beverages</v>
      </c>
      <c r="K1160" s="7" t="str">
        <f>IF(VLOOKUP(dynamic[productID],products[],7,FALSE)=1,"Discontinued","Current")</f>
        <v>Current</v>
      </c>
      <c r="L1160" s="9">
        <f>VLOOKUP(dynamic[productID],products[],IF(YEAR(dynamic[orderDate])=2022,8,IF(YEAR(dynamic[orderDate])=2023,9,IF(YEAR(dynamic[orderDate])=2024,10,NA))),FALSE)</f>
        <v>12.15847607</v>
      </c>
      <c r="M1160" s="9">
        <v>18.0</v>
      </c>
      <c r="N1160" s="25">
        <f>(dynamic[orderPrice]-dynamic[productCost])/dynamic[productCost]</f>
        <v>0.4804486927</v>
      </c>
      <c r="O1160" s="10">
        <v>35.0</v>
      </c>
      <c r="P1160" s="25">
        <v>0.25</v>
      </c>
      <c r="Q1160" s="9">
        <f>dynamic[orderPrice]*dynamic[orderQuantity]</f>
        <v>630</v>
      </c>
      <c r="R1160" s="9">
        <f>dynamic[orderTotal]*(1-dynamic[discountApllied])</f>
        <v>472.5</v>
      </c>
      <c r="S1160" s="9">
        <f>dynamic[revenue]-(dynamic[productCost]*dynamic[orderQuantity])</f>
        <v>46.95333762</v>
      </c>
      <c r="T1160" s="25">
        <f>IFERROR(dynamic[profit]/dynamic[revenue], 0)</f>
        <v>0.09937214312</v>
      </c>
    </row>
    <row r="1161" ht="15.75" customHeight="1">
      <c r="A1161" s="6">
        <v>10690.0</v>
      </c>
      <c r="B1161" s="7" t="s">
        <v>16</v>
      </c>
      <c r="C1161" s="24" t="str">
        <f>VLOOKUP(dynamic[customerID],customers[],2,FALSE)</f>
        <v>Hanari Carnes</v>
      </c>
      <c r="D1161" s="24">
        <v>45201.0</v>
      </c>
      <c r="E1161" s="6">
        <f>IFERROR(__xludf.DUMMYFUNCTION("COUNTUNIQUEIFS($A$2:$A1161,$B$2:$B1161,B1161)"),5.0)</f>
        <v>5</v>
      </c>
      <c r="F1161" s="6">
        <f t="shared" si="1"/>
        <v>37</v>
      </c>
      <c r="G1161" s="6" t="str">
        <f>IF(MINIFS(dynamic[orderDate], dynamic[customerID], B1161) &gt;= DATE(2024,4,30)-120, 
     "New", 
     IF(MAXIFS(dynamic[orderCount], dynamic[customerID], B1161)&lt;=2, 
        IF((DATE(2024,4,30) - MAXIFS(dynamic[orderDate], dynamic[customerID], B1161)) &gt; 180, "Non-Returning", "Dormant"), 
        IF(AND(MAX(dynamic[sinceLastOrder]) &gt; 365, (DATE(2024,4,30) - MAXIFS(dynamic[orderDate], dynamic[customerID], B1161)) &gt; 180), 
           "Dormant", "Regular")))</f>
        <v>Regular</v>
      </c>
      <c r="H1161" s="6">
        <v>56.0</v>
      </c>
      <c r="I1161" s="9" t="str">
        <f>VLOOKUP(dynamic[productID],products[],2,FALSE)</f>
        <v>Gnocchi di nonna Alice</v>
      </c>
      <c r="J1161" s="9" t="str">
        <f>VLOOKUP(dynamic[productID],products[],12,FALSE)</f>
        <v>Grains/Cereals</v>
      </c>
      <c r="K1161" s="7" t="str">
        <f>IF(VLOOKUP(dynamic[productID],products[],7,FALSE)=1,"Discontinued","Current")</f>
        <v>Current</v>
      </c>
      <c r="L1161" s="9">
        <f>VLOOKUP(dynamic[productID],products[],IF(YEAR(dynamic[orderDate])=2022,8,IF(YEAR(dynamic[orderDate])=2023,9,IF(YEAR(dynamic[orderDate])=2024,10,NA))),FALSE)</f>
        <v>24.28342441</v>
      </c>
      <c r="M1161" s="9">
        <v>38.0</v>
      </c>
      <c r="N1161" s="25">
        <f>(dynamic[orderPrice]-dynamic[productCost])/dynamic[productCost]</f>
        <v>0.5648534309</v>
      </c>
      <c r="O1161" s="10">
        <v>20.0</v>
      </c>
      <c r="P1161" s="25">
        <v>0.25</v>
      </c>
      <c r="Q1161" s="9">
        <f>dynamic[orderPrice]*dynamic[orderQuantity]</f>
        <v>760</v>
      </c>
      <c r="R1161" s="9">
        <f>dynamic[orderTotal]*(1-dynamic[discountApllied])</f>
        <v>570</v>
      </c>
      <c r="S1161" s="9">
        <f>dynamic[revenue]-(dynamic[productCost]*dynamic[orderQuantity])</f>
        <v>84.33151184</v>
      </c>
      <c r="T1161" s="25">
        <f>IFERROR(dynamic[profit]/dynamic[revenue], 0)</f>
        <v>0.1479500208</v>
      </c>
    </row>
    <row r="1162" ht="15.75" customHeight="1">
      <c r="A1162" s="6">
        <v>10690.0</v>
      </c>
      <c r="B1162" s="7" t="s">
        <v>16</v>
      </c>
      <c r="C1162" s="24" t="str">
        <f>VLOOKUP(dynamic[customerID],customers[],2,FALSE)</f>
        <v>Hanari Carnes</v>
      </c>
      <c r="D1162" s="24">
        <v>45201.0</v>
      </c>
      <c r="E1162" s="6">
        <f>IFERROR(__xludf.DUMMYFUNCTION("COUNTUNIQUEIFS($A$2:$A1162,$B$2:$B1162,B1162)"),5.0)</f>
        <v>5</v>
      </c>
      <c r="F1162" s="6">
        <f t="shared" si="1"/>
        <v>37</v>
      </c>
      <c r="G1162" s="6" t="str">
        <f>IF(MINIFS(dynamic[orderDate], dynamic[customerID], B1162) &gt;= DATE(2024,4,30)-120, 
     "New", 
     IF(MAXIFS(dynamic[orderCount], dynamic[customerID], B1162)&lt;=2, 
        IF((DATE(2024,4,30) - MAXIFS(dynamic[orderDate], dynamic[customerID], B1162)) &gt; 180, "Non-Returning", "Dormant"), 
        IF(AND(MAX(dynamic[sinceLastOrder]) &gt; 365, (DATE(2024,4,30) - MAXIFS(dynamic[orderDate], dynamic[customerID], B1162)) &gt; 180), 
           "Dormant", "Regular")))</f>
        <v>Regular</v>
      </c>
      <c r="H1162" s="6">
        <v>77.0</v>
      </c>
      <c r="I1162" s="9" t="str">
        <f>VLOOKUP(dynamic[productID],products[],2,FALSE)</f>
        <v>Original Frankfurter grüne Soße</v>
      </c>
      <c r="J1162" s="9" t="str">
        <f>VLOOKUP(dynamic[productID],products[],12,FALSE)</f>
        <v>Condiments</v>
      </c>
      <c r="K1162" s="7" t="str">
        <f>IF(VLOOKUP(dynamic[productID],products[],7,FALSE)=1,"Discontinued","Current")</f>
        <v>Current</v>
      </c>
      <c r="L1162" s="9">
        <f>VLOOKUP(dynamic[productID],products[],IF(YEAR(dynamic[orderDate])=2022,8,IF(YEAR(dynamic[orderDate])=2023,9,IF(YEAR(dynamic[orderDate])=2024,10,NA))),FALSE)</f>
        <v>7.539056452</v>
      </c>
      <c r="M1162" s="9">
        <v>13.0</v>
      </c>
      <c r="N1162" s="25">
        <f>(dynamic[orderPrice]-dynamic[productCost])/dynamic[productCost]</f>
        <v>0.7243537149</v>
      </c>
      <c r="O1162" s="10">
        <v>30.0</v>
      </c>
      <c r="P1162" s="25">
        <v>0.25</v>
      </c>
      <c r="Q1162" s="9">
        <f>dynamic[orderPrice]*dynamic[orderQuantity]</f>
        <v>390</v>
      </c>
      <c r="R1162" s="9">
        <f>dynamic[orderTotal]*(1-dynamic[discountApllied])</f>
        <v>292.5</v>
      </c>
      <c r="S1162" s="9">
        <f>dynamic[revenue]-(dynamic[productCost]*dynamic[orderQuantity])</f>
        <v>66.32830644</v>
      </c>
      <c r="T1162" s="25">
        <f>IFERROR(dynamic[profit]/dynamic[revenue], 0)</f>
        <v>0.2267634408</v>
      </c>
    </row>
    <row r="1163" ht="15.75" customHeight="1">
      <c r="A1163" s="6">
        <v>10691.0</v>
      </c>
      <c r="B1163" s="7" t="s">
        <v>36</v>
      </c>
      <c r="C1163" s="24" t="str">
        <f>VLOOKUP(dynamic[customerID],customers[],2,FALSE)</f>
        <v>QUICK-Stop</v>
      </c>
      <c r="D1163" s="24">
        <v>45202.0</v>
      </c>
      <c r="E1163" s="6">
        <f>IFERROR(__xludf.DUMMYFUNCTION("COUNTUNIQUEIFS($A$2:$A1163,$B$2:$B1163,B1163)"),15.0)</f>
        <v>15</v>
      </c>
      <c r="F1163" s="6">
        <f t="shared" si="1"/>
        <v>28</v>
      </c>
      <c r="G1163" s="6" t="str">
        <f>IF(MINIFS(dynamic[orderDate], dynamic[customerID], B1163) &gt;= DATE(2024,4,30)-120, 
     "New", 
     IF(MAXIFS(dynamic[orderCount], dynamic[customerID], B1163)&lt;=2, 
        IF((DATE(2024,4,30) - MAXIFS(dynamic[orderDate], dynamic[customerID], B1163)) &gt; 180, "Non-Returning", "Dormant"), 
        IF(AND(MAX(dynamic[sinceLastOrder]) &gt; 365, (DATE(2024,4,30) - MAXIFS(dynamic[orderDate], dynamic[customerID], B1163)) &gt; 180), 
           "Dormant", "Regular")))</f>
        <v>Regular</v>
      </c>
      <c r="H1163" s="6">
        <v>1.0</v>
      </c>
      <c r="I1163" s="9" t="str">
        <f>VLOOKUP(dynamic[productID],products[],2,FALSE)</f>
        <v>Chai</v>
      </c>
      <c r="J1163" s="9" t="str">
        <f>VLOOKUP(dynamic[productID],products[],12,FALSE)</f>
        <v>Beverages</v>
      </c>
      <c r="K1163" s="7" t="str">
        <f>IF(VLOOKUP(dynamic[productID],products[],7,FALSE)=1,"Discontinued","Current")</f>
        <v>Current</v>
      </c>
      <c r="L1163" s="9">
        <f>VLOOKUP(dynamic[productID],products[],IF(YEAR(dynamic[orderDate])=2022,8,IF(YEAR(dynamic[orderDate])=2023,9,IF(YEAR(dynamic[orderDate])=2024,10,NA))),FALSE)</f>
        <v>12.15847607</v>
      </c>
      <c r="M1163" s="9">
        <v>18.0</v>
      </c>
      <c r="N1163" s="25">
        <f>(dynamic[orderPrice]-dynamic[productCost])/dynamic[productCost]</f>
        <v>0.4804486927</v>
      </c>
      <c r="O1163" s="10">
        <v>30.0</v>
      </c>
      <c r="P1163" s="25">
        <v>0.0</v>
      </c>
      <c r="Q1163" s="9">
        <f>dynamic[orderPrice]*dynamic[orderQuantity]</f>
        <v>540</v>
      </c>
      <c r="R1163" s="9">
        <f>dynamic[orderTotal]*(1-dynamic[discountApllied])</f>
        <v>540</v>
      </c>
      <c r="S1163" s="9">
        <f>dynamic[revenue]-(dynamic[productCost]*dynamic[orderQuantity])</f>
        <v>175.245718</v>
      </c>
      <c r="T1163" s="25">
        <f>IFERROR(dynamic[profit]/dynamic[revenue], 0)</f>
        <v>0.3245291073</v>
      </c>
    </row>
    <row r="1164" ht="15.75" customHeight="1">
      <c r="A1164" s="6">
        <v>10691.0</v>
      </c>
      <c r="B1164" s="7" t="s">
        <v>36</v>
      </c>
      <c r="C1164" s="24" t="str">
        <f>VLOOKUP(dynamic[customerID],customers[],2,FALSE)</f>
        <v>QUICK-Stop</v>
      </c>
      <c r="D1164" s="24">
        <v>45202.0</v>
      </c>
      <c r="E1164" s="6">
        <f>IFERROR(__xludf.DUMMYFUNCTION("COUNTUNIQUEIFS($A$2:$A1164,$B$2:$B1164,B1164)"),15.0)</f>
        <v>15</v>
      </c>
      <c r="F1164" s="6">
        <f t="shared" si="1"/>
        <v>28</v>
      </c>
      <c r="G1164" s="6" t="str">
        <f>IF(MINIFS(dynamic[orderDate], dynamic[customerID], B1164) &gt;= DATE(2024,4,30)-120, 
     "New", 
     IF(MAXIFS(dynamic[orderCount], dynamic[customerID], B1164)&lt;=2, 
        IF((DATE(2024,4,30) - MAXIFS(dynamic[orderDate], dynamic[customerID], B1164)) &gt; 180, "Non-Returning", "Dormant"), 
        IF(AND(MAX(dynamic[sinceLastOrder]) &gt; 365, (DATE(2024,4,30) - MAXIFS(dynamic[orderDate], dynamic[customerID], B1164)) &gt; 180), 
           "Dormant", "Regular")))</f>
        <v>Regular</v>
      </c>
      <c r="H1164" s="6">
        <v>29.0</v>
      </c>
      <c r="I1164" s="9" t="str">
        <f>VLOOKUP(dynamic[productID],products[],2,FALSE)</f>
        <v>Thüringer Rostbratwurst</v>
      </c>
      <c r="J1164" s="9" t="str">
        <f>VLOOKUP(dynamic[productID],products[],12,FALSE)</f>
        <v>Meat/Poultry</v>
      </c>
      <c r="K1164" s="7" t="str">
        <f>IF(VLOOKUP(dynamic[productID],products[],7,FALSE)=1,"Discontinued","Current")</f>
        <v>Discontinued</v>
      </c>
      <c r="L1164" s="9">
        <f>VLOOKUP(dynamic[productID],products[],IF(YEAR(dynamic[orderDate])=2022,8,IF(YEAR(dynamic[orderDate])=2023,9,IF(YEAR(dynamic[orderDate])=2024,10,NA))),FALSE)</f>
        <v>80.85619497</v>
      </c>
      <c r="M1164" s="9">
        <v>123.79</v>
      </c>
      <c r="N1164" s="25">
        <f>(dynamic[orderPrice]-dynamic[productCost])/dynamic[productCost]</f>
        <v>0.5309896792</v>
      </c>
      <c r="O1164" s="10">
        <v>40.0</v>
      </c>
      <c r="P1164" s="25">
        <v>0.0</v>
      </c>
      <c r="Q1164" s="9">
        <f>dynamic[orderPrice]*dynamic[orderQuantity]</f>
        <v>4951.6</v>
      </c>
      <c r="R1164" s="9">
        <f>dynamic[orderTotal]*(1-dynamic[discountApllied])</f>
        <v>4951.6</v>
      </c>
      <c r="S1164" s="9">
        <f>dynamic[revenue]-(dynamic[productCost]*dynamic[orderQuantity])</f>
        <v>1717.352201</v>
      </c>
      <c r="T1164" s="25">
        <f>IFERROR(dynamic[profit]/dynamic[revenue], 0)</f>
        <v>0.3468277327</v>
      </c>
    </row>
    <row r="1165" ht="15.75" customHeight="1">
      <c r="A1165" s="6">
        <v>10691.0</v>
      </c>
      <c r="B1165" s="7" t="s">
        <v>36</v>
      </c>
      <c r="C1165" s="24" t="str">
        <f>VLOOKUP(dynamic[customerID],customers[],2,FALSE)</f>
        <v>QUICK-Stop</v>
      </c>
      <c r="D1165" s="24">
        <v>45202.0</v>
      </c>
      <c r="E1165" s="6">
        <f>IFERROR(__xludf.DUMMYFUNCTION("COUNTUNIQUEIFS($A$2:$A1165,$B$2:$B1165,B1165)"),15.0)</f>
        <v>15</v>
      </c>
      <c r="F1165" s="6">
        <f t="shared" si="1"/>
        <v>28</v>
      </c>
      <c r="G1165" s="6" t="str">
        <f>IF(MINIFS(dynamic[orderDate], dynamic[customerID], B1165) &gt;= DATE(2024,4,30)-120, 
     "New", 
     IF(MAXIFS(dynamic[orderCount], dynamic[customerID], B1165)&lt;=2, 
        IF((DATE(2024,4,30) - MAXIFS(dynamic[orderDate], dynamic[customerID], B1165)) &gt; 180, "Non-Returning", "Dormant"), 
        IF(AND(MAX(dynamic[sinceLastOrder]) &gt; 365, (DATE(2024,4,30) - MAXIFS(dynamic[orderDate], dynamic[customerID], B1165)) &gt; 180), 
           "Dormant", "Regular")))</f>
        <v>Regular</v>
      </c>
      <c r="H1165" s="6">
        <v>43.0</v>
      </c>
      <c r="I1165" s="9" t="str">
        <f>VLOOKUP(dynamic[productID],products[],2,FALSE)</f>
        <v>Ipoh Coffee</v>
      </c>
      <c r="J1165" s="9" t="str">
        <f>VLOOKUP(dynamic[productID],products[],12,FALSE)</f>
        <v>Beverages</v>
      </c>
      <c r="K1165" s="7" t="str">
        <f>IF(VLOOKUP(dynamic[productID],products[],7,FALSE)=1,"Discontinued","Current")</f>
        <v>Current</v>
      </c>
      <c r="L1165" s="9">
        <f>VLOOKUP(dynamic[productID],products[],IF(YEAR(dynamic[orderDate])=2022,8,IF(YEAR(dynamic[orderDate])=2023,9,IF(YEAR(dynamic[orderDate])=2024,10,NA))),FALSE)</f>
        <v>30.96256564</v>
      </c>
      <c r="M1165" s="9">
        <v>46.0</v>
      </c>
      <c r="N1165" s="25">
        <f>(dynamic[orderPrice]-dynamic[productCost])/dynamic[productCost]</f>
        <v>0.4856649976</v>
      </c>
      <c r="O1165" s="10">
        <v>40.0</v>
      </c>
      <c r="P1165" s="25">
        <v>0.0</v>
      </c>
      <c r="Q1165" s="9">
        <f>dynamic[orderPrice]*dynamic[orderQuantity]</f>
        <v>1840</v>
      </c>
      <c r="R1165" s="9">
        <f>dynamic[orderTotal]*(1-dynamic[discountApllied])</f>
        <v>1840</v>
      </c>
      <c r="S1165" s="9">
        <f>dynamic[revenue]-(dynamic[productCost]*dynamic[orderQuantity])</f>
        <v>601.4973746</v>
      </c>
      <c r="T1165" s="25">
        <f>IFERROR(dynamic[profit]/dynamic[revenue], 0)</f>
        <v>0.3269007471</v>
      </c>
    </row>
    <row r="1166" ht="15.75" customHeight="1">
      <c r="A1166" s="6">
        <v>10691.0</v>
      </c>
      <c r="B1166" s="7" t="s">
        <v>36</v>
      </c>
      <c r="C1166" s="24" t="str">
        <f>VLOOKUP(dynamic[customerID],customers[],2,FALSE)</f>
        <v>QUICK-Stop</v>
      </c>
      <c r="D1166" s="24">
        <v>45202.0</v>
      </c>
      <c r="E1166" s="6">
        <f>IFERROR(__xludf.DUMMYFUNCTION("COUNTUNIQUEIFS($A$2:$A1166,$B$2:$B1166,B1166)"),15.0)</f>
        <v>15</v>
      </c>
      <c r="F1166" s="6">
        <f t="shared" si="1"/>
        <v>28</v>
      </c>
      <c r="G1166" s="6" t="str">
        <f>IF(MINIFS(dynamic[orderDate], dynamic[customerID], B1166) &gt;= DATE(2024,4,30)-120, 
     "New", 
     IF(MAXIFS(dynamic[orderCount], dynamic[customerID], B1166)&lt;=2, 
        IF((DATE(2024,4,30) - MAXIFS(dynamic[orderDate], dynamic[customerID], B1166)) &gt; 180, "Non-Returning", "Dormant"), 
        IF(AND(MAX(dynamic[sinceLastOrder]) &gt; 365, (DATE(2024,4,30) - MAXIFS(dynamic[orderDate], dynamic[customerID], B1166)) &gt; 180), 
           "Dormant", "Regular")))</f>
        <v>Regular</v>
      </c>
      <c r="H1166" s="6">
        <v>44.0</v>
      </c>
      <c r="I1166" s="9" t="str">
        <f>VLOOKUP(dynamic[productID],products[],2,FALSE)</f>
        <v>Gula Malacca</v>
      </c>
      <c r="J1166" s="9" t="str">
        <f>VLOOKUP(dynamic[productID],products[],12,FALSE)</f>
        <v>Condiments</v>
      </c>
      <c r="K1166" s="7" t="str">
        <f>IF(VLOOKUP(dynamic[productID],products[],7,FALSE)=1,"Discontinued","Current")</f>
        <v>Current</v>
      </c>
      <c r="L1166" s="9">
        <f>VLOOKUP(dynamic[productID],products[],IF(YEAR(dynamic[orderDate])=2022,8,IF(YEAR(dynamic[orderDate])=2023,9,IF(YEAR(dynamic[orderDate])=2024,10,NA))),FALSE)</f>
        <v>13.06032103</v>
      </c>
      <c r="M1166" s="9">
        <v>19.45</v>
      </c>
      <c r="N1166" s="25">
        <f>(dynamic[orderPrice]-dynamic[productCost])/dynamic[productCost]</f>
        <v>0.4892436379</v>
      </c>
      <c r="O1166" s="10">
        <v>24.0</v>
      </c>
      <c r="P1166" s="25">
        <v>0.0</v>
      </c>
      <c r="Q1166" s="9">
        <f>dynamic[orderPrice]*dynamic[orderQuantity]</f>
        <v>466.8</v>
      </c>
      <c r="R1166" s="9">
        <f>dynamic[orderTotal]*(1-dynamic[discountApllied])</f>
        <v>466.8</v>
      </c>
      <c r="S1166" s="9">
        <f>dynamic[revenue]-(dynamic[productCost]*dynamic[orderQuantity])</f>
        <v>153.3522953</v>
      </c>
      <c r="T1166" s="25">
        <f>IFERROR(dynamic[profit]/dynamic[revenue], 0)</f>
        <v>0.3285181991</v>
      </c>
    </row>
    <row r="1167" ht="15.75" customHeight="1">
      <c r="A1167" s="6">
        <v>10691.0</v>
      </c>
      <c r="B1167" s="7" t="s">
        <v>36</v>
      </c>
      <c r="C1167" s="24" t="str">
        <f>VLOOKUP(dynamic[customerID],customers[],2,FALSE)</f>
        <v>QUICK-Stop</v>
      </c>
      <c r="D1167" s="24">
        <v>45202.0</v>
      </c>
      <c r="E1167" s="6">
        <f>IFERROR(__xludf.DUMMYFUNCTION("COUNTUNIQUEIFS($A$2:$A1167,$B$2:$B1167,B1167)"),15.0)</f>
        <v>15</v>
      </c>
      <c r="F1167" s="6">
        <f t="shared" si="1"/>
        <v>28</v>
      </c>
      <c r="G1167" s="6" t="str">
        <f>IF(MINIFS(dynamic[orderDate], dynamic[customerID], B1167) &gt;= DATE(2024,4,30)-120, 
     "New", 
     IF(MAXIFS(dynamic[orderCount], dynamic[customerID], B1167)&lt;=2, 
        IF((DATE(2024,4,30) - MAXIFS(dynamic[orderDate], dynamic[customerID], B1167)) &gt; 180, "Non-Returning", "Dormant"), 
        IF(AND(MAX(dynamic[sinceLastOrder]) &gt; 365, (DATE(2024,4,30) - MAXIFS(dynamic[orderDate], dynamic[customerID], B1167)) &gt; 180), 
           "Dormant", "Regular")))</f>
        <v>Regular</v>
      </c>
      <c r="H1167" s="6">
        <v>62.0</v>
      </c>
      <c r="I1167" s="9" t="str">
        <f>VLOOKUP(dynamic[productID],products[],2,FALSE)</f>
        <v>Tarte au sucre</v>
      </c>
      <c r="J1167" s="9" t="str">
        <f>VLOOKUP(dynamic[productID],products[],12,FALSE)</f>
        <v>Confections</v>
      </c>
      <c r="K1167" s="7" t="str">
        <f>IF(VLOOKUP(dynamic[productID],products[],7,FALSE)=1,"Discontinued","Current")</f>
        <v>Current</v>
      </c>
      <c r="L1167" s="9">
        <f>VLOOKUP(dynamic[productID],products[],IF(YEAR(dynamic[orderDate])=2022,8,IF(YEAR(dynamic[orderDate])=2023,9,IF(YEAR(dynamic[orderDate])=2024,10,NA))),FALSE)</f>
        <v>35.34792781</v>
      </c>
      <c r="M1167" s="9">
        <v>49.3</v>
      </c>
      <c r="N1167" s="25">
        <f>(dynamic[orderPrice]-dynamic[productCost])/dynamic[productCost]</f>
        <v>0.3947069335</v>
      </c>
      <c r="O1167" s="10">
        <v>48.0</v>
      </c>
      <c r="P1167" s="25">
        <v>0.0</v>
      </c>
      <c r="Q1167" s="9">
        <f>dynamic[orderPrice]*dynamic[orderQuantity]</f>
        <v>2366.4</v>
      </c>
      <c r="R1167" s="9">
        <f>dynamic[orderTotal]*(1-dynamic[discountApllied])</f>
        <v>2366.4</v>
      </c>
      <c r="S1167" s="9">
        <f>dynamic[revenue]-(dynamic[productCost]*dynamic[orderQuantity])</f>
        <v>669.6994652</v>
      </c>
      <c r="T1167" s="25">
        <f>IFERROR(dynamic[profit]/dynamic[revenue], 0)</f>
        <v>0.2830034927</v>
      </c>
    </row>
    <row r="1168" ht="15.75" customHeight="1">
      <c r="A1168" s="6">
        <v>10692.0</v>
      </c>
      <c r="B1168" s="7" t="s">
        <v>100</v>
      </c>
      <c r="C1168" s="24" t="str">
        <f>VLOOKUP(dynamic[customerID],customers[],2,FALSE)</f>
        <v>Alfreds Futterkiste</v>
      </c>
      <c r="D1168" s="24">
        <v>45202.0</v>
      </c>
      <c r="E1168" s="6">
        <f>IFERROR(__xludf.DUMMYFUNCTION("COUNTUNIQUEIFS($A$2:$A1168,$B$2:$B1168,B1168)"),2.0)</f>
        <v>2</v>
      </c>
      <c r="F1168" s="6">
        <f t="shared" si="1"/>
        <v>39</v>
      </c>
      <c r="G1168" s="6" t="str">
        <f>IF(MINIFS(dynamic[orderDate], dynamic[customerID], B1168) &gt;= DATE(2024,4,30)-120, 
     "New", 
     IF(MAXIFS(dynamic[orderCount], dynamic[customerID], B1168)&lt;=2, 
        IF((DATE(2024,4,30) - MAXIFS(dynamic[orderDate], dynamic[customerID], B1168)) &gt; 180, "Non-Returning", "Dormant"), 
        IF(AND(MAX(dynamic[sinceLastOrder]) &gt; 365, (DATE(2024,4,30) - MAXIFS(dynamic[orderDate], dynamic[customerID], B1168)) &gt; 180), 
           "Dormant", "Regular")))</f>
        <v>Regular</v>
      </c>
      <c r="H1168" s="6">
        <v>63.0</v>
      </c>
      <c r="I1168" s="9" t="str">
        <f>VLOOKUP(dynamic[productID],products[],2,FALSE)</f>
        <v>Vegie-spread</v>
      </c>
      <c r="J1168" s="9" t="str">
        <f>VLOOKUP(dynamic[productID],products[],12,FALSE)</f>
        <v>Condiments</v>
      </c>
      <c r="K1168" s="7" t="str">
        <f>IF(VLOOKUP(dynamic[productID],products[],7,FALSE)=1,"Discontinued","Current")</f>
        <v>Current</v>
      </c>
      <c r="L1168" s="9">
        <f>VLOOKUP(dynamic[productID],products[],IF(YEAR(dynamic[orderDate])=2022,8,IF(YEAR(dynamic[orderDate])=2023,9,IF(YEAR(dynamic[orderDate])=2024,10,NA))),FALSE)</f>
        <v>27.72225706</v>
      </c>
      <c r="M1168" s="9">
        <v>43.9</v>
      </c>
      <c r="N1168" s="25">
        <f>(dynamic[orderPrice]-dynamic[productCost])/dynamic[productCost]</f>
        <v>0.5835651445</v>
      </c>
      <c r="O1168" s="10">
        <v>20.0</v>
      </c>
      <c r="P1168" s="25">
        <v>0.0</v>
      </c>
      <c r="Q1168" s="9">
        <f>dynamic[orderPrice]*dynamic[orderQuantity]</f>
        <v>878</v>
      </c>
      <c r="R1168" s="9">
        <f>dynamic[orderTotal]*(1-dynamic[discountApllied])</f>
        <v>878</v>
      </c>
      <c r="S1168" s="9">
        <f>dynamic[revenue]-(dynamic[productCost]*dynamic[orderQuantity])</f>
        <v>323.5548589</v>
      </c>
      <c r="T1168" s="25">
        <f>IFERROR(dynamic[profit]/dynamic[revenue], 0)</f>
        <v>0.3685135067</v>
      </c>
    </row>
    <row r="1169" ht="15.75" customHeight="1">
      <c r="A1169" s="6">
        <v>10693.0</v>
      </c>
      <c r="B1169" s="7" t="s">
        <v>34</v>
      </c>
      <c r="C1169" s="24" t="str">
        <f>VLOOKUP(dynamic[customerID],customers[],2,FALSE)</f>
        <v>White Clover Markets</v>
      </c>
      <c r="D1169" s="24">
        <v>45205.0</v>
      </c>
      <c r="E1169" s="6">
        <f>IFERROR(__xludf.DUMMYFUNCTION("COUNTUNIQUEIFS($A$2:$A1169,$B$2:$B1169,B1169)"),7.0)</f>
        <v>7</v>
      </c>
      <c r="F1169" s="6">
        <f t="shared" si="1"/>
        <v>87</v>
      </c>
      <c r="G1169" s="6" t="str">
        <f>IF(MINIFS(dynamic[orderDate], dynamic[customerID], B1169) &gt;= DATE(2024,4,30)-120, 
     "New", 
     IF(MAXIFS(dynamic[orderCount], dynamic[customerID], B1169)&lt;=2, 
        IF((DATE(2024,4,30) - MAXIFS(dynamic[orderDate], dynamic[customerID], B1169)) &gt; 180, "Non-Returning", "Dormant"), 
        IF(AND(MAX(dynamic[sinceLastOrder]) &gt; 365, (DATE(2024,4,30) - MAXIFS(dynamic[orderDate], dynamic[customerID], B1169)) &gt; 180), 
           "Dormant", "Regular")))</f>
        <v>Regular</v>
      </c>
      <c r="H1169" s="6">
        <v>9.0</v>
      </c>
      <c r="I1169" s="9" t="str">
        <f>VLOOKUP(dynamic[productID],products[],2,FALSE)</f>
        <v>Mishi Kobe Niku</v>
      </c>
      <c r="J1169" s="9" t="str">
        <f>VLOOKUP(dynamic[productID],products[],12,FALSE)</f>
        <v>Meat/Poultry</v>
      </c>
      <c r="K1169" s="7" t="str">
        <f>IF(VLOOKUP(dynamic[productID],products[],7,FALSE)=1,"Discontinued","Current")</f>
        <v>Discontinued</v>
      </c>
      <c r="L1169" s="9">
        <f>VLOOKUP(dynamic[productID],products[],IF(YEAR(dynamic[orderDate])=2022,8,IF(YEAR(dynamic[orderDate])=2023,9,IF(YEAR(dynamic[orderDate])=2024,10,NA))),FALSE)</f>
        <v>59.95980959</v>
      </c>
      <c r="M1169" s="9">
        <v>97.0</v>
      </c>
      <c r="N1169" s="25">
        <f>(dynamic[orderPrice]-dynamic[productCost])/dynamic[productCost]</f>
        <v>0.6177503007</v>
      </c>
      <c r="O1169" s="10">
        <v>6.0</v>
      </c>
      <c r="P1169" s="25">
        <v>0.0</v>
      </c>
      <c r="Q1169" s="9">
        <f>dynamic[orderPrice]*dynamic[orderQuantity]</f>
        <v>582</v>
      </c>
      <c r="R1169" s="9">
        <f>dynamic[orderTotal]*(1-dynamic[discountApllied])</f>
        <v>582</v>
      </c>
      <c r="S1169" s="9">
        <f>dynamic[revenue]-(dynamic[productCost]*dynamic[orderQuantity])</f>
        <v>222.2411424</v>
      </c>
      <c r="T1169" s="25">
        <f>IFERROR(dynamic[profit]/dynamic[revenue], 0)</f>
        <v>0.3818576331</v>
      </c>
    </row>
    <row r="1170" ht="15.75" customHeight="1">
      <c r="A1170" s="6">
        <v>10693.0</v>
      </c>
      <c r="B1170" s="7" t="s">
        <v>34</v>
      </c>
      <c r="C1170" s="24" t="str">
        <f>VLOOKUP(dynamic[customerID],customers[],2,FALSE)</f>
        <v>White Clover Markets</v>
      </c>
      <c r="D1170" s="24">
        <v>45205.0</v>
      </c>
      <c r="E1170" s="6">
        <f>IFERROR(__xludf.DUMMYFUNCTION("COUNTUNIQUEIFS($A$2:$A1170,$B$2:$B1170,B1170)"),7.0)</f>
        <v>7</v>
      </c>
      <c r="F1170" s="6">
        <f t="shared" si="1"/>
        <v>87</v>
      </c>
      <c r="G1170" s="6" t="str">
        <f>IF(MINIFS(dynamic[orderDate], dynamic[customerID], B1170) &gt;= DATE(2024,4,30)-120, 
     "New", 
     IF(MAXIFS(dynamic[orderCount], dynamic[customerID], B1170)&lt;=2, 
        IF((DATE(2024,4,30) - MAXIFS(dynamic[orderDate], dynamic[customerID], B1170)) &gt; 180, "Non-Returning", "Dormant"), 
        IF(AND(MAX(dynamic[sinceLastOrder]) &gt; 365, (DATE(2024,4,30) - MAXIFS(dynamic[orderDate], dynamic[customerID], B1170)) &gt; 180), 
           "Dormant", "Regular")))</f>
        <v>Regular</v>
      </c>
      <c r="H1170" s="6">
        <v>54.0</v>
      </c>
      <c r="I1170" s="9" t="str">
        <f>VLOOKUP(dynamic[productID],products[],2,FALSE)</f>
        <v>Tourtière</v>
      </c>
      <c r="J1170" s="9" t="str">
        <f>VLOOKUP(dynamic[productID],products[],12,FALSE)</f>
        <v>Meat/Poultry</v>
      </c>
      <c r="K1170" s="7" t="str">
        <f>IF(VLOOKUP(dynamic[productID],products[],7,FALSE)=1,"Discontinued","Current")</f>
        <v>Current</v>
      </c>
      <c r="L1170" s="9">
        <f>VLOOKUP(dynamic[productID],products[],IF(YEAR(dynamic[orderDate])=2022,8,IF(YEAR(dynamic[orderDate])=2023,9,IF(YEAR(dynamic[orderDate])=2024,10,NA))),FALSE)</f>
        <v>4.924447797</v>
      </c>
      <c r="M1170" s="9">
        <v>7.45</v>
      </c>
      <c r="N1170" s="25">
        <f>(dynamic[orderPrice]-dynamic[productCost])/dynamic[productCost]</f>
        <v>0.5128599808</v>
      </c>
      <c r="O1170" s="10">
        <v>60.0</v>
      </c>
      <c r="P1170" s="25">
        <v>0.15</v>
      </c>
      <c r="Q1170" s="9">
        <f>dynamic[orderPrice]*dynamic[orderQuantity]</f>
        <v>447</v>
      </c>
      <c r="R1170" s="9">
        <f>dynamic[orderTotal]*(1-dynamic[discountApllied])</f>
        <v>379.95</v>
      </c>
      <c r="S1170" s="9">
        <f>dynamic[revenue]-(dynamic[productCost]*dynamic[orderQuantity])</f>
        <v>84.48313217</v>
      </c>
      <c r="T1170" s="25">
        <f>IFERROR(dynamic[profit]/dynamic[revenue], 0)</f>
        <v>0.222353289</v>
      </c>
    </row>
    <row r="1171" ht="15.75" customHeight="1">
      <c r="A1171" s="6">
        <v>10693.0</v>
      </c>
      <c r="B1171" s="7" t="s">
        <v>34</v>
      </c>
      <c r="C1171" s="24" t="str">
        <f>VLOOKUP(dynamic[customerID],customers[],2,FALSE)</f>
        <v>White Clover Markets</v>
      </c>
      <c r="D1171" s="24">
        <v>45205.0</v>
      </c>
      <c r="E1171" s="6">
        <f>IFERROR(__xludf.DUMMYFUNCTION("COUNTUNIQUEIFS($A$2:$A1171,$B$2:$B1171,B1171)"),7.0)</f>
        <v>7</v>
      </c>
      <c r="F1171" s="6">
        <f t="shared" si="1"/>
        <v>87</v>
      </c>
      <c r="G1171" s="6" t="str">
        <f>IF(MINIFS(dynamic[orderDate], dynamic[customerID], B1171) &gt;= DATE(2024,4,30)-120, 
     "New", 
     IF(MAXIFS(dynamic[orderCount], dynamic[customerID], B1171)&lt;=2, 
        IF((DATE(2024,4,30) - MAXIFS(dynamic[orderDate], dynamic[customerID], B1171)) &gt; 180, "Non-Returning", "Dormant"), 
        IF(AND(MAX(dynamic[sinceLastOrder]) &gt; 365, (DATE(2024,4,30) - MAXIFS(dynamic[orderDate], dynamic[customerID], B1171)) &gt; 180), 
           "Dormant", "Regular")))</f>
        <v>Regular</v>
      </c>
      <c r="H1171" s="6">
        <v>69.0</v>
      </c>
      <c r="I1171" s="9" t="str">
        <f>VLOOKUP(dynamic[productID],products[],2,FALSE)</f>
        <v>Gudbrandsdalsost</v>
      </c>
      <c r="J1171" s="9" t="str">
        <f>VLOOKUP(dynamic[productID],products[],12,FALSE)</f>
        <v>Dairy Products</v>
      </c>
      <c r="K1171" s="7" t="str">
        <f>IF(VLOOKUP(dynamic[productID],products[],7,FALSE)=1,"Discontinued","Current")</f>
        <v>Current</v>
      </c>
      <c r="L1171" s="9">
        <f>VLOOKUP(dynamic[productID],products[],IF(YEAR(dynamic[orderDate])=2022,8,IF(YEAR(dynamic[orderDate])=2023,9,IF(YEAR(dynamic[orderDate])=2024,10,NA))),FALSE)</f>
        <v>21.82428612</v>
      </c>
      <c r="M1171" s="9">
        <v>36.0</v>
      </c>
      <c r="N1171" s="25">
        <f>(dynamic[orderPrice]-dynamic[productCost])/dynamic[productCost]</f>
        <v>0.6495384916</v>
      </c>
      <c r="O1171" s="10">
        <v>30.0</v>
      </c>
      <c r="P1171" s="25">
        <v>0.15</v>
      </c>
      <c r="Q1171" s="9">
        <f>dynamic[orderPrice]*dynamic[orderQuantity]</f>
        <v>1080</v>
      </c>
      <c r="R1171" s="9">
        <f>dynamic[orderTotal]*(1-dynamic[discountApllied])</f>
        <v>918</v>
      </c>
      <c r="S1171" s="9">
        <f>dynamic[revenue]-(dynamic[productCost]*dynamic[orderQuantity])</f>
        <v>263.2714165</v>
      </c>
      <c r="T1171" s="25">
        <f>IFERROR(dynamic[profit]/dynamic[revenue], 0)</f>
        <v>0.2867880354</v>
      </c>
    </row>
    <row r="1172" ht="15.75" customHeight="1">
      <c r="A1172" s="6">
        <v>10693.0</v>
      </c>
      <c r="B1172" s="7" t="s">
        <v>34</v>
      </c>
      <c r="C1172" s="24" t="str">
        <f>VLOOKUP(dynamic[customerID],customers[],2,FALSE)</f>
        <v>White Clover Markets</v>
      </c>
      <c r="D1172" s="24">
        <v>45205.0</v>
      </c>
      <c r="E1172" s="6">
        <f>IFERROR(__xludf.DUMMYFUNCTION("COUNTUNIQUEIFS($A$2:$A1172,$B$2:$B1172,B1172)"),7.0)</f>
        <v>7</v>
      </c>
      <c r="F1172" s="6">
        <f t="shared" si="1"/>
        <v>87</v>
      </c>
      <c r="G1172" s="6" t="str">
        <f>IF(MINIFS(dynamic[orderDate], dynamic[customerID], B1172) &gt;= DATE(2024,4,30)-120, 
     "New", 
     IF(MAXIFS(dynamic[orderCount], dynamic[customerID], B1172)&lt;=2, 
        IF((DATE(2024,4,30) - MAXIFS(dynamic[orderDate], dynamic[customerID], B1172)) &gt; 180, "Non-Returning", "Dormant"), 
        IF(AND(MAX(dynamic[sinceLastOrder]) &gt; 365, (DATE(2024,4,30) - MAXIFS(dynamic[orderDate], dynamic[customerID], B1172)) &gt; 180), 
           "Dormant", "Regular")))</f>
        <v>Regular</v>
      </c>
      <c r="H1172" s="6">
        <v>73.0</v>
      </c>
      <c r="I1172" s="9" t="str">
        <f>VLOOKUP(dynamic[productID],products[],2,FALSE)</f>
        <v>Röd Kaviar</v>
      </c>
      <c r="J1172" s="9" t="str">
        <f>VLOOKUP(dynamic[productID],products[],12,FALSE)</f>
        <v>Seafood</v>
      </c>
      <c r="K1172" s="7" t="str">
        <f>IF(VLOOKUP(dynamic[productID],products[],7,FALSE)=1,"Discontinued","Current")</f>
        <v>Current</v>
      </c>
      <c r="L1172" s="9">
        <f>VLOOKUP(dynamic[productID],products[],IF(YEAR(dynamic[orderDate])=2022,8,IF(YEAR(dynamic[orderDate])=2023,9,IF(YEAR(dynamic[orderDate])=2024,10,NA))),FALSE)</f>
        <v>9.692999362</v>
      </c>
      <c r="M1172" s="9">
        <v>15.0</v>
      </c>
      <c r="N1172" s="25">
        <f>(dynamic[orderPrice]-dynamic[productCost])/dynamic[productCost]</f>
        <v>0.5475086131</v>
      </c>
      <c r="O1172" s="10">
        <v>15.0</v>
      </c>
      <c r="P1172" s="25">
        <v>0.15</v>
      </c>
      <c r="Q1172" s="9">
        <f>dynamic[orderPrice]*dynamic[orderQuantity]</f>
        <v>225</v>
      </c>
      <c r="R1172" s="9">
        <f>dynamic[orderTotal]*(1-dynamic[discountApllied])</f>
        <v>191.25</v>
      </c>
      <c r="S1172" s="9">
        <f>dynamic[revenue]-(dynamic[productCost]*dynamic[orderQuantity])</f>
        <v>45.85500957</v>
      </c>
      <c r="T1172" s="25">
        <f>IFERROR(dynamic[profit]/dynamic[revenue], 0)</f>
        <v>0.2397647559</v>
      </c>
    </row>
    <row r="1173" ht="15.75" customHeight="1">
      <c r="A1173" s="6">
        <v>10694.0</v>
      </c>
      <c r="B1173" s="7" t="s">
        <v>36</v>
      </c>
      <c r="C1173" s="24" t="str">
        <f>VLOOKUP(dynamic[customerID],customers[],2,FALSE)</f>
        <v>QUICK-Stop</v>
      </c>
      <c r="D1173" s="24">
        <v>45205.0</v>
      </c>
      <c r="E1173" s="6">
        <f>IFERROR(__xludf.DUMMYFUNCTION("COUNTUNIQUEIFS($A$2:$A1173,$B$2:$B1173,B1173)"),16.0)</f>
        <v>16</v>
      </c>
      <c r="F1173" s="6">
        <f t="shared" si="1"/>
        <v>3</v>
      </c>
      <c r="G1173" s="6" t="str">
        <f>IF(MINIFS(dynamic[orderDate], dynamic[customerID], B1173) &gt;= DATE(2024,4,30)-120, 
     "New", 
     IF(MAXIFS(dynamic[orderCount], dynamic[customerID], B1173)&lt;=2, 
        IF((DATE(2024,4,30) - MAXIFS(dynamic[orderDate], dynamic[customerID], B1173)) &gt; 180, "Non-Returning", "Dormant"), 
        IF(AND(MAX(dynamic[sinceLastOrder]) &gt; 365, (DATE(2024,4,30) - MAXIFS(dynamic[orderDate], dynamic[customerID], B1173)) &gt; 180), 
           "Dormant", "Regular")))</f>
        <v>Regular</v>
      </c>
      <c r="H1173" s="6">
        <v>7.0</v>
      </c>
      <c r="I1173" s="9" t="str">
        <f>VLOOKUP(dynamic[productID],products[],2,FALSE)</f>
        <v>Uncle Bob's Organic Dried Pears</v>
      </c>
      <c r="J1173" s="9" t="str">
        <f>VLOOKUP(dynamic[productID],products[],12,FALSE)</f>
        <v>Produce</v>
      </c>
      <c r="K1173" s="7" t="str">
        <f>IF(VLOOKUP(dynamic[productID],products[],7,FALSE)=1,"Discontinued","Current")</f>
        <v>Current</v>
      </c>
      <c r="L1173" s="9">
        <f>VLOOKUP(dynamic[productID],products[],IF(YEAR(dynamic[orderDate])=2022,8,IF(YEAR(dynamic[orderDate])=2023,9,IF(YEAR(dynamic[orderDate])=2024,10,NA))),FALSE)</f>
        <v>21.39244625</v>
      </c>
      <c r="M1173" s="9">
        <v>30.0</v>
      </c>
      <c r="N1173" s="25">
        <f>(dynamic[orderPrice]-dynamic[productCost])/dynamic[productCost]</f>
        <v>0.4023641636</v>
      </c>
      <c r="O1173" s="10">
        <v>90.0</v>
      </c>
      <c r="P1173" s="25">
        <v>0.0</v>
      </c>
      <c r="Q1173" s="9">
        <f>dynamic[orderPrice]*dynamic[orderQuantity]</f>
        <v>2700</v>
      </c>
      <c r="R1173" s="9">
        <f>dynamic[orderTotal]*(1-dynamic[discountApllied])</f>
        <v>2700</v>
      </c>
      <c r="S1173" s="9">
        <f>dynamic[revenue]-(dynamic[productCost]*dynamic[orderQuantity])</f>
        <v>774.6798371</v>
      </c>
      <c r="T1173" s="25">
        <f>IFERROR(dynamic[profit]/dynamic[revenue], 0)</f>
        <v>0.2869184582</v>
      </c>
    </row>
    <row r="1174" ht="15.75" customHeight="1">
      <c r="A1174" s="6">
        <v>10694.0</v>
      </c>
      <c r="B1174" s="7" t="s">
        <v>36</v>
      </c>
      <c r="C1174" s="24" t="str">
        <f>VLOOKUP(dynamic[customerID],customers[],2,FALSE)</f>
        <v>QUICK-Stop</v>
      </c>
      <c r="D1174" s="24">
        <v>45205.0</v>
      </c>
      <c r="E1174" s="6">
        <f>IFERROR(__xludf.DUMMYFUNCTION("COUNTUNIQUEIFS($A$2:$A1174,$B$2:$B1174,B1174)"),16.0)</f>
        <v>16</v>
      </c>
      <c r="F1174" s="6">
        <f t="shared" si="1"/>
        <v>3</v>
      </c>
      <c r="G1174" s="6" t="str">
        <f>IF(MINIFS(dynamic[orderDate], dynamic[customerID], B1174) &gt;= DATE(2024,4,30)-120, 
     "New", 
     IF(MAXIFS(dynamic[orderCount], dynamic[customerID], B1174)&lt;=2, 
        IF((DATE(2024,4,30) - MAXIFS(dynamic[orderDate], dynamic[customerID], B1174)) &gt; 180, "Non-Returning", "Dormant"), 
        IF(AND(MAX(dynamic[sinceLastOrder]) &gt; 365, (DATE(2024,4,30) - MAXIFS(dynamic[orderDate], dynamic[customerID], B1174)) &gt; 180), 
           "Dormant", "Regular")))</f>
        <v>Regular</v>
      </c>
      <c r="H1174" s="6">
        <v>59.0</v>
      </c>
      <c r="I1174" s="9" t="str">
        <f>VLOOKUP(dynamic[productID],products[],2,FALSE)</f>
        <v>Raclette Courdavault</v>
      </c>
      <c r="J1174" s="9" t="str">
        <f>VLOOKUP(dynamic[productID],products[],12,FALSE)</f>
        <v>Dairy Products</v>
      </c>
      <c r="K1174" s="7" t="str">
        <f>IF(VLOOKUP(dynamic[productID],products[],7,FALSE)=1,"Discontinued","Current")</f>
        <v>Current</v>
      </c>
      <c r="L1174" s="9">
        <f>VLOOKUP(dynamic[productID],products[],IF(YEAR(dynamic[orderDate])=2022,8,IF(YEAR(dynamic[orderDate])=2023,9,IF(YEAR(dynamic[orderDate])=2024,10,NA))),FALSE)</f>
        <v>35.20472566</v>
      </c>
      <c r="M1174" s="9">
        <v>55.0</v>
      </c>
      <c r="N1174" s="25">
        <f>(dynamic[orderPrice]-dynamic[productCost])/dynamic[productCost]</f>
        <v>0.5622902598</v>
      </c>
      <c r="O1174" s="10">
        <v>25.0</v>
      </c>
      <c r="P1174" s="25">
        <v>0.0</v>
      </c>
      <c r="Q1174" s="9">
        <f>dynamic[orderPrice]*dynamic[orderQuantity]</f>
        <v>1375</v>
      </c>
      <c r="R1174" s="9">
        <f>dynamic[orderTotal]*(1-dynamic[discountApllied])</f>
        <v>1375</v>
      </c>
      <c r="S1174" s="9">
        <f>dynamic[revenue]-(dynamic[productCost]*dynamic[orderQuantity])</f>
        <v>494.8818585</v>
      </c>
      <c r="T1174" s="25">
        <f>IFERROR(dynamic[profit]/dynamic[revenue], 0)</f>
        <v>0.3599140789</v>
      </c>
    </row>
    <row r="1175" ht="15.75" customHeight="1">
      <c r="A1175" s="6">
        <v>10694.0</v>
      </c>
      <c r="B1175" s="7" t="s">
        <v>36</v>
      </c>
      <c r="C1175" s="24" t="str">
        <f>VLOOKUP(dynamic[customerID],customers[],2,FALSE)</f>
        <v>QUICK-Stop</v>
      </c>
      <c r="D1175" s="24">
        <v>45205.0</v>
      </c>
      <c r="E1175" s="6">
        <f>IFERROR(__xludf.DUMMYFUNCTION("COUNTUNIQUEIFS($A$2:$A1175,$B$2:$B1175,B1175)"),16.0)</f>
        <v>16</v>
      </c>
      <c r="F1175" s="6">
        <f t="shared" si="1"/>
        <v>3</v>
      </c>
      <c r="G1175" s="6" t="str">
        <f>IF(MINIFS(dynamic[orderDate], dynamic[customerID], B1175) &gt;= DATE(2024,4,30)-120, 
     "New", 
     IF(MAXIFS(dynamic[orderCount], dynamic[customerID], B1175)&lt;=2, 
        IF((DATE(2024,4,30) - MAXIFS(dynamic[orderDate], dynamic[customerID], B1175)) &gt; 180, "Non-Returning", "Dormant"), 
        IF(AND(MAX(dynamic[sinceLastOrder]) &gt; 365, (DATE(2024,4,30) - MAXIFS(dynamic[orderDate], dynamic[customerID], B1175)) &gt; 180), 
           "Dormant", "Regular")))</f>
        <v>Regular</v>
      </c>
      <c r="H1175" s="6">
        <v>70.0</v>
      </c>
      <c r="I1175" s="9" t="str">
        <f>VLOOKUP(dynamic[productID],products[],2,FALSE)</f>
        <v>Outback Lager</v>
      </c>
      <c r="J1175" s="9" t="str">
        <f>VLOOKUP(dynamic[productID],products[],12,FALSE)</f>
        <v>Beverages</v>
      </c>
      <c r="K1175" s="7" t="str">
        <f>IF(VLOOKUP(dynamic[productID],products[],7,FALSE)=1,"Discontinued","Current")</f>
        <v>Current</v>
      </c>
      <c r="L1175" s="9">
        <f>VLOOKUP(dynamic[productID],products[],IF(YEAR(dynamic[orderDate])=2022,8,IF(YEAR(dynamic[orderDate])=2023,9,IF(YEAR(dynamic[orderDate])=2024,10,NA))),FALSE)</f>
        <v>9.793094091</v>
      </c>
      <c r="M1175" s="9">
        <v>15.0</v>
      </c>
      <c r="N1175" s="25">
        <f>(dynamic[orderPrice]-dynamic[productCost])/dynamic[productCost]</f>
        <v>0.5316916044</v>
      </c>
      <c r="O1175" s="10">
        <v>50.0</v>
      </c>
      <c r="P1175" s="25">
        <v>0.0</v>
      </c>
      <c r="Q1175" s="9">
        <f>dynamic[orderPrice]*dynamic[orderQuantity]</f>
        <v>750</v>
      </c>
      <c r="R1175" s="9">
        <f>dynamic[orderTotal]*(1-dynamic[discountApllied])</f>
        <v>750</v>
      </c>
      <c r="S1175" s="9">
        <f>dynamic[revenue]-(dynamic[productCost]*dynamic[orderQuantity])</f>
        <v>260.3452954</v>
      </c>
      <c r="T1175" s="25">
        <f>IFERROR(dynamic[profit]/dynamic[revenue], 0)</f>
        <v>0.3471270606</v>
      </c>
    </row>
    <row r="1176" ht="15.75" customHeight="1">
      <c r="A1176" s="6">
        <v>10695.0</v>
      </c>
      <c r="B1176" s="7" t="s">
        <v>98</v>
      </c>
      <c r="C1176" s="24" t="str">
        <f>VLOOKUP(dynamic[customerID],customers[],2,FALSE)</f>
        <v>Wilman Kala</v>
      </c>
      <c r="D1176" s="24">
        <v>45206.0</v>
      </c>
      <c r="E1176" s="6">
        <f>IFERROR(__xludf.DUMMYFUNCTION("COUNTUNIQUEIFS($A$2:$A1176,$B$2:$B1176,B1176)"),3.0)</f>
        <v>3</v>
      </c>
      <c r="F1176" s="6">
        <f t="shared" si="1"/>
        <v>19</v>
      </c>
      <c r="G1176" s="6" t="str">
        <f>IF(MINIFS(dynamic[orderDate], dynamic[customerID], B1176) &gt;= DATE(2024,4,30)-120, 
     "New", 
     IF(MAXIFS(dynamic[orderCount], dynamic[customerID], B1176)&lt;=2, 
        IF((DATE(2024,4,30) - MAXIFS(dynamic[orderDate], dynamic[customerID], B1176)) &gt; 180, "Non-Returning", "Dormant"), 
        IF(AND(MAX(dynamic[sinceLastOrder]) &gt; 365, (DATE(2024,4,30) - MAXIFS(dynamic[orderDate], dynamic[customerID], B1176)) &gt; 180), 
           "Dormant", "Regular")))</f>
        <v>Regular</v>
      </c>
      <c r="H1176" s="6">
        <v>8.0</v>
      </c>
      <c r="I1176" s="9" t="str">
        <f>VLOOKUP(dynamic[productID],products[],2,FALSE)</f>
        <v>Northwoods Cranberry Sauce</v>
      </c>
      <c r="J1176" s="9" t="str">
        <f>VLOOKUP(dynamic[productID],products[],12,FALSE)</f>
        <v>Condiments</v>
      </c>
      <c r="K1176" s="7" t="str">
        <f>IF(VLOOKUP(dynamic[productID],products[],7,FALSE)=1,"Discontinued","Current")</f>
        <v>Current</v>
      </c>
      <c r="L1176" s="9">
        <f>VLOOKUP(dynamic[productID],products[],IF(YEAR(dynamic[orderDate])=2022,8,IF(YEAR(dynamic[orderDate])=2023,9,IF(YEAR(dynamic[orderDate])=2024,10,NA))),FALSE)</f>
        <v>26.10620486</v>
      </c>
      <c r="M1176" s="9">
        <v>40.0</v>
      </c>
      <c r="N1176" s="25">
        <f>(dynamic[orderPrice]-dynamic[productCost])/dynamic[productCost]</f>
        <v>0.5322027928</v>
      </c>
      <c r="O1176" s="10">
        <v>10.0</v>
      </c>
      <c r="P1176" s="25">
        <v>0.0</v>
      </c>
      <c r="Q1176" s="9">
        <f>dynamic[orderPrice]*dynamic[orderQuantity]</f>
        <v>400</v>
      </c>
      <c r="R1176" s="9">
        <f>dynamic[orderTotal]*(1-dynamic[discountApllied])</f>
        <v>400</v>
      </c>
      <c r="S1176" s="9">
        <f>dynamic[revenue]-(dynamic[productCost]*dynamic[orderQuantity])</f>
        <v>138.9379514</v>
      </c>
      <c r="T1176" s="25">
        <f>IFERROR(dynamic[profit]/dynamic[revenue], 0)</f>
        <v>0.3473448784</v>
      </c>
    </row>
    <row r="1177" ht="15.75" customHeight="1">
      <c r="A1177" s="6">
        <v>10695.0</v>
      </c>
      <c r="B1177" s="7" t="s">
        <v>98</v>
      </c>
      <c r="C1177" s="24" t="str">
        <f>VLOOKUP(dynamic[customerID],customers[],2,FALSE)</f>
        <v>Wilman Kala</v>
      </c>
      <c r="D1177" s="24">
        <v>45206.0</v>
      </c>
      <c r="E1177" s="6">
        <f>IFERROR(__xludf.DUMMYFUNCTION("COUNTUNIQUEIFS($A$2:$A1177,$B$2:$B1177,B1177)"),3.0)</f>
        <v>3</v>
      </c>
      <c r="F1177" s="6">
        <f t="shared" si="1"/>
        <v>19</v>
      </c>
      <c r="G1177" s="6" t="str">
        <f>IF(MINIFS(dynamic[orderDate], dynamic[customerID], B1177) &gt;= DATE(2024,4,30)-120, 
     "New", 
     IF(MAXIFS(dynamic[orderCount], dynamic[customerID], B1177)&lt;=2, 
        IF((DATE(2024,4,30) - MAXIFS(dynamic[orderDate], dynamic[customerID], B1177)) &gt; 180, "Non-Returning", "Dormant"), 
        IF(AND(MAX(dynamic[sinceLastOrder]) &gt; 365, (DATE(2024,4,30) - MAXIFS(dynamic[orderDate], dynamic[customerID], B1177)) &gt; 180), 
           "Dormant", "Regular")))</f>
        <v>Regular</v>
      </c>
      <c r="H1177" s="6">
        <v>12.0</v>
      </c>
      <c r="I1177" s="9" t="str">
        <f>VLOOKUP(dynamic[productID],products[],2,FALSE)</f>
        <v>Queso Manchego La Pastora</v>
      </c>
      <c r="J1177" s="9" t="str">
        <f>VLOOKUP(dynamic[productID],products[],12,FALSE)</f>
        <v>Dairy Products</v>
      </c>
      <c r="K1177" s="7" t="str">
        <f>IF(VLOOKUP(dynamic[productID],products[],7,FALSE)=1,"Discontinued","Current")</f>
        <v>Current</v>
      </c>
      <c r="L1177" s="9">
        <f>VLOOKUP(dynamic[productID],products[],IF(YEAR(dynamic[orderDate])=2022,8,IF(YEAR(dynamic[orderDate])=2023,9,IF(YEAR(dynamic[orderDate])=2024,10,NA))),FALSE)</f>
        <v>23.79216617</v>
      </c>
      <c r="M1177" s="9">
        <v>38.0</v>
      </c>
      <c r="N1177" s="25">
        <f>(dynamic[orderPrice]-dynamic[productCost])/dynamic[productCost]</f>
        <v>0.5971643663</v>
      </c>
      <c r="O1177" s="10">
        <v>4.0</v>
      </c>
      <c r="P1177" s="25">
        <v>0.0</v>
      </c>
      <c r="Q1177" s="9">
        <f>dynamic[orderPrice]*dynamic[orderQuantity]</f>
        <v>152</v>
      </c>
      <c r="R1177" s="9">
        <f>dynamic[orderTotal]*(1-dynamic[discountApllied])</f>
        <v>152</v>
      </c>
      <c r="S1177" s="9">
        <f>dynamic[revenue]-(dynamic[productCost]*dynamic[orderQuantity])</f>
        <v>56.83133533</v>
      </c>
      <c r="T1177" s="25">
        <f>IFERROR(dynamic[profit]/dynamic[revenue], 0)</f>
        <v>0.373890364</v>
      </c>
    </row>
    <row r="1178" ht="15.75" customHeight="1">
      <c r="A1178" s="6">
        <v>10695.0</v>
      </c>
      <c r="B1178" s="7" t="s">
        <v>98</v>
      </c>
      <c r="C1178" s="24" t="str">
        <f>VLOOKUP(dynamic[customerID],customers[],2,FALSE)</f>
        <v>Wilman Kala</v>
      </c>
      <c r="D1178" s="24">
        <v>45206.0</v>
      </c>
      <c r="E1178" s="6">
        <f>IFERROR(__xludf.DUMMYFUNCTION("COUNTUNIQUEIFS($A$2:$A1178,$B$2:$B1178,B1178)"),3.0)</f>
        <v>3</v>
      </c>
      <c r="F1178" s="6">
        <f t="shared" si="1"/>
        <v>19</v>
      </c>
      <c r="G1178" s="6" t="str">
        <f>IF(MINIFS(dynamic[orderDate], dynamic[customerID], B1178) &gt;= DATE(2024,4,30)-120, 
     "New", 
     IF(MAXIFS(dynamic[orderCount], dynamic[customerID], B1178)&lt;=2, 
        IF((DATE(2024,4,30) - MAXIFS(dynamic[orderDate], dynamic[customerID], B1178)) &gt; 180, "Non-Returning", "Dormant"), 
        IF(AND(MAX(dynamic[sinceLastOrder]) &gt; 365, (DATE(2024,4,30) - MAXIFS(dynamic[orderDate], dynamic[customerID], B1178)) &gt; 180), 
           "Dormant", "Regular")))</f>
        <v>Regular</v>
      </c>
      <c r="H1178" s="6">
        <v>24.0</v>
      </c>
      <c r="I1178" s="9" t="str">
        <f>VLOOKUP(dynamic[productID],products[],2,FALSE)</f>
        <v>Brigadeiros Maravilhosos da Lilian</v>
      </c>
      <c r="J1178" s="9" t="str">
        <f>VLOOKUP(dynamic[productID],products[],12,FALSE)</f>
        <v>Confections</v>
      </c>
      <c r="K1178" s="7" t="str">
        <f>IF(VLOOKUP(dynamic[productID],products[],7,FALSE)=1,"Discontinued","Current")</f>
        <v>Discontinued</v>
      </c>
      <c r="L1178" s="9">
        <f>VLOOKUP(dynamic[productID],products[],IF(YEAR(dynamic[orderDate])=2022,8,IF(YEAR(dynamic[orderDate])=2023,9,IF(YEAR(dynamic[orderDate])=2024,10,NA))),FALSE)</f>
        <v>3.131783363</v>
      </c>
      <c r="M1178" s="9">
        <v>4.5</v>
      </c>
      <c r="N1178" s="25">
        <f>(dynamic[orderPrice]-dynamic[productCost])/dynamic[productCost]</f>
        <v>0.4368809967</v>
      </c>
      <c r="O1178" s="10">
        <v>20.0</v>
      </c>
      <c r="P1178" s="25">
        <v>0.0</v>
      </c>
      <c r="Q1178" s="9">
        <f>dynamic[orderPrice]*dynamic[orderQuantity]</f>
        <v>90</v>
      </c>
      <c r="R1178" s="9">
        <f>dynamic[orderTotal]*(1-dynamic[discountApllied])</f>
        <v>90</v>
      </c>
      <c r="S1178" s="9">
        <f>dynamic[revenue]-(dynamic[productCost]*dynamic[orderQuantity])</f>
        <v>27.36433274</v>
      </c>
      <c r="T1178" s="25">
        <f>IFERROR(dynamic[profit]/dynamic[revenue], 0)</f>
        <v>0.3040481416</v>
      </c>
    </row>
    <row r="1179" ht="15.75" customHeight="1">
      <c r="A1179" s="6">
        <v>10696.0</v>
      </c>
      <c r="B1179" s="7" t="s">
        <v>34</v>
      </c>
      <c r="C1179" s="24" t="str">
        <f>VLOOKUP(dynamic[customerID],customers[],2,FALSE)</f>
        <v>White Clover Markets</v>
      </c>
      <c r="D1179" s="24">
        <v>45207.0</v>
      </c>
      <c r="E1179" s="6">
        <f>IFERROR(__xludf.DUMMYFUNCTION("COUNTUNIQUEIFS($A$2:$A1179,$B$2:$B1179,B1179)"),8.0)</f>
        <v>8</v>
      </c>
      <c r="F1179" s="6">
        <f t="shared" si="1"/>
        <v>2</v>
      </c>
      <c r="G1179" s="6" t="str">
        <f>IF(MINIFS(dynamic[orderDate], dynamic[customerID], B1179) &gt;= DATE(2024,4,30)-120, 
     "New", 
     IF(MAXIFS(dynamic[orderCount], dynamic[customerID], B1179)&lt;=2, 
        IF((DATE(2024,4,30) - MAXIFS(dynamic[orderDate], dynamic[customerID], B1179)) &gt; 180, "Non-Returning", "Dormant"), 
        IF(AND(MAX(dynamic[sinceLastOrder]) &gt; 365, (DATE(2024,4,30) - MAXIFS(dynamic[orderDate], dynamic[customerID], B1179)) &gt; 180), 
           "Dormant", "Regular")))</f>
        <v>Regular</v>
      </c>
      <c r="H1179" s="6">
        <v>17.0</v>
      </c>
      <c r="I1179" s="9" t="str">
        <f>VLOOKUP(dynamic[productID],products[],2,FALSE)</f>
        <v>Alice Mutton</v>
      </c>
      <c r="J1179" s="9" t="str">
        <f>VLOOKUP(dynamic[productID],products[],12,FALSE)</f>
        <v>Meat/Poultry</v>
      </c>
      <c r="K1179" s="7" t="str">
        <f>IF(VLOOKUP(dynamic[productID],products[],7,FALSE)=1,"Discontinued","Current")</f>
        <v>Discontinued</v>
      </c>
      <c r="L1179" s="9">
        <f>VLOOKUP(dynamic[productID],products[],IF(YEAR(dynamic[orderDate])=2022,8,IF(YEAR(dynamic[orderDate])=2023,9,IF(YEAR(dynamic[orderDate])=2024,10,NA))),FALSE)</f>
        <v>24.83130504</v>
      </c>
      <c r="M1179" s="9">
        <v>39.0</v>
      </c>
      <c r="N1179" s="25">
        <f>(dynamic[orderPrice]-dynamic[productCost])/dynamic[productCost]</f>
        <v>0.5705980792</v>
      </c>
      <c r="O1179" s="10">
        <v>20.0</v>
      </c>
      <c r="P1179" s="25">
        <v>0.0</v>
      </c>
      <c r="Q1179" s="9">
        <f>dynamic[orderPrice]*dynamic[orderQuantity]</f>
        <v>780</v>
      </c>
      <c r="R1179" s="9">
        <f>dynamic[orderTotal]*(1-dynamic[discountApllied])</f>
        <v>780</v>
      </c>
      <c r="S1179" s="9">
        <f>dynamic[revenue]-(dynamic[productCost]*dynamic[orderQuantity])</f>
        <v>283.3738992</v>
      </c>
      <c r="T1179" s="25">
        <f>IFERROR(dynamic[profit]/dynamic[revenue], 0)</f>
        <v>0.3632998708</v>
      </c>
    </row>
    <row r="1180" ht="15.75" customHeight="1">
      <c r="A1180" s="6">
        <v>10696.0</v>
      </c>
      <c r="B1180" s="7" t="s">
        <v>34</v>
      </c>
      <c r="C1180" s="24" t="str">
        <f>VLOOKUP(dynamic[customerID],customers[],2,FALSE)</f>
        <v>White Clover Markets</v>
      </c>
      <c r="D1180" s="24">
        <v>45207.0</v>
      </c>
      <c r="E1180" s="6">
        <f>IFERROR(__xludf.DUMMYFUNCTION("COUNTUNIQUEIFS($A$2:$A1180,$B$2:$B1180,B1180)"),8.0)</f>
        <v>8</v>
      </c>
      <c r="F1180" s="6">
        <f t="shared" si="1"/>
        <v>2</v>
      </c>
      <c r="G1180" s="6" t="str">
        <f>IF(MINIFS(dynamic[orderDate], dynamic[customerID], B1180) &gt;= DATE(2024,4,30)-120, 
     "New", 
     IF(MAXIFS(dynamic[orderCount], dynamic[customerID], B1180)&lt;=2, 
        IF((DATE(2024,4,30) - MAXIFS(dynamic[orderDate], dynamic[customerID], B1180)) &gt; 180, "Non-Returning", "Dormant"), 
        IF(AND(MAX(dynamic[sinceLastOrder]) &gt; 365, (DATE(2024,4,30) - MAXIFS(dynamic[orderDate], dynamic[customerID], B1180)) &gt; 180), 
           "Dormant", "Regular")))</f>
        <v>Regular</v>
      </c>
      <c r="H1180" s="6">
        <v>46.0</v>
      </c>
      <c r="I1180" s="9" t="str">
        <f>VLOOKUP(dynamic[productID],products[],2,FALSE)</f>
        <v>Spegesild</v>
      </c>
      <c r="J1180" s="9" t="str">
        <f>VLOOKUP(dynamic[productID],products[],12,FALSE)</f>
        <v>Seafood</v>
      </c>
      <c r="K1180" s="7" t="str">
        <f>IF(VLOOKUP(dynamic[productID],products[],7,FALSE)=1,"Discontinued","Current")</f>
        <v>Current</v>
      </c>
      <c r="L1180" s="9">
        <f>VLOOKUP(dynamic[productID],products[],IF(YEAR(dynamic[orderDate])=2022,8,IF(YEAR(dynamic[orderDate])=2023,9,IF(YEAR(dynamic[orderDate])=2024,10,NA))),FALSE)</f>
        <v>7.087990753</v>
      </c>
      <c r="M1180" s="9">
        <v>12.0</v>
      </c>
      <c r="N1180" s="25">
        <f>(dynamic[orderPrice]-dynamic[productCost])/dynamic[productCost]</f>
        <v>0.693004466</v>
      </c>
      <c r="O1180" s="10">
        <v>18.0</v>
      </c>
      <c r="P1180" s="25">
        <v>0.0</v>
      </c>
      <c r="Q1180" s="9">
        <f>dynamic[orderPrice]*dynamic[orderQuantity]</f>
        <v>216</v>
      </c>
      <c r="R1180" s="9">
        <f>dynamic[orderTotal]*(1-dynamic[discountApllied])</f>
        <v>216</v>
      </c>
      <c r="S1180" s="9">
        <f>dynamic[revenue]-(dynamic[productCost]*dynamic[orderQuantity])</f>
        <v>88.41616644</v>
      </c>
      <c r="T1180" s="25">
        <f>IFERROR(dynamic[profit]/dynamic[revenue], 0)</f>
        <v>0.4093341039</v>
      </c>
    </row>
    <row r="1181" ht="15.75" customHeight="1">
      <c r="A1181" s="6">
        <v>10697.0</v>
      </c>
      <c r="B1181" s="7" t="s">
        <v>82</v>
      </c>
      <c r="C1181" s="24" t="str">
        <f>VLOOKUP(dynamic[customerID],customers[],2,FALSE)</f>
        <v>LINO-Delicateses</v>
      </c>
      <c r="D1181" s="24">
        <v>45207.0</v>
      </c>
      <c r="E1181" s="6">
        <f>IFERROR(__xludf.DUMMYFUNCTION("COUNTUNIQUEIFS($A$2:$A1181,$B$2:$B1181,B1181)"),4.0)</f>
        <v>4</v>
      </c>
      <c r="F1181" s="6">
        <f t="shared" si="1"/>
        <v>49</v>
      </c>
      <c r="G1181" s="6" t="str">
        <f>IF(MINIFS(dynamic[orderDate], dynamic[customerID], B1181) &gt;= DATE(2024,4,30)-120, 
     "New", 
     IF(MAXIFS(dynamic[orderCount], dynamic[customerID], B1181)&lt;=2, 
        IF((DATE(2024,4,30) - MAXIFS(dynamic[orderDate], dynamic[customerID], B1181)) &gt; 180, "Non-Returning", "Dormant"), 
        IF(AND(MAX(dynamic[sinceLastOrder]) &gt; 365, (DATE(2024,4,30) - MAXIFS(dynamic[orderDate], dynamic[customerID], B1181)) &gt; 180), 
           "Dormant", "Regular")))</f>
        <v>Regular</v>
      </c>
      <c r="H1181" s="6">
        <v>19.0</v>
      </c>
      <c r="I1181" s="9" t="str">
        <f>VLOOKUP(dynamic[productID],products[],2,FALSE)</f>
        <v>Teatime Chocolate Biscuits</v>
      </c>
      <c r="J1181" s="9" t="str">
        <f>VLOOKUP(dynamic[productID],products[],12,FALSE)</f>
        <v>Confections</v>
      </c>
      <c r="K1181" s="7" t="str">
        <f>IF(VLOOKUP(dynamic[productID],products[],7,FALSE)=1,"Discontinued","Current")</f>
        <v>Current</v>
      </c>
      <c r="L1181" s="9">
        <f>VLOOKUP(dynamic[productID],products[],IF(YEAR(dynamic[orderDate])=2022,8,IF(YEAR(dynamic[orderDate])=2023,9,IF(YEAR(dynamic[orderDate])=2024,10,NA))),FALSE)</f>
        <v>5.901883682</v>
      </c>
      <c r="M1181" s="9">
        <v>9.2</v>
      </c>
      <c r="N1181" s="25">
        <f>(dynamic[orderPrice]-dynamic[productCost])/dynamic[productCost]</f>
        <v>0.5588243508</v>
      </c>
      <c r="O1181" s="10">
        <v>7.0</v>
      </c>
      <c r="P1181" s="25">
        <v>0.25</v>
      </c>
      <c r="Q1181" s="9">
        <f>dynamic[orderPrice]*dynamic[orderQuantity]</f>
        <v>64.4</v>
      </c>
      <c r="R1181" s="9">
        <f>dynamic[orderTotal]*(1-dynamic[discountApllied])</f>
        <v>48.3</v>
      </c>
      <c r="S1181" s="9">
        <f>dynamic[revenue]-(dynamic[productCost]*dynamic[orderQuantity])</f>
        <v>6.986814223</v>
      </c>
      <c r="T1181" s="25">
        <f>IFERROR(dynamic[profit]/dynamic[revenue], 0)</f>
        <v>0.1446545388</v>
      </c>
    </row>
    <row r="1182" ht="15.75" customHeight="1">
      <c r="A1182" s="6">
        <v>10697.0</v>
      </c>
      <c r="B1182" s="7" t="s">
        <v>82</v>
      </c>
      <c r="C1182" s="24" t="str">
        <f>VLOOKUP(dynamic[customerID],customers[],2,FALSE)</f>
        <v>LINO-Delicateses</v>
      </c>
      <c r="D1182" s="24">
        <v>45207.0</v>
      </c>
      <c r="E1182" s="6">
        <f>IFERROR(__xludf.DUMMYFUNCTION("COUNTUNIQUEIFS($A$2:$A1182,$B$2:$B1182,B1182)"),4.0)</f>
        <v>4</v>
      </c>
      <c r="F1182" s="6">
        <f t="shared" si="1"/>
        <v>49</v>
      </c>
      <c r="G1182" s="6" t="str">
        <f>IF(MINIFS(dynamic[orderDate], dynamic[customerID], B1182) &gt;= DATE(2024,4,30)-120, 
     "New", 
     IF(MAXIFS(dynamic[orderCount], dynamic[customerID], B1182)&lt;=2, 
        IF((DATE(2024,4,30) - MAXIFS(dynamic[orderDate], dynamic[customerID], B1182)) &gt; 180, "Non-Returning", "Dormant"), 
        IF(AND(MAX(dynamic[sinceLastOrder]) &gt; 365, (DATE(2024,4,30) - MAXIFS(dynamic[orderDate], dynamic[customerID], B1182)) &gt; 180), 
           "Dormant", "Regular")))</f>
        <v>Regular</v>
      </c>
      <c r="H1182" s="6">
        <v>35.0</v>
      </c>
      <c r="I1182" s="9" t="str">
        <f>VLOOKUP(dynamic[productID],products[],2,FALSE)</f>
        <v>Cold Brew Nitro</v>
      </c>
      <c r="J1182" s="9" t="str">
        <f>VLOOKUP(dynamic[productID],products[],12,FALSE)</f>
        <v>Beverages</v>
      </c>
      <c r="K1182" s="7" t="str">
        <f>IF(VLOOKUP(dynamic[productID],products[],7,FALSE)=1,"Discontinued","Current")</f>
        <v>Current</v>
      </c>
      <c r="L1182" s="9">
        <f>VLOOKUP(dynamic[productID],products[],IF(YEAR(dynamic[orderDate])=2022,8,IF(YEAR(dynamic[orderDate])=2023,9,IF(YEAR(dynamic[orderDate])=2024,10,NA))),FALSE)</f>
        <v>11.7602531</v>
      </c>
      <c r="M1182" s="9">
        <v>18.0</v>
      </c>
      <c r="N1182" s="25">
        <f>(dynamic[orderPrice]-dynamic[productCost])/dynamic[productCost]</f>
        <v>0.5305793033</v>
      </c>
      <c r="O1182" s="10">
        <v>9.0</v>
      </c>
      <c r="P1182" s="25">
        <v>0.25</v>
      </c>
      <c r="Q1182" s="9">
        <f>dynamic[orderPrice]*dynamic[orderQuantity]</f>
        <v>162</v>
      </c>
      <c r="R1182" s="9">
        <f>dynamic[orderTotal]*(1-dynamic[discountApllied])</f>
        <v>121.5</v>
      </c>
      <c r="S1182" s="9">
        <f>dynamic[revenue]-(dynamic[productCost]*dynamic[orderQuantity])</f>
        <v>15.65772208</v>
      </c>
      <c r="T1182" s="25">
        <f>IFERROR(dynamic[profit]/dynamic[revenue], 0)</f>
        <v>0.1288701406</v>
      </c>
    </row>
    <row r="1183" ht="15.75" customHeight="1">
      <c r="A1183" s="6">
        <v>10697.0</v>
      </c>
      <c r="B1183" s="7" t="s">
        <v>82</v>
      </c>
      <c r="C1183" s="24" t="str">
        <f>VLOOKUP(dynamic[customerID],customers[],2,FALSE)</f>
        <v>LINO-Delicateses</v>
      </c>
      <c r="D1183" s="24">
        <v>45207.0</v>
      </c>
      <c r="E1183" s="6">
        <f>IFERROR(__xludf.DUMMYFUNCTION("COUNTUNIQUEIFS($A$2:$A1183,$B$2:$B1183,B1183)"),4.0)</f>
        <v>4</v>
      </c>
      <c r="F1183" s="6">
        <f t="shared" si="1"/>
        <v>49</v>
      </c>
      <c r="G1183" s="6" t="str">
        <f>IF(MINIFS(dynamic[orderDate], dynamic[customerID], B1183) &gt;= DATE(2024,4,30)-120, 
     "New", 
     IF(MAXIFS(dynamic[orderCount], dynamic[customerID], B1183)&lt;=2, 
        IF((DATE(2024,4,30) - MAXIFS(dynamic[orderDate], dynamic[customerID], B1183)) &gt; 180, "Non-Returning", "Dormant"), 
        IF(AND(MAX(dynamic[sinceLastOrder]) &gt; 365, (DATE(2024,4,30) - MAXIFS(dynamic[orderDate], dynamic[customerID], B1183)) &gt; 180), 
           "Dormant", "Regular")))</f>
        <v>Regular</v>
      </c>
      <c r="H1183" s="6">
        <v>58.0</v>
      </c>
      <c r="I1183" s="9" t="str">
        <f>VLOOKUP(dynamic[productID],products[],2,FALSE)</f>
        <v>Escargots de Bourgogne</v>
      </c>
      <c r="J1183" s="9" t="str">
        <f>VLOOKUP(dynamic[productID],products[],12,FALSE)</f>
        <v>Seafood</v>
      </c>
      <c r="K1183" s="7" t="str">
        <f>IF(VLOOKUP(dynamic[productID],products[],7,FALSE)=1,"Discontinued","Current")</f>
        <v>Current</v>
      </c>
      <c r="L1183" s="9">
        <f>VLOOKUP(dynamic[productID],products[],IF(YEAR(dynamic[orderDate])=2022,8,IF(YEAR(dynamic[orderDate])=2023,9,IF(YEAR(dynamic[orderDate])=2024,10,NA))),FALSE)</f>
        <v>8.208446365</v>
      </c>
      <c r="M1183" s="9">
        <v>13.25</v>
      </c>
      <c r="N1183" s="25">
        <f>(dynamic[orderPrice]-dynamic[productCost])/dynamic[productCost]</f>
        <v>0.61419097</v>
      </c>
      <c r="O1183" s="10">
        <v>30.0</v>
      </c>
      <c r="P1183" s="25">
        <v>0.25</v>
      </c>
      <c r="Q1183" s="9">
        <f>dynamic[orderPrice]*dynamic[orderQuantity]</f>
        <v>397.5</v>
      </c>
      <c r="R1183" s="9">
        <f>dynamic[orderTotal]*(1-dynamic[discountApllied])</f>
        <v>298.125</v>
      </c>
      <c r="S1183" s="9">
        <f>dynamic[revenue]-(dynamic[productCost]*dynamic[orderQuantity])</f>
        <v>51.87160905</v>
      </c>
      <c r="T1183" s="25">
        <f>IFERROR(dynamic[profit]/dynamic[revenue], 0)</f>
        <v>0.1739928186</v>
      </c>
    </row>
    <row r="1184" ht="15.75" customHeight="1">
      <c r="A1184" s="6">
        <v>10697.0</v>
      </c>
      <c r="B1184" s="7" t="s">
        <v>82</v>
      </c>
      <c r="C1184" s="24" t="str">
        <f>VLOOKUP(dynamic[customerID],customers[],2,FALSE)</f>
        <v>LINO-Delicateses</v>
      </c>
      <c r="D1184" s="24">
        <v>45207.0</v>
      </c>
      <c r="E1184" s="6">
        <f>IFERROR(__xludf.DUMMYFUNCTION("COUNTUNIQUEIFS($A$2:$A1184,$B$2:$B1184,B1184)"),4.0)</f>
        <v>4</v>
      </c>
      <c r="F1184" s="6">
        <f t="shared" si="1"/>
        <v>49</v>
      </c>
      <c r="G1184" s="6" t="str">
        <f>IF(MINIFS(dynamic[orderDate], dynamic[customerID], B1184) &gt;= DATE(2024,4,30)-120, 
     "New", 
     IF(MAXIFS(dynamic[orderCount], dynamic[customerID], B1184)&lt;=2, 
        IF((DATE(2024,4,30) - MAXIFS(dynamic[orderDate], dynamic[customerID], B1184)) &gt; 180, "Non-Returning", "Dormant"), 
        IF(AND(MAX(dynamic[sinceLastOrder]) &gt; 365, (DATE(2024,4,30) - MAXIFS(dynamic[orderDate], dynamic[customerID], B1184)) &gt; 180), 
           "Dormant", "Regular")))</f>
        <v>Regular</v>
      </c>
      <c r="H1184" s="6">
        <v>70.0</v>
      </c>
      <c r="I1184" s="9" t="str">
        <f>VLOOKUP(dynamic[productID],products[],2,FALSE)</f>
        <v>Outback Lager</v>
      </c>
      <c r="J1184" s="9" t="str">
        <f>VLOOKUP(dynamic[productID],products[],12,FALSE)</f>
        <v>Beverages</v>
      </c>
      <c r="K1184" s="7" t="str">
        <f>IF(VLOOKUP(dynamic[productID],products[],7,FALSE)=1,"Discontinued","Current")</f>
        <v>Current</v>
      </c>
      <c r="L1184" s="9">
        <f>VLOOKUP(dynamic[productID],products[],IF(YEAR(dynamic[orderDate])=2022,8,IF(YEAR(dynamic[orderDate])=2023,9,IF(YEAR(dynamic[orderDate])=2024,10,NA))),FALSE)</f>
        <v>9.793094091</v>
      </c>
      <c r="M1184" s="9">
        <v>15.0</v>
      </c>
      <c r="N1184" s="25">
        <f>(dynamic[orderPrice]-dynamic[productCost])/dynamic[productCost]</f>
        <v>0.5316916044</v>
      </c>
      <c r="O1184" s="10">
        <v>30.0</v>
      </c>
      <c r="P1184" s="25">
        <v>0.25</v>
      </c>
      <c r="Q1184" s="9">
        <f>dynamic[orderPrice]*dynamic[orderQuantity]</f>
        <v>450</v>
      </c>
      <c r="R1184" s="9">
        <f>dynamic[orderTotal]*(1-dynamic[discountApllied])</f>
        <v>337.5</v>
      </c>
      <c r="S1184" s="9">
        <f>dynamic[revenue]-(dynamic[productCost]*dynamic[orderQuantity])</f>
        <v>43.70717727</v>
      </c>
      <c r="T1184" s="25">
        <f>IFERROR(dynamic[profit]/dynamic[revenue], 0)</f>
        <v>0.1295027475</v>
      </c>
    </row>
    <row r="1185" ht="15.75" customHeight="1">
      <c r="A1185" s="6">
        <v>10698.0</v>
      </c>
      <c r="B1185" s="7" t="s">
        <v>24</v>
      </c>
      <c r="C1185" s="24" t="str">
        <f>VLOOKUP(dynamic[customerID],customers[],2,FALSE)</f>
        <v>Ernst Handel</v>
      </c>
      <c r="D1185" s="24">
        <v>45208.0</v>
      </c>
      <c r="E1185" s="6">
        <f>IFERROR(__xludf.DUMMYFUNCTION("COUNTUNIQUEIFS($A$2:$A1185,$B$2:$B1185,B1185)"),16.0)</f>
        <v>16</v>
      </c>
      <c r="F1185" s="6">
        <f t="shared" si="1"/>
        <v>27</v>
      </c>
      <c r="G1185" s="6" t="str">
        <f>IF(MINIFS(dynamic[orderDate], dynamic[customerID], B1185) &gt;= DATE(2024,4,30)-120, 
     "New", 
     IF(MAXIFS(dynamic[orderCount], dynamic[customerID], B1185)&lt;=2, 
        IF((DATE(2024,4,30) - MAXIFS(dynamic[orderDate], dynamic[customerID], B1185)) &gt; 180, "Non-Returning", "Dormant"), 
        IF(AND(MAX(dynamic[sinceLastOrder]) &gt; 365, (DATE(2024,4,30) - MAXIFS(dynamic[orderDate], dynamic[customerID], B1185)) &gt; 180), 
           "Dormant", "Regular")))</f>
        <v>Regular</v>
      </c>
      <c r="H1185" s="6">
        <v>11.0</v>
      </c>
      <c r="I1185" s="9" t="str">
        <f>VLOOKUP(dynamic[productID],products[],2,FALSE)</f>
        <v>Queso Cabrales</v>
      </c>
      <c r="J1185" s="9" t="str">
        <f>VLOOKUP(dynamic[productID],products[],12,FALSE)</f>
        <v>Dairy Products</v>
      </c>
      <c r="K1185" s="7" t="str">
        <f>IF(VLOOKUP(dynamic[productID],products[],7,FALSE)=1,"Discontinued","Current")</f>
        <v>Current</v>
      </c>
      <c r="L1185" s="9">
        <f>VLOOKUP(dynamic[productID],products[],IF(YEAR(dynamic[orderDate])=2022,8,IF(YEAR(dynamic[orderDate])=2023,9,IF(YEAR(dynamic[orderDate])=2024,10,NA))),FALSE)</f>
        <v>12.90188125</v>
      </c>
      <c r="M1185" s="9">
        <v>21.0</v>
      </c>
      <c r="N1185" s="25">
        <f>(dynamic[orderPrice]-dynamic[productCost])/dynamic[productCost]</f>
        <v>0.6276696079</v>
      </c>
      <c r="O1185" s="10">
        <v>15.0</v>
      </c>
      <c r="P1185" s="25">
        <v>0.0</v>
      </c>
      <c r="Q1185" s="9">
        <f>dynamic[orderPrice]*dynamic[orderQuantity]</f>
        <v>315</v>
      </c>
      <c r="R1185" s="9">
        <f>dynamic[orderTotal]*(1-dynamic[discountApllied])</f>
        <v>315</v>
      </c>
      <c r="S1185" s="9">
        <f>dynamic[revenue]-(dynamic[productCost]*dynamic[orderQuantity])</f>
        <v>121.4717812</v>
      </c>
      <c r="T1185" s="25">
        <f>IFERROR(dynamic[profit]/dynamic[revenue], 0)</f>
        <v>0.3856247023</v>
      </c>
    </row>
    <row r="1186" ht="15.75" customHeight="1">
      <c r="A1186" s="6">
        <v>10698.0</v>
      </c>
      <c r="B1186" s="7" t="s">
        <v>24</v>
      </c>
      <c r="C1186" s="24" t="str">
        <f>VLOOKUP(dynamic[customerID],customers[],2,FALSE)</f>
        <v>Ernst Handel</v>
      </c>
      <c r="D1186" s="24">
        <v>45208.0</v>
      </c>
      <c r="E1186" s="6">
        <f>IFERROR(__xludf.DUMMYFUNCTION("COUNTUNIQUEIFS($A$2:$A1186,$B$2:$B1186,B1186)"),16.0)</f>
        <v>16</v>
      </c>
      <c r="F1186" s="6">
        <f t="shared" si="1"/>
        <v>27</v>
      </c>
      <c r="G1186" s="6" t="str">
        <f>IF(MINIFS(dynamic[orderDate], dynamic[customerID], B1186) &gt;= DATE(2024,4,30)-120, 
     "New", 
     IF(MAXIFS(dynamic[orderCount], dynamic[customerID], B1186)&lt;=2, 
        IF((DATE(2024,4,30) - MAXIFS(dynamic[orderDate], dynamic[customerID], B1186)) &gt; 180, "Non-Returning", "Dormant"), 
        IF(AND(MAX(dynamic[sinceLastOrder]) &gt; 365, (DATE(2024,4,30) - MAXIFS(dynamic[orderDate], dynamic[customerID], B1186)) &gt; 180), 
           "Dormant", "Regular")))</f>
        <v>Regular</v>
      </c>
      <c r="H1186" s="6">
        <v>17.0</v>
      </c>
      <c r="I1186" s="9" t="str">
        <f>VLOOKUP(dynamic[productID],products[],2,FALSE)</f>
        <v>Alice Mutton</v>
      </c>
      <c r="J1186" s="9" t="str">
        <f>VLOOKUP(dynamic[productID],products[],12,FALSE)</f>
        <v>Meat/Poultry</v>
      </c>
      <c r="K1186" s="7" t="str">
        <f>IF(VLOOKUP(dynamic[productID],products[],7,FALSE)=1,"Discontinued","Current")</f>
        <v>Discontinued</v>
      </c>
      <c r="L1186" s="9">
        <f>VLOOKUP(dynamic[productID],products[],IF(YEAR(dynamic[orderDate])=2022,8,IF(YEAR(dynamic[orderDate])=2023,9,IF(YEAR(dynamic[orderDate])=2024,10,NA))),FALSE)</f>
        <v>24.83130504</v>
      </c>
      <c r="M1186" s="9">
        <v>39.0</v>
      </c>
      <c r="N1186" s="25">
        <f>(dynamic[orderPrice]-dynamic[productCost])/dynamic[productCost]</f>
        <v>0.5705980792</v>
      </c>
      <c r="O1186" s="10">
        <v>8.0</v>
      </c>
      <c r="P1186" s="25">
        <v>0.05</v>
      </c>
      <c r="Q1186" s="9">
        <f>dynamic[orderPrice]*dynamic[orderQuantity]</f>
        <v>312</v>
      </c>
      <c r="R1186" s="9">
        <f>dynamic[orderTotal]*(1-dynamic[discountApllied])</f>
        <v>296.4</v>
      </c>
      <c r="S1186" s="9">
        <f>dynamic[revenue]-(dynamic[productCost]*dynamic[orderQuantity])</f>
        <v>97.74955968</v>
      </c>
      <c r="T1186" s="25">
        <f>IFERROR(dynamic[profit]/dynamic[revenue], 0)</f>
        <v>0.3297893377</v>
      </c>
    </row>
    <row r="1187" ht="15.75" customHeight="1">
      <c r="A1187" s="6">
        <v>10698.0</v>
      </c>
      <c r="B1187" s="7" t="s">
        <v>24</v>
      </c>
      <c r="C1187" s="24" t="str">
        <f>VLOOKUP(dynamic[customerID],customers[],2,FALSE)</f>
        <v>Ernst Handel</v>
      </c>
      <c r="D1187" s="24">
        <v>45208.0</v>
      </c>
      <c r="E1187" s="6">
        <f>IFERROR(__xludf.DUMMYFUNCTION("COUNTUNIQUEIFS($A$2:$A1187,$B$2:$B1187,B1187)"),16.0)</f>
        <v>16</v>
      </c>
      <c r="F1187" s="6">
        <f t="shared" si="1"/>
        <v>27</v>
      </c>
      <c r="G1187" s="6" t="str">
        <f>IF(MINIFS(dynamic[orderDate], dynamic[customerID], B1187) &gt;= DATE(2024,4,30)-120, 
     "New", 
     IF(MAXIFS(dynamic[orderCount], dynamic[customerID], B1187)&lt;=2, 
        IF((DATE(2024,4,30) - MAXIFS(dynamic[orderDate], dynamic[customerID], B1187)) &gt; 180, "Non-Returning", "Dormant"), 
        IF(AND(MAX(dynamic[sinceLastOrder]) &gt; 365, (DATE(2024,4,30) - MAXIFS(dynamic[orderDate], dynamic[customerID], B1187)) &gt; 180), 
           "Dormant", "Regular")))</f>
        <v>Regular</v>
      </c>
      <c r="H1187" s="6">
        <v>29.0</v>
      </c>
      <c r="I1187" s="9" t="str">
        <f>VLOOKUP(dynamic[productID],products[],2,FALSE)</f>
        <v>Thüringer Rostbratwurst</v>
      </c>
      <c r="J1187" s="9" t="str">
        <f>VLOOKUP(dynamic[productID],products[],12,FALSE)</f>
        <v>Meat/Poultry</v>
      </c>
      <c r="K1187" s="7" t="str">
        <f>IF(VLOOKUP(dynamic[productID],products[],7,FALSE)=1,"Discontinued","Current")</f>
        <v>Discontinued</v>
      </c>
      <c r="L1187" s="9">
        <f>VLOOKUP(dynamic[productID],products[],IF(YEAR(dynamic[orderDate])=2022,8,IF(YEAR(dynamic[orderDate])=2023,9,IF(YEAR(dynamic[orderDate])=2024,10,NA))),FALSE)</f>
        <v>80.85619497</v>
      </c>
      <c r="M1187" s="9">
        <v>123.79</v>
      </c>
      <c r="N1187" s="25">
        <f>(dynamic[orderPrice]-dynamic[productCost])/dynamic[productCost]</f>
        <v>0.5309896792</v>
      </c>
      <c r="O1187" s="10">
        <v>12.0</v>
      </c>
      <c r="P1187" s="25">
        <v>0.05</v>
      </c>
      <c r="Q1187" s="9">
        <f>dynamic[orderPrice]*dynamic[orderQuantity]</f>
        <v>1485.48</v>
      </c>
      <c r="R1187" s="9">
        <f>dynamic[orderTotal]*(1-dynamic[discountApllied])</f>
        <v>1411.206</v>
      </c>
      <c r="S1187" s="9">
        <f>dynamic[revenue]-(dynamic[productCost]*dynamic[orderQuantity])</f>
        <v>440.9316604</v>
      </c>
      <c r="T1187" s="25">
        <f>IFERROR(dynamic[profit]/dynamic[revenue], 0)</f>
        <v>0.3124502449</v>
      </c>
    </row>
    <row r="1188" ht="15.75" customHeight="1">
      <c r="A1188" s="6">
        <v>10698.0</v>
      </c>
      <c r="B1188" s="7" t="s">
        <v>24</v>
      </c>
      <c r="C1188" s="24" t="str">
        <f>VLOOKUP(dynamic[customerID],customers[],2,FALSE)</f>
        <v>Ernst Handel</v>
      </c>
      <c r="D1188" s="24">
        <v>45208.0</v>
      </c>
      <c r="E1188" s="6">
        <f>IFERROR(__xludf.DUMMYFUNCTION("COUNTUNIQUEIFS($A$2:$A1188,$B$2:$B1188,B1188)"),16.0)</f>
        <v>16</v>
      </c>
      <c r="F1188" s="6">
        <f t="shared" si="1"/>
        <v>27</v>
      </c>
      <c r="G1188" s="6" t="str">
        <f>IF(MINIFS(dynamic[orderDate], dynamic[customerID], B1188) &gt;= DATE(2024,4,30)-120, 
     "New", 
     IF(MAXIFS(dynamic[orderCount], dynamic[customerID], B1188)&lt;=2, 
        IF((DATE(2024,4,30) - MAXIFS(dynamic[orderDate], dynamic[customerID], B1188)) &gt; 180, "Non-Returning", "Dormant"), 
        IF(AND(MAX(dynamic[sinceLastOrder]) &gt; 365, (DATE(2024,4,30) - MAXIFS(dynamic[orderDate], dynamic[customerID], B1188)) &gt; 180), 
           "Dormant", "Regular")))</f>
        <v>Regular</v>
      </c>
      <c r="H1188" s="6">
        <v>65.0</v>
      </c>
      <c r="I1188" s="9" t="str">
        <f>VLOOKUP(dynamic[productID],products[],2,FALSE)</f>
        <v>Louisiana Fiery Hot Pepper Sauce</v>
      </c>
      <c r="J1188" s="9" t="str">
        <f>VLOOKUP(dynamic[productID],products[],12,FALSE)</f>
        <v>Condiments</v>
      </c>
      <c r="K1188" s="7" t="str">
        <f>IF(VLOOKUP(dynamic[productID],products[],7,FALSE)=1,"Discontinued","Current")</f>
        <v>Current</v>
      </c>
      <c r="L1188" s="9">
        <f>VLOOKUP(dynamic[productID],products[],IF(YEAR(dynamic[orderDate])=2022,8,IF(YEAR(dynamic[orderDate])=2023,9,IF(YEAR(dynamic[orderDate])=2024,10,NA))),FALSE)</f>
        <v>13.21122243</v>
      </c>
      <c r="M1188" s="9">
        <v>21.05</v>
      </c>
      <c r="N1188" s="25">
        <f>(dynamic[orderPrice]-dynamic[productCost])/dynamic[productCost]</f>
        <v>0.593342335</v>
      </c>
      <c r="O1188" s="10">
        <v>65.0</v>
      </c>
      <c r="P1188" s="25">
        <v>0.05</v>
      </c>
      <c r="Q1188" s="9">
        <f>dynamic[orderPrice]*dynamic[orderQuantity]</f>
        <v>1368.25</v>
      </c>
      <c r="R1188" s="9">
        <f>dynamic[orderTotal]*(1-dynamic[discountApllied])</f>
        <v>1299.8375</v>
      </c>
      <c r="S1188" s="9">
        <f>dynamic[revenue]-(dynamic[productCost]*dynamic[orderQuantity])</f>
        <v>441.1080418</v>
      </c>
      <c r="T1188" s="25">
        <f>IFERROR(dynamic[profit]/dynamic[revenue], 0)</f>
        <v>0.3393562979</v>
      </c>
    </row>
    <row r="1189" ht="15.75" customHeight="1">
      <c r="A1189" s="6">
        <v>10698.0</v>
      </c>
      <c r="B1189" s="7" t="s">
        <v>24</v>
      </c>
      <c r="C1189" s="24" t="str">
        <f>VLOOKUP(dynamic[customerID],customers[],2,FALSE)</f>
        <v>Ernst Handel</v>
      </c>
      <c r="D1189" s="24">
        <v>45208.0</v>
      </c>
      <c r="E1189" s="6">
        <f>IFERROR(__xludf.DUMMYFUNCTION("COUNTUNIQUEIFS($A$2:$A1189,$B$2:$B1189,B1189)"),16.0)</f>
        <v>16</v>
      </c>
      <c r="F1189" s="6">
        <f t="shared" si="1"/>
        <v>27</v>
      </c>
      <c r="G1189" s="6" t="str">
        <f>IF(MINIFS(dynamic[orderDate], dynamic[customerID], B1189) &gt;= DATE(2024,4,30)-120, 
     "New", 
     IF(MAXIFS(dynamic[orderCount], dynamic[customerID], B1189)&lt;=2, 
        IF((DATE(2024,4,30) - MAXIFS(dynamic[orderDate], dynamic[customerID], B1189)) &gt; 180, "Non-Returning", "Dormant"), 
        IF(AND(MAX(dynamic[sinceLastOrder]) &gt; 365, (DATE(2024,4,30) - MAXIFS(dynamic[orderDate], dynamic[customerID], B1189)) &gt; 180), 
           "Dormant", "Regular")))</f>
        <v>Regular</v>
      </c>
      <c r="H1189" s="6">
        <v>70.0</v>
      </c>
      <c r="I1189" s="9" t="str">
        <f>VLOOKUP(dynamic[productID],products[],2,FALSE)</f>
        <v>Outback Lager</v>
      </c>
      <c r="J1189" s="9" t="str">
        <f>VLOOKUP(dynamic[productID],products[],12,FALSE)</f>
        <v>Beverages</v>
      </c>
      <c r="K1189" s="7" t="str">
        <f>IF(VLOOKUP(dynamic[productID],products[],7,FALSE)=1,"Discontinued","Current")</f>
        <v>Current</v>
      </c>
      <c r="L1189" s="9">
        <f>VLOOKUP(dynamic[productID],products[],IF(YEAR(dynamic[orderDate])=2022,8,IF(YEAR(dynamic[orderDate])=2023,9,IF(YEAR(dynamic[orderDate])=2024,10,NA))),FALSE)</f>
        <v>9.793094091</v>
      </c>
      <c r="M1189" s="9">
        <v>15.0</v>
      </c>
      <c r="N1189" s="25">
        <f>(dynamic[orderPrice]-dynamic[productCost])/dynamic[productCost]</f>
        <v>0.5316916044</v>
      </c>
      <c r="O1189" s="10">
        <v>8.0</v>
      </c>
      <c r="P1189" s="25">
        <v>0.05</v>
      </c>
      <c r="Q1189" s="9">
        <f>dynamic[orderPrice]*dynamic[orderQuantity]</f>
        <v>120</v>
      </c>
      <c r="R1189" s="9">
        <f>dynamic[orderTotal]*(1-dynamic[discountApllied])</f>
        <v>114</v>
      </c>
      <c r="S1189" s="9">
        <f>dynamic[revenue]-(dynamic[productCost]*dynamic[orderQuantity])</f>
        <v>35.65524727</v>
      </c>
      <c r="T1189" s="25">
        <f>IFERROR(dynamic[profit]/dynamic[revenue], 0)</f>
        <v>0.3127653269</v>
      </c>
    </row>
    <row r="1190" ht="15.75" customHeight="1">
      <c r="A1190" s="6">
        <v>10699.0</v>
      </c>
      <c r="B1190" s="7" t="s">
        <v>39</v>
      </c>
      <c r="C1190" s="24" t="str">
        <f>VLOOKUP(dynamic[customerID],customers[],2,FALSE)</f>
        <v>Morgenstern Gesundkost</v>
      </c>
      <c r="D1190" s="24">
        <v>45208.0</v>
      </c>
      <c r="E1190" s="6">
        <f>IFERROR(__xludf.DUMMYFUNCTION("COUNTUNIQUEIFS($A$2:$A1190,$B$2:$B1190,B1190)"),3.0)</f>
        <v>3</v>
      </c>
      <c r="F1190" s="6">
        <f t="shared" si="1"/>
        <v>111</v>
      </c>
      <c r="G1190" s="6" t="str">
        <f>IF(MINIFS(dynamic[orderDate], dynamic[customerID], B1190) &gt;= DATE(2024,4,30)-120, 
     "New", 
     IF(MAXIFS(dynamic[orderCount], dynamic[customerID], B1190)&lt;=2, 
        IF((DATE(2024,4,30) - MAXIFS(dynamic[orderDate], dynamic[customerID], B1190)) &gt; 180, "Non-Returning", "Dormant"), 
        IF(AND(MAX(dynamic[sinceLastOrder]) &gt; 365, (DATE(2024,4,30) - MAXIFS(dynamic[orderDate], dynamic[customerID], B1190)) &gt; 180), 
           "Dormant", "Regular")))</f>
        <v>Regular</v>
      </c>
      <c r="H1190" s="6">
        <v>47.0</v>
      </c>
      <c r="I1190" s="9" t="str">
        <f>VLOOKUP(dynamic[productID],products[],2,FALSE)</f>
        <v>Zaanse koeken</v>
      </c>
      <c r="J1190" s="9" t="str">
        <f>VLOOKUP(dynamic[productID],products[],12,FALSE)</f>
        <v>Confections</v>
      </c>
      <c r="K1190" s="7" t="str">
        <f>IF(VLOOKUP(dynamic[productID],products[],7,FALSE)=1,"Discontinued","Current")</f>
        <v>Current</v>
      </c>
      <c r="L1190" s="9">
        <f>VLOOKUP(dynamic[productID],products[],IF(YEAR(dynamic[orderDate])=2022,8,IF(YEAR(dynamic[orderDate])=2023,9,IF(YEAR(dynamic[orderDate])=2024,10,NA))),FALSE)</f>
        <v>6.57708833</v>
      </c>
      <c r="M1190" s="9">
        <v>9.5</v>
      </c>
      <c r="N1190" s="25">
        <f>(dynamic[orderPrice]-dynamic[productCost])/dynamic[productCost]</f>
        <v>0.4444081519</v>
      </c>
      <c r="O1190" s="10">
        <v>12.0</v>
      </c>
      <c r="P1190" s="25">
        <v>0.0</v>
      </c>
      <c r="Q1190" s="9">
        <f>dynamic[orderPrice]*dynamic[orderQuantity]</f>
        <v>114</v>
      </c>
      <c r="R1190" s="9">
        <f>dynamic[orderTotal]*(1-dynamic[discountApllied])</f>
        <v>114</v>
      </c>
      <c r="S1190" s="9">
        <f>dynamic[revenue]-(dynamic[productCost]*dynamic[orderQuantity])</f>
        <v>35.07494004</v>
      </c>
      <c r="T1190" s="25">
        <f>IFERROR(dynamic[profit]/dynamic[revenue], 0)</f>
        <v>0.3076749126</v>
      </c>
    </row>
    <row r="1191" ht="15.75" customHeight="1">
      <c r="A1191" s="6">
        <v>10700.0</v>
      </c>
      <c r="B1191" s="7" t="s">
        <v>60</v>
      </c>
      <c r="C1191" s="24" t="str">
        <f>VLOOKUP(dynamic[customerID],customers[],2,FALSE)</f>
        <v>Save-a-lot Markets</v>
      </c>
      <c r="D1191" s="24">
        <v>45209.0</v>
      </c>
      <c r="E1191" s="6">
        <f>IFERROR(__xludf.DUMMYFUNCTION("COUNTUNIQUEIFS($A$2:$A1191,$B$2:$B1191,B1191)"),14.0)</f>
        <v>14</v>
      </c>
      <c r="F1191" s="6">
        <f t="shared" si="1"/>
        <v>17</v>
      </c>
      <c r="G1191" s="6" t="str">
        <f>IF(MINIFS(dynamic[orderDate], dynamic[customerID], B1191) &gt;= DATE(2024,4,30)-120, 
     "New", 
     IF(MAXIFS(dynamic[orderCount], dynamic[customerID], B1191)&lt;=2, 
        IF((DATE(2024,4,30) - MAXIFS(dynamic[orderDate], dynamic[customerID], B1191)) &gt; 180, "Non-Returning", "Dormant"), 
        IF(AND(MAX(dynamic[sinceLastOrder]) &gt; 365, (DATE(2024,4,30) - MAXIFS(dynamic[orderDate], dynamic[customerID], B1191)) &gt; 180), 
           "Dormant", "Regular")))</f>
        <v>Regular</v>
      </c>
      <c r="H1191" s="6">
        <v>1.0</v>
      </c>
      <c r="I1191" s="9" t="str">
        <f>VLOOKUP(dynamic[productID],products[],2,FALSE)</f>
        <v>Chai</v>
      </c>
      <c r="J1191" s="9" t="str">
        <f>VLOOKUP(dynamic[productID],products[],12,FALSE)</f>
        <v>Beverages</v>
      </c>
      <c r="K1191" s="7" t="str">
        <f>IF(VLOOKUP(dynamic[productID],products[],7,FALSE)=1,"Discontinued","Current")</f>
        <v>Current</v>
      </c>
      <c r="L1191" s="9">
        <f>VLOOKUP(dynamic[productID],products[],IF(YEAR(dynamic[orderDate])=2022,8,IF(YEAR(dynamic[orderDate])=2023,9,IF(YEAR(dynamic[orderDate])=2024,10,NA))),FALSE)</f>
        <v>12.15847607</v>
      </c>
      <c r="M1191" s="9">
        <v>18.0</v>
      </c>
      <c r="N1191" s="25">
        <f>(dynamic[orderPrice]-dynamic[productCost])/dynamic[productCost]</f>
        <v>0.4804486927</v>
      </c>
      <c r="O1191" s="10">
        <v>5.0</v>
      </c>
      <c r="P1191" s="25">
        <v>0.2</v>
      </c>
      <c r="Q1191" s="9">
        <f>dynamic[orderPrice]*dynamic[orderQuantity]</f>
        <v>90</v>
      </c>
      <c r="R1191" s="9">
        <f>dynamic[orderTotal]*(1-dynamic[discountApllied])</f>
        <v>72</v>
      </c>
      <c r="S1191" s="9">
        <f>dynamic[revenue]-(dynamic[productCost]*dynamic[orderQuantity])</f>
        <v>11.20761966</v>
      </c>
      <c r="T1191" s="25">
        <f>IFERROR(dynamic[profit]/dynamic[revenue], 0)</f>
        <v>0.1556613842</v>
      </c>
    </row>
    <row r="1192" ht="15.75" customHeight="1">
      <c r="A1192" s="6">
        <v>10700.0</v>
      </c>
      <c r="B1192" s="7" t="s">
        <v>60</v>
      </c>
      <c r="C1192" s="24" t="str">
        <f>VLOOKUP(dynamic[customerID],customers[],2,FALSE)</f>
        <v>Save-a-lot Markets</v>
      </c>
      <c r="D1192" s="24">
        <v>45209.0</v>
      </c>
      <c r="E1192" s="6">
        <f>IFERROR(__xludf.DUMMYFUNCTION("COUNTUNIQUEIFS($A$2:$A1192,$B$2:$B1192,B1192)"),14.0)</f>
        <v>14</v>
      </c>
      <c r="F1192" s="6">
        <f t="shared" si="1"/>
        <v>17</v>
      </c>
      <c r="G1192" s="6" t="str">
        <f>IF(MINIFS(dynamic[orderDate], dynamic[customerID], B1192) &gt;= DATE(2024,4,30)-120, 
     "New", 
     IF(MAXIFS(dynamic[orderCount], dynamic[customerID], B1192)&lt;=2, 
        IF((DATE(2024,4,30) - MAXIFS(dynamic[orderDate], dynamic[customerID], B1192)) &gt; 180, "Non-Returning", "Dormant"), 
        IF(AND(MAX(dynamic[sinceLastOrder]) &gt; 365, (DATE(2024,4,30) - MAXIFS(dynamic[orderDate], dynamic[customerID], B1192)) &gt; 180), 
           "Dormant", "Regular")))</f>
        <v>Regular</v>
      </c>
      <c r="H1192" s="6">
        <v>34.0</v>
      </c>
      <c r="I1192" s="9" t="str">
        <f>VLOOKUP(dynamic[productID],products[],2,FALSE)</f>
        <v>Sasquatch Ale</v>
      </c>
      <c r="J1192" s="9" t="str">
        <f>VLOOKUP(dynamic[productID],products[],12,FALSE)</f>
        <v>Beverages</v>
      </c>
      <c r="K1192" s="7" t="str">
        <f>IF(VLOOKUP(dynamic[productID],products[],7,FALSE)=1,"Discontinued","Current")</f>
        <v>Current</v>
      </c>
      <c r="L1192" s="9">
        <f>VLOOKUP(dynamic[productID],products[],IF(YEAR(dynamic[orderDate])=2022,8,IF(YEAR(dynamic[orderDate])=2023,9,IF(YEAR(dynamic[orderDate])=2024,10,NA))),FALSE)</f>
        <v>8.955654061</v>
      </c>
      <c r="M1192" s="9">
        <v>14.0</v>
      </c>
      <c r="N1192" s="25">
        <f>(dynamic[orderPrice]-dynamic[productCost])/dynamic[productCost]</f>
        <v>0.5632582394</v>
      </c>
      <c r="O1192" s="10">
        <v>12.0</v>
      </c>
      <c r="P1192" s="25">
        <v>0.2</v>
      </c>
      <c r="Q1192" s="9">
        <f>dynamic[orderPrice]*dynamic[orderQuantity]</f>
        <v>168</v>
      </c>
      <c r="R1192" s="9">
        <f>dynamic[orderTotal]*(1-dynamic[discountApllied])</f>
        <v>134.4</v>
      </c>
      <c r="S1192" s="9">
        <f>dynamic[revenue]-(dynamic[productCost]*dynamic[orderQuantity])</f>
        <v>26.93215127</v>
      </c>
      <c r="T1192" s="25">
        <f>IFERROR(dynamic[profit]/dynamic[revenue], 0)</f>
        <v>0.2003880303</v>
      </c>
    </row>
    <row r="1193" ht="15.75" customHeight="1">
      <c r="A1193" s="6">
        <v>10700.0</v>
      </c>
      <c r="B1193" s="7" t="s">
        <v>60</v>
      </c>
      <c r="C1193" s="24" t="str">
        <f>VLOOKUP(dynamic[customerID],customers[],2,FALSE)</f>
        <v>Save-a-lot Markets</v>
      </c>
      <c r="D1193" s="24">
        <v>45209.0</v>
      </c>
      <c r="E1193" s="6">
        <f>IFERROR(__xludf.DUMMYFUNCTION("COUNTUNIQUEIFS($A$2:$A1193,$B$2:$B1193,B1193)"),14.0)</f>
        <v>14</v>
      </c>
      <c r="F1193" s="6">
        <f t="shared" si="1"/>
        <v>17</v>
      </c>
      <c r="G1193" s="6" t="str">
        <f>IF(MINIFS(dynamic[orderDate], dynamic[customerID], B1193) &gt;= DATE(2024,4,30)-120, 
     "New", 
     IF(MAXIFS(dynamic[orderCount], dynamic[customerID], B1193)&lt;=2, 
        IF((DATE(2024,4,30) - MAXIFS(dynamic[orderDate], dynamic[customerID], B1193)) &gt; 180, "Non-Returning", "Dormant"), 
        IF(AND(MAX(dynamic[sinceLastOrder]) &gt; 365, (DATE(2024,4,30) - MAXIFS(dynamic[orderDate], dynamic[customerID], B1193)) &gt; 180), 
           "Dormant", "Regular")))</f>
        <v>Regular</v>
      </c>
      <c r="H1193" s="6">
        <v>68.0</v>
      </c>
      <c r="I1193" s="9" t="str">
        <f>VLOOKUP(dynamic[productID],products[],2,FALSE)</f>
        <v>Scottish Longbreads</v>
      </c>
      <c r="J1193" s="9" t="str">
        <f>VLOOKUP(dynamic[productID],products[],12,FALSE)</f>
        <v>Confections</v>
      </c>
      <c r="K1193" s="7" t="str">
        <f>IF(VLOOKUP(dynamic[productID],products[],7,FALSE)=1,"Discontinued","Current")</f>
        <v>Current</v>
      </c>
      <c r="L1193" s="9">
        <f>VLOOKUP(dynamic[productID],products[],IF(YEAR(dynamic[orderDate])=2022,8,IF(YEAR(dynamic[orderDate])=2023,9,IF(YEAR(dynamic[orderDate])=2024,10,NA))),FALSE)</f>
        <v>8.500000387</v>
      </c>
      <c r="M1193" s="9">
        <v>12.5</v>
      </c>
      <c r="N1193" s="25">
        <f>(dynamic[orderPrice]-dynamic[productCost])/dynamic[productCost]</f>
        <v>0.4705881684</v>
      </c>
      <c r="O1193" s="10">
        <v>40.0</v>
      </c>
      <c r="P1193" s="25">
        <v>0.2</v>
      </c>
      <c r="Q1193" s="9">
        <f>dynamic[orderPrice]*dynamic[orderQuantity]</f>
        <v>500</v>
      </c>
      <c r="R1193" s="9">
        <f>dynamic[orderTotal]*(1-dynamic[discountApllied])</f>
        <v>400</v>
      </c>
      <c r="S1193" s="9">
        <f>dynamic[revenue]-(dynamic[productCost]*dynamic[orderQuantity])</f>
        <v>59.99998454</v>
      </c>
      <c r="T1193" s="25">
        <f>IFERROR(dynamic[profit]/dynamic[revenue], 0)</f>
        <v>0.1499999613</v>
      </c>
    </row>
    <row r="1194" ht="15.75" customHeight="1">
      <c r="A1194" s="6">
        <v>10700.0</v>
      </c>
      <c r="B1194" s="7" t="s">
        <v>60</v>
      </c>
      <c r="C1194" s="24" t="str">
        <f>VLOOKUP(dynamic[customerID],customers[],2,FALSE)</f>
        <v>Save-a-lot Markets</v>
      </c>
      <c r="D1194" s="24">
        <v>45209.0</v>
      </c>
      <c r="E1194" s="6">
        <f>IFERROR(__xludf.DUMMYFUNCTION("COUNTUNIQUEIFS($A$2:$A1194,$B$2:$B1194,B1194)"),14.0)</f>
        <v>14</v>
      </c>
      <c r="F1194" s="6">
        <f t="shared" si="1"/>
        <v>17</v>
      </c>
      <c r="G1194" s="6" t="str">
        <f>IF(MINIFS(dynamic[orderDate], dynamic[customerID], B1194) &gt;= DATE(2024,4,30)-120, 
     "New", 
     IF(MAXIFS(dynamic[orderCount], dynamic[customerID], B1194)&lt;=2, 
        IF((DATE(2024,4,30) - MAXIFS(dynamic[orderDate], dynamic[customerID], B1194)) &gt; 180, "Non-Returning", "Dormant"), 
        IF(AND(MAX(dynamic[sinceLastOrder]) &gt; 365, (DATE(2024,4,30) - MAXIFS(dynamic[orderDate], dynamic[customerID], B1194)) &gt; 180), 
           "Dormant", "Regular")))</f>
        <v>Regular</v>
      </c>
      <c r="H1194" s="6">
        <v>71.0</v>
      </c>
      <c r="I1194" s="9" t="str">
        <f>VLOOKUP(dynamic[productID],products[],2,FALSE)</f>
        <v>Flotemysost</v>
      </c>
      <c r="J1194" s="9" t="str">
        <f>VLOOKUP(dynamic[productID],products[],12,FALSE)</f>
        <v>Dairy Products</v>
      </c>
      <c r="K1194" s="7" t="str">
        <f>IF(VLOOKUP(dynamic[productID],products[],7,FALSE)=1,"Discontinued","Current")</f>
        <v>Current</v>
      </c>
      <c r="L1194" s="9">
        <f>VLOOKUP(dynamic[productID],products[],IF(YEAR(dynamic[orderDate])=2022,8,IF(YEAR(dynamic[orderDate])=2023,9,IF(YEAR(dynamic[orderDate])=2024,10,NA))),FALSE)</f>
        <v>13.4003664</v>
      </c>
      <c r="M1194" s="9">
        <v>21.5</v>
      </c>
      <c r="N1194" s="25">
        <f>(dynamic[orderPrice]-dynamic[productCost])/dynamic[productCost]</f>
        <v>0.6044337411</v>
      </c>
      <c r="O1194" s="10">
        <v>60.0</v>
      </c>
      <c r="P1194" s="25">
        <v>0.2</v>
      </c>
      <c r="Q1194" s="9">
        <f>dynamic[orderPrice]*dynamic[orderQuantity]</f>
        <v>1290</v>
      </c>
      <c r="R1194" s="9">
        <f>dynamic[orderTotal]*(1-dynamic[discountApllied])</f>
        <v>1032</v>
      </c>
      <c r="S1194" s="9">
        <f>dynamic[revenue]-(dynamic[productCost]*dynamic[orderQuantity])</f>
        <v>227.9780158</v>
      </c>
      <c r="T1194" s="25">
        <f>IFERROR(dynamic[profit]/dynamic[revenue], 0)</f>
        <v>0.2209089301</v>
      </c>
    </row>
    <row r="1195" ht="15.75" customHeight="1">
      <c r="A1195" s="6">
        <v>10701.0</v>
      </c>
      <c r="B1195" s="7" t="s">
        <v>49</v>
      </c>
      <c r="C1195" s="24" t="str">
        <f>VLOOKUP(dynamic[customerID],customers[],2,FALSE)</f>
        <v>Hungry Owl All-Night Grocers</v>
      </c>
      <c r="D1195" s="24">
        <v>45212.0</v>
      </c>
      <c r="E1195" s="6">
        <f>IFERROR(__xludf.DUMMYFUNCTION("COUNTUNIQUEIFS($A$2:$A1195,$B$2:$B1195,B1195)"),13.0)</f>
        <v>13</v>
      </c>
      <c r="F1195" s="6">
        <f t="shared" si="1"/>
        <v>13</v>
      </c>
      <c r="G1195" s="6" t="str">
        <f>IF(MINIFS(dynamic[orderDate], dynamic[customerID], B1195) &gt;= DATE(2024,4,30)-120, 
     "New", 
     IF(MAXIFS(dynamic[orderCount], dynamic[customerID], B1195)&lt;=2, 
        IF((DATE(2024,4,30) - MAXIFS(dynamic[orderDate], dynamic[customerID], B1195)) &gt; 180, "Non-Returning", "Dormant"), 
        IF(AND(MAX(dynamic[sinceLastOrder]) &gt; 365, (DATE(2024,4,30) - MAXIFS(dynamic[orderDate], dynamic[customerID], B1195)) &gt; 180), 
           "Dormant", "Regular")))</f>
        <v>Regular</v>
      </c>
      <c r="H1195" s="6">
        <v>59.0</v>
      </c>
      <c r="I1195" s="9" t="str">
        <f>VLOOKUP(dynamic[productID],products[],2,FALSE)</f>
        <v>Raclette Courdavault</v>
      </c>
      <c r="J1195" s="9" t="str">
        <f>VLOOKUP(dynamic[productID],products[],12,FALSE)</f>
        <v>Dairy Products</v>
      </c>
      <c r="K1195" s="7" t="str">
        <f>IF(VLOOKUP(dynamic[productID],products[],7,FALSE)=1,"Discontinued","Current")</f>
        <v>Current</v>
      </c>
      <c r="L1195" s="9">
        <f>VLOOKUP(dynamic[productID],products[],IF(YEAR(dynamic[orderDate])=2022,8,IF(YEAR(dynamic[orderDate])=2023,9,IF(YEAR(dynamic[orderDate])=2024,10,NA))),FALSE)</f>
        <v>35.20472566</v>
      </c>
      <c r="M1195" s="9">
        <v>55.0</v>
      </c>
      <c r="N1195" s="25">
        <f>(dynamic[orderPrice]-dynamic[productCost])/dynamic[productCost]</f>
        <v>0.5622902598</v>
      </c>
      <c r="O1195" s="10">
        <v>42.0</v>
      </c>
      <c r="P1195" s="25">
        <v>0.15</v>
      </c>
      <c r="Q1195" s="9">
        <f>dynamic[orderPrice]*dynamic[orderQuantity]</f>
        <v>2310</v>
      </c>
      <c r="R1195" s="9">
        <f>dynamic[orderTotal]*(1-dynamic[discountApllied])</f>
        <v>1963.5</v>
      </c>
      <c r="S1195" s="9">
        <f>dynamic[revenue]-(dynamic[productCost]*dynamic[orderQuantity])</f>
        <v>484.9015222</v>
      </c>
      <c r="T1195" s="25">
        <f>IFERROR(dynamic[profit]/dynamic[revenue], 0)</f>
        <v>0.2469577399</v>
      </c>
    </row>
    <row r="1196" ht="15.75" customHeight="1">
      <c r="A1196" s="6">
        <v>10701.0</v>
      </c>
      <c r="B1196" s="7" t="s">
        <v>49</v>
      </c>
      <c r="C1196" s="24" t="str">
        <f>VLOOKUP(dynamic[customerID],customers[],2,FALSE)</f>
        <v>Hungry Owl All-Night Grocers</v>
      </c>
      <c r="D1196" s="24">
        <v>45212.0</v>
      </c>
      <c r="E1196" s="6">
        <f>IFERROR(__xludf.DUMMYFUNCTION("COUNTUNIQUEIFS($A$2:$A1196,$B$2:$B1196,B1196)"),13.0)</f>
        <v>13</v>
      </c>
      <c r="F1196" s="6">
        <f t="shared" si="1"/>
        <v>13</v>
      </c>
      <c r="G1196" s="6" t="str">
        <f>IF(MINIFS(dynamic[orderDate], dynamic[customerID], B1196) &gt;= DATE(2024,4,30)-120, 
     "New", 
     IF(MAXIFS(dynamic[orderCount], dynamic[customerID], B1196)&lt;=2, 
        IF((DATE(2024,4,30) - MAXIFS(dynamic[orderDate], dynamic[customerID], B1196)) &gt; 180, "Non-Returning", "Dormant"), 
        IF(AND(MAX(dynamic[sinceLastOrder]) &gt; 365, (DATE(2024,4,30) - MAXIFS(dynamic[orderDate], dynamic[customerID], B1196)) &gt; 180), 
           "Dormant", "Regular")))</f>
        <v>Regular</v>
      </c>
      <c r="H1196" s="6">
        <v>71.0</v>
      </c>
      <c r="I1196" s="9" t="str">
        <f>VLOOKUP(dynamic[productID],products[],2,FALSE)</f>
        <v>Flotemysost</v>
      </c>
      <c r="J1196" s="9" t="str">
        <f>VLOOKUP(dynamic[productID],products[],12,FALSE)</f>
        <v>Dairy Products</v>
      </c>
      <c r="K1196" s="7" t="str">
        <f>IF(VLOOKUP(dynamic[productID],products[],7,FALSE)=1,"Discontinued","Current")</f>
        <v>Current</v>
      </c>
      <c r="L1196" s="9">
        <f>VLOOKUP(dynamic[productID],products[],IF(YEAR(dynamic[orderDate])=2022,8,IF(YEAR(dynamic[orderDate])=2023,9,IF(YEAR(dynamic[orderDate])=2024,10,NA))),FALSE)</f>
        <v>13.4003664</v>
      </c>
      <c r="M1196" s="9">
        <v>21.5</v>
      </c>
      <c r="N1196" s="25">
        <f>(dynamic[orderPrice]-dynamic[productCost])/dynamic[productCost]</f>
        <v>0.6044337411</v>
      </c>
      <c r="O1196" s="10">
        <v>20.0</v>
      </c>
      <c r="P1196" s="25">
        <v>0.15</v>
      </c>
      <c r="Q1196" s="9">
        <f>dynamic[orderPrice]*dynamic[orderQuantity]</f>
        <v>430</v>
      </c>
      <c r="R1196" s="9">
        <f>dynamic[orderTotal]*(1-dynamic[discountApllied])</f>
        <v>365.5</v>
      </c>
      <c r="S1196" s="9">
        <f>dynamic[revenue]-(dynamic[productCost]*dynamic[orderQuantity])</f>
        <v>97.49267194</v>
      </c>
      <c r="T1196" s="25">
        <f>IFERROR(dynamic[profit]/dynamic[revenue], 0)</f>
        <v>0.2667378165</v>
      </c>
    </row>
    <row r="1197" ht="15.75" customHeight="1">
      <c r="A1197" s="6">
        <v>10701.0</v>
      </c>
      <c r="B1197" s="7" t="s">
        <v>49</v>
      </c>
      <c r="C1197" s="24" t="str">
        <f>VLOOKUP(dynamic[customerID],customers[],2,FALSE)</f>
        <v>Hungry Owl All-Night Grocers</v>
      </c>
      <c r="D1197" s="24">
        <v>45212.0</v>
      </c>
      <c r="E1197" s="6">
        <f>IFERROR(__xludf.DUMMYFUNCTION("COUNTUNIQUEIFS($A$2:$A1197,$B$2:$B1197,B1197)"),13.0)</f>
        <v>13</v>
      </c>
      <c r="F1197" s="6">
        <f t="shared" si="1"/>
        <v>13</v>
      </c>
      <c r="G1197" s="6" t="str">
        <f>IF(MINIFS(dynamic[orderDate], dynamic[customerID], B1197) &gt;= DATE(2024,4,30)-120, 
     "New", 
     IF(MAXIFS(dynamic[orderCount], dynamic[customerID], B1197)&lt;=2, 
        IF((DATE(2024,4,30) - MAXIFS(dynamic[orderDate], dynamic[customerID], B1197)) &gt; 180, "Non-Returning", "Dormant"), 
        IF(AND(MAX(dynamic[sinceLastOrder]) &gt; 365, (DATE(2024,4,30) - MAXIFS(dynamic[orderDate], dynamic[customerID], B1197)) &gt; 180), 
           "Dormant", "Regular")))</f>
        <v>Regular</v>
      </c>
      <c r="H1197" s="6">
        <v>76.0</v>
      </c>
      <c r="I1197" s="9" t="str">
        <f>VLOOKUP(dynamic[productID],products[],2,FALSE)</f>
        <v>Lakkalikööri</v>
      </c>
      <c r="J1197" s="9" t="str">
        <f>VLOOKUP(dynamic[productID],products[],12,FALSE)</f>
        <v>Beverages</v>
      </c>
      <c r="K1197" s="7" t="str">
        <f>IF(VLOOKUP(dynamic[productID],products[],7,FALSE)=1,"Discontinued","Current")</f>
        <v>Current</v>
      </c>
      <c r="L1197" s="9">
        <f>VLOOKUP(dynamic[productID],products[],IF(YEAR(dynamic[orderDate])=2022,8,IF(YEAR(dynamic[orderDate])=2023,9,IF(YEAR(dynamic[orderDate])=2024,10,NA))),FALSE)</f>
        <v>12.1154529</v>
      </c>
      <c r="M1197" s="9">
        <v>18.0</v>
      </c>
      <c r="N1197" s="25">
        <f>(dynamic[orderPrice]-dynamic[productCost])/dynamic[productCost]</f>
        <v>0.4857059125</v>
      </c>
      <c r="O1197" s="10">
        <v>35.0</v>
      </c>
      <c r="P1197" s="25">
        <v>0.15</v>
      </c>
      <c r="Q1197" s="9">
        <f>dynamic[orderPrice]*dynamic[orderQuantity]</f>
        <v>630</v>
      </c>
      <c r="R1197" s="9">
        <f>dynamic[orderTotal]*(1-dynamic[discountApllied])</f>
        <v>535.5</v>
      </c>
      <c r="S1197" s="9">
        <f>dynamic[revenue]-(dynamic[productCost]*dynamic[orderQuantity])</f>
        <v>111.4591487</v>
      </c>
      <c r="T1197" s="25">
        <f>IFERROR(dynamic[profit]/dynamic[revenue], 0)</f>
        <v>0.2081403336</v>
      </c>
    </row>
    <row r="1198" ht="15.75" customHeight="1">
      <c r="A1198" s="6">
        <v>10702.0</v>
      </c>
      <c r="B1198" s="7" t="s">
        <v>100</v>
      </c>
      <c r="C1198" s="24" t="str">
        <f>VLOOKUP(dynamic[customerID],customers[],2,FALSE)</f>
        <v>Alfreds Futterkiste</v>
      </c>
      <c r="D1198" s="24">
        <v>45212.0</v>
      </c>
      <c r="E1198" s="6">
        <f>IFERROR(__xludf.DUMMYFUNCTION("COUNTUNIQUEIFS($A$2:$A1198,$B$2:$B1198,B1198)"),3.0)</f>
        <v>3</v>
      </c>
      <c r="F1198" s="6">
        <f t="shared" si="1"/>
        <v>10</v>
      </c>
      <c r="G1198" s="6" t="str">
        <f>IF(MINIFS(dynamic[orderDate], dynamic[customerID], B1198) &gt;= DATE(2024,4,30)-120, 
     "New", 
     IF(MAXIFS(dynamic[orderCount], dynamic[customerID], B1198)&lt;=2, 
        IF((DATE(2024,4,30) - MAXIFS(dynamic[orderDate], dynamic[customerID], B1198)) &gt; 180, "Non-Returning", "Dormant"), 
        IF(AND(MAX(dynamic[sinceLastOrder]) &gt; 365, (DATE(2024,4,30) - MAXIFS(dynamic[orderDate], dynamic[customerID], B1198)) &gt; 180), 
           "Dormant", "Regular")))</f>
        <v>Regular</v>
      </c>
      <c r="H1198" s="6">
        <v>3.0</v>
      </c>
      <c r="I1198" s="9" t="str">
        <f>VLOOKUP(dynamic[productID],products[],2,FALSE)</f>
        <v>Aniseed Syrup</v>
      </c>
      <c r="J1198" s="9" t="str">
        <f>VLOOKUP(dynamic[productID],products[],12,FALSE)</f>
        <v>Condiments</v>
      </c>
      <c r="K1198" s="7" t="str">
        <f>IF(VLOOKUP(dynamic[productID],products[],7,FALSE)=1,"Discontinued","Current")</f>
        <v>Current</v>
      </c>
      <c r="L1198" s="9">
        <f>VLOOKUP(dynamic[productID],products[],IF(YEAR(dynamic[orderDate])=2022,8,IF(YEAR(dynamic[orderDate])=2023,9,IF(YEAR(dynamic[orderDate])=2024,10,NA))),FALSE)</f>
        <v>6.399802633</v>
      </c>
      <c r="M1198" s="9">
        <v>10.0</v>
      </c>
      <c r="N1198" s="25">
        <f>(dynamic[orderPrice]-dynamic[productCost])/dynamic[productCost]</f>
        <v>0.5625481867</v>
      </c>
      <c r="O1198" s="10">
        <v>6.0</v>
      </c>
      <c r="P1198" s="25">
        <v>0.0</v>
      </c>
      <c r="Q1198" s="9">
        <f>dynamic[orderPrice]*dynamic[orderQuantity]</f>
        <v>60</v>
      </c>
      <c r="R1198" s="9">
        <f>dynamic[orderTotal]*(1-dynamic[discountApllied])</f>
        <v>60</v>
      </c>
      <c r="S1198" s="9">
        <f>dynamic[revenue]-(dynamic[productCost]*dynamic[orderQuantity])</f>
        <v>21.6011842</v>
      </c>
      <c r="T1198" s="25">
        <f>IFERROR(dynamic[profit]/dynamic[revenue], 0)</f>
        <v>0.3600197367</v>
      </c>
    </row>
    <row r="1199" ht="15.75" customHeight="1">
      <c r="A1199" s="6">
        <v>10702.0</v>
      </c>
      <c r="B1199" s="7" t="s">
        <v>100</v>
      </c>
      <c r="C1199" s="24" t="str">
        <f>VLOOKUP(dynamic[customerID],customers[],2,FALSE)</f>
        <v>Alfreds Futterkiste</v>
      </c>
      <c r="D1199" s="24">
        <v>45212.0</v>
      </c>
      <c r="E1199" s="6">
        <f>IFERROR(__xludf.DUMMYFUNCTION("COUNTUNIQUEIFS($A$2:$A1199,$B$2:$B1199,B1199)"),3.0)</f>
        <v>3</v>
      </c>
      <c r="F1199" s="6">
        <f t="shared" si="1"/>
        <v>10</v>
      </c>
      <c r="G1199" s="6" t="str">
        <f>IF(MINIFS(dynamic[orderDate], dynamic[customerID], B1199) &gt;= DATE(2024,4,30)-120, 
     "New", 
     IF(MAXIFS(dynamic[orderCount], dynamic[customerID], B1199)&lt;=2, 
        IF((DATE(2024,4,30) - MAXIFS(dynamic[orderDate], dynamic[customerID], B1199)) &gt; 180, "Non-Returning", "Dormant"), 
        IF(AND(MAX(dynamic[sinceLastOrder]) &gt; 365, (DATE(2024,4,30) - MAXIFS(dynamic[orderDate], dynamic[customerID], B1199)) &gt; 180), 
           "Dormant", "Regular")))</f>
        <v>Regular</v>
      </c>
      <c r="H1199" s="6">
        <v>76.0</v>
      </c>
      <c r="I1199" s="9" t="str">
        <f>VLOOKUP(dynamic[productID],products[],2,FALSE)</f>
        <v>Lakkalikööri</v>
      </c>
      <c r="J1199" s="9" t="str">
        <f>VLOOKUP(dynamic[productID],products[],12,FALSE)</f>
        <v>Beverages</v>
      </c>
      <c r="K1199" s="7" t="str">
        <f>IF(VLOOKUP(dynamic[productID],products[],7,FALSE)=1,"Discontinued","Current")</f>
        <v>Current</v>
      </c>
      <c r="L1199" s="9">
        <f>VLOOKUP(dynamic[productID],products[],IF(YEAR(dynamic[orderDate])=2022,8,IF(YEAR(dynamic[orderDate])=2023,9,IF(YEAR(dynamic[orderDate])=2024,10,NA))),FALSE)</f>
        <v>12.1154529</v>
      </c>
      <c r="M1199" s="9">
        <v>18.0</v>
      </c>
      <c r="N1199" s="25">
        <f>(dynamic[orderPrice]-dynamic[productCost])/dynamic[productCost]</f>
        <v>0.4857059125</v>
      </c>
      <c r="O1199" s="10">
        <v>15.0</v>
      </c>
      <c r="P1199" s="25">
        <v>0.0</v>
      </c>
      <c r="Q1199" s="9">
        <f>dynamic[orderPrice]*dynamic[orderQuantity]</f>
        <v>270</v>
      </c>
      <c r="R1199" s="9">
        <f>dynamic[orderTotal]*(1-dynamic[discountApllied])</f>
        <v>270</v>
      </c>
      <c r="S1199" s="9">
        <f>dynamic[revenue]-(dynamic[productCost]*dynamic[orderQuantity])</f>
        <v>88.26820657</v>
      </c>
      <c r="T1199" s="25">
        <f>IFERROR(dynamic[profit]/dynamic[revenue], 0)</f>
        <v>0.3269192836</v>
      </c>
    </row>
    <row r="1200" ht="15.75" customHeight="1">
      <c r="A1200" s="6">
        <v>10703.0</v>
      </c>
      <c r="B1200" s="7" t="s">
        <v>29</v>
      </c>
      <c r="C1200" s="24" t="str">
        <f>VLOOKUP(dynamic[customerID],customers[],2,FALSE)</f>
        <v>Folk och fä HB</v>
      </c>
      <c r="D1200" s="24">
        <v>45213.0</v>
      </c>
      <c r="E1200" s="6">
        <f>IFERROR(__xludf.DUMMYFUNCTION("COUNTUNIQUEIFS($A$2:$A1200,$B$2:$B1200,B1200)"),8.0)</f>
        <v>8</v>
      </c>
      <c r="F1200" s="6">
        <f t="shared" si="1"/>
        <v>130</v>
      </c>
      <c r="G1200" s="6" t="str">
        <f>IF(MINIFS(dynamic[orderDate], dynamic[customerID], B1200) &gt;= DATE(2024,4,30)-120, 
     "New", 
     IF(MAXIFS(dynamic[orderCount], dynamic[customerID], B1200)&lt;=2, 
        IF((DATE(2024,4,30) - MAXIFS(dynamic[orderDate], dynamic[customerID], B1200)) &gt; 180, "Non-Returning", "Dormant"), 
        IF(AND(MAX(dynamic[sinceLastOrder]) &gt; 365, (DATE(2024,4,30) - MAXIFS(dynamic[orderDate], dynamic[customerID], B1200)) &gt; 180), 
           "Dormant", "Regular")))</f>
        <v>Regular</v>
      </c>
      <c r="H1200" s="6">
        <v>2.0</v>
      </c>
      <c r="I1200" s="9" t="str">
        <f>VLOOKUP(dynamic[productID],products[],2,FALSE)</f>
        <v>Chang</v>
      </c>
      <c r="J1200" s="9" t="str">
        <f>VLOOKUP(dynamic[productID],products[],12,FALSE)</f>
        <v>Beverages</v>
      </c>
      <c r="K1200" s="7" t="str">
        <f>IF(VLOOKUP(dynamic[productID],products[],7,FALSE)=1,"Discontinued","Current")</f>
        <v>Current</v>
      </c>
      <c r="L1200" s="9">
        <f>VLOOKUP(dynamic[productID],products[],IF(YEAR(dynamic[orderDate])=2022,8,IF(YEAR(dynamic[orderDate])=2023,9,IF(YEAR(dynamic[orderDate])=2024,10,NA))),FALSE)</f>
        <v>12.14626904</v>
      </c>
      <c r="M1200" s="9">
        <v>19.0</v>
      </c>
      <c r="N1200" s="25">
        <f>(dynamic[orderPrice]-dynamic[productCost])/dynamic[productCost]</f>
        <v>0.5642663547</v>
      </c>
      <c r="O1200" s="10">
        <v>5.0</v>
      </c>
      <c r="P1200" s="25">
        <v>0.0</v>
      </c>
      <c r="Q1200" s="9">
        <f>dynamic[orderPrice]*dynamic[orderQuantity]</f>
        <v>95</v>
      </c>
      <c r="R1200" s="9">
        <f>dynamic[orderTotal]*(1-dynamic[discountApllied])</f>
        <v>95</v>
      </c>
      <c r="S1200" s="9">
        <f>dynamic[revenue]-(dynamic[productCost]*dynamic[orderQuantity])</f>
        <v>34.26865478</v>
      </c>
      <c r="T1200" s="25">
        <f>IFERROR(dynamic[profit]/dynamic[revenue], 0)</f>
        <v>0.3607226819</v>
      </c>
    </row>
    <row r="1201" ht="15.75" customHeight="1">
      <c r="A1201" s="6">
        <v>10703.0</v>
      </c>
      <c r="B1201" s="7" t="s">
        <v>29</v>
      </c>
      <c r="C1201" s="24" t="str">
        <f>VLOOKUP(dynamic[customerID],customers[],2,FALSE)</f>
        <v>Folk och fä HB</v>
      </c>
      <c r="D1201" s="24">
        <v>45213.0</v>
      </c>
      <c r="E1201" s="6">
        <f>IFERROR(__xludf.DUMMYFUNCTION("COUNTUNIQUEIFS($A$2:$A1201,$B$2:$B1201,B1201)"),8.0)</f>
        <v>8</v>
      </c>
      <c r="F1201" s="6">
        <f t="shared" si="1"/>
        <v>130</v>
      </c>
      <c r="G1201" s="6" t="str">
        <f>IF(MINIFS(dynamic[orderDate], dynamic[customerID], B1201) &gt;= DATE(2024,4,30)-120, 
     "New", 
     IF(MAXIFS(dynamic[orderCount], dynamic[customerID], B1201)&lt;=2, 
        IF((DATE(2024,4,30) - MAXIFS(dynamic[orderDate], dynamic[customerID], B1201)) &gt; 180, "Non-Returning", "Dormant"), 
        IF(AND(MAX(dynamic[sinceLastOrder]) &gt; 365, (DATE(2024,4,30) - MAXIFS(dynamic[orderDate], dynamic[customerID], B1201)) &gt; 180), 
           "Dormant", "Regular")))</f>
        <v>Regular</v>
      </c>
      <c r="H1201" s="6">
        <v>59.0</v>
      </c>
      <c r="I1201" s="9" t="str">
        <f>VLOOKUP(dynamic[productID],products[],2,FALSE)</f>
        <v>Raclette Courdavault</v>
      </c>
      <c r="J1201" s="9" t="str">
        <f>VLOOKUP(dynamic[productID],products[],12,FALSE)</f>
        <v>Dairy Products</v>
      </c>
      <c r="K1201" s="7" t="str">
        <f>IF(VLOOKUP(dynamic[productID],products[],7,FALSE)=1,"Discontinued","Current")</f>
        <v>Current</v>
      </c>
      <c r="L1201" s="9">
        <f>VLOOKUP(dynamic[productID],products[],IF(YEAR(dynamic[orderDate])=2022,8,IF(YEAR(dynamic[orderDate])=2023,9,IF(YEAR(dynamic[orderDate])=2024,10,NA))),FALSE)</f>
        <v>35.20472566</v>
      </c>
      <c r="M1201" s="9">
        <v>55.0</v>
      </c>
      <c r="N1201" s="25">
        <f>(dynamic[orderPrice]-dynamic[productCost])/dynamic[productCost]</f>
        <v>0.5622902598</v>
      </c>
      <c r="O1201" s="10">
        <v>35.0</v>
      </c>
      <c r="P1201" s="25">
        <v>0.0</v>
      </c>
      <c r="Q1201" s="9">
        <f>dynamic[orderPrice]*dynamic[orderQuantity]</f>
        <v>1925</v>
      </c>
      <c r="R1201" s="9">
        <f>dynamic[orderTotal]*(1-dynamic[discountApllied])</f>
        <v>1925</v>
      </c>
      <c r="S1201" s="9">
        <f>dynamic[revenue]-(dynamic[productCost]*dynamic[orderQuantity])</f>
        <v>692.8346018</v>
      </c>
      <c r="T1201" s="25">
        <f>IFERROR(dynamic[profit]/dynamic[revenue], 0)</f>
        <v>0.3599140789</v>
      </c>
    </row>
    <row r="1202" ht="15.75" customHeight="1">
      <c r="A1202" s="6">
        <v>10703.0</v>
      </c>
      <c r="B1202" s="7" t="s">
        <v>29</v>
      </c>
      <c r="C1202" s="24" t="str">
        <f>VLOOKUP(dynamic[customerID],customers[],2,FALSE)</f>
        <v>Folk och fä HB</v>
      </c>
      <c r="D1202" s="24">
        <v>45213.0</v>
      </c>
      <c r="E1202" s="6">
        <f>IFERROR(__xludf.DUMMYFUNCTION("COUNTUNIQUEIFS($A$2:$A1202,$B$2:$B1202,B1202)"),8.0)</f>
        <v>8</v>
      </c>
      <c r="F1202" s="6">
        <f t="shared" si="1"/>
        <v>130</v>
      </c>
      <c r="G1202" s="6" t="str">
        <f>IF(MINIFS(dynamic[orderDate], dynamic[customerID], B1202) &gt;= DATE(2024,4,30)-120, 
     "New", 
     IF(MAXIFS(dynamic[orderCount], dynamic[customerID], B1202)&lt;=2, 
        IF((DATE(2024,4,30) - MAXIFS(dynamic[orderDate], dynamic[customerID], B1202)) &gt; 180, "Non-Returning", "Dormant"), 
        IF(AND(MAX(dynamic[sinceLastOrder]) &gt; 365, (DATE(2024,4,30) - MAXIFS(dynamic[orderDate], dynamic[customerID], B1202)) &gt; 180), 
           "Dormant", "Regular")))</f>
        <v>Regular</v>
      </c>
      <c r="H1202" s="6">
        <v>73.0</v>
      </c>
      <c r="I1202" s="9" t="str">
        <f>VLOOKUP(dynamic[productID],products[],2,FALSE)</f>
        <v>Röd Kaviar</v>
      </c>
      <c r="J1202" s="9" t="str">
        <f>VLOOKUP(dynamic[productID],products[],12,FALSE)</f>
        <v>Seafood</v>
      </c>
      <c r="K1202" s="7" t="str">
        <f>IF(VLOOKUP(dynamic[productID],products[],7,FALSE)=1,"Discontinued","Current")</f>
        <v>Current</v>
      </c>
      <c r="L1202" s="9">
        <f>VLOOKUP(dynamic[productID],products[],IF(YEAR(dynamic[orderDate])=2022,8,IF(YEAR(dynamic[orderDate])=2023,9,IF(YEAR(dynamic[orderDate])=2024,10,NA))),FALSE)</f>
        <v>9.692999362</v>
      </c>
      <c r="M1202" s="9">
        <v>15.0</v>
      </c>
      <c r="N1202" s="25">
        <f>(dynamic[orderPrice]-dynamic[productCost])/dynamic[productCost]</f>
        <v>0.5475086131</v>
      </c>
      <c r="O1202" s="10">
        <v>35.0</v>
      </c>
      <c r="P1202" s="25">
        <v>0.0</v>
      </c>
      <c r="Q1202" s="9">
        <f>dynamic[orderPrice]*dynamic[orderQuantity]</f>
        <v>525</v>
      </c>
      <c r="R1202" s="9">
        <f>dynamic[orderTotal]*(1-dynamic[discountApllied])</f>
        <v>525</v>
      </c>
      <c r="S1202" s="9">
        <f>dynamic[revenue]-(dynamic[productCost]*dynamic[orderQuantity])</f>
        <v>185.7450223</v>
      </c>
      <c r="T1202" s="25">
        <f>IFERROR(dynamic[profit]/dynamic[revenue], 0)</f>
        <v>0.3538000425</v>
      </c>
    </row>
    <row r="1203" ht="15.75" customHeight="1">
      <c r="A1203" s="6">
        <v>10704.0</v>
      </c>
      <c r="B1203" s="7" t="s">
        <v>77</v>
      </c>
      <c r="C1203" s="24" t="str">
        <f>VLOOKUP(dynamic[customerID],customers[],2,FALSE)</f>
        <v>Queen Cozinha</v>
      </c>
      <c r="D1203" s="24">
        <v>45213.0</v>
      </c>
      <c r="E1203" s="6">
        <f>IFERROR(__xludf.DUMMYFUNCTION("COUNTUNIQUEIFS($A$2:$A1203,$B$2:$B1203,B1203)"),6.0)</f>
        <v>6</v>
      </c>
      <c r="F1203" s="6">
        <f t="shared" si="1"/>
        <v>39</v>
      </c>
      <c r="G1203" s="6" t="str">
        <f>IF(MINIFS(dynamic[orderDate], dynamic[customerID], B1203) &gt;= DATE(2024,4,30)-120, 
     "New", 
     IF(MAXIFS(dynamic[orderCount], dynamic[customerID], B1203)&lt;=2, 
        IF((DATE(2024,4,30) - MAXIFS(dynamic[orderDate], dynamic[customerID], B1203)) &gt; 180, "Non-Returning", "Dormant"), 
        IF(AND(MAX(dynamic[sinceLastOrder]) &gt; 365, (DATE(2024,4,30) - MAXIFS(dynamic[orderDate], dynamic[customerID], B1203)) &gt; 180), 
           "Dormant", "Regular")))</f>
        <v>Regular</v>
      </c>
      <c r="H1203" s="6">
        <v>4.0</v>
      </c>
      <c r="I1203" s="9" t="str">
        <f>VLOOKUP(dynamic[productID],products[],2,FALSE)</f>
        <v>Chef Anton's Cajun Seasoning</v>
      </c>
      <c r="J1203" s="9" t="str">
        <f>VLOOKUP(dynamic[productID],products[],12,FALSE)</f>
        <v>Condiments</v>
      </c>
      <c r="K1203" s="7" t="str">
        <f>IF(VLOOKUP(dynamic[productID],products[],7,FALSE)=1,"Discontinued","Current")</f>
        <v>Current</v>
      </c>
      <c r="L1203" s="9">
        <f>VLOOKUP(dynamic[productID],products[],IF(YEAR(dynamic[orderDate])=2022,8,IF(YEAR(dynamic[orderDate])=2023,9,IF(YEAR(dynamic[orderDate])=2024,10,NA))),FALSE)</f>
        <v>13.81047124</v>
      </c>
      <c r="M1203" s="9">
        <v>22.0</v>
      </c>
      <c r="N1203" s="25">
        <f>(dynamic[orderPrice]-dynamic[productCost])/dynamic[productCost]</f>
        <v>0.5929941577</v>
      </c>
      <c r="O1203" s="10">
        <v>6.0</v>
      </c>
      <c r="P1203" s="25">
        <v>0.0</v>
      </c>
      <c r="Q1203" s="9">
        <f>dynamic[orderPrice]*dynamic[orderQuantity]</f>
        <v>132</v>
      </c>
      <c r="R1203" s="9">
        <f>dynamic[orderTotal]*(1-dynamic[discountApllied])</f>
        <v>132</v>
      </c>
      <c r="S1203" s="9">
        <f>dynamic[revenue]-(dynamic[productCost]*dynamic[orderQuantity])</f>
        <v>49.13717256</v>
      </c>
      <c r="T1203" s="25">
        <f>IFERROR(dynamic[profit]/dynamic[revenue], 0)</f>
        <v>0.3722513073</v>
      </c>
    </row>
    <row r="1204" ht="15.75" customHeight="1">
      <c r="A1204" s="6">
        <v>10704.0</v>
      </c>
      <c r="B1204" s="7" t="s">
        <v>77</v>
      </c>
      <c r="C1204" s="24" t="str">
        <f>VLOOKUP(dynamic[customerID],customers[],2,FALSE)</f>
        <v>Queen Cozinha</v>
      </c>
      <c r="D1204" s="24">
        <v>45213.0</v>
      </c>
      <c r="E1204" s="6">
        <f>IFERROR(__xludf.DUMMYFUNCTION("COUNTUNIQUEIFS($A$2:$A1204,$B$2:$B1204,B1204)"),6.0)</f>
        <v>6</v>
      </c>
      <c r="F1204" s="6">
        <f t="shared" si="1"/>
        <v>39</v>
      </c>
      <c r="G1204" s="6" t="str">
        <f>IF(MINIFS(dynamic[orderDate], dynamic[customerID], B1204) &gt;= DATE(2024,4,30)-120, 
     "New", 
     IF(MAXIFS(dynamic[orderCount], dynamic[customerID], B1204)&lt;=2, 
        IF((DATE(2024,4,30) - MAXIFS(dynamic[orderDate], dynamic[customerID], B1204)) &gt; 180, "Non-Returning", "Dormant"), 
        IF(AND(MAX(dynamic[sinceLastOrder]) &gt; 365, (DATE(2024,4,30) - MAXIFS(dynamic[orderDate], dynamic[customerID], B1204)) &gt; 180), 
           "Dormant", "Regular")))</f>
        <v>Regular</v>
      </c>
      <c r="H1204" s="6">
        <v>24.0</v>
      </c>
      <c r="I1204" s="9" t="str">
        <f>VLOOKUP(dynamic[productID],products[],2,FALSE)</f>
        <v>Brigadeiros Maravilhosos da Lilian</v>
      </c>
      <c r="J1204" s="9" t="str">
        <f>VLOOKUP(dynamic[productID],products[],12,FALSE)</f>
        <v>Confections</v>
      </c>
      <c r="K1204" s="7" t="str">
        <f>IF(VLOOKUP(dynamic[productID],products[],7,FALSE)=1,"Discontinued","Current")</f>
        <v>Discontinued</v>
      </c>
      <c r="L1204" s="9">
        <f>VLOOKUP(dynamic[productID],products[],IF(YEAR(dynamic[orderDate])=2022,8,IF(YEAR(dynamic[orderDate])=2023,9,IF(YEAR(dynamic[orderDate])=2024,10,NA))),FALSE)</f>
        <v>3.131783363</v>
      </c>
      <c r="M1204" s="9">
        <v>4.5</v>
      </c>
      <c r="N1204" s="25">
        <f>(dynamic[orderPrice]-dynamic[productCost])/dynamic[productCost]</f>
        <v>0.4368809967</v>
      </c>
      <c r="O1204" s="10">
        <v>35.0</v>
      </c>
      <c r="P1204" s="25">
        <v>0.0</v>
      </c>
      <c r="Q1204" s="9">
        <f>dynamic[orderPrice]*dynamic[orderQuantity]</f>
        <v>157.5</v>
      </c>
      <c r="R1204" s="9">
        <f>dynamic[orderTotal]*(1-dynamic[discountApllied])</f>
        <v>157.5</v>
      </c>
      <c r="S1204" s="9">
        <f>dynamic[revenue]-(dynamic[productCost]*dynamic[orderQuantity])</f>
        <v>47.8875823</v>
      </c>
      <c r="T1204" s="25">
        <f>IFERROR(dynamic[profit]/dynamic[revenue], 0)</f>
        <v>0.3040481416</v>
      </c>
    </row>
    <row r="1205" ht="15.75" customHeight="1">
      <c r="A1205" s="6">
        <v>10704.0</v>
      </c>
      <c r="B1205" s="7" t="s">
        <v>77</v>
      </c>
      <c r="C1205" s="24" t="str">
        <f>VLOOKUP(dynamic[customerID],customers[],2,FALSE)</f>
        <v>Queen Cozinha</v>
      </c>
      <c r="D1205" s="24">
        <v>45213.0</v>
      </c>
      <c r="E1205" s="6">
        <f>IFERROR(__xludf.DUMMYFUNCTION("COUNTUNIQUEIFS($A$2:$A1205,$B$2:$B1205,B1205)"),6.0)</f>
        <v>6</v>
      </c>
      <c r="F1205" s="6">
        <f t="shared" si="1"/>
        <v>39</v>
      </c>
      <c r="G1205" s="6" t="str">
        <f>IF(MINIFS(dynamic[orderDate], dynamic[customerID], B1205) &gt;= DATE(2024,4,30)-120, 
     "New", 
     IF(MAXIFS(dynamic[orderCount], dynamic[customerID], B1205)&lt;=2, 
        IF((DATE(2024,4,30) - MAXIFS(dynamic[orderDate], dynamic[customerID], B1205)) &gt; 180, "Non-Returning", "Dormant"), 
        IF(AND(MAX(dynamic[sinceLastOrder]) &gt; 365, (DATE(2024,4,30) - MAXIFS(dynamic[orderDate], dynamic[customerID], B1205)) &gt; 180), 
           "Dormant", "Regular")))</f>
        <v>Regular</v>
      </c>
      <c r="H1205" s="6">
        <v>48.0</v>
      </c>
      <c r="I1205" s="9" t="str">
        <f>VLOOKUP(dynamic[productID],products[],2,FALSE)</f>
        <v>Chocolade</v>
      </c>
      <c r="J1205" s="9" t="str">
        <f>VLOOKUP(dynamic[productID],products[],12,FALSE)</f>
        <v>Confections</v>
      </c>
      <c r="K1205" s="7" t="str">
        <f>IF(VLOOKUP(dynamic[productID],products[],7,FALSE)=1,"Discontinued","Current")</f>
        <v>Current</v>
      </c>
      <c r="L1205" s="9">
        <f>VLOOKUP(dynamic[productID],products[],IF(YEAR(dynamic[orderDate])=2022,8,IF(YEAR(dynamic[orderDate])=2023,9,IF(YEAR(dynamic[orderDate])=2024,10,NA))),FALSE)</f>
        <v>8.079671685</v>
      </c>
      <c r="M1205" s="9">
        <v>12.75</v>
      </c>
      <c r="N1205" s="25">
        <f>(dynamic[orderPrice]-dynamic[productCost])/dynamic[productCost]</f>
        <v>0.5780344174</v>
      </c>
      <c r="O1205" s="10">
        <v>24.0</v>
      </c>
      <c r="P1205" s="25">
        <v>0.0</v>
      </c>
      <c r="Q1205" s="9">
        <f>dynamic[orderPrice]*dynamic[orderQuantity]</f>
        <v>306</v>
      </c>
      <c r="R1205" s="9">
        <f>dynamic[orderTotal]*(1-dynamic[discountApllied])</f>
        <v>306</v>
      </c>
      <c r="S1205" s="9">
        <f>dynamic[revenue]-(dynamic[productCost]*dynamic[orderQuantity])</f>
        <v>112.0878796</v>
      </c>
      <c r="T1205" s="25">
        <f>IFERROR(dynamic[profit]/dynamic[revenue], 0)</f>
        <v>0.36630026</v>
      </c>
    </row>
    <row r="1206" ht="15.75" customHeight="1">
      <c r="A1206" s="6">
        <v>10705.0</v>
      </c>
      <c r="B1206" s="7" t="s">
        <v>23</v>
      </c>
      <c r="C1206" s="24" t="str">
        <f>VLOOKUP(dynamic[customerID],customers[],2,FALSE)</f>
        <v>HILARION-Abastos</v>
      </c>
      <c r="D1206" s="24">
        <v>45214.0</v>
      </c>
      <c r="E1206" s="6">
        <f>IFERROR(__xludf.DUMMYFUNCTION("COUNTUNIQUEIFS($A$2:$A1206,$B$2:$B1206,B1206)"),11.0)</f>
        <v>11</v>
      </c>
      <c r="F1206" s="6">
        <f t="shared" si="1"/>
        <v>54</v>
      </c>
      <c r="G1206" s="6" t="str">
        <f>IF(MINIFS(dynamic[orderDate], dynamic[customerID], B1206) &gt;= DATE(2024,4,30)-120, 
     "New", 
     IF(MAXIFS(dynamic[orderCount], dynamic[customerID], B1206)&lt;=2, 
        IF((DATE(2024,4,30) - MAXIFS(dynamic[orderDate], dynamic[customerID], B1206)) &gt; 180, "Non-Returning", "Dormant"), 
        IF(AND(MAX(dynamic[sinceLastOrder]) &gt; 365, (DATE(2024,4,30) - MAXIFS(dynamic[orderDate], dynamic[customerID], B1206)) &gt; 180), 
           "Dormant", "Regular")))</f>
        <v>Regular</v>
      </c>
      <c r="H1206" s="6">
        <v>31.0</v>
      </c>
      <c r="I1206" s="9" t="str">
        <f>VLOOKUP(dynamic[productID],products[],2,FALSE)</f>
        <v>Gorgonzola Telino</v>
      </c>
      <c r="J1206" s="9" t="str">
        <f>VLOOKUP(dynamic[productID],products[],12,FALSE)</f>
        <v>Dairy Products</v>
      </c>
      <c r="K1206" s="7" t="str">
        <f>IF(VLOOKUP(dynamic[productID],products[],7,FALSE)=1,"Discontinued","Current")</f>
        <v>Current</v>
      </c>
      <c r="L1206" s="9">
        <f>VLOOKUP(dynamic[productID],products[],IF(YEAR(dynamic[orderDate])=2022,8,IF(YEAR(dynamic[orderDate])=2023,9,IF(YEAR(dynamic[orderDate])=2024,10,NA))),FALSE)</f>
        <v>7.937729254</v>
      </c>
      <c r="M1206" s="9">
        <v>12.5</v>
      </c>
      <c r="N1206" s="25">
        <f>(dynamic[orderPrice]-dynamic[productCost])/dynamic[productCost]</f>
        <v>0.5747576668</v>
      </c>
      <c r="O1206" s="10">
        <v>20.0</v>
      </c>
      <c r="P1206" s="25">
        <v>0.0</v>
      </c>
      <c r="Q1206" s="9">
        <f>dynamic[orderPrice]*dynamic[orderQuantity]</f>
        <v>250</v>
      </c>
      <c r="R1206" s="9">
        <f>dynamic[orderTotal]*(1-dynamic[discountApllied])</f>
        <v>250</v>
      </c>
      <c r="S1206" s="9">
        <f>dynamic[revenue]-(dynamic[productCost]*dynamic[orderQuantity])</f>
        <v>91.24541492</v>
      </c>
      <c r="T1206" s="25">
        <f>IFERROR(dynamic[profit]/dynamic[revenue], 0)</f>
        <v>0.3649816597</v>
      </c>
    </row>
    <row r="1207" ht="15.75" customHeight="1">
      <c r="A1207" s="6">
        <v>10705.0</v>
      </c>
      <c r="B1207" s="7" t="s">
        <v>23</v>
      </c>
      <c r="C1207" s="24" t="str">
        <f>VLOOKUP(dynamic[customerID],customers[],2,FALSE)</f>
        <v>HILARION-Abastos</v>
      </c>
      <c r="D1207" s="24">
        <v>45214.0</v>
      </c>
      <c r="E1207" s="6">
        <f>IFERROR(__xludf.DUMMYFUNCTION("COUNTUNIQUEIFS($A$2:$A1207,$B$2:$B1207,B1207)"),11.0)</f>
        <v>11</v>
      </c>
      <c r="F1207" s="6">
        <f t="shared" si="1"/>
        <v>54</v>
      </c>
      <c r="G1207" s="6" t="str">
        <f>IF(MINIFS(dynamic[orderDate], dynamic[customerID], B1207) &gt;= DATE(2024,4,30)-120, 
     "New", 
     IF(MAXIFS(dynamic[orderCount], dynamic[customerID], B1207)&lt;=2, 
        IF((DATE(2024,4,30) - MAXIFS(dynamic[orderDate], dynamic[customerID], B1207)) &gt; 180, "Non-Returning", "Dormant"), 
        IF(AND(MAX(dynamic[sinceLastOrder]) &gt; 365, (DATE(2024,4,30) - MAXIFS(dynamic[orderDate], dynamic[customerID], B1207)) &gt; 180), 
           "Dormant", "Regular")))</f>
        <v>Regular</v>
      </c>
      <c r="H1207" s="6">
        <v>32.0</v>
      </c>
      <c r="I1207" s="9" t="str">
        <f>VLOOKUP(dynamic[productID],products[],2,FALSE)</f>
        <v>Mascarpone Fabioli</v>
      </c>
      <c r="J1207" s="9" t="str">
        <f>VLOOKUP(dynamic[productID],products[],12,FALSE)</f>
        <v>Dairy Products</v>
      </c>
      <c r="K1207" s="7" t="str">
        <f>IF(VLOOKUP(dynamic[productID],products[],7,FALSE)=1,"Discontinued","Current")</f>
        <v>Current</v>
      </c>
      <c r="L1207" s="9">
        <f>VLOOKUP(dynamic[productID],products[],IF(YEAR(dynamic[orderDate])=2022,8,IF(YEAR(dynamic[orderDate])=2023,9,IF(YEAR(dynamic[orderDate])=2024,10,NA))),FALSE)</f>
        <v>21.58120628</v>
      </c>
      <c r="M1207" s="9">
        <v>32.0</v>
      </c>
      <c r="N1207" s="25">
        <f>(dynamic[orderPrice]-dynamic[productCost])/dynamic[productCost]</f>
        <v>0.4827716106</v>
      </c>
      <c r="O1207" s="10">
        <v>4.0</v>
      </c>
      <c r="P1207" s="25">
        <v>0.0</v>
      </c>
      <c r="Q1207" s="9">
        <f>dynamic[orderPrice]*dynamic[orderQuantity]</f>
        <v>128</v>
      </c>
      <c r="R1207" s="9">
        <f>dynamic[orderTotal]*(1-dynamic[discountApllied])</f>
        <v>128</v>
      </c>
      <c r="S1207" s="9">
        <f>dynamic[revenue]-(dynamic[productCost]*dynamic[orderQuantity])</f>
        <v>41.67517487</v>
      </c>
      <c r="T1207" s="25">
        <f>IFERROR(dynamic[profit]/dynamic[revenue], 0)</f>
        <v>0.3255873036</v>
      </c>
    </row>
    <row r="1208" ht="15.75" customHeight="1">
      <c r="A1208" s="6">
        <v>10706.0</v>
      </c>
      <c r="B1208" s="7" t="s">
        <v>52</v>
      </c>
      <c r="C1208" s="24" t="str">
        <f>VLOOKUP(dynamic[customerID],customers[],2,FALSE)</f>
        <v>Old World Delicatessen</v>
      </c>
      <c r="D1208" s="24">
        <v>45215.0</v>
      </c>
      <c r="E1208" s="6">
        <f>IFERROR(__xludf.DUMMYFUNCTION("COUNTUNIQUEIFS($A$2:$A1208,$B$2:$B1208,B1208)"),6.0)</f>
        <v>6</v>
      </c>
      <c r="F1208" s="6">
        <f t="shared" si="1"/>
        <v>22</v>
      </c>
      <c r="G1208" s="6" t="str">
        <f>IF(MINIFS(dynamic[orderDate], dynamic[customerID], B1208) &gt;= DATE(2024,4,30)-120, 
     "New", 
     IF(MAXIFS(dynamic[orderCount], dynamic[customerID], B1208)&lt;=2, 
        IF((DATE(2024,4,30) - MAXIFS(dynamic[orderDate], dynamic[customerID], B1208)) &gt; 180, "Non-Returning", "Dormant"), 
        IF(AND(MAX(dynamic[sinceLastOrder]) &gt; 365, (DATE(2024,4,30) - MAXIFS(dynamic[orderDate], dynamic[customerID], B1208)) &gt; 180), 
           "Dormant", "Regular")))</f>
        <v>Regular</v>
      </c>
      <c r="H1208" s="6">
        <v>16.0</v>
      </c>
      <c r="I1208" s="9" t="str">
        <f>VLOOKUP(dynamic[productID],products[],2,FALSE)</f>
        <v>Pavlova</v>
      </c>
      <c r="J1208" s="9" t="str">
        <f>VLOOKUP(dynamic[productID],products[],12,FALSE)</f>
        <v>Confections</v>
      </c>
      <c r="K1208" s="7" t="str">
        <f>IF(VLOOKUP(dynamic[productID],products[],7,FALSE)=1,"Discontinued","Current")</f>
        <v>Current</v>
      </c>
      <c r="L1208" s="9">
        <f>VLOOKUP(dynamic[productID],products[],IF(YEAR(dynamic[orderDate])=2022,8,IF(YEAR(dynamic[orderDate])=2023,9,IF(YEAR(dynamic[orderDate])=2024,10,NA))),FALSE)</f>
        <v>11.98504839</v>
      </c>
      <c r="M1208" s="9">
        <v>17.45</v>
      </c>
      <c r="N1208" s="25">
        <f>(dynamic[orderPrice]-dynamic[productCost])/dynamic[productCost]</f>
        <v>0.455980771</v>
      </c>
      <c r="O1208" s="10">
        <v>20.0</v>
      </c>
      <c r="P1208" s="25">
        <v>0.0</v>
      </c>
      <c r="Q1208" s="9">
        <f>dynamic[orderPrice]*dynamic[orderQuantity]</f>
        <v>349</v>
      </c>
      <c r="R1208" s="9">
        <f>dynamic[orderTotal]*(1-dynamic[discountApllied])</f>
        <v>349</v>
      </c>
      <c r="S1208" s="9">
        <f>dynamic[revenue]-(dynamic[productCost]*dynamic[orderQuantity])</f>
        <v>109.2990321</v>
      </c>
      <c r="T1208" s="25">
        <f>IFERROR(dynamic[profit]/dynamic[revenue], 0)</f>
        <v>0.3131777425</v>
      </c>
    </row>
    <row r="1209" ht="15.75" customHeight="1">
      <c r="A1209" s="6">
        <v>10706.0</v>
      </c>
      <c r="B1209" s="7" t="s">
        <v>52</v>
      </c>
      <c r="C1209" s="24" t="str">
        <f>VLOOKUP(dynamic[customerID],customers[],2,FALSE)</f>
        <v>Old World Delicatessen</v>
      </c>
      <c r="D1209" s="24">
        <v>45215.0</v>
      </c>
      <c r="E1209" s="6">
        <f>IFERROR(__xludf.DUMMYFUNCTION("COUNTUNIQUEIFS($A$2:$A1209,$B$2:$B1209,B1209)"),6.0)</f>
        <v>6</v>
      </c>
      <c r="F1209" s="6">
        <f t="shared" si="1"/>
        <v>22</v>
      </c>
      <c r="G1209" s="6" t="str">
        <f>IF(MINIFS(dynamic[orderDate], dynamic[customerID], B1209) &gt;= DATE(2024,4,30)-120, 
     "New", 
     IF(MAXIFS(dynamic[orderCount], dynamic[customerID], B1209)&lt;=2, 
        IF((DATE(2024,4,30) - MAXIFS(dynamic[orderDate], dynamic[customerID], B1209)) &gt; 180, "Non-Returning", "Dormant"), 
        IF(AND(MAX(dynamic[sinceLastOrder]) &gt; 365, (DATE(2024,4,30) - MAXIFS(dynamic[orderDate], dynamic[customerID], B1209)) &gt; 180), 
           "Dormant", "Regular")))</f>
        <v>Regular</v>
      </c>
      <c r="H1209" s="6">
        <v>43.0</v>
      </c>
      <c r="I1209" s="9" t="str">
        <f>VLOOKUP(dynamic[productID],products[],2,FALSE)</f>
        <v>Ipoh Coffee</v>
      </c>
      <c r="J1209" s="9" t="str">
        <f>VLOOKUP(dynamic[productID],products[],12,FALSE)</f>
        <v>Beverages</v>
      </c>
      <c r="K1209" s="7" t="str">
        <f>IF(VLOOKUP(dynamic[productID],products[],7,FALSE)=1,"Discontinued","Current")</f>
        <v>Current</v>
      </c>
      <c r="L1209" s="9">
        <f>VLOOKUP(dynamic[productID],products[],IF(YEAR(dynamic[orderDate])=2022,8,IF(YEAR(dynamic[orderDate])=2023,9,IF(YEAR(dynamic[orderDate])=2024,10,NA))),FALSE)</f>
        <v>30.96256564</v>
      </c>
      <c r="M1209" s="9">
        <v>46.0</v>
      </c>
      <c r="N1209" s="25">
        <f>(dynamic[orderPrice]-dynamic[productCost])/dynamic[productCost]</f>
        <v>0.4856649976</v>
      </c>
      <c r="O1209" s="10">
        <v>24.0</v>
      </c>
      <c r="P1209" s="25">
        <v>0.0</v>
      </c>
      <c r="Q1209" s="9">
        <f>dynamic[orderPrice]*dynamic[orderQuantity]</f>
        <v>1104</v>
      </c>
      <c r="R1209" s="9">
        <f>dynamic[orderTotal]*(1-dynamic[discountApllied])</f>
        <v>1104</v>
      </c>
      <c r="S1209" s="9">
        <f>dynamic[revenue]-(dynamic[productCost]*dynamic[orderQuantity])</f>
        <v>360.8984248</v>
      </c>
      <c r="T1209" s="25">
        <f>IFERROR(dynamic[profit]/dynamic[revenue], 0)</f>
        <v>0.3269007471</v>
      </c>
    </row>
    <row r="1210" ht="15.75" customHeight="1">
      <c r="A1210" s="6">
        <v>10706.0</v>
      </c>
      <c r="B1210" s="7" t="s">
        <v>52</v>
      </c>
      <c r="C1210" s="24" t="str">
        <f>VLOOKUP(dynamic[customerID],customers[],2,FALSE)</f>
        <v>Old World Delicatessen</v>
      </c>
      <c r="D1210" s="24">
        <v>45215.0</v>
      </c>
      <c r="E1210" s="6">
        <f>IFERROR(__xludf.DUMMYFUNCTION("COUNTUNIQUEIFS($A$2:$A1210,$B$2:$B1210,B1210)"),6.0)</f>
        <v>6</v>
      </c>
      <c r="F1210" s="6">
        <f t="shared" si="1"/>
        <v>22</v>
      </c>
      <c r="G1210" s="6" t="str">
        <f>IF(MINIFS(dynamic[orderDate], dynamic[customerID], B1210) &gt;= DATE(2024,4,30)-120, 
     "New", 
     IF(MAXIFS(dynamic[orderCount], dynamic[customerID], B1210)&lt;=2, 
        IF((DATE(2024,4,30) - MAXIFS(dynamic[orderDate], dynamic[customerID], B1210)) &gt; 180, "Non-Returning", "Dormant"), 
        IF(AND(MAX(dynamic[sinceLastOrder]) &gt; 365, (DATE(2024,4,30) - MAXIFS(dynamic[orderDate], dynamic[customerID], B1210)) &gt; 180), 
           "Dormant", "Regular")))</f>
        <v>Regular</v>
      </c>
      <c r="H1210" s="6">
        <v>59.0</v>
      </c>
      <c r="I1210" s="9" t="str">
        <f>VLOOKUP(dynamic[productID],products[],2,FALSE)</f>
        <v>Raclette Courdavault</v>
      </c>
      <c r="J1210" s="9" t="str">
        <f>VLOOKUP(dynamic[productID],products[],12,FALSE)</f>
        <v>Dairy Products</v>
      </c>
      <c r="K1210" s="7" t="str">
        <f>IF(VLOOKUP(dynamic[productID],products[],7,FALSE)=1,"Discontinued","Current")</f>
        <v>Current</v>
      </c>
      <c r="L1210" s="9">
        <f>VLOOKUP(dynamic[productID],products[],IF(YEAR(dynamic[orderDate])=2022,8,IF(YEAR(dynamic[orderDate])=2023,9,IF(YEAR(dynamic[orderDate])=2024,10,NA))),FALSE)</f>
        <v>35.20472566</v>
      </c>
      <c r="M1210" s="9">
        <v>55.0</v>
      </c>
      <c r="N1210" s="25">
        <f>(dynamic[orderPrice]-dynamic[productCost])/dynamic[productCost]</f>
        <v>0.5622902598</v>
      </c>
      <c r="O1210" s="10">
        <v>8.0</v>
      </c>
      <c r="P1210" s="25">
        <v>0.0</v>
      </c>
      <c r="Q1210" s="9">
        <f>dynamic[orderPrice]*dynamic[orderQuantity]</f>
        <v>440</v>
      </c>
      <c r="R1210" s="9">
        <f>dynamic[orderTotal]*(1-dynamic[discountApllied])</f>
        <v>440</v>
      </c>
      <c r="S1210" s="9">
        <f>dynamic[revenue]-(dynamic[productCost]*dynamic[orderQuantity])</f>
        <v>158.3621947</v>
      </c>
      <c r="T1210" s="25">
        <f>IFERROR(dynamic[profit]/dynamic[revenue], 0)</f>
        <v>0.3599140789</v>
      </c>
    </row>
    <row r="1211" ht="15.75" customHeight="1">
      <c r="A1211" s="6">
        <v>10707.0</v>
      </c>
      <c r="B1211" s="7" t="s">
        <v>70</v>
      </c>
      <c r="C1211" s="24" t="str">
        <f>VLOOKUP(dynamic[customerID],customers[],2,FALSE)</f>
        <v>Around the Horn</v>
      </c>
      <c r="D1211" s="24">
        <v>45215.0</v>
      </c>
      <c r="E1211" s="6">
        <f>IFERROR(__xludf.DUMMYFUNCTION("COUNTUNIQUEIFS($A$2:$A1211,$B$2:$B1211,B1211)"),5.0)</f>
        <v>5</v>
      </c>
      <c r="F1211" s="6">
        <f t="shared" si="1"/>
        <v>134</v>
      </c>
      <c r="G1211" s="6" t="str">
        <f>IF(MINIFS(dynamic[orderDate], dynamic[customerID], B1211) &gt;= DATE(2024,4,30)-120, 
     "New", 
     IF(MAXIFS(dynamic[orderCount], dynamic[customerID], B1211)&lt;=2, 
        IF((DATE(2024,4,30) - MAXIFS(dynamic[orderDate], dynamic[customerID], B1211)) &gt; 180, "Non-Returning", "Dormant"), 
        IF(AND(MAX(dynamic[sinceLastOrder]) &gt; 365, (DATE(2024,4,30) - MAXIFS(dynamic[orderDate], dynamic[customerID], B1211)) &gt; 180), 
           "Dormant", "Regular")))</f>
        <v>Regular</v>
      </c>
      <c r="H1211" s="6">
        <v>55.0</v>
      </c>
      <c r="I1211" s="9" t="str">
        <f>VLOOKUP(dynamic[productID],products[],2,FALSE)</f>
        <v>Pâté chinois</v>
      </c>
      <c r="J1211" s="9" t="str">
        <f>VLOOKUP(dynamic[productID],products[],12,FALSE)</f>
        <v>Meat/Poultry</v>
      </c>
      <c r="K1211" s="7" t="str">
        <f>IF(VLOOKUP(dynamic[productID],products[],7,FALSE)=1,"Discontinued","Current")</f>
        <v>Current</v>
      </c>
      <c r="L1211" s="9">
        <f>VLOOKUP(dynamic[productID],products[],IF(YEAR(dynamic[orderDate])=2022,8,IF(YEAR(dynamic[orderDate])=2023,9,IF(YEAR(dynamic[orderDate])=2024,10,NA))),FALSE)</f>
        <v>14.92398776</v>
      </c>
      <c r="M1211" s="9">
        <v>24.0</v>
      </c>
      <c r="N1211" s="25">
        <f>(dynamic[orderPrice]-dynamic[productCost])/dynamic[productCost]</f>
        <v>0.6081492681</v>
      </c>
      <c r="O1211" s="10">
        <v>21.0</v>
      </c>
      <c r="P1211" s="25">
        <v>0.0</v>
      </c>
      <c r="Q1211" s="9">
        <f>dynamic[orderPrice]*dynamic[orderQuantity]</f>
        <v>504</v>
      </c>
      <c r="R1211" s="9">
        <f>dynamic[orderTotal]*(1-dynamic[discountApllied])</f>
        <v>504</v>
      </c>
      <c r="S1211" s="9">
        <f>dynamic[revenue]-(dynamic[productCost]*dynamic[orderQuantity])</f>
        <v>190.596257</v>
      </c>
      <c r="T1211" s="25">
        <f>IFERROR(dynamic[profit]/dynamic[revenue], 0)</f>
        <v>0.3781671765</v>
      </c>
    </row>
    <row r="1212" ht="15.75" customHeight="1">
      <c r="A1212" s="6">
        <v>10707.0</v>
      </c>
      <c r="B1212" s="7" t="s">
        <v>70</v>
      </c>
      <c r="C1212" s="24" t="str">
        <f>VLOOKUP(dynamic[customerID],customers[],2,FALSE)</f>
        <v>Around the Horn</v>
      </c>
      <c r="D1212" s="24">
        <v>45215.0</v>
      </c>
      <c r="E1212" s="6">
        <f>IFERROR(__xludf.DUMMYFUNCTION("COUNTUNIQUEIFS($A$2:$A1212,$B$2:$B1212,B1212)"),5.0)</f>
        <v>5</v>
      </c>
      <c r="F1212" s="6">
        <f t="shared" si="1"/>
        <v>134</v>
      </c>
      <c r="G1212" s="6" t="str">
        <f>IF(MINIFS(dynamic[orderDate], dynamic[customerID], B1212) &gt;= DATE(2024,4,30)-120, 
     "New", 
     IF(MAXIFS(dynamic[orderCount], dynamic[customerID], B1212)&lt;=2, 
        IF((DATE(2024,4,30) - MAXIFS(dynamic[orderDate], dynamic[customerID], B1212)) &gt; 180, "Non-Returning", "Dormant"), 
        IF(AND(MAX(dynamic[sinceLastOrder]) &gt; 365, (DATE(2024,4,30) - MAXIFS(dynamic[orderDate], dynamic[customerID], B1212)) &gt; 180), 
           "Dormant", "Regular")))</f>
        <v>Regular</v>
      </c>
      <c r="H1212" s="6">
        <v>57.0</v>
      </c>
      <c r="I1212" s="9" t="str">
        <f>VLOOKUP(dynamic[productID],products[],2,FALSE)</f>
        <v>Ravioli Angelo</v>
      </c>
      <c r="J1212" s="9" t="str">
        <f>VLOOKUP(dynamic[productID],products[],12,FALSE)</f>
        <v>Grains/Cereals</v>
      </c>
      <c r="K1212" s="7" t="str">
        <f>IF(VLOOKUP(dynamic[productID],products[],7,FALSE)=1,"Discontinued","Current")</f>
        <v>Current</v>
      </c>
      <c r="L1212" s="9">
        <f>VLOOKUP(dynamic[productID],products[],IF(YEAR(dynamic[orderDate])=2022,8,IF(YEAR(dynamic[orderDate])=2023,9,IF(YEAR(dynamic[orderDate])=2024,10,NA))),FALSE)</f>
        <v>13.01870901</v>
      </c>
      <c r="M1212" s="9">
        <v>19.5</v>
      </c>
      <c r="N1212" s="25">
        <f>(dynamic[orderPrice]-dynamic[productCost])/dynamic[productCost]</f>
        <v>0.4978443707</v>
      </c>
      <c r="O1212" s="10">
        <v>40.0</v>
      </c>
      <c r="P1212" s="25">
        <v>0.0</v>
      </c>
      <c r="Q1212" s="9">
        <f>dynamic[orderPrice]*dynamic[orderQuantity]</f>
        <v>780</v>
      </c>
      <c r="R1212" s="9">
        <f>dynamic[orderTotal]*(1-dynamic[discountApllied])</f>
        <v>780</v>
      </c>
      <c r="S1212" s="9">
        <f>dynamic[revenue]-(dynamic[productCost]*dynamic[orderQuantity])</f>
        <v>259.2516397</v>
      </c>
      <c r="T1212" s="25">
        <f>IFERROR(dynamic[profit]/dynamic[revenue], 0)</f>
        <v>0.3323738971</v>
      </c>
    </row>
    <row r="1213" ht="15.75" customHeight="1">
      <c r="A1213" s="6">
        <v>10707.0</v>
      </c>
      <c r="B1213" s="7" t="s">
        <v>70</v>
      </c>
      <c r="C1213" s="24" t="str">
        <f>VLOOKUP(dynamic[customerID],customers[],2,FALSE)</f>
        <v>Around the Horn</v>
      </c>
      <c r="D1213" s="24">
        <v>45215.0</v>
      </c>
      <c r="E1213" s="6">
        <f>IFERROR(__xludf.DUMMYFUNCTION("COUNTUNIQUEIFS($A$2:$A1213,$B$2:$B1213,B1213)"),5.0)</f>
        <v>5</v>
      </c>
      <c r="F1213" s="6">
        <f t="shared" si="1"/>
        <v>134</v>
      </c>
      <c r="G1213" s="6" t="str">
        <f>IF(MINIFS(dynamic[orderDate], dynamic[customerID], B1213) &gt;= DATE(2024,4,30)-120, 
     "New", 
     IF(MAXIFS(dynamic[orderCount], dynamic[customerID], B1213)&lt;=2, 
        IF((DATE(2024,4,30) - MAXIFS(dynamic[orderDate], dynamic[customerID], B1213)) &gt; 180, "Non-Returning", "Dormant"), 
        IF(AND(MAX(dynamic[sinceLastOrder]) &gt; 365, (DATE(2024,4,30) - MAXIFS(dynamic[orderDate], dynamic[customerID], B1213)) &gt; 180), 
           "Dormant", "Regular")))</f>
        <v>Regular</v>
      </c>
      <c r="H1213" s="6">
        <v>70.0</v>
      </c>
      <c r="I1213" s="9" t="str">
        <f>VLOOKUP(dynamic[productID],products[],2,FALSE)</f>
        <v>Outback Lager</v>
      </c>
      <c r="J1213" s="9" t="str">
        <f>VLOOKUP(dynamic[productID],products[],12,FALSE)</f>
        <v>Beverages</v>
      </c>
      <c r="K1213" s="7" t="str">
        <f>IF(VLOOKUP(dynamic[productID],products[],7,FALSE)=1,"Discontinued","Current")</f>
        <v>Current</v>
      </c>
      <c r="L1213" s="9">
        <f>VLOOKUP(dynamic[productID],products[],IF(YEAR(dynamic[orderDate])=2022,8,IF(YEAR(dynamic[orderDate])=2023,9,IF(YEAR(dynamic[orderDate])=2024,10,NA))),FALSE)</f>
        <v>9.793094091</v>
      </c>
      <c r="M1213" s="9">
        <v>15.0</v>
      </c>
      <c r="N1213" s="25">
        <f>(dynamic[orderPrice]-dynamic[productCost])/dynamic[productCost]</f>
        <v>0.5316916044</v>
      </c>
      <c r="O1213" s="10">
        <v>28.0</v>
      </c>
      <c r="P1213" s="25">
        <v>0.15</v>
      </c>
      <c r="Q1213" s="9">
        <f>dynamic[orderPrice]*dynamic[orderQuantity]</f>
        <v>420</v>
      </c>
      <c r="R1213" s="9">
        <f>dynamic[orderTotal]*(1-dynamic[discountApllied])</f>
        <v>357</v>
      </c>
      <c r="S1213" s="9">
        <f>dynamic[revenue]-(dynamic[productCost]*dynamic[orderQuantity])</f>
        <v>82.79336545</v>
      </c>
      <c r="T1213" s="25">
        <f>IFERROR(dynamic[profit]/dynamic[revenue], 0)</f>
        <v>0.2319141889</v>
      </c>
    </row>
    <row r="1214" ht="15.75" customHeight="1">
      <c r="A1214" s="6">
        <v>10708.0</v>
      </c>
      <c r="B1214" s="7" t="s">
        <v>55</v>
      </c>
      <c r="C1214" s="24" t="str">
        <f>VLOOKUP(dynamic[customerID],customers[],2,FALSE)</f>
        <v>The Big Cheese</v>
      </c>
      <c r="D1214" s="24">
        <v>45216.0</v>
      </c>
      <c r="E1214" s="6">
        <f>IFERROR(__xludf.DUMMYFUNCTION("COUNTUNIQUEIFS($A$2:$A1214,$B$2:$B1214,B1214)"),2.0)</f>
        <v>2</v>
      </c>
      <c r="F1214" s="6">
        <f t="shared" si="1"/>
        <v>392</v>
      </c>
      <c r="G1214" s="6" t="str">
        <f>IF(MINIFS(dynamic[orderDate], dynamic[customerID], B1214) &gt;= DATE(2024,4,30)-120, 
     "New", 
     IF(MAXIFS(dynamic[orderCount], dynamic[customerID], B1214)&lt;=2, 
        IF((DATE(2024,4,30) - MAXIFS(dynamic[orderDate], dynamic[customerID], B1214)) &gt; 180, "Non-Returning", "Dormant"), 
        IF(AND(MAX(dynamic[sinceLastOrder]) &gt; 365, (DATE(2024,4,30) - MAXIFS(dynamic[orderDate], dynamic[customerID], B1214)) &gt; 180), 
           "Dormant", "Regular")))</f>
        <v>Regular</v>
      </c>
      <c r="H1214" s="6">
        <v>5.0</v>
      </c>
      <c r="I1214" s="9" t="str">
        <f>VLOOKUP(dynamic[productID],products[],2,FALSE)</f>
        <v>Chef Anton's Gumbo Mix</v>
      </c>
      <c r="J1214" s="9" t="str">
        <f>VLOOKUP(dynamic[productID],products[],12,FALSE)</f>
        <v>Condiments</v>
      </c>
      <c r="K1214" s="7" t="str">
        <f>IF(VLOOKUP(dynamic[productID],products[],7,FALSE)=1,"Discontinued","Current")</f>
        <v>Discontinued</v>
      </c>
      <c r="L1214" s="9">
        <f>VLOOKUP(dynamic[productID],products[],IF(YEAR(dynamic[orderDate])=2022,8,IF(YEAR(dynamic[orderDate])=2023,9,IF(YEAR(dynamic[orderDate])=2024,10,NA))),FALSE)</f>
        <v>14.65258256</v>
      </c>
      <c r="M1214" s="9">
        <v>21.35</v>
      </c>
      <c r="N1214" s="25">
        <f>(dynamic[orderPrice]-dynamic[productCost])/dynamic[productCost]</f>
        <v>0.4570810239</v>
      </c>
      <c r="O1214" s="10">
        <v>4.0</v>
      </c>
      <c r="P1214" s="25">
        <v>0.0</v>
      </c>
      <c r="Q1214" s="9">
        <f>dynamic[orderPrice]*dynamic[orderQuantity]</f>
        <v>85.4</v>
      </c>
      <c r="R1214" s="9">
        <f>dynamic[orderTotal]*(1-dynamic[discountApllied])</f>
        <v>85.4</v>
      </c>
      <c r="S1214" s="9">
        <f>dynamic[revenue]-(dynamic[productCost]*dynamic[orderQuantity])</f>
        <v>26.78966976</v>
      </c>
      <c r="T1214" s="25">
        <f>IFERROR(dynamic[profit]/dynamic[revenue], 0)</f>
        <v>0.3136963672</v>
      </c>
    </row>
    <row r="1215" ht="15.75" customHeight="1">
      <c r="A1215" s="6">
        <v>10708.0</v>
      </c>
      <c r="B1215" s="7" t="s">
        <v>55</v>
      </c>
      <c r="C1215" s="24" t="str">
        <f>VLOOKUP(dynamic[customerID],customers[],2,FALSE)</f>
        <v>The Big Cheese</v>
      </c>
      <c r="D1215" s="24">
        <v>45216.0</v>
      </c>
      <c r="E1215" s="6">
        <f>IFERROR(__xludf.DUMMYFUNCTION("COUNTUNIQUEIFS($A$2:$A1215,$B$2:$B1215,B1215)"),2.0)</f>
        <v>2</v>
      </c>
      <c r="F1215" s="6">
        <f t="shared" si="1"/>
        <v>392</v>
      </c>
      <c r="G1215" s="6" t="str">
        <f>IF(MINIFS(dynamic[orderDate], dynamic[customerID], B1215) &gt;= DATE(2024,4,30)-120, 
     "New", 
     IF(MAXIFS(dynamic[orderCount], dynamic[customerID], B1215)&lt;=2, 
        IF((DATE(2024,4,30) - MAXIFS(dynamic[orderDate], dynamic[customerID], B1215)) &gt; 180, "Non-Returning", "Dormant"), 
        IF(AND(MAX(dynamic[sinceLastOrder]) &gt; 365, (DATE(2024,4,30) - MAXIFS(dynamic[orderDate], dynamic[customerID], B1215)) &gt; 180), 
           "Dormant", "Regular")))</f>
        <v>Regular</v>
      </c>
      <c r="H1215" s="6">
        <v>36.0</v>
      </c>
      <c r="I1215" s="9" t="str">
        <f>VLOOKUP(dynamic[productID],products[],2,FALSE)</f>
        <v>Inlagd Sill</v>
      </c>
      <c r="J1215" s="9" t="str">
        <f>VLOOKUP(dynamic[productID],products[],12,FALSE)</f>
        <v>Seafood</v>
      </c>
      <c r="K1215" s="7" t="str">
        <f>IF(VLOOKUP(dynamic[productID],products[],7,FALSE)=1,"Discontinued","Current")</f>
        <v>Current</v>
      </c>
      <c r="L1215" s="9">
        <f>VLOOKUP(dynamic[productID],products[],IF(YEAR(dynamic[orderDate])=2022,8,IF(YEAR(dynamic[orderDate])=2023,9,IF(YEAR(dynamic[orderDate])=2024,10,NA))),FALSE)</f>
        <v>12.15246269</v>
      </c>
      <c r="M1215" s="9">
        <v>19.0</v>
      </c>
      <c r="N1215" s="25">
        <f>(dynamic[orderPrice]-dynamic[productCost])/dynamic[productCost]</f>
        <v>0.5634691082</v>
      </c>
      <c r="O1215" s="10">
        <v>5.0</v>
      </c>
      <c r="P1215" s="25">
        <v>0.0</v>
      </c>
      <c r="Q1215" s="9">
        <f>dynamic[orderPrice]*dynamic[orderQuantity]</f>
        <v>95</v>
      </c>
      <c r="R1215" s="9">
        <f>dynamic[orderTotal]*(1-dynamic[discountApllied])</f>
        <v>95</v>
      </c>
      <c r="S1215" s="9">
        <f>dynamic[revenue]-(dynamic[productCost]*dynamic[orderQuantity])</f>
        <v>34.23768657</v>
      </c>
      <c r="T1215" s="25">
        <f>IFERROR(dynamic[profit]/dynamic[revenue], 0)</f>
        <v>0.3603967007</v>
      </c>
    </row>
    <row r="1216" ht="15.75" customHeight="1">
      <c r="A1216" s="6">
        <v>10709.0</v>
      </c>
      <c r="B1216" s="7" t="s">
        <v>86</v>
      </c>
      <c r="C1216" s="24" t="str">
        <f>VLOOKUP(dynamic[customerID],customers[],2,FALSE)</f>
        <v>Gourmet Lanchonetes</v>
      </c>
      <c r="D1216" s="24">
        <v>45216.0</v>
      </c>
      <c r="E1216" s="6">
        <f>IFERROR(__xludf.DUMMYFUNCTION("COUNTUNIQUEIFS($A$2:$A1216,$B$2:$B1216,B1216)"),4.0)</f>
        <v>4</v>
      </c>
      <c r="F1216" s="6">
        <f t="shared" si="1"/>
        <v>18</v>
      </c>
      <c r="G1216" s="6" t="str">
        <f>IF(MINIFS(dynamic[orderDate], dynamic[customerID], B1216) &gt;= DATE(2024,4,30)-120, 
     "New", 
     IF(MAXIFS(dynamic[orderCount], dynamic[customerID], B1216)&lt;=2, 
        IF((DATE(2024,4,30) - MAXIFS(dynamic[orderDate], dynamic[customerID], B1216)) &gt; 180, "Non-Returning", "Dormant"), 
        IF(AND(MAX(dynamic[sinceLastOrder]) &gt; 365, (DATE(2024,4,30) - MAXIFS(dynamic[orderDate], dynamic[customerID], B1216)) &gt; 180), 
           "Dormant", "Regular")))</f>
        <v>Regular</v>
      </c>
      <c r="H1216" s="6">
        <v>8.0</v>
      </c>
      <c r="I1216" s="9" t="str">
        <f>VLOOKUP(dynamic[productID],products[],2,FALSE)</f>
        <v>Northwoods Cranberry Sauce</v>
      </c>
      <c r="J1216" s="9" t="str">
        <f>VLOOKUP(dynamic[productID],products[],12,FALSE)</f>
        <v>Condiments</v>
      </c>
      <c r="K1216" s="7" t="str">
        <f>IF(VLOOKUP(dynamic[productID],products[],7,FALSE)=1,"Discontinued","Current")</f>
        <v>Current</v>
      </c>
      <c r="L1216" s="9">
        <f>VLOOKUP(dynamic[productID],products[],IF(YEAR(dynamic[orderDate])=2022,8,IF(YEAR(dynamic[orderDate])=2023,9,IF(YEAR(dynamic[orderDate])=2024,10,NA))),FALSE)</f>
        <v>26.10620486</v>
      </c>
      <c r="M1216" s="9">
        <v>40.0</v>
      </c>
      <c r="N1216" s="25">
        <f>(dynamic[orderPrice]-dynamic[productCost])/dynamic[productCost]</f>
        <v>0.5322027928</v>
      </c>
      <c r="O1216" s="10">
        <v>40.0</v>
      </c>
      <c r="P1216" s="25">
        <v>0.0</v>
      </c>
      <c r="Q1216" s="9">
        <f>dynamic[orderPrice]*dynamic[orderQuantity]</f>
        <v>1600</v>
      </c>
      <c r="R1216" s="9">
        <f>dynamic[orderTotal]*(1-dynamic[discountApllied])</f>
        <v>1600</v>
      </c>
      <c r="S1216" s="9">
        <f>dynamic[revenue]-(dynamic[productCost]*dynamic[orderQuantity])</f>
        <v>555.7518055</v>
      </c>
      <c r="T1216" s="25">
        <f>IFERROR(dynamic[profit]/dynamic[revenue], 0)</f>
        <v>0.3473448784</v>
      </c>
    </row>
    <row r="1217" ht="15.75" customHeight="1">
      <c r="A1217" s="6">
        <v>10709.0</v>
      </c>
      <c r="B1217" s="7" t="s">
        <v>86</v>
      </c>
      <c r="C1217" s="24" t="str">
        <f>VLOOKUP(dynamic[customerID],customers[],2,FALSE)</f>
        <v>Gourmet Lanchonetes</v>
      </c>
      <c r="D1217" s="24">
        <v>45216.0</v>
      </c>
      <c r="E1217" s="6">
        <f>IFERROR(__xludf.DUMMYFUNCTION("COUNTUNIQUEIFS($A$2:$A1217,$B$2:$B1217,B1217)"),4.0)</f>
        <v>4</v>
      </c>
      <c r="F1217" s="6">
        <f t="shared" si="1"/>
        <v>18</v>
      </c>
      <c r="G1217" s="6" t="str">
        <f>IF(MINIFS(dynamic[orderDate], dynamic[customerID], B1217) &gt;= DATE(2024,4,30)-120, 
     "New", 
     IF(MAXIFS(dynamic[orderCount], dynamic[customerID], B1217)&lt;=2, 
        IF((DATE(2024,4,30) - MAXIFS(dynamic[orderDate], dynamic[customerID], B1217)) &gt; 180, "Non-Returning", "Dormant"), 
        IF(AND(MAX(dynamic[sinceLastOrder]) &gt; 365, (DATE(2024,4,30) - MAXIFS(dynamic[orderDate], dynamic[customerID], B1217)) &gt; 180), 
           "Dormant", "Regular")))</f>
        <v>Regular</v>
      </c>
      <c r="H1217" s="6">
        <v>51.0</v>
      </c>
      <c r="I1217" s="9" t="str">
        <f>VLOOKUP(dynamic[productID],products[],2,FALSE)</f>
        <v>Manjimup Dried Apples</v>
      </c>
      <c r="J1217" s="9" t="str">
        <f>VLOOKUP(dynamic[productID],products[],12,FALSE)</f>
        <v>Produce</v>
      </c>
      <c r="K1217" s="7" t="str">
        <f>IF(VLOOKUP(dynamic[productID],products[],7,FALSE)=1,"Discontinued","Current")</f>
        <v>Current</v>
      </c>
      <c r="L1217" s="9">
        <f>VLOOKUP(dynamic[productID],products[],IF(YEAR(dynamic[orderDate])=2022,8,IF(YEAR(dynamic[orderDate])=2023,9,IF(YEAR(dynamic[orderDate])=2024,10,NA))),FALSE)</f>
        <v>36.88798027</v>
      </c>
      <c r="M1217" s="9">
        <v>53.0</v>
      </c>
      <c r="N1217" s="25">
        <f>(dynamic[orderPrice]-dynamic[productCost])/dynamic[productCost]</f>
        <v>0.4367823779</v>
      </c>
      <c r="O1217" s="10">
        <v>28.0</v>
      </c>
      <c r="P1217" s="25">
        <v>0.0</v>
      </c>
      <c r="Q1217" s="9">
        <f>dynamic[orderPrice]*dynamic[orderQuantity]</f>
        <v>1484</v>
      </c>
      <c r="R1217" s="9">
        <f>dynamic[orderTotal]*(1-dynamic[discountApllied])</f>
        <v>1484</v>
      </c>
      <c r="S1217" s="9">
        <f>dynamic[revenue]-(dynamic[productCost]*dynamic[orderQuantity])</f>
        <v>451.1365526</v>
      </c>
      <c r="T1217" s="25">
        <f>IFERROR(dynamic[profit]/dynamic[revenue], 0)</f>
        <v>0.3040003724</v>
      </c>
    </row>
    <row r="1218" ht="15.75" customHeight="1">
      <c r="A1218" s="6">
        <v>10709.0</v>
      </c>
      <c r="B1218" s="7" t="s">
        <v>86</v>
      </c>
      <c r="C1218" s="24" t="str">
        <f>VLOOKUP(dynamic[customerID],customers[],2,FALSE)</f>
        <v>Gourmet Lanchonetes</v>
      </c>
      <c r="D1218" s="24">
        <v>45216.0</v>
      </c>
      <c r="E1218" s="6">
        <f>IFERROR(__xludf.DUMMYFUNCTION("COUNTUNIQUEIFS($A$2:$A1218,$B$2:$B1218,B1218)"),4.0)</f>
        <v>4</v>
      </c>
      <c r="F1218" s="6">
        <f t="shared" si="1"/>
        <v>18</v>
      </c>
      <c r="G1218" s="6" t="str">
        <f>IF(MINIFS(dynamic[orderDate], dynamic[customerID], B1218) &gt;= DATE(2024,4,30)-120, 
     "New", 
     IF(MAXIFS(dynamic[orderCount], dynamic[customerID], B1218)&lt;=2, 
        IF((DATE(2024,4,30) - MAXIFS(dynamic[orderDate], dynamic[customerID], B1218)) &gt; 180, "Non-Returning", "Dormant"), 
        IF(AND(MAX(dynamic[sinceLastOrder]) &gt; 365, (DATE(2024,4,30) - MAXIFS(dynamic[orderDate], dynamic[customerID], B1218)) &gt; 180), 
           "Dormant", "Regular")))</f>
        <v>Regular</v>
      </c>
      <c r="H1218" s="6">
        <v>60.0</v>
      </c>
      <c r="I1218" s="9" t="str">
        <f>VLOOKUP(dynamic[productID],products[],2,FALSE)</f>
        <v>Camembert Pierrot</v>
      </c>
      <c r="J1218" s="9" t="str">
        <f>VLOOKUP(dynamic[productID],products[],12,FALSE)</f>
        <v>Dairy Products</v>
      </c>
      <c r="K1218" s="7" t="str">
        <f>IF(VLOOKUP(dynamic[productID],products[],7,FALSE)=1,"Discontinued","Current")</f>
        <v>Current</v>
      </c>
      <c r="L1218" s="9">
        <f>VLOOKUP(dynamic[productID],products[],IF(YEAR(dynamic[orderDate])=2022,8,IF(YEAR(dynamic[orderDate])=2023,9,IF(YEAR(dynamic[orderDate])=2024,10,NA))),FALSE)</f>
        <v>22.77098295</v>
      </c>
      <c r="M1218" s="9">
        <v>34.0</v>
      </c>
      <c r="N1218" s="25">
        <f>(dynamic[orderPrice]-dynamic[productCost])/dynamic[productCost]</f>
        <v>0.4931283415</v>
      </c>
      <c r="O1218" s="10">
        <v>10.0</v>
      </c>
      <c r="P1218" s="25">
        <v>0.0</v>
      </c>
      <c r="Q1218" s="9">
        <f>dynamic[orderPrice]*dynamic[orderQuantity]</f>
        <v>340</v>
      </c>
      <c r="R1218" s="9">
        <f>dynamic[orderTotal]*(1-dynamic[discountApllied])</f>
        <v>340</v>
      </c>
      <c r="S1218" s="9">
        <f>dynamic[revenue]-(dynamic[productCost]*dynamic[orderQuantity])</f>
        <v>112.2901705</v>
      </c>
      <c r="T1218" s="25">
        <f>IFERROR(dynamic[profit]/dynamic[revenue], 0)</f>
        <v>0.3302652075</v>
      </c>
    </row>
    <row r="1219" ht="15.75" customHeight="1">
      <c r="A1219" s="6">
        <v>10710.0</v>
      </c>
      <c r="B1219" s="7" t="s">
        <v>85</v>
      </c>
      <c r="C1219" s="24" t="str">
        <f>VLOOKUP(dynamic[customerID],customers[],2,FALSE)</f>
        <v>Franchi S.p.A.</v>
      </c>
      <c r="D1219" s="24">
        <v>45219.0</v>
      </c>
      <c r="E1219" s="6">
        <f>IFERROR(__xludf.DUMMYFUNCTION("COUNTUNIQUEIFS($A$2:$A1219,$B$2:$B1219,B1219)"),2.0)</f>
        <v>2</v>
      </c>
      <c r="F1219" s="6">
        <f t="shared" si="1"/>
        <v>271</v>
      </c>
      <c r="G1219" s="6" t="str">
        <f>IF(MINIFS(dynamic[orderDate], dynamic[customerID], B1219) &gt;= DATE(2024,4,30)-120, 
     "New", 
     IF(MAXIFS(dynamic[orderCount], dynamic[customerID], B1219)&lt;=2, 
        IF((DATE(2024,4,30) - MAXIFS(dynamic[orderDate], dynamic[customerID], B1219)) &gt; 180, "Non-Returning", "Dormant"), 
        IF(AND(MAX(dynamic[sinceLastOrder]) &gt; 365, (DATE(2024,4,30) - MAXIFS(dynamic[orderDate], dynamic[customerID], B1219)) &gt; 180), 
           "Dormant", "Regular")))</f>
        <v>Regular</v>
      </c>
      <c r="H1219" s="6">
        <v>19.0</v>
      </c>
      <c r="I1219" s="9" t="str">
        <f>VLOOKUP(dynamic[productID],products[],2,FALSE)</f>
        <v>Teatime Chocolate Biscuits</v>
      </c>
      <c r="J1219" s="9" t="str">
        <f>VLOOKUP(dynamic[productID],products[],12,FALSE)</f>
        <v>Confections</v>
      </c>
      <c r="K1219" s="7" t="str">
        <f>IF(VLOOKUP(dynamic[productID],products[],7,FALSE)=1,"Discontinued","Current")</f>
        <v>Current</v>
      </c>
      <c r="L1219" s="9">
        <f>VLOOKUP(dynamic[productID],products[],IF(YEAR(dynamic[orderDate])=2022,8,IF(YEAR(dynamic[orderDate])=2023,9,IF(YEAR(dynamic[orderDate])=2024,10,NA))),FALSE)</f>
        <v>5.901883682</v>
      </c>
      <c r="M1219" s="9">
        <v>9.2</v>
      </c>
      <c r="N1219" s="25">
        <f>(dynamic[orderPrice]-dynamic[productCost])/dynamic[productCost]</f>
        <v>0.5588243508</v>
      </c>
      <c r="O1219" s="10">
        <v>5.0</v>
      </c>
      <c r="P1219" s="25">
        <v>0.0</v>
      </c>
      <c r="Q1219" s="9">
        <f>dynamic[orderPrice]*dynamic[orderQuantity]</f>
        <v>46</v>
      </c>
      <c r="R1219" s="9">
        <f>dynamic[orderTotal]*(1-dynamic[discountApllied])</f>
        <v>46</v>
      </c>
      <c r="S1219" s="9">
        <f>dynamic[revenue]-(dynamic[productCost]*dynamic[orderQuantity])</f>
        <v>16.49058159</v>
      </c>
      <c r="T1219" s="25">
        <f>IFERROR(dynamic[profit]/dynamic[revenue], 0)</f>
        <v>0.3584909041</v>
      </c>
    </row>
    <row r="1220" ht="15.75" customHeight="1">
      <c r="A1220" s="6">
        <v>10710.0</v>
      </c>
      <c r="B1220" s="7" t="s">
        <v>85</v>
      </c>
      <c r="C1220" s="24" t="str">
        <f>VLOOKUP(dynamic[customerID],customers[],2,FALSE)</f>
        <v>Franchi S.p.A.</v>
      </c>
      <c r="D1220" s="24">
        <v>45219.0</v>
      </c>
      <c r="E1220" s="6">
        <f>IFERROR(__xludf.DUMMYFUNCTION("COUNTUNIQUEIFS($A$2:$A1220,$B$2:$B1220,B1220)"),2.0)</f>
        <v>2</v>
      </c>
      <c r="F1220" s="6">
        <f t="shared" si="1"/>
        <v>271</v>
      </c>
      <c r="G1220" s="6" t="str">
        <f>IF(MINIFS(dynamic[orderDate], dynamic[customerID], B1220) &gt;= DATE(2024,4,30)-120, 
     "New", 
     IF(MAXIFS(dynamic[orderCount], dynamic[customerID], B1220)&lt;=2, 
        IF((DATE(2024,4,30) - MAXIFS(dynamic[orderDate], dynamic[customerID], B1220)) &gt; 180, "Non-Returning", "Dormant"), 
        IF(AND(MAX(dynamic[sinceLastOrder]) &gt; 365, (DATE(2024,4,30) - MAXIFS(dynamic[orderDate], dynamic[customerID], B1220)) &gt; 180), 
           "Dormant", "Regular")))</f>
        <v>Regular</v>
      </c>
      <c r="H1220" s="6">
        <v>47.0</v>
      </c>
      <c r="I1220" s="9" t="str">
        <f>VLOOKUP(dynamic[productID],products[],2,FALSE)</f>
        <v>Zaanse koeken</v>
      </c>
      <c r="J1220" s="9" t="str">
        <f>VLOOKUP(dynamic[productID],products[],12,FALSE)</f>
        <v>Confections</v>
      </c>
      <c r="K1220" s="7" t="str">
        <f>IF(VLOOKUP(dynamic[productID],products[],7,FALSE)=1,"Discontinued","Current")</f>
        <v>Current</v>
      </c>
      <c r="L1220" s="9">
        <f>VLOOKUP(dynamic[productID],products[],IF(YEAR(dynamic[orderDate])=2022,8,IF(YEAR(dynamic[orderDate])=2023,9,IF(YEAR(dynamic[orderDate])=2024,10,NA))),FALSE)</f>
        <v>6.57708833</v>
      </c>
      <c r="M1220" s="9">
        <v>9.5</v>
      </c>
      <c r="N1220" s="25">
        <f>(dynamic[orderPrice]-dynamic[productCost])/dynamic[productCost]</f>
        <v>0.4444081519</v>
      </c>
      <c r="O1220" s="10">
        <v>5.0</v>
      </c>
      <c r="P1220" s="25">
        <v>0.0</v>
      </c>
      <c r="Q1220" s="9">
        <f>dynamic[orderPrice]*dynamic[orderQuantity]</f>
        <v>47.5</v>
      </c>
      <c r="R1220" s="9">
        <f>dynamic[orderTotal]*(1-dynamic[discountApllied])</f>
        <v>47.5</v>
      </c>
      <c r="S1220" s="9">
        <f>dynamic[revenue]-(dynamic[productCost]*dynamic[orderQuantity])</f>
        <v>14.61455835</v>
      </c>
      <c r="T1220" s="25">
        <f>IFERROR(dynamic[profit]/dynamic[revenue], 0)</f>
        <v>0.3076749126</v>
      </c>
    </row>
    <row r="1221" ht="15.75" customHeight="1">
      <c r="A1221" s="6">
        <v>10711.0</v>
      </c>
      <c r="B1221" s="7" t="s">
        <v>60</v>
      </c>
      <c r="C1221" s="24" t="str">
        <f>VLOOKUP(dynamic[customerID],customers[],2,FALSE)</f>
        <v>Save-a-lot Markets</v>
      </c>
      <c r="D1221" s="24">
        <v>45220.0</v>
      </c>
      <c r="E1221" s="6">
        <f>IFERROR(__xludf.DUMMYFUNCTION("COUNTUNIQUEIFS($A$2:$A1221,$B$2:$B1221,B1221)"),15.0)</f>
        <v>15</v>
      </c>
      <c r="F1221" s="6">
        <f t="shared" si="1"/>
        <v>11</v>
      </c>
      <c r="G1221" s="6" t="str">
        <f>IF(MINIFS(dynamic[orderDate], dynamic[customerID], B1221) &gt;= DATE(2024,4,30)-120, 
     "New", 
     IF(MAXIFS(dynamic[orderCount], dynamic[customerID], B1221)&lt;=2, 
        IF((DATE(2024,4,30) - MAXIFS(dynamic[orderDate], dynamic[customerID], B1221)) &gt; 180, "Non-Returning", "Dormant"), 
        IF(AND(MAX(dynamic[sinceLastOrder]) &gt; 365, (DATE(2024,4,30) - MAXIFS(dynamic[orderDate], dynamic[customerID], B1221)) &gt; 180), 
           "Dormant", "Regular")))</f>
        <v>Regular</v>
      </c>
      <c r="H1221" s="6">
        <v>19.0</v>
      </c>
      <c r="I1221" s="9" t="str">
        <f>VLOOKUP(dynamic[productID],products[],2,FALSE)</f>
        <v>Teatime Chocolate Biscuits</v>
      </c>
      <c r="J1221" s="9" t="str">
        <f>VLOOKUP(dynamic[productID],products[],12,FALSE)</f>
        <v>Confections</v>
      </c>
      <c r="K1221" s="7" t="str">
        <f>IF(VLOOKUP(dynamic[productID],products[],7,FALSE)=1,"Discontinued","Current")</f>
        <v>Current</v>
      </c>
      <c r="L1221" s="9">
        <f>VLOOKUP(dynamic[productID],products[],IF(YEAR(dynamic[orderDate])=2022,8,IF(YEAR(dynamic[orderDate])=2023,9,IF(YEAR(dynamic[orderDate])=2024,10,NA))),FALSE)</f>
        <v>5.901883682</v>
      </c>
      <c r="M1221" s="9">
        <v>9.2</v>
      </c>
      <c r="N1221" s="25">
        <f>(dynamic[orderPrice]-dynamic[productCost])/dynamic[productCost]</f>
        <v>0.5588243508</v>
      </c>
      <c r="O1221" s="10">
        <v>12.0</v>
      </c>
      <c r="P1221" s="25">
        <v>0.0</v>
      </c>
      <c r="Q1221" s="9">
        <f>dynamic[orderPrice]*dynamic[orderQuantity]</f>
        <v>110.4</v>
      </c>
      <c r="R1221" s="9">
        <f>dynamic[orderTotal]*(1-dynamic[discountApllied])</f>
        <v>110.4</v>
      </c>
      <c r="S1221" s="9">
        <f>dynamic[revenue]-(dynamic[productCost]*dynamic[orderQuantity])</f>
        <v>39.57739581</v>
      </c>
      <c r="T1221" s="25">
        <f>IFERROR(dynamic[profit]/dynamic[revenue], 0)</f>
        <v>0.3584909041</v>
      </c>
    </row>
    <row r="1222" ht="15.75" customHeight="1">
      <c r="A1222" s="6">
        <v>10711.0</v>
      </c>
      <c r="B1222" s="7" t="s">
        <v>60</v>
      </c>
      <c r="C1222" s="24" t="str">
        <f>VLOOKUP(dynamic[customerID],customers[],2,FALSE)</f>
        <v>Save-a-lot Markets</v>
      </c>
      <c r="D1222" s="24">
        <v>45220.0</v>
      </c>
      <c r="E1222" s="6">
        <f>IFERROR(__xludf.DUMMYFUNCTION("COUNTUNIQUEIFS($A$2:$A1222,$B$2:$B1222,B1222)"),15.0)</f>
        <v>15</v>
      </c>
      <c r="F1222" s="6">
        <f t="shared" si="1"/>
        <v>11</v>
      </c>
      <c r="G1222" s="6" t="str">
        <f>IF(MINIFS(dynamic[orderDate], dynamic[customerID], B1222) &gt;= DATE(2024,4,30)-120, 
     "New", 
     IF(MAXIFS(dynamic[orderCount], dynamic[customerID], B1222)&lt;=2, 
        IF((DATE(2024,4,30) - MAXIFS(dynamic[orderDate], dynamic[customerID], B1222)) &gt; 180, "Non-Returning", "Dormant"), 
        IF(AND(MAX(dynamic[sinceLastOrder]) &gt; 365, (DATE(2024,4,30) - MAXIFS(dynamic[orderDate], dynamic[customerID], B1222)) &gt; 180), 
           "Dormant", "Regular")))</f>
        <v>Regular</v>
      </c>
      <c r="H1222" s="6">
        <v>41.0</v>
      </c>
      <c r="I1222" s="9" t="str">
        <f>VLOOKUP(dynamic[productID],products[],2,FALSE)</f>
        <v>Jack's New England Clam Chowder</v>
      </c>
      <c r="J1222" s="9" t="str">
        <f>VLOOKUP(dynamic[productID],products[],12,FALSE)</f>
        <v>Seafood</v>
      </c>
      <c r="K1222" s="7" t="str">
        <f>IF(VLOOKUP(dynamic[productID],products[],7,FALSE)=1,"Discontinued","Current")</f>
        <v>Current</v>
      </c>
      <c r="L1222" s="9">
        <f>VLOOKUP(dynamic[productID],products[],IF(YEAR(dynamic[orderDate])=2022,8,IF(YEAR(dynamic[orderDate])=2023,9,IF(YEAR(dynamic[orderDate])=2024,10,NA))),FALSE)</f>
        <v>6.549914856</v>
      </c>
      <c r="M1222" s="9">
        <v>9.65</v>
      </c>
      <c r="N1222" s="25">
        <f>(dynamic[orderPrice]-dynamic[productCost])/dynamic[productCost]</f>
        <v>0.4733015943</v>
      </c>
      <c r="O1222" s="10">
        <v>42.0</v>
      </c>
      <c r="P1222" s="25">
        <v>0.0</v>
      </c>
      <c r="Q1222" s="9">
        <f>dynamic[orderPrice]*dynamic[orderQuantity]</f>
        <v>405.3</v>
      </c>
      <c r="R1222" s="9">
        <f>dynamic[orderTotal]*(1-dynamic[discountApllied])</f>
        <v>405.3</v>
      </c>
      <c r="S1222" s="9">
        <f>dynamic[revenue]-(dynamic[productCost]*dynamic[orderQuantity])</f>
        <v>130.203576</v>
      </c>
      <c r="T1222" s="25">
        <f>IFERROR(dynamic[profit]/dynamic[revenue], 0)</f>
        <v>0.3212523465</v>
      </c>
    </row>
    <row r="1223" ht="15.75" customHeight="1">
      <c r="A1223" s="6">
        <v>10711.0</v>
      </c>
      <c r="B1223" s="7" t="s">
        <v>60</v>
      </c>
      <c r="C1223" s="24" t="str">
        <f>VLOOKUP(dynamic[customerID],customers[],2,FALSE)</f>
        <v>Save-a-lot Markets</v>
      </c>
      <c r="D1223" s="24">
        <v>45220.0</v>
      </c>
      <c r="E1223" s="6">
        <f>IFERROR(__xludf.DUMMYFUNCTION("COUNTUNIQUEIFS($A$2:$A1223,$B$2:$B1223,B1223)"),15.0)</f>
        <v>15</v>
      </c>
      <c r="F1223" s="6">
        <f t="shared" si="1"/>
        <v>11</v>
      </c>
      <c r="G1223" s="6" t="str">
        <f>IF(MINIFS(dynamic[orderDate], dynamic[customerID], B1223) &gt;= DATE(2024,4,30)-120, 
     "New", 
     IF(MAXIFS(dynamic[orderCount], dynamic[customerID], B1223)&lt;=2, 
        IF((DATE(2024,4,30) - MAXIFS(dynamic[orderDate], dynamic[customerID], B1223)) &gt; 180, "Non-Returning", "Dormant"), 
        IF(AND(MAX(dynamic[sinceLastOrder]) &gt; 365, (DATE(2024,4,30) - MAXIFS(dynamic[orderDate], dynamic[customerID], B1223)) &gt; 180), 
           "Dormant", "Regular")))</f>
        <v>Regular</v>
      </c>
      <c r="H1223" s="6">
        <v>53.0</v>
      </c>
      <c r="I1223" s="9" t="str">
        <f>VLOOKUP(dynamic[productID],products[],2,FALSE)</f>
        <v>Perth Pasties</v>
      </c>
      <c r="J1223" s="9" t="str">
        <f>VLOOKUP(dynamic[productID],products[],12,FALSE)</f>
        <v>Meat/Poultry</v>
      </c>
      <c r="K1223" s="7" t="str">
        <f>IF(VLOOKUP(dynamic[productID],products[],7,FALSE)=1,"Discontinued","Current")</f>
        <v>Discontinued</v>
      </c>
      <c r="L1223" s="9">
        <f>VLOOKUP(dynamic[productID],products[],IF(YEAR(dynamic[orderDate])=2022,8,IF(YEAR(dynamic[orderDate])=2023,9,IF(YEAR(dynamic[orderDate])=2024,10,NA))),FALSE)</f>
        <v>21.81491556</v>
      </c>
      <c r="M1223" s="9">
        <v>32.8</v>
      </c>
      <c r="N1223" s="25">
        <f>(dynamic[orderPrice]-dynamic[productCost])/dynamic[productCost]</f>
        <v>0.5035584214</v>
      </c>
      <c r="O1223" s="10">
        <v>120.0</v>
      </c>
      <c r="P1223" s="25">
        <v>0.0</v>
      </c>
      <c r="Q1223" s="9">
        <f>dynamic[orderPrice]*dynamic[orderQuantity]</f>
        <v>3936</v>
      </c>
      <c r="R1223" s="9">
        <f>dynamic[orderTotal]*(1-dynamic[discountApllied])</f>
        <v>3936</v>
      </c>
      <c r="S1223" s="9">
        <f>dynamic[revenue]-(dynamic[productCost]*dynamic[orderQuantity])</f>
        <v>1318.210133</v>
      </c>
      <c r="T1223" s="25">
        <f>IFERROR(dynamic[profit]/dynamic[revenue], 0)</f>
        <v>0.334911111</v>
      </c>
    </row>
    <row r="1224" ht="15.75" customHeight="1">
      <c r="A1224" s="6">
        <v>10712.0</v>
      </c>
      <c r="B1224" s="7" t="s">
        <v>49</v>
      </c>
      <c r="C1224" s="24" t="str">
        <f>VLOOKUP(dynamic[customerID],customers[],2,FALSE)</f>
        <v>Hungry Owl All-Night Grocers</v>
      </c>
      <c r="D1224" s="24">
        <v>45220.0</v>
      </c>
      <c r="E1224" s="6">
        <f>IFERROR(__xludf.DUMMYFUNCTION("COUNTUNIQUEIFS($A$2:$A1224,$B$2:$B1224,B1224)"),14.0)</f>
        <v>14</v>
      </c>
      <c r="F1224" s="6">
        <f t="shared" si="1"/>
        <v>8</v>
      </c>
      <c r="G1224" s="6" t="str">
        <f>IF(MINIFS(dynamic[orderDate], dynamic[customerID], B1224) &gt;= DATE(2024,4,30)-120, 
     "New", 
     IF(MAXIFS(dynamic[orderCount], dynamic[customerID], B1224)&lt;=2, 
        IF((DATE(2024,4,30) - MAXIFS(dynamic[orderDate], dynamic[customerID], B1224)) &gt; 180, "Non-Returning", "Dormant"), 
        IF(AND(MAX(dynamic[sinceLastOrder]) &gt; 365, (DATE(2024,4,30) - MAXIFS(dynamic[orderDate], dynamic[customerID], B1224)) &gt; 180), 
           "Dormant", "Regular")))</f>
        <v>Regular</v>
      </c>
      <c r="H1224" s="6">
        <v>53.0</v>
      </c>
      <c r="I1224" s="9" t="str">
        <f>VLOOKUP(dynamic[productID],products[],2,FALSE)</f>
        <v>Perth Pasties</v>
      </c>
      <c r="J1224" s="9" t="str">
        <f>VLOOKUP(dynamic[productID],products[],12,FALSE)</f>
        <v>Meat/Poultry</v>
      </c>
      <c r="K1224" s="7" t="str">
        <f>IF(VLOOKUP(dynamic[productID],products[],7,FALSE)=1,"Discontinued","Current")</f>
        <v>Discontinued</v>
      </c>
      <c r="L1224" s="9">
        <f>VLOOKUP(dynamic[productID],products[],IF(YEAR(dynamic[orderDate])=2022,8,IF(YEAR(dynamic[orderDate])=2023,9,IF(YEAR(dynamic[orderDate])=2024,10,NA))),FALSE)</f>
        <v>21.81491556</v>
      </c>
      <c r="M1224" s="9">
        <v>32.8</v>
      </c>
      <c r="N1224" s="25">
        <f>(dynamic[orderPrice]-dynamic[productCost])/dynamic[productCost]</f>
        <v>0.5035584214</v>
      </c>
      <c r="O1224" s="10">
        <v>3.0</v>
      </c>
      <c r="P1224" s="25">
        <v>0.05</v>
      </c>
      <c r="Q1224" s="9">
        <f>dynamic[orderPrice]*dynamic[orderQuantity]</f>
        <v>98.4</v>
      </c>
      <c r="R1224" s="9">
        <f>dynamic[orderTotal]*(1-dynamic[discountApllied])</f>
        <v>93.48</v>
      </c>
      <c r="S1224" s="9">
        <f>dynamic[revenue]-(dynamic[productCost]*dynamic[orderQuantity])</f>
        <v>28.03525332</v>
      </c>
      <c r="T1224" s="25">
        <f>IFERROR(dynamic[profit]/dynamic[revenue], 0)</f>
        <v>0.2999064326</v>
      </c>
    </row>
    <row r="1225" ht="15.75" customHeight="1">
      <c r="A1225" s="6">
        <v>10712.0</v>
      </c>
      <c r="B1225" s="7" t="s">
        <v>49</v>
      </c>
      <c r="C1225" s="24" t="str">
        <f>VLOOKUP(dynamic[customerID],customers[],2,FALSE)</f>
        <v>Hungry Owl All-Night Grocers</v>
      </c>
      <c r="D1225" s="24">
        <v>45220.0</v>
      </c>
      <c r="E1225" s="6">
        <f>IFERROR(__xludf.DUMMYFUNCTION("COUNTUNIQUEIFS($A$2:$A1225,$B$2:$B1225,B1225)"),14.0)</f>
        <v>14</v>
      </c>
      <c r="F1225" s="6">
        <f t="shared" si="1"/>
        <v>8</v>
      </c>
      <c r="G1225" s="6" t="str">
        <f>IF(MINIFS(dynamic[orderDate], dynamic[customerID], B1225) &gt;= DATE(2024,4,30)-120, 
     "New", 
     IF(MAXIFS(dynamic[orderCount], dynamic[customerID], B1225)&lt;=2, 
        IF((DATE(2024,4,30) - MAXIFS(dynamic[orderDate], dynamic[customerID], B1225)) &gt; 180, "Non-Returning", "Dormant"), 
        IF(AND(MAX(dynamic[sinceLastOrder]) &gt; 365, (DATE(2024,4,30) - MAXIFS(dynamic[orderDate], dynamic[customerID], B1225)) &gt; 180), 
           "Dormant", "Regular")))</f>
        <v>Regular</v>
      </c>
      <c r="H1225" s="6">
        <v>56.0</v>
      </c>
      <c r="I1225" s="9" t="str">
        <f>VLOOKUP(dynamic[productID],products[],2,FALSE)</f>
        <v>Gnocchi di nonna Alice</v>
      </c>
      <c r="J1225" s="9" t="str">
        <f>VLOOKUP(dynamic[productID],products[],12,FALSE)</f>
        <v>Grains/Cereals</v>
      </c>
      <c r="K1225" s="7" t="str">
        <f>IF(VLOOKUP(dynamic[productID],products[],7,FALSE)=1,"Discontinued","Current")</f>
        <v>Current</v>
      </c>
      <c r="L1225" s="9">
        <f>VLOOKUP(dynamic[productID],products[],IF(YEAR(dynamic[orderDate])=2022,8,IF(YEAR(dynamic[orderDate])=2023,9,IF(YEAR(dynamic[orderDate])=2024,10,NA))),FALSE)</f>
        <v>24.28342441</v>
      </c>
      <c r="M1225" s="9">
        <v>38.0</v>
      </c>
      <c r="N1225" s="25">
        <f>(dynamic[orderPrice]-dynamic[productCost])/dynamic[productCost]</f>
        <v>0.5648534309</v>
      </c>
      <c r="O1225" s="10">
        <v>30.0</v>
      </c>
      <c r="P1225" s="25">
        <v>0.0</v>
      </c>
      <c r="Q1225" s="9">
        <f>dynamic[orderPrice]*dynamic[orderQuantity]</f>
        <v>1140</v>
      </c>
      <c r="R1225" s="9">
        <f>dynamic[orderTotal]*(1-dynamic[discountApllied])</f>
        <v>1140</v>
      </c>
      <c r="S1225" s="9">
        <f>dynamic[revenue]-(dynamic[productCost]*dynamic[orderQuantity])</f>
        <v>411.4972678</v>
      </c>
      <c r="T1225" s="25">
        <f>IFERROR(dynamic[profit]/dynamic[revenue], 0)</f>
        <v>0.3609625156</v>
      </c>
    </row>
    <row r="1226" ht="15.75" customHeight="1">
      <c r="A1226" s="6">
        <v>10713.0</v>
      </c>
      <c r="B1226" s="7" t="s">
        <v>60</v>
      </c>
      <c r="C1226" s="24" t="str">
        <f>VLOOKUP(dynamic[customerID],customers[],2,FALSE)</f>
        <v>Save-a-lot Markets</v>
      </c>
      <c r="D1226" s="24">
        <v>45221.0</v>
      </c>
      <c r="E1226" s="6">
        <f>IFERROR(__xludf.DUMMYFUNCTION("COUNTUNIQUEIFS($A$2:$A1226,$B$2:$B1226,B1226)"),16.0)</f>
        <v>16</v>
      </c>
      <c r="F1226" s="6">
        <f t="shared" si="1"/>
        <v>1</v>
      </c>
      <c r="G1226" s="6" t="str">
        <f>IF(MINIFS(dynamic[orderDate], dynamic[customerID], B1226) &gt;= DATE(2024,4,30)-120, 
     "New", 
     IF(MAXIFS(dynamic[orderCount], dynamic[customerID], B1226)&lt;=2, 
        IF((DATE(2024,4,30) - MAXIFS(dynamic[orderDate], dynamic[customerID], B1226)) &gt; 180, "Non-Returning", "Dormant"), 
        IF(AND(MAX(dynamic[sinceLastOrder]) &gt; 365, (DATE(2024,4,30) - MAXIFS(dynamic[orderDate], dynamic[customerID], B1226)) &gt; 180), 
           "Dormant", "Regular")))</f>
        <v>Regular</v>
      </c>
      <c r="H1226" s="6">
        <v>10.0</v>
      </c>
      <c r="I1226" s="9" t="str">
        <f>VLOOKUP(dynamic[productID],products[],2,FALSE)</f>
        <v>Ikura</v>
      </c>
      <c r="J1226" s="9" t="str">
        <f>VLOOKUP(dynamic[productID],products[],12,FALSE)</f>
        <v>Seafood</v>
      </c>
      <c r="K1226" s="7" t="str">
        <f>IF(VLOOKUP(dynamic[productID],products[],7,FALSE)=1,"Discontinued","Current")</f>
        <v>Current</v>
      </c>
      <c r="L1226" s="9">
        <f>VLOOKUP(dynamic[productID],products[],IF(YEAR(dynamic[orderDate])=2022,8,IF(YEAR(dynamic[orderDate])=2023,9,IF(YEAR(dynamic[orderDate])=2024,10,NA))),FALSE)</f>
        <v>20.72721922</v>
      </c>
      <c r="M1226" s="9">
        <v>31.0</v>
      </c>
      <c r="N1226" s="25">
        <f>(dynamic[orderPrice]-dynamic[productCost])/dynamic[productCost]</f>
        <v>0.4956178962</v>
      </c>
      <c r="O1226" s="10">
        <v>18.0</v>
      </c>
      <c r="P1226" s="25">
        <v>0.0</v>
      </c>
      <c r="Q1226" s="9">
        <f>dynamic[orderPrice]*dynamic[orderQuantity]</f>
        <v>558</v>
      </c>
      <c r="R1226" s="9">
        <f>dynamic[orderTotal]*(1-dynamic[discountApllied])</f>
        <v>558</v>
      </c>
      <c r="S1226" s="9">
        <f>dynamic[revenue]-(dynamic[productCost]*dynamic[orderQuantity])</f>
        <v>184.9100541</v>
      </c>
      <c r="T1226" s="25">
        <f>IFERROR(dynamic[profit]/dynamic[revenue], 0)</f>
        <v>0.3313800252</v>
      </c>
    </row>
    <row r="1227" ht="15.75" customHeight="1">
      <c r="A1227" s="6">
        <v>10713.0</v>
      </c>
      <c r="B1227" s="7" t="s">
        <v>60</v>
      </c>
      <c r="C1227" s="24" t="str">
        <f>VLOOKUP(dynamic[customerID],customers[],2,FALSE)</f>
        <v>Save-a-lot Markets</v>
      </c>
      <c r="D1227" s="24">
        <v>45221.0</v>
      </c>
      <c r="E1227" s="6">
        <f>IFERROR(__xludf.DUMMYFUNCTION("COUNTUNIQUEIFS($A$2:$A1227,$B$2:$B1227,B1227)"),16.0)</f>
        <v>16</v>
      </c>
      <c r="F1227" s="6">
        <f t="shared" si="1"/>
        <v>1</v>
      </c>
      <c r="G1227" s="6" t="str">
        <f>IF(MINIFS(dynamic[orderDate], dynamic[customerID], B1227) &gt;= DATE(2024,4,30)-120, 
     "New", 
     IF(MAXIFS(dynamic[orderCount], dynamic[customerID], B1227)&lt;=2, 
        IF((DATE(2024,4,30) - MAXIFS(dynamic[orderDate], dynamic[customerID], B1227)) &gt; 180, "Non-Returning", "Dormant"), 
        IF(AND(MAX(dynamic[sinceLastOrder]) &gt; 365, (DATE(2024,4,30) - MAXIFS(dynamic[orderDate], dynamic[customerID], B1227)) &gt; 180), 
           "Dormant", "Regular")))</f>
        <v>Regular</v>
      </c>
      <c r="H1227" s="6">
        <v>26.0</v>
      </c>
      <c r="I1227" s="9" t="str">
        <f>VLOOKUP(dynamic[productID],products[],2,FALSE)</f>
        <v>NuNuCa Nuß-Nougat-Creme</v>
      </c>
      <c r="J1227" s="9" t="str">
        <f>VLOOKUP(dynamic[productID],products[],12,FALSE)</f>
        <v>Confections</v>
      </c>
      <c r="K1227" s="7" t="str">
        <f>IF(VLOOKUP(dynamic[productID],products[],7,FALSE)=1,"Discontinued","Current")</f>
        <v>Current</v>
      </c>
      <c r="L1227" s="9">
        <f>VLOOKUP(dynamic[productID],products[],IF(YEAR(dynamic[orderDate])=2022,8,IF(YEAR(dynamic[orderDate])=2023,9,IF(YEAR(dynamic[orderDate])=2024,10,NA))),FALSE)</f>
        <v>21.20896201</v>
      </c>
      <c r="M1227" s="9">
        <v>31.23</v>
      </c>
      <c r="N1227" s="25">
        <f>(dynamic[orderPrice]-dynamic[productCost])/dynamic[productCost]</f>
        <v>0.472490732</v>
      </c>
      <c r="O1227" s="10">
        <v>30.0</v>
      </c>
      <c r="P1227" s="25">
        <v>0.0</v>
      </c>
      <c r="Q1227" s="9">
        <f>dynamic[orderPrice]*dynamic[orderQuantity]</f>
        <v>936.9</v>
      </c>
      <c r="R1227" s="9">
        <f>dynamic[orderTotal]*(1-dynamic[discountApllied])</f>
        <v>936.9</v>
      </c>
      <c r="S1227" s="9">
        <f>dynamic[revenue]-(dynamic[productCost]*dynamic[orderQuantity])</f>
        <v>300.6311396</v>
      </c>
      <c r="T1227" s="25">
        <f>IFERROR(dynamic[profit]/dynamic[revenue], 0)</f>
        <v>0.3208785779</v>
      </c>
    </row>
    <row r="1228" ht="15.75" customHeight="1">
      <c r="A1228" s="6">
        <v>10713.0</v>
      </c>
      <c r="B1228" s="7" t="s">
        <v>60</v>
      </c>
      <c r="C1228" s="24" t="str">
        <f>VLOOKUP(dynamic[customerID],customers[],2,FALSE)</f>
        <v>Save-a-lot Markets</v>
      </c>
      <c r="D1228" s="24">
        <v>45221.0</v>
      </c>
      <c r="E1228" s="6">
        <f>IFERROR(__xludf.DUMMYFUNCTION("COUNTUNIQUEIFS($A$2:$A1228,$B$2:$B1228,B1228)"),16.0)</f>
        <v>16</v>
      </c>
      <c r="F1228" s="6">
        <f t="shared" si="1"/>
        <v>1</v>
      </c>
      <c r="G1228" s="6" t="str">
        <f>IF(MINIFS(dynamic[orderDate], dynamic[customerID], B1228) &gt;= DATE(2024,4,30)-120, 
     "New", 
     IF(MAXIFS(dynamic[orderCount], dynamic[customerID], B1228)&lt;=2, 
        IF((DATE(2024,4,30) - MAXIFS(dynamic[orderDate], dynamic[customerID], B1228)) &gt; 180, "Non-Returning", "Dormant"), 
        IF(AND(MAX(dynamic[sinceLastOrder]) &gt; 365, (DATE(2024,4,30) - MAXIFS(dynamic[orderDate], dynamic[customerID], B1228)) &gt; 180), 
           "Dormant", "Regular")))</f>
        <v>Regular</v>
      </c>
      <c r="H1228" s="6">
        <v>45.0</v>
      </c>
      <c r="I1228" s="9" t="str">
        <f>VLOOKUP(dynamic[productID],products[],2,FALSE)</f>
        <v>Rogede sild</v>
      </c>
      <c r="J1228" s="9" t="str">
        <f>VLOOKUP(dynamic[productID],products[],12,FALSE)</f>
        <v>Seafood</v>
      </c>
      <c r="K1228" s="7" t="str">
        <f>IF(VLOOKUP(dynamic[productID],products[],7,FALSE)=1,"Discontinued","Current")</f>
        <v>Current</v>
      </c>
      <c r="L1228" s="9">
        <f>VLOOKUP(dynamic[productID],products[],IF(YEAR(dynamic[orderDate])=2022,8,IF(YEAR(dynamic[orderDate])=2023,9,IF(YEAR(dynamic[orderDate])=2024,10,NA))),FALSE)</f>
        <v>5.965769822</v>
      </c>
      <c r="M1228" s="9">
        <v>9.5</v>
      </c>
      <c r="N1228" s="25">
        <f>(dynamic[orderPrice]-dynamic[productCost])/dynamic[productCost]</f>
        <v>0.5924181261</v>
      </c>
      <c r="O1228" s="10">
        <v>110.0</v>
      </c>
      <c r="P1228" s="25">
        <v>0.0</v>
      </c>
      <c r="Q1228" s="9">
        <f>dynamic[orderPrice]*dynamic[orderQuantity]</f>
        <v>1045</v>
      </c>
      <c r="R1228" s="9">
        <f>dynamic[orderTotal]*(1-dynamic[discountApllied])</f>
        <v>1045</v>
      </c>
      <c r="S1228" s="9">
        <f>dynamic[revenue]-(dynamic[productCost]*dynamic[orderQuantity])</f>
        <v>388.7653196</v>
      </c>
      <c r="T1228" s="25">
        <f>IFERROR(dynamic[profit]/dynamic[revenue], 0)</f>
        <v>0.3720242293</v>
      </c>
    </row>
    <row r="1229" ht="15.75" customHeight="1">
      <c r="A1229" s="6">
        <v>10713.0</v>
      </c>
      <c r="B1229" s="7" t="s">
        <v>60</v>
      </c>
      <c r="C1229" s="24" t="str">
        <f>VLOOKUP(dynamic[customerID],customers[],2,FALSE)</f>
        <v>Save-a-lot Markets</v>
      </c>
      <c r="D1229" s="24">
        <v>45221.0</v>
      </c>
      <c r="E1229" s="6">
        <f>IFERROR(__xludf.DUMMYFUNCTION("COUNTUNIQUEIFS($A$2:$A1229,$B$2:$B1229,B1229)"),16.0)</f>
        <v>16</v>
      </c>
      <c r="F1229" s="6">
        <f t="shared" si="1"/>
        <v>1</v>
      </c>
      <c r="G1229" s="6" t="str">
        <f>IF(MINIFS(dynamic[orderDate], dynamic[customerID], B1229) &gt;= DATE(2024,4,30)-120, 
     "New", 
     IF(MAXIFS(dynamic[orderCount], dynamic[customerID], B1229)&lt;=2, 
        IF((DATE(2024,4,30) - MAXIFS(dynamic[orderDate], dynamic[customerID], B1229)) &gt; 180, "Non-Returning", "Dormant"), 
        IF(AND(MAX(dynamic[sinceLastOrder]) &gt; 365, (DATE(2024,4,30) - MAXIFS(dynamic[orderDate], dynamic[customerID], B1229)) &gt; 180), 
           "Dormant", "Regular")))</f>
        <v>Regular</v>
      </c>
      <c r="H1229" s="6">
        <v>46.0</v>
      </c>
      <c r="I1229" s="9" t="str">
        <f>VLOOKUP(dynamic[productID],products[],2,FALSE)</f>
        <v>Spegesild</v>
      </c>
      <c r="J1229" s="9" t="str">
        <f>VLOOKUP(dynamic[productID],products[],12,FALSE)</f>
        <v>Seafood</v>
      </c>
      <c r="K1229" s="7" t="str">
        <f>IF(VLOOKUP(dynamic[productID],products[],7,FALSE)=1,"Discontinued","Current")</f>
        <v>Current</v>
      </c>
      <c r="L1229" s="9">
        <f>VLOOKUP(dynamic[productID],products[],IF(YEAR(dynamic[orderDate])=2022,8,IF(YEAR(dynamic[orderDate])=2023,9,IF(YEAR(dynamic[orderDate])=2024,10,NA))),FALSE)</f>
        <v>7.087990753</v>
      </c>
      <c r="M1229" s="9">
        <v>12.0</v>
      </c>
      <c r="N1229" s="25">
        <f>(dynamic[orderPrice]-dynamic[productCost])/dynamic[productCost]</f>
        <v>0.693004466</v>
      </c>
      <c r="O1229" s="10">
        <v>24.0</v>
      </c>
      <c r="P1229" s="25">
        <v>0.0</v>
      </c>
      <c r="Q1229" s="9">
        <f>dynamic[orderPrice]*dynamic[orderQuantity]</f>
        <v>288</v>
      </c>
      <c r="R1229" s="9">
        <f>dynamic[orderTotal]*(1-dynamic[discountApllied])</f>
        <v>288</v>
      </c>
      <c r="S1229" s="9">
        <f>dynamic[revenue]-(dynamic[productCost]*dynamic[orderQuantity])</f>
        <v>117.8882219</v>
      </c>
      <c r="T1229" s="25">
        <f>IFERROR(dynamic[profit]/dynamic[revenue], 0)</f>
        <v>0.4093341039</v>
      </c>
    </row>
    <row r="1230" ht="15.75" customHeight="1">
      <c r="A1230" s="6">
        <v>10714.0</v>
      </c>
      <c r="B1230" s="7" t="s">
        <v>60</v>
      </c>
      <c r="C1230" s="24" t="str">
        <f>VLOOKUP(dynamic[customerID],customers[],2,FALSE)</f>
        <v>Save-a-lot Markets</v>
      </c>
      <c r="D1230" s="24">
        <v>45221.0</v>
      </c>
      <c r="E1230" s="6">
        <f>IFERROR(__xludf.DUMMYFUNCTION("COUNTUNIQUEIFS($A$2:$A1230,$B$2:$B1230,B1230)"),17.0)</f>
        <v>17</v>
      </c>
      <c r="F1230" s="6">
        <f t="shared" si="1"/>
        <v>0</v>
      </c>
      <c r="G1230" s="6" t="str">
        <f>IF(MINIFS(dynamic[orderDate], dynamic[customerID], B1230) &gt;= DATE(2024,4,30)-120, 
     "New", 
     IF(MAXIFS(dynamic[orderCount], dynamic[customerID], B1230)&lt;=2, 
        IF((DATE(2024,4,30) - MAXIFS(dynamic[orderDate], dynamic[customerID], B1230)) &gt; 180, "Non-Returning", "Dormant"), 
        IF(AND(MAX(dynamic[sinceLastOrder]) &gt; 365, (DATE(2024,4,30) - MAXIFS(dynamic[orderDate], dynamic[customerID], B1230)) &gt; 180), 
           "Dormant", "Regular")))</f>
        <v>Regular</v>
      </c>
      <c r="H1230" s="6">
        <v>2.0</v>
      </c>
      <c r="I1230" s="9" t="str">
        <f>VLOOKUP(dynamic[productID],products[],2,FALSE)</f>
        <v>Chang</v>
      </c>
      <c r="J1230" s="9" t="str">
        <f>VLOOKUP(dynamic[productID],products[],12,FALSE)</f>
        <v>Beverages</v>
      </c>
      <c r="K1230" s="7" t="str">
        <f>IF(VLOOKUP(dynamic[productID],products[],7,FALSE)=1,"Discontinued","Current")</f>
        <v>Current</v>
      </c>
      <c r="L1230" s="9">
        <f>VLOOKUP(dynamic[productID],products[],IF(YEAR(dynamic[orderDate])=2022,8,IF(YEAR(dynamic[orderDate])=2023,9,IF(YEAR(dynamic[orderDate])=2024,10,NA))),FALSE)</f>
        <v>12.14626904</v>
      </c>
      <c r="M1230" s="9">
        <v>19.0</v>
      </c>
      <c r="N1230" s="25">
        <f>(dynamic[orderPrice]-dynamic[productCost])/dynamic[productCost]</f>
        <v>0.5642663547</v>
      </c>
      <c r="O1230" s="10">
        <v>30.0</v>
      </c>
      <c r="P1230" s="25">
        <v>0.25</v>
      </c>
      <c r="Q1230" s="9">
        <f>dynamic[orderPrice]*dynamic[orderQuantity]</f>
        <v>570</v>
      </c>
      <c r="R1230" s="9">
        <f>dynamic[orderTotal]*(1-dynamic[discountApllied])</f>
        <v>427.5</v>
      </c>
      <c r="S1230" s="9">
        <f>dynamic[revenue]-(dynamic[productCost]*dynamic[orderQuantity])</f>
        <v>63.11192868</v>
      </c>
      <c r="T1230" s="25">
        <f>IFERROR(dynamic[profit]/dynamic[revenue], 0)</f>
        <v>0.1476302425</v>
      </c>
    </row>
    <row r="1231" ht="15.75" customHeight="1">
      <c r="A1231" s="6">
        <v>10714.0</v>
      </c>
      <c r="B1231" s="7" t="s">
        <v>60</v>
      </c>
      <c r="C1231" s="24" t="str">
        <f>VLOOKUP(dynamic[customerID],customers[],2,FALSE)</f>
        <v>Save-a-lot Markets</v>
      </c>
      <c r="D1231" s="24">
        <v>45221.0</v>
      </c>
      <c r="E1231" s="6">
        <f>IFERROR(__xludf.DUMMYFUNCTION("COUNTUNIQUEIFS($A$2:$A1231,$B$2:$B1231,B1231)"),17.0)</f>
        <v>17</v>
      </c>
      <c r="F1231" s="6">
        <f t="shared" si="1"/>
        <v>0</v>
      </c>
      <c r="G1231" s="6" t="str">
        <f>IF(MINIFS(dynamic[orderDate], dynamic[customerID], B1231) &gt;= DATE(2024,4,30)-120, 
     "New", 
     IF(MAXIFS(dynamic[orderCount], dynamic[customerID], B1231)&lt;=2, 
        IF((DATE(2024,4,30) - MAXIFS(dynamic[orderDate], dynamic[customerID], B1231)) &gt; 180, "Non-Returning", "Dormant"), 
        IF(AND(MAX(dynamic[sinceLastOrder]) &gt; 365, (DATE(2024,4,30) - MAXIFS(dynamic[orderDate], dynamic[customerID], B1231)) &gt; 180), 
           "Dormant", "Regular")))</f>
        <v>Regular</v>
      </c>
      <c r="H1231" s="6">
        <v>17.0</v>
      </c>
      <c r="I1231" s="9" t="str">
        <f>VLOOKUP(dynamic[productID],products[],2,FALSE)</f>
        <v>Alice Mutton</v>
      </c>
      <c r="J1231" s="9" t="str">
        <f>VLOOKUP(dynamic[productID],products[],12,FALSE)</f>
        <v>Meat/Poultry</v>
      </c>
      <c r="K1231" s="7" t="str">
        <f>IF(VLOOKUP(dynamic[productID],products[],7,FALSE)=1,"Discontinued","Current")</f>
        <v>Discontinued</v>
      </c>
      <c r="L1231" s="9">
        <f>VLOOKUP(dynamic[productID],products[],IF(YEAR(dynamic[orderDate])=2022,8,IF(YEAR(dynamic[orderDate])=2023,9,IF(YEAR(dynamic[orderDate])=2024,10,NA))),FALSE)</f>
        <v>24.83130504</v>
      </c>
      <c r="M1231" s="9">
        <v>39.0</v>
      </c>
      <c r="N1231" s="25">
        <f>(dynamic[orderPrice]-dynamic[productCost])/dynamic[productCost]</f>
        <v>0.5705980792</v>
      </c>
      <c r="O1231" s="10">
        <v>27.0</v>
      </c>
      <c r="P1231" s="25">
        <v>0.25</v>
      </c>
      <c r="Q1231" s="9">
        <f>dynamic[orderPrice]*dynamic[orderQuantity]</f>
        <v>1053</v>
      </c>
      <c r="R1231" s="9">
        <f>dynamic[orderTotal]*(1-dynamic[discountApllied])</f>
        <v>789.75</v>
      </c>
      <c r="S1231" s="9">
        <f>dynamic[revenue]-(dynamic[productCost]*dynamic[orderQuantity])</f>
        <v>119.3047639</v>
      </c>
      <c r="T1231" s="25">
        <f>IFERROR(dynamic[profit]/dynamic[revenue], 0)</f>
        <v>0.1510664944</v>
      </c>
    </row>
    <row r="1232" ht="15.75" customHeight="1">
      <c r="A1232" s="6">
        <v>10714.0</v>
      </c>
      <c r="B1232" s="7" t="s">
        <v>60</v>
      </c>
      <c r="C1232" s="24" t="str">
        <f>VLOOKUP(dynamic[customerID],customers[],2,FALSE)</f>
        <v>Save-a-lot Markets</v>
      </c>
      <c r="D1232" s="24">
        <v>45221.0</v>
      </c>
      <c r="E1232" s="6">
        <f>IFERROR(__xludf.DUMMYFUNCTION("COUNTUNIQUEIFS($A$2:$A1232,$B$2:$B1232,B1232)"),17.0)</f>
        <v>17</v>
      </c>
      <c r="F1232" s="6">
        <f t="shared" si="1"/>
        <v>0</v>
      </c>
      <c r="G1232" s="6" t="str">
        <f>IF(MINIFS(dynamic[orderDate], dynamic[customerID], B1232) &gt;= DATE(2024,4,30)-120, 
     "New", 
     IF(MAXIFS(dynamic[orderCount], dynamic[customerID], B1232)&lt;=2, 
        IF((DATE(2024,4,30) - MAXIFS(dynamic[orderDate], dynamic[customerID], B1232)) &gt; 180, "Non-Returning", "Dormant"), 
        IF(AND(MAX(dynamic[sinceLastOrder]) &gt; 365, (DATE(2024,4,30) - MAXIFS(dynamic[orderDate], dynamic[customerID], B1232)) &gt; 180), 
           "Dormant", "Regular")))</f>
        <v>Regular</v>
      </c>
      <c r="H1232" s="6">
        <v>47.0</v>
      </c>
      <c r="I1232" s="9" t="str">
        <f>VLOOKUP(dynamic[productID],products[],2,FALSE)</f>
        <v>Zaanse koeken</v>
      </c>
      <c r="J1232" s="9" t="str">
        <f>VLOOKUP(dynamic[productID],products[],12,FALSE)</f>
        <v>Confections</v>
      </c>
      <c r="K1232" s="7" t="str">
        <f>IF(VLOOKUP(dynamic[productID],products[],7,FALSE)=1,"Discontinued","Current")</f>
        <v>Current</v>
      </c>
      <c r="L1232" s="9">
        <f>VLOOKUP(dynamic[productID],products[],IF(YEAR(dynamic[orderDate])=2022,8,IF(YEAR(dynamic[orderDate])=2023,9,IF(YEAR(dynamic[orderDate])=2024,10,NA))),FALSE)</f>
        <v>6.57708833</v>
      </c>
      <c r="M1232" s="9">
        <v>9.5</v>
      </c>
      <c r="N1232" s="25">
        <f>(dynamic[orderPrice]-dynamic[productCost])/dynamic[productCost]</f>
        <v>0.4444081519</v>
      </c>
      <c r="O1232" s="10">
        <v>50.0</v>
      </c>
      <c r="P1232" s="25">
        <v>0.25</v>
      </c>
      <c r="Q1232" s="9">
        <f>dynamic[orderPrice]*dynamic[orderQuantity]</f>
        <v>475</v>
      </c>
      <c r="R1232" s="9">
        <f>dynamic[orderTotal]*(1-dynamic[discountApllied])</f>
        <v>356.25</v>
      </c>
      <c r="S1232" s="9">
        <f>dynamic[revenue]-(dynamic[productCost]*dynamic[orderQuantity])</f>
        <v>27.39558348</v>
      </c>
      <c r="T1232" s="25">
        <f>IFERROR(dynamic[profit]/dynamic[revenue], 0)</f>
        <v>0.07689988345</v>
      </c>
    </row>
    <row r="1233" ht="15.75" customHeight="1">
      <c r="A1233" s="6">
        <v>10714.0</v>
      </c>
      <c r="B1233" s="7" t="s">
        <v>60</v>
      </c>
      <c r="C1233" s="24" t="str">
        <f>VLOOKUP(dynamic[customerID],customers[],2,FALSE)</f>
        <v>Save-a-lot Markets</v>
      </c>
      <c r="D1233" s="24">
        <v>45221.0</v>
      </c>
      <c r="E1233" s="6">
        <f>IFERROR(__xludf.DUMMYFUNCTION("COUNTUNIQUEIFS($A$2:$A1233,$B$2:$B1233,B1233)"),17.0)</f>
        <v>17</v>
      </c>
      <c r="F1233" s="6">
        <f t="shared" si="1"/>
        <v>0</v>
      </c>
      <c r="G1233" s="6" t="str">
        <f>IF(MINIFS(dynamic[orderDate], dynamic[customerID], B1233) &gt;= DATE(2024,4,30)-120, 
     "New", 
     IF(MAXIFS(dynamic[orderCount], dynamic[customerID], B1233)&lt;=2, 
        IF((DATE(2024,4,30) - MAXIFS(dynamic[orderDate], dynamic[customerID], B1233)) &gt; 180, "Non-Returning", "Dormant"), 
        IF(AND(MAX(dynamic[sinceLastOrder]) &gt; 365, (DATE(2024,4,30) - MAXIFS(dynamic[orderDate], dynamic[customerID], B1233)) &gt; 180), 
           "Dormant", "Regular")))</f>
        <v>Regular</v>
      </c>
      <c r="H1233" s="6">
        <v>56.0</v>
      </c>
      <c r="I1233" s="9" t="str">
        <f>VLOOKUP(dynamic[productID],products[],2,FALSE)</f>
        <v>Gnocchi di nonna Alice</v>
      </c>
      <c r="J1233" s="9" t="str">
        <f>VLOOKUP(dynamic[productID],products[],12,FALSE)</f>
        <v>Grains/Cereals</v>
      </c>
      <c r="K1233" s="7" t="str">
        <f>IF(VLOOKUP(dynamic[productID],products[],7,FALSE)=1,"Discontinued","Current")</f>
        <v>Current</v>
      </c>
      <c r="L1233" s="9">
        <f>VLOOKUP(dynamic[productID],products[],IF(YEAR(dynamic[orderDate])=2022,8,IF(YEAR(dynamic[orderDate])=2023,9,IF(YEAR(dynamic[orderDate])=2024,10,NA))),FALSE)</f>
        <v>24.28342441</v>
      </c>
      <c r="M1233" s="9">
        <v>38.0</v>
      </c>
      <c r="N1233" s="25">
        <f>(dynamic[orderPrice]-dynamic[productCost])/dynamic[productCost]</f>
        <v>0.5648534309</v>
      </c>
      <c r="O1233" s="10">
        <v>18.0</v>
      </c>
      <c r="P1233" s="25">
        <v>0.25</v>
      </c>
      <c r="Q1233" s="9">
        <f>dynamic[orderPrice]*dynamic[orderQuantity]</f>
        <v>684</v>
      </c>
      <c r="R1233" s="9">
        <f>dynamic[orderTotal]*(1-dynamic[discountApllied])</f>
        <v>513</v>
      </c>
      <c r="S1233" s="9">
        <f>dynamic[revenue]-(dynamic[productCost]*dynamic[orderQuantity])</f>
        <v>75.89836065</v>
      </c>
      <c r="T1233" s="25">
        <f>IFERROR(dynamic[profit]/dynamic[revenue], 0)</f>
        <v>0.1479500208</v>
      </c>
    </row>
    <row r="1234" ht="15.75" customHeight="1">
      <c r="A1234" s="6">
        <v>10714.0</v>
      </c>
      <c r="B1234" s="7" t="s">
        <v>60</v>
      </c>
      <c r="C1234" s="24" t="str">
        <f>VLOOKUP(dynamic[customerID],customers[],2,FALSE)</f>
        <v>Save-a-lot Markets</v>
      </c>
      <c r="D1234" s="24">
        <v>45221.0</v>
      </c>
      <c r="E1234" s="6">
        <f>IFERROR(__xludf.DUMMYFUNCTION("COUNTUNIQUEIFS($A$2:$A1234,$B$2:$B1234,B1234)"),17.0)</f>
        <v>17</v>
      </c>
      <c r="F1234" s="6">
        <f t="shared" si="1"/>
        <v>0</v>
      </c>
      <c r="G1234" s="6" t="str">
        <f>IF(MINIFS(dynamic[orderDate], dynamic[customerID], B1234) &gt;= DATE(2024,4,30)-120, 
     "New", 
     IF(MAXIFS(dynamic[orderCount], dynamic[customerID], B1234)&lt;=2, 
        IF((DATE(2024,4,30) - MAXIFS(dynamic[orderDate], dynamic[customerID], B1234)) &gt; 180, "Non-Returning", "Dormant"), 
        IF(AND(MAX(dynamic[sinceLastOrder]) &gt; 365, (DATE(2024,4,30) - MAXIFS(dynamic[orderDate], dynamic[customerID], B1234)) &gt; 180), 
           "Dormant", "Regular")))</f>
        <v>Regular</v>
      </c>
      <c r="H1234" s="6">
        <v>58.0</v>
      </c>
      <c r="I1234" s="9" t="str">
        <f>VLOOKUP(dynamic[productID],products[],2,FALSE)</f>
        <v>Escargots de Bourgogne</v>
      </c>
      <c r="J1234" s="9" t="str">
        <f>VLOOKUP(dynamic[productID],products[],12,FALSE)</f>
        <v>Seafood</v>
      </c>
      <c r="K1234" s="7" t="str">
        <f>IF(VLOOKUP(dynamic[productID],products[],7,FALSE)=1,"Discontinued","Current")</f>
        <v>Current</v>
      </c>
      <c r="L1234" s="9">
        <f>VLOOKUP(dynamic[productID],products[],IF(YEAR(dynamic[orderDate])=2022,8,IF(YEAR(dynamic[orderDate])=2023,9,IF(YEAR(dynamic[orderDate])=2024,10,NA))),FALSE)</f>
        <v>8.208446365</v>
      </c>
      <c r="M1234" s="9">
        <v>13.25</v>
      </c>
      <c r="N1234" s="25">
        <f>(dynamic[orderPrice]-dynamic[productCost])/dynamic[productCost]</f>
        <v>0.61419097</v>
      </c>
      <c r="O1234" s="10">
        <v>12.0</v>
      </c>
      <c r="P1234" s="25">
        <v>0.25</v>
      </c>
      <c r="Q1234" s="9">
        <f>dynamic[orderPrice]*dynamic[orderQuantity]</f>
        <v>159</v>
      </c>
      <c r="R1234" s="9">
        <f>dynamic[orderTotal]*(1-dynamic[discountApllied])</f>
        <v>119.25</v>
      </c>
      <c r="S1234" s="9">
        <f>dynamic[revenue]-(dynamic[productCost]*dynamic[orderQuantity])</f>
        <v>20.74864362</v>
      </c>
      <c r="T1234" s="25">
        <f>IFERROR(dynamic[profit]/dynamic[revenue], 0)</f>
        <v>0.1739928186</v>
      </c>
    </row>
    <row r="1235" ht="15.75" customHeight="1">
      <c r="A1235" s="6">
        <v>10715.0</v>
      </c>
      <c r="B1235" s="7" t="s">
        <v>63</v>
      </c>
      <c r="C1235" s="24" t="str">
        <f>VLOOKUP(dynamic[customerID],customers[],2,FALSE)</f>
        <v>Bon app'</v>
      </c>
      <c r="D1235" s="24">
        <v>45222.0</v>
      </c>
      <c r="E1235" s="6">
        <f>IFERROR(__xludf.DUMMYFUNCTION("COUNTUNIQUEIFS($A$2:$A1235,$B$2:$B1235,B1235)"),8.0)</f>
        <v>8</v>
      </c>
      <c r="F1235" s="6">
        <f t="shared" si="1"/>
        <v>43</v>
      </c>
      <c r="G1235" s="6" t="str">
        <f>IF(MINIFS(dynamic[orderDate], dynamic[customerID], B1235) &gt;= DATE(2024,4,30)-120, 
     "New", 
     IF(MAXIFS(dynamic[orderCount], dynamic[customerID], B1235)&lt;=2, 
        IF((DATE(2024,4,30) - MAXIFS(dynamic[orderDate], dynamic[customerID], B1235)) &gt; 180, "Non-Returning", "Dormant"), 
        IF(AND(MAX(dynamic[sinceLastOrder]) &gt; 365, (DATE(2024,4,30) - MAXIFS(dynamic[orderDate], dynamic[customerID], B1235)) &gt; 180), 
           "Dormant", "Regular")))</f>
        <v>Regular</v>
      </c>
      <c r="H1235" s="6">
        <v>10.0</v>
      </c>
      <c r="I1235" s="9" t="str">
        <f>VLOOKUP(dynamic[productID],products[],2,FALSE)</f>
        <v>Ikura</v>
      </c>
      <c r="J1235" s="9" t="str">
        <f>VLOOKUP(dynamic[productID],products[],12,FALSE)</f>
        <v>Seafood</v>
      </c>
      <c r="K1235" s="7" t="str">
        <f>IF(VLOOKUP(dynamic[productID],products[],7,FALSE)=1,"Discontinued","Current")</f>
        <v>Current</v>
      </c>
      <c r="L1235" s="9">
        <f>VLOOKUP(dynamic[productID],products[],IF(YEAR(dynamic[orderDate])=2022,8,IF(YEAR(dynamic[orderDate])=2023,9,IF(YEAR(dynamic[orderDate])=2024,10,NA))),FALSE)</f>
        <v>20.72721922</v>
      </c>
      <c r="M1235" s="9">
        <v>31.0</v>
      </c>
      <c r="N1235" s="25">
        <f>(dynamic[orderPrice]-dynamic[productCost])/dynamic[productCost]</f>
        <v>0.4956178962</v>
      </c>
      <c r="O1235" s="10">
        <v>21.0</v>
      </c>
      <c r="P1235" s="25">
        <v>0.0</v>
      </c>
      <c r="Q1235" s="9">
        <f>dynamic[orderPrice]*dynamic[orderQuantity]</f>
        <v>651</v>
      </c>
      <c r="R1235" s="9">
        <f>dynamic[orderTotal]*(1-dynamic[discountApllied])</f>
        <v>651</v>
      </c>
      <c r="S1235" s="9">
        <f>dynamic[revenue]-(dynamic[productCost]*dynamic[orderQuantity])</f>
        <v>215.7283964</v>
      </c>
      <c r="T1235" s="25">
        <f>IFERROR(dynamic[profit]/dynamic[revenue], 0)</f>
        <v>0.3313800252</v>
      </c>
    </row>
    <row r="1236" ht="15.75" customHeight="1">
      <c r="A1236" s="6">
        <v>10715.0</v>
      </c>
      <c r="B1236" s="7" t="s">
        <v>63</v>
      </c>
      <c r="C1236" s="24" t="str">
        <f>VLOOKUP(dynamic[customerID],customers[],2,FALSE)</f>
        <v>Bon app'</v>
      </c>
      <c r="D1236" s="24">
        <v>45222.0</v>
      </c>
      <c r="E1236" s="6">
        <f>IFERROR(__xludf.DUMMYFUNCTION("COUNTUNIQUEIFS($A$2:$A1236,$B$2:$B1236,B1236)"),8.0)</f>
        <v>8</v>
      </c>
      <c r="F1236" s="6">
        <f t="shared" si="1"/>
        <v>43</v>
      </c>
      <c r="G1236" s="6" t="str">
        <f>IF(MINIFS(dynamic[orderDate], dynamic[customerID], B1236) &gt;= DATE(2024,4,30)-120, 
     "New", 
     IF(MAXIFS(dynamic[orderCount], dynamic[customerID], B1236)&lt;=2, 
        IF((DATE(2024,4,30) - MAXIFS(dynamic[orderDate], dynamic[customerID], B1236)) &gt; 180, "Non-Returning", "Dormant"), 
        IF(AND(MAX(dynamic[sinceLastOrder]) &gt; 365, (DATE(2024,4,30) - MAXIFS(dynamic[orderDate], dynamic[customerID], B1236)) &gt; 180), 
           "Dormant", "Regular")))</f>
        <v>Regular</v>
      </c>
      <c r="H1236" s="6">
        <v>71.0</v>
      </c>
      <c r="I1236" s="9" t="str">
        <f>VLOOKUP(dynamic[productID],products[],2,FALSE)</f>
        <v>Flotemysost</v>
      </c>
      <c r="J1236" s="9" t="str">
        <f>VLOOKUP(dynamic[productID],products[],12,FALSE)</f>
        <v>Dairy Products</v>
      </c>
      <c r="K1236" s="7" t="str">
        <f>IF(VLOOKUP(dynamic[productID],products[],7,FALSE)=1,"Discontinued","Current")</f>
        <v>Current</v>
      </c>
      <c r="L1236" s="9">
        <f>VLOOKUP(dynamic[productID],products[],IF(YEAR(dynamic[orderDate])=2022,8,IF(YEAR(dynamic[orderDate])=2023,9,IF(YEAR(dynamic[orderDate])=2024,10,NA))),FALSE)</f>
        <v>13.4003664</v>
      </c>
      <c r="M1236" s="9">
        <v>21.5</v>
      </c>
      <c r="N1236" s="25">
        <f>(dynamic[orderPrice]-dynamic[productCost])/dynamic[productCost]</f>
        <v>0.6044337411</v>
      </c>
      <c r="O1236" s="10">
        <v>30.0</v>
      </c>
      <c r="P1236" s="25">
        <v>0.0</v>
      </c>
      <c r="Q1236" s="9">
        <f>dynamic[orderPrice]*dynamic[orderQuantity]</f>
        <v>645</v>
      </c>
      <c r="R1236" s="9">
        <f>dynamic[orderTotal]*(1-dynamic[discountApllied])</f>
        <v>645</v>
      </c>
      <c r="S1236" s="9">
        <f>dynamic[revenue]-(dynamic[productCost]*dynamic[orderQuantity])</f>
        <v>242.9890079</v>
      </c>
      <c r="T1236" s="25">
        <f>IFERROR(dynamic[profit]/dynamic[revenue], 0)</f>
        <v>0.376727144</v>
      </c>
    </row>
    <row r="1237" ht="15.75" customHeight="1">
      <c r="A1237" s="6">
        <v>10716.0</v>
      </c>
      <c r="B1237" s="7" t="s">
        <v>88</v>
      </c>
      <c r="C1237" s="24" t="str">
        <f>VLOOKUP(dynamic[customerID],customers[],2,FALSE)</f>
        <v>Rancho grande</v>
      </c>
      <c r="D1237" s="24">
        <v>45223.0</v>
      </c>
      <c r="E1237" s="6">
        <f>IFERROR(__xludf.DUMMYFUNCTION("COUNTUNIQUEIFS($A$2:$A1237,$B$2:$B1237,B1237)"),2.0)</f>
        <v>2</v>
      </c>
      <c r="F1237" s="6">
        <f t="shared" si="1"/>
        <v>249</v>
      </c>
      <c r="G1237" s="6" t="str">
        <f>IF(MINIFS(dynamic[orderDate], dynamic[customerID], B1237) &gt;= DATE(2024,4,30)-120, 
     "New", 
     IF(MAXIFS(dynamic[orderCount], dynamic[customerID], B1237)&lt;=2, 
        IF((DATE(2024,4,30) - MAXIFS(dynamic[orderDate], dynamic[customerID], B1237)) &gt; 180, "Non-Returning", "Dormant"), 
        IF(AND(MAX(dynamic[sinceLastOrder]) &gt; 365, (DATE(2024,4,30) - MAXIFS(dynamic[orderDate], dynamic[customerID], B1237)) &gt; 180), 
           "Dormant", "Regular")))</f>
        <v>Regular</v>
      </c>
      <c r="H1237" s="6">
        <v>21.0</v>
      </c>
      <c r="I1237" s="9" t="str">
        <f>VLOOKUP(dynamic[productID],products[],2,FALSE)</f>
        <v>Sir Rodney's Scones</v>
      </c>
      <c r="J1237" s="9" t="str">
        <f>VLOOKUP(dynamic[productID],products[],12,FALSE)</f>
        <v>Confections</v>
      </c>
      <c r="K1237" s="7" t="str">
        <f>IF(VLOOKUP(dynamic[productID],products[],7,FALSE)=1,"Discontinued","Current")</f>
        <v>Current</v>
      </c>
      <c r="L1237" s="9">
        <f>VLOOKUP(dynamic[productID],products[],IF(YEAR(dynamic[orderDate])=2022,8,IF(YEAR(dynamic[orderDate])=2023,9,IF(YEAR(dynamic[orderDate])=2024,10,NA))),FALSE)</f>
        <v>6.725636111</v>
      </c>
      <c r="M1237" s="9">
        <v>10.0</v>
      </c>
      <c r="N1237" s="25">
        <f>(dynamic[orderPrice]-dynamic[productCost])/dynamic[productCost]</f>
        <v>0.486848208</v>
      </c>
      <c r="O1237" s="10">
        <v>5.0</v>
      </c>
      <c r="P1237" s="25">
        <v>0.0</v>
      </c>
      <c r="Q1237" s="9">
        <f>dynamic[orderPrice]*dynamic[orderQuantity]</f>
        <v>50</v>
      </c>
      <c r="R1237" s="9">
        <f>dynamic[orderTotal]*(1-dynamic[discountApllied])</f>
        <v>50</v>
      </c>
      <c r="S1237" s="9">
        <f>dynamic[revenue]-(dynamic[productCost]*dynamic[orderQuantity])</f>
        <v>16.37181944</v>
      </c>
      <c r="T1237" s="25">
        <f>IFERROR(dynamic[profit]/dynamic[revenue], 0)</f>
        <v>0.3274363889</v>
      </c>
    </row>
    <row r="1238" ht="15.75" customHeight="1">
      <c r="A1238" s="6">
        <v>10716.0</v>
      </c>
      <c r="B1238" s="7" t="s">
        <v>88</v>
      </c>
      <c r="C1238" s="24" t="str">
        <f>VLOOKUP(dynamic[customerID],customers[],2,FALSE)</f>
        <v>Rancho grande</v>
      </c>
      <c r="D1238" s="24">
        <v>45223.0</v>
      </c>
      <c r="E1238" s="6">
        <f>IFERROR(__xludf.DUMMYFUNCTION("COUNTUNIQUEIFS($A$2:$A1238,$B$2:$B1238,B1238)"),2.0)</f>
        <v>2</v>
      </c>
      <c r="F1238" s="6">
        <f t="shared" si="1"/>
        <v>249</v>
      </c>
      <c r="G1238" s="6" t="str">
        <f>IF(MINIFS(dynamic[orderDate], dynamic[customerID], B1238) &gt;= DATE(2024,4,30)-120, 
     "New", 
     IF(MAXIFS(dynamic[orderCount], dynamic[customerID], B1238)&lt;=2, 
        IF((DATE(2024,4,30) - MAXIFS(dynamic[orderDate], dynamic[customerID], B1238)) &gt; 180, "Non-Returning", "Dormant"), 
        IF(AND(MAX(dynamic[sinceLastOrder]) &gt; 365, (DATE(2024,4,30) - MAXIFS(dynamic[orderDate], dynamic[customerID], B1238)) &gt; 180), 
           "Dormant", "Regular")))</f>
        <v>Regular</v>
      </c>
      <c r="H1238" s="6">
        <v>51.0</v>
      </c>
      <c r="I1238" s="9" t="str">
        <f>VLOOKUP(dynamic[productID],products[],2,FALSE)</f>
        <v>Manjimup Dried Apples</v>
      </c>
      <c r="J1238" s="9" t="str">
        <f>VLOOKUP(dynamic[productID],products[],12,FALSE)</f>
        <v>Produce</v>
      </c>
      <c r="K1238" s="7" t="str">
        <f>IF(VLOOKUP(dynamic[productID],products[],7,FALSE)=1,"Discontinued","Current")</f>
        <v>Current</v>
      </c>
      <c r="L1238" s="9">
        <f>VLOOKUP(dynamic[productID],products[],IF(YEAR(dynamic[orderDate])=2022,8,IF(YEAR(dynamic[orderDate])=2023,9,IF(YEAR(dynamic[orderDate])=2024,10,NA))),FALSE)</f>
        <v>36.88798027</v>
      </c>
      <c r="M1238" s="9">
        <v>53.0</v>
      </c>
      <c r="N1238" s="25">
        <f>(dynamic[orderPrice]-dynamic[productCost])/dynamic[productCost]</f>
        <v>0.4367823779</v>
      </c>
      <c r="O1238" s="10">
        <v>7.0</v>
      </c>
      <c r="P1238" s="25">
        <v>0.0</v>
      </c>
      <c r="Q1238" s="9">
        <f>dynamic[orderPrice]*dynamic[orderQuantity]</f>
        <v>371</v>
      </c>
      <c r="R1238" s="9">
        <f>dynamic[orderTotal]*(1-dynamic[discountApllied])</f>
        <v>371</v>
      </c>
      <c r="S1238" s="9">
        <f>dynamic[revenue]-(dynamic[productCost]*dynamic[orderQuantity])</f>
        <v>112.7841381</v>
      </c>
      <c r="T1238" s="25">
        <f>IFERROR(dynamic[profit]/dynamic[revenue], 0)</f>
        <v>0.3040003724</v>
      </c>
    </row>
    <row r="1239" ht="15.75" customHeight="1">
      <c r="A1239" s="6">
        <v>10716.0</v>
      </c>
      <c r="B1239" s="7" t="s">
        <v>88</v>
      </c>
      <c r="C1239" s="24" t="str">
        <f>VLOOKUP(dynamic[customerID],customers[],2,FALSE)</f>
        <v>Rancho grande</v>
      </c>
      <c r="D1239" s="24">
        <v>45223.0</v>
      </c>
      <c r="E1239" s="6">
        <f>IFERROR(__xludf.DUMMYFUNCTION("COUNTUNIQUEIFS($A$2:$A1239,$B$2:$B1239,B1239)"),2.0)</f>
        <v>2</v>
      </c>
      <c r="F1239" s="6">
        <f t="shared" si="1"/>
        <v>249</v>
      </c>
      <c r="G1239" s="6" t="str">
        <f>IF(MINIFS(dynamic[orderDate], dynamic[customerID], B1239) &gt;= DATE(2024,4,30)-120, 
     "New", 
     IF(MAXIFS(dynamic[orderCount], dynamic[customerID], B1239)&lt;=2, 
        IF((DATE(2024,4,30) - MAXIFS(dynamic[orderDate], dynamic[customerID], B1239)) &gt; 180, "Non-Returning", "Dormant"), 
        IF(AND(MAX(dynamic[sinceLastOrder]) &gt; 365, (DATE(2024,4,30) - MAXIFS(dynamic[orderDate], dynamic[customerID], B1239)) &gt; 180), 
           "Dormant", "Regular")))</f>
        <v>Regular</v>
      </c>
      <c r="H1239" s="6">
        <v>61.0</v>
      </c>
      <c r="I1239" s="9" t="str">
        <f>VLOOKUP(dynamic[productID],products[],2,FALSE)</f>
        <v>Sirop d'érable</v>
      </c>
      <c r="J1239" s="9" t="str">
        <f>VLOOKUP(dynamic[productID],products[],12,FALSE)</f>
        <v>Condiments</v>
      </c>
      <c r="K1239" s="7" t="str">
        <f>IF(VLOOKUP(dynamic[productID],products[],7,FALSE)=1,"Discontinued","Current")</f>
        <v>Current</v>
      </c>
      <c r="L1239" s="9">
        <f>VLOOKUP(dynamic[productID],products[],IF(YEAR(dynamic[orderDate])=2022,8,IF(YEAR(dynamic[orderDate])=2023,9,IF(YEAR(dynamic[orderDate])=2024,10,NA))),FALSE)</f>
        <v>17.19945448</v>
      </c>
      <c r="M1239" s="9">
        <v>28.5</v>
      </c>
      <c r="N1239" s="25">
        <f>(dynamic[orderPrice]-dynamic[productCost])/dynamic[productCost]</f>
        <v>0.6570292986</v>
      </c>
      <c r="O1239" s="10">
        <v>10.0</v>
      </c>
      <c r="P1239" s="25">
        <v>0.0</v>
      </c>
      <c r="Q1239" s="9">
        <f>dynamic[orderPrice]*dynamic[orderQuantity]</f>
        <v>285</v>
      </c>
      <c r="R1239" s="9">
        <f>dynamic[orderTotal]*(1-dynamic[discountApllied])</f>
        <v>285</v>
      </c>
      <c r="S1239" s="9">
        <f>dynamic[revenue]-(dynamic[productCost]*dynamic[orderQuantity])</f>
        <v>113.0054552</v>
      </c>
      <c r="T1239" s="25">
        <f>IFERROR(dynamic[profit]/dynamic[revenue], 0)</f>
        <v>0.396510369</v>
      </c>
    </row>
    <row r="1240" ht="15.75" customHeight="1">
      <c r="A1240" s="6">
        <v>10717.0</v>
      </c>
      <c r="B1240" s="7" t="s">
        <v>32</v>
      </c>
      <c r="C1240" s="24" t="str">
        <f>VLOOKUP(dynamic[customerID],customers[],2,FALSE)</f>
        <v>Frankenversand</v>
      </c>
      <c r="D1240" s="24">
        <v>45223.0</v>
      </c>
      <c r="E1240" s="6">
        <f>IFERROR(__xludf.DUMMYFUNCTION("COUNTUNIQUEIFS($A$2:$A1240,$B$2:$B1240,B1240)"),11.0)</f>
        <v>11</v>
      </c>
      <c r="F1240" s="6">
        <f t="shared" si="1"/>
        <v>35</v>
      </c>
      <c r="G1240" s="6" t="str">
        <f>IF(MINIFS(dynamic[orderDate], dynamic[customerID], B1240) &gt;= DATE(2024,4,30)-120, 
     "New", 
     IF(MAXIFS(dynamic[orderCount], dynamic[customerID], B1240)&lt;=2, 
        IF((DATE(2024,4,30) - MAXIFS(dynamic[orderDate], dynamic[customerID], B1240)) &gt; 180, "Non-Returning", "Dormant"), 
        IF(AND(MAX(dynamic[sinceLastOrder]) &gt; 365, (DATE(2024,4,30) - MAXIFS(dynamic[orderDate], dynamic[customerID], B1240)) &gt; 180), 
           "Dormant", "Regular")))</f>
        <v>Regular</v>
      </c>
      <c r="H1240" s="6">
        <v>21.0</v>
      </c>
      <c r="I1240" s="9" t="str">
        <f>VLOOKUP(dynamic[productID],products[],2,FALSE)</f>
        <v>Sir Rodney's Scones</v>
      </c>
      <c r="J1240" s="9" t="str">
        <f>VLOOKUP(dynamic[productID],products[],12,FALSE)</f>
        <v>Confections</v>
      </c>
      <c r="K1240" s="7" t="str">
        <f>IF(VLOOKUP(dynamic[productID],products[],7,FALSE)=1,"Discontinued","Current")</f>
        <v>Current</v>
      </c>
      <c r="L1240" s="9">
        <f>VLOOKUP(dynamic[productID],products[],IF(YEAR(dynamic[orderDate])=2022,8,IF(YEAR(dynamic[orderDate])=2023,9,IF(YEAR(dynamic[orderDate])=2024,10,NA))),FALSE)</f>
        <v>6.725636111</v>
      </c>
      <c r="M1240" s="9">
        <v>10.0</v>
      </c>
      <c r="N1240" s="25">
        <f>(dynamic[orderPrice]-dynamic[productCost])/dynamic[productCost]</f>
        <v>0.486848208</v>
      </c>
      <c r="O1240" s="10">
        <v>32.0</v>
      </c>
      <c r="P1240" s="25">
        <v>0.05</v>
      </c>
      <c r="Q1240" s="9">
        <f>dynamic[orderPrice]*dynamic[orderQuantity]</f>
        <v>320</v>
      </c>
      <c r="R1240" s="9">
        <f>dynamic[orderTotal]*(1-dynamic[discountApllied])</f>
        <v>304</v>
      </c>
      <c r="S1240" s="9">
        <f>dynamic[revenue]-(dynamic[productCost]*dynamic[orderQuantity])</f>
        <v>88.77964443</v>
      </c>
      <c r="T1240" s="25">
        <f>IFERROR(dynamic[profit]/dynamic[revenue], 0)</f>
        <v>0.2920383041</v>
      </c>
    </row>
    <row r="1241" ht="15.75" customHeight="1">
      <c r="A1241" s="6">
        <v>10717.0</v>
      </c>
      <c r="B1241" s="7" t="s">
        <v>32</v>
      </c>
      <c r="C1241" s="24" t="str">
        <f>VLOOKUP(dynamic[customerID],customers[],2,FALSE)</f>
        <v>Frankenversand</v>
      </c>
      <c r="D1241" s="24">
        <v>45223.0</v>
      </c>
      <c r="E1241" s="6">
        <f>IFERROR(__xludf.DUMMYFUNCTION("COUNTUNIQUEIFS($A$2:$A1241,$B$2:$B1241,B1241)"),11.0)</f>
        <v>11</v>
      </c>
      <c r="F1241" s="6">
        <f t="shared" si="1"/>
        <v>35</v>
      </c>
      <c r="G1241" s="6" t="str">
        <f>IF(MINIFS(dynamic[orderDate], dynamic[customerID], B1241) &gt;= DATE(2024,4,30)-120, 
     "New", 
     IF(MAXIFS(dynamic[orderCount], dynamic[customerID], B1241)&lt;=2, 
        IF((DATE(2024,4,30) - MAXIFS(dynamic[orderDate], dynamic[customerID], B1241)) &gt; 180, "Non-Returning", "Dormant"), 
        IF(AND(MAX(dynamic[sinceLastOrder]) &gt; 365, (DATE(2024,4,30) - MAXIFS(dynamic[orderDate], dynamic[customerID], B1241)) &gt; 180), 
           "Dormant", "Regular")))</f>
        <v>Regular</v>
      </c>
      <c r="H1241" s="6">
        <v>54.0</v>
      </c>
      <c r="I1241" s="9" t="str">
        <f>VLOOKUP(dynamic[productID],products[],2,FALSE)</f>
        <v>Tourtière</v>
      </c>
      <c r="J1241" s="9" t="str">
        <f>VLOOKUP(dynamic[productID],products[],12,FALSE)</f>
        <v>Meat/Poultry</v>
      </c>
      <c r="K1241" s="7" t="str">
        <f>IF(VLOOKUP(dynamic[productID],products[],7,FALSE)=1,"Discontinued","Current")</f>
        <v>Current</v>
      </c>
      <c r="L1241" s="9">
        <f>VLOOKUP(dynamic[productID],products[],IF(YEAR(dynamic[orderDate])=2022,8,IF(YEAR(dynamic[orderDate])=2023,9,IF(YEAR(dynamic[orderDate])=2024,10,NA))),FALSE)</f>
        <v>4.924447797</v>
      </c>
      <c r="M1241" s="9">
        <v>7.45</v>
      </c>
      <c r="N1241" s="25">
        <f>(dynamic[orderPrice]-dynamic[productCost])/dynamic[productCost]</f>
        <v>0.5128599808</v>
      </c>
      <c r="O1241" s="10">
        <v>15.0</v>
      </c>
      <c r="P1241" s="25">
        <v>0.0</v>
      </c>
      <c r="Q1241" s="9">
        <f>dynamic[orderPrice]*dynamic[orderQuantity]</f>
        <v>111.75</v>
      </c>
      <c r="R1241" s="9">
        <f>dynamic[orderTotal]*(1-dynamic[discountApllied])</f>
        <v>111.75</v>
      </c>
      <c r="S1241" s="9">
        <f>dynamic[revenue]-(dynamic[productCost]*dynamic[orderQuantity])</f>
        <v>37.88328304</v>
      </c>
      <c r="T1241" s="25">
        <f>IFERROR(dynamic[profit]/dynamic[revenue], 0)</f>
        <v>0.3390002957</v>
      </c>
    </row>
    <row r="1242" ht="15.75" customHeight="1">
      <c r="A1242" s="6">
        <v>10717.0</v>
      </c>
      <c r="B1242" s="7" t="s">
        <v>32</v>
      </c>
      <c r="C1242" s="24" t="str">
        <f>VLOOKUP(dynamic[customerID],customers[],2,FALSE)</f>
        <v>Frankenversand</v>
      </c>
      <c r="D1242" s="24">
        <v>45223.0</v>
      </c>
      <c r="E1242" s="6">
        <f>IFERROR(__xludf.DUMMYFUNCTION("COUNTUNIQUEIFS($A$2:$A1242,$B$2:$B1242,B1242)"),11.0)</f>
        <v>11</v>
      </c>
      <c r="F1242" s="6">
        <f t="shared" si="1"/>
        <v>35</v>
      </c>
      <c r="G1242" s="6" t="str">
        <f>IF(MINIFS(dynamic[orderDate], dynamic[customerID], B1242) &gt;= DATE(2024,4,30)-120, 
     "New", 
     IF(MAXIFS(dynamic[orderCount], dynamic[customerID], B1242)&lt;=2, 
        IF((DATE(2024,4,30) - MAXIFS(dynamic[orderDate], dynamic[customerID], B1242)) &gt; 180, "Non-Returning", "Dormant"), 
        IF(AND(MAX(dynamic[sinceLastOrder]) &gt; 365, (DATE(2024,4,30) - MAXIFS(dynamic[orderDate], dynamic[customerID], B1242)) &gt; 180), 
           "Dormant", "Regular")))</f>
        <v>Regular</v>
      </c>
      <c r="H1242" s="6">
        <v>69.0</v>
      </c>
      <c r="I1242" s="9" t="str">
        <f>VLOOKUP(dynamic[productID],products[],2,FALSE)</f>
        <v>Gudbrandsdalsost</v>
      </c>
      <c r="J1242" s="9" t="str">
        <f>VLOOKUP(dynamic[productID],products[],12,FALSE)</f>
        <v>Dairy Products</v>
      </c>
      <c r="K1242" s="7" t="str">
        <f>IF(VLOOKUP(dynamic[productID],products[],7,FALSE)=1,"Discontinued","Current")</f>
        <v>Current</v>
      </c>
      <c r="L1242" s="9">
        <f>VLOOKUP(dynamic[productID],products[],IF(YEAR(dynamic[orderDate])=2022,8,IF(YEAR(dynamic[orderDate])=2023,9,IF(YEAR(dynamic[orderDate])=2024,10,NA))),FALSE)</f>
        <v>21.82428612</v>
      </c>
      <c r="M1242" s="9">
        <v>36.0</v>
      </c>
      <c r="N1242" s="25">
        <f>(dynamic[orderPrice]-dynamic[productCost])/dynamic[productCost]</f>
        <v>0.6495384916</v>
      </c>
      <c r="O1242" s="10">
        <v>25.0</v>
      </c>
      <c r="P1242" s="25">
        <v>0.05</v>
      </c>
      <c r="Q1242" s="9">
        <f>dynamic[orderPrice]*dynamic[orderQuantity]</f>
        <v>900</v>
      </c>
      <c r="R1242" s="9">
        <f>dynamic[orderTotal]*(1-dynamic[discountApllied])</f>
        <v>855</v>
      </c>
      <c r="S1242" s="9">
        <f>dynamic[revenue]-(dynamic[productCost]*dynamic[orderQuantity])</f>
        <v>309.3928471</v>
      </c>
      <c r="T1242" s="25">
        <f>IFERROR(dynamic[profit]/dynamic[revenue], 0)</f>
        <v>0.3618629791</v>
      </c>
    </row>
    <row r="1243" ht="15.75" customHeight="1">
      <c r="A1243" s="6">
        <v>10718.0</v>
      </c>
      <c r="B1243" s="7" t="s">
        <v>59</v>
      </c>
      <c r="C1243" s="24" t="str">
        <f>VLOOKUP(dynamic[customerID],customers[],2,FALSE)</f>
        <v>Königlich Essen</v>
      </c>
      <c r="D1243" s="24">
        <v>45226.0</v>
      </c>
      <c r="E1243" s="6">
        <f>IFERROR(__xludf.DUMMYFUNCTION("COUNTUNIQUEIFS($A$2:$A1243,$B$2:$B1243,B1243)"),9.0)</f>
        <v>9</v>
      </c>
      <c r="F1243" s="6">
        <f t="shared" si="1"/>
        <v>75</v>
      </c>
      <c r="G1243" s="6" t="str">
        <f>IF(MINIFS(dynamic[orderDate], dynamic[customerID], B1243) &gt;= DATE(2024,4,30)-120, 
     "New", 
     IF(MAXIFS(dynamic[orderCount], dynamic[customerID], B1243)&lt;=2, 
        IF((DATE(2024,4,30) - MAXIFS(dynamic[orderDate], dynamic[customerID], B1243)) &gt; 180, "Non-Returning", "Dormant"), 
        IF(AND(MAX(dynamic[sinceLastOrder]) &gt; 365, (DATE(2024,4,30) - MAXIFS(dynamic[orderDate], dynamic[customerID], B1243)) &gt; 180), 
           "Dormant", "Regular")))</f>
        <v>Regular</v>
      </c>
      <c r="H1243" s="6">
        <v>12.0</v>
      </c>
      <c r="I1243" s="9" t="str">
        <f>VLOOKUP(dynamic[productID],products[],2,FALSE)</f>
        <v>Queso Manchego La Pastora</v>
      </c>
      <c r="J1243" s="9" t="str">
        <f>VLOOKUP(dynamic[productID],products[],12,FALSE)</f>
        <v>Dairy Products</v>
      </c>
      <c r="K1243" s="7" t="str">
        <f>IF(VLOOKUP(dynamic[productID],products[],7,FALSE)=1,"Discontinued","Current")</f>
        <v>Current</v>
      </c>
      <c r="L1243" s="9">
        <f>VLOOKUP(dynamic[productID],products[],IF(YEAR(dynamic[orderDate])=2022,8,IF(YEAR(dynamic[orderDate])=2023,9,IF(YEAR(dynamic[orderDate])=2024,10,NA))),FALSE)</f>
        <v>23.79216617</v>
      </c>
      <c r="M1243" s="9">
        <v>38.0</v>
      </c>
      <c r="N1243" s="25">
        <f>(dynamic[orderPrice]-dynamic[productCost])/dynamic[productCost]</f>
        <v>0.5971643663</v>
      </c>
      <c r="O1243" s="10">
        <v>36.0</v>
      </c>
      <c r="P1243" s="25">
        <v>0.0</v>
      </c>
      <c r="Q1243" s="9">
        <f>dynamic[orderPrice]*dynamic[orderQuantity]</f>
        <v>1368</v>
      </c>
      <c r="R1243" s="9">
        <f>dynamic[orderTotal]*(1-dynamic[discountApllied])</f>
        <v>1368</v>
      </c>
      <c r="S1243" s="9">
        <f>dynamic[revenue]-(dynamic[productCost]*dynamic[orderQuantity])</f>
        <v>511.482018</v>
      </c>
      <c r="T1243" s="25">
        <f>IFERROR(dynamic[profit]/dynamic[revenue], 0)</f>
        <v>0.373890364</v>
      </c>
    </row>
    <row r="1244" ht="15.75" customHeight="1">
      <c r="A1244" s="6">
        <v>10718.0</v>
      </c>
      <c r="B1244" s="7" t="s">
        <v>59</v>
      </c>
      <c r="C1244" s="24" t="str">
        <f>VLOOKUP(dynamic[customerID],customers[],2,FALSE)</f>
        <v>Königlich Essen</v>
      </c>
      <c r="D1244" s="24">
        <v>45226.0</v>
      </c>
      <c r="E1244" s="6">
        <f>IFERROR(__xludf.DUMMYFUNCTION("COUNTUNIQUEIFS($A$2:$A1244,$B$2:$B1244,B1244)"),9.0)</f>
        <v>9</v>
      </c>
      <c r="F1244" s="6">
        <f t="shared" si="1"/>
        <v>75</v>
      </c>
      <c r="G1244" s="6" t="str">
        <f>IF(MINIFS(dynamic[orderDate], dynamic[customerID], B1244) &gt;= DATE(2024,4,30)-120, 
     "New", 
     IF(MAXIFS(dynamic[orderCount], dynamic[customerID], B1244)&lt;=2, 
        IF((DATE(2024,4,30) - MAXIFS(dynamic[orderDate], dynamic[customerID], B1244)) &gt; 180, "Non-Returning", "Dormant"), 
        IF(AND(MAX(dynamic[sinceLastOrder]) &gt; 365, (DATE(2024,4,30) - MAXIFS(dynamic[orderDate], dynamic[customerID], B1244)) &gt; 180), 
           "Dormant", "Regular")))</f>
        <v>Regular</v>
      </c>
      <c r="H1244" s="6">
        <v>16.0</v>
      </c>
      <c r="I1244" s="9" t="str">
        <f>VLOOKUP(dynamic[productID],products[],2,FALSE)</f>
        <v>Pavlova</v>
      </c>
      <c r="J1244" s="9" t="str">
        <f>VLOOKUP(dynamic[productID],products[],12,FALSE)</f>
        <v>Confections</v>
      </c>
      <c r="K1244" s="7" t="str">
        <f>IF(VLOOKUP(dynamic[productID],products[],7,FALSE)=1,"Discontinued","Current")</f>
        <v>Current</v>
      </c>
      <c r="L1244" s="9">
        <f>VLOOKUP(dynamic[productID],products[],IF(YEAR(dynamic[orderDate])=2022,8,IF(YEAR(dynamic[orderDate])=2023,9,IF(YEAR(dynamic[orderDate])=2024,10,NA))),FALSE)</f>
        <v>11.98504839</v>
      </c>
      <c r="M1244" s="9">
        <v>17.45</v>
      </c>
      <c r="N1244" s="25">
        <f>(dynamic[orderPrice]-dynamic[productCost])/dynamic[productCost]</f>
        <v>0.455980771</v>
      </c>
      <c r="O1244" s="10">
        <v>20.0</v>
      </c>
      <c r="P1244" s="25">
        <v>0.0</v>
      </c>
      <c r="Q1244" s="9">
        <f>dynamic[orderPrice]*dynamic[orderQuantity]</f>
        <v>349</v>
      </c>
      <c r="R1244" s="9">
        <f>dynamic[orderTotal]*(1-dynamic[discountApllied])</f>
        <v>349</v>
      </c>
      <c r="S1244" s="9">
        <f>dynamic[revenue]-(dynamic[productCost]*dynamic[orderQuantity])</f>
        <v>109.2990321</v>
      </c>
      <c r="T1244" s="25">
        <f>IFERROR(dynamic[profit]/dynamic[revenue], 0)</f>
        <v>0.3131777425</v>
      </c>
    </row>
    <row r="1245" ht="15.75" customHeight="1">
      <c r="A1245" s="6">
        <v>10718.0</v>
      </c>
      <c r="B1245" s="7" t="s">
        <v>59</v>
      </c>
      <c r="C1245" s="24" t="str">
        <f>VLOOKUP(dynamic[customerID],customers[],2,FALSE)</f>
        <v>Königlich Essen</v>
      </c>
      <c r="D1245" s="24">
        <v>45226.0</v>
      </c>
      <c r="E1245" s="6">
        <f>IFERROR(__xludf.DUMMYFUNCTION("COUNTUNIQUEIFS($A$2:$A1245,$B$2:$B1245,B1245)"),9.0)</f>
        <v>9</v>
      </c>
      <c r="F1245" s="6">
        <f t="shared" si="1"/>
        <v>75</v>
      </c>
      <c r="G1245" s="6" t="str">
        <f>IF(MINIFS(dynamic[orderDate], dynamic[customerID], B1245) &gt;= DATE(2024,4,30)-120, 
     "New", 
     IF(MAXIFS(dynamic[orderCount], dynamic[customerID], B1245)&lt;=2, 
        IF((DATE(2024,4,30) - MAXIFS(dynamic[orderDate], dynamic[customerID], B1245)) &gt; 180, "Non-Returning", "Dormant"), 
        IF(AND(MAX(dynamic[sinceLastOrder]) &gt; 365, (DATE(2024,4,30) - MAXIFS(dynamic[orderDate], dynamic[customerID], B1245)) &gt; 180), 
           "Dormant", "Regular")))</f>
        <v>Regular</v>
      </c>
      <c r="H1245" s="6">
        <v>36.0</v>
      </c>
      <c r="I1245" s="9" t="str">
        <f>VLOOKUP(dynamic[productID],products[],2,FALSE)</f>
        <v>Inlagd Sill</v>
      </c>
      <c r="J1245" s="9" t="str">
        <f>VLOOKUP(dynamic[productID],products[],12,FALSE)</f>
        <v>Seafood</v>
      </c>
      <c r="K1245" s="7" t="str">
        <f>IF(VLOOKUP(dynamic[productID],products[],7,FALSE)=1,"Discontinued","Current")</f>
        <v>Current</v>
      </c>
      <c r="L1245" s="9">
        <f>VLOOKUP(dynamic[productID],products[],IF(YEAR(dynamic[orderDate])=2022,8,IF(YEAR(dynamic[orderDate])=2023,9,IF(YEAR(dynamic[orderDate])=2024,10,NA))),FALSE)</f>
        <v>12.15246269</v>
      </c>
      <c r="M1245" s="9">
        <v>19.0</v>
      </c>
      <c r="N1245" s="25">
        <f>(dynamic[orderPrice]-dynamic[productCost])/dynamic[productCost]</f>
        <v>0.5634691082</v>
      </c>
      <c r="O1245" s="10">
        <v>40.0</v>
      </c>
      <c r="P1245" s="25">
        <v>0.0</v>
      </c>
      <c r="Q1245" s="9">
        <f>dynamic[orderPrice]*dynamic[orderQuantity]</f>
        <v>760</v>
      </c>
      <c r="R1245" s="9">
        <f>dynamic[orderTotal]*(1-dynamic[discountApllied])</f>
        <v>760</v>
      </c>
      <c r="S1245" s="9">
        <f>dynamic[revenue]-(dynamic[productCost]*dynamic[orderQuantity])</f>
        <v>273.9014925</v>
      </c>
      <c r="T1245" s="25">
        <f>IFERROR(dynamic[profit]/dynamic[revenue], 0)</f>
        <v>0.3603967007</v>
      </c>
    </row>
    <row r="1246" ht="15.75" customHeight="1">
      <c r="A1246" s="6">
        <v>10718.0</v>
      </c>
      <c r="B1246" s="7" t="s">
        <v>59</v>
      </c>
      <c r="C1246" s="24" t="str">
        <f>VLOOKUP(dynamic[customerID],customers[],2,FALSE)</f>
        <v>Königlich Essen</v>
      </c>
      <c r="D1246" s="24">
        <v>45226.0</v>
      </c>
      <c r="E1246" s="6">
        <f>IFERROR(__xludf.DUMMYFUNCTION("COUNTUNIQUEIFS($A$2:$A1246,$B$2:$B1246,B1246)"),9.0)</f>
        <v>9</v>
      </c>
      <c r="F1246" s="6">
        <f t="shared" si="1"/>
        <v>75</v>
      </c>
      <c r="G1246" s="6" t="str">
        <f>IF(MINIFS(dynamic[orderDate], dynamic[customerID], B1246) &gt;= DATE(2024,4,30)-120, 
     "New", 
     IF(MAXIFS(dynamic[orderCount], dynamic[customerID], B1246)&lt;=2, 
        IF((DATE(2024,4,30) - MAXIFS(dynamic[orderDate], dynamic[customerID], B1246)) &gt; 180, "Non-Returning", "Dormant"), 
        IF(AND(MAX(dynamic[sinceLastOrder]) &gt; 365, (DATE(2024,4,30) - MAXIFS(dynamic[orderDate], dynamic[customerID], B1246)) &gt; 180), 
           "Dormant", "Regular")))</f>
        <v>Regular</v>
      </c>
      <c r="H1246" s="6">
        <v>62.0</v>
      </c>
      <c r="I1246" s="9" t="str">
        <f>VLOOKUP(dynamic[productID],products[],2,FALSE)</f>
        <v>Tarte au sucre</v>
      </c>
      <c r="J1246" s="9" t="str">
        <f>VLOOKUP(dynamic[productID],products[],12,FALSE)</f>
        <v>Confections</v>
      </c>
      <c r="K1246" s="7" t="str">
        <f>IF(VLOOKUP(dynamic[productID],products[],7,FALSE)=1,"Discontinued","Current")</f>
        <v>Current</v>
      </c>
      <c r="L1246" s="9">
        <f>VLOOKUP(dynamic[productID],products[],IF(YEAR(dynamic[orderDate])=2022,8,IF(YEAR(dynamic[orderDate])=2023,9,IF(YEAR(dynamic[orderDate])=2024,10,NA))),FALSE)</f>
        <v>35.34792781</v>
      </c>
      <c r="M1246" s="9">
        <v>49.3</v>
      </c>
      <c r="N1246" s="25">
        <f>(dynamic[orderPrice]-dynamic[productCost])/dynamic[productCost]</f>
        <v>0.3947069335</v>
      </c>
      <c r="O1246" s="10">
        <v>20.0</v>
      </c>
      <c r="P1246" s="25">
        <v>0.0</v>
      </c>
      <c r="Q1246" s="9">
        <f>dynamic[orderPrice]*dynamic[orderQuantity]</f>
        <v>986</v>
      </c>
      <c r="R1246" s="9">
        <f>dynamic[orderTotal]*(1-dynamic[discountApllied])</f>
        <v>986</v>
      </c>
      <c r="S1246" s="9">
        <f>dynamic[revenue]-(dynamic[productCost]*dynamic[orderQuantity])</f>
        <v>279.0414438</v>
      </c>
      <c r="T1246" s="25">
        <f>IFERROR(dynamic[profit]/dynamic[revenue], 0)</f>
        <v>0.2830034927</v>
      </c>
    </row>
    <row r="1247" ht="15.75" customHeight="1">
      <c r="A1247" s="6">
        <v>10719.0</v>
      </c>
      <c r="B1247" s="7" t="s">
        <v>97</v>
      </c>
      <c r="C1247" s="24" t="str">
        <f>VLOOKUP(dynamic[customerID],customers[],2,FALSE)</f>
        <v>Let's Stop N Shop</v>
      </c>
      <c r="D1247" s="24">
        <v>45226.0</v>
      </c>
      <c r="E1247" s="6">
        <f>IFERROR(__xludf.DUMMYFUNCTION("COUNTUNIQUEIFS($A$2:$A1247,$B$2:$B1247,B1247)"),2.0)</f>
        <v>2</v>
      </c>
      <c r="F1247" s="6">
        <f t="shared" si="1"/>
        <v>124</v>
      </c>
      <c r="G1247" s="6" t="str">
        <f>IF(MINIFS(dynamic[orderDate], dynamic[customerID], B1247) &gt;= DATE(2024,4,30)-120, 
     "New", 
     IF(MAXIFS(dynamic[orderCount], dynamic[customerID], B1247)&lt;=2, 
        IF((DATE(2024,4,30) - MAXIFS(dynamic[orderDate], dynamic[customerID], B1247)) &gt; 180, "Non-Returning", "Dormant"), 
        IF(AND(MAX(dynamic[sinceLastOrder]) &gt; 365, (DATE(2024,4,30) - MAXIFS(dynamic[orderDate], dynamic[customerID], B1247)) &gt; 180), 
           "Dormant", "Regular")))</f>
        <v>Regular</v>
      </c>
      <c r="H1247" s="6">
        <v>18.0</v>
      </c>
      <c r="I1247" s="9" t="str">
        <f>VLOOKUP(dynamic[productID],products[],2,FALSE)</f>
        <v>Carnarvon Tigers</v>
      </c>
      <c r="J1247" s="9" t="str">
        <f>VLOOKUP(dynamic[productID],products[],12,FALSE)</f>
        <v>Seafood</v>
      </c>
      <c r="K1247" s="7" t="str">
        <f>IF(VLOOKUP(dynamic[productID],products[],7,FALSE)=1,"Discontinued","Current")</f>
        <v>Current</v>
      </c>
      <c r="L1247" s="9">
        <f>VLOOKUP(dynamic[productID],products[],IF(YEAR(dynamic[orderDate])=2022,8,IF(YEAR(dynamic[orderDate])=2023,9,IF(YEAR(dynamic[orderDate])=2024,10,NA))),FALSE)</f>
        <v>39.51966651</v>
      </c>
      <c r="M1247" s="9">
        <v>62.5</v>
      </c>
      <c r="N1247" s="25">
        <f>(dynamic[orderPrice]-dynamic[productCost])/dynamic[productCost]</f>
        <v>0.5814910784</v>
      </c>
      <c r="O1247" s="10">
        <v>12.0</v>
      </c>
      <c r="P1247" s="25">
        <v>0.25</v>
      </c>
      <c r="Q1247" s="9">
        <f>dynamic[orderPrice]*dynamic[orderQuantity]</f>
        <v>750</v>
      </c>
      <c r="R1247" s="9">
        <f>dynamic[orderTotal]*(1-dynamic[discountApllied])</f>
        <v>562.5</v>
      </c>
      <c r="S1247" s="9">
        <f>dynamic[revenue]-(dynamic[productCost]*dynamic[orderQuantity])</f>
        <v>88.26400193</v>
      </c>
      <c r="T1247" s="25">
        <f>IFERROR(dynamic[profit]/dynamic[revenue], 0)</f>
        <v>0.1569137812</v>
      </c>
    </row>
    <row r="1248" ht="15.75" customHeight="1">
      <c r="A1248" s="6">
        <v>10719.0</v>
      </c>
      <c r="B1248" s="7" t="s">
        <v>97</v>
      </c>
      <c r="C1248" s="24" t="str">
        <f>VLOOKUP(dynamic[customerID],customers[],2,FALSE)</f>
        <v>Let's Stop N Shop</v>
      </c>
      <c r="D1248" s="24">
        <v>45226.0</v>
      </c>
      <c r="E1248" s="6">
        <f>IFERROR(__xludf.DUMMYFUNCTION("COUNTUNIQUEIFS($A$2:$A1248,$B$2:$B1248,B1248)"),2.0)</f>
        <v>2</v>
      </c>
      <c r="F1248" s="6">
        <f t="shared" si="1"/>
        <v>124</v>
      </c>
      <c r="G1248" s="6" t="str">
        <f>IF(MINIFS(dynamic[orderDate], dynamic[customerID], B1248) &gt;= DATE(2024,4,30)-120, 
     "New", 
     IF(MAXIFS(dynamic[orderCount], dynamic[customerID], B1248)&lt;=2, 
        IF((DATE(2024,4,30) - MAXIFS(dynamic[orderDate], dynamic[customerID], B1248)) &gt; 180, "Non-Returning", "Dormant"), 
        IF(AND(MAX(dynamic[sinceLastOrder]) &gt; 365, (DATE(2024,4,30) - MAXIFS(dynamic[orderDate], dynamic[customerID], B1248)) &gt; 180), 
           "Dormant", "Regular")))</f>
        <v>Regular</v>
      </c>
      <c r="H1248" s="6">
        <v>30.0</v>
      </c>
      <c r="I1248" s="9" t="str">
        <f>VLOOKUP(dynamic[productID],products[],2,FALSE)</f>
        <v>Nord-Ost Matjeshering</v>
      </c>
      <c r="J1248" s="9" t="str">
        <f>VLOOKUP(dynamic[productID],products[],12,FALSE)</f>
        <v>Seafood</v>
      </c>
      <c r="K1248" s="7" t="str">
        <f>IF(VLOOKUP(dynamic[productID],products[],7,FALSE)=1,"Discontinued","Current")</f>
        <v>Current</v>
      </c>
      <c r="L1248" s="9">
        <f>VLOOKUP(dynamic[productID],products[],IF(YEAR(dynamic[orderDate])=2022,8,IF(YEAR(dynamic[orderDate])=2023,9,IF(YEAR(dynamic[orderDate])=2024,10,NA))),FALSE)</f>
        <v>16.03885249</v>
      </c>
      <c r="M1248" s="9">
        <v>25.89</v>
      </c>
      <c r="N1248" s="25">
        <f>(dynamic[orderPrice]-dynamic[productCost])/dynamic[productCost]</f>
        <v>0.6142052564</v>
      </c>
      <c r="O1248" s="10">
        <v>3.0</v>
      </c>
      <c r="P1248" s="25">
        <v>0.25</v>
      </c>
      <c r="Q1248" s="9">
        <f>dynamic[orderPrice]*dynamic[orderQuantity]</f>
        <v>77.67</v>
      </c>
      <c r="R1248" s="9">
        <f>dynamic[orderTotal]*(1-dynamic[discountApllied])</f>
        <v>58.2525</v>
      </c>
      <c r="S1248" s="9">
        <f>dynamic[revenue]-(dynamic[productCost]*dynamic[orderQuantity])</f>
        <v>10.13594252</v>
      </c>
      <c r="T1248" s="25">
        <f>IFERROR(dynamic[profit]/dynamic[revenue], 0)</f>
        <v>0.1740001291</v>
      </c>
    </row>
    <row r="1249" ht="15.75" customHeight="1">
      <c r="A1249" s="6">
        <v>10719.0</v>
      </c>
      <c r="B1249" s="7" t="s">
        <v>97</v>
      </c>
      <c r="C1249" s="24" t="str">
        <f>VLOOKUP(dynamic[customerID],customers[],2,FALSE)</f>
        <v>Let's Stop N Shop</v>
      </c>
      <c r="D1249" s="24">
        <v>45226.0</v>
      </c>
      <c r="E1249" s="6">
        <f>IFERROR(__xludf.DUMMYFUNCTION("COUNTUNIQUEIFS($A$2:$A1249,$B$2:$B1249,B1249)"),2.0)</f>
        <v>2</v>
      </c>
      <c r="F1249" s="6">
        <f t="shared" si="1"/>
        <v>124</v>
      </c>
      <c r="G1249" s="6" t="str">
        <f>IF(MINIFS(dynamic[orderDate], dynamic[customerID], B1249) &gt;= DATE(2024,4,30)-120, 
     "New", 
     IF(MAXIFS(dynamic[orderCount], dynamic[customerID], B1249)&lt;=2, 
        IF((DATE(2024,4,30) - MAXIFS(dynamic[orderDate], dynamic[customerID], B1249)) &gt; 180, "Non-Returning", "Dormant"), 
        IF(AND(MAX(dynamic[sinceLastOrder]) &gt; 365, (DATE(2024,4,30) - MAXIFS(dynamic[orderDate], dynamic[customerID], B1249)) &gt; 180), 
           "Dormant", "Regular")))</f>
        <v>Regular</v>
      </c>
      <c r="H1249" s="6">
        <v>54.0</v>
      </c>
      <c r="I1249" s="9" t="str">
        <f>VLOOKUP(dynamic[productID],products[],2,FALSE)</f>
        <v>Tourtière</v>
      </c>
      <c r="J1249" s="9" t="str">
        <f>VLOOKUP(dynamic[productID],products[],12,FALSE)</f>
        <v>Meat/Poultry</v>
      </c>
      <c r="K1249" s="7" t="str">
        <f>IF(VLOOKUP(dynamic[productID],products[],7,FALSE)=1,"Discontinued","Current")</f>
        <v>Current</v>
      </c>
      <c r="L1249" s="9">
        <f>VLOOKUP(dynamic[productID],products[],IF(YEAR(dynamic[orderDate])=2022,8,IF(YEAR(dynamic[orderDate])=2023,9,IF(YEAR(dynamic[orderDate])=2024,10,NA))),FALSE)</f>
        <v>4.924447797</v>
      </c>
      <c r="M1249" s="9">
        <v>7.45</v>
      </c>
      <c r="N1249" s="25">
        <f>(dynamic[orderPrice]-dynamic[productCost])/dynamic[productCost]</f>
        <v>0.5128599808</v>
      </c>
      <c r="O1249" s="10">
        <v>40.0</v>
      </c>
      <c r="P1249" s="25">
        <v>0.25</v>
      </c>
      <c r="Q1249" s="9">
        <f>dynamic[orderPrice]*dynamic[orderQuantity]</f>
        <v>298</v>
      </c>
      <c r="R1249" s="9">
        <f>dynamic[orderTotal]*(1-dynamic[discountApllied])</f>
        <v>223.5</v>
      </c>
      <c r="S1249" s="9">
        <f>dynamic[revenue]-(dynamic[productCost]*dynamic[orderQuantity])</f>
        <v>26.52208812</v>
      </c>
      <c r="T1249" s="25">
        <f>IFERROR(dynamic[profit]/dynamic[revenue], 0)</f>
        <v>0.1186670609</v>
      </c>
    </row>
    <row r="1250" ht="15.75" customHeight="1">
      <c r="A1250" s="6">
        <v>10720.0</v>
      </c>
      <c r="B1250" s="7" t="s">
        <v>27</v>
      </c>
      <c r="C1250" s="24" t="str">
        <f>VLOOKUP(dynamic[customerID],customers[],2,FALSE)</f>
        <v>Que Delícia</v>
      </c>
      <c r="D1250" s="24">
        <v>45227.0</v>
      </c>
      <c r="E1250" s="6">
        <f>IFERROR(__xludf.DUMMYFUNCTION("COUNTUNIQUEIFS($A$2:$A1250,$B$2:$B1250,B1250)"),7.0)</f>
        <v>7</v>
      </c>
      <c r="F1250" s="6">
        <f t="shared" si="1"/>
        <v>62</v>
      </c>
      <c r="G1250" s="6" t="str">
        <f>IF(MINIFS(dynamic[orderDate], dynamic[customerID], B1250) &gt;= DATE(2024,4,30)-120, 
     "New", 
     IF(MAXIFS(dynamic[orderCount], dynamic[customerID], B1250)&lt;=2, 
        IF((DATE(2024,4,30) - MAXIFS(dynamic[orderDate], dynamic[customerID], B1250)) &gt; 180, "Non-Returning", "Dormant"), 
        IF(AND(MAX(dynamic[sinceLastOrder]) &gt; 365, (DATE(2024,4,30) - MAXIFS(dynamic[orderDate], dynamic[customerID], B1250)) &gt; 180), 
           "Dormant", "Regular")))</f>
        <v>Regular</v>
      </c>
      <c r="H1250" s="6">
        <v>35.0</v>
      </c>
      <c r="I1250" s="9" t="str">
        <f>VLOOKUP(dynamic[productID],products[],2,FALSE)</f>
        <v>Cold Brew Nitro</v>
      </c>
      <c r="J1250" s="9" t="str">
        <f>VLOOKUP(dynamic[productID],products[],12,FALSE)</f>
        <v>Beverages</v>
      </c>
      <c r="K1250" s="7" t="str">
        <f>IF(VLOOKUP(dynamic[productID],products[],7,FALSE)=1,"Discontinued","Current")</f>
        <v>Current</v>
      </c>
      <c r="L1250" s="9">
        <f>VLOOKUP(dynamic[productID],products[],IF(YEAR(dynamic[orderDate])=2022,8,IF(YEAR(dynamic[orderDate])=2023,9,IF(YEAR(dynamic[orderDate])=2024,10,NA))),FALSE)</f>
        <v>11.7602531</v>
      </c>
      <c r="M1250" s="9">
        <v>18.0</v>
      </c>
      <c r="N1250" s="25">
        <f>(dynamic[orderPrice]-dynamic[productCost])/dynamic[productCost]</f>
        <v>0.5305793033</v>
      </c>
      <c r="O1250" s="10">
        <v>21.0</v>
      </c>
      <c r="P1250" s="25">
        <v>0.0</v>
      </c>
      <c r="Q1250" s="9">
        <f>dynamic[orderPrice]*dynamic[orderQuantity]</f>
        <v>378</v>
      </c>
      <c r="R1250" s="9">
        <f>dynamic[orderTotal]*(1-dynamic[discountApllied])</f>
        <v>378</v>
      </c>
      <c r="S1250" s="9">
        <f>dynamic[revenue]-(dynamic[productCost]*dynamic[orderQuantity])</f>
        <v>131.0346848</v>
      </c>
      <c r="T1250" s="25">
        <f>IFERROR(dynamic[profit]/dynamic[revenue], 0)</f>
        <v>0.3466526054</v>
      </c>
    </row>
    <row r="1251" ht="15.75" customHeight="1">
      <c r="A1251" s="6">
        <v>10720.0</v>
      </c>
      <c r="B1251" s="7" t="s">
        <v>27</v>
      </c>
      <c r="C1251" s="24" t="str">
        <f>VLOOKUP(dynamic[customerID],customers[],2,FALSE)</f>
        <v>Que Delícia</v>
      </c>
      <c r="D1251" s="24">
        <v>45227.0</v>
      </c>
      <c r="E1251" s="6">
        <f>IFERROR(__xludf.DUMMYFUNCTION("COUNTUNIQUEIFS($A$2:$A1251,$B$2:$B1251,B1251)"),7.0)</f>
        <v>7</v>
      </c>
      <c r="F1251" s="6">
        <f t="shared" si="1"/>
        <v>62</v>
      </c>
      <c r="G1251" s="6" t="str">
        <f>IF(MINIFS(dynamic[orderDate], dynamic[customerID], B1251) &gt;= DATE(2024,4,30)-120, 
     "New", 
     IF(MAXIFS(dynamic[orderCount], dynamic[customerID], B1251)&lt;=2, 
        IF((DATE(2024,4,30) - MAXIFS(dynamic[orderDate], dynamic[customerID], B1251)) &gt; 180, "Non-Returning", "Dormant"), 
        IF(AND(MAX(dynamic[sinceLastOrder]) &gt; 365, (DATE(2024,4,30) - MAXIFS(dynamic[orderDate], dynamic[customerID], B1251)) &gt; 180), 
           "Dormant", "Regular")))</f>
        <v>Regular</v>
      </c>
      <c r="H1251" s="6">
        <v>71.0</v>
      </c>
      <c r="I1251" s="9" t="str">
        <f>VLOOKUP(dynamic[productID],products[],2,FALSE)</f>
        <v>Flotemysost</v>
      </c>
      <c r="J1251" s="9" t="str">
        <f>VLOOKUP(dynamic[productID],products[],12,FALSE)</f>
        <v>Dairy Products</v>
      </c>
      <c r="K1251" s="7" t="str">
        <f>IF(VLOOKUP(dynamic[productID],products[],7,FALSE)=1,"Discontinued","Current")</f>
        <v>Current</v>
      </c>
      <c r="L1251" s="9">
        <f>VLOOKUP(dynamic[productID],products[],IF(YEAR(dynamic[orderDate])=2022,8,IF(YEAR(dynamic[orderDate])=2023,9,IF(YEAR(dynamic[orderDate])=2024,10,NA))),FALSE)</f>
        <v>13.4003664</v>
      </c>
      <c r="M1251" s="9">
        <v>21.5</v>
      </c>
      <c r="N1251" s="25">
        <f>(dynamic[orderPrice]-dynamic[productCost])/dynamic[productCost]</f>
        <v>0.6044337411</v>
      </c>
      <c r="O1251" s="10">
        <v>8.0</v>
      </c>
      <c r="P1251" s="25">
        <v>0.0</v>
      </c>
      <c r="Q1251" s="9">
        <f>dynamic[orderPrice]*dynamic[orderQuantity]</f>
        <v>172</v>
      </c>
      <c r="R1251" s="9">
        <f>dynamic[orderTotal]*(1-dynamic[discountApllied])</f>
        <v>172</v>
      </c>
      <c r="S1251" s="9">
        <f>dynamic[revenue]-(dynamic[productCost]*dynamic[orderQuantity])</f>
        <v>64.79706878</v>
      </c>
      <c r="T1251" s="25">
        <f>IFERROR(dynamic[profit]/dynamic[revenue], 0)</f>
        <v>0.376727144</v>
      </c>
    </row>
    <row r="1252" ht="15.75" customHeight="1">
      <c r="A1252" s="6">
        <v>10721.0</v>
      </c>
      <c r="B1252" s="7" t="s">
        <v>36</v>
      </c>
      <c r="C1252" s="24" t="str">
        <f>VLOOKUP(dynamic[customerID],customers[],2,FALSE)</f>
        <v>QUICK-Stop</v>
      </c>
      <c r="D1252" s="24">
        <v>45228.0</v>
      </c>
      <c r="E1252" s="6">
        <f>IFERROR(__xludf.DUMMYFUNCTION("COUNTUNIQUEIFS($A$2:$A1252,$B$2:$B1252,B1252)"),17.0)</f>
        <v>17</v>
      </c>
      <c r="F1252" s="6">
        <f t="shared" si="1"/>
        <v>23</v>
      </c>
      <c r="G1252" s="6" t="str">
        <f>IF(MINIFS(dynamic[orderDate], dynamic[customerID], B1252) &gt;= DATE(2024,4,30)-120, 
     "New", 
     IF(MAXIFS(dynamic[orderCount], dynamic[customerID], B1252)&lt;=2, 
        IF((DATE(2024,4,30) - MAXIFS(dynamic[orderDate], dynamic[customerID], B1252)) &gt; 180, "Non-Returning", "Dormant"), 
        IF(AND(MAX(dynamic[sinceLastOrder]) &gt; 365, (DATE(2024,4,30) - MAXIFS(dynamic[orderDate], dynamic[customerID], B1252)) &gt; 180), 
           "Dormant", "Regular")))</f>
        <v>Regular</v>
      </c>
      <c r="H1252" s="6">
        <v>44.0</v>
      </c>
      <c r="I1252" s="9" t="str">
        <f>VLOOKUP(dynamic[productID],products[],2,FALSE)</f>
        <v>Gula Malacca</v>
      </c>
      <c r="J1252" s="9" t="str">
        <f>VLOOKUP(dynamic[productID],products[],12,FALSE)</f>
        <v>Condiments</v>
      </c>
      <c r="K1252" s="7" t="str">
        <f>IF(VLOOKUP(dynamic[productID],products[],7,FALSE)=1,"Discontinued","Current")</f>
        <v>Current</v>
      </c>
      <c r="L1252" s="9">
        <f>VLOOKUP(dynamic[productID],products[],IF(YEAR(dynamic[orderDate])=2022,8,IF(YEAR(dynamic[orderDate])=2023,9,IF(YEAR(dynamic[orderDate])=2024,10,NA))),FALSE)</f>
        <v>13.06032103</v>
      </c>
      <c r="M1252" s="9">
        <v>19.45</v>
      </c>
      <c r="N1252" s="25">
        <f>(dynamic[orderPrice]-dynamic[productCost])/dynamic[productCost]</f>
        <v>0.4892436379</v>
      </c>
      <c r="O1252" s="10">
        <v>50.0</v>
      </c>
      <c r="P1252" s="25">
        <v>0.05</v>
      </c>
      <c r="Q1252" s="9">
        <f>dynamic[orderPrice]*dynamic[orderQuantity]</f>
        <v>972.5</v>
      </c>
      <c r="R1252" s="9">
        <f>dynamic[orderTotal]*(1-dynamic[discountApllied])</f>
        <v>923.875</v>
      </c>
      <c r="S1252" s="9">
        <f>dynamic[revenue]-(dynamic[productCost]*dynamic[orderQuantity])</f>
        <v>270.8589486</v>
      </c>
      <c r="T1252" s="25">
        <f>IFERROR(dynamic[profit]/dynamic[revenue], 0)</f>
        <v>0.2931770516</v>
      </c>
    </row>
    <row r="1253" ht="15.75" customHeight="1">
      <c r="A1253" s="6">
        <v>10722.0</v>
      </c>
      <c r="B1253" s="7" t="s">
        <v>60</v>
      </c>
      <c r="C1253" s="24" t="str">
        <f>VLOOKUP(dynamic[customerID],customers[],2,FALSE)</f>
        <v>Save-a-lot Markets</v>
      </c>
      <c r="D1253" s="24">
        <v>45228.0</v>
      </c>
      <c r="E1253" s="6">
        <f>IFERROR(__xludf.DUMMYFUNCTION("COUNTUNIQUEIFS($A$2:$A1253,$B$2:$B1253,B1253)"),18.0)</f>
        <v>18</v>
      </c>
      <c r="F1253" s="6">
        <f t="shared" si="1"/>
        <v>7</v>
      </c>
      <c r="G1253" s="6" t="str">
        <f>IF(MINIFS(dynamic[orderDate], dynamic[customerID], B1253) &gt;= DATE(2024,4,30)-120, 
     "New", 
     IF(MAXIFS(dynamic[orderCount], dynamic[customerID], B1253)&lt;=2, 
        IF((DATE(2024,4,30) - MAXIFS(dynamic[orderDate], dynamic[customerID], B1253)) &gt; 180, "Non-Returning", "Dormant"), 
        IF(AND(MAX(dynamic[sinceLastOrder]) &gt; 365, (DATE(2024,4,30) - MAXIFS(dynamic[orderDate], dynamic[customerID], B1253)) &gt; 180), 
           "Dormant", "Regular")))</f>
        <v>Regular</v>
      </c>
      <c r="H1253" s="6">
        <v>2.0</v>
      </c>
      <c r="I1253" s="9" t="str">
        <f>VLOOKUP(dynamic[productID],products[],2,FALSE)</f>
        <v>Chang</v>
      </c>
      <c r="J1253" s="9" t="str">
        <f>VLOOKUP(dynamic[productID],products[],12,FALSE)</f>
        <v>Beverages</v>
      </c>
      <c r="K1253" s="7" t="str">
        <f>IF(VLOOKUP(dynamic[productID],products[],7,FALSE)=1,"Discontinued","Current")</f>
        <v>Current</v>
      </c>
      <c r="L1253" s="9">
        <f>VLOOKUP(dynamic[productID],products[],IF(YEAR(dynamic[orderDate])=2022,8,IF(YEAR(dynamic[orderDate])=2023,9,IF(YEAR(dynamic[orderDate])=2024,10,NA))),FALSE)</f>
        <v>12.14626904</v>
      </c>
      <c r="M1253" s="9">
        <v>19.0</v>
      </c>
      <c r="N1253" s="25">
        <f>(dynamic[orderPrice]-dynamic[productCost])/dynamic[productCost]</f>
        <v>0.5642663547</v>
      </c>
      <c r="O1253" s="10">
        <v>3.0</v>
      </c>
      <c r="P1253" s="25">
        <v>0.0</v>
      </c>
      <c r="Q1253" s="9">
        <f>dynamic[orderPrice]*dynamic[orderQuantity]</f>
        <v>57</v>
      </c>
      <c r="R1253" s="9">
        <f>dynamic[orderTotal]*(1-dynamic[discountApllied])</f>
        <v>57</v>
      </c>
      <c r="S1253" s="9">
        <f>dynamic[revenue]-(dynamic[productCost]*dynamic[orderQuantity])</f>
        <v>20.56119287</v>
      </c>
      <c r="T1253" s="25">
        <f>IFERROR(dynamic[profit]/dynamic[revenue], 0)</f>
        <v>0.3607226819</v>
      </c>
    </row>
    <row r="1254" ht="15.75" customHeight="1">
      <c r="A1254" s="6">
        <v>10722.0</v>
      </c>
      <c r="B1254" s="7" t="s">
        <v>60</v>
      </c>
      <c r="C1254" s="24" t="str">
        <f>VLOOKUP(dynamic[customerID],customers[],2,FALSE)</f>
        <v>Save-a-lot Markets</v>
      </c>
      <c r="D1254" s="24">
        <v>45228.0</v>
      </c>
      <c r="E1254" s="6">
        <f>IFERROR(__xludf.DUMMYFUNCTION("COUNTUNIQUEIFS($A$2:$A1254,$B$2:$B1254,B1254)"),18.0)</f>
        <v>18</v>
      </c>
      <c r="F1254" s="6">
        <f t="shared" si="1"/>
        <v>7</v>
      </c>
      <c r="G1254" s="6" t="str">
        <f>IF(MINIFS(dynamic[orderDate], dynamic[customerID], B1254) &gt;= DATE(2024,4,30)-120, 
     "New", 
     IF(MAXIFS(dynamic[orderCount], dynamic[customerID], B1254)&lt;=2, 
        IF((DATE(2024,4,30) - MAXIFS(dynamic[orderDate], dynamic[customerID], B1254)) &gt; 180, "Non-Returning", "Dormant"), 
        IF(AND(MAX(dynamic[sinceLastOrder]) &gt; 365, (DATE(2024,4,30) - MAXIFS(dynamic[orderDate], dynamic[customerID], B1254)) &gt; 180), 
           "Dormant", "Regular")))</f>
        <v>Regular</v>
      </c>
      <c r="H1254" s="6">
        <v>31.0</v>
      </c>
      <c r="I1254" s="9" t="str">
        <f>VLOOKUP(dynamic[productID],products[],2,FALSE)</f>
        <v>Gorgonzola Telino</v>
      </c>
      <c r="J1254" s="9" t="str">
        <f>VLOOKUP(dynamic[productID],products[],12,FALSE)</f>
        <v>Dairy Products</v>
      </c>
      <c r="K1254" s="7" t="str">
        <f>IF(VLOOKUP(dynamic[productID],products[],7,FALSE)=1,"Discontinued","Current")</f>
        <v>Current</v>
      </c>
      <c r="L1254" s="9">
        <f>VLOOKUP(dynamic[productID],products[],IF(YEAR(dynamic[orderDate])=2022,8,IF(YEAR(dynamic[orderDate])=2023,9,IF(YEAR(dynamic[orderDate])=2024,10,NA))),FALSE)</f>
        <v>7.937729254</v>
      </c>
      <c r="M1254" s="9">
        <v>12.5</v>
      </c>
      <c r="N1254" s="25">
        <f>(dynamic[orderPrice]-dynamic[productCost])/dynamic[productCost]</f>
        <v>0.5747576668</v>
      </c>
      <c r="O1254" s="10">
        <v>50.0</v>
      </c>
      <c r="P1254" s="25">
        <v>0.0</v>
      </c>
      <c r="Q1254" s="9">
        <f>dynamic[orderPrice]*dynamic[orderQuantity]</f>
        <v>625</v>
      </c>
      <c r="R1254" s="9">
        <f>dynamic[orderTotal]*(1-dynamic[discountApllied])</f>
        <v>625</v>
      </c>
      <c r="S1254" s="9">
        <f>dynamic[revenue]-(dynamic[productCost]*dynamic[orderQuantity])</f>
        <v>228.1135373</v>
      </c>
      <c r="T1254" s="25">
        <f>IFERROR(dynamic[profit]/dynamic[revenue], 0)</f>
        <v>0.3649816597</v>
      </c>
    </row>
    <row r="1255" ht="15.75" customHeight="1">
      <c r="A1255" s="6">
        <v>10722.0</v>
      </c>
      <c r="B1255" s="7" t="s">
        <v>60</v>
      </c>
      <c r="C1255" s="24" t="str">
        <f>VLOOKUP(dynamic[customerID],customers[],2,FALSE)</f>
        <v>Save-a-lot Markets</v>
      </c>
      <c r="D1255" s="24">
        <v>45228.0</v>
      </c>
      <c r="E1255" s="6">
        <f>IFERROR(__xludf.DUMMYFUNCTION("COUNTUNIQUEIFS($A$2:$A1255,$B$2:$B1255,B1255)"),18.0)</f>
        <v>18</v>
      </c>
      <c r="F1255" s="6">
        <f t="shared" si="1"/>
        <v>7</v>
      </c>
      <c r="G1255" s="6" t="str">
        <f>IF(MINIFS(dynamic[orderDate], dynamic[customerID], B1255) &gt;= DATE(2024,4,30)-120, 
     "New", 
     IF(MAXIFS(dynamic[orderCount], dynamic[customerID], B1255)&lt;=2, 
        IF((DATE(2024,4,30) - MAXIFS(dynamic[orderDate], dynamic[customerID], B1255)) &gt; 180, "Non-Returning", "Dormant"), 
        IF(AND(MAX(dynamic[sinceLastOrder]) &gt; 365, (DATE(2024,4,30) - MAXIFS(dynamic[orderDate], dynamic[customerID], B1255)) &gt; 180), 
           "Dormant", "Regular")))</f>
        <v>Regular</v>
      </c>
      <c r="H1255" s="6">
        <v>68.0</v>
      </c>
      <c r="I1255" s="9" t="str">
        <f>VLOOKUP(dynamic[productID],products[],2,FALSE)</f>
        <v>Scottish Longbreads</v>
      </c>
      <c r="J1255" s="9" t="str">
        <f>VLOOKUP(dynamic[productID],products[],12,FALSE)</f>
        <v>Confections</v>
      </c>
      <c r="K1255" s="7" t="str">
        <f>IF(VLOOKUP(dynamic[productID],products[],7,FALSE)=1,"Discontinued","Current")</f>
        <v>Current</v>
      </c>
      <c r="L1255" s="9">
        <f>VLOOKUP(dynamic[productID],products[],IF(YEAR(dynamic[orderDate])=2022,8,IF(YEAR(dynamic[orderDate])=2023,9,IF(YEAR(dynamic[orderDate])=2024,10,NA))),FALSE)</f>
        <v>8.500000387</v>
      </c>
      <c r="M1255" s="9">
        <v>12.5</v>
      </c>
      <c r="N1255" s="25">
        <f>(dynamic[orderPrice]-dynamic[productCost])/dynamic[productCost]</f>
        <v>0.4705881684</v>
      </c>
      <c r="O1255" s="10">
        <v>45.0</v>
      </c>
      <c r="P1255" s="25">
        <v>0.0</v>
      </c>
      <c r="Q1255" s="9">
        <f>dynamic[orderPrice]*dynamic[orderQuantity]</f>
        <v>562.5</v>
      </c>
      <c r="R1255" s="9">
        <f>dynamic[orderTotal]*(1-dynamic[discountApllied])</f>
        <v>562.5</v>
      </c>
      <c r="S1255" s="9">
        <f>dynamic[revenue]-(dynamic[productCost]*dynamic[orderQuantity])</f>
        <v>179.9999826</v>
      </c>
      <c r="T1255" s="25">
        <f>IFERROR(dynamic[profit]/dynamic[revenue], 0)</f>
        <v>0.3199999691</v>
      </c>
    </row>
    <row r="1256" ht="15.75" customHeight="1">
      <c r="A1256" s="6">
        <v>10722.0</v>
      </c>
      <c r="B1256" s="7" t="s">
        <v>60</v>
      </c>
      <c r="C1256" s="24" t="str">
        <f>VLOOKUP(dynamic[customerID],customers[],2,FALSE)</f>
        <v>Save-a-lot Markets</v>
      </c>
      <c r="D1256" s="24">
        <v>45228.0</v>
      </c>
      <c r="E1256" s="6">
        <f>IFERROR(__xludf.DUMMYFUNCTION("COUNTUNIQUEIFS($A$2:$A1256,$B$2:$B1256,B1256)"),18.0)</f>
        <v>18</v>
      </c>
      <c r="F1256" s="6">
        <f t="shared" si="1"/>
        <v>7</v>
      </c>
      <c r="G1256" s="6" t="str">
        <f>IF(MINIFS(dynamic[orderDate], dynamic[customerID], B1256) &gt;= DATE(2024,4,30)-120, 
     "New", 
     IF(MAXIFS(dynamic[orderCount], dynamic[customerID], B1256)&lt;=2, 
        IF((DATE(2024,4,30) - MAXIFS(dynamic[orderDate], dynamic[customerID], B1256)) &gt; 180, "Non-Returning", "Dormant"), 
        IF(AND(MAX(dynamic[sinceLastOrder]) &gt; 365, (DATE(2024,4,30) - MAXIFS(dynamic[orderDate], dynamic[customerID], B1256)) &gt; 180), 
           "Dormant", "Regular")))</f>
        <v>Regular</v>
      </c>
      <c r="H1256" s="6">
        <v>75.0</v>
      </c>
      <c r="I1256" s="9" t="str">
        <f>VLOOKUP(dynamic[productID],products[],2,FALSE)</f>
        <v>Rhönbräu Klosterbier</v>
      </c>
      <c r="J1256" s="9" t="str">
        <f>VLOOKUP(dynamic[productID],products[],12,FALSE)</f>
        <v>Beverages</v>
      </c>
      <c r="K1256" s="7" t="str">
        <f>IF(VLOOKUP(dynamic[productID],products[],7,FALSE)=1,"Discontinued","Current")</f>
        <v>Current</v>
      </c>
      <c r="L1256" s="9">
        <f>VLOOKUP(dynamic[productID],products[],IF(YEAR(dynamic[orderDate])=2022,8,IF(YEAR(dynamic[orderDate])=2023,9,IF(YEAR(dynamic[orderDate])=2024,10,NA))),FALSE)</f>
        <v>5.355290472</v>
      </c>
      <c r="M1256" s="9">
        <v>7.75</v>
      </c>
      <c r="N1256" s="25">
        <f>(dynamic[orderPrice]-dynamic[productCost])/dynamic[productCost]</f>
        <v>0.4471670661</v>
      </c>
      <c r="O1256" s="10">
        <v>42.0</v>
      </c>
      <c r="P1256" s="25">
        <v>0.0</v>
      </c>
      <c r="Q1256" s="9">
        <f>dynamic[orderPrice]*dynamic[orderQuantity]</f>
        <v>325.5</v>
      </c>
      <c r="R1256" s="9">
        <f>dynamic[orderTotal]*(1-dynamic[discountApllied])</f>
        <v>325.5</v>
      </c>
      <c r="S1256" s="9">
        <f>dynamic[revenue]-(dynamic[productCost]*dynamic[orderQuantity])</f>
        <v>100.5778002</v>
      </c>
      <c r="T1256" s="25">
        <f>IFERROR(dynamic[profit]/dynamic[revenue], 0)</f>
        <v>0.3089947778</v>
      </c>
    </row>
    <row r="1257" ht="15.75" customHeight="1">
      <c r="A1257" s="6">
        <v>10723.0</v>
      </c>
      <c r="B1257" s="7" t="s">
        <v>34</v>
      </c>
      <c r="C1257" s="24" t="str">
        <f>VLOOKUP(dynamic[customerID],customers[],2,FALSE)</f>
        <v>White Clover Markets</v>
      </c>
      <c r="D1257" s="24">
        <v>45229.0</v>
      </c>
      <c r="E1257" s="6">
        <f>IFERROR(__xludf.DUMMYFUNCTION("COUNTUNIQUEIFS($A$2:$A1257,$B$2:$B1257,B1257)"),9.0)</f>
        <v>9</v>
      </c>
      <c r="F1257" s="6">
        <f t="shared" si="1"/>
        <v>22</v>
      </c>
      <c r="G1257" s="6" t="str">
        <f>IF(MINIFS(dynamic[orderDate], dynamic[customerID], B1257) &gt;= DATE(2024,4,30)-120, 
     "New", 
     IF(MAXIFS(dynamic[orderCount], dynamic[customerID], B1257)&lt;=2, 
        IF((DATE(2024,4,30) - MAXIFS(dynamic[orderDate], dynamic[customerID], B1257)) &gt; 180, "Non-Returning", "Dormant"), 
        IF(AND(MAX(dynamic[sinceLastOrder]) &gt; 365, (DATE(2024,4,30) - MAXIFS(dynamic[orderDate], dynamic[customerID], B1257)) &gt; 180), 
           "Dormant", "Regular")))</f>
        <v>Regular</v>
      </c>
      <c r="H1257" s="6">
        <v>26.0</v>
      </c>
      <c r="I1257" s="9" t="str">
        <f>VLOOKUP(dynamic[productID],products[],2,FALSE)</f>
        <v>NuNuCa Nuß-Nougat-Creme</v>
      </c>
      <c r="J1257" s="9" t="str">
        <f>VLOOKUP(dynamic[productID],products[],12,FALSE)</f>
        <v>Confections</v>
      </c>
      <c r="K1257" s="7" t="str">
        <f>IF(VLOOKUP(dynamic[productID],products[],7,FALSE)=1,"Discontinued","Current")</f>
        <v>Current</v>
      </c>
      <c r="L1257" s="9">
        <f>VLOOKUP(dynamic[productID],products[],IF(YEAR(dynamic[orderDate])=2022,8,IF(YEAR(dynamic[orderDate])=2023,9,IF(YEAR(dynamic[orderDate])=2024,10,NA))),FALSE)</f>
        <v>21.20896201</v>
      </c>
      <c r="M1257" s="9">
        <v>31.23</v>
      </c>
      <c r="N1257" s="25">
        <f>(dynamic[orderPrice]-dynamic[productCost])/dynamic[productCost]</f>
        <v>0.472490732</v>
      </c>
      <c r="O1257" s="10">
        <v>15.0</v>
      </c>
      <c r="P1257" s="25">
        <v>0.0</v>
      </c>
      <c r="Q1257" s="9">
        <f>dynamic[orderPrice]*dynamic[orderQuantity]</f>
        <v>468.45</v>
      </c>
      <c r="R1257" s="9">
        <f>dynamic[orderTotal]*(1-dynamic[discountApllied])</f>
        <v>468.45</v>
      </c>
      <c r="S1257" s="9">
        <f>dynamic[revenue]-(dynamic[productCost]*dynamic[orderQuantity])</f>
        <v>150.3155698</v>
      </c>
      <c r="T1257" s="25">
        <f>IFERROR(dynamic[profit]/dynamic[revenue], 0)</f>
        <v>0.3208785779</v>
      </c>
    </row>
    <row r="1258" ht="15.75" customHeight="1">
      <c r="A1258" s="6">
        <v>10724.0</v>
      </c>
      <c r="B1258" s="7" t="s">
        <v>64</v>
      </c>
      <c r="C1258" s="24" t="str">
        <f>VLOOKUP(dynamic[customerID],customers[],2,FALSE)</f>
        <v>Mère Paillarde</v>
      </c>
      <c r="D1258" s="24">
        <v>45229.0</v>
      </c>
      <c r="E1258" s="6">
        <f>IFERROR(__xludf.DUMMYFUNCTION("COUNTUNIQUEIFS($A$2:$A1258,$B$2:$B1258,B1258)"),13.0)</f>
        <v>13</v>
      </c>
      <c r="F1258" s="6">
        <f t="shared" si="1"/>
        <v>87</v>
      </c>
      <c r="G1258" s="6" t="str">
        <f>IF(MINIFS(dynamic[orderDate], dynamic[customerID], B1258) &gt;= DATE(2024,4,30)-120, 
     "New", 
     IF(MAXIFS(dynamic[orderCount], dynamic[customerID], B1258)&lt;=2, 
        IF((DATE(2024,4,30) - MAXIFS(dynamic[orderDate], dynamic[customerID], B1258)) &gt; 180, "Non-Returning", "Dormant"), 
        IF(AND(MAX(dynamic[sinceLastOrder]) &gt; 365, (DATE(2024,4,30) - MAXIFS(dynamic[orderDate], dynamic[customerID], B1258)) &gt; 180), 
           "Dormant", "Regular")))</f>
        <v>Dormant</v>
      </c>
      <c r="H1258" s="6">
        <v>10.0</v>
      </c>
      <c r="I1258" s="9" t="str">
        <f>VLOOKUP(dynamic[productID],products[],2,FALSE)</f>
        <v>Ikura</v>
      </c>
      <c r="J1258" s="9" t="str">
        <f>VLOOKUP(dynamic[productID],products[],12,FALSE)</f>
        <v>Seafood</v>
      </c>
      <c r="K1258" s="7" t="str">
        <f>IF(VLOOKUP(dynamic[productID],products[],7,FALSE)=1,"Discontinued","Current")</f>
        <v>Current</v>
      </c>
      <c r="L1258" s="9">
        <f>VLOOKUP(dynamic[productID],products[],IF(YEAR(dynamic[orderDate])=2022,8,IF(YEAR(dynamic[orderDate])=2023,9,IF(YEAR(dynamic[orderDate])=2024,10,NA))),FALSE)</f>
        <v>20.72721922</v>
      </c>
      <c r="M1258" s="9">
        <v>31.0</v>
      </c>
      <c r="N1258" s="25">
        <f>(dynamic[orderPrice]-dynamic[productCost])/dynamic[productCost]</f>
        <v>0.4956178962</v>
      </c>
      <c r="O1258" s="10">
        <v>16.0</v>
      </c>
      <c r="P1258" s="25">
        <v>0.0</v>
      </c>
      <c r="Q1258" s="9">
        <f>dynamic[orderPrice]*dynamic[orderQuantity]</f>
        <v>496</v>
      </c>
      <c r="R1258" s="9">
        <f>dynamic[orderTotal]*(1-dynamic[discountApllied])</f>
        <v>496</v>
      </c>
      <c r="S1258" s="9">
        <f>dynamic[revenue]-(dynamic[productCost]*dynamic[orderQuantity])</f>
        <v>164.3644925</v>
      </c>
      <c r="T1258" s="25">
        <f>IFERROR(dynamic[profit]/dynamic[revenue], 0)</f>
        <v>0.3313800252</v>
      </c>
    </row>
    <row r="1259" ht="15.75" customHeight="1">
      <c r="A1259" s="6">
        <v>10724.0</v>
      </c>
      <c r="B1259" s="7" t="s">
        <v>64</v>
      </c>
      <c r="C1259" s="24" t="str">
        <f>VLOOKUP(dynamic[customerID],customers[],2,FALSE)</f>
        <v>Mère Paillarde</v>
      </c>
      <c r="D1259" s="24">
        <v>45229.0</v>
      </c>
      <c r="E1259" s="6">
        <f>IFERROR(__xludf.DUMMYFUNCTION("COUNTUNIQUEIFS($A$2:$A1259,$B$2:$B1259,B1259)"),13.0)</f>
        <v>13</v>
      </c>
      <c r="F1259" s="6">
        <f t="shared" si="1"/>
        <v>87</v>
      </c>
      <c r="G1259" s="6" t="str">
        <f>IF(MINIFS(dynamic[orderDate], dynamic[customerID], B1259) &gt;= DATE(2024,4,30)-120, 
     "New", 
     IF(MAXIFS(dynamic[orderCount], dynamic[customerID], B1259)&lt;=2, 
        IF((DATE(2024,4,30) - MAXIFS(dynamic[orderDate], dynamic[customerID], B1259)) &gt; 180, "Non-Returning", "Dormant"), 
        IF(AND(MAX(dynamic[sinceLastOrder]) &gt; 365, (DATE(2024,4,30) - MAXIFS(dynamic[orderDate], dynamic[customerID], B1259)) &gt; 180), 
           "Dormant", "Regular")))</f>
        <v>Dormant</v>
      </c>
      <c r="H1259" s="6">
        <v>61.0</v>
      </c>
      <c r="I1259" s="9" t="str">
        <f>VLOOKUP(dynamic[productID],products[],2,FALSE)</f>
        <v>Sirop d'érable</v>
      </c>
      <c r="J1259" s="9" t="str">
        <f>VLOOKUP(dynamic[productID],products[],12,FALSE)</f>
        <v>Condiments</v>
      </c>
      <c r="K1259" s="7" t="str">
        <f>IF(VLOOKUP(dynamic[productID],products[],7,FALSE)=1,"Discontinued","Current")</f>
        <v>Current</v>
      </c>
      <c r="L1259" s="9">
        <f>VLOOKUP(dynamic[productID],products[],IF(YEAR(dynamic[orderDate])=2022,8,IF(YEAR(dynamic[orderDate])=2023,9,IF(YEAR(dynamic[orderDate])=2024,10,NA))),FALSE)</f>
        <v>17.19945448</v>
      </c>
      <c r="M1259" s="9">
        <v>28.5</v>
      </c>
      <c r="N1259" s="25">
        <f>(dynamic[orderPrice]-dynamic[productCost])/dynamic[productCost]</f>
        <v>0.6570292986</v>
      </c>
      <c r="O1259" s="10">
        <v>5.0</v>
      </c>
      <c r="P1259" s="25">
        <v>0.0</v>
      </c>
      <c r="Q1259" s="9">
        <f>dynamic[orderPrice]*dynamic[orderQuantity]</f>
        <v>142.5</v>
      </c>
      <c r="R1259" s="9">
        <f>dynamic[orderTotal]*(1-dynamic[discountApllied])</f>
        <v>142.5</v>
      </c>
      <c r="S1259" s="9">
        <f>dynamic[revenue]-(dynamic[productCost]*dynamic[orderQuantity])</f>
        <v>56.50272758</v>
      </c>
      <c r="T1259" s="25">
        <f>IFERROR(dynamic[profit]/dynamic[revenue], 0)</f>
        <v>0.396510369</v>
      </c>
    </row>
    <row r="1260" ht="15.75" customHeight="1">
      <c r="A1260" s="6">
        <v>10725.0</v>
      </c>
      <c r="B1260" s="7" t="s">
        <v>67</v>
      </c>
      <c r="C1260" s="24" t="str">
        <f>VLOOKUP(dynamic[customerID],customers[],2,FALSE)</f>
        <v>Familia Arquibaldo</v>
      </c>
      <c r="D1260" s="24">
        <v>45230.0</v>
      </c>
      <c r="E1260" s="6">
        <f>IFERROR(__xludf.DUMMYFUNCTION("COUNTUNIQUEIFS($A$2:$A1260,$B$2:$B1260,B1260)"),7.0)</f>
        <v>7</v>
      </c>
      <c r="F1260" s="6">
        <f t="shared" si="1"/>
        <v>63</v>
      </c>
      <c r="G1260" s="6" t="str">
        <f>IF(MINIFS(dynamic[orderDate], dynamic[customerID], B1260) &gt;= DATE(2024,4,30)-120, 
     "New", 
     IF(MAXIFS(dynamic[orderCount], dynamic[customerID], B1260)&lt;=2, 
        IF((DATE(2024,4,30) - MAXIFS(dynamic[orderDate], dynamic[customerID], B1260)) &gt; 180, "Non-Returning", "Dormant"), 
        IF(AND(MAX(dynamic[sinceLastOrder]) &gt; 365, (DATE(2024,4,30) - MAXIFS(dynamic[orderDate], dynamic[customerID], B1260)) &gt; 180), 
           "Dormant", "Regular")))</f>
        <v>Dormant</v>
      </c>
      <c r="H1260" s="6">
        <v>41.0</v>
      </c>
      <c r="I1260" s="9" t="str">
        <f>VLOOKUP(dynamic[productID],products[],2,FALSE)</f>
        <v>Jack's New England Clam Chowder</v>
      </c>
      <c r="J1260" s="9" t="str">
        <f>VLOOKUP(dynamic[productID],products[],12,FALSE)</f>
        <v>Seafood</v>
      </c>
      <c r="K1260" s="7" t="str">
        <f>IF(VLOOKUP(dynamic[productID],products[],7,FALSE)=1,"Discontinued","Current")</f>
        <v>Current</v>
      </c>
      <c r="L1260" s="9">
        <f>VLOOKUP(dynamic[productID],products[],IF(YEAR(dynamic[orderDate])=2022,8,IF(YEAR(dynamic[orderDate])=2023,9,IF(YEAR(dynamic[orderDate])=2024,10,NA))),FALSE)</f>
        <v>6.549914856</v>
      </c>
      <c r="M1260" s="9">
        <v>9.65</v>
      </c>
      <c r="N1260" s="25">
        <f>(dynamic[orderPrice]-dynamic[productCost])/dynamic[productCost]</f>
        <v>0.4733015943</v>
      </c>
      <c r="O1260" s="10">
        <v>12.0</v>
      </c>
      <c r="P1260" s="25">
        <v>0.0</v>
      </c>
      <c r="Q1260" s="9">
        <f>dynamic[orderPrice]*dynamic[orderQuantity]</f>
        <v>115.8</v>
      </c>
      <c r="R1260" s="9">
        <f>dynamic[orderTotal]*(1-dynamic[discountApllied])</f>
        <v>115.8</v>
      </c>
      <c r="S1260" s="9">
        <f>dynamic[revenue]-(dynamic[productCost]*dynamic[orderQuantity])</f>
        <v>37.20102173</v>
      </c>
      <c r="T1260" s="25">
        <f>IFERROR(dynamic[profit]/dynamic[revenue], 0)</f>
        <v>0.3212523465</v>
      </c>
    </row>
    <row r="1261" ht="15.75" customHeight="1">
      <c r="A1261" s="6">
        <v>10725.0</v>
      </c>
      <c r="B1261" s="7" t="s">
        <v>67</v>
      </c>
      <c r="C1261" s="24" t="str">
        <f>VLOOKUP(dynamic[customerID],customers[],2,FALSE)</f>
        <v>Familia Arquibaldo</v>
      </c>
      <c r="D1261" s="24">
        <v>45230.0</v>
      </c>
      <c r="E1261" s="6">
        <f>IFERROR(__xludf.DUMMYFUNCTION("COUNTUNIQUEIFS($A$2:$A1261,$B$2:$B1261,B1261)"),7.0)</f>
        <v>7</v>
      </c>
      <c r="F1261" s="6">
        <f t="shared" si="1"/>
        <v>63</v>
      </c>
      <c r="G1261" s="6" t="str">
        <f>IF(MINIFS(dynamic[orderDate], dynamic[customerID], B1261) &gt;= DATE(2024,4,30)-120, 
     "New", 
     IF(MAXIFS(dynamic[orderCount], dynamic[customerID], B1261)&lt;=2, 
        IF((DATE(2024,4,30) - MAXIFS(dynamic[orderDate], dynamic[customerID], B1261)) &gt; 180, "Non-Returning", "Dormant"), 
        IF(AND(MAX(dynamic[sinceLastOrder]) &gt; 365, (DATE(2024,4,30) - MAXIFS(dynamic[orderDate], dynamic[customerID], B1261)) &gt; 180), 
           "Dormant", "Regular")))</f>
        <v>Dormant</v>
      </c>
      <c r="H1261" s="6">
        <v>52.0</v>
      </c>
      <c r="I1261" s="9" t="str">
        <f>VLOOKUP(dynamic[productID],products[],2,FALSE)</f>
        <v>Filo Mix</v>
      </c>
      <c r="J1261" s="9" t="str">
        <f>VLOOKUP(dynamic[productID],products[],12,FALSE)</f>
        <v>Grains/Cereals</v>
      </c>
      <c r="K1261" s="7" t="str">
        <f>IF(VLOOKUP(dynamic[productID],products[],7,FALSE)=1,"Discontinued","Current")</f>
        <v>Current</v>
      </c>
      <c r="L1261" s="9">
        <f>VLOOKUP(dynamic[productID],products[],IF(YEAR(dynamic[orderDate])=2022,8,IF(YEAR(dynamic[orderDate])=2023,9,IF(YEAR(dynamic[orderDate])=2024,10,NA))),FALSE)</f>
        <v>5.001706713</v>
      </c>
      <c r="M1261" s="9">
        <v>7.0</v>
      </c>
      <c r="N1261" s="25">
        <f>(dynamic[orderPrice]-dynamic[productCost])/dynamic[productCost]</f>
        <v>0.3995222835</v>
      </c>
      <c r="O1261" s="10">
        <v>4.0</v>
      </c>
      <c r="P1261" s="25">
        <v>0.0</v>
      </c>
      <c r="Q1261" s="9">
        <f>dynamic[orderPrice]*dynamic[orderQuantity]</f>
        <v>28</v>
      </c>
      <c r="R1261" s="9">
        <f>dynamic[orderTotal]*(1-dynamic[discountApllied])</f>
        <v>28</v>
      </c>
      <c r="S1261" s="9">
        <f>dynamic[revenue]-(dynamic[productCost]*dynamic[orderQuantity])</f>
        <v>7.993173149</v>
      </c>
      <c r="T1261" s="25">
        <f>IFERROR(dynamic[profit]/dynamic[revenue], 0)</f>
        <v>0.2854704696</v>
      </c>
    </row>
    <row r="1262" ht="15.75" customHeight="1">
      <c r="A1262" s="6">
        <v>10725.0</v>
      </c>
      <c r="B1262" s="7" t="s">
        <v>67</v>
      </c>
      <c r="C1262" s="24" t="str">
        <f>VLOOKUP(dynamic[customerID],customers[],2,FALSE)</f>
        <v>Familia Arquibaldo</v>
      </c>
      <c r="D1262" s="24">
        <v>45230.0</v>
      </c>
      <c r="E1262" s="6">
        <f>IFERROR(__xludf.DUMMYFUNCTION("COUNTUNIQUEIFS($A$2:$A1262,$B$2:$B1262,B1262)"),7.0)</f>
        <v>7</v>
      </c>
      <c r="F1262" s="6">
        <f t="shared" si="1"/>
        <v>63</v>
      </c>
      <c r="G1262" s="6" t="str">
        <f>IF(MINIFS(dynamic[orderDate], dynamic[customerID], B1262) &gt;= DATE(2024,4,30)-120, 
     "New", 
     IF(MAXIFS(dynamic[orderCount], dynamic[customerID], B1262)&lt;=2, 
        IF((DATE(2024,4,30) - MAXIFS(dynamic[orderDate], dynamic[customerID], B1262)) &gt; 180, "Non-Returning", "Dormant"), 
        IF(AND(MAX(dynamic[sinceLastOrder]) &gt; 365, (DATE(2024,4,30) - MAXIFS(dynamic[orderDate], dynamic[customerID], B1262)) &gt; 180), 
           "Dormant", "Regular")))</f>
        <v>Dormant</v>
      </c>
      <c r="H1262" s="6">
        <v>55.0</v>
      </c>
      <c r="I1262" s="9" t="str">
        <f>VLOOKUP(dynamic[productID],products[],2,FALSE)</f>
        <v>Pâté chinois</v>
      </c>
      <c r="J1262" s="9" t="str">
        <f>VLOOKUP(dynamic[productID],products[],12,FALSE)</f>
        <v>Meat/Poultry</v>
      </c>
      <c r="K1262" s="7" t="str">
        <f>IF(VLOOKUP(dynamic[productID],products[],7,FALSE)=1,"Discontinued","Current")</f>
        <v>Current</v>
      </c>
      <c r="L1262" s="9">
        <f>VLOOKUP(dynamic[productID],products[],IF(YEAR(dynamic[orderDate])=2022,8,IF(YEAR(dynamic[orderDate])=2023,9,IF(YEAR(dynamic[orderDate])=2024,10,NA))),FALSE)</f>
        <v>14.92398776</v>
      </c>
      <c r="M1262" s="9">
        <v>24.0</v>
      </c>
      <c r="N1262" s="25">
        <f>(dynamic[orderPrice]-dynamic[productCost])/dynamic[productCost]</f>
        <v>0.6081492681</v>
      </c>
      <c r="O1262" s="10">
        <v>6.0</v>
      </c>
      <c r="P1262" s="25">
        <v>0.0</v>
      </c>
      <c r="Q1262" s="9">
        <f>dynamic[orderPrice]*dynamic[orderQuantity]</f>
        <v>144</v>
      </c>
      <c r="R1262" s="9">
        <f>dynamic[orderTotal]*(1-dynamic[discountApllied])</f>
        <v>144</v>
      </c>
      <c r="S1262" s="9">
        <f>dynamic[revenue]-(dynamic[productCost]*dynamic[orderQuantity])</f>
        <v>54.45607342</v>
      </c>
      <c r="T1262" s="25">
        <f>IFERROR(dynamic[profit]/dynamic[revenue], 0)</f>
        <v>0.3781671765</v>
      </c>
    </row>
    <row r="1263" ht="15.75" customHeight="1">
      <c r="A1263" s="6">
        <v>10726.0</v>
      </c>
      <c r="B1263" s="7" t="s">
        <v>73</v>
      </c>
      <c r="C1263" s="24" t="str">
        <f>VLOOKUP(dynamic[customerID],customers[],2,FALSE)</f>
        <v>Eastern Connection</v>
      </c>
      <c r="D1263" s="24">
        <v>45233.0</v>
      </c>
      <c r="E1263" s="6">
        <f>IFERROR(__xludf.DUMMYFUNCTION("COUNTUNIQUEIFS($A$2:$A1263,$B$2:$B1263,B1263)"),4.0)</f>
        <v>4</v>
      </c>
      <c r="F1263" s="6">
        <f t="shared" si="1"/>
        <v>178</v>
      </c>
      <c r="G1263" s="6" t="str">
        <f>IF(MINIFS(dynamic[orderDate], dynamic[customerID], B1263) &gt;= DATE(2024,4,30)-120, 
     "New", 
     IF(MAXIFS(dynamic[orderCount], dynamic[customerID], B1263)&lt;=2, 
        IF((DATE(2024,4,30) - MAXIFS(dynamic[orderDate], dynamic[customerID], B1263)) &gt; 180, "Non-Returning", "Dormant"), 
        IF(AND(MAX(dynamic[sinceLastOrder]) &gt; 365, (DATE(2024,4,30) - MAXIFS(dynamic[orderDate], dynamic[customerID], B1263)) &gt; 180), 
           "Dormant", "Regular")))</f>
        <v>Regular</v>
      </c>
      <c r="H1263" s="6">
        <v>4.0</v>
      </c>
      <c r="I1263" s="9" t="str">
        <f>VLOOKUP(dynamic[productID],products[],2,FALSE)</f>
        <v>Chef Anton's Cajun Seasoning</v>
      </c>
      <c r="J1263" s="9" t="str">
        <f>VLOOKUP(dynamic[productID],products[],12,FALSE)</f>
        <v>Condiments</v>
      </c>
      <c r="K1263" s="7" t="str">
        <f>IF(VLOOKUP(dynamic[productID],products[],7,FALSE)=1,"Discontinued","Current")</f>
        <v>Current</v>
      </c>
      <c r="L1263" s="9">
        <f>VLOOKUP(dynamic[productID],products[],IF(YEAR(dynamic[orderDate])=2022,8,IF(YEAR(dynamic[orderDate])=2023,9,IF(YEAR(dynamic[orderDate])=2024,10,NA))),FALSE)</f>
        <v>13.81047124</v>
      </c>
      <c r="M1263" s="9">
        <v>22.0</v>
      </c>
      <c r="N1263" s="25">
        <f>(dynamic[orderPrice]-dynamic[productCost])/dynamic[productCost]</f>
        <v>0.5929941577</v>
      </c>
      <c r="O1263" s="10">
        <v>25.0</v>
      </c>
      <c r="P1263" s="25">
        <v>0.0</v>
      </c>
      <c r="Q1263" s="9">
        <f>dynamic[orderPrice]*dynamic[orderQuantity]</f>
        <v>550</v>
      </c>
      <c r="R1263" s="9">
        <f>dynamic[orderTotal]*(1-dynamic[discountApllied])</f>
        <v>550</v>
      </c>
      <c r="S1263" s="9">
        <f>dynamic[revenue]-(dynamic[productCost]*dynamic[orderQuantity])</f>
        <v>204.738219</v>
      </c>
      <c r="T1263" s="25">
        <f>IFERROR(dynamic[profit]/dynamic[revenue], 0)</f>
        <v>0.3722513073</v>
      </c>
    </row>
    <row r="1264" ht="15.75" customHeight="1">
      <c r="A1264" s="6">
        <v>10726.0</v>
      </c>
      <c r="B1264" s="7" t="s">
        <v>73</v>
      </c>
      <c r="C1264" s="24" t="str">
        <f>VLOOKUP(dynamic[customerID],customers[],2,FALSE)</f>
        <v>Eastern Connection</v>
      </c>
      <c r="D1264" s="24">
        <v>45233.0</v>
      </c>
      <c r="E1264" s="6">
        <f>IFERROR(__xludf.DUMMYFUNCTION("COUNTUNIQUEIFS($A$2:$A1264,$B$2:$B1264,B1264)"),4.0)</f>
        <v>4</v>
      </c>
      <c r="F1264" s="6">
        <f t="shared" si="1"/>
        <v>178</v>
      </c>
      <c r="G1264" s="6" t="str">
        <f>IF(MINIFS(dynamic[orderDate], dynamic[customerID], B1264) &gt;= DATE(2024,4,30)-120, 
     "New", 
     IF(MAXIFS(dynamic[orderCount], dynamic[customerID], B1264)&lt;=2, 
        IF((DATE(2024,4,30) - MAXIFS(dynamic[orderDate], dynamic[customerID], B1264)) &gt; 180, "Non-Returning", "Dormant"), 
        IF(AND(MAX(dynamic[sinceLastOrder]) &gt; 365, (DATE(2024,4,30) - MAXIFS(dynamic[orderDate], dynamic[customerID], B1264)) &gt; 180), 
           "Dormant", "Regular")))</f>
        <v>Regular</v>
      </c>
      <c r="H1264" s="6">
        <v>11.0</v>
      </c>
      <c r="I1264" s="9" t="str">
        <f>VLOOKUP(dynamic[productID],products[],2,FALSE)</f>
        <v>Queso Cabrales</v>
      </c>
      <c r="J1264" s="9" t="str">
        <f>VLOOKUP(dynamic[productID],products[],12,FALSE)</f>
        <v>Dairy Products</v>
      </c>
      <c r="K1264" s="7" t="str">
        <f>IF(VLOOKUP(dynamic[productID],products[],7,FALSE)=1,"Discontinued","Current")</f>
        <v>Current</v>
      </c>
      <c r="L1264" s="9">
        <f>VLOOKUP(dynamic[productID],products[],IF(YEAR(dynamic[orderDate])=2022,8,IF(YEAR(dynamic[orderDate])=2023,9,IF(YEAR(dynamic[orderDate])=2024,10,NA))),FALSE)</f>
        <v>12.90188125</v>
      </c>
      <c r="M1264" s="9">
        <v>21.0</v>
      </c>
      <c r="N1264" s="25">
        <f>(dynamic[orderPrice]-dynamic[productCost])/dynamic[productCost]</f>
        <v>0.6276696079</v>
      </c>
      <c r="O1264" s="10">
        <v>5.0</v>
      </c>
      <c r="P1264" s="25">
        <v>0.0</v>
      </c>
      <c r="Q1264" s="9">
        <f>dynamic[orderPrice]*dynamic[orderQuantity]</f>
        <v>105</v>
      </c>
      <c r="R1264" s="9">
        <f>dynamic[orderTotal]*(1-dynamic[discountApllied])</f>
        <v>105</v>
      </c>
      <c r="S1264" s="9">
        <f>dynamic[revenue]-(dynamic[productCost]*dynamic[orderQuantity])</f>
        <v>40.49059374</v>
      </c>
      <c r="T1264" s="25">
        <f>IFERROR(dynamic[profit]/dynamic[revenue], 0)</f>
        <v>0.3856247023</v>
      </c>
    </row>
    <row r="1265" ht="15.75" customHeight="1">
      <c r="A1265" s="6">
        <v>10727.0</v>
      </c>
      <c r="B1265" s="7" t="s">
        <v>45</v>
      </c>
      <c r="C1265" s="24" t="str">
        <f>VLOOKUP(dynamic[customerID],customers[],2,FALSE)</f>
        <v>Reggiani Caseifici</v>
      </c>
      <c r="D1265" s="24">
        <v>45233.0</v>
      </c>
      <c r="E1265" s="6">
        <f>IFERROR(__xludf.DUMMYFUNCTION("COUNTUNIQUEIFS($A$2:$A1265,$B$2:$B1265,B1265)"),7.0)</f>
        <v>7</v>
      </c>
      <c r="F1265" s="6">
        <f t="shared" si="1"/>
        <v>61</v>
      </c>
      <c r="G1265" s="6" t="str">
        <f>IF(MINIFS(dynamic[orderDate], dynamic[customerID], B1265) &gt;= DATE(2024,4,30)-120, 
     "New", 
     IF(MAXIFS(dynamic[orderCount], dynamic[customerID], B1265)&lt;=2, 
        IF((DATE(2024,4,30) - MAXIFS(dynamic[orderDate], dynamic[customerID], B1265)) &gt; 180, "Non-Returning", "Dormant"), 
        IF(AND(MAX(dynamic[sinceLastOrder]) &gt; 365, (DATE(2024,4,30) - MAXIFS(dynamic[orderDate], dynamic[customerID], B1265)) &gt; 180), 
           "Dormant", "Regular")))</f>
        <v>Regular</v>
      </c>
      <c r="H1265" s="6">
        <v>17.0</v>
      </c>
      <c r="I1265" s="9" t="str">
        <f>VLOOKUP(dynamic[productID],products[],2,FALSE)</f>
        <v>Alice Mutton</v>
      </c>
      <c r="J1265" s="9" t="str">
        <f>VLOOKUP(dynamic[productID],products[],12,FALSE)</f>
        <v>Meat/Poultry</v>
      </c>
      <c r="K1265" s="7" t="str">
        <f>IF(VLOOKUP(dynamic[productID],products[],7,FALSE)=1,"Discontinued","Current")</f>
        <v>Discontinued</v>
      </c>
      <c r="L1265" s="9">
        <f>VLOOKUP(dynamic[productID],products[],IF(YEAR(dynamic[orderDate])=2022,8,IF(YEAR(dynamic[orderDate])=2023,9,IF(YEAR(dynamic[orderDate])=2024,10,NA))),FALSE)</f>
        <v>24.83130504</v>
      </c>
      <c r="M1265" s="9">
        <v>39.0</v>
      </c>
      <c r="N1265" s="25">
        <f>(dynamic[orderPrice]-dynamic[productCost])/dynamic[productCost]</f>
        <v>0.5705980792</v>
      </c>
      <c r="O1265" s="10">
        <v>20.0</v>
      </c>
      <c r="P1265" s="25">
        <v>0.05</v>
      </c>
      <c r="Q1265" s="9">
        <f>dynamic[orderPrice]*dynamic[orderQuantity]</f>
        <v>780</v>
      </c>
      <c r="R1265" s="9">
        <f>dynamic[orderTotal]*(1-dynamic[discountApllied])</f>
        <v>741</v>
      </c>
      <c r="S1265" s="9">
        <f>dynamic[revenue]-(dynamic[productCost]*dynamic[orderQuantity])</f>
        <v>244.3738992</v>
      </c>
      <c r="T1265" s="25">
        <f>IFERROR(dynamic[profit]/dynamic[revenue], 0)</f>
        <v>0.3297893377</v>
      </c>
    </row>
    <row r="1266" ht="15.75" customHeight="1">
      <c r="A1266" s="6">
        <v>10727.0</v>
      </c>
      <c r="B1266" s="7" t="s">
        <v>45</v>
      </c>
      <c r="C1266" s="24" t="str">
        <f>VLOOKUP(dynamic[customerID],customers[],2,FALSE)</f>
        <v>Reggiani Caseifici</v>
      </c>
      <c r="D1266" s="24">
        <v>45233.0</v>
      </c>
      <c r="E1266" s="6">
        <f>IFERROR(__xludf.DUMMYFUNCTION("COUNTUNIQUEIFS($A$2:$A1266,$B$2:$B1266,B1266)"),7.0)</f>
        <v>7</v>
      </c>
      <c r="F1266" s="6">
        <f t="shared" si="1"/>
        <v>61</v>
      </c>
      <c r="G1266" s="6" t="str">
        <f>IF(MINIFS(dynamic[orderDate], dynamic[customerID], B1266) &gt;= DATE(2024,4,30)-120, 
     "New", 
     IF(MAXIFS(dynamic[orderCount], dynamic[customerID], B1266)&lt;=2, 
        IF((DATE(2024,4,30) - MAXIFS(dynamic[orderDate], dynamic[customerID], B1266)) &gt; 180, "Non-Returning", "Dormant"), 
        IF(AND(MAX(dynamic[sinceLastOrder]) &gt; 365, (DATE(2024,4,30) - MAXIFS(dynamic[orderDate], dynamic[customerID], B1266)) &gt; 180), 
           "Dormant", "Regular")))</f>
        <v>Regular</v>
      </c>
      <c r="H1266" s="6">
        <v>56.0</v>
      </c>
      <c r="I1266" s="9" t="str">
        <f>VLOOKUP(dynamic[productID],products[],2,FALSE)</f>
        <v>Gnocchi di nonna Alice</v>
      </c>
      <c r="J1266" s="9" t="str">
        <f>VLOOKUP(dynamic[productID],products[],12,FALSE)</f>
        <v>Grains/Cereals</v>
      </c>
      <c r="K1266" s="7" t="str">
        <f>IF(VLOOKUP(dynamic[productID],products[],7,FALSE)=1,"Discontinued","Current")</f>
        <v>Current</v>
      </c>
      <c r="L1266" s="9">
        <f>VLOOKUP(dynamic[productID],products[],IF(YEAR(dynamic[orderDate])=2022,8,IF(YEAR(dynamic[orderDate])=2023,9,IF(YEAR(dynamic[orderDate])=2024,10,NA))),FALSE)</f>
        <v>24.28342441</v>
      </c>
      <c r="M1266" s="9">
        <v>38.0</v>
      </c>
      <c r="N1266" s="25">
        <f>(dynamic[orderPrice]-dynamic[productCost])/dynamic[productCost]</f>
        <v>0.5648534309</v>
      </c>
      <c r="O1266" s="10">
        <v>10.0</v>
      </c>
      <c r="P1266" s="25">
        <v>0.05</v>
      </c>
      <c r="Q1266" s="9">
        <f>dynamic[orderPrice]*dynamic[orderQuantity]</f>
        <v>380</v>
      </c>
      <c r="R1266" s="9">
        <f>dynamic[orderTotal]*(1-dynamic[discountApllied])</f>
        <v>361</v>
      </c>
      <c r="S1266" s="9">
        <f>dynamic[revenue]-(dynamic[productCost]*dynamic[orderQuantity])</f>
        <v>118.1657559</v>
      </c>
      <c r="T1266" s="25">
        <f>IFERROR(dynamic[profit]/dynamic[revenue], 0)</f>
        <v>0.3273289638</v>
      </c>
    </row>
    <row r="1267" ht="15.75" customHeight="1">
      <c r="A1267" s="6">
        <v>10727.0</v>
      </c>
      <c r="B1267" s="7" t="s">
        <v>45</v>
      </c>
      <c r="C1267" s="24" t="str">
        <f>VLOOKUP(dynamic[customerID],customers[],2,FALSE)</f>
        <v>Reggiani Caseifici</v>
      </c>
      <c r="D1267" s="24">
        <v>45233.0</v>
      </c>
      <c r="E1267" s="6">
        <f>IFERROR(__xludf.DUMMYFUNCTION("COUNTUNIQUEIFS($A$2:$A1267,$B$2:$B1267,B1267)"),7.0)</f>
        <v>7</v>
      </c>
      <c r="F1267" s="6">
        <f t="shared" si="1"/>
        <v>61</v>
      </c>
      <c r="G1267" s="6" t="str">
        <f>IF(MINIFS(dynamic[orderDate], dynamic[customerID], B1267) &gt;= DATE(2024,4,30)-120, 
     "New", 
     IF(MAXIFS(dynamic[orderCount], dynamic[customerID], B1267)&lt;=2, 
        IF((DATE(2024,4,30) - MAXIFS(dynamic[orderDate], dynamic[customerID], B1267)) &gt; 180, "Non-Returning", "Dormant"), 
        IF(AND(MAX(dynamic[sinceLastOrder]) &gt; 365, (DATE(2024,4,30) - MAXIFS(dynamic[orderDate], dynamic[customerID], B1267)) &gt; 180), 
           "Dormant", "Regular")))</f>
        <v>Regular</v>
      </c>
      <c r="H1267" s="6">
        <v>59.0</v>
      </c>
      <c r="I1267" s="9" t="str">
        <f>VLOOKUP(dynamic[productID],products[],2,FALSE)</f>
        <v>Raclette Courdavault</v>
      </c>
      <c r="J1267" s="9" t="str">
        <f>VLOOKUP(dynamic[productID],products[],12,FALSE)</f>
        <v>Dairy Products</v>
      </c>
      <c r="K1267" s="7" t="str">
        <f>IF(VLOOKUP(dynamic[productID],products[],7,FALSE)=1,"Discontinued","Current")</f>
        <v>Current</v>
      </c>
      <c r="L1267" s="9">
        <f>VLOOKUP(dynamic[productID],products[],IF(YEAR(dynamic[orderDate])=2022,8,IF(YEAR(dynamic[orderDate])=2023,9,IF(YEAR(dynamic[orderDate])=2024,10,NA))),FALSE)</f>
        <v>35.20472566</v>
      </c>
      <c r="M1267" s="9">
        <v>55.0</v>
      </c>
      <c r="N1267" s="25">
        <f>(dynamic[orderPrice]-dynamic[productCost])/dynamic[productCost]</f>
        <v>0.5622902598</v>
      </c>
      <c r="O1267" s="10">
        <v>10.0</v>
      </c>
      <c r="P1267" s="25">
        <v>0.05</v>
      </c>
      <c r="Q1267" s="9">
        <f>dynamic[orderPrice]*dynamic[orderQuantity]</f>
        <v>550</v>
      </c>
      <c r="R1267" s="9">
        <f>dynamic[orderTotal]*(1-dynamic[discountApllied])</f>
        <v>522.5</v>
      </c>
      <c r="S1267" s="9">
        <f>dynamic[revenue]-(dynamic[productCost]*dynamic[orderQuantity])</f>
        <v>170.4527434</v>
      </c>
      <c r="T1267" s="25">
        <f>IFERROR(dynamic[profit]/dynamic[revenue], 0)</f>
        <v>0.3262253462</v>
      </c>
    </row>
    <row r="1268" ht="15.75" customHeight="1">
      <c r="A1268" s="6">
        <v>10728.0</v>
      </c>
      <c r="B1268" s="7" t="s">
        <v>77</v>
      </c>
      <c r="C1268" s="24" t="str">
        <f>VLOOKUP(dynamic[customerID],customers[],2,FALSE)</f>
        <v>Queen Cozinha</v>
      </c>
      <c r="D1268" s="24">
        <v>45234.0</v>
      </c>
      <c r="E1268" s="6">
        <f>IFERROR(__xludf.DUMMYFUNCTION("COUNTUNIQUEIFS($A$2:$A1268,$B$2:$B1268,B1268)"),7.0)</f>
        <v>7</v>
      </c>
      <c r="F1268" s="6">
        <f t="shared" si="1"/>
        <v>21</v>
      </c>
      <c r="G1268" s="6" t="str">
        <f>IF(MINIFS(dynamic[orderDate], dynamic[customerID], B1268) &gt;= DATE(2024,4,30)-120, 
     "New", 
     IF(MAXIFS(dynamic[orderCount], dynamic[customerID], B1268)&lt;=2, 
        IF((DATE(2024,4,30) - MAXIFS(dynamic[orderDate], dynamic[customerID], B1268)) &gt; 180, "Non-Returning", "Dormant"), 
        IF(AND(MAX(dynamic[sinceLastOrder]) &gt; 365, (DATE(2024,4,30) - MAXIFS(dynamic[orderDate], dynamic[customerID], B1268)) &gt; 180), 
           "Dormant", "Regular")))</f>
        <v>Regular</v>
      </c>
      <c r="H1268" s="6">
        <v>30.0</v>
      </c>
      <c r="I1268" s="9" t="str">
        <f>VLOOKUP(dynamic[productID],products[],2,FALSE)</f>
        <v>Nord-Ost Matjeshering</v>
      </c>
      <c r="J1268" s="9" t="str">
        <f>VLOOKUP(dynamic[productID],products[],12,FALSE)</f>
        <v>Seafood</v>
      </c>
      <c r="K1268" s="7" t="str">
        <f>IF(VLOOKUP(dynamic[productID],products[],7,FALSE)=1,"Discontinued","Current")</f>
        <v>Current</v>
      </c>
      <c r="L1268" s="9">
        <f>VLOOKUP(dynamic[productID],products[],IF(YEAR(dynamic[orderDate])=2022,8,IF(YEAR(dynamic[orderDate])=2023,9,IF(YEAR(dynamic[orderDate])=2024,10,NA))),FALSE)</f>
        <v>16.03885249</v>
      </c>
      <c r="M1268" s="9">
        <v>25.89</v>
      </c>
      <c r="N1268" s="25">
        <f>(dynamic[orderPrice]-dynamic[productCost])/dynamic[productCost]</f>
        <v>0.6142052564</v>
      </c>
      <c r="O1268" s="10">
        <v>15.0</v>
      </c>
      <c r="P1268" s="25">
        <v>0.0</v>
      </c>
      <c r="Q1268" s="9">
        <f>dynamic[orderPrice]*dynamic[orderQuantity]</f>
        <v>388.35</v>
      </c>
      <c r="R1268" s="9">
        <f>dynamic[orderTotal]*(1-dynamic[discountApllied])</f>
        <v>388.35</v>
      </c>
      <c r="S1268" s="9">
        <f>dynamic[revenue]-(dynamic[productCost]*dynamic[orderQuantity])</f>
        <v>147.7672126</v>
      </c>
      <c r="T1268" s="25">
        <f>IFERROR(dynamic[profit]/dynamic[revenue], 0)</f>
        <v>0.3805000968</v>
      </c>
    </row>
    <row r="1269" ht="15.75" customHeight="1">
      <c r="A1269" s="6">
        <v>10728.0</v>
      </c>
      <c r="B1269" s="7" t="s">
        <v>77</v>
      </c>
      <c r="C1269" s="24" t="str">
        <f>VLOOKUP(dynamic[customerID],customers[],2,FALSE)</f>
        <v>Queen Cozinha</v>
      </c>
      <c r="D1269" s="24">
        <v>45234.0</v>
      </c>
      <c r="E1269" s="6">
        <f>IFERROR(__xludf.DUMMYFUNCTION("COUNTUNIQUEIFS($A$2:$A1269,$B$2:$B1269,B1269)"),7.0)</f>
        <v>7</v>
      </c>
      <c r="F1269" s="6">
        <f t="shared" si="1"/>
        <v>21</v>
      </c>
      <c r="G1269" s="6" t="str">
        <f>IF(MINIFS(dynamic[orderDate], dynamic[customerID], B1269) &gt;= DATE(2024,4,30)-120, 
     "New", 
     IF(MAXIFS(dynamic[orderCount], dynamic[customerID], B1269)&lt;=2, 
        IF((DATE(2024,4,30) - MAXIFS(dynamic[orderDate], dynamic[customerID], B1269)) &gt; 180, "Non-Returning", "Dormant"), 
        IF(AND(MAX(dynamic[sinceLastOrder]) &gt; 365, (DATE(2024,4,30) - MAXIFS(dynamic[orderDate], dynamic[customerID], B1269)) &gt; 180), 
           "Dormant", "Regular")))</f>
        <v>Regular</v>
      </c>
      <c r="H1269" s="6">
        <v>40.0</v>
      </c>
      <c r="I1269" s="9" t="str">
        <f>VLOOKUP(dynamic[productID],products[],2,FALSE)</f>
        <v>Boston Crab Meat</v>
      </c>
      <c r="J1269" s="9" t="str">
        <f>VLOOKUP(dynamic[productID],products[],12,FALSE)</f>
        <v>Seafood</v>
      </c>
      <c r="K1269" s="7" t="str">
        <f>IF(VLOOKUP(dynamic[productID],products[],7,FALSE)=1,"Discontinued","Current")</f>
        <v>Current</v>
      </c>
      <c r="L1269" s="9">
        <f>VLOOKUP(dynamic[productID],products[],IF(YEAR(dynamic[orderDate])=2022,8,IF(YEAR(dynamic[orderDate])=2023,9,IF(YEAR(dynamic[orderDate])=2024,10,NA))),FALSE)</f>
        <v>11.40496523</v>
      </c>
      <c r="M1269" s="9">
        <v>18.4</v>
      </c>
      <c r="N1269" s="25">
        <f>(dynamic[orderPrice]-dynamic[productCost])/dynamic[productCost]</f>
        <v>0.6133324069</v>
      </c>
      <c r="O1269" s="10">
        <v>6.0</v>
      </c>
      <c r="P1269" s="25">
        <v>0.0</v>
      </c>
      <c r="Q1269" s="9">
        <f>dynamic[orderPrice]*dynamic[orderQuantity]</f>
        <v>110.4</v>
      </c>
      <c r="R1269" s="9">
        <f>dynamic[orderTotal]*(1-dynamic[discountApllied])</f>
        <v>110.4</v>
      </c>
      <c r="S1269" s="9">
        <f>dynamic[revenue]-(dynamic[productCost]*dynamic[orderQuantity])</f>
        <v>41.97020864</v>
      </c>
      <c r="T1269" s="25">
        <f>IFERROR(dynamic[profit]/dynamic[revenue], 0)</f>
        <v>0.3801649333</v>
      </c>
    </row>
    <row r="1270" ht="15.75" customHeight="1">
      <c r="A1270" s="6">
        <v>10728.0</v>
      </c>
      <c r="B1270" s="7" t="s">
        <v>77</v>
      </c>
      <c r="C1270" s="24" t="str">
        <f>VLOOKUP(dynamic[customerID],customers[],2,FALSE)</f>
        <v>Queen Cozinha</v>
      </c>
      <c r="D1270" s="24">
        <v>45234.0</v>
      </c>
      <c r="E1270" s="6">
        <f>IFERROR(__xludf.DUMMYFUNCTION("COUNTUNIQUEIFS($A$2:$A1270,$B$2:$B1270,B1270)"),7.0)</f>
        <v>7</v>
      </c>
      <c r="F1270" s="6">
        <f t="shared" si="1"/>
        <v>21</v>
      </c>
      <c r="G1270" s="6" t="str">
        <f>IF(MINIFS(dynamic[orderDate], dynamic[customerID], B1270) &gt;= DATE(2024,4,30)-120, 
     "New", 
     IF(MAXIFS(dynamic[orderCount], dynamic[customerID], B1270)&lt;=2, 
        IF((DATE(2024,4,30) - MAXIFS(dynamic[orderDate], dynamic[customerID], B1270)) &gt; 180, "Non-Returning", "Dormant"), 
        IF(AND(MAX(dynamic[sinceLastOrder]) &gt; 365, (DATE(2024,4,30) - MAXIFS(dynamic[orderDate], dynamic[customerID], B1270)) &gt; 180), 
           "Dormant", "Regular")))</f>
        <v>Regular</v>
      </c>
      <c r="H1270" s="6">
        <v>55.0</v>
      </c>
      <c r="I1270" s="9" t="str">
        <f>VLOOKUP(dynamic[productID],products[],2,FALSE)</f>
        <v>Pâté chinois</v>
      </c>
      <c r="J1270" s="9" t="str">
        <f>VLOOKUP(dynamic[productID],products[],12,FALSE)</f>
        <v>Meat/Poultry</v>
      </c>
      <c r="K1270" s="7" t="str">
        <f>IF(VLOOKUP(dynamic[productID],products[],7,FALSE)=1,"Discontinued","Current")</f>
        <v>Current</v>
      </c>
      <c r="L1270" s="9">
        <f>VLOOKUP(dynamic[productID],products[],IF(YEAR(dynamic[orderDate])=2022,8,IF(YEAR(dynamic[orderDate])=2023,9,IF(YEAR(dynamic[orderDate])=2024,10,NA))),FALSE)</f>
        <v>14.92398776</v>
      </c>
      <c r="M1270" s="9">
        <v>24.0</v>
      </c>
      <c r="N1270" s="25">
        <f>(dynamic[orderPrice]-dynamic[productCost])/dynamic[productCost]</f>
        <v>0.6081492681</v>
      </c>
      <c r="O1270" s="10">
        <v>12.0</v>
      </c>
      <c r="P1270" s="25">
        <v>0.0</v>
      </c>
      <c r="Q1270" s="9">
        <f>dynamic[orderPrice]*dynamic[orderQuantity]</f>
        <v>288</v>
      </c>
      <c r="R1270" s="9">
        <f>dynamic[orderTotal]*(1-dynamic[discountApllied])</f>
        <v>288</v>
      </c>
      <c r="S1270" s="9">
        <f>dynamic[revenue]-(dynamic[productCost]*dynamic[orderQuantity])</f>
        <v>108.9121468</v>
      </c>
      <c r="T1270" s="25">
        <f>IFERROR(dynamic[profit]/dynamic[revenue], 0)</f>
        <v>0.3781671765</v>
      </c>
    </row>
    <row r="1271" ht="15.75" customHeight="1">
      <c r="A1271" s="6">
        <v>10728.0</v>
      </c>
      <c r="B1271" s="7" t="s">
        <v>77</v>
      </c>
      <c r="C1271" s="24" t="str">
        <f>VLOOKUP(dynamic[customerID],customers[],2,FALSE)</f>
        <v>Queen Cozinha</v>
      </c>
      <c r="D1271" s="24">
        <v>45234.0</v>
      </c>
      <c r="E1271" s="6">
        <f>IFERROR(__xludf.DUMMYFUNCTION("COUNTUNIQUEIFS($A$2:$A1271,$B$2:$B1271,B1271)"),7.0)</f>
        <v>7</v>
      </c>
      <c r="F1271" s="6">
        <f t="shared" si="1"/>
        <v>21</v>
      </c>
      <c r="G1271" s="6" t="str">
        <f>IF(MINIFS(dynamic[orderDate], dynamic[customerID], B1271) &gt;= DATE(2024,4,30)-120, 
     "New", 
     IF(MAXIFS(dynamic[orderCount], dynamic[customerID], B1271)&lt;=2, 
        IF((DATE(2024,4,30) - MAXIFS(dynamic[orderDate], dynamic[customerID], B1271)) &gt; 180, "Non-Returning", "Dormant"), 
        IF(AND(MAX(dynamic[sinceLastOrder]) &gt; 365, (DATE(2024,4,30) - MAXIFS(dynamic[orderDate], dynamic[customerID], B1271)) &gt; 180), 
           "Dormant", "Regular")))</f>
        <v>Regular</v>
      </c>
      <c r="H1271" s="6">
        <v>60.0</v>
      </c>
      <c r="I1271" s="9" t="str">
        <f>VLOOKUP(dynamic[productID],products[],2,FALSE)</f>
        <v>Camembert Pierrot</v>
      </c>
      <c r="J1271" s="9" t="str">
        <f>VLOOKUP(dynamic[productID],products[],12,FALSE)</f>
        <v>Dairy Products</v>
      </c>
      <c r="K1271" s="7" t="str">
        <f>IF(VLOOKUP(dynamic[productID],products[],7,FALSE)=1,"Discontinued","Current")</f>
        <v>Current</v>
      </c>
      <c r="L1271" s="9">
        <f>VLOOKUP(dynamic[productID],products[],IF(YEAR(dynamic[orderDate])=2022,8,IF(YEAR(dynamic[orderDate])=2023,9,IF(YEAR(dynamic[orderDate])=2024,10,NA))),FALSE)</f>
        <v>22.77098295</v>
      </c>
      <c r="M1271" s="9">
        <v>34.0</v>
      </c>
      <c r="N1271" s="25">
        <f>(dynamic[orderPrice]-dynamic[productCost])/dynamic[productCost]</f>
        <v>0.4931283415</v>
      </c>
      <c r="O1271" s="10">
        <v>15.0</v>
      </c>
      <c r="P1271" s="25">
        <v>0.0</v>
      </c>
      <c r="Q1271" s="9">
        <f>dynamic[orderPrice]*dynamic[orderQuantity]</f>
        <v>510</v>
      </c>
      <c r="R1271" s="9">
        <f>dynamic[orderTotal]*(1-dynamic[discountApllied])</f>
        <v>510</v>
      </c>
      <c r="S1271" s="9">
        <f>dynamic[revenue]-(dynamic[productCost]*dynamic[orderQuantity])</f>
        <v>168.4352558</v>
      </c>
      <c r="T1271" s="25">
        <f>IFERROR(dynamic[profit]/dynamic[revenue], 0)</f>
        <v>0.3302652075</v>
      </c>
    </row>
    <row r="1272" ht="15.75" customHeight="1">
      <c r="A1272" s="6">
        <v>10729.0</v>
      </c>
      <c r="B1272" s="7" t="s">
        <v>82</v>
      </c>
      <c r="C1272" s="24" t="str">
        <f>VLOOKUP(dynamic[customerID],customers[],2,FALSE)</f>
        <v>LINO-Delicateses</v>
      </c>
      <c r="D1272" s="24">
        <v>45234.0</v>
      </c>
      <c r="E1272" s="6">
        <f>IFERROR(__xludf.DUMMYFUNCTION("COUNTUNIQUEIFS($A$2:$A1272,$B$2:$B1272,B1272)"),5.0)</f>
        <v>5</v>
      </c>
      <c r="F1272" s="6">
        <f t="shared" si="1"/>
        <v>27</v>
      </c>
      <c r="G1272" s="6" t="str">
        <f>IF(MINIFS(dynamic[orderDate], dynamic[customerID], B1272) &gt;= DATE(2024,4,30)-120, 
     "New", 
     IF(MAXIFS(dynamic[orderCount], dynamic[customerID], B1272)&lt;=2, 
        IF((DATE(2024,4,30) - MAXIFS(dynamic[orderDate], dynamic[customerID], B1272)) &gt; 180, "Non-Returning", "Dormant"), 
        IF(AND(MAX(dynamic[sinceLastOrder]) &gt; 365, (DATE(2024,4,30) - MAXIFS(dynamic[orderDate], dynamic[customerID], B1272)) &gt; 180), 
           "Dormant", "Regular")))</f>
        <v>Regular</v>
      </c>
      <c r="H1272" s="6">
        <v>1.0</v>
      </c>
      <c r="I1272" s="9" t="str">
        <f>VLOOKUP(dynamic[productID],products[],2,FALSE)</f>
        <v>Chai</v>
      </c>
      <c r="J1272" s="9" t="str">
        <f>VLOOKUP(dynamic[productID],products[],12,FALSE)</f>
        <v>Beverages</v>
      </c>
      <c r="K1272" s="7" t="str">
        <f>IF(VLOOKUP(dynamic[productID],products[],7,FALSE)=1,"Discontinued","Current")</f>
        <v>Current</v>
      </c>
      <c r="L1272" s="9">
        <f>VLOOKUP(dynamic[productID],products[],IF(YEAR(dynamic[orderDate])=2022,8,IF(YEAR(dynamic[orderDate])=2023,9,IF(YEAR(dynamic[orderDate])=2024,10,NA))),FALSE)</f>
        <v>12.15847607</v>
      </c>
      <c r="M1272" s="9">
        <v>18.0</v>
      </c>
      <c r="N1272" s="25">
        <f>(dynamic[orderPrice]-dynamic[productCost])/dynamic[productCost]</f>
        <v>0.4804486927</v>
      </c>
      <c r="O1272" s="10">
        <v>50.0</v>
      </c>
      <c r="P1272" s="25">
        <v>0.0</v>
      </c>
      <c r="Q1272" s="9">
        <f>dynamic[orderPrice]*dynamic[orderQuantity]</f>
        <v>900</v>
      </c>
      <c r="R1272" s="9">
        <f>dynamic[orderTotal]*(1-dynamic[discountApllied])</f>
        <v>900</v>
      </c>
      <c r="S1272" s="9">
        <f>dynamic[revenue]-(dynamic[productCost]*dynamic[orderQuantity])</f>
        <v>292.0761966</v>
      </c>
      <c r="T1272" s="25">
        <f>IFERROR(dynamic[profit]/dynamic[revenue], 0)</f>
        <v>0.3245291073</v>
      </c>
    </row>
    <row r="1273" ht="15.75" customHeight="1">
      <c r="A1273" s="6">
        <v>10729.0</v>
      </c>
      <c r="B1273" s="7" t="s">
        <v>82</v>
      </c>
      <c r="C1273" s="24" t="str">
        <f>VLOOKUP(dynamic[customerID],customers[],2,FALSE)</f>
        <v>LINO-Delicateses</v>
      </c>
      <c r="D1273" s="24">
        <v>45234.0</v>
      </c>
      <c r="E1273" s="6">
        <f>IFERROR(__xludf.DUMMYFUNCTION("COUNTUNIQUEIFS($A$2:$A1273,$B$2:$B1273,B1273)"),5.0)</f>
        <v>5</v>
      </c>
      <c r="F1273" s="6">
        <f t="shared" si="1"/>
        <v>27</v>
      </c>
      <c r="G1273" s="6" t="str">
        <f>IF(MINIFS(dynamic[orderDate], dynamic[customerID], B1273) &gt;= DATE(2024,4,30)-120, 
     "New", 
     IF(MAXIFS(dynamic[orderCount], dynamic[customerID], B1273)&lt;=2, 
        IF((DATE(2024,4,30) - MAXIFS(dynamic[orderDate], dynamic[customerID], B1273)) &gt; 180, "Non-Returning", "Dormant"), 
        IF(AND(MAX(dynamic[sinceLastOrder]) &gt; 365, (DATE(2024,4,30) - MAXIFS(dynamic[orderDate], dynamic[customerID], B1273)) &gt; 180), 
           "Dormant", "Regular")))</f>
        <v>Regular</v>
      </c>
      <c r="H1273" s="6">
        <v>21.0</v>
      </c>
      <c r="I1273" s="9" t="str">
        <f>VLOOKUP(dynamic[productID],products[],2,FALSE)</f>
        <v>Sir Rodney's Scones</v>
      </c>
      <c r="J1273" s="9" t="str">
        <f>VLOOKUP(dynamic[productID],products[],12,FALSE)</f>
        <v>Confections</v>
      </c>
      <c r="K1273" s="7" t="str">
        <f>IF(VLOOKUP(dynamic[productID],products[],7,FALSE)=1,"Discontinued","Current")</f>
        <v>Current</v>
      </c>
      <c r="L1273" s="9">
        <f>VLOOKUP(dynamic[productID],products[],IF(YEAR(dynamic[orderDate])=2022,8,IF(YEAR(dynamic[orderDate])=2023,9,IF(YEAR(dynamic[orderDate])=2024,10,NA))),FALSE)</f>
        <v>6.725636111</v>
      </c>
      <c r="M1273" s="9">
        <v>10.0</v>
      </c>
      <c r="N1273" s="25">
        <f>(dynamic[orderPrice]-dynamic[productCost])/dynamic[productCost]</f>
        <v>0.486848208</v>
      </c>
      <c r="O1273" s="10">
        <v>30.0</v>
      </c>
      <c r="P1273" s="25">
        <v>0.0</v>
      </c>
      <c r="Q1273" s="9">
        <f>dynamic[orderPrice]*dynamic[orderQuantity]</f>
        <v>300</v>
      </c>
      <c r="R1273" s="9">
        <f>dynamic[orderTotal]*(1-dynamic[discountApllied])</f>
        <v>300</v>
      </c>
      <c r="S1273" s="9">
        <f>dynamic[revenue]-(dynamic[productCost]*dynamic[orderQuantity])</f>
        <v>98.23091666</v>
      </c>
      <c r="T1273" s="25">
        <f>IFERROR(dynamic[profit]/dynamic[revenue], 0)</f>
        <v>0.3274363889</v>
      </c>
    </row>
    <row r="1274" ht="15.75" customHeight="1">
      <c r="A1274" s="6">
        <v>10729.0</v>
      </c>
      <c r="B1274" s="7" t="s">
        <v>82</v>
      </c>
      <c r="C1274" s="24" t="str">
        <f>VLOOKUP(dynamic[customerID],customers[],2,FALSE)</f>
        <v>LINO-Delicateses</v>
      </c>
      <c r="D1274" s="24">
        <v>45234.0</v>
      </c>
      <c r="E1274" s="6">
        <f>IFERROR(__xludf.DUMMYFUNCTION("COUNTUNIQUEIFS($A$2:$A1274,$B$2:$B1274,B1274)"),5.0)</f>
        <v>5</v>
      </c>
      <c r="F1274" s="6">
        <f t="shared" si="1"/>
        <v>27</v>
      </c>
      <c r="G1274" s="6" t="str">
        <f>IF(MINIFS(dynamic[orderDate], dynamic[customerID], B1274) &gt;= DATE(2024,4,30)-120, 
     "New", 
     IF(MAXIFS(dynamic[orderCount], dynamic[customerID], B1274)&lt;=2, 
        IF((DATE(2024,4,30) - MAXIFS(dynamic[orderDate], dynamic[customerID], B1274)) &gt; 180, "Non-Returning", "Dormant"), 
        IF(AND(MAX(dynamic[sinceLastOrder]) &gt; 365, (DATE(2024,4,30) - MAXIFS(dynamic[orderDate], dynamic[customerID], B1274)) &gt; 180), 
           "Dormant", "Regular")))</f>
        <v>Regular</v>
      </c>
      <c r="H1274" s="6">
        <v>50.0</v>
      </c>
      <c r="I1274" s="9" t="str">
        <f>VLOOKUP(dynamic[productID],products[],2,FALSE)</f>
        <v>Valkoinen suklaa</v>
      </c>
      <c r="J1274" s="9" t="str">
        <f>VLOOKUP(dynamic[productID],products[],12,FALSE)</f>
        <v>Confections</v>
      </c>
      <c r="K1274" s="7" t="str">
        <f>IF(VLOOKUP(dynamic[productID],products[],7,FALSE)=1,"Discontinued","Current")</f>
        <v>Current</v>
      </c>
      <c r="L1274" s="9">
        <f>VLOOKUP(dynamic[productID],products[],IF(YEAR(dynamic[orderDate])=2022,8,IF(YEAR(dynamic[orderDate])=2023,9,IF(YEAR(dynamic[orderDate])=2024,10,NA))),FALSE)</f>
        <v>11.16021436</v>
      </c>
      <c r="M1274" s="9">
        <v>16.25</v>
      </c>
      <c r="N1274" s="25">
        <f>(dynamic[orderPrice]-dynamic[productCost])/dynamic[productCost]</f>
        <v>0.4560652217</v>
      </c>
      <c r="O1274" s="10">
        <v>40.0</v>
      </c>
      <c r="P1274" s="25">
        <v>0.0</v>
      </c>
      <c r="Q1274" s="9">
        <f>dynamic[orderPrice]*dynamic[orderQuantity]</f>
        <v>650</v>
      </c>
      <c r="R1274" s="9">
        <f>dynamic[orderTotal]*(1-dynamic[discountApllied])</f>
        <v>650</v>
      </c>
      <c r="S1274" s="9">
        <f>dynamic[revenue]-(dynamic[productCost]*dynamic[orderQuantity])</f>
        <v>203.5914255</v>
      </c>
      <c r="T1274" s="25">
        <f>IFERROR(dynamic[profit]/dynamic[revenue], 0)</f>
        <v>0.3132175777</v>
      </c>
    </row>
    <row r="1275" ht="15.75" customHeight="1">
      <c r="A1275" s="6">
        <v>10730.0</v>
      </c>
      <c r="B1275" s="7" t="s">
        <v>63</v>
      </c>
      <c r="C1275" s="24" t="str">
        <f>VLOOKUP(dynamic[customerID],customers[],2,FALSE)</f>
        <v>Bon app'</v>
      </c>
      <c r="D1275" s="24">
        <v>45235.0</v>
      </c>
      <c r="E1275" s="6">
        <f>IFERROR(__xludf.DUMMYFUNCTION("COUNTUNIQUEIFS($A$2:$A1275,$B$2:$B1275,B1275)"),9.0)</f>
        <v>9</v>
      </c>
      <c r="F1275" s="6">
        <f t="shared" si="1"/>
        <v>13</v>
      </c>
      <c r="G1275" s="6" t="str">
        <f>IF(MINIFS(dynamic[orderDate], dynamic[customerID], B1275) &gt;= DATE(2024,4,30)-120, 
     "New", 
     IF(MAXIFS(dynamic[orderCount], dynamic[customerID], B1275)&lt;=2, 
        IF((DATE(2024,4,30) - MAXIFS(dynamic[orderDate], dynamic[customerID], B1275)) &gt; 180, "Non-Returning", "Dormant"), 
        IF(AND(MAX(dynamic[sinceLastOrder]) &gt; 365, (DATE(2024,4,30) - MAXIFS(dynamic[orderDate], dynamic[customerID], B1275)) &gt; 180), 
           "Dormant", "Regular")))</f>
        <v>Regular</v>
      </c>
      <c r="H1275" s="6">
        <v>16.0</v>
      </c>
      <c r="I1275" s="9" t="str">
        <f>VLOOKUP(dynamic[productID],products[],2,FALSE)</f>
        <v>Pavlova</v>
      </c>
      <c r="J1275" s="9" t="str">
        <f>VLOOKUP(dynamic[productID],products[],12,FALSE)</f>
        <v>Confections</v>
      </c>
      <c r="K1275" s="7" t="str">
        <f>IF(VLOOKUP(dynamic[productID],products[],7,FALSE)=1,"Discontinued","Current")</f>
        <v>Current</v>
      </c>
      <c r="L1275" s="9">
        <f>VLOOKUP(dynamic[productID],products[],IF(YEAR(dynamic[orderDate])=2022,8,IF(YEAR(dynamic[orderDate])=2023,9,IF(YEAR(dynamic[orderDate])=2024,10,NA))),FALSE)</f>
        <v>11.98504839</v>
      </c>
      <c r="M1275" s="9">
        <v>17.45</v>
      </c>
      <c r="N1275" s="25">
        <f>(dynamic[orderPrice]-dynamic[productCost])/dynamic[productCost]</f>
        <v>0.455980771</v>
      </c>
      <c r="O1275" s="10">
        <v>15.0</v>
      </c>
      <c r="P1275" s="25">
        <v>0.05</v>
      </c>
      <c r="Q1275" s="9">
        <f>dynamic[orderPrice]*dynamic[orderQuantity]</f>
        <v>261.75</v>
      </c>
      <c r="R1275" s="9">
        <f>dynamic[orderTotal]*(1-dynamic[discountApllied])</f>
        <v>248.6625</v>
      </c>
      <c r="S1275" s="9">
        <f>dynamic[revenue]-(dynamic[productCost]*dynamic[orderQuantity])</f>
        <v>68.88677411</v>
      </c>
      <c r="T1275" s="25">
        <f>IFERROR(dynamic[profit]/dynamic[revenue], 0)</f>
        <v>0.2770292027</v>
      </c>
    </row>
    <row r="1276" ht="15.75" customHeight="1">
      <c r="A1276" s="6">
        <v>10730.0</v>
      </c>
      <c r="B1276" s="7" t="s">
        <v>63</v>
      </c>
      <c r="C1276" s="24" t="str">
        <f>VLOOKUP(dynamic[customerID],customers[],2,FALSE)</f>
        <v>Bon app'</v>
      </c>
      <c r="D1276" s="24">
        <v>45235.0</v>
      </c>
      <c r="E1276" s="6">
        <f>IFERROR(__xludf.DUMMYFUNCTION("COUNTUNIQUEIFS($A$2:$A1276,$B$2:$B1276,B1276)"),9.0)</f>
        <v>9</v>
      </c>
      <c r="F1276" s="6">
        <f t="shared" si="1"/>
        <v>13</v>
      </c>
      <c r="G1276" s="6" t="str">
        <f>IF(MINIFS(dynamic[orderDate], dynamic[customerID], B1276) &gt;= DATE(2024,4,30)-120, 
     "New", 
     IF(MAXIFS(dynamic[orderCount], dynamic[customerID], B1276)&lt;=2, 
        IF((DATE(2024,4,30) - MAXIFS(dynamic[orderDate], dynamic[customerID], B1276)) &gt; 180, "Non-Returning", "Dormant"), 
        IF(AND(MAX(dynamic[sinceLastOrder]) &gt; 365, (DATE(2024,4,30) - MAXIFS(dynamic[orderDate], dynamic[customerID], B1276)) &gt; 180), 
           "Dormant", "Regular")))</f>
        <v>Regular</v>
      </c>
      <c r="H1276" s="6">
        <v>31.0</v>
      </c>
      <c r="I1276" s="9" t="str">
        <f>VLOOKUP(dynamic[productID],products[],2,FALSE)</f>
        <v>Gorgonzola Telino</v>
      </c>
      <c r="J1276" s="9" t="str">
        <f>VLOOKUP(dynamic[productID],products[],12,FALSE)</f>
        <v>Dairy Products</v>
      </c>
      <c r="K1276" s="7" t="str">
        <f>IF(VLOOKUP(dynamic[productID],products[],7,FALSE)=1,"Discontinued","Current")</f>
        <v>Current</v>
      </c>
      <c r="L1276" s="9">
        <f>VLOOKUP(dynamic[productID],products[],IF(YEAR(dynamic[orderDate])=2022,8,IF(YEAR(dynamic[orderDate])=2023,9,IF(YEAR(dynamic[orderDate])=2024,10,NA))),FALSE)</f>
        <v>7.937729254</v>
      </c>
      <c r="M1276" s="9">
        <v>12.5</v>
      </c>
      <c r="N1276" s="25">
        <f>(dynamic[orderPrice]-dynamic[productCost])/dynamic[productCost]</f>
        <v>0.5747576668</v>
      </c>
      <c r="O1276" s="10">
        <v>3.0</v>
      </c>
      <c r="P1276" s="25">
        <v>0.05</v>
      </c>
      <c r="Q1276" s="9">
        <f>dynamic[orderPrice]*dynamic[orderQuantity]</f>
        <v>37.5</v>
      </c>
      <c r="R1276" s="9">
        <f>dynamic[orderTotal]*(1-dynamic[discountApllied])</f>
        <v>35.625</v>
      </c>
      <c r="S1276" s="9">
        <f>dynamic[revenue]-(dynamic[productCost]*dynamic[orderQuantity])</f>
        <v>11.81181224</v>
      </c>
      <c r="T1276" s="25">
        <f>IFERROR(dynamic[profit]/dynamic[revenue], 0)</f>
        <v>0.3315596417</v>
      </c>
    </row>
    <row r="1277" ht="15.75" customHeight="1">
      <c r="A1277" s="6">
        <v>10730.0</v>
      </c>
      <c r="B1277" s="7" t="s">
        <v>63</v>
      </c>
      <c r="C1277" s="24" t="str">
        <f>VLOOKUP(dynamic[customerID],customers[],2,FALSE)</f>
        <v>Bon app'</v>
      </c>
      <c r="D1277" s="24">
        <v>45235.0</v>
      </c>
      <c r="E1277" s="6">
        <f>IFERROR(__xludf.DUMMYFUNCTION("COUNTUNIQUEIFS($A$2:$A1277,$B$2:$B1277,B1277)"),9.0)</f>
        <v>9</v>
      </c>
      <c r="F1277" s="6">
        <f t="shared" si="1"/>
        <v>13</v>
      </c>
      <c r="G1277" s="6" t="str">
        <f>IF(MINIFS(dynamic[orderDate], dynamic[customerID], B1277) &gt;= DATE(2024,4,30)-120, 
     "New", 
     IF(MAXIFS(dynamic[orderCount], dynamic[customerID], B1277)&lt;=2, 
        IF((DATE(2024,4,30) - MAXIFS(dynamic[orderDate], dynamic[customerID], B1277)) &gt; 180, "Non-Returning", "Dormant"), 
        IF(AND(MAX(dynamic[sinceLastOrder]) &gt; 365, (DATE(2024,4,30) - MAXIFS(dynamic[orderDate], dynamic[customerID], B1277)) &gt; 180), 
           "Dormant", "Regular")))</f>
        <v>Regular</v>
      </c>
      <c r="H1277" s="6">
        <v>65.0</v>
      </c>
      <c r="I1277" s="9" t="str">
        <f>VLOOKUP(dynamic[productID],products[],2,FALSE)</f>
        <v>Louisiana Fiery Hot Pepper Sauce</v>
      </c>
      <c r="J1277" s="9" t="str">
        <f>VLOOKUP(dynamic[productID],products[],12,FALSE)</f>
        <v>Condiments</v>
      </c>
      <c r="K1277" s="7" t="str">
        <f>IF(VLOOKUP(dynamic[productID],products[],7,FALSE)=1,"Discontinued","Current")</f>
        <v>Current</v>
      </c>
      <c r="L1277" s="9">
        <f>VLOOKUP(dynamic[productID],products[],IF(YEAR(dynamic[orderDate])=2022,8,IF(YEAR(dynamic[orderDate])=2023,9,IF(YEAR(dynamic[orderDate])=2024,10,NA))),FALSE)</f>
        <v>13.21122243</v>
      </c>
      <c r="M1277" s="9">
        <v>21.05</v>
      </c>
      <c r="N1277" s="25">
        <f>(dynamic[orderPrice]-dynamic[productCost])/dynamic[productCost]</f>
        <v>0.593342335</v>
      </c>
      <c r="O1277" s="10">
        <v>10.0</v>
      </c>
      <c r="P1277" s="25">
        <v>0.05</v>
      </c>
      <c r="Q1277" s="9">
        <f>dynamic[orderPrice]*dynamic[orderQuantity]</f>
        <v>210.5</v>
      </c>
      <c r="R1277" s="9">
        <f>dynamic[orderTotal]*(1-dynamic[discountApllied])</f>
        <v>199.975</v>
      </c>
      <c r="S1277" s="9">
        <f>dynamic[revenue]-(dynamic[productCost]*dynamic[orderQuantity])</f>
        <v>67.86277567</v>
      </c>
      <c r="T1277" s="25">
        <f>IFERROR(dynamic[profit]/dynamic[revenue], 0)</f>
        <v>0.3393562979</v>
      </c>
    </row>
    <row r="1278" ht="15.75" customHeight="1">
      <c r="A1278" s="6">
        <v>10731.0</v>
      </c>
      <c r="B1278" s="7" t="s">
        <v>20</v>
      </c>
      <c r="C1278" s="24" t="str">
        <f>VLOOKUP(dynamic[customerID],customers[],2,FALSE)</f>
        <v>Chop-suey Chinese</v>
      </c>
      <c r="D1278" s="24">
        <v>45236.0</v>
      </c>
      <c r="E1278" s="6">
        <f>IFERROR(__xludf.DUMMYFUNCTION("COUNTUNIQUEIFS($A$2:$A1278,$B$2:$B1278,B1278)"),4.0)</f>
        <v>4</v>
      </c>
      <c r="F1278" s="6">
        <f t="shared" si="1"/>
        <v>192</v>
      </c>
      <c r="G1278" s="6" t="str">
        <f>IF(MINIFS(dynamic[orderDate], dynamic[customerID], B1278) &gt;= DATE(2024,4,30)-120, 
     "New", 
     IF(MAXIFS(dynamic[orderCount], dynamic[customerID], B1278)&lt;=2, 
        IF((DATE(2024,4,30) - MAXIFS(dynamic[orderDate], dynamic[customerID], B1278)) &gt; 180, "Non-Returning", "Dormant"), 
        IF(AND(MAX(dynamic[sinceLastOrder]) &gt; 365, (DATE(2024,4,30) - MAXIFS(dynamic[orderDate], dynamic[customerID], B1278)) &gt; 180), 
           "Dormant", "Regular")))</f>
        <v>Regular</v>
      </c>
      <c r="H1278" s="6">
        <v>21.0</v>
      </c>
      <c r="I1278" s="9" t="str">
        <f>VLOOKUP(dynamic[productID],products[],2,FALSE)</f>
        <v>Sir Rodney's Scones</v>
      </c>
      <c r="J1278" s="9" t="str">
        <f>VLOOKUP(dynamic[productID],products[],12,FALSE)</f>
        <v>Confections</v>
      </c>
      <c r="K1278" s="7" t="str">
        <f>IF(VLOOKUP(dynamic[productID],products[],7,FALSE)=1,"Discontinued","Current")</f>
        <v>Current</v>
      </c>
      <c r="L1278" s="9">
        <f>VLOOKUP(dynamic[productID],products[],IF(YEAR(dynamic[orderDate])=2022,8,IF(YEAR(dynamic[orderDate])=2023,9,IF(YEAR(dynamic[orderDate])=2024,10,NA))),FALSE)</f>
        <v>6.725636111</v>
      </c>
      <c r="M1278" s="9">
        <v>10.0</v>
      </c>
      <c r="N1278" s="25">
        <f>(dynamic[orderPrice]-dynamic[productCost])/dynamic[productCost]</f>
        <v>0.486848208</v>
      </c>
      <c r="O1278" s="10">
        <v>40.0</v>
      </c>
      <c r="P1278" s="25">
        <v>0.05</v>
      </c>
      <c r="Q1278" s="9">
        <f>dynamic[orderPrice]*dynamic[orderQuantity]</f>
        <v>400</v>
      </c>
      <c r="R1278" s="9">
        <f>dynamic[orderTotal]*(1-dynamic[discountApllied])</f>
        <v>380</v>
      </c>
      <c r="S1278" s="9">
        <f>dynamic[revenue]-(dynamic[productCost]*dynamic[orderQuantity])</f>
        <v>110.9745555</v>
      </c>
      <c r="T1278" s="25">
        <f>IFERROR(dynamic[profit]/dynamic[revenue], 0)</f>
        <v>0.2920383041</v>
      </c>
    </row>
    <row r="1279" ht="15.75" customHeight="1">
      <c r="A1279" s="6">
        <v>10731.0</v>
      </c>
      <c r="B1279" s="7" t="s">
        <v>20</v>
      </c>
      <c r="C1279" s="24" t="str">
        <f>VLOOKUP(dynamic[customerID],customers[],2,FALSE)</f>
        <v>Chop-suey Chinese</v>
      </c>
      <c r="D1279" s="24">
        <v>45236.0</v>
      </c>
      <c r="E1279" s="6">
        <f>IFERROR(__xludf.DUMMYFUNCTION("COUNTUNIQUEIFS($A$2:$A1279,$B$2:$B1279,B1279)"),4.0)</f>
        <v>4</v>
      </c>
      <c r="F1279" s="6">
        <f t="shared" si="1"/>
        <v>192</v>
      </c>
      <c r="G1279" s="6" t="str">
        <f>IF(MINIFS(dynamic[orderDate], dynamic[customerID], B1279) &gt;= DATE(2024,4,30)-120, 
     "New", 
     IF(MAXIFS(dynamic[orderCount], dynamic[customerID], B1279)&lt;=2, 
        IF((DATE(2024,4,30) - MAXIFS(dynamic[orderDate], dynamic[customerID], B1279)) &gt; 180, "Non-Returning", "Dormant"), 
        IF(AND(MAX(dynamic[sinceLastOrder]) &gt; 365, (DATE(2024,4,30) - MAXIFS(dynamic[orderDate], dynamic[customerID], B1279)) &gt; 180), 
           "Dormant", "Regular")))</f>
        <v>Regular</v>
      </c>
      <c r="H1279" s="6">
        <v>51.0</v>
      </c>
      <c r="I1279" s="9" t="str">
        <f>VLOOKUP(dynamic[productID],products[],2,FALSE)</f>
        <v>Manjimup Dried Apples</v>
      </c>
      <c r="J1279" s="9" t="str">
        <f>VLOOKUP(dynamic[productID],products[],12,FALSE)</f>
        <v>Produce</v>
      </c>
      <c r="K1279" s="7" t="str">
        <f>IF(VLOOKUP(dynamic[productID],products[],7,FALSE)=1,"Discontinued","Current")</f>
        <v>Current</v>
      </c>
      <c r="L1279" s="9">
        <f>VLOOKUP(dynamic[productID],products[],IF(YEAR(dynamic[orderDate])=2022,8,IF(YEAR(dynamic[orderDate])=2023,9,IF(YEAR(dynamic[orderDate])=2024,10,NA))),FALSE)</f>
        <v>36.88798027</v>
      </c>
      <c r="M1279" s="9">
        <v>53.0</v>
      </c>
      <c r="N1279" s="25">
        <f>(dynamic[orderPrice]-dynamic[productCost])/dynamic[productCost]</f>
        <v>0.4367823779</v>
      </c>
      <c r="O1279" s="10">
        <v>30.0</v>
      </c>
      <c r="P1279" s="25">
        <v>0.05</v>
      </c>
      <c r="Q1279" s="9">
        <f>dynamic[orderPrice]*dynamic[orderQuantity]</f>
        <v>1590</v>
      </c>
      <c r="R1279" s="9">
        <f>dynamic[orderTotal]*(1-dynamic[discountApllied])</f>
        <v>1510.5</v>
      </c>
      <c r="S1279" s="9">
        <f>dynamic[revenue]-(dynamic[productCost]*dynamic[orderQuantity])</f>
        <v>403.860592</v>
      </c>
      <c r="T1279" s="25">
        <f>IFERROR(dynamic[profit]/dynamic[revenue], 0)</f>
        <v>0.267368813</v>
      </c>
    </row>
    <row r="1280" ht="15.75" customHeight="1">
      <c r="A1280" s="6">
        <v>10732.0</v>
      </c>
      <c r="B1280" s="7" t="s">
        <v>63</v>
      </c>
      <c r="C1280" s="24" t="str">
        <f>VLOOKUP(dynamic[customerID],customers[],2,FALSE)</f>
        <v>Bon app'</v>
      </c>
      <c r="D1280" s="24">
        <v>45236.0</v>
      </c>
      <c r="E1280" s="6">
        <f>IFERROR(__xludf.DUMMYFUNCTION("COUNTUNIQUEIFS($A$2:$A1280,$B$2:$B1280,B1280)"),10.0)</f>
        <v>10</v>
      </c>
      <c r="F1280" s="6">
        <f t="shared" si="1"/>
        <v>1</v>
      </c>
      <c r="G1280" s="6" t="str">
        <f>IF(MINIFS(dynamic[orderDate], dynamic[customerID], B1280) &gt;= DATE(2024,4,30)-120, 
     "New", 
     IF(MAXIFS(dynamic[orderCount], dynamic[customerID], B1280)&lt;=2, 
        IF((DATE(2024,4,30) - MAXIFS(dynamic[orderDate], dynamic[customerID], B1280)) &gt; 180, "Non-Returning", "Dormant"), 
        IF(AND(MAX(dynamic[sinceLastOrder]) &gt; 365, (DATE(2024,4,30) - MAXIFS(dynamic[orderDate], dynamic[customerID], B1280)) &gt; 180), 
           "Dormant", "Regular")))</f>
        <v>Regular</v>
      </c>
      <c r="H1280" s="6">
        <v>76.0</v>
      </c>
      <c r="I1280" s="9" t="str">
        <f>VLOOKUP(dynamic[productID],products[],2,FALSE)</f>
        <v>Lakkalikööri</v>
      </c>
      <c r="J1280" s="9" t="str">
        <f>VLOOKUP(dynamic[productID],products[],12,FALSE)</f>
        <v>Beverages</v>
      </c>
      <c r="K1280" s="7" t="str">
        <f>IF(VLOOKUP(dynamic[productID],products[],7,FALSE)=1,"Discontinued","Current")</f>
        <v>Current</v>
      </c>
      <c r="L1280" s="9">
        <f>VLOOKUP(dynamic[productID],products[],IF(YEAR(dynamic[orderDate])=2022,8,IF(YEAR(dynamic[orderDate])=2023,9,IF(YEAR(dynamic[orderDate])=2024,10,NA))),FALSE)</f>
        <v>12.1154529</v>
      </c>
      <c r="M1280" s="9">
        <v>18.0</v>
      </c>
      <c r="N1280" s="25">
        <f>(dynamic[orderPrice]-dynamic[productCost])/dynamic[productCost]</f>
        <v>0.4857059125</v>
      </c>
      <c r="O1280" s="10">
        <v>20.0</v>
      </c>
      <c r="P1280" s="25">
        <v>0.0</v>
      </c>
      <c r="Q1280" s="9">
        <f>dynamic[orderPrice]*dynamic[orderQuantity]</f>
        <v>360</v>
      </c>
      <c r="R1280" s="9">
        <f>dynamic[orderTotal]*(1-dynamic[discountApllied])</f>
        <v>360</v>
      </c>
      <c r="S1280" s="9">
        <f>dynamic[revenue]-(dynamic[productCost]*dynamic[orderQuantity])</f>
        <v>117.6909421</v>
      </c>
      <c r="T1280" s="25">
        <f>IFERROR(dynamic[profit]/dynamic[revenue], 0)</f>
        <v>0.3269192836</v>
      </c>
    </row>
    <row r="1281" ht="15.75" customHeight="1">
      <c r="A1281" s="6">
        <v>10733.0</v>
      </c>
      <c r="B1281" s="7" t="s">
        <v>40</v>
      </c>
      <c r="C1281" s="24" t="str">
        <f>VLOOKUP(dynamic[customerID],customers[],2,FALSE)</f>
        <v>Berglunds snabbköp</v>
      </c>
      <c r="D1281" s="24">
        <v>45237.0</v>
      </c>
      <c r="E1281" s="6">
        <f>IFERROR(__xludf.DUMMYFUNCTION("COUNTUNIQUEIFS($A$2:$A1281,$B$2:$B1281,B1281)"),12.0)</f>
        <v>12</v>
      </c>
      <c r="F1281" s="6">
        <f t="shared" si="1"/>
        <v>37</v>
      </c>
      <c r="G1281" s="6" t="str">
        <f>IF(MINIFS(dynamic[orderDate], dynamic[customerID], B1281) &gt;= DATE(2024,4,30)-120, 
     "New", 
     IF(MAXIFS(dynamic[orderCount], dynamic[customerID], B1281)&lt;=2, 
        IF((DATE(2024,4,30) - MAXIFS(dynamic[orderDate], dynamic[customerID], B1281)) &gt; 180, "Non-Returning", "Dormant"), 
        IF(AND(MAX(dynamic[sinceLastOrder]) &gt; 365, (DATE(2024,4,30) - MAXIFS(dynamic[orderDate], dynamic[customerID], B1281)) &gt; 180), 
           "Dormant", "Regular")))</f>
        <v>Regular</v>
      </c>
      <c r="H1281" s="6">
        <v>14.0</v>
      </c>
      <c r="I1281" s="9" t="str">
        <f>VLOOKUP(dynamic[productID],products[],2,FALSE)</f>
        <v>Tofu</v>
      </c>
      <c r="J1281" s="9" t="str">
        <f>VLOOKUP(dynamic[productID],products[],12,FALSE)</f>
        <v>Produce</v>
      </c>
      <c r="K1281" s="7" t="str">
        <f>IF(VLOOKUP(dynamic[productID],products[],7,FALSE)=1,"Discontinued","Current")</f>
        <v>Current</v>
      </c>
      <c r="L1281" s="9">
        <f>VLOOKUP(dynamic[productID],products[],IF(YEAR(dynamic[orderDate])=2022,8,IF(YEAR(dynamic[orderDate])=2023,9,IF(YEAR(dynamic[orderDate])=2024,10,NA))),FALSE)</f>
        <v>15.38055417</v>
      </c>
      <c r="M1281" s="9">
        <v>23.25</v>
      </c>
      <c r="N1281" s="25">
        <f>(dynamic[orderPrice]-dynamic[productCost])/dynamic[productCost]</f>
        <v>0.5116490437</v>
      </c>
      <c r="O1281" s="10">
        <v>16.0</v>
      </c>
      <c r="P1281" s="25">
        <v>0.0</v>
      </c>
      <c r="Q1281" s="9">
        <f>dynamic[orderPrice]*dynamic[orderQuantity]</f>
        <v>372</v>
      </c>
      <c r="R1281" s="9">
        <f>dynamic[orderTotal]*(1-dynamic[discountApllied])</f>
        <v>372</v>
      </c>
      <c r="S1281" s="9">
        <f>dynamic[revenue]-(dynamic[productCost]*dynamic[orderQuantity])</f>
        <v>125.9111333</v>
      </c>
      <c r="T1281" s="25">
        <f>IFERROR(dynamic[profit]/dynamic[revenue], 0)</f>
        <v>0.3384707885</v>
      </c>
    </row>
    <row r="1282" ht="15.75" customHeight="1">
      <c r="A1282" s="6">
        <v>10733.0</v>
      </c>
      <c r="B1282" s="7" t="s">
        <v>40</v>
      </c>
      <c r="C1282" s="24" t="str">
        <f>VLOOKUP(dynamic[customerID],customers[],2,FALSE)</f>
        <v>Berglunds snabbköp</v>
      </c>
      <c r="D1282" s="24">
        <v>45237.0</v>
      </c>
      <c r="E1282" s="6">
        <f>IFERROR(__xludf.DUMMYFUNCTION("COUNTUNIQUEIFS($A$2:$A1282,$B$2:$B1282,B1282)"),12.0)</f>
        <v>12</v>
      </c>
      <c r="F1282" s="6">
        <f t="shared" si="1"/>
        <v>37</v>
      </c>
      <c r="G1282" s="6" t="str">
        <f>IF(MINIFS(dynamic[orderDate], dynamic[customerID], B1282) &gt;= DATE(2024,4,30)-120, 
     "New", 
     IF(MAXIFS(dynamic[orderCount], dynamic[customerID], B1282)&lt;=2, 
        IF((DATE(2024,4,30) - MAXIFS(dynamic[orderDate], dynamic[customerID], B1282)) &gt; 180, "Non-Returning", "Dormant"), 
        IF(AND(MAX(dynamic[sinceLastOrder]) &gt; 365, (DATE(2024,4,30) - MAXIFS(dynamic[orderDate], dynamic[customerID], B1282)) &gt; 180), 
           "Dormant", "Regular")))</f>
        <v>Regular</v>
      </c>
      <c r="H1282" s="6">
        <v>28.0</v>
      </c>
      <c r="I1282" s="9" t="str">
        <f>VLOOKUP(dynamic[productID],products[],2,FALSE)</f>
        <v>Rössle Sauerkraut</v>
      </c>
      <c r="J1282" s="9" t="str">
        <f>VLOOKUP(dynamic[productID],products[],12,FALSE)</f>
        <v>Produce</v>
      </c>
      <c r="K1282" s="7" t="str">
        <f>IF(VLOOKUP(dynamic[productID],products[],7,FALSE)=1,"Discontinued","Current")</f>
        <v>Discontinued</v>
      </c>
      <c r="L1282" s="9">
        <f>VLOOKUP(dynamic[productID],products[],IF(YEAR(dynamic[orderDate])=2022,8,IF(YEAR(dynamic[orderDate])=2023,9,IF(YEAR(dynamic[orderDate])=2024,10,NA))),FALSE)</f>
        <v>31.52644578</v>
      </c>
      <c r="M1282" s="9">
        <v>45.6</v>
      </c>
      <c r="N1282" s="25">
        <f>(dynamic[orderPrice]-dynamic[productCost])/dynamic[productCost]</f>
        <v>0.4464047207</v>
      </c>
      <c r="O1282" s="10">
        <v>20.0</v>
      </c>
      <c r="P1282" s="25">
        <v>0.0</v>
      </c>
      <c r="Q1282" s="9">
        <f>dynamic[orderPrice]*dynamic[orderQuantity]</f>
        <v>912</v>
      </c>
      <c r="R1282" s="9">
        <f>dynamic[orderTotal]*(1-dynamic[discountApllied])</f>
        <v>912</v>
      </c>
      <c r="S1282" s="9">
        <f>dynamic[revenue]-(dynamic[productCost]*dynamic[orderQuantity])</f>
        <v>281.4710844</v>
      </c>
      <c r="T1282" s="25">
        <f>IFERROR(dynamic[profit]/dynamic[revenue], 0)</f>
        <v>0.308630575</v>
      </c>
    </row>
    <row r="1283" ht="15.75" customHeight="1">
      <c r="A1283" s="6">
        <v>10733.0</v>
      </c>
      <c r="B1283" s="7" t="s">
        <v>40</v>
      </c>
      <c r="C1283" s="24" t="str">
        <f>VLOOKUP(dynamic[customerID],customers[],2,FALSE)</f>
        <v>Berglunds snabbköp</v>
      </c>
      <c r="D1283" s="24">
        <v>45237.0</v>
      </c>
      <c r="E1283" s="6">
        <f>IFERROR(__xludf.DUMMYFUNCTION("COUNTUNIQUEIFS($A$2:$A1283,$B$2:$B1283,B1283)"),12.0)</f>
        <v>12</v>
      </c>
      <c r="F1283" s="6">
        <f t="shared" si="1"/>
        <v>37</v>
      </c>
      <c r="G1283" s="6" t="str">
        <f>IF(MINIFS(dynamic[orderDate], dynamic[customerID], B1283) &gt;= DATE(2024,4,30)-120, 
     "New", 
     IF(MAXIFS(dynamic[orderCount], dynamic[customerID], B1283)&lt;=2, 
        IF((DATE(2024,4,30) - MAXIFS(dynamic[orderDate], dynamic[customerID], B1283)) &gt; 180, "Non-Returning", "Dormant"), 
        IF(AND(MAX(dynamic[sinceLastOrder]) &gt; 365, (DATE(2024,4,30) - MAXIFS(dynamic[orderDate], dynamic[customerID], B1283)) &gt; 180), 
           "Dormant", "Regular")))</f>
        <v>Regular</v>
      </c>
      <c r="H1283" s="6">
        <v>52.0</v>
      </c>
      <c r="I1283" s="9" t="str">
        <f>VLOOKUP(dynamic[productID],products[],2,FALSE)</f>
        <v>Filo Mix</v>
      </c>
      <c r="J1283" s="9" t="str">
        <f>VLOOKUP(dynamic[productID],products[],12,FALSE)</f>
        <v>Grains/Cereals</v>
      </c>
      <c r="K1283" s="7" t="str">
        <f>IF(VLOOKUP(dynamic[productID],products[],7,FALSE)=1,"Discontinued","Current")</f>
        <v>Current</v>
      </c>
      <c r="L1283" s="9">
        <f>VLOOKUP(dynamic[productID],products[],IF(YEAR(dynamic[orderDate])=2022,8,IF(YEAR(dynamic[orderDate])=2023,9,IF(YEAR(dynamic[orderDate])=2024,10,NA))),FALSE)</f>
        <v>5.001706713</v>
      </c>
      <c r="M1283" s="9">
        <v>7.0</v>
      </c>
      <c r="N1283" s="25">
        <f>(dynamic[orderPrice]-dynamic[productCost])/dynamic[productCost]</f>
        <v>0.3995222835</v>
      </c>
      <c r="O1283" s="10">
        <v>25.0</v>
      </c>
      <c r="P1283" s="25">
        <v>0.0</v>
      </c>
      <c r="Q1283" s="9">
        <f>dynamic[orderPrice]*dynamic[orderQuantity]</f>
        <v>175</v>
      </c>
      <c r="R1283" s="9">
        <f>dynamic[orderTotal]*(1-dynamic[discountApllied])</f>
        <v>175</v>
      </c>
      <c r="S1283" s="9">
        <f>dynamic[revenue]-(dynamic[productCost]*dynamic[orderQuantity])</f>
        <v>49.95733218</v>
      </c>
      <c r="T1283" s="25">
        <f>IFERROR(dynamic[profit]/dynamic[revenue], 0)</f>
        <v>0.2854704696</v>
      </c>
    </row>
    <row r="1284" ht="15.75" customHeight="1">
      <c r="A1284" s="6">
        <v>10734.0</v>
      </c>
      <c r="B1284" s="7" t="s">
        <v>86</v>
      </c>
      <c r="C1284" s="24" t="str">
        <f>VLOOKUP(dynamic[customerID],customers[],2,FALSE)</f>
        <v>Gourmet Lanchonetes</v>
      </c>
      <c r="D1284" s="24">
        <v>45237.0</v>
      </c>
      <c r="E1284" s="6">
        <f>IFERROR(__xludf.DUMMYFUNCTION("COUNTUNIQUEIFS($A$2:$A1284,$B$2:$B1284,B1284)"),5.0)</f>
        <v>5</v>
      </c>
      <c r="F1284" s="6">
        <f t="shared" si="1"/>
        <v>21</v>
      </c>
      <c r="G1284" s="6" t="str">
        <f>IF(MINIFS(dynamic[orderDate], dynamic[customerID], B1284) &gt;= DATE(2024,4,30)-120, 
     "New", 
     IF(MAXIFS(dynamic[orderCount], dynamic[customerID], B1284)&lt;=2, 
        IF((DATE(2024,4,30) - MAXIFS(dynamic[orderDate], dynamic[customerID], B1284)) &gt; 180, "Non-Returning", "Dormant"), 
        IF(AND(MAX(dynamic[sinceLastOrder]) &gt; 365, (DATE(2024,4,30) - MAXIFS(dynamic[orderDate], dynamic[customerID], B1284)) &gt; 180), 
           "Dormant", "Regular")))</f>
        <v>Regular</v>
      </c>
      <c r="H1284" s="6">
        <v>6.0</v>
      </c>
      <c r="I1284" s="9" t="str">
        <f>VLOOKUP(dynamic[productID],products[],2,FALSE)</f>
        <v>Grandma's Boysenberry Spread</v>
      </c>
      <c r="J1284" s="9" t="str">
        <f>VLOOKUP(dynamic[productID],products[],12,FALSE)</f>
        <v>Condiments</v>
      </c>
      <c r="K1284" s="7" t="str">
        <f>IF(VLOOKUP(dynamic[productID],products[],7,FALSE)=1,"Discontinued","Current")</f>
        <v>Current</v>
      </c>
      <c r="L1284" s="9">
        <f>VLOOKUP(dynamic[productID],products[],IF(YEAR(dynamic[orderDate])=2022,8,IF(YEAR(dynamic[orderDate])=2023,9,IF(YEAR(dynamic[orderDate])=2024,10,NA))),FALSE)</f>
        <v>17.8511037</v>
      </c>
      <c r="M1284" s="9">
        <v>25.0</v>
      </c>
      <c r="N1284" s="25">
        <f>(dynamic[orderPrice]-dynamic[productCost])/dynamic[productCost]</f>
        <v>0.4004736302</v>
      </c>
      <c r="O1284" s="10">
        <v>30.0</v>
      </c>
      <c r="P1284" s="25">
        <v>0.0</v>
      </c>
      <c r="Q1284" s="9">
        <f>dynamic[orderPrice]*dynamic[orderQuantity]</f>
        <v>750</v>
      </c>
      <c r="R1284" s="9">
        <f>dynamic[orderTotal]*(1-dynamic[discountApllied])</f>
        <v>750</v>
      </c>
      <c r="S1284" s="9">
        <f>dynamic[revenue]-(dynamic[productCost]*dynamic[orderQuantity])</f>
        <v>214.466889</v>
      </c>
      <c r="T1284" s="25">
        <f>IFERROR(dynamic[profit]/dynamic[revenue], 0)</f>
        <v>0.285955852</v>
      </c>
    </row>
    <row r="1285" ht="15.75" customHeight="1">
      <c r="A1285" s="6">
        <v>10734.0</v>
      </c>
      <c r="B1285" s="7" t="s">
        <v>86</v>
      </c>
      <c r="C1285" s="24" t="str">
        <f>VLOOKUP(dynamic[customerID],customers[],2,FALSE)</f>
        <v>Gourmet Lanchonetes</v>
      </c>
      <c r="D1285" s="24">
        <v>45237.0</v>
      </c>
      <c r="E1285" s="6">
        <f>IFERROR(__xludf.DUMMYFUNCTION("COUNTUNIQUEIFS($A$2:$A1285,$B$2:$B1285,B1285)"),5.0)</f>
        <v>5</v>
      </c>
      <c r="F1285" s="6">
        <f t="shared" si="1"/>
        <v>21</v>
      </c>
      <c r="G1285" s="6" t="str">
        <f>IF(MINIFS(dynamic[orderDate], dynamic[customerID], B1285) &gt;= DATE(2024,4,30)-120, 
     "New", 
     IF(MAXIFS(dynamic[orderCount], dynamic[customerID], B1285)&lt;=2, 
        IF((DATE(2024,4,30) - MAXIFS(dynamic[orderDate], dynamic[customerID], B1285)) &gt; 180, "Non-Returning", "Dormant"), 
        IF(AND(MAX(dynamic[sinceLastOrder]) &gt; 365, (DATE(2024,4,30) - MAXIFS(dynamic[orderDate], dynamic[customerID], B1285)) &gt; 180), 
           "Dormant", "Regular")))</f>
        <v>Regular</v>
      </c>
      <c r="H1285" s="6">
        <v>30.0</v>
      </c>
      <c r="I1285" s="9" t="str">
        <f>VLOOKUP(dynamic[productID],products[],2,FALSE)</f>
        <v>Nord-Ost Matjeshering</v>
      </c>
      <c r="J1285" s="9" t="str">
        <f>VLOOKUP(dynamic[productID],products[],12,FALSE)</f>
        <v>Seafood</v>
      </c>
      <c r="K1285" s="7" t="str">
        <f>IF(VLOOKUP(dynamic[productID],products[],7,FALSE)=1,"Discontinued","Current")</f>
        <v>Current</v>
      </c>
      <c r="L1285" s="9">
        <f>VLOOKUP(dynamic[productID],products[],IF(YEAR(dynamic[orderDate])=2022,8,IF(YEAR(dynamic[orderDate])=2023,9,IF(YEAR(dynamic[orderDate])=2024,10,NA))),FALSE)</f>
        <v>16.03885249</v>
      </c>
      <c r="M1285" s="9">
        <v>25.89</v>
      </c>
      <c r="N1285" s="25">
        <f>(dynamic[orderPrice]-dynamic[productCost])/dynamic[productCost]</f>
        <v>0.6142052564</v>
      </c>
      <c r="O1285" s="10">
        <v>15.0</v>
      </c>
      <c r="P1285" s="25">
        <v>0.0</v>
      </c>
      <c r="Q1285" s="9">
        <f>dynamic[orderPrice]*dynamic[orderQuantity]</f>
        <v>388.35</v>
      </c>
      <c r="R1285" s="9">
        <f>dynamic[orderTotal]*(1-dynamic[discountApllied])</f>
        <v>388.35</v>
      </c>
      <c r="S1285" s="9">
        <f>dynamic[revenue]-(dynamic[productCost]*dynamic[orderQuantity])</f>
        <v>147.7672126</v>
      </c>
      <c r="T1285" s="25">
        <f>IFERROR(dynamic[profit]/dynamic[revenue], 0)</f>
        <v>0.3805000968</v>
      </c>
    </row>
    <row r="1286" ht="15.75" customHeight="1">
      <c r="A1286" s="6">
        <v>10734.0</v>
      </c>
      <c r="B1286" s="7" t="s">
        <v>86</v>
      </c>
      <c r="C1286" s="24" t="str">
        <f>VLOOKUP(dynamic[customerID],customers[],2,FALSE)</f>
        <v>Gourmet Lanchonetes</v>
      </c>
      <c r="D1286" s="24">
        <v>45237.0</v>
      </c>
      <c r="E1286" s="6">
        <f>IFERROR(__xludf.DUMMYFUNCTION("COUNTUNIQUEIFS($A$2:$A1286,$B$2:$B1286,B1286)"),5.0)</f>
        <v>5</v>
      </c>
      <c r="F1286" s="6">
        <f t="shared" si="1"/>
        <v>21</v>
      </c>
      <c r="G1286" s="6" t="str">
        <f>IF(MINIFS(dynamic[orderDate], dynamic[customerID], B1286) &gt;= DATE(2024,4,30)-120, 
     "New", 
     IF(MAXIFS(dynamic[orderCount], dynamic[customerID], B1286)&lt;=2, 
        IF((DATE(2024,4,30) - MAXIFS(dynamic[orderDate], dynamic[customerID], B1286)) &gt; 180, "Non-Returning", "Dormant"), 
        IF(AND(MAX(dynamic[sinceLastOrder]) &gt; 365, (DATE(2024,4,30) - MAXIFS(dynamic[orderDate], dynamic[customerID], B1286)) &gt; 180), 
           "Dormant", "Regular")))</f>
        <v>Regular</v>
      </c>
      <c r="H1286" s="6">
        <v>76.0</v>
      </c>
      <c r="I1286" s="9" t="str">
        <f>VLOOKUP(dynamic[productID],products[],2,FALSE)</f>
        <v>Lakkalikööri</v>
      </c>
      <c r="J1286" s="9" t="str">
        <f>VLOOKUP(dynamic[productID],products[],12,FALSE)</f>
        <v>Beverages</v>
      </c>
      <c r="K1286" s="7" t="str">
        <f>IF(VLOOKUP(dynamic[productID],products[],7,FALSE)=1,"Discontinued","Current")</f>
        <v>Current</v>
      </c>
      <c r="L1286" s="9">
        <f>VLOOKUP(dynamic[productID],products[],IF(YEAR(dynamic[orderDate])=2022,8,IF(YEAR(dynamic[orderDate])=2023,9,IF(YEAR(dynamic[orderDate])=2024,10,NA))),FALSE)</f>
        <v>12.1154529</v>
      </c>
      <c r="M1286" s="9">
        <v>18.0</v>
      </c>
      <c r="N1286" s="25">
        <f>(dynamic[orderPrice]-dynamic[productCost])/dynamic[productCost]</f>
        <v>0.4857059125</v>
      </c>
      <c r="O1286" s="10">
        <v>20.0</v>
      </c>
      <c r="P1286" s="25">
        <v>0.0</v>
      </c>
      <c r="Q1286" s="9">
        <f>dynamic[orderPrice]*dynamic[orderQuantity]</f>
        <v>360</v>
      </c>
      <c r="R1286" s="9">
        <f>dynamic[orderTotal]*(1-dynamic[discountApllied])</f>
        <v>360</v>
      </c>
      <c r="S1286" s="9">
        <f>dynamic[revenue]-(dynamic[productCost]*dynamic[orderQuantity])</f>
        <v>117.6909421</v>
      </c>
      <c r="T1286" s="25">
        <f>IFERROR(dynamic[profit]/dynamic[revenue], 0)</f>
        <v>0.3269192836</v>
      </c>
    </row>
    <row r="1287" ht="15.75" customHeight="1">
      <c r="A1287" s="6">
        <v>10735.0</v>
      </c>
      <c r="B1287" s="7" t="s">
        <v>97</v>
      </c>
      <c r="C1287" s="24" t="str">
        <f>VLOOKUP(dynamic[customerID],customers[],2,FALSE)</f>
        <v>Let's Stop N Shop</v>
      </c>
      <c r="D1287" s="24">
        <v>45240.0</v>
      </c>
      <c r="E1287" s="6">
        <f>IFERROR(__xludf.DUMMYFUNCTION("COUNTUNIQUEIFS($A$2:$A1287,$B$2:$B1287,B1287)"),3.0)</f>
        <v>3</v>
      </c>
      <c r="F1287" s="6">
        <f t="shared" si="1"/>
        <v>14</v>
      </c>
      <c r="G1287" s="6" t="str">
        <f>IF(MINIFS(dynamic[orderDate], dynamic[customerID], B1287) &gt;= DATE(2024,4,30)-120, 
     "New", 
     IF(MAXIFS(dynamic[orderCount], dynamic[customerID], B1287)&lt;=2, 
        IF((DATE(2024,4,30) - MAXIFS(dynamic[orderDate], dynamic[customerID], B1287)) &gt; 180, "Non-Returning", "Dormant"), 
        IF(AND(MAX(dynamic[sinceLastOrder]) &gt; 365, (DATE(2024,4,30) - MAXIFS(dynamic[orderDate], dynamic[customerID], B1287)) &gt; 180), 
           "Dormant", "Regular")))</f>
        <v>Regular</v>
      </c>
      <c r="H1287" s="6">
        <v>61.0</v>
      </c>
      <c r="I1287" s="9" t="str">
        <f>VLOOKUP(dynamic[productID],products[],2,FALSE)</f>
        <v>Sirop d'érable</v>
      </c>
      <c r="J1287" s="9" t="str">
        <f>VLOOKUP(dynamic[productID],products[],12,FALSE)</f>
        <v>Condiments</v>
      </c>
      <c r="K1287" s="7" t="str">
        <f>IF(VLOOKUP(dynamic[productID],products[],7,FALSE)=1,"Discontinued","Current")</f>
        <v>Current</v>
      </c>
      <c r="L1287" s="9">
        <f>VLOOKUP(dynamic[productID],products[],IF(YEAR(dynamic[orderDate])=2022,8,IF(YEAR(dynamic[orderDate])=2023,9,IF(YEAR(dynamic[orderDate])=2024,10,NA))),FALSE)</f>
        <v>17.19945448</v>
      </c>
      <c r="M1287" s="9">
        <v>28.5</v>
      </c>
      <c r="N1287" s="25">
        <f>(dynamic[orderPrice]-dynamic[productCost])/dynamic[productCost]</f>
        <v>0.6570292986</v>
      </c>
      <c r="O1287" s="10">
        <v>20.0</v>
      </c>
      <c r="P1287" s="25">
        <v>0.1</v>
      </c>
      <c r="Q1287" s="9">
        <f>dynamic[orderPrice]*dynamic[orderQuantity]</f>
        <v>570</v>
      </c>
      <c r="R1287" s="9">
        <f>dynamic[orderTotal]*(1-dynamic[discountApllied])</f>
        <v>513</v>
      </c>
      <c r="S1287" s="9">
        <f>dynamic[revenue]-(dynamic[productCost]*dynamic[orderQuantity])</f>
        <v>169.0109103</v>
      </c>
      <c r="T1287" s="25">
        <f>IFERROR(dynamic[profit]/dynamic[revenue], 0)</f>
        <v>0.3294559655</v>
      </c>
    </row>
    <row r="1288" ht="15.75" customHeight="1">
      <c r="A1288" s="6">
        <v>10735.0</v>
      </c>
      <c r="B1288" s="7" t="s">
        <v>97</v>
      </c>
      <c r="C1288" s="24" t="str">
        <f>VLOOKUP(dynamic[customerID],customers[],2,FALSE)</f>
        <v>Let's Stop N Shop</v>
      </c>
      <c r="D1288" s="24">
        <v>45240.0</v>
      </c>
      <c r="E1288" s="6">
        <f>IFERROR(__xludf.DUMMYFUNCTION("COUNTUNIQUEIFS($A$2:$A1288,$B$2:$B1288,B1288)"),3.0)</f>
        <v>3</v>
      </c>
      <c r="F1288" s="6">
        <f t="shared" si="1"/>
        <v>14</v>
      </c>
      <c r="G1288" s="6" t="str">
        <f>IF(MINIFS(dynamic[orderDate], dynamic[customerID], B1288) &gt;= DATE(2024,4,30)-120, 
     "New", 
     IF(MAXIFS(dynamic[orderCount], dynamic[customerID], B1288)&lt;=2, 
        IF((DATE(2024,4,30) - MAXIFS(dynamic[orderDate], dynamic[customerID], B1288)) &gt; 180, "Non-Returning", "Dormant"), 
        IF(AND(MAX(dynamic[sinceLastOrder]) &gt; 365, (DATE(2024,4,30) - MAXIFS(dynamic[orderDate], dynamic[customerID], B1288)) &gt; 180), 
           "Dormant", "Regular")))</f>
        <v>Regular</v>
      </c>
      <c r="H1288" s="6">
        <v>77.0</v>
      </c>
      <c r="I1288" s="9" t="str">
        <f>VLOOKUP(dynamic[productID],products[],2,FALSE)</f>
        <v>Original Frankfurter grüne Soße</v>
      </c>
      <c r="J1288" s="9" t="str">
        <f>VLOOKUP(dynamic[productID],products[],12,FALSE)</f>
        <v>Condiments</v>
      </c>
      <c r="K1288" s="7" t="str">
        <f>IF(VLOOKUP(dynamic[productID],products[],7,FALSE)=1,"Discontinued","Current")</f>
        <v>Current</v>
      </c>
      <c r="L1288" s="9">
        <f>VLOOKUP(dynamic[productID],products[],IF(YEAR(dynamic[orderDate])=2022,8,IF(YEAR(dynamic[orderDate])=2023,9,IF(YEAR(dynamic[orderDate])=2024,10,NA))),FALSE)</f>
        <v>7.539056452</v>
      </c>
      <c r="M1288" s="9">
        <v>13.0</v>
      </c>
      <c r="N1288" s="25">
        <f>(dynamic[orderPrice]-dynamic[productCost])/dynamic[productCost]</f>
        <v>0.7243537149</v>
      </c>
      <c r="O1288" s="10">
        <v>2.0</v>
      </c>
      <c r="P1288" s="25">
        <v>0.1</v>
      </c>
      <c r="Q1288" s="9">
        <f>dynamic[orderPrice]*dynamic[orderQuantity]</f>
        <v>26</v>
      </c>
      <c r="R1288" s="9">
        <f>dynamic[orderTotal]*(1-dynamic[discountApllied])</f>
        <v>23.4</v>
      </c>
      <c r="S1288" s="9">
        <f>dynamic[revenue]-(dynamic[productCost]*dynamic[orderQuantity])</f>
        <v>8.321887096</v>
      </c>
      <c r="T1288" s="25">
        <f>IFERROR(dynamic[profit]/dynamic[revenue], 0)</f>
        <v>0.3556362007</v>
      </c>
    </row>
    <row r="1289" ht="15.75" customHeight="1">
      <c r="A1289" s="6">
        <v>10736.0</v>
      </c>
      <c r="B1289" s="7" t="s">
        <v>49</v>
      </c>
      <c r="C1289" s="24" t="str">
        <f>VLOOKUP(dynamic[customerID],customers[],2,FALSE)</f>
        <v>Hungry Owl All-Night Grocers</v>
      </c>
      <c r="D1289" s="24">
        <v>45241.0</v>
      </c>
      <c r="E1289" s="6">
        <f>IFERROR(__xludf.DUMMYFUNCTION("COUNTUNIQUEIFS($A$2:$A1289,$B$2:$B1289,B1289)"),15.0)</f>
        <v>15</v>
      </c>
      <c r="F1289" s="6">
        <f t="shared" si="1"/>
        <v>21</v>
      </c>
      <c r="G1289" s="6" t="str">
        <f>IF(MINIFS(dynamic[orderDate], dynamic[customerID], B1289) &gt;= DATE(2024,4,30)-120, 
     "New", 
     IF(MAXIFS(dynamic[orderCount], dynamic[customerID], B1289)&lt;=2, 
        IF((DATE(2024,4,30) - MAXIFS(dynamic[orderDate], dynamic[customerID], B1289)) &gt; 180, "Non-Returning", "Dormant"), 
        IF(AND(MAX(dynamic[sinceLastOrder]) &gt; 365, (DATE(2024,4,30) - MAXIFS(dynamic[orderDate], dynamic[customerID], B1289)) &gt; 180), 
           "Dormant", "Regular")))</f>
        <v>Regular</v>
      </c>
      <c r="H1289" s="6">
        <v>65.0</v>
      </c>
      <c r="I1289" s="9" t="str">
        <f>VLOOKUP(dynamic[productID],products[],2,FALSE)</f>
        <v>Louisiana Fiery Hot Pepper Sauce</v>
      </c>
      <c r="J1289" s="9" t="str">
        <f>VLOOKUP(dynamic[productID],products[],12,FALSE)</f>
        <v>Condiments</v>
      </c>
      <c r="K1289" s="7" t="str">
        <f>IF(VLOOKUP(dynamic[productID],products[],7,FALSE)=1,"Discontinued","Current")</f>
        <v>Current</v>
      </c>
      <c r="L1289" s="9">
        <f>VLOOKUP(dynamic[productID],products[],IF(YEAR(dynamic[orderDate])=2022,8,IF(YEAR(dynamic[orderDate])=2023,9,IF(YEAR(dynamic[orderDate])=2024,10,NA))),FALSE)</f>
        <v>13.21122243</v>
      </c>
      <c r="M1289" s="9">
        <v>21.05</v>
      </c>
      <c r="N1289" s="25">
        <f>(dynamic[orderPrice]-dynamic[productCost])/dynamic[productCost]</f>
        <v>0.593342335</v>
      </c>
      <c r="O1289" s="10">
        <v>40.0</v>
      </c>
      <c r="P1289" s="25">
        <v>0.0</v>
      </c>
      <c r="Q1289" s="9">
        <f>dynamic[orderPrice]*dynamic[orderQuantity]</f>
        <v>842</v>
      </c>
      <c r="R1289" s="9">
        <f>dynamic[orderTotal]*(1-dynamic[discountApllied])</f>
        <v>842</v>
      </c>
      <c r="S1289" s="9">
        <f>dynamic[revenue]-(dynamic[productCost]*dynamic[orderQuantity])</f>
        <v>313.5511027</v>
      </c>
      <c r="T1289" s="25">
        <f>IFERROR(dynamic[profit]/dynamic[revenue], 0)</f>
        <v>0.372388483</v>
      </c>
    </row>
    <row r="1290" ht="15.75" customHeight="1">
      <c r="A1290" s="6">
        <v>10736.0</v>
      </c>
      <c r="B1290" s="7" t="s">
        <v>49</v>
      </c>
      <c r="C1290" s="24" t="str">
        <f>VLOOKUP(dynamic[customerID],customers[],2,FALSE)</f>
        <v>Hungry Owl All-Night Grocers</v>
      </c>
      <c r="D1290" s="24">
        <v>45241.0</v>
      </c>
      <c r="E1290" s="6">
        <f>IFERROR(__xludf.DUMMYFUNCTION("COUNTUNIQUEIFS($A$2:$A1290,$B$2:$B1290,B1290)"),15.0)</f>
        <v>15</v>
      </c>
      <c r="F1290" s="6">
        <f t="shared" si="1"/>
        <v>21</v>
      </c>
      <c r="G1290" s="6" t="str">
        <f>IF(MINIFS(dynamic[orderDate], dynamic[customerID], B1290) &gt;= DATE(2024,4,30)-120, 
     "New", 
     IF(MAXIFS(dynamic[orderCount], dynamic[customerID], B1290)&lt;=2, 
        IF((DATE(2024,4,30) - MAXIFS(dynamic[orderDate], dynamic[customerID], B1290)) &gt; 180, "Non-Returning", "Dormant"), 
        IF(AND(MAX(dynamic[sinceLastOrder]) &gt; 365, (DATE(2024,4,30) - MAXIFS(dynamic[orderDate], dynamic[customerID], B1290)) &gt; 180), 
           "Dormant", "Regular")))</f>
        <v>Regular</v>
      </c>
      <c r="H1290" s="6">
        <v>75.0</v>
      </c>
      <c r="I1290" s="9" t="str">
        <f>VLOOKUP(dynamic[productID],products[],2,FALSE)</f>
        <v>Rhönbräu Klosterbier</v>
      </c>
      <c r="J1290" s="9" t="str">
        <f>VLOOKUP(dynamic[productID],products[],12,FALSE)</f>
        <v>Beverages</v>
      </c>
      <c r="K1290" s="7" t="str">
        <f>IF(VLOOKUP(dynamic[productID],products[],7,FALSE)=1,"Discontinued","Current")</f>
        <v>Current</v>
      </c>
      <c r="L1290" s="9">
        <f>VLOOKUP(dynamic[productID],products[],IF(YEAR(dynamic[orderDate])=2022,8,IF(YEAR(dynamic[orderDate])=2023,9,IF(YEAR(dynamic[orderDate])=2024,10,NA))),FALSE)</f>
        <v>5.355290472</v>
      </c>
      <c r="M1290" s="9">
        <v>7.75</v>
      </c>
      <c r="N1290" s="25">
        <f>(dynamic[orderPrice]-dynamic[productCost])/dynamic[productCost]</f>
        <v>0.4471670661</v>
      </c>
      <c r="O1290" s="10">
        <v>20.0</v>
      </c>
      <c r="P1290" s="25">
        <v>0.0</v>
      </c>
      <c r="Q1290" s="9">
        <f>dynamic[orderPrice]*dynamic[orderQuantity]</f>
        <v>155</v>
      </c>
      <c r="R1290" s="9">
        <f>dynamic[orderTotal]*(1-dynamic[discountApllied])</f>
        <v>155</v>
      </c>
      <c r="S1290" s="9">
        <f>dynamic[revenue]-(dynamic[productCost]*dynamic[orderQuantity])</f>
        <v>47.89419057</v>
      </c>
      <c r="T1290" s="25">
        <f>IFERROR(dynamic[profit]/dynamic[revenue], 0)</f>
        <v>0.3089947778</v>
      </c>
    </row>
    <row r="1291" ht="15.75" customHeight="1">
      <c r="A1291" s="6">
        <v>10737.0</v>
      </c>
      <c r="B1291" s="7" t="s">
        <v>12</v>
      </c>
      <c r="C1291" s="24" t="str">
        <f>VLOOKUP(dynamic[customerID],customers[],2,FALSE)</f>
        <v>Vins et alcools Chevalier</v>
      </c>
      <c r="D1291" s="24">
        <v>45241.0</v>
      </c>
      <c r="E1291" s="6">
        <f>IFERROR(__xludf.DUMMYFUNCTION("COUNTUNIQUEIFS($A$2:$A1291,$B$2:$B1291,B1291)"),4.0)</f>
        <v>4</v>
      </c>
      <c r="F1291" s="6">
        <f t="shared" si="1"/>
        <v>435</v>
      </c>
      <c r="G1291" s="6" t="str">
        <f>IF(MINIFS(dynamic[orderDate], dynamic[customerID], B1291) &gt;= DATE(2024,4,30)-120, 
     "New", 
     IF(MAXIFS(dynamic[orderCount], dynamic[customerID], B1291)&lt;=2, 
        IF((DATE(2024,4,30) - MAXIFS(dynamic[orderDate], dynamic[customerID], B1291)) &gt; 180, "Non-Returning", "Dormant"), 
        IF(AND(MAX(dynamic[sinceLastOrder]) &gt; 365, (DATE(2024,4,30) - MAXIFS(dynamic[orderDate], dynamic[customerID], B1291)) &gt; 180), 
           "Dormant", "Regular")))</f>
        <v>Regular</v>
      </c>
      <c r="H1291" s="6">
        <v>13.0</v>
      </c>
      <c r="I1291" s="9" t="str">
        <f>VLOOKUP(dynamic[productID],products[],2,FALSE)</f>
        <v>Konbu</v>
      </c>
      <c r="J1291" s="9" t="str">
        <f>VLOOKUP(dynamic[productID],products[],12,FALSE)</f>
        <v>Seafood</v>
      </c>
      <c r="K1291" s="7" t="str">
        <f>IF(VLOOKUP(dynamic[productID],products[],7,FALSE)=1,"Discontinued","Current")</f>
        <v>Current</v>
      </c>
      <c r="L1291" s="9">
        <f>VLOOKUP(dynamic[productID],products[],IF(YEAR(dynamic[orderDate])=2022,8,IF(YEAR(dynamic[orderDate])=2023,9,IF(YEAR(dynamic[orderDate])=2024,10,NA))),FALSE)</f>
        <v>3.865774949</v>
      </c>
      <c r="M1291" s="9">
        <v>6.0</v>
      </c>
      <c r="N1291" s="25">
        <f>(dynamic[orderPrice]-dynamic[productCost])/dynamic[productCost]</f>
        <v>0.5520820739</v>
      </c>
      <c r="O1291" s="10">
        <v>4.0</v>
      </c>
      <c r="P1291" s="25">
        <v>0.0</v>
      </c>
      <c r="Q1291" s="9">
        <f>dynamic[orderPrice]*dynamic[orderQuantity]</f>
        <v>24</v>
      </c>
      <c r="R1291" s="9">
        <f>dynamic[orderTotal]*(1-dynamic[discountApllied])</f>
        <v>24</v>
      </c>
      <c r="S1291" s="9">
        <f>dynamic[revenue]-(dynamic[productCost]*dynamic[orderQuantity])</f>
        <v>8.536900204</v>
      </c>
      <c r="T1291" s="25">
        <f>IFERROR(dynamic[profit]/dynamic[revenue], 0)</f>
        <v>0.3557041752</v>
      </c>
    </row>
    <row r="1292" ht="15.75" customHeight="1">
      <c r="A1292" s="6">
        <v>10737.0</v>
      </c>
      <c r="B1292" s="7" t="s">
        <v>12</v>
      </c>
      <c r="C1292" s="24" t="str">
        <f>VLOOKUP(dynamic[customerID],customers[],2,FALSE)</f>
        <v>Vins et alcools Chevalier</v>
      </c>
      <c r="D1292" s="24">
        <v>45241.0</v>
      </c>
      <c r="E1292" s="6">
        <f>IFERROR(__xludf.DUMMYFUNCTION("COUNTUNIQUEIFS($A$2:$A1292,$B$2:$B1292,B1292)"),4.0)</f>
        <v>4</v>
      </c>
      <c r="F1292" s="6">
        <f t="shared" si="1"/>
        <v>435</v>
      </c>
      <c r="G1292" s="6" t="str">
        <f>IF(MINIFS(dynamic[orderDate], dynamic[customerID], B1292) &gt;= DATE(2024,4,30)-120, 
     "New", 
     IF(MAXIFS(dynamic[orderCount], dynamic[customerID], B1292)&lt;=2, 
        IF((DATE(2024,4,30) - MAXIFS(dynamic[orderDate], dynamic[customerID], B1292)) &gt; 180, "Non-Returning", "Dormant"), 
        IF(AND(MAX(dynamic[sinceLastOrder]) &gt; 365, (DATE(2024,4,30) - MAXIFS(dynamic[orderDate], dynamic[customerID], B1292)) &gt; 180), 
           "Dormant", "Regular")))</f>
        <v>Regular</v>
      </c>
      <c r="H1292" s="6">
        <v>41.0</v>
      </c>
      <c r="I1292" s="9" t="str">
        <f>VLOOKUP(dynamic[productID],products[],2,FALSE)</f>
        <v>Jack's New England Clam Chowder</v>
      </c>
      <c r="J1292" s="9" t="str">
        <f>VLOOKUP(dynamic[productID],products[],12,FALSE)</f>
        <v>Seafood</v>
      </c>
      <c r="K1292" s="7" t="str">
        <f>IF(VLOOKUP(dynamic[productID],products[],7,FALSE)=1,"Discontinued","Current")</f>
        <v>Current</v>
      </c>
      <c r="L1292" s="9">
        <f>VLOOKUP(dynamic[productID],products[],IF(YEAR(dynamic[orderDate])=2022,8,IF(YEAR(dynamic[orderDate])=2023,9,IF(YEAR(dynamic[orderDate])=2024,10,NA))),FALSE)</f>
        <v>6.549914856</v>
      </c>
      <c r="M1292" s="9">
        <v>9.65</v>
      </c>
      <c r="N1292" s="25">
        <f>(dynamic[orderPrice]-dynamic[productCost])/dynamic[productCost]</f>
        <v>0.4733015943</v>
      </c>
      <c r="O1292" s="10">
        <v>12.0</v>
      </c>
      <c r="P1292" s="25">
        <v>0.0</v>
      </c>
      <c r="Q1292" s="9">
        <f>dynamic[orderPrice]*dynamic[orderQuantity]</f>
        <v>115.8</v>
      </c>
      <c r="R1292" s="9">
        <f>dynamic[orderTotal]*(1-dynamic[discountApllied])</f>
        <v>115.8</v>
      </c>
      <c r="S1292" s="9">
        <f>dynamic[revenue]-(dynamic[productCost]*dynamic[orderQuantity])</f>
        <v>37.20102173</v>
      </c>
      <c r="T1292" s="25">
        <f>IFERROR(dynamic[profit]/dynamic[revenue], 0)</f>
        <v>0.3212523465</v>
      </c>
    </row>
    <row r="1293" ht="15.75" customHeight="1">
      <c r="A1293" s="6">
        <v>10738.0</v>
      </c>
      <c r="B1293" s="7" t="s">
        <v>102</v>
      </c>
      <c r="C1293" s="24" t="str">
        <f>VLOOKUP(dynamic[customerID],customers[],2,FALSE)</f>
        <v>Spécialités du monde</v>
      </c>
      <c r="D1293" s="24">
        <v>45242.0</v>
      </c>
      <c r="E1293" s="6">
        <f>IFERROR(__xludf.DUMMYFUNCTION("COUNTUNIQUEIFS($A$2:$A1293,$B$2:$B1293,B1293)"),1.0)</f>
        <v>1</v>
      </c>
      <c r="F1293" s="6">
        <f t="shared" si="1"/>
        <v>0</v>
      </c>
      <c r="G1293" s="6" t="str">
        <f>IF(MINIFS(dynamic[orderDate], dynamic[customerID], B1293) &gt;= DATE(2024,4,30)-120, 
     "New", 
     IF(MAXIFS(dynamic[orderCount], dynamic[customerID], B1293)&lt;=2, 
        IF((DATE(2024,4,30) - MAXIFS(dynamic[orderDate], dynamic[customerID], B1293)) &gt; 180, "Non-Returning", "Dormant"), 
        IF(AND(MAX(dynamic[sinceLastOrder]) &gt; 365, (DATE(2024,4,30) - MAXIFS(dynamic[orderDate], dynamic[customerID], B1293)) &gt; 180), 
           "Dormant", "Regular")))</f>
        <v>Regular</v>
      </c>
      <c r="H1293" s="6">
        <v>16.0</v>
      </c>
      <c r="I1293" s="9" t="str">
        <f>VLOOKUP(dynamic[productID],products[],2,FALSE)</f>
        <v>Pavlova</v>
      </c>
      <c r="J1293" s="9" t="str">
        <f>VLOOKUP(dynamic[productID],products[],12,FALSE)</f>
        <v>Confections</v>
      </c>
      <c r="K1293" s="7" t="str">
        <f>IF(VLOOKUP(dynamic[productID],products[],7,FALSE)=1,"Discontinued","Current")</f>
        <v>Current</v>
      </c>
      <c r="L1293" s="9">
        <f>VLOOKUP(dynamic[productID],products[],IF(YEAR(dynamic[orderDate])=2022,8,IF(YEAR(dynamic[orderDate])=2023,9,IF(YEAR(dynamic[orderDate])=2024,10,NA))),FALSE)</f>
        <v>11.98504839</v>
      </c>
      <c r="M1293" s="9">
        <v>17.45</v>
      </c>
      <c r="N1293" s="25">
        <f>(dynamic[orderPrice]-dynamic[productCost])/dynamic[productCost]</f>
        <v>0.455980771</v>
      </c>
      <c r="O1293" s="10">
        <v>3.0</v>
      </c>
      <c r="P1293" s="25">
        <v>0.0</v>
      </c>
      <c r="Q1293" s="9">
        <f>dynamic[orderPrice]*dynamic[orderQuantity]</f>
        <v>52.35</v>
      </c>
      <c r="R1293" s="9">
        <f>dynamic[orderTotal]*(1-dynamic[discountApllied])</f>
        <v>52.35</v>
      </c>
      <c r="S1293" s="9">
        <f>dynamic[revenue]-(dynamic[productCost]*dynamic[orderQuantity])</f>
        <v>16.39485482</v>
      </c>
      <c r="T1293" s="25">
        <f>IFERROR(dynamic[profit]/dynamic[revenue], 0)</f>
        <v>0.3131777425</v>
      </c>
    </row>
    <row r="1294" ht="15.75" customHeight="1">
      <c r="A1294" s="6">
        <v>10739.0</v>
      </c>
      <c r="B1294" s="7" t="s">
        <v>12</v>
      </c>
      <c r="C1294" s="24" t="str">
        <f>VLOOKUP(dynamic[customerID],customers[],2,FALSE)</f>
        <v>Vins et alcools Chevalier</v>
      </c>
      <c r="D1294" s="24">
        <v>45242.0</v>
      </c>
      <c r="E1294" s="6">
        <f>IFERROR(__xludf.DUMMYFUNCTION("COUNTUNIQUEIFS($A$2:$A1294,$B$2:$B1294,B1294)"),5.0)</f>
        <v>5</v>
      </c>
      <c r="F1294" s="6">
        <f t="shared" si="1"/>
        <v>1</v>
      </c>
      <c r="G1294" s="6" t="str">
        <f>IF(MINIFS(dynamic[orderDate], dynamic[customerID], B1294) &gt;= DATE(2024,4,30)-120, 
     "New", 
     IF(MAXIFS(dynamic[orderCount], dynamic[customerID], B1294)&lt;=2, 
        IF((DATE(2024,4,30) - MAXIFS(dynamic[orderDate], dynamic[customerID], B1294)) &gt; 180, "Non-Returning", "Dormant"), 
        IF(AND(MAX(dynamic[sinceLastOrder]) &gt; 365, (DATE(2024,4,30) - MAXIFS(dynamic[orderDate], dynamic[customerID], B1294)) &gt; 180), 
           "Dormant", "Regular")))</f>
        <v>Regular</v>
      </c>
      <c r="H1294" s="6">
        <v>36.0</v>
      </c>
      <c r="I1294" s="9" t="str">
        <f>VLOOKUP(dynamic[productID],products[],2,FALSE)</f>
        <v>Inlagd Sill</v>
      </c>
      <c r="J1294" s="9" t="str">
        <f>VLOOKUP(dynamic[productID],products[],12,FALSE)</f>
        <v>Seafood</v>
      </c>
      <c r="K1294" s="7" t="str">
        <f>IF(VLOOKUP(dynamic[productID],products[],7,FALSE)=1,"Discontinued","Current")</f>
        <v>Current</v>
      </c>
      <c r="L1294" s="9">
        <f>VLOOKUP(dynamic[productID],products[],IF(YEAR(dynamic[orderDate])=2022,8,IF(YEAR(dynamic[orderDate])=2023,9,IF(YEAR(dynamic[orderDate])=2024,10,NA))),FALSE)</f>
        <v>12.15246269</v>
      </c>
      <c r="M1294" s="9">
        <v>19.0</v>
      </c>
      <c r="N1294" s="25">
        <f>(dynamic[orderPrice]-dynamic[productCost])/dynamic[productCost]</f>
        <v>0.5634691082</v>
      </c>
      <c r="O1294" s="10">
        <v>6.0</v>
      </c>
      <c r="P1294" s="25">
        <v>0.0</v>
      </c>
      <c r="Q1294" s="9">
        <f>dynamic[orderPrice]*dynamic[orderQuantity]</f>
        <v>114</v>
      </c>
      <c r="R1294" s="9">
        <f>dynamic[orderTotal]*(1-dynamic[discountApllied])</f>
        <v>114</v>
      </c>
      <c r="S1294" s="9">
        <f>dynamic[revenue]-(dynamic[productCost]*dynamic[orderQuantity])</f>
        <v>41.08522388</v>
      </c>
      <c r="T1294" s="25">
        <f>IFERROR(dynamic[profit]/dynamic[revenue], 0)</f>
        <v>0.3603967007</v>
      </c>
    </row>
    <row r="1295" ht="15.75" customHeight="1">
      <c r="A1295" s="6">
        <v>10739.0</v>
      </c>
      <c r="B1295" s="7" t="s">
        <v>12</v>
      </c>
      <c r="C1295" s="24" t="str">
        <f>VLOOKUP(dynamic[customerID],customers[],2,FALSE)</f>
        <v>Vins et alcools Chevalier</v>
      </c>
      <c r="D1295" s="24">
        <v>45242.0</v>
      </c>
      <c r="E1295" s="6">
        <f>IFERROR(__xludf.DUMMYFUNCTION("COUNTUNIQUEIFS($A$2:$A1295,$B$2:$B1295,B1295)"),5.0)</f>
        <v>5</v>
      </c>
      <c r="F1295" s="6">
        <f t="shared" si="1"/>
        <v>1</v>
      </c>
      <c r="G1295" s="6" t="str">
        <f>IF(MINIFS(dynamic[orderDate], dynamic[customerID], B1295) &gt;= DATE(2024,4,30)-120, 
     "New", 
     IF(MAXIFS(dynamic[orderCount], dynamic[customerID], B1295)&lt;=2, 
        IF((DATE(2024,4,30) - MAXIFS(dynamic[orderDate], dynamic[customerID], B1295)) &gt; 180, "Non-Returning", "Dormant"), 
        IF(AND(MAX(dynamic[sinceLastOrder]) &gt; 365, (DATE(2024,4,30) - MAXIFS(dynamic[orderDate], dynamic[customerID], B1295)) &gt; 180), 
           "Dormant", "Regular")))</f>
        <v>Regular</v>
      </c>
      <c r="H1295" s="6">
        <v>52.0</v>
      </c>
      <c r="I1295" s="9" t="str">
        <f>VLOOKUP(dynamic[productID],products[],2,FALSE)</f>
        <v>Filo Mix</v>
      </c>
      <c r="J1295" s="9" t="str">
        <f>VLOOKUP(dynamic[productID],products[],12,FALSE)</f>
        <v>Grains/Cereals</v>
      </c>
      <c r="K1295" s="7" t="str">
        <f>IF(VLOOKUP(dynamic[productID],products[],7,FALSE)=1,"Discontinued","Current")</f>
        <v>Current</v>
      </c>
      <c r="L1295" s="9">
        <f>VLOOKUP(dynamic[productID],products[],IF(YEAR(dynamic[orderDate])=2022,8,IF(YEAR(dynamic[orderDate])=2023,9,IF(YEAR(dynamic[orderDate])=2024,10,NA))),FALSE)</f>
        <v>5.001706713</v>
      </c>
      <c r="M1295" s="9">
        <v>7.0</v>
      </c>
      <c r="N1295" s="25">
        <f>(dynamic[orderPrice]-dynamic[productCost])/dynamic[productCost]</f>
        <v>0.3995222835</v>
      </c>
      <c r="O1295" s="10">
        <v>18.0</v>
      </c>
      <c r="P1295" s="25">
        <v>0.0</v>
      </c>
      <c r="Q1295" s="9">
        <f>dynamic[orderPrice]*dynamic[orderQuantity]</f>
        <v>126</v>
      </c>
      <c r="R1295" s="9">
        <f>dynamic[orderTotal]*(1-dynamic[discountApllied])</f>
        <v>126</v>
      </c>
      <c r="S1295" s="9">
        <f>dynamic[revenue]-(dynamic[productCost]*dynamic[orderQuantity])</f>
        <v>35.96927917</v>
      </c>
      <c r="T1295" s="25">
        <f>IFERROR(dynamic[profit]/dynamic[revenue], 0)</f>
        <v>0.2854704696</v>
      </c>
    </row>
    <row r="1296" ht="15.75" customHeight="1">
      <c r="A1296" s="6">
        <v>10740.0</v>
      </c>
      <c r="B1296" s="7" t="s">
        <v>34</v>
      </c>
      <c r="C1296" s="24" t="str">
        <f>VLOOKUP(dynamic[customerID],customers[],2,FALSE)</f>
        <v>White Clover Markets</v>
      </c>
      <c r="D1296" s="24">
        <v>45243.0</v>
      </c>
      <c r="E1296" s="6">
        <f>IFERROR(__xludf.DUMMYFUNCTION("COUNTUNIQUEIFS($A$2:$A1296,$B$2:$B1296,B1296)"),10.0)</f>
        <v>10</v>
      </c>
      <c r="F1296" s="6">
        <f t="shared" si="1"/>
        <v>14</v>
      </c>
      <c r="G1296" s="6" t="str">
        <f>IF(MINIFS(dynamic[orderDate], dynamic[customerID], B1296) &gt;= DATE(2024,4,30)-120, 
     "New", 
     IF(MAXIFS(dynamic[orderCount], dynamic[customerID], B1296)&lt;=2, 
        IF((DATE(2024,4,30) - MAXIFS(dynamic[orderDate], dynamic[customerID], B1296)) &gt; 180, "Non-Returning", "Dormant"), 
        IF(AND(MAX(dynamic[sinceLastOrder]) &gt; 365, (DATE(2024,4,30) - MAXIFS(dynamic[orderDate], dynamic[customerID], B1296)) &gt; 180), 
           "Dormant", "Regular")))</f>
        <v>Regular</v>
      </c>
      <c r="H1296" s="6">
        <v>28.0</v>
      </c>
      <c r="I1296" s="9" t="str">
        <f>VLOOKUP(dynamic[productID],products[],2,FALSE)</f>
        <v>Rössle Sauerkraut</v>
      </c>
      <c r="J1296" s="9" t="str">
        <f>VLOOKUP(dynamic[productID],products[],12,FALSE)</f>
        <v>Produce</v>
      </c>
      <c r="K1296" s="7" t="str">
        <f>IF(VLOOKUP(dynamic[productID],products[],7,FALSE)=1,"Discontinued","Current")</f>
        <v>Discontinued</v>
      </c>
      <c r="L1296" s="9">
        <f>VLOOKUP(dynamic[productID],products[],IF(YEAR(dynamic[orderDate])=2022,8,IF(YEAR(dynamic[orderDate])=2023,9,IF(YEAR(dynamic[orderDate])=2024,10,NA))),FALSE)</f>
        <v>31.52644578</v>
      </c>
      <c r="M1296" s="9">
        <v>45.6</v>
      </c>
      <c r="N1296" s="25">
        <f>(dynamic[orderPrice]-dynamic[productCost])/dynamic[productCost]</f>
        <v>0.4464047207</v>
      </c>
      <c r="O1296" s="10">
        <v>5.0</v>
      </c>
      <c r="P1296" s="25">
        <v>0.2</v>
      </c>
      <c r="Q1296" s="9">
        <f>dynamic[orderPrice]*dynamic[orderQuantity]</f>
        <v>228</v>
      </c>
      <c r="R1296" s="9">
        <f>dynamic[orderTotal]*(1-dynamic[discountApllied])</f>
        <v>182.4</v>
      </c>
      <c r="S1296" s="9">
        <f>dynamic[revenue]-(dynamic[productCost]*dynamic[orderQuantity])</f>
        <v>24.76777111</v>
      </c>
      <c r="T1296" s="25">
        <f>IFERROR(dynamic[profit]/dynamic[revenue], 0)</f>
        <v>0.1357882188</v>
      </c>
    </row>
    <row r="1297" ht="15.75" customHeight="1">
      <c r="A1297" s="6">
        <v>10740.0</v>
      </c>
      <c r="B1297" s="7" t="s">
        <v>34</v>
      </c>
      <c r="C1297" s="24" t="str">
        <f>VLOOKUP(dynamic[customerID],customers[],2,FALSE)</f>
        <v>White Clover Markets</v>
      </c>
      <c r="D1297" s="24">
        <v>45243.0</v>
      </c>
      <c r="E1297" s="6">
        <f>IFERROR(__xludf.DUMMYFUNCTION("COUNTUNIQUEIFS($A$2:$A1297,$B$2:$B1297,B1297)"),10.0)</f>
        <v>10</v>
      </c>
      <c r="F1297" s="6">
        <f t="shared" si="1"/>
        <v>14</v>
      </c>
      <c r="G1297" s="6" t="str">
        <f>IF(MINIFS(dynamic[orderDate], dynamic[customerID], B1297) &gt;= DATE(2024,4,30)-120, 
     "New", 
     IF(MAXIFS(dynamic[orderCount], dynamic[customerID], B1297)&lt;=2, 
        IF((DATE(2024,4,30) - MAXIFS(dynamic[orderDate], dynamic[customerID], B1297)) &gt; 180, "Non-Returning", "Dormant"), 
        IF(AND(MAX(dynamic[sinceLastOrder]) &gt; 365, (DATE(2024,4,30) - MAXIFS(dynamic[orderDate], dynamic[customerID], B1297)) &gt; 180), 
           "Dormant", "Regular")))</f>
        <v>Regular</v>
      </c>
      <c r="H1297" s="6">
        <v>35.0</v>
      </c>
      <c r="I1297" s="9" t="str">
        <f>VLOOKUP(dynamic[productID],products[],2,FALSE)</f>
        <v>Cold Brew Nitro</v>
      </c>
      <c r="J1297" s="9" t="str">
        <f>VLOOKUP(dynamic[productID],products[],12,FALSE)</f>
        <v>Beverages</v>
      </c>
      <c r="K1297" s="7" t="str">
        <f>IF(VLOOKUP(dynamic[productID],products[],7,FALSE)=1,"Discontinued","Current")</f>
        <v>Current</v>
      </c>
      <c r="L1297" s="9">
        <f>VLOOKUP(dynamic[productID],products[],IF(YEAR(dynamic[orderDate])=2022,8,IF(YEAR(dynamic[orderDate])=2023,9,IF(YEAR(dynamic[orderDate])=2024,10,NA))),FALSE)</f>
        <v>11.7602531</v>
      </c>
      <c r="M1297" s="9">
        <v>18.0</v>
      </c>
      <c r="N1297" s="25">
        <f>(dynamic[orderPrice]-dynamic[productCost])/dynamic[productCost]</f>
        <v>0.5305793033</v>
      </c>
      <c r="O1297" s="10">
        <v>35.0</v>
      </c>
      <c r="P1297" s="25">
        <v>0.2</v>
      </c>
      <c r="Q1297" s="9">
        <f>dynamic[orderPrice]*dynamic[orderQuantity]</f>
        <v>630</v>
      </c>
      <c r="R1297" s="9">
        <f>dynamic[orderTotal]*(1-dynamic[discountApllied])</f>
        <v>504</v>
      </c>
      <c r="S1297" s="9">
        <f>dynamic[revenue]-(dynamic[productCost]*dynamic[orderQuantity])</f>
        <v>92.39114142</v>
      </c>
      <c r="T1297" s="25">
        <f>IFERROR(dynamic[profit]/dynamic[revenue], 0)</f>
        <v>0.1833157568</v>
      </c>
    </row>
    <row r="1298" ht="15.75" customHeight="1">
      <c r="A1298" s="6">
        <v>10740.0</v>
      </c>
      <c r="B1298" s="7" t="s">
        <v>34</v>
      </c>
      <c r="C1298" s="24" t="str">
        <f>VLOOKUP(dynamic[customerID],customers[],2,FALSE)</f>
        <v>White Clover Markets</v>
      </c>
      <c r="D1298" s="24">
        <v>45243.0</v>
      </c>
      <c r="E1298" s="6">
        <f>IFERROR(__xludf.DUMMYFUNCTION("COUNTUNIQUEIFS($A$2:$A1298,$B$2:$B1298,B1298)"),10.0)</f>
        <v>10</v>
      </c>
      <c r="F1298" s="6">
        <f t="shared" si="1"/>
        <v>14</v>
      </c>
      <c r="G1298" s="6" t="str">
        <f>IF(MINIFS(dynamic[orderDate], dynamic[customerID], B1298) &gt;= DATE(2024,4,30)-120, 
     "New", 
     IF(MAXIFS(dynamic[orderCount], dynamic[customerID], B1298)&lt;=2, 
        IF((DATE(2024,4,30) - MAXIFS(dynamic[orderDate], dynamic[customerID], B1298)) &gt; 180, "Non-Returning", "Dormant"), 
        IF(AND(MAX(dynamic[sinceLastOrder]) &gt; 365, (DATE(2024,4,30) - MAXIFS(dynamic[orderDate], dynamic[customerID], B1298)) &gt; 180), 
           "Dormant", "Regular")))</f>
        <v>Regular</v>
      </c>
      <c r="H1298" s="6">
        <v>45.0</v>
      </c>
      <c r="I1298" s="9" t="str">
        <f>VLOOKUP(dynamic[productID],products[],2,FALSE)</f>
        <v>Rogede sild</v>
      </c>
      <c r="J1298" s="9" t="str">
        <f>VLOOKUP(dynamic[productID],products[],12,FALSE)</f>
        <v>Seafood</v>
      </c>
      <c r="K1298" s="7" t="str">
        <f>IF(VLOOKUP(dynamic[productID],products[],7,FALSE)=1,"Discontinued","Current")</f>
        <v>Current</v>
      </c>
      <c r="L1298" s="9">
        <f>VLOOKUP(dynamic[productID],products[],IF(YEAR(dynamic[orderDate])=2022,8,IF(YEAR(dynamic[orderDate])=2023,9,IF(YEAR(dynamic[orderDate])=2024,10,NA))),FALSE)</f>
        <v>5.965769822</v>
      </c>
      <c r="M1298" s="9">
        <v>9.5</v>
      </c>
      <c r="N1298" s="25">
        <f>(dynamic[orderPrice]-dynamic[productCost])/dynamic[productCost]</f>
        <v>0.5924181261</v>
      </c>
      <c r="O1298" s="10">
        <v>40.0</v>
      </c>
      <c r="P1298" s="25">
        <v>0.2</v>
      </c>
      <c r="Q1298" s="9">
        <f>dynamic[orderPrice]*dynamic[orderQuantity]</f>
        <v>380</v>
      </c>
      <c r="R1298" s="9">
        <f>dynamic[orderTotal]*(1-dynamic[discountApllied])</f>
        <v>304</v>
      </c>
      <c r="S1298" s="9">
        <f>dynamic[revenue]-(dynamic[productCost]*dynamic[orderQuantity])</f>
        <v>65.36920713</v>
      </c>
      <c r="T1298" s="25">
        <f>IFERROR(dynamic[profit]/dynamic[revenue], 0)</f>
        <v>0.2150302866</v>
      </c>
    </row>
    <row r="1299" ht="15.75" customHeight="1">
      <c r="A1299" s="6">
        <v>10740.0</v>
      </c>
      <c r="B1299" s="7" t="s">
        <v>34</v>
      </c>
      <c r="C1299" s="24" t="str">
        <f>VLOOKUP(dynamic[customerID],customers[],2,FALSE)</f>
        <v>White Clover Markets</v>
      </c>
      <c r="D1299" s="24">
        <v>45243.0</v>
      </c>
      <c r="E1299" s="6">
        <f>IFERROR(__xludf.DUMMYFUNCTION("COUNTUNIQUEIFS($A$2:$A1299,$B$2:$B1299,B1299)"),10.0)</f>
        <v>10</v>
      </c>
      <c r="F1299" s="6">
        <f t="shared" si="1"/>
        <v>14</v>
      </c>
      <c r="G1299" s="6" t="str">
        <f>IF(MINIFS(dynamic[orderDate], dynamic[customerID], B1299) &gt;= DATE(2024,4,30)-120, 
     "New", 
     IF(MAXIFS(dynamic[orderCount], dynamic[customerID], B1299)&lt;=2, 
        IF((DATE(2024,4,30) - MAXIFS(dynamic[orderDate], dynamic[customerID], B1299)) &gt; 180, "Non-Returning", "Dormant"), 
        IF(AND(MAX(dynamic[sinceLastOrder]) &gt; 365, (DATE(2024,4,30) - MAXIFS(dynamic[orderDate], dynamic[customerID], B1299)) &gt; 180), 
           "Dormant", "Regular")))</f>
        <v>Regular</v>
      </c>
      <c r="H1299" s="6">
        <v>56.0</v>
      </c>
      <c r="I1299" s="9" t="str">
        <f>VLOOKUP(dynamic[productID],products[],2,FALSE)</f>
        <v>Gnocchi di nonna Alice</v>
      </c>
      <c r="J1299" s="9" t="str">
        <f>VLOOKUP(dynamic[productID],products[],12,FALSE)</f>
        <v>Grains/Cereals</v>
      </c>
      <c r="K1299" s="7" t="str">
        <f>IF(VLOOKUP(dynamic[productID],products[],7,FALSE)=1,"Discontinued","Current")</f>
        <v>Current</v>
      </c>
      <c r="L1299" s="9">
        <f>VLOOKUP(dynamic[productID],products[],IF(YEAR(dynamic[orderDate])=2022,8,IF(YEAR(dynamic[orderDate])=2023,9,IF(YEAR(dynamic[orderDate])=2024,10,NA))),FALSE)</f>
        <v>24.28342441</v>
      </c>
      <c r="M1299" s="9">
        <v>38.0</v>
      </c>
      <c r="N1299" s="25">
        <f>(dynamic[orderPrice]-dynamic[productCost])/dynamic[productCost]</f>
        <v>0.5648534309</v>
      </c>
      <c r="O1299" s="10">
        <v>14.0</v>
      </c>
      <c r="P1299" s="25">
        <v>0.2</v>
      </c>
      <c r="Q1299" s="9">
        <f>dynamic[orderPrice]*dynamic[orderQuantity]</f>
        <v>532</v>
      </c>
      <c r="R1299" s="9">
        <f>dynamic[orderTotal]*(1-dynamic[discountApllied])</f>
        <v>425.6</v>
      </c>
      <c r="S1299" s="9">
        <f>dynamic[revenue]-(dynamic[productCost]*dynamic[orderQuantity])</f>
        <v>85.63205829</v>
      </c>
      <c r="T1299" s="25">
        <f>IFERROR(dynamic[profit]/dynamic[revenue], 0)</f>
        <v>0.2012031445</v>
      </c>
    </row>
    <row r="1300" ht="15.75" customHeight="1">
      <c r="A1300" s="6">
        <v>10741.0</v>
      </c>
      <c r="B1300" s="7" t="s">
        <v>70</v>
      </c>
      <c r="C1300" s="24" t="str">
        <f>VLOOKUP(dynamic[customerID],customers[],2,FALSE)</f>
        <v>Around the Horn</v>
      </c>
      <c r="D1300" s="24">
        <v>45244.0</v>
      </c>
      <c r="E1300" s="6">
        <f>IFERROR(__xludf.DUMMYFUNCTION("COUNTUNIQUEIFS($A$2:$A1300,$B$2:$B1300,B1300)"),6.0)</f>
        <v>6</v>
      </c>
      <c r="F1300" s="6">
        <f t="shared" si="1"/>
        <v>29</v>
      </c>
      <c r="G1300" s="6" t="str">
        <f>IF(MINIFS(dynamic[orderDate], dynamic[customerID], B1300) &gt;= DATE(2024,4,30)-120, 
     "New", 
     IF(MAXIFS(dynamic[orderCount], dynamic[customerID], B1300)&lt;=2, 
        IF((DATE(2024,4,30) - MAXIFS(dynamic[orderDate], dynamic[customerID], B1300)) &gt; 180, "Non-Returning", "Dormant"), 
        IF(AND(MAX(dynamic[sinceLastOrder]) &gt; 365, (DATE(2024,4,30) - MAXIFS(dynamic[orderDate], dynamic[customerID], B1300)) &gt; 180), 
           "Dormant", "Regular")))</f>
        <v>Regular</v>
      </c>
      <c r="H1300" s="6">
        <v>2.0</v>
      </c>
      <c r="I1300" s="9" t="str">
        <f>VLOOKUP(dynamic[productID],products[],2,FALSE)</f>
        <v>Chang</v>
      </c>
      <c r="J1300" s="9" t="str">
        <f>VLOOKUP(dynamic[productID],products[],12,FALSE)</f>
        <v>Beverages</v>
      </c>
      <c r="K1300" s="7" t="str">
        <f>IF(VLOOKUP(dynamic[productID],products[],7,FALSE)=1,"Discontinued","Current")</f>
        <v>Current</v>
      </c>
      <c r="L1300" s="9">
        <f>VLOOKUP(dynamic[productID],products[],IF(YEAR(dynamic[orderDate])=2022,8,IF(YEAR(dynamic[orderDate])=2023,9,IF(YEAR(dynamic[orderDate])=2024,10,NA))),FALSE)</f>
        <v>12.14626904</v>
      </c>
      <c r="M1300" s="9">
        <v>19.0</v>
      </c>
      <c r="N1300" s="25">
        <f>(dynamic[orderPrice]-dynamic[productCost])/dynamic[productCost]</f>
        <v>0.5642663547</v>
      </c>
      <c r="O1300" s="10">
        <v>15.0</v>
      </c>
      <c r="P1300" s="25">
        <v>0.2</v>
      </c>
      <c r="Q1300" s="9">
        <f>dynamic[orderPrice]*dynamic[orderQuantity]</f>
        <v>285</v>
      </c>
      <c r="R1300" s="9">
        <f>dynamic[orderTotal]*(1-dynamic[discountApllied])</f>
        <v>228</v>
      </c>
      <c r="S1300" s="9">
        <f>dynamic[revenue]-(dynamic[productCost]*dynamic[orderQuantity])</f>
        <v>45.80596434</v>
      </c>
      <c r="T1300" s="25">
        <f>IFERROR(dynamic[profit]/dynamic[revenue], 0)</f>
        <v>0.2009033524</v>
      </c>
    </row>
    <row r="1301" ht="15.75" customHeight="1">
      <c r="A1301" s="6">
        <v>10742.0</v>
      </c>
      <c r="B1301" s="7" t="s">
        <v>81</v>
      </c>
      <c r="C1301" s="24" t="str">
        <f>VLOOKUP(dynamic[customerID],customers[],2,FALSE)</f>
        <v>Bottom-Dollar Markets</v>
      </c>
      <c r="D1301" s="24">
        <v>45244.0</v>
      </c>
      <c r="E1301" s="6">
        <f>IFERROR(__xludf.DUMMYFUNCTION("COUNTUNIQUEIFS($A$2:$A1301,$B$2:$B1301,B1301)"),6.0)</f>
        <v>6</v>
      </c>
      <c r="F1301" s="6">
        <f t="shared" si="1"/>
        <v>227</v>
      </c>
      <c r="G1301" s="6" t="str">
        <f>IF(MINIFS(dynamic[orderDate], dynamic[customerID], B1301) &gt;= DATE(2024,4,30)-120, 
     "New", 
     IF(MAXIFS(dynamic[orderCount], dynamic[customerID], B1301)&lt;=2, 
        IF((DATE(2024,4,30) - MAXIFS(dynamic[orderDate], dynamic[customerID], B1301)) &gt; 180, "Non-Returning", "Dormant"), 
        IF(AND(MAX(dynamic[sinceLastOrder]) &gt; 365, (DATE(2024,4,30) - MAXIFS(dynamic[orderDate], dynamic[customerID], B1301)) &gt; 180), 
           "Dormant", "Regular")))</f>
        <v>Regular</v>
      </c>
      <c r="H1301" s="6">
        <v>3.0</v>
      </c>
      <c r="I1301" s="9" t="str">
        <f>VLOOKUP(dynamic[productID],products[],2,FALSE)</f>
        <v>Aniseed Syrup</v>
      </c>
      <c r="J1301" s="9" t="str">
        <f>VLOOKUP(dynamic[productID],products[],12,FALSE)</f>
        <v>Condiments</v>
      </c>
      <c r="K1301" s="7" t="str">
        <f>IF(VLOOKUP(dynamic[productID],products[],7,FALSE)=1,"Discontinued","Current")</f>
        <v>Current</v>
      </c>
      <c r="L1301" s="9">
        <f>VLOOKUP(dynamic[productID],products[],IF(YEAR(dynamic[orderDate])=2022,8,IF(YEAR(dynamic[orderDate])=2023,9,IF(YEAR(dynamic[orderDate])=2024,10,NA))),FALSE)</f>
        <v>6.399802633</v>
      </c>
      <c r="M1301" s="9">
        <v>10.0</v>
      </c>
      <c r="N1301" s="25">
        <f>(dynamic[orderPrice]-dynamic[productCost])/dynamic[productCost]</f>
        <v>0.5625481867</v>
      </c>
      <c r="O1301" s="10">
        <v>20.0</v>
      </c>
      <c r="P1301" s="25">
        <v>0.0</v>
      </c>
      <c r="Q1301" s="9">
        <f>dynamic[orderPrice]*dynamic[orderQuantity]</f>
        <v>200</v>
      </c>
      <c r="R1301" s="9">
        <f>dynamic[orderTotal]*(1-dynamic[discountApllied])</f>
        <v>200</v>
      </c>
      <c r="S1301" s="9">
        <f>dynamic[revenue]-(dynamic[productCost]*dynamic[orderQuantity])</f>
        <v>72.00394733</v>
      </c>
      <c r="T1301" s="25">
        <f>IFERROR(dynamic[profit]/dynamic[revenue], 0)</f>
        <v>0.3600197367</v>
      </c>
    </row>
    <row r="1302" ht="15.75" customHeight="1">
      <c r="A1302" s="6">
        <v>10742.0</v>
      </c>
      <c r="B1302" s="7" t="s">
        <v>81</v>
      </c>
      <c r="C1302" s="24" t="str">
        <f>VLOOKUP(dynamic[customerID],customers[],2,FALSE)</f>
        <v>Bottom-Dollar Markets</v>
      </c>
      <c r="D1302" s="24">
        <v>45244.0</v>
      </c>
      <c r="E1302" s="6">
        <f>IFERROR(__xludf.DUMMYFUNCTION("COUNTUNIQUEIFS($A$2:$A1302,$B$2:$B1302,B1302)"),6.0)</f>
        <v>6</v>
      </c>
      <c r="F1302" s="6">
        <f t="shared" si="1"/>
        <v>227</v>
      </c>
      <c r="G1302" s="6" t="str">
        <f>IF(MINIFS(dynamic[orderDate], dynamic[customerID], B1302) &gt;= DATE(2024,4,30)-120, 
     "New", 
     IF(MAXIFS(dynamic[orderCount], dynamic[customerID], B1302)&lt;=2, 
        IF((DATE(2024,4,30) - MAXIFS(dynamic[orderDate], dynamic[customerID], B1302)) &gt; 180, "Non-Returning", "Dormant"), 
        IF(AND(MAX(dynamic[sinceLastOrder]) &gt; 365, (DATE(2024,4,30) - MAXIFS(dynamic[orderDate], dynamic[customerID], B1302)) &gt; 180), 
           "Dormant", "Regular")))</f>
        <v>Regular</v>
      </c>
      <c r="H1302" s="6">
        <v>60.0</v>
      </c>
      <c r="I1302" s="9" t="str">
        <f>VLOOKUP(dynamic[productID],products[],2,FALSE)</f>
        <v>Camembert Pierrot</v>
      </c>
      <c r="J1302" s="9" t="str">
        <f>VLOOKUP(dynamic[productID],products[],12,FALSE)</f>
        <v>Dairy Products</v>
      </c>
      <c r="K1302" s="7" t="str">
        <f>IF(VLOOKUP(dynamic[productID],products[],7,FALSE)=1,"Discontinued","Current")</f>
        <v>Current</v>
      </c>
      <c r="L1302" s="9">
        <f>VLOOKUP(dynamic[productID],products[],IF(YEAR(dynamic[orderDate])=2022,8,IF(YEAR(dynamic[orderDate])=2023,9,IF(YEAR(dynamic[orderDate])=2024,10,NA))),FALSE)</f>
        <v>22.77098295</v>
      </c>
      <c r="M1302" s="9">
        <v>34.0</v>
      </c>
      <c r="N1302" s="25">
        <f>(dynamic[orderPrice]-dynamic[productCost])/dynamic[productCost]</f>
        <v>0.4931283415</v>
      </c>
      <c r="O1302" s="10">
        <v>50.0</v>
      </c>
      <c r="P1302" s="25">
        <v>0.0</v>
      </c>
      <c r="Q1302" s="9">
        <f>dynamic[orderPrice]*dynamic[orderQuantity]</f>
        <v>1700</v>
      </c>
      <c r="R1302" s="9">
        <f>dynamic[orderTotal]*(1-dynamic[discountApllied])</f>
        <v>1700</v>
      </c>
      <c r="S1302" s="9">
        <f>dynamic[revenue]-(dynamic[productCost]*dynamic[orderQuantity])</f>
        <v>561.4508527</v>
      </c>
      <c r="T1302" s="25">
        <f>IFERROR(dynamic[profit]/dynamic[revenue], 0)</f>
        <v>0.3302652075</v>
      </c>
    </row>
    <row r="1303" ht="15.75" customHeight="1">
      <c r="A1303" s="6">
        <v>10742.0</v>
      </c>
      <c r="B1303" s="7" t="s">
        <v>81</v>
      </c>
      <c r="C1303" s="24" t="str">
        <f>VLOOKUP(dynamic[customerID],customers[],2,FALSE)</f>
        <v>Bottom-Dollar Markets</v>
      </c>
      <c r="D1303" s="24">
        <v>45244.0</v>
      </c>
      <c r="E1303" s="6">
        <f>IFERROR(__xludf.DUMMYFUNCTION("COUNTUNIQUEIFS($A$2:$A1303,$B$2:$B1303,B1303)"),6.0)</f>
        <v>6</v>
      </c>
      <c r="F1303" s="6">
        <f t="shared" si="1"/>
        <v>227</v>
      </c>
      <c r="G1303" s="6" t="str">
        <f>IF(MINIFS(dynamic[orderDate], dynamic[customerID], B1303) &gt;= DATE(2024,4,30)-120, 
     "New", 
     IF(MAXIFS(dynamic[orderCount], dynamic[customerID], B1303)&lt;=2, 
        IF((DATE(2024,4,30) - MAXIFS(dynamic[orderDate], dynamic[customerID], B1303)) &gt; 180, "Non-Returning", "Dormant"), 
        IF(AND(MAX(dynamic[sinceLastOrder]) &gt; 365, (DATE(2024,4,30) - MAXIFS(dynamic[orderDate], dynamic[customerID], B1303)) &gt; 180), 
           "Dormant", "Regular")))</f>
        <v>Regular</v>
      </c>
      <c r="H1303" s="6">
        <v>72.0</v>
      </c>
      <c r="I1303" s="9" t="str">
        <f>VLOOKUP(dynamic[productID],products[],2,FALSE)</f>
        <v>Mozzarella di Giovanni</v>
      </c>
      <c r="J1303" s="9" t="str">
        <f>VLOOKUP(dynamic[productID],products[],12,FALSE)</f>
        <v>Dairy Products</v>
      </c>
      <c r="K1303" s="7" t="str">
        <f>IF(VLOOKUP(dynamic[productID],products[],7,FALSE)=1,"Discontinued","Current")</f>
        <v>Current</v>
      </c>
      <c r="L1303" s="9">
        <f>VLOOKUP(dynamic[productID],products[],IF(YEAR(dynamic[orderDate])=2022,8,IF(YEAR(dynamic[orderDate])=2023,9,IF(YEAR(dynamic[orderDate])=2024,10,NA))),FALSE)</f>
        <v>23.51933768</v>
      </c>
      <c r="M1303" s="9">
        <v>34.8</v>
      </c>
      <c r="N1303" s="25">
        <f>(dynamic[orderPrice]-dynamic[productCost])/dynamic[productCost]</f>
        <v>0.4796335031</v>
      </c>
      <c r="O1303" s="10">
        <v>35.0</v>
      </c>
      <c r="P1303" s="25">
        <v>0.0</v>
      </c>
      <c r="Q1303" s="9">
        <f>dynamic[orderPrice]*dynamic[orderQuantity]</f>
        <v>1218</v>
      </c>
      <c r="R1303" s="9">
        <f>dynamic[orderTotal]*(1-dynamic[discountApllied])</f>
        <v>1218</v>
      </c>
      <c r="S1303" s="9">
        <f>dynamic[revenue]-(dynamic[productCost]*dynamic[orderQuantity])</f>
        <v>394.8231812</v>
      </c>
      <c r="T1303" s="25">
        <f>IFERROR(dynamic[profit]/dynamic[revenue], 0)</f>
        <v>0.3241569633</v>
      </c>
    </row>
    <row r="1304" ht="15.75" customHeight="1">
      <c r="A1304" s="6">
        <v>10743.0</v>
      </c>
      <c r="B1304" s="7" t="s">
        <v>70</v>
      </c>
      <c r="C1304" s="24" t="str">
        <f>VLOOKUP(dynamic[customerID],customers[],2,FALSE)</f>
        <v>Around the Horn</v>
      </c>
      <c r="D1304" s="24">
        <v>45247.0</v>
      </c>
      <c r="E1304" s="6">
        <f>IFERROR(__xludf.DUMMYFUNCTION("COUNTUNIQUEIFS($A$2:$A1304,$B$2:$B1304,B1304)"),7.0)</f>
        <v>7</v>
      </c>
      <c r="F1304" s="6">
        <f t="shared" si="1"/>
        <v>3</v>
      </c>
      <c r="G1304" s="6" t="str">
        <f>IF(MINIFS(dynamic[orderDate], dynamic[customerID], B1304) &gt;= DATE(2024,4,30)-120, 
     "New", 
     IF(MAXIFS(dynamic[orderCount], dynamic[customerID], B1304)&lt;=2, 
        IF((DATE(2024,4,30) - MAXIFS(dynamic[orderDate], dynamic[customerID], B1304)) &gt; 180, "Non-Returning", "Dormant"), 
        IF(AND(MAX(dynamic[sinceLastOrder]) &gt; 365, (DATE(2024,4,30) - MAXIFS(dynamic[orderDate], dynamic[customerID], B1304)) &gt; 180), 
           "Dormant", "Regular")))</f>
        <v>Regular</v>
      </c>
      <c r="H1304" s="6">
        <v>46.0</v>
      </c>
      <c r="I1304" s="9" t="str">
        <f>VLOOKUP(dynamic[productID],products[],2,FALSE)</f>
        <v>Spegesild</v>
      </c>
      <c r="J1304" s="9" t="str">
        <f>VLOOKUP(dynamic[productID],products[],12,FALSE)</f>
        <v>Seafood</v>
      </c>
      <c r="K1304" s="7" t="str">
        <f>IF(VLOOKUP(dynamic[productID],products[],7,FALSE)=1,"Discontinued","Current")</f>
        <v>Current</v>
      </c>
      <c r="L1304" s="9">
        <f>VLOOKUP(dynamic[productID],products[],IF(YEAR(dynamic[orderDate])=2022,8,IF(YEAR(dynamic[orderDate])=2023,9,IF(YEAR(dynamic[orderDate])=2024,10,NA))),FALSE)</f>
        <v>7.087990753</v>
      </c>
      <c r="M1304" s="9">
        <v>12.0</v>
      </c>
      <c r="N1304" s="25">
        <f>(dynamic[orderPrice]-dynamic[productCost])/dynamic[productCost]</f>
        <v>0.693004466</v>
      </c>
      <c r="O1304" s="10">
        <v>28.0</v>
      </c>
      <c r="P1304" s="25">
        <v>0.05</v>
      </c>
      <c r="Q1304" s="9">
        <f>dynamic[orderPrice]*dynamic[orderQuantity]</f>
        <v>336</v>
      </c>
      <c r="R1304" s="9">
        <f>dynamic[orderTotal]*(1-dynamic[discountApllied])</f>
        <v>319.2</v>
      </c>
      <c r="S1304" s="9">
        <f>dynamic[revenue]-(dynamic[productCost]*dynamic[orderQuantity])</f>
        <v>120.7362589</v>
      </c>
      <c r="T1304" s="25">
        <f>IFERROR(dynamic[profit]/dynamic[revenue], 0)</f>
        <v>0.3782464252</v>
      </c>
    </row>
    <row r="1305" ht="15.75" customHeight="1">
      <c r="A1305" s="6">
        <v>10744.0</v>
      </c>
      <c r="B1305" s="7" t="s">
        <v>76</v>
      </c>
      <c r="C1305" s="24" t="str">
        <f>VLOOKUP(dynamic[customerID],customers[],2,FALSE)</f>
        <v>Vaffeljernet</v>
      </c>
      <c r="D1305" s="24">
        <v>45247.0</v>
      </c>
      <c r="E1305" s="6">
        <f>IFERROR(__xludf.DUMMYFUNCTION("COUNTUNIQUEIFS($A$2:$A1305,$B$2:$B1305,B1305)"),7.0)</f>
        <v>7</v>
      </c>
      <c r="F1305" s="6">
        <f t="shared" si="1"/>
        <v>47</v>
      </c>
      <c r="G1305" s="6" t="str">
        <f>IF(MINIFS(dynamic[orderDate], dynamic[customerID], B1305) &gt;= DATE(2024,4,30)-120, 
     "New", 
     IF(MAXIFS(dynamic[orderCount], dynamic[customerID], B1305)&lt;=2, 
        IF((DATE(2024,4,30) - MAXIFS(dynamic[orderDate], dynamic[customerID], B1305)) &gt; 180, "Non-Returning", "Dormant"), 
        IF(AND(MAX(dynamic[sinceLastOrder]) &gt; 365, (DATE(2024,4,30) - MAXIFS(dynamic[orderDate], dynamic[customerID], B1305)) &gt; 180), 
           "Dormant", "Regular")))</f>
        <v>Regular</v>
      </c>
      <c r="H1305" s="6">
        <v>40.0</v>
      </c>
      <c r="I1305" s="9" t="str">
        <f>VLOOKUP(dynamic[productID],products[],2,FALSE)</f>
        <v>Boston Crab Meat</v>
      </c>
      <c r="J1305" s="9" t="str">
        <f>VLOOKUP(dynamic[productID],products[],12,FALSE)</f>
        <v>Seafood</v>
      </c>
      <c r="K1305" s="7" t="str">
        <f>IF(VLOOKUP(dynamic[productID],products[],7,FALSE)=1,"Discontinued","Current")</f>
        <v>Current</v>
      </c>
      <c r="L1305" s="9">
        <f>VLOOKUP(dynamic[productID],products[],IF(YEAR(dynamic[orderDate])=2022,8,IF(YEAR(dynamic[orderDate])=2023,9,IF(YEAR(dynamic[orderDate])=2024,10,NA))),FALSE)</f>
        <v>11.40496523</v>
      </c>
      <c r="M1305" s="9">
        <v>18.4</v>
      </c>
      <c r="N1305" s="25">
        <f>(dynamic[orderPrice]-dynamic[productCost])/dynamic[productCost]</f>
        <v>0.6133324069</v>
      </c>
      <c r="O1305" s="10">
        <v>50.0</v>
      </c>
      <c r="P1305" s="25">
        <v>0.2</v>
      </c>
      <c r="Q1305" s="9">
        <f>dynamic[orderPrice]*dynamic[orderQuantity]</f>
        <v>920</v>
      </c>
      <c r="R1305" s="9">
        <f>dynamic[orderTotal]*(1-dynamic[discountApllied])</f>
        <v>736</v>
      </c>
      <c r="S1305" s="9">
        <f>dynamic[revenue]-(dynamic[productCost]*dynamic[orderQuantity])</f>
        <v>165.7517386</v>
      </c>
      <c r="T1305" s="25">
        <f>IFERROR(dynamic[profit]/dynamic[revenue], 0)</f>
        <v>0.2252061666</v>
      </c>
    </row>
    <row r="1306" ht="15.75" customHeight="1">
      <c r="A1306" s="6">
        <v>10745.0</v>
      </c>
      <c r="B1306" s="7" t="s">
        <v>36</v>
      </c>
      <c r="C1306" s="24" t="str">
        <f>VLOOKUP(dynamic[customerID],customers[],2,FALSE)</f>
        <v>QUICK-Stop</v>
      </c>
      <c r="D1306" s="24">
        <v>45248.0</v>
      </c>
      <c r="E1306" s="6">
        <f>IFERROR(__xludf.DUMMYFUNCTION("COUNTUNIQUEIFS($A$2:$A1306,$B$2:$B1306,B1306)"),18.0)</f>
        <v>18</v>
      </c>
      <c r="F1306" s="6">
        <f t="shared" si="1"/>
        <v>20</v>
      </c>
      <c r="G1306" s="6" t="str">
        <f>IF(MINIFS(dynamic[orderDate], dynamic[customerID], B1306) &gt;= DATE(2024,4,30)-120, 
     "New", 
     IF(MAXIFS(dynamic[orderCount], dynamic[customerID], B1306)&lt;=2, 
        IF((DATE(2024,4,30) - MAXIFS(dynamic[orderDate], dynamic[customerID], B1306)) &gt; 180, "Non-Returning", "Dormant"), 
        IF(AND(MAX(dynamic[sinceLastOrder]) &gt; 365, (DATE(2024,4,30) - MAXIFS(dynamic[orderDate], dynamic[customerID], B1306)) &gt; 180), 
           "Dormant", "Regular")))</f>
        <v>Regular</v>
      </c>
      <c r="H1306" s="6">
        <v>18.0</v>
      </c>
      <c r="I1306" s="9" t="str">
        <f>VLOOKUP(dynamic[productID],products[],2,FALSE)</f>
        <v>Carnarvon Tigers</v>
      </c>
      <c r="J1306" s="9" t="str">
        <f>VLOOKUP(dynamic[productID],products[],12,FALSE)</f>
        <v>Seafood</v>
      </c>
      <c r="K1306" s="7" t="str">
        <f>IF(VLOOKUP(dynamic[productID],products[],7,FALSE)=1,"Discontinued","Current")</f>
        <v>Current</v>
      </c>
      <c r="L1306" s="9">
        <f>VLOOKUP(dynamic[productID],products[],IF(YEAR(dynamic[orderDate])=2022,8,IF(YEAR(dynamic[orderDate])=2023,9,IF(YEAR(dynamic[orderDate])=2024,10,NA))),FALSE)</f>
        <v>39.51966651</v>
      </c>
      <c r="M1306" s="9">
        <v>62.5</v>
      </c>
      <c r="N1306" s="25">
        <f>(dynamic[orderPrice]-dynamic[productCost])/dynamic[productCost]</f>
        <v>0.5814910784</v>
      </c>
      <c r="O1306" s="10">
        <v>24.0</v>
      </c>
      <c r="P1306" s="25">
        <v>0.0</v>
      </c>
      <c r="Q1306" s="9">
        <f>dynamic[orderPrice]*dynamic[orderQuantity]</f>
        <v>1500</v>
      </c>
      <c r="R1306" s="9">
        <f>dynamic[orderTotal]*(1-dynamic[discountApllied])</f>
        <v>1500</v>
      </c>
      <c r="S1306" s="9">
        <f>dynamic[revenue]-(dynamic[productCost]*dynamic[orderQuantity])</f>
        <v>551.5280039</v>
      </c>
      <c r="T1306" s="25">
        <f>IFERROR(dynamic[profit]/dynamic[revenue], 0)</f>
        <v>0.3676853359</v>
      </c>
    </row>
    <row r="1307" ht="15.75" customHeight="1">
      <c r="A1307" s="6">
        <v>10745.0</v>
      </c>
      <c r="B1307" s="7" t="s">
        <v>36</v>
      </c>
      <c r="C1307" s="24" t="str">
        <f>VLOOKUP(dynamic[customerID],customers[],2,FALSE)</f>
        <v>QUICK-Stop</v>
      </c>
      <c r="D1307" s="24">
        <v>45248.0</v>
      </c>
      <c r="E1307" s="6">
        <f>IFERROR(__xludf.DUMMYFUNCTION("COUNTUNIQUEIFS($A$2:$A1307,$B$2:$B1307,B1307)"),18.0)</f>
        <v>18</v>
      </c>
      <c r="F1307" s="6">
        <f t="shared" si="1"/>
        <v>20</v>
      </c>
      <c r="G1307" s="6" t="str">
        <f>IF(MINIFS(dynamic[orderDate], dynamic[customerID], B1307) &gt;= DATE(2024,4,30)-120, 
     "New", 
     IF(MAXIFS(dynamic[orderCount], dynamic[customerID], B1307)&lt;=2, 
        IF((DATE(2024,4,30) - MAXIFS(dynamic[orderDate], dynamic[customerID], B1307)) &gt; 180, "Non-Returning", "Dormant"), 
        IF(AND(MAX(dynamic[sinceLastOrder]) &gt; 365, (DATE(2024,4,30) - MAXIFS(dynamic[orderDate], dynamic[customerID], B1307)) &gt; 180), 
           "Dormant", "Regular")))</f>
        <v>Regular</v>
      </c>
      <c r="H1307" s="6">
        <v>44.0</v>
      </c>
      <c r="I1307" s="9" t="str">
        <f>VLOOKUP(dynamic[productID],products[],2,FALSE)</f>
        <v>Gula Malacca</v>
      </c>
      <c r="J1307" s="9" t="str">
        <f>VLOOKUP(dynamic[productID],products[],12,FALSE)</f>
        <v>Condiments</v>
      </c>
      <c r="K1307" s="7" t="str">
        <f>IF(VLOOKUP(dynamic[productID],products[],7,FALSE)=1,"Discontinued","Current")</f>
        <v>Current</v>
      </c>
      <c r="L1307" s="9">
        <f>VLOOKUP(dynamic[productID],products[],IF(YEAR(dynamic[orderDate])=2022,8,IF(YEAR(dynamic[orderDate])=2023,9,IF(YEAR(dynamic[orderDate])=2024,10,NA))),FALSE)</f>
        <v>13.06032103</v>
      </c>
      <c r="M1307" s="9">
        <v>19.45</v>
      </c>
      <c r="N1307" s="25">
        <f>(dynamic[orderPrice]-dynamic[productCost])/dynamic[productCost]</f>
        <v>0.4892436379</v>
      </c>
      <c r="O1307" s="10">
        <v>16.0</v>
      </c>
      <c r="P1307" s="25">
        <v>0.0</v>
      </c>
      <c r="Q1307" s="9">
        <f>dynamic[orderPrice]*dynamic[orderQuantity]</f>
        <v>311.2</v>
      </c>
      <c r="R1307" s="9">
        <f>dynamic[orderTotal]*(1-dynamic[discountApllied])</f>
        <v>311.2</v>
      </c>
      <c r="S1307" s="9">
        <f>dynamic[revenue]-(dynamic[productCost]*dynamic[orderQuantity])</f>
        <v>102.2348635</v>
      </c>
      <c r="T1307" s="25">
        <f>IFERROR(dynamic[profit]/dynamic[revenue], 0)</f>
        <v>0.3285181991</v>
      </c>
    </row>
    <row r="1308" ht="15.75" customHeight="1">
      <c r="A1308" s="6">
        <v>10745.0</v>
      </c>
      <c r="B1308" s="7" t="s">
        <v>36</v>
      </c>
      <c r="C1308" s="24" t="str">
        <f>VLOOKUP(dynamic[customerID],customers[],2,FALSE)</f>
        <v>QUICK-Stop</v>
      </c>
      <c r="D1308" s="24">
        <v>45248.0</v>
      </c>
      <c r="E1308" s="6">
        <f>IFERROR(__xludf.DUMMYFUNCTION("COUNTUNIQUEIFS($A$2:$A1308,$B$2:$B1308,B1308)"),18.0)</f>
        <v>18</v>
      </c>
      <c r="F1308" s="6">
        <f t="shared" si="1"/>
        <v>20</v>
      </c>
      <c r="G1308" s="6" t="str">
        <f>IF(MINIFS(dynamic[orderDate], dynamic[customerID], B1308) &gt;= DATE(2024,4,30)-120, 
     "New", 
     IF(MAXIFS(dynamic[orderCount], dynamic[customerID], B1308)&lt;=2, 
        IF((DATE(2024,4,30) - MAXIFS(dynamic[orderDate], dynamic[customerID], B1308)) &gt; 180, "Non-Returning", "Dormant"), 
        IF(AND(MAX(dynamic[sinceLastOrder]) &gt; 365, (DATE(2024,4,30) - MAXIFS(dynamic[orderDate], dynamic[customerID], B1308)) &gt; 180), 
           "Dormant", "Regular")))</f>
        <v>Regular</v>
      </c>
      <c r="H1308" s="6">
        <v>59.0</v>
      </c>
      <c r="I1308" s="9" t="str">
        <f>VLOOKUP(dynamic[productID],products[],2,FALSE)</f>
        <v>Raclette Courdavault</v>
      </c>
      <c r="J1308" s="9" t="str">
        <f>VLOOKUP(dynamic[productID],products[],12,FALSE)</f>
        <v>Dairy Products</v>
      </c>
      <c r="K1308" s="7" t="str">
        <f>IF(VLOOKUP(dynamic[productID],products[],7,FALSE)=1,"Discontinued","Current")</f>
        <v>Current</v>
      </c>
      <c r="L1308" s="9">
        <f>VLOOKUP(dynamic[productID],products[],IF(YEAR(dynamic[orderDate])=2022,8,IF(YEAR(dynamic[orderDate])=2023,9,IF(YEAR(dynamic[orderDate])=2024,10,NA))),FALSE)</f>
        <v>35.20472566</v>
      </c>
      <c r="M1308" s="9">
        <v>55.0</v>
      </c>
      <c r="N1308" s="25">
        <f>(dynamic[orderPrice]-dynamic[productCost])/dynamic[productCost]</f>
        <v>0.5622902598</v>
      </c>
      <c r="O1308" s="10">
        <v>45.0</v>
      </c>
      <c r="P1308" s="25">
        <v>0.0</v>
      </c>
      <c r="Q1308" s="9">
        <f>dynamic[orderPrice]*dynamic[orderQuantity]</f>
        <v>2475</v>
      </c>
      <c r="R1308" s="9">
        <f>dynamic[orderTotal]*(1-dynamic[discountApllied])</f>
        <v>2475</v>
      </c>
      <c r="S1308" s="9">
        <f>dynamic[revenue]-(dynamic[productCost]*dynamic[orderQuantity])</f>
        <v>890.7873452</v>
      </c>
      <c r="T1308" s="25">
        <f>IFERROR(dynamic[profit]/dynamic[revenue], 0)</f>
        <v>0.3599140789</v>
      </c>
    </row>
    <row r="1309" ht="15.75" customHeight="1">
      <c r="A1309" s="6">
        <v>10745.0</v>
      </c>
      <c r="B1309" s="7" t="s">
        <v>36</v>
      </c>
      <c r="C1309" s="24" t="str">
        <f>VLOOKUP(dynamic[customerID],customers[],2,FALSE)</f>
        <v>QUICK-Stop</v>
      </c>
      <c r="D1309" s="24">
        <v>45248.0</v>
      </c>
      <c r="E1309" s="6">
        <f>IFERROR(__xludf.DUMMYFUNCTION("COUNTUNIQUEIFS($A$2:$A1309,$B$2:$B1309,B1309)"),18.0)</f>
        <v>18</v>
      </c>
      <c r="F1309" s="6">
        <f t="shared" si="1"/>
        <v>20</v>
      </c>
      <c r="G1309" s="6" t="str">
        <f>IF(MINIFS(dynamic[orderDate], dynamic[customerID], B1309) &gt;= DATE(2024,4,30)-120, 
     "New", 
     IF(MAXIFS(dynamic[orderCount], dynamic[customerID], B1309)&lt;=2, 
        IF((DATE(2024,4,30) - MAXIFS(dynamic[orderDate], dynamic[customerID], B1309)) &gt; 180, "Non-Returning", "Dormant"), 
        IF(AND(MAX(dynamic[sinceLastOrder]) &gt; 365, (DATE(2024,4,30) - MAXIFS(dynamic[orderDate], dynamic[customerID], B1309)) &gt; 180), 
           "Dormant", "Regular")))</f>
        <v>Regular</v>
      </c>
      <c r="H1309" s="6">
        <v>72.0</v>
      </c>
      <c r="I1309" s="9" t="str">
        <f>VLOOKUP(dynamic[productID],products[],2,FALSE)</f>
        <v>Mozzarella di Giovanni</v>
      </c>
      <c r="J1309" s="9" t="str">
        <f>VLOOKUP(dynamic[productID],products[],12,FALSE)</f>
        <v>Dairy Products</v>
      </c>
      <c r="K1309" s="7" t="str">
        <f>IF(VLOOKUP(dynamic[productID],products[],7,FALSE)=1,"Discontinued","Current")</f>
        <v>Current</v>
      </c>
      <c r="L1309" s="9">
        <f>VLOOKUP(dynamic[productID],products[],IF(YEAR(dynamic[orderDate])=2022,8,IF(YEAR(dynamic[orderDate])=2023,9,IF(YEAR(dynamic[orderDate])=2024,10,NA))),FALSE)</f>
        <v>23.51933768</v>
      </c>
      <c r="M1309" s="9">
        <v>34.8</v>
      </c>
      <c r="N1309" s="25">
        <f>(dynamic[orderPrice]-dynamic[productCost])/dynamic[productCost]</f>
        <v>0.4796335031</v>
      </c>
      <c r="O1309" s="10">
        <v>7.0</v>
      </c>
      <c r="P1309" s="25">
        <v>0.0</v>
      </c>
      <c r="Q1309" s="9">
        <f>dynamic[orderPrice]*dynamic[orderQuantity]</f>
        <v>243.6</v>
      </c>
      <c r="R1309" s="9">
        <f>dynamic[orderTotal]*(1-dynamic[discountApllied])</f>
        <v>243.6</v>
      </c>
      <c r="S1309" s="9">
        <f>dynamic[revenue]-(dynamic[productCost]*dynamic[orderQuantity])</f>
        <v>78.96463625</v>
      </c>
      <c r="T1309" s="25">
        <f>IFERROR(dynamic[profit]/dynamic[revenue], 0)</f>
        <v>0.3241569633</v>
      </c>
    </row>
    <row r="1310" ht="15.75" customHeight="1">
      <c r="A1310" s="6">
        <v>10746.0</v>
      </c>
      <c r="B1310" s="7" t="s">
        <v>20</v>
      </c>
      <c r="C1310" s="24" t="str">
        <f>VLOOKUP(dynamic[customerID],customers[],2,FALSE)</f>
        <v>Chop-suey Chinese</v>
      </c>
      <c r="D1310" s="24">
        <v>45249.0</v>
      </c>
      <c r="E1310" s="6">
        <f>IFERROR(__xludf.DUMMYFUNCTION("COUNTUNIQUEIFS($A$2:$A1310,$B$2:$B1310,B1310)"),5.0)</f>
        <v>5</v>
      </c>
      <c r="F1310" s="6">
        <f t="shared" si="1"/>
        <v>13</v>
      </c>
      <c r="G1310" s="6" t="str">
        <f>IF(MINIFS(dynamic[orderDate], dynamic[customerID], B1310) &gt;= DATE(2024,4,30)-120, 
     "New", 
     IF(MAXIFS(dynamic[orderCount], dynamic[customerID], B1310)&lt;=2, 
        IF((DATE(2024,4,30) - MAXIFS(dynamic[orderDate], dynamic[customerID], B1310)) &gt; 180, "Non-Returning", "Dormant"), 
        IF(AND(MAX(dynamic[sinceLastOrder]) &gt; 365, (DATE(2024,4,30) - MAXIFS(dynamic[orderDate], dynamic[customerID], B1310)) &gt; 180), 
           "Dormant", "Regular")))</f>
        <v>Regular</v>
      </c>
      <c r="H1310" s="6">
        <v>13.0</v>
      </c>
      <c r="I1310" s="9" t="str">
        <f>VLOOKUP(dynamic[productID],products[],2,FALSE)</f>
        <v>Konbu</v>
      </c>
      <c r="J1310" s="9" t="str">
        <f>VLOOKUP(dynamic[productID],products[],12,FALSE)</f>
        <v>Seafood</v>
      </c>
      <c r="K1310" s="7" t="str">
        <f>IF(VLOOKUP(dynamic[productID],products[],7,FALSE)=1,"Discontinued","Current")</f>
        <v>Current</v>
      </c>
      <c r="L1310" s="9">
        <f>VLOOKUP(dynamic[productID],products[],IF(YEAR(dynamic[orderDate])=2022,8,IF(YEAR(dynamic[orderDate])=2023,9,IF(YEAR(dynamic[orderDate])=2024,10,NA))),FALSE)</f>
        <v>3.865774949</v>
      </c>
      <c r="M1310" s="9">
        <v>6.0</v>
      </c>
      <c r="N1310" s="25">
        <f>(dynamic[orderPrice]-dynamic[productCost])/dynamic[productCost]</f>
        <v>0.5520820739</v>
      </c>
      <c r="O1310" s="10">
        <v>6.0</v>
      </c>
      <c r="P1310" s="25">
        <v>0.0</v>
      </c>
      <c r="Q1310" s="9">
        <f>dynamic[orderPrice]*dynamic[orderQuantity]</f>
        <v>36</v>
      </c>
      <c r="R1310" s="9">
        <f>dynamic[orderTotal]*(1-dynamic[discountApllied])</f>
        <v>36</v>
      </c>
      <c r="S1310" s="9">
        <f>dynamic[revenue]-(dynamic[productCost]*dynamic[orderQuantity])</f>
        <v>12.80535031</v>
      </c>
      <c r="T1310" s="25">
        <f>IFERROR(dynamic[profit]/dynamic[revenue], 0)</f>
        <v>0.3557041752</v>
      </c>
    </row>
    <row r="1311" ht="15.75" customHeight="1">
      <c r="A1311" s="6">
        <v>10746.0</v>
      </c>
      <c r="B1311" s="7" t="s">
        <v>20</v>
      </c>
      <c r="C1311" s="24" t="str">
        <f>VLOOKUP(dynamic[customerID],customers[],2,FALSE)</f>
        <v>Chop-suey Chinese</v>
      </c>
      <c r="D1311" s="24">
        <v>45249.0</v>
      </c>
      <c r="E1311" s="6">
        <f>IFERROR(__xludf.DUMMYFUNCTION("COUNTUNIQUEIFS($A$2:$A1311,$B$2:$B1311,B1311)"),5.0)</f>
        <v>5</v>
      </c>
      <c r="F1311" s="6">
        <f t="shared" si="1"/>
        <v>13</v>
      </c>
      <c r="G1311" s="6" t="str">
        <f>IF(MINIFS(dynamic[orderDate], dynamic[customerID], B1311) &gt;= DATE(2024,4,30)-120, 
     "New", 
     IF(MAXIFS(dynamic[orderCount], dynamic[customerID], B1311)&lt;=2, 
        IF((DATE(2024,4,30) - MAXIFS(dynamic[orderDate], dynamic[customerID], B1311)) &gt; 180, "Non-Returning", "Dormant"), 
        IF(AND(MAX(dynamic[sinceLastOrder]) &gt; 365, (DATE(2024,4,30) - MAXIFS(dynamic[orderDate], dynamic[customerID], B1311)) &gt; 180), 
           "Dormant", "Regular")))</f>
        <v>Regular</v>
      </c>
      <c r="H1311" s="6">
        <v>42.0</v>
      </c>
      <c r="I1311" s="9" t="str">
        <f>VLOOKUP(dynamic[productID],products[],2,FALSE)</f>
        <v>Singaporean Hokkien Fried Mee</v>
      </c>
      <c r="J1311" s="9" t="str">
        <f>VLOOKUP(dynamic[productID],products[],12,FALSE)</f>
        <v>Grains/Cereals</v>
      </c>
      <c r="K1311" s="7" t="str">
        <f>IF(VLOOKUP(dynamic[productID],products[],7,FALSE)=1,"Discontinued","Current")</f>
        <v>Discontinued</v>
      </c>
      <c r="L1311" s="9">
        <f>VLOOKUP(dynamic[productID],products[],IF(YEAR(dynamic[orderDate])=2022,8,IF(YEAR(dynamic[orderDate])=2023,9,IF(YEAR(dynamic[orderDate])=2024,10,NA))),FALSE)</f>
        <v>9.105641621</v>
      </c>
      <c r="M1311" s="9">
        <v>14.0</v>
      </c>
      <c r="N1311" s="25">
        <f>(dynamic[orderPrice]-dynamic[productCost])/dynamic[productCost]</f>
        <v>0.5375083474</v>
      </c>
      <c r="O1311" s="10">
        <v>28.0</v>
      </c>
      <c r="P1311" s="25">
        <v>0.0</v>
      </c>
      <c r="Q1311" s="9">
        <f>dynamic[orderPrice]*dynamic[orderQuantity]</f>
        <v>392</v>
      </c>
      <c r="R1311" s="9">
        <f>dynamic[orderTotal]*(1-dynamic[discountApllied])</f>
        <v>392</v>
      </c>
      <c r="S1311" s="9">
        <f>dynamic[revenue]-(dynamic[productCost]*dynamic[orderQuantity])</f>
        <v>137.0420346</v>
      </c>
      <c r="T1311" s="25">
        <f>IFERROR(dynamic[profit]/dynamic[revenue], 0)</f>
        <v>0.3495970271</v>
      </c>
    </row>
    <row r="1312" ht="15.75" customHeight="1">
      <c r="A1312" s="6">
        <v>10746.0</v>
      </c>
      <c r="B1312" s="7" t="s">
        <v>20</v>
      </c>
      <c r="C1312" s="24" t="str">
        <f>VLOOKUP(dynamic[customerID],customers[],2,FALSE)</f>
        <v>Chop-suey Chinese</v>
      </c>
      <c r="D1312" s="24">
        <v>45249.0</v>
      </c>
      <c r="E1312" s="6">
        <f>IFERROR(__xludf.DUMMYFUNCTION("COUNTUNIQUEIFS($A$2:$A1312,$B$2:$B1312,B1312)"),5.0)</f>
        <v>5</v>
      </c>
      <c r="F1312" s="6">
        <f t="shared" si="1"/>
        <v>13</v>
      </c>
      <c r="G1312" s="6" t="str">
        <f>IF(MINIFS(dynamic[orderDate], dynamic[customerID], B1312) &gt;= DATE(2024,4,30)-120, 
     "New", 
     IF(MAXIFS(dynamic[orderCount], dynamic[customerID], B1312)&lt;=2, 
        IF((DATE(2024,4,30) - MAXIFS(dynamic[orderDate], dynamic[customerID], B1312)) &gt; 180, "Non-Returning", "Dormant"), 
        IF(AND(MAX(dynamic[sinceLastOrder]) &gt; 365, (DATE(2024,4,30) - MAXIFS(dynamic[orderDate], dynamic[customerID], B1312)) &gt; 180), 
           "Dormant", "Regular")))</f>
        <v>Regular</v>
      </c>
      <c r="H1312" s="6">
        <v>62.0</v>
      </c>
      <c r="I1312" s="9" t="str">
        <f>VLOOKUP(dynamic[productID],products[],2,FALSE)</f>
        <v>Tarte au sucre</v>
      </c>
      <c r="J1312" s="9" t="str">
        <f>VLOOKUP(dynamic[productID],products[],12,FALSE)</f>
        <v>Confections</v>
      </c>
      <c r="K1312" s="7" t="str">
        <f>IF(VLOOKUP(dynamic[productID],products[],7,FALSE)=1,"Discontinued","Current")</f>
        <v>Current</v>
      </c>
      <c r="L1312" s="9">
        <f>VLOOKUP(dynamic[productID],products[],IF(YEAR(dynamic[orderDate])=2022,8,IF(YEAR(dynamic[orderDate])=2023,9,IF(YEAR(dynamic[orderDate])=2024,10,NA))),FALSE)</f>
        <v>35.34792781</v>
      </c>
      <c r="M1312" s="9">
        <v>49.3</v>
      </c>
      <c r="N1312" s="25">
        <f>(dynamic[orderPrice]-dynamic[productCost])/dynamic[productCost]</f>
        <v>0.3947069335</v>
      </c>
      <c r="O1312" s="10">
        <v>9.0</v>
      </c>
      <c r="P1312" s="25">
        <v>0.0</v>
      </c>
      <c r="Q1312" s="9">
        <f>dynamic[orderPrice]*dynamic[orderQuantity]</f>
        <v>443.7</v>
      </c>
      <c r="R1312" s="9">
        <f>dynamic[orderTotal]*(1-dynamic[discountApllied])</f>
        <v>443.7</v>
      </c>
      <c r="S1312" s="9">
        <f>dynamic[revenue]-(dynamic[productCost]*dynamic[orderQuantity])</f>
        <v>125.5686497</v>
      </c>
      <c r="T1312" s="25">
        <f>IFERROR(dynamic[profit]/dynamic[revenue], 0)</f>
        <v>0.2830034927</v>
      </c>
    </row>
    <row r="1313" ht="15.75" customHeight="1">
      <c r="A1313" s="6">
        <v>10746.0</v>
      </c>
      <c r="B1313" s="7" t="s">
        <v>20</v>
      </c>
      <c r="C1313" s="24" t="str">
        <f>VLOOKUP(dynamic[customerID],customers[],2,FALSE)</f>
        <v>Chop-suey Chinese</v>
      </c>
      <c r="D1313" s="24">
        <v>45249.0</v>
      </c>
      <c r="E1313" s="6">
        <f>IFERROR(__xludf.DUMMYFUNCTION("COUNTUNIQUEIFS($A$2:$A1313,$B$2:$B1313,B1313)"),5.0)</f>
        <v>5</v>
      </c>
      <c r="F1313" s="6">
        <f t="shared" si="1"/>
        <v>13</v>
      </c>
      <c r="G1313" s="6" t="str">
        <f>IF(MINIFS(dynamic[orderDate], dynamic[customerID], B1313) &gt;= DATE(2024,4,30)-120, 
     "New", 
     IF(MAXIFS(dynamic[orderCount], dynamic[customerID], B1313)&lt;=2, 
        IF((DATE(2024,4,30) - MAXIFS(dynamic[orderDate], dynamic[customerID], B1313)) &gt; 180, "Non-Returning", "Dormant"), 
        IF(AND(MAX(dynamic[sinceLastOrder]) &gt; 365, (DATE(2024,4,30) - MAXIFS(dynamic[orderDate], dynamic[customerID], B1313)) &gt; 180), 
           "Dormant", "Regular")))</f>
        <v>Regular</v>
      </c>
      <c r="H1313" s="6">
        <v>69.0</v>
      </c>
      <c r="I1313" s="9" t="str">
        <f>VLOOKUP(dynamic[productID],products[],2,FALSE)</f>
        <v>Gudbrandsdalsost</v>
      </c>
      <c r="J1313" s="9" t="str">
        <f>VLOOKUP(dynamic[productID],products[],12,FALSE)</f>
        <v>Dairy Products</v>
      </c>
      <c r="K1313" s="7" t="str">
        <f>IF(VLOOKUP(dynamic[productID],products[],7,FALSE)=1,"Discontinued","Current")</f>
        <v>Current</v>
      </c>
      <c r="L1313" s="9">
        <f>VLOOKUP(dynamic[productID],products[],IF(YEAR(dynamic[orderDate])=2022,8,IF(YEAR(dynamic[orderDate])=2023,9,IF(YEAR(dynamic[orderDate])=2024,10,NA))),FALSE)</f>
        <v>21.82428612</v>
      </c>
      <c r="M1313" s="9">
        <v>36.0</v>
      </c>
      <c r="N1313" s="25">
        <f>(dynamic[orderPrice]-dynamic[productCost])/dynamic[productCost]</f>
        <v>0.6495384916</v>
      </c>
      <c r="O1313" s="10">
        <v>40.0</v>
      </c>
      <c r="P1313" s="25">
        <v>0.0</v>
      </c>
      <c r="Q1313" s="9">
        <f>dynamic[orderPrice]*dynamic[orderQuantity]</f>
        <v>1440</v>
      </c>
      <c r="R1313" s="9">
        <f>dynamic[orderTotal]*(1-dynamic[discountApllied])</f>
        <v>1440</v>
      </c>
      <c r="S1313" s="9">
        <f>dynamic[revenue]-(dynamic[productCost]*dynamic[orderQuantity])</f>
        <v>567.0285554</v>
      </c>
      <c r="T1313" s="25">
        <f>IFERROR(dynamic[profit]/dynamic[revenue], 0)</f>
        <v>0.3937698301</v>
      </c>
    </row>
    <row r="1314" ht="15.75" customHeight="1">
      <c r="A1314" s="6">
        <v>10747.0</v>
      </c>
      <c r="B1314" s="7" t="s">
        <v>69</v>
      </c>
      <c r="C1314" s="24" t="str">
        <f>VLOOKUP(dynamic[customerID],customers[],2,FALSE)</f>
        <v>Piccolo und mehr</v>
      </c>
      <c r="D1314" s="24">
        <v>45249.0</v>
      </c>
      <c r="E1314" s="6">
        <f>IFERROR(__xludf.DUMMYFUNCTION("COUNTUNIQUEIFS($A$2:$A1314,$B$2:$B1314,B1314)"),8.0)</f>
        <v>8</v>
      </c>
      <c r="F1314" s="6">
        <f t="shared" si="1"/>
        <v>50</v>
      </c>
      <c r="G1314" s="6" t="str">
        <f>IF(MINIFS(dynamic[orderDate], dynamic[customerID], B1314) &gt;= DATE(2024,4,30)-120, 
     "New", 
     IF(MAXIFS(dynamic[orderCount], dynamic[customerID], B1314)&lt;=2, 
        IF((DATE(2024,4,30) - MAXIFS(dynamic[orderDate], dynamic[customerID], B1314)) &gt; 180, "Non-Returning", "Dormant"), 
        IF(AND(MAX(dynamic[sinceLastOrder]) &gt; 365, (DATE(2024,4,30) - MAXIFS(dynamic[orderDate], dynamic[customerID], B1314)) &gt; 180), 
           "Dormant", "Regular")))</f>
        <v>Regular</v>
      </c>
      <c r="H1314" s="6">
        <v>31.0</v>
      </c>
      <c r="I1314" s="9" t="str">
        <f>VLOOKUP(dynamic[productID],products[],2,FALSE)</f>
        <v>Gorgonzola Telino</v>
      </c>
      <c r="J1314" s="9" t="str">
        <f>VLOOKUP(dynamic[productID],products[],12,FALSE)</f>
        <v>Dairy Products</v>
      </c>
      <c r="K1314" s="7" t="str">
        <f>IF(VLOOKUP(dynamic[productID],products[],7,FALSE)=1,"Discontinued","Current")</f>
        <v>Current</v>
      </c>
      <c r="L1314" s="9">
        <f>VLOOKUP(dynamic[productID],products[],IF(YEAR(dynamic[orderDate])=2022,8,IF(YEAR(dynamic[orderDate])=2023,9,IF(YEAR(dynamic[orderDate])=2024,10,NA))),FALSE)</f>
        <v>7.937729254</v>
      </c>
      <c r="M1314" s="9">
        <v>12.5</v>
      </c>
      <c r="N1314" s="25">
        <f>(dynamic[orderPrice]-dynamic[productCost])/dynamic[productCost]</f>
        <v>0.5747576668</v>
      </c>
      <c r="O1314" s="10">
        <v>8.0</v>
      </c>
      <c r="P1314" s="25">
        <v>0.0</v>
      </c>
      <c r="Q1314" s="9">
        <f>dynamic[orderPrice]*dynamic[orderQuantity]</f>
        <v>100</v>
      </c>
      <c r="R1314" s="9">
        <f>dynamic[orderTotal]*(1-dynamic[discountApllied])</f>
        <v>100</v>
      </c>
      <c r="S1314" s="9">
        <f>dynamic[revenue]-(dynamic[productCost]*dynamic[orderQuantity])</f>
        <v>36.49816597</v>
      </c>
      <c r="T1314" s="25">
        <f>IFERROR(dynamic[profit]/dynamic[revenue], 0)</f>
        <v>0.3649816597</v>
      </c>
    </row>
    <row r="1315" ht="15.75" customHeight="1">
      <c r="A1315" s="6">
        <v>10747.0</v>
      </c>
      <c r="B1315" s="7" t="s">
        <v>69</v>
      </c>
      <c r="C1315" s="24" t="str">
        <f>VLOOKUP(dynamic[customerID],customers[],2,FALSE)</f>
        <v>Piccolo und mehr</v>
      </c>
      <c r="D1315" s="24">
        <v>45249.0</v>
      </c>
      <c r="E1315" s="6">
        <f>IFERROR(__xludf.DUMMYFUNCTION("COUNTUNIQUEIFS($A$2:$A1315,$B$2:$B1315,B1315)"),8.0)</f>
        <v>8</v>
      </c>
      <c r="F1315" s="6">
        <f t="shared" si="1"/>
        <v>50</v>
      </c>
      <c r="G1315" s="6" t="str">
        <f>IF(MINIFS(dynamic[orderDate], dynamic[customerID], B1315) &gt;= DATE(2024,4,30)-120, 
     "New", 
     IF(MAXIFS(dynamic[orderCount], dynamic[customerID], B1315)&lt;=2, 
        IF((DATE(2024,4,30) - MAXIFS(dynamic[orderDate], dynamic[customerID], B1315)) &gt; 180, "Non-Returning", "Dormant"), 
        IF(AND(MAX(dynamic[sinceLastOrder]) &gt; 365, (DATE(2024,4,30) - MAXIFS(dynamic[orderDate], dynamic[customerID], B1315)) &gt; 180), 
           "Dormant", "Regular")))</f>
        <v>Regular</v>
      </c>
      <c r="H1315" s="6">
        <v>41.0</v>
      </c>
      <c r="I1315" s="9" t="str">
        <f>VLOOKUP(dynamic[productID],products[],2,FALSE)</f>
        <v>Jack's New England Clam Chowder</v>
      </c>
      <c r="J1315" s="9" t="str">
        <f>VLOOKUP(dynamic[productID],products[],12,FALSE)</f>
        <v>Seafood</v>
      </c>
      <c r="K1315" s="7" t="str">
        <f>IF(VLOOKUP(dynamic[productID],products[],7,FALSE)=1,"Discontinued","Current")</f>
        <v>Current</v>
      </c>
      <c r="L1315" s="9">
        <f>VLOOKUP(dynamic[productID],products[],IF(YEAR(dynamic[orderDate])=2022,8,IF(YEAR(dynamic[orderDate])=2023,9,IF(YEAR(dynamic[orderDate])=2024,10,NA))),FALSE)</f>
        <v>6.549914856</v>
      </c>
      <c r="M1315" s="9">
        <v>9.65</v>
      </c>
      <c r="N1315" s="25">
        <f>(dynamic[orderPrice]-dynamic[productCost])/dynamic[productCost]</f>
        <v>0.4733015943</v>
      </c>
      <c r="O1315" s="10">
        <v>35.0</v>
      </c>
      <c r="P1315" s="25">
        <v>0.0</v>
      </c>
      <c r="Q1315" s="9">
        <f>dynamic[orderPrice]*dynamic[orderQuantity]</f>
        <v>337.75</v>
      </c>
      <c r="R1315" s="9">
        <f>dynamic[orderTotal]*(1-dynamic[discountApllied])</f>
        <v>337.75</v>
      </c>
      <c r="S1315" s="9">
        <f>dynamic[revenue]-(dynamic[productCost]*dynamic[orderQuantity])</f>
        <v>108.50298</v>
      </c>
      <c r="T1315" s="25">
        <f>IFERROR(dynamic[profit]/dynamic[revenue], 0)</f>
        <v>0.3212523465</v>
      </c>
    </row>
    <row r="1316" ht="15.75" customHeight="1">
      <c r="A1316" s="6">
        <v>10747.0</v>
      </c>
      <c r="B1316" s="7" t="s">
        <v>69</v>
      </c>
      <c r="C1316" s="24" t="str">
        <f>VLOOKUP(dynamic[customerID],customers[],2,FALSE)</f>
        <v>Piccolo und mehr</v>
      </c>
      <c r="D1316" s="24">
        <v>45249.0</v>
      </c>
      <c r="E1316" s="6">
        <f>IFERROR(__xludf.DUMMYFUNCTION("COUNTUNIQUEIFS($A$2:$A1316,$B$2:$B1316,B1316)"),8.0)</f>
        <v>8</v>
      </c>
      <c r="F1316" s="6">
        <f t="shared" si="1"/>
        <v>50</v>
      </c>
      <c r="G1316" s="6" t="str">
        <f>IF(MINIFS(dynamic[orderDate], dynamic[customerID], B1316) &gt;= DATE(2024,4,30)-120, 
     "New", 
     IF(MAXIFS(dynamic[orderCount], dynamic[customerID], B1316)&lt;=2, 
        IF((DATE(2024,4,30) - MAXIFS(dynamic[orderDate], dynamic[customerID], B1316)) &gt; 180, "Non-Returning", "Dormant"), 
        IF(AND(MAX(dynamic[sinceLastOrder]) &gt; 365, (DATE(2024,4,30) - MAXIFS(dynamic[orderDate], dynamic[customerID], B1316)) &gt; 180), 
           "Dormant", "Regular")))</f>
        <v>Regular</v>
      </c>
      <c r="H1316" s="6">
        <v>63.0</v>
      </c>
      <c r="I1316" s="9" t="str">
        <f>VLOOKUP(dynamic[productID],products[],2,FALSE)</f>
        <v>Vegie-spread</v>
      </c>
      <c r="J1316" s="9" t="str">
        <f>VLOOKUP(dynamic[productID],products[],12,FALSE)</f>
        <v>Condiments</v>
      </c>
      <c r="K1316" s="7" t="str">
        <f>IF(VLOOKUP(dynamic[productID],products[],7,FALSE)=1,"Discontinued","Current")</f>
        <v>Current</v>
      </c>
      <c r="L1316" s="9">
        <f>VLOOKUP(dynamic[productID],products[],IF(YEAR(dynamic[orderDate])=2022,8,IF(YEAR(dynamic[orderDate])=2023,9,IF(YEAR(dynamic[orderDate])=2024,10,NA))),FALSE)</f>
        <v>27.72225706</v>
      </c>
      <c r="M1316" s="9">
        <v>43.9</v>
      </c>
      <c r="N1316" s="25">
        <f>(dynamic[orderPrice]-dynamic[productCost])/dynamic[productCost]</f>
        <v>0.5835651445</v>
      </c>
      <c r="O1316" s="10">
        <v>9.0</v>
      </c>
      <c r="P1316" s="25">
        <v>0.0</v>
      </c>
      <c r="Q1316" s="9">
        <f>dynamic[orderPrice]*dynamic[orderQuantity]</f>
        <v>395.1</v>
      </c>
      <c r="R1316" s="9">
        <f>dynamic[orderTotal]*(1-dynamic[discountApllied])</f>
        <v>395.1</v>
      </c>
      <c r="S1316" s="9">
        <f>dynamic[revenue]-(dynamic[productCost]*dynamic[orderQuantity])</f>
        <v>145.5996865</v>
      </c>
      <c r="T1316" s="25">
        <f>IFERROR(dynamic[profit]/dynamic[revenue], 0)</f>
        <v>0.3685135067</v>
      </c>
    </row>
    <row r="1317" ht="15.75" customHeight="1">
      <c r="A1317" s="6">
        <v>10747.0</v>
      </c>
      <c r="B1317" s="7" t="s">
        <v>69</v>
      </c>
      <c r="C1317" s="24" t="str">
        <f>VLOOKUP(dynamic[customerID],customers[],2,FALSE)</f>
        <v>Piccolo und mehr</v>
      </c>
      <c r="D1317" s="24">
        <v>45249.0</v>
      </c>
      <c r="E1317" s="6">
        <f>IFERROR(__xludf.DUMMYFUNCTION("COUNTUNIQUEIFS($A$2:$A1317,$B$2:$B1317,B1317)"),8.0)</f>
        <v>8</v>
      </c>
      <c r="F1317" s="6">
        <f t="shared" si="1"/>
        <v>50</v>
      </c>
      <c r="G1317" s="6" t="str">
        <f>IF(MINIFS(dynamic[orderDate], dynamic[customerID], B1317) &gt;= DATE(2024,4,30)-120, 
     "New", 
     IF(MAXIFS(dynamic[orderCount], dynamic[customerID], B1317)&lt;=2, 
        IF((DATE(2024,4,30) - MAXIFS(dynamic[orderDate], dynamic[customerID], B1317)) &gt; 180, "Non-Returning", "Dormant"), 
        IF(AND(MAX(dynamic[sinceLastOrder]) &gt; 365, (DATE(2024,4,30) - MAXIFS(dynamic[orderDate], dynamic[customerID], B1317)) &gt; 180), 
           "Dormant", "Regular")))</f>
        <v>Regular</v>
      </c>
      <c r="H1317" s="6">
        <v>69.0</v>
      </c>
      <c r="I1317" s="9" t="str">
        <f>VLOOKUP(dynamic[productID],products[],2,FALSE)</f>
        <v>Gudbrandsdalsost</v>
      </c>
      <c r="J1317" s="9" t="str">
        <f>VLOOKUP(dynamic[productID],products[],12,FALSE)</f>
        <v>Dairy Products</v>
      </c>
      <c r="K1317" s="7" t="str">
        <f>IF(VLOOKUP(dynamic[productID],products[],7,FALSE)=1,"Discontinued","Current")</f>
        <v>Current</v>
      </c>
      <c r="L1317" s="9">
        <f>VLOOKUP(dynamic[productID],products[],IF(YEAR(dynamic[orderDate])=2022,8,IF(YEAR(dynamic[orderDate])=2023,9,IF(YEAR(dynamic[orderDate])=2024,10,NA))),FALSE)</f>
        <v>21.82428612</v>
      </c>
      <c r="M1317" s="9">
        <v>36.0</v>
      </c>
      <c r="N1317" s="25">
        <f>(dynamic[orderPrice]-dynamic[productCost])/dynamic[productCost]</f>
        <v>0.6495384916</v>
      </c>
      <c r="O1317" s="10">
        <v>30.0</v>
      </c>
      <c r="P1317" s="25">
        <v>0.0</v>
      </c>
      <c r="Q1317" s="9">
        <f>dynamic[orderPrice]*dynamic[orderQuantity]</f>
        <v>1080</v>
      </c>
      <c r="R1317" s="9">
        <f>dynamic[orderTotal]*(1-dynamic[discountApllied])</f>
        <v>1080</v>
      </c>
      <c r="S1317" s="9">
        <f>dynamic[revenue]-(dynamic[productCost]*dynamic[orderQuantity])</f>
        <v>425.2714165</v>
      </c>
      <c r="T1317" s="25">
        <f>IFERROR(dynamic[profit]/dynamic[revenue], 0)</f>
        <v>0.3937698301</v>
      </c>
    </row>
    <row r="1318" ht="15.75" customHeight="1">
      <c r="A1318" s="6">
        <v>10748.0</v>
      </c>
      <c r="B1318" s="7" t="s">
        <v>60</v>
      </c>
      <c r="C1318" s="24" t="str">
        <f>VLOOKUP(dynamic[customerID],customers[],2,FALSE)</f>
        <v>Save-a-lot Markets</v>
      </c>
      <c r="D1318" s="24">
        <v>45250.0</v>
      </c>
      <c r="E1318" s="6">
        <f>IFERROR(__xludf.DUMMYFUNCTION("COUNTUNIQUEIFS($A$2:$A1318,$B$2:$B1318,B1318)"),19.0)</f>
        <v>19</v>
      </c>
      <c r="F1318" s="6">
        <f t="shared" si="1"/>
        <v>22</v>
      </c>
      <c r="G1318" s="6" t="str">
        <f>IF(MINIFS(dynamic[orderDate], dynamic[customerID], B1318) &gt;= DATE(2024,4,30)-120, 
     "New", 
     IF(MAXIFS(dynamic[orderCount], dynamic[customerID], B1318)&lt;=2, 
        IF((DATE(2024,4,30) - MAXIFS(dynamic[orderDate], dynamic[customerID], B1318)) &gt; 180, "Non-Returning", "Dormant"), 
        IF(AND(MAX(dynamic[sinceLastOrder]) &gt; 365, (DATE(2024,4,30) - MAXIFS(dynamic[orderDate], dynamic[customerID], B1318)) &gt; 180), 
           "Dormant", "Regular")))</f>
        <v>Regular</v>
      </c>
      <c r="H1318" s="6">
        <v>23.0</v>
      </c>
      <c r="I1318" s="9" t="str">
        <f>VLOOKUP(dynamic[productID],products[],2,FALSE)</f>
        <v>Tunnbröd</v>
      </c>
      <c r="J1318" s="9" t="str">
        <f>VLOOKUP(dynamic[productID],products[],12,FALSE)</f>
        <v>Grains/Cereals</v>
      </c>
      <c r="K1318" s="7" t="str">
        <f>IF(VLOOKUP(dynamic[productID],products[],7,FALSE)=1,"Discontinued","Current")</f>
        <v>Current</v>
      </c>
      <c r="L1318" s="9">
        <f>VLOOKUP(dynamic[productID],products[],IF(YEAR(dynamic[orderDate])=2022,8,IF(YEAR(dynamic[orderDate])=2023,9,IF(YEAR(dynamic[orderDate])=2024,10,NA))),FALSE)</f>
        <v>5.989059129</v>
      </c>
      <c r="M1318" s="9">
        <v>9.0</v>
      </c>
      <c r="N1318" s="25">
        <f>(dynamic[orderPrice]-dynamic[productCost])/dynamic[productCost]</f>
        <v>0.5027402146</v>
      </c>
      <c r="O1318" s="10">
        <v>44.0</v>
      </c>
      <c r="P1318" s="25">
        <v>0.0</v>
      </c>
      <c r="Q1318" s="9">
        <f>dynamic[orderPrice]*dynamic[orderQuantity]</f>
        <v>396</v>
      </c>
      <c r="R1318" s="9">
        <f>dynamic[orderTotal]*(1-dynamic[discountApllied])</f>
        <v>396</v>
      </c>
      <c r="S1318" s="9">
        <f>dynamic[revenue]-(dynamic[productCost]*dynamic[orderQuantity])</f>
        <v>132.4813983</v>
      </c>
      <c r="T1318" s="25">
        <f>IFERROR(dynamic[profit]/dynamic[revenue], 0)</f>
        <v>0.3345489857</v>
      </c>
    </row>
    <row r="1319" ht="15.75" customHeight="1">
      <c r="A1319" s="6">
        <v>10748.0</v>
      </c>
      <c r="B1319" s="7" t="s">
        <v>60</v>
      </c>
      <c r="C1319" s="24" t="str">
        <f>VLOOKUP(dynamic[customerID],customers[],2,FALSE)</f>
        <v>Save-a-lot Markets</v>
      </c>
      <c r="D1319" s="24">
        <v>45250.0</v>
      </c>
      <c r="E1319" s="6">
        <f>IFERROR(__xludf.DUMMYFUNCTION("COUNTUNIQUEIFS($A$2:$A1319,$B$2:$B1319,B1319)"),19.0)</f>
        <v>19</v>
      </c>
      <c r="F1319" s="6">
        <f t="shared" si="1"/>
        <v>22</v>
      </c>
      <c r="G1319" s="6" t="str">
        <f>IF(MINIFS(dynamic[orderDate], dynamic[customerID], B1319) &gt;= DATE(2024,4,30)-120, 
     "New", 
     IF(MAXIFS(dynamic[orderCount], dynamic[customerID], B1319)&lt;=2, 
        IF((DATE(2024,4,30) - MAXIFS(dynamic[orderDate], dynamic[customerID], B1319)) &gt; 180, "Non-Returning", "Dormant"), 
        IF(AND(MAX(dynamic[sinceLastOrder]) &gt; 365, (DATE(2024,4,30) - MAXIFS(dynamic[orderDate], dynamic[customerID], B1319)) &gt; 180), 
           "Dormant", "Regular")))</f>
        <v>Regular</v>
      </c>
      <c r="H1319" s="6">
        <v>40.0</v>
      </c>
      <c r="I1319" s="9" t="str">
        <f>VLOOKUP(dynamic[productID],products[],2,FALSE)</f>
        <v>Boston Crab Meat</v>
      </c>
      <c r="J1319" s="9" t="str">
        <f>VLOOKUP(dynamic[productID],products[],12,FALSE)</f>
        <v>Seafood</v>
      </c>
      <c r="K1319" s="7" t="str">
        <f>IF(VLOOKUP(dynamic[productID],products[],7,FALSE)=1,"Discontinued","Current")</f>
        <v>Current</v>
      </c>
      <c r="L1319" s="9">
        <f>VLOOKUP(dynamic[productID],products[],IF(YEAR(dynamic[orderDate])=2022,8,IF(YEAR(dynamic[orderDate])=2023,9,IF(YEAR(dynamic[orderDate])=2024,10,NA))),FALSE)</f>
        <v>11.40496523</v>
      </c>
      <c r="M1319" s="9">
        <v>18.4</v>
      </c>
      <c r="N1319" s="25">
        <f>(dynamic[orderPrice]-dynamic[productCost])/dynamic[productCost]</f>
        <v>0.6133324069</v>
      </c>
      <c r="O1319" s="10">
        <v>40.0</v>
      </c>
      <c r="P1319" s="25">
        <v>0.0</v>
      </c>
      <c r="Q1319" s="9">
        <f>dynamic[orderPrice]*dynamic[orderQuantity]</f>
        <v>736</v>
      </c>
      <c r="R1319" s="9">
        <f>dynamic[orderTotal]*(1-dynamic[discountApllied])</f>
        <v>736</v>
      </c>
      <c r="S1319" s="9">
        <f>dynamic[revenue]-(dynamic[productCost]*dynamic[orderQuantity])</f>
        <v>279.8013909</v>
      </c>
      <c r="T1319" s="25">
        <f>IFERROR(dynamic[profit]/dynamic[revenue], 0)</f>
        <v>0.3801649333</v>
      </c>
    </row>
    <row r="1320" ht="15.75" customHeight="1">
      <c r="A1320" s="6">
        <v>10748.0</v>
      </c>
      <c r="B1320" s="7" t="s">
        <v>60</v>
      </c>
      <c r="C1320" s="24" t="str">
        <f>VLOOKUP(dynamic[customerID],customers[],2,FALSE)</f>
        <v>Save-a-lot Markets</v>
      </c>
      <c r="D1320" s="24">
        <v>45250.0</v>
      </c>
      <c r="E1320" s="6">
        <f>IFERROR(__xludf.DUMMYFUNCTION("COUNTUNIQUEIFS($A$2:$A1320,$B$2:$B1320,B1320)"),19.0)</f>
        <v>19</v>
      </c>
      <c r="F1320" s="6">
        <f t="shared" si="1"/>
        <v>22</v>
      </c>
      <c r="G1320" s="6" t="str">
        <f>IF(MINIFS(dynamic[orderDate], dynamic[customerID], B1320) &gt;= DATE(2024,4,30)-120, 
     "New", 
     IF(MAXIFS(dynamic[orderCount], dynamic[customerID], B1320)&lt;=2, 
        IF((DATE(2024,4,30) - MAXIFS(dynamic[orderDate], dynamic[customerID], B1320)) &gt; 180, "Non-Returning", "Dormant"), 
        IF(AND(MAX(dynamic[sinceLastOrder]) &gt; 365, (DATE(2024,4,30) - MAXIFS(dynamic[orderDate], dynamic[customerID], B1320)) &gt; 180), 
           "Dormant", "Regular")))</f>
        <v>Regular</v>
      </c>
      <c r="H1320" s="6">
        <v>56.0</v>
      </c>
      <c r="I1320" s="9" t="str">
        <f>VLOOKUP(dynamic[productID],products[],2,FALSE)</f>
        <v>Gnocchi di nonna Alice</v>
      </c>
      <c r="J1320" s="9" t="str">
        <f>VLOOKUP(dynamic[productID],products[],12,FALSE)</f>
        <v>Grains/Cereals</v>
      </c>
      <c r="K1320" s="7" t="str">
        <f>IF(VLOOKUP(dynamic[productID],products[],7,FALSE)=1,"Discontinued","Current")</f>
        <v>Current</v>
      </c>
      <c r="L1320" s="9">
        <f>VLOOKUP(dynamic[productID],products[],IF(YEAR(dynamic[orderDate])=2022,8,IF(YEAR(dynamic[orderDate])=2023,9,IF(YEAR(dynamic[orderDate])=2024,10,NA))),FALSE)</f>
        <v>24.28342441</v>
      </c>
      <c r="M1320" s="9">
        <v>38.0</v>
      </c>
      <c r="N1320" s="25">
        <f>(dynamic[orderPrice]-dynamic[productCost])/dynamic[productCost]</f>
        <v>0.5648534309</v>
      </c>
      <c r="O1320" s="10">
        <v>28.0</v>
      </c>
      <c r="P1320" s="25">
        <v>0.0</v>
      </c>
      <c r="Q1320" s="9">
        <f>dynamic[orderPrice]*dynamic[orderQuantity]</f>
        <v>1064</v>
      </c>
      <c r="R1320" s="9">
        <f>dynamic[orderTotal]*(1-dynamic[discountApllied])</f>
        <v>1064</v>
      </c>
      <c r="S1320" s="9">
        <f>dynamic[revenue]-(dynamic[productCost]*dynamic[orderQuantity])</f>
        <v>384.0641166</v>
      </c>
      <c r="T1320" s="25">
        <f>IFERROR(dynamic[profit]/dynamic[revenue], 0)</f>
        <v>0.3609625156</v>
      </c>
    </row>
    <row r="1321" ht="15.75" customHeight="1">
      <c r="A1321" s="6">
        <v>10749.0</v>
      </c>
      <c r="B1321" s="7" t="s">
        <v>57</v>
      </c>
      <c r="C1321" s="24" t="str">
        <f>VLOOKUP(dynamic[customerID],customers[],2,FALSE)</f>
        <v>Island Trading</v>
      </c>
      <c r="D1321" s="24">
        <v>45250.0</v>
      </c>
      <c r="E1321" s="6">
        <f>IFERROR(__xludf.DUMMYFUNCTION("COUNTUNIQUEIFS($A$2:$A1321,$B$2:$B1321,B1321)"),7.0)</f>
        <v>7</v>
      </c>
      <c r="F1321" s="6">
        <f t="shared" si="1"/>
        <v>63</v>
      </c>
      <c r="G1321" s="6" t="str">
        <f>IF(MINIFS(dynamic[orderDate], dynamic[customerID], B1321) &gt;= DATE(2024,4,30)-120, 
     "New", 
     IF(MAXIFS(dynamic[orderCount], dynamic[customerID], B1321)&lt;=2, 
        IF((DATE(2024,4,30) - MAXIFS(dynamic[orderDate], dynamic[customerID], B1321)) &gt; 180, "Non-Returning", "Dormant"), 
        IF(AND(MAX(dynamic[sinceLastOrder]) &gt; 365, (DATE(2024,4,30) - MAXIFS(dynamic[orderDate], dynamic[customerID], B1321)) &gt; 180), 
           "Dormant", "Regular")))</f>
        <v>Regular</v>
      </c>
      <c r="H1321" s="6">
        <v>56.0</v>
      </c>
      <c r="I1321" s="9" t="str">
        <f>VLOOKUP(dynamic[productID],products[],2,FALSE)</f>
        <v>Gnocchi di nonna Alice</v>
      </c>
      <c r="J1321" s="9" t="str">
        <f>VLOOKUP(dynamic[productID],products[],12,FALSE)</f>
        <v>Grains/Cereals</v>
      </c>
      <c r="K1321" s="7" t="str">
        <f>IF(VLOOKUP(dynamic[productID],products[],7,FALSE)=1,"Discontinued","Current")</f>
        <v>Current</v>
      </c>
      <c r="L1321" s="9">
        <f>VLOOKUP(dynamic[productID],products[],IF(YEAR(dynamic[orderDate])=2022,8,IF(YEAR(dynamic[orderDate])=2023,9,IF(YEAR(dynamic[orderDate])=2024,10,NA))),FALSE)</f>
        <v>24.28342441</v>
      </c>
      <c r="M1321" s="9">
        <v>38.0</v>
      </c>
      <c r="N1321" s="25">
        <f>(dynamic[orderPrice]-dynamic[productCost])/dynamic[productCost]</f>
        <v>0.5648534309</v>
      </c>
      <c r="O1321" s="10">
        <v>15.0</v>
      </c>
      <c r="P1321" s="25">
        <v>0.0</v>
      </c>
      <c r="Q1321" s="9">
        <f>dynamic[orderPrice]*dynamic[orderQuantity]</f>
        <v>570</v>
      </c>
      <c r="R1321" s="9">
        <f>dynamic[orderTotal]*(1-dynamic[discountApllied])</f>
        <v>570</v>
      </c>
      <c r="S1321" s="9">
        <f>dynamic[revenue]-(dynamic[productCost]*dynamic[orderQuantity])</f>
        <v>205.7486339</v>
      </c>
      <c r="T1321" s="25">
        <f>IFERROR(dynamic[profit]/dynamic[revenue], 0)</f>
        <v>0.3609625156</v>
      </c>
    </row>
    <row r="1322" ht="15.75" customHeight="1">
      <c r="A1322" s="6">
        <v>10749.0</v>
      </c>
      <c r="B1322" s="7" t="s">
        <v>57</v>
      </c>
      <c r="C1322" s="24" t="str">
        <f>VLOOKUP(dynamic[customerID],customers[],2,FALSE)</f>
        <v>Island Trading</v>
      </c>
      <c r="D1322" s="24">
        <v>45250.0</v>
      </c>
      <c r="E1322" s="6">
        <f>IFERROR(__xludf.DUMMYFUNCTION("COUNTUNIQUEIFS($A$2:$A1322,$B$2:$B1322,B1322)"),7.0)</f>
        <v>7</v>
      </c>
      <c r="F1322" s="6">
        <f t="shared" si="1"/>
        <v>63</v>
      </c>
      <c r="G1322" s="6" t="str">
        <f>IF(MINIFS(dynamic[orderDate], dynamic[customerID], B1322) &gt;= DATE(2024,4,30)-120, 
     "New", 
     IF(MAXIFS(dynamic[orderCount], dynamic[customerID], B1322)&lt;=2, 
        IF((DATE(2024,4,30) - MAXIFS(dynamic[orderDate], dynamic[customerID], B1322)) &gt; 180, "Non-Returning", "Dormant"), 
        IF(AND(MAX(dynamic[sinceLastOrder]) &gt; 365, (DATE(2024,4,30) - MAXIFS(dynamic[orderDate], dynamic[customerID], B1322)) &gt; 180), 
           "Dormant", "Regular")))</f>
        <v>Regular</v>
      </c>
      <c r="H1322" s="6">
        <v>59.0</v>
      </c>
      <c r="I1322" s="9" t="str">
        <f>VLOOKUP(dynamic[productID],products[],2,FALSE)</f>
        <v>Raclette Courdavault</v>
      </c>
      <c r="J1322" s="9" t="str">
        <f>VLOOKUP(dynamic[productID],products[],12,FALSE)</f>
        <v>Dairy Products</v>
      </c>
      <c r="K1322" s="7" t="str">
        <f>IF(VLOOKUP(dynamic[productID],products[],7,FALSE)=1,"Discontinued","Current")</f>
        <v>Current</v>
      </c>
      <c r="L1322" s="9">
        <f>VLOOKUP(dynamic[productID],products[],IF(YEAR(dynamic[orderDate])=2022,8,IF(YEAR(dynamic[orderDate])=2023,9,IF(YEAR(dynamic[orderDate])=2024,10,NA))),FALSE)</f>
        <v>35.20472566</v>
      </c>
      <c r="M1322" s="9">
        <v>55.0</v>
      </c>
      <c r="N1322" s="25">
        <f>(dynamic[orderPrice]-dynamic[productCost])/dynamic[productCost]</f>
        <v>0.5622902598</v>
      </c>
      <c r="O1322" s="10">
        <v>6.0</v>
      </c>
      <c r="P1322" s="25">
        <v>0.0</v>
      </c>
      <c r="Q1322" s="9">
        <f>dynamic[orderPrice]*dynamic[orderQuantity]</f>
        <v>330</v>
      </c>
      <c r="R1322" s="9">
        <f>dynamic[orderTotal]*(1-dynamic[discountApllied])</f>
        <v>330</v>
      </c>
      <c r="S1322" s="9">
        <f>dynamic[revenue]-(dynamic[productCost]*dynamic[orderQuantity])</f>
        <v>118.771646</v>
      </c>
      <c r="T1322" s="25">
        <f>IFERROR(dynamic[profit]/dynamic[revenue], 0)</f>
        <v>0.3599140789</v>
      </c>
    </row>
    <row r="1323" ht="15.75" customHeight="1">
      <c r="A1323" s="6">
        <v>10749.0</v>
      </c>
      <c r="B1323" s="7" t="s">
        <v>57</v>
      </c>
      <c r="C1323" s="24" t="str">
        <f>VLOOKUP(dynamic[customerID],customers[],2,FALSE)</f>
        <v>Island Trading</v>
      </c>
      <c r="D1323" s="24">
        <v>45250.0</v>
      </c>
      <c r="E1323" s="6">
        <f>IFERROR(__xludf.DUMMYFUNCTION("COUNTUNIQUEIFS($A$2:$A1323,$B$2:$B1323,B1323)"),7.0)</f>
        <v>7</v>
      </c>
      <c r="F1323" s="6">
        <f t="shared" si="1"/>
        <v>63</v>
      </c>
      <c r="G1323" s="6" t="str">
        <f>IF(MINIFS(dynamic[orderDate], dynamic[customerID], B1323) &gt;= DATE(2024,4,30)-120, 
     "New", 
     IF(MAXIFS(dynamic[orderCount], dynamic[customerID], B1323)&lt;=2, 
        IF((DATE(2024,4,30) - MAXIFS(dynamic[orderDate], dynamic[customerID], B1323)) &gt; 180, "Non-Returning", "Dormant"), 
        IF(AND(MAX(dynamic[sinceLastOrder]) &gt; 365, (DATE(2024,4,30) - MAXIFS(dynamic[orderDate], dynamic[customerID], B1323)) &gt; 180), 
           "Dormant", "Regular")))</f>
        <v>Regular</v>
      </c>
      <c r="H1323" s="6">
        <v>76.0</v>
      </c>
      <c r="I1323" s="9" t="str">
        <f>VLOOKUP(dynamic[productID],products[],2,FALSE)</f>
        <v>Lakkalikööri</v>
      </c>
      <c r="J1323" s="9" t="str">
        <f>VLOOKUP(dynamic[productID],products[],12,FALSE)</f>
        <v>Beverages</v>
      </c>
      <c r="K1323" s="7" t="str">
        <f>IF(VLOOKUP(dynamic[productID],products[],7,FALSE)=1,"Discontinued","Current")</f>
        <v>Current</v>
      </c>
      <c r="L1323" s="9">
        <f>VLOOKUP(dynamic[productID],products[],IF(YEAR(dynamic[orderDate])=2022,8,IF(YEAR(dynamic[orderDate])=2023,9,IF(YEAR(dynamic[orderDate])=2024,10,NA))),FALSE)</f>
        <v>12.1154529</v>
      </c>
      <c r="M1323" s="9">
        <v>18.0</v>
      </c>
      <c r="N1323" s="25">
        <f>(dynamic[orderPrice]-dynamic[productCost])/dynamic[productCost]</f>
        <v>0.4857059125</v>
      </c>
      <c r="O1323" s="10">
        <v>10.0</v>
      </c>
      <c r="P1323" s="25">
        <v>0.0</v>
      </c>
      <c r="Q1323" s="9">
        <f>dynamic[orderPrice]*dynamic[orderQuantity]</f>
        <v>180</v>
      </c>
      <c r="R1323" s="9">
        <f>dynamic[orderTotal]*(1-dynamic[discountApllied])</f>
        <v>180</v>
      </c>
      <c r="S1323" s="9">
        <f>dynamic[revenue]-(dynamic[productCost]*dynamic[orderQuantity])</f>
        <v>58.84547105</v>
      </c>
      <c r="T1323" s="25">
        <f>IFERROR(dynamic[profit]/dynamic[revenue], 0)</f>
        <v>0.3269192836</v>
      </c>
    </row>
    <row r="1324" ht="15.75" customHeight="1">
      <c r="A1324" s="6">
        <v>10750.0</v>
      </c>
      <c r="B1324" s="7" t="s">
        <v>31</v>
      </c>
      <c r="C1324" s="24" t="str">
        <f>VLOOKUP(dynamic[customerID],customers[],2,FALSE)</f>
        <v>Wartian Herkku</v>
      </c>
      <c r="D1324" s="24">
        <v>45251.0</v>
      </c>
      <c r="E1324" s="6">
        <f>IFERROR(__xludf.DUMMYFUNCTION("COUNTUNIQUEIFS($A$2:$A1324,$B$2:$B1324,B1324)"),13.0)</f>
        <v>13</v>
      </c>
      <c r="F1324" s="6">
        <f t="shared" si="1"/>
        <v>94</v>
      </c>
      <c r="G1324" s="6" t="str">
        <f>IF(MINIFS(dynamic[orderDate], dynamic[customerID], B1324) &gt;= DATE(2024,4,30)-120, 
     "New", 
     IF(MAXIFS(dynamic[orderCount], dynamic[customerID], B1324)&lt;=2, 
        IF((DATE(2024,4,30) - MAXIFS(dynamic[orderDate], dynamic[customerID], B1324)) &gt; 180, "Non-Returning", "Dormant"), 
        IF(AND(MAX(dynamic[sinceLastOrder]) &gt; 365, (DATE(2024,4,30) - MAXIFS(dynamic[orderDate], dynamic[customerID], B1324)) &gt; 180), 
           "Dormant", "Regular")))</f>
        <v>Regular</v>
      </c>
      <c r="H1324" s="6">
        <v>14.0</v>
      </c>
      <c r="I1324" s="9" t="str">
        <f>VLOOKUP(dynamic[productID],products[],2,FALSE)</f>
        <v>Tofu</v>
      </c>
      <c r="J1324" s="9" t="str">
        <f>VLOOKUP(dynamic[productID],products[],12,FALSE)</f>
        <v>Produce</v>
      </c>
      <c r="K1324" s="7" t="str">
        <f>IF(VLOOKUP(dynamic[productID],products[],7,FALSE)=1,"Discontinued","Current")</f>
        <v>Current</v>
      </c>
      <c r="L1324" s="9">
        <f>VLOOKUP(dynamic[productID],products[],IF(YEAR(dynamic[orderDate])=2022,8,IF(YEAR(dynamic[orderDate])=2023,9,IF(YEAR(dynamic[orderDate])=2024,10,NA))),FALSE)</f>
        <v>15.38055417</v>
      </c>
      <c r="M1324" s="9">
        <v>23.25</v>
      </c>
      <c r="N1324" s="25">
        <f>(dynamic[orderPrice]-dynamic[productCost])/dynamic[productCost]</f>
        <v>0.5116490437</v>
      </c>
      <c r="O1324" s="10">
        <v>5.0</v>
      </c>
      <c r="P1324" s="25">
        <v>0.15</v>
      </c>
      <c r="Q1324" s="9">
        <f>dynamic[orderPrice]*dynamic[orderQuantity]</f>
        <v>116.25</v>
      </c>
      <c r="R1324" s="9">
        <f>dynamic[orderTotal]*(1-dynamic[discountApllied])</f>
        <v>98.8125</v>
      </c>
      <c r="S1324" s="9">
        <f>dynamic[revenue]-(dynamic[productCost]*dynamic[orderQuantity])</f>
        <v>21.90972916</v>
      </c>
      <c r="T1324" s="25">
        <f>IFERROR(dynamic[profit]/dynamic[revenue], 0)</f>
        <v>0.2217303394</v>
      </c>
    </row>
    <row r="1325" ht="15.75" customHeight="1">
      <c r="A1325" s="6">
        <v>10750.0</v>
      </c>
      <c r="B1325" s="7" t="s">
        <v>31</v>
      </c>
      <c r="C1325" s="24" t="str">
        <f>VLOOKUP(dynamic[customerID],customers[],2,FALSE)</f>
        <v>Wartian Herkku</v>
      </c>
      <c r="D1325" s="24">
        <v>45251.0</v>
      </c>
      <c r="E1325" s="6">
        <f>IFERROR(__xludf.DUMMYFUNCTION("COUNTUNIQUEIFS($A$2:$A1325,$B$2:$B1325,B1325)"),13.0)</f>
        <v>13</v>
      </c>
      <c r="F1325" s="6">
        <f t="shared" si="1"/>
        <v>94</v>
      </c>
      <c r="G1325" s="6" t="str">
        <f>IF(MINIFS(dynamic[orderDate], dynamic[customerID], B1325) &gt;= DATE(2024,4,30)-120, 
     "New", 
     IF(MAXIFS(dynamic[orderCount], dynamic[customerID], B1325)&lt;=2, 
        IF((DATE(2024,4,30) - MAXIFS(dynamic[orderDate], dynamic[customerID], B1325)) &gt; 180, "Non-Returning", "Dormant"), 
        IF(AND(MAX(dynamic[sinceLastOrder]) &gt; 365, (DATE(2024,4,30) - MAXIFS(dynamic[orderDate], dynamic[customerID], B1325)) &gt; 180), 
           "Dormant", "Regular")))</f>
        <v>Regular</v>
      </c>
      <c r="H1325" s="6">
        <v>45.0</v>
      </c>
      <c r="I1325" s="9" t="str">
        <f>VLOOKUP(dynamic[productID],products[],2,FALSE)</f>
        <v>Rogede sild</v>
      </c>
      <c r="J1325" s="9" t="str">
        <f>VLOOKUP(dynamic[productID],products[],12,FALSE)</f>
        <v>Seafood</v>
      </c>
      <c r="K1325" s="7" t="str">
        <f>IF(VLOOKUP(dynamic[productID],products[],7,FALSE)=1,"Discontinued","Current")</f>
        <v>Current</v>
      </c>
      <c r="L1325" s="9">
        <f>VLOOKUP(dynamic[productID],products[],IF(YEAR(dynamic[orderDate])=2022,8,IF(YEAR(dynamic[orderDate])=2023,9,IF(YEAR(dynamic[orderDate])=2024,10,NA))),FALSE)</f>
        <v>5.965769822</v>
      </c>
      <c r="M1325" s="9">
        <v>9.5</v>
      </c>
      <c r="N1325" s="25">
        <f>(dynamic[orderPrice]-dynamic[productCost])/dynamic[productCost]</f>
        <v>0.5924181261</v>
      </c>
      <c r="O1325" s="10">
        <v>40.0</v>
      </c>
      <c r="P1325" s="25">
        <v>0.15</v>
      </c>
      <c r="Q1325" s="9">
        <f>dynamic[orderPrice]*dynamic[orderQuantity]</f>
        <v>380</v>
      </c>
      <c r="R1325" s="9">
        <f>dynamic[orderTotal]*(1-dynamic[discountApllied])</f>
        <v>323</v>
      </c>
      <c r="S1325" s="9">
        <f>dynamic[revenue]-(dynamic[productCost]*dynamic[orderQuantity])</f>
        <v>84.36920713</v>
      </c>
      <c r="T1325" s="25">
        <f>IFERROR(dynamic[profit]/dynamic[revenue], 0)</f>
        <v>0.2612049756</v>
      </c>
    </row>
    <row r="1326" ht="15.75" customHeight="1">
      <c r="A1326" s="6">
        <v>10750.0</v>
      </c>
      <c r="B1326" s="7" t="s">
        <v>31</v>
      </c>
      <c r="C1326" s="24" t="str">
        <f>VLOOKUP(dynamic[customerID],customers[],2,FALSE)</f>
        <v>Wartian Herkku</v>
      </c>
      <c r="D1326" s="24">
        <v>45251.0</v>
      </c>
      <c r="E1326" s="6">
        <f>IFERROR(__xludf.DUMMYFUNCTION("COUNTUNIQUEIFS($A$2:$A1326,$B$2:$B1326,B1326)"),13.0)</f>
        <v>13</v>
      </c>
      <c r="F1326" s="6">
        <f t="shared" si="1"/>
        <v>94</v>
      </c>
      <c r="G1326" s="6" t="str">
        <f>IF(MINIFS(dynamic[orderDate], dynamic[customerID], B1326) &gt;= DATE(2024,4,30)-120, 
     "New", 
     IF(MAXIFS(dynamic[orderCount], dynamic[customerID], B1326)&lt;=2, 
        IF((DATE(2024,4,30) - MAXIFS(dynamic[orderDate], dynamic[customerID], B1326)) &gt; 180, "Non-Returning", "Dormant"), 
        IF(AND(MAX(dynamic[sinceLastOrder]) &gt; 365, (DATE(2024,4,30) - MAXIFS(dynamic[orderDate], dynamic[customerID], B1326)) &gt; 180), 
           "Dormant", "Regular")))</f>
        <v>Regular</v>
      </c>
      <c r="H1326" s="6">
        <v>59.0</v>
      </c>
      <c r="I1326" s="9" t="str">
        <f>VLOOKUP(dynamic[productID],products[],2,FALSE)</f>
        <v>Raclette Courdavault</v>
      </c>
      <c r="J1326" s="9" t="str">
        <f>VLOOKUP(dynamic[productID],products[],12,FALSE)</f>
        <v>Dairy Products</v>
      </c>
      <c r="K1326" s="7" t="str">
        <f>IF(VLOOKUP(dynamic[productID],products[],7,FALSE)=1,"Discontinued","Current")</f>
        <v>Current</v>
      </c>
      <c r="L1326" s="9">
        <f>VLOOKUP(dynamic[productID],products[],IF(YEAR(dynamic[orderDate])=2022,8,IF(YEAR(dynamic[orderDate])=2023,9,IF(YEAR(dynamic[orderDate])=2024,10,NA))),FALSE)</f>
        <v>35.20472566</v>
      </c>
      <c r="M1326" s="9">
        <v>55.0</v>
      </c>
      <c r="N1326" s="25">
        <f>(dynamic[orderPrice]-dynamic[productCost])/dynamic[productCost]</f>
        <v>0.5622902598</v>
      </c>
      <c r="O1326" s="10">
        <v>25.0</v>
      </c>
      <c r="P1326" s="25">
        <v>0.15</v>
      </c>
      <c r="Q1326" s="9">
        <f>dynamic[orderPrice]*dynamic[orderQuantity]</f>
        <v>1375</v>
      </c>
      <c r="R1326" s="9">
        <f>dynamic[orderTotal]*(1-dynamic[discountApllied])</f>
        <v>1168.75</v>
      </c>
      <c r="S1326" s="9">
        <f>dynamic[revenue]-(dynamic[productCost]*dynamic[orderQuantity])</f>
        <v>288.6318585</v>
      </c>
      <c r="T1326" s="25">
        <f>IFERROR(dynamic[profit]/dynamic[revenue], 0)</f>
        <v>0.2469577399</v>
      </c>
    </row>
    <row r="1327" ht="15.75" customHeight="1">
      <c r="A1327" s="6">
        <v>10751.0</v>
      </c>
      <c r="B1327" s="7" t="s">
        <v>21</v>
      </c>
      <c r="C1327" s="24" t="str">
        <f>VLOOKUP(dynamic[customerID],customers[],2,FALSE)</f>
        <v>Richter Supermarkt</v>
      </c>
      <c r="D1327" s="24">
        <v>45254.0</v>
      </c>
      <c r="E1327" s="6">
        <f>IFERROR(__xludf.DUMMYFUNCTION("COUNTUNIQUEIFS($A$2:$A1327,$B$2:$B1327,B1327)"),5.0)</f>
        <v>5</v>
      </c>
      <c r="F1327" s="6">
        <f t="shared" si="1"/>
        <v>73</v>
      </c>
      <c r="G1327" s="6" t="str">
        <f>IF(MINIFS(dynamic[orderDate], dynamic[customerID], B1327) &gt;= DATE(2024,4,30)-120, 
     "New", 
     IF(MAXIFS(dynamic[orderCount], dynamic[customerID], B1327)&lt;=2, 
        IF((DATE(2024,4,30) - MAXIFS(dynamic[orderDate], dynamic[customerID], B1327)) &gt; 180, "Non-Returning", "Dormant"), 
        IF(AND(MAX(dynamic[sinceLastOrder]) &gt; 365, (DATE(2024,4,30) - MAXIFS(dynamic[orderDate], dynamic[customerID], B1327)) &gt; 180), 
           "Dormant", "Regular")))</f>
        <v>Regular</v>
      </c>
      <c r="H1327" s="6">
        <v>26.0</v>
      </c>
      <c r="I1327" s="9" t="str">
        <f>VLOOKUP(dynamic[productID],products[],2,FALSE)</f>
        <v>NuNuCa Nuß-Nougat-Creme</v>
      </c>
      <c r="J1327" s="9" t="str">
        <f>VLOOKUP(dynamic[productID],products[],12,FALSE)</f>
        <v>Confections</v>
      </c>
      <c r="K1327" s="7" t="str">
        <f>IF(VLOOKUP(dynamic[productID],products[],7,FALSE)=1,"Discontinued","Current")</f>
        <v>Current</v>
      </c>
      <c r="L1327" s="9">
        <f>VLOOKUP(dynamic[productID],products[],IF(YEAR(dynamic[orderDate])=2022,8,IF(YEAR(dynamic[orderDate])=2023,9,IF(YEAR(dynamic[orderDate])=2024,10,NA))),FALSE)</f>
        <v>21.20896201</v>
      </c>
      <c r="M1327" s="9">
        <v>31.23</v>
      </c>
      <c r="N1327" s="25">
        <f>(dynamic[orderPrice]-dynamic[productCost])/dynamic[productCost]</f>
        <v>0.472490732</v>
      </c>
      <c r="O1327" s="10">
        <v>12.0</v>
      </c>
      <c r="P1327" s="25">
        <v>0.1</v>
      </c>
      <c r="Q1327" s="9">
        <f>dynamic[orderPrice]*dynamic[orderQuantity]</f>
        <v>374.76</v>
      </c>
      <c r="R1327" s="9">
        <f>dynamic[orderTotal]*(1-dynamic[discountApllied])</f>
        <v>337.284</v>
      </c>
      <c r="S1327" s="9">
        <f>dynamic[revenue]-(dynamic[productCost]*dynamic[orderQuantity])</f>
        <v>82.77645585</v>
      </c>
      <c r="T1327" s="25">
        <f>IFERROR(dynamic[profit]/dynamic[revenue], 0)</f>
        <v>0.2454206421</v>
      </c>
    </row>
    <row r="1328" ht="15.75" customHeight="1">
      <c r="A1328" s="6">
        <v>10751.0</v>
      </c>
      <c r="B1328" s="7" t="s">
        <v>21</v>
      </c>
      <c r="C1328" s="24" t="str">
        <f>VLOOKUP(dynamic[customerID],customers[],2,FALSE)</f>
        <v>Richter Supermarkt</v>
      </c>
      <c r="D1328" s="24">
        <v>45254.0</v>
      </c>
      <c r="E1328" s="6">
        <f>IFERROR(__xludf.DUMMYFUNCTION("COUNTUNIQUEIFS($A$2:$A1328,$B$2:$B1328,B1328)"),5.0)</f>
        <v>5</v>
      </c>
      <c r="F1328" s="6">
        <f t="shared" si="1"/>
        <v>73</v>
      </c>
      <c r="G1328" s="6" t="str">
        <f>IF(MINIFS(dynamic[orderDate], dynamic[customerID], B1328) &gt;= DATE(2024,4,30)-120, 
     "New", 
     IF(MAXIFS(dynamic[orderCount], dynamic[customerID], B1328)&lt;=2, 
        IF((DATE(2024,4,30) - MAXIFS(dynamic[orderDate], dynamic[customerID], B1328)) &gt; 180, "Non-Returning", "Dormant"), 
        IF(AND(MAX(dynamic[sinceLastOrder]) &gt; 365, (DATE(2024,4,30) - MAXIFS(dynamic[orderDate], dynamic[customerID], B1328)) &gt; 180), 
           "Dormant", "Regular")))</f>
        <v>Regular</v>
      </c>
      <c r="H1328" s="6">
        <v>30.0</v>
      </c>
      <c r="I1328" s="9" t="str">
        <f>VLOOKUP(dynamic[productID],products[],2,FALSE)</f>
        <v>Nord-Ost Matjeshering</v>
      </c>
      <c r="J1328" s="9" t="str">
        <f>VLOOKUP(dynamic[productID],products[],12,FALSE)</f>
        <v>Seafood</v>
      </c>
      <c r="K1328" s="7" t="str">
        <f>IF(VLOOKUP(dynamic[productID],products[],7,FALSE)=1,"Discontinued","Current")</f>
        <v>Current</v>
      </c>
      <c r="L1328" s="9">
        <f>VLOOKUP(dynamic[productID],products[],IF(YEAR(dynamic[orderDate])=2022,8,IF(YEAR(dynamic[orderDate])=2023,9,IF(YEAR(dynamic[orderDate])=2024,10,NA))),FALSE)</f>
        <v>16.03885249</v>
      </c>
      <c r="M1328" s="9">
        <v>25.89</v>
      </c>
      <c r="N1328" s="25">
        <f>(dynamic[orderPrice]-dynamic[productCost])/dynamic[productCost]</f>
        <v>0.6142052564</v>
      </c>
      <c r="O1328" s="10">
        <v>30.0</v>
      </c>
      <c r="P1328" s="25">
        <v>0.0</v>
      </c>
      <c r="Q1328" s="9">
        <f>dynamic[orderPrice]*dynamic[orderQuantity]</f>
        <v>776.7</v>
      </c>
      <c r="R1328" s="9">
        <f>dynamic[orderTotal]*(1-dynamic[discountApllied])</f>
        <v>776.7</v>
      </c>
      <c r="S1328" s="9">
        <f>dynamic[revenue]-(dynamic[productCost]*dynamic[orderQuantity])</f>
        <v>295.5344252</v>
      </c>
      <c r="T1328" s="25">
        <f>IFERROR(dynamic[profit]/dynamic[revenue], 0)</f>
        <v>0.3805000968</v>
      </c>
    </row>
    <row r="1329" ht="15.75" customHeight="1">
      <c r="A1329" s="6">
        <v>10751.0</v>
      </c>
      <c r="B1329" s="7" t="s">
        <v>21</v>
      </c>
      <c r="C1329" s="24" t="str">
        <f>VLOOKUP(dynamic[customerID],customers[],2,FALSE)</f>
        <v>Richter Supermarkt</v>
      </c>
      <c r="D1329" s="24">
        <v>45254.0</v>
      </c>
      <c r="E1329" s="6">
        <f>IFERROR(__xludf.DUMMYFUNCTION("COUNTUNIQUEIFS($A$2:$A1329,$B$2:$B1329,B1329)"),5.0)</f>
        <v>5</v>
      </c>
      <c r="F1329" s="6">
        <f t="shared" si="1"/>
        <v>73</v>
      </c>
      <c r="G1329" s="6" t="str">
        <f>IF(MINIFS(dynamic[orderDate], dynamic[customerID], B1329) &gt;= DATE(2024,4,30)-120, 
     "New", 
     IF(MAXIFS(dynamic[orderCount], dynamic[customerID], B1329)&lt;=2, 
        IF((DATE(2024,4,30) - MAXIFS(dynamic[orderDate], dynamic[customerID], B1329)) &gt; 180, "Non-Returning", "Dormant"), 
        IF(AND(MAX(dynamic[sinceLastOrder]) &gt; 365, (DATE(2024,4,30) - MAXIFS(dynamic[orderDate], dynamic[customerID], B1329)) &gt; 180), 
           "Dormant", "Regular")))</f>
        <v>Regular</v>
      </c>
      <c r="H1329" s="6">
        <v>50.0</v>
      </c>
      <c r="I1329" s="9" t="str">
        <f>VLOOKUP(dynamic[productID],products[],2,FALSE)</f>
        <v>Valkoinen suklaa</v>
      </c>
      <c r="J1329" s="9" t="str">
        <f>VLOOKUP(dynamic[productID],products[],12,FALSE)</f>
        <v>Confections</v>
      </c>
      <c r="K1329" s="7" t="str">
        <f>IF(VLOOKUP(dynamic[productID],products[],7,FALSE)=1,"Discontinued","Current")</f>
        <v>Current</v>
      </c>
      <c r="L1329" s="9">
        <f>VLOOKUP(dynamic[productID],products[],IF(YEAR(dynamic[orderDate])=2022,8,IF(YEAR(dynamic[orderDate])=2023,9,IF(YEAR(dynamic[orderDate])=2024,10,NA))),FALSE)</f>
        <v>11.16021436</v>
      </c>
      <c r="M1329" s="9">
        <v>16.25</v>
      </c>
      <c r="N1329" s="25">
        <f>(dynamic[orderPrice]-dynamic[productCost])/dynamic[productCost]</f>
        <v>0.4560652217</v>
      </c>
      <c r="O1329" s="10">
        <v>20.0</v>
      </c>
      <c r="P1329" s="25">
        <v>0.1</v>
      </c>
      <c r="Q1329" s="9">
        <f>dynamic[orderPrice]*dynamic[orderQuantity]</f>
        <v>325</v>
      </c>
      <c r="R1329" s="9">
        <f>dynamic[orderTotal]*(1-dynamic[discountApllied])</f>
        <v>292.5</v>
      </c>
      <c r="S1329" s="9">
        <f>dynamic[revenue]-(dynamic[productCost]*dynamic[orderQuantity])</f>
        <v>69.29571275</v>
      </c>
      <c r="T1329" s="25">
        <f>IFERROR(dynamic[profit]/dynamic[revenue], 0)</f>
        <v>0.2369084196</v>
      </c>
    </row>
    <row r="1330" ht="15.75" customHeight="1">
      <c r="A1330" s="6">
        <v>10751.0</v>
      </c>
      <c r="B1330" s="7" t="s">
        <v>21</v>
      </c>
      <c r="C1330" s="24" t="str">
        <f>VLOOKUP(dynamic[customerID],customers[],2,FALSE)</f>
        <v>Richter Supermarkt</v>
      </c>
      <c r="D1330" s="24">
        <v>45254.0</v>
      </c>
      <c r="E1330" s="6">
        <f>IFERROR(__xludf.DUMMYFUNCTION("COUNTUNIQUEIFS($A$2:$A1330,$B$2:$B1330,B1330)"),5.0)</f>
        <v>5</v>
      </c>
      <c r="F1330" s="6">
        <f t="shared" si="1"/>
        <v>73</v>
      </c>
      <c r="G1330" s="6" t="str">
        <f>IF(MINIFS(dynamic[orderDate], dynamic[customerID], B1330) &gt;= DATE(2024,4,30)-120, 
     "New", 
     IF(MAXIFS(dynamic[orderCount], dynamic[customerID], B1330)&lt;=2, 
        IF((DATE(2024,4,30) - MAXIFS(dynamic[orderDate], dynamic[customerID], B1330)) &gt; 180, "Non-Returning", "Dormant"), 
        IF(AND(MAX(dynamic[sinceLastOrder]) &gt; 365, (DATE(2024,4,30) - MAXIFS(dynamic[orderDate], dynamic[customerID], B1330)) &gt; 180), 
           "Dormant", "Regular")))</f>
        <v>Regular</v>
      </c>
      <c r="H1330" s="6">
        <v>73.0</v>
      </c>
      <c r="I1330" s="9" t="str">
        <f>VLOOKUP(dynamic[productID],products[],2,FALSE)</f>
        <v>Röd Kaviar</v>
      </c>
      <c r="J1330" s="9" t="str">
        <f>VLOOKUP(dynamic[productID],products[],12,FALSE)</f>
        <v>Seafood</v>
      </c>
      <c r="K1330" s="7" t="str">
        <f>IF(VLOOKUP(dynamic[productID],products[],7,FALSE)=1,"Discontinued","Current")</f>
        <v>Current</v>
      </c>
      <c r="L1330" s="9">
        <f>VLOOKUP(dynamic[productID],products[],IF(YEAR(dynamic[orderDate])=2022,8,IF(YEAR(dynamic[orderDate])=2023,9,IF(YEAR(dynamic[orderDate])=2024,10,NA))),FALSE)</f>
        <v>9.692999362</v>
      </c>
      <c r="M1330" s="9">
        <v>15.0</v>
      </c>
      <c r="N1330" s="25">
        <f>(dynamic[orderPrice]-dynamic[productCost])/dynamic[productCost]</f>
        <v>0.5475086131</v>
      </c>
      <c r="O1330" s="10">
        <v>15.0</v>
      </c>
      <c r="P1330" s="25">
        <v>0.0</v>
      </c>
      <c r="Q1330" s="9">
        <f>dynamic[orderPrice]*dynamic[orderQuantity]</f>
        <v>225</v>
      </c>
      <c r="R1330" s="9">
        <f>dynamic[orderTotal]*(1-dynamic[discountApllied])</f>
        <v>225</v>
      </c>
      <c r="S1330" s="9">
        <f>dynamic[revenue]-(dynamic[productCost]*dynamic[orderQuantity])</f>
        <v>79.60500957</v>
      </c>
      <c r="T1330" s="25">
        <f>IFERROR(dynamic[profit]/dynamic[revenue], 0)</f>
        <v>0.3538000425</v>
      </c>
    </row>
    <row r="1331" ht="15.75" customHeight="1">
      <c r="A1331" s="6">
        <v>10752.0</v>
      </c>
      <c r="B1331" s="7" t="s">
        <v>92</v>
      </c>
      <c r="C1331" s="24" t="str">
        <f>VLOOKUP(dynamic[customerID],customers[],2,FALSE)</f>
        <v>North/South</v>
      </c>
      <c r="D1331" s="24">
        <v>45254.0</v>
      </c>
      <c r="E1331" s="6">
        <f>IFERROR(__xludf.DUMMYFUNCTION("COUNTUNIQUEIFS($A$2:$A1331,$B$2:$B1331,B1331)"),2.0)</f>
        <v>2</v>
      </c>
      <c r="F1331" s="6">
        <f t="shared" si="1"/>
        <v>214</v>
      </c>
      <c r="G1331" s="6" t="str">
        <f>IF(MINIFS(dynamic[orderDate], dynamic[customerID], B1331) &gt;= DATE(2024,4,30)-120, 
     "New", 
     IF(MAXIFS(dynamic[orderCount], dynamic[customerID], B1331)&lt;=2, 
        IF((DATE(2024,4,30) - MAXIFS(dynamic[orderDate], dynamic[customerID], B1331)) &gt; 180, "Non-Returning", "Dormant"), 
        IF(AND(MAX(dynamic[sinceLastOrder]) &gt; 365, (DATE(2024,4,30) - MAXIFS(dynamic[orderDate], dynamic[customerID], B1331)) &gt; 180), 
           "Dormant", "Regular")))</f>
        <v>Regular</v>
      </c>
      <c r="H1331" s="6">
        <v>1.0</v>
      </c>
      <c r="I1331" s="9" t="str">
        <f>VLOOKUP(dynamic[productID],products[],2,FALSE)</f>
        <v>Chai</v>
      </c>
      <c r="J1331" s="9" t="str">
        <f>VLOOKUP(dynamic[productID],products[],12,FALSE)</f>
        <v>Beverages</v>
      </c>
      <c r="K1331" s="7" t="str">
        <f>IF(VLOOKUP(dynamic[productID],products[],7,FALSE)=1,"Discontinued","Current")</f>
        <v>Current</v>
      </c>
      <c r="L1331" s="9">
        <f>VLOOKUP(dynamic[productID],products[],IF(YEAR(dynamic[orderDate])=2022,8,IF(YEAR(dynamic[orderDate])=2023,9,IF(YEAR(dynamic[orderDate])=2024,10,NA))),FALSE)</f>
        <v>12.15847607</v>
      </c>
      <c r="M1331" s="9">
        <v>18.0</v>
      </c>
      <c r="N1331" s="25">
        <f>(dynamic[orderPrice]-dynamic[productCost])/dynamic[productCost]</f>
        <v>0.4804486927</v>
      </c>
      <c r="O1331" s="10">
        <v>8.0</v>
      </c>
      <c r="P1331" s="25">
        <v>0.0</v>
      </c>
      <c r="Q1331" s="9">
        <f>dynamic[orderPrice]*dynamic[orderQuantity]</f>
        <v>144</v>
      </c>
      <c r="R1331" s="9">
        <f>dynamic[orderTotal]*(1-dynamic[discountApllied])</f>
        <v>144</v>
      </c>
      <c r="S1331" s="9">
        <f>dynamic[revenue]-(dynamic[productCost]*dynamic[orderQuantity])</f>
        <v>46.73219146</v>
      </c>
      <c r="T1331" s="25">
        <f>IFERROR(dynamic[profit]/dynamic[revenue], 0)</f>
        <v>0.3245291073</v>
      </c>
    </row>
    <row r="1332" ht="15.75" customHeight="1">
      <c r="A1332" s="6">
        <v>10752.0</v>
      </c>
      <c r="B1332" s="7" t="s">
        <v>92</v>
      </c>
      <c r="C1332" s="24" t="str">
        <f>VLOOKUP(dynamic[customerID],customers[],2,FALSE)</f>
        <v>North/South</v>
      </c>
      <c r="D1332" s="24">
        <v>45254.0</v>
      </c>
      <c r="E1332" s="6">
        <f>IFERROR(__xludf.DUMMYFUNCTION("COUNTUNIQUEIFS($A$2:$A1332,$B$2:$B1332,B1332)"),2.0)</f>
        <v>2</v>
      </c>
      <c r="F1332" s="6">
        <f t="shared" si="1"/>
        <v>214</v>
      </c>
      <c r="G1332" s="6" t="str">
        <f>IF(MINIFS(dynamic[orderDate], dynamic[customerID], B1332) &gt;= DATE(2024,4,30)-120, 
     "New", 
     IF(MAXIFS(dynamic[orderCount], dynamic[customerID], B1332)&lt;=2, 
        IF((DATE(2024,4,30) - MAXIFS(dynamic[orderDate], dynamic[customerID], B1332)) &gt; 180, "Non-Returning", "Dormant"), 
        IF(AND(MAX(dynamic[sinceLastOrder]) &gt; 365, (DATE(2024,4,30) - MAXIFS(dynamic[orderDate], dynamic[customerID], B1332)) &gt; 180), 
           "Dormant", "Regular")))</f>
        <v>Regular</v>
      </c>
      <c r="H1332" s="6">
        <v>69.0</v>
      </c>
      <c r="I1332" s="9" t="str">
        <f>VLOOKUP(dynamic[productID],products[],2,FALSE)</f>
        <v>Gudbrandsdalsost</v>
      </c>
      <c r="J1332" s="9" t="str">
        <f>VLOOKUP(dynamic[productID],products[],12,FALSE)</f>
        <v>Dairy Products</v>
      </c>
      <c r="K1332" s="7" t="str">
        <f>IF(VLOOKUP(dynamic[productID],products[],7,FALSE)=1,"Discontinued","Current")</f>
        <v>Current</v>
      </c>
      <c r="L1332" s="9">
        <f>VLOOKUP(dynamic[productID],products[],IF(YEAR(dynamic[orderDate])=2022,8,IF(YEAR(dynamic[orderDate])=2023,9,IF(YEAR(dynamic[orderDate])=2024,10,NA))),FALSE)</f>
        <v>21.82428612</v>
      </c>
      <c r="M1332" s="9">
        <v>36.0</v>
      </c>
      <c r="N1332" s="25">
        <f>(dynamic[orderPrice]-dynamic[productCost])/dynamic[productCost]</f>
        <v>0.6495384916</v>
      </c>
      <c r="O1332" s="10">
        <v>3.0</v>
      </c>
      <c r="P1332" s="25">
        <v>0.0</v>
      </c>
      <c r="Q1332" s="9">
        <f>dynamic[orderPrice]*dynamic[orderQuantity]</f>
        <v>108</v>
      </c>
      <c r="R1332" s="9">
        <f>dynamic[orderTotal]*(1-dynamic[discountApllied])</f>
        <v>108</v>
      </c>
      <c r="S1332" s="9">
        <f>dynamic[revenue]-(dynamic[productCost]*dynamic[orderQuantity])</f>
        <v>42.52714165</v>
      </c>
      <c r="T1332" s="25">
        <f>IFERROR(dynamic[profit]/dynamic[revenue], 0)</f>
        <v>0.3937698301</v>
      </c>
    </row>
    <row r="1333" ht="15.75" customHeight="1">
      <c r="A1333" s="6">
        <v>10753.0</v>
      </c>
      <c r="B1333" s="7" t="s">
        <v>85</v>
      </c>
      <c r="C1333" s="24" t="str">
        <f>VLOOKUP(dynamic[customerID],customers[],2,FALSE)</f>
        <v>Franchi S.p.A.</v>
      </c>
      <c r="D1333" s="24">
        <v>45255.0</v>
      </c>
      <c r="E1333" s="6">
        <f>IFERROR(__xludf.DUMMYFUNCTION("COUNTUNIQUEIFS($A$2:$A1333,$B$2:$B1333,B1333)"),3.0)</f>
        <v>3</v>
      </c>
      <c r="F1333" s="6">
        <f t="shared" si="1"/>
        <v>36</v>
      </c>
      <c r="G1333" s="6" t="str">
        <f>IF(MINIFS(dynamic[orderDate], dynamic[customerID], B1333) &gt;= DATE(2024,4,30)-120, 
     "New", 
     IF(MAXIFS(dynamic[orderCount], dynamic[customerID], B1333)&lt;=2, 
        IF((DATE(2024,4,30) - MAXIFS(dynamic[orderDate], dynamic[customerID], B1333)) &gt; 180, "Non-Returning", "Dormant"), 
        IF(AND(MAX(dynamic[sinceLastOrder]) &gt; 365, (DATE(2024,4,30) - MAXIFS(dynamic[orderDate], dynamic[customerID], B1333)) &gt; 180), 
           "Dormant", "Regular")))</f>
        <v>Regular</v>
      </c>
      <c r="H1333" s="6">
        <v>45.0</v>
      </c>
      <c r="I1333" s="9" t="str">
        <f>VLOOKUP(dynamic[productID],products[],2,FALSE)</f>
        <v>Rogede sild</v>
      </c>
      <c r="J1333" s="9" t="str">
        <f>VLOOKUP(dynamic[productID],products[],12,FALSE)</f>
        <v>Seafood</v>
      </c>
      <c r="K1333" s="7" t="str">
        <f>IF(VLOOKUP(dynamic[productID],products[],7,FALSE)=1,"Discontinued","Current")</f>
        <v>Current</v>
      </c>
      <c r="L1333" s="9">
        <f>VLOOKUP(dynamic[productID],products[],IF(YEAR(dynamic[orderDate])=2022,8,IF(YEAR(dynamic[orderDate])=2023,9,IF(YEAR(dynamic[orderDate])=2024,10,NA))),FALSE)</f>
        <v>5.965769822</v>
      </c>
      <c r="M1333" s="9">
        <v>9.5</v>
      </c>
      <c r="N1333" s="25">
        <f>(dynamic[orderPrice]-dynamic[productCost])/dynamic[productCost]</f>
        <v>0.5924181261</v>
      </c>
      <c r="O1333" s="10">
        <v>4.0</v>
      </c>
      <c r="P1333" s="25">
        <v>0.0</v>
      </c>
      <c r="Q1333" s="9">
        <f>dynamic[orderPrice]*dynamic[orderQuantity]</f>
        <v>38</v>
      </c>
      <c r="R1333" s="9">
        <f>dynamic[orderTotal]*(1-dynamic[discountApllied])</f>
        <v>38</v>
      </c>
      <c r="S1333" s="9">
        <f>dynamic[revenue]-(dynamic[productCost]*dynamic[orderQuantity])</f>
        <v>14.13692071</v>
      </c>
      <c r="T1333" s="25">
        <f>IFERROR(dynamic[profit]/dynamic[revenue], 0)</f>
        <v>0.3720242293</v>
      </c>
    </row>
    <row r="1334" ht="15.75" customHeight="1">
      <c r="A1334" s="6">
        <v>10753.0</v>
      </c>
      <c r="B1334" s="7" t="s">
        <v>85</v>
      </c>
      <c r="C1334" s="24" t="str">
        <f>VLOOKUP(dynamic[customerID],customers[],2,FALSE)</f>
        <v>Franchi S.p.A.</v>
      </c>
      <c r="D1334" s="24">
        <v>45255.0</v>
      </c>
      <c r="E1334" s="6">
        <f>IFERROR(__xludf.DUMMYFUNCTION("COUNTUNIQUEIFS($A$2:$A1334,$B$2:$B1334,B1334)"),3.0)</f>
        <v>3</v>
      </c>
      <c r="F1334" s="6">
        <f t="shared" si="1"/>
        <v>36</v>
      </c>
      <c r="G1334" s="6" t="str">
        <f>IF(MINIFS(dynamic[orderDate], dynamic[customerID], B1334) &gt;= DATE(2024,4,30)-120, 
     "New", 
     IF(MAXIFS(dynamic[orderCount], dynamic[customerID], B1334)&lt;=2, 
        IF((DATE(2024,4,30) - MAXIFS(dynamic[orderDate], dynamic[customerID], B1334)) &gt; 180, "Non-Returning", "Dormant"), 
        IF(AND(MAX(dynamic[sinceLastOrder]) &gt; 365, (DATE(2024,4,30) - MAXIFS(dynamic[orderDate], dynamic[customerID], B1334)) &gt; 180), 
           "Dormant", "Regular")))</f>
        <v>Regular</v>
      </c>
      <c r="H1334" s="6">
        <v>74.0</v>
      </c>
      <c r="I1334" s="9" t="str">
        <f>VLOOKUP(dynamic[productID],products[],2,FALSE)</f>
        <v>Longlife Tofu</v>
      </c>
      <c r="J1334" s="9" t="str">
        <f>VLOOKUP(dynamic[productID],products[],12,FALSE)</f>
        <v>Produce</v>
      </c>
      <c r="K1334" s="7" t="str">
        <f>IF(VLOOKUP(dynamic[productID],products[],7,FALSE)=1,"Discontinued","Current")</f>
        <v>Current</v>
      </c>
      <c r="L1334" s="9">
        <f>VLOOKUP(dynamic[productID],products[],IF(YEAR(dynamic[orderDate])=2022,8,IF(YEAR(dynamic[orderDate])=2023,9,IF(YEAR(dynamic[orderDate])=2024,10,NA))),FALSE)</f>
        <v>6.510240467</v>
      </c>
      <c r="M1334" s="9">
        <v>10.0</v>
      </c>
      <c r="N1334" s="25">
        <f>(dynamic[orderPrice]-dynamic[productCost])/dynamic[productCost]</f>
        <v>0.5360415719</v>
      </c>
      <c r="O1334" s="10">
        <v>5.0</v>
      </c>
      <c r="P1334" s="25">
        <v>0.0</v>
      </c>
      <c r="Q1334" s="9">
        <f>dynamic[orderPrice]*dynamic[orderQuantity]</f>
        <v>50</v>
      </c>
      <c r="R1334" s="9">
        <f>dynamic[orderTotal]*(1-dynamic[discountApllied])</f>
        <v>50</v>
      </c>
      <c r="S1334" s="9">
        <f>dynamic[revenue]-(dynamic[productCost]*dynamic[orderQuantity])</f>
        <v>17.44879767</v>
      </c>
      <c r="T1334" s="25">
        <f>IFERROR(dynamic[profit]/dynamic[revenue], 0)</f>
        <v>0.3489759533</v>
      </c>
    </row>
    <row r="1335" ht="15.75" customHeight="1">
      <c r="A1335" s="6">
        <v>10754.0</v>
      </c>
      <c r="B1335" s="7" t="s">
        <v>37</v>
      </c>
      <c r="C1335" s="24" t="str">
        <f>VLOOKUP(dynamic[customerID],customers[],2,FALSE)</f>
        <v>Magazzini Alimentari Riuniti</v>
      </c>
      <c r="D1335" s="24">
        <v>45255.0</v>
      </c>
      <c r="E1335" s="6">
        <f>IFERROR(__xludf.DUMMYFUNCTION("COUNTUNIQUEIFS($A$2:$A1335,$B$2:$B1335,B1335)"),6.0)</f>
        <v>6</v>
      </c>
      <c r="F1335" s="6">
        <f t="shared" si="1"/>
        <v>99</v>
      </c>
      <c r="G1335" s="6" t="str">
        <f>IF(MINIFS(dynamic[orderDate], dynamic[customerID], B1335) &gt;= DATE(2024,4,30)-120, 
     "New", 
     IF(MAXIFS(dynamic[orderCount], dynamic[customerID], B1335)&lt;=2, 
        IF((DATE(2024,4,30) - MAXIFS(dynamic[orderDate], dynamic[customerID], B1335)) &gt; 180, "Non-Returning", "Dormant"), 
        IF(AND(MAX(dynamic[sinceLastOrder]) &gt; 365, (DATE(2024,4,30) - MAXIFS(dynamic[orderDate], dynamic[customerID], B1335)) &gt; 180), 
           "Dormant", "Regular")))</f>
        <v>Regular</v>
      </c>
      <c r="H1335" s="6">
        <v>40.0</v>
      </c>
      <c r="I1335" s="9" t="str">
        <f>VLOOKUP(dynamic[productID],products[],2,FALSE)</f>
        <v>Boston Crab Meat</v>
      </c>
      <c r="J1335" s="9" t="str">
        <f>VLOOKUP(dynamic[productID],products[],12,FALSE)</f>
        <v>Seafood</v>
      </c>
      <c r="K1335" s="7" t="str">
        <f>IF(VLOOKUP(dynamic[productID],products[],7,FALSE)=1,"Discontinued","Current")</f>
        <v>Current</v>
      </c>
      <c r="L1335" s="9">
        <f>VLOOKUP(dynamic[productID],products[],IF(YEAR(dynamic[orderDate])=2022,8,IF(YEAR(dynamic[orderDate])=2023,9,IF(YEAR(dynamic[orderDate])=2024,10,NA))),FALSE)</f>
        <v>11.40496523</v>
      </c>
      <c r="M1335" s="9">
        <v>18.4</v>
      </c>
      <c r="N1335" s="25">
        <f>(dynamic[orderPrice]-dynamic[productCost])/dynamic[productCost]</f>
        <v>0.6133324069</v>
      </c>
      <c r="O1335" s="10">
        <v>3.0</v>
      </c>
      <c r="P1335" s="25">
        <v>0.0</v>
      </c>
      <c r="Q1335" s="9">
        <f>dynamic[orderPrice]*dynamic[orderQuantity]</f>
        <v>55.2</v>
      </c>
      <c r="R1335" s="9">
        <f>dynamic[orderTotal]*(1-dynamic[discountApllied])</f>
        <v>55.2</v>
      </c>
      <c r="S1335" s="9">
        <f>dynamic[revenue]-(dynamic[productCost]*dynamic[orderQuantity])</f>
        <v>20.98510432</v>
      </c>
      <c r="T1335" s="25">
        <f>IFERROR(dynamic[profit]/dynamic[revenue], 0)</f>
        <v>0.3801649333</v>
      </c>
    </row>
    <row r="1336" ht="15.75" customHeight="1">
      <c r="A1336" s="6">
        <v>10755.0</v>
      </c>
      <c r="B1336" s="7" t="s">
        <v>63</v>
      </c>
      <c r="C1336" s="24" t="str">
        <f>VLOOKUP(dynamic[customerID],customers[],2,FALSE)</f>
        <v>Bon app'</v>
      </c>
      <c r="D1336" s="24">
        <v>45256.0</v>
      </c>
      <c r="E1336" s="6">
        <f>IFERROR(__xludf.DUMMYFUNCTION("COUNTUNIQUEIFS($A$2:$A1336,$B$2:$B1336,B1336)"),11.0)</f>
        <v>11</v>
      </c>
      <c r="F1336" s="6">
        <f t="shared" si="1"/>
        <v>20</v>
      </c>
      <c r="G1336" s="6" t="str">
        <f>IF(MINIFS(dynamic[orderDate], dynamic[customerID], B1336) &gt;= DATE(2024,4,30)-120, 
     "New", 
     IF(MAXIFS(dynamic[orderCount], dynamic[customerID], B1336)&lt;=2, 
        IF((DATE(2024,4,30) - MAXIFS(dynamic[orderDate], dynamic[customerID], B1336)) &gt; 180, "Non-Returning", "Dormant"), 
        IF(AND(MAX(dynamic[sinceLastOrder]) &gt; 365, (DATE(2024,4,30) - MAXIFS(dynamic[orderDate], dynamic[customerID], B1336)) &gt; 180), 
           "Dormant", "Regular")))</f>
        <v>Regular</v>
      </c>
      <c r="H1336" s="6">
        <v>47.0</v>
      </c>
      <c r="I1336" s="9" t="str">
        <f>VLOOKUP(dynamic[productID],products[],2,FALSE)</f>
        <v>Zaanse koeken</v>
      </c>
      <c r="J1336" s="9" t="str">
        <f>VLOOKUP(dynamic[productID],products[],12,FALSE)</f>
        <v>Confections</v>
      </c>
      <c r="K1336" s="7" t="str">
        <f>IF(VLOOKUP(dynamic[productID],products[],7,FALSE)=1,"Discontinued","Current")</f>
        <v>Current</v>
      </c>
      <c r="L1336" s="9">
        <f>VLOOKUP(dynamic[productID],products[],IF(YEAR(dynamic[orderDate])=2022,8,IF(YEAR(dynamic[orderDate])=2023,9,IF(YEAR(dynamic[orderDate])=2024,10,NA))),FALSE)</f>
        <v>6.57708833</v>
      </c>
      <c r="M1336" s="9">
        <v>9.5</v>
      </c>
      <c r="N1336" s="25">
        <f>(dynamic[orderPrice]-dynamic[productCost])/dynamic[productCost]</f>
        <v>0.4444081519</v>
      </c>
      <c r="O1336" s="10">
        <v>30.0</v>
      </c>
      <c r="P1336" s="25">
        <v>0.25</v>
      </c>
      <c r="Q1336" s="9">
        <f>dynamic[orderPrice]*dynamic[orderQuantity]</f>
        <v>285</v>
      </c>
      <c r="R1336" s="9">
        <f>dynamic[orderTotal]*(1-dynamic[discountApllied])</f>
        <v>213.75</v>
      </c>
      <c r="S1336" s="9">
        <f>dynamic[revenue]-(dynamic[productCost]*dynamic[orderQuantity])</f>
        <v>16.43735009</v>
      </c>
      <c r="T1336" s="25">
        <f>IFERROR(dynamic[profit]/dynamic[revenue], 0)</f>
        <v>0.07689988345</v>
      </c>
    </row>
    <row r="1337" ht="15.75" customHeight="1">
      <c r="A1337" s="6">
        <v>10755.0</v>
      </c>
      <c r="B1337" s="7" t="s">
        <v>63</v>
      </c>
      <c r="C1337" s="24" t="str">
        <f>VLOOKUP(dynamic[customerID],customers[],2,FALSE)</f>
        <v>Bon app'</v>
      </c>
      <c r="D1337" s="24">
        <v>45256.0</v>
      </c>
      <c r="E1337" s="6">
        <f>IFERROR(__xludf.DUMMYFUNCTION("COUNTUNIQUEIFS($A$2:$A1337,$B$2:$B1337,B1337)"),11.0)</f>
        <v>11</v>
      </c>
      <c r="F1337" s="6">
        <f t="shared" si="1"/>
        <v>20</v>
      </c>
      <c r="G1337" s="6" t="str">
        <f>IF(MINIFS(dynamic[orderDate], dynamic[customerID], B1337) &gt;= DATE(2024,4,30)-120, 
     "New", 
     IF(MAXIFS(dynamic[orderCount], dynamic[customerID], B1337)&lt;=2, 
        IF((DATE(2024,4,30) - MAXIFS(dynamic[orderDate], dynamic[customerID], B1337)) &gt; 180, "Non-Returning", "Dormant"), 
        IF(AND(MAX(dynamic[sinceLastOrder]) &gt; 365, (DATE(2024,4,30) - MAXIFS(dynamic[orderDate], dynamic[customerID], B1337)) &gt; 180), 
           "Dormant", "Regular")))</f>
        <v>Regular</v>
      </c>
      <c r="H1337" s="6">
        <v>56.0</v>
      </c>
      <c r="I1337" s="9" t="str">
        <f>VLOOKUP(dynamic[productID],products[],2,FALSE)</f>
        <v>Gnocchi di nonna Alice</v>
      </c>
      <c r="J1337" s="9" t="str">
        <f>VLOOKUP(dynamic[productID],products[],12,FALSE)</f>
        <v>Grains/Cereals</v>
      </c>
      <c r="K1337" s="7" t="str">
        <f>IF(VLOOKUP(dynamic[productID],products[],7,FALSE)=1,"Discontinued","Current")</f>
        <v>Current</v>
      </c>
      <c r="L1337" s="9">
        <f>VLOOKUP(dynamic[productID],products[],IF(YEAR(dynamic[orderDate])=2022,8,IF(YEAR(dynamic[orderDate])=2023,9,IF(YEAR(dynamic[orderDate])=2024,10,NA))),FALSE)</f>
        <v>24.28342441</v>
      </c>
      <c r="M1337" s="9">
        <v>38.0</v>
      </c>
      <c r="N1337" s="25">
        <f>(dynamic[orderPrice]-dynamic[productCost])/dynamic[productCost]</f>
        <v>0.5648534309</v>
      </c>
      <c r="O1337" s="10">
        <v>30.0</v>
      </c>
      <c r="P1337" s="25">
        <v>0.25</v>
      </c>
      <c r="Q1337" s="9">
        <f>dynamic[orderPrice]*dynamic[orderQuantity]</f>
        <v>1140</v>
      </c>
      <c r="R1337" s="9">
        <f>dynamic[orderTotal]*(1-dynamic[discountApllied])</f>
        <v>855</v>
      </c>
      <c r="S1337" s="9">
        <f>dynamic[revenue]-(dynamic[productCost]*dynamic[orderQuantity])</f>
        <v>126.4972678</v>
      </c>
      <c r="T1337" s="25">
        <f>IFERROR(dynamic[profit]/dynamic[revenue], 0)</f>
        <v>0.1479500208</v>
      </c>
    </row>
    <row r="1338" ht="15.75" customHeight="1">
      <c r="A1338" s="6">
        <v>10755.0</v>
      </c>
      <c r="B1338" s="7" t="s">
        <v>63</v>
      </c>
      <c r="C1338" s="24" t="str">
        <f>VLOOKUP(dynamic[customerID],customers[],2,FALSE)</f>
        <v>Bon app'</v>
      </c>
      <c r="D1338" s="24">
        <v>45256.0</v>
      </c>
      <c r="E1338" s="6">
        <f>IFERROR(__xludf.DUMMYFUNCTION("COUNTUNIQUEIFS($A$2:$A1338,$B$2:$B1338,B1338)"),11.0)</f>
        <v>11</v>
      </c>
      <c r="F1338" s="6">
        <f t="shared" si="1"/>
        <v>20</v>
      </c>
      <c r="G1338" s="6" t="str">
        <f>IF(MINIFS(dynamic[orderDate], dynamic[customerID], B1338) &gt;= DATE(2024,4,30)-120, 
     "New", 
     IF(MAXIFS(dynamic[orderCount], dynamic[customerID], B1338)&lt;=2, 
        IF((DATE(2024,4,30) - MAXIFS(dynamic[orderDate], dynamic[customerID], B1338)) &gt; 180, "Non-Returning", "Dormant"), 
        IF(AND(MAX(dynamic[sinceLastOrder]) &gt; 365, (DATE(2024,4,30) - MAXIFS(dynamic[orderDate], dynamic[customerID], B1338)) &gt; 180), 
           "Dormant", "Regular")))</f>
        <v>Regular</v>
      </c>
      <c r="H1338" s="6">
        <v>57.0</v>
      </c>
      <c r="I1338" s="9" t="str">
        <f>VLOOKUP(dynamic[productID],products[],2,FALSE)</f>
        <v>Ravioli Angelo</v>
      </c>
      <c r="J1338" s="9" t="str">
        <f>VLOOKUP(dynamic[productID],products[],12,FALSE)</f>
        <v>Grains/Cereals</v>
      </c>
      <c r="K1338" s="7" t="str">
        <f>IF(VLOOKUP(dynamic[productID],products[],7,FALSE)=1,"Discontinued","Current")</f>
        <v>Current</v>
      </c>
      <c r="L1338" s="9">
        <f>VLOOKUP(dynamic[productID],products[],IF(YEAR(dynamic[orderDate])=2022,8,IF(YEAR(dynamic[orderDate])=2023,9,IF(YEAR(dynamic[orderDate])=2024,10,NA))),FALSE)</f>
        <v>13.01870901</v>
      </c>
      <c r="M1338" s="9">
        <v>19.5</v>
      </c>
      <c r="N1338" s="25">
        <f>(dynamic[orderPrice]-dynamic[productCost])/dynamic[productCost]</f>
        <v>0.4978443707</v>
      </c>
      <c r="O1338" s="10">
        <v>14.0</v>
      </c>
      <c r="P1338" s="25">
        <v>0.25</v>
      </c>
      <c r="Q1338" s="9">
        <f>dynamic[orderPrice]*dynamic[orderQuantity]</f>
        <v>273</v>
      </c>
      <c r="R1338" s="9">
        <f>dynamic[orderTotal]*(1-dynamic[discountApllied])</f>
        <v>204.75</v>
      </c>
      <c r="S1338" s="9">
        <f>dynamic[revenue]-(dynamic[productCost]*dynamic[orderQuantity])</f>
        <v>22.4880739</v>
      </c>
      <c r="T1338" s="25">
        <f>IFERROR(dynamic[profit]/dynamic[revenue], 0)</f>
        <v>0.1098318627</v>
      </c>
    </row>
    <row r="1339" ht="15.75" customHeight="1">
      <c r="A1339" s="6">
        <v>10755.0</v>
      </c>
      <c r="B1339" s="7" t="s">
        <v>63</v>
      </c>
      <c r="C1339" s="24" t="str">
        <f>VLOOKUP(dynamic[customerID],customers[],2,FALSE)</f>
        <v>Bon app'</v>
      </c>
      <c r="D1339" s="24">
        <v>45256.0</v>
      </c>
      <c r="E1339" s="6">
        <f>IFERROR(__xludf.DUMMYFUNCTION("COUNTUNIQUEIFS($A$2:$A1339,$B$2:$B1339,B1339)"),11.0)</f>
        <v>11</v>
      </c>
      <c r="F1339" s="6">
        <f t="shared" si="1"/>
        <v>20</v>
      </c>
      <c r="G1339" s="6" t="str">
        <f>IF(MINIFS(dynamic[orderDate], dynamic[customerID], B1339) &gt;= DATE(2024,4,30)-120, 
     "New", 
     IF(MAXIFS(dynamic[orderCount], dynamic[customerID], B1339)&lt;=2, 
        IF((DATE(2024,4,30) - MAXIFS(dynamic[orderDate], dynamic[customerID], B1339)) &gt; 180, "Non-Returning", "Dormant"), 
        IF(AND(MAX(dynamic[sinceLastOrder]) &gt; 365, (DATE(2024,4,30) - MAXIFS(dynamic[orderDate], dynamic[customerID], B1339)) &gt; 180), 
           "Dormant", "Regular")))</f>
        <v>Regular</v>
      </c>
      <c r="H1339" s="6">
        <v>69.0</v>
      </c>
      <c r="I1339" s="9" t="str">
        <f>VLOOKUP(dynamic[productID],products[],2,FALSE)</f>
        <v>Gudbrandsdalsost</v>
      </c>
      <c r="J1339" s="9" t="str">
        <f>VLOOKUP(dynamic[productID],products[],12,FALSE)</f>
        <v>Dairy Products</v>
      </c>
      <c r="K1339" s="7" t="str">
        <f>IF(VLOOKUP(dynamic[productID],products[],7,FALSE)=1,"Discontinued","Current")</f>
        <v>Current</v>
      </c>
      <c r="L1339" s="9">
        <f>VLOOKUP(dynamic[productID],products[],IF(YEAR(dynamic[orderDate])=2022,8,IF(YEAR(dynamic[orderDate])=2023,9,IF(YEAR(dynamic[orderDate])=2024,10,NA))),FALSE)</f>
        <v>21.82428612</v>
      </c>
      <c r="M1339" s="9">
        <v>36.0</v>
      </c>
      <c r="N1339" s="25">
        <f>(dynamic[orderPrice]-dynamic[productCost])/dynamic[productCost]</f>
        <v>0.6495384916</v>
      </c>
      <c r="O1339" s="10">
        <v>25.0</v>
      </c>
      <c r="P1339" s="25">
        <v>0.25</v>
      </c>
      <c r="Q1339" s="9">
        <f>dynamic[orderPrice]*dynamic[orderQuantity]</f>
        <v>900</v>
      </c>
      <c r="R1339" s="9">
        <f>dynamic[orderTotal]*(1-dynamic[discountApllied])</f>
        <v>675</v>
      </c>
      <c r="S1339" s="9">
        <f>dynamic[revenue]-(dynamic[productCost]*dynamic[orderQuantity])</f>
        <v>129.3928471</v>
      </c>
      <c r="T1339" s="25">
        <f>IFERROR(dynamic[profit]/dynamic[revenue], 0)</f>
        <v>0.1916931068</v>
      </c>
    </row>
    <row r="1340" ht="15.75" customHeight="1">
      <c r="A1340" s="6">
        <v>10756.0</v>
      </c>
      <c r="B1340" s="7" t="s">
        <v>35</v>
      </c>
      <c r="C1340" s="24" t="str">
        <f>VLOOKUP(dynamic[customerID],customers[],2,FALSE)</f>
        <v>Split Rail Beer &amp; Ale</v>
      </c>
      <c r="D1340" s="24">
        <v>45257.0</v>
      </c>
      <c r="E1340" s="6">
        <f>IFERROR(__xludf.DUMMYFUNCTION("COUNTUNIQUEIFS($A$2:$A1340,$B$2:$B1340,B1340)"),7.0)</f>
        <v>7</v>
      </c>
      <c r="F1340" s="6">
        <f t="shared" si="1"/>
        <v>300</v>
      </c>
      <c r="G1340" s="6" t="str">
        <f>IF(MINIFS(dynamic[orderDate], dynamic[customerID], B1340) &gt;= DATE(2024,4,30)-120, 
     "New", 
     IF(MAXIFS(dynamic[orderCount], dynamic[customerID], B1340)&lt;=2, 
        IF((DATE(2024,4,30) - MAXIFS(dynamic[orderDate], dynamic[customerID], B1340)) &gt; 180, "Non-Returning", "Dormant"), 
        IF(AND(MAX(dynamic[sinceLastOrder]) &gt; 365, (DATE(2024,4,30) - MAXIFS(dynamic[orderDate], dynamic[customerID], B1340)) &gt; 180), 
           "Dormant", "Regular")))</f>
        <v>Regular</v>
      </c>
      <c r="H1340" s="6">
        <v>18.0</v>
      </c>
      <c r="I1340" s="9" t="str">
        <f>VLOOKUP(dynamic[productID],products[],2,FALSE)</f>
        <v>Carnarvon Tigers</v>
      </c>
      <c r="J1340" s="9" t="str">
        <f>VLOOKUP(dynamic[productID],products[],12,FALSE)</f>
        <v>Seafood</v>
      </c>
      <c r="K1340" s="7" t="str">
        <f>IF(VLOOKUP(dynamic[productID],products[],7,FALSE)=1,"Discontinued","Current")</f>
        <v>Current</v>
      </c>
      <c r="L1340" s="9">
        <f>VLOOKUP(dynamic[productID],products[],IF(YEAR(dynamic[orderDate])=2022,8,IF(YEAR(dynamic[orderDate])=2023,9,IF(YEAR(dynamic[orderDate])=2024,10,NA))),FALSE)</f>
        <v>39.51966651</v>
      </c>
      <c r="M1340" s="9">
        <v>62.5</v>
      </c>
      <c r="N1340" s="25">
        <f>(dynamic[orderPrice]-dynamic[productCost])/dynamic[productCost]</f>
        <v>0.5814910784</v>
      </c>
      <c r="O1340" s="10">
        <v>21.0</v>
      </c>
      <c r="P1340" s="25">
        <v>0.2</v>
      </c>
      <c r="Q1340" s="9">
        <f>dynamic[orderPrice]*dynamic[orderQuantity]</f>
        <v>1312.5</v>
      </c>
      <c r="R1340" s="9">
        <f>dynamic[orderTotal]*(1-dynamic[discountApllied])</f>
        <v>1050</v>
      </c>
      <c r="S1340" s="9">
        <f>dynamic[revenue]-(dynamic[productCost]*dynamic[orderQuantity])</f>
        <v>220.0870034</v>
      </c>
      <c r="T1340" s="25">
        <f>IFERROR(dynamic[profit]/dynamic[revenue], 0)</f>
        <v>0.2096066699</v>
      </c>
    </row>
    <row r="1341" ht="15.75" customHeight="1">
      <c r="A1341" s="6">
        <v>10756.0</v>
      </c>
      <c r="B1341" s="7" t="s">
        <v>35</v>
      </c>
      <c r="C1341" s="24" t="str">
        <f>VLOOKUP(dynamic[customerID],customers[],2,FALSE)</f>
        <v>Split Rail Beer &amp; Ale</v>
      </c>
      <c r="D1341" s="24">
        <v>45257.0</v>
      </c>
      <c r="E1341" s="6">
        <f>IFERROR(__xludf.DUMMYFUNCTION("COUNTUNIQUEIFS($A$2:$A1341,$B$2:$B1341,B1341)"),7.0)</f>
        <v>7</v>
      </c>
      <c r="F1341" s="6">
        <f t="shared" si="1"/>
        <v>300</v>
      </c>
      <c r="G1341" s="6" t="str">
        <f>IF(MINIFS(dynamic[orderDate], dynamic[customerID], B1341) &gt;= DATE(2024,4,30)-120, 
     "New", 
     IF(MAXIFS(dynamic[orderCount], dynamic[customerID], B1341)&lt;=2, 
        IF((DATE(2024,4,30) - MAXIFS(dynamic[orderDate], dynamic[customerID], B1341)) &gt; 180, "Non-Returning", "Dormant"), 
        IF(AND(MAX(dynamic[sinceLastOrder]) &gt; 365, (DATE(2024,4,30) - MAXIFS(dynamic[orderDate], dynamic[customerID], B1341)) &gt; 180), 
           "Dormant", "Regular")))</f>
        <v>Regular</v>
      </c>
      <c r="H1341" s="6">
        <v>36.0</v>
      </c>
      <c r="I1341" s="9" t="str">
        <f>VLOOKUP(dynamic[productID],products[],2,FALSE)</f>
        <v>Inlagd Sill</v>
      </c>
      <c r="J1341" s="9" t="str">
        <f>VLOOKUP(dynamic[productID],products[],12,FALSE)</f>
        <v>Seafood</v>
      </c>
      <c r="K1341" s="7" t="str">
        <f>IF(VLOOKUP(dynamic[productID],products[],7,FALSE)=1,"Discontinued","Current")</f>
        <v>Current</v>
      </c>
      <c r="L1341" s="9">
        <f>VLOOKUP(dynamic[productID],products[],IF(YEAR(dynamic[orderDate])=2022,8,IF(YEAR(dynamic[orderDate])=2023,9,IF(YEAR(dynamic[orderDate])=2024,10,NA))),FALSE)</f>
        <v>12.15246269</v>
      </c>
      <c r="M1341" s="9">
        <v>19.0</v>
      </c>
      <c r="N1341" s="25">
        <f>(dynamic[orderPrice]-dynamic[productCost])/dynamic[productCost]</f>
        <v>0.5634691082</v>
      </c>
      <c r="O1341" s="10">
        <v>20.0</v>
      </c>
      <c r="P1341" s="25">
        <v>0.2</v>
      </c>
      <c r="Q1341" s="9">
        <f>dynamic[orderPrice]*dynamic[orderQuantity]</f>
        <v>380</v>
      </c>
      <c r="R1341" s="9">
        <f>dynamic[orderTotal]*(1-dynamic[discountApllied])</f>
        <v>304</v>
      </c>
      <c r="S1341" s="9">
        <f>dynamic[revenue]-(dynamic[productCost]*dynamic[orderQuantity])</f>
        <v>60.95074626</v>
      </c>
      <c r="T1341" s="25">
        <f>IFERROR(dynamic[profit]/dynamic[revenue], 0)</f>
        <v>0.2004958759</v>
      </c>
    </row>
    <row r="1342" ht="15.75" customHeight="1">
      <c r="A1342" s="6">
        <v>10756.0</v>
      </c>
      <c r="B1342" s="7" t="s">
        <v>35</v>
      </c>
      <c r="C1342" s="24" t="str">
        <f>VLOOKUP(dynamic[customerID],customers[],2,FALSE)</f>
        <v>Split Rail Beer &amp; Ale</v>
      </c>
      <c r="D1342" s="24">
        <v>45257.0</v>
      </c>
      <c r="E1342" s="6">
        <f>IFERROR(__xludf.DUMMYFUNCTION("COUNTUNIQUEIFS($A$2:$A1342,$B$2:$B1342,B1342)"),7.0)</f>
        <v>7</v>
      </c>
      <c r="F1342" s="6">
        <f t="shared" si="1"/>
        <v>300</v>
      </c>
      <c r="G1342" s="6" t="str">
        <f>IF(MINIFS(dynamic[orderDate], dynamic[customerID], B1342) &gt;= DATE(2024,4,30)-120, 
     "New", 
     IF(MAXIFS(dynamic[orderCount], dynamic[customerID], B1342)&lt;=2, 
        IF((DATE(2024,4,30) - MAXIFS(dynamic[orderDate], dynamic[customerID], B1342)) &gt; 180, "Non-Returning", "Dormant"), 
        IF(AND(MAX(dynamic[sinceLastOrder]) &gt; 365, (DATE(2024,4,30) - MAXIFS(dynamic[orderDate], dynamic[customerID], B1342)) &gt; 180), 
           "Dormant", "Regular")))</f>
        <v>Regular</v>
      </c>
      <c r="H1342" s="6">
        <v>68.0</v>
      </c>
      <c r="I1342" s="9" t="str">
        <f>VLOOKUP(dynamic[productID],products[],2,FALSE)</f>
        <v>Scottish Longbreads</v>
      </c>
      <c r="J1342" s="9" t="str">
        <f>VLOOKUP(dynamic[productID],products[],12,FALSE)</f>
        <v>Confections</v>
      </c>
      <c r="K1342" s="7" t="str">
        <f>IF(VLOOKUP(dynamic[productID],products[],7,FALSE)=1,"Discontinued","Current")</f>
        <v>Current</v>
      </c>
      <c r="L1342" s="9">
        <f>VLOOKUP(dynamic[productID],products[],IF(YEAR(dynamic[orderDate])=2022,8,IF(YEAR(dynamic[orderDate])=2023,9,IF(YEAR(dynamic[orderDate])=2024,10,NA))),FALSE)</f>
        <v>8.500000387</v>
      </c>
      <c r="M1342" s="9">
        <v>12.5</v>
      </c>
      <c r="N1342" s="25">
        <f>(dynamic[orderPrice]-dynamic[productCost])/dynamic[productCost]</f>
        <v>0.4705881684</v>
      </c>
      <c r="O1342" s="10">
        <v>6.0</v>
      </c>
      <c r="P1342" s="25">
        <v>0.2</v>
      </c>
      <c r="Q1342" s="9">
        <f>dynamic[orderPrice]*dynamic[orderQuantity]</f>
        <v>75</v>
      </c>
      <c r="R1342" s="9">
        <f>dynamic[orderTotal]*(1-dynamic[discountApllied])</f>
        <v>60</v>
      </c>
      <c r="S1342" s="9">
        <f>dynamic[revenue]-(dynamic[productCost]*dynamic[orderQuantity])</f>
        <v>8.999997681</v>
      </c>
      <c r="T1342" s="25">
        <f>IFERROR(dynamic[profit]/dynamic[revenue], 0)</f>
        <v>0.1499999613</v>
      </c>
    </row>
    <row r="1343" ht="15.75" customHeight="1">
      <c r="A1343" s="6">
        <v>10756.0</v>
      </c>
      <c r="B1343" s="7" t="s">
        <v>35</v>
      </c>
      <c r="C1343" s="24" t="str">
        <f>VLOOKUP(dynamic[customerID],customers[],2,FALSE)</f>
        <v>Split Rail Beer &amp; Ale</v>
      </c>
      <c r="D1343" s="24">
        <v>45257.0</v>
      </c>
      <c r="E1343" s="6">
        <f>IFERROR(__xludf.DUMMYFUNCTION("COUNTUNIQUEIFS($A$2:$A1343,$B$2:$B1343,B1343)"),7.0)</f>
        <v>7</v>
      </c>
      <c r="F1343" s="6">
        <f t="shared" si="1"/>
        <v>300</v>
      </c>
      <c r="G1343" s="6" t="str">
        <f>IF(MINIFS(dynamic[orderDate], dynamic[customerID], B1343) &gt;= DATE(2024,4,30)-120, 
     "New", 
     IF(MAXIFS(dynamic[orderCount], dynamic[customerID], B1343)&lt;=2, 
        IF((DATE(2024,4,30) - MAXIFS(dynamic[orderDate], dynamic[customerID], B1343)) &gt; 180, "Non-Returning", "Dormant"), 
        IF(AND(MAX(dynamic[sinceLastOrder]) &gt; 365, (DATE(2024,4,30) - MAXIFS(dynamic[orderDate], dynamic[customerID], B1343)) &gt; 180), 
           "Dormant", "Regular")))</f>
        <v>Regular</v>
      </c>
      <c r="H1343" s="6">
        <v>69.0</v>
      </c>
      <c r="I1343" s="9" t="str">
        <f>VLOOKUP(dynamic[productID],products[],2,FALSE)</f>
        <v>Gudbrandsdalsost</v>
      </c>
      <c r="J1343" s="9" t="str">
        <f>VLOOKUP(dynamic[productID],products[],12,FALSE)</f>
        <v>Dairy Products</v>
      </c>
      <c r="K1343" s="7" t="str">
        <f>IF(VLOOKUP(dynamic[productID],products[],7,FALSE)=1,"Discontinued","Current")</f>
        <v>Current</v>
      </c>
      <c r="L1343" s="9">
        <f>VLOOKUP(dynamic[productID],products[],IF(YEAR(dynamic[orderDate])=2022,8,IF(YEAR(dynamic[orderDate])=2023,9,IF(YEAR(dynamic[orderDate])=2024,10,NA))),FALSE)</f>
        <v>21.82428612</v>
      </c>
      <c r="M1343" s="9">
        <v>36.0</v>
      </c>
      <c r="N1343" s="25">
        <f>(dynamic[orderPrice]-dynamic[productCost])/dynamic[productCost]</f>
        <v>0.6495384916</v>
      </c>
      <c r="O1343" s="10">
        <v>20.0</v>
      </c>
      <c r="P1343" s="25">
        <v>0.2</v>
      </c>
      <c r="Q1343" s="9">
        <f>dynamic[orderPrice]*dynamic[orderQuantity]</f>
        <v>720</v>
      </c>
      <c r="R1343" s="9">
        <f>dynamic[orderTotal]*(1-dynamic[discountApllied])</f>
        <v>576</v>
      </c>
      <c r="S1343" s="9">
        <f>dynamic[revenue]-(dynamic[productCost]*dynamic[orderQuantity])</f>
        <v>139.5142777</v>
      </c>
      <c r="T1343" s="25">
        <f>IFERROR(dynamic[profit]/dynamic[revenue], 0)</f>
        <v>0.2422122877</v>
      </c>
    </row>
    <row r="1344" ht="15.75" customHeight="1">
      <c r="A1344" s="6">
        <v>10757.0</v>
      </c>
      <c r="B1344" s="7" t="s">
        <v>60</v>
      </c>
      <c r="C1344" s="24" t="str">
        <f>VLOOKUP(dynamic[customerID],customers[],2,FALSE)</f>
        <v>Save-a-lot Markets</v>
      </c>
      <c r="D1344" s="24">
        <v>45257.0</v>
      </c>
      <c r="E1344" s="6">
        <f>IFERROR(__xludf.DUMMYFUNCTION("COUNTUNIQUEIFS($A$2:$A1344,$B$2:$B1344,B1344)"),20.0)</f>
        <v>20</v>
      </c>
      <c r="F1344" s="6">
        <f t="shared" si="1"/>
        <v>7</v>
      </c>
      <c r="G1344" s="6" t="str">
        <f>IF(MINIFS(dynamic[orderDate], dynamic[customerID], B1344) &gt;= DATE(2024,4,30)-120, 
     "New", 
     IF(MAXIFS(dynamic[orderCount], dynamic[customerID], B1344)&lt;=2, 
        IF((DATE(2024,4,30) - MAXIFS(dynamic[orderDate], dynamic[customerID], B1344)) &gt; 180, "Non-Returning", "Dormant"), 
        IF(AND(MAX(dynamic[sinceLastOrder]) &gt; 365, (DATE(2024,4,30) - MAXIFS(dynamic[orderDate], dynamic[customerID], B1344)) &gt; 180), 
           "Dormant", "Regular")))</f>
        <v>Regular</v>
      </c>
      <c r="H1344" s="6">
        <v>34.0</v>
      </c>
      <c r="I1344" s="9" t="str">
        <f>VLOOKUP(dynamic[productID],products[],2,FALSE)</f>
        <v>Sasquatch Ale</v>
      </c>
      <c r="J1344" s="9" t="str">
        <f>VLOOKUP(dynamic[productID],products[],12,FALSE)</f>
        <v>Beverages</v>
      </c>
      <c r="K1344" s="7" t="str">
        <f>IF(VLOOKUP(dynamic[productID],products[],7,FALSE)=1,"Discontinued","Current")</f>
        <v>Current</v>
      </c>
      <c r="L1344" s="9">
        <f>VLOOKUP(dynamic[productID],products[],IF(YEAR(dynamic[orderDate])=2022,8,IF(YEAR(dynamic[orderDate])=2023,9,IF(YEAR(dynamic[orderDate])=2024,10,NA))),FALSE)</f>
        <v>8.955654061</v>
      </c>
      <c r="M1344" s="9">
        <v>14.0</v>
      </c>
      <c r="N1344" s="25">
        <f>(dynamic[orderPrice]-dynamic[productCost])/dynamic[productCost]</f>
        <v>0.5632582394</v>
      </c>
      <c r="O1344" s="10">
        <v>30.0</v>
      </c>
      <c r="P1344" s="25">
        <v>0.0</v>
      </c>
      <c r="Q1344" s="9">
        <f>dynamic[orderPrice]*dynamic[orderQuantity]</f>
        <v>420</v>
      </c>
      <c r="R1344" s="9">
        <f>dynamic[orderTotal]*(1-dynamic[discountApllied])</f>
        <v>420</v>
      </c>
      <c r="S1344" s="9">
        <f>dynamic[revenue]-(dynamic[productCost]*dynamic[orderQuantity])</f>
        <v>151.3303782</v>
      </c>
      <c r="T1344" s="25">
        <f>IFERROR(dynamic[profit]/dynamic[revenue], 0)</f>
        <v>0.3603104242</v>
      </c>
    </row>
    <row r="1345" ht="15.75" customHeight="1">
      <c r="A1345" s="6">
        <v>10757.0</v>
      </c>
      <c r="B1345" s="7" t="s">
        <v>60</v>
      </c>
      <c r="C1345" s="24" t="str">
        <f>VLOOKUP(dynamic[customerID],customers[],2,FALSE)</f>
        <v>Save-a-lot Markets</v>
      </c>
      <c r="D1345" s="24">
        <v>45257.0</v>
      </c>
      <c r="E1345" s="6">
        <f>IFERROR(__xludf.DUMMYFUNCTION("COUNTUNIQUEIFS($A$2:$A1345,$B$2:$B1345,B1345)"),20.0)</f>
        <v>20</v>
      </c>
      <c r="F1345" s="6">
        <f t="shared" si="1"/>
        <v>7</v>
      </c>
      <c r="G1345" s="6" t="str">
        <f>IF(MINIFS(dynamic[orderDate], dynamic[customerID], B1345) &gt;= DATE(2024,4,30)-120, 
     "New", 
     IF(MAXIFS(dynamic[orderCount], dynamic[customerID], B1345)&lt;=2, 
        IF((DATE(2024,4,30) - MAXIFS(dynamic[orderDate], dynamic[customerID], B1345)) &gt; 180, "Non-Returning", "Dormant"), 
        IF(AND(MAX(dynamic[sinceLastOrder]) &gt; 365, (DATE(2024,4,30) - MAXIFS(dynamic[orderDate], dynamic[customerID], B1345)) &gt; 180), 
           "Dormant", "Regular")))</f>
        <v>Regular</v>
      </c>
      <c r="H1345" s="6">
        <v>59.0</v>
      </c>
      <c r="I1345" s="9" t="str">
        <f>VLOOKUP(dynamic[productID],products[],2,FALSE)</f>
        <v>Raclette Courdavault</v>
      </c>
      <c r="J1345" s="9" t="str">
        <f>VLOOKUP(dynamic[productID],products[],12,FALSE)</f>
        <v>Dairy Products</v>
      </c>
      <c r="K1345" s="7" t="str">
        <f>IF(VLOOKUP(dynamic[productID],products[],7,FALSE)=1,"Discontinued","Current")</f>
        <v>Current</v>
      </c>
      <c r="L1345" s="9">
        <f>VLOOKUP(dynamic[productID],products[],IF(YEAR(dynamic[orderDate])=2022,8,IF(YEAR(dynamic[orderDate])=2023,9,IF(YEAR(dynamic[orderDate])=2024,10,NA))),FALSE)</f>
        <v>35.20472566</v>
      </c>
      <c r="M1345" s="9">
        <v>55.0</v>
      </c>
      <c r="N1345" s="25">
        <f>(dynamic[orderPrice]-dynamic[productCost])/dynamic[productCost]</f>
        <v>0.5622902598</v>
      </c>
      <c r="O1345" s="10">
        <v>7.0</v>
      </c>
      <c r="P1345" s="25">
        <v>0.0</v>
      </c>
      <c r="Q1345" s="9">
        <f>dynamic[orderPrice]*dynamic[orderQuantity]</f>
        <v>385</v>
      </c>
      <c r="R1345" s="9">
        <f>dynamic[orderTotal]*(1-dynamic[discountApllied])</f>
        <v>385</v>
      </c>
      <c r="S1345" s="9">
        <f>dynamic[revenue]-(dynamic[productCost]*dynamic[orderQuantity])</f>
        <v>138.5669204</v>
      </c>
      <c r="T1345" s="25">
        <f>IFERROR(dynamic[profit]/dynamic[revenue], 0)</f>
        <v>0.3599140789</v>
      </c>
    </row>
    <row r="1346" ht="15.75" customHeight="1">
      <c r="A1346" s="6">
        <v>10757.0</v>
      </c>
      <c r="B1346" s="7" t="s">
        <v>60</v>
      </c>
      <c r="C1346" s="24" t="str">
        <f>VLOOKUP(dynamic[customerID],customers[],2,FALSE)</f>
        <v>Save-a-lot Markets</v>
      </c>
      <c r="D1346" s="24">
        <v>45257.0</v>
      </c>
      <c r="E1346" s="6">
        <f>IFERROR(__xludf.DUMMYFUNCTION("COUNTUNIQUEIFS($A$2:$A1346,$B$2:$B1346,B1346)"),20.0)</f>
        <v>20</v>
      </c>
      <c r="F1346" s="6">
        <f t="shared" si="1"/>
        <v>7</v>
      </c>
      <c r="G1346" s="6" t="str">
        <f>IF(MINIFS(dynamic[orderDate], dynamic[customerID], B1346) &gt;= DATE(2024,4,30)-120, 
     "New", 
     IF(MAXIFS(dynamic[orderCount], dynamic[customerID], B1346)&lt;=2, 
        IF((DATE(2024,4,30) - MAXIFS(dynamic[orderDate], dynamic[customerID], B1346)) &gt; 180, "Non-Returning", "Dormant"), 
        IF(AND(MAX(dynamic[sinceLastOrder]) &gt; 365, (DATE(2024,4,30) - MAXIFS(dynamic[orderDate], dynamic[customerID], B1346)) &gt; 180), 
           "Dormant", "Regular")))</f>
        <v>Regular</v>
      </c>
      <c r="H1346" s="6">
        <v>62.0</v>
      </c>
      <c r="I1346" s="9" t="str">
        <f>VLOOKUP(dynamic[productID],products[],2,FALSE)</f>
        <v>Tarte au sucre</v>
      </c>
      <c r="J1346" s="9" t="str">
        <f>VLOOKUP(dynamic[productID],products[],12,FALSE)</f>
        <v>Confections</v>
      </c>
      <c r="K1346" s="7" t="str">
        <f>IF(VLOOKUP(dynamic[productID],products[],7,FALSE)=1,"Discontinued","Current")</f>
        <v>Current</v>
      </c>
      <c r="L1346" s="9">
        <f>VLOOKUP(dynamic[productID],products[],IF(YEAR(dynamic[orderDate])=2022,8,IF(YEAR(dynamic[orderDate])=2023,9,IF(YEAR(dynamic[orderDate])=2024,10,NA))),FALSE)</f>
        <v>35.34792781</v>
      </c>
      <c r="M1346" s="9">
        <v>49.3</v>
      </c>
      <c r="N1346" s="25">
        <f>(dynamic[orderPrice]-dynamic[productCost])/dynamic[productCost]</f>
        <v>0.3947069335</v>
      </c>
      <c r="O1346" s="10">
        <v>30.0</v>
      </c>
      <c r="P1346" s="25">
        <v>0.0</v>
      </c>
      <c r="Q1346" s="9">
        <f>dynamic[orderPrice]*dynamic[orderQuantity]</f>
        <v>1479</v>
      </c>
      <c r="R1346" s="9">
        <f>dynamic[orderTotal]*(1-dynamic[discountApllied])</f>
        <v>1479</v>
      </c>
      <c r="S1346" s="9">
        <f>dynamic[revenue]-(dynamic[productCost]*dynamic[orderQuantity])</f>
        <v>418.5621657</v>
      </c>
      <c r="T1346" s="25">
        <f>IFERROR(dynamic[profit]/dynamic[revenue], 0)</f>
        <v>0.2830034927</v>
      </c>
    </row>
    <row r="1347" ht="15.75" customHeight="1">
      <c r="A1347" s="6">
        <v>10757.0</v>
      </c>
      <c r="B1347" s="7" t="s">
        <v>60</v>
      </c>
      <c r="C1347" s="24" t="str">
        <f>VLOOKUP(dynamic[customerID],customers[],2,FALSE)</f>
        <v>Save-a-lot Markets</v>
      </c>
      <c r="D1347" s="24">
        <v>45257.0</v>
      </c>
      <c r="E1347" s="6">
        <f>IFERROR(__xludf.DUMMYFUNCTION("COUNTUNIQUEIFS($A$2:$A1347,$B$2:$B1347,B1347)"),20.0)</f>
        <v>20</v>
      </c>
      <c r="F1347" s="6">
        <f t="shared" si="1"/>
        <v>7</v>
      </c>
      <c r="G1347" s="6" t="str">
        <f>IF(MINIFS(dynamic[orderDate], dynamic[customerID], B1347) &gt;= DATE(2024,4,30)-120, 
     "New", 
     IF(MAXIFS(dynamic[orderCount], dynamic[customerID], B1347)&lt;=2, 
        IF((DATE(2024,4,30) - MAXIFS(dynamic[orderDate], dynamic[customerID], B1347)) &gt; 180, "Non-Returning", "Dormant"), 
        IF(AND(MAX(dynamic[sinceLastOrder]) &gt; 365, (DATE(2024,4,30) - MAXIFS(dynamic[orderDate], dynamic[customerID], B1347)) &gt; 180), 
           "Dormant", "Regular")))</f>
        <v>Regular</v>
      </c>
      <c r="H1347" s="6">
        <v>64.0</v>
      </c>
      <c r="I1347" s="9" t="str">
        <f>VLOOKUP(dynamic[productID],products[],2,FALSE)</f>
        <v>Lukas' leckere Sauerteigweggla</v>
      </c>
      <c r="J1347" s="9" t="str">
        <f>VLOOKUP(dynamic[productID],products[],12,FALSE)</f>
        <v>Grains/Cereals</v>
      </c>
      <c r="K1347" s="7" t="str">
        <f>IF(VLOOKUP(dynamic[productID],products[],7,FALSE)=1,"Discontinued","Current")</f>
        <v>Current</v>
      </c>
      <c r="L1347" s="9">
        <f>VLOOKUP(dynamic[productID],products[],IF(YEAR(dynamic[orderDate])=2022,8,IF(YEAR(dynamic[orderDate])=2023,9,IF(YEAR(dynamic[orderDate])=2024,10,NA))),FALSE)</f>
        <v>21.88572728</v>
      </c>
      <c r="M1347" s="9">
        <v>33.25</v>
      </c>
      <c r="N1347" s="25">
        <f>(dynamic[orderPrice]-dynamic[productCost])/dynamic[productCost]</f>
        <v>0.5192549724</v>
      </c>
      <c r="O1347" s="10">
        <v>24.0</v>
      </c>
      <c r="P1347" s="25">
        <v>0.0</v>
      </c>
      <c r="Q1347" s="9">
        <f>dynamic[orderPrice]*dynamic[orderQuantity]</f>
        <v>798</v>
      </c>
      <c r="R1347" s="9">
        <f>dynamic[orderTotal]*(1-dynamic[discountApllied])</f>
        <v>798</v>
      </c>
      <c r="S1347" s="9">
        <f>dynamic[revenue]-(dynamic[productCost]*dynamic[orderQuantity])</f>
        <v>272.7425452</v>
      </c>
      <c r="T1347" s="25">
        <f>IFERROR(dynamic[profit]/dynamic[revenue], 0)</f>
        <v>0.3417826381</v>
      </c>
    </row>
    <row r="1348" ht="15.75" customHeight="1">
      <c r="A1348" s="6">
        <v>10758.0</v>
      </c>
      <c r="B1348" s="7" t="s">
        <v>21</v>
      </c>
      <c r="C1348" s="24" t="str">
        <f>VLOOKUP(dynamic[customerID],customers[],2,FALSE)</f>
        <v>Richter Supermarkt</v>
      </c>
      <c r="D1348" s="24">
        <v>45258.0</v>
      </c>
      <c r="E1348" s="6">
        <f>IFERROR(__xludf.DUMMYFUNCTION("COUNTUNIQUEIFS($A$2:$A1348,$B$2:$B1348,B1348)"),6.0)</f>
        <v>6</v>
      </c>
      <c r="F1348" s="6">
        <f t="shared" si="1"/>
        <v>4</v>
      </c>
      <c r="G1348" s="6" t="str">
        <f>IF(MINIFS(dynamic[orderDate], dynamic[customerID], B1348) &gt;= DATE(2024,4,30)-120, 
     "New", 
     IF(MAXIFS(dynamic[orderCount], dynamic[customerID], B1348)&lt;=2, 
        IF((DATE(2024,4,30) - MAXIFS(dynamic[orderDate], dynamic[customerID], B1348)) &gt; 180, "Non-Returning", "Dormant"), 
        IF(AND(MAX(dynamic[sinceLastOrder]) &gt; 365, (DATE(2024,4,30) - MAXIFS(dynamic[orderDate], dynamic[customerID], B1348)) &gt; 180), 
           "Dormant", "Regular")))</f>
        <v>Regular</v>
      </c>
      <c r="H1348" s="6">
        <v>26.0</v>
      </c>
      <c r="I1348" s="9" t="str">
        <f>VLOOKUP(dynamic[productID],products[],2,FALSE)</f>
        <v>NuNuCa Nuß-Nougat-Creme</v>
      </c>
      <c r="J1348" s="9" t="str">
        <f>VLOOKUP(dynamic[productID],products[],12,FALSE)</f>
        <v>Confections</v>
      </c>
      <c r="K1348" s="7" t="str">
        <f>IF(VLOOKUP(dynamic[productID],products[],7,FALSE)=1,"Discontinued","Current")</f>
        <v>Current</v>
      </c>
      <c r="L1348" s="9">
        <f>VLOOKUP(dynamic[productID],products[],IF(YEAR(dynamic[orderDate])=2022,8,IF(YEAR(dynamic[orderDate])=2023,9,IF(YEAR(dynamic[orderDate])=2024,10,NA))),FALSE)</f>
        <v>21.20896201</v>
      </c>
      <c r="M1348" s="9">
        <v>31.23</v>
      </c>
      <c r="N1348" s="25">
        <f>(dynamic[orderPrice]-dynamic[productCost])/dynamic[productCost]</f>
        <v>0.472490732</v>
      </c>
      <c r="O1348" s="10">
        <v>20.0</v>
      </c>
      <c r="P1348" s="25">
        <v>0.0</v>
      </c>
      <c r="Q1348" s="9">
        <f>dynamic[orderPrice]*dynamic[orderQuantity]</f>
        <v>624.6</v>
      </c>
      <c r="R1348" s="9">
        <f>dynamic[orderTotal]*(1-dynamic[discountApllied])</f>
        <v>624.6</v>
      </c>
      <c r="S1348" s="9">
        <f>dynamic[revenue]-(dynamic[productCost]*dynamic[orderQuantity])</f>
        <v>200.4207597</v>
      </c>
      <c r="T1348" s="25">
        <f>IFERROR(dynamic[profit]/dynamic[revenue], 0)</f>
        <v>0.3208785779</v>
      </c>
    </row>
    <row r="1349" ht="15.75" customHeight="1">
      <c r="A1349" s="6">
        <v>10758.0</v>
      </c>
      <c r="B1349" s="7" t="s">
        <v>21</v>
      </c>
      <c r="C1349" s="24" t="str">
        <f>VLOOKUP(dynamic[customerID],customers[],2,FALSE)</f>
        <v>Richter Supermarkt</v>
      </c>
      <c r="D1349" s="24">
        <v>45258.0</v>
      </c>
      <c r="E1349" s="6">
        <f>IFERROR(__xludf.DUMMYFUNCTION("COUNTUNIQUEIFS($A$2:$A1349,$B$2:$B1349,B1349)"),6.0)</f>
        <v>6</v>
      </c>
      <c r="F1349" s="6">
        <f t="shared" si="1"/>
        <v>4</v>
      </c>
      <c r="G1349" s="6" t="str">
        <f>IF(MINIFS(dynamic[orderDate], dynamic[customerID], B1349) &gt;= DATE(2024,4,30)-120, 
     "New", 
     IF(MAXIFS(dynamic[orderCount], dynamic[customerID], B1349)&lt;=2, 
        IF((DATE(2024,4,30) - MAXIFS(dynamic[orderDate], dynamic[customerID], B1349)) &gt; 180, "Non-Returning", "Dormant"), 
        IF(AND(MAX(dynamic[sinceLastOrder]) &gt; 365, (DATE(2024,4,30) - MAXIFS(dynamic[orderDate], dynamic[customerID], B1349)) &gt; 180), 
           "Dormant", "Regular")))</f>
        <v>Regular</v>
      </c>
      <c r="H1349" s="6">
        <v>52.0</v>
      </c>
      <c r="I1349" s="9" t="str">
        <f>VLOOKUP(dynamic[productID],products[],2,FALSE)</f>
        <v>Filo Mix</v>
      </c>
      <c r="J1349" s="9" t="str">
        <f>VLOOKUP(dynamic[productID],products[],12,FALSE)</f>
        <v>Grains/Cereals</v>
      </c>
      <c r="K1349" s="7" t="str">
        <f>IF(VLOOKUP(dynamic[productID],products[],7,FALSE)=1,"Discontinued","Current")</f>
        <v>Current</v>
      </c>
      <c r="L1349" s="9">
        <f>VLOOKUP(dynamic[productID],products[],IF(YEAR(dynamic[orderDate])=2022,8,IF(YEAR(dynamic[orderDate])=2023,9,IF(YEAR(dynamic[orderDate])=2024,10,NA))),FALSE)</f>
        <v>5.001706713</v>
      </c>
      <c r="M1349" s="9">
        <v>7.0</v>
      </c>
      <c r="N1349" s="25">
        <f>(dynamic[orderPrice]-dynamic[productCost])/dynamic[productCost]</f>
        <v>0.3995222835</v>
      </c>
      <c r="O1349" s="10">
        <v>60.0</v>
      </c>
      <c r="P1349" s="25">
        <v>0.0</v>
      </c>
      <c r="Q1349" s="9">
        <f>dynamic[orderPrice]*dynamic[orderQuantity]</f>
        <v>420</v>
      </c>
      <c r="R1349" s="9">
        <f>dynamic[orderTotal]*(1-dynamic[discountApllied])</f>
        <v>420</v>
      </c>
      <c r="S1349" s="9">
        <f>dynamic[revenue]-(dynamic[productCost]*dynamic[orderQuantity])</f>
        <v>119.8975972</v>
      </c>
      <c r="T1349" s="25">
        <f>IFERROR(dynamic[profit]/dynamic[revenue], 0)</f>
        <v>0.2854704696</v>
      </c>
    </row>
    <row r="1350" ht="15.75" customHeight="1">
      <c r="A1350" s="6">
        <v>10758.0</v>
      </c>
      <c r="B1350" s="7" t="s">
        <v>21</v>
      </c>
      <c r="C1350" s="24" t="str">
        <f>VLOOKUP(dynamic[customerID],customers[],2,FALSE)</f>
        <v>Richter Supermarkt</v>
      </c>
      <c r="D1350" s="24">
        <v>45258.0</v>
      </c>
      <c r="E1350" s="6">
        <f>IFERROR(__xludf.DUMMYFUNCTION("COUNTUNIQUEIFS($A$2:$A1350,$B$2:$B1350,B1350)"),6.0)</f>
        <v>6</v>
      </c>
      <c r="F1350" s="6">
        <f t="shared" si="1"/>
        <v>4</v>
      </c>
      <c r="G1350" s="6" t="str">
        <f>IF(MINIFS(dynamic[orderDate], dynamic[customerID], B1350) &gt;= DATE(2024,4,30)-120, 
     "New", 
     IF(MAXIFS(dynamic[orderCount], dynamic[customerID], B1350)&lt;=2, 
        IF((DATE(2024,4,30) - MAXIFS(dynamic[orderDate], dynamic[customerID], B1350)) &gt; 180, "Non-Returning", "Dormant"), 
        IF(AND(MAX(dynamic[sinceLastOrder]) &gt; 365, (DATE(2024,4,30) - MAXIFS(dynamic[orderDate], dynamic[customerID], B1350)) &gt; 180), 
           "Dormant", "Regular")))</f>
        <v>Regular</v>
      </c>
      <c r="H1350" s="6">
        <v>70.0</v>
      </c>
      <c r="I1350" s="9" t="str">
        <f>VLOOKUP(dynamic[productID],products[],2,FALSE)</f>
        <v>Outback Lager</v>
      </c>
      <c r="J1350" s="9" t="str">
        <f>VLOOKUP(dynamic[productID],products[],12,FALSE)</f>
        <v>Beverages</v>
      </c>
      <c r="K1350" s="7" t="str">
        <f>IF(VLOOKUP(dynamic[productID],products[],7,FALSE)=1,"Discontinued","Current")</f>
        <v>Current</v>
      </c>
      <c r="L1350" s="9">
        <f>VLOOKUP(dynamic[productID],products[],IF(YEAR(dynamic[orderDate])=2022,8,IF(YEAR(dynamic[orderDate])=2023,9,IF(YEAR(dynamic[orderDate])=2024,10,NA))),FALSE)</f>
        <v>9.793094091</v>
      </c>
      <c r="M1350" s="9">
        <v>15.0</v>
      </c>
      <c r="N1350" s="25">
        <f>(dynamic[orderPrice]-dynamic[productCost])/dynamic[productCost]</f>
        <v>0.5316916044</v>
      </c>
      <c r="O1350" s="10">
        <v>40.0</v>
      </c>
      <c r="P1350" s="25">
        <v>0.0</v>
      </c>
      <c r="Q1350" s="9">
        <f>dynamic[orderPrice]*dynamic[orderQuantity]</f>
        <v>600</v>
      </c>
      <c r="R1350" s="9">
        <f>dynamic[orderTotal]*(1-dynamic[discountApllied])</f>
        <v>600</v>
      </c>
      <c r="S1350" s="9">
        <f>dynamic[revenue]-(dynamic[productCost]*dynamic[orderQuantity])</f>
        <v>208.2762364</v>
      </c>
      <c r="T1350" s="25">
        <f>IFERROR(dynamic[profit]/dynamic[revenue], 0)</f>
        <v>0.3471270606</v>
      </c>
    </row>
    <row r="1351" ht="15.75" customHeight="1">
      <c r="A1351" s="6">
        <v>10759.0</v>
      </c>
      <c r="B1351" s="7" t="s">
        <v>54</v>
      </c>
      <c r="C1351" s="24" t="str">
        <f>VLOOKUP(dynamic[customerID],customers[],2,FALSE)</f>
        <v>Ana Trujillo Emparedados y helados</v>
      </c>
      <c r="D1351" s="24">
        <v>45258.0</v>
      </c>
      <c r="E1351" s="6">
        <f>IFERROR(__xludf.DUMMYFUNCTION("COUNTUNIQUEIFS($A$2:$A1351,$B$2:$B1351,B1351)"),3.0)</f>
        <v>3</v>
      </c>
      <c r="F1351" s="6">
        <f t="shared" si="1"/>
        <v>112</v>
      </c>
      <c r="G1351" s="6" t="str">
        <f>IF(MINIFS(dynamic[orderDate], dynamic[customerID], B1351) &gt;= DATE(2024,4,30)-120, 
     "New", 
     IF(MAXIFS(dynamic[orderCount], dynamic[customerID], B1351)&lt;=2, 
        IF((DATE(2024,4,30) - MAXIFS(dynamic[orderDate], dynamic[customerID], B1351)) &gt; 180, "Non-Returning", "Dormant"), 
        IF(AND(MAX(dynamic[sinceLastOrder]) &gt; 365, (DATE(2024,4,30) - MAXIFS(dynamic[orderDate], dynamic[customerID], B1351)) &gt; 180), 
           "Dormant", "Regular")))</f>
        <v>Regular</v>
      </c>
      <c r="H1351" s="6">
        <v>32.0</v>
      </c>
      <c r="I1351" s="9" t="str">
        <f>VLOOKUP(dynamic[productID],products[],2,FALSE)</f>
        <v>Mascarpone Fabioli</v>
      </c>
      <c r="J1351" s="9" t="str">
        <f>VLOOKUP(dynamic[productID],products[],12,FALSE)</f>
        <v>Dairy Products</v>
      </c>
      <c r="K1351" s="7" t="str">
        <f>IF(VLOOKUP(dynamic[productID],products[],7,FALSE)=1,"Discontinued","Current")</f>
        <v>Current</v>
      </c>
      <c r="L1351" s="9">
        <f>VLOOKUP(dynamic[productID],products[],IF(YEAR(dynamic[orderDate])=2022,8,IF(YEAR(dynamic[orderDate])=2023,9,IF(YEAR(dynamic[orderDate])=2024,10,NA))),FALSE)</f>
        <v>21.58120628</v>
      </c>
      <c r="M1351" s="9">
        <v>32.0</v>
      </c>
      <c r="N1351" s="25">
        <f>(dynamic[orderPrice]-dynamic[productCost])/dynamic[productCost]</f>
        <v>0.4827716106</v>
      </c>
      <c r="O1351" s="10">
        <v>10.0</v>
      </c>
      <c r="P1351" s="25">
        <v>0.0</v>
      </c>
      <c r="Q1351" s="9">
        <f>dynamic[orderPrice]*dynamic[orderQuantity]</f>
        <v>320</v>
      </c>
      <c r="R1351" s="9">
        <f>dynamic[orderTotal]*(1-dynamic[discountApllied])</f>
        <v>320</v>
      </c>
      <c r="S1351" s="9">
        <f>dynamic[revenue]-(dynamic[productCost]*dynamic[orderQuantity])</f>
        <v>104.1879372</v>
      </c>
      <c r="T1351" s="25">
        <f>IFERROR(dynamic[profit]/dynamic[revenue], 0)</f>
        <v>0.3255873036</v>
      </c>
    </row>
    <row r="1352" ht="15.75" customHeight="1">
      <c r="A1352" s="6">
        <v>10760.0</v>
      </c>
      <c r="B1352" s="7" t="s">
        <v>95</v>
      </c>
      <c r="C1352" s="24" t="str">
        <f>VLOOKUP(dynamic[customerID],customers[],2,FALSE)</f>
        <v>Maison Dewey</v>
      </c>
      <c r="D1352" s="24">
        <v>45261.0</v>
      </c>
      <c r="E1352" s="6">
        <f>IFERROR(__xludf.DUMMYFUNCTION("COUNTUNIQUEIFS($A$2:$A1352,$B$2:$B1352,B1352)"),3.0)</f>
        <v>3</v>
      </c>
      <c r="F1352" s="6">
        <f t="shared" si="1"/>
        <v>95</v>
      </c>
      <c r="G1352" s="6" t="str">
        <f>IF(MINIFS(dynamic[orderDate], dynamic[customerID], B1352) &gt;= DATE(2024,4,30)-120, 
     "New", 
     IF(MAXIFS(dynamic[orderCount], dynamic[customerID], B1352)&lt;=2, 
        IF((DATE(2024,4,30) - MAXIFS(dynamic[orderDate], dynamic[customerID], B1352)) &gt; 180, "Non-Returning", "Dormant"), 
        IF(AND(MAX(dynamic[sinceLastOrder]) &gt; 365, (DATE(2024,4,30) - MAXIFS(dynamic[orderDate], dynamic[customerID], B1352)) &gt; 180), 
           "Dormant", "Regular")))</f>
        <v>Regular</v>
      </c>
      <c r="H1352" s="6">
        <v>25.0</v>
      </c>
      <c r="I1352" s="9" t="str">
        <f>VLOOKUP(dynamic[productID],products[],2,FALSE)</f>
        <v>HM Köstliche Kaiserschmarrn Knödelchen</v>
      </c>
      <c r="J1352" s="9" t="str">
        <f>VLOOKUP(dynamic[productID],products[],12,FALSE)</f>
        <v>Confections</v>
      </c>
      <c r="K1352" s="7" t="str">
        <f>IF(VLOOKUP(dynamic[productID],products[],7,FALSE)=1,"Discontinued","Current")</f>
        <v>Current</v>
      </c>
      <c r="L1352" s="9">
        <f>VLOOKUP(dynamic[productID],products[],IF(YEAR(dynamic[orderDate])=2022,8,IF(YEAR(dynamic[orderDate])=2023,9,IF(YEAR(dynamic[orderDate])=2024,10,NA))),FALSE)</f>
        <v>8.138200336</v>
      </c>
      <c r="M1352" s="9">
        <v>14.0</v>
      </c>
      <c r="N1352" s="25">
        <f>(dynamic[orderPrice]-dynamic[productCost])/dynamic[productCost]</f>
        <v>0.7202820552</v>
      </c>
      <c r="O1352" s="10">
        <v>12.0</v>
      </c>
      <c r="P1352" s="25">
        <v>0.25</v>
      </c>
      <c r="Q1352" s="9">
        <f>dynamic[orderPrice]*dynamic[orderQuantity]</f>
        <v>168</v>
      </c>
      <c r="R1352" s="9">
        <f>dynamic[orderTotal]*(1-dynamic[discountApllied])</f>
        <v>126</v>
      </c>
      <c r="S1352" s="9">
        <f>dynamic[revenue]-(dynamic[productCost]*dynamic[orderQuantity])</f>
        <v>28.34159597</v>
      </c>
      <c r="T1352" s="25">
        <f>IFERROR(dynamic[profit]/dynamic[revenue], 0)</f>
        <v>0.2249333013</v>
      </c>
    </row>
    <row r="1353" ht="15.75" customHeight="1">
      <c r="A1353" s="6">
        <v>10760.0</v>
      </c>
      <c r="B1353" s="7" t="s">
        <v>95</v>
      </c>
      <c r="C1353" s="24" t="str">
        <f>VLOOKUP(dynamic[customerID],customers[],2,FALSE)</f>
        <v>Maison Dewey</v>
      </c>
      <c r="D1353" s="24">
        <v>45261.0</v>
      </c>
      <c r="E1353" s="6">
        <f>IFERROR(__xludf.DUMMYFUNCTION("COUNTUNIQUEIFS($A$2:$A1353,$B$2:$B1353,B1353)"),3.0)</f>
        <v>3</v>
      </c>
      <c r="F1353" s="6">
        <f t="shared" si="1"/>
        <v>95</v>
      </c>
      <c r="G1353" s="6" t="str">
        <f>IF(MINIFS(dynamic[orderDate], dynamic[customerID], B1353) &gt;= DATE(2024,4,30)-120, 
     "New", 
     IF(MAXIFS(dynamic[orderCount], dynamic[customerID], B1353)&lt;=2, 
        IF((DATE(2024,4,30) - MAXIFS(dynamic[orderDate], dynamic[customerID], B1353)) &gt; 180, "Non-Returning", "Dormant"), 
        IF(AND(MAX(dynamic[sinceLastOrder]) &gt; 365, (DATE(2024,4,30) - MAXIFS(dynamic[orderDate], dynamic[customerID], B1353)) &gt; 180), 
           "Dormant", "Regular")))</f>
        <v>Regular</v>
      </c>
      <c r="H1353" s="6">
        <v>27.0</v>
      </c>
      <c r="I1353" s="9" t="str">
        <f>VLOOKUP(dynamic[productID],products[],2,FALSE)</f>
        <v>Schoggi Schokolade</v>
      </c>
      <c r="J1353" s="9" t="str">
        <f>VLOOKUP(dynamic[productID],products[],12,FALSE)</f>
        <v>Confections</v>
      </c>
      <c r="K1353" s="7" t="str">
        <f>IF(VLOOKUP(dynamic[productID],products[],7,FALSE)=1,"Discontinued","Current")</f>
        <v>Current</v>
      </c>
      <c r="L1353" s="9">
        <f>VLOOKUP(dynamic[productID],products[],IF(YEAR(dynamic[orderDate])=2022,8,IF(YEAR(dynamic[orderDate])=2023,9,IF(YEAR(dynamic[orderDate])=2024,10,NA))),FALSE)</f>
        <v>32.29103982</v>
      </c>
      <c r="M1353" s="9">
        <v>43.9</v>
      </c>
      <c r="N1353" s="25">
        <f>(dynamic[orderPrice]-dynamic[productCost])/dynamic[productCost]</f>
        <v>0.3595102619</v>
      </c>
      <c r="O1353" s="10">
        <v>40.0</v>
      </c>
      <c r="P1353" s="25">
        <v>0.0</v>
      </c>
      <c r="Q1353" s="9">
        <f>dynamic[orderPrice]*dynamic[orderQuantity]</f>
        <v>1756</v>
      </c>
      <c r="R1353" s="9">
        <f>dynamic[orderTotal]*(1-dynamic[discountApllied])</f>
        <v>1756</v>
      </c>
      <c r="S1353" s="9">
        <f>dynamic[revenue]-(dynamic[productCost]*dynamic[orderQuantity])</f>
        <v>464.3584073</v>
      </c>
      <c r="T1353" s="25">
        <f>IFERROR(dynamic[profit]/dynamic[revenue], 0)</f>
        <v>0.2644410064</v>
      </c>
    </row>
    <row r="1354" ht="15.75" customHeight="1">
      <c r="A1354" s="6">
        <v>10760.0</v>
      </c>
      <c r="B1354" s="7" t="s">
        <v>95</v>
      </c>
      <c r="C1354" s="24" t="str">
        <f>VLOOKUP(dynamic[customerID],customers[],2,FALSE)</f>
        <v>Maison Dewey</v>
      </c>
      <c r="D1354" s="24">
        <v>45261.0</v>
      </c>
      <c r="E1354" s="6">
        <f>IFERROR(__xludf.DUMMYFUNCTION("COUNTUNIQUEIFS($A$2:$A1354,$B$2:$B1354,B1354)"),3.0)</f>
        <v>3</v>
      </c>
      <c r="F1354" s="6">
        <f t="shared" si="1"/>
        <v>95</v>
      </c>
      <c r="G1354" s="6" t="str">
        <f>IF(MINIFS(dynamic[orderDate], dynamic[customerID], B1354) &gt;= DATE(2024,4,30)-120, 
     "New", 
     IF(MAXIFS(dynamic[orderCount], dynamic[customerID], B1354)&lt;=2, 
        IF((DATE(2024,4,30) - MAXIFS(dynamic[orderDate], dynamic[customerID], B1354)) &gt; 180, "Non-Returning", "Dormant"), 
        IF(AND(MAX(dynamic[sinceLastOrder]) &gt; 365, (DATE(2024,4,30) - MAXIFS(dynamic[orderDate], dynamic[customerID], B1354)) &gt; 180), 
           "Dormant", "Regular")))</f>
        <v>Regular</v>
      </c>
      <c r="H1354" s="6">
        <v>43.0</v>
      </c>
      <c r="I1354" s="9" t="str">
        <f>VLOOKUP(dynamic[productID],products[],2,FALSE)</f>
        <v>Ipoh Coffee</v>
      </c>
      <c r="J1354" s="9" t="str">
        <f>VLOOKUP(dynamic[productID],products[],12,FALSE)</f>
        <v>Beverages</v>
      </c>
      <c r="K1354" s="7" t="str">
        <f>IF(VLOOKUP(dynamic[productID],products[],7,FALSE)=1,"Discontinued","Current")</f>
        <v>Current</v>
      </c>
      <c r="L1354" s="9">
        <f>VLOOKUP(dynamic[productID],products[],IF(YEAR(dynamic[orderDate])=2022,8,IF(YEAR(dynamic[orderDate])=2023,9,IF(YEAR(dynamic[orderDate])=2024,10,NA))),FALSE)</f>
        <v>30.96256564</v>
      </c>
      <c r="M1354" s="9">
        <v>46.0</v>
      </c>
      <c r="N1354" s="25">
        <f>(dynamic[orderPrice]-dynamic[productCost])/dynamic[productCost]</f>
        <v>0.4856649976</v>
      </c>
      <c r="O1354" s="10">
        <v>30.0</v>
      </c>
      <c r="P1354" s="25">
        <v>0.25</v>
      </c>
      <c r="Q1354" s="9">
        <f>dynamic[orderPrice]*dynamic[orderQuantity]</f>
        <v>1380</v>
      </c>
      <c r="R1354" s="9">
        <f>dynamic[orderTotal]*(1-dynamic[discountApllied])</f>
        <v>1035</v>
      </c>
      <c r="S1354" s="9">
        <f>dynamic[revenue]-(dynamic[productCost]*dynamic[orderQuantity])</f>
        <v>106.1230309</v>
      </c>
      <c r="T1354" s="25">
        <f>IFERROR(dynamic[profit]/dynamic[revenue], 0)</f>
        <v>0.1025343294</v>
      </c>
    </row>
    <row r="1355" ht="15.75" customHeight="1">
      <c r="A1355" s="6">
        <v>10761.0</v>
      </c>
      <c r="B1355" s="7" t="s">
        <v>28</v>
      </c>
      <c r="C1355" s="24" t="str">
        <f>VLOOKUP(dynamic[customerID],customers[],2,FALSE)</f>
        <v>Rattlesnake Canyon Grocery</v>
      </c>
      <c r="D1355" s="24">
        <v>45262.0</v>
      </c>
      <c r="E1355" s="6">
        <f>IFERROR(__xludf.DUMMYFUNCTION("COUNTUNIQUEIFS($A$2:$A1355,$B$2:$B1355,B1355)"),12.0)</f>
        <v>12</v>
      </c>
      <c r="F1355" s="6">
        <f t="shared" si="1"/>
        <v>141</v>
      </c>
      <c r="G1355" s="6" t="str">
        <f>IF(MINIFS(dynamic[orderDate], dynamic[customerID], B1355) &gt;= DATE(2024,4,30)-120, 
     "New", 
     IF(MAXIFS(dynamic[orderCount], dynamic[customerID], B1355)&lt;=2, 
        IF((DATE(2024,4,30) - MAXIFS(dynamic[orderDate], dynamic[customerID], B1355)) &gt; 180, "Non-Returning", "Dormant"), 
        IF(AND(MAX(dynamic[sinceLastOrder]) &gt; 365, (DATE(2024,4,30) - MAXIFS(dynamic[orderDate], dynamic[customerID], B1355)) &gt; 180), 
           "Dormant", "Regular")))</f>
        <v>Regular</v>
      </c>
      <c r="H1355" s="6">
        <v>25.0</v>
      </c>
      <c r="I1355" s="9" t="str">
        <f>VLOOKUP(dynamic[productID],products[],2,FALSE)</f>
        <v>HM Köstliche Kaiserschmarrn Knödelchen</v>
      </c>
      <c r="J1355" s="9" t="str">
        <f>VLOOKUP(dynamic[productID],products[],12,FALSE)</f>
        <v>Confections</v>
      </c>
      <c r="K1355" s="7" t="str">
        <f>IF(VLOOKUP(dynamic[productID],products[],7,FALSE)=1,"Discontinued","Current")</f>
        <v>Current</v>
      </c>
      <c r="L1355" s="9">
        <f>VLOOKUP(dynamic[productID],products[],IF(YEAR(dynamic[orderDate])=2022,8,IF(YEAR(dynamic[orderDate])=2023,9,IF(YEAR(dynamic[orderDate])=2024,10,NA))),FALSE)</f>
        <v>8.138200336</v>
      </c>
      <c r="M1355" s="9">
        <v>14.0</v>
      </c>
      <c r="N1355" s="25">
        <f>(dynamic[orderPrice]-dynamic[productCost])/dynamic[productCost]</f>
        <v>0.7202820552</v>
      </c>
      <c r="O1355" s="10">
        <v>35.0</v>
      </c>
      <c r="P1355" s="25">
        <v>0.25</v>
      </c>
      <c r="Q1355" s="9">
        <f>dynamic[orderPrice]*dynamic[orderQuantity]</f>
        <v>490</v>
      </c>
      <c r="R1355" s="9">
        <f>dynamic[orderTotal]*(1-dynamic[discountApllied])</f>
        <v>367.5</v>
      </c>
      <c r="S1355" s="9">
        <f>dynamic[revenue]-(dynamic[productCost]*dynamic[orderQuantity])</f>
        <v>82.66298823</v>
      </c>
      <c r="T1355" s="25">
        <f>IFERROR(dynamic[profit]/dynamic[revenue], 0)</f>
        <v>0.2249333013</v>
      </c>
    </row>
    <row r="1356" ht="15.75" customHeight="1">
      <c r="A1356" s="6">
        <v>10761.0</v>
      </c>
      <c r="B1356" s="7" t="s">
        <v>28</v>
      </c>
      <c r="C1356" s="24" t="str">
        <f>VLOOKUP(dynamic[customerID],customers[],2,FALSE)</f>
        <v>Rattlesnake Canyon Grocery</v>
      </c>
      <c r="D1356" s="24">
        <v>45262.0</v>
      </c>
      <c r="E1356" s="6">
        <f>IFERROR(__xludf.DUMMYFUNCTION("COUNTUNIQUEIFS($A$2:$A1356,$B$2:$B1356,B1356)"),12.0)</f>
        <v>12</v>
      </c>
      <c r="F1356" s="6">
        <f t="shared" si="1"/>
        <v>141</v>
      </c>
      <c r="G1356" s="6" t="str">
        <f>IF(MINIFS(dynamic[orderDate], dynamic[customerID], B1356) &gt;= DATE(2024,4,30)-120, 
     "New", 
     IF(MAXIFS(dynamic[orderCount], dynamic[customerID], B1356)&lt;=2, 
        IF((DATE(2024,4,30) - MAXIFS(dynamic[orderDate], dynamic[customerID], B1356)) &gt; 180, "Non-Returning", "Dormant"), 
        IF(AND(MAX(dynamic[sinceLastOrder]) &gt; 365, (DATE(2024,4,30) - MAXIFS(dynamic[orderDate], dynamic[customerID], B1356)) &gt; 180), 
           "Dormant", "Regular")))</f>
        <v>Regular</v>
      </c>
      <c r="H1356" s="6">
        <v>75.0</v>
      </c>
      <c r="I1356" s="9" t="str">
        <f>VLOOKUP(dynamic[productID],products[],2,FALSE)</f>
        <v>Rhönbräu Klosterbier</v>
      </c>
      <c r="J1356" s="9" t="str">
        <f>VLOOKUP(dynamic[productID],products[],12,FALSE)</f>
        <v>Beverages</v>
      </c>
      <c r="K1356" s="7" t="str">
        <f>IF(VLOOKUP(dynamic[productID],products[],7,FALSE)=1,"Discontinued","Current")</f>
        <v>Current</v>
      </c>
      <c r="L1356" s="9">
        <f>VLOOKUP(dynamic[productID],products[],IF(YEAR(dynamic[orderDate])=2022,8,IF(YEAR(dynamic[orderDate])=2023,9,IF(YEAR(dynamic[orderDate])=2024,10,NA))),FALSE)</f>
        <v>5.355290472</v>
      </c>
      <c r="M1356" s="9">
        <v>7.75</v>
      </c>
      <c r="N1356" s="25">
        <f>(dynamic[orderPrice]-dynamic[productCost])/dynamic[productCost]</f>
        <v>0.4471670661</v>
      </c>
      <c r="O1356" s="10">
        <v>18.0</v>
      </c>
      <c r="P1356" s="25">
        <v>0.0</v>
      </c>
      <c r="Q1356" s="9">
        <f>dynamic[orderPrice]*dynamic[orderQuantity]</f>
        <v>139.5</v>
      </c>
      <c r="R1356" s="9">
        <f>dynamic[orderTotal]*(1-dynamic[discountApllied])</f>
        <v>139.5</v>
      </c>
      <c r="S1356" s="9">
        <f>dynamic[revenue]-(dynamic[productCost]*dynamic[orderQuantity])</f>
        <v>43.10477151</v>
      </c>
      <c r="T1356" s="25">
        <f>IFERROR(dynamic[profit]/dynamic[revenue], 0)</f>
        <v>0.3089947778</v>
      </c>
    </row>
    <row r="1357" ht="15.75" customHeight="1">
      <c r="A1357" s="6">
        <v>10762.0</v>
      </c>
      <c r="B1357" s="7" t="s">
        <v>29</v>
      </c>
      <c r="C1357" s="24" t="str">
        <f>VLOOKUP(dynamic[customerID],customers[],2,FALSE)</f>
        <v>Folk och fä HB</v>
      </c>
      <c r="D1357" s="24">
        <v>45262.0</v>
      </c>
      <c r="E1357" s="6">
        <f>IFERROR(__xludf.DUMMYFUNCTION("COUNTUNIQUEIFS($A$2:$A1357,$B$2:$B1357,B1357)"),9.0)</f>
        <v>9</v>
      </c>
      <c r="F1357" s="6">
        <f t="shared" si="1"/>
        <v>49</v>
      </c>
      <c r="G1357" s="6" t="str">
        <f>IF(MINIFS(dynamic[orderDate], dynamic[customerID], B1357) &gt;= DATE(2024,4,30)-120, 
     "New", 
     IF(MAXIFS(dynamic[orderCount], dynamic[customerID], B1357)&lt;=2, 
        IF((DATE(2024,4,30) - MAXIFS(dynamic[orderDate], dynamic[customerID], B1357)) &gt; 180, "Non-Returning", "Dormant"), 
        IF(AND(MAX(dynamic[sinceLastOrder]) &gt; 365, (DATE(2024,4,30) - MAXIFS(dynamic[orderDate], dynamic[customerID], B1357)) &gt; 180), 
           "Dormant", "Regular")))</f>
        <v>Regular</v>
      </c>
      <c r="H1357" s="6">
        <v>39.0</v>
      </c>
      <c r="I1357" s="9" t="str">
        <f>VLOOKUP(dynamic[productID],products[],2,FALSE)</f>
        <v>Chartreuse verte</v>
      </c>
      <c r="J1357" s="9" t="str">
        <f>VLOOKUP(dynamic[productID],products[],12,FALSE)</f>
        <v>Beverages</v>
      </c>
      <c r="K1357" s="7" t="str">
        <f>IF(VLOOKUP(dynamic[productID],products[],7,FALSE)=1,"Discontinued","Current")</f>
        <v>Current</v>
      </c>
      <c r="L1357" s="9">
        <f>VLOOKUP(dynamic[productID],products[],IF(YEAR(dynamic[orderDate])=2022,8,IF(YEAR(dynamic[orderDate])=2023,9,IF(YEAR(dynamic[orderDate])=2024,10,NA))),FALSE)</f>
        <v>11.73311441</v>
      </c>
      <c r="M1357" s="9">
        <v>18.0</v>
      </c>
      <c r="N1357" s="25">
        <f>(dynamic[orderPrice]-dynamic[productCost])/dynamic[productCost]</f>
        <v>0.5341195326</v>
      </c>
      <c r="O1357" s="10">
        <v>16.0</v>
      </c>
      <c r="P1357" s="25">
        <v>0.0</v>
      </c>
      <c r="Q1357" s="9">
        <f>dynamic[orderPrice]*dynamic[orderQuantity]</f>
        <v>288</v>
      </c>
      <c r="R1357" s="9">
        <f>dynamic[orderTotal]*(1-dynamic[discountApllied])</f>
        <v>288</v>
      </c>
      <c r="S1357" s="9">
        <f>dynamic[revenue]-(dynamic[productCost]*dynamic[orderQuantity])</f>
        <v>100.2701694</v>
      </c>
      <c r="T1357" s="25">
        <f>IFERROR(dynamic[profit]/dynamic[revenue], 0)</f>
        <v>0.3481603104</v>
      </c>
    </row>
    <row r="1358" ht="15.75" customHeight="1">
      <c r="A1358" s="6">
        <v>10762.0</v>
      </c>
      <c r="B1358" s="7" t="s">
        <v>29</v>
      </c>
      <c r="C1358" s="24" t="str">
        <f>VLOOKUP(dynamic[customerID],customers[],2,FALSE)</f>
        <v>Folk och fä HB</v>
      </c>
      <c r="D1358" s="24">
        <v>45262.0</v>
      </c>
      <c r="E1358" s="6">
        <f>IFERROR(__xludf.DUMMYFUNCTION("COUNTUNIQUEIFS($A$2:$A1358,$B$2:$B1358,B1358)"),9.0)</f>
        <v>9</v>
      </c>
      <c r="F1358" s="6">
        <f t="shared" si="1"/>
        <v>49</v>
      </c>
      <c r="G1358" s="6" t="str">
        <f>IF(MINIFS(dynamic[orderDate], dynamic[customerID], B1358) &gt;= DATE(2024,4,30)-120, 
     "New", 
     IF(MAXIFS(dynamic[orderCount], dynamic[customerID], B1358)&lt;=2, 
        IF((DATE(2024,4,30) - MAXIFS(dynamic[orderDate], dynamic[customerID], B1358)) &gt; 180, "Non-Returning", "Dormant"), 
        IF(AND(MAX(dynamic[sinceLastOrder]) &gt; 365, (DATE(2024,4,30) - MAXIFS(dynamic[orderDate], dynamic[customerID], B1358)) &gt; 180), 
           "Dormant", "Regular")))</f>
        <v>Regular</v>
      </c>
      <c r="H1358" s="6">
        <v>47.0</v>
      </c>
      <c r="I1358" s="9" t="str">
        <f>VLOOKUP(dynamic[productID],products[],2,FALSE)</f>
        <v>Zaanse koeken</v>
      </c>
      <c r="J1358" s="9" t="str">
        <f>VLOOKUP(dynamic[productID],products[],12,FALSE)</f>
        <v>Confections</v>
      </c>
      <c r="K1358" s="7" t="str">
        <f>IF(VLOOKUP(dynamic[productID],products[],7,FALSE)=1,"Discontinued","Current")</f>
        <v>Current</v>
      </c>
      <c r="L1358" s="9">
        <f>VLOOKUP(dynamic[productID],products[],IF(YEAR(dynamic[orderDate])=2022,8,IF(YEAR(dynamic[orderDate])=2023,9,IF(YEAR(dynamic[orderDate])=2024,10,NA))),FALSE)</f>
        <v>6.57708833</v>
      </c>
      <c r="M1358" s="9">
        <v>9.5</v>
      </c>
      <c r="N1358" s="25">
        <f>(dynamic[orderPrice]-dynamic[productCost])/dynamic[productCost]</f>
        <v>0.4444081519</v>
      </c>
      <c r="O1358" s="10">
        <v>30.0</v>
      </c>
      <c r="P1358" s="25">
        <v>0.0</v>
      </c>
      <c r="Q1358" s="9">
        <f>dynamic[orderPrice]*dynamic[orderQuantity]</f>
        <v>285</v>
      </c>
      <c r="R1358" s="9">
        <f>dynamic[orderTotal]*(1-dynamic[discountApllied])</f>
        <v>285</v>
      </c>
      <c r="S1358" s="9">
        <f>dynamic[revenue]-(dynamic[productCost]*dynamic[orderQuantity])</f>
        <v>87.68735009</v>
      </c>
      <c r="T1358" s="25">
        <f>IFERROR(dynamic[profit]/dynamic[revenue], 0)</f>
        <v>0.3076749126</v>
      </c>
    </row>
    <row r="1359" ht="15.75" customHeight="1">
      <c r="A1359" s="6">
        <v>10762.0</v>
      </c>
      <c r="B1359" s="7" t="s">
        <v>29</v>
      </c>
      <c r="C1359" s="24" t="str">
        <f>VLOOKUP(dynamic[customerID],customers[],2,FALSE)</f>
        <v>Folk och fä HB</v>
      </c>
      <c r="D1359" s="24">
        <v>45262.0</v>
      </c>
      <c r="E1359" s="6">
        <f>IFERROR(__xludf.DUMMYFUNCTION("COUNTUNIQUEIFS($A$2:$A1359,$B$2:$B1359,B1359)"),9.0)</f>
        <v>9</v>
      </c>
      <c r="F1359" s="6">
        <f t="shared" si="1"/>
        <v>49</v>
      </c>
      <c r="G1359" s="6" t="str">
        <f>IF(MINIFS(dynamic[orderDate], dynamic[customerID], B1359) &gt;= DATE(2024,4,30)-120, 
     "New", 
     IF(MAXIFS(dynamic[orderCount], dynamic[customerID], B1359)&lt;=2, 
        IF((DATE(2024,4,30) - MAXIFS(dynamic[orderDate], dynamic[customerID], B1359)) &gt; 180, "Non-Returning", "Dormant"), 
        IF(AND(MAX(dynamic[sinceLastOrder]) &gt; 365, (DATE(2024,4,30) - MAXIFS(dynamic[orderDate], dynamic[customerID], B1359)) &gt; 180), 
           "Dormant", "Regular")))</f>
        <v>Regular</v>
      </c>
      <c r="H1359" s="6">
        <v>51.0</v>
      </c>
      <c r="I1359" s="9" t="str">
        <f>VLOOKUP(dynamic[productID],products[],2,FALSE)</f>
        <v>Manjimup Dried Apples</v>
      </c>
      <c r="J1359" s="9" t="str">
        <f>VLOOKUP(dynamic[productID],products[],12,FALSE)</f>
        <v>Produce</v>
      </c>
      <c r="K1359" s="7" t="str">
        <f>IF(VLOOKUP(dynamic[productID],products[],7,FALSE)=1,"Discontinued","Current")</f>
        <v>Current</v>
      </c>
      <c r="L1359" s="9">
        <f>VLOOKUP(dynamic[productID],products[],IF(YEAR(dynamic[orderDate])=2022,8,IF(YEAR(dynamic[orderDate])=2023,9,IF(YEAR(dynamic[orderDate])=2024,10,NA))),FALSE)</f>
        <v>36.88798027</v>
      </c>
      <c r="M1359" s="9">
        <v>53.0</v>
      </c>
      <c r="N1359" s="25">
        <f>(dynamic[orderPrice]-dynamic[productCost])/dynamic[productCost]</f>
        <v>0.4367823779</v>
      </c>
      <c r="O1359" s="10">
        <v>28.0</v>
      </c>
      <c r="P1359" s="25">
        <v>0.0</v>
      </c>
      <c r="Q1359" s="9">
        <f>dynamic[orderPrice]*dynamic[orderQuantity]</f>
        <v>1484</v>
      </c>
      <c r="R1359" s="9">
        <f>dynamic[orderTotal]*(1-dynamic[discountApllied])</f>
        <v>1484</v>
      </c>
      <c r="S1359" s="9">
        <f>dynamic[revenue]-(dynamic[productCost]*dynamic[orderQuantity])</f>
        <v>451.1365526</v>
      </c>
      <c r="T1359" s="25">
        <f>IFERROR(dynamic[profit]/dynamic[revenue], 0)</f>
        <v>0.3040003724</v>
      </c>
    </row>
    <row r="1360" ht="15.75" customHeight="1">
      <c r="A1360" s="6">
        <v>10762.0</v>
      </c>
      <c r="B1360" s="7" t="s">
        <v>29</v>
      </c>
      <c r="C1360" s="24" t="str">
        <f>VLOOKUP(dynamic[customerID],customers[],2,FALSE)</f>
        <v>Folk och fä HB</v>
      </c>
      <c r="D1360" s="24">
        <v>45262.0</v>
      </c>
      <c r="E1360" s="6">
        <f>IFERROR(__xludf.DUMMYFUNCTION("COUNTUNIQUEIFS($A$2:$A1360,$B$2:$B1360,B1360)"),9.0)</f>
        <v>9</v>
      </c>
      <c r="F1360" s="6">
        <f t="shared" si="1"/>
        <v>49</v>
      </c>
      <c r="G1360" s="6" t="str">
        <f>IF(MINIFS(dynamic[orderDate], dynamic[customerID], B1360) &gt;= DATE(2024,4,30)-120, 
     "New", 
     IF(MAXIFS(dynamic[orderCount], dynamic[customerID], B1360)&lt;=2, 
        IF((DATE(2024,4,30) - MAXIFS(dynamic[orderDate], dynamic[customerID], B1360)) &gt; 180, "Non-Returning", "Dormant"), 
        IF(AND(MAX(dynamic[sinceLastOrder]) &gt; 365, (DATE(2024,4,30) - MAXIFS(dynamic[orderDate], dynamic[customerID], B1360)) &gt; 180), 
           "Dormant", "Regular")))</f>
        <v>Regular</v>
      </c>
      <c r="H1360" s="6">
        <v>56.0</v>
      </c>
      <c r="I1360" s="9" t="str">
        <f>VLOOKUP(dynamic[productID],products[],2,FALSE)</f>
        <v>Gnocchi di nonna Alice</v>
      </c>
      <c r="J1360" s="9" t="str">
        <f>VLOOKUP(dynamic[productID],products[],12,FALSE)</f>
        <v>Grains/Cereals</v>
      </c>
      <c r="K1360" s="7" t="str">
        <f>IF(VLOOKUP(dynamic[productID],products[],7,FALSE)=1,"Discontinued","Current")</f>
        <v>Current</v>
      </c>
      <c r="L1360" s="9">
        <f>VLOOKUP(dynamic[productID],products[],IF(YEAR(dynamic[orderDate])=2022,8,IF(YEAR(dynamic[orderDate])=2023,9,IF(YEAR(dynamic[orderDate])=2024,10,NA))),FALSE)</f>
        <v>24.28342441</v>
      </c>
      <c r="M1360" s="9">
        <v>38.0</v>
      </c>
      <c r="N1360" s="25">
        <f>(dynamic[orderPrice]-dynamic[productCost])/dynamic[productCost]</f>
        <v>0.5648534309</v>
      </c>
      <c r="O1360" s="10">
        <v>60.0</v>
      </c>
      <c r="P1360" s="25">
        <v>0.0</v>
      </c>
      <c r="Q1360" s="9">
        <f>dynamic[orderPrice]*dynamic[orderQuantity]</f>
        <v>2280</v>
      </c>
      <c r="R1360" s="9">
        <f>dynamic[orderTotal]*(1-dynamic[discountApllied])</f>
        <v>2280</v>
      </c>
      <c r="S1360" s="9">
        <f>dynamic[revenue]-(dynamic[productCost]*dynamic[orderQuantity])</f>
        <v>822.9945355</v>
      </c>
      <c r="T1360" s="25">
        <f>IFERROR(dynamic[profit]/dynamic[revenue], 0)</f>
        <v>0.3609625156</v>
      </c>
    </row>
    <row r="1361" ht="15.75" customHeight="1">
      <c r="A1361" s="6">
        <v>10763.0</v>
      </c>
      <c r="B1361" s="7" t="s">
        <v>83</v>
      </c>
      <c r="C1361" s="24" t="str">
        <f>VLOOKUP(dynamic[customerID],customers[],2,FALSE)</f>
        <v>Folies gourmandes</v>
      </c>
      <c r="D1361" s="24">
        <v>45263.0</v>
      </c>
      <c r="E1361" s="6">
        <f>IFERROR(__xludf.DUMMYFUNCTION("COUNTUNIQUEIFS($A$2:$A1361,$B$2:$B1361,B1361)"),4.0)</f>
        <v>4</v>
      </c>
      <c r="F1361" s="6">
        <f t="shared" si="1"/>
        <v>110</v>
      </c>
      <c r="G1361" s="6" t="str">
        <f>IF(MINIFS(dynamic[orderDate], dynamic[customerID], B1361) &gt;= DATE(2024,4,30)-120, 
     "New", 
     IF(MAXIFS(dynamic[orderCount], dynamic[customerID], B1361)&lt;=2, 
        IF((DATE(2024,4,30) - MAXIFS(dynamic[orderDate], dynamic[customerID], B1361)) &gt; 180, "Non-Returning", "Dormant"), 
        IF(AND(MAX(dynamic[sinceLastOrder]) &gt; 365, (DATE(2024,4,30) - MAXIFS(dynamic[orderDate], dynamic[customerID], B1361)) &gt; 180), 
           "Dormant", "Regular")))</f>
        <v>Regular</v>
      </c>
      <c r="H1361" s="6">
        <v>21.0</v>
      </c>
      <c r="I1361" s="9" t="str">
        <f>VLOOKUP(dynamic[productID],products[],2,FALSE)</f>
        <v>Sir Rodney's Scones</v>
      </c>
      <c r="J1361" s="9" t="str">
        <f>VLOOKUP(dynamic[productID],products[],12,FALSE)</f>
        <v>Confections</v>
      </c>
      <c r="K1361" s="7" t="str">
        <f>IF(VLOOKUP(dynamic[productID],products[],7,FALSE)=1,"Discontinued","Current")</f>
        <v>Current</v>
      </c>
      <c r="L1361" s="9">
        <f>VLOOKUP(dynamic[productID],products[],IF(YEAR(dynamic[orderDate])=2022,8,IF(YEAR(dynamic[orderDate])=2023,9,IF(YEAR(dynamic[orderDate])=2024,10,NA))),FALSE)</f>
        <v>6.725636111</v>
      </c>
      <c r="M1361" s="9">
        <v>10.0</v>
      </c>
      <c r="N1361" s="25">
        <f>(dynamic[orderPrice]-dynamic[productCost])/dynamic[productCost]</f>
        <v>0.486848208</v>
      </c>
      <c r="O1361" s="10">
        <v>40.0</v>
      </c>
      <c r="P1361" s="25">
        <v>0.0</v>
      </c>
      <c r="Q1361" s="9">
        <f>dynamic[orderPrice]*dynamic[orderQuantity]</f>
        <v>400</v>
      </c>
      <c r="R1361" s="9">
        <f>dynamic[orderTotal]*(1-dynamic[discountApllied])</f>
        <v>400</v>
      </c>
      <c r="S1361" s="9">
        <f>dynamic[revenue]-(dynamic[productCost]*dynamic[orderQuantity])</f>
        <v>130.9745555</v>
      </c>
      <c r="T1361" s="25">
        <f>IFERROR(dynamic[profit]/dynamic[revenue], 0)</f>
        <v>0.3274363889</v>
      </c>
    </row>
    <row r="1362" ht="15.75" customHeight="1">
      <c r="A1362" s="6">
        <v>10763.0</v>
      </c>
      <c r="B1362" s="7" t="s">
        <v>83</v>
      </c>
      <c r="C1362" s="24" t="str">
        <f>VLOOKUP(dynamic[customerID],customers[],2,FALSE)</f>
        <v>Folies gourmandes</v>
      </c>
      <c r="D1362" s="24">
        <v>45263.0</v>
      </c>
      <c r="E1362" s="6">
        <f>IFERROR(__xludf.DUMMYFUNCTION("COUNTUNIQUEIFS($A$2:$A1362,$B$2:$B1362,B1362)"),4.0)</f>
        <v>4</v>
      </c>
      <c r="F1362" s="6">
        <f t="shared" si="1"/>
        <v>110</v>
      </c>
      <c r="G1362" s="6" t="str">
        <f>IF(MINIFS(dynamic[orderDate], dynamic[customerID], B1362) &gt;= DATE(2024,4,30)-120, 
     "New", 
     IF(MAXIFS(dynamic[orderCount], dynamic[customerID], B1362)&lt;=2, 
        IF((DATE(2024,4,30) - MAXIFS(dynamic[orderDate], dynamic[customerID], B1362)) &gt; 180, "Non-Returning", "Dormant"), 
        IF(AND(MAX(dynamic[sinceLastOrder]) &gt; 365, (DATE(2024,4,30) - MAXIFS(dynamic[orderDate], dynamic[customerID], B1362)) &gt; 180), 
           "Dormant", "Regular")))</f>
        <v>Regular</v>
      </c>
      <c r="H1362" s="6">
        <v>22.0</v>
      </c>
      <c r="I1362" s="9" t="str">
        <f>VLOOKUP(dynamic[productID],products[],2,FALSE)</f>
        <v>Gustaf's Knäckebröd</v>
      </c>
      <c r="J1362" s="9" t="str">
        <f>VLOOKUP(dynamic[productID],products[],12,FALSE)</f>
        <v>Grains/Cereals</v>
      </c>
      <c r="K1362" s="7" t="str">
        <f>IF(VLOOKUP(dynamic[productID],products[],7,FALSE)=1,"Discontinued","Current")</f>
        <v>Current</v>
      </c>
      <c r="L1362" s="9">
        <f>VLOOKUP(dynamic[productID],products[],IF(YEAR(dynamic[orderDate])=2022,8,IF(YEAR(dynamic[orderDate])=2023,9,IF(YEAR(dynamic[orderDate])=2024,10,NA))),FALSE)</f>
        <v>14.56814822</v>
      </c>
      <c r="M1362" s="9">
        <v>21.0</v>
      </c>
      <c r="N1362" s="25">
        <f>(dynamic[orderPrice]-dynamic[productCost])/dynamic[productCost]</f>
        <v>0.4415009841</v>
      </c>
      <c r="O1362" s="10">
        <v>6.0</v>
      </c>
      <c r="P1362" s="25">
        <v>0.0</v>
      </c>
      <c r="Q1362" s="9">
        <f>dynamic[orderPrice]*dynamic[orderQuantity]</f>
        <v>126</v>
      </c>
      <c r="R1362" s="9">
        <f>dynamic[orderTotal]*(1-dynamic[discountApllied])</f>
        <v>126</v>
      </c>
      <c r="S1362" s="9">
        <f>dynamic[revenue]-(dynamic[productCost]*dynamic[orderQuantity])</f>
        <v>38.59111066</v>
      </c>
      <c r="T1362" s="25">
        <f>IFERROR(dynamic[profit]/dynamic[revenue], 0)</f>
        <v>0.3062786561</v>
      </c>
    </row>
    <row r="1363" ht="15.75" customHeight="1">
      <c r="A1363" s="6">
        <v>10763.0</v>
      </c>
      <c r="B1363" s="7" t="s">
        <v>83</v>
      </c>
      <c r="C1363" s="24" t="str">
        <f>VLOOKUP(dynamic[customerID],customers[],2,FALSE)</f>
        <v>Folies gourmandes</v>
      </c>
      <c r="D1363" s="24">
        <v>45263.0</v>
      </c>
      <c r="E1363" s="6">
        <f>IFERROR(__xludf.DUMMYFUNCTION("COUNTUNIQUEIFS($A$2:$A1363,$B$2:$B1363,B1363)"),4.0)</f>
        <v>4</v>
      </c>
      <c r="F1363" s="6">
        <f t="shared" si="1"/>
        <v>110</v>
      </c>
      <c r="G1363" s="6" t="str">
        <f>IF(MINIFS(dynamic[orderDate], dynamic[customerID], B1363) &gt;= DATE(2024,4,30)-120, 
     "New", 
     IF(MAXIFS(dynamic[orderCount], dynamic[customerID], B1363)&lt;=2, 
        IF((DATE(2024,4,30) - MAXIFS(dynamic[orderDate], dynamic[customerID], B1363)) &gt; 180, "Non-Returning", "Dormant"), 
        IF(AND(MAX(dynamic[sinceLastOrder]) &gt; 365, (DATE(2024,4,30) - MAXIFS(dynamic[orderDate], dynamic[customerID], B1363)) &gt; 180), 
           "Dormant", "Regular")))</f>
        <v>Regular</v>
      </c>
      <c r="H1363" s="6">
        <v>24.0</v>
      </c>
      <c r="I1363" s="9" t="str">
        <f>VLOOKUP(dynamic[productID],products[],2,FALSE)</f>
        <v>Brigadeiros Maravilhosos da Lilian</v>
      </c>
      <c r="J1363" s="9" t="str">
        <f>VLOOKUP(dynamic[productID],products[],12,FALSE)</f>
        <v>Confections</v>
      </c>
      <c r="K1363" s="7" t="str">
        <f>IF(VLOOKUP(dynamic[productID],products[],7,FALSE)=1,"Discontinued","Current")</f>
        <v>Discontinued</v>
      </c>
      <c r="L1363" s="9">
        <f>VLOOKUP(dynamic[productID],products[],IF(YEAR(dynamic[orderDate])=2022,8,IF(YEAR(dynamic[orderDate])=2023,9,IF(YEAR(dynamic[orderDate])=2024,10,NA))),FALSE)</f>
        <v>3.131783363</v>
      </c>
      <c r="M1363" s="9">
        <v>4.5</v>
      </c>
      <c r="N1363" s="25">
        <f>(dynamic[orderPrice]-dynamic[productCost])/dynamic[productCost]</f>
        <v>0.4368809967</v>
      </c>
      <c r="O1363" s="10">
        <v>20.0</v>
      </c>
      <c r="P1363" s="25">
        <v>0.0</v>
      </c>
      <c r="Q1363" s="9">
        <f>dynamic[orderPrice]*dynamic[orderQuantity]</f>
        <v>90</v>
      </c>
      <c r="R1363" s="9">
        <f>dynamic[orderTotal]*(1-dynamic[discountApllied])</f>
        <v>90</v>
      </c>
      <c r="S1363" s="9">
        <f>dynamic[revenue]-(dynamic[productCost]*dynamic[orderQuantity])</f>
        <v>27.36433274</v>
      </c>
      <c r="T1363" s="25">
        <f>IFERROR(dynamic[profit]/dynamic[revenue], 0)</f>
        <v>0.3040481416</v>
      </c>
    </row>
    <row r="1364" ht="15.75" customHeight="1">
      <c r="A1364" s="6">
        <v>10764.0</v>
      </c>
      <c r="B1364" s="7" t="s">
        <v>24</v>
      </c>
      <c r="C1364" s="24" t="str">
        <f>VLOOKUP(dynamic[customerID],customers[],2,FALSE)</f>
        <v>Ernst Handel</v>
      </c>
      <c r="D1364" s="24">
        <v>45263.0</v>
      </c>
      <c r="E1364" s="6">
        <f>IFERROR(__xludf.DUMMYFUNCTION("COUNTUNIQUEIFS($A$2:$A1364,$B$2:$B1364,B1364)"),17.0)</f>
        <v>17</v>
      </c>
      <c r="F1364" s="6">
        <f t="shared" si="1"/>
        <v>55</v>
      </c>
      <c r="G1364" s="6" t="str">
        <f>IF(MINIFS(dynamic[orderDate], dynamic[customerID], B1364) &gt;= DATE(2024,4,30)-120, 
     "New", 
     IF(MAXIFS(dynamic[orderCount], dynamic[customerID], B1364)&lt;=2, 
        IF((DATE(2024,4,30) - MAXIFS(dynamic[orderDate], dynamic[customerID], B1364)) &gt; 180, "Non-Returning", "Dormant"), 
        IF(AND(MAX(dynamic[sinceLastOrder]) &gt; 365, (DATE(2024,4,30) - MAXIFS(dynamic[orderDate], dynamic[customerID], B1364)) &gt; 180), 
           "Dormant", "Regular")))</f>
        <v>Regular</v>
      </c>
      <c r="H1364" s="6">
        <v>3.0</v>
      </c>
      <c r="I1364" s="9" t="str">
        <f>VLOOKUP(dynamic[productID],products[],2,FALSE)</f>
        <v>Aniseed Syrup</v>
      </c>
      <c r="J1364" s="9" t="str">
        <f>VLOOKUP(dynamic[productID],products[],12,FALSE)</f>
        <v>Condiments</v>
      </c>
      <c r="K1364" s="7" t="str">
        <f>IF(VLOOKUP(dynamic[productID],products[],7,FALSE)=1,"Discontinued","Current")</f>
        <v>Current</v>
      </c>
      <c r="L1364" s="9">
        <f>VLOOKUP(dynamic[productID],products[],IF(YEAR(dynamic[orderDate])=2022,8,IF(YEAR(dynamic[orderDate])=2023,9,IF(YEAR(dynamic[orderDate])=2024,10,NA))),FALSE)</f>
        <v>6.399802633</v>
      </c>
      <c r="M1364" s="9">
        <v>10.0</v>
      </c>
      <c r="N1364" s="25">
        <f>(dynamic[orderPrice]-dynamic[productCost])/dynamic[productCost]</f>
        <v>0.5625481867</v>
      </c>
      <c r="O1364" s="10">
        <v>20.0</v>
      </c>
      <c r="P1364" s="25">
        <v>0.1</v>
      </c>
      <c r="Q1364" s="9">
        <f>dynamic[orderPrice]*dynamic[orderQuantity]</f>
        <v>200</v>
      </c>
      <c r="R1364" s="9">
        <f>dynamic[orderTotal]*(1-dynamic[discountApllied])</f>
        <v>180</v>
      </c>
      <c r="S1364" s="9">
        <f>dynamic[revenue]-(dynamic[productCost]*dynamic[orderQuantity])</f>
        <v>52.00394733</v>
      </c>
      <c r="T1364" s="25">
        <f>IFERROR(dynamic[profit]/dynamic[revenue], 0)</f>
        <v>0.2889108185</v>
      </c>
    </row>
    <row r="1365" ht="15.75" customHeight="1">
      <c r="A1365" s="6">
        <v>10764.0</v>
      </c>
      <c r="B1365" s="7" t="s">
        <v>24</v>
      </c>
      <c r="C1365" s="24" t="str">
        <f>VLOOKUP(dynamic[customerID],customers[],2,FALSE)</f>
        <v>Ernst Handel</v>
      </c>
      <c r="D1365" s="24">
        <v>45263.0</v>
      </c>
      <c r="E1365" s="6">
        <f>IFERROR(__xludf.DUMMYFUNCTION("COUNTUNIQUEIFS($A$2:$A1365,$B$2:$B1365,B1365)"),17.0)</f>
        <v>17</v>
      </c>
      <c r="F1365" s="6">
        <f t="shared" si="1"/>
        <v>55</v>
      </c>
      <c r="G1365" s="6" t="str">
        <f>IF(MINIFS(dynamic[orderDate], dynamic[customerID], B1365) &gt;= DATE(2024,4,30)-120, 
     "New", 
     IF(MAXIFS(dynamic[orderCount], dynamic[customerID], B1365)&lt;=2, 
        IF((DATE(2024,4,30) - MAXIFS(dynamic[orderDate], dynamic[customerID], B1365)) &gt; 180, "Non-Returning", "Dormant"), 
        IF(AND(MAX(dynamic[sinceLastOrder]) &gt; 365, (DATE(2024,4,30) - MAXIFS(dynamic[orderDate], dynamic[customerID], B1365)) &gt; 180), 
           "Dormant", "Regular")))</f>
        <v>Regular</v>
      </c>
      <c r="H1365" s="6">
        <v>39.0</v>
      </c>
      <c r="I1365" s="9" t="str">
        <f>VLOOKUP(dynamic[productID],products[],2,FALSE)</f>
        <v>Chartreuse verte</v>
      </c>
      <c r="J1365" s="9" t="str">
        <f>VLOOKUP(dynamic[productID],products[],12,FALSE)</f>
        <v>Beverages</v>
      </c>
      <c r="K1365" s="7" t="str">
        <f>IF(VLOOKUP(dynamic[productID],products[],7,FALSE)=1,"Discontinued","Current")</f>
        <v>Current</v>
      </c>
      <c r="L1365" s="9">
        <f>VLOOKUP(dynamic[productID],products[],IF(YEAR(dynamic[orderDate])=2022,8,IF(YEAR(dynamic[orderDate])=2023,9,IF(YEAR(dynamic[orderDate])=2024,10,NA))),FALSE)</f>
        <v>11.73311441</v>
      </c>
      <c r="M1365" s="9">
        <v>18.0</v>
      </c>
      <c r="N1365" s="25">
        <f>(dynamic[orderPrice]-dynamic[productCost])/dynamic[productCost]</f>
        <v>0.5341195326</v>
      </c>
      <c r="O1365" s="10">
        <v>130.0</v>
      </c>
      <c r="P1365" s="25">
        <v>0.1</v>
      </c>
      <c r="Q1365" s="9">
        <f>dynamic[orderPrice]*dynamic[orderQuantity]</f>
        <v>2340</v>
      </c>
      <c r="R1365" s="9">
        <f>dynamic[orderTotal]*(1-dynamic[discountApllied])</f>
        <v>2106</v>
      </c>
      <c r="S1365" s="9">
        <f>dynamic[revenue]-(dynamic[productCost]*dynamic[orderQuantity])</f>
        <v>580.6951263</v>
      </c>
      <c r="T1365" s="25">
        <f>IFERROR(dynamic[profit]/dynamic[revenue], 0)</f>
        <v>0.2757336782</v>
      </c>
    </row>
    <row r="1366" ht="15.75" customHeight="1">
      <c r="A1366" s="6">
        <v>10765.0</v>
      </c>
      <c r="B1366" s="7" t="s">
        <v>36</v>
      </c>
      <c r="C1366" s="24" t="str">
        <f>VLOOKUP(dynamic[customerID],customers[],2,FALSE)</f>
        <v>QUICK-Stop</v>
      </c>
      <c r="D1366" s="24">
        <v>45264.0</v>
      </c>
      <c r="E1366" s="6">
        <f>IFERROR(__xludf.DUMMYFUNCTION("COUNTUNIQUEIFS($A$2:$A1366,$B$2:$B1366,B1366)"),19.0)</f>
        <v>19</v>
      </c>
      <c r="F1366" s="6">
        <f t="shared" si="1"/>
        <v>16</v>
      </c>
      <c r="G1366" s="6" t="str">
        <f>IF(MINIFS(dynamic[orderDate], dynamic[customerID], B1366) &gt;= DATE(2024,4,30)-120, 
     "New", 
     IF(MAXIFS(dynamic[orderCount], dynamic[customerID], B1366)&lt;=2, 
        IF((DATE(2024,4,30) - MAXIFS(dynamic[orderDate], dynamic[customerID], B1366)) &gt; 180, "Non-Returning", "Dormant"), 
        IF(AND(MAX(dynamic[sinceLastOrder]) &gt; 365, (DATE(2024,4,30) - MAXIFS(dynamic[orderDate], dynamic[customerID], B1366)) &gt; 180), 
           "Dormant", "Regular")))</f>
        <v>Regular</v>
      </c>
      <c r="H1366" s="6">
        <v>65.0</v>
      </c>
      <c r="I1366" s="9" t="str">
        <f>VLOOKUP(dynamic[productID],products[],2,FALSE)</f>
        <v>Louisiana Fiery Hot Pepper Sauce</v>
      </c>
      <c r="J1366" s="9" t="str">
        <f>VLOOKUP(dynamic[productID],products[],12,FALSE)</f>
        <v>Condiments</v>
      </c>
      <c r="K1366" s="7" t="str">
        <f>IF(VLOOKUP(dynamic[productID],products[],7,FALSE)=1,"Discontinued","Current")</f>
        <v>Current</v>
      </c>
      <c r="L1366" s="9">
        <f>VLOOKUP(dynamic[productID],products[],IF(YEAR(dynamic[orderDate])=2022,8,IF(YEAR(dynamic[orderDate])=2023,9,IF(YEAR(dynamic[orderDate])=2024,10,NA))),FALSE)</f>
        <v>13.21122243</v>
      </c>
      <c r="M1366" s="9">
        <v>21.05</v>
      </c>
      <c r="N1366" s="25">
        <f>(dynamic[orderPrice]-dynamic[productCost])/dynamic[productCost]</f>
        <v>0.593342335</v>
      </c>
      <c r="O1366" s="10">
        <v>80.0</v>
      </c>
      <c r="P1366" s="25">
        <v>0.1</v>
      </c>
      <c r="Q1366" s="9">
        <f>dynamic[orderPrice]*dynamic[orderQuantity]</f>
        <v>1684</v>
      </c>
      <c r="R1366" s="9">
        <f>dynamic[orderTotal]*(1-dynamic[discountApllied])</f>
        <v>1515.6</v>
      </c>
      <c r="S1366" s="9">
        <f>dynamic[revenue]-(dynamic[productCost]*dynamic[orderQuantity])</f>
        <v>458.7022054</v>
      </c>
      <c r="T1366" s="25">
        <f>IFERROR(dynamic[profit]/dynamic[revenue], 0)</f>
        <v>0.30265387</v>
      </c>
    </row>
    <row r="1367" ht="15.75" customHeight="1">
      <c r="A1367" s="6">
        <v>10766.0</v>
      </c>
      <c r="B1367" s="7" t="s">
        <v>26</v>
      </c>
      <c r="C1367" s="24" t="str">
        <f>VLOOKUP(dynamic[customerID],customers[],2,FALSE)</f>
        <v>Ottilies Käseladen</v>
      </c>
      <c r="D1367" s="24">
        <v>45265.0</v>
      </c>
      <c r="E1367" s="6">
        <f>IFERROR(__xludf.DUMMYFUNCTION("COUNTUNIQUEIFS($A$2:$A1367,$B$2:$B1367,B1367)"),7.0)</f>
        <v>7</v>
      </c>
      <c r="F1367" s="6">
        <f t="shared" si="1"/>
        <v>70</v>
      </c>
      <c r="G1367" s="6" t="str">
        <f>IF(MINIFS(dynamic[orderDate], dynamic[customerID], B1367) &gt;= DATE(2024,4,30)-120, 
     "New", 
     IF(MAXIFS(dynamic[orderCount], dynamic[customerID], B1367)&lt;=2, 
        IF((DATE(2024,4,30) - MAXIFS(dynamic[orderDate], dynamic[customerID], B1367)) &gt; 180, "Non-Returning", "Dormant"), 
        IF(AND(MAX(dynamic[sinceLastOrder]) &gt; 365, (DATE(2024,4,30) - MAXIFS(dynamic[orderDate], dynamic[customerID], B1367)) &gt; 180), 
           "Dormant", "Regular")))</f>
        <v>Regular</v>
      </c>
      <c r="H1367" s="6">
        <v>2.0</v>
      </c>
      <c r="I1367" s="9" t="str">
        <f>VLOOKUP(dynamic[productID],products[],2,FALSE)</f>
        <v>Chang</v>
      </c>
      <c r="J1367" s="9" t="str">
        <f>VLOOKUP(dynamic[productID],products[],12,FALSE)</f>
        <v>Beverages</v>
      </c>
      <c r="K1367" s="7" t="str">
        <f>IF(VLOOKUP(dynamic[productID],products[],7,FALSE)=1,"Discontinued","Current")</f>
        <v>Current</v>
      </c>
      <c r="L1367" s="9">
        <f>VLOOKUP(dynamic[productID],products[],IF(YEAR(dynamic[orderDate])=2022,8,IF(YEAR(dynamic[orderDate])=2023,9,IF(YEAR(dynamic[orderDate])=2024,10,NA))),FALSE)</f>
        <v>12.14626904</v>
      </c>
      <c r="M1367" s="9">
        <v>19.0</v>
      </c>
      <c r="N1367" s="25">
        <f>(dynamic[orderPrice]-dynamic[productCost])/dynamic[productCost]</f>
        <v>0.5642663547</v>
      </c>
      <c r="O1367" s="10">
        <v>40.0</v>
      </c>
      <c r="P1367" s="25">
        <v>0.0</v>
      </c>
      <c r="Q1367" s="9">
        <f>dynamic[orderPrice]*dynamic[orderQuantity]</f>
        <v>760</v>
      </c>
      <c r="R1367" s="9">
        <f>dynamic[orderTotal]*(1-dynamic[discountApllied])</f>
        <v>760</v>
      </c>
      <c r="S1367" s="9">
        <f>dynamic[revenue]-(dynamic[productCost]*dynamic[orderQuantity])</f>
        <v>274.1492382</v>
      </c>
      <c r="T1367" s="25">
        <f>IFERROR(dynamic[profit]/dynamic[revenue], 0)</f>
        <v>0.3607226819</v>
      </c>
    </row>
    <row r="1368" ht="15.75" customHeight="1">
      <c r="A1368" s="6">
        <v>10766.0</v>
      </c>
      <c r="B1368" s="7" t="s">
        <v>26</v>
      </c>
      <c r="C1368" s="24" t="str">
        <f>VLOOKUP(dynamic[customerID],customers[],2,FALSE)</f>
        <v>Ottilies Käseladen</v>
      </c>
      <c r="D1368" s="24">
        <v>45265.0</v>
      </c>
      <c r="E1368" s="6">
        <f>IFERROR(__xludf.DUMMYFUNCTION("COUNTUNIQUEIFS($A$2:$A1368,$B$2:$B1368,B1368)"),7.0)</f>
        <v>7</v>
      </c>
      <c r="F1368" s="6">
        <f t="shared" si="1"/>
        <v>70</v>
      </c>
      <c r="G1368" s="6" t="str">
        <f>IF(MINIFS(dynamic[orderDate], dynamic[customerID], B1368) &gt;= DATE(2024,4,30)-120, 
     "New", 
     IF(MAXIFS(dynamic[orderCount], dynamic[customerID], B1368)&lt;=2, 
        IF((DATE(2024,4,30) - MAXIFS(dynamic[orderDate], dynamic[customerID], B1368)) &gt; 180, "Non-Returning", "Dormant"), 
        IF(AND(MAX(dynamic[sinceLastOrder]) &gt; 365, (DATE(2024,4,30) - MAXIFS(dynamic[orderDate], dynamic[customerID], B1368)) &gt; 180), 
           "Dormant", "Regular")))</f>
        <v>Regular</v>
      </c>
      <c r="H1368" s="6">
        <v>7.0</v>
      </c>
      <c r="I1368" s="9" t="str">
        <f>VLOOKUP(dynamic[productID],products[],2,FALSE)</f>
        <v>Uncle Bob's Organic Dried Pears</v>
      </c>
      <c r="J1368" s="9" t="str">
        <f>VLOOKUP(dynamic[productID],products[],12,FALSE)</f>
        <v>Produce</v>
      </c>
      <c r="K1368" s="7" t="str">
        <f>IF(VLOOKUP(dynamic[productID],products[],7,FALSE)=1,"Discontinued","Current")</f>
        <v>Current</v>
      </c>
      <c r="L1368" s="9">
        <f>VLOOKUP(dynamic[productID],products[],IF(YEAR(dynamic[orderDate])=2022,8,IF(YEAR(dynamic[orderDate])=2023,9,IF(YEAR(dynamic[orderDate])=2024,10,NA))),FALSE)</f>
        <v>21.39244625</v>
      </c>
      <c r="M1368" s="9">
        <v>30.0</v>
      </c>
      <c r="N1368" s="25">
        <f>(dynamic[orderPrice]-dynamic[productCost])/dynamic[productCost]</f>
        <v>0.4023641636</v>
      </c>
      <c r="O1368" s="10">
        <v>35.0</v>
      </c>
      <c r="P1368" s="25">
        <v>0.0</v>
      </c>
      <c r="Q1368" s="9">
        <f>dynamic[orderPrice]*dynamic[orderQuantity]</f>
        <v>1050</v>
      </c>
      <c r="R1368" s="9">
        <f>dynamic[orderTotal]*(1-dynamic[discountApllied])</f>
        <v>1050</v>
      </c>
      <c r="S1368" s="9">
        <f>dynamic[revenue]-(dynamic[productCost]*dynamic[orderQuantity])</f>
        <v>301.2643811</v>
      </c>
      <c r="T1368" s="25">
        <f>IFERROR(dynamic[profit]/dynamic[revenue], 0)</f>
        <v>0.2869184582</v>
      </c>
    </row>
    <row r="1369" ht="15.75" customHeight="1">
      <c r="A1369" s="6">
        <v>10766.0</v>
      </c>
      <c r="B1369" s="7" t="s">
        <v>26</v>
      </c>
      <c r="C1369" s="24" t="str">
        <f>VLOOKUP(dynamic[customerID],customers[],2,FALSE)</f>
        <v>Ottilies Käseladen</v>
      </c>
      <c r="D1369" s="24">
        <v>45265.0</v>
      </c>
      <c r="E1369" s="6">
        <f>IFERROR(__xludf.DUMMYFUNCTION("COUNTUNIQUEIFS($A$2:$A1369,$B$2:$B1369,B1369)"),7.0)</f>
        <v>7</v>
      </c>
      <c r="F1369" s="6">
        <f t="shared" si="1"/>
        <v>70</v>
      </c>
      <c r="G1369" s="6" t="str">
        <f>IF(MINIFS(dynamic[orderDate], dynamic[customerID], B1369) &gt;= DATE(2024,4,30)-120, 
     "New", 
     IF(MAXIFS(dynamic[orderCount], dynamic[customerID], B1369)&lt;=2, 
        IF((DATE(2024,4,30) - MAXIFS(dynamic[orderDate], dynamic[customerID], B1369)) &gt; 180, "Non-Returning", "Dormant"), 
        IF(AND(MAX(dynamic[sinceLastOrder]) &gt; 365, (DATE(2024,4,30) - MAXIFS(dynamic[orderDate], dynamic[customerID], B1369)) &gt; 180), 
           "Dormant", "Regular")))</f>
        <v>Regular</v>
      </c>
      <c r="H1369" s="6">
        <v>68.0</v>
      </c>
      <c r="I1369" s="9" t="str">
        <f>VLOOKUP(dynamic[productID],products[],2,FALSE)</f>
        <v>Scottish Longbreads</v>
      </c>
      <c r="J1369" s="9" t="str">
        <f>VLOOKUP(dynamic[productID],products[],12,FALSE)</f>
        <v>Confections</v>
      </c>
      <c r="K1369" s="7" t="str">
        <f>IF(VLOOKUP(dynamic[productID],products[],7,FALSE)=1,"Discontinued","Current")</f>
        <v>Current</v>
      </c>
      <c r="L1369" s="9">
        <f>VLOOKUP(dynamic[productID],products[],IF(YEAR(dynamic[orderDate])=2022,8,IF(YEAR(dynamic[orderDate])=2023,9,IF(YEAR(dynamic[orderDate])=2024,10,NA))),FALSE)</f>
        <v>8.500000387</v>
      </c>
      <c r="M1369" s="9">
        <v>12.5</v>
      </c>
      <c r="N1369" s="25">
        <f>(dynamic[orderPrice]-dynamic[productCost])/dynamic[productCost]</f>
        <v>0.4705881684</v>
      </c>
      <c r="O1369" s="10">
        <v>40.0</v>
      </c>
      <c r="P1369" s="25">
        <v>0.0</v>
      </c>
      <c r="Q1369" s="9">
        <f>dynamic[orderPrice]*dynamic[orderQuantity]</f>
        <v>500</v>
      </c>
      <c r="R1369" s="9">
        <f>dynamic[orderTotal]*(1-dynamic[discountApllied])</f>
        <v>500</v>
      </c>
      <c r="S1369" s="9">
        <f>dynamic[revenue]-(dynamic[productCost]*dynamic[orderQuantity])</f>
        <v>159.9999845</v>
      </c>
      <c r="T1369" s="25">
        <f>IFERROR(dynamic[profit]/dynamic[revenue], 0)</f>
        <v>0.3199999691</v>
      </c>
    </row>
    <row r="1370" ht="15.75" customHeight="1">
      <c r="A1370" s="6">
        <v>10767.0</v>
      </c>
      <c r="B1370" s="7" t="s">
        <v>19</v>
      </c>
      <c r="C1370" s="24" t="str">
        <f>VLOOKUP(dynamic[customerID],customers[],2,FALSE)</f>
        <v>Suprêmes délices</v>
      </c>
      <c r="D1370" s="24">
        <v>45265.0</v>
      </c>
      <c r="E1370" s="6">
        <f>IFERROR(__xludf.DUMMYFUNCTION("COUNTUNIQUEIFS($A$2:$A1370,$B$2:$B1370,B1370)"),6.0)</f>
        <v>6</v>
      </c>
      <c r="F1370" s="6">
        <f t="shared" si="1"/>
        <v>266</v>
      </c>
      <c r="G1370" s="6" t="str">
        <f>IF(MINIFS(dynamic[orderDate], dynamic[customerID], B1370) &gt;= DATE(2024,4,30)-120, 
     "New", 
     IF(MAXIFS(dynamic[orderCount], dynamic[customerID], B1370)&lt;=2, 
        IF((DATE(2024,4,30) - MAXIFS(dynamic[orderDate], dynamic[customerID], B1370)) &gt; 180, "Non-Returning", "Dormant"), 
        IF(AND(MAX(dynamic[sinceLastOrder]) &gt; 365, (DATE(2024,4,30) - MAXIFS(dynamic[orderDate], dynamic[customerID], B1370)) &gt; 180), 
           "Dormant", "Regular")))</f>
        <v>Regular</v>
      </c>
      <c r="H1370" s="6">
        <v>42.0</v>
      </c>
      <c r="I1370" s="9" t="str">
        <f>VLOOKUP(dynamic[productID],products[],2,FALSE)</f>
        <v>Singaporean Hokkien Fried Mee</v>
      </c>
      <c r="J1370" s="9" t="str">
        <f>VLOOKUP(dynamic[productID],products[],12,FALSE)</f>
        <v>Grains/Cereals</v>
      </c>
      <c r="K1370" s="7" t="str">
        <f>IF(VLOOKUP(dynamic[productID],products[],7,FALSE)=1,"Discontinued","Current")</f>
        <v>Discontinued</v>
      </c>
      <c r="L1370" s="9">
        <f>VLOOKUP(dynamic[productID],products[],IF(YEAR(dynamic[orderDate])=2022,8,IF(YEAR(dynamic[orderDate])=2023,9,IF(YEAR(dynamic[orderDate])=2024,10,NA))),FALSE)</f>
        <v>9.105641621</v>
      </c>
      <c r="M1370" s="9">
        <v>14.0</v>
      </c>
      <c r="N1370" s="25">
        <f>(dynamic[orderPrice]-dynamic[productCost])/dynamic[productCost]</f>
        <v>0.5375083474</v>
      </c>
      <c r="O1370" s="10">
        <v>2.0</v>
      </c>
      <c r="P1370" s="25">
        <v>0.0</v>
      </c>
      <c r="Q1370" s="9">
        <f>dynamic[orderPrice]*dynamic[orderQuantity]</f>
        <v>28</v>
      </c>
      <c r="R1370" s="9">
        <f>dynamic[orderTotal]*(1-dynamic[discountApllied])</f>
        <v>28</v>
      </c>
      <c r="S1370" s="9">
        <f>dynamic[revenue]-(dynamic[productCost]*dynamic[orderQuantity])</f>
        <v>9.788716758</v>
      </c>
      <c r="T1370" s="25">
        <f>IFERROR(dynamic[profit]/dynamic[revenue], 0)</f>
        <v>0.3495970271</v>
      </c>
    </row>
    <row r="1371" ht="15.75" customHeight="1">
      <c r="A1371" s="6">
        <v>10768.0</v>
      </c>
      <c r="B1371" s="7" t="s">
        <v>70</v>
      </c>
      <c r="C1371" s="24" t="str">
        <f>VLOOKUP(dynamic[customerID],customers[],2,FALSE)</f>
        <v>Around the Horn</v>
      </c>
      <c r="D1371" s="24">
        <v>45268.0</v>
      </c>
      <c r="E1371" s="6">
        <f>IFERROR(__xludf.DUMMYFUNCTION("COUNTUNIQUEIFS($A$2:$A1371,$B$2:$B1371,B1371)"),8.0)</f>
        <v>8</v>
      </c>
      <c r="F1371" s="6">
        <f t="shared" si="1"/>
        <v>21</v>
      </c>
      <c r="G1371" s="6" t="str">
        <f>IF(MINIFS(dynamic[orderDate], dynamic[customerID], B1371) &gt;= DATE(2024,4,30)-120, 
     "New", 
     IF(MAXIFS(dynamic[orderCount], dynamic[customerID], B1371)&lt;=2, 
        IF((DATE(2024,4,30) - MAXIFS(dynamic[orderDate], dynamic[customerID], B1371)) &gt; 180, "Non-Returning", "Dormant"), 
        IF(AND(MAX(dynamic[sinceLastOrder]) &gt; 365, (DATE(2024,4,30) - MAXIFS(dynamic[orderDate], dynamic[customerID], B1371)) &gt; 180), 
           "Dormant", "Regular")))</f>
        <v>Regular</v>
      </c>
      <c r="H1371" s="6">
        <v>22.0</v>
      </c>
      <c r="I1371" s="9" t="str">
        <f>VLOOKUP(dynamic[productID],products[],2,FALSE)</f>
        <v>Gustaf's Knäckebröd</v>
      </c>
      <c r="J1371" s="9" t="str">
        <f>VLOOKUP(dynamic[productID],products[],12,FALSE)</f>
        <v>Grains/Cereals</v>
      </c>
      <c r="K1371" s="7" t="str">
        <f>IF(VLOOKUP(dynamic[productID],products[],7,FALSE)=1,"Discontinued","Current")</f>
        <v>Current</v>
      </c>
      <c r="L1371" s="9">
        <f>VLOOKUP(dynamic[productID],products[],IF(YEAR(dynamic[orderDate])=2022,8,IF(YEAR(dynamic[orderDate])=2023,9,IF(YEAR(dynamic[orderDate])=2024,10,NA))),FALSE)</f>
        <v>14.56814822</v>
      </c>
      <c r="M1371" s="9">
        <v>21.0</v>
      </c>
      <c r="N1371" s="25">
        <f>(dynamic[orderPrice]-dynamic[productCost])/dynamic[productCost]</f>
        <v>0.4415009841</v>
      </c>
      <c r="O1371" s="10">
        <v>4.0</v>
      </c>
      <c r="P1371" s="25">
        <v>0.0</v>
      </c>
      <c r="Q1371" s="9">
        <f>dynamic[orderPrice]*dynamic[orderQuantity]</f>
        <v>84</v>
      </c>
      <c r="R1371" s="9">
        <f>dynamic[orderTotal]*(1-dynamic[discountApllied])</f>
        <v>84</v>
      </c>
      <c r="S1371" s="9">
        <f>dynamic[revenue]-(dynamic[productCost]*dynamic[orderQuantity])</f>
        <v>25.72740711</v>
      </c>
      <c r="T1371" s="25">
        <f>IFERROR(dynamic[profit]/dynamic[revenue], 0)</f>
        <v>0.3062786561</v>
      </c>
    </row>
    <row r="1372" ht="15.75" customHeight="1">
      <c r="A1372" s="6">
        <v>10768.0</v>
      </c>
      <c r="B1372" s="7" t="s">
        <v>70</v>
      </c>
      <c r="C1372" s="24" t="str">
        <f>VLOOKUP(dynamic[customerID],customers[],2,FALSE)</f>
        <v>Around the Horn</v>
      </c>
      <c r="D1372" s="24">
        <v>45268.0</v>
      </c>
      <c r="E1372" s="6">
        <f>IFERROR(__xludf.DUMMYFUNCTION("COUNTUNIQUEIFS($A$2:$A1372,$B$2:$B1372,B1372)"),8.0)</f>
        <v>8</v>
      </c>
      <c r="F1372" s="6">
        <f t="shared" si="1"/>
        <v>21</v>
      </c>
      <c r="G1372" s="6" t="str">
        <f>IF(MINIFS(dynamic[orderDate], dynamic[customerID], B1372) &gt;= DATE(2024,4,30)-120, 
     "New", 
     IF(MAXIFS(dynamic[orderCount], dynamic[customerID], B1372)&lt;=2, 
        IF((DATE(2024,4,30) - MAXIFS(dynamic[orderDate], dynamic[customerID], B1372)) &gt; 180, "Non-Returning", "Dormant"), 
        IF(AND(MAX(dynamic[sinceLastOrder]) &gt; 365, (DATE(2024,4,30) - MAXIFS(dynamic[orderDate], dynamic[customerID], B1372)) &gt; 180), 
           "Dormant", "Regular")))</f>
        <v>Regular</v>
      </c>
      <c r="H1372" s="6">
        <v>31.0</v>
      </c>
      <c r="I1372" s="9" t="str">
        <f>VLOOKUP(dynamic[productID],products[],2,FALSE)</f>
        <v>Gorgonzola Telino</v>
      </c>
      <c r="J1372" s="9" t="str">
        <f>VLOOKUP(dynamic[productID],products[],12,FALSE)</f>
        <v>Dairy Products</v>
      </c>
      <c r="K1372" s="7" t="str">
        <f>IF(VLOOKUP(dynamic[productID],products[],7,FALSE)=1,"Discontinued","Current")</f>
        <v>Current</v>
      </c>
      <c r="L1372" s="9">
        <f>VLOOKUP(dynamic[productID],products[],IF(YEAR(dynamic[orderDate])=2022,8,IF(YEAR(dynamic[orderDate])=2023,9,IF(YEAR(dynamic[orderDate])=2024,10,NA))),FALSE)</f>
        <v>7.937729254</v>
      </c>
      <c r="M1372" s="9">
        <v>12.5</v>
      </c>
      <c r="N1372" s="25">
        <f>(dynamic[orderPrice]-dynamic[productCost])/dynamic[productCost]</f>
        <v>0.5747576668</v>
      </c>
      <c r="O1372" s="10">
        <v>50.0</v>
      </c>
      <c r="P1372" s="25">
        <v>0.0</v>
      </c>
      <c r="Q1372" s="9">
        <f>dynamic[orderPrice]*dynamic[orderQuantity]</f>
        <v>625</v>
      </c>
      <c r="R1372" s="9">
        <f>dynamic[orderTotal]*(1-dynamic[discountApllied])</f>
        <v>625</v>
      </c>
      <c r="S1372" s="9">
        <f>dynamic[revenue]-(dynamic[productCost]*dynamic[orderQuantity])</f>
        <v>228.1135373</v>
      </c>
      <c r="T1372" s="25">
        <f>IFERROR(dynamic[profit]/dynamic[revenue], 0)</f>
        <v>0.3649816597</v>
      </c>
    </row>
    <row r="1373" ht="15.75" customHeight="1">
      <c r="A1373" s="6">
        <v>10768.0</v>
      </c>
      <c r="B1373" s="7" t="s">
        <v>70</v>
      </c>
      <c r="C1373" s="24" t="str">
        <f>VLOOKUP(dynamic[customerID],customers[],2,FALSE)</f>
        <v>Around the Horn</v>
      </c>
      <c r="D1373" s="24">
        <v>45268.0</v>
      </c>
      <c r="E1373" s="6">
        <f>IFERROR(__xludf.DUMMYFUNCTION("COUNTUNIQUEIFS($A$2:$A1373,$B$2:$B1373,B1373)"),8.0)</f>
        <v>8</v>
      </c>
      <c r="F1373" s="6">
        <f t="shared" si="1"/>
        <v>21</v>
      </c>
      <c r="G1373" s="6" t="str">
        <f>IF(MINIFS(dynamic[orderDate], dynamic[customerID], B1373) &gt;= DATE(2024,4,30)-120, 
     "New", 
     IF(MAXIFS(dynamic[orderCount], dynamic[customerID], B1373)&lt;=2, 
        IF((DATE(2024,4,30) - MAXIFS(dynamic[orderDate], dynamic[customerID], B1373)) &gt; 180, "Non-Returning", "Dormant"), 
        IF(AND(MAX(dynamic[sinceLastOrder]) &gt; 365, (DATE(2024,4,30) - MAXIFS(dynamic[orderDate], dynamic[customerID], B1373)) &gt; 180), 
           "Dormant", "Regular")))</f>
        <v>Regular</v>
      </c>
      <c r="H1373" s="6">
        <v>60.0</v>
      </c>
      <c r="I1373" s="9" t="str">
        <f>VLOOKUP(dynamic[productID],products[],2,FALSE)</f>
        <v>Camembert Pierrot</v>
      </c>
      <c r="J1373" s="9" t="str">
        <f>VLOOKUP(dynamic[productID],products[],12,FALSE)</f>
        <v>Dairy Products</v>
      </c>
      <c r="K1373" s="7" t="str">
        <f>IF(VLOOKUP(dynamic[productID],products[],7,FALSE)=1,"Discontinued","Current")</f>
        <v>Current</v>
      </c>
      <c r="L1373" s="9">
        <f>VLOOKUP(dynamic[productID],products[],IF(YEAR(dynamic[orderDate])=2022,8,IF(YEAR(dynamic[orderDate])=2023,9,IF(YEAR(dynamic[orderDate])=2024,10,NA))),FALSE)</f>
        <v>22.77098295</v>
      </c>
      <c r="M1373" s="9">
        <v>34.0</v>
      </c>
      <c r="N1373" s="25">
        <f>(dynamic[orderPrice]-dynamic[productCost])/dynamic[productCost]</f>
        <v>0.4931283415</v>
      </c>
      <c r="O1373" s="10">
        <v>15.0</v>
      </c>
      <c r="P1373" s="25">
        <v>0.0</v>
      </c>
      <c r="Q1373" s="9">
        <f>dynamic[orderPrice]*dynamic[orderQuantity]</f>
        <v>510</v>
      </c>
      <c r="R1373" s="9">
        <f>dynamic[orderTotal]*(1-dynamic[discountApllied])</f>
        <v>510</v>
      </c>
      <c r="S1373" s="9">
        <f>dynamic[revenue]-(dynamic[productCost]*dynamic[orderQuantity])</f>
        <v>168.4352558</v>
      </c>
      <c r="T1373" s="25">
        <f>IFERROR(dynamic[profit]/dynamic[revenue], 0)</f>
        <v>0.3302652075</v>
      </c>
    </row>
    <row r="1374" ht="15.75" customHeight="1">
      <c r="A1374" s="6">
        <v>10768.0</v>
      </c>
      <c r="B1374" s="7" t="s">
        <v>70</v>
      </c>
      <c r="C1374" s="24" t="str">
        <f>VLOOKUP(dynamic[customerID],customers[],2,FALSE)</f>
        <v>Around the Horn</v>
      </c>
      <c r="D1374" s="24">
        <v>45268.0</v>
      </c>
      <c r="E1374" s="6">
        <f>IFERROR(__xludf.DUMMYFUNCTION("COUNTUNIQUEIFS($A$2:$A1374,$B$2:$B1374,B1374)"),8.0)</f>
        <v>8</v>
      </c>
      <c r="F1374" s="6">
        <f t="shared" si="1"/>
        <v>21</v>
      </c>
      <c r="G1374" s="6" t="str">
        <f>IF(MINIFS(dynamic[orderDate], dynamic[customerID], B1374) &gt;= DATE(2024,4,30)-120, 
     "New", 
     IF(MAXIFS(dynamic[orderCount], dynamic[customerID], B1374)&lt;=2, 
        IF((DATE(2024,4,30) - MAXIFS(dynamic[orderDate], dynamic[customerID], B1374)) &gt; 180, "Non-Returning", "Dormant"), 
        IF(AND(MAX(dynamic[sinceLastOrder]) &gt; 365, (DATE(2024,4,30) - MAXIFS(dynamic[orderDate], dynamic[customerID], B1374)) &gt; 180), 
           "Dormant", "Regular")))</f>
        <v>Regular</v>
      </c>
      <c r="H1374" s="6">
        <v>71.0</v>
      </c>
      <c r="I1374" s="9" t="str">
        <f>VLOOKUP(dynamic[productID],products[],2,FALSE)</f>
        <v>Flotemysost</v>
      </c>
      <c r="J1374" s="9" t="str">
        <f>VLOOKUP(dynamic[productID],products[],12,FALSE)</f>
        <v>Dairy Products</v>
      </c>
      <c r="K1374" s="7" t="str">
        <f>IF(VLOOKUP(dynamic[productID],products[],7,FALSE)=1,"Discontinued","Current")</f>
        <v>Current</v>
      </c>
      <c r="L1374" s="9">
        <f>VLOOKUP(dynamic[productID],products[],IF(YEAR(dynamic[orderDate])=2022,8,IF(YEAR(dynamic[orderDate])=2023,9,IF(YEAR(dynamic[orderDate])=2024,10,NA))),FALSE)</f>
        <v>13.4003664</v>
      </c>
      <c r="M1374" s="9">
        <v>21.5</v>
      </c>
      <c r="N1374" s="25">
        <f>(dynamic[orderPrice]-dynamic[productCost])/dynamic[productCost]</f>
        <v>0.6044337411</v>
      </c>
      <c r="O1374" s="10">
        <v>12.0</v>
      </c>
      <c r="P1374" s="25">
        <v>0.0</v>
      </c>
      <c r="Q1374" s="9">
        <f>dynamic[orderPrice]*dynamic[orderQuantity]</f>
        <v>258</v>
      </c>
      <c r="R1374" s="9">
        <f>dynamic[orderTotal]*(1-dynamic[discountApllied])</f>
        <v>258</v>
      </c>
      <c r="S1374" s="9">
        <f>dynamic[revenue]-(dynamic[productCost]*dynamic[orderQuantity])</f>
        <v>97.19560316</v>
      </c>
      <c r="T1374" s="25">
        <f>IFERROR(dynamic[profit]/dynamic[revenue], 0)</f>
        <v>0.376727144</v>
      </c>
    </row>
    <row r="1375" ht="15.75" customHeight="1">
      <c r="A1375" s="6">
        <v>10769.0</v>
      </c>
      <c r="B1375" s="7" t="s">
        <v>76</v>
      </c>
      <c r="C1375" s="24" t="str">
        <f>VLOOKUP(dynamic[customerID],customers[],2,FALSE)</f>
        <v>Vaffeljernet</v>
      </c>
      <c r="D1375" s="24">
        <v>45268.0</v>
      </c>
      <c r="E1375" s="6">
        <f>IFERROR(__xludf.DUMMYFUNCTION("COUNTUNIQUEIFS($A$2:$A1375,$B$2:$B1375,B1375)"),8.0)</f>
        <v>8</v>
      </c>
      <c r="F1375" s="6">
        <f t="shared" si="1"/>
        <v>21</v>
      </c>
      <c r="G1375" s="6" t="str">
        <f>IF(MINIFS(dynamic[orderDate], dynamic[customerID], B1375) &gt;= DATE(2024,4,30)-120, 
     "New", 
     IF(MAXIFS(dynamic[orderCount], dynamic[customerID], B1375)&lt;=2, 
        IF((DATE(2024,4,30) - MAXIFS(dynamic[orderDate], dynamic[customerID], B1375)) &gt; 180, "Non-Returning", "Dormant"), 
        IF(AND(MAX(dynamic[sinceLastOrder]) &gt; 365, (DATE(2024,4,30) - MAXIFS(dynamic[orderDate], dynamic[customerID], B1375)) &gt; 180), 
           "Dormant", "Regular")))</f>
        <v>Regular</v>
      </c>
      <c r="H1375" s="6">
        <v>41.0</v>
      </c>
      <c r="I1375" s="9" t="str">
        <f>VLOOKUP(dynamic[productID],products[],2,FALSE)</f>
        <v>Jack's New England Clam Chowder</v>
      </c>
      <c r="J1375" s="9" t="str">
        <f>VLOOKUP(dynamic[productID],products[],12,FALSE)</f>
        <v>Seafood</v>
      </c>
      <c r="K1375" s="7" t="str">
        <f>IF(VLOOKUP(dynamic[productID],products[],7,FALSE)=1,"Discontinued","Current")</f>
        <v>Current</v>
      </c>
      <c r="L1375" s="9">
        <f>VLOOKUP(dynamic[productID],products[],IF(YEAR(dynamic[orderDate])=2022,8,IF(YEAR(dynamic[orderDate])=2023,9,IF(YEAR(dynamic[orderDate])=2024,10,NA))),FALSE)</f>
        <v>6.549914856</v>
      </c>
      <c r="M1375" s="9">
        <v>9.65</v>
      </c>
      <c r="N1375" s="25">
        <f>(dynamic[orderPrice]-dynamic[productCost])/dynamic[productCost]</f>
        <v>0.4733015943</v>
      </c>
      <c r="O1375" s="10">
        <v>30.0</v>
      </c>
      <c r="P1375" s="25">
        <v>0.05</v>
      </c>
      <c r="Q1375" s="9">
        <f>dynamic[orderPrice]*dynamic[orderQuantity]</f>
        <v>289.5</v>
      </c>
      <c r="R1375" s="9">
        <f>dynamic[orderTotal]*(1-dynamic[discountApllied])</f>
        <v>275.025</v>
      </c>
      <c r="S1375" s="9">
        <f>dynamic[revenue]-(dynamic[productCost]*dynamic[orderQuantity])</f>
        <v>78.52755432</v>
      </c>
      <c r="T1375" s="25">
        <f>IFERROR(dynamic[profit]/dynamic[revenue], 0)</f>
        <v>0.2855287858</v>
      </c>
    </row>
    <row r="1376" ht="15.75" customHeight="1">
      <c r="A1376" s="6">
        <v>10769.0</v>
      </c>
      <c r="B1376" s="7" t="s">
        <v>76</v>
      </c>
      <c r="C1376" s="24" t="str">
        <f>VLOOKUP(dynamic[customerID],customers[],2,FALSE)</f>
        <v>Vaffeljernet</v>
      </c>
      <c r="D1376" s="24">
        <v>45268.0</v>
      </c>
      <c r="E1376" s="6">
        <f>IFERROR(__xludf.DUMMYFUNCTION("COUNTUNIQUEIFS($A$2:$A1376,$B$2:$B1376,B1376)"),8.0)</f>
        <v>8</v>
      </c>
      <c r="F1376" s="6">
        <f t="shared" si="1"/>
        <v>21</v>
      </c>
      <c r="G1376" s="6" t="str">
        <f>IF(MINIFS(dynamic[orderDate], dynamic[customerID], B1376) &gt;= DATE(2024,4,30)-120, 
     "New", 
     IF(MAXIFS(dynamic[orderCount], dynamic[customerID], B1376)&lt;=2, 
        IF((DATE(2024,4,30) - MAXIFS(dynamic[orderDate], dynamic[customerID], B1376)) &gt; 180, "Non-Returning", "Dormant"), 
        IF(AND(MAX(dynamic[sinceLastOrder]) &gt; 365, (DATE(2024,4,30) - MAXIFS(dynamic[orderDate], dynamic[customerID], B1376)) &gt; 180), 
           "Dormant", "Regular")))</f>
        <v>Regular</v>
      </c>
      <c r="H1376" s="6">
        <v>52.0</v>
      </c>
      <c r="I1376" s="9" t="str">
        <f>VLOOKUP(dynamic[productID],products[],2,FALSE)</f>
        <v>Filo Mix</v>
      </c>
      <c r="J1376" s="9" t="str">
        <f>VLOOKUP(dynamic[productID],products[],12,FALSE)</f>
        <v>Grains/Cereals</v>
      </c>
      <c r="K1376" s="7" t="str">
        <f>IF(VLOOKUP(dynamic[productID],products[],7,FALSE)=1,"Discontinued","Current")</f>
        <v>Current</v>
      </c>
      <c r="L1376" s="9">
        <f>VLOOKUP(dynamic[productID],products[],IF(YEAR(dynamic[orderDate])=2022,8,IF(YEAR(dynamic[orderDate])=2023,9,IF(YEAR(dynamic[orderDate])=2024,10,NA))),FALSE)</f>
        <v>5.001706713</v>
      </c>
      <c r="M1376" s="9">
        <v>7.0</v>
      </c>
      <c r="N1376" s="25">
        <f>(dynamic[orderPrice]-dynamic[productCost])/dynamic[productCost]</f>
        <v>0.3995222835</v>
      </c>
      <c r="O1376" s="10">
        <v>15.0</v>
      </c>
      <c r="P1376" s="25">
        <v>0.05</v>
      </c>
      <c r="Q1376" s="9">
        <f>dynamic[orderPrice]*dynamic[orderQuantity]</f>
        <v>105</v>
      </c>
      <c r="R1376" s="9">
        <f>dynamic[orderTotal]*(1-dynamic[discountApllied])</f>
        <v>99.75</v>
      </c>
      <c r="S1376" s="9">
        <f>dynamic[revenue]-(dynamic[productCost]*dynamic[orderQuantity])</f>
        <v>24.72439931</v>
      </c>
      <c r="T1376" s="25">
        <f>IFERROR(dynamic[profit]/dynamic[revenue], 0)</f>
        <v>0.2478636522</v>
      </c>
    </row>
    <row r="1377" ht="15.75" customHeight="1">
      <c r="A1377" s="6">
        <v>10769.0</v>
      </c>
      <c r="B1377" s="7" t="s">
        <v>76</v>
      </c>
      <c r="C1377" s="24" t="str">
        <f>VLOOKUP(dynamic[customerID],customers[],2,FALSE)</f>
        <v>Vaffeljernet</v>
      </c>
      <c r="D1377" s="24">
        <v>45268.0</v>
      </c>
      <c r="E1377" s="6">
        <f>IFERROR(__xludf.DUMMYFUNCTION("COUNTUNIQUEIFS($A$2:$A1377,$B$2:$B1377,B1377)"),8.0)</f>
        <v>8</v>
      </c>
      <c r="F1377" s="6">
        <f t="shared" si="1"/>
        <v>21</v>
      </c>
      <c r="G1377" s="6" t="str">
        <f>IF(MINIFS(dynamic[orderDate], dynamic[customerID], B1377) &gt;= DATE(2024,4,30)-120, 
     "New", 
     IF(MAXIFS(dynamic[orderCount], dynamic[customerID], B1377)&lt;=2, 
        IF((DATE(2024,4,30) - MAXIFS(dynamic[orderDate], dynamic[customerID], B1377)) &gt; 180, "Non-Returning", "Dormant"), 
        IF(AND(MAX(dynamic[sinceLastOrder]) &gt; 365, (DATE(2024,4,30) - MAXIFS(dynamic[orderDate], dynamic[customerID], B1377)) &gt; 180), 
           "Dormant", "Regular")))</f>
        <v>Regular</v>
      </c>
      <c r="H1377" s="6">
        <v>61.0</v>
      </c>
      <c r="I1377" s="9" t="str">
        <f>VLOOKUP(dynamic[productID],products[],2,FALSE)</f>
        <v>Sirop d'érable</v>
      </c>
      <c r="J1377" s="9" t="str">
        <f>VLOOKUP(dynamic[productID],products[],12,FALSE)</f>
        <v>Condiments</v>
      </c>
      <c r="K1377" s="7" t="str">
        <f>IF(VLOOKUP(dynamic[productID],products[],7,FALSE)=1,"Discontinued","Current")</f>
        <v>Current</v>
      </c>
      <c r="L1377" s="9">
        <f>VLOOKUP(dynamic[productID],products[],IF(YEAR(dynamic[orderDate])=2022,8,IF(YEAR(dynamic[orderDate])=2023,9,IF(YEAR(dynamic[orderDate])=2024,10,NA))),FALSE)</f>
        <v>17.19945448</v>
      </c>
      <c r="M1377" s="9">
        <v>28.5</v>
      </c>
      <c r="N1377" s="25">
        <f>(dynamic[orderPrice]-dynamic[productCost])/dynamic[productCost]</f>
        <v>0.6570292986</v>
      </c>
      <c r="O1377" s="10">
        <v>20.0</v>
      </c>
      <c r="P1377" s="25">
        <v>0.0</v>
      </c>
      <c r="Q1377" s="9">
        <f>dynamic[orderPrice]*dynamic[orderQuantity]</f>
        <v>570</v>
      </c>
      <c r="R1377" s="9">
        <f>dynamic[orderTotal]*(1-dynamic[discountApllied])</f>
        <v>570</v>
      </c>
      <c r="S1377" s="9">
        <f>dynamic[revenue]-(dynamic[productCost]*dynamic[orderQuantity])</f>
        <v>226.0109103</v>
      </c>
      <c r="T1377" s="25">
        <f>IFERROR(dynamic[profit]/dynamic[revenue], 0)</f>
        <v>0.396510369</v>
      </c>
    </row>
    <row r="1378" ht="15.75" customHeight="1">
      <c r="A1378" s="6">
        <v>10769.0</v>
      </c>
      <c r="B1378" s="7" t="s">
        <v>76</v>
      </c>
      <c r="C1378" s="24" t="str">
        <f>VLOOKUP(dynamic[customerID],customers[],2,FALSE)</f>
        <v>Vaffeljernet</v>
      </c>
      <c r="D1378" s="24">
        <v>45268.0</v>
      </c>
      <c r="E1378" s="6">
        <f>IFERROR(__xludf.DUMMYFUNCTION("COUNTUNIQUEIFS($A$2:$A1378,$B$2:$B1378,B1378)"),8.0)</f>
        <v>8</v>
      </c>
      <c r="F1378" s="6">
        <f t="shared" si="1"/>
        <v>21</v>
      </c>
      <c r="G1378" s="6" t="str">
        <f>IF(MINIFS(dynamic[orderDate], dynamic[customerID], B1378) &gt;= DATE(2024,4,30)-120, 
     "New", 
     IF(MAXIFS(dynamic[orderCount], dynamic[customerID], B1378)&lt;=2, 
        IF((DATE(2024,4,30) - MAXIFS(dynamic[orderDate], dynamic[customerID], B1378)) &gt; 180, "Non-Returning", "Dormant"), 
        IF(AND(MAX(dynamic[sinceLastOrder]) &gt; 365, (DATE(2024,4,30) - MAXIFS(dynamic[orderDate], dynamic[customerID], B1378)) &gt; 180), 
           "Dormant", "Regular")))</f>
        <v>Regular</v>
      </c>
      <c r="H1378" s="6">
        <v>62.0</v>
      </c>
      <c r="I1378" s="9" t="str">
        <f>VLOOKUP(dynamic[productID],products[],2,FALSE)</f>
        <v>Tarte au sucre</v>
      </c>
      <c r="J1378" s="9" t="str">
        <f>VLOOKUP(dynamic[productID],products[],12,FALSE)</f>
        <v>Confections</v>
      </c>
      <c r="K1378" s="7" t="str">
        <f>IF(VLOOKUP(dynamic[productID],products[],7,FALSE)=1,"Discontinued","Current")</f>
        <v>Current</v>
      </c>
      <c r="L1378" s="9">
        <f>VLOOKUP(dynamic[productID],products[],IF(YEAR(dynamic[orderDate])=2022,8,IF(YEAR(dynamic[orderDate])=2023,9,IF(YEAR(dynamic[orderDate])=2024,10,NA))),FALSE)</f>
        <v>35.34792781</v>
      </c>
      <c r="M1378" s="9">
        <v>49.3</v>
      </c>
      <c r="N1378" s="25">
        <f>(dynamic[orderPrice]-dynamic[productCost])/dynamic[productCost]</f>
        <v>0.3947069335</v>
      </c>
      <c r="O1378" s="10">
        <v>15.0</v>
      </c>
      <c r="P1378" s="25">
        <v>0.0</v>
      </c>
      <c r="Q1378" s="9">
        <f>dynamic[orderPrice]*dynamic[orderQuantity]</f>
        <v>739.5</v>
      </c>
      <c r="R1378" s="9">
        <f>dynamic[orderTotal]*(1-dynamic[discountApllied])</f>
        <v>739.5</v>
      </c>
      <c r="S1378" s="9">
        <f>dynamic[revenue]-(dynamic[productCost]*dynamic[orderQuantity])</f>
        <v>209.2810829</v>
      </c>
      <c r="T1378" s="25">
        <f>IFERROR(dynamic[profit]/dynamic[revenue], 0)</f>
        <v>0.2830034927</v>
      </c>
    </row>
    <row r="1379" ht="15.75" customHeight="1">
      <c r="A1379" s="6">
        <v>10770.0</v>
      </c>
      <c r="B1379" s="7" t="s">
        <v>16</v>
      </c>
      <c r="C1379" s="24" t="str">
        <f>VLOOKUP(dynamic[customerID],customers[],2,FALSE)</f>
        <v>Hanari Carnes</v>
      </c>
      <c r="D1379" s="24">
        <v>45269.0</v>
      </c>
      <c r="E1379" s="6">
        <f>IFERROR(__xludf.DUMMYFUNCTION("COUNTUNIQUEIFS($A$2:$A1379,$B$2:$B1379,B1379)"),6.0)</f>
        <v>6</v>
      </c>
      <c r="F1379" s="6">
        <f t="shared" si="1"/>
        <v>68</v>
      </c>
      <c r="G1379" s="6" t="str">
        <f>IF(MINIFS(dynamic[orderDate], dynamic[customerID], B1379) &gt;= DATE(2024,4,30)-120, 
     "New", 
     IF(MAXIFS(dynamic[orderCount], dynamic[customerID], B1379)&lt;=2, 
        IF((DATE(2024,4,30) - MAXIFS(dynamic[orderDate], dynamic[customerID], B1379)) &gt; 180, "Non-Returning", "Dormant"), 
        IF(AND(MAX(dynamic[sinceLastOrder]) &gt; 365, (DATE(2024,4,30) - MAXIFS(dynamic[orderDate], dynamic[customerID], B1379)) &gt; 180), 
           "Dormant", "Regular")))</f>
        <v>Regular</v>
      </c>
      <c r="H1379" s="6">
        <v>11.0</v>
      </c>
      <c r="I1379" s="9" t="str">
        <f>VLOOKUP(dynamic[productID],products[],2,FALSE)</f>
        <v>Queso Cabrales</v>
      </c>
      <c r="J1379" s="9" t="str">
        <f>VLOOKUP(dynamic[productID],products[],12,FALSE)</f>
        <v>Dairy Products</v>
      </c>
      <c r="K1379" s="7" t="str">
        <f>IF(VLOOKUP(dynamic[productID],products[],7,FALSE)=1,"Discontinued","Current")</f>
        <v>Current</v>
      </c>
      <c r="L1379" s="9">
        <f>VLOOKUP(dynamic[productID],products[],IF(YEAR(dynamic[orderDate])=2022,8,IF(YEAR(dynamic[orderDate])=2023,9,IF(YEAR(dynamic[orderDate])=2024,10,NA))),FALSE)</f>
        <v>12.90188125</v>
      </c>
      <c r="M1379" s="9">
        <v>21.0</v>
      </c>
      <c r="N1379" s="25">
        <f>(dynamic[orderPrice]-dynamic[productCost])/dynamic[productCost]</f>
        <v>0.6276696079</v>
      </c>
      <c r="O1379" s="10">
        <v>15.0</v>
      </c>
      <c r="P1379" s="25">
        <v>0.25</v>
      </c>
      <c r="Q1379" s="9">
        <f>dynamic[orderPrice]*dynamic[orderQuantity]</f>
        <v>315</v>
      </c>
      <c r="R1379" s="9">
        <f>dynamic[orderTotal]*(1-dynamic[discountApllied])</f>
        <v>236.25</v>
      </c>
      <c r="S1379" s="9">
        <f>dynamic[revenue]-(dynamic[productCost]*dynamic[orderQuantity])</f>
        <v>42.72178121</v>
      </c>
      <c r="T1379" s="25">
        <f>IFERROR(dynamic[profit]/dynamic[revenue], 0)</f>
        <v>0.1808329363</v>
      </c>
    </row>
    <row r="1380" ht="15.75" customHeight="1">
      <c r="A1380" s="6">
        <v>10771.0</v>
      </c>
      <c r="B1380" s="7" t="s">
        <v>24</v>
      </c>
      <c r="C1380" s="24" t="str">
        <f>VLOOKUP(dynamic[customerID],customers[],2,FALSE)</f>
        <v>Ernst Handel</v>
      </c>
      <c r="D1380" s="24">
        <v>45270.0</v>
      </c>
      <c r="E1380" s="6">
        <f>IFERROR(__xludf.DUMMYFUNCTION("COUNTUNIQUEIFS($A$2:$A1380,$B$2:$B1380,B1380)"),18.0)</f>
        <v>18</v>
      </c>
      <c r="F1380" s="6">
        <f t="shared" si="1"/>
        <v>7</v>
      </c>
      <c r="G1380" s="6" t="str">
        <f>IF(MINIFS(dynamic[orderDate], dynamic[customerID], B1380) &gt;= DATE(2024,4,30)-120, 
     "New", 
     IF(MAXIFS(dynamic[orderCount], dynamic[customerID], B1380)&lt;=2, 
        IF((DATE(2024,4,30) - MAXIFS(dynamic[orderDate], dynamic[customerID], B1380)) &gt; 180, "Non-Returning", "Dormant"), 
        IF(AND(MAX(dynamic[sinceLastOrder]) &gt; 365, (DATE(2024,4,30) - MAXIFS(dynamic[orderDate], dynamic[customerID], B1380)) &gt; 180), 
           "Dormant", "Regular")))</f>
        <v>Regular</v>
      </c>
      <c r="H1380" s="6">
        <v>71.0</v>
      </c>
      <c r="I1380" s="9" t="str">
        <f>VLOOKUP(dynamic[productID],products[],2,FALSE)</f>
        <v>Flotemysost</v>
      </c>
      <c r="J1380" s="9" t="str">
        <f>VLOOKUP(dynamic[productID],products[],12,FALSE)</f>
        <v>Dairy Products</v>
      </c>
      <c r="K1380" s="7" t="str">
        <f>IF(VLOOKUP(dynamic[productID],products[],7,FALSE)=1,"Discontinued","Current")</f>
        <v>Current</v>
      </c>
      <c r="L1380" s="9">
        <f>VLOOKUP(dynamic[productID],products[],IF(YEAR(dynamic[orderDate])=2022,8,IF(YEAR(dynamic[orderDate])=2023,9,IF(YEAR(dynamic[orderDate])=2024,10,NA))),FALSE)</f>
        <v>13.4003664</v>
      </c>
      <c r="M1380" s="9">
        <v>21.5</v>
      </c>
      <c r="N1380" s="25">
        <f>(dynamic[orderPrice]-dynamic[productCost])/dynamic[productCost]</f>
        <v>0.6044337411</v>
      </c>
      <c r="O1380" s="10">
        <v>16.0</v>
      </c>
      <c r="P1380" s="25">
        <v>0.0</v>
      </c>
      <c r="Q1380" s="9">
        <f>dynamic[orderPrice]*dynamic[orderQuantity]</f>
        <v>344</v>
      </c>
      <c r="R1380" s="9">
        <f>dynamic[orderTotal]*(1-dynamic[discountApllied])</f>
        <v>344</v>
      </c>
      <c r="S1380" s="9">
        <f>dynamic[revenue]-(dynamic[productCost]*dynamic[orderQuantity])</f>
        <v>129.5941376</v>
      </c>
      <c r="T1380" s="25">
        <f>IFERROR(dynamic[profit]/dynamic[revenue], 0)</f>
        <v>0.376727144</v>
      </c>
    </row>
    <row r="1381" ht="15.75" customHeight="1">
      <c r="A1381" s="6">
        <v>10772.0</v>
      </c>
      <c r="B1381" s="7" t="s">
        <v>41</v>
      </c>
      <c r="C1381" s="24" t="str">
        <f>VLOOKUP(dynamic[customerID],customers[],2,FALSE)</f>
        <v>Lehmanns Marktstand</v>
      </c>
      <c r="D1381" s="24">
        <v>45270.0</v>
      </c>
      <c r="E1381" s="6">
        <f>IFERROR(__xludf.DUMMYFUNCTION("COUNTUNIQUEIFS($A$2:$A1381,$B$2:$B1381,B1381)"),11.0)</f>
        <v>11</v>
      </c>
      <c r="F1381" s="6">
        <f t="shared" si="1"/>
        <v>154</v>
      </c>
      <c r="G1381" s="6" t="str">
        <f>IF(MINIFS(dynamic[orderDate], dynamic[customerID], B1381) &gt;= DATE(2024,4,30)-120, 
     "New", 
     IF(MAXIFS(dynamic[orderCount], dynamic[customerID], B1381)&lt;=2, 
        IF((DATE(2024,4,30) - MAXIFS(dynamic[orderDate], dynamic[customerID], B1381)) &gt; 180, "Non-Returning", "Dormant"), 
        IF(AND(MAX(dynamic[sinceLastOrder]) &gt; 365, (DATE(2024,4,30) - MAXIFS(dynamic[orderDate], dynamic[customerID], B1381)) &gt; 180), 
           "Dormant", "Regular")))</f>
        <v>Regular</v>
      </c>
      <c r="H1381" s="6">
        <v>29.0</v>
      </c>
      <c r="I1381" s="9" t="str">
        <f>VLOOKUP(dynamic[productID],products[],2,FALSE)</f>
        <v>Thüringer Rostbratwurst</v>
      </c>
      <c r="J1381" s="9" t="str">
        <f>VLOOKUP(dynamic[productID],products[],12,FALSE)</f>
        <v>Meat/Poultry</v>
      </c>
      <c r="K1381" s="7" t="str">
        <f>IF(VLOOKUP(dynamic[productID],products[],7,FALSE)=1,"Discontinued","Current")</f>
        <v>Discontinued</v>
      </c>
      <c r="L1381" s="9">
        <f>VLOOKUP(dynamic[productID],products[],IF(YEAR(dynamic[orderDate])=2022,8,IF(YEAR(dynamic[orderDate])=2023,9,IF(YEAR(dynamic[orderDate])=2024,10,NA))),FALSE)</f>
        <v>80.85619497</v>
      </c>
      <c r="M1381" s="9">
        <v>123.79</v>
      </c>
      <c r="N1381" s="25">
        <f>(dynamic[orderPrice]-dynamic[productCost])/dynamic[productCost]</f>
        <v>0.5309896792</v>
      </c>
      <c r="O1381" s="10">
        <v>18.0</v>
      </c>
      <c r="P1381" s="25">
        <v>0.0</v>
      </c>
      <c r="Q1381" s="9">
        <f>dynamic[orderPrice]*dynamic[orderQuantity]</f>
        <v>2228.22</v>
      </c>
      <c r="R1381" s="9">
        <f>dynamic[orderTotal]*(1-dynamic[discountApllied])</f>
        <v>2228.22</v>
      </c>
      <c r="S1381" s="9">
        <f>dynamic[revenue]-(dynamic[productCost]*dynamic[orderQuantity])</f>
        <v>772.8084905</v>
      </c>
      <c r="T1381" s="25">
        <f>IFERROR(dynamic[profit]/dynamic[revenue], 0)</f>
        <v>0.3468277327</v>
      </c>
    </row>
    <row r="1382" ht="15.75" customHeight="1">
      <c r="A1382" s="6">
        <v>10772.0</v>
      </c>
      <c r="B1382" s="7" t="s">
        <v>41</v>
      </c>
      <c r="C1382" s="24" t="str">
        <f>VLOOKUP(dynamic[customerID],customers[],2,FALSE)</f>
        <v>Lehmanns Marktstand</v>
      </c>
      <c r="D1382" s="24">
        <v>45270.0</v>
      </c>
      <c r="E1382" s="6">
        <f>IFERROR(__xludf.DUMMYFUNCTION("COUNTUNIQUEIFS($A$2:$A1382,$B$2:$B1382,B1382)"),11.0)</f>
        <v>11</v>
      </c>
      <c r="F1382" s="6">
        <f t="shared" si="1"/>
        <v>154</v>
      </c>
      <c r="G1382" s="6" t="str">
        <f>IF(MINIFS(dynamic[orderDate], dynamic[customerID], B1382) &gt;= DATE(2024,4,30)-120, 
     "New", 
     IF(MAXIFS(dynamic[orderCount], dynamic[customerID], B1382)&lt;=2, 
        IF((DATE(2024,4,30) - MAXIFS(dynamic[orderDate], dynamic[customerID], B1382)) &gt; 180, "Non-Returning", "Dormant"), 
        IF(AND(MAX(dynamic[sinceLastOrder]) &gt; 365, (DATE(2024,4,30) - MAXIFS(dynamic[orderDate], dynamic[customerID], B1382)) &gt; 180), 
           "Dormant", "Regular")))</f>
        <v>Regular</v>
      </c>
      <c r="H1382" s="6">
        <v>59.0</v>
      </c>
      <c r="I1382" s="9" t="str">
        <f>VLOOKUP(dynamic[productID],products[],2,FALSE)</f>
        <v>Raclette Courdavault</v>
      </c>
      <c r="J1382" s="9" t="str">
        <f>VLOOKUP(dynamic[productID],products[],12,FALSE)</f>
        <v>Dairy Products</v>
      </c>
      <c r="K1382" s="7" t="str">
        <f>IF(VLOOKUP(dynamic[productID],products[],7,FALSE)=1,"Discontinued","Current")</f>
        <v>Current</v>
      </c>
      <c r="L1382" s="9">
        <f>VLOOKUP(dynamic[productID],products[],IF(YEAR(dynamic[orderDate])=2022,8,IF(YEAR(dynamic[orderDate])=2023,9,IF(YEAR(dynamic[orderDate])=2024,10,NA))),FALSE)</f>
        <v>35.20472566</v>
      </c>
      <c r="M1382" s="9">
        <v>55.0</v>
      </c>
      <c r="N1382" s="25">
        <f>(dynamic[orderPrice]-dynamic[productCost])/dynamic[productCost]</f>
        <v>0.5622902598</v>
      </c>
      <c r="O1382" s="10">
        <v>25.0</v>
      </c>
      <c r="P1382" s="25">
        <v>0.0</v>
      </c>
      <c r="Q1382" s="9">
        <f>dynamic[orderPrice]*dynamic[orderQuantity]</f>
        <v>1375</v>
      </c>
      <c r="R1382" s="9">
        <f>dynamic[orderTotal]*(1-dynamic[discountApllied])</f>
        <v>1375</v>
      </c>
      <c r="S1382" s="9">
        <f>dynamic[revenue]-(dynamic[productCost]*dynamic[orderQuantity])</f>
        <v>494.8818585</v>
      </c>
      <c r="T1382" s="25">
        <f>IFERROR(dynamic[profit]/dynamic[revenue], 0)</f>
        <v>0.3599140789</v>
      </c>
    </row>
    <row r="1383" ht="15.75" customHeight="1">
      <c r="A1383" s="6">
        <v>10773.0</v>
      </c>
      <c r="B1383" s="7" t="s">
        <v>24</v>
      </c>
      <c r="C1383" s="24" t="str">
        <f>VLOOKUP(dynamic[customerID],customers[],2,FALSE)</f>
        <v>Ernst Handel</v>
      </c>
      <c r="D1383" s="24">
        <v>45271.0</v>
      </c>
      <c r="E1383" s="6">
        <f>IFERROR(__xludf.DUMMYFUNCTION("COUNTUNIQUEIFS($A$2:$A1383,$B$2:$B1383,B1383)"),19.0)</f>
        <v>19</v>
      </c>
      <c r="F1383" s="6">
        <f t="shared" si="1"/>
        <v>1</v>
      </c>
      <c r="G1383" s="6" t="str">
        <f>IF(MINIFS(dynamic[orderDate], dynamic[customerID], B1383) &gt;= DATE(2024,4,30)-120, 
     "New", 
     IF(MAXIFS(dynamic[orderCount], dynamic[customerID], B1383)&lt;=2, 
        IF((DATE(2024,4,30) - MAXIFS(dynamic[orderDate], dynamic[customerID], B1383)) &gt; 180, "Non-Returning", "Dormant"), 
        IF(AND(MAX(dynamic[sinceLastOrder]) &gt; 365, (DATE(2024,4,30) - MAXIFS(dynamic[orderDate], dynamic[customerID], B1383)) &gt; 180), 
           "Dormant", "Regular")))</f>
        <v>Regular</v>
      </c>
      <c r="H1383" s="6">
        <v>17.0</v>
      </c>
      <c r="I1383" s="9" t="str">
        <f>VLOOKUP(dynamic[productID],products[],2,FALSE)</f>
        <v>Alice Mutton</v>
      </c>
      <c r="J1383" s="9" t="str">
        <f>VLOOKUP(dynamic[productID],products[],12,FALSE)</f>
        <v>Meat/Poultry</v>
      </c>
      <c r="K1383" s="7" t="str">
        <f>IF(VLOOKUP(dynamic[productID],products[],7,FALSE)=1,"Discontinued","Current")</f>
        <v>Discontinued</v>
      </c>
      <c r="L1383" s="9">
        <f>VLOOKUP(dynamic[productID],products[],IF(YEAR(dynamic[orderDate])=2022,8,IF(YEAR(dynamic[orderDate])=2023,9,IF(YEAR(dynamic[orderDate])=2024,10,NA))),FALSE)</f>
        <v>24.83130504</v>
      </c>
      <c r="M1383" s="9">
        <v>39.0</v>
      </c>
      <c r="N1383" s="25">
        <f>(dynamic[orderPrice]-dynamic[productCost])/dynamic[productCost]</f>
        <v>0.5705980792</v>
      </c>
      <c r="O1383" s="10">
        <v>33.0</v>
      </c>
      <c r="P1383" s="25">
        <v>0.0</v>
      </c>
      <c r="Q1383" s="9">
        <f>dynamic[orderPrice]*dynamic[orderQuantity]</f>
        <v>1287</v>
      </c>
      <c r="R1383" s="9">
        <f>dynamic[orderTotal]*(1-dynamic[discountApllied])</f>
        <v>1287</v>
      </c>
      <c r="S1383" s="9">
        <f>dynamic[revenue]-(dynamic[productCost]*dynamic[orderQuantity])</f>
        <v>467.5669337</v>
      </c>
      <c r="T1383" s="25">
        <f>IFERROR(dynamic[profit]/dynamic[revenue], 0)</f>
        <v>0.3632998708</v>
      </c>
    </row>
    <row r="1384" ht="15.75" customHeight="1">
      <c r="A1384" s="6">
        <v>10773.0</v>
      </c>
      <c r="B1384" s="7" t="s">
        <v>24</v>
      </c>
      <c r="C1384" s="24" t="str">
        <f>VLOOKUP(dynamic[customerID],customers[],2,FALSE)</f>
        <v>Ernst Handel</v>
      </c>
      <c r="D1384" s="24">
        <v>45271.0</v>
      </c>
      <c r="E1384" s="6">
        <f>IFERROR(__xludf.DUMMYFUNCTION("COUNTUNIQUEIFS($A$2:$A1384,$B$2:$B1384,B1384)"),19.0)</f>
        <v>19</v>
      </c>
      <c r="F1384" s="6">
        <f t="shared" si="1"/>
        <v>1</v>
      </c>
      <c r="G1384" s="6" t="str">
        <f>IF(MINIFS(dynamic[orderDate], dynamic[customerID], B1384) &gt;= DATE(2024,4,30)-120, 
     "New", 
     IF(MAXIFS(dynamic[orderCount], dynamic[customerID], B1384)&lt;=2, 
        IF((DATE(2024,4,30) - MAXIFS(dynamic[orderDate], dynamic[customerID], B1384)) &gt; 180, "Non-Returning", "Dormant"), 
        IF(AND(MAX(dynamic[sinceLastOrder]) &gt; 365, (DATE(2024,4,30) - MAXIFS(dynamic[orderDate], dynamic[customerID], B1384)) &gt; 180), 
           "Dormant", "Regular")))</f>
        <v>Regular</v>
      </c>
      <c r="H1384" s="6">
        <v>31.0</v>
      </c>
      <c r="I1384" s="9" t="str">
        <f>VLOOKUP(dynamic[productID],products[],2,FALSE)</f>
        <v>Gorgonzola Telino</v>
      </c>
      <c r="J1384" s="9" t="str">
        <f>VLOOKUP(dynamic[productID],products[],12,FALSE)</f>
        <v>Dairy Products</v>
      </c>
      <c r="K1384" s="7" t="str">
        <f>IF(VLOOKUP(dynamic[productID],products[],7,FALSE)=1,"Discontinued","Current")</f>
        <v>Current</v>
      </c>
      <c r="L1384" s="9">
        <f>VLOOKUP(dynamic[productID],products[],IF(YEAR(dynamic[orderDate])=2022,8,IF(YEAR(dynamic[orderDate])=2023,9,IF(YEAR(dynamic[orderDate])=2024,10,NA))),FALSE)</f>
        <v>7.937729254</v>
      </c>
      <c r="M1384" s="9">
        <v>12.5</v>
      </c>
      <c r="N1384" s="25">
        <f>(dynamic[orderPrice]-dynamic[productCost])/dynamic[productCost]</f>
        <v>0.5747576668</v>
      </c>
      <c r="O1384" s="10">
        <v>70.0</v>
      </c>
      <c r="P1384" s="25">
        <v>0.2</v>
      </c>
      <c r="Q1384" s="9">
        <f>dynamic[orderPrice]*dynamic[orderQuantity]</f>
        <v>875</v>
      </c>
      <c r="R1384" s="9">
        <f>dynamic[orderTotal]*(1-dynamic[discountApllied])</f>
        <v>700</v>
      </c>
      <c r="S1384" s="9">
        <f>dynamic[revenue]-(dynamic[productCost]*dynamic[orderQuantity])</f>
        <v>144.3589522</v>
      </c>
      <c r="T1384" s="25">
        <f>IFERROR(dynamic[profit]/dynamic[revenue], 0)</f>
        <v>0.2062270746</v>
      </c>
    </row>
    <row r="1385" ht="15.75" customHeight="1">
      <c r="A1385" s="6">
        <v>10773.0</v>
      </c>
      <c r="B1385" s="7" t="s">
        <v>24</v>
      </c>
      <c r="C1385" s="24" t="str">
        <f>VLOOKUP(dynamic[customerID],customers[],2,FALSE)</f>
        <v>Ernst Handel</v>
      </c>
      <c r="D1385" s="24">
        <v>45271.0</v>
      </c>
      <c r="E1385" s="6">
        <f>IFERROR(__xludf.DUMMYFUNCTION("COUNTUNIQUEIFS($A$2:$A1385,$B$2:$B1385,B1385)"),19.0)</f>
        <v>19</v>
      </c>
      <c r="F1385" s="6">
        <f t="shared" si="1"/>
        <v>1</v>
      </c>
      <c r="G1385" s="6" t="str">
        <f>IF(MINIFS(dynamic[orderDate], dynamic[customerID], B1385) &gt;= DATE(2024,4,30)-120, 
     "New", 
     IF(MAXIFS(dynamic[orderCount], dynamic[customerID], B1385)&lt;=2, 
        IF((DATE(2024,4,30) - MAXIFS(dynamic[orderDate], dynamic[customerID], B1385)) &gt; 180, "Non-Returning", "Dormant"), 
        IF(AND(MAX(dynamic[sinceLastOrder]) &gt; 365, (DATE(2024,4,30) - MAXIFS(dynamic[orderDate], dynamic[customerID], B1385)) &gt; 180), 
           "Dormant", "Regular")))</f>
        <v>Regular</v>
      </c>
      <c r="H1385" s="6">
        <v>75.0</v>
      </c>
      <c r="I1385" s="9" t="str">
        <f>VLOOKUP(dynamic[productID],products[],2,FALSE)</f>
        <v>Rhönbräu Klosterbier</v>
      </c>
      <c r="J1385" s="9" t="str">
        <f>VLOOKUP(dynamic[productID],products[],12,FALSE)</f>
        <v>Beverages</v>
      </c>
      <c r="K1385" s="7" t="str">
        <f>IF(VLOOKUP(dynamic[productID],products[],7,FALSE)=1,"Discontinued","Current")</f>
        <v>Current</v>
      </c>
      <c r="L1385" s="9">
        <f>VLOOKUP(dynamic[productID],products[],IF(YEAR(dynamic[orderDate])=2022,8,IF(YEAR(dynamic[orderDate])=2023,9,IF(YEAR(dynamic[orderDate])=2024,10,NA))),FALSE)</f>
        <v>5.355290472</v>
      </c>
      <c r="M1385" s="9">
        <v>7.75</v>
      </c>
      <c r="N1385" s="25">
        <f>(dynamic[orderPrice]-dynamic[productCost])/dynamic[productCost]</f>
        <v>0.4471670661</v>
      </c>
      <c r="O1385" s="10">
        <v>7.0</v>
      </c>
      <c r="P1385" s="25">
        <v>0.2</v>
      </c>
      <c r="Q1385" s="9">
        <f>dynamic[orderPrice]*dynamic[orderQuantity]</f>
        <v>54.25</v>
      </c>
      <c r="R1385" s="9">
        <f>dynamic[orderTotal]*(1-dynamic[discountApllied])</f>
        <v>43.4</v>
      </c>
      <c r="S1385" s="9">
        <f>dynamic[revenue]-(dynamic[productCost]*dynamic[orderQuantity])</f>
        <v>5.912966698</v>
      </c>
      <c r="T1385" s="25">
        <f>IFERROR(dynamic[profit]/dynamic[revenue], 0)</f>
        <v>0.1362434723</v>
      </c>
    </row>
    <row r="1386" ht="15.75" customHeight="1">
      <c r="A1386" s="6">
        <v>10774.0</v>
      </c>
      <c r="B1386" s="7" t="s">
        <v>29</v>
      </c>
      <c r="C1386" s="24" t="str">
        <f>VLOOKUP(dynamic[customerID],customers[],2,FALSE)</f>
        <v>Folk och fä HB</v>
      </c>
      <c r="D1386" s="24">
        <v>45271.0</v>
      </c>
      <c r="E1386" s="6">
        <f>IFERROR(__xludf.DUMMYFUNCTION("COUNTUNIQUEIFS($A$2:$A1386,$B$2:$B1386,B1386)"),10.0)</f>
        <v>10</v>
      </c>
      <c r="F1386" s="6">
        <f t="shared" si="1"/>
        <v>9</v>
      </c>
      <c r="G1386" s="6" t="str">
        <f>IF(MINIFS(dynamic[orderDate], dynamic[customerID], B1386) &gt;= DATE(2024,4,30)-120, 
     "New", 
     IF(MAXIFS(dynamic[orderCount], dynamic[customerID], B1386)&lt;=2, 
        IF((DATE(2024,4,30) - MAXIFS(dynamic[orderDate], dynamic[customerID], B1386)) &gt; 180, "Non-Returning", "Dormant"), 
        IF(AND(MAX(dynamic[sinceLastOrder]) &gt; 365, (DATE(2024,4,30) - MAXIFS(dynamic[orderDate], dynamic[customerID], B1386)) &gt; 180), 
           "Dormant", "Regular")))</f>
        <v>Regular</v>
      </c>
      <c r="H1386" s="6">
        <v>31.0</v>
      </c>
      <c r="I1386" s="9" t="str">
        <f>VLOOKUP(dynamic[productID],products[],2,FALSE)</f>
        <v>Gorgonzola Telino</v>
      </c>
      <c r="J1386" s="9" t="str">
        <f>VLOOKUP(dynamic[productID],products[],12,FALSE)</f>
        <v>Dairy Products</v>
      </c>
      <c r="K1386" s="7" t="str">
        <f>IF(VLOOKUP(dynamic[productID],products[],7,FALSE)=1,"Discontinued","Current")</f>
        <v>Current</v>
      </c>
      <c r="L1386" s="9">
        <f>VLOOKUP(dynamic[productID],products[],IF(YEAR(dynamic[orderDate])=2022,8,IF(YEAR(dynamic[orderDate])=2023,9,IF(YEAR(dynamic[orderDate])=2024,10,NA))),FALSE)</f>
        <v>7.937729254</v>
      </c>
      <c r="M1386" s="9">
        <v>12.5</v>
      </c>
      <c r="N1386" s="25">
        <f>(dynamic[orderPrice]-dynamic[productCost])/dynamic[productCost]</f>
        <v>0.5747576668</v>
      </c>
      <c r="O1386" s="10">
        <v>2.0</v>
      </c>
      <c r="P1386" s="25">
        <v>0.25</v>
      </c>
      <c r="Q1386" s="9">
        <f>dynamic[orderPrice]*dynamic[orderQuantity]</f>
        <v>25</v>
      </c>
      <c r="R1386" s="9">
        <f>dynamic[orderTotal]*(1-dynamic[discountApllied])</f>
        <v>18.75</v>
      </c>
      <c r="S1386" s="9">
        <f>dynamic[revenue]-(dynamic[productCost]*dynamic[orderQuantity])</f>
        <v>2.874541492</v>
      </c>
      <c r="T1386" s="25">
        <f>IFERROR(dynamic[profit]/dynamic[revenue], 0)</f>
        <v>0.1533088795</v>
      </c>
    </row>
    <row r="1387" ht="15.75" customHeight="1">
      <c r="A1387" s="6">
        <v>10774.0</v>
      </c>
      <c r="B1387" s="7" t="s">
        <v>29</v>
      </c>
      <c r="C1387" s="24" t="str">
        <f>VLOOKUP(dynamic[customerID],customers[],2,FALSE)</f>
        <v>Folk och fä HB</v>
      </c>
      <c r="D1387" s="24">
        <v>45271.0</v>
      </c>
      <c r="E1387" s="6">
        <f>IFERROR(__xludf.DUMMYFUNCTION("COUNTUNIQUEIFS($A$2:$A1387,$B$2:$B1387,B1387)"),10.0)</f>
        <v>10</v>
      </c>
      <c r="F1387" s="6">
        <f t="shared" si="1"/>
        <v>9</v>
      </c>
      <c r="G1387" s="6" t="str">
        <f>IF(MINIFS(dynamic[orderDate], dynamic[customerID], B1387) &gt;= DATE(2024,4,30)-120, 
     "New", 
     IF(MAXIFS(dynamic[orderCount], dynamic[customerID], B1387)&lt;=2, 
        IF((DATE(2024,4,30) - MAXIFS(dynamic[orderDate], dynamic[customerID], B1387)) &gt; 180, "Non-Returning", "Dormant"), 
        IF(AND(MAX(dynamic[sinceLastOrder]) &gt; 365, (DATE(2024,4,30) - MAXIFS(dynamic[orderDate], dynamic[customerID], B1387)) &gt; 180), 
           "Dormant", "Regular")))</f>
        <v>Regular</v>
      </c>
      <c r="H1387" s="6">
        <v>66.0</v>
      </c>
      <c r="I1387" s="9" t="str">
        <f>VLOOKUP(dynamic[productID],products[],2,FALSE)</f>
        <v>Louisiana Hot Spiced Okra</v>
      </c>
      <c r="J1387" s="9" t="str">
        <f>VLOOKUP(dynamic[productID],products[],12,FALSE)</f>
        <v>Condiments</v>
      </c>
      <c r="K1387" s="7" t="str">
        <f>IF(VLOOKUP(dynamic[productID],products[],7,FALSE)=1,"Discontinued","Current")</f>
        <v>Current</v>
      </c>
      <c r="L1387" s="9">
        <f>VLOOKUP(dynamic[productID],products[],IF(YEAR(dynamic[orderDate])=2022,8,IF(YEAR(dynamic[orderDate])=2023,9,IF(YEAR(dynamic[orderDate])=2024,10,NA))),FALSE)</f>
        <v>10.17313149</v>
      </c>
      <c r="M1387" s="9">
        <v>17.0</v>
      </c>
      <c r="N1387" s="25">
        <f>(dynamic[orderPrice]-dynamic[productCost])/dynamic[productCost]</f>
        <v>0.6710685417</v>
      </c>
      <c r="O1387" s="10">
        <v>50.0</v>
      </c>
      <c r="P1387" s="25">
        <v>0.0</v>
      </c>
      <c r="Q1387" s="9">
        <f>dynamic[orderPrice]*dynamic[orderQuantity]</f>
        <v>850</v>
      </c>
      <c r="R1387" s="9">
        <f>dynamic[orderTotal]*(1-dynamic[discountApllied])</f>
        <v>850</v>
      </c>
      <c r="S1387" s="9">
        <f>dynamic[revenue]-(dynamic[productCost]*dynamic[orderQuantity])</f>
        <v>341.3434256</v>
      </c>
      <c r="T1387" s="25">
        <f>IFERROR(dynamic[profit]/dynamic[revenue], 0)</f>
        <v>0.4015805007</v>
      </c>
    </row>
    <row r="1388" ht="15.75" customHeight="1">
      <c r="A1388" s="6">
        <v>10775.0</v>
      </c>
      <c r="B1388" s="7" t="s">
        <v>99</v>
      </c>
      <c r="C1388" s="24" t="str">
        <f>VLOOKUP(dynamic[customerID],customers[],2,FALSE)</f>
        <v>The Cracker Box</v>
      </c>
      <c r="D1388" s="24">
        <v>45272.0</v>
      </c>
      <c r="E1388" s="6">
        <f>IFERROR(__xludf.DUMMYFUNCTION("COUNTUNIQUEIFS($A$2:$A1388,$B$2:$B1388,B1388)"),2.0)</f>
        <v>2</v>
      </c>
      <c r="F1388" s="6">
        <f t="shared" si="1"/>
        <v>127</v>
      </c>
      <c r="G1388" s="6" t="str">
        <f>IF(MINIFS(dynamic[orderDate], dynamic[customerID], B1388) &gt;= DATE(2024,4,30)-120, 
     "New", 
     IF(MAXIFS(dynamic[orderCount], dynamic[customerID], B1388)&lt;=2, 
        IF((DATE(2024,4,30) - MAXIFS(dynamic[orderDate], dynamic[customerID], B1388)) &gt; 180, "Non-Returning", "Dormant"), 
        IF(AND(MAX(dynamic[sinceLastOrder]) &gt; 365, (DATE(2024,4,30) - MAXIFS(dynamic[orderDate], dynamic[customerID], B1388)) &gt; 180), 
           "Dormant", "Regular")))</f>
        <v>Regular</v>
      </c>
      <c r="H1388" s="6">
        <v>10.0</v>
      </c>
      <c r="I1388" s="9" t="str">
        <f>VLOOKUP(dynamic[productID],products[],2,FALSE)</f>
        <v>Ikura</v>
      </c>
      <c r="J1388" s="9" t="str">
        <f>VLOOKUP(dynamic[productID],products[],12,FALSE)</f>
        <v>Seafood</v>
      </c>
      <c r="K1388" s="7" t="str">
        <f>IF(VLOOKUP(dynamic[productID],products[],7,FALSE)=1,"Discontinued","Current")</f>
        <v>Current</v>
      </c>
      <c r="L1388" s="9">
        <f>VLOOKUP(dynamic[productID],products[],IF(YEAR(dynamic[orderDate])=2022,8,IF(YEAR(dynamic[orderDate])=2023,9,IF(YEAR(dynamic[orderDate])=2024,10,NA))),FALSE)</f>
        <v>20.72721922</v>
      </c>
      <c r="M1388" s="9">
        <v>31.0</v>
      </c>
      <c r="N1388" s="25">
        <f>(dynamic[orderPrice]-dynamic[productCost])/dynamic[productCost]</f>
        <v>0.4956178962</v>
      </c>
      <c r="O1388" s="10">
        <v>6.0</v>
      </c>
      <c r="P1388" s="25">
        <v>0.0</v>
      </c>
      <c r="Q1388" s="9">
        <f>dynamic[orderPrice]*dynamic[orderQuantity]</f>
        <v>186</v>
      </c>
      <c r="R1388" s="9">
        <f>dynamic[orderTotal]*(1-dynamic[discountApllied])</f>
        <v>186</v>
      </c>
      <c r="S1388" s="9">
        <f>dynamic[revenue]-(dynamic[productCost]*dynamic[orderQuantity])</f>
        <v>61.6366847</v>
      </c>
      <c r="T1388" s="25">
        <f>IFERROR(dynamic[profit]/dynamic[revenue], 0)</f>
        <v>0.3313800252</v>
      </c>
    </row>
    <row r="1389" ht="15.75" customHeight="1">
      <c r="A1389" s="6">
        <v>10775.0</v>
      </c>
      <c r="B1389" s="7" t="s">
        <v>99</v>
      </c>
      <c r="C1389" s="24" t="str">
        <f>VLOOKUP(dynamic[customerID],customers[],2,FALSE)</f>
        <v>The Cracker Box</v>
      </c>
      <c r="D1389" s="24">
        <v>45272.0</v>
      </c>
      <c r="E1389" s="6">
        <f>IFERROR(__xludf.DUMMYFUNCTION("COUNTUNIQUEIFS($A$2:$A1389,$B$2:$B1389,B1389)"),2.0)</f>
        <v>2</v>
      </c>
      <c r="F1389" s="6">
        <f t="shared" si="1"/>
        <v>127</v>
      </c>
      <c r="G1389" s="6" t="str">
        <f>IF(MINIFS(dynamic[orderDate], dynamic[customerID], B1389) &gt;= DATE(2024,4,30)-120, 
     "New", 
     IF(MAXIFS(dynamic[orderCount], dynamic[customerID], B1389)&lt;=2, 
        IF((DATE(2024,4,30) - MAXIFS(dynamic[orderDate], dynamic[customerID], B1389)) &gt; 180, "Non-Returning", "Dormant"), 
        IF(AND(MAX(dynamic[sinceLastOrder]) &gt; 365, (DATE(2024,4,30) - MAXIFS(dynamic[orderDate], dynamic[customerID], B1389)) &gt; 180), 
           "Dormant", "Regular")))</f>
        <v>Regular</v>
      </c>
      <c r="H1389" s="6">
        <v>67.0</v>
      </c>
      <c r="I1389" s="9" t="str">
        <f>VLOOKUP(dynamic[productID],products[],2,FALSE)</f>
        <v>Laughing Lumberjack Lager</v>
      </c>
      <c r="J1389" s="9" t="str">
        <f>VLOOKUP(dynamic[productID],products[],12,FALSE)</f>
        <v>Beverages</v>
      </c>
      <c r="K1389" s="7" t="str">
        <f>IF(VLOOKUP(dynamic[productID],products[],7,FALSE)=1,"Discontinued","Current")</f>
        <v>Current</v>
      </c>
      <c r="L1389" s="9">
        <f>VLOOKUP(dynamic[productID],products[],IF(YEAR(dynamic[orderDate])=2022,8,IF(YEAR(dynamic[orderDate])=2023,9,IF(YEAR(dynamic[orderDate])=2024,10,NA))),FALSE)</f>
        <v>10.35274539</v>
      </c>
      <c r="M1389" s="9">
        <v>14.0</v>
      </c>
      <c r="N1389" s="25">
        <f>(dynamic[orderPrice]-dynamic[productCost])/dynamic[productCost]</f>
        <v>0.3522983009</v>
      </c>
      <c r="O1389" s="10">
        <v>3.0</v>
      </c>
      <c r="P1389" s="25">
        <v>0.0</v>
      </c>
      <c r="Q1389" s="9">
        <f>dynamic[orderPrice]*dynamic[orderQuantity]</f>
        <v>42</v>
      </c>
      <c r="R1389" s="9">
        <f>dynamic[orderTotal]*(1-dynamic[discountApllied])</f>
        <v>42</v>
      </c>
      <c r="S1389" s="9">
        <f>dynamic[revenue]-(dynamic[productCost]*dynamic[orderQuantity])</f>
        <v>10.94176383</v>
      </c>
      <c r="T1389" s="25">
        <f>IFERROR(dynamic[profit]/dynamic[revenue], 0)</f>
        <v>0.2605181865</v>
      </c>
    </row>
    <row r="1390" ht="15.75" customHeight="1">
      <c r="A1390" s="6">
        <v>10776.0</v>
      </c>
      <c r="B1390" s="7" t="s">
        <v>24</v>
      </c>
      <c r="C1390" s="24" t="str">
        <f>VLOOKUP(dynamic[customerID],customers[],2,FALSE)</f>
        <v>Ernst Handel</v>
      </c>
      <c r="D1390" s="24">
        <v>45275.0</v>
      </c>
      <c r="E1390" s="6">
        <f>IFERROR(__xludf.DUMMYFUNCTION("COUNTUNIQUEIFS($A$2:$A1390,$B$2:$B1390,B1390)"),20.0)</f>
        <v>20</v>
      </c>
      <c r="F1390" s="6">
        <f t="shared" si="1"/>
        <v>4</v>
      </c>
      <c r="G1390" s="6" t="str">
        <f>IF(MINIFS(dynamic[orderDate], dynamic[customerID], B1390) &gt;= DATE(2024,4,30)-120, 
     "New", 
     IF(MAXIFS(dynamic[orderCount], dynamic[customerID], B1390)&lt;=2, 
        IF((DATE(2024,4,30) - MAXIFS(dynamic[orderDate], dynamic[customerID], B1390)) &gt; 180, "Non-Returning", "Dormant"), 
        IF(AND(MAX(dynamic[sinceLastOrder]) &gt; 365, (DATE(2024,4,30) - MAXIFS(dynamic[orderDate], dynamic[customerID], B1390)) &gt; 180), 
           "Dormant", "Regular")))</f>
        <v>Regular</v>
      </c>
      <c r="H1390" s="6">
        <v>31.0</v>
      </c>
      <c r="I1390" s="9" t="str">
        <f>VLOOKUP(dynamic[productID],products[],2,FALSE)</f>
        <v>Gorgonzola Telino</v>
      </c>
      <c r="J1390" s="9" t="str">
        <f>VLOOKUP(dynamic[productID],products[],12,FALSE)</f>
        <v>Dairy Products</v>
      </c>
      <c r="K1390" s="7" t="str">
        <f>IF(VLOOKUP(dynamic[productID],products[],7,FALSE)=1,"Discontinued","Current")</f>
        <v>Current</v>
      </c>
      <c r="L1390" s="9">
        <f>VLOOKUP(dynamic[productID],products[],IF(YEAR(dynamic[orderDate])=2022,8,IF(YEAR(dynamic[orderDate])=2023,9,IF(YEAR(dynamic[orderDate])=2024,10,NA))),FALSE)</f>
        <v>7.937729254</v>
      </c>
      <c r="M1390" s="9">
        <v>12.5</v>
      </c>
      <c r="N1390" s="25">
        <f>(dynamic[orderPrice]-dynamic[productCost])/dynamic[productCost]</f>
        <v>0.5747576668</v>
      </c>
      <c r="O1390" s="10">
        <v>16.0</v>
      </c>
      <c r="P1390" s="25">
        <v>0.05</v>
      </c>
      <c r="Q1390" s="9">
        <f>dynamic[orderPrice]*dynamic[orderQuantity]</f>
        <v>200</v>
      </c>
      <c r="R1390" s="9">
        <f>dynamic[orderTotal]*(1-dynamic[discountApllied])</f>
        <v>190</v>
      </c>
      <c r="S1390" s="9">
        <f>dynamic[revenue]-(dynamic[productCost]*dynamic[orderQuantity])</f>
        <v>62.99633193</v>
      </c>
      <c r="T1390" s="25">
        <f>IFERROR(dynamic[profit]/dynamic[revenue], 0)</f>
        <v>0.3315596417</v>
      </c>
    </row>
    <row r="1391" ht="15.75" customHeight="1">
      <c r="A1391" s="6">
        <v>10776.0</v>
      </c>
      <c r="B1391" s="7" t="s">
        <v>24</v>
      </c>
      <c r="C1391" s="24" t="str">
        <f>VLOOKUP(dynamic[customerID],customers[],2,FALSE)</f>
        <v>Ernst Handel</v>
      </c>
      <c r="D1391" s="24">
        <v>45275.0</v>
      </c>
      <c r="E1391" s="6">
        <f>IFERROR(__xludf.DUMMYFUNCTION("COUNTUNIQUEIFS($A$2:$A1391,$B$2:$B1391,B1391)"),20.0)</f>
        <v>20</v>
      </c>
      <c r="F1391" s="6">
        <f t="shared" si="1"/>
        <v>4</v>
      </c>
      <c r="G1391" s="6" t="str">
        <f>IF(MINIFS(dynamic[orderDate], dynamic[customerID], B1391) &gt;= DATE(2024,4,30)-120, 
     "New", 
     IF(MAXIFS(dynamic[orderCount], dynamic[customerID], B1391)&lt;=2, 
        IF((DATE(2024,4,30) - MAXIFS(dynamic[orderDate], dynamic[customerID], B1391)) &gt; 180, "Non-Returning", "Dormant"), 
        IF(AND(MAX(dynamic[sinceLastOrder]) &gt; 365, (DATE(2024,4,30) - MAXIFS(dynamic[orderDate], dynamic[customerID], B1391)) &gt; 180), 
           "Dormant", "Regular")))</f>
        <v>Regular</v>
      </c>
      <c r="H1391" s="6">
        <v>42.0</v>
      </c>
      <c r="I1391" s="9" t="str">
        <f>VLOOKUP(dynamic[productID],products[],2,FALSE)</f>
        <v>Singaporean Hokkien Fried Mee</v>
      </c>
      <c r="J1391" s="9" t="str">
        <f>VLOOKUP(dynamic[productID],products[],12,FALSE)</f>
        <v>Grains/Cereals</v>
      </c>
      <c r="K1391" s="7" t="str">
        <f>IF(VLOOKUP(dynamic[productID],products[],7,FALSE)=1,"Discontinued","Current")</f>
        <v>Discontinued</v>
      </c>
      <c r="L1391" s="9">
        <f>VLOOKUP(dynamic[productID],products[],IF(YEAR(dynamic[orderDate])=2022,8,IF(YEAR(dynamic[orderDate])=2023,9,IF(YEAR(dynamic[orderDate])=2024,10,NA))),FALSE)</f>
        <v>9.105641621</v>
      </c>
      <c r="M1391" s="9">
        <v>14.0</v>
      </c>
      <c r="N1391" s="25">
        <f>(dynamic[orderPrice]-dynamic[productCost])/dynamic[productCost]</f>
        <v>0.5375083474</v>
      </c>
      <c r="O1391" s="10">
        <v>12.0</v>
      </c>
      <c r="P1391" s="25">
        <v>0.05</v>
      </c>
      <c r="Q1391" s="9">
        <f>dynamic[orderPrice]*dynamic[orderQuantity]</f>
        <v>168</v>
      </c>
      <c r="R1391" s="9">
        <f>dynamic[orderTotal]*(1-dynamic[discountApllied])</f>
        <v>159.6</v>
      </c>
      <c r="S1391" s="9">
        <f>dynamic[revenue]-(dynamic[productCost]*dynamic[orderQuantity])</f>
        <v>50.33230055</v>
      </c>
      <c r="T1391" s="25">
        <f>IFERROR(dynamic[profit]/dynamic[revenue], 0)</f>
        <v>0.3153652917</v>
      </c>
    </row>
    <row r="1392" ht="15.75" customHeight="1">
      <c r="A1392" s="6">
        <v>10776.0</v>
      </c>
      <c r="B1392" s="7" t="s">
        <v>24</v>
      </c>
      <c r="C1392" s="24" t="str">
        <f>VLOOKUP(dynamic[customerID],customers[],2,FALSE)</f>
        <v>Ernst Handel</v>
      </c>
      <c r="D1392" s="24">
        <v>45275.0</v>
      </c>
      <c r="E1392" s="6">
        <f>IFERROR(__xludf.DUMMYFUNCTION("COUNTUNIQUEIFS($A$2:$A1392,$B$2:$B1392,B1392)"),20.0)</f>
        <v>20</v>
      </c>
      <c r="F1392" s="6">
        <f t="shared" si="1"/>
        <v>4</v>
      </c>
      <c r="G1392" s="6" t="str">
        <f>IF(MINIFS(dynamic[orderDate], dynamic[customerID], B1392) &gt;= DATE(2024,4,30)-120, 
     "New", 
     IF(MAXIFS(dynamic[orderCount], dynamic[customerID], B1392)&lt;=2, 
        IF((DATE(2024,4,30) - MAXIFS(dynamic[orderDate], dynamic[customerID], B1392)) &gt; 180, "Non-Returning", "Dormant"), 
        IF(AND(MAX(dynamic[sinceLastOrder]) &gt; 365, (DATE(2024,4,30) - MAXIFS(dynamic[orderDate], dynamic[customerID], B1392)) &gt; 180), 
           "Dormant", "Regular")))</f>
        <v>Regular</v>
      </c>
      <c r="H1392" s="6">
        <v>45.0</v>
      </c>
      <c r="I1392" s="9" t="str">
        <f>VLOOKUP(dynamic[productID],products[],2,FALSE)</f>
        <v>Rogede sild</v>
      </c>
      <c r="J1392" s="9" t="str">
        <f>VLOOKUP(dynamic[productID],products[],12,FALSE)</f>
        <v>Seafood</v>
      </c>
      <c r="K1392" s="7" t="str">
        <f>IF(VLOOKUP(dynamic[productID],products[],7,FALSE)=1,"Discontinued","Current")</f>
        <v>Current</v>
      </c>
      <c r="L1392" s="9">
        <f>VLOOKUP(dynamic[productID],products[],IF(YEAR(dynamic[orderDate])=2022,8,IF(YEAR(dynamic[orderDate])=2023,9,IF(YEAR(dynamic[orderDate])=2024,10,NA))),FALSE)</f>
        <v>5.965769822</v>
      </c>
      <c r="M1392" s="9">
        <v>9.5</v>
      </c>
      <c r="N1392" s="25">
        <f>(dynamic[orderPrice]-dynamic[productCost])/dynamic[productCost]</f>
        <v>0.5924181261</v>
      </c>
      <c r="O1392" s="10">
        <v>27.0</v>
      </c>
      <c r="P1392" s="25">
        <v>0.05</v>
      </c>
      <c r="Q1392" s="9">
        <f>dynamic[orderPrice]*dynamic[orderQuantity]</f>
        <v>256.5</v>
      </c>
      <c r="R1392" s="9">
        <f>dynamic[orderTotal]*(1-dynamic[discountApllied])</f>
        <v>243.675</v>
      </c>
      <c r="S1392" s="9">
        <f>dynamic[revenue]-(dynamic[productCost]*dynamic[orderQuantity])</f>
        <v>82.59921481</v>
      </c>
      <c r="T1392" s="25">
        <f>IFERROR(dynamic[profit]/dynamic[revenue], 0)</f>
        <v>0.3389728729</v>
      </c>
    </row>
    <row r="1393" ht="15.75" customHeight="1">
      <c r="A1393" s="6">
        <v>10776.0</v>
      </c>
      <c r="B1393" s="7" t="s">
        <v>24</v>
      </c>
      <c r="C1393" s="24" t="str">
        <f>VLOOKUP(dynamic[customerID],customers[],2,FALSE)</f>
        <v>Ernst Handel</v>
      </c>
      <c r="D1393" s="24">
        <v>45275.0</v>
      </c>
      <c r="E1393" s="6">
        <f>IFERROR(__xludf.DUMMYFUNCTION("COUNTUNIQUEIFS($A$2:$A1393,$B$2:$B1393,B1393)"),20.0)</f>
        <v>20</v>
      </c>
      <c r="F1393" s="6">
        <f t="shared" si="1"/>
        <v>4</v>
      </c>
      <c r="G1393" s="6" t="str">
        <f>IF(MINIFS(dynamic[orderDate], dynamic[customerID], B1393) &gt;= DATE(2024,4,30)-120, 
     "New", 
     IF(MAXIFS(dynamic[orderCount], dynamic[customerID], B1393)&lt;=2, 
        IF((DATE(2024,4,30) - MAXIFS(dynamic[orderDate], dynamic[customerID], B1393)) &gt; 180, "Non-Returning", "Dormant"), 
        IF(AND(MAX(dynamic[sinceLastOrder]) &gt; 365, (DATE(2024,4,30) - MAXIFS(dynamic[orderDate], dynamic[customerID], B1393)) &gt; 180), 
           "Dormant", "Regular")))</f>
        <v>Regular</v>
      </c>
      <c r="H1393" s="6">
        <v>51.0</v>
      </c>
      <c r="I1393" s="9" t="str">
        <f>VLOOKUP(dynamic[productID],products[],2,FALSE)</f>
        <v>Manjimup Dried Apples</v>
      </c>
      <c r="J1393" s="9" t="str">
        <f>VLOOKUP(dynamic[productID],products[],12,FALSE)</f>
        <v>Produce</v>
      </c>
      <c r="K1393" s="7" t="str">
        <f>IF(VLOOKUP(dynamic[productID],products[],7,FALSE)=1,"Discontinued","Current")</f>
        <v>Current</v>
      </c>
      <c r="L1393" s="9">
        <f>VLOOKUP(dynamic[productID],products[],IF(YEAR(dynamic[orderDate])=2022,8,IF(YEAR(dynamic[orderDate])=2023,9,IF(YEAR(dynamic[orderDate])=2024,10,NA))),FALSE)</f>
        <v>36.88798027</v>
      </c>
      <c r="M1393" s="9">
        <v>53.0</v>
      </c>
      <c r="N1393" s="25">
        <f>(dynamic[orderPrice]-dynamic[productCost])/dynamic[productCost]</f>
        <v>0.4367823779</v>
      </c>
      <c r="O1393" s="10">
        <v>120.0</v>
      </c>
      <c r="P1393" s="25">
        <v>0.05</v>
      </c>
      <c r="Q1393" s="9">
        <f>dynamic[orderPrice]*dynamic[orderQuantity]</f>
        <v>6360</v>
      </c>
      <c r="R1393" s="9">
        <f>dynamic[orderTotal]*(1-dynamic[discountApllied])</f>
        <v>6042</v>
      </c>
      <c r="S1393" s="9">
        <f>dynamic[revenue]-(dynamic[productCost]*dynamic[orderQuantity])</f>
        <v>1615.442368</v>
      </c>
      <c r="T1393" s="25">
        <f>IFERROR(dynamic[profit]/dynamic[revenue], 0)</f>
        <v>0.267368813</v>
      </c>
    </row>
    <row r="1394" ht="15.75" customHeight="1">
      <c r="A1394" s="6">
        <v>10777.0</v>
      </c>
      <c r="B1394" s="7" t="s">
        <v>86</v>
      </c>
      <c r="C1394" s="24" t="str">
        <f>VLOOKUP(dynamic[customerID],customers[],2,FALSE)</f>
        <v>Gourmet Lanchonetes</v>
      </c>
      <c r="D1394" s="24">
        <v>45275.0</v>
      </c>
      <c r="E1394" s="6">
        <f>IFERROR(__xludf.DUMMYFUNCTION("COUNTUNIQUEIFS($A$2:$A1394,$B$2:$B1394,B1394)"),6.0)</f>
        <v>6</v>
      </c>
      <c r="F1394" s="6">
        <f t="shared" si="1"/>
        <v>38</v>
      </c>
      <c r="G1394" s="6" t="str">
        <f>IF(MINIFS(dynamic[orderDate], dynamic[customerID], B1394) &gt;= DATE(2024,4,30)-120, 
     "New", 
     IF(MAXIFS(dynamic[orderCount], dynamic[customerID], B1394)&lt;=2, 
        IF((DATE(2024,4,30) - MAXIFS(dynamic[orderDate], dynamic[customerID], B1394)) &gt; 180, "Non-Returning", "Dormant"), 
        IF(AND(MAX(dynamic[sinceLastOrder]) &gt; 365, (DATE(2024,4,30) - MAXIFS(dynamic[orderDate], dynamic[customerID], B1394)) &gt; 180), 
           "Dormant", "Regular")))</f>
        <v>Regular</v>
      </c>
      <c r="H1394" s="6">
        <v>42.0</v>
      </c>
      <c r="I1394" s="9" t="str">
        <f>VLOOKUP(dynamic[productID],products[],2,FALSE)</f>
        <v>Singaporean Hokkien Fried Mee</v>
      </c>
      <c r="J1394" s="9" t="str">
        <f>VLOOKUP(dynamic[productID],products[],12,FALSE)</f>
        <v>Grains/Cereals</v>
      </c>
      <c r="K1394" s="7" t="str">
        <f>IF(VLOOKUP(dynamic[productID],products[],7,FALSE)=1,"Discontinued","Current")</f>
        <v>Discontinued</v>
      </c>
      <c r="L1394" s="9">
        <f>VLOOKUP(dynamic[productID],products[],IF(YEAR(dynamic[orderDate])=2022,8,IF(YEAR(dynamic[orderDate])=2023,9,IF(YEAR(dynamic[orderDate])=2024,10,NA))),FALSE)</f>
        <v>9.105641621</v>
      </c>
      <c r="M1394" s="9">
        <v>14.0</v>
      </c>
      <c r="N1394" s="25">
        <f>(dynamic[orderPrice]-dynamic[productCost])/dynamic[productCost]</f>
        <v>0.5375083474</v>
      </c>
      <c r="O1394" s="10">
        <v>20.0</v>
      </c>
      <c r="P1394" s="25">
        <v>0.2</v>
      </c>
      <c r="Q1394" s="9">
        <f>dynamic[orderPrice]*dynamic[orderQuantity]</f>
        <v>280</v>
      </c>
      <c r="R1394" s="9">
        <f>dynamic[orderTotal]*(1-dynamic[discountApllied])</f>
        <v>224</v>
      </c>
      <c r="S1394" s="9">
        <f>dynamic[revenue]-(dynamic[productCost]*dynamic[orderQuantity])</f>
        <v>41.88716758</v>
      </c>
      <c r="T1394" s="25">
        <f>IFERROR(dynamic[profit]/dynamic[revenue], 0)</f>
        <v>0.1869962839</v>
      </c>
    </row>
    <row r="1395" ht="15.75" customHeight="1">
      <c r="A1395" s="6">
        <v>10778.0</v>
      </c>
      <c r="B1395" s="7" t="s">
        <v>40</v>
      </c>
      <c r="C1395" s="24" t="str">
        <f>VLOOKUP(dynamic[customerID],customers[],2,FALSE)</f>
        <v>Berglunds snabbköp</v>
      </c>
      <c r="D1395" s="24">
        <v>45276.0</v>
      </c>
      <c r="E1395" s="6">
        <f>IFERROR(__xludf.DUMMYFUNCTION("COUNTUNIQUEIFS($A$2:$A1395,$B$2:$B1395,B1395)"),13.0)</f>
        <v>13</v>
      </c>
      <c r="F1395" s="6">
        <f t="shared" si="1"/>
        <v>39</v>
      </c>
      <c r="G1395" s="6" t="str">
        <f>IF(MINIFS(dynamic[orderDate], dynamic[customerID], B1395) &gt;= DATE(2024,4,30)-120, 
     "New", 
     IF(MAXIFS(dynamic[orderCount], dynamic[customerID], B1395)&lt;=2, 
        IF((DATE(2024,4,30) - MAXIFS(dynamic[orderDate], dynamic[customerID], B1395)) &gt; 180, "Non-Returning", "Dormant"), 
        IF(AND(MAX(dynamic[sinceLastOrder]) &gt; 365, (DATE(2024,4,30) - MAXIFS(dynamic[orderDate], dynamic[customerID], B1395)) &gt; 180), 
           "Dormant", "Regular")))</f>
        <v>Regular</v>
      </c>
      <c r="H1395" s="6">
        <v>41.0</v>
      </c>
      <c r="I1395" s="9" t="str">
        <f>VLOOKUP(dynamic[productID],products[],2,FALSE)</f>
        <v>Jack's New England Clam Chowder</v>
      </c>
      <c r="J1395" s="9" t="str">
        <f>VLOOKUP(dynamic[productID],products[],12,FALSE)</f>
        <v>Seafood</v>
      </c>
      <c r="K1395" s="7" t="str">
        <f>IF(VLOOKUP(dynamic[productID],products[],7,FALSE)=1,"Discontinued","Current")</f>
        <v>Current</v>
      </c>
      <c r="L1395" s="9">
        <f>VLOOKUP(dynamic[productID],products[],IF(YEAR(dynamic[orderDate])=2022,8,IF(YEAR(dynamic[orderDate])=2023,9,IF(YEAR(dynamic[orderDate])=2024,10,NA))),FALSE)</f>
        <v>6.549914856</v>
      </c>
      <c r="M1395" s="9">
        <v>9.65</v>
      </c>
      <c r="N1395" s="25">
        <f>(dynamic[orderPrice]-dynamic[productCost])/dynamic[productCost]</f>
        <v>0.4733015943</v>
      </c>
      <c r="O1395" s="10">
        <v>10.0</v>
      </c>
      <c r="P1395" s="25">
        <v>0.0</v>
      </c>
      <c r="Q1395" s="9">
        <f>dynamic[orderPrice]*dynamic[orderQuantity]</f>
        <v>96.5</v>
      </c>
      <c r="R1395" s="9">
        <f>dynamic[orderTotal]*(1-dynamic[discountApllied])</f>
        <v>96.5</v>
      </c>
      <c r="S1395" s="9">
        <f>dynamic[revenue]-(dynamic[productCost]*dynamic[orderQuantity])</f>
        <v>31.00085144</v>
      </c>
      <c r="T1395" s="25">
        <f>IFERROR(dynamic[profit]/dynamic[revenue], 0)</f>
        <v>0.3212523465</v>
      </c>
    </row>
    <row r="1396" ht="15.75" customHeight="1">
      <c r="A1396" s="6">
        <v>10779.0</v>
      </c>
      <c r="B1396" s="7" t="s">
        <v>39</v>
      </c>
      <c r="C1396" s="24" t="str">
        <f>VLOOKUP(dynamic[customerID],customers[],2,FALSE)</f>
        <v>Morgenstern Gesundkost</v>
      </c>
      <c r="D1396" s="24">
        <v>45276.0</v>
      </c>
      <c r="E1396" s="6">
        <f>IFERROR(__xludf.DUMMYFUNCTION("COUNTUNIQUEIFS($A$2:$A1396,$B$2:$B1396,B1396)"),4.0)</f>
        <v>4</v>
      </c>
      <c r="F1396" s="6">
        <f t="shared" si="1"/>
        <v>68</v>
      </c>
      <c r="G1396" s="6" t="str">
        <f>IF(MINIFS(dynamic[orderDate], dynamic[customerID], B1396) &gt;= DATE(2024,4,30)-120, 
     "New", 
     IF(MAXIFS(dynamic[orderCount], dynamic[customerID], B1396)&lt;=2, 
        IF((DATE(2024,4,30) - MAXIFS(dynamic[orderDate], dynamic[customerID], B1396)) &gt; 180, "Non-Returning", "Dormant"), 
        IF(AND(MAX(dynamic[sinceLastOrder]) &gt; 365, (DATE(2024,4,30) - MAXIFS(dynamic[orderDate], dynamic[customerID], B1396)) &gt; 180), 
           "Dormant", "Regular")))</f>
        <v>Regular</v>
      </c>
      <c r="H1396" s="6">
        <v>16.0</v>
      </c>
      <c r="I1396" s="9" t="str">
        <f>VLOOKUP(dynamic[productID],products[],2,FALSE)</f>
        <v>Pavlova</v>
      </c>
      <c r="J1396" s="9" t="str">
        <f>VLOOKUP(dynamic[productID],products[],12,FALSE)</f>
        <v>Confections</v>
      </c>
      <c r="K1396" s="7" t="str">
        <f>IF(VLOOKUP(dynamic[productID],products[],7,FALSE)=1,"Discontinued","Current")</f>
        <v>Current</v>
      </c>
      <c r="L1396" s="9">
        <f>VLOOKUP(dynamic[productID],products[],IF(YEAR(dynamic[orderDate])=2022,8,IF(YEAR(dynamic[orderDate])=2023,9,IF(YEAR(dynamic[orderDate])=2024,10,NA))),FALSE)</f>
        <v>11.98504839</v>
      </c>
      <c r="M1396" s="9">
        <v>17.45</v>
      </c>
      <c r="N1396" s="25">
        <f>(dynamic[orderPrice]-dynamic[productCost])/dynamic[productCost]</f>
        <v>0.455980771</v>
      </c>
      <c r="O1396" s="10">
        <v>20.0</v>
      </c>
      <c r="P1396" s="25">
        <v>0.0</v>
      </c>
      <c r="Q1396" s="9">
        <f>dynamic[orderPrice]*dynamic[orderQuantity]</f>
        <v>349</v>
      </c>
      <c r="R1396" s="9">
        <f>dynamic[orderTotal]*(1-dynamic[discountApllied])</f>
        <v>349</v>
      </c>
      <c r="S1396" s="9">
        <f>dynamic[revenue]-(dynamic[productCost]*dynamic[orderQuantity])</f>
        <v>109.2990321</v>
      </c>
      <c r="T1396" s="25">
        <f>IFERROR(dynamic[profit]/dynamic[revenue], 0)</f>
        <v>0.3131777425</v>
      </c>
    </row>
    <row r="1397" ht="15.75" customHeight="1">
      <c r="A1397" s="6">
        <v>10779.0</v>
      </c>
      <c r="B1397" s="7" t="s">
        <v>39</v>
      </c>
      <c r="C1397" s="24" t="str">
        <f>VLOOKUP(dynamic[customerID],customers[],2,FALSE)</f>
        <v>Morgenstern Gesundkost</v>
      </c>
      <c r="D1397" s="24">
        <v>45276.0</v>
      </c>
      <c r="E1397" s="6">
        <f>IFERROR(__xludf.DUMMYFUNCTION("COUNTUNIQUEIFS($A$2:$A1397,$B$2:$B1397,B1397)"),4.0)</f>
        <v>4</v>
      </c>
      <c r="F1397" s="6">
        <f t="shared" si="1"/>
        <v>68</v>
      </c>
      <c r="G1397" s="6" t="str">
        <f>IF(MINIFS(dynamic[orderDate], dynamic[customerID], B1397) &gt;= DATE(2024,4,30)-120, 
     "New", 
     IF(MAXIFS(dynamic[orderCount], dynamic[customerID], B1397)&lt;=2, 
        IF((DATE(2024,4,30) - MAXIFS(dynamic[orderDate], dynamic[customerID], B1397)) &gt; 180, "Non-Returning", "Dormant"), 
        IF(AND(MAX(dynamic[sinceLastOrder]) &gt; 365, (DATE(2024,4,30) - MAXIFS(dynamic[orderDate], dynamic[customerID], B1397)) &gt; 180), 
           "Dormant", "Regular")))</f>
        <v>Regular</v>
      </c>
      <c r="H1397" s="6">
        <v>62.0</v>
      </c>
      <c r="I1397" s="9" t="str">
        <f>VLOOKUP(dynamic[productID],products[],2,FALSE)</f>
        <v>Tarte au sucre</v>
      </c>
      <c r="J1397" s="9" t="str">
        <f>VLOOKUP(dynamic[productID],products[],12,FALSE)</f>
        <v>Confections</v>
      </c>
      <c r="K1397" s="7" t="str">
        <f>IF(VLOOKUP(dynamic[productID],products[],7,FALSE)=1,"Discontinued","Current")</f>
        <v>Current</v>
      </c>
      <c r="L1397" s="9">
        <f>VLOOKUP(dynamic[productID],products[],IF(YEAR(dynamic[orderDate])=2022,8,IF(YEAR(dynamic[orderDate])=2023,9,IF(YEAR(dynamic[orderDate])=2024,10,NA))),FALSE)</f>
        <v>35.34792781</v>
      </c>
      <c r="M1397" s="9">
        <v>49.3</v>
      </c>
      <c r="N1397" s="25">
        <f>(dynamic[orderPrice]-dynamic[productCost])/dynamic[productCost]</f>
        <v>0.3947069335</v>
      </c>
      <c r="O1397" s="10">
        <v>20.0</v>
      </c>
      <c r="P1397" s="25">
        <v>0.0</v>
      </c>
      <c r="Q1397" s="9">
        <f>dynamic[orderPrice]*dynamic[orderQuantity]</f>
        <v>986</v>
      </c>
      <c r="R1397" s="9">
        <f>dynamic[orderTotal]*(1-dynamic[discountApllied])</f>
        <v>986</v>
      </c>
      <c r="S1397" s="9">
        <f>dynamic[revenue]-(dynamic[productCost]*dynamic[orderQuantity])</f>
        <v>279.0414438</v>
      </c>
      <c r="T1397" s="25">
        <f>IFERROR(dynamic[profit]/dynamic[revenue], 0)</f>
        <v>0.2830034927</v>
      </c>
    </row>
    <row r="1398" ht="15.75" customHeight="1">
      <c r="A1398" s="6">
        <v>10780.0</v>
      </c>
      <c r="B1398" s="7" t="s">
        <v>43</v>
      </c>
      <c r="C1398" s="24" t="str">
        <f>VLOOKUP(dynamic[customerID],customers[],2,FALSE)</f>
        <v>LILA-Supermercado</v>
      </c>
      <c r="D1398" s="24">
        <v>45276.0</v>
      </c>
      <c r="E1398" s="6">
        <f>IFERROR(__xludf.DUMMYFUNCTION("COUNTUNIQUEIFS($A$2:$A1398,$B$2:$B1398,B1398)"),9.0)</f>
        <v>9</v>
      </c>
      <c r="F1398" s="6">
        <f t="shared" si="1"/>
        <v>209</v>
      </c>
      <c r="G1398" s="6" t="str">
        <f>IF(MINIFS(dynamic[orderDate], dynamic[customerID], B1398) &gt;= DATE(2024,4,30)-120, 
     "New", 
     IF(MAXIFS(dynamic[orderCount], dynamic[customerID], B1398)&lt;=2, 
        IF((DATE(2024,4,30) - MAXIFS(dynamic[orderDate], dynamic[customerID], B1398)) &gt; 180, "Non-Returning", "Dormant"), 
        IF(AND(MAX(dynamic[sinceLastOrder]) &gt; 365, (DATE(2024,4,30) - MAXIFS(dynamic[orderDate], dynamic[customerID], B1398)) &gt; 180), 
           "Dormant", "Regular")))</f>
        <v>Regular</v>
      </c>
      <c r="H1398" s="6">
        <v>70.0</v>
      </c>
      <c r="I1398" s="9" t="str">
        <f>VLOOKUP(dynamic[productID],products[],2,FALSE)</f>
        <v>Outback Lager</v>
      </c>
      <c r="J1398" s="9" t="str">
        <f>VLOOKUP(dynamic[productID],products[],12,FALSE)</f>
        <v>Beverages</v>
      </c>
      <c r="K1398" s="7" t="str">
        <f>IF(VLOOKUP(dynamic[productID],products[],7,FALSE)=1,"Discontinued","Current")</f>
        <v>Current</v>
      </c>
      <c r="L1398" s="9">
        <f>VLOOKUP(dynamic[productID],products[],IF(YEAR(dynamic[orderDate])=2022,8,IF(YEAR(dynamic[orderDate])=2023,9,IF(YEAR(dynamic[orderDate])=2024,10,NA))),FALSE)</f>
        <v>9.793094091</v>
      </c>
      <c r="M1398" s="9">
        <v>15.0</v>
      </c>
      <c r="N1398" s="25">
        <f>(dynamic[orderPrice]-dynamic[productCost])/dynamic[productCost]</f>
        <v>0.5316916044</v>
      </c>
      <c r="O1398" s="10">
        <v>35.0</v>
      </c>
      <c r="P1398" s="25">
        <v>0.0</v>
      </c>
      <c r="Q1398" s="9">
        <f>dynamic[orderPrice]*dynamic[orderQuantity]</f>
        <v>525</v>
      </c>
      <c r="R1398" s="9">
        <f>dynamic[orderTotal]*(1-dynamic[discountApllied])</f>
        <v>525</v>
      </c>
      <c r="S1398" s="9">
        <f>dynamic[revenue]-(dynamic[productCost]*dynamic[orderQuantity])</f>
        <v>182.2417068</v>
      </c>
      <c r="T1398" s="25">
        <f>IFERROR(dynamic[profit]/dynamic[revenue], 0)</f>
        <v>0.3471270606</v>
      </c>
    </row>
    <row r="1399" ht="15.75" customHeight="1">
      <c r="A1399" s="6">
        <v>10780.0</v>
      </c>
      <c r="B1399" s="7" t="s">
        <v>43</v>
      </c>
      <c r="C1399" s="24" t="str">
        <f>VLOOKUP(dynamic[customerID],customers[],2,FALSE)</f>
        <v>LILA-Supermercado</v>
      </c>
      <c r="D1399" s="24">
        <v>45276.0</v>
      </c>
      <c r="E1399" s="6">
        <f>IFERROR(__xludf.DUMMYFUNCTION("COUNTUNIQUEIFS($A$2:$A1399,$B$2:$B1399,B1399)"),9.0)</f>
        <v>9</v>
      </c>
      <c r="F1399" s="6">
        <f t="shared" si="1"/>
        <v>209</v>
      </c>
      <c r="G1399" s="6" t="str">
        <f>IF(MINIFS(dynamic[orderDate], dynamic[customerID], B1399) &gt;= DATE(2024,4,30)-120, 
     "New", 
     IF(MAXIFS(dynamic[orderCount], dynamic[customerID], B1399)&lt;=2, 
        IF((DATE(2024,4,30) - MAXIFS(dynamic[orderDate], dynamic[customerID], B1399)) &gt; 180, "Non-Returning", "Dormant"), 
        IF(AND(MAX(dynamic[sinceLastOrder]) &gt; 365, (DATE(2024,4,30) - MAXIFS(dynamic[orderDate], dynamic[customerID], B1399)) &gt; 180), 
           "Dormant", "Regular")))</f>
        <v>Regular</v>
      </c>
      <c r="H1399" s="6">
        <v>77.0</v>
      </c>
      <c r="I1399" s="9" t="str">
        <f>VLOOKUP(dynamic[productID],products[],2,FALSE)</f>
        <v>Original Frankfurter grüne Soße</v>
      </c>
      <c r="J1399" s="9" t="str">
        <f>VLOOKUP(dynamic[productID],products[],12,FALSE)</f>
        <v>Condiments</v>
      </c>
      <c r="K1399" s="7" t="str">
        <f>IF(VLOOKUP(dynamic[productID],products[],7,FALSE)=1,"Discontinued","Current")</f>
        <v>Current</v>
      </c>
      <c r="L1399" s="9">
        <f>VLOOKUP(dynamic[productID],products[],IF(YEAR(dynamic[orderDate])=2022,8,IF(YEAR(dynamic[orderDate])=2023,9,IF(YEAR(dynamic[orderDate])=2024,10,NA))),FALSE)</f>
        <v>7.539056452</v>
      </c>
      <c r="M1399" s="9">
        <v>13.0</v>
      </c>
      <c r="N1399" s="25">
        <f>(dynamic[orderPrice]-dynamic[productCost])/dynamic[productCost]</f>
        <v>0.7243537149</v>
      </c>
      <c r="O1399" s="10">
        <v>15.0</v>
      </c>
      <c r="P1399" s="25">
        <v>0.0</v>
      </c>
      <c r="Q1399" s="9">
        <f>dynamic[orderPrice]*dynamic[orderQuantity]</f>
        <v>195</v>
      </c>
      <c r="R1399" s="9">
        <f>dynamic[orderTotal]*(1-dynamic[discountApllied])</f>
        <v>195</v>
      </c>
      <c r="S1399" s="9">
        <f>dynamic[revenue]-(dynamic[productCost]*dynamic[orderQuantity])</f>
        <v>81.91415322</v>
      </c>
      <c r="T1399" s="25">
        <f>IFERROR(dynamic[profit]/dynamic[revenue], 0)</f>
        <v>0.4200725806</v>
      </c>
    </row>
    <row r="1400" ht="15.75" customHeight="1">
      <c r="A1400" s="6">
        <v>10781.0</v>
      </c>
      <c r="B1400" s="7" t="s">
        <v>31</v>
      </c>
      <c r="C1400" s="24" t="str">
        <f>VLOOKUP(dynamic[customerID],customers[],2,FALSE)</f>
        <v>Wartian Herkku</v>
      </c>
      <c r="D1400" s="24">
        <v>45277.0</v>
      </c>
      <c r="E1400" s="6">
        <f>IFERROR(__xludf.DUMMYFUNCTION("COUNTUNIQUEIFS($A$2:$A1400,$B$2:$B1400,B1400)"),14.0)</f>
        <v>14</v>
      </c>
      <c r="F1400" s="6">
        <f t="shared" si="1"/>
        <v>26</v>
      </c>
      <c r="G1400" s="6" t="str">
        <f>IF(MINIFS(dynamic[orderDate], dynamic[customerID], B1400) &gt;= DATE(2024,4,30)-120, 
     "New", 
     IF(MAXIFS(dynamic[orderCount], dynamic[customerID], B1400)&lt;=2, 
        IF((DATE(2024,4,30) - MAXIFS(dynamic[orderDate], dynamic[customerID], B1400)) &gt; 180, "Non-Returning", "Dormant"), 
        IF(AND(MAX(dynamic[sinceLastOrder]) &gt; 365, (DATE(2024,4,30) - MAXIFS(dynamic[orderDate], dynamic[customerID], B1400)) &gt; 180), 
           "Dormant", "Regular")))</f>
        <v>Regular</v>
      </c>
      <c r="H1400" s="6">
        <v>54.0</v>
      </c>
      <c r="I1400" s="9" t="str">
        <f>VLOOKUP(dynamic[productID],products[],2,FALSE)</f>
        <v>Tourtière</v>
      </c>
      <c r="J1400" s="9" t="str">
        <f>VLOOKUP(dynamic[productID],products[],12,FALSE)</f>
        <v>Meat/Poultry</v>
      </c>
      <c r="K1400" s="7" t="str">
        <f>IF(VLOOKUP(dynamic[productID],products[],7,FALSE)=1,"Discontinued","Current")</f>
        <v>Current</v>
      </c>
      <c r="L1400" s="9">
        <f>VLOOKUP(dynamic[productID],products[],IF(YEAR(dynamic[orderDate])=2022,8,IF(YEAR(dynamic[orderDate])=2023,9,IF(YEAR(dynamic[orderDate])=2024,10,NA))),FALSE)</f>
        <v>4.924447797</v>
      </c>
      <c r="M1400" s="9">
        <v>7.45</v>
      </c>
      <c r="N1400" s="25">
        <f>(dynamic[orderPrice]-dynamic[productCost])/dynamic[productCost]</f>
        <v>0.5128599808</v>
      </c>
      <c r="O1400" s="10">
        <v>3.0</v>
      </c>
      <c r="P1400" s="25">
        <v>0.2</v>
      </c>
      <c r="Q1400" s="9">
        <f>dynamic[orderPrice]*dynamic[orderQuantity]</f>
        <v>22.35</v>
      </c>
      <c r="R1400" s="9">
        <f>dynamic[orderTotal]*(1-dynamic[discountApllied])</f>
        <v>17.88</v>
      </c>
      <c r="S1400" s="9">
        <f>dynamic[revenue]-(dynamic[productCost]*dynamic[orderQuantity])</f>
        <v>3.106656609</v>
      </c>
      <c r="T1400" s="25">
        <f>IFERROR(dynamic[profit]/dynamic[revenue], 0)</f>
        <v>0.1737503696</v>
      </c>
    </row>
    <row r="1401" ht="15.75" customHeight="1">
      <c r="A1401" s="6">
        <v>10781.0</v>
      </c>
      <c r="B1401" s="7" t="s">
        <v>31</v>
      </c>
      <c r="C1401" s="24" t="str">
        <f>VLOOKUP(dynamic[customerID],customers[],2,FALSE)</f>
        <v>Wartian Herkku</v>
      </c>
      <c r="D1401" s="24">
        <v>45277.0</v>
      </c>
      <c r="E1401" s="6">
        <f>IFERROR(__xludf.DUMMYFUNCTION("COUNTUNIQUEIFS($A$2:$A1401,$B$2:$B1401,B1401)"),14.0)</f>
        <v>14</v>
      </c>
      <c r="F1401" s="6">
        <f t="shared" si="1"/>
        <v>26</v>
      </c>
      <c r="G1401" s="6" t="str">
        <f>IF(MINIFS(dynamic[orderDate], dynamic[customerID], B1401) &gt;= DATE(2024,4,30)-120, 
     "New", 
     IF(MAXIFS(dynamic[orderCount], dynamic[customerID], B1401)&lt;=2, 
        IF((DATE(2024,4,30) - MAXIFS(dynamic[orderDate], dynamic[customerID], B1401)) &gt; 180, "Non-Returning", "Dormant"), 
        IF(AND(MAX(dynamic[sinceLastOrder]) &gt; 365, (DATE(2024,4,30) - MAXIFS(dynamic[orderDate], dynamic[customerID], B1401)) &gt; 180), 
           "Dormant", "Regular")))</f>
        <v>Regular</v>
      </c>
      <c r="H1401" s="6">
        <v>56.0</v>
      </c>
      <c r="I1401" s="9" t="str">
        <f>VLOOKUP(dynamic[productID],products[],2,FALSE)</f>
        <v>Gnocchi di nonna Alice</v>
      </c>
      <c r="J1401" s="9" t="str">
        <f>VLOOKUP(dynamic[productID],products[],12,FALSE)</f>
        <v>Grains/Cereals</v>
      </c>
      <c r="K1401" s="7" t="str">
        <f>IF(VLOOKUP(dynamic[productID],products[],7,FALSE)=1,"Discontinued","Current")</f>
        <v>Current</v>
      </c>
      <c r="L1401" s="9">
        <f>VLOOKUP(dynamic[productID],products[],IF(YEAR(dynamic[orderDate])=2022,8,IF(YEAR(dynamic[orderDate])=2023,9,IF(YEAR(dynamic[orderDate])=2024,10,NA))),FALSE)</f>
        <v>24.28342441</v>
      </c>
      <c r="M1401" s="9">
        <v>38.0</v>
      </c>
      <c r="N1401" s="25">
        <f>(dynamic[orderPrice]-dynamic[productCost])/dynamic[productCost]</f>
        <v>0.5648534309</v>
      </c>
      <c r="O1401" s="10">
        <v>20.0</v>
      </c>
      <c r="P1401" s="25">
        <v>0.2</v>
      </c>
      <c r="Q1401" s="9">
        <f>dynamic[orderPrice]*dynamic[orderQuantity]</f>
        <v>760</v>
      </c>
      <c r="R1401" s="9">
        <f>dynamic[orderTotal]*(1-dynamic[discountApllied])</f>
        <v>608</v>
      </c>
      <c r="S1401" s="9">
        <f>dynamic[revenue]-(dynamic[productCost]*dynamic[orderQuantity])</f>
        <v>122.3315118</v>
      </c>
      <c r="T1401" s="25">
        <f>IFERROR(dynamic[profit]/dynamic[revenue], 0)</f>
        <v>0.2012031445</v>
      </c>
    </row>
    <row r="1402" ht="15.75" customHeight="1">
      <c r="A1402" s="6">
        <v>10781.0</v>
      </c>
      <c r="B1402" s="7" t="s">
        <v>31</v>
      </c>
      <c r="C1402" s="24" t="str">
        <f>VLOOKUP(dynamic[customerID],customers[],2,FALSE)</f>
        <v>Wartian Herkku</v>
      </c>
      <c r="D1402" s="24">
        <v>45277.0</v>
      </c>
      <c r="E1402" s="6">
        <f>IFERROR(__xludf.DUMMYFUNCTION("COUNTUNIQUEIFS($A$2:$A1402,$B$2:$B1402,B1402)"),14.0)</f>
        <v>14</v>
      </c>
      <c r="F1402" s="6">
        <f t="shared" si="1"/>
        <v>26</v>
      </c>
      <c r="G1402" s="6" t="str">
        <f>IF(MINIFS(dynamic[orderDate], dynamic[customerID], B1402) &gt;= DATE(2024,4,30)-120, 
     "New", 
     IF(MAXIFS(dynamic[orderCount], dynamic[customerID], B1402)&lt;=2, 
        IF((DATE(2024,4,30) - MAXIFS(dynamic[orderDate], dynamic[customerID], B1402)) &gt; 180, "Non-Returning", "Dormant"), 
        IF(AND(MAX(dynamic[sinceLastOrder]) &gt; 365, (DATE(2024,4,30) - MAXIFS(dynamic[orderDate], dynamic[customerID], B1402)) &gt; 180), 
           "Dormant", "Regular")))</f>
        <v>Regular</v>
      </c>
      <c r="H1402" s="6">
        <v>74.0</v>
      </c>
      <c r="I1402" s="9" t="str">
        <f>VLOOKUP(dynamic[productID],products[],2,FALSE)</f>
        <v>Longlife Tofu</v>
      </c>
      <c r="J1402" s="9" t="str">
        <f>VLOOKUP(dynamic[productID],products[],12,FALSE)</f>
        <v>Produce</v>
      </c>
      <c r="K1402" s="7" t="str">
        <f>IF(VLOOKUP(dynamic[productID],products[],7,FALSE)=1,"Discontinued","Current")</f>
        <v>Current</v>
      </c>
      <c r="L1402" s="9">
        <f>VLOOKUP(dynamic[productID],products[],IF(YEAR(dynamic[orderDate])=2022,8,IF(YEAR(dynamic[orderDate])=2023,9,IF(YEAR(dynamic[orderDate])=2024,10,NA))),FALSE)</f>
        <v>6.510240467</v>
      </c>
      <c r="M1402" s="9">
        <v>10.0</v>
      </c>
      <c r="N1402" s="25">
        <f>(dynamic[orderPrice]-dynamic[productCost])/dynamic[productCost]</f>
        <v>0.5360415719</v>
      </c>
      <c r="O1402" s="10">
        <v>35.0</v>
      </c>
      <c r="P1402" s="25">
        <v>0.0</v>
      </c>
      <c r="Q1402" s="9">
        <f>dynamic[orderPrice]*dynamic[orderQuantity]</f>
        <v>350</v>
      </c>
      <c r="R1402" s="9">
        <f>dynamic[orderTotal]*(1-dynamic[discountApllied])</f>
        <v>350</v>
      </c>
      <c r="S1402" s="9">
        <f>dynamic[revenue]-(dynamic[productCost]*dynamic[orderQuantity])</f>
        <v>122.1415837</v>
      </c>
      <c r="T1402" s="25">
        <f>IFERROR(dynamic[profit]/dynamic[revenue], 0)</f>
        <v>0.3489759533</v>
      </c>
    </row>
    <row r="1403" ht="15.75" customHeight="1">
      <c r="A1403" s="6">
        <v>10782.0</v>
      </c>
      <c r="B1403" s="7" t="s">
        <v>93</v>
      </c>
      <c r="C1403" s="24" t="str">
        <f>VLOOKUP(dynamic[customerID],customers[],2,FALSE)</f>
        <v>Cactus Comidas para llevar</v>
      </c>
      <c r="D1403" s="24">
        <v>45277.0</v>
      </c>
      <c r="E1403" s="6">
        <f>IFERROR(__xludf.DUMMYFUNCTION("COUNTUNIQUEIFS($A$2:$A1403,$B$2:$B1403,B1403)"),2.0)</f>
        <v>2</v>
      </c>
      <c r="F1403" s="6">
        <f t="shared" si="1"/>
        <v>232</v>
      </c>
      <c r="G1403" s="6" t="str">
        <f>IF(MINIFS(dynamic[orderDate], dynamic[customerID], B1403) &gt;= DATE(2024,4,30)-120, 
     "New", 
     IF(MAXIFS(dynamic[orderCount], dynamic[customerID], B1403)&lt;=2, 
        IF((DATE(2024,4,30) - MAXIFS(dynamic[orderDate], dynamic[customerID], B1403)) &gt; 180, "Non-Returning", "Dormant"), 
        IF(AND(MAX(dynamic[sinceLastOrder]) &gt; 365, (DATE(2024,4,30) - MAXIFS(dynamic[orderDate], dynamic[customerID], B1403)) &gt; 180), 
           "Dormant", "Regular")))</f>
        <v>Regular</v>
      </c>
      <c r="H1403" s="6">
        <v>31.0</v>
      </c>
      <c r="I1403" s="9" t="str">
        <f>VLOOKUP(dynamic[productID],products[],2,FALSE)</f>
        <v>Gorgonzola Telino</v>
      </c>
      <c r="J1403" s="9" t="str">
        <f>VLOOKUP(dynamic[productID],products[],12,FALSE)</f>
        <v>Dairy Products</v>
      </c>
      <c r="K1403" s="7" t="str">
        <f>IF(VLOOKUP(dynamic[productID],products[],7,FALSE)=1,"Discontinued","Current")</f>
        <v>Current</v>
      </c>
      <c r="L1403" s="9">
        <f>VLOOKUP(dynamic[productID],products[],IF(YEAR(dynamic[orderDate])=2022,8,IF(YEAR(dynamic[orderDate])=2023,9,IF(YEAR(dynamic[orderDate])=2024,10,NA))),FALSE)</f>
        <v>7.937729254</v>
      </c>
      <c r="M1403" s="9">
        <v>12.5</v>
      </c>
      <c r="N1403" s="25">
        <f>(dynamic[orderPrice]-dynamic[productCost])/dynamic[productCost]</f>
        <v>0.5747576668</v>
      </c>
      <c r="O1403" s="10">
        <v>1.0</v>
      </c>
      <c r="P1403" s="25">
        <v>0.0</v>
      </c>
      <c r="Q1403" s="9">
        <f>dynamic[orderPrice]*dynamic[orderQuantity]</f>
        <v>12.5</v>
      </c>
      <c r="R1403" s="9">
        <f>dynamic[orderTotal]*(1-dynamic[discountApllied])</f>
        <v>12.5</v>
      </c>
      <c r="S1403" s="9">
        <f>dynamic[revenue]-(dynamic[productCost]*dynamic[orderQuantity])</f>
        <v>4.562270746</v>
      </c>
      <c r="T1403" s="25">
        <f>IFERROR(dynamic[profit]/dynamic[revenue], 0)</f>
        <v>0.3649816597</v>
      </c>
    </row>
    <row r="1404" ht="15.75" customHeight="1">
      <c r="A1404" s="6">
        <v>10783.0</v>
      </c>
      <c r="B1404" s="7" t="s">
        <v>16</v>
      </c>
      <c r="C1404" s="24" t="str">
        <f>VLOOKUP(dynamic[customerID],customers[],2,FALSE)</f>
        <v>Hanari Carnes</v>
      </c>
      <c r="D1404" s="24">
        <v>45278.0</v>
      </c>
      <c r="E1404" s="6">
        <f>IFERROR(__xludf.DUMMYFUNCTION("COUNTUNIQUEIFS($A$2:$A1404,$B$2:$B1404,B1404)"),7.0)</f>
        <v>7</v>
      </c>
      <c r="F1404" s="6">
        <f t="shared" si="1"/>
        <v>9</v>
      </c>
      <c r="G1404" s="6" t="str">
        <f>IF(MINIFS(dynamic[orderDate], dynamic[customerID], B1404) &gt;= DATE(2024,4,30)-120, 
     "New", 
     IF(MAXIFS(dynamic[orderCount], dynamic[customerID], B1404)&lt;=2, 
        IF((DATE(2024,4,30) - MAXIFS(dynamic[orderDate], dynamic[customerID], B1404)) &gt; 180, "Non-Returning", "Dormant"), 
        IF(AND(MAX(dynamic[sinceLastOrder]) &gt; 365, (DATE(2024,4,30) - MAXIFS(dynamic[orderDate], dynamic[customerID], B1404)) &gt; 180), 
           "Dormant", "Regular")))</f>
        <v>Regular</v>
      </c>
      <c r="H1404" s="6">
        <v>31.0</v>
      </c>
      <c r="I1404" s="9" t="str">
        <f>VLOOKUP(dynamic[productID],products[],2,FALSE)</f>
        <v>Gorgonzola Telino</v>
      </c>
      <c r="J1404" s="9" t="str">
        <f>VLOOKUP(dynamic[productID],products[],12,FALSE)</f>
        <v>Dairy Products</v>
      </c>
      <c r="K1404" s="7" t="str">
        <f>IF(VLOOKUP(dynamic[productID],products[],7,FALSE)=1,"Discontinued","Current")</f>
        <v>Current</v>
      </c>
      <c r="L1404" s="9">
        <f>VLOOKUP(dynamic[productID],products[],IF(YEAR(dynamic[orderDate])=2022,8,IF(YEAR(dynamic[orderDate])=2023,9,IF(YEAR(dynamic[orderDate])=2024,10,NA))),FALSE)</f>
        <v>7.937729254</v>
      </c>
      <c r="M1404" s="9">
        <v>12.5</v>
      </c>
      <c r="N1404" s="25">
        <f>(dynamic[orderPrice]-dynamic[productCost])/dynamic[productCost]</f>
        <v>0.5747576668</v>
      </c>
      <c r="O1404" s="10">
        <v>10.0</v>
      </c>
      <c r="P1404" s="25">
        <v>0.0</v>
      </c>
      <c r="Q1404" s="9">
        <f>dynamic[orderPrice]*dynamic[orderQuantity]</f>
        <v>125</v>
      </c>
      <c r="R1404" s="9">
        <f>dynamic[orderTotal]*(1-dynamic[discountApllied])</f>
        <v>125</v>
      </c>
      <c r="S1404" s="9">
        <f>dynamic[revenue]-(dynamic[productCost]*dynamic[orderQuantity])</f>
        <v>45.62270746</v>
      </c>
      <c r="T1404" s="25">
        <f>IFERROR(dynamic[profit]/dynamic[revenue], 0)</f>
        <v>0.3649816597</v>
      </c>
    </row>
    <row r="1405" ht="15.75" customHeight="1">
      <c r="A1405" s="6">
        <v>10783.0</v>
      </c>
      <c r="B1405" s="7" t="s">
        <v>16</v>
      </c>
      <c r="C1405" s="24" t="str">
        <f>VLOOKUP(dynamic[customerID],customers[],2,FALSE)</f>
        <v>Hanari Carnes</v>
      </c>
      <c r="D1405" s="24">
        <v>45278.0</v>
      </c>
      <c r="E1405" s="6">
        <f>IFERROR(__xludf.DUMMYFUNCTION("COUNTUNIQUEIFS($A$2:$A1405,$B$2:$B1405,B1405)"),7.0)</f>
        <v>7</v>
      </c>
      <c r="F1405" s="6">
        <f t="shared" si="1"/>
        <v>9</v>
      </c>
      <c r="G1405" s="6" t="str">
        <f>IF(MINIFS(dynamic[orderDate], dynamic[customerID], B1405) &gt;= DATE(2024,4,30)-120, 
     "New", 
     IF(MAXIFS(dynamic[orderCount], dynamic[customerID], B1405)&lt;=2, 
        IF((DATE(2024,4,30) - MAXIFS(dynamic[orderDate], dynamic[customerID], B1405)) &gt; 180, "Non-Returning", "Dormant"), 
        IF(AND(MAX(dynamic[sinceLastOrder]) &gt; 365, (DATE(2024,4,30) - MAXIFS(dynamic[orderDate], dynamic[customerID], B1405)) &gt; 180), 
           "Dormant", "Regular")))</f>
        <v>Regular</v>
      </c>
      <c r="H1405" s="6">
        <v>38.0</v>
      </c>
      <c r="I1405" s="9" t="str">
        <f>VLOOKUP(dynamic[productID],products[],2,FALSE)</f>
        <v>Côte de Blaye</v>
      </c>
      <c r="J1405" s="9" t="str">
        <f>VLOOKUP(dynamic[productID],products[],12,FALSE)</f>
        <v>Beverages</v>
      </c>
      <c r="K1405" s="7" t="str">
        <f>IF(VLOOKUP(dynamic[productID],products[],7,FALSE)=1,"Discontinued","Current")</f>
        <v>Current</v>
      </c>
      <c r="L1405" s="9">
        <f>VLOOKUP(dynamic[productID],products[],IF(YEAR(dynamic[orderDate])=2022,8,IF(YEAR(dynamic[orderDate])=2023,9,IF(YEAR(dynamic[orderDate])=2024,10,NA))),FALSE)</f>
        <v>175.9515711</v>
      </c>
      <c r="M1405" s="9">
        <v>263.5</v>
      </c>
      <c r="N1405" s="25">
        <f>(dynamic[orderPrice]-dynamic[productCost])/dynamic[productCost]</f>
        <v>0.4975711688</v>
      </c>
      <c r="O1405" s="10">
        <v>5.0</v>
      </c>
      <c r="P1405" s="25">
        <v>0.0</v>
      </c>
      <c r="Q1405" s="9">
        <f>dynamic[orderPrice]*dynamic[orderQuantity]</f>
        <v>1317.5</v>
      </c>
      <c r="R1405" s="9">
        <f>dynamic[orderTotal]*(1-dynamic[discountApllied])</f>
        <v>1317.5</v>
      </c>
      <c r="S1405" s="9">
        <f>dynamic[revenue]-(dynamic[productCost]*dynamic[orderQuantity])</f>
        <v>437.7421445</v>
      </c>
      <c r="T1405" s="25">
        <f>IFERROR(dynamic[profit]/dynamic[revenue], 0)</f>
        <v>0.3322521021</v>
      </c>
    </row>
    <row r="1406" ht="15.75" customHeight="1">
      <c r="A1406" s="6">
        <v>10784.0</v>
      </c>
      <c r="B1406" s="7" t="s">
        <v>37</v>
      </c>
      <c r="C1406" s="24" t="str">
        <f>VLOOKUP(dynamic[customerID],customers[],2,FALSE)</f>
        <v>Magazzini Alimentari Riuniti</v>
      </c>
      <c r="D1406" s="24">
        <v>45278.0</v>
      </c>
      <c r="E1406" s="6">
        <f>IFERROR(__xludf.DUMMYFUNCTION("COUNTUNIQUEIFS($A$2:$A1406,$B$2:$B1406,B1406)"),7.0)</f>
        <v>7</v>
      </c>
      <c r="F1406" s="6">
        <f t="shared" si="1"/>
        <v>23</v>
      </c>
      <c r="G1406" s="6" t="str">
        <f>IF(MINIFS(dynamic[orderDate], dynamic[customerID], B1406) &gt;= DATE(2024,4,30)-120, 
     "New", 
     IF(MAXIFS(dynamic[orderCount], dynamic[customerID], B1406)&lt;=2, 
        IF((DATE(2024,4,30) - MAXIFS(dynamic[orderDate], dynamic[customerID], B1406)) &gt; 180, "Non-Returning", "Dormant"), 
        IF(AND(MAX(dynamic[sinceLastOrder]) &gt; 365, (DATE(2024,4,30) - MAXIFS(dynamic[orderDate], dynamic[customerID], B1406)) &gt; 180), 
           "Dormant", "Regular")))</f>
        <v>Regular</v>
      </c>
      <c r="H1406" s="6">
        <v>36.0</v>
      </c>
      <c r="I1406" s="9" t="str">
        <f>VLOOKUP(dynamic[productID],products[],2,FALSE)</f>
        <v>Inlagd Sill</v>
      </c>
      <c r="J1406" s="9" t="str">
        <f>VLOOKUP(dynamic[productID],products[],12,FALSE)</f>
        <v>Seafood</v>
      </c>
      <c r="K1406" s="7" t="str">
        <f>IF(VLOOKUP(dynamic[productID],products[],7,FALSE)=1,"Discontinued","Current")</f>
        <v>Current</v>
      </c>
      <c r="L1406" s="9">
        <f>VLOOKUP(dynamic[productID],products[],IF(YEAR(dynamic[orderDate])=2022,8,IF(YEAR(dynamic[orderDate])=2023,9,IF(YEAR(dynamic[orderDate])=2024,10,NA))),FALSE)</f>
        <v>12.15246269</v>
      </c>
      <c r="M1406" s="9">
        <v>19.0</v>
      </c>
      <c r="N1406" s="25">
        <f>(dynamic[orderPrice]-dynamic[productCost])/dynamic[productCost]</f>
        <v>0.5634691082</v>
      </c>
      <c r="O1406" s="10">
        <v>30.0</v>
      </c>
      <c r="P1406" s="25">
        <v>0.0</v>
      </c>
      <c r="Q1406" s="9">
        <f>dynamic[orderPrice]*dynamic[orderQuantity]</f>
        <v>570</v>
      </c>
      <c r="R1406" s="9">
        <f>dynamic[orderTotal]*(1-dynamic[discountApllied])</f>
        <v>570</v>
      </c>
      <c r="S1406" s="9">
        <f>dynamic[revenue]-(dynamic[productCost]*dynamic[orderQuantity])</f>
        <v>205.4261194</v>
      </c>
      <c r="T1406" s="25">
        <f>IFERROR(dynamic[profit]/dynamic[revenue], 0)</f>
        <v>0.3603967007</v>
      </c>
    </row>
    <row r="1407" ht="15.75" customHeight="1">
      <c r="A1407" s="6">
        <v>10784.0</v>
      </c>
      <c r="B1407" s="7" t="s">
        <v>37</v>
      </c>
      <c r="C1407" s="24" t="str">
        <f>VLOOKUP(dynamic[customerID],customers[],2,FALSE)</f>
        <v>Magazzini Alimentari Riuniti</v>
      </c>
      <c r="D1407" s="24">
        <v>45278.0</v>
      </c>
      <c r="E1407" s="6">
        <f>IFERROR(__xludf.DUMMYFUNCTION("COUNTUNIQUEIFS($A$2:$A1407,$B$2:$B1407,B1407)"),7.0)</f>
        <v>7</v>
      </c>
      <c r="F1407" s="6">
        <f t="shared" si="1"/>
        <v>23</v>
      </c>
      <c r="G1407" s="6" t="str">
        <f>IF(MINIFS(dynamic[orderDate], dynamic[customerID], B1407) &gt;= DATE(2024,4,30)-120, 
     "New", 
     IF(MAXIFS(dynamic[orderCount], dynamic[customerID], B1407)&lt;=2, 
        IF((DATE(2024,4,30) - MAXIFS(dynamic[orderDate], dynamic[customerID], B1407)) &gt; 180, "Non-Returning", "Dormant"), 
        IF(AND(MAX(dynamic[sinceLastOrder]) &gt; 365, (DATE(2024,4,30) - MAXIFS(dynamic[orderDate], dynamic[customerID], B1407)) &gt; 180), 
           "Dormant", "Regular")))</f>
        <v>Regular</v>
      </c>
      <c r="H1407" s="6">
        <v>39.0</v>
      </c>
      <c r="I1407" s="9" t="str">
        <f>VLOOKUP(dynamic[productID],products[],2,FALSE)</f>
        <v>Chartreuse verte</v>
      </c>
      <c r="J1407" s="9" t="str">
        <f>VLOOKUP(dynamic[productID],products[],12,FALSE)</f>
        <v>Beverages</v>
      </c>
      <c r="K1407" s="7" t="str">
        <f>IF(VLOOKUP(dynamic[productID],products[],7,FALSE)=1,"Discontinued","Current")</f>
        <v>Current</v>
      </c>
      <c r="L1407" s="9">
        <f>VLOOKUP(dynamic[productID],products[],IF(YEAR(dynamic[orderDate])=2022,8,IF(YEAR(dynamic[orderDate])=2023,9,IF(YEAR(dynamic[orderDate])=2024,10,NA))),FALSE)</f>
        <v>11.73311441</v>
      </c>
      <c r="M1407" s="9">
        <v>18.0</v>
      </c>
      <c r="N1407" s="25">
        <f>(dynamic[orderPrice]-dynamic[productCost])/dynamic[productCost]</f>
        <v>0.5341195326</v>
      </c>
      <c r="O1407" s="10">
        <v>2.0</v>
      </c>
      <c r="P1407" s="25">
        <v>0.15</v>
      </c>
      <c r="Q1407" s="9">
        <f>dynamic[orderPrice]*dynamic[orderQuantity]</f>
        <v>36</v>
      </c>
      <c r="R1407" s="9">
        <f>dynamic[orderTotal]*(1-dynamic[discountApllied])</f>
        <v>30.6</v>
      </c>
      <c r="S1407" s="9">
        <f>dynamic[revenue]-(dynamic[productCost]*dynamic[orderQuantity])</f>
        <v>7.133771174</v>
      </c>
      <c r="T1407" s="25">
        <f>IFERROR(dynamic[profit]/dynamic[revenue], 0)</f>
        <v>0.2331297769</v>
      </c>
    </row>
    <row r="1408" ht="15.75" customHeight="1">
      <c r="A1408" s="6">
        <v>10784.0</v>
      </c>
      <c r="B1408" s="7" t="s">
        <v>37</v>
      </c>
      <c r="C1408" s="24" t="str">
        <f>VLOOKUP(dynamic[customerID],customers[],2,FALSE)</f>
        <v>Magazzini Alimentari Riuniti</v>
      </c>
      <c r="D1408" s="24">
        <v>45278.0</v>
      </c>
      <c r="E1408" s="6">
        <f>IFERROR(__xludf.DUMMYFUNCTION("COUNTUNIQUEIFS($A$2:$A1408,$B$2:$B1408,B1408)"),7.0)</f>
        <v>7</v>
      </c>
      <c r="F1408" s="6">
        <f t="shared" si="1"/>
        <v>23</v>
      </c>
      <c r="G1408" s="6" t="str">
        <f>IF(MINIFS(dynamic[orderDate], dynamic[customerID], B1408) &gt;= DATE(2024,4,30)-120, 
     "New", 
     IF(MAXIFS(dynamic[orderCount], dynamic[customerID], B1408)&lt;=2, 
        IF((DATE(2024,4,30) - MAXIFS(dynamic[orderDate], dynamic[customerID], B1408)) &gt; 180, "Non-Returning", "Dormant"), 
        IF(AND(MAX(dynamic[sinceLastOrder]) &gt; 365, (DATE(2024,4,30) - MAXIFS(dynamic[orderDate], dynamic[customerID], B1408)) &gt; 180), 
           "Dormant", "Regular")))</f>
        <v>Regular</v>
      </c>
      <c r="H1408" s="6">
        <v>72.0</v>
      </c>
      <c r="I1408" s="9" t="str">
        <f>VLOOKUP(dynamic[productID],products[],2,FALSE)</f>
        <v>Mozzarella di Giovanni</v>
      </c>
      <c r="J1408" s="9" t="str">
        <f>VLOOKUP(dynamic[productID],products[],12,FALSE)</f>
        <v>Dairy Products</v>
      </c>
      <c r="K1408" s="7" t="str">
        <f>IF(VLOOKUP(dynamic[productID],products[],7,FALSE)=1,"Discontinued","Current")</f>
        <v>Current</v>
      </c>
      <c r="L1408" s="9">
        <f>VLOOKUP(dynamic[productID],products[],IF(YEAR(dynamic[orderDate])=2022,8,IF(YEAR(dynamic[orderDate])=2023,9,IF(YEAR(dynamic[orderDate])=2024,10,NA))),FALSE)</f>
        <v>23.51933768</v>
      </c>
      <c r="M1408" s="9">
        <v>34.8</v>
      </c>
      <c r="N1408" s="25">
        <f>(dynamic[orderPrice]-dynamic[productCost])/dynamic[productCost]</f>
        <v>0.4796335031</v>
      </c>
      <c r="O1408" s="10">
        <v>30.0</v>
      </c>
      <c r="P1408" s="25">
        <v>0.15</v>
      </c>
      <c r="Q1408" s="9">
        <f>dynamic[orderPrice]*dynamic[orderQuantity]</f>
        <v>1044</v>
      </c>
      <c r="R1408" s="9">
        <f>dynamic[orderTotal]*(1-dynamic[discountApllied])</f>
        <v>887.4</v>
      </c>
      <c r="S1408" s="9">
        <f>dynamic[revenue]-(dynamic[productCost]*dynamic[orderQuantity])</f>
        <v>181.8198696</v>
      </c>
      <c r="T1408" s="25">
        <f>IFERROR(dynamic[profit]/dynamic[revenue], 0)</f>
        <v>0.204890545</v>
      </c>
    </row>
    <row r="1409" ht="15.75" customHeight="1">
      <c r="A1409" s="6">
        <v>10785.0</v>
      </c>
      <c r="B1409" s="7" t="s">
        <v>33</v>
      </c>
      <c r="C1409" s="24" t="str">
        <f>VLOOKUP(dynamic[customerID],customers[],2,FALSE)</f>
        <v>GROSELLA-Restaurante</v>
      </c>
      <c r="D1409" s="24">
        <v>45278.0</v>
      </c>
      <c r="E1409" s="6">
        <f>IFERROR(__xludf.DUMMYFUNCTION("COUNTUNIQUEIFS($A$2:$A1409,$B$2:$B1409,B1409)"),2.0)</f>
        <v>2</v>
      </c>
      <c r="F1409" s="6">
        <f t="shared" si="1"/>
        <v>506</v>
      </c>
      <c r="G1409" s="6" t="str">
        <f>IF(MINIFS(dynamic[orderDate], dynamic[customerID], B1409) &gt;= DATE(2024,4,30)-120, 
     "New", 
     IF(MAXIFS(dynamic[orderCount], dynamic[customerID], B1409)&lt;=2, 
        IF((DATE(2024,4,30) - MAXIFS(dynamic[orderDate], dynamic[customerID], B1409)) &gt; 180, "Non-Returning", "Dormant"), 
        IF(AND(MAX(dynamic[sinceLastOrder]) &gt; 365, (DATE(2024,4,30) - MAXIFS(dynamic[orderDate], dynamic[customerID], B1409)) &gt; 180), 
           "Dormant", "Regular")))</f>
        <v>Dormant</v>
      </c>
      <c r="H1409" s="6">
        <v>10.0</v>
      </c>
      <c r="I1409" s="9" t="str">
        <f>VLOOKUP(dynamic[productID],products[],2,FALSE)</f>
        <v>Ikura</v>
      </c>
      <c r="J1409" s="9" t="str">
        <f>VLOOKUP(dynamic[productID],products[],12,FALSE)</f>
        <v>Seafood</v>
      </c>
      <c r="K1409" s="7" t="str">
        <f>IF(VLOOKUP(dynamic[productID],products[],7,FALSE)=1,"Discontinued","Current")</f>
        <v>Current</v>
      </c>
      <c r="L1409" s="9">
        <f>VLOOKUP(dynamic[productID],products[],IF(YEAR(dynamic[orderDate])=2022,8,IF(YEAR(dynamic[orderDate])=2023,9,IF(YEAR(dynamic[orderDate])=2024,10,NA))),FALSE)</f>
        <v>20.72721922</v>
      </c>
      <c r="M1409" s="9">
        <v>31.0</v>
      </c>
      <c r="N1409" s="25">
        <f>(dynamic[orderPrice]-dynamic[productCost])/dynamic[productCost]</f>
        <v>0.4956178962</v>
      </c>
      <c r="O1409" s="10">
        <v>10.0</v>
      </c>
      <c r="P1409" s="25">
        <v>0.0</v>
      </c>
      <c r="Q1409" s="9">
        <f>dynamic[orderPrice]*dynamic[orderQuantity]</f>
        <v>310</v>
      </c>
      <c r="R1409" s="9">
        <f>dynamic[orderTotal]*(1-dynamic[discountApllied])</f>
        <v>310</v>
      </c>
      <c r="S1409" s="9">
        <f>dynamic[revenue]-(dynamic[productCost]*dynamic[orderQuantity])</f>
        <v>102.7278078</v>
      </c>
      <c r="T1409" s="25">
        <f>IFERROR(dynamic[profit]/dynamic[revenue], 0)</f>
        <v>0.3313800252</v>
      </c>
    </row>
    <row r="1410" ht="15.75" customHeight="1">
      <c r="A1410" s="6">
        <v>10785.0</v>
      </c>
      <c r="B1410" s="7" t="s">
        <v>33</v>
      </c>
      <c r="C1410" s="24" t="str">
        <f>VLOOKUP(dynamic[customerID],customers[],2,FALSE)</f>
        <v>GROSELLA-Restaurante</v>
      </c>
      <c r="D1410" s="24">
        <v>45278.0</v>
      </c>
      <c r="E1410" s="6">
        <f>IFERROR(__xludf.DUMMYFUNCTION("COUNTUNIQUEIFS($A$2:$A1410,$B$2:$B1410,B1410)"),2.0)</f>
        <v>2</v>
      </c>
      <c r="F1410" s="6">
        <f t="shared" si="1"/>
        <v>506</v>
      </c>
      <c r="G1410" s="6" t="str">
        <f>IF(MINIFS(dynamic[orderDate], dynamic[customerID], B1410) &gt;= DATE(2024,4,30)-120, 
     "New", 
     IF(MAXIFS(dynamic[orderCount], dynamic[customerID], B1410)&lt;=2, 
        IF((DATE(2024,4,30) - MAXIFS(dynamic[orderDate], dynamic[customerID], B1410)) &gt; 180, "Non-Returning", "Dormant"), 
        IF(AND(MAX(dynamic[sinceLastOrder]) &gt; 365, (DATE(2024,4,30) - MAXIFS(dynamic[orderDate], dynamic[customerID], B1410)) &gt; 180), 
           "Dormant", "Regular")))</f>
        <v>Dormant</v>
      </c>
      <c r="H1410" s="6">
        <v>75.0</v>
      </c>
      <c r="I1410" s="9" t="str">
        <f>VLOOKUP(dynamic[productID],products[],2,FALSE)</f>
        <v>Rhönbräu Klosterbier</v>
      </c>
      <c r="J1410" s="9" t="str">
        <f>VLOOKUP(dynamic[productID],products[],12,FALSE)</f>
        <v>Beverages</v>
      </c>
      <c r="K1410" s="7" t="str">
        <f>IF(VLOOKUP(dynamic[productID],products[],7,FALSE)=1,"Discontinued","Current")</f>
        <v>Current</v>
      </c>
      <c r="L1410" s="9">
        <f>VLOOKUP(dynamic[productID],products[],IF(YEAR(dynamic[orderDate])=2022,8,IF(YEAR(dynamic[orderDate])=2023,9,IF(YEAR(dynamic[orderDate])=2024,10,NA))),FALSE)</f>
        <v>5.355290472</v>
      </c>
      <c r="M1410" s="9">
        <v>7.75</v>
      </c>
      <c r="N1410" s="25">
        <f>(dynamic[orderPrice]-dynamic[productCost])/dynamic[productCost]</f>
        <v>0.4471670661</v>
      </c>
      <c r="O1410" s="10">
        <v>10.0</v>
      </c>
      <c r="P1410" s="25">
        <v>0.0</v>
      </c>
      <c r="Q1410" s="9">
        <f>dynamic[orderPrice]*dynamic[orderQuantity]</f>
        <v>77.5</v>
      </c>
      <c r="R1410" s="9">
        <f>dynamic[orderTotal]*(1-dynamic[discountApllied])</f>
        <v>77.5</v>
      </c>
      <c r="S1410" s="9">
        <f>dynamic[revenue]-(dynamic[productCost]*dynamic[orderQuantity])</f>
        <v>23.94709528</v>
      </c>
      <c r="T1410" s="25">
        <f>IFERROR(dynamic[profit]/dynamic[revenue], 0)</f>
        <v>0.3089947778</v>
      </c>
    </row>
    <row r="1411" ht="15.75" customHeight="1">
      <c r="A1411" s="6">
        <v>10786.0</v>
      </c>
      <c r="B1411" s="7" t="s">
        <v>77</v>
      </c>
      <c r="C1411" s="24" t="str">
        <f>VLOOKUP(dynamic[customerID],customers[],2,FALSE)</f>
        <v>Queen Cozinha</v>
      </c>
      <c r="D1411" s="24">
        <v>45279.0</v>
      </c>
      <c r="E1411" s="6">
        <f>IFERROR(__xludf.DUMMYFUNCTION("COUNTUNIQUEIFS($A$2:$A1411,$B$2:$B1411,B1411)"),8.0)</f>
        <v>8</v>
      </c>
      <c r="F1411" s="6">
        <f t="shared" si="1"/>
        <v>45</v>
      </c>
      <c r="G1411" s="6" t="str">
        <f>IF(MINIFS(dynamic[orderDate], dynamic[customerID], B1411) &gt;= DATE(2024,4,30)-120, 
     "New", 
     IF(MAXIFS(dynamic[orderCount], dynamic[customerID], B1411)&lt;=2, 
        IF((DATE(2024,4,30) - MAXIFS(dynamic[orderDate], dynamic[customerID], B1411)) &gt; 180, "Non-Returning", "Dormant"), 
        IF(AND(MAX(dynamic[sinceLastOrder]) &gt; 365, (DATE(2024,4,30) - MAXIFS(dynamic[orderDate], dynamic[customerID], B1411)) &gt; 180), 
           "Dormant", "Regular")))</f>
        <v>Regular</v>
      </c>
      <c r="H1411" s="6">
        <v>8.0</v>
      </c>
      <c r="I1411" s="9" t="str">
        <f>VLOOKUP(dynamic[productID],products[],2,FALSE)</f>
        <v>Northwoods Cranberry Sauce</v>
      </c>
      <c r="J1411" s="9" t="str">
        <f>VLOOKUP(dynamic[productID],products[],12,FALSE)</f>
        <v>Condiments</v>
      </c>
      <c r="K1411" s="7" t="str">
        <f>IF(VLOOKUP(dynamic[productID],products[],7,FALSE)=1,"Discontinued","Current")</f>
        <v>Current</v>
      </c>
      <c r="L1411" s="9">
        <f>VLOOKUP(dynamic[productID],products[],IF(YEAR(dynamic[orderDate])=2022,8,IF(YEAR(dynamic[orderDate])=2023,9,IF(YEAR(dynamic[orderDate])=2024,10,NA))),FALSE)</f>
        <v>26.10620486</v>
      </c>
      <c r="M1411" s="9">
        <v>40.0</v>
      </c>
      <c r="N1411" s="25">
        <f>(dynamic[orderPrice]-dynamic[productCost])/dynamic[productCost]</f>
        <v>0.5322027928</v>
      </c>
      <c r="O1411" s="10">
        <v>30.0</v>
      </c>
      <c r="P1411" s="25">
        <v>0.2</v>
      </c>
      <c r="Q1411" s="9">
        <f>dynamic[orderPrice]*dynamic[orderQuantity]</f>
        <v>1200</v>
      </c>
      <c r="R1411" s="9">
        <f>dynamic[orderTotal]*(1-dynamic[discountApllied])</f>
        <v>960</v>
      </c>
      <c r="S1411" s="9">
        <f>dynamic[revenue]-(dynamic[productCost]*dynamic[orderQuantity])</f>
        <v>176.8138541</v>
      </c>
      <c r="T1411" s="25">
        <f>IFERROR(dynamic[profit]/dynamic[revenue], 0)</f>
        <v>0.184181098</v>
      </c>
    </row>
    <row r="1412" ht="15.75" customHeight="1">
      <c r="A1412" s="6">
        <v>10786.0</v>
      </c>
      <c r="B1412" s="7" t="s">
        <v>77</v>
      </c>
      <c r="C1412" s="24" t="str">
        <f>VLOOKUP(dynamic[customerID],customers[],2,FALSE)</f>
        <v>Queen Cozinha</v>
      </c>
      <c r="D1412" s="24">
        <v>45279.0</v>
      </c>
      <c r="E1412" s="6">
        <f>IFERROR(__xludf.DUMMYFUNCTION("COUNTUNIQUEIFS($A$2:$A1412,$B$2:$B1412,B1412)"),8.0)</f>
        <v>8</v>
      </c>
      <c r="F1412" s="6">
        <f t="shared" si="1"/>
        <v>45</v>
      </c>
      <c r="G1412" s="6" t="str">
        <f>IF(MINIFS(dynamic[orderDate], dynamic[customerID], B1412) &gt;= DATE(2024,4,30)-120, 
     "New", 
     IF(MAXIFS(dynamic[orderCount], dynamic[customerID], B1412)&lt;=2, 
        IF((DATE(2024,4,30) - MAXIFS(dynamic[orderDate], dynamic[customerID], B1412)) &gt; 180, "Non-Returning", "Dormant"), 
        IF(AND(MAX(dynamic[sinceLastOrder]) &gt; 365, (DATE(2024,4,30) - MAXIFS(dynamic[orderDate], dynamic[customerID], B1412)) &gt; 180), 
           "Dormant", "Regular")))</f>
        <v>Regular</v>
      </c>
      <c r="H1412" s="6">
        <v>30.0</v>
      </c>
      <c r="I1412" s="9" t="str">
        <f>VLOOKUP(dynamic[productID],products[],2,FALSE)</f>
        <v>Nord-Ost Matjeshering</v>
      </c>
      <c r="J1412" s="9" t="str">
        <f>VLOOKUP(dynamic[productID],products[],12,FALSE)</f>
        <v>Seafood</v>
      </c>
      <c r="K1412" s="7" t="str">
        <f>IF(VLOOKUP(dynamic[productID],products[],7,FALSE)=1,"Discontinued","Current")</f>
        <v>Current</v>
      </c>
      <c r="L1412" s="9">
        <f>VLOOKUP(dynamic[productID],products[],IF(YEAR(dynamic[orderDate])=2022,8,IF(YEAR(dynamic[orderDate])=2023,9,IF(YEAR(dynamic[orderDate])=2024,10,NA))),FALSE)</f>
        <v>16.03885249</v>
      </c>
      <c r="M1412" s="9">
        <v>25.89</v>
      </c>
      <c r="N1412" s="25">
        <f>(dynamic[orderPrice]-dynamic[productCost])/dynamic[productCost]</f>
        <v>0.6142052564</v>
      </c>
      <c r="O1412" s="10">
        <v>15.0</v>
      </c>
      <c r="P1412" s="25">
        <v>0.2</v>
      </c>
      <c r="Q1412" s="9">
        <f>dynamic[orderPrice]*dynamic[orderQuantity]</f>
        <v>388.35</v>
      </c>
      <c r="R1412" s="9">
        <f>dynamic[orderTotal]*(1-dynamic[discountApllied])</f>
        <v>310.68</v>
      </c>
      <c r="S1412" s="9">
        <f>dynamic[revenue]-(dynamic[productCost]*dynamic[orderQuantity])</f>
        <v>70.09721261</v>
      </c>
      <c r="T1412" s="25">
        <f>IFERROR(dynamic[profit]/dynamic[revenue], 0)</f>
        <v>0.2256251211</v>
      </c>
    </row>
    <row r="1413" ht="15.75" customHeight="1">
      <c r="A1413" s="6">
        <v>10786.0</v>
      </c>
      <c r="B1413" s="7" t="s">
        <v>77</v>
      </c>
      <c r="C1413" s="24" t="str">
        <f>VLOOKUP(dynamic[customerID],customers[],2,FALSE)</f>
        <v>Queen Cozinha</v>
      </c>
      <c r="D1413" s="24">
        <v>45279.0</v>
      </c>
      <c r="E1413" s="6">
        <f>IFERROR(__xludf.DUMMYFUNCTION("COUNTUNIQUEIFS($A$2:$A1413,$B$2:$B1413,B1413)"),8.0)</f>
        <v>8</v>
      </c>
      <c r="F1413" s="6">
        <f t="shared" si="1"/>
        <v>45</v>
      </c>
      <c r="G1413" s="6" t="str">
        <f>IF(MINIFS(dynamic[orderDate], dynamic[customerID], B1413) &gt;= DATE(2024,4,30)-120, 
     "New", 
     IF(MAXIFS(dynamic[orderCount], dynamic[customerID], B1413)&lt;=2, 
        IF((DATE(2024,4,30) - MAXIFS(dynamic[orderDate], dynamic[customerID], B1413)) &gt; 180, "Non-Returning", "Dormant"), 
        IF(AND(MAX(dynamic[sinceLastOrder]) &gt; 365, (DATE(2024,4,30) - MAXIFS(dynamic[orderDate], dynamic[customerID], B1413)) &gt; 180), 
           "Dormant", "Regular")))</f>
        <v>Regular</v>
      </c>
      <c r="H1413" s="6">
        <v>75.0</v>
      </c>
      <c r="I1413" s="9" t="str">
        <f>VLOOKUP(dynamic[productID],products[],2,FALSE)</f>
        <v>Rhönbräu Klosterbier</v>
      </c>
      <c r="J1413" s="9" t="str">
        <f>VLOOKUP(dynamic[productID],products[],12,FALSE)</f>
        <v>Beverages</v>
      </c>
      <c r="K1413" s="7" t="str">
        <f>IF(VLOOKUP(dynamic[productID],products[],7,FALSE)=1,"Discontinued","Current")</f>
        <v>Current</v>
      </c>
      <c r="L1413" s="9">
        <f>VLOOKUP(dynamic[productID],products[],IF(YEAR(dynamic[orderDate])=2022,8,IF(YEAR(dynamic[orderDate])=2023,9,IF(YEAR(dynamic[orderDate])=2024,10,NA))),FALSE)</f>
        <v>5.355290472</v>
      </c>
      <c r="M1413" s="9">
        <v>7.75</v>
      </c>
      <c r="N1413" s="25">
        <f>(dynamic[orderPrice]-dynamic[productCost])/dynamic[productCost]</f>
        <v>0.4471670661</v>
      </c>
      <c r="O1413" s="10">
        <v>42.0</v>
      </c>
      <c r="P1413" s="25">
        <v>0.2</v>
      </c>
      <c r="Q1413" s="9">
        <f>dynamic[orderPrice]*dynamic[orderQuantity]</f>
        <v>325.5</v>
      </c>
      <c r="R1413" s="9">
        <f>dynamic[orderTotal]*(1-dynamic[discountApllied])</f>
        <v>260.4</v>
      </c>
      <c r="S1413" s="9">
        <f>dynamic[revenue]-(dynamic[productCost]*dynamic[orderQuantity])</f>
        <v>35.47780019</v>
      </c>
      <c r="T1413" s="25">
        <f>IFERROR(dynamic[profit]/dynamic[revenue], 0)</f>
        <v>0.1362434723</v>
      </c>
    </row>
    <row r="1414" ht="15.75" customHeight="1">
      <c r="A1414" s="6">
        <v>10787.0</v>
      </c>
      <c r="B1414" s="7" t="s">
        <v>68</v>
      </c>
      <c r="C1414" s="24" t="str">
        <f>VLOOKUP(dynamic[customerID],customers[],2,FALSE)</f>
        <v>La maison d'Asie</v>
      </c>
      <c r="D1414" s="24">
        <v>45279.0</v>
      </c>
      <c r="E1414" s="6">
        <f>IFERROR(__xludf.DUMMYFUNCTION("COUNTUNIQUEIFS($A$2:$A1414,$B$2:$B1414,B1414)"),11.0)</f>
        <v>11</v>
      </c>
      <c r="F1414" s="6">
        <f t="shared" si="1"/>
        <v>127</v>
      </c>
      <c r="G1414" s="6" t="str">
        <f>IF(MINIFS(dynamic[orderDate], dynamic[customerID], B1414) &gt;= DATE(2024,4,30)-120, 
     "New", 
     IF(MAXIFS(dynamic[orderCount], dynamic[customerID], B1414)&lt;=2, 
        IF((DATE(2024,4,30) - MAXIFS(dynamic[orderDate], dynamic[customerID], B1414)) &gt; 180, "Non-Returning", "Dormant"), 
        IF(AND(MAX(dynamic[sinceLastOrder]) &gt; 365, (DATE(2024,4,30) - MAXIFS(dynamic[orderDate], dynamic[customerID], B1414)) &gt; 180), 
           "Dormant", "Regular")))</f>
        <v>Regular</v>
      </c>
      <c r="H1414" s="6">
        <v>2.0</v>
      </c>
      <c r="I1414" s="9" t="str">
        <f>VLOOKUP(dynamic[productID],products[],2,FALSE)</f>
        <v>Chang</v>
      </c>
      <c r="J1414" s="9" t="str">
        <f>VLOOKUP(dynamic[productID],products[],12,FALSE)</f>
        <v>Beverages</v>
      </c>
      <c r="K1414" s="7" t="str">
        <f>IF(VLOOKUP(dynamic[productID],products[],7,FALSE)=1,"Discontinued","Current")</f>
        <v>Current</v>
      </c>
      <c r="L1414" s="9">
        <f>VLOOKUP(dynamic[productID],products[],IF(YEAR(dynamic[orderDate])=2022,8,IF(YEAR(dynamic[orderDate])=2023,9,IF(YEAR(dynamic[orderDate])=2024,10,NA))),FALSE)</f>
        <v>12.14626904</v>
      </c>
      <c r="M1414" s="9">
        <v>19.0</v>
      </c>
      <c r="N1414" s="25">
        <f>(dynamic[orderPrice]-dynamic[productCost])/dynamic[productCost]</f>
        <v>0.5642663547</v>
      </c>
      <c r="O1414" s="10">
        <v>15.0</v>
      </c>
      <c r="P1414" s="25">
        <v>0.05</v>
      </c>
      <c r="Q1414" s="9">
        <f>dynamic[orderPrice]*dynamic[orderQuantity]</f>
        <v>285</v>
      </c>
      <c r="R1414" s="9">
        <f>dynamic[orderTotal]*(1-dynamic[discountApllied])</f>
        <v>270.75</v>
      </c>
      <c r="S1414" s="9">
        <f>dynamic[revenue]-(dynamic[productCost]*dynamic[orderQuantity])</f>
        <v>88.55596434</v>
      </c>
      <c r="T1414" s="25">
        <f>IFERROR(dynamic[profit]/dynamic[revenue], 0)</f>
        <v>0.3270765073</v>
      </c>
    </row>
    <row r="1415" ht="15.75" customHeight="1">
      <c r="A1415" s="6">
        <v>10787.0</v>
      </c>
      <c r="B1415" s="7" t="s">
        <v>68</v>
      </c>
      <c r="C1415" s="24" t="str">
        <f>VLOOKUP(dynamic[customerID],customers[],2,FALSE)</f>
        <v>La maison d'Asie</v>
      </c>
      <c r="D1415" s="24">
        <v>45279.0</v>
      </c>
      <c r="E1415" s="6">
        <f>IFERROR(__xludf.DUMMYFUNCTION("COUNTUNIQUEIFS($A$2:$A1415,$B$2:$B1415,B1415)"),11.0)</f>
        <v>11</v>
      </c>
      <c r="F1415" s="6">
        <f t="shared" si="1"/>
        <v>127</v>
      </c>
      <c r="G1415" s="6" t="str">
        <f>IF(MINIFS(dynamic[orderDate], dynamic[customerID], B1415) &gt;= DATE(2024,4,30)-120, 
     "New", 
     IF(MAXIFS(dynamic[orderCount], dynamic[customerID], B1415)&lt;=2, 
        IF((DATE(2024,4,30) - MAXIFS(dynamic[orderDate], dynamic[customerID], B1415)) &gt; 180, "Non-Returning", "Dormant"), 
        IF(AND(MAX(dynamic[sinceLastOrder]) &gt; 365, (DATE(2024,4,30) - MAXIFS(dynamic[orderDate], dynamic[customerID], B1415)) &gt; 180), 
           "Dormant", "Regular")))</f>
        <v>Regular</v>
      </c>
      <c r="H1415" s="6">
        <v>29.0</v>
      </c>
      <c r="I1415" s="9" t="str">
        <f>VLOOKUP(dynamic[productID],products[],2,FALSE)</f>
        <v>Thüringer Rostbratwurst</v>
      </c>
      <c r="J1415" s="9" t="str">
        <f>VLOOKUP(dynamic[productID],products[],12,FALSE)</f>
        <v>Meat/Poultry</v>
      </c>
      <c r="K1415" s="7" t="str">
        <f>IF(VLOOKUP(dynamic[productID],products[],7,FALSE)=1,"Discontinued","Current")</f>
        <v>Discontinued</v>
      </c>
      <c r="L1415" s="9">
        <f>VLOOKUP(dynamic[productID],products[],IF(YEAR(dynamic[orderDate])=2022,8,IF(YEAR(dynamic[orderDate])=2023,9,IF(YEAR(dynamic[orderDate])=2024,10,NA))),FALSE)</f>
        <v>80.85619497</v>
      </c>
      <c r="M1415" s="9">
        <v>123.79</v>
      </c>
      <c r="N1415" s="25">
        <f>(dynamic[orderPrice]-dynamic[productCost])/dynamic[productCost]</f>
        <v>0.5309896792</v>
      </c>
      <c r="O1415" s="10">
        <v>20.0</v>
      </c>
      <c r="P1415" s="25">
        <v>0.05</v>
      </c>
      <c r="Q1415" s="9">
        <f>dynamic[orderPrice]*dynamic[orderQuantity]</f>
        <v>2475.8</v>
      </c>
      <c r="R1415" s="9">
        <f>dynamic[orderTotal]*(1-dynamic[discountApllied])</f>
        <v>2352.01</v>
      </c>
      <c r="S1415" s="9">
        <f>dynamic[revenue]-(dynamic[productCost]*dynamic[orderQuantity])</f>
        <v>734.8861006</v>
      </c>
      <c r="T1415" s="25">
        <f>IFERROR(dynamic[profit]/dynamic[revenue], 0)</f>
        <v>0.3124502449</v>
      </c>
    </row>
    <row r="1416" ht="15.75" customHeight="1">
      <c r="A1416" s="6">
        <v>10788.0</v>
      </c>
      <c r="B1416" s="7" t="s">
        <v>36</v>
      </c>
      <c r="C1416" s="24" t="str">
        <f>VLOOKUP(dynamic[customerID],customers[],2,FALSE)</f>
        <v>QUICK-Stop</v>
      </c>
      <c r="D1416" s="24">
        <v>45282.0</v>
      </c>
      <c r="E1416" s="6">
        <f>IFERROR(__xludf.DUMMYFUNCTION("COUNTUNIQUEIFS($A$2:$A1416,$B$2:$B1416,B1416)"),20.0)</f>
        <v>20</v>
      </c>
      <c r="F1416" s="6">
        <f t="shared" si="1"/>
        <v>18</v>
      </c>
      <c r="G1416" s="6" t="str">
        <f>IF(MINIFS(dynamic[orderDate], dynamic[customerID], B1416) &gt;= DATE(2024,4,30)-120, 
     "New", 
     IF(MAXIFS(dynamic[orderCount], dynamic[customerID], B1416)&lt;=2, 
        IF((DATE(2024,4,30) - MAXIFS(dynamic[orderDate], dynamic[customerID], B1416)) &gt; 180, "Non-Returning", "Dormant"), 
        IF(AND(MAX(dynamic[sinceLastOrder]) &gt; 365, (DATE(2024,4,30) - MAXIFS(dynamic[orderDate], dynamic[customerID], B1416)) &gt; 180), 
           "Dormant", "Regular")))</f>
        <v>Regular</v>
      </c>
      <c r="H1416" s="6">
        <v>19.0</v>
      </c>
      <c r="I1416" s="9" t="str">
        <f>VLOOKUP(dynamic[productID],products[],2,FALSE)</f>
        <v>Teatime Chocolate Biscuits</v>
      </c>
      <c r="J1416" s="9" t="str">
        <f>VLOOKUP(dynamic[productID],products[],12,FALSE)</f>
        <v>Confections</v>
      </c>
      <c r="K1416" s="7" t="str">
        <f>IF(VLOOKUP(dynamic[productID],products[],7,FALSE)=1,"Discontinued","Current")</f>
        <v>Current</v>
      </c>
      <c r="L1416" s="9">
        <f>VLOOKUP(dynamic[productID],products[],IF(YEAR(dynamic[orderDate])=2022,8,IF(YEAR(dynamic[orderDate])=2023,9,IF(YEAR(dynamic[orderDate])=2024,10,NA))),FALSE)</f>
        <v>5.901883682</v>
      </c>
      <c r="M1416" s="9">
        <v>9.2</v>
      </c>
      <c r="N1416" s="25">
        <f>(dynamic[orderPrice]-dynamic[productCost])/dynamic[productCost]</f>
        <v>0.5588243508</v>
      </c>
      <c r="O1416" s="10">
        <v>50.0</v>
      </c>
      <c r="P1416" s="25">
        <v>0.05</v>
      </c>
      <c r="Q1416" s="9">
        <f>dynamic[orderPrice]*dynamic[orderQuantity]</f>
        <v>460</v>
      </c>
      <c r="R1416" s="9">
        <f>dynamic[orderTotal]*(1-dynamic[discountApllied])</f>
        <v>437</v>
      </c>
      <c r="S1416" s="9">
        <f>dynamic[revenue]-(dynamic[productCost]*dynamic[orderQuantity])</f>
        <v>141.9058159</v>
      </c>
      <c r="T1416" s="25">
        <f>IFERROR(dynamic[profit]/dynamic[revenue], 0)</f>
        <v>0.3247272675</v>
      </c>
    </row>
    <row r="1417" ht="15.75" customHeight="1">
      <c r="A1417" s="6">
        <v>10788.0</v>
      </c>
      <c r="B1417" s="7" t="s">
        <v>36</v>
      </c>
      <c r="C1417" s="24" t="str">
        <f>VLOOKUP(dynamic[customerID],customers[],2,FALSE)</f>
        <v>QUICK-Stop</v>
      </c>
      <c r="D1417" s="24">
        <v>45282.0</v>
      </c>
      <c r="E1417" s="6">
        <f>IFERROR(__xludf.DUMMYFUNCTION("COUNTUNIQUEIFS($A$2:$A1417,$B$2:$B1417,B1417)"),20.0)</f>
        <v>20</v>
      </c>
      <c r="F1417" s="6">
        <f t="shared" si="1"/>
        <v>18</v>
      </c>
      <c r="G1417" s="6" t="str">
        <f>IF(MINIFS(dynamic[orderDate], dynamic[customerID], B1417) &gt;= DATE(2024,4,30)-120, 
     "New", 
     IF(MAXIFS(dynamic[orderCount], dynamic[customerID], B1417)&lt;=2, 
        IF((DATE(2024,4,30) - MAXIFS(dynamic[orderDate], dynamic[customerID], B1417)) &gt; 180, "Non-Returning", "Dormant"), 
        IF(AND(MAX(dynamic[sinceLastOrder]) &gt; 365, (DATE(2024,4,30) - MAXIFS(dynamic[orderDate], dynamic[customerID], B1417)) &gt; 180), 
           "Dormant", "Regular")))</f>
        <v>Regular</v>
      </c>
      <c r="H1417" s="6">
        <v>75.0</v>
      </c>
      <c r="I1417" s="9" t="str">
        <f>VLOOKUP(dynamic[productID],products[],2,FALSE)</f>
        <v>Rhönbräu Klosterbier</v>
      </c>
      <c r="J1417" s="9" t="str">
        <f>VLOOKUP(dynamic[productID],products[],12,FALSE)</f>
        <v>Beverages</v>
      </c>
      <c r="K1417" s="7" t="str">
        <f>IF(VLOOKUP(dynamic[productID],products[],7,FALSE)=1,"Discontinued","Current")</f>
        <v>Current</v>
      </c>
      <c r="L1417" s="9">
        <f>VLOOKUP(dynamic[productID],products[],IF(YEAR(dynamic[orderDate])=2022,8,IF(YEAR(dynamic[orderDate])=2023,9,IF(YEAR(dynamic[orderDate])=2024,10,NA))),FALSE)</f>
        <v>5.355290472</v>
      </c>
      <c r="M1417" s="9">
        <v>7.75</v>
      </c>
      <c r="N1417" s="25">
        <f>(dynamic[orderPrice]-dynamic[productCost])/dynamic[productCost]</f>
        <v>0.4471670661</v>
      </c>
      <c r="O1417" s="10">
        <v>40.0</v>
      </c>
      <c r="P1417" s="25">
        <v>0.05</v>
      </c>
      <c r="Q1417" s="9">
        <f>dynamic[orderPrice]*dynamic[orderQuantity]</f>
        <v>310</v>
      </c>
      <c r="R1417" s="9">
        <f>dynamic[orderTotal]*(1-dynamic[discountApllied])</f>
        <v>294.5</v>
      </c>
      <c r="S1417" s="9">
        <f>dynamic[revenue]-(dynamic[productCost]*dynamic[orderQuantity])</f>
        <v>80.28838113</v>
      </c>
      <c r="T1417" s="25">
        <f>IFERROR(dynamic[profit]/dynamic[revenue], 0)</f>
        <v>0.2726260819</v>
      </c>
    </row>
    <row r="1418" ht="15.75" customHeight="1">
      <c r="A1418" s="6">
        <v>10789.0</v>
      </c>
      <c r="B1418" s="7" t="s">
        <v>83</v>
      </c>
      <c r="C1418" s="24" t="str">
        <f>VLOOKUP(dynamic[customerID],customers[],2,FALSE)</f>
        <v>Folies gourmandes</v>
      </c>
      <c r="D1418" s="24">
        <v>45282.0</v>
      </c>
      <c r="E1418" s="6">
        <f>IFERROR(__xludf.DUMMYFUNCTION("COUNTUNIQUEIFS($A$2:$A1418,$B$2:$B1418,B1418)"),5.0)</f>
        <v>5</v>
      </c>
      <c r="F1418" s="6">
        <f t="shared" si="1"/>
        <v>19</v>
      </c>
      <c r="G1418" s="6" t="str">
        <f>IF(MINIFS(dynamic[orderDate], dynamic[customerID], B1418) &gt;= DATE(2024,4,30)-120, 
     "New", 
     IF(MAXIFS(dynamic[orderCount], dynamic[customerID], B1418)&lt;=2, 
        IF((DATE(2024,4,30) - MAXIFS(dynamic[orderDate], dynamic[customerID], B1418)) &gt; 180, "Non-Returning", "Dormant"), 
        IF(AND(MAX(dynamic[sinceLastOrder]) &gt; 365, (DATE(2024,4,30) - MAXIFS(dynamic[orderDate], dynamic[customerID], B1418)) &gt; 180), 
           "Dormant", "Regular")))</f>
        <v>Regular</v>
      </c>
      <c r="H1418" s="6">
        <v>18.0</v>
      </c>
      <c r="I1418" s="9" t="str">
        <f>VLOOKUP(dynamic[productID],products[],2,FALSE)</f>
        <v>Carnarvon Tigers</v>
      </c>
      <c r="J1418" s="9" t="str">
        <f>VLOOKUP(dynamic[productID],products[],12,FALSE)</f>
        <v>Seafood</v>
      </c>
      <c r="K1418" s="7" t="str">
        <f>IF(VLOOKUP(dynamic[productID],products[],7,FALSE)=1,"Discontinued","Current")</f>
        <v>Current</v>
      </c>
      <c r="L1418" s="9">
        <f>VLOOKUP(dynamic[productID],products[],IF(YEAR(dynamic[orderDate])=2022,8,IF(YEAR(dynamic[orderDate])=2023,9,IF(YEAR(dynamic[orderDate])=2024,10,NA))),FALSE)</f>
        <v>39.51966651</v>
      </c>
      <c r="M1418" s="9">
        <v>62.5</v>
      </c>
      <c r="N1418" s="25">
        <f>(dynamic[orderPrice]-dynamic[productCost])/dynamic[productCost]</f>
        <v>0.5814910784</v>
      </c>
      <c r="O1418" s="10">
        <v>30.0</v>
      </c>
      <c r="P1418" s="25">
        <v>0.0</v>
      </c>
      <c r="Q1418" s="9">
        <f>dynamic[orderPrice]*dynamic[orderQuantity]</f>
        <v>1875</v>
      </c>
      <c r="R1418" s="9">
        <f>dynamic[orderTotal]*(1-dynamic[discountApllied])</f>
        <v>1875</v>
      </c>
      <c r="S1418" s="9">
        <f>dynamic[revenue]-(dynamic[productCost]*dynamic[orderQuantity])</f>
        <v>689.4100048</v>
      </c>
      <c r="T1418" s="25">
        <f>IFERROR(dynamic[profit]/dynamic[revenue], 0)</f>
        <v>0.3676853359</v>
      </c>
    </row>
    <row r="1419" ht="15.75" customHeight="1">
      <c r="A1419" s="6">
        <v>10789.0</v>
      </c>
      <c r="B1419" s="7" t="s">
        <v>83</v>
      </c>
      <c r="C1419" s="24" t="str">
        <f>VLOOKUP(dynamic[customerID],customers[],2,FALSE)</f>
        <v>Folies gourmandes</v>
      </c>
      <c r="D1419" s="24">
        <v>45282.0</v>
      </c>
      <c r="E1419" s="6">
        <f>IFERROR(__xludf.DUMMYFUNCTION("COUNTUNIQUEIFS($A$2:$A1419,$B$2:$B1419,B1419)"),5.0)</f>
        <v>5</v>
      </c>
      <c r="F1419" s="6">
        <f t="shared" si="1"/>
        <v>19</v>
      </c>
      <c r="G1419" s="6" t="str">
        <f>IF(MINIFS(dynamic[orderDate], dynamic[customerID], B1419) &gt;= DATE(2024,4,30)-120, 
     "New", 
     IF(MAXIFS(dynamic[orderCount], dynamic[customerID], B1419)&lt;=2, 
        IF((DATE(2024,4,30) - MAXIFS(dynamic[orderDate], dynamic[customerID], B1419)) &gt; 180, "Non-Returning", "Dormant"), 
        IF(AND(MAX(dynamic[sinceLastOrder]) &gt; 365, (DATE(2024,4,30) - MAXIFS(dynamic[orderDate], dynamic[customerID], B1419)) &gt; 180), 
           "Dormant", "Regular")))</f>
        <v>Regular</v>
      </c>
      <c r="H1419" s="6">
        <v>35.0</v>
      </c>
      <c r="I1419" s="9" t="str">
        <f>VLOOKUP(dynamic[productID],products[],2,FALSE)</f>
        <v>Cold Brew Nitro</v>
      </c>
      <c r="J1419" s="9" t="str">
        <f>VLOOKUP(dynamic[productID],products[],12,FALSE)</f>
        <v>Beverages</v>
      </c>
      <c r="K1419" s="7" t="str">
        <f>IF(VLOOKUP(dynamic[productID],products[],7,FALSE)=1,"Discontinued","Current")</f>
        <v>Current</v>
      </c>
      <c r="L1419" s="9">
        <f>VLOOKUP(dynamic[productID],products[],IF(YEAR(dynamic[orderDate])=2022,8,IF(YEAR(dynamic[orderDate])=2023,9,IF(YEAR(dynamic[orderDate])=2024,10,NA))),FALSE)</f>
        <v>11.7602531</v>
      </c>
      <c r="M1419" s="9">
        <v>18.0</v>
      </c>
      <c r="N1419" s="25">
        <f>(dynamic[orderPrice]-dynamic[productCost])/dynamic[productCost]</f>
        <v>0.5305793033</v>
      </c>
      <c r="O1419" s="10">
        <v>15.0</v>
      </c>
      <c r="P1419" s="25">
        <v>0.0</v>
      </c>
      <c r="Q1419" s="9">
        <f>dynamic[orderPrice]*dynamic[orderQuantity]</f>
        <v>270</v>
      </c>
      <c r="R1419" s="9">
        <f>dynamic[orderTotal]*(1-dynamic[discountApllied])</f>
        <v>270</v>
      </c>
      <c r="S1419" s="9">
        <f>dynamic[revenue]-(dynamic[productCost]*dynamic[orderQuantity])</f>
        <v>93.59620346</v>
      </c>
      <c r="T1419" s="25">
        <f>IFERROR(dynamic[profit]/dynamic[revenue], 0)</f>
        <v>0.3466526054</v>
      </c>
    </row>
    <row r="1420" ht="15.75" customHeight="1">
      <c r="A1420" s="6">
        <v>10789.0</v>
      </c>
      <c r="B1420" s="7" t="s">
        <v>83</v>
      </c>
      <c r="C1420" s="24" t="str">
        <f>VLOOKUP(dynamic[customerID],customers[],2,FALSE)</f>
        <v>Folies gourmandes</v>
      </c>
      <c r="D1420" s="24">
        <v>45282.0</v>
      </c>
      <c r="E1420" s="6">
        <f>IFERROR(__xludf.DUMMYFUNCTION("COUNTUNIQUEIFS($A$2:$A1420,$B$2:$B1420,B1420)"),5.0)</f>
        <v>5</v>
      </c>
      <c r="F1420" s="6">
        <f t="shared" si="1"/>
        <v>19</v>
      </c>
      <c r="G1420" s="6" t="str">
        <f>IF(MINIFS(dynamic[orderDate], dynamic[customerID], B1420) &gt;= DATE(2024,4,30)-120, 
     "New", 
     IF(MAXIFS(dynamic[orderCount], dynamic[customerID], B1420)&lt;=2, 
        IF((DATE(2024,4,30) - MAXIFS(dynamic[orderDate], dynamic[customerID], B1420)) &gt; 180, "Non-Returning", "Dormant"), 
        IF(AND(MAX(dynamic[sinceLastOrder]) &gt; 365, (DATE(2024,4,30) - MAXIFS(dynamic[orderDate], dynamic[customerID], B1420)) &gt; 180), 
           "Dormant", "Regular")))</f>
        <v>Regular</v>
      </c>
      <c r="H1420" s="6">
        <v>63.0</v>
      </c>
      <c r="I1420" s="9" t="str">
        <f>VLOOKUP(dynamic[productID],products[],2,FALSE)</f>
        <v>Vegie-spread</v>
      </c>
      <c r="J1420" s="9" t="str">
        <f>VLOOKUP(dynamic[productID],products[],12,FALSE)</f>
        <v>Condiments</v>
      </c>
      <c r="K1420" s="7" t="str">
        <f>IF(VLOOKUP(dynamic[productID],products[],7,FALSE)=1,"Discontinued","Current")</f>
        <v>Current</v>
      </c>
      <c r="L1420" s="9">
        <f>VLOOKUP(dynamic[productID],products[],IF(YEAR(dynamic[orderDate])=2022,8,IF(YEAR(dynamic[orderDate])=2023,9,IF(YEAR(dynamic[orderDate])=2024,10,NA))),FALSE)</f>
        <v>27.72225706</v>
      </c>
      <c r="M1420" s="9">
        <v>43.9</v>
      </c>
      <c r="N1420" s="25">
        <f>(dynamic[orderPrice]-dynamic[productCost])/dynamic[productCost]</f>
        <v>0.5835651445</v>
      </c>
      <c r="O1420" s="10">
        <v>30.0</v>
      </c>
      <c r="P1420" s="25">
        <v>0.0</v>
      </c>
      <c r="Q1420" s="9">
        <f>dynamic[orderPrice]*dynamic[orderQuantity]</f>
        <v>1317</v>
      </c>
      <c r="R1420" s="9">
        <f>dynamic[orderTotal]*(1-dynamic[discountApllied])</f>
        <v>1317</v>
      </c>
      <c r="S1420" s="9">
        <f>dynamic[revenue]-(dynamic[productCost]*dynamic[orderQuantity])</f>
        <v>485.3322883</v>
      </c>
      <c r="T1420" s="25">
        <f>IFERROR(dynamic[profit]/dynamic[revenue], 0)</f>
        <v>0.3685135067</v>
      </c>
    </row>
    <row r="1421" ht="15.75" customHeight="1">
      <c r="A1421" s="6">
        <v>10789.0</v>
      </c>
      <c r="B1421" s="7" t="s">
        <v>83</v>
      </c>
      <c r="C1421" s="24" t="str">
        <f>VLOOKUP(dynamic[customerID],customers[],2,FALSE)</f>
        <v>Folies gourmandes</v>
      </c>
      <c r="D1421" s="24">
        <v>45282.0</v>
      </c>
      <c r="E1421" s="6">
        <f>IFERROR(__xludf.DUMMYFUNCTION("COUNTUNIQUEIFS($A$2:$A1421,$B$2:$B1421,B1421)"),5.0)</f>
        <v>5</v>
      </c>
      <c r="F1421" s="6">
        <f t="shared" si="1"/>
        <v>19</v>
      </c>
      <c r="G1421" s="6" t="str">
        <f>IF(MINIFS(dynamic[orderDate], dynamic[customerID], B1421) &gt;= DATE(2024,4,30)-120, 
     "New", 
     IF(MAXIFS(dynamic[orderCount], dynamic[customerID], B1421)&lt;=2, 
        IF((DATE(2024,4,30) - MAXIFS(dynamic[orderDate], dynamic[customerID], B1421)) &gt; 180, "Non-Returning", "Dormant"), 
        IF(AND(MAX(dynamic[sinceLastOrder]) &gt; 365, (DATE(2024,4,30) - MAXIFS(dynamic[orderDate], dynamic[customerID], B1421)) &gt; 180), 
           "Dormant", "Regular")))</f>
        <v>Regular</v>
      </c>
      <c r="H1421" s="6">
        <v>68.0</v>
      </c>
      <c r="I1421" s="9" t="str">
        <f>VLOOKUP(dynamic[productID],products[],2,FALSE)</f>
        <v>Scottish Longbreads</v>
      </c>
      <c r="J1421" s="9" t="str">
        <f>VLOOKUP(dynamic[productID],products[],12,FALSE)</f>
        <v>Confections</v>
      </c>
      <c r="K1421" s="7" t="str">
        <f>IF(VLOOKUP(dynamic[productID],products[],7,FALSE)=1,"Discontinued","Current")</f>
        <v>Current</v>
      </c>
      <c r="L1421" s="9">
        <f>VLOOKUP(dynamic[productID],products[],IF(YEAR(dynamic[orderDate])=2022,8,IF(YEAR(dynamic[orderDate])=2023,9,IF(YEAR(dynamic[orderDate])=2024,10,NA))),FALSE)</f>
        <v>8.500000387</v>
      </c>
      <c r="M1421" s="9">
        <v>12.5</v>
      </c>
      <c r="N1421" s="25">
        <f>(dynamic[orderPrice]-dynamic[productCost])/dynamic[productCost]</f>
        <v>0.4705881684</v>
      </c>
      <c r="O1421" s="10">
        <v>18.0</v>
      </c>
      <c r="P1421" s="25">
        <v>0.0</v>
      </c>
      <c r="Q1421" s="9">
        <f>dynamic[orderPrice]*dynamic[orderQuantity]</f>
        <v>225</v>
      </c>
      <c r="R1421" s="9">
        <f>dynamic[orderTotal]*(1-dynamic[discountApllied])</f>
        <v>225</v>
      </c>
      <c r="S1421" s="9">
        <f>dynamic[revenue]-(dynamic[productCost]*dynamic[orderQuantity])</f>
        <v>71.99999304</v>
      </c>
      <c r="T1421" s="25">
        <f>IFERROR(dynamic[profit]/dynamic[revenue], 0)</f>
        <v>0.3199999691</v>
      </c>
    </row>
    <row r="1422" ht="15.75" customHeight="1">
      <c r="A1422" s="6">
        <v>10790.0</v>
      </c>
      <c r="B1422" s="7" t="s">
        <v>86</v>
      </c>
      <c r="C1422" s="24" t="str">
        <f>VLOOKUP(dynamic[customerID],customers[],2,FALSE)</f>
        <v>Gourmet Lanchonetes</v>
      </c>
      <c r="D1422" s="24">
        <v>45282.0</v>
      </c>
      <c r="E1422" s="6">
        <f>IFERROR(__xludf.DUMMYFUNCTION("COUNTUNIQUEIFS($A$2:$A1422,$B$2:$B1422,B1422)"),7.0)</f>
        <v>7</v>
      </c>
      <c r="F1422" s="6">
        <f t="shared" si="1"/>
        <v>7</v>
      </c>
      <c r="G1422" s="6" t="str">
        <f>IF(MINIFS(dynamic[orderDate], dynamic[customerID], B1422) &gt;= DATE(2024,4,30)-120, 
     "New", 
     IF(MAXIFS(dynamic[orderCount], dynamic[customerID], B1422)&lt;=2, 
        IF((DATE(2024,4,30) - MAXIFS(dynamic[orderDate], dynamic[customerID], B1422)) &gt; 180, "Non-Returning", "Dormant"), 
        IF(AND(MAX(dynamic[sinceLastOrder]) &gt; 365, (DATE(2024,4,30) - MAXIFS(dynamic[orderDate], dynamic[customerID], B1422)) &gt; 180), 
           "Dormant", "Regular")))</f>
        <v>Regular</v>
      </c>
      <c r="H1422" s="6">
        <v>7.0</v>
      </c>
      <c r="I1422" s="9" t="str">
        <f>VLOOKUP(dynamic[productID],products[],2,FALSE)</f>
        <v>Uncle Bob's Organic Dried Pears</v>
      </c>
      <c r="J1422" s="9" t="str">
        <f>VLOOKUP(dynamic[productID],products[],12,FALSE)</f>
        <v>Produce</v>
      </c>
      <c r="K1422" s="7" t="str">
        <f>IF(VLOOKUP(dynamic[productID],products[],7,FALSE)=1,"Discontinued","Current")</f>
        <v>Current</v>
      </c>
      <c r="L1422" s="9">
        <f>VLOOKUP(dynamic[productID],products[],IF(YEAR(dynamic[orderDate])=2022,8,IF(YEAR(dynamic[orderDate])=2023,9,IF(YEAR(dynamic[orderDate])=2024,10,NA))),FALSE)</f>
        <v>21.39244625</v>
      </c>
      <c r="M1422" s="9">
        <v>30.0</v>
      </c>
      <c r="N1422" s="25">
        <f>(dynamic[orderPrice]-dynamic[productCost])/dynamic[productCost]</f>
        <v>0.4023641636</v>
      </c>
      <c r="O1422" s="10">
        <v>3.0</v>
      </c>
      <c r="P1422" s="25">
        <v>0.15</v>
      </c>
      <c r="Q1422" s="9">
        <f>dynamic[orderPrice]*dynamic[orderQuantity]</f>
        <v>90</v>
      </c>
      <c r="R1422" s="9">
        <f>dynamic[orderTotal]*(1-dynamic[discountApllied])</f>
        <v>76.5</v>
      </c>
      <c r="S1422" s="9">
        <f>dynamic[revenue]-(dynamic[productCost]*dynamic[orderQuantity])</f>
        <v>12.32266124</v>
      </c>
      <c r="T1422" s="25">
        <f>IFERROR(dynamic[profit]/dynamic[revenue], 0)</f>
        <v>0.161080539</v>
      </c>
    </row>
    <row r="1423" ht="15.75" customHeight="1">
      <c r="A1423" s="6">
        <v>10790.0</v>
      </c>
      <c r="B1423" s="7" t="s">
        <v>86</v>
      </c>
      <c r="C1423" s="24" t="str">
        <f>VLOOKUP(dynamic[customerID],customers[],2,FALSE)</f>
        <v>Gourmet Lanchonetes</v>
      </c>
      <c r="D1423" s="24">
        <v>45282.0</v>
      </c>
      <c r="E1423" s="6">
        <f>IFERROR(__xludf.DUMMYFUNCTION("COUNTUNIQUEIFS($A$2:$A1423,$B$2:$B1423,B1423)"),7.0)</f>
        <v>7</v>
      </c>
      <c r="F1423" s="6">
        <f t="shared" si="1"/>
        <v>7</v>
      </c>
      <c r="G1423" s="6" t="str">
        <f>IF(MINIFS(dynamic[orderDate], dynamic[customerID], B1423) &gt;= DATE(2024,4,30)-120, 
     "New", 
     IF(MAXIFS(dynamic[orderCount], dynamic[customerID], B1423)&lt;=2, 
        IF((DATE(2024,4,30) - MAXIFS(dynamic[orderDate], dynamic[customerID], B1423)) &gt; 180, "Non-Returning", "Dormant"), 
        IF(AND(MAX(dynamic[sinceLastOrder]) &gt; 365, (DATE(2024,4,30) - MAXIFS(dynamic[orderDate], dynamic[customerID], B1423)) &gt; 180), 
           "Dormant", "Regular")))</f>
        <v>Regular</v>
      </c>
      <c r="H1423" s="6">
        <v>56.0</v>
      </c>
      <c r="I1423" s="9" t="str">
        <f>VLOOKUP(dynamic[productID],products[],2,FALSE)</f>
        <v>Gnocchi di nonna Alice</v>
      </c>
      <c r="J1423" s="9" t="str">
        <f>VLOOKUP(dynamic[productID],products[],12,FALSE)</f>
        <v>Grains/Cereals</v>
      </c>
      <c r="K1423" s="7" t="str">
        <f>IF(VLOOKUP(dynamic[productID],products[],7,FALSE)=1,"Discontinued","Current")</f>
        <v>Current</v>
      </c>
      <c r="L1423" s="9">
        <f>VLOOKUP(dynamic[productID],products[],IF(YEAR(dynamic[orderDate])=2022,8,IF(YEAR(dynamic[orderDate])=2023,9,IF(YEAR(dynamic[orderDate])=2024,10,NA))),FALSE)</f>
        <v>24.28342441</v>
      </c>
      <c r="M1423" s="9">
        <v>38.0</v>
      </c>
      <c r="N1423" s="25">
        <f>(dynamic[orderPrice]-dynamic[productCost])/dynamic[productCost]</f>
        <v>0.5648534309</v>
      </c>
      <c r="O1423" s="10">
        <v>20.0</v>
      </c>
      <c r="P1423" s="25">
        <v>0.15</v>
      </c>
      <c r="Q1423" s="9">
        <f>dynamic[orderPrice]*dynamic[orderQuantity]</f>
        <v>760</v>
      </c>
      <c r="R1423" s="9">
        <f>dynamic[orderTotal]*(1-dynamic[discountApllied])</f>
        <v>646</v>
      </c>
      <c r="S1423" s="9">
        <f>dynamic[revenue]-(dynamic[productCost]*dynamic[orderQuantity])</f>
        <v>160.3315118</v>
      </c>
      <c r="T1423" s="25">
        <f>IFERROR(dynamic[profit]/dynamic[revenue], 0)</f>
        <v>0.2481911948</v>
      </c>
    </row>
    <row r="1424" ht="15.75" customHeight="1">
      <c r="A1424" s="6">
        <v>10791.0</v>
      </c>
      <c r="B1424" s="7" t="s">
        <v>32</v>
      </c>
      <c r="C1424" s="24" t="str">
        <f>VLOOKUP(dynamic[customerID],customers[],2,FALSE)</f>
        <v>Frankenversand</v>
      </c>
      <c r="D1424" s="24">
        <v>45283.0</v>
      </c>
      <c r="E1424" s="6">
        <f>IFERROR(__xludf.DUMMYFUNCTION("COUNTUNIQUEIFS($A$2:$A1424,$B$2:$B1424,B1424)"),12.0)</f>
        <v>12</v>
      </c>
      <c r="F1424" s="6">
        <f t="shared" si="1"/>
        <v>60</v>
      </c>
      <c r="G1424" s="6" t="str">
        <f>IF(MINIFS(dynamic[orderDate], dynamic[customerID], B1424) &gt;= DATE(2024,4,30)-120, 
     "New", 
     IF(MAXIFS(dynamic[orderCount], dynamic[customerID], B1424)&lt;=2, 
        IF((DATE(2024,4,30) - MAXIFS(dynamic[orderDate], dynamic[customerID], B1424)) &gt; 180, "Non-Returning", "Dormant"), 
        IF(AND(MAX(dynamic[sinceLastOrder]) &gt; 365, (DATE(2024,4,30) - MAXIFS(dynamic[orderDate], dynamic[customerID], B1424)) &gt; 180), 
           "Dormant", "Regular")))</f>
        <v>Regular</v>
      </c>
      <c r="H1424" s="6">
        <v>29.0</v>
      </c>
      <c r="I1424" s="9" t="str">
        <f>VLOOKUP(dynamic[productID],products[],2,FALSE)</f>
        <v>Thüringer Rostbratwurst</v>
      </c>
      <c r="J1424" s="9" t="str">
        <f>VLOOKUP(dynamic[productID],products[],12,FALSE)</f>
        <v>Meat/Poultry</v>
      </c>
      <c r="K1424" s="7" t="str">
        <f>IF(VLOOKUP(dynamic[productID],products[],7,FALSE)=1,"Discontinued","Current")</f>
        <v>Discontinued</v>
      </c>
      <c r="L1424" s="9">
        <f>VLOOKUP(dynamic[productID],products[],IF(YEAR(dynamic[orderDate])=2022,8,IF(YEAR(dynamic[orderDate])=2023,9,IF(YEAR(dynamic[orderDate])=2024,10,NA))),FALSE)</f>
        <v>80.85619497</v>
      </c>
      <c r="M1424" s="9">
        <v>123.79</v>
      </c>
      <c r="N1424" s="25">
        <f>(dynamic[orderPrice]-dynamic[productCost])/dynamic[productCost]</f>
        <v>0.5309896792</v>
      </c>
      <c r="O1424" s="10">
        <v>14.0</v>
      </c>
      <c r="P1424" s="25">
        <v>0.05</v>
      </c>
      <c r="Q1424" s="9">
        <f>dynamic[orderPrice]*dynamic[orderQuantity]</f>
        <v>1733.06</v>
      </c>
      <c r="R1424" s="9">
        <f>dynamic[orderTotal]*(1-dynamic[discountApllied])</f>
        <v>1646.407</v>
      </c>
      <c r="S1424" s="9">
        <f>dynamic[revenue]-(dynamic[productCost]*dynamic[orderQuantity])</f>
        <v>514.4202704</v>
      </c>
      <c r="T1424" s="25">
        <f>IFERROR(dynamic[profit]/dynamic[revenue], 0)</f>
        <v>0.3124502449</v>
      </c>
    </row>
    <row r="1425" ht="15.75" customHeight="1">
      <c r="A1425" s="6">
        <v>10791.0</v>
      </c>
      <c r="B1425" s="7" t="s">
        <v>32</v>
      </c>
      <c r="C1425" s="24" t="str">
        <f>VLOOKUP(dynamic[customerID],customers[],2,FALSE)</f>
        <v>Frankenversand</v>
      </c>
      <c r="D1425" s="24">
        <v>45283.0</v>
      </c>
      <c r="E1425" s="6">
        <f>IFERROR(__xludf.DUMMYFUNCTION("COUNTUNIQUEIFS($A$2:$A1425,$B$2:$B1425,B1425)"),12.0)</f>
        <v>12</v>
      </c>
      <c r="F1425" s="6">
        <f t="shared" si="1"/>
        <v>60</v>
      </c>
      <c r="G1425" s="6" t="str">
        <f>IF(MINIFS(dynamic[orderDate], dynamic[customerID], B1425) &gt;= DATE(2024,4,30)-120, 
     "New", 
     IF(MAXIFS(dynamic[orderCount], dynamic[customerID], B1425)&lt;=2, 
        IF((DATE(2024,4,30) - MAXIFS(dynamic[orderDate], dynamic[customerID], B1425)) &gt; 180, "Non-Returning", "Dormant"), 
        IF(AND(MAX(dynamic[sinceLastOrder]) &gt; 365, (DATE(2024,4,30) - MAXIFS(dynamic[orderDate], dynamic[customerID], B1425)) &gt; 180), 
           "Dormant", "Regular")))</f>
        <v>Regular</v>
      </c>
      <c r="H1425" s="6">
        <v>41.0</v>
      </c>
      <c r="I1425" s="9" t="str">
        <f>VLOOKUP(dynamic[productID],products[],2,FALSE)</f>
        <v>Jack's New England Clam Chowder</v>
      </c>
      <c r="J1425" s="9" t="str">
        <f>VLOOKUP(dynamic[productID],products[],12,FALSE)</f>
        <v>Seafood</v>
      </c>
      <c r="K1425" s="7" t="str">
        <f>IF(VLOOKUP(dynamic[productID],products[],7,FALSE)=1,"Discontinued","Current")</f>
        <v>Current</v>
      </c>
      <c r="L1425" s="9">
        <f>VLOOKUP(dynamic[productID],products[],IF(YEAR(dynamic[orderDate])=2022,8,IF(YEAR(dynamic[orderDate])=2023,9,IF(YEAR(dynamic[orderDate])=2024,10,NA))),FALSE)</f>
        <v>6.549914856</v>
      </c>
      <c r="M1425" s="9">
        <v>9.65</v>
      </c>
      <c r="N1425" s="25">
        <f>(dynamic[orderPrice]-dynamic[productCost])/dynamic[productCost]</f>
        <v>0.4733015943</v>
      </c>
      <c r="O1425" s="10">
        <v>20.0</v>
      </c>
      <c r="P1425" s="25">
        <v>0.05</v>
      </c>
      <c r="Q1425" s="9">
        <f>dynamic[orderPrice]*dynamic[orderQuantity]</f>
        <v>193</v>
      </c>
      <c r="R1425" s="9">
        <f>dynamic[orderTotal]*(1-dynamic[discountApllied])</f>
        <v>183.35</v>
      </c>
      <c r="S1425" s="9">
        <f>dynamic[revenue]-(dynamic[productCost]*dynamic[orderQuantity])</f>
        <v>52.35170288</v>
      </c>
      <c r="T1425" s="25">
        <f>IFERROR(dynamic[profit]/dynamic[revenue], 0)</f>
        <v>0.2855287858</v>
      </c>
    </row>
    <row r="1426" ht="15.75" customHeight="1">
      <c r="A1426" s="6">
        <v>10792.0</v>
      </c>
      <c r="B1426" s="7" t="s">
        <v>78</v>
      </c>
      <c r="C1426" s="24" t="str">
        <f>VLOOKUP(dynamic[customerID],customers[],2,FALSE)</f>
        <v>Wolski  Zajazd</v>
      </c>
      <c r="D1426" s="24">
        <v>45283.0</v>
      </c>
      <c r="E1426" s="6">
        <f>IFERROR(__xludf.DUMMYFUNCTION("COUNTUNIQUEIFS($A$2:$A1426,$B$2:$B1426,B1426)"),3.0)</f>
        <v>3</v>
      </c>
      <c r="F1426" s="6">
        <f t="shared" si="1"/>
        <v>151</v>
      </c>
      <c r="G1426" s="6" t="str">
        <f>IF(MINIFS(dynamic[orderDate], dynamic[customerID], B1426) &gt;= DATE(2024,4,30)-120, 
     "New", 
     IF(MAXIFS(dynamic[orderCount], dynamic[customerID], B1426)&lt;=2, 
        IF((DATE(2024,4,30) - MAXIFS(dynamic[orderDate], dynamic[customerID], B1426)) &gt; 180, "Non-Returning", "Dormant"), 
        IF(AND(MAX(dynamic[sinceLastOrder]) &gt; 365, (DATE(2024,4,30) - MAXIFS(dynamic[orderDate], dynamic[customerID], B1426)) &gt; 180), 
           "Dormant", "Regular")))</f>
        <v>Regular</v>
      </c>
      <c r="H1426" s="6">
        <v>2.0</v>
      </c>
      <c r="I1426" s="9" t="str">
        <f>VLOOKUP(dynamic[productID],products[],2,FALSE)</f>
        <v>Chang</v>
      </c>
      <c r="J1426" s="9" t="str">
        <f>VLOOKUP(dynamic[productID],products[],12,FALSE)</f>
        <v>Beverages</v>
      </c>
      <c r="K1426" s="7" t="str">
        <f>IF(VLOOKUP(dynamic[productID],products[],7,FALSE)=1,"Discontinued","Current")</f>
        <v>Current</v>
      </c>
      <c r="L1426" s="9">
        <f>VLOOKUP(dynamic[productID],products[],IF(YEAR(dynamic[orderDate])=2022,8,IF(YEAR(dynamic[orderDate])=2023,9,IF(YEAR(dynamic[orderDate])=2024,10,NA))),FALSE)</f>
        <v>12.14626904</v>
      </c>
      <c r="M1426" s="9">
        <v>19.0</v>
      </c>
      <c r="N1426" s="25">
        <f>(dynamic[orderPrice]-dynamic[productCost])/dynamic[productCost]</f>
        <v>0.5642663547</v>
      </c>
      <c r="O1426" s="10">
        <v>10.0</v>
      </c>
      <c r="P1426" s="25">
        <v>0.0</v>
      </c>
      <c r="Q1426" s="9">
        <f>dynamic[orderPrice]*dynamic[orderQuantity]</f>
        <v>190</v>
      </c>
      <c r="R1426" s="9">
        <f>dynamic[orderTotal]*(1-dynamic[discountApllied])</f>
        <v>190</v>
      </c>
      <c r="S1426" s="9">
        <f>dynamic[revenue]-(dynamic[productCost]*dynamic[orderQuantity])</f>
        <v>68.53730956</v>
      </c>
      <c r="T1426" s="25">
        <f>IFERROR(dynamic[profit]/dynamic[revenue], 0)</f>
        <v>0.3607226819</v>
      </c>
    </row>
    <row r="1427" ht="15.75" customHeight="1">
      <c r="A1427" s="6">
        <v>10792.0</v>
      </c>
      <c r="B1427" s="7" t="s">
        <v>78</v>
      </c>
      <c r="C1427" s="24" t="str">
        <f>VLOOKUP(dynamic[customerID],customers[],2,FALSE)</f>
        <v>Wolski  Zajazd</v>
      </c>
      <c r="D1427" s="24">
        <v>45283.0</v>
      </c>
      <c r="E1427" s="6">
        <f>IFERROR(__xludf.DUMMYFUNCTION("COUNTUNIQUEIFS($A$2:$A1427,$B$2:$B1427,B1427)"),3.0)</f>
        <v>3</v>
      </c>
      <c r="F1427" s="6">
        <f t="shared" si="1"/>
        <v>151</v>
      </c>
      <c r="G1427" s="6" t="str">
        <f>IF(MINIFS(dynamic[orderDate], dynamic[customerID], B1427) &gt;= DATE(2024,4,30)-120, 
     "New", 
     IF(MAXIFS(dynamic[orderCount], dynamic[customerID], B1427)&lt;=2, 
        IF((DATE(2024,4,30) - MAXIFS(dynamic[orderDate], dynamic[customerID], B1427)) &gt; 180, "Non-Returning", "Dormant"), 
        IF(AND(MAX(dynamic[sinceLastOrder]) &gt; 365, (DATE(2024,4,30) - MAXIFS(dynamic[orderDate], dynamic[customerID], B1427)) &gt; 180), 
           "Dormant", "Regular")))</f>
        <v>Regular</v>
      </c>
      <c r="H1427" s="6">
        <v>54.0</v>
      </c>
      <c r="I1427" s="9" t="str">
        <f>VLOOKUP(dynamic[productID],products[],2,FALSE)</f>
        <v>Tourtière</v>
      </c>
      <c r="J1427" s="9" t="str">
        <f>VLOOKUP(dynamic[productID],products[],12,FALSE)</f>
        <v>Meat/Poultry</v>
      </c>
      <c r="K1427" s="7" t="str">
        <f>IF(VLOOKUP(dynamic[productID],products[],7,FALSE)=1,"Discontinued","Current")</f>
        <v>Current</v>
      </c>
      <c r="L1427" s="9">
        <f>VLOOKUP(dynamic[productID],products[],IF(YEAR(dynamic[orderDate])=2022,8,IF(YEAR(dynamic[orderDate])=2023,9,IF(YEAR(dynamic[orderDate])=2024,10,NA))),FALSE)</f>
        <v>4.924447797</v>
      </c>
      <c r="M1427" s="9">
        <v>7.45</v>
      </c>
      <c r="N1427" s="25">
        <f>(dynamic[orderPrice]-dynamic[productCost])/dynamic[productCost]</f>
        <v>0.5128599808</v>
      </c>
      <c r="O1427" s="10">
        <v>3.0</v>
      </c>
      <c r="P1427" s="25">
        <v>0.0</v>
      </c>
      <c r="Q1427" s="9">
        <f>dynamic[orderPrice]*dynamic[orderQuantity]</f>
        <v>22.35</v>
      </c>
      <c r="R1427" s="9">
        <f>dynamic[orderTotal]*(1-dynamic[discountApllied])</f>
        <v>22.35</v>
      </c>
      <c r="S1427" s="9">
        <f>dynamic[revenue]-(dynamic[productCost]*dynamic[orderQuantity])</f>
        <v>7.576656609</v>
      </c>
      <c r="T1427" s="25">
        <f>IFERROR(dynamic[profit]/dynamic[revenue], 0)</f>
        <v>0.3390002957</v>
      </c>
    </row>
    <row r="1428" ht="15.75" customHeight="1">
      <c r="A1428" s="6">
        <v>10792.0</v>
      </c>
      <c r="B1428" s="7" t="s">
        <v>78</v>
      </c>
      <c r="C1428" s="24" t="str">
        <f>VLOOKUP(dynamic[customerID],customers[],2,FALSE)</f>
        <v>Wolski  Zajazd</v>
      </c>
      <c r="D1428" s="24">
        <v>45283.0</v>
      </c>
      <c r="E1428" s="6">
        <f>IFERROR(__xludf.DUMMYFUNCTION("COUNTUNIQUEIFS($A$2:$A1428,$B$2:$B1428,B1428)"),3.0)</f>
        <v>3</v>
      </c>
      <c r="F1428" s="6">
        <f t="shared" si="1"/>
        <v>151</v>
      </c>
      <c r="G1428" s="6" t="str">
        <f>IF(MINIFS(dynamic[orderDate], dynamic[customerID], B1428) &gt;= DATE(2024,4,30)-120, 
     "New", 
     IF(MAXIFS(dynamic[orderCount], dynamic[customerID], B1428)&lt;=2, 
        IF((DATE(2024,4,30) - MAXIFS(dynamic[orderDate], dynamic[customerID], B1428)) &gt; 180, "Non-Returning", "Dormant"), 
        IF(AND(MAX(dynamic[sinceLastOrder]) &gt; 365, (DATE(2024,4,30) - MAXIFS(dynamic[orderDate], dynamic[customerID], B1428)) &gt; 180), 
           "Dormant", "Regular")))</f>
        <v>Regular</v>
      </c>
      <c r="H1428" s="6">
        <v>68.0</v>
      </c>
      <c r="I1428" s="9" t="str">
        <f>VLOOKUP(dynamic[productID],products[],2,FALSE)</f>
        <v>Scottish Longbreads</v>
      </c>
      <c r="J1428" s="9" t="str">
        <f>VLOOKUP(dynamic[productID],products[],12,FALSE)</f>
        <v>Confections</v>
      </c>
      <c r="K1428" s="7" t="str">
        <f>IF(VLOOKUP(dynamic[productID],products[],7,FALSE)=1,"Discontinued","Current")</f>
        <v>Current</v>
      </c>
      <c r="L1428" s="9">
        <f>VLOOKUP(dynamic[productID],products[],IF(YEAR(dynamic[orderDate])=2022,8,IF(YEAR(dynamic[orderDate])=2023,9,IF(YEAR(dynamic[orderDate])=2024,10,NA))),FALSE)</f>
        <v>8.500000387</v>
      </c>
      <c r="M1428" s="9">
        <v>12.5</v>
      </c>
      <c r="N1428" s="25">
        <f>(dynamic[orderPrice]-dynamic[productCost])/dynamic[productCost]</f>
        <v>0.4705881684</v>
      </c>
      <c r="O1428" s="10">
        <v>15.0</v>
      </c>
      <c r="P1428" s="25">
        <v>0.0</v>
      </c>
      <c r="Q1428" s="9">
        <f>dynamic[orderPrice]*dynamic[orderQuantity]</f>
        <v>187.5</v>
      </c>
      <c r="R1428" s="9">
        <f>dynamic[orderTotal]*(1-dynamic[discountApllied])</f>
        <v>187.5</v>
      </c>
      <c r="S1428" s="9">
        <f>dynamic[revenue]-(dynamic[productCost]*dynamic[orderQuantity])</f>
        <v>59.9999942</v>
      </c>
      <c r="T1428" s="25">
        <f>IFERROR(dynamic[profit]/dynamic[revenue], 0)</f>
        <v>0.3199999691</v>
      </c>
    </row>
    <row r="1429" ht="15.75" customHeight="1">
      <c r="A1429" s="6">
        <v>10793.0</v>
      </c>
      <c r="B1429" s="7" t="s">
        <v>70</v>
      </c>
      <c r="C1429" s="24" t="str">
        <f>VLOOKUP(dynamic[customerID],customers[],2,FALSE)</f>
        <v>Around the Horn</v>
      </c>
      <c r="D1429" s="24">
        <v>45284.0</v>
      </c>
      <c r="E1429" s="6">
        <f>IFERROR(__xludf.DUMMYFUNCTION("COUNTUNIQUEIFS($A$2:$A1429,$B$2:$B1429,B1429)"),9.0)</f>
        <v>9</v>
      </c>
      <c r="F1429" s="6">
        <f t="shared" si="1"/>
        <v>16</v>
      </c>
      <c r="G1429" s="6" t="str">
        <f>IF(MINIFS(dynamic[orderDate], dynamic[customerID], B1429) &gt;= DATE(2024,4,30)-120, 
     "New", 
     IF(MAXIFS(dynamic[orderCount], dynamic[customerID], B1429)&lt;=2, 
        IF((DATE(2024,4,30) - MAXIFS(dynamic[orderDate], dynamic[customerID], B1429)) &gt; 180, "Non-Returning", "Dormant"), 
        IF(AND(MAX(dynamic[sinceLastOrder]) &gt; 365, (DATE(2024,4,30) - MAXIFS(dynamic[orderDate], dynamic[customerID], B1429)) &gt; 180), 
           "Dormant", "Regular")))</f>
        <v>Regular</v>
      </c>
      <c r="H1429" s="6">
        <v>41.0</v>
      </c>
      <c r="I1429" s="9" t="str">
        <f>VLOOKUP(dynamic[productID],products[],2,FALSE)</f>
        <v>Jack's New England Clam Chowder</v>
      </c>
      <c r="J1429" s="9" t="str">
        <f>VLOOKUP(dynamic[productID],products[],12,FALSE)</f>
        <v>Seafood</v>
      </c>
      <c r="K1429" s="7" t="str">
        <f>IF(VLOOKUP(dynamic[productID],products[],7,FALSE)=1,"Discontinued","Current")</f>
        <v>Current</v>
      </c>
      <c r="L1429" s="9">
        <f>VLOOKUP(dynamic[productID],products[],IF(YEAR(dynamic[orderDate])=2022,8,IF(YEAR(dynamic[orderDate])=2023,9,IF(YEAR(dynamic[orderDate])=2024,10,NA))),FALSE)</f>
        <v>6.549914856</v>
      </c>
      <c r="M1429" s="9">
        <v>9.65</v>
      </c>
      <c r="N1429" s="25">
        <f>(dynamic[orderPrice]-dynamic[productCost])/dynamic[productCost]</f>
        <v>0.4733015943</v>
      </c>
      <c r="O1429" s="10">
        <v>14.0</v>
      </c>
      <c r="P1429" s="25">
        <v>0.0</v>
      </c>
      <c r="Q1429" s="9">
        <f>dynamic[orderPrice]*dynamic[orderQuantity]</f>
        <v>135.1</v>
      </c>
      <c r="R1429" s="9">
        <f>dynamic[orderTotal]*(1-dynamic[discountApllied])</f>
        <v>135.1</v>
      </c>
      <c r="S1429" s="9">
        <f>dynamic[revenue]-(dynamic[productCost]*dynamic[orderQuantity])</f>
        <v>43.40119202</v>
      </c>
      <c r="T1429" s="25">
        <f>IFERROR(dynamic[profit]/dynamic[revenue], 0)</f>
        <v>0.3212523465</v>
      </c>
    </row>
    <row r="1430" ht="15.75" customHeight="1">
      <c r="A1430" s="6">
        <v>10793.0</v>
      </c>
      <c r="B1430" s="7" t="s">
        <v>70</v>
      </c>
      <c r="C1430" s="24" t="str">
        <f>VLOOKUP(dynamic[customerID],customers[],2,FALSE)</f>
        <v>Around the Horn</v>
      </c>
      <c r="D1430" s="24">
        <v>45284.0</v>
      </c>
      <c r="E1430" s="6">
        <f>IFERROR(__xludf.DUMMYFUNCTION("COUNTUNIQUEIFS($A$2:$A1430,$B$2:$B1430,B1430)"),9.0)</f>
        <v>9</v>
      </c>
      <c r="F1430" s="6">
        <f t="shared" si="1"/>
        <v>16</v>
      </c>
      <c r="G1430" s="6" t="str">
        <f>IF(MINIFS(dynamic[orderDate], dynamic[customerID], B1430) &gt;= DATE(2024,4,30)-120, 
     "New", 
     IF(MAXIFS(dynamic[orderCount], dynamic[customerID], B1430)&lt;=2, 
        IF((DATE(2024,4,30) - MAXIFS(dynamic[orderDate], dynamic[customerID], B1430)) &gt; 180, "Non-Returning", "Dormant"), 
        IF(AND(MAX(dynamic[sinceLastOrder]) &gt; 365, (DATE(2024,4,30) - MAXIFS(dynamic[orderDate], dynamic[customerID], B1430)) &gt; 180), 
           "Dormant", "Regular")))</f>
        <v>Regular</v>
      </c>
      <c r="H1430" s="6">
        <v>52.0</v>
      </c>
      <c r="I1430" s="9" t="str">
        <f>VLOOKUP(dynamic[productID],products[],2,FALSE)</f>
        <v>Filo Mix</v>
      </c>
      <c r="J1430" s="9" t="str">
        <f>VLOOKUP(dynamic[productID],products[],12,FALSE)</f>
        <v>Grains/Cereals</v>
      </c>
      <c r="K1430" s="7" t="str">
        <f>IF(VLOOKUP(dynamic[productID],products[],7,FALSE)=1,"Discontinued","Current")</f>
        <v>Current</v>
      </c>
      <c r="L1430" s="9">
        <f>VLOOKUP(dynamic[productID],products[],IF(YEAR(dynamic[orderDate])=2022,8,IF(YEAR(dynamic[orderDate])=2023,9,IF(YEAR(dynamic[orderDate])=2024,10,NA))),FALSE)</f>
        <v>5.001706713</v>
      </c>
      <c r="M1430" s="9">
        <v>7.0</v>
      </c>
      <c r="N1430" s="25">
        <f>(dynamic[orderPrice]-dynamic[productCost])/dynamic[productCost]</f>
        <v>0.3995222835</v>
      </c>
      <c r="O1430" s="10">
        <v>8.0</v>
      </c>
      <c r="P1430" s="25">
        <v>0.0</v>
      </c>
      <c r="Q1430" s="9">
        <f>dynamic[orderPrice]*dynamic[orderQuantity]</f>
        <v>56</v>
      </c>
      <c r="R1430" s="9">
        <f>dynamic[orderTotal]*(1-dynamic[discountApllied])</f>
        <v>56</v>
      </c>
      <c r="S1430" s="9">
        <f>dynamic[revenue]-(dynamic[productCost]*dynamic[orderQuantity])</f>
        <v>15.9863463</v>
      </c>
      <c r="T1430" s="25">
        <f>IFERROR(dynamic[profit]/dynamic[revenue], 0)</f>
        <v>0.2854704696</v>
      </c>
    </row>
    <row r="1431" ht="15.75" customHeight="1">
      <c r="A1431" s="6">
        <v>10794.0</v>
      </c>
      <c r="B1431" s="7" t="s">
        <v>27</v>
      </c>
      <c r="C1431" s="24" t="str">
        <f>VLOOKUP(dynamic[customerID],customers[],2,FALSE)</f>
        <v>Que Delícia</v>
      </c>
      <c r="D1431" s="24">
        <v>45284.0</v>
      </c>
      <c r="E1431" s="6">
        <f>IFERROR(__xludf.DUMMYFUNCTION("COUNTUNIQUEIFS($A$2:$A1431,$B$2:$B1431,B1431)"),8.0)</f>
        <v>8</v>
      </c>
      <c r="F1431" s="6">
        <f t="shared" si="1"/>
        <v>57</v>
      </c>
      <c r="G1431" s="6" t="str">
        <f>IF(MINIFS(dynamic[orderDate], dynamic[customerID], B1431) &gt;= DATE(2024,4,30)-120, 
     "New", 
     IF(MAXIFS(dynamic[orderCount], dynamic[customerID], B1431)&lt;=2, 
        IF((DATE(2024,4,30) - MAXIFS(dynamic[orderDate], dynamic[customerID], B1431)) &gt; 180, "Non-Returning", "Dormant"), 
        IF(AND(MAX(dynamic[sinceLastOrder]) &gt; 365, (DATE(2024,4,30) - MAXIFS(dynamic[orderDate], dynamic[customerID], B1431)) &gt; 180), 
           "Dormant", "Regular")))</f>
        <v>Regular</v>
      </c>
      <c r="H1431" s="6">
        <v>14.0</v>
      </c>
      <c r="I1431" s="9" t="str">
        <f>VLOOKUP(dynamic[productID],products[],2,FALSE)</f>
        <v>Tofu</v>
      </c>
      <c r="J1431" s="9" t="str">
        <f>VLOOKUP(dynamic[productID],products[],12,FALSE)</f>
        <v>Produce</v>
      </c>
      <c r="K1431" s="7" t="str">
        <f>IF(VLOOKUP(dynamic[productID],products[],7,FALSE)=1,"Discontinued","Current")</f>
        <v>Current</v>
      </c>
      <c r="L1431" s="9">
        <f>VLOOKUP(dynamic[productID],products[],IF(YEAR(dynamic[orderDate])=2022,8,IF(YEAR(dynamic[orderDate])=2023,9,IF(YEAR(dynamic[orderDate])=2024,10,NA))),FALSE)</f>
        <v>15.38055417</v>
      </c>
      <c r="M1431" s="9">
        <v>23.25</v>
      </c>
      <c r="N1431" s="25">
        <f>(dynamic[orderPrice]-dynamic[productCost])/dynamic[productCost]</f>
        <v>0.5116490437</v>
      </c>
      <c r="O1431" s="10">
        <v>15.0</v>
      </c>
      <c r="P1431" s="25">
        <v>0.2</v>
      </c>
      <c r="Q1431" s="9">
        <f>dynamic[orderPrice]*dynamic[orderQuantity]</f>
        <v>348.75</v>
      </c>
      <c r="R1431" s="9">
        <f>dynamic[orderTotal]*(1-dynamic[discountApllied])</f>
        <v>279</v>
      </c>
      <c r="S1431" s="9">
        <f>dynamic[revenue]-(dynamic[productCost]*dynamic[orderQuantity])</f>
        <v>48.29168747</v>
      </c>
      <c r="T1431" s="25">
        <f>IFERROR(dynamic[profit]/dynamic[revenue], 0)</f>
        <v>0.1730884856</v>
      </c>
    </row>
    <row r="1432" ht="15.75" customHeight="1">
      <c r="A1432" s="6">
        <v>10794.0</v>
      </c>
      <c r="B1432" s="7" t="s">
        <v>27</v>
      </c>
      <c r="C1432" s="24" t="str">
        <f>VLOOKUP(dynamic[customerID],customers[],2,FALSE)</f>
        <v>Que Delícia</v>
      </c>
      <c r="D1432" s="24">
        <v>45284.0</v>
      </c>
      <c r="E1432" s="6">
        <f>IFERROR(__xludf.DUMMYFUNCTION("COUNTUNIQUEIFS($A$2:$A1432,$B$2:$B1432,B1432)"),8.0)</f>
        <v>8</v>
      </c>
      <c r="F1432" s="6">
        <f t="shared" si="1"/>
        <v>57</v>
      </c>
      <c r="G1432" s="6" t="str">
        <f>IF(MINIFS(dynamic[orderDate], dynamic[customerID], B1432) &gt;= DATE(2024,4,30)-120, 
     "New", 
     IF(MAXIFS(dynamic[orderCount], dynamic[customerID], B1432)&lt;=2, 
        IF((DATE(2024,4,30) - MAXIFS(dynamic[orderDate], dynamic[customerID], B1432)) &gt; 180, "Non-Returning", "Dormant"), 
        IF(AND(MAX(dynamic[sinceLastOrder]) &gt; 365, (DATE(2024,4,30) - MAXIFS(dynamic[orderDate], dynamic[customerID], B1432)) &gt; 180), 
           "Dormant", "Regular")))</f>
        <v>Regular</v>
      </c>
      <c r="H1432" s="6">
        <v>54.0</v>
      </c>
      <c r="I1432" s="9" t="str">
        <f>VLOOKUP(dynamic[productID],products[],2,FALSE)</f>
        <v>Tourtière</v>
      </c>
      <c r="J1432" s="9" t="str">
        <f>VLOOKUP(dynamic[productID],products[],12,FALSE)</f>
        <v>Meat/Poultry</v>
      </c>
      <c r="K1432" s="7" t="str">
        <f>IF(VLOOKUP(dynamic[productID],products[],7,FALSE)=1,"Discontinued","Current")</f>
        <v>Current</v>
      </c>
      <c r="L1432" s="9">
        <f>VLOOKUP(dynamic[productID],products[],IF(YEAR(dynamic[orderDate])=2022,8,IF(YEAR(dynamic[orderDate])=2023,9,IF(YEAR(dynamic[orderDate])=2024,10,NA))),FALSE)</f>
        <v>4.924447797</v>
      </c>
      <c r="M1432" s="9">
        <v>7.45</v>
      </c>
      <c r="N1432" s="25">
        <f>(dynamic[orderPrice]-dynamic[productCost])/dynamic[productCost]</f>
        <v>0.5128599808</v>
      </c>
      <c r="O1432" s="10">
        <v>6.0</v>
      </c>
      <c r="P1432" s="25">
        <v>0.2</v>
      </c>
      <c r="Q1432" s="9">
        <f>dynamic[orderPrice]*dynamic[orderQuantity]</f>
        <v>44.7</v>
      </c>
      <c r="R1432" s="9">
        <f>dynamic[orderTotal]*(1-dynamic[discountApllied])</f>
        <v>35.76</v>
      </c>
      <c r="S1432" s="9">
        <f>dynamic[revenue]-(dynamic[productCost]*dynamic[orderQuantity])</f>
        <v>6.213313217</v>
      </c>
      <c r="T1432" s="25">
        <f>IFERROR(dynamic[profit]/dynamic[revenue], 0)</f>
        <v>0.1737503696</v>
      </c>
    </row>
    <row r="1433" ht="15.75" customHeight="1">
      <c r="A1433" s="6">
        <v>10795.0</v>
      </c>
      <c r="B1433" s="7" t="s">
        <v>24</v>
      </c>
      <c r="C1433" s="24" t="str">
        <f>VLOOKUP(dynamic[customerID],customers[],2,FALSE)</f>
        <v>Ernst Handel</v>
      </c>
      <c r="D1433" s="24">
        <v>45284.0</v>
      </c>
      <c r="E1433" s="6">
        <f>IFERROR(__xludf.DUMMYFUNCTION("COUNTUNIQUEIFS($A$2:$A1433,$B$2:$B1433,B1433)"),21.0)</f>
        <v>21</v>
      </c>
      <c r="F1433" s="6">
        <f t="shared" si="1"/>
        <v>9</v>
      </c>
      <c r="G1433" s="6" t="str">
        <f>IF(MINIFS(dynamic[orderDate], dynamic[customerID], B1433) &gt;= DATE(2024,4,30)-120, 
     "New", 
     IF(MAXIFS(dynamic[orderCount], dynamic[customerID], B1433)&lt;=2, 
        IF((DATE(2024,4,30) - MAXIFS(dynamic[orderDate], dynamic[customerID], B1433)) &gt; 180, "Non-Returning", "Dormant"), 
        IF(AND(MAX(dynamic[sinceLastOrder]) &gt; 365, (DATE(2024,4,30) - MAXIFS(dynamic[orderDate], dynamic[customerID], B1433)) &gt; 180), 
           "Dormant", "Regular")))</f>
        <v>Regular</v>
      </c>
      <c r="H1433" s="6">
        <v>16.0</v>
      </c>
      <c r="I1433" s="9" t="str">
        <f>VLOOKUP(dynamic[productID],products[],2,FALSE)</f>
        <v>Pavlova</v>
      </c>
      <c r="J1433" s="9" t="str">
        <f>VLOOKUP(dynamic[productID],products[],12,FALSE)</f>
        <v>Confections</v>
      </c>
      <c r="K1433" s="7" t="str">
        <f>IF(VLOOKUP(dynamic[productID],products[],7,FALSE)=1,"Discontinued","Current")</f>
        <v>Current</v>
      </c>
      <c r="L1433" s="9">
        <f>VLOOKUP(dynamic[productID],products[],IF(YEAR(dynamic[orderDate])=2022,8,IF(YEAR(dynamic[orderDate])=2023,9,IF(YEAR(dynamic[orderDate])=2024,10,NA))),FALSE)</f>
        <v>11.98504839</v>
      </c>
      <c r="M1433" s="9">
        <v>17.45</v>
      </c>
      <c r="N1433" s="25">
        <f>(dynamic[orderPrice]-dynamic[productCost])/dynamic[productCost]</f>
        <v>0.455980771</v>
      </c>
      <c r="O1433" s="10">
        <v>65.0</v>
      </c>
      <c r="P1433" s="25">
        <v>0.0</v>
      </c>
      <c r="Q1433" s="9">
        <f>dynamic[orderPrice]*dynamic[orderQuantity]</f>
        <v>1134.25</v>
      </c>
      <c r="R1433" s="9">
        <f>dynamic[orderTotal]*(1-dynamic[discountApllied])</f>
        <v>1134.25</v>
      </c>
      <c r="S1433" s="9">
        <f>dynamic[revenue]-(dynamic[productCost]*dynamic[orderQuantity])</f>
        <v>355.2218545</v>
      </c>
      <c r="T1433" s="25">
        <f>IFERROR(dynamic[profit]/dynamic[revenue], 0)</f>
        <v>0.3131777425</v>
      </c>
    </row>
    <row r="1434" ht="15.75" customHeight="1">
      <c r="A1434" s="6">
        <v>10795.0</v>
      </c>
      <c r="B1434" s="7" t="s">
        <v>24</v>
      </c>
      <c r="C1434" s="24" t="str">
        <f>VLOOKUP(dynamic[customerID],customers[],2,FALSE)</f>
        <v>Ernst Handel</v>
      </c>
      <c r="D1434" s="24">
        <v>45284.0</v>
      </c>
      <c r="E1434" s="6">
        <f>IFERROR(__xludf.DUMMYFUNCTION("COUNTUNIQUEIFS($A$2:$A1434,$B$2:$B1434,B1434)"),21.0)</f>
        <v>21</v>
      </c>
      <c r="F1434" s="6">
        <f t="shared" si="1"/>
        <v>9</v>
      </c>
      <c r="G1434" s="6" t="str">
        <f>IF(MINIFS(dynamic[orderDate], dynamic[customerID], B1434) &gt;= DATE(2024,4,30)-120, 
     "New", 
     IF(MAXIFS(dynamic[orderCount], dynamic[customerID], B1434)&lt;=2, 
        IF((DATE(2024,4,30) - MAXIFS(dynamic[orderDate], dynamic[customerID], B1434)) &gt; 180, "Non-Returning", "Dormant"), 
        IF(AND(MAX(dynamic[sinceLastOrder]) &gt; 365, (DATE(2024,4,30) - MAXIFS(dynamic[orderDate], dynamic[customerID], B1434)) &gt; 180), 
           "Dormant", "Regular")))</f>
        <v>Regular</v>
      </c>
      <c r="H1434" s="6">
        <v>17.0</v>
      </c>
      <c r="I1434" s="9" t="str">
        <f>VLOOKUP(dynamic[productID],products[],2,FALSE)</f>
        <v>Alice Mutton</v>
      </c>
      <c r="J1434" s="9" t="str">
        <f>VLOOKUP(dynamic[productID],products[],12,FALSE)</f>
        <v>Meat/Poultry</v>
      </c>
      <c r="K1434" s="7" t="str">
        <f>IF(VLOOKUP(dynamic[productID],products[],7,FALSE)=1,"Discontinued","Current")</f>
        <v>Discontinued</v>
      </c>
      <c r="L1434" s="9">
        <f>VLOOKUP(dynamic[productID],products[],IF(YEAR(dynamic[orderDate])=2022,8,IF(YEAR(dynamic[orderDate])=2023,9,IF(YEAR(dynamic[orderDate])=2024,10,NA))),FALSE)</f>
        <v>24.83130504</v>
      </c>
      <c r="M1434" s="9">
        <v>39.0</v>
      </c>
      <c r="N1434" s="25">
        <f>(dynamic[orderPrice]-dynamic[productCost])/dynamic[productCost]</f>
        <v>0.5705980792</v>
      </c>
      <c r="O1434" s="10">
        <v>35.0</v>
      </c>
      <c r="P1434" s="25">
        <v>0.25</v>
      </c>
      <c r="Q1434" s="9">
        <f>dynamic[orderPrice]*dynamic[orderQuantity]</f>
        <v>1365</v>
      </c>
      <c r="R1434" s="9">
        <f>dynamic[orderTotal]*(1-dynamic[discountApllied])</f>
        <v>1023.75</v>
      </c>
      <c r="S1434" s="9">
        <f>dynamic[revenue]-(dynamic[productCost]*dynamic[orderQuantity])</f>
        <v>154.6543236</v>
      </c>
      <c r="T1434" s="25">
        <f>IFERROR(dynamic[profit]/dynamic[revenue], 0)</f>
        <v>0.1510664944</v>
      </c>
    </row>
    <row r="1435" ht="15.75" customHeight="1">
      <c r="A1435" s="6">
        <v>10796.0</v>
      </c>
      <c r="B1435" s="7" t="s">
        <v>23</v>
      </c>
      <c r="C1435" s="24" t="str">
        <f>VLOOKUP(dynamic[customerID],customers[],2,FALSE)</f>
        <v>HILARION-Abastos</v>
      </c>
      <c r="D1435" s="24">
        <v>45285.0</v>
      </c>
      <c r="E1435" s="6">
        <f>IFERROR(__xludf.DUMMYFUNCTION("COUNTUNIQUEIFS($A$2:$A1435,$B$2:$B1435,B1435)"),12.0)</f>
        <v>12</v>
      </c>
      <c r="F1435" s="6">
        <f t="shared" si="1"/>
        <v>71</v>
      </c>
      <c r="G1435" s="6" t="str">
        <f>IF(MINIFS(dynamic[orderDate], dynamic[customerID], B1435) &gt;= DATE(2024,4,30)-120, 
     "New", 
     IF(MAXIFS(dynamic[orderCount], dynamic[customerID], B1435)&lt;=2, 
        IF((DATE(2024,4,30) - MAXIFS(dynamic[orderDate], dynamic[customerID], B1435)) &gt; 180, "Non-Returning", "Dormant"), 
        IF(AND(MAX(dynamic[sinceLastOrder]) &gt; 365, (DATE(2024,4,30) - MAXIFS(dynamic[orderDate], dynamic[customerID], B1435)) &gt; 180), 
           "Dormant", "Regular")))</f>
        <v>Regular</v>
      </c>
      <c r="H1435" s="6">
        <v>26.0</v>
      </c>
      <c r="I1435" s="9" t="str">
        <f>VLOOKUP(dynamic[productID],products[],2,FALSE)</f>
        <v>NuNuCa Nuß-Nougat-Creme</v>
      </c>
      <c r="J1435" s="9" t="str">
        <f>VLOOKUP(dynamic[productID],products[],12,FALSE)</f>
        <v>Confections</v>
      </c>
      <c r="K1435" s="7" t="str">
        <f>IF(VLOOKUP(dynamic[productID],products[],7,FALSE)=1,"Discontinued","Current")</f>
        <v>Current</v>
      </c>
      <c r="L1435" s="9">
        <f>VLOOKUP(dynamic[productID],products[],IF(YEAR(dynamic[orderDate])=2022,8,IF(YEAR(dynamic[orderDate])=2023,9,IF(YEAR(dynamic[orderDate])=2024,10,NA))),FALSE)</f>
        <v>21.20896201</v>
      </c>
      <c r="M1435" s="9">
        <v>31.23</v>
      </c>
      <c r="N1435" s="25">
        <f>(dynamic[orderPrice]-dynamic[productCost])/dynamic[productCost]</f>
        <v>0.472490732</v>
      </c>
      <c r="O1435" s="10">
        <v>21.0</v>
      </c>
      <c r="P1435" s="25">
        <v>0.2</v>
      </c>
      <c r="Q1435" s="9">
        <f>dynamic[orderPrice]*dynamic[orderQuantity]</f>
        <v>655.83</v>
      </c>
      <c r="R1435" s="9">
        <f>dynamic[orderTotal]*(1-dynamic[discountApllied])</f>
        <v>524.664</v>
      </c>
      <c r="S1435" s="9">
        <f>dynamic[revenue]-(dynamic[productCost]*dynamic[orderQuantity])</f>
        <v>79.27579773</v>
      </c>
      <c r="T1435" s="25">
        <f>IFERROR(dynamic[profit]/dynamic[revenue], 0)</f>
        <v>0.1510982224</v>
      </c>
    </row>
    <row r="1436" ht="15.75" customHeight="1">
      <c r="A1436" s="6">
        <v>10796.0</v>
      </c>
      <c r="B1436" s="7" t="s">
        <v>23</v>
      </c>
      <c r="C1436" s="24" t="str">
        <f>VLOOKUP(dynamic[customerID],customers[],2,FALSE)</f>
        <v>HILARION-Abastos</v>
      </c>
      <c r="D1436" s="24">
        <v>45285.0</v>
      </c>
      <c r="E1436" s="6">
        <f>IFERROR(__xludf.DUMMYFUNCTION("COUNTUNIQUEIFS($A$2:$A1436,$B$2:$B1436,B1436)"),12.0)</f>
        <v>12</v>
      </c>
      <c r="F1436" s="6">
        <f t="shared" si="1"/>
        <v>71</v>
      </c>
      <c r="G1436" s="6" t="str">
        <f>IF(MINIFS(dynamic[orderDate], dynamic[customerID], B1436) &gt;= DATE(2024,4,30)-120, 
     "New", 
     IF(MAXIFS(dynamic[orderCount], dynamic[customerID], B1436)&lt;=2, 
        IF((DATE(2024,4,30) - MAXIFS(dynamic[orderDate], dynamic[customerID], B1436)) &gt; 180, "Non-Returning", "Dormant"), 
        IF(AND(MAX(dynamic[sinceLastOrder]) &gt; 365, (DATE(2024,4,30) - MAXIFS(dynamic[orderDate], dynamic[customerID], B1436)) &gt; 180), 
           "Dormant", "Regular")))</f>
        <v>Regular</v>
      </c>
      <c r="H1436" s="6">
        <v>44.0</v>
      </c>
      <c r="I1436" s="9" t="str">
        <f>VLOOKUP(dynamic[productID],products[],2,FALSE)</f>
        <v>Gula Malacca</v>
      </c>
      <c r="J1436" s="9" t="str">
        <f>VLOOKUP(dynamic[productID],products[],12,FALSE)</f>
        <v>Condiments</v>
      </c>
      <c r="K1436" s="7" t="str">
        <f>IF(VLOOKUP(dynamic[productID],products[],7,FALSE)=1,"Discontinued","Current")</f>
        <v>Current</v>
      </c>
      <c r="L1436" s="9">
        <f>VLOOKUP(dynamic[productID],products[],IF(YEAR(dynamic[orderDate])=2022,8,IF(YEAR(dynamic[orderDate])=2023,9,IF(YEAR(dynamic[orderDate])=2024,10,NA))),FALSE)</f>
        <v>13.06032103</v>
      </c>
      <c r="M1436" s="9">
        <v>19.45</v>
      </c>
      <c r="N1436" s="25">
        <f>(dynamic[orderPrice]-dynamic[productCost])/dynamic[productCost]</f>
        <v>0.4892436379</v>
      </c>
      <c r="O1436" s="10">
        <v>10.0</v>
      </c>
      <c r="P1436" s="25">
        <v>0.0</v>
      </c>
      <c r="Q1436" s="9">
        <f>dynamic[orderPrice]*dynamic[orderQuantity]</f>
        <v>194.5</v>
      </c>
      <c r="R1436" s="9">
        <f>dynamic[orderTotal]*(1-dynamic[discountApllied])</f>
        <v>194.5</v>
      </c>
      <c r="S1436" s="9">
        <f>dynamic[revenue]-(dynamic[productCost]*dynamic[orderQuantity])</f>
        <v>63.89678972</v>
      </c>
      <c r="T1436" s="25">
        <f>IFERROR(dynamic[profit]/dynamic[revenue], 0)</f>
        <v>0.3285181991</v>
      </c>
    </row>
    <row r="1437" ht="15.75" customHeight="1">
      <c r="A1437" s="6">
        <v>10796.0</v>
      </c>
      <c r="B1437" s="7" t="s">
        <v>23</v>
      </c>
      <c r="C1437" s="24" t="str">
        <f>VLOOKUP(dynamic[customerID],customers[],2,FALSE)</f>
        <v>HILARION-Abastos</v>
      </c>
      <c r="D1437" s="24">
        <v>45285.0</v>
      </c>
      <c r="E1437" s="6">
        <f>IFERROR(__xludf.DUMMYFUNCTION("COUNTUNIQUEIFS($A$2:$A1437,$B$2:$B1437,B1437)"),12.0)</f>
        <v>12</v>
      </c>
      <c r="F1437" s="6">
        <f t="shared" si="1"/>
        <v>71</v>
      </c>
      <c r="G1437" s="6" t="str">
        <f>IF(MINIFS(dynamic[orderDate], dynamic[customerID], B1437) &gt;= DATE(2024,4,30)-120, 
     "New", 
     IF(MAXIFS(dynamic[orderCount], dynamic[customerID], B1437)&lt;=2, 
        IF((DATE(2024,4,30) - MAXIFS(dynamic[orderDate], dynamic[customerID], B1437)) &gt; 180, "Non-Returning", "Dormant"), 
        IF(AND(MAX(dynamic[sinceLastOrder]) &gt; 365, (DATE(2024,4,30) - MAXIFS(dynamic[orderDate], dynamic[customerID], B1437)) &gt; 180), 
           "Dormant", "Regular")))</f>
        <v>Regular</v>
      </c>
      <c r="H1437" s="6">
        <v>64.0</v>
      </c>
      <c r="I1437" s="9" t="str">
        <f>VLOOKUP(dynamic[productID],products[],2,FALSE)</f>
        <v>Lukas' leckere Sauerteigweggla</v>
      </c>
      <c r="J1437" s="9" t="str">
        <f>VLOOKUP(dynamic[productID],products[],12,FALSE)</f>
        <v>Grains/Cereals</v>
      </c>
      <c r="K1437" s="7" t="str">
        <f>IF(VLOOKUP(dynamic[productID],products[],7,FALSE)=1,"Discontinued","Current")</f>
        <v>Current</v>
      </c>
      <c r="L1437" s="9">
        <f>VLOOKUP(dynamic[productID],products[],IF(YEAR(dynamic[orderDate])=2022,8,IF(YEAR(dynamic[orderDate])=2023,9,IF(YEAR(dynamic[orderDate])=2024,10,NA))),FALSE)</f>
        <v>21.88572728</v>
      </c>
      <c r="M1437" s="9">
        <v>33.25</v>
      </c>
      <c r="N1437" s="25">
        <f>(dynamic[orderPrice]-dynamic[productCost])/dynamic[productCost]</f>
        <v>0.5192549724</v>
      </c>
      <c r="O1437" s="10">
        <v>35.0</v>
      </c>
      <c r="P1437" s="25">
        <v>0.2</v>
      </c>
      <c r="Q1437" s="9">
        <f>dynamic[orderPrice]*dynamic[orderQuantity]</f>
        <v>1163.75</v>
      </c>
      <c r="R1437" s="9">
        <f>dynamic[orderTotal]*(1-dynamic[discountApllied])</f>
        <v>931</v>
      </c>
      <c r="S1437" s="9">
        <f>dynamic[revenue]-(dynamic[productCost]*dynamic[orderQuantity])</f>
        <v>164.9995451</v>
      </c>
      <c r="T1437" s="25">
        <f>IFERROR(dynamic[profit]/dynamic[revenue], 0)</f>
        <v>0.1772282976</v>
      </c>
    </row>
    <row r="1438" ht="15.75" customHeight="1">
      <c r="A1438" s="6">
        <v>10796.0</v>
      </c>
      <c r="B1438" s="7" t="s">
        <v>23</v>
      </c>
      <c r="C1438" s="24" t="str">
        <f>VLOOKUP(dynamic[customerID],customers[],2,FALSE)</f>
        <v>HILARION-Abastos</v>
      </c>
      <c r="D1438" s="24">
        <v>45285.0</v>
      </c>
      <c r="E1438" s="6">
        <f>IFERROR(__xludf.DUMMYFUNCTION("COUNTUNIQUEIFS($A$2:$A1438,$B$2:$B1438,B1438)"),12.0)</f>
        <v>12</v>
      </c>
      <c r="F1438" s="6">
        <f t="shared" si="1"/>
        <v>71</v>
      </c>
      <c r="G1438" s="6" t="str">
        <f>IF(MINIFS(dynamic[orderDate], dynamic[customerID], B1438) &gt;= DATE(2024,4,30)-120, 
     "New", 
     IF(MAXIFS(dynamic[orderCount], dynamic[customerID], B1438)&lt;=2, 
        IF((DATE(2024,4,30) - MAXIFS(dynamic[orderDate], dynamic[customerID], B1438)) &gt; 180, "Non-Returning", "Dormant"), 
        IF(AND(MAX(dynamic[sinceLastOrder]) &gt; 365, (DATE(2024,4,30) - MAXIFS(dynamic[orderDate], dynamic[customerID], B1438)) &gt; 180), 
           "Dormant", "Regular")))</f>
        <v>Regular</v>
      </c>
      <c r="H1438" s="6">
        <v>69.0</v>
      </c>
      <c r="I1438" s="9" t="str">
        <f>VLOOKUP(dynamic[productID],products[],2,FALSE)</f>
        <v>Gudbrandsdalsost</v>
      </c>
      <c r="J1438" s="9" t="str">
        <f>VLOOKUP(dynamic[productID],products[],12,FALSE)</f>
        <v>Dairy Products</v>
      </c>
      <c r="K1438" s="7" t="str">
        <f>IF(VLOOKUP(dynamic[productID],products[],7,FALSE)=1,"Discontinued","Current")</f>
        <v>Current</v>
      </c>
      <c r="L1438" s="9">
        <f>VLOOKUP(dynamic[productID],products[],IF(YEAR(dynamic[orderDate])=2022,8,IF(YEAR(dynamic[orderDate])=2023,9,IF(YEAR(dynamic[orderDate])=2024,10,NA))),FALSE)</f>
        <v>21.82428612</v>
      </c>
      <c r="M1438" s="9">
        <v>36.0</v>
      </c>
      <c r="N1438" s="25">
        <f>(dynamic[orderPrice]-dynamic[productCost])/dynamic[productCost]</f>
        <v>0.6495384916</v>
      </c>
      <c r="O1438" s="10">
        <v>24.0</v>
      </c>
      <c r="P1438" s="25">
        <v>0.2</v>
      </c>
      <c r="Q1438" s="9">
        <f>dynamic[orderPrice]*dynamic[orderQuantity]</f>
        <v>864</v>
      </c>
      <c r="R1438" s="9">
        <f>dynamic[orderTotal]*(1-dynamic[discountApllied])</f>
        <v>691.2</v>
      </c>
      <c r="S1438" s="9">
        <f>dynamic[revenue]-(dynamic[productCost]*dynamic[orderQuantity])</f>
        <v>167.4171332</v>
      </c>
      <c r="T1438" s="25">
        <f>IFERROR(dynamic[profit]/dynamic[revenue], 0)</f>
        <v>0.2422122877</v>
      </c>
    </row>
    <row r="1439" ht="15.75" customHeight="1">
      <c r="A1439" s="6">
        <v>10797.0</v>
      </c>
      <c r="B1439" s="7" t="s">
        <v>72</v>
      </c>
      <c r="C1439" s="24" t="str">
        <f>VLOOKUP(dynamic[customerID],customers[],2,FALSE)</f>
        <v>Drachenblut Delikatessen</v>
      </c>
      <c r="D1439" s="24">
        <v>45285.0</v>
      </c>
      <c r="E1439" s="6">
        <f>IFERROR(__xludf.DUMMYFUNCTION("COUNTUNIQUEIFS($A$2:$A1439,$B$2:$B1439,B1439)"),3.0)</f>
        <v>3</v>
      </c>
      <c r="F1439" s="6">
        <f t="shared" si="1"/>
        <v>367</v>
      </c>
      <c r="G1439" s="6" t="str">
        <f>IF(MINIFS(dynamic[orderDate], dynamic[customerID], B1439) &gt;= DATE(2024,4,30)-120, 
     "New", 
     IF(MAXIFS(dynamic[orderCount], dynamic[customerID], B1439)&lt;=2, 
        IF((DATE(2024,4,30) - MAXIFS(dynamic[orderDate], dynamic[customerID], B1439)) &gt; 180, "Non-Returning", "Dormant"), 
        IF(AND(MAX(dynamic[sinceLastOrder]) &gt; 365, (DATE(2024,4,30) - MAXIFS(dynamic[orderDate], dynamic[customerID], B1439)) &gt; 180), 
           "Dormant", "Regular")))</f>
        <v>Regular</v>
      </c>
      <c r="H1439" s="6">
        <v>11.0</v>
      </c>
      <c r="I1439" s="9" t="str">
        <f>VLOOKUP(dynamic[productID],products[],2,FALSE)</f>
        <v>Queso Cabrales</v>
      </c>
      <c r="J1439" s="9" t="str">
        <f>VLOOKUP(dynamic[productID],products[],12,FALSE)</f>
        <v>Dairy Products</v>
      </c>
      <c r="K1439" s="7" t="str">
        <f>IF(VLOOKUP(dynamic[productID],products[],7,FALSE)=1,"Discontinued","Current")</f>
        <v>Current</v>
      </c>
      <c r="L1439" s="9">
        <f>VLOOKUP(dynamic[productID],products[],IF(YEAR(dynamic[orderDate])=2022,8,IF(YEAR(dynamic[orderDate])=2023,9,IF(YEAR(dynamic[orderDate])=2024,10,NA))),FALSE)</f>
        <v>12.90188125</v>
      </c>
      <c r="M1439" s="9">
        <v>21.0</v>
      </c>
      <c r="N1439" s="25">
        <f>(dynamic[orderPrice]-dynamic[productCost])/dynamic[productCost]</f>
        <v>0.6276696079</v>
      </c>
      <c r="O1439" s="10">
        <v>20.0</v>
      </c>
      <c r="P1439" s="25">
        <v>0.0</v>
      </c>
      <c r="Q1439" s="9">
        <f>dynamic[orderPrice]*dynamic[orderQuantity]</f>
        <v>420</v>
      </c>
      <c r="R1439" s="9">
        <f>dynamic[orderTotal]*(1-dynamic[discountApllied])</f>
        <v>420</v>
      </c>
      <c r="S1439" s="9">
        <f>dynamic[revenue]-(dynamic[productCost]*dynamic[orderQuantity])</f>
        <v>161.9623749</v>
      </c>
      <c r="T1439" s="25">
        <f>IFERROR(dynamic[profit]/dynamic[revenue], 0)</f>
        <v>0.3856247023</v>
      </c>
    </row>
    <row r="1440" ht="15.75" customHeight="1">
      <c r="A1440" s="6">
        <v>10798.0</v>
      </c>
      <c r="B1440" s="7" t="s">
        <v>57</v>
      </c>
      <c r="C1440" s="24" t="str">
        <f>VLOOKUP(dynamic[customerID],customers[],2,FALSE)</f>
        <v>Island Trading</v>
      </c>
      <c r="D1440" s="24">
        <v>45286.0</v>
      </c>
      <c r="E1440" s="6">
        <f>IFERROR(__xludf.DUMMYFUNCTION("COUNTUNIQUEIFS($A$2:$A1440,$B$2:$B1440,B1440)"),8.0)</f>
        <v>8</v>
      </c>
      <c r="F1440" s="6">
        <f t="shared" si="1"/>
        <v>36</v>
      </c>
      <c r="G1440" s="6" t="str">
        <f>IF(MINIFS(dynamic[orderDate], dynamic[customerID], B1440) &gt;= DATE(2024,4,30)-120, 
     "New", 
     IF(MAXIFS(dynamic[orderCount], dynamic[customerID], B1440)&lt;=2, 
        IF((DATE(2024,4,30) - MAXIFS(dynamic[orderDate], dynamic[customerID], B1440)) &gt; 180, "Non-Returning", "Dormant"), 
        IF(AND(MAX(dynamic[sinceLastOrder]) &gt; 365, (DATE(2024,4,30) - MAXIFS(dynamic[orderDate], dynamic[customerID], B1440)) &gt; 180), 
           "Dormant", "Regular")))</f>
        <v>Regular</v>
      </c>
      <c r="H1440" s="6">
        <v>62.0</v>
      </c>
      <c r="I1440" s="9" t="str">
        <f>VLOOKUP(dynamic[productID],products[],2,FALSE)</f>
        <v>Tarte au sucre</v>
      </c>
      <c r="J1440" s="9" t="str">
        <f>VLOOKUP(dynamic[productID],products[],12,FALSE)</f>
        <v>Confections</v>
      </c>
      <c r="K1440" s="7" t="str">
        <f>IF(VLOOKUP(dynamic[productID],products[],7,FALSE)=1,"Discontinued","Current")</f>
        <v>Current</v>
      </c>
      <c r="L1440" s="9">
        <f>VLOOKUP(dynamic[productID],products[],IF(YEAR(dynamic[orderDate])=2022,8,IF(YEAR(dynamic[orderDate])=2023,9,IF(YEAR(dynamic[orderDate])=2024,10,NA))),FALSE)</f>
        <v>35.34792781</v>
      </c>
      <c r="M1440" s="9">
        <v>49.3</v>
      </c>
      <c r="N1440" s="25">
        <f>(dynamic[orderPrice]-dynamic[productCost])/dynamic[productCost]</f>
        <v>0.3947069335</v>
      </c>
      <c r="O1440" s="10">
        <v>2.0</v>
      </c>
      <c r="P1440" s="25">
        <v>0.0</v>
      </c>
      <c r="Q1440" s="9">
        <f>dynamic[orderPrice]*dynamic[orderQuantity]</f>
        <v>98.6</v>
      </c>
      <c r="R1440" s="9">
        <f>dynamic[orderTotal]*(1-dynamic[discountApllied])</f>
        <v>98.6</v>
      </c>
      <c r="S1440" s="9">
        <f>dynamic[revenue]-(dynamic[productCost]*dynamic[orderQuantity])</f>
        <v>27.90414438</v>
      </c>
      <c r="T1440" s="25">
        <f>IFERROR(dynamic[profit]/dynamic[revenue], 0)</f>
        <v>0.2830034927</v>
      </c>
    </row>
    <row r="1441" ht="15.75" customHeight="1">
      <c r="A1441" s="6">
        <v>10798.0</v>
      </c>
      <c r="B1441" s="7" t="s">
        <v>57</v>
      </c>
      <c r="C1441" s="24" t="str">
        <f>VLOOKUP(dynamic[customerID],customers[],2,FALSE)</f>
        <v>Island Trading</v>
      </c>
      <c r="D1441" s="24">
        <v>45286.0</v>
      </c>
      <c r="E1441" s="6">
        <f>IFERROR(__xludf.DUMMYFUNCTION("COUNTUNIQUEIFS($A$2:$A1441,$B$2:$B1441,B1441)"),8.0)</f>
        <v>8</v>
      </c>
      <c r="F1441" s="6">
        <f t="shared" si="1"/>
        <v>36</v>
      </c>
      <c r="G1441" s="6" t="str">
        <f>IF(MINIFS(dynamic[orderDate], dynamic[customerID], B1441) &gt;= DATE(2024,4,30)-120, 
     "New", 
     IF(MAXIFS(dynamic[orderCount], dynamic[customerID], B1441)&lt;=2, 
        IF((DATE(2024,4,30) - MAXIFS(dynamic[orderDate], dynamic[customerID], B1441)) &gt; 180, "Non-Returning", "Dormant"), 
        IF(AND(MAX(dynamic[sinceLastOrder]) &gt; 365, (DATE(2024,4,30) - MAXIFS(dynamic[orderDate], dynamic[customerID], B1441)) &gt; 180), 
           "Dormant", "Regular")))</f>
        <v>Regular</v>
      </c>
      <c r="H1441" s="6">
        <v>72.0</v>
      </c>
      <c r="I1441" s="9" t="str">
        <f>VLOOKUP(dynamic[productID],products[],2,FALSE)</f>
        <v>Mozzarella di Giovanni</v>
      </c>
      <c r="J1441" s="9" t="str">
        <f>VLOOKUP(dynamic[productID],products[],12,FALSE)</f>
        <v>Dairy Products</v>
      </c>
      <c r="K1441" s="7" t="str">
        <f>IF(VLOOKUP(dynamic[productID],products[],7,FALSE)=1,"Discontinued","Current")</f>
        <v>Current</v>
      </c>
      <c r="L1441" s="9">
        <f>VLOOKUP(dynamic[productID],products[],IF(YEAR(dynamic[orderDate])=2022,8,IF(YEAR(dynamic[orderDate])=2023,9,IF(YEAR(dynamic[orderDate])=2024,10,NA))),FALSE)</f>
        <v>23.51933768</v>
      </c>
      <c r="M1441" s="9">
        <v>34.8</v>
      </c>
      <c r="N1441" s="25">
        <f>(dynamic[orderPrice]-dynamic[productCost])/dynamic[productCost]</f>
        <v>0.4796335031</v>
      </c>
      <c r="O1441" s="10">
        <v>10.0</v>
      </c>
      <c r="P1441" s="25">
        <v>0.0</v>
      </c>
      <c r="Q1441" s="9">
        <f>dynamic[orderPrice]*dynamic[orderQuantity]</f>
        <v>348</v>
      </c>
      <c r="R1441" s="9">
        <f>dynamic[orderTotal]*(1-dynamic[discountApllied])</f>
        <v>348</v>
      </c>
      <c r="S1441" s="9">
        <f>dynamic[revenue]-(dynamic[productCost]*dynamic[orderQuantity])</f>
        <v>112.8066232</v>
      </c>
      <c r="T1441" s="25">
        <f>IFERROR(dynamic[profit]/dynamic[revenue], 0)</f>
        <v>0.3241569633</v>
      </c>
    </row>
    <row r="1442" ht="15.75" customHeight="1">
      <c r="A1442" s="6">
        <v>10799.0</v>
      </c>
      <c r="B1442" s="7" t="s">
        <v>59</v>
      </c>
      <c r="C1442" s="24" t="str">
        <f>VLOOKUP(dynamic[customerID],customers[],2,FALSE)</f>
        <v>Königlich Essen</v>
      </c>
      <c r="D1442" s="24">
        <v>45286.0</v>
      </c>
      <c r="E1442" s="6">
        <f>IFERROR(__xludf.DUMMYFUNCTION("COUNTUNIQUEIFS($A$2:$A1442,$B$2:$B1442,B1442)"),10.0)</f>
        <v>10</v>
      </c>
      <c r="F1442" s="6">
        <f t="shared" si="1"/>
        <v>60</v>
      </c>
      <c r="G1442" s="6" t="str">
        <f>IF(MINIFS(dynamic[orderDate], dynamic[customerID], B1442) &gt;= DATE(2024,4,30)-120, 
     "New", 
     IF(MAXIFS(dynamic[orderCount], dynamic[customerID], B1442)&lt;=2, 
        IF((DATE(2024,4,30) - MAXIFS(dynamic[orderDate], dynamic[customerID], B1442)) &gt; 180, "Non-Returning", "Dormant"), 
        IF(AND(MAX(dynamic[sinceLastOrder]) &gt; 365, (DATE(2024,4,30) - MAXIFS(dynamic[orderDate], dynamic[customerID], B1442)) &gt; 180), 
           "Dormant", "Regular")))</f>
        <v>Regular</v>
      </c>
      <c r="H1442" s="6">
        <v>13.0</v>
      </c>
      <c r="I1442" s="9" t="str">
        <f>VLOOKUP(dynamic[productID],products[],2,FALSE)</f>
        <v>Konbu</v>
      </c>
      <c r="J1442" s="9" t="str">
        <f>VLOOKUP(dynamic[productID],products[],12,FALSE)</f>
        <v>Seafood</v>
      </c>
      <c r="K1442" s="7" t="str">
        <f>IF(VLOOKUP(dynamic[productID],products[],7,FALSE)=1,"Discontinued","Current")</f>
        <v>Current</v>
      </c>
      <c r="L1442" s="9">
        <f>VLOOKUP(dynamic[productID],products[],IF(YEAR(dynamic[orderDate])=2022,8,IF(YEAR(dynamic[orderDate])=2023,9,IF(YEAR(dynamic[orderDate])=2024,10,NA))),FALSE)</f>
        <v>3.865774949</v>
      </c>
      <c r="M1442" s="9">
        <v>6.0</v>
      </c>
      <c r="N1442" s="25">
        <f>(dynamic[orderPrice]-dynamic[productCost])/dynamic[productCost]</f>
        <v>0.5520820739</v>
      </c>
      <c r="O1442" s="10">
        <v>20.0</v>
      </c>
      <c r="P1442" s="25">
        <v>0.15</v>
      </c>
      <c r="Q1442" s="9">
        <f>dynamic[orderPrice]*dynamic[orderQuantity]</f>
        <v>120</v>
      </c>
      <c r="R1442" s="9">
        <f>dynamic[orderTotal]*(1-dynamic[discountApllied])</f>
        <v>102</v>
      </c>
      <c r="S1442" s="9">
        <f>dynamic[revenue]-(dynamic[productCost]*dynamic[orderQuantity])</f>
        <v>24.68450102</v>
      </c>
      <c r="T1442" s="25">
        <f>IFERROR(dynamic[profit]/dynamic[revenue], 0)</f>
        <v>0.242004912</v>
      </c>
    </row>
    <row r="1443" ht="15.75" customHeight="1">
      <c r="A1443" s="6">
        <v>10799.0</v>
      </c>
      <c r="B1443" s="7" t="s">
        <v>59</v>
      </c>
      <c r="C1443" s="24" t="str">
        <f>VLOOKUP(dynamic[customerID],customers[],2,FALSE)</f>
        <v>Königlich Essen</v>
      </c>
      <c r="D1443" s="24">
        <v>45286.0</v>
      </c>
      <c r="E1443" s="6">
        <f>IFERROR(__xludf.DUMMYFUNCTION("COUNTUNIQUEIFS($A$2:$A1443,$B$2:$B1443,B1443)"),10.0)</f>
        <v>10</v>
      </c>
      <c r="F1443" s="6">
        <f t="shared" si="1"/>
        <v>60</v>
      </c>
      <c r="G1443" s="6" t="str">
        <f>IF(MINIFS(dynamic[orderDate], dynamic[customerID], B1443) &gt;= DATE(2024,4,30)-120, 
     "New", 
     IF(MAXIFS(dynamic[orderCount], dynamic[customerID], B1443)&lt;=2, 
        IF((DATE(2024,4,30) - MAXIFS(dynamic[orderDate], dynamic[customerID], B1443)) &gt; 180, "Non-Returning", "Dormant"), 
        IF(AND(MAX(dynamic[sinceLastOrder]) &gt; 365, (DATE(2024,4,30) - MAXIFS(dynamic[orderDate], dynamic[customerID], B1443)) &gt; 180), 
           "Dormant", "Regular")))</f>
        <v>Regular</v>
      </c>
      <c r="H1443" s="6">
        <v>24.0</v>
      </c>
      <c r="I1443" s="9" t="str">
        <f>VLOOKUP(dynamic[productID],products[],2,FALSE)</f>
        <v>Brigadeiros Maravilhosos da Lilian</v>
      </c>
      <c r="J1443" s="9" t="str">
        <f>VLOOKUP(dynamic[productID],products[],12,FALSE)</f>
        <v>Confections</v>
      </c>
      <c r="K1443" s="7" t="str">
        <f>IF(VLOOKUP(dynamic[productID],products[],7,FALSE)=1,"Discontinued","Current")</f>
        <v>Discontinued</v>
      </c>
      <c r="L1443" s="9">
        <f>VLOOKUP(dynamic[productID],products[],IF(YEAR(dynamic[orderDate])=2022,8,IF(YEAR(dynamic[orderDate])=2023,9,IF(YEAR(dynamic[orderDate])=2024,10,NA))),FALSE)</f>
        <v>3.131783363</v>
      </c>
      <c r="M1443" s="9">
        <v>4.5</v>
      </c>
      <c r="N1443" s="25">
        <f>(dynamic[orderPrice]-dynamic[productCost])/dynamic[productCost]</f>
        <v>0.4368809967</v>
      </c>
      <c r="O1443" s="10">
        <v>20.0</v>
      </c>
      <c r="P1443" s="25">
        <v>0.15</v>
      </c>
      <c r="Q1443" s="9">
        <f>dynamic[orderPrice]*dynamic[orderQuantity]</f>
        <v>90</v>
      </c>
      <c r="R1443" s="9">
        <f>dynamic[orderTotal]*(1-dynamic[discountApllied])</f>
        <v>76.5</v>
      </c>
      <c r="S1443" s="9">
        <f>dynamic[revenue]-(dynamic[productCost]*dynamic[orderQuantity])</f>
        <v>13.86433274</v>
      </c>
      <c r="T1443" s="25">
        <f>IFERROR(dynamic[profit]/dynamic[revenue], 0)</f>
        <v>0.1812331077</v>
      </c>
    </row>
    <row r="1444" ht="15.75" customHeight="1">
      <c r="A1444" s="6">
        <v>10799.0</v>
      </c>
      <c r="B1444" s="7" t="s">
        <v>59</v>
      </c>
      <c r="C1444" s="24" t="str">
        <f>VLOOKUP(dynamic[customerID],customers[],2,FALSE)</f>
        <v>Königlich Essen</v>
      </c>
      <c r="D1444" s="24">
        <v>45286.0</v>
      </c>
      <c r="E1444" s="6">
        <f>IFERROR(__xludf.DUMMYFUNCTION("COUNTUNIQUEIFS($A$2:$A1444,$B$2:$B1444,B1444)"),10.0)</f>
        <v>10</v>
      </c>
      <c r="F1444" s="6">
        <f t="shared" si="1"/>
        <v>60</v>
      </c>
      <c r="G1444" s="6" t="str">
        <f>IF(MINIFS(dynamic[orderDate], dynamic[customerID], B1444) &gt;= DATE(2024,4,30)-120, 
     "New", 
     IF(MAXIFS(dynamic[orderCount], dynamic[customerID], B1444)&lt;=2, 
        IF((DATE(2024,4,30) - MAXIFS(dynamic[orderDate], dynamic[customerID], B1444)) &gt; 180, "Non-Returning", "Dormant"), 
        IF(AND(MAX(dynamic[sinceLastOrder]) &gt; 365, (DATE(2024,4,30) - MAXIFS(dynamic[orderDate], dynamic[customerID], B1444)) &gt; 180), 
           "Dormant", "Regular")))</f>
        <v>Regular</v>
      </c>
      <c r="H1444" s="6">
        <v>59.0</v>
      </c>
      <c r="I1444" s="9" t="str">
        <f>VLOOKUP(dynamic[productID],products[],2,FALSE)</f>
        <v>Raclette Courdavault</v>
      </c>
      <c r="J1444" s="9" t="str">
        <f>VLOOKUP(dynamic[productID],products[],12,FALSE)</f>
        <v>Dairy Products</v>
      </c>
      <c r="K1444" s="7" t="str">
        <f>IF(VLOOKUP(dynamic[productID],products[],7,FALSE)=1,"Discontinued","Current")</f>
        <v>Current</v>
      </c>
      <c r="L1444" s="9">
        <f>VLOOKUP(dynamic[productID],products[],IF(YEAR(dynamic[orderDate])=2022,8,IF(YEAR(dynamic[orderDate])=2023,9,IF(YEAR(dynamic[orderDate])=2024,10,NA))),FALSE)</f>
        <v>35.20472566</v>
      </c>
      <c r="M1444" s="9">
        <v>55.0</v>
      </c>
      <c r="N1444" s="25">
        <f>(dynamic[orderPrice]-dynamic[productCost])/dynamic[productCost]</f>
        <v>0.5622902598</v>
      </c>
      <c r="O1444" s="10">
        <v>25.0</v>
      </c>
      <c r="P1444" s="25">
        <v>0.0</v>
      </c>
      <c r="Q1444" s="9">
        <f>dynamic[orderPrice]*dynamic[orderQuantity]</f>
        <v>1375</v>
      </c>
      <c r="R1444" s="9">
        <f>dynamic[orderTotal]*(1-dynamic[discountApllied])</f>
        <v>1375</v>
      </c>
      <c r="S1444" s="9">
        <f>dynamic[revenue]-(dynamic[productCost]*dynamic[orderQuantity])</f>
        <v>494.8818585</v>
      </c>
      <c r="T1444" s="25">
        <f>IFERROR(dynamic[profit]/dynamic[revenue], 0)</f>
        <v>0.3599140789</v>
      </c>
    </row>
    <row r="1445" ht="15.75" customHeight="1">
      <c r="A1445" s="6">
        <v>10800.0</v>
      </c>
      <c r="B1445" s="7" t="s">
        <v>71</v>
      </c>
      <c r="C1445" s="24" t="str">
        <f>VLOOKUP(dynamic[customerID],customers[],2,FALSE)</f>
        <v>Seven Seas Imports</v>
      </c>
      <c r="D1445" s="24">
        <v>45286.0</v>
      </c>
      <c r="E1445" s="6">
        <f>IFERROR(__xludf.DUMMYFUNCTION("COUNTUNIQUEIFS($A$2:$A1445,$B$2:$B1445,B1445)"),7.0)</f>
        <v>7</v>
      </c>
      <c r="F1445" s="6">
        <f t="shared" si="1"/>
        <v>217</v>
      </c>
      <c r="G1445" s="6" t="str">
        <f>IF(MINIFS(dynamic[orderDate], dynamic[customerID], B1445) &gt;= DATE(2024,4,30)-120, 
     "New", 
     IF(MAXIFS(dynamic[orderCount], dynamic[customerID], B1445)&lt;=2, 
        IF((DATE(2024,4,30) - MAXIFS(dynamic[orderDate], dynamic[customerID], B1445)) &gt; 180, "Non-Returning", "Dormant"), 
        IF(AND(MAX(dynamic[sinceLastOrder]) &gt; 365, (DATE(2024,4,30) - MAXIFS(dynamic[orderDate], dynamic[customerID], B1445)) &gt; 180), 
           "Dormant", "Regular")))</f>
        <v>Regular</v>
      </c>
      <c r="H1445" s="6">
        <v>11.0</v>
      </c>
      <c r="I1445" s="9" t="str">
        <f>VLOOKUP(dynamic[productID],products[],2,FALSE)</f>
        <v>Queso Cabrales</v>
      </c>
      <c r="J1445" s="9" t="str">
        <f>VLOOKUP(dynamic[productID],products[],12,FALSE)</f>
        <v>Dairy Products</v>
      </c>
      <c r="K1445" s="7" t="str">
        <f>IF(VLOOKUP(dynamic[productID],products[],7,FALSE)=1,"Discontinued","Current")</f>
        <v>Current</v>
      </c>
      <c r="L1445" s="9">
        <f>VLOOKUP(dynamic[productID],products[],IF(YEAR(dynamic[orderDate])=2022,8,IF(YEAR(dynamic[orderDate])=2023,9,IF(YEAR(dynamic[orderDate])=2024,10,NA))),FALSE)</f>
        <v>12.90188125</v>
      </c>
      <c r="M1445" s="9">
        <v>21.0</v>
      </c>
      <c r="N1445" s="25">
        <f>(dynamic[orderPrice]-dynamic[productCost])/dynamic[productCost]</f>
        <v>0.6276696079</v>
      </c>
      <c r="O1445" s="10">
        <v>50.0</v>
      </c>
      <c r="P1445" s="25">
        <v>0.1</v>
      </c>
      <c r="Q1445" s="9">
        <f>dynamic[orderPrice]*dynamic[orderQuantity]</f>
        <v>1050</v>
      </c>
      <c r="R1445" s="9">
        <f>dynamic[orderTotal]*(1-dynamic[discountApllied])</f>
        <v>945</v>
      </c>
      <c r="S1445" s="9">
        <f>dynamic[revenue]-(dynamic[productCost]*dynamic[orderQuantity])</f>
        <v>299.9059374</v>
      </c>
      <c r="T1445" s="25">
        <f>IFERROR(dynamic[profit]/dynamic[revenue], 0)</f>
        <v>0.3173607803</v>
      </c>
    </row>
    <row r="1446" ht="15.75" customHeight="1">
      <c r="A1446" s="6">
        <v>10800.0</v>
      </c>
      <c r="B1446" s="7" t="s">
        <v>71</v>
      </c>
      <c r="C1446" s="24" t="str">
        <f>VLOOKUP(dynamic[customerID],customers[],2,FALSE)</f>
        <v>Seven Seas Imports</v>
      </c>
      <c r="D1446" s="24">
        <v>45286.0</v>
      </c>
      <c r="E1446" s="6">
        <f>IFERROR(__xludf.DUMMYFUNCTION("COUNTUNIQUEIFS($A$2:$A1446,$B$2:$B1446,B1446)"),7.0)</f>
        <v>7</v>
      </c>
      <c r="F1446" s="6">
        <f t="shared" si="1"/>
        <v>217</v>
      </c>
      <c r="G1446" s="6" t="str">
        <f>IF(MINIFS(dynamic[orderDate], dynamic[customerID], B1446) &gt;= DATE(2024,4,30)-120, 
     "New", 
     IF(MAXIFS(dynamic[orderCount], dynamic[customerID], B1446)&lt;=2, 
        IF((DATE(2024,4,30) - MAXIFS(dynamic[orderDate], dynamic[customerID], B1446)) &gt; 180, "Non-Returning", "Dormant"), 
        IF(AND(MAX(dynamic[sinceLastOrder]) &gt; 365, (DATE(2024,4,30) - MAXIFS(dynamic[orderDate], dynamic[customerID], B1446)) &gt; 180), 
           "Dormant", "Regular")))</f>
        <v>Regular</v>
      </c>
      <c r="H1446" s="6">
        <v>51.0</v>
      </c>
      <c r="I1446" s="9" t="str">
        <f>VLOOKUP(dynamic[productID],products[],2,FALSE)</f>
        <v>Manjimup Dried Apples</v>
      </c>
      <c r="J1446" s="9" t="str">
        <f>VLOOKUP(dynamic[productID],products[],12,FALSE)</f>
        <v>Produce</v>
      </c>
      <c r="K1446" s="7" t="str">
        <f>IF(VLOOKUP(dynamic[productID],products[],7,FALSE)=1,"Discontinued","Current")</f>
        <v>Current</v>
      </c>
      <c r="L1446" s="9">
        <f>VLOOKUP(dynamic[productID],products[],IF(YEAR(dynamic[orderDate])=2022,8,IF(YEAR(dynamic[orderDate])=2023,9,IF(YEAR(dynamic[orderDate])=2024,10,NA))),FALSE)</f>
        <v>36.88798027</v>
      </c>
      <c r="M1446" s="9">
        <v>53.0</v>
      </c>
      <c r="N1446" s="25">
        <f>(dynamic[orderPrice]-dynamic[productCost])/dynamic[productCost]</f>
        <v>0.4367823779</v>
      </c>
      <c r="O1446" s="10">
        <v>10.0</v>
      </c>
      <c r="P1446" s="25">
        <v>0.1</v>
      </c>
      <c r="Q1446" s="9">
        <f>dynamic[orderPrice]*dynamic[orderQuantity]</f>
        <v>530</v>
      </c>
      <c r="R1446" s="9">
        <f>dynamic[orderTotal]*(1-dynamic[discountApllied])</f>
        <v>477</v>
      </c>
      <c r="S1446" s="9">
        <f>dynamic[revenue]-(dynamic[productCost]*dynamic[orderQuantity])</f>
        <v>108.1201973</v>
      </c>
      <c r="T1446" s="25">
        <f>IFERROR(dynamic[profit]/dynamic[revenue], 0)</f>
        <v>0.2266670804</v>
      </c>
    </row>
    <row r="1447" ht="15.75" customHeight="1">
      <c r="A1447" s="6">
        <v>10800.0</v>
      </c>
      <c r="B1447" s="7" t="s">
        <v>71</v>
      </c>
      <c r="C1447" s="24" t="str">
        <f>VLOOKUP(dynamic[customerID],customers[],2,FALSE)</f>
        <v>Seven Seas Imports</v>
      </c>
      <c r="D1447" s="24">
        <v>45286.0</v>
      </c>
      <c r="E1447" s="6">
        <f>IFERROR(__xludf.DUMMYFUNCTION("COUNTUNIQUEIFS($A$2:$A1447,$B$2:$B1447,B1447)"),7.0)</f>
        <v>7</v>
      </c>
      <c r="F1447" s="6">
        <f t="shared" si="1"/>
        <v>217</v>
      </c>
      <c r="G1447" s="6" t="str">
        <f>IF(MINIFS(dynamic[orderDate], dynamic[customerID], B1447) &gt;= DATE(2024,4,30)-120, 
     "New", 
     IF(MAXIFS(dynamic[orderCount], dynamic[customerID], B1447)&lt;=2, 
        IF((DATE(2024,4,30) - MAXIFS(dynamic[orderDate], dynamic[customerID], B1447)) &gt; 180, "Non-Returning", "Dormant"), 
        IF(AND(MAX(dynamic[sinceLastOrder]) &gt; 365, (DATE(2024,4,30) - MAXIFS(dynamic[orderDate], dynamic[customerID], B1447)) &gt; 180), 
           "Dormant", "Regular")))</f>
        <v>Regular</v>
      </c>
      <c r="H1447" s="6">
        <v>54.0</v>
      </c>
      <c r="I1447" s="9" t="str">
        <f>VLOOKUP(dynamic[productID],products[],2,FALSE)</f>
        <v>Tourtière</v>
      </c>
      <c r="J1447" s="9" t="str">
        <f>VLOOKUP(dynamic[productID],products[],12,FALSE)</f>
        <v>Meat/Poultry</v>
      </c>
      <c r="K1447" s="7" t="str">
        <f>IF(VLOOKUP(dynamic[productID],products[],7,FALSE)=1,"Discontinued","Current")</f>
        <v>Current</v>
      </c>
      <c r="L1447" s="9">
        <f>VLOOKUP(dynamic[productID],products[],IF(YEAR(dynamic[orderDate])=2022,8,IF(YEAR(dynamic[orderDate])=2023,9,IF(YEAR(dynamic[orderDate])=2024,10,NA))),FALSE)</f>
        <v>4.924447797</v>
      </c>
      <c r="M1447" s="9">
        <v>7.45</v>
      </c>
      <c r="N1447" s="25">
        <f>(dynamic[orderPrice]-dynamic[productCost])/dynamic[productCost]</f>
        <v>0.5128599808</v>
      </c>
      <c r="O1447" s="10">
        <v>7.0</v>
      </c>
      <c r="P1447" s="25">
        <v>0.1</v>
      </c>
      <c r="Q1447" s="9">
        <f>dynamic[orderPrice]*dynamic[orderQuantity]</f>
        <v>52.15</v>
      </c>
      <c r="R1447" s="9">
        <f>dynamic[orderTotal]*(1-dynamic[discountApllied])</f>
        <v>46.935</v>
      </c>
      <c r="S1447" s="9">
        <f>dynamic[revenue]-(dynamic[productCost]*dynamic[orderQuantity])</f>
        <v>12.46386542</v>
      </c>
      <c r="T1447" s="25">
        <f>IFERROR(dynamic[profit]/dynamic[revenue], 0)</f>
        <v>0.2655558841</v>
      </c>
    </row>
    <row r="1448" ht="15.75" customHeight="1">
      <c r="A1448" s="6">
        <v>10801.0</v>
      </c>
      <c r="B1448" s="7" t="s">
        <v>61</v>
      </c>
      <c r="C1448" s="24" t="str">
        <f>VLOOKUP(dynamic[customerID],customers[],2,FALSE)</f>
        <v>Bólido Comidas preparadas</v>
      </c>
      <c r="D1448" s="24">
        <v>45289.0</v>
      </c>
      <c r="E1448" s="6">
        <f>IFERROR(__xludf.DUMMYFUNCTION("COUNTUNIQUEIFS($A$2:$A1448,$B$2:$B1448,B1448)"),2.0)</f>
        <v>2</v>
      </c>
      <c r="F1448" s="6">
        <f t="shared" si="1"/>
        <v>445</v>
      </c>
      <c r="G1448" s="6" t="str">
        <f>IF(MINIFS(dynamic[orderDate], dynamic[customerID], B1448) &gt;= DATE(2024,4,30)-120, 
     "New", 
     IF(MAXIFS(dynamic[orderCount], dynamic[customerID], B1448)&lt;=2, 
        IF((DATE(2024,4,30) - MAXIFS(dynamic[orderDate], dynamic[customerID], B1448)) &gt; 180, "Non-Returning", "Dormant"), 
        IF(AND(MAX(dynamic[sinceLastOrder]) &gt; 365, (DATE(2024,4,30) - MAXIFS(dynamic[orderDate], dynamic[customerID], B1448)) &gt; 180), 
           "Dormant", "Regular")))</f>
        <v>Regular</v>
      </c>
      <c r="H1448" s="6">
        <v>17.0</v>
      </c>
      <c r="I1448" s="9" t="str">
        <f>VLOOKUP(dynamic[productID],products[],2,FALSE)</f>
        <v>Alice Mutton</v>
      </c>
      <c r="J1448" s="9" t="str">
        <f>VLOOKUP(dynamic[productID],products[],12,FALSE)</f>
        <v>Meat/Poultry</v>
      </c>
      <c r="K1448" s="7" t="str">
        <f>IF(VLOOKUP(dynamic[productID],products[],7,FALSE)=1,"Discontinued","Current")</f>
        <v>Discontinued</v>
      </c>
      <c r="L1448" s="9">
        <f>VLOOKUP(dynamic[productID],products[],IF(YEAR(dynamic[orderDate])=2022,8,IF(YEAR(dynamic[orderDate])=2023,9,IF(YEAR(dynamic[orderDate])=2024,10,NA))),FALSE)</f>
        <v>24.83130504</v>
      </c>
      <c r="M1448" s="9">
        <v>39.0</v>
      </c>
      <c r="N1448" s="25">
        <f>(dynamic[orderPrice]-dynamic[productCost])/dynamic[productCost]</f>
        <v>0.5705980792</v>
      </c>
      <c r="O1448" s="10">
        <v>40.0</v>
      </c>
      <c r="P1448" s="25">
        <v>0.25</v>
      </c>
      <c r="Q1448" s="9">
        <f>dynamic[orderPrice]*dynamic[orderQuantity]</f>
        <v>1560</v>
      </c>
      <c r="R1448" s="9">
        <f>dynamic[orderTotal]*(1-dynamic[discountApllied])</f>
        <v>1170</v>
      </c>
      <c r="S1448" s="9">
        <f>dynamic[revenue]-(dynamic[productCost]*dynamic[orderQuantity])</f>
        <v>176.7477984</v>
      </c>
      <c r="T1448" s="25">
        <f>IFERROR(dynamic[profit]/dynamic[revenue], 0)</f>
        <v>0.1510664944</v>
      </c>
    </row>
    <row r="1449" ht="15.75" customHeight="1">
      <c r="A1449" s="6">
        <v>10801.0</v>
      </c>
      <c r="B1449" s="7" t="s">
        <v>61</v>
      </c>
      <c r="C1449" s="24" t="str">
        <f>VLOOKUP(dynamic[customerID],customers[],2,FALSE)</f>
        <v>Bólido Comidas preparadas</v>
      </c>
      <c r="D1449" s="24">
        <v>45289.0</v>
      </c>
      <c r="E1449" s="6">
        <f>IFERROR(__xludf.DUMMYFUNCTION("COUNTUNIQUEIFS($A$2:$A1449,$B$2:$B1449,B1449)"),2.0)</f>
        <v>2</v>
      </c>
      <c r="F1449" s="6">
        <f t="shared" si="1"/>
        <v>445</v>
      </c>
      <c r="G1449" s="6" t="str">
        <f>IF(MINIFS(dynamic[orderDate], dynamic[customerID], B1449) &gt;= DATE(2024,4,30)-120, 
     "New", 
     IF(MAXIFS(dynamic[orderCount], dynamic[customerID], B1449)&lt;=2, 
        IF((DATE(2024,4,30) - MAXIFS(dynamic[orderDate], dynamic[customerID], B1449)) &gt; 180, "Non-Returning", "Dormant"), 
        IF(AND(MAX(dynamic[sinceLastOrder]) &gt; 365, (DATE(2024,4,30) - MAXIFS(dynamic[orderDate], dynamic[customerID], B1449)) &gt; 180), 
           "Dormant", "Regular")))</f>
        <v>Regular</v>
      </c>
      <c r="H1449" s="6">
        <v>29.0</v>
      </c>
      <c r="I1449" s="9" t="str">
        <f>VLOOKUP(dynamic[productID],products[],2,FALSE)</f>
        <v>Thüringer Rostbratwurst</v>
      </c>
      <c r="J1449" s="9" t="str">
        <f>VLOOKUP(dynamic[productID],products[],12,FALSE)</f>
        <v>Meat/Poultry</v>
      </c>
      <c r="K1449" s="7" t="str">
        <f>IF(VLOOKUP(dynamic[productID],products[],7,FALSE)=1,"Discontinued","Current")</f>
        <v>Discontinued</v>
      </c>
      <c r="L1449" s="9">
        <f>VLOOKUP(dynamic[productID],products[],IF(YEAR(dynamic[orderDate])=2022,8,IF(YEAR(dynamic[orderDate])=2023,9,IF(YEAR(dynamic[orderDate])=2024,10,NA))),FALSE)</f>
        <v>80.85619497</v>
      </c>
      <c r="M1449" s="9">
        <v>123.79</v>
      </c>
      <c r="N1449" s="25">
        <f>(dynamic[orderPrice]-dynamic[productCost])/dynamic[productCost]</f>
        <v>0.5309896792</v>
      </c>
      <c r="O1449" s="10">
        <v>20.0</v>
      </c>
      <c r="P1449" s="25">
        <v>0.25</v>
      </c>
      <c r="Q1449" s="9">
        <f>dynamic[orderPrice]*dynamic[orderQuantity]</f>
        <v>2475.8</v>
      </c>
      <c r="R1449" s="9">
        <f>dynamic[orderTotal]*(1-dynamic[discountApllied])</f>
        <v>1856.85</v>
      </c>
      <c r="S1449" s="9">
        <f>dynamic[revenue]-(dynamic[productCost]*dynamic[orderQuantity])</f>
        <v>239.7261006</v>
      </c>
      <c r="T1449" s="25">
        <f>IFERROR(dynamic[profit]/dynamic[revenue], 0)</f>
        <v>0.1291036436</v>
      </c>
    </row>
    <row r="1450" ht="15.75" customHeight="1">
      <c r="A1450" s="6">
        <v>10802.0</v>
      </c>
      <c r="B1450" s="7" t="s">
        <v>66</v>
      </c>
      <c r="C1450" s="24" t="str">
        <f>VLOOKUP(dynamic[customerID],customers[],2,FALSE)</f>
        <v>Simons bistro</v>
      </c>
      <c r="D1450" s="24">
        <v>45289.0</v>
      </c>
      <c r="E1450" s="6">
        <f>IFERROR(__xludf.DUMMYFUNCTION("COUNTUNIQUEIFS($A$2:$A1450,$B$2:$B1450,B1450)"),6.0)</f>
        <v>6</v>
      </c>
      <c r="F1450" s="6">
        <f t="shared" si="1"/>
        <v>105</v>
      </c>
      <c r="G1450" s="6" t="str">
        <f>IF(MINIFS(dynamic[orderDate], dynamic[customerID], B1450) &gt;= DATE(2024,4,30)-120, 
     "New", 
     IF(MAXIFS(dynamic[orderCount], dynamic[customerID], B1450)&lt;=2, 
        IF((DATE(2024,4,30) - MAXIFS(dynamic[orderDate], dynamic[customerID], B1450)) &gt; 180, "Non-Returning", "Dormant"), 
        IF(AND(MAX(dynamic[sinceLastOrder]) &gt; 365, (DATE(2024,4,30) - MAXIFS(dynamic[orderDate], dynamic[customerID], B1450)) &gt; 180), 
           "Dormant", "Regular")))</f>
        <v>Regular</v>
      </c>
      <c r="H1450" s="6">
        <v>30.0</v>
      </c>
      <c r="I1450" s="9" t="str">
        <f>VLOOKUP(dynamic[productID],products[],2,FALSE)</f>
        <v>Nord-Ost Matjeshering</v>
      </c>
      <c r="J1450" s="9" t="str">
        <f>VLOOKUP(dynamic[productID],products[],12,FALSE)</f>
        <v>Seafood</v>
      </c>
      <c r="K1450" s="7" t="str">
        <f>IF(VLOOKUP(dynamic[productID],products[],7,FALSE)=1,"Discontinued","Current")</f>
        <v>Current</v>
      </c>
      <c r="L1450" s="9">
        <f>VLOOKUP(dynamic[productID],products[],IF(YEAR(dynamic[orderDate])=2022,8,IF(YEAR(dynamic[orderDate])=2023,9,IF(YEAR(dynamic[orderDate])=2024,10,NA))),FALSE)</f>
        <v>16.03885249</v>
      </c>
      <c r="M1450" s="9">
        <v>25.89</v>
      </c>
      <c r="N1450" s="25">
        <f>(dynamic[orderPrice]-dynamic[productCost])/dynamic[productCost]</f>
        <v>0.6142052564</v>
      </c>
      <c r="O1450" s="10">
        <v>25.0</v>
      </c>
      <c r="P1450" s="25">
        <v>0.25</v>
      </c>
      <c r="Q1450" s="9">
        <f>dynamic[orderPrice]*dynamic[orderQuantity]</f>
        <v>647.25</v>
      </c>
      <c r="R1450" s="9">
        <f>dynamic[orderTotal]*(1-dynamic[discountApllied])</f>
        <v>485.4375</v>
      </c>
      <c r="S1450" s="9">
        <f>dynamic[revenue]-(dynamic[productCost]*dynamic[orderQuantity])</f>
        <v>84.46618768</v>
      </c>
      <c r="T1450" s="25">
        <f>IFERROR(dynamic[profit]/dynamic[revenue], 0)</f>
        <v>0.1740001291</v>
      </c>
    </row>
    <row r="1451" ht="15.75" customHeight="1">
      <c r="A1451" s="6">
        <v>10802.0</v>
      </c>
      <c r="B1451" s="7" t="s">
        <v>66</v>
      </c>
      <c r="C1451" s="24" t="str">
        <f>VLOOKUP(dynamic[customerID],customers[],2,FALSE)</f>
        <v>Simons bistro</v>
      </c>
      <c r="D1451" s="24">
        <v>45289.0</v>
      </c>
      <c r="E1451" s="6">
        <f>IFERROR(__xludf.DUMMYFUNCTION("COUNTUNIQUEIFS($A$2:$A1451,$B$2:$B1451,B1451)"),6.0)</f>
        <v>6</v>
      </c>
      <c r="F1451" s="6">
        <f t="shared" si="1"/>
        <v>105</v>
      </c>
      <c r="G1451" s="6" t="str">
        <f>IF(MINIFS(dynamic[orderDate], dynamic[customerID], B1451) &gt;= DATE(2024,4,30)-120, 
     "New", 
     IF(MAXIFS(dynamic[orderCount], dynamic[customerID], B1451)&lt;=2, 
        IF((DATE(2024,4,30) - MAXIFS(dynamic[orderDate], dynamic[customerID], B1451)) &gt; 180, "Non-Returning", "Dormant"), 
        IF(AND(MAX(dynamic[sinceLastOrder]) &gt; 365, (DATE(2024,4,30) - MAXIFS(dynamic[orderDate], dynamic[customerID], B1451)) &gt; 180), 
           "Dormant", "Regular")))</f>
        <v>Regular</v>
      </c>
      <c r="H1451" s="6">
        <v>51.0</v>
      </c>
      <c r="I1451" s="9" t="str">
        <f>VLOOKUP(dynamic[productID],products[],2,FALSE)</f>
        <v>Manjimup Dried Apples</v>
      </c>
      <c r="J1451" s="9" t="str">
        <f>VLOOKUP(dynamic[productID],products[],12,FALSE)</f>
        <v>Produce</v>
      </c>
      <c r="K1451" s="7" t="str">
        <f>IF(VLOOKUP(dynamic[productID],products[],7,FALSE)=1,"Discontinued","Current")</f>
        <v>Current</v>
      </c>
      <c r="L1451" s="9">
        <f>VLOOKUP(dynamic[productID],products[],IF(YEAR(dynamic[orderDate])=2022,8,IF(YEAR(dynamic[orderDate])=2023,9,IF(YEAR(dynamic[orderDate])=2024,10,NA))),FALSE)</f>
        <v>36.88798027</v>
      </c>
      <c r="M1451" s="9">
        <v>53.0</v>
      </c>
      <c r="N1451" s="25">
        <f>(dynamic[orderPrice]-dynamic[productCost])/dynamic[productCost]</f>
        <v>0.4367823779</v>
      </c>
      <c r="O1451" s="10">
        <v>30.0</v>
      </c>
      <c r="P1451" s="25">
        <v>0.25</v>
      </c>
      <c r="Q1451" s="9">
        <f>dynamic[orderPrice]*dynamic[orderQuantity]</f>
        <v>1590</v>
      </c>
      <c r="R1451" s="9">
        <f>dynamic[orderTotal]*(1-dynamic[discountApllied])</f>
        <v>1192.5</v>
      </c>
      <c r="S1451" s="9">
        <f>dynamic[revenue]-(dynamic[productCost]*dynamic[orderQuantity])</f>
        <v>85.86059204</v>
      </c>
      <c r="T1451" s="25">
        <f>IFERROR(dynamic[profit]/dynamic[revenue], 0)</f>
        <v>0.07200049647</v>
      </c>
    </row>
    <row r="1452" ht="15.75" customHeight="1">
      <c r="A1452" s="6">
        <v>10802.0</v>
      </c>
      <c r="B1452" s="7" t="s">
        <v>66</v>
      </c>
      <c r="C1452" s="24" t="str">
        <f>VLOOKUP(dynamic[customerID],customers[],2,FALSE)</f>
        <v>Simons bistro</v>
      </c>
      <c r="D1452" s="24">
        <v>45289.0</v>
      </c>
      <c r="E1452" s="6">
        <f>IFERROR(__xludf.DUMMYFUNCTION("COUNTUNIQUEIFS($A$2:$A1452,$B$2:$B1452,B1452)"),6.0)</f>
        <v>6</v>
      </c>
      <c r="F1452" s="6">
        <f t="shared" si="1"/>
        <v>105</v>
      </c>
      <c r="G1452" s="6" t="str">
        <f>IF(MINIFS(dynamic[orderDate], dynamic[customerID], B1452) &gt;= DATE(2024,4,30)-120, 
     "New", 
     IF(MAXIFS(dynamic[orderCount], dynamic[customerID], B1452)&lt;=2, 
        IF((DATE(2024,4,30) - MAXIFS(dynamic[orderDate], dynamic[customerID], B1452)) &gt; 180, "Non-Returning", "Dormant"), 
        IF(AND(MAX(dynamic[sinceLastOrder]) &gt; 365, (DATE(2024,4,30) - MAXIFS(dynamic[orderDate], dynamic[customerID], B1452)) &gt; 180), 
           "Dormant", "Regular")))</f>
        <v>Regular</v>
      </c>
      <c r="H1452" s="6">
        <v>55.0</v>
      </c>
      <c r="I1452" s="9" t="str">
        <f>VLOOKUP(dynamic[productID],products[],2,FALSE)</f>
        <v>Pâté chinois</v>
      </c>
      <c r="J1452" s="9" t="str">
        <f>VLOOKUP(dynamic[productID],products[],12,FALSE)</f>
        <v>Meat/Poultry</v>
      </c>
      <c r="K1452" s="7" t="str">
        <f>IF(VLOOKUP(dynamic[productID],products[],7,FALSE)=1,"Discontinued","Current")</f>
        <v>Current</v>
      </c>
      <c r="L1452" s="9">
        <f>VLOOKUP(dynamic[productID],products[],IF(YEAR(dynamic[orderDate])=2022,8,IF(YEAR(dynamic[orderDate])=2023,9,IF(YEAR(dynamic[orderDate])=2024,10,NA))),FALSE)</f>
        <v>14.92398776</v>
      </c>
      <c r="M1452" s="9">
        <v>24.0</v>
      </c>
      <c r="N1452" s="25">
        <f>(dynamic[orderPrice]-dynamic[productCost])/dynamic[productCost]</f>
        <v>0.6081492681</v>
      </c>
      <c r="O1452" s="10">
        <v>60.0</v>
      </c>
      <c r="P1452" s="25">
        <v>0.25</v>
      </c>
      <c r="Q1452" s="9">
        <f>dynamic[orderPrice]*dynamic[orderQuantity]</f>
        <v>1440</v>
      </c>
      <c r="R1452" s="9">
        <f>dynamic[orderTotal]*(1-dynamic[discountApllied])</f>
        <v>1080</v>
      </c>
      <c r="S1452" s="9">
        <f>dynamic[revenue]-(dynamic[productCost]*dynamic[orderQuantity])</f>
        <v>184.5607342</v>
      </c>
      <c r="T1452" s="25">
        <f>IFERROR(dynamic[profit]/dynamic[revenue], 0)</f>
        <v>0.1708895687</v>
      </c>
    </row>
    <row r="1453" ht="15.75" customHeight="1">
      <c r="A1453" s="6">
        <v>10802.0</v>
      </c>
      <c r="B1453" s="7" t="s">
        <v>66</v>
      </c>
      <c r="C1453" s="24" t="str">
        <f>VLOOKUP(dynamic[customerID],customers[],2,FALSE)</f>
        <v>Simons bistro</v>
      </c>
      <c r="D1453" s="24">
        <v>45289.0</v>
      </c>
      <c r="E1453" s="6">
        <f>IFERROR(__xludf.DUMMYFUNCTION("COUNTUNIQUEIFS($A$2:$A1453,$B$2:$B1453,B1453)"),6.0)</f>
        <v>6</v>
      </c>
      <c r="F1453" s="6">
        <f t="shared" si="1"/>
        <v>105</v>
      </c>
      <c r="G1453" s="6" t="str">
        <f>IF(MINIFS(dynamic[orderDate], dynamic[customerID], B1453) &gt;= DATE(2024,4,30)-120, 
     "New", 
     IF(MAXIFS(dynamic[orderCount], dynamic[customerID], B1453)&lt;=2, 
        IF((DATE(2024,4,30) - MAXIFS(dynamic[orderDate], dynamic[customerID], B1453)) &gt; 180, "Non-Returning", "Dormant"), 
        IF(AND(MAX(dynamic[sinceLastOrder]) &gt; 365, (DATE(2024,4,30) - MAXIFS(dynamic[orderDate], dynamic[customerID], B1453)) &gt; 180), 
           "Dormant", "Regular")))</f>
        <v>Regular</v>
      </c>
      <c r="H1453" s="6">
        <v>62.0</v>
      </c>
      <c r="I1453" s="9" t="str">
        <f>VLOOKUP(dynamic[productID],products[],2,FALSE)</f>
        <v>Tarte au sucre</v>
      </c>
      <c r="J1453" s="9" t="str">
        <f>VLOOKUP(dynamic[productID],products[],12,FALSE)</f>
        <v>Confections</v>
      </c>
      <c r="K1453" s="7" t="str">
        <f>IF(VLOOKUP(dynamic[productID],products[],7,FALSE)=1,"Discontinued","Current")</f>
        <v>Current</v>
      </c>
      <c r="L1453" s="9">
        <f>VLOOKUP(dynamic[productID],products[],IF(YEAR(dynamic[orderDate])=2022,8,IF(YEAR(dynamic[orderDate])=2023,9,IF(YEAR(dynamic[orderDate])=2024,10,NA))),FALSE)</f>
        <v>35.34792781</v>
      </c>
      <c r="M1453" s="9">
        <v>49.3</v>
      </c>
      <c r="N1453" s="25">
        <f>(dynamic[orderPrice]-dynamic[productCost])/dynamic[productCost]</f>
        <v>0.3947069335</v>
      </c>
      <c r="O1453" s="10">
        <v>5.0</v>
      </c>
      <c r="P1453" s="25">
        <v>0.25</v>
      </c>
      <c r="Q1453" s="9">
        <f>dynamic[orderPrice]*dynamic[orderQuantity]</f>
        <v>246.5</v>
      </c>
      <c r="R1453" s="9">
        <f>dynamic[orderTotal]*(1-dynamic[discountApllied])</f>
        <v>184.875</v>
      </c>
      <c r="S1453" s="9">
        <f>dynamic[revenue]-(dynamic[productCost]*dynamic[orderQuantity])</f>
        <v>8.135360953</v>
      </c>
      <c r="T1453" s="25">
        <f>IFERROR(dynamic[profit]/dynamic[revenue], 0)</f>
        <v>0.04400465695</v>
      </c>
    </row>
    <row r="1454" ht="15.75" customHeight="1">
      <c r="A1454" s="6">
        <v>10803.0</v>
      </c>
      <c r="B1454" s="7" t="s">
        <v>22</v>
      </c>
      <c r="C1454" s="24" t="str">
        <f>VLOOKUP(dynamic[customerID],customers[],2,FALSE)</f>
        <v>Wellington Importadora</v>
      </c>
      <c r="D1454" s="24">
        <v>45290.0</v>
      </c>
      <c r="E1454" s="6">
        <f>IFERROR(__xludf.DUMMYFUNCTION("COUNTUNIQUEIFS($A$2:$A1454,$B$2:$B1454,B1454)"),5.0)</f>
        <v>5</v>
      </c>
      <c r="F1454" s="6">
        <f t="shared" si="1"/>
        <v>127</v>
      </c>
      <c r="G1454" s="6" t="str">
        <f>IF(MINIFS(dynamic[orderDate], dynamic[customerID], B1454) &gt;= DATE(2024,4,30)-120, 
     "New", 
     IF(MAXIFS(dynamic[orderCount], dynamic[customerID], B1454)&lt;=2, 
        IF((DATE(2024,4,30) - MAXIFS(dynamic[orderDate], dynamic[customerID], B1454)) &gt; 180, "Non-Returning", "Dormant"), 
        IF(AND(MAX(dynamic[sinceLastOrder]) &gt; 365, (DATE(2024,4,30) - MAXIFS(dynamic[orderDate], dynamic[customerID], B1454)) &gt; 180), 
           "Dormant", "Regular")))</f>
        <v>Regular</v>
      </c>
      <c r="H1454" s="6">
        <v>19.0</v>
      </c>
      <c r="I1454" s="9" t="str">
        <f>VLOOKUP(dynamic[productID],products[],2,FALSE)</f>
        <v>Teatime Chocolate Biscuits</v>
      </c>
      <c r="J1454" s="9" t="str">
        <f>VLOOKUP(dynamic[productID],products[],12,FALSE)</f>
        <v>Confections</v>
      </c>
      <c r="K1454" s="7" t="str">
        <f>IF(VLOOKUP(dynamic[productID],products[],7,FALSE)=1,"Discontinued","Current")</f>
        <v>Current</v>
      </c>
      <c r="L1454" s="9">
        <f>VLOOKUP(dynamic[productID],products[],IF(YEAR(dynamic[orderDate])=2022,8,IF(YEAR(dynamic[orderDate])=2023,9,IF(YEAR(dynamic[orderDate])=2024,10,NA))),FALSE)</f>
        <v>5.901883682</v>
      </c>
      <c r="M1454" s="9">
        <v>9.2</v>
      </c>
      <c r="N1454" s="25">
        <f>(dynamic[orderPrice]-dynamic[productCost])/dynamic[productCost]</f>
        <v>0.5588243508</v>
      </c>
      <c r="O1454" s="10">
        <v>24.0</v>
      </c>
      <c r="P1454" s="25">
        <v>0.05</v>
      </c>
      <c r="Q1454" s="9">
        <f>dynamic[orderPrice]*dynamic[orderQuantity]</f>
        <v>220.8</v>
      </c>
      <c r="R1454" s="9">
        <f>dynamic[orderTotal]*(1-dynamic[discountApllied])</f>
        <v>209.76</v>
      </c>
      <c r="S1454" s="9">
        <f>dynamic[revenue]-(dynamic[productCost]*dynamic[orderQuantity])</f>
        <v>68.11479162</v>
      </c>
      <c r="T1454" s="25">
        <f>IFERROR(dynamic[profit]/dynamic[revenue], 0)</f>
        <v>0.3247272675</v>
      </c>
    </row>
    <row r="1455" ht="15.75" customHeight="1">
      <c r="A1455" s="6">
        <v>10803.0</v>
      </c>
      <c r="B1455" s="7" t="s">
        <v>22</v>
      </c>
      <c r="C1455" s="24" t="str">
        <f>VLOOKUP(dynamic[customerID],customers[],2,FALSE)</f>
        <v>Wellington Importadora</v>
      </c>
      <c r="D1455" s="24">
        <v>45290.0</v>
      </c>
      <c r="E1455" s="6">
        <f>IFERROR(__xludf.DUMMYFUNCTION("COUNTUNIQUEIFS($A$2:$A1455,$B$2:$B1455,B1455)"),5.0)</f>
        <v>5</v>
      </c>
      <c r="F1455" s="6">
        <f t="shared" si="1"/>
        <v>127</v>
      </c>
      <c r="G1455" s="6" t="str">
        <f>IF(MINIFS(dynamic[orderDate], dynamic[customerID], B1455) &gt;= DATE(2024,4,30)-120, 
     "New", 
     IF(MAXIFS(dynamic[orderCount], dynamic[customerID], B1455)&lt;=2, 
        IF((DATE(2024,4,30) - MAXIFS(dynamic[orderDate], dynamic[customerID], B1455)) &gt; 180, "Non-Returning", "Dormant"), 
        IF(AND(MAX(dynamic[sinceLastOrder]) &gt; 365, (DATE(2024,4,30) - MAXIFS(dynamic[orderDate], dynamic[customerID], B1455)) &gt; 180), 
           "Dormant", "Regular")))</f>
        <v>Regular</v>
      </c>
      <c r="H1455" s="6">
        <v>25.0</v>
      </c>
      <c r="I1455" s="9" t="str">
        <f>VLOOKUP(dynamic[productID],products[],2,FALSE)</f>
        <v>HM Köstliche Kaiserschmarrn Knödelchen</v>
      </c>
      <c r="J1455" s="9" t="str">
        <f>VLOOKUP(dynamic[productID],products[],12,FALSE)</f>
        <v>Confections</v>
      </c>
      <c r="K1455" s="7" t="str">
        <f>IF(VLOOKUP(dynamic[productID],products[],7,FALSE)=1,"Discontinued","Current")</f>
        <v>Current</v>
      </c>
      <c r="L1455" s="9">
        <f>VLOOKUP(dynamic[productID],products[],IF(YEAR(dynamic[orderDate])=2022,8,IF(YEAR(dynamic[orderDate])=2023,9,IF(YEAR(dynamic[orderDate])=2024,10,NA))),FALSE)</f>
        <v>8.138200336</v>
      </c>
      <c r="M1455" s="9">
        <v>14.0</v>
      </c>
      <c r="N1455" s="25">
        <f>(dynamic[orderPrice]-dynamic[productCost])/dynamic[productCost]</f>
        <v>0.7202820552</v>
      </c>
      <c r="O1455" s="10">
        <v>15.0</v>
      </c>
      <c r="P1455" s="25">
        <v>0.05</v>
      </c>
      <c r="Q1455" s="9">
        <f>dynamic[orderPrice]*dynamic[orderQuantity]</f>
        <v>210</v>
      </c>
      <c r="R1455" s="9">
        <f>dynamic[orderTotal]*(1-dynamic[discountApllied])</f>
        <v>199.5</v>
      </c>
      <c r="S1455" s="9">
        <f>dynamic[revenue]-(dynamic[productCost]*dynamic[orderQuantity])</f>
        <v>77.42699496</v>
      </c>
      <c r="T1455" s="25">
        <f>IFERROR(dynamic[profit]/dynamic[revenue], 0)</f>
        <v>0.3881052379</v>
      </c>
    </row>
    <row r="1456" ht="15.75" customHeight="1">
      <c r="A1456" s="6">
        <v>10803.0</v>
      </c>
      <c r="B1456" s="7" t="s">
        <v>22</v>
      </c>
      <c r="C1456" s="24" t="str">
        <f>VLOOKUP(dynamic[customerID],customers[],2,FALSE)</f>
        <v>Wellington Importadora</v>
      </c>
      <c r="D1456" s="24">
        <v>45290.0</v>
      </c>
      <c r="E1456" s="6">
        <f>IFERROR(__xludf.DUMMYFUNCTION("COUNTUNIQUEIFS($A$2:$A1456,$B$2:$B1456,B1456)"),5.0)</f>
        <v>5</v>
      </c>
      <c r="F1456" s="6">
        <f t="shared" si="1"/>
        <v>127</v>
      </c>
      <c r="G1456" s="6" t="str">
        <f>IF(MINIFS(dynamic[orderDate], dynamic[customerID], B1456) &gt;= DATE(2024,4,30)-120, 
     "New", 
     IF(MAXIFS(dynamic[orderCount], dynamic[customerID], B1456)&lt;=2, 
        IF((DATE(2024,4,30) - MAXIFS(dynamic[orderDate], dynamic[customerID], B1456)) &gt; 180, "Non-Returning", "Dormant"), 
        IF(AND(MAX(dynamic[sinceLastOrder]) &gt; 365, (DATE(2024,4,30) - MAXIFS(dynamic[orderDate], dynamic[customerID], B1456)) &gt; 180), 
           "Dormant", "Regular")))</f>
        <v>Regular</v>
      </c>
      <c r="H1456" s="6">
        <v>59.0</v>
      </c>
      <c r="I1456" s="9" t="str">
        <f>VLOOKUP(dynamic[productID],products[],2,FALSE)</f>
        <v>Raclette Courdavault</v>
      </c>
      <c r="J1456" s="9" t="str">
        <f>VLOOKUP(dynamic[productID],products[],12,FALSE)</f>
        <v>Dairy Products</v>
      </c>
      <c r="K1456" s="7" t="str">
        <f>IF(VLOOKUP(dynamic[productID],products[],7,FALSE)=1,"Discontinued","Current")</f>
        <v>Current</v>
      </c>
      <c r="L1456" s="9">
        <f>VLOOKUP(dynamic[productID],products[],IF(YEAR(dynamic[orderDate])=2022,8,IF(YEAR(dynamic[orderDate])=2023,9,IF(YEAR(dynamic[orderDate])=2024,10,NA))),FALSE)</f>
        <v>35.20472566</v>
      </c>
      <c r="M1456" s="9">
        <v>55.0</v>
      </c>
      <c r="N1456" s="25">
        <f>(dynamic[orderPrice]-dynamic[productCost])/dynamic[productCost]</f>
        <v>0.5622902598</v>
      </c>
      <c r="O1456" s="10">
        <v>15.0</v>
      </c>
      <c r="P1456" s="25">
        <v>0.05</v>
      </c>
      <c r="Q1456" s="9">
        <f>dynamic[orderPrice]*dynamic[orderQuantity]</f>
        <v>825</v>
      </c>
      <c r="R1456" s="9">
        <f>dynamic[orderTotal]*(1-dynamic[discountApllied])</f>
        <v>783.75</v>
      </c>
      <c r="S1456" s="9">
        <f>dynamic[revenue]-(dynamic[productCost]*dynamic[orderQuantity])</f>
        <v>255.6791151</v>
      </c>
      <c r="T1456" s="25">
        <f>IFERROR(dynamic[profit]/dynamic[revenue], 0)</f>
        <v>0.3262253462</v>
      </c>
    </row>
    <row r="1457" ht="15.75" customHeight="1">
      <c r="A1457" s="6">
        <v>10804.0</v>
      </c>
      <c r="B1457" s="7" t="s">
        <v>71</v>
      </c>
      <c r="C1457" s="24" t="str">
        <f>VLOOKUP(dynamic[customerID],customers[],2,FALSE)</f>
        <v>Seven Seas Imports</v>
      </c>
      <c r="D1457" s="24">
        <v>45290.0</v>
      </c>
      <c r="E1457" s="6">
        <f>IFERROR(__xludf.DUMMYFUNCTION("COUNTUNIQUEIFS($A$2:$A1457,$B$2:$B1457,B1457)"),8.0)</f>
        <v>8</v>
      </c>
      <c r="F1457" s="6">
        <f t="shared" si="1"/>
        <v>4</v>
      </c>
      <c r="G1457" s="6" t="str">
        <f>IF(MINIFS(dynamic[orderDate], dynamic[customerID], B1457) &gt;= DATE(2024,4,30)-120, 
     "New", 
     IF(MAXIFS(dynamic[orderCount], dynamic[customerID], B1457)&lt;=2, 
        IF((DATE(2024,4,30) - MAXIFS(dynamic[orderDate], dynamic[customerID], B1457)) &gt; 180, "Non-Returning", "Dormant"), 
        IF(AND(MAX(dynamic[sinceLastOrder]) &gt; 365, (DATE(2024,4,30) - MAXIFS(dynamic[orderDate], dynamic[customerID], B1457)) &gt; 180), 
           "Dormant", "Regular")))</f>
        <v>Regular</v>
      </c>
      <c r="H1457" s="6">
        <v>10.0</v>
      </c>
      <c r="I1457" s="9" t="str">
        <f>VLOOKUP(dynamic[productID],products[],2,FALSE)</f>
        <v>Ikura</v>
      </c>
      <c r="J1457" s="9" t="str">
        <f>VLOOKUP(dynamic[productID],products[],12,FALSE)</f>
        <v>Seafood</v>
      </c>
      <c r="K1457" s="7" t="str">
        <f>IF(VLOOKUP(dynamic[productID],products[],7,FALSE)=1,"Discontinued","Current")</f>
        <v>Current</v>
      </c>
      <c r="L1457" s="9">
        <f>VLOOKUP(dynamic[productID],products[],IF(YEAR(dynamic[orderDate])=2022,8,IF(YEAR(dynamic[orderDate])=2023,9,IF(YEAR(dynamic[orderDate])=2024,10,NA))),FALSE)</f>
        <v>20.72721922</v>
      </c>
      <c r="M1457" s="9">
        <v>31.0</v>
      </c>
      <c r="N1457" s="25">
        <f>(dynamic[orderPrice]-dynamic[productCost])/dynamic[productCost]</f>
        <v>0.4956178962</v>
      </c>
      <c r="O1457" s="10">
        <v>36.0</v>
      </c>
      <c r="P1457" s="25">
        <v>0.0</v>
      </c>
      <c r="Q1457" s="9">
        <f>dynamic[orderPrice]*dynamic[orderQuantity]</f>
        <v>1116</v>
      </c>
      <c r="R1457" s="9">
        <f>dynamic[orderTotal]*(1-dynamic[discountApllied])</f>
        <v>1116</v>
      </c>
      <c r="S1457" s="9">
        <f>dynamic[revenue]-(dynamic[productCost]*dynamic[orderQuantity])</f>
        <v>369.8201082</v>
      </c>
      <c r="T1457" s="25">
        <f>IFERROR(dynamic[profit]/dynamic[revenue], 0)</f>
        <v>0.3313800252</v>
      </c>
    </row>
    <row r="1458" ht="15.75" customHeight="1">
      <c r="A1458" s="6">
        <v>10804.0</v>
      </c>
      <c r="B1458" s="7" t="s">
        <v>71</v>
      </c>
      <c r="C1458" s="24" t="str">
        <f>VLOOKUP(dynamic[customerID],customers[],2,FALSE)</f>
        <v>Seven Seas Imports</v>
      </c>
      <c r="D1458" s="24">
        <v>45290.0</v>
      </c>
      <c r="E1458" s="6">
        <f>IFERROR(__xludf.DUMMYFUNCTION("COUNTUNIQUEIFS($A$2:$A1458,$B$2:$B1458,B1458)"),8.0)</f>
        <v>8</v>
      </c>
      <c r="F1458" s="6">
        <f t="shared" si="1"/>
        <v>4</v>
      </c>
      <c r="G1458" s="6" t="str">
        <f>IF(MINIFS(dynamic[orderDate], dynamic[customerID], B1458) &gt;= DATE(2024,4,30)-120, 
     "New", 
     IF(MAXIFS(dynamic[orderCount], dynamic[customerID], B1458)&lt;=2, 
        IF((DATE(2024,4,30) - MAXIFS(dynamic[orderDate], dynamic[customerID], B1458)) &gt; 180, "Non-Returning", "Dormant"), 
        IF(AND(MAX(dynamic[sinceLastOrder]) &gt; 365, (DATE(2024,4,30) - MAXIFS(dynamic[orderDate], dynamic[customerID], B1458)) &gt; 180), 
           "Dormant", "Regular")))</f>
        <v>Regular</v>
      </c>
      <c r="H1458" s="6">
        <v>28.0</v>
      </c>
      <c r="I1458" s="9" t="str">
        <f>VLOOKUP(dynamic[productID],products[],2,FALSE)</f>
        <v>Rössle Sauerkraut</v>
      </c>
      <c r="J1458" s="9" t="str">
        <f>VLOOKUP(dynamic[productID],products[],12,FALSE)</f>
        <v>Produce</v>
      </c>
      <c r="K1458" s="7" t="str">
        <f>IF(VLOOKUP(dynamic[productID],products[],7,FALSE)=1,"Discontinued","Current")</f>
        <v>Discontinued</v>
      </c>
      <c r="L1458" s="9">
        <f>VLOOKUP(dynamic[productID],products[],IF(YEAR(dynamic[orderDate])=2022,8,IF(YEAR(dynamic[orderDate])=2023,9,IF(YEAR(dynamic[orderDate])=2024,10,NA))),FALSE)</f>
        <v>31.52644578</v>
      </c>
      <c r="M1458" s="9">
        <v>45.6</v>
      </c>
      <c r="N1458" s="25">
        <f>(dynamic[orderPrice]-dynamic[productCost])/dynamic[productCost]</f>
        <v>0.4464047207</v>
      </c>
      <c r="O1458" s="10">
        <v>24.0</v>
      </c>
      <c r="P1458" s="25">
        <v>0.0</v>
      </c>
      <c r="Q1458" s="9">
        <f>dynamic[orderPrice]*dynamic[orderQuantity]</f>
        <v>1094.4</v>
      </c>
      <c r="R1458" s="9">
        <f>dynamic[orderTotal]*(1-dynamic[discountApllied])</f>
        <v>1094.4</v>
      </c>
      <c r="S1458" s="9">
        <f>dynamic[revenue]-(dynamic[productCost]*dynamic[orderQuantity])</f>
        <v>337.7653013</v>
      </c>
      <c r="T1458" s="25">
        <f>IFERROR(dynamic[profit]/dynamic[revenue], 0)</f>
        <v>0.308630575</v>
      </c>
    </row>
    <row r="1459" ht="15.75" customHeight="1">
      <c r="A1459" s="6">
        <v>10804.0</v>
      </c>
      <c r="B1459" s="7" t="s">
        <v>71</v>
      </c>
      <c r="C1459" s="24" t="str">
        <f>VLOOKUP(dynamic[customerID],customers[],2,FALSE)</f>
        <v>Seven Seas Imports</v>
      </c>
      <c r="D1459" s="24">
        <v>45290.0</v>
      </c>
      <c r="E1459" s="6">
        <f>IFERROR(__xludf.DUMMYFUNCTION("COUNTUNIQUEIFS($A$2:$A1459,$B$2:$B1459,B1459)"),8.0)</f>
        <v>8</v>
      </c>
      <c r="F1459" s="6">
        <f t="shared" si="1"/>
        <v>4</v>
      </c>
      <c r="G1459" s="6" t="str">
        <f>IF(MINIFS(dynamic[orderDate], dynamic[customerID], B1459) &gt;= DATE(2024,4,30)-120, 
     "New", 
     IF(MAXIFS(dynamic[orderCount], dynamic[customerID], B1459)&lt;=2, 
        IF((DATE(2024,4,30) - MAXIFS(dynamic[orderDate], dynamic[customerID], B1459)) &gt; 180, "Non-Returning", "Dormant"), 
        IF(AND(MAX(dynamic[sinceLastOrder]) &gt; 365, (DATE(2024,4,30) - MAXIFS(dynamic[orderDate], dynamic[customerID], B1459)) &gt; 180), 
           "Dormant", "Regular")))</f>
        <v>Regular</v>
      </c>
      <c r="H1459" s="6">
        <v>49.0</v>
      </c>
      <c r="I1459" s="9" t="str">
        <f>VLOOKUP(dynamic[productID],products[],2,FALSE)</f>
        <v>Maxilaku</v>
      </c>
      <c r="J1459" s="9" t="str">
        <f>VLOOKUP(dynamic[productID],products[],12,FALSE)</f>
        <v>Confections</v>
      </c>
      <c r="K1459" s="7" t="str">
        <f>IF(VLOOKUP(dynamic[productID],products[],7,FALSE)=1,"Discontinued","Current")</f>
        <v>Current</v>
      </c>
      <c r="L1459" s="9">
        <f>VLOOKUP(dynamic[productID],products[],IF(YEAR(dynamic[orderDate])=2022,8,IF(YEAR(dynamic[orderDate])=2023,9,IF(YEAR(dynamic[orderDate])=2024,10,NA))),FALSE)</f>
        <v>13.04112285</v>
      </c>
      <c r="M1459" s="9">
        <v>20.0</v>
      </c>
      <c r="N1459" s="25">
        <f>(dynamic[orderPrice]-dynamic[productCost])/dynamic[productCost]</f>
        <v>0.5336102746</v>
      </c>
      <c r="O1459" s="10">
        <v>4.0</v>
      </c>
      <c r="P1459" s="25">
        <v>0.15</v>
      </c>
      <c r="Q1459" s="9">
        <f>dynamic[orderPrice]*dynamic[orderQuantity]</f>
        <v>80</v>
      </c>
      <c r="R1459" s="9">
        <f>dynamic[orderTotal]*(1-dynamic[discountApllied])</f>
        <v>68</v>
      </c>
      <c r="S1459" s="9">
        <f>dynamic[revenue]-(dynamic[productCost]*dynamic[orderQuantity])</f>
        <v>15.83550859</v>
      </c>
      <c r="T1459" s="25">
        <f>IFERROR(dynamic[profit]/dynamic[revenue], 0)</f>
        <v>0.2328751263</v>
      </c>
    </row>
    <row r="1460" ht="15.75" customHeight="1">
      <c r="A1460" s="6">
        <v>10805.0</v>
      </c>
      <c r="B1460" s="7" t="s">
        <v>55</v>
      </c>
      <c r="C1460" s="24" t="str">
        <f>VLOOKUP(dynamic[customerID],customers[],2,FALSE)</f>
        <v>The Big Cheese</v>
      </c>
      <c r="D1460" s="24">
        <v>45290.0</v>
      </c>
      <c r="E1460" s="6">
        <f>IFERROR(__xludf.DUMMYFUNCTION("COUNTUNIQUEIFS($A$2:$A1460,$B$2:$B1460,B1460)"),3.0)</f>
        <v>3</v>
      </c>
      <c r="F1460" s="6">
        <f t="shared" si="1"/>
        <v>74</v>
      </c>
      <c r="G1460" s="6" t="str">
        <f>IF(MINIFS(dynamic[orderDate], dynamic[customerID], B1460) &gt;= DATE(2024,4,30)-120, 
     "New", 
     IF(MAXIFS(dynamic[orderCount], dynamic[customerID], B1460)&lt;=2, 
        IF((DATE(2024,4,30) - MAXIFS(dynamic[orderDate], dynamic[customerID], B1460)) &gt; 180, "Non-Returning", "Dormant"), 
        IF(AND(MAX(dynamic[sinceLastOrder]) &gt; 365, (DATE(2024,4,30) - MAXIFS(dynamic[orderDate], dynamic[customerID], B1460)) &gt; 180), 
           "Dormant", "Regular")))</f>
        <v>Regular</v>
      </c>
      <c r="H1460" s="6">
        <v>34.0</v>
      </c>
      <c r="I1460" s="9" t="str">
        <f>VLOOKUP(dynamic[productID],products[],2,FALSE)</f>
        <v>Sasquatch Ale</v>
      </c>
      <c r="J1460" s="9" t="str">
        <f>VLOOKUP(dynamic[productID],products[],12,FALSE)</f>
        <v>Beverages</v>
      </c>
      <c r="K1460" s="7" t="str">
        <f>IF(VLOOKUP(dynamic[productID],products[],7,FALSE)=1,"Discontinued","Current")</f>
        <v>Current</v>
      </c>
      <c r="L1460" s="9">
        <f>VLOOKUP(dynamic[productID],products[],IF(YEAR(dynamic[orderDate])=2022,8,IF(YEAR(dynamic[orderDate])=2023,9,IF(YEAR(dynamic[orderDate])=2024,10,NA))),FALSE)</f>
        <v>8.955654061</v>
      </c>
      <c r="M1460" s="9">
        <v>14.0</v>
      </c>
      <c r="N1460" s="25">
        <f>(dynamic[orderPrice]-dynamic[productCost])/dynamic[productCost]</f>
        <v>0.5632582394</v>
      </c>
      <c r="O1460" s="10">
        <v>10.0</v>
      </c>
      <c r="P1460" s="25">
        <v>0.0</v>
      </c>
      <c r="Q1460" s="9">
        <f>dynamic[orderPrice]*dynamic[orderQuantity]</f>
        <v>140</v>
      </c>
      <c r="R1460" s="9">
        <f>dynamic[orderTotal]*(1-dynamic[discountApllied])</f>
        <v>140</v>
      </c>
      <c r="S1460" s="9">
        <f>dynamic[revenue]-(dynamic[productCost]*dynamic[orderQuantity])</f>
        <v>50.44345939</v>
      </c>
      <c r="T1460" s="25">
        <f>IFERROR(dynamic[profit]/dynamic[revenue], 0)</f>
        <v>0.3603104242</v>
      </c>
    </row>
    <row r="1461" ht="15.75" customHeight="1">
      <c r="A1461" s="6">
        <v>10805.0</v>
      </c>
      <c r="B1461" s="7" t="s">
        <v>55</v>
      </c>
      <c r="C1461" s="24" t="str">
        <f>VLOOKUP(dynamic[customerID],customers[],2,FALSE)</f>
        <v>The Big Cheese</v>
      </c>
      <c r="D1461" s="24">
        <v>45290.0</v>
      </c>
      <c r="E1461" s="6">
        <f>IFERROR(__xludf.DUMMYFUNCTION("COUNTUNIQUEIFS($A$2:$A1461,$B$2:$B1461,B1461)"),3.0)</f>
        <v>3</v>
      </c>
      <c r="F1461" s="6">
        <f t="shared" si="1"/>
        <v>74</v>
      </c>
      <c r="G1461" s="6" t="str">
        <f>IF(MINIFS(dynamic[orderDate], dynamic[customerID], B1461) &gt;= DATE(2024,4,30)-120, 
     "New", 
     IF(MAXIFS(dynamic[orderCount], dynamic[customerID], B1461)&lt;=2, 
        IF((DATE(2024,4,30) - MAXIFS(dynamic[orderDate], dynamic[customerID], B1461)) &gt; 180, "Non-Returning", "Dormant"), 
        IF(AND(MAX(dynamic[sinceLastOrder]) &gt; 365, (DATE(2024,4,30) - MAXIFS(dynamic[orderDate], dynamic[customerID], B1461)) &gt; 180), 
           "Dormant", "Regular")))</f>
        <v>Regular</v>
      </c>
      <c r="H1461" s="6">
        <v>38.0</v>
      </c>
      <c r="I1461" s="9" t="str">
        <f>VLOOKUP(dynamic[productID],products[],2,FALSE)</f>
        <v>Côte de Blaye</v>
      </c>
      <c r="J1461" s="9" t="str">
        <f>VLOOKUP(dynamic[productID],products[],12,FALSE)</f>
        <v>Beverages</v>
      </c>
      <c r="K1461" s="7" t="str">
        <f>IF(VLOOKUP(dynamic[productID],products[],7,FALSE)=1,"Discontinued","Current")</f>
        <v>Current</v>
      </c>
      <c r="L1461" s="9">
        <f>VLOOKUP(dynamic[productID],products[],IF(YEAR(dynamic[orderDate])=2022,8,IF(YEAR(dynamic[orderDate])=2023,9,IF(YEAR(dynamic[orderDate])=2024,10,NA))),FALSE)</f>
        <v>175.9515711</v>
      </c>
      <c r="M1461" s="9">
        <v>263.5</v>
      </c>
      <c r="N1461" s="25">
        <f>(dynamic[orderPrice]-dynamic[productCost])/dynamic[productCost]</f>
        <v>0.4975711688</v>
      </c>
      <c r="O1461" s="10">
        <v>10.0</v>
      </c>
      <c r="P1461" s="25">
        <v>0.0</v>
      </c>
      <c r="Q1461" s="9">
        <f>dynamic[orderPrice]*dynamic[orderQuantity]</f>
        <v>2635</v>
      </c>
      <c r="R1461" s="9">
        <f>dynamic[orderTotal]*(1-dynamic[discountApllied])</f>
        <v>2635</v>
      </c>
      <c r="S1461" s="9">
        <f>dynamic[revenue]-(dynamic[productCost]*dynamic[orderQuantity])</f>
        <v>875.4842889</v>
      </c>
      <c r="T1461" s="25">
        <f>IFERROR(dynamic[profit]/dynamic[revenue], 0)</f>
        <v>0.3322521021</v>
      </c>
    </row>
    <row r="1462" ht="15.75" customHeight="1">
      <c r="A1462" s="6">
        <v>10806.0</v>
      </c>
      <c r="B1462" s="7" t="s">
        <v>18</v>
      </c>
      <c r="C1462" s="24" t="str">
        <f>VLOOKUP(dynamic[customerID],customers[],2,FALSE)</f>
        <v>Victuailles en stock</v>
      </c>
      <c r="D1462" s="24">
        <v>45291.0</v>
      </c>
      <c r="E1462" s="6">
        <f>IFERROR(__xludf.DUMMYFUNCTION("COUNTUNIQUEIFS($A$2:$A1462,$B$2:$B1462,B1462)"),7.0)</f>
        <v>7</v>
      </c>
      <c r="F1462" s="6">
        <f t="shared" si="1"/>
        <v>222</v>
      </c>
      <c r="G1462" s="6" t="str">
        <f>IF(MINIFS(dynamic[orderDate], dynamic[customerID], B1462) &gt;= DATE(2024,4,30)-120, 
     "New", 
     IF(MAXIFS(dynamic[orderCount], dynamic[customerID], B1462)&lt;=2, 
        IF((DATE(2024,4,30) - MAXIFS(dynamic[orderDate], dynamic[customerID], B1462)) &gt; 180, "Non-Returning", "Dormant"), 
        IF(AND(MAX(dynamic[sinceLastOrder]) &gt; 365, (DATE(2024,4,30) - MAXIFS(dynamic[orderDate], dynamic[customerID], B1462)) &gt; 180), 
           "Dormant", "Regular")))</f>
        <v>Regular</v>
      </c>
      <c r="H1462" s="6">
        <v>2.0</v>
      </c>
      <c r="I1462" s="9" t="str">
        <f>VLOOKUP(dynamic[productID],products[],2,FALSE)</f>
        <v>Chang</v>
      </c>
      <c r="J1462" s="9" t="str">
        <f>VLOOKUP(dynamic[productID],products[],12,FALSE)</f>
        <v>Beverages</v>
      </c>
      <c r="K1462" s="7" t="str">
        <f>IF(VLOOKUP(dynamic[productID],products[],7,FALSE)=1,"Discontinued","Current")</f>
        <v>Current</v>
      </c>
      <c r="L1462" s="9">
        <f>VLOOKUP(dynamic[productID],products[],IF(YEAR(dynamic[orderDate])=2022,8,IF(YEAR(dynamic[orderDate])=2023,9,IF(YEAR(dynamic[orderDate])=2024,10,NA))),FALSE)</f>
        <v>12.14626904</v>
      </c>
      <c r="M1462" s="9">
        <v>19.0</v>
      </c>
      <c r="N1462" s="25">
        <f>(dynamic[orderPrice]-dynamic[productCost])/dynamic[productCost]</f>
        <v>0.5642663547</v>
      </c>
      <c r="O1462" s="10">
        <v>20.0</v>
      </c>
      <c r="P1462" s="25">
        <v>0.25</v>
      </c>
      <c r="Q1462" s="9">
        <f>dynamic[orderPrice]*dynamic[orderQuantity]</f>
        <v>380</v>
      </c>
      <c r="R1462" s="9">
        <f>dynamic[orderTotal]*(1-dynamic[discountApllied])</f>
        <v>285</v>
      </c>
      <c r="S1462" s="9">
        <f>dynamic[revenue]-(dynamic[productCost]*dynamic[orderQuantity])</f>
        <v>42.07461912</v>
      </c>
      <c r="T1462" s="25">
        <f>IFERROR(dynamic[profit]/dynamic[revenue], 0)</f>
        <v>0.1476302425</v>
      </c>
    </row>
    <row r="1463" ht="15.75" customHeight="1">
      <c r="A1463" s="6">
        <v>10806.0</v>
      </c>
      <c r="B1463" s="7" t="s">
        <v>18</v>
      </c>
      <c r="C1463" s="24" t="str">
        <f>VLOOKUP(dynamic[customerID],customers[],2,FALSE)</f>
        <v>Victuailles en stock</v>
      </c>
      <c r="D1463" s="24">
        <v>45291.0</v>
      </c>
      <c r="E1463" s="6">
        <f>IFERROR(__xludf.DUMMYFUNCTION("COUNTUNIQUEIFS($A$2:$A1463,$B$2:$B1463,B1463)"),7.0)</f>
        <v>7</v>
      </c>
      <c r="F1463" s="6">
        <f t="shared" si="1"/>
        <v>222</v>
      </c>
      <c r="G1463" s="6" t="str">
        <f>IF(MINIFS(dynamic[orderDate], dynamic[customerID], B1463) &gt;= DATE(2024,4,30)-120, 
     "New", 
     IF(MAXIFS(dynamic[orderCount], dynamic[customerID], B1463)&lt;=2, 
        IF((DATE(2024,4,30) - MAXIFS(dynamic[orderDate], dynamic[customerID], B1463)) &gt; 180, "Non-Returning", "Dormant"), 
        IF(AND(MAX(dynamic[sinceLastOrder]) &gt; 365, (DATE(2024,4,30) - MAXIFS(dynamic[orderDate], dynamic[customerID], B1463)) &gt; 180), 
           "Dormant", "Regular")))</f>
        <v>Regular</v>
      </c>
      <c r="H1463" s="6">
        <v>65.0</v>
      </c>
      <c r="I1463" s="9" t="str">
        <f>VLOOKUP(dynamic[productID],products[],2,FALSE)</f>
        <v>Louisiana Fiery Hot Pepper Sauce</v>
      </c>
      <c r="J1463" s="9" t="str">
        <f>VLOOKUP(dynamic[productID],products[],12,FALSE)</f>
        <v>Condiments</v>
      </c>
      <c r="K1463" s="7" t="str">
        <f>IF(VLOOKUP(dynamic[productID],products[],7,FALSE)=1,"Discontinued","Current")</f>
        <v>Current</v>
      </c>
      <c r="L1463" s="9">
        <f>VLOOKUP(dynamic[productID],products[],IF(YEAR(dynamic[orderDate])=2022,8,IF(YEAR(dynamic[orderDate])=2023,9,IF(YEAR(dynamic[orderDate])=2024,10,NA))),FALSE)</f>
        <v>13.21122243</v>
      </c>
      <c r="M1463" s="9">
        <v>21.05</v>
      </c>
      <c r="N1463" s="25">
        <f>(dynamic[orderPrice]-dynamic[productCost])/dynamic[productCost]</f>
        <v>0.593342335</v>
      </c>
      <c r="O1463" s="10">
        <v>2.0</v>
      </c>
      <c r="P1463" s="25">
        <v>0.0</v>
      </c>
      <c r="Q1463" s="9">
        <f>dynamic[orderPrice]*dynamic[orderQuantity]</f>
        <v>42.1</v>
      </c>
      <c r="R1463" s="9">
        <f>dynamic[orderTotal]*(1-dynamic[discountApllied])</f>
        <v>42.1</v>
      </c>
      <c r="S1463" s="9">
        <f>dynamic[revenue]-(dynamic[productCost]*dynamic[orderQuantity])</f>
        <v>15.67755513</v>
      </c>
      <c r="T1463" s="25">
        <f>IFERROR(dynamic[profit]/dynamic[revenue], 0)</f>
        <v>0.372388483</v>
      </c>
    </row>
    <row r="1464" ht="15.75" customHeight="1">
      <c r="A1464" s="6">
        <v>10806.0</v>
      </c>
      <c r="B1464" s="7" t="s">
        <v>18</v>
      </c>
      <c r="C1464" s="24" t="str">
        <f>VLOOKUP(dynamic[customerID],customers[],2,FALSE)</f>
        <v>Victuailles en stock</v>
      </c>
      <c r="D1464" s="24">
        <v>45291.0</v>
      </c>
      <c r="E1464" s="6">
        <f>IFERROR(__xludf.DUMMYFUNCTION("COUNTUNIQUEIFS($A$2:$A1464,$B$2:$B1464,B1464)"),7.0)</f>
        <v>7</v>
      </c>
      <c r="F1464" s="6">
        <f t="shared" si="1"/>
        <v>222</v>
      </c>
      <c r="G1464" s="6" t="str">
        <f>IF(MINIFS(dynamic[orderDate], dynamic[customerID], B1464) &gt;= DATE(2024,4,30)-120, 
     "New", 
     IF(MAXIFS(dynamic[orderCount], dynamic[customerID], B1464)&lt;=2, 
        IF((DATE(2024,4,30) - MAXIFS(dynamic[orderDate], dynamic[customerID], B1464)) &gt; 180, "Non-Returning", "Dormant"), 
        IF(AND(MAX(dynamic[sinceLastOrder]) &gt; 365, (DATE(2024,4,30) - MAXIFS(dynamic[orderDate], dynamic[customerID], B1464)) &gt; 180), 
           "Dormant", "Regular")))</f>
        <v>Regular</v>
      </c>
      <c r="H1464" s="6">
        <v>74.0</v>
      </c>
      <c r="I1464" s="9" t="str">
        <f>VLOOKUP(dynamic[productID],products[],2,FALSE)</f>
        <v>Longlife Tofu</v>
      </c>
      <c r="J1464" s="9" t="str">
        <f>VLOOKUP(dynamic[productID],products[],12,FALSE)</f>
        <v>Produce</v>
      </c>
      <c r="K1464" s="7" t="str">
        <f>IF(VLOOKUP(dynamic[productID],products[],7,FALSE)=1,"Discontinued","Current")</f>
        <v>Current</v>
      </c>
      <c r="L1464" s="9">
        <f>VLOOKUP(dynamic[productID],products[],IF(YEAR(dynamic[orderDate])=2022,8,IF(YEAR(dynamic[orderDate])=2023,9,IF(YEAR(dynamic[orderDate])=2024,10,NA))),FALSE)</f>
        <v>6.510240467</v>
      </c>
      <c r="M1464" s="9">
        <v>10.0</v>
      </c>
      <c r="N1464" s="25">
        <f>(dynamic[orderPrice]-dynamic[productCost])/dynamic[productCost]</f>
        <v>0.5360415719</v>
      </c>
      <c r="O1464" s="10">
        <v>15.0</v>
      </c>
      <c r="P1464" s="25">
        <v>0.25</v>
      </c>
      <c r="Q1464" s="9">
        <f>dynamic[orderPrice]*dynamic[orderQuantity]</f>
        <v>150</v>
      </c>
      <c r="R1464" s="9">
        <f>dynamic[orderTotal]*(1-dynamic[discountApllied])</f>
        <v>112.5</v>
      </c>
      <c r="S1464" s="9">
        <f>dynamic[revenue]-(dynamic[productCost]*dynamic[orderQuantity])</f>
        <v>14.846393</v>
      </c>
      <c r="T1464" s="25">
        <f>IFERROR(dynamic[profit]/dynamic[revenue], 0)</f>
        <v>0.1319679378</v>
      </c>
    </row>
    <row r="1465" ht="15.75" customHeight="1">
      <c r="A1465" s="6">
        <v>10807.0</v>
      </c>
      <c r="B1465" s="7" t="s">
        <v>85</v>
      </c>
      <c r="C1465" s="24" t="str">
        <f>VLOOKUP(dynamic[customerID],customers[],2,FALSE)</f>
        <v>Franchi S.p.A.</v>
      </c>
      <c r="D1465" s="24">
        <v>45291.0</v>
      </c>
      <c r="E1465" s="6">
        <f>IFERROR(__xludf.DUMMYFUNCTION("COUNTUNIQUEIFS($A$2:$A1465,$B$2:$B1465,B1465)"),4.0)</f>
        <v>4</v>
      </c>
      <c r="F1465" s="6">
        <f t="shared" si="1"/>
        <v>36</v>
      </c>
      <c r="G1465" s="6" t="str">
        <f>IF(MINIFS(dynamic[orderDate], dynamic[customerID], B1465) &gt;= DATE(2024,4,30)-120, 
     "New", 
     IF(MAXIFS(dynamic[orderCount], dynamic[customerID], B1465)&lt;=2, 
        IF((DATE(2024,4,30) - MAXIFS(dynamic[orderDate], dynamic[customerID], B1465)) &gt; 180, "Non-Returning", "Dormant"), 
        IF(AND(MAX(dynamic[sinceLastOrder]) &gt; 365, (DATE(2024,4,30) - MAXIFS(dynamic[orderDate], dynamic[customerID], B1465)) &gt; 180), 
           "Dormant", "Regular")))</f>
        <v>Regular</v>
      </c>
      <c r="H1465" s="6">
        <v>40.0</v>
      </c>
      <c r="I1465" s="9" t="str">
        <f>VLOOKUP(dynamic[productID],products[],2,FALSE)</f>
        <v>Boston Crab Meat</v>
      </c>
      <c r="J1465" s="9" t="str">
        <f>VLOOKUP(dynamic[productID],products[],12,FALSE)</f>
        <v>Seafood</v>
      </c>
      <c r="K1465" s="7" t="str">
        <f>IF(VLOOKUP(dynamic[productID],products[],7,FALSE)=1,"Discontinued","Current")</f>
        <v>Current</v>
      </c>
      <c r="L1465" s="9">
        <f>VLOOKUP(dynamic[productID],products[],IF(YEAR(dynamic[orderDate])=2022,8,IF(YEAR(dynamic[orderDate])=2023,9,IF(YEAR(dynamic[orderDate])=2024,10,NA))),FALSE)</f>
        <v>11.40496523</v>
      </c>
      <c r="M1465" s="9">
        <v>18.4</v>
      </c>
      <c r="N1465" s="25">
        <f>(dynamic[orderPrice]-dynamic[productCost])/dynamic[productCost]</f>
        <v>0.6133324069</v>
      </c>
      <c r="O1465" s="10">
        <v>1.0</v>
      </c>
      <c r="P1465" s="25">
        <v>0.0</v>
      </c>
      <c r="Q1465" s="9">
        <f>dynamic[orderPrice]*dynamic[orderQuantity]</f>
        <v>18.4</v>
      </c>
      <c r="R1465" s="9">
        <f>dynamic[orderTotal]*(1-dynamic[discountApllied])</f>
        <v>18.4</v>
      </c>
      <c r="S1465" s="9">
        <f>dynamic[revenue]-(dynamic[productCost]*dynamic[orderQuantity])</f>
        <v>6.995034773</v>
      </c>
      <c r="T1465" s="25">
        <f>IFERROR(dynamic[profit]/dynamic[revenue], 0)</f>
        <v>0.3801649333</v>
      </c>
    </row>
    <row r="1466" ht="15.75" customHeight="1">
      <c r="A1466" s="6">
        <v>10808.0</v>
      </c>
      <c r="B1466" s="7" t="s">
        <v>52</v>
      </c>
      <c r="C1466" s="24" t="str">
        <f>VLOOKUP(dynamic[customerID],customers[],2,FALSE)</f>
        <v>Old World Delicatessen</v>
      </c>
      <c r="D1466" s="24">
        <v>45292.0</v>
      </c>
      <c r="E1466" s="6">
        <f>IFERROR(__xludf.DUMMYFUNCTION("COUNTUNIQUEIFS($A$2:$A1466,$B$2:$B1466,B1466)"),7.0)</f>
        <v>7</v>
      </c>
      <c r="F1466" s="6">
        <f t="shared" si="1"/>
        <v>77</v>
      </c>
      <c r="G1466" s="6" t="str">
        <f>IF(MINIFS(dynamic[orderDate], dynamic[customerID], B1466) &gt;= DATE(2024,4,30)-120, 
     "New", 
     IF(MAXIFS(dynamic[orderCount], dynamic[customerID], B1466)&lt;=2, 
        IF((DATE(2024,4,30) - MAXIFS(dynamic[orderDate], dynamic[customerID], B1466)) &gt; 180, "Non-Returning", "Dormant"), 
        IF(AND(MAX(dynamic[sinceLastOrder]) &gt; 365, (DATE(2024,4,30) - MAXIFS(dynamic[orderDate], dynamic[customerID], B1466)) &gt; 180), 
           "Dormant", "Regular")))</f>
        <v>Regular</v>
      </c>
      <c r="H1466" s="6">
        <v>56.0</v>
      </c>
      <c r="I1466" s="9" t="str">
        <f>VLOOKUP(dynamic[productID],products[],2,FALSE)</f>
        <v>Gnocchi di nonna Alice</v>
      </c>
      <c r="J1466" s="9" t="str">
        <f>VLOOKUP(dynamic[productID],products[],12,FALSE)</f>
        <v>Grains/Cereals</v>
      </c>
      <c r="K1466" s="7" t="str">
        <f>IF(VLOOKUP(dynamic[productID],products[],7,FALSE)=1,"Discontinued","Current")</f>
        <v>Current</v>
      </c>
      <c r="L1466" s="9">
        <f>VLOOKUP(dynamic[productID],products[],IF(YEAR(dynamic[orderDate])=2022,8,IF(YEAR(dynamic[orderDate])=2023,9,IF(YEAR(dynamic[orderDate])=2024,10,NA))),FALSE)</f>
        <v>27.53915851</v>
      </c>
      <c r="M1466" s="9">
        <v>38.0</v>
      </c>
      <c r="N1466" s="25">
        <f>(dynamic[orderPrice]-dynamic[productCost])/dynamic[productCost]</f>
        <v>0.3798533452</v>
      </c>
      <c r="O1466" s="10">
        <v>20.0</v>
      </c>
      <c r="P1466" s="25">
        <v>0.15</v>
      </c>
      <c r="Q1466" s="9">
        <f>dynamic[orderPrice]*dynamic[orderQuantity]</f>
        <v>760</v>
      </c>
      <c r="R1466" s="9">
        <f>dynamic[orderTotal]*(1-dynamic[discountApllied])</f>
        <v>646</v>
      </c>
      <c r="S1466" s="9">
        <f>dynamic[revenue]-(dynamic[productCost]*dynamic[orderQuantity])</f>
        <v>95.21682972</v>
      </c>
      <c r="T1466" s="25">
        <f>IFERROR(dynamic[profit]/dynamic[revenue], 0)</f>
        <v>0.1473944733</v>
      </c>
    </row>
    <row r="1467" ht="15.75" customHeight="1">
      <c r="A1467" s="6">
        <v>10808.0</v>
      </c>
      <c r="B1467" s="7" t="s">
        <v>52</v>
      </c>
      <c r="C1467" s="24" t="str">
        <f>VLOOKUP(dynamic[customerID],customers[],2,FALSE)</f>
        <v>Old World Delicatessen</v>
      </c>
      <c r="D1467" s="24">
        <v>45292.0</v>
      </c>
      <c r="E1467" s="6">
        <f>IFERROR(__xludf.DUMMYFUNCTION("COUNTUNIQUEIFS($A$2:$A1467,$B$2:$B1467,B1467)"),7.0)</f>
        <v>7</v>
      </c>
      <c r="F1467" s="6">
        <f t="shared" si="1"/>
        <v>77</v>
      </c>
      <c r="G1467" s="6" t="str">
        <f>IF(MINIFS(dynamic[orderDate], dynamic[customerID], B1467) &gt;= DATE(2024,4,30)-120, 
     "New", 
     IF(MAXIFS(dynamic[orderCount], dynamic[customerID], B1467)&lt;=2, 
        IF((DATE(2024,4,30) - MAXIFS(dynamic[orderDate], dynamic[customerID], B1467)) &gt; 180, "Non-Returning", "Dormant"), 
        IF(AND(MAX(dynamic[sinceLastOrder]) &gt; 365, (DATE(2024,4,30) - MAXIFS(dynamic[orderDate], dynamic[customerID], B1467)) &gt; 180), 
           "Dormant", "Regular")))</f>
        <v>Regular</v>
      </c>
      <c r="H1467" s="6">
        <v>76.0</v>
      </c>
      <c r="I1467" s="9" t="str">
        <f>VLOOKUP(dynamic[productID],products[],2,FALSE)</f>
        <v>Lakkalikööri</v>
      </c>
      <c r="J1467" s="9" t="str">
        <f>VLOOKUP(dynamic[productID],products[],12,FALSE)</f>
        <v>Beverages</v>
      </c>
      <c r="K1467" s="7" t="str">
        <f>IF(VLOOKUP(dynamic[productID],products[],7,FALSE)=1,"Discontinued","Current")</f>
        <v>Current</v>
      </c>
      <c r="L1467" s="9">
        <f>VLOOKUP(dynamic[productID],products[],IF(YEAR(dynamic[orderDate])=2022,8,IF(YEAR(dynamic[orderDate])=2023,9,IF(YEAR(dynamic[orderDate])=2024,10,NA))),FALSE)</f>
        <v>12.15832249</v>
      </c>
      <c r="M1467" s="9">
        <v>18.0</v>
      </c>
      <c r="N1467" s="25">
        <f>(dynamic[orderPrice]-dynamic[productCost])/dynamic[productCost]</f>
        <v>0.4804673928</v>
      </c>
      <c r="O1467" s="10">
        <v>50.0</v>
      </c>
      <c r="P1467" s="25">
        <v>0.15</v>
      </c>
      <c r="Q1467" s="9">
        <f>dynamic[orderPrice]*dynamic[orderQuantity]</f>
        <v>900</v>
      </c>
      <c r="R1467" s="9">
        <f>dynamic[orderTotal]*(1-dynamic[discountApllied])</f>
        <v>765</v>
      </c>
      <c r="S1467" s="9">
        <f>dynamic[revenue]-(dynamic[productCost]*dynamic[orderQuantity])</f>
        <v>157.0838754</v>
      </c>
      <c r="T1467" s="25">
        <f>IFERROR(dynamic[profit]/dynamic[revenue], 0)</f>
        <v>0.2053383993</v>
      </c>
    </row>
    <row r="1468" ht="15.75" customHeight="1">
      <c r="A1468" s="6">
        <v>10809.0</v>
      </c>
      <c r="B1468" s="7" t="s">
        <v>22</v>
      </c>
      <c r="C1468" s="24" t="str">
        <f>VLOOKUP(dynamic[customerID],customers[],2,FALSE)</f>
        <v>Wellington Importadora</v>
      </c>
      <c r="D1468" s="24">
        <v>45292.0</v>
      </c>
      <c r="E1468" s="6">
        <f>IFERROR(__xludf.DUMMYFUNCTION("COUNTUNIQUEIFS($A$2:$A1468,$B$2:$B1468,B1468)"),6.0)</f>
        <v>6</v>
      </c>
      <c r="F1468" s="6">
        <f t="shared" si="1"/>
        <v>2</v>
      </c>
      <c r="G1468" s="6" t="str">
        <f>IF(MINIFS(dynamic[orderDate], dynamic[customerID], B1468) &gt;= DATE(2024,4,30)-120, 
     "New", 
     IF(MAXIFS(dynamic[orderCount], dynamic[customerID], B1468)&lt;=2, 
        IF((DATE(2024,4,30) - MAXIFS(dynamic[orderDate], dynamic[customerID], B1468)) &gt; 180, "Non-Returning", "Dormant"), 
        IF(AND(MAX(dynamic[sinceLastOrder]) &gt; 365, (DATE(2024,4,30) - MAXIFS(dynamic[orderDate], dynamic[customerID], B1468)) &gt; 180), 
           "Dormant", "Regular")))</f>
        <v>Regular</v>
      </c>
      <c r="H1468" s="6">
        <v>52.0</v>
      </c>
      <c r="I1468" s="9" t="str">
        <f>VLOOKUP(dynamic[productID],products[],2,FALSE)</f>
        <v>Filo Mix</v>
      </c>
      <c r="J1468" s="9" t="str">
        <f>VLOOKUP(dynamic[productID],products[],12,FALSE)</f>
        <v>Grains/Cereals</v>
      </c>
      <c r="K1468" s="7" t="str">
        <f>IF(VLOOKUP(dynamic[productID],products[],7,FALSE)=1,"Discontinued","Current")</f>
        <v>Current</v>
      </c>
      <c r="L1468" s="9">
        <f>VLOOKUP(dynamic[productID],products[],IF(YEAR(dynamic[orderDate])=2022,8,IF(YEAR(dynamic[orderDate])=2023,9,IF(YEAR(dynamic[orderDate])=2024,10,NA))),FALSE)</f>
        <v>5.222223442</v>
      </c>
      <c r="M1468" s="9">
        <v>7.0</v>
      </c>
      <c r="N1468" s="25">
        <f>(dynamic[orderPrice]-dynamic[productCost])/dynamic[productCost]</f>
        <v>0.3404252188</v>
      </c>
      <c r="O1468" s="10">
        <v>20.0</v>
      </c>
      <c r="P1468" s="25">
        <v>0.0</v>
      </c>
      <c r="Q1468" s="9">
        <f>dynamic[orderPrice]*dynamic[orderQuantity]</f>
        <v>140</v>
      </c>
      <c r="R1468" s="9">
        <f>dynamic[orderTotal]*(1-dynamic[discountApllied])</f>
        <v>140</v>
      </c>
      <c r="S1468" s="9">
        <f>dynamic[revenue]-(dynamic[productCost]*dynamic[orderQuantity])</f>
        <v>35.55553116</v>
      </c>
      <c r="T1468" s="25">
        <f>IFERROR(dynamic[profit]/dynamic[revenue], 0)</f>
        <v>0.2539680797</v>
      </c>
    </row>
    <row r="1469" ht="15.75" customHeight="1">
      <c r="A1469" s="6">
        <v>10810.0</v>
      </c>
      <c r="B1469" s="7" t="s">
        <v>90</v>
      </c>
      <c r="C1469" s="24" t="str">
        <f>VLOOKUP(dynamic[customerID],customers[],2,FALSE)</f>
        <v>Laughing Bacchus Wine Cellars</v>
      </c>
      <c r="D1469" s="24">
        <v>45292.0</v>
      </c>
      <c r="E1469" s="6">
        <f>IFERROR(__xludf.DUMMYFUNCTION("COUNTUNIQUEIFS($A$2:$A1469,$B$2:$B1469,B1469)"),3.0)</f>
        <v>3</v>
      </c>
      <c r="F1469" s="6">
        <f t="shared" si="1"/>
        <v>149</v>
      </c>
      <c r="G1469" s="6" t="str">
        <f>IF(MINIFS(dynamic[orderDate], dynamic[customerID], B1469) &gt;= DATE(2024,4,30)-120, 
     "New", 
     IF(MAXIFS(dynamic[orderCount], dynamic[customerID], B1469)&lt;=2, 
        IF((DATE(2024,4,30) - MAXIFS(dynamic[orderDate], dynamic[customerID], B1469)) &gt; 180, "Non-Returning", "Dormant"), 
        IF(AND(MAX(dynamic[sinceLastOrder]) &gt; 365, (DATE(2024,4,30) - MAXIFS(dynamic[orderDate], dynamic[customerID], B1469)) &gt; 180), 
           "Dormant", "Regular")))</f>
        <v>Regular</v>
      </c>
      <c r="H1469" s="6">
        <v>13.0</v>
      </c>
      <c r="I1469" s="9" t="str">
        <f>VLOOKUP(dynamic[productID],products[],2,FALSE)</f>
        <v>Konbu</v>
      </c>
      <c r="J1469" s="9" t="str">
        <f>VLOOKUP(dynamic[productID],products[],12,FALSE)</f>
        <v>Seafood</v>
      </c>
      <c r="K1469" s="7" t="str">
        <f>IF(VLOOKUP(dynamic[productID],products[],7,FALSE)=1,"Discontinued","Current")</f>
        <v>Current</v>
      </c>
      <c r="L1469" s="9">
        <f>VLOOKUP(dynamic[productID],products[],IF(YEAR(dynamic[orderDate])=2022,8,IF(YEAR(dynamic[orderDate])=2023,9,IF(YEAR(dynamic[orderDate])=2024,10,NA))),FALSE)</f>
        <v>3.966387047</v>
      </c>
      <c r="M1469" s="9">
        <v>6.0</v>
      </c>
      <c r="N1469" s="25">
        <f>(dynamic[orderPrice]-dynamic[productCost])/dynamic[productCost]</f>
        <v>0.5127116768</v>
      </c>
      <c r="O1469" s="10">
        <v>7.0</v>
      </c>
      <c r="P1469" s="25">
        <v>0.0</v>
      </c>
      <c r="Q1469" s="9">
        <f>dynamic[orderPrice]*dynamic[orderQuantity]</f>
        <v>42</v>
      </c>
      <c r="R1469" s="9">
        <f>dynamic[orderTotal]*(1-dynamic[discountApllied])</f>
        <v>42</v>
      </c>
      <c r="S1469" s="9">
        <f>dynamic[revenue]-(dynamic[productCost]*dynamic[orderQuantity])</f>
        <v>14.23529067</v>
      </c>
      <c r="T1469" s="25">
        <f>IFERROR(dynamic[profit]/dynamic[revenue], 0)</f>
        <v>0.3389354922</v>
      </c>
    </row>
    <row r="1470" ht="15.75" customHeight="1">
      <c r="A1470" s="6">
        <v>10810.0</v>
      </c>
      <c r="B1470" s="7" t="s">
        <v>90</v>
      </c>
      <c r="C1470" s="24" t="str">
        <f>VLOOKUP(dynamic[customerID],customers[],2,FALSE)</f>
        <v>Laughing Bacchus Wine Cellars</v>
      </c>
      <c r="D1470" s="24">
        <v>45292.0</v>
      </c>
      <c r="E1470" s="6">
        <f>IFERROR(__xludf.DUMMYFUNCTION("COUNTUNIQUEIFS($A$2:$A1470,$B$2:$B1470,B1470)"),3.0)</f>
        <v>3</v>
      </c>
      <c r="F1470" s="6">
        <f t="shared" si="1"/>
        <v>149</v>
      </c>
      <c r="G1470" s="6" t="str">
        <f>IF(MINIFS(dynamic[orderDate], dynamic[customerID], B1470) &gt;= DATE(2024,4,30)-120, 
     "New", 
     IF(MAXIFS(dynamic[orderCount], dynamic[customerID], B1470)&lt;=2, 
        IF((DATE(2024,4,30) - MAXIFS(dynamic[orderDate], dynamic[customerID], B1470)) &gt; 180, "Non-Returning", "Dormant"), 
        IF(AND(MAX(dynamic[sinceLastOrder]) &gt; 365, (DATE(2024,4,30) - MAXIFS(dynamic[orderDate], dynamic[customerID], B1470)) &gt; 180), 
           "Dormant", "Regular")))</f>
        <v>Regular</v>
      </c>
      <c r="H1470" s="6">
        <v>25.0</v>
      </c>
      <c r="I1470" s="9" t="str">
        <f>VLOOKUP(dynamic[productID],products[],2,FALSE)</f>
        <v>HM Köstliche Kaiserschmarrn Knödelchen</v>
      </c>
      <c r="J1470" s="9" t="str">
        <f>VLOOKUP(dynamic[productID],products[],12,FALSE)</f>
        <v>Confections</v>
      </c>
      <c r="K1470" s="7" t="str">
        <f>IF(VLOOKUP(dynamic[productID],products[],7,FALSE)=1,"Discontinued","Current")</f>
        <v>Current</v>
      </c>
      <c r="L1470" s="9">
        <f>VLOOKUP(dynamic[productID],products[],IF(YEAR(dynamic[orderDate])=2022,8,IF(YEAR(dynamic[orderDate])=2023,9,IF(YEAR(dynamic[orderDate])=2024,10,NA))),FALSE)</f>
        <v>8.782270815</v>
      </c>
      <c r="M1470" s="9">
        <v>14.0</v>
      </c>
      <c r="N1470" s="25">
        <f>(dynamic[orderPrice]-dynamic[productCost])/dynamic[productCost]</f>
        <v>0.5941207342</v>
      </c>
      <c r="O1470" s="10">
        <v>5.0</v>
      </c>
      <c r="P1470" s="25">
        <v>0.0</v>
      </c>
      <c r="Q1470" s="9">
        <f>dynamic[orderPrice]*dynamic[orderQuantity]</f>
        <v>70</v>
      </c>
      <c r="R1470" s="9">
        <f>dynamic[orderTotal]*(1-dynamic[discountApllied])</f>
        <v>70</v>
      </c>
      <c r="S1470" s="9">
        <f>dynamic[revenue]-(dynamic[productCost]*dynamic[orderQuantity])</f>
        <v>26.08864592</v>
      </c>
      <c r="T1470" s="25">
        <f>IFERROR(dynamic[profit]/dynamic[revenue], 0)</f>
        <v>0.3726949418</v>
      </c>
    </row>
    <row r="1471" ht="15.75" customHeight="1">
      <c r="A1471" s="6">
        <v>10810.0</v>
      </c>
      <c r="B1471" s="7" t="s">
        <v>90</v>
      </c>
      <c r="C1471" s="24" t="str">
        <f>VLOOKUP(dynamic[customerID],customers[],2,FALSE)</f>
        <v>Laughing Bacchus Wine Cellars</v>
      </c>
      <c r="D1471" s="24">
        <v>45292.0</v>
      </c>
      <c r="E1471" s="6">
        <f>IFERROR(__xludf.DUMMYFUNCTION("COUNTUNIQUEIFS($A$2:$A1471,$B$2:$B1471,B1471)"),3.0)</f>
        <v>3</v>
      </c>
      <c r="F1471" s="6">
        <f t="shared" si="1"/>
        <v>149</v>
      </c>
      <c r="G1471" s="6" t="str">
        <f>IF(MINIFS(dynamic[orderDate], dynamic[customerID], B1471) &gt;= DATE(2024,4,30)-120, 
     "New", 
     IF(MAXIFS(dynamic[orderCount], dynamic[customerID], B1471)&lt;=2, 
        IF((DATE(2024,4,30) - MAXIFS(dynamic[orderDate], dynamic[customerID], B1471)) &gt; 180, "Non-Returning", "Dormant"), 
        IF(AND(MAX(dynamic[sinceLastOrder]) &gt; 365, (DATE(2024,4,30) - MAXIFS(dynamic[orderDate], dynamic[customerID], B1471)) &gt; 180), 
           "Dormant", "Regular")))</f>
        <v>Regular</v>
      </c>
      <c r="H1471" s="6">
        <v>70.0</v>
      </c>
      <c r="I1471" s="9" t="str">
        <f>VLOOKUP(dynamic[productID],products[],2,FALSE)</f>
        <v>Outback Lager</v>
      </c>
      <c r="J1471" s="9" t="str">
        <f>VLOOKUP(dynamic[productID],products[],12,FALSE)</f>
        <v>Beverages</v>
      </c>
      <c r="K1471" s="7" t="str">
        <f>IF(VLOOKUP(dynamic[productID],products[],7,FALSE)=1,"Discontinued","Current")</f>
        <v>Current</v>
      </c>
      <c r="L1471" s="9">
        <f>VLOOKUP(dynamic[productID],products[],IF(YEAR(dynamic[orderDate])=2022,8,IF(YEAR(dynamic[orderDate])=2023,9,IF(YEAR(dynamic[orderDate])=2024,10,NA))),FALSE)</f>
        <v>10.03280812</v>
      </c>
      <c r="M1471" s="9">
        <v>15.0</v>
      </c>
      <c r="N1471" s="25">
        <f>(dynamic[orderPrice]-dynamic[productCost])/dynamic[productCost]</f>
        <v>0.4950948747</v>
      </c>
      <c r="O1471" s="10">
        <v>5.0</v>
      </c>
      <c r="P1471" s="25">
        <v>0.0</v>
      </c>
      <c r="Q1471" s="9">
        <f>dynamic[orderPrice]*dynamic[orderQuantity]</f>
        <v>75</v>
      </c>
      <c r="R1471" s="9">
        <f>dynamic[orderTotal]*(1-dynamic[discountApllied])</f>
        <v>75</v>
      </c>
      <c r="S1471" s="9">
        <f>dynamic[revenue]-(dynamic[productCost]*dynamic[orderQuantity])</f>
        <v>24.8359594</v>
      </c>
      <c r="T1471" s="25">
        <f>IFERROR(dynamic[profit]/dynamic[revenue], 0)</f>
        <v>0.3311461253</v>
      </c>
    </row>
    <row r="1472" ht="15.75" customHeight="1">
      <c r="A1472" s="6">
        <v>10811.0</v>
      </c>
      <c r="B1472" s="7" t="s">
        <v>82</v>
      </c>
      <c r="C1472" s="24" t="str">
        <f>VLOOKUP(dynamic[customerID],customers[],2,FALSE)</f>
        <v>LINO-Delicateses</v>
      </c>
      <c r="D1472" s="24">
        <v>45293.0</v>
      </c>
      <c r="E1472" s="6">
        <f>IFERROR(__xludf.DUMMYFUNCTION("COUNTUNIQUEIFS($A$2:$A1472,$B$2:$B1472,B1472)"),6.0)</f>
        <v>6</v>
      </c>
      <c r="F1472" s="6">
        <f t="shared" si="1"/>
        <v>59</v>
      </c>
      <c r="G1472" s="6" t="str">
        <f>IF(MINIFS(dynamic[orderDate], dynamic[customerID], B1472) &gt;= DATE(2024,4,30)-120, 
     "New", 
     IF(MAXIFS(dynamic[orderCount], dynamic[customerID], B1472)&lt;=2, 
        IF((DATE(2024,4,30) - MAXIFS(dynamic[orderDate], dynamic[customerID], B1472)) &gt; 180, "Non-Returning", "Dormant"), 
        IF(AND(MAX(dynamic[sinceLastOrder]) &gt; 365, (DATE(2024,4,30) - MAXIFS(dynamic[orderDate], dynamic[customerID], B1472)) &gt; 180), 
           "Dormant", "Regular")))</f>
        <v>Regular</v>
      </c>
      <c r="H1472" s="6">
        <v>19.0</v>
      </c>
      <c r="I1472" s="9" t="str">
        <f>VLOOKUP(dynamic[productID],products[],2,FALSE)</f>
        <v>Teatime Chocolate Biscuits</v>
      </c>
      <c r="J1472" s="9" t="str">
        <f>VLOOKUP(dynamic[productID],products[],12,FALSE)</f>
        <v>Confections</v>
      </c>
      <c r="K1472" s="7" t="str">
        <f>IF(VLOOKUP(dynamic[productID],products[],7,FALSE)=1,"Discontinued","Current")</f>
        <v>Current</v>
      </c>
      <c r="L1472" s="9">
        <f>VLOOKUP(dynamic[productID],products[],IF(YEAR(dynamic[orderDate])=2022,8,IF(YEAR(dynamic[orderDate])=2023,9,IF(YEAR(dynamic[orderDate])=2024,10,NA))),FALSE)</f>
        <v>6.769656984</v>
      </c>
      <c r="M1472" s="9">
        <v>9.2</v>
      </c>
      <c r="N1472" s="25">
        <f>(dynamic[orderPrice]-dynamic[productCost])/dynamic[productCost]</f>
        <v>0.3590053413</v>
      </c>
      <c r="O1472" s="10">
        <v>15.0</v>
      </c>
      <c r="P1472" s="25">
        <v>0.0</v>
      </c>
      <c r="Q1472" s="9">
        <f>dynamic[orderPrice]*dynamic[orderQuantity]</f>
        <v>138</v>
      </c>
      <c r="R1472" s="9">
        <f>dynamic[orderTotal]*(1-dynamic[discountApllied])</f>
        <v>138</v>
      </c>
      <c r="S1472" s="9">
        <f>dynamic[revenue]-(dynamic[productCost]*dynamic[orderQuantity])</f>
        <v>36.45514524</v>
      </c>
      <c r="T1472" s="25">
        <f>IFERROR(dynamic[profit]/dynamic[revenue], 0)</f>
        <v>0.2641677191</v>
      </c>
    </row>
    <row r="1473" ht="15.75" customHeight="1">
      <c r="A1473" s="6">
        <v>10811.0</v>
      </c>
      <c r="B1473" s="7" t="s">
        <v>82</v>
      </c>
      <c r="C1473" s="24" t="str">
        <f>VLOOKUP(dynamic[customerID],customers[],2,FALSE)</f>
        <v>LINO-Delicateses</v>
      </c>
      <c r="D1473" s="24">
        <v>45293.0</v>
      </c>
      <c r="E1473" s="6">
        <f>IFERROR(__xludf.DUMMYFUNCTION("COUNTUNIQUEIFS($A$2:$A1473,$B$2:$B1473,B1473)"),6.0)</f>
        <v>6</v>
      </c>
      <c r="F1473" s="6">
        <f t="shared" si="1"/>
        <v>59</v>
      </c>
      <c r="G1473" s="6" t="str">
        <f>IF(MINIFS(dynamic[orderDate], dynamic[customerID], B1473) &gt;= DATE(2024,4,30)-120, 
     "New", 
     IF(MAXIFS(dynamic[orderCount], dynamic[customerID], B1473)&lt;=2, 
        IF((DATE(2024,4,30) - MAXIFS(dynamic[orderDate], dynamic[customerID], B1473)) &gt; 180, "Non-Returning", "Dormant"), 
        IF(AND(MAX(dynamic[sinceLastOrder]) &gt; 365, (DATE(2024,4,30) - MAXIFS(dynamic[orderDate], dynamic[customerID], B1473)) &gt; 180), 
           "Dormant", "Regular")))</f>
        <v>Regular</v>
      </c>
      <c r="H1473" s="6">
        <v>23.0</v>
      </c>
      <c r="I1473" s="9" t="str">
        <f>VLOOKUP(dynamic[productID],products[],2,FALSE)</f>
        <v>Tunnbröd</v>
      </c>
      <c r="J1473" s="9" t="str">
        <f>VLOOKUP(dynamic[productID],products[],12,FALSE)</f>
        <v>Grains/Cereals</v>
      </c>
      <c r="K1473" s="7" t="str">
        <f>IF(VLOOKUP(dynamic[productID],products[],7,FALSE)=1,"Discontinued","Current")</f>
        <v>Current</v>
      </c>
      <c r="L1473" s="9">
        <f>VLOOKUP(dynamic[productID],products[],IF(YEAR(dynamic[orderDate])=2022,8,IF(YEAR(dynamic[orderDate])=2023,9,IF(YEAR(dynamic[orderDate])=2024,10,NA))),FALSE)</f>
        <v>6.224885622</v>
      </c>
      <c r="M1473" s="9">
        <v>9.0</v>
      </c>
      <c r="N1473" s="25">
        <f>(dynamic[orderPrice]-dynamic[productCost])/dynamic[productCost]</f>
        <v>0.4458096979</v>
      </c>
      <c r="O1473" s="10">
        <v>18.0</v>
      </c>
      <c r="P1473" s="25">
        <v>0.0</v>
      </c>
      <c r="Q1473" s="9">
        <f>dynamic[orderPrice]*dynamic[orderQuantity]</f>
        <v>162</v>
      </c>
      <c r="R1473" s="9">
        <f>dynamic[orderTotal]*(1-dynamic[discountApllied])</f>
        <v>162</v>
      </c>
      <c r="S1473" s="9">
        <f>dynamic[revenue]-(dynamic[productCost]*dynamic[orderQuantity])</f>
        <v>49.95205881</v>
      </c>
      <c r="T1473" s="25">
        <f>IFERROR(dynamic[profit]/dynamic[revenue], 0)</f>
        <v>0.308346042</v>
      </c>
    </row>
    <row r="1474" ht="15.75" customHeight="1">
      <c r="A1474" s="6">
        <v>10811.0</v>
      </c>
      <c r="B1474" s="7" t="s">
        <v>82</v>
      </c>
      <c r="C1474" s="24" t="str">
        <f>VLOOKUP(dynamic[customerID],customers[],2,FALSE)</f>
        <v>LINO-Delicateses</v>
      </c>
      <c r="D1474" s="24">
        <v>45293.0</v>
      </c>
      <c r="E1474" s="6">
        <f>IFERROR(__xludf.DUMMYFUNCTION("COUNTUNIQUEIFS($A$2:$A1474,$B$2:$B1474,B1474)"),6.0)</f>
        <v>6</v>
      </c>
      <c r="F1474" s="6">
        <f t="shared" si="1"/>
        <v>59</v>
      </c>
      <c r="G1474" s="6" t="str">
        <f>IF(MINIFS(dynamic[orderDate], dynamic[customerID], B1474) &gt;= DATE(2024,4,30)-120, 
     "New", 
     IF(MAXIFS(dynamic[orderCount], dynamic[customerID], B1474)&lt;=2, 
        IF((DATE(2024,4,30) - MAXIFS(dynamic[orderDate], dynamic[customerID], B1474)) &gt; 180, "Non-Returning", "Dormant"), 
        IF(AND(MAX(dynamic[sinceLastOrder]) &gt; 365, (DATE(2024,4,30) - MAXIFS(dynamic[orderDate], dynamic[customerID], B1474)) &gt; 180), 
           "Dormant", "Regular")))</f>
        <v>Regular</v>
      </c>
      <c r="H1474" s="6">
        <v>40.0</v>
      </c>
      <c r="I1474" s="9" t="str">
        <f>VLOOKUP(dynamic[productID],products[],2,FALSE)</f>
        <v>Boston Crab Meat</v>
      </c>
      <c r="J1474" s="9" t="str">
        <f>VLOOKUP(dynamic[productID],products[],12,FALSE)</f>
        <v>Seafood</v>
      </c>
      <c r="K1474" s="7" t="str">
        <f>IF(VLOOKUP(dynamic[productID],products[],7,FALSE)=1,"Discontinued","Current")</f>
        <v>Current</v>
      </c>
      <c r="L1474" s="9">
        <f>VLOOKUP(dynamic[productID],products[],IF(YEAR(dynamic[orderDate])=2022,8,IF(YEAR(dynamic[orderDate])=2023,9,IF(YEAR(dynamic[orderDate])=2024,10,NA))),FALSE)</f>
        <v>12.44307</v>
      </c>
      <c r="M1474" s="9">
        <v>18.4</v>
      </c>
      <c r="N1474" s="25">
        <f>(dynamic[orderPrice]-dynamic[productCost])/dynamic[productCost]</f>
        <v>0.4787347499</v>
      </c>
      <c r="O1474" s="10">
        <v>30.0</v>
      </c>
      <c r="P1474" s="25">
        <v>0.0</v>
      </c>
      <c r="Q1474" s="9">
        <f>dynamic[orderPrice]*dynamic[orderQuantity]</f>
        <v>552</v>
      </c>
      <c r="R1474" s="9">
        <f>dynamic[orderTotal]*(1-dynamic[discountApllied])</f>
        <v>552</v>
      </c>
      <c r="S1474" s="9">
        <f>dynamic[revenue]-(dynamic[productCost]*dynamic[orderQuantity])</f>
        <v>178.7079001</v>
      </c>
      <c r="T1474" s="25">
        <f>IFERROR(dynamic[profit]/dynamic[revenue], 0)</f>
        <v>0.3237461958</v>
      </c>
    </row>
    <row r="1475" ht="15.75" customHeight="1">
      <c r="A1475" s="6">
        <v>10812.0</v>
      </c>
      <c r="B1475" s="7" t="s">
        <v>45</v>
      </c>
      <c r="C1475" s="24" t="str">
        <f>VLOOKUP(dynamic[customerID],customers[],2,FALSE)</f>
        <v>Reggiani Caseifici</v>
      </c>
      <c r="D1475" s="24">
        <v>45293.0</v>
      </c>
      <c r="E1475" s="6">
        <f>IFERROR(__xludf.DUMMYFUNCTION("COUNTUNIQUEIFS($A$2:$A1475,$B$2:$B1475,B1475)"),8.0)</f>
        <v>8</v>
      </c>
      <c r="F1475" s="6">
        <f t="shared" si="1"/>
        <v>60</v>
      </c>
      <c r="G1475" s="6" t="str">
        <f>IF(MINIFS(dynamic[orderDate], dynamic[customerID], B1475) &gt;= DATE(2024,4,30)-120, 
     "New", 
     IF(MAXIFS(dynamic[orderCount], dynamic[customerID], B1475)&lt;=2, 
        IF((DATE(2024,4,30) - MAXIFS(dynamic[orderDate], dynamic[customerID], B1475)) &gt; 180, "Non-Returning", "Dormant"), 
        IF(AND(MAX(dynamic[sinceLastOrder]) &gt; 365, (DATE(2024,4,30) - MAXIFS(dynamic[orderDate], dynamic[customerID], B1475)) &gt; 180), 
           "Dormant", "Regular")))</f>
        <v>Regular</v>
      </c>
      <c r="H1475" s="6">
        <v>31.0</v>
      </c>
      <c r="I1475" s="9" t="str">
        <f>VLOOKUP(dynamic[productID],products[],2,FALSE)</f>
        <v>Gorgonzola Telino</v>
      </c>
      <c r="J1475" s="9" t="str">
        <f>VLOOKUP(dynamic[productID],products[],12,FALSE)</f>
        <v>Dairy Products</v>
      </c>
      <c r="K1475" s="7" t="str">
        <f>IF(VLOOKUP(dynamic[productID],products[],7,FALSE)=1,"Discontinued","Current")</f>
        <v>Current</v>
      </c>
      <c r="L1475" s="9">
        <f>VLOOKUP(dynamic[productID],products[],IF(YEAR(dynamic[orderDate])=2022,8,IF(YEAR(dynamic[orderDate])=2023,9,IF(YEAR(dynamic[orderDate])=2024,10,NA))),FALSE)</f>
        <v>8.203054392</v>
      </c>
      <c r="M1475" s="9">
        <v>12.5</v>
      </c>
      <c r="N1475" s="25">
        <f>(dynamic[orderPrice]-dynamic[productCost])/dynamic[productCost]</f>
        <v>0.52382264</v>
      </c>
      <c r="O1475" s="10">
        <v>16.0</v>
      </c>
      <c r="P1475" s="25">
        <v>0.1</v>
      </c>
      <c r="Q1475" s="9">
        <f>dynamic[orderPrice]*dynamic[orderQuantity]</f>
        <v>200</v>
      </c>
      <c r="R1475" s="9">
        <f>dynamic[orderTotal]*(1-dynamic[discountApllied])</f>
        <v>180</v>
      </c>
      <c r="S1475" s="9">
        <f>dynamic[revenue]-(dynamic[productCost]*dynamic[orderQuantity])</f>
        <v>48.75112973</v>
      </c>
      <c r="T1475" s="25">
        <f>IFERROR(dynamic[profit]/dynamic[revenue], 0)</f>
        <v>0.2708396096</v>
      </c>
    </row>
    <row r="1476" ht="15.75" customHeight="1">
      <c r="A1476" s="6">
        <v>10812.0</v>
      </c>
      <c r="B1476" s="7" t="s">
        <v>45</v>
      </c>
      <c r="C1476" s="24" t="str">
        <f>VLOOKUP(dynamic[customerID],customers[],2,FALSE)</f>
        <v>Reggiani Caseifici</v>
      </c>
      <c r="D1476" s="24">
        <v>45293.0</v>
      </c>
      <c r="E1476" s="6">
        <f>IFERROR(__xludf.DUMMYFUNCTION("COUNTUNIQUEIFS($A$2:$A1476,$B$2:$B1476,B1476)"),8.0)</f>
        <v>8</v>
      </c>
      <c r="F1476" s="6">
        <f t="shared" si="1"/>
        <v>60</v>
      </c>
      <c r="G1476" s="6" t="str">
        <f>IF(MINIFS(dynamic[orderDate], dynamic[customerID], B1476) &gt;= DATE(2024,4,30)-120, 
     "New", 
     IF(MAXIFS(dynamic[orderCount], dynamic[customerID], B1476)&lt;=2, 
        IF((DATE(2024,4,30) - MAXIFS(dynamic[orderDate], dynamic[customerID], B1476)) &gt; 180, "Non-Returning", "Dormant"), 
        IF(AND(MAX(dynamic[sinceLastOrder]) &gt; 365, (DATE(2024,4,30) - MAXIFS(dynamic[orderDate], dynamic[customerID], B1476)) &gt; 180), 
           "Dormant", "Regular")))</f>
        <v>Regular</v>
      </c>
      <c r="H1476" s="6">
        <v>72.0</v>
      </c>
      <c r="I1476" s="9" t="str">
        <f>VLOOKUP(dynamic[productID],products[],2,FALSE)</f>
        <v>Mozzarella di Giovanni</v>
      </c>
      <c r="J1476" s="9" t="str">
        <f>VLOOKUP(dynamic[productID],products[],12,FALSE)</f>
        <v>Dairy Products</v>
      </c>
      <c r="K1476" s="7" t="str">
        <f>IF(VLOOKUP(dynamic[productID],products[],7,FALSE)=1,"Discontinued","Current")</f>
        <v>Current</v>
      </c>
      <c r="L1476" s="9">
        <f>VLOOKUP(dynamic[productID],products[],IF(YEAR(dynamic[orderDate])=2022,8,IF(YEAR(dynamic[orderDate])=2023,9,IF(YEAR(dynamic[orderDate])=2024,10,NA))),FALSE)</f>
        <v>24.35057898</v>
      </c>
      <c r="M1476" s="9">
        <v>34.8</v>
      </c>
      <c r="N1476" s="25">
        <f>(dynamic[orderPrice]-dynamic[productCost])/dynamic[productCost]</f>
        <v>0.4291241297</v>
      </c>
      <c r="O1476" s="10">
        <v>40.0</v>
      </c>
      <c r="P1476" s="25">
        <v>0.1</v>
      </c>
      <c r="Q1476" s="9">
        <f>dynamic[orderPrice]*dynamic[orderQuantity]</f>
        <v>1392</v>
      </c>
      <c r="R1476" s="9">
        <f>dynamic[orderTotal]*(1-dynamic[discountApllied])</f>
        <v>1252.8</v>
      </c>
      <c r="S1476" s="9">
        <f>dynamic[revenue]-(dynamic[productCost]*dynamic[orderQuantity])</f>
        <v>278.7768406</v>
      </c>
      <c r="T1476" s="25">
        <f>IFERROR(dynamic[profit]/dynamic[revenue], 0)</f>
        <v>0.2225230209</v>
      </c>
    </row>
    <row r="1477" ht="15.75" customHeight="1">
      <c r="A1477" s="6">
        <v>10812.0</v>
      </c>
      <c r="B1477" s="7" t="s">
        <v>45</v>
      </c>
      <c r="C1477" s="24" t="str">
        <f>VLOOKUP(dynamic[customerID],customers[],2,FALSE)</f>
        <v>Reggiani Caseifici</v>
      </c>
      <c r="D1477" s="24">
        <v>45293.0</v>
      </c>
      <c r="E1477" s="6">
        <f>IFERROR(__xludf.DUMMYFUNCTION("COUNTUNIQUEIFS($A$2:$A1477,$B$2:$B1477,B1477)"),8.0)</f>
        <v>8</v>
      </c>
      <c r="F1477" s="6">
        <f t="shared" si="1"/>
        <v>60</v>
      </c>
      <c r="G1477" s="6" t="str">
        <f>IF(MINIFS(dynamic[orderDate], dynamic[customerID], B1477) &gt;= DATE(2024,4,30)-120, 
     "New", 
     IF(MAXIFS(dynamic[orderCount], dynamic[customerID], B1477)&lt;=2, 
        IF((DATE(2024,4,30) - MAXIFS(dynamic[orderDate], dynamic[customerID], B1477)) &gt; 180, "Non-Returning", "Dormant"), 
        IF(AND(MAX(dynamic[sinceLastOrder]) &gt; 365, (DATE(2024,4,30) - MAXIFS(dynamic[orderDate], dynamic[customerID], B1477)) &gt; 180), 
           "Dormant", "Regular")))</f>
        <v>Regular</v>
      </c>
      <c r="H1477" s="6">
        <v>77.0</v>
      </c>
      <c r="I1477" s="9" t="str">
        <f>VLOOKUP(dynamic[productID],products[],2,FALSE)</f>
        <v>Original Frankfurter grüne Soße</v>
      </c>
      <c r="J1477" s="9" t="str">
        <f>VLOOKUP(dynamic[productID],products[],12,FALSE)</f>
        <v>Condiments</v>
      </c>
      <c r="K1477" s="7" t="str">
        <f>IF(VLOOKUP(dynamic[productID],products[],7,FALSE)=1,"Discontinued","Current")</f>
        <v>Current</v>
      </c>
      <c r="L1477" s="9">
        <f>VLOOKUP(dynamic[productID],products[],IF(YEAR(dynamic[orderDate])=2022,8,IF(YEAR(dynamic[orderDate])=2023,9,IF(YEAR(dynamic[orderDate])=2024,10,NA))),FALSE)</f>
        <v>9.299025151</v>
      </c>
      <c r="M1477" s="9">
        <v>13.0</v>
      </c>
      <c r="N1477" s="25">
        <f>(dynamic[orderPrice]-dynamic[productCost])/dynamic[productCost]</f>
        <v>0.3979960037</v>
      </c>
      <c r="O1477" s="10">
        <v>20.0</v>
      </c>
      <c r="P1477" s="25">
        <v>0.0</v>
      </c>
      <c r="Q1477" s="9">
        <f>dynamic[orderPrice]*dynamic[orderQuantity]</f>
        <v>260</v>
      </c>
      <c r="R1477" s="9">
        <f>dynamic[orderTotal]*(1-dynamic[discountApllied])</f>
        <v>260</v>
      </c>
      <c r="S1477" s="9">
        <f>dynamic[revenue]-(dynamic[productCost]*dynamic[orderQuantity])</f>
        <v>74.01949697</v>
      </c>
      <c r="T1477" s="25">
        <f>IFERROR(dynamic[profit]/dynamic[revenue], 0)</f>
        <v>0.284690373</v>
      </c>
    </row>
    <row r="1478" ht="15.75" customHeight="1">
      <c r="A1478" s="6">
        <v>10813.0</v>
      </c>
      <c r="B1478" s="7" t="s">
        <v>44</v>
      </c>
      <c r="C1478" s="24" t="str">
        <f>VLOOKUP(dynamic[customerID],customers[],2,FALSE)</f>
        <v>Ricardo Adocicados</v>
      </c>
      <c r="D1478" s="24">
        <v>45296.0</v>
      </c>
      <c r="E1478" s="6">
        <f>IFERROR(__xludf.DUMMYFUNCTION("COUNTUNIQUEIFS($A$2:$A1478,$B$2:$B1478,B1478)"),8.0)</f>
        <v>8</v>
      </c>
      <c r="F1478" s="6">
        <f t="shared" si="1"/>
        <v>130</v>
      </c>
      <c r="G1478" s="6" t="str">
        <f>IF(MINIFS(dynamic[orderDate], dynamic[customerID], B1478) &gt;= DATE(2024,4,30)-120, 
     "New", 
     IF(MAXIFS(dynamic[orderCount], dynamic[customerID], B1478)&lt;=2, 
        IF((DATE(2024,4,30) - MAXIFS(dynamic[orderDate], dynamic[customerID], B1478)) &gt; 180, "Non-Returning", "Dormant"), 
        IF(AND(MAX(dynamic[sinceLastOrder]) &gt; 365, (DATE(2024,4,30) - MAXIFS(dynamic[orderDate], dynamic[customerID], B1478)) &gt; 180), 
           "Dormant", "Regular")))</f>
        <v>Regular</v>
      </c>
      <c r="H1478" s="6">
        <v>2.0</v>
      </c>
      <c r="I1478" s="9" t="str">
        <f>VLOOKUP(dynamic[productID],products[],2,FALSE)</f>
        <v>Chang</v>
      </c>
      <c r="J1478" s="9" t="str">
        <f>VLOOKUP(dynamic[productID],products[],12,FALSE)</f>
        <v>Beverages</v>
      </c>
      <c r="K1478" s="7" t="str">
        <f>IF(VLOOKUP(dynamic[productID],products[],7,FALSE)=1,"Discontinued","Current")</f>
        <v>Current</v>
      </c>
      <c r="L1478" s="9">
        <f>VLOOKUP(dynamic[productID],products[],IF(YEAR(dynamic[orderDate])=2022,8,IF(YEAR(dynamic[orderDate])=2023,9,IF(YEAR(dynamic[orderDate])=2024,10,NA))),FALSE)</f>
        <v>11.93843713</v>
      </c>
      <c r="M1478" s="9">
        <v>19.0</v>
      </c>
      <c r="N1478" s="25">
        <f>(dynamic[orderPrice]-dynamic[productCost])/dynamic[productCost]</f>
        <v>0.591498099</v>
      </c>
      <c r="O1478" s="10">
        <v>12.0</v>
      </c>
      <c r="P1478" s="25">
        <v>0.2</v>
      </c>
      <c r="Q1478" s="9">
        <f>dynamic[orderPrice]*dynamic[orderQuantity]</f>
        <v>228</v>
      </c>
      <c r="R1478" s="9">
        <f>dynamic[orderTotal]*(1-dynamic[discountApllied])</f>
        <v>182.4</v>
      </c>
      <c r="S1478" s="9">
        <f>dynamic[revenue]-(dynamic[productCost]*dynamic[orderQuantity])</f>
        <v>39.13875442</v>
      </c>
      <c r="T1478" s="25">
        <f>IFERROR(dynamic[profit]/dynamic[revenue], 0)</f>
        <v>0.2145765045</v>
      </c>
    </row>
    <row r="1479" ht="15.75" customHeight="1">
      <c r="A1479" s="6">
        <v>10813.0</v>
      </c>
      <c r="B1479" s="7" t="s">
        <v>44</v>
      </c>
      <c r="C1479" s="24" t="str">
        <f>VLOOKUP(dynamic[customerID],customers[],2,FALSE)</f>
        <v>Ricardo Adocicados</v>
      </c>
      <c r="D1479" s="24">
        <v>45296.0</v>
      </c>
      <c r="E1479" s="6">
        <f>IFERROR(__xludf.DUMMYFUNCTION("COUNTUNIQUEIFS($A$2:$A1479,$B$2:$B1479,B1479)"),8.0)</f>
        <v>8</v>
      </c>
      <c r="F1479" s="6">
        <f t="shared" si="1"/>
        <v>130</v>
      </c>
      <c r="G1479" s="6" t="str">
        <f>IF(MINIFS(dynamic[orderDate], dynamic[customerID], B1479) &gt;= DATE(2024,4,30)-120, 
     "New", 
     IF(MAXIFS(dynamic[orderCount], dynamic[customerID], B1479)&lt;=2, 
        IF((DATE(2024,4,30) - MAXIFS(dynamic[orderDate], dynamic[customerID], B1479)) &gt; 180, "Non-Returning", "Dormant"), 
        IF(AND(MAX(dynamic[sinceLastOrder]) &gt; 365, (DATE(2024,4,30) - MAXIFS(dynamic[orderDate], dynamic[customerID], B1479)) &gt; 180), 
           "Dormant", "Regular")))</f>
        <v>Regular</v>
      </c>
      <c r="H1479" s="6">
        <v>46.0</v>
      </c>
      <c r="I1479" s="9" t="str">
        <f>VLOOKUP(dynamic[productID],products[],2,FALSE)</f>
        <v>Spegesild</v>
      </c>
      <c r="J1479" s="9" t="str">
        <f>VLOOKUP(dynamic[productID],products[],12,FALSE)</f>
        <v>Seafood</v>
      </c>
      <c r="K1479" s="7" t="str">
        <f>IF(VLOOKUP(dynamic[productID],products[],7,FALSE)=1,"Discontinued","Current")</f>
        <v>Current</v>
      </c>
      <c r="L1479" s="9">
        <f>VLOOKUP(dynamic[productID],products[],IF(YEAR(dynamic[orderDate])=2022,8,IF(YEAR(dynamic[orderDate])=2023,9,IF(YEAR(dynamic[orderDate])=2024,10,NA))),FALSE)</f>
        <v>8.247981557</v>
      </c>
      <c r="M1479" s="9">
        <v>12.0</v>
      </c>
      <c r="N1479" s="25">
        <f>(dynamic[orderPrice]-dynamic[productCost])/dynamic[productCost]</f>
        <v>0.4549014105</v>
      </c>
      <c r="O1479" s="10">
        <v>35.0</v>
      </c>
      <c r="P1479" s="25">
        <v>0.0</v>
      </c>
      <c r="Q1479" s="9">
        <f>dynamic[orderPrice]*dynamic[orderQuantity]</f>
        <v>420</v>
      </c>
      <c r="R1479" s="9">
        <f>dynamic[orderTotal]*(1-dynamic[discountApllied])</f>
        <v>420</v>
      </c>
      <c r="S1479" s="9">
        <f>dynamic[revenue]-(dynamic[productCost]*dynamic[orderQuantity])</f>
        <v>131.3206455</v>
      </c>
      <c r="T1479" s="25">
        <f>IFERROR(dynamic[profit]/dynamic[revenue], 0)</f>
        <v>0.3126682036</v>
      </c>
    </row>
    <row r="1480" ht="15.75" customHeight="1">
      <c r="A1480" s="6">
        <v>10814.0</v>
      </c>
      <c r="B1480" s="7" t="s">
        <v>18</v>
      </c>
      <c r="C1480" s="24" t="str">
        <f>VLOOKUP(dynamic[customerID],customers[],2,FALSE)</f>
        <v>Victuailles en stock</v>
      </c>
      <c r="D1480" s="24">
        <v>45296.0</v>
      </c>
      <c r="E1480" s="6">
        <f>IFERROR(__xludf.DUMMYFUNCTION("COUNTUNIQUEIFS($A$2:$A1480,$B$2:$B1480,B1480)"),8.0)</f>
        <v>8</v>
      </c>
      <c r="F1480" s="6">
        <f t="shared" si="1"/>
        <v>5</v>
      </c>
      <c r="G1480" s="6" t="str">
        <f>IF(MINIFS(dynamic[orderDate], dynamic[customerID], B1480) &gt;= DATE(2024,4,30)-120, 
     "New", 
     IF(MAXIFS(dynamic[orderCount], dynamic[customerID], B1480)&lt;=2, 
        IF((DATE(2024,4,30) - MAXIFS(dynamic[orderDate], dynamic[customerID], B1480)) &gt; 180, "Non-Returning", "Dormant"), 
        IF(AND(MAX(dynamic[sinceLastOrder]) &gt; 365, (DATE(2024,4,30) - MAXIFS(dynamic[orderDate], dynamic[customerID], B1480)) &gt; 180), 
           "Dormant", "Regular")))</f>
        <v>Regular</v>
      </c>
      <c r="H1480" s="6">
        <v>41.0</v>
      </c>
      <c r="I1480" s="9" t="str">
        <f>VLOOKUP(dynamic[productID],products[],2,FALSE)</f>
        <v>Jack's New England Clam Chowder</v>
      </c>
      <c r="J1480" s="9" t="str">
        <f>VLOOKUP(dynamic[productID],products[],12,FALSE)</f>
        <v>Seafood</v>
      </c>
      <c r="K1480" s="7" t="str">
        <f>IF(VLOOKUP(dynamic[productID],products[],7,FALSE)=1,"Discontinued","Current")</f>
        <v>Current</v>
      </c>
      <c r="L1480" s="9">
        <f>VLOOKUP(dynamic[productID],products[],IF(YEAR(dynamic[orderDate])=2022,8,IF(YEAR(dynamic[orderDate])=2023,9,IF(YEAR(dynamic[orderDate])=2024,10,NA))),FALSE)</f>
        <v>6.611787882</v>
      </c>
      <c r="M1480" s="9">
        <v>9.65</v>
      </c>
      <c r="N1480" s="25">
        <f>(dynamic[orderPrice]-dynamic[productCost])/dynamic[productCost]</f>
        <v>0.459514457</v>
      </c>
      <c r="O1480" s="10">
        <v>20.0</v>
      </c>
      <c r="P1480" s="25">
        <v>0.0</v>
      </c>
      <c r="Q1480" s="9">
        <f>dynamic[orderPrice]*dynamic[orderQuantity]</f>
        <v>193</v>
      </c>
      <c r="R1480" s="9">
        <f>dynamic[orderTotal]*(1-dynamic[discountApllied])</f>
        <v>193</v>
      </c>
      <c r="S1480" s="9">
        <f>dynamic[revenue]-(dynamic[productCost]*dynamic[orderQuantity])</f>
        <v>60.76424236</v>
      </c>
      <c r="T1480" s="25">
        <f>IFERROR(dynamic[profit]/dynamic[revenue], 0)</f>
        <v>0.314840634</v>
      </c>
    </row>
    <row r="1481" ht="15.75" customHeight="1">
      <c r="A1481" s="6">
        <v>10814.0</v>
      </c>
      <c r="B1481" s="7" t="s">
        <v>18</v>
      </c>
      <c r="C1481" s="24" t="str">
        <f>VLOOKUP(dynamic[customerID],customers[],2,FALSE)</f>
        <v>Victuailles en stock</v>
      </c>
      <c r="D1481" s="24">
        <v>45296.0</v>
      </c>
      <c r="E1481" s="6">
        <f>IFERROR(__xludf.DUMMYFUNCTION("COUNTUNIQUEIFS($A$2:$A1481,$B$2:$B1481,B1481)"),8.0)</f>
        <v>8</v>
      </c>
      <c r="F1481" s="6">
        <f t="shared" si="1"/>
        <v>5</v>
      </c>
      <c r="G1481" s="6" t="str">
        <f>IF(MINIFS(dynamic[orderDate], dynamic[customerID], B1481) &gt;= DATE(2024,4,30)-120, 
     "New", 
     IF(MAXIFS(dynamic[orderCount], dynamic[customerID], B1481)&lt;=2, 
        IF((DATE(2024,4,30) - MAXIFS(dynamic[orderDate], dynamic[customerID], B1481)) &gt; 180, "Non-Returning", "Dormant"), 
        IF(AND(MAX(dynamic[sinceLastOrder]) &gt; 365, (DATE(2024,4,30) - MAXIFS(dynamic[orderDate], dynamic[customerID], B1481)) &gt; 180), 
           "Dormant", "Regular")))</f>
        <v>Regular</v>
      </c>
      <c r="H1481" s="6">
        <v>43.0</v>
      </c>
      <c r="I1481" s="9" t="str">
        <f>VLOOKUP(dynamic[productID],products[],2,FALSE)</f>
        <v>Ipoh Coffee</v>
      </c>
      <c r="J1481" s="9" t="str">
        <f>VLOOKUP(dynamic[productID],products[],12,FALSE)</f>
        <v>Beverages</v>
      </c>
      <c r="K1481" s="7" t="str">
        <f>IF(VLOOKUP(dynamic[productID],products[],7,FALSE)=1,"Discontinued","Current")</f>
        <v>Current</v>
      </c>
      <c r="L1481" s="9">
        <f>VLOOKUP(dynamic[productID],products[],IF(YEAR(dynamic[orderDate])=2022,8,IF(YEAR(dynamic[orderDate])=2023,9,IF(YEAR(dynamic[orderDate])=2024,10,NA))),FALSE)</f>
        <v>30.97984738</v>
      </c>
      <c r="M1481" s="9">
        <v>46.0</v>
      </c>
      <c r="N1481" s="25">
        <f>(dynamic[orderPrice]-dynamic[productCost])/dynamic[productCost]</f>
        <v>0.484836237</v>
      </c>
      <c r="O1481" s="10">
        <v>20.0</v>
      </c>
      <c r="P1481" s="25">
        <v>0.15</v>
      </c>
      <c r="Q1481" s="9">
        <f>dynamic[orderPrice]*dynamic[orderQuantity]</f>
        <v>920</v>
      </c>
      <c r="R1481" s="9">
        <f>dynamic[orderTotal]*(1-dynamic[discountApllied])</f>
        <v>782</v>
      </c>
      <c r="S1481" s="9">
        <f>dynamic[revenue]-(dynamic[productCost]*dynamic[orderQuantity])</f>
        <v>162.4030525</v>
      </c>
      <c r="T1481" s="25">
        <f>IFERROR(dynamic[profit]/dynamic[revenue], 0)</f>
        <v>0.2076765377</v>
      </c>
    </row>
    <row r="1482" ht="15.75" customHeight="1">
      <c r="A1482" s="6">
        <v>10814.0</v>
      </c>
      <c r="B1482" s="7" t="s">
        <v>18</v>
      </c>
      <c r="C1482" s="24" t="str">
        <f>VLOOKUP(dynamic[customerID],customers[],2,FALSE)</f>
        <v>Victuailles en stock</v>
      </c>
      <c r="D1482" s="24">
        <v>45296.0</v>
      </c>
      <c r="E1482" s="6">
        <f>IFERROR(__xludf.DUMMYFUNCTION("COUNTUNIQUEIFS($A$2:$A1482,$B$2:$B1482,B1482)"),8.0)</f>
        <v>8</v>
      </c>
      <c r="F1482" s="6">
        <f t="shared" si="1"/>
        <v>5</v>
      </c>
      <c r="G1482" s="6" t="str">
        <f>IF(MINIFS(dynamic[orderDate], dynamic[customerID], B1482) &gt;= DATE(2024,4,30)-120, 
     "New", 
     IF(MAXIFS(dynamic[orderCount], dynamic[customerID], B1482)&lt;=2, 
        IF((DATE(2024,4,30) - MAXIFS(dynamic[orderDate], dynamic[customerID], B1482)) &gt; 180, "Non-Returning", "Dormant"), 
        IF(AND(MAX(dynamic[sinceLastOrder]) &gt; 365, (DATE(2024,4,30) - MAXIFS(dynamic[orderDate], dynamic[customerID], B1482)) &gt; 180), 
           "Dormant", "Regular")))</f>
        <v>Regular</v>
      </c>
      <c r="H1482" s="6">
        <v>48.0</v>
      </c>
      <c r="I1482" s="9" t="str">
        <f>VLOOKUP(dynamic[productID],products[],2,FALSE)</f>
        <v>Chocolade</v>
      </c>
      <c r="J1482" s="9" t="str">
        <f>VLOOKUP(dynamic[productID],products[],12,FALSE)</f>
        <v>Confections</v>
      </c>
      <c r="K1482" s="7" t="str">
        <f>IF(VLOOKUP(dynamic[productID],products[],7,FALSE)=1,"Discontinued","Current")</f>
        <v>Current</v>
      </c>
      <c r="L1482" s="9">
        <f>VLOOKUP(dynamic[productID],products[],IF(YEAR(dynamic[orderDate])=2022,8,IF(YEAR(dynamic[orderDate])=2023,9,IF(YEAR(dynamic[orderDate])=2024,10,NA))),FALSE)</f>
        <v>8.207115976</v>
      </c>
      <c r="M1482" s="9">
        <v>12.75</v>
      </c>
      <c r="N1482" s="25">
        <f>(dynamic[orderPrice]-dynamic[productCost])/dynamic[productCost]</f>
        <v>0.5535298924</v>
      </c>
      <c r="O1482" s="10">
        <v>8.0</v>
      </c>
      <c r="P1482" s="25">
        <v>0.15</v>
      </c>
      <c r="Q1482" s="9">
        <f>dynamic[orderPrice]*dynamic[orderQuantity]</f>
        <v>102</v>
      </c>
      <c r="R1482" s="9">
        <f>dynamic[orderTotal]*(1-dynamic[discountApllied])</f>
        <v>86.7</v>
      </c>
      <c r="S1482" s="9">
        <f>dynamic[revenue]-(dynamic[productCost]*dynamic[orderQuantity])</f>
        <v>21.04307219</v>
      </c>
      <c r="T1482" s="25">
        <f>IFERROR(dynamic[profit]/dynamic[revenue], 0)</f>
        <v>0.2427113286</v>
      </c>
    </row>
    <row r="1483" ht="15.75" customHeight="1">
      <c r="A1483" s="6">
        <v>10814.0</v>
      </c>
      <c r="B1483" s="7" t="s">
        <v>18</v>
      </c>
      <c r="C1483" s="24" t="str">
        <f>VLOOKUP(dynamic[customerID],customers[],2,FALSE)</f>
        <v>Victuailles en stock</v>
      </c>
      <c r="D1483" s="24">
        <v>45296.0</v>
      </c>
      <c r="E1483" s="6">
        <f>IFERROR(__xludf.DUMMYFUNCTION("COUNTUNIQUEIFS($A$2:$A1483,$B$2:$B1483,B1483)"),8.0)</f>
        <v>8</v>
      </c>
      <c r="F1483" s="6">
        <f t="shared" si="1"/>
        <v>5</v>
      </c>
      <c r="G1483" s="6" t="str">
        <f>IF(MINIFS(dynamic[orderDate], dynamic[customerID], B1483) &gt;= DATE(2024,4,30)-120, 
     "New", 
     IF(MAXIFS(dynamic[orderCount], dynamic[customerID], B1483)&lt;=2, 
        IF((DATE(2024,4,30) - MAXIFS(dynamic[orderDate], dynamic[customerID], B1483)) &gt; 180, "Non-Returning", "Dormant"), 
        IF(AND(MAX(dynamic[sinceLastOrder]) &gt; 365, (DATE(2024,4,30) - MAXIFS(dynamic[orderDate], dynamic[customerID], B1483)) &gt; 180), 
           "Dormant", "Regular")))</f>
        <v>Regular</v>
      </c>
      <c r="H1483" s="6">
        <v>61.0</v>
      </c>
      <c r="I1483" s="9" t="str">
        <f>VLOOKUP(dynamic[productID],products[],2,FALSE)</f>
        <v>Sirop d'érable</v>
      </c>
      <c r="J1483" s="9" t="str">
        <f>VLOOKUP(dynamic[productID],products[],12,FALSE)</f>
        <v>Condiments</v>
      </c>
      <c r="K1483" s="7" t="str">
        <f>IF(VLOOKUP(dynamic[productID],products[],7,FALSE)=1,"Discontinued","Current")</f>
        <v>Current</v>
      </c>
      <c r="L1483" s="9">
        <f>VLOOKUP(dynamic[productID],products[],IF(YEAR(dynamic[orderDate])=2022,8,IF(YEAR(dynamic[orderDate])=2023,9,IF(YEAR(dynamic[orderDate])=2024,10,NA))),FALSE)</f>
        <v>18.74487379</v>
      </c>
      <c r="M1483" s="9">
        <v>28.5</v>
      </c>
      <c r="N1483" s="25">
        <f>(dynamic[orderPrice]-dynamic[productCost])/dynamic[productCost]</f>
        <v>0.5204156786</v>
      </c>
      <c r="O1483" s="10">
        <v>30.0</v>
      </c>
      <c r="P1483" s="25">
        <v>0.15</v>
      </c>
      <c r="Q1483" s="9">
        <f>dynamic[orderPrice]*dynamic[orderQuantity]</f>
        <v>855</v>
      </c>
      <c r="R1483" s="9">
        <f>dynamic[orderTotal]*(1-dynamic[discountApllied])</f>
        <v>726.75</v>
      </c>
      <c r="S1483" s="9">
        <f>dynamic[revenue]-(dynamic[productCost]*dynamic[orderQuantity])</f>
        <v>164.4037864</v>
      </c>
      <c r="T1483" s="25">
        <f>IFERROR(dynamic[profit]/dynamic[revenue], 0)</f>
        <v>0.2262178003</v>
      </c>
    </row>
    <row r="1484" ht="15.75" customHeight="1">
      <c r="A1484" s="6">
        <v>10815.0</v>
      </c>
      <c r="B1484" s="7" t="s">
        <v>60</v>
      </c>
      <c r="C1484" s="24" t="str">
        <f>VLOOKUP(dynamic[customerID],customers[],2,FALSE)</f>
        <v>Save-a-lot Markets</v>
      </c>
      <c r="D1484" s="24">
        <v>45296.0</v>
      </c>
      <c r="E1484" s="6">
        <f>IFERROR(__xludf.DUMMYFUNCTION("COUNTUNIQUEIFS($A$2:$A1484,$B$2:$B1484,B1484)"),21.0)</f>
        <v>21</v>
      </c>
      <c r="F1484" s="6">
        <f t="shared" si="1"/>
        <v>39</v>
      </c>
      <c r="G1484" s="6" t="str">
        <f>IF(MINIFS(dynamic[orderDate], dynamic[customerID], B1484) &gt;= DATE(2024,4,30)-120, 
     "New", 
     IF(MAXIFS(dynamic[orderCount], dynamic[customerID], B1484)&lt;=2, 
        IF((DATE(2024,4,30) - MAXIFS(dynamic[orderDate], dynamic[customerID], B1484)) &gt; 180, "Non-Returning", "Dormant"), 
        IF(AND(MAX(dynamic[sinceLastOrder]) &gt; 365, (DATE(2024,4,30) - MAXIFS(dynamic[orderDate], dynamic[customerID], B1484)) &gt; 180), 
           "Dormant", "Regular")))</f>
        <v>Regular</v>
      </c>
      <c r="H1484" s="6">
        <v>33.0</v>
      </c>
      <c r="I1484" s="9" t="str">
        <f>VLOOKUP(dynamic[productID],products[],2,FALSE)</f>
        <v>Geitost</v>
      </c>
      <c r="J1484" s="9" t="str">
        <f>VLOOKUP(dynamic[productID],products[],12,FALSE)</f>
        <v>Dairy Products</v>
      </c>
      <c r="K1484" s="7" t="str">
        <f>IF(VLOOKUP(dynamic[productID],products[],7,FALSE)=1,"Discontinued","Current")</f>
        <v>Current</v>
      </c>
      <c r="L1484" s="9">
        <f>VLOOKUP(dynamic[productID],products[],IF(YEAR(dynamic[orderDate])=2022,8,IF(YEAR(dynamic[orderDate])=2023,9,IF(YEAR(dynamic[orderDate])=2024,10,NA))),FALSE)</f>
        <v>1.670163437</v>
      </c>
      <c r="M1484" s="9">
        <v>2.5</v>
      </c>
      <c r="N1484" s="25">
        <f>(dynamic[orderPrice]-dynamic[productCost])/dynamic[productCost]</f>
        <v>0.4968594957</v>
      </c>
      <c r="O1484" s="10">
        <v>16.0</v>
      </c>
      <c r="P1484" s="25">
        <v>0.0</v>
      </c>
      <c r="Q1484" s="9">
        <f>dynamic[orderPrice]*dynamic[orderQuantity]</f>
        <v>40</v>
      </c>
      <c r="R1484" s="9">
        <f>dynamic[orderTotal]*(1-dynamic[discountApllied])</f>
        <v>40</v>
      </c>
      <c r="S1484" s="9">
        <f>dynamic[revenue]-(dynamic[productCost]*dynamic[orderQuantity])</f>
        <v>13.27738501</v>
      </c>
      <c r="T1484" s="25">
        <f>IFERROR(dynamic[profit]/dynamic[revenue], 0)</f>
        <v>0.3319346252</v>
      </c>
    </row>
    <row r="1485" ht="15.75" customHeight="1">
      <c r="A1485" s="6">
        <v>10816.0</v>
      </c>
      <c r="B1485" s="7" t="s">
        <v>94</v>
      </c>
      <c r="C1485" s="24" t="str">
        <f>VLOOKUP(dynamic[customerID],customers[],2,FALSE)</f>
        <v>Great Lakes Food Market</v>
      </c>
      <c r="D1485" s="24">
        <v>45297.0</v>
      </c>
      <c r="E1485" s="6">
        <f>IFERROR(__xludf.DUMMYFUNCTION("COUNTUNIQUEIFS($A$2:$A1485,$B$2:$B1485,B1485)"),7.0)</f>
        <v>7</v>
      </c>
      <c r="F1485" s="6">
        <f t="shared" si="1"/>
        <v>103</v>
      </c>
      <c r="G1485" s="6" t="str">
        <f>IF(MINIFS(dynamic[orderDate], dynamic[customerID], B1485) &gt;= DATE(2024,4,30)-120, 
     "New", 
     IF(MAXIFS(dynamic[orderCount], dynamic[customerID], B1485)&lt;=2, 
        IF((DATE(2024,4,30) - MAXIFS(dynamic[orderDate], dynamic[customerID], B1485)) &gt; 180, "Non-Returning", "Dormant"), 
        IF(AND(MAX(dynamic[sinceLastOrder]) &gt; 365, (DATE(2024,4,30) - MAXIFS(dynamic[orderDate], dynamic[customerID], B1485)) &gt; 180), 
           "Dormant", "Regular")))</f>
        <v>Regular</v>
      </c>
      <c r="H1485" s="6">
        <v>38.0</v>
      </c>
      <c r="I1485" s="9" t="str">
        <f>VLOOKUP(dynamic[productID],products[],2,FALSE)</f>
        <v>Côte de Blaye</v>
      </c>
      <c r="J1485" s="9" t="str">
        <f>VLOOKUP(dynamic[productID],products[],12,FALSE)</f>
        <v>Beverages</v>
      </c>
      <c r="K1485" s="7" t="str">
        <f>IF(VLOOKUP(dynamic[productID],products[],7,FALSE)=1,"Discontinued","Current")</f>
        <v>Current</v>
      </c>
      <c r="L1485" s="9">
        <f>VLOOKUP(dynamic[productID],products[],IF(YEAR(dynamic[orderDate])=2022,8,IF(YEAR(dynamic[orderDate])=2023,9,IF(YEAR(dynamic[orderDate])=2024,10,NA))),FALSE)</f>
        <v>192.1798413</v>
      </c>
      <c r="M1485" s="9">
        <v>263.5</v>
      </c>
      <c r="N1485" s="25">
        <f>(dynamic[orderPrice]-dynamic[productCost])/dynamic[productCost]</f>
        <v>0.3711115493</v>
      </c>
      <c r="O1485" s="10">
        <v>30.0</v>
      </c>
      <c r="P1485" s="25">
        <v>0.05</v>
      </c>
      <c r="Q1485" s="9">
        <f>dynamic[orderPrice]*dynamic[orderQuantity]</f>
        <v>7905</v>
      </c>
      <c r="R1485" s="9">
        <f>dynamic[orderTotal]*(1-dynamic[discountApllied])</f>
        <v>7509.75</v>
      </c>
      <c r="S1485" s="9">
        <f>dynamic[revenue]-(dynamic[productCost]*dynamic[orderQuantity])</f>
        <v>1744.35476</v>
      </c>
      <c r="T1485" s="25">
        <f>IFERROR(dynamic[profit]/dynamic[revenue], 0)</f>
        <v>0.2322786724</v>
      </c>
    </row>
    <row r="1486" ht="15.75" customHeight="1">
      <c r="A1486" s="6">
        <v>10816.0</v>
      </c>
      <c r="B1486" s="7" t="s">
        <v>94</v>
      </c>
      <c r="C1486" s="24" t="str">
        <f>VLOOKUP(dynamic[customerID],customers[],2,FALSE)</f>
        <v>Great Lakes Food Market</v>
      </c>
      <c r="D1486" s="24">
        <v>45297.0</v>
      </c>
      <c r="E1486" s="6">
        <f>IFERROR(__xludf.DUMMYFUNCTION("COUNTUNIQUEIFS($A$2:$A1486,$B$2:$B1486,B1486)"),7.0)</f>
        <v>7</v>
      </c>
      <c r="F1486" s="6">
        <f t="shared" si="1"/>
        <v>103</v>
      </c>
      <c r="G1486" s="6" t="str">
        <f>IF(MINIFS(dynamic[orderDate], dynamic[customerID], B1486) &gt;= DATE(2024,4,30)-120, 
     "New", 
     IF(MAXIFS(dynamic[orderCount], dynamic[customerID], B1486)&lt;=2, 
        IF((DATE(2024,4,30) - MAXIFS(dynamic[orderDate], dynamic[customerID], B1486)) &gt; 180, "Non-Returning", "Dormant"), 
        IF(AND(MAX(dynamic[sinceLastOrder]) &gt; 365, (DATE(2024,4,30) - MAXIFS(dynamic[orderDate], dynamic[customerID], B1486)) &gt; 180), 
           "Dormant", "Regular")))</f>
        <v>Regular</v>
      </c>
      <c r="H1486" s="6">
        <v>62.0</v>
      </c>
      <c r="I1486" s="9" t="str">
        <f>VLOOKUP(dynamic[productID],products[],2,FALSE)</f>
        <v>Tarte au sucre</v>
      </c>
      <c r="J1486" s="9" t="str">
        <f>VLOOKUP(dynamic[productID],products[],12,FALSE)</f>
        <v>Confections</v>
      </c>
      <c r="K1486" s="7" t="str">
        <f>IF(VLOOKUP(dynamic[productID],products[],7,FALSE)=1,"Discontinued","Current")</f>
        <v>Current</v>
      </c>
      <c r="L1486" s="9">
        <f>VLOOKUP(dynamic[productID],products[],IF(YEAR(dynamic[orderDate])=2022,8,IF(YEAR(dynamic[orderDate])=2023,9,IF(YEAR(dynamic[orderDate])=2024,10,NA))),FALSE)</f>
        <v>34.88145014</v>
      </c>
      <c r="M1486" s="9">
        <v>49.3</v>
      </c>
      <c r="N1486" s="25">
        <f>(dynamic[orderPrice]-dynamic[productCost])/dynamic[productCost]</f>
        <v>0.4133586705</v>
      </c>
      <c r="O1486" s="10">
        <v>20.0</v>
      </c>
      <c r="P1486" s="25">
        <v>0.05</v>
      </c>
      <c r="Q1486" s="9">
        <f>dynamic[orderPrice]*dynamic[orderQuantity]</f>
        <v>986</v>
      </c>
      <c r="R1486" s="9">
        <f>dynamic[orderTotal]*(1-dynamic[discountApllied])</f>
        <v>936.7</v>
      </c>
      <c r="S1486" s="9">
        <f>dynamic[revenue]-(dynamic[productCost]*dynamic[orderQuantity])</f>
        <v>239.0709971</v>
      </c>
      <c r="T1486" s="25">
        <f>IFERROR(dynamic[profit]/dynamic[revenue], 0)</f>
        <v>0.2552268572</v>
      </c>
    </row>
    <row r="1487" ht="15.75" customHeight="1">
      <c r="A1487" s="6">
        <v>10817.0</v>
      </c>
      <c r="B1487" s="7" t="s">
        <v>59</v>
      </c>
      <c r="C1487" s="24" t="str">
        <f>VLOOKUP(dynamic[customerID],customers[],2,FALSE)</f>
        <v>Königlich Essen</v>
      </c>
      <c r="D1487" s="24">
        <v>45297.0</v>
      </c>
      <c r="E1487" s="6">
        <f>IFERROR(__xludf.DUMMYFUNCTION("COUNTUNIQUEIFS($A$2:$A1487,$B$2:$B1487,B1487)"),11.0)</f>
        <v>11</v>
      </c>
      <c r="F1487" s="6">
        <f t="shared" si="1"/>
        <v>11</v>
      </c>
      <c r="G1487" s="6" t="str">
        <f>IF(MINIFS(dynamic[orderDate], dynamic[customerID], B1487) &gt;= DATE(2024,4,30)-120, 
     "New", 
     IF(MAXIFS(dynamic[orderCount], dynamic[customerID], B1487)&lt;=2, 
        IF((DATE(2024,4,30) - MAXIFS(dynamic[orderDate], dynamic[customerID], B1487)) &gt; 180, "Non-Returning", "Dormant"), 
        IF(AND(MAX(dynamic[sinceLastOrder]) &gt; 365, (DATE(2024,4,30) - MAXIFS(dynamic[orderDate], dynamic[customerID], B1487)) &gt; 180), 
           "Dormant", "Regular")))</f>
        <v>Regular</v>
      </c>
      <c r="H1487" s="6">
        <v>26.0</v>
      </c>
      <c r="I1487" s="9" t="str">
        <f>VLOOKUP(dynamic[productID],products[],2,FALSE)</f>
        <v>NuNuCa Nuß-Nougat-Creme</v>
      </c>
      <c r="J1487" s="9" t="str">
        <f>VLOOKUP(dynamic[productID],products[],12,FALSE)</f>
        <v>Confections</v>
      </c>
      <c r="K1487" s="7" t="str">
        <f>IF(VLOOKUP(dynamic[productID],products[],7,FALSE)=1,"Discontinued","Current")</f>
        <v>Current</v>
      </c>
      <c r="L1487" s="9">
        <f>VLOOKUP(dynamic[productID],products[],IF(YEAR(dynamic[orderDate])=2022,8,IF(YEAR(dynamic[orderDate])=2023,9,IF(YEAR(dynamic[orderDate])=2024,10,NA))),FALSE)</f>
        <v>22.79977195</v>
      </c>
      <c r="M1487" s="9">
        <v>31.23</v>
      </c>
      <c r="N1487" s="25">
        <f>(dynamic[orderPrice]-dynamic[productCost])/dynamic[productCost]</f>
        <v>0.3697505427</v>
      </c>
      <c r="O1487" s="10">
        <v>40.0</v>
      </c>
      <c r="P1487" s="25">
        <v>0.15</v>
      </c>
      <c r="Q1487" s="9">
        <f>dynamic[orderPrice]*dynamic[orderQuantity]</f>
        <v>1249.2</v>
      </c>
      <c r="R1487" s="9">
        <f>dynamic[orderTotal]*(1-dynamic[discountApllied])</f>
        <v>1061.82</v>
      </c>
      <c r="S1487" s="9">
        <f>dynamic[revenue]-(dynamic[productCost]*dynamic[orderQuantity])</f>
        <v>149.8291221</v>
      </c>
      <c r="T1487" s="25">
        <f>IFERROR(dynamic[profit]/dynamic[revenue], 0)</f>
        <v>0.1411059521</v>
      </c>
    </row>
    <row r="1488" ht="15.75" customHeight="1">
      <c r="A1488" s="6">
        <v>10817.0</v>
      </c>
      <c r="B1488" s="7" t="s">
        <v>59</v>
      </c>
      <c r="C1488" s="24" t="str">
        <f>VLOOKUP(dynamic[customerID],customers[],2,FALSE)</f>
        <v>Königlich Essen</v>
      </c>
      <c r="D1488" s="24">
        <v>45297.0</v>
      </c>
      <c r="E1488" s="6">
        <f>IFERROR(__xludf.DUMMYFUNCTION("COUNTUNIQUEIFS($A$2:$A1488,$B$2:$B1488,B1488)"),11.0)</f>
        <v>11</v>
      </c>
      <c r="F1488" s="6">
        <f t="shared" si="1"/>
        <v>11</v>
      </c>
      <c r="G1488" s="6" t="str">
        <f>IF(MINIFS(dynamic[orderDate], dynamic[customerID], B1488) &gt;= DATE(2024,4,30)-120, 
     "New", 
     IF(MAXIFS(dynamic[orderCount], dynamic[customerID], B1488)&lt;=2, 
        IF((DATE(2024,4,30) - MAXIFS(dynamic[orderDate], dynamic[customerID], B1488)) &gt; 180, "Non-Returning", "Dormant"), 
        IF(AND(MAX(dynamic[sinceLastOrder]) &gt; 365, (DATE(2024,4,30) - MAXIFS(dynamic[orderDate], dynamic[customerID], B1488)) &gt; 180), 
           "Dormant", "Regular")))</f>
        <v>Regular</v>
      </c>
      <c r="H1488" s="6">
        <v>38.0</v>
      </c>
      <c r="I1488" s="9" t="str">
        <f>VLOOKUP(dynamic[productID],products[],2,FALSE)</f>
        <v>Côte de Blaye</v>
      </c>
      <c r="J1488" s="9" t="str">
        <f>VLOOKUP(dynamic[productID],products[],12,FALSE)</f>
        <v>Beverages</v>
      </c>
      <c r="K1488" s="7" t="str">
        <f>IF(VLOOKUP(dynamic[productID],products[],7,FALSE)=1,"Discontinued","Current")</f>
        <v>Current</v>
      </c>
      <c r="L1488" s="9">
        <f>VLOOKUP(dynamic[productID],products[],IF(YEAR(dynamic[orderDate])=2022,8,IF(YEAR(dynamic[orderDate])=2023,9,IF(YEAR(dynamic[orderDate])=2024,10,NA))),FALSE)</f>
        <v>192.1798413</v>
      </c>
      <c r="M1488" s="9">
        <v>263.5</v>
      </c>
      <c r="N1488" s="25">
        <f>(dynamic[orderPrice]-dynamic[productCost])/dynamic[productCost]</f>
        <v>0.3711115493</v>
      </c>
      <c r="O1488" s="10">
        <v>30.0</v>
      </c>
      <c r="P1488" s="25">
        <v>0.0</v>
      </c>
      <c r="Q1488" s="9">
        <f>dynamic[orderPrice]*dynamic[orderQuantity]</f>
        <v>7905</v>
      </c>
      <c r="R1488" s="9">
        <f>dynamic[orderTotal]*(1-dynamic[discountApllied])</f>
        <v>7905</v>
      </c>
      <c r="S1488" s="9">
        <f>dynamic[revenue]-(dynamic[productCost]*dynamic[orderQuantity])</f>
        <v>2139.60476</v>
      </c>
      <c r="T1488" s="25">
        <f>IFERROR(dynamic[profit]/dynamic[revenue], 0)</f>
        <v>0.2706647388</v>
      </c>
    </row>
    <row r="1489" ht="15.75" customHeight="1">
      <c r="A1489" s="6">
        <v>10817.0</v>
      </c>
      <c r="B1489" s="7" t="s">
        <v>59</v>
      </c>
      <c r="C1489" s="24" t="str">
        <f>VLOOKUP(dynamic[customerID],customers[],2,FALSE)</f>
        <v>Königlich Essen</v>
      </c>
      <c r="D1489" s="24">
        <v>45297.0</v>
      </c>
      <c r="E1489" s="6">
        <f>IFERROR(__xludf.DUMMYFUNCTION("COUNTUNIQUEIFS($A$2:$A1489,$B$2:$B1489,B1489)"),11.0)</f>
        <v>11</v>
      </c>
      <c r="F1489" s="6">
        <f t="shared" si="1"/>
        <v>11</v>
      </c>
      <c r="G1489" s="6" t="str">
        <f>IF(MINIFS(dynamic[orderDate], dynamic[customerID], B1489) &gt;= DATE(2024,4,30)-120, 
     "New", 
     IF(MAXIFS(dynamic[orderCount], dynamic[customerID], B1489)&lt;=2, 
        IF((DATE(2024,4,30) - MAXIFS(dynamic[orderDate], dynamic[customerID], B1489)) &gt; 180, "Non-Returning", "Dormant"), 
        IF(AND(MAX(dynamic[sinceLastOrder]) &gt; 365, (DATE(2024,4,30) - MAXIFS(dynamic[orderDate], dynamic[customerID], B1489)) &gt; 180), 
           "Dormant", "Regular")))</f>
        <v>Regular</v>
      </c>
      <c r="H1489" s="6">
        <v>40.0</v>
      </c>
      <c r="I1489" s="9" t="str">
        <f>VLOOKUP(dynamic[productID],products[],2,FALSE)</f>
        <v>Boston Crab Meat</v>
      </c>
      <c r="J1489" s="9" t="str">
        <f>VLOOKUP(dynamic[productID],products[],12,FALSE)</f>
        <v>Seafood</v>
      </c>
      <c r="K1489" s="7" t="str">
        <f>IF(VLOOKUP(dynamic[productID],products[],7,FALSE)=1,"Discontinued","Current")</f>
        <v>Current</v>
      </c>
      <c r="L1489" s="9">
        <f>VLOOKUP(dynamic[productID],products[],IF(YEAR(dynamic[orderDate])=2022,8,IF(YEAR(dynamic[orderDate])=2023,9,IF(YEAR(dynamic[orderDate])=2024,10,NA))),FALSE)</f>
        <v>12.44307</v>
      </c>
      <c r="M1489" s="9">
        <v>18.4</v>
      </c>
      <c r="N1489" s="25">
        <f>(dynamic[orderPrice]-dynamic[productCost])/dynamic[productCost]</f>
        <v>0.4787347499</v>
      </c>
      <c r="O1489" s="10">
        <v>60.0</v>
      </c>
      <c r="P1489" s="25">
        <v>0.15</v>
      </c>
      <c r="Q1489" s="9">
        <f>dynamic[orderPrice]*dynamic[orderQuantity]</f>
        <v>1104</v>
      </c>
      <c r="R1489" s="9">
        <f>dynamic[orderTotal]*(1-dynamic[discountApllied])</f>
        <v>938.4</v>
      </c>
      <c r="S1489" s="9">
        <f>dynamic[revenue]-(dynamic[productCost]*dynamic[orderQuantity])</f>
        <v>191.8158002</v>
      </c>
      <c r="T1489" s="25">
        <f>IFERROR(dynamic[profit]/dynamic[revenue], 0)</f>
        <v>0.2044072892</v>
      </c>
    </row>
    <row r="1490" ht="15.75" customHeight="1">
      <c r="A1490" s="6">
        <v>10817.0</v>
      </c>
      <c r="B1490" s="7" t="s">
        <v>59</v>
      </c>
      <c r="C1490" s="24" t="str">
        <f>VLOOKUP(dynamic[customerID],customers[],2,FALSE)</f>
        <v>Königlich Essen</v>
      </c>
      <c r="D1490" s="24">
        <v>45297.0</v>
      </c>
      <c r="E1490" s="6">
        <f>IFERROR(__xludf.DUMMYFUNCTION("COUNTUNIQUEIFS($A$2:$A1490,$B$2:$B1490,B1490)"),11.0)</f>
        <v>11</v>
      </c>
      <c r="F1490" s="6">
        <f t="shared" si="1"/>
        <v>11</v>
      </c>
      <c r="G1490" s="6" t="str">
        <f>IF(MINIFS(dynamic[orderDate], dynamic[customerID], B1490) &gt;= DATE(2024,4,30)-120, 
     "New", 
     IF(MAXIFS(dynamic[orderCount], dynamic[customerID], B1490)&lt;=2, 
        IF((DATE(2024,4,30) - MAXIFS(dynamic[orderDate], dynamic[customerID], B1490)) &gt; 180, "Non-Returning", "Dormant"), 
        IF(AND(MAX(dynamic[sinceLastOrder]) &gt; 365, (DATE(2024,4,30) - MAXIFS(dynamic[orderDate], dynamic[customerID], B1490)) &gt; 180), 
           "Dormant", "Regular")))</f>
        <v>Regular</v>
      </c>
      <c r="H1490" s="6">
        <v>62.0</v>
      </c>
      <c r="I1490" s="9" t="str">
        <f>VLOOKUP(dynamic[productID],products[],2,FALSE)</f>
        <v>Tarte au sucre</v>
      </c>
      <c r="J1490" s="9" t="str">
        <f>VLOOKUP(dynamic[productID],products[],12,FALSE)</f>
        <v>Confections</v>
      </c>
      <c r="K1490" s="7" t="str">
        <f>IF(VLOOKUP(dynamic[productID],products[],7,FALSE)=1,"Discontinued","Current")</f>
        <v>Current</v>
      </c>
      <c r="L1490" s="9">
        <f>VLOOKUP(dynamic[productID],products[],IF(YEAR(dynamic[orderDate])=2022,8,IF(YEAR(dynamic[orderDate])=2023,9,IF(YEAR(dynamic[orderDate])=2024,10,NA))),FALSE)</f>
        <v>34.88145014</v>
      </c>
      <c r="M1490" s="9">
        <v>49.3</v>
      </c>
      <c r="N1490" s="25">
        <f>(dynamic[orderPrice]-dynamic[productCost])/dynamic[productCost]</f>
        <v>0.4133586705</v>
      </c>
      <c r="O1490" s="10">
        <v>25.0</v>
      </c>
      <c r="P1490" s="25">
        <v>0.15</v>
      </c>
      <c r="Q1490" s="9">
        <f>dynamic[orderPrice]*dynamic[orderQuantity]</f>
        <v>1232.5</v>
      </c>
      <c r="R1490" s="9">
        <f>dynamic[orderTotal]*(1-dynamic[discountApllied])</f>
        <v>1047.625</v>
      </c>
      <c r="S1490" s="9">
        <f>dynamic[revenue]-(dynamic[productCost]*dynamic[orderQuantity])</f>
        <v>175.5887464</v>
      </c>
      <c r="T1490" s="25">
        <f>IFERROR(dynamic[profit]/dynamic[revenue], 0)</f>
        <v>0.1676064875</v>
      </c>
    </row>
    <row r="1491" ht="15.75" customHeight="1">
      <c r="A1491" s="6">
        <v>10818.0</v>
      </c>
      <c r="B1491" s="7" t="s">
        <v>37</v>
      </c>
      <c r="C1491" s="24" t="str">
        <f>VLOOKUP(dynamic[customerID],customers[],2,FALSE)</f>
        <v>Magazzini Alimentari Riuniti</v>
      </c>
      <c r="D1491" s="24">
        <v>45298.0</v>
      </c>
      <c r="E1491" s="6">
        <f>IFERROR(__xludf.DUMMYFUNCTION("COUNTUNIQUEIFS($A$2:$A1491,$B$2:$B1491,B1491)"),8.0)</f>
        <v>8</v>
      </c>
      <c r="F1491" s="6">
        <f t="shared" si="1"/>
        <v>20</v>
      </c>
      <c r="G1491" s="6" t="str">
        <f>IF(MINIFS(dynamic[orderDate], dynamic[customerID], B1491) &gt;= DATE(2024,4,30)-120, 
     "New", 
     IF(MAXIFS(dynamic[orderCount], dynamic[customerID], B1491)&lt;=2, 
        IF((DATE(2024,4,30) - MAXIFS(dynamic[orderDate], dynamic[customerID], B1491)) &gt; 180, "Non-Returning", "Dormant"), 
        IF(AND(MAX(dynamic[sinceLastOrder]) &gt; 365, (DATE(2024,4,30) - MAXIFS(dynamic[orderDate], dynamic[customerID], B1491)) &gt; 180), 
           "Dormant", "Regular")))</f>
        <v>Regular</v>
      </c>
      <c r="H1491" s="6">
        <v>32.0</v>
      </c>
      <c r="I1491" s="9" t="str">
        <f>VLOOKUP(dynamic[productID],products[],2,FALSE)</f>
        <v>Mascarpone Fabioli</v>
      </c>
      <c r="J1491" s="9" t="str">
        <f>VLOOKUP(dynamic[productID],products[],12,FALSE)</f>
        <v>Dairy Products</v>
      </c>
      <c r="K1491" s="7" t="str">
        <f>IF(VLOOKUP(dynamic[productID],products[],7,FALSE)=1,"Discontinued","Current")</f>
        <v>Current</v>
      </c>
      <c r="L1491" s="9">
        <f>VLOOKUP(dynamic[productID],products[],IF(YEAR(dynamic[orderDate])=2022,8,IF(YEAR(dynamic[orderDate])=2023,9,IF(YEAR(dynamic[orderDate])=2024,10,NA))),FALSE)</f>
        <v>21.42783354</v>
      </c>
      <c r="M1491" s="9">
        <v>32.0</v>
      </c>
      <c r="N1491" s="25">
        <f>(dynamic[orderPrice]-dynamic[productCost])/dynamic[productCost]</f>
        <v>0.4933847575</v>
      </c>
      <c r="O1491" s="10">
        <v>20.0</v>
      </c>
      <c r="P1491" s="25">
        <v>0.0</v>
      </c>
      <c r="Q1491" s="9">
        <f>dynamic[orderPrice]*dynamic[orderQuantity]</f>
        <v>640</v>
      </c>
      <c r="R1491" s="9">
        <f>dynamic[orderTotal]*(1-dynamic[discountApllied])</f>
        <v>640</v>
      </c>
      <c r="S1491" s="9">
        <f>dynamic[revenue]-(dynamic[productCost]*dynamic[orderQuantity])</f>
        <v>211.4433291</v>
      </c>
      <c r="T1491" s="25">
        <f>IFERROR(dynamic[profit]/dynamic[revenue], 0)</f>
        <v>0.3303802018</v>
      </c>
    </row>
    <row r="1492" ht="15.75" customHeight="1">
      <c r="A1492" s="6">
        <v>10818.0</v>
      </c>
      <c r="B1492" s="7" t="s">
        <v>37</v>
      </c>
      <c r="C1492" s="24" t="str">
        <f>VLOOKUP(dynamic[customerID],customers[],2,FALSE)</f>
        <v>Magazzini Alimentari Riuniti</v>
      </c>
      <c r="D1492" s="24">
        <v>45298.0</v>
      </c>
      <c r="E1492" s="6">
        <f>IFERROR(__xludf.DUMMYFUNCTION("COUNTUNIQUEIFS($A$2:$A1492,$B$2:$B1492,B1492)"),8.0)</f>
        <v>8</v>
      </c>
      <c r="F1492" s="6">
        <f t="shared" si="1"/>
        <v>20</v>
      </c>
      <c r="G1492" s="6" t="str">
        <f>IF(MINIFS(dynamic[orderDate], dynamic[customerID], B1492) &gt;= DATE(2024,4,30)-120, 
     "New", 
     IF(MAXIFS(dynamic[orderCount], dynamic[customerID], B1492)&lt;=2, 
        IF((DATE(2024,4,30) - MAXIFS(dynamic[orderDate], dynamic[customerID], B1492)) &gt; 180, "Non-Returning", "Dormant"), 
        IF(AND(MAX(dynamic[sinceLastOrder]) &gt; 365, (DATE(2024,4,30) - MAXIFS(dynamic[orderDate], dynamic[customerID], B1492)) &gt; 180), 
           "Dormant", "Regular")))</f>
        <v>Regular</v>
      </c>
      <c r="H1492" s="6">
        <v>41.0</v>
      </c>
      <c r="I1492" s="9" t="str">
        <f>VLOOKUP(dynamic[productID],products[],2,FALSE)</f>
        <v>Jack's New England Clam Chowder</v>
      </c>
      <c r="J1492" s="9" t="str">
        <f>VLOOKUP(dynamic[productID],products[],12,FALSE)</f>
        <v>Seafood</v>
      </c>
      <c r="K1492" s="7" t="str">
        <f>IF(VLOOKUP(dynamic[productID],products[],7,FALSE)=1,"Discontinued","Current")</f>
        <v>Current</v>
      </c>
      <c r="L1492" s="9">
        <f>VLOOKUP(dynamic[productID],products[],IF(YEAR(dynamic[orderDate])=2022,8,IF(YEAR(dynamic[orderDate])=2023,9,IF(YEAR(dynamic[orderDate])=2024,10,NA))),FALSE)</f>
        <v>6.611787882</v>
      </c>
      <c r="M1492" s="9">
        <v>9.65</v>
      </c>
      <c r="N1492" s="25">
        <f>(dynamic[orderPrice]-dynamic[productCost])/dynamic[productCost]</f>
        <v>0.459514457</v>
      </c>
      <c r="O1492" s="10">
        <v>20.0</v>
      </c>
      <c r="P1492" s="25">
        <v>0.0</v>
      </c>
      <c r="Q1492" s="9">
        <f>dynamic[orderPrice]*dynamic[orderQuantity]</f>
        <v>193</v>
      </c>
      <c r="R1492" s="9">
        <f>dynamic[orderTotal]*(1-dynamic[discountApllied])</f>
        <v>193</v>
      </c>
      <c r="S1492" s="9">
        <f>dynamic[revenue]-(dynamic[productCost]*dynamic[orderQuantity])</f>
        <v>60.76424236</v>
      </c>
      <c r="T1492" s="25">
        <f>IFERROR(dynamic[profit]/dynamic[revenue], 0)</f>
        <v>0.314840634</v>
      </c>
    </row>
    <row r="1493" ht="15.75" customHeight="1">
      <c r="A1493" s="6">
        <v>10819.0</v>
      </c>
      <c r="B1493" s="7" t="s">
        <v>93</v>
      </c>
      <c r="C1493" s="24" t="str">
        <f>VLOOKUP(dynamic[customerID],customers[],2,FALSE)</f>
        <v>Cactus Comidas para llevar</v>
      </c>
      <c r="D1493" s="24">
        <v>45298.0</v>
      </c>
      <c r="E1493" s="6">
        <f>IFERROR(__xludf.DUMMYFUNCTION("COUNTUNIQUEIFS($A$2:$A1493,$B$2:$B1493,B1493)"),3.0)</f>
        <v>3</v>
      </c>
      <c r="F1493" s="6">
        <f t="shared" si="1"/>
        <v>21</v>
      </c>
      <c r="G1493" s="6" t="str">
        <f>IF(MINIFS(dynamic[orderDate], dynamic[customerID], B1493) &gt;= DATE(2024,4,30)-120, 
     "New", 
     IF(MAXIFS(dynamic[orderCount], dynamic[customerID], B1493)&lt;=2, 
        IF((DATE(2024,4,30) - MAXIFS(dynamic[orderDate], dynamic[customerID], B1493)) &gt; 180, "Non-Returning", "Dormant"), 
        IF(AND(MAX(dynamic[sinceLastOrder]) &gt; 365, (DATE(2024,4,30) - MAXIFS(dynamic[orderDate], dynamic[customerID], B1493)) &gt; 180), 
           "Dormant", "Regular")))</f>
        <v>Regular</v>
      </c>
      <c r="H1493" s="6">
        <v>43.0</v>
      </c>
      <c r="I1493" s="9" t="str">
        <f>VLOOKUP(dynamic[productID],products[],2,FALSE)</f>
        <v>Ipoh Coffee</v>
      </c>
      <c r="J1493" s="9" t="str">
        <f>VLOOKUP(dynamic[productID],products[],12,FALSE)</f>
        <v>Beverages</v>
      </c>
      <c r="K1493" s="7" t="str">
        <f>IF(VLOOKUP(dynamic[productID],products[],7,FALSE)=1,"Discontinued","Current")</f>
        <v>Current</v>
      </c>
      <c r="L1493" s="9">
        <f>VLOOKUP(dynamic[productID],products[],IF(YEAR(dynamic[orderDate])=2022,8,IF(YEAR(dynamic[orderDate])=2023,9,IF(YEAR(dynamic[orderDate])=2024,10,NA))),FALSE)</f>
        <v>30.97984738</v>
      </c>
      <c r="M1493" s="9">
        <v>46.0</v>
      </c>
      <c r="N1493" s="25">
        <f>(dynamic[orderPrice]-dynamic[productCost])/dynamic[productCost]</f>
        <v>0.484836237</v>
      </c>
      <c r="O1493" s="10">
        <v>7.0</v>
      </c>
      <c r="P1493" s="25">
        <v>0.0</v>
      </c>
      <c r="Q1493" s="9">
        <f>dynamic[orderPrice]*dynamic[orderQuantity]</f>
        <v>322</v>
      </c>
      <c r="R1493" s="9">
        <f>dynamic[orderTotal]*(1-dynamic[discountApllied])</f>
        <v>322</v>
      </c>
      <c r="S1493" s="9">
        <f>dynamic[revenue]-(dynamic[productCost]*dynamic[orderQuantity])</f>
        <v>105.1410684</v>
      </c>
      <c r="T1493" s="25">
        <f>IFERROR(dynamic[profit]/dynamic[revenue], 0)</f>
        <v>0.3265250571</v>
      </c>
    </row>
    <row r="1494" ht="15.75" customHeight="1">
      <c r="A1494" s="6">
        <v>10819.0</v>
      </c>
      <c r="B1494" s="7" t="s">
        <v>93</v>
      </c>
      <c r="C1494" s="24" t="str">
        <f>VLOOKUP(dynamic[customerID],customers[],2,FALSE)</f>
        <v>Cactus Comidas para llevar</v>
      </c>
      <c r="D1494" s="24">
        <v>45298.0</v>
      </c>
      <c r="E1494" s="6">
        <f>IFERROR(__xludf.DUMMYFUNCTION("COUNTUNIQUEIFS($A$2:$A1494,$B$2:$B1494,B1494)"),3.0)</f>
        <v>3</v>
      </c>
      <c r="F1494" s="6">
        <f t="shared" si="1"/>
        <v>21</v>
      </c>
      <c r="G1494" s="6" t="str">
        <f>IF(MINIFS(dynamic[orderDate], dynamic[customerID], B1494) &gt;= DATE(2024,4,30)-120, 
     "New", 
     IF(MAXIFS(dynamic[orderCount], dynamic[customerID], B1494)&lt;=2, 
        IF((DATE(2024,4,30) - MAXIFS(dynamic[orderDate], dynamic[customerID], B1494)) &gt; 180, "Non-Returning", "Dormant"), 
        IF(AND(MAX(dynamic[sinceLastOrder]) &gt; 365, (DATE(2024,4,30) - MAXIFS(dynamic[orderDate], dynamic[customerID], B1494)) &gt; 180), 
           "Dormant", "Regular")))</f>
        <v>Regular</v>
      </c>
      <c r="H1494" s="6">
        <v>75.0</v>
      </c>
      <c r="I1494" s="9" t="str">
        <f>VLOOKUP(dynamic[productID],products[],2,FALSE)</f>
        <v>Rhönbräu Klosterbier</v>
      </c>
      <c r="J1494" s="9" t="str">
        <f>VLOOKUP(dynamic[productID],products[],12,FALSE)</f>
        <v>Beverages</v>
      </c>
      <c r="K1494" s="7" t="str">
        <f>IF(VLOOKUP(dynamic[productID],products[],7,FALSE)=1,"Discontinued","Current")</f>
        <v>Current</v>
      </c>
      <c r="L1494" s="9">
        <f>VLOOKUP(dynamic[productID],products[],IF(YEAR(dynamic[orderDate])=2022,8,IF(YEAR(dynamic[orderDate])=2023,9,IF(YEAR(dynamic[orderDate])=2024,10,NA))),FALSE)</f>
        <v>5.374051525</v>
      </c>
      <c r="M1494" s="9">
        <v>7.75</v>
      </c>
      <c r="N1494" s="25">
        <f>(dynamic[orderPrice]-dynamic[productCost])/dynamic[productCost]</f>
        <v>0.4421149413</v>
      </c>
      <c r="O1494" s="10">
        <v>20.0</v>
      </c>
      <c r="P1494" s="25">
        <v>0.0</v>
      </c>
      <c r="Q1494" s="9">
        <f>dynamic[orderPrice]*dynamic[orderQuantity]</f>
        <v>155</v>
      </c>
      <c r="R1494" s="9">
        <f>dynamic[orderTotal]*(1-dynamic[discountApllied])</f>
        <v>155</v>
      </c>
      <c r="S1494" s="9">
        <f>dynamic[revenue]-(dynamic[productCost]*dynamic[orderQuantity])</f>
        <v>47.51896949</v>
      </c>
      <c r="T1494" s="25">
        <f>IFERROR(dynamic[profit]/dynamic[revenue], 0)</f>
        <v>0.3065739967</v>
      </c>
    </row>
    <row r="1495" ht="15.75" customHeight="1">
      <c r="A1495" s="6">
        <v>10820.0</v>
      </c>
      <c r="B1495" s="7" t="s">
        <v>28</v>
      </c>
      <c r="C1495" s="24" t="str">
        <f>VLOOKUP(dynamic[customerID],customers[],2,FALSE)</f>
        <v>Rattlesnake Canyon Grocery</v>
      </c>
      <c r="D1495" s="24">
        <v>45298.0</v>
      </c>
      <c r="E1495" s="6">
        <f>IFERROR(__xludf.DUMMYFUNCTION("COUNTUNIQUEIFS($A$2:$A1495,$B$2:$B1495,B1495)"),13.0)</f>
        <v>13</v>
      </c>
      <c r="F1495" s="6">
        <f t="shared" si="1"/>
        <v>36</v>
      </c>
      <c r="G1495" s="6" t="str">
        <f>IF(MINIFS(dynamic[orderDate], dynamic[customerID], B1495) &gt;= DATE(2024,4,30)-120, 
     "New", 
     IF(MAXIFS(dynamic[orderCount], dynamic[customerID], B1495)&lt;=2, 
        IF((DATE(2024,4,30) - MAXIFS(dynamic[orderDate], dynamic[customerID], B1495)) &gt; 180, "Non-Returning", "Dormant"), 
        IF(AND(MAX(dynamic[sinceLastOrder]) &gt; 365, (DATE(2024,4,30) - MAXIFS(dynamic[orderDate], dynamic[customerID], B1495)) &gt; 180), 
           "Dormant", "Regular")))</f>
        <v>Regular</v>
      </c>
      <c r="H1495" s="6">
        <v>56.0</v>
      </c>
      <c r="I1495" s="9" t="str">
        <f>VLOOKUP(dynamic[productID],products[],2,FALSE)</f>
        <v>Gnocchi di nonna Alice</v>
      </c>
      <c r="J1495" s="9" t="str">
        <f>VLOOKUP(dynamic[productID],products[],12,FALSE)</f>
        <v>Grains/Cereals</v>
      </c>
      <c r="K1495" s="7" t="str">
        <f>IF(VLOOKUP(dynamic[productID],products[],7,FALSE)=1,"Discontinued","Current")</f>
        <v>Current</v>
      </c>
      <c r="L1495" s="9">
        <f>VLOOKUP(dynamic[productID],products[],IF(YEAR(dynamic[orderDate])=2022,8,IF(YEAR(dynamic[orderDate])=2023,9,IF(YEAR(dynamic[orderDate])=2024,10,NA))),FALSE)</f>
        <v>27.53915851</v>
      </c>
      <c r="M1495" s="9">
        <v>38.0</v>
      </c>
      <c r="N1495" s="25">
        <f>(dynamic[orderPrice]-dynamic[productCost])/dynamic[productCost]</f>
        <v>0.3798533452</v>
      </c>
      <c r="O1495" s="10">
        <v>30.0</v>
      </c>
      <c r="P1495" s="25">
        <v>0.0</v>
      </c>
      <c r="Q1495" s="9">
        <f>dynamic[orderPrice]*dynamic[orderQuantity]</f>
        <v>1140</v>
      </c>
      <c r="R1495" s="9">
        <f>dynamic[orderTotal]*(1-dynamic[discountApllied])</f>
        <v>1140</v>
      </c>
      <c r="S1495" s="9">
        <f>dynamic[revenue]-(dynamic[productCost]*dynamic[orderQuantity])</f>
        <v>313.8252446</v>
      </c>
      <c r="T1495" s="25">
        <f>IFERROR(dynamic[profit]/dynamic[revenue], 0)</f>
        <v>0.2752853023</v>
      </c>
    </row>
    <row r="1496" ht="15.75" customHeight="1">
      <c r="A1496" s="6">
        <v>10821.0</v>
      </c>
      <c r="B1496" s="7" t="s">
        <v>35</v>
      </c>
      <c r="C1496" s="24" t="str">
        <f>VLOOKUP(dynamic[customerID],customers[],2,FALSE)</f>
        <v>Split Rail Beer &amp; Ale</v>
      </c>
      <c r="D1496" s="24">
        <v>45299.0</v>
      </c>
      <c r="E1496" s="6">
        <f>IFERROR(__xludf.DUMMYFUNCTION("COUNTUNIQUEIFS($A$2:$A1496,$B$2:$B1496,B1496)"),8.0)</f>
        <v>8</v>
      </c>
      <c r="F1496" s="6">
        <f t="shared" si="1"/>
        <v>42</v>
      </c>
      <c r="G1496" s="6" t="str">
        <f>IF(MINIFS(dynamic[orderDate], dynamic[customerID], B1496) &gt;= DATE(2024,4,30)-120, 
     "New", 
     IF(MAXIFS(dynamic[orderCount], dynamic[customerID], B1496)&lt;=2, 
        IF((DATE(2024,4,30) - MAXIFS(dynamic[orderDate], dynamic[customerID], B1496)) &gt; 180, "Non-Returning", "Dormant"), 
        IF(AND(MAX(dynamic[sinceLastOrder]) &gt; 365, (DATE(2024,4,30) - MAXIFS(dynamic[orderDate], dynamic[customerID], B1496)) &gt; 180), 
           "Dormant", "Regular")))</f>
        <v>Regular</v>
      </c>
      <c r="H1496" s="6">
        <v>35.0</v>
      </c>
      <c r="I1496" s="9" t="str">
        <f>VLOOKUP(dynamic[productID],products[],2,FALSE)</f>
        <v>Cold Brew Nitro</v>
      </c>
      <c r="J1496" s="9" t="str">
        <f>VLOOKUP(dynamic[productID],products[],12,FALSE)</f>
        <v>Beverages</v>
      </c>
      <c r="K1496" s="7" t="str">
        <f>IF(VLOOKUP(dynamic[productID],products[],7,FALSE)=1,"Discontinued","Current")</f>
        <v>Current</v>
      </c>
      <c r="L1496" s="9">
        <f>VLOOKUP(dynamic[productID],products[],IF(YEAR(dynamic[orderDate])=2022,8,IF(YEAR(dynamic[orderDate])=2023,9,IF(YEAR(dynamic[orderDate])=2024,10,NA))),FALSE)</f>
        <v>12.9261692</v>
      </c>
      <c r="M1496" s="9">
        <v>18.0</v>
      </c>
      <c r="N1496" s="25">
        <f>(dynamic[orderPrice]-dynamic[productCost])/dynamic[productCost]</f>
        <v>0.3925239355</v>
      </c>
      <c r="O1496" s="10">
        <v>20.0</v>
      </c>
      <c r="P1496" s="25">
        <v>0.0</v>
      </c>
      <c r="Q1496" s="9">
        <f>dynamic[orderPrice]*dynamic[orderQuantity]</f>
        <v>360</v>
      </c>
      <c r="R1496" s="9">
        <f>dynamic[orderTotal]*(1-dynamic[discountApllied])</f>
        <v>360</v>
      </c>
      <c r="S1496" s="9">
        <f>dynamic[revenue]-(dynamic[productCost]*dynamic[orderQuantity])</f>
        <v>101.4766161</v>
      </c>
      <c r="T1496" s="25">
        <f>IFERROR(dynamic[profit]/dynamic[revenue], 0)</f>
        <v>0.2818794891</v>
      </c>
    </row>
    <row r="1497" ht="15.75" customHeight="1">
      <c r="A1497" s="6">
        <v>10821.0</v>
      </c>
      <c r="B1497" s="7" t="s">
        <v>35</v>
      </c>
      <c r="C1497" s="24" t="str">
        <f>VLOOKUP(dynamic[customerID],customers[],2,FALSE)</f>
        <v>Split Rail Beer &amp; Ale</v>
      </c>
      <c r="D1497" s="24">
        <v>45299.0</v>
      </c>
      <c r="E1497" s="6">
        <f>IFERROR(__xludf.DUMMYFUNCTION("COUNTUNIQUEIFS($A$2:$A1497,$B$2:$B1497,B1497)"),8.0)</f>
        <v>8</v>
      </c>
      <c r="F1497" s="6">
        <f t="shared" si="1"/>
        <v>42</v>
      </c>
      <c r="G1497" s="6" t="str">
        <f>IF(MINIFS(dynamic[orderDate], dynamic[customerID], B1497) &gt;= DATE(2024,4,30)-120, 
     "New", 
     IF(MAXIFS(dynamic[orderCount], dynamic[customerID], B1497)&lt;=2, 
        IF((DATE(2024,4,30) - MAXIFS(dynamic[orderDate], dynamic[customerID], B1497)) &gt; 180, "Non-Returning", "Dormant"), 
        IF(AND(MAX(dynamic[sinceLastOrder]) &gt; 365, (DATE(2024,4,30) - MAXIFS(dynamic[orderDate], dynamic[customerID], B1497)) &gt; 180), 
           "Dormant", "Regular")))</f>
        <v>Regular</v>
      </c>
      <c r="H1497" s="6">
        <v>51.0</v>
      </c>
      <c r="I1497" s="9" t="str">
        <f>VLOOKUP(dynamic[productID],products[],2,FALSE)</f>
        <v>Manjimup Dried Apples</v>
      </c>
      <c r="J1497" s="9" t="str">
        <f>VLOOKUP(dynamic[productID],products[],12,FALSE)</f>
        <v>Produce</v>
      </c>
      <c r="K1497" s="7" t="str">
        <f>IF(VLOOKUP(dynamic[productID],products[],7,FALSE)=1,"Discontinued","Current")</f>
        <v>Current</v>
      </c>
      <c r="L1497" s="9">
        <f>VLOOKUP(dynamic[productID],products[],IF(YEAR(dynamic[orderDate])=2022,8,IF(YEAR(dynamic[orderDate])=2023,9,IF(YEAR(dynamic[orderDate])=2024,10,NA))),FALSE)</f>
        <v>39.51416462</v>
      </c>
      <c r="M1497" s="9">
        <v>53.0</v>
      </c>
      <c r="N1497" s="25">
        <f>(dynamic[orderPrice]-dynamic[productCost])/dynamic[productCost]</f>
        <v>0.3412911677</v>
      </c>
      <c r="O1497" s="10">
        <v>6.0</v>
      </c>
      <c r="P1497" s="25">
        <v>0.0</v>
      </c>
      <c r="Q1497" s="9">
        <f>dynamic[orderPrice]*dynamic[orderQuantity]</f>
        <v>318</v>
      </c>
      <c r="R1497" s="9">
        <f>dynamic[orderTotal]*(1-dynamic[discountApllied])</f>
        <v>318</v>
      </c>
      <c r="S1497" s="9">
        <f>dynamic[revenue]-(dynamic[productCost]*dynamic[orderQuantity])</f>
        <v>80.91501229</v>
      </c>
      <c r="T1497" s="25">
        <f>IFERROR(dynamic[profit]/dynamic[revenue], 0)</f>
        <v>0.2544497242</v>
      </c>
    </row>
    <row r="1498" ht="15.75" customHeight="1">
      <c r="A1498" s="6">
        <v>10822.0</v>
      </c>
      <c r="B1498" s="7" t="s">
        <v>96</v>
      </c>
      <c r="C1498" s="24" t="str">
        <f>VLOOKUP(dynamic[customerID],customers[],2,FALSE)</f>
        <v>Trail's Head Gourmet Provisioners</v>
      </c>
      <c r="D1498" s="24">
        <v>45299.0</v>
      </c>
      <c r="E1498" s="6">
        <f>IFERROR(__xludf.DUMMYFUNCTION("COUNTUNIQUEIFS($A$2:$A1498,$B$2:$B1498,B1498)"),3.0)</f>
        <v>3</v>
      </c>
      <c r="F1498" s="6">
        <f t="shared" si="1"/>
        <v>199</v>
      </c>
      <c r="G1498" s="6" t="str">
        <f>IF(MINIFS(dynamic[orderDate], dynamic[customerID], B1498) &gt;= DATE(2024,4,30)-120, 
     "New", 
     IF(MAXIFS(dynamic[orderCount], dynamic[customerID], B1498)&lt;=2, 
        IF((DATE(2024,4,30) - MAXIFS(dynamic[orderDate], dynamic[customerID], B1498)) &gt; 180, "Non-Returning", "Dormant"), 
        IF(AND(MAX(dynamic[sinceLastOrder]) &gt; 365, (DATE(2024,4,30) - MAXIFS(dynamic[orderDate], dynamic[customerID], B1498)) &gt; 180), 
           "Dormant", "Regular")))</f>
        <v>Regular</v>
      </c>
      <c r="H1498" s="6">
        <v>62.0</v>
      </c>
      <c r="I1498" s="9" t="str">
        <f>VLOOKUP(dynamic[productID],products[],2,FALSE)</f>
        <v>Tarte au sucre</v>
      </c>
      <c r="J1498" s="9" t="str">
        <f>VLOOKUP(dynamic[productID],products[],12,FALSE)</f>
        <v>Confections</v>
      </c>
      <c r="K1498" s="7" t="str">
        <f>IF(VLOOKUP(dynamic[productID],products[],7,FALSE)=1,"Discontinued","Current")</f>
        <v>Current</v>
      </c>
      <c r="L1498" s="9">
        <f>VLOOKUP(dynamic[productID],products[],IF(YEAR(dynamic[orderDate])=2022,8,IF(YEAR(dynamic[orderDate])=2023,9,IF(YEAR(dynamic[orderDate])=2024,10,NA))),FALSE)</f>
        <v>34.88145014</v>
      </c>
      <c r="M1498" s="9">
        <v>49.3</v>
      </c>
      <c r="N1498" s="25">
        <f>(dynamic[orderPrice]-dynamic[productCost])/dynamic[productCost]</f>
        <v>0.4133586705</v>
      </c>
      <c r="O1498" s="10">
        <v>3.0</v>
      </c>
      <c r="P1498" s="25">
        <v>0.0</v>
      </c>
      <c r="Q1498" s="9">
        <f>dynamic[orderPrice]*dynamic[orderQuantity]</f>
        <v>147.9</v>
      </c>
      <c r="R1498" s="9">
        <f>dynamic[orderTotal]*(1-dynamic[discountApllied])</f>
        <v>147.9</v>
      </c>
      <c r="S1498" s="9">
        <f>dynamic[revenue]-(dynamic[productCost]*dynamic[orderQuantity])</f>
        <v>43.25564957</v>
      </c>
      <c r="T1498" s="25">
        <f>IFERROR(dynamic[profit]/dynamic[revenue], 0)</f>
        <v>0.2924655143</v>
      </c>
    </row>
    <row r="1499" ht="15.75" customHeight="1">
      <c r="A1499" s="6">
        <v>10822.0</v>
      </c>
      <c r="B1499" s="7" t="s">
        <v>96</v>
      </c>
      <c r="C1499" s="24" t="str">
        <f>VLOOKUP(dynamic[customerID],customers[],2,FALSE)</f>
        <v>Trail's Head Gourmet Provisioners</v>
      </c>
      <c r="D1499" s="24">
        <v>45299.0</v>
      </c>
      <c r="E1499" s="6">
        <f>IFERROR(__xludf.DUMMYFUNCTION("COUNTUNIQUEIFS($A$2:$A1499,$B$2:$B1499,B1499)"),3.0)</f>
        <v>3</v>
      </c>
      <c r="F1499" s="6">
        <f t="shared" si="1"/>
        <v>199</v>
      </c>
      <c r="G1499" s="6" t="str">
        <f>IF(MINIFS(dynamic[orderDate], dynamic[customerID], B1499) &gt;= DATE(2024,4,30)-120, 
     "New", 
     IF(MAXIFS(dynamic[orderCount], dynamic[customerID], B1499)&lt;=2, 
        IF((DATE(2024,4,30) - MAXIFS(dynamic[orderDate], dynamic[customerID], B1499)) &gt; 180, "Non-Returning", "Dormant"), 
        IF(AND(MAX(dynamic[sinceLastOrder]) &gt; 365, (DATE(2024,4,30) - MAXIFS(dynamic[orderDate], dynamic[customerID], B1499)) &gt; 180), 
           "Dormant", "Regular")))</f>
        <v>Regular</v>
      </c>
      <c r="H1499" s="6">
        <v>70.0</v>
      </c>
      <c r="I1499" s="9" t="str">
        <f>VLOOKUP(dynamic[productID],products[],2,FALSE)</f>
        <v>Outback Lager</v>
      </c>
      <c r="J1499" s="9" t="str">
        <f>VLOOKUP(dynamic[productID],products[],12,FALSE)</f>
        <v>Beverages</v>
      </c>
      <c r="K1499" s="7" t="str">
        <f>IF(VLOOKUP(dynamic[productID],products[],7,FALSE)=1,"Discontinued","Current")</f>
        <v>Current</v>
      </c>
      <c r="L1499" s="9">
        <f>VLOOKUP(dynamic[productID],products[],IF(YEAR(dynamic[orderDate])=2022,8,IF(YEAR(dynamic[orderDate])=2023,9,IF(YEAR(dynamic[orderDate])=2024,10,NA))),FALSE)</f>
        <v>10.03280812</v>
      </c>
      <c r="M1499" s="9">
        <v>15.0</v>
      </c>
      <c r="N1499" s="25">
        <f>(dynamic[orderPrice]-dynamic[productCost])/dynamic[productCost]</f>
        <v>0.4950948747</v>
      </c>
      <c r="O1499" s="10">
        <v>6.0</v>
      </c>
      <c r="P1499" s="25">
        <v>0.0</v>
      </c>
      <c r="Q1499" s="9">
        <f>dynamic[orderPrice]*dynamic[orderQuantity]</f>
        <v>90</v>
      </c>
      <c r="R1499" s="9">
        <f>dynamic[orderTotal]*(1-dynamic[discountApllied])</f>
        <v>90</v>
      </c>
      <c r="S1499" s="9">
        <f>dynamic[revenue]-(dynamic[productCost]*dynamic[orderQuantity])</f>
        <v>29.80315127</v>
      </c>
      <c r="T1499" s="25">
        <f>IFERROR(dynamic[profit]/dynamic[revenue], 0)</f>
        <v>0.3311461253</v>
      </c>
    </row>
    <row r="1500" ht="15.75" customHeight="1">
      <c r="A1500" s="6">
        <v>10823.0</v>
      </c>
      <c r="B1500" s="7" t="s">
        <v>43</v>
      </c>
      <c r="C1500" s="24" t="str">
        <f>VLOOKUP(dynamic[customerID],customers[],2,FALSE)</f>
        <v>LILA-Supermercado</v>
      </c>
      <c r="D1500" s="24">
        <v>45300.0</v>
      </c>
      <c r="E1500" s="6">
        <f>IFERROR(__xludf.DUMMYFUNCTION("COUNTUNIQUEIFS($A$2:$A1500,$B$2:$B1500,B1500)"),10.0)</f>
        <v>10</v>
      </c>
      <c r="F1500" s="6">
        <f t="shared" si="1"/>
        <v>24</v>
      </c>
      <c r="G1500" s="6" t="str">
        <f>IF(MINIFS(dynamic[orderDate], dynamic[customerID], B1500) &gt;= DATE(2024,4,30)-120, 
     "New", 
     IF(MAXIFS(dynamic[orderCount], dynamic[customerID], B1500)&lt;=2, 
        IF((DATE(2024,4,30) - MAXIFS(dynamic[orderDate], dynamic[customerID], B1500)) &gt; 180, "Non-Returning", "Dormant"), 
        IF(AND(MAX(dynamic[sinceLastOrder]) &gt; 365, (DATE(2024,4,30) - MAXIFS(dynamic[orderDate], dynamic[customerID], B1500)) &gt; 180), 
           "Dormant", "Regular")))</f>
        <v>Regular</v>
      </c>
      <c r="H1500" s="6">
        <v>11.0</v>
      </c>
      <c r="I1500" s="9" t="str">
        <f>VLOOKUP(dynamic[productID],products[],2,FALSE)</f>
        <v>Queso Cabrales</v>
      </c>
      <c r="J1500" s="9" t="str">
        <f>VLOOKUP(dynamic[productID],products[],12,FALSE)</f>
        <v>Dairy Products</v>
      </c>
      <c r="K1500" s="7" t="str">
        <f>IF(VLOOKUP(dynamic[productID],products[],7,FALSE)=1,"Discontinued","Current")</f>
        <v>Current</v>
      </c>
      <c r="L1500" s="9">
        <f>VLOOKUP(dynamic[productID],products[],IF(YEAR(dynamic[orderDate])=2022,8,IF(YEAR(dynamic[orderDate])=2023,9,IF(YEAR(dynamic[orderDate])=2024,10,NA))),FALSE)</f>
        <v>13.86836261</v>
      </c>
      <c r="M1500" s="9">
        <v>21.0</v>
      </c>
      <c r="N1500" s="25">
        <f>(dynamic[orderPrice]-dynamic[productCost])/dynamic[productCost]</f>
        <v>0.51423788</v>
      </c>
      <c r="O1500" s="10">
        <v>20.0</v>
      </c>
      <c r="P1500" s="25">
        <v>0.1</v>
      </c>
      <c r="Q1500" s="9">
        <f>dynamic[orderPrice]*dynamic[orderQuantity]</f>
        <v>420</v>
      </c>
      <c r="R1500" s="9">
        <f>dynamic[orderTotal]*(1-dynamic[discountApllied])</f>
        <v>378</v>
      </c>
      <c r="S1500" s="9">
        <f>dynamic[revenue]-(dynamic[productCost]*dynamic[orderQuantity])</f>
        <v>100.6327478</v>
      </c>
      <c r="T1500" s="25">
        <f>IFERROR(dynamic[profit]/dynamic[revenue], 0)</f>
        <v>0.2662242005</v>
      </c>
    </row>
    <row r="1501" ht="15.75" customHeight="1">
      <c r="A1501" s="6">
        <v>10823.0</v>
      </c>
      <c r="B1501" s="7" t="s">
        <v>43</v>
      </c>
      <c r="C1501" s="24" t="str">
        <f>VLOOKUP(dynamic[customerID],customers[],2,FALSE)</f>
        <v>LILA-Supermercado</v>
      </c>
      <c r="D1501" s="24">
        <v>45300.0</v>
      </c>
      <c r="E1501" s="6">
        <f>IFERROR(__xludf.DUMMYFUNCTION("COUNTUNIQUEIFS($A$2:$A1501,$B$2:$B1501,B1501)"),10.0)</f>
        <v>10</v>
      </c>
      <c r="F1501" s="6">
        <f t="shared" si="1"/>
        <v>24</v>
      </c>
      <c r="G1501" s="6" t="str">
        <f>IF(MINIFS(dynamic[orderDate], dynamic[customerID], B1501) &gt;= DATE(2024,4,30)-120, 
     "New", 
     IF(MAXIFS(dynamic[orderCount], dynamic[customerID], B1501)&lt;=2, 
        IF((DATE(2024,4,30) - MAXIFS(dynamic[orderDate], dynamic[customerID], B1501)) &gt; 180, "Non-Returning", "Dormant"), 
        IF(AND(MAX(dynamic[sinceLastOrder]) &gt; 365, (DATE(2024,4,30) - MAXIFS(dynamic[orderDate], dynamic[customerID], B1501)) &gt; 180), 
           "Dormant", "Regular")))</f>
        <v>Regular</v>
      </c>
      <c r="H1501" s="6">
        <v>57.0</v>
      </c>
      <c r="I1501" s="9" t="str">
        <f>VLOOKUP(dynamic[productID],products[],2,FALSE)</f>
        <v>Ravioli Angelo</v>
      </c>
      <c r="J1501" s="9" t="str">
        <f>VLOOKUP(dynamic[productID],products[],12,FALSE)</f>
        <v>Grains/Cereals</v>
      </c>
      <c r="K1501" s="7" t="str">
        <f>IF(VLOOKUP(dynamic[productID],products[],7,FALSE)=1,"Discontinued","Current")</f>
        <v>Current</v>
      </c>
      <c r="L1501" s="9">
        <f>VLOOKUP(dynamic[productID],products[],IF(YEAR(dynamic[orderDate])=2022,8,IF(YEAR(dynamic[orderDate])=2023,9,IF(YEAR(dynamic[orderDate])=2024,10,NA))),FALSE)</f>
        <v>14.29534762</v>
      </c>
      <c r="M1501" s="9">
        <v>19.5</v>
      </c>
      <c r="N1501" s="25">
        <f>(dynamic[orderPrice]-dynamic[productCost])/dynamic[productCost]</f>
        <v>0.3640801552</v>
      </c>
      <c r="O1501" s="10">
        <v>15.0</v>
      </c>
      <c r="P1501" s="25">
        <v>0.0</v>
      </c>
      <c r="Q1501" s="9">
        <f>dynamic[orderPrice]*dynamic[orderQuantity]</f>
        <v>292.5</v>
      </c>
      <c r="R1501" s="9">
        <f>dynamic[orderTotal]*(1-dynamic[discountApllied])</f>
        <v>292.5</v>
      </c>
      <c r="S1501" s="9">
        <f>dynamic[revenue]-(dynamic[productCost]*dynamic[orderQuantity])</f>
        <v>78.06978571</v>
      </c>
      <c r="T1501" s="25">
        <f>IFERROR(dynamic[profit]/dynamic[revenue], 0)</f>
        <v>0.2669052503</v>
      </c>
    </row>
    <row r="1502" ht="15.75" customHeight="1">
      <c r="A1502" s="6">
        <v>10823.0</v>
      </c>
      <c r="B1502" s="7" t="s">
        <v>43</v>
      </c>
      <c r="C1502" s="24" t="str">
        <f>VLOOKUP(dynamic[customerID],customers[],2,FALSE)</f>
        <v>LILA-Supermercado</v>
      </c>
      <c r="D1502" s="24">
        <v>45300.0</v>
      </c>
      <c r="E1502" s="6">
        <f>IFERROR(__xludf.DUMMYFUNCTION("COUNTUNIQUEIFS($A$2:$A1502,$B$2:$B1502,B1502)"),10.0)</f>
        <v>10</v>
      </c>
      <c r="F1502" s="6">
        <f t="shared" si="1"/>
        <v>24</v>
      </c>
      <c r="G1502" s="6" t="str">
        <f>IF(MINIFS(dynamic[orderDate], dynamic[customerID], B1502) &gt;= DATE(2024,4,30)-120, 
     "New", 
     IF(MAXIFS(dynamic[orderCount], dynamic[customerID], B1502)&lt;=2, 
        IF((DATE(2024,4,30) - MAXIFS(dynamic[orderDate], dynamic[customerID], B1502)) &gt; 180, "Non-Returning", "Dormant"), 
        IF(AND(MAX(dynamic[sinceLastOrder]) &gt; 365, (DATE(2024,4,30) - MAXIFS(dynamic[orderDate], dynamic[customerID], B1502)) &gt; 180), 
           "Dormant", "Regular")))</f>
        <v>Regular</v>
      </c>
      <c r="H1502" s="6">
        <v>59.0</v>
      </c>
      <c r="I1502" s="9" t="str">
        <f>VLOOKUP(dynamic[productID],products[],2,FALSE)</f>
        <v>Raclette Courdavault</v>
      </c>
      <c r="J1502" s="9" t="str">
        <f>VLOOKUP(dynamic[productID],products[],12,FALSE)</f>
        <v>Dairy Products</v>
      </c>
      <c r="K1502" s="7" t="str">
        <f>IF(VLOOKUP(dynamic[productID],products[],7,FALSE)=1,"Discontinued","Current")</f>
        <v>Current</v>
      </c>
      <c r="L1502" s="9">
        <f>VLOOKUP(dynamic[productID],products[],IF(YEAR(dynamic[orderDate])=2022,8,IF(YEAR(dynamic[orderDate])=2023,9,IF(YEAR(dynamic[orderDate])=2024,10,NA))),FALSE)</f>
        <v>36.74863711</v>
      </c>
      <c r="M1502" s="9">
        <v>55.0</v>
      </c>
      <c r="N1502" s="25">
        <f>(dynamic[orderPrice]-dynamic[productCost])/dynamic[productCost]</f>
        <v>0.4966541435</v>
      </c>
      <c r="O1502" s="10">
        <v>40.0</v>
      </c>
      <c r="P1502" s="25">
        <v>0.1</v>
      </c>
      <c r="Q1502" s="9">
        <f>dynamic[orderPrice]*dynamic[orderQuantity]</f>
        <v>2200</v>
      </c>
      <c r="R1502" s="9">
        <f>dynamic[orderTotal]*(1-dynamic[discountApllied])</f>
        <v>1980</v>
      </c>
      <c r="S1502" s="9">
        <f>dynamic[revenue]-(dynamic[productCost]*dynamic[orderQuantity])</f>
        <v>510.0545156</v>
      </c>
      <c r="T1502" s="25">
        <f>IFERROR(dynamic[profit]/dynamic[revenue], 0)</f>
        <v>0.2576032907</v>
      </c>
    </row>
    <row r="1503" ht="15.75" customHeight="1">
      <c r="A1503" s="6">
        <v>10823.0</v>
      </c>
      <c r="B1503" s="7" t="s">
        <v>43</v>
      </c>
      <c r="C1503" s="24" t="str">
        <f>VLOOKUP(dynamic[customerID],customers[],2,FALSE)</f>
        <v>LILA-Supermercado</v>
      </c>
      <c r="D1503" s="24">
        <v>45300.0</v>
      </c>
      <c r="E1503" s="6">
        <f>IFERROR(__xludf.DUMMYFUNCTION("COUNTUNIQUEIFS($A$2:$A1503,$B$2:$B1503,B1503)"),10.0)</f>
        <v>10</v>
      </c>
      <c r="F1503" s="6">
        <f t="shared" si="1"/>
        <v>24</v>
      </c>
      <c r="G1503" s="6" t="str">
        <f>IF(MINIFS(dynamic[orderDate], dynamic[customerID], B1503) &gt;= DATE(2024,4,30)-120, 
     "New", 
     IF(MAXIFS(dynamic[orderCount], dynamic[customerID], B1503)&lt;=2, 
        IF((DATE(2024,4,30) - MAXIFS(dynamic[orderDate], dynamic[customerID], B1503)) &gt; 180, "Non-Returning", "Dormant"), 
        IF(AND(MAX(dynamic[sinceLastOrder]) &gt; 365, (DATE(2024,4,30) - MAXIFS(dynamic[orderDate], dynamic[customerID], B1503)) &gt; 180), 
           "Dormant", "Regular")))</f>
        <v>Regular</v>
      </c>
      <c r="H1503" s="6">
        <v>77.0</v>
      </c>
      <c r="I1503" s="9" t="str">
        <f>VLOOKUP(dynamic[productID],products[],2,FALSE)</f>
        <v>Original Frankfurter grüne Soße</v>
      </c>
      <c r="J1503" s="9" t="str">
        <f>VLOOKUP(dynamic[productID],products[],12,FALSE)</f>
        <v>Condiments</v>
      </c>
      <c r="K1503" s="7" t="str">
        <f>IF(VLOOKUP(dynamic[productID],products[],7,FALSE)=1,"Discontinued","Current")</f>
        <v>Current</v>
      </c>
      <c r="L1503" s="9">
        <f>VLOOKUP(dynamic[productID],products[],IF(YEAR(dynamic[orderDate])=2022,8,IF(YEAR(dynamic[orderDate])=2023,9,IF(YEAR(dynamic[orderDate])=2024,10,NA))),FALSE)</f>
        <v>9.299025151</v>
      </c>
      <c r="M1503" s="9">
        <v>13.0</v>
      </c>
      <c r="N1503" s="25">
        <f>(dynamic[orderPrice]-dynamic[productCost])/dynamic[productCost]</f>
        <v>0.3979960037</v>
      </c>
      <c r="O1503" s="10">
        <v>15.0</v>
      </c>
      <c r="P1503" s="25">
        <v>0.1</v>
      </c>
      <c r="Q1503" s="9">
        <f>dynamic[orderPrice]*dynamic[orderQuantity]</f>
        <v>195</v>
      </c>
      <c r="R1503" s="9">
        <f>dynamic[orderTotal]*(1-dynamic[discountApllied])</f>
        <v>175.5</v>
      </c>
      <c r="S1503" s="9">
        <f>dynamic[revenue]-(dynamic[productCost]*dynamic[orderQuantity])</f>
        <v>36.01462273</v>
      </c>
      <c r="T1503" s="25">
        <f>IFERROR(dynamic[profit]/dynamic[revenue], 0)</f>
        <v>0.2052115255</v>
      </c>
    </row>
    <row r="1504" ht="15.75" customHeight="1">
      <c r="A1504" s="6">
        <v>10824.0</v>
      </c>
      <c r="B1504" s="7" t="s">
        <v>29</v>
      </c>
      <c r="C1504" s="24" t="str">
        <f>VLOOKUP(dynamic[customerID],customers[],2,FALSE)</f>
        <v>Folk och fä HB</v>
      </c>
      <c r="D1504" s="24">
        <v>45300.0</v>
      </c>
      <c r="E1504" s="6">
        <f>IFERROR(__xludf.DUMMYFUNCTION("COUNTUNIQUEIFS($A$2:$A1504,$B$2:$B1504,B1504)"),11.0)</f>
        <v>11</v>
      </c>
      <c r="F1504" s="6">
        <f t="shared" si="1"/>
        <v>29</v>
      </c>
      <c r="G1504" s="6" t="str">
        <f>IF(MINIFS(dynamic[orderDate], dynamic[customerID], B1504) &gt;= DATE(2024,4,30)-120, 
     "New", 
     IF(MAXIFS(dynamic[orderCount], dynamic[customerID], B1504)&lt;=2, 
        IF((DATE(2024,4,30) - MAXIFS(dynamic[orderDate], dynamic[customerID], B1504)) &gt; 180, "Non-Returning", "Dormant"), 
        IF(AND(MAX(dynamic[sinceLastOrder]) &gt; 365, (DATE(2024,4,30) - MAXIFS(dynamic[orderDate], dynamic[customerID], B1504)) &gt; 180), 
           "Dormant", "Regular")))</f>
        <v>Regular</v>
      </c>
      <c r="H1504" s="6">
        <v>41.0</v>
      </c>
      <c r="I1504" s="9" t="str">
        <f>VLOOKUP(dynamic[productID],products[],2,FALSE)</f>
        <v>Jack's New England Clam Chowder</v>
      </c>
      <c r="J1504" s="9" t="str">
        <f>VLOOKUP(dynamic[productID],products[],12,FALSE)</f>
        <v>Seafood</v>
      </c>
      <c r="K1504" s="7" t="str">
        <f>IF(VLOOKUP(dynamic[productID],products[],7,FALSE)=1,"Discontinued","Current")</f>
        <v>Current</v>
      </c>
      <c r="L1504" s="9">
        <f>VLOOKUP(dynamic[productID],products[],IF(YEAR(dynamic[orderDate])=2022,8,IF(YEAR(dynamic[orderDate])=2023,9,IF(YEAR(dynamic[orderDate])=2024,10,NA))),FALSE)</f>
        <v>6.611787882</v>
      </c>
      <c r="M1504" s="9">
        <v>9.65</v>
      </c>
      <c r="N1504" s="25">
        <f>(dynamic[orderPrice]-dynamic[productCost])/dynamic[productCost]</f>
        <v>0.459514457</v>
      </c>
      <c r="O1504" s="10">
        <v>12.0</v>
      </c>
      <c r="P1504" s="25">
        <v>0.0</v>
      </c>
      <c r="Q1504" s="9">
        <f>dynamic[orderPrice]*dynamic[orderQuantity]</f>
        <v>115.8</v>
      </c>
      <c r="R1504" s="9">
        <f>dynamic[orderTotal]*(1-dynamic[discountApllied])</f>
        <v>115.8</v>
      </c>
      <c r="S1504" s="9">
        <f>dynamic[revenue]-(dynamic[productCost]*dynamic[orderQuantity])</f>
        <v>36.45854542</v>
      </c>
      <c r="T1504" s="25">
        <f>IFERROR(dynamic[profit]/dynamic[revenue], 0)</f>
        <v>0.314840634</v>
      </c>
    </row>
    <row r="1505" ht="15.75" customHeight="1">
      <c r="A1505" s="6">
        <v>10824.0</v>
      </c>
      <c r="B1505" s="7" t="s">
        <v>29</v>
      </c>
      <c r="C1505" s="24" t="str">
        <f>VLOOKUP(dynamic[customerID],customers[],2,FALSE)</f>
        <v>Folk och fä HB</v>
      </c>
      <c r="D1505" s="24">
        <v>45300.0</v>
      </c>
      <c r="E1505" s="6">
        <f>IFERROR(__xludf.DUMMYFUNCTION("COUNTUNIQUEIFS($A$2:$A1505,$B$2:$B1505,B1505)"),11.0)</f>
        <v>11</v>
      </c>
      <c r="F1505" s="6">
        <f t="shared" si="1"/>
        <v>29</v>
      </c>
      <c r="G1505" s="6" t="str">
        <f>IF(MINIFS(dynamic[orderDate], dynamic[customerID], B1505) &gt;= DATE(2024,4,30)-120, 
     "New", 
     IF(MAXIFS(dynamic[orderCount], dynamic[customerID], B1505)&lt;=2, 
        IF((DATE(2024,4,30) - MAXIFS(dynamic[orderDate], dynamic[customerID], B1505)) &gt; 180, "Non-Returning", "Dormant"), 
        IF(AND(MAX(dynamic[sinceLastOrder]) &gt; 365, (DATE(2024,4,30) - MAXIFS(dynamic[orderDate], dynamic[customerID], B1505)) &gt; 180), 
           "Dormant", "Regular")))</f>
        <v>Regular</v>
      </c>
      <c r="H1505" s="6">
        <v>70.0</v>
      </c>
      <c r="I1505" s="9" t="str">
        <f>VLOOKUP(dynamic[productID],products[],2,FALSE)</f>
        <v>Outback Lager</v>
      </c>
      <c r="J1505" s="9" t="str">
        <f>VLOOKUP(dynamic[productID],products[],12,FALSE)</f>
        <v>Beverages</v>
      </c>
      <c r="K1505" s="7" t="str">
        <f>IF(VLOOKUP(dynamic[productID],products[],7,FALSE)=1,"Discontinued","Current")</f>
        <v>Current</v>
      </c>
      <c r="L1505" s="9">
        <f>VLOOKUP(dynamic[productID],products[],IF(YEAR(dynamic[orderDate])=2022,8,IF(YEAR(dynamic[orderDate])=2023,9,IF(YEAR(dynamic[orderDate])=2024,10,NA))),FALSE)</f>
        <v>10.03280812</v>
      </c>
      <c r="M1505" s="9">
        <v>15.0</v>
      </c>
      <c r="N1505" s="25">
        <f>(dynamic[orderPrice]-dynamic[productCost])/dynamic[productCost]</f>
        <v>0.4950948747</v>
      </c>
      <c r="O1505" s="10">
        <v>9.0</v>
      </c>
      <c r="P1505" s="25">
        <v>0.0</v>
      </c>
      <c r="Q1505" s="9">
        <f>dynamic[orderPrice]*dynamic[orderQuantity]</f>
        <v>135</v>
      </c>
      <c r="R1505" s="9">
        <f>dynamic[orderTotal]*(1-dynamic[discountApllied])</f>
        <v>135</v>
      </c>
      <c r="S1505" s="9">
        <f>dynamic[revenue]-(dynamic[productCost]*dynamic[orderQuantity])</f>
        <v>44.70472691</v>
      </c>
      <c r="T1505" s="25">
        <f>IFERROR(dynamic[profit]/dynamic[revenue], 0)</f>
        <v>0.3311461253</v>
      </c>
    </row>
    <row r="1506" ht="15.75" customHeight="1">
      <c r="A1506" s="6">
        <v>10825.0</v>
      </c>
      <c r="B1506" s="7" t="s">
        <v>72</v>
      </c>
      <c r="C1506" s="24" t="str">
        <f>VLOOKUP(dynamic[customerID],customers[],2,FALSE)</f>
        <v>Drachenblut Delikatessen</v>
      </c>
      <c r="D1506" s="24">
        <v>45300.0</v>
      </c>
      <c r="E1506" s="6">
        <f>IFERROR(__xludf.DUMMYFUNCTION("COUNTUNIQUEIFS($A$2:$A1506,$B$2:$B1506,B1506)"),4.0)</f>
        <v>4</v>
      </c>
      <c r="F1506" s="6">
        <f t="shared" si="1"/>
        <v>15</v>
      </c>
      <c r="G1506" s="6" t="str">
        <f>IF(MINIFS(dynamic[orderDate], dynamic[customerID], B1506) &gt;= DATE(2024,4,30)-120, 
     "New", 
     IF(MAXIFS(dynamic[orderCount], dynamic[customerID], B1506)&lt;=2, 
        IF((DATE(2024,4,30) - MAXIFS(dynamic[orderDate], dynamic[customerID], B1506)) &gt; 180, "Non-Returning", "Dormant"), 
        IF(AND(MAX(dynamic[sinceLastOrder]) &gt; 365, (DATE(2024,4,30) - MAXIFS(dynamic[orderDate], dynamic[customerID], B1506)) &gt; 180), 
           "Dormant", "Regular")))</f>
        <v>Regular</v>
      </c>
      <c r="H1506" s="6">
        <v>26.0</v>
      </c>
      <c r="I1506" s="9" t="str">
        <f>VLOOKUP(dynamic[productID],products[],2,FALSE)</f>
        <v>NuNuCa Nuß-Nougat-Creme</v>
      </c>
      <c r="J1506" s="9" t="str">
        <f>VLOOKUP(dynamic[productID],products[],12,FALSE)</f>
        <v>Confections</v>
      </c>
      <c r="K1506" s="7" t="str">
        <f>IF(VLOOKUP(dynamic[productID],products[],7,FALSE)=1,"Discontinued","Current")</f>
        <v>Current</v>
      </c>
      <c r="L1506" s="9">
        <f>VLOOKUP(dynamic[productID],products[],IF(YEAR(dynamic[orderDate])=2022,8,IF(YEAR(dynamic[orderDate])=2023,9,IF(YEAR(dynamic[orderDate])=2024,10,NA))),FALSE)</f>
        <v>22.79977195</v>
      </c>
      <c r="M1506" s="9">
        <v>31.23</v>
      </c>
      <c r="N1506" s="25">
        <f>(dynamic[orderPrice]-dynamic[productCost])/dynamic[productCost]</f>
        <v>0.3697505427</v>
      </c>
      <c r="O1506" s="10">
        <v>12.0</v>
      </c>
      <c r="P1506" s="25">
        <v>0.0</v>
      </c>
      <c r="Q1506" s="9">
        <f>dynamic[orderPrice]*dynamic[orderQuantity]</f>
        <v>374.76</v>
      </c>
      <c r="R1506" s="9">
        <f>dynamic[orderTotal]*(1-dynamic[discountApllied])</f>
        <v>374.76</v>
      </c>
      <c r="S1506" s="9">
        <f>dynamic[revenue]-(dynamic[productCost]*dynamic[orderQuantity])</f>
        <v>101.1627366</v>
      </c>
      <c r="T1506" s="25">
        <f>IFERROR(dynamic[profit]/dynamic[revenue], 0)</f>
        <v>0.2699400593</v>
      </c>
    </row>
    <row r="1507" ht="15.75" customHeight="1">
      <c r="A1507" s="6">
        <v>10825.0</v>
      </c>
      <c r="B1507" s="7" t="s">
        <v>72</v>
      </c>
      <c r="C1507" s="24" t="str">
        <f>VLOOKUP(dynamic[customerID],customers[],2,FALSE)</f>
        <v>Drachenblut Delikatessen</v>
      </c>
      <c r="D1507" s="24">
        <v>45300.0</v>
      </c>
      <c r="E1507" s="6">
        <f>IFERROR(__xludf.DUMMYFUNCTION("COUNTUNIQUEIFS($A$2:$A1507,$B$2:$B1507,B1507)"),4.0)</f>
        <v>4</v>
      </c>
      <c r="F1507" s="6">
        <f t="shared" si="1"/>
        <v>15</v>
      </c>
      <c r="G1507" s="6" t="str">
        <f>IF(MINIFS(dynamic[orderDate], dynamic[customerID], B1507) &gt;= DATE(2024,4,30)-120, 
     "New", 
     IF(MAXIFS(dynamic[orderCount], dynamic[customerID], B1507)&lt;=2, 
        IF((DATE(2024,4,30) - MAXIFS(dynamic[orderDate], dynamic[customerID], B1507)) &gt; 180, "Non-Returning", "Dormant"), 
        IF(AND(MAX(dynamic[sinceLastOrder]) &gt; 365, (DATE(2024,4,30) - MAXIFS(dynamic[orderDate], dynamic[customerID], B1507)) &gt; 180), 
           "Dormant", "Regular")))</f>
        <v>Regular</v>
      </c>
      <c r="H1507" s="6">
        <v>53.0</v>
      </c>
      <c r="I1507" s="9" t="str">
        <f>VLOOKUP(dynamic[productID],products[],2,FALSE)</f>
        <v>Perth Pasties</v>
      </c>
      <c r="J1507" s="9" t="str">
        <f>VLOOKUP(dynamic[productID],products[],12,FALSE)</f>
        <v>Meat/Poultry</v>
      </c>
      <c r="K1507" s="7" t="str">
        <f>IF(VLOOKUP(dynamic[productID],products[],7,FALSE)=1,"Discontinued","Current")</f>
        <v>Discontinued</v>
      </c>
      <c r="L1507" s="9">
        <f>VLOOKUP(dynamic[productID],products[],IF(YEAR(dynamic[orderDate])=2022,8,IF(YEAR(dynamic[orderDate])=2023,9,IF(YEAR(dynamic[orderDate])=2024,10,NA))),FALSE)</f>
        <v>22.92637057</v>
      </c>
      <c r="M1507" s="9">
        <v>32.8</v>
      </c>
      <c r="N1507" s="25">
        <f>(dynamic[orderPrice]-dynamic[productCost])/dynamic[productCost]</f>
        <v>0.4306669216</v>
      </c>
      <c r="O1507" s="10">
        <v>20.0</v>
      </c>
      <c r="P1507" s="25">
        <v>0.0</v>
      </c>
      <c r="Q1507" s="9">
        <f>dynamic[orderPrice]*dynamic[orderQuantity]</f>
        <v>656</v>
      </c>
      <c r="R1507" s="9">
        <f>dynamic[orderTotal]*(1-dynamic[discountApllied])</f>
        <v>656</v>
      </c>
      <c r="S1507" s="9">
        <f>dynamic[revenue]-(dynamic[productCost]*dynamic[orderQuantity])</f>
        <v>197.4725887</v>
      </c>
      <c r="T1507" s="25">
        <f>IFERROR(dynamic[profit]/dynamic[revenue], 0)</f>
        <v>0.3010252876</v>
      </c>
    </row>
    <row r="1508" ht="15.75" customHeight="1">
      <c r="A1508" s="6">
        <v>10826.0</v>
      </c>
      <c r="B1508" s="7" t="s">
        <v>30</v>
      </c>
      <c r="C1508" s="24" t="str">
        <f>VLOOKUP(dynamic[customerID],customers[],2,FALSE)</f>
        <v>Blondesddsl père et fils</v>
      </c>
      <c r="D1508" s="24">
        <v>45303.0</v>
      </c>
      <c r="E1508" s="6">
        <f>IFERROR(__xludf.DUMMYFUNCTION("COUNTUNIQUEIFS($A$2:$A1508,$B$2:$B1508,B1508)"),11.0)</f>
        <v>11</v>
      </c>
      <c r="F1508" s="6">
        <f t="shared" si="1"/>
        <v>111</v>
      </c>
      <c r="G1508" s="6" t="str">
        <f>IF(MINIFS(dynamic[orderDate], dynamic[customerID], B1508) &gt;= DATE(2024,4,30)-120, 
     "New", 
     IF(MAXIFS(dynamic[orderCount], dynamic[customerID], B1508)&lt;=2, 
        IF((DATE(2024,4,30) - MAXIFS(dynamic[orderDate], dynamic[customerID], B1508)) &gt; 180, "Non-Returning", "Dormant"), 
        IF(AND(MAX(dynamic[sinceLastOrder]) &gt; 365, (DATE(2024,4,30) - MAXIFS(dynamic[orderDate], dynamic[customerID], B1508)) &gt; 180), 
           "Dormant", "Regular")))</f>
        <v>Regular</v>
      </c>
      <c r="H1508" s="6">
        <v>31.0</v>
      </c>
      <c r="I1508" s="9" t="str">
        <f>VLOOKUP(dynamic[productID],products[],2,FALSE)</f>
        <v>Gorgonzola Telino</v>
      </c>
      <c r="J1508" s="9" t="str">
        <f>VLOOKUP(dynamic[productID],products[],12,FALSE)</f>
        <v>Dairy Products</v>
      </c>
      <c r="K1508" s="7" t="str">
        <f>IF(VLOOKUP(dynamic[productID],products[],7,FALSE)=1,"Discontinued","Current")</f>
        <v>Current</v>
      </c>
      <c r="L1508" s="9">
        <f>VLOOKUP(dynamic[productID],products[],IF(YEAR(dynamic[orderDate])=2022,8,IF(YEAR(dynamic[orderDate])=2023,9,IF(YEAR(dynamic[orderDate])=2024,10,NA))),FALSE)</f>
        <v>8.203054392</v>
      </c>
      <c r="M1508" s="9">
        <v>12.5</v>
      </c>
      <c r="N1508" s="25">
        <f>(dynamic[orderPrice]-dynamic[productCost])/dynamic[productCost]</f>
        <v>0.52382264</v>
      </c>
      <c r="O1508" s="10">
        <v>35.0</v>
      </c>
      <c r="P1508" s="25">
        <v>0.0</v>
      </c>
      <c r="Q1508" s="9">
        <f>dynamic[orderPrice]*dynamic[orderQuantity]</f>
        <v>437.5</v>
      </c>
      <c r="R1508" s="9">
        <f>dynamic[orderTotal]*(1-dynamic[discountApllied])</f>
        <v>437.5</v>
      </c>
      <c r="S1508" s="9">
        <f>dynamic[revenue]-(dynamic[productCost]*dynamic[orderQuantity])</f>
        <v>150.3930963</v>
      </c>
      <c r="T1508" s="25">
        <f>IFERROR(dynamic[profit]/dynamic[revenue], 0)</f>
        <v>0.3437556486</v>
      </c>
    </row>
    <row r="1509" ht="15.75" customHeight="1">
      <c r="A1509" s="6">
        <v>10826.0</v>
      </c>
      <c r="B1509" s="7" t="s">
        <v>30</v>
      </c>
      <c r="C1509" s="24" t="str">
        <f>VLOOKUP(dynamic[customerID],customers[],2,FALSE)</f>
        <v>Blondesddsl père et fils</v>
      </c>
      <c r="D1509" s="24">
        <v>45303.0</v>
      </c>
      <c r="E1509" s="6">
        <f>IFERROR(__xludf.DUMMYFUNCTION("COUNTUNIQUEIFS($A$2:$A1509,$B$2:$B1509,B1509)"),11.0)</f>
        <v>11</v>
      </c>
      <c r="F1509" s="6">
        <f t="shared" si="1"/>
        <v>111</v>
      </c>
      <c r="G1509" s="6" t="str">
        <f>IF(MINIFS(dynamic[orderDate], dynamic[customerID], B1509) &gt;= DATE(2024,4,30)-120, 
     "New", 
     IF(MAXIFS(dynamic[orderCount], dynamic[customerID], B1509)&lt;=2, 
        IF((DATE(2024,4,30) - MAXIFS(dynamic[orderDate], dynamic[customerID], B1509)) &gt; 180, "Non-Returning", "Dormant"), 
        IF(AND(MAX(dynamic[sinceLastOrder]) &gt; 365, (DATE(2024,4,30) - MAXIFS(dynamic[orderDate], dynamic[customerID], B1509)) &gt; 180), 
           "Dormant", "Regular")))</f>
        <v>Regular</v>
      </c>
      <c r="H1509" s="6">
        <v>57.0</v>
      </c>
      <c r="I1509" s="9" t="str">
        <f>VLOOKUP(dynamic[productID],products[],2,FALSE)</f>
        <v>Ravioli Angelo</v>
      </c>
      <c r="J1509" s="9" t="str">
        <f>VLOOKUP(dynamic[productID],products[],12,FALSE)</f>
        <v>Grains/Cereals</v>
      </c>
      <c r="K1509" s="7" t="str">
        <f>IF(VLOOKUP(dynamic[productID],products[],7,FALSE)=1,"Discontinued","Current")</f>
        <v>Current</v>
      </c>
      <c r="L1509" s="9">
        <f>VLOOKUP(dynamic[productID],products[],IF(YEAR(dynamic[orderDate])=2022,8,IF(YEAR(dynamic[orderDate])=2023,9,IF(YEAR(dynamic[orderDate])=2024,10,NA))),FALSE)</f>
        <v>14.29534762</v>
      </c>
      <c r="M1509" s="9">
        <v>19.5</v>
      </c>
      <c r="N1509" s="25">
        <f>(dynamic[orderPrice]-dynamic[productCost])/dynamic[productCost]</f>
        <v>0.3640801552</v>
      </c>
      <c r="O1509" s="10">
        <v>15.0</v>
      </c>
      <c r="P1509" s="25">
        <v>0.0</v>
      </c>
      <c r="Q1509" s="9">
        <f>dynamic[orderPrice]*dynamic[orderQuantity]</f>
        <v>292.5</v>
      </c>
      <c r="R1509" s="9">
        <f>dynamic[orderTotal]*(1-dynamic[discountApllied])</f>
        <v>292.5</v>
      </c>
      <c r="S1509" s="9">
        <f>dynamic[revenue]-(dynamic[productCost]*dynamic[orderQuantity])</f>
        <v>78.06978571</v>
      </c>
      <c r="T1509" s="25">
        <f>IFERROR(dynamic[profit]/dynamic[revenue], 0)</f>
        <v>0.2669052503</v>
      </c>
    </row>
    <row r="1510" ht="15.75" customHeight="1">
      <c r="A1510" s="6">
        <v>10827.0</v>
      </c>
      <c r="B1510" s="7" t="s">
        <v>63</v>
      </c>
      <c r="C1510" s="24" t="str">
        <f>VLOOKUP(dynamic[customerID],customers[],2,FALSE)</f>
        <v>Bon app'</v>
      </c>
      <c r="D1510" s="24">
        <v>45303.0</v>
      </c>
      <c r="E1510" s="6">
        <f>IFERROR(__xludf.DUMMYFUNCTION("COUNTUNIQUEIFS($A$2:$A1510,$B$2:$B1510,B1510)"),12.0)</f>
        <v>12</v>
      </c>
      <c r="F1510" s="6">
        <f t="shared" si="1"/>
        <v>47</v>
      </c>
      <c r="G1510" s="6" t="str">
        <f>IF(MINIFS(dynamic[orderDate], dynamic[customerID], B1510) &gt;= DATE(2024,4,30)-120, 
     "New", 
     IF(MAXIFS(dynamic[orderCount], dynamic[customerID], B1510)&lt;=2, 
        IF((DATE(2024,4,30) - MAXIFS(dynamic[orderDate], dynamic[customerID], B1510)) &gt; 180, "Non-Returning", "Dormant"), 
        IF(AND(MAX(dynamic[sinceLastOrder]) &gt; 365, (DATE(2024,4,30) - MAXIFS(dynamic[orderDate], dynamic[customerID], B1510)) &gt; 180), 
           "Dormant", "Regular")))</f>
        <v>Regular</v>
      </c>
      <c r="H1510" s="6">
        <v>10.0</v>
      </c>
      <c r="I1510" s="9" t="str">
        <f>VLOOKUP(dynamic[productID],products[],2,FALSE)</f>
        <v>Ikura</v>
      </c>
      <c r="J1510" s="9" t="str">
        <f>VLOOKUP(dynamic[productID],products[],12,FALSE)</f>
        <v>Seafood</v>
      </c>
      <c r="K1510" s="7" t="str">
        <f>IF(VLOOKUP(dynamic[productID],products[],7,FALSE)=1,"Discontinued","Current")</f>
        <v>Current</v>
      </c>
      <c r="L1510" s="9">
        <f>VLOOKUP(dynamic[productID],products[],IF(YEAR(dynamic[orderDate])=2022,8,IF(YEAR(dynamic[orderDate])=2023,9,IF(YEAR(dynamic[orderDate])=2024,10,NA))),FALSE)</f>
        <v>20.90394627</v>
      </c>
      <c r="M1510" s="9">
        <v>31.0</v>
      </c>
      <c r="N1510" s="25">
        <f>(dynamic[orderPrice]-dynamic[productCost])/dynamic[productCost]</f>
        <v>0.4829735786</v>
      </c>
      <c r="O1510" s="10">
        <v>15.0</v>
      </c>
      <c r="P1510" s="25">
        <v>0.0</v>
      </c>
      <c r="Q1510" s="9">
        <f>dynamic[orderPrice]*dynamic[orderQuantity]</f>
        <v>465</v>
      </c>
      <c r="R1510" s="9">
        <f>dynamic[orderTotal]*(1-dynamic[discountApllied])</f>
        <v>465</v>
      </c>
      <c r="S1510" s="9">
        <f>dynamic[revenue]-(dynamic[productCost]*dynamic[orderQuantity])</f>
        <v>151.440806</v>
      </c>
      <c r="T1510" s="25">
        <f>IFERROR(dynamic[profit]/dynamic[revenue], 0)</f>
        <v>0.3256791527</v>
      </c>
    </row>
    <row r="1511" ht="15.75" customHeight="1">
      <c r="A1511" s="6">
        <v>10827.0</v>
      </c>
      <c r="B1511" s="7" t="s">
        <v>63</v>
      </c>
      <c r="C1511" s="24" t="str">
        <f>VLOOKUP(dynamic[customerID],customers[],2,FALSE)</f>
        <v>Bon app'</v>
      </c>
      <c r="D1511" s="24">
        <v>45303.0</v>
      </c>
      <c r="E1511" s="6">
        <f>IFERROR(__xludf.DUMMYFUNCTION("COUNTUNIQUEIFS($A$2:$A1511,$B$2:$B1511,B1511)"),12.0)</f>
        <v>12</v>
      </c>
      <c r="F1511" s="6">
        <f t="shared" si="1"/>
        <v>47</v>
      </c>
      <c r="G1511" s="6" t="str">
        <f>IF(MINIFS(dynamic[orderDate], dynamic[customerID], B1511) &gt;= DATE(2024,4,30)-120, 
     "New", 
     IF(MAXIFS(dynamic[orderCount], dynamic[customerID], B1511)&lt;=2, 
        IF((DATE(2024,4,30) - MAXIFS(dynamic[orderDate], dynamic[customerID], B1511)) &gt; 180, "Non-Returning", "Dormant"), 
        IF(AND(MAX(dynamic[sinceLastOrder]) &gt; 365, (DATE(2024,4,30) - MAXIFS(dynamic[orderDate], dynamic[customerID], B1511)) &gt; 180), 
           "Dormant", "Regular")))</f>
        <v>Regular</v>
      </c>
      <c r="H1511" s="6">
        <v>39.0</v>
      </c>
      <c r="I1511" s="9" t="str">
        <f>VLOOKUP(dynamic[productID],products[],2,FALSE)</f>
        <v>Chartreuse verte</v>
      </c>
      <c r="J1511" s="9" t="str">
        <f>VLOOKUP(dynamic[productID],products[],12,FALSE)</f>
        <v>Beverages</v>
      </c>
      <c r="K1511" s="7" t="str">
        <f>IF(VLOOKUP(dynamic[productID],products[],7,FALSE)=1,"Discontinued","Current")</f>
        <v>Current</v>
      </c>
      <c r="L1511" s="9">
        <f>VLOOKUP(dynamic[productID],products[],IF(YEAR(dynamic[orderDate])=2022,8,IF(YEAR(dynamic[orderDate])=2023,9,IF(YEAR(dynamic[orderDate])=2024,10,NA))),FALSE)</f>
        <v>12.3017224</v>
      </c>
      <c r="M1511" s="9">
        <v>18.0</v>
      </c>
      <c r="N1511" s="25">
        <f>(dynamic[orderPrice]-dynamic[productCost])/dynamic[productCost]</f>
        <v>0.4632097374</v>
      </c>
      <c r="O1511" s="10">
        <v>21.0</v>
      </c>
      <c r="P1511" s="25">
        <v>0.0</v>
      </c>
      <c r="Q1511" s="9">
        <f>dynamic[orderPrice]*dynamic[orderQuantity]</f>
        <v>378</v>
      </c>
      <c r="R1511" s="9">
        <f>dynamic[orderTotal]*(1-dynamic[discountApllied])</f>
        <v>378</v>
      </c>
      <c r="S1511" s="9">
        <f>dynamic[revenue]-(dynamic[productCost]*dynamic[orderQuantity])</f>
        <v>119.6638296</v>
      </c>
      <c r="T1511" s="25">
        <f>IFERROR(dynamic[profit]/dynamic[revenue], 0)</f>
        <v>0.3165709779</v>
      </c>
    </row>
    <row r="1512" ht="15.75" customHeight="1">
      <c r="A1512" s="6">
        <v>10828.0</v>
      </c>
      <c r="B1512" s="7" t="s">
        <v>88</v>
      </c>
      <c r="C1512" s="24" t="str">
        <f>VLOOKUP(dynamic[customerID],customers[],2,FALSE)</f>
        <v>Rancho grande</v>
      </c>
      <c r="D1512" s="24">
        <v>45304.0</v>
      </c>
      <c r="E1512" s="6">
        <f>IFERROR(__xludf.DUMMYFUNCTION("COUNTUNIQUEIFS($A$2:$A1512,$B$2:$B1512,B1512)"),3.0)</f>
        <v>3</v>
      </c>
      <c r="F1512" s="6">
        <f t="shared" si="1"/>
        <v>81</v>
      </c>
      <c r="G1512" s="6" t="str">
        <f>IF(MINIFS(dynamic[orderDate], dynamic[customerID], B1512) &gt;= DATE(2024,4,30)-120, 
     "New", 
     IF(MAXIFS(dynamic[orderCount], dynamic[customerID], B1512)&lt;=2, 
        IF((DATE(2024,4,30) - MAXIFS(dynamic[orderDate], dynamic[customerID], B1512)) &gt; 180, "Non-Returning", "Dormant"), 
        IF(AND(MAX(dynamic[sinceLastOrder]) &gt; 365, (DATE(2024,4,30) - MAXIFS(dynamic[orderDate], dynamic[customerID], B1512)) &gt; 180), 
           "Dormant", "Regular")))</f>
        <v>Regular</v>
      </c>
      <c r="H1512" s="6">
        <v>20.0</v>
      </c>
      <c r="I1512" s="9" t="str">
        <f>VLOOKUP(dynamic[productID],products[],2,FALSE)</f>
        <v>Sir Rodney's Marmalade</v>
      </c>
      <c r="J1512" s="9" t="str">
        <f>VLOOKUP(dynamic[productID],products[],12,FALSE)</f>
        <v>Confections</v>
      </c>
      <c r="K1512" s="7" t="str">
        <f>IF(VLOOKUP(dynamic[productID],products[],7,FALSE)=1,"Discontinued","Current")</f>
        <v>Current</v>
      </c>
      <c r="L1512" s="9">
        <f>VLOOKUP(dynamic[productID],products[],IF(YEAR(dynamic[orderDate])=2022,8,IF(YEAR(dynamic[orderDate])=2023,9,IF(YEAR(dynamic[orderDate])=2024,10,NA))),FALSE)</f>
        <v>62.82537598</v>
      </c>
      <c r="M1512" s="9">
        <v>81.0</v>
      </c>
      <c r="N1512" s="25">
        <f>(dynamic[orderPrice]-dynamic[productCost])/dynamic[productCost]</f>
        <v>0.2892879468</v>
      </c>
      <c r="O1512" s="10">
        <v>5.0</v>
      </c>
      <c r="P1512" s="25">
        <v>0.0</v>
      </c>
      <c r="Q1512" s="9">
        <f>dynamic[orderPrice]*dynamic[orderQuantity]</f>
        <v>405</v>
      </c>
      <c r="R1512" s="9">
        <f>dynamic[orderTotal]*(1-dynamic[discountApllied])</f>
        <v>405</v>
      </c>
      <c r="S1512" s="9">
        <f>dynamic[revenue]-(dynamic[productCost]*dynamic[orderQuantity])</f>
        <v>90.87312012</v>
      </c>
      <c r="T1512" s="25">
        <f>IFERROR(dynamic[profit]/dynamic[revenue], 0)</f>
        <v>0.2243780744</v>
      </c>
    </row>
    <row r="1513" ht="15.75" customHeight="1">
      <c r="A1513" s="6">
        <v>10828.0</v>
      </c>
      <c r="B1513" s="7" t="s">
        <v>88</v>
      </c>
      <c r="C1513" s="24" t="str">
        <f>VLOOKUP(dynamic[customerID],customers[],2,FALSE)</f>
        <v>Rancho grande</v>
      </c>
      <c r="D1513" s="24">
        <v>45304.0</v>
      </c>
      <c r="E1513" s="6">
        <f>IFERROR(__xludf.DUMMYFUNCTION("COUNTUNIQUEIFS($A$2:$A1513,$B$2:$B1513,B1513)"),3.0)</f>
        <v>3</v>
      </c>
      <c r="F1513" s="6">
        <f t="shared" si="1"/>
        <v>81</v>
      </c>
      <c r="G1513" s="6" t="str">
        <f>IF(MINIFS(dynamic[orderDate], dynamic[customerID], B1513) &gt;= DATE(2024,4,30)-120, 
     "New", 
     IF(MAXIFS(dynamic[orderCount], dynamic[customerID], B1513)&lt;=2, 
        IF((DATE(2024,4,30) - MAXIFS(dynamic[orderDate], dynamic[customerID], B1513)) &gt; 180, "Non-Returning", "Dormant"), 
        IF(AND(MAX(dynamic[sinceLastOrder]) &gt; 365, (DATE(2024,4,30) - MAXIFS(dynamic[orderDate], dynamic[customerID], B1513)) &gt; 180), 
           "Dormant", "Regular")))</f>
        <v>Regular</v>
      </c>
      <c r="H1513" s="6">
        <v>38.0</v>
      </c>
      <c r="I1513" s="9" t="str">
        <f>VLOOKUP(dynamic[productID],products[],2,FALSE)</f>
        <v>Côte de Blaye</v>
      </c>
      <c r="J1513" s="9" t="str">
        <f>VLOOKUP(dynamic[productID],products[],12,FALSE)</f>
        <v>Beverages</v>
      </c>
      <c r="K1513" s="7" t="str">
        <f>IF(VLOOKUP(dynamic[productID],products[],7,FALSE)=1,"Discontinued","Current")</f>
        <v>Current</v>
      </c>
      <c r="L1513" s="9">
        <f>VLOOKUP(dynamic[productID],products[],IF(YEAR(dynamic[orderDate])=2022,8,IF(YEAR(dynamic[orderDate])=2023,9,IF(YEAR(dynamic[orderDate])=2024,10,NA))),FALSE)</f>
        <v>192.1798413</v>
      </c>
      <c r="M1513" s="9">
        <v>263.5</v>
      </c>
      <c r="N1513" s="25">
        <f>(dynamic[orderPrice]-dynamic[productCost])/dynamic[productCost]</f>
        <v>0.3711115493</v>
      </c>
      <c r="O1513" s="10">
        <v>2.0</v>
      </c>
      <c r="P1513" s="25">
        <v>0.0</v>
      </c>
      <c r="Q1513" s="9">
        <f>dynamic[orderPrice]*dynamic[orderQuantity]</f>
        <v>527</v>
      </c>
      <c r="R1513" s="9">
        <f>dynamic[orderTotal]*(1-dynamic[discountApllied])</f>
        <v>527</v>
      </c>
      <c r="S1513" s="9">
        <f>dynamic[revenue]-(dynamic[productCost]*dynamic[orderQuantity])</f>
        <v>142.6403173</v>
      </c>
      <c r="T1513" s="25">
        <f>IFERROR(dynamic[profit]/dynamic[revenue], 0)</f>
        <v>0.2706647388</v>
      </c>
    </row>
    <row r="1514" ht="15.75" customHeight="1">
      <c r="A1514" s="6">
        <v>10829.0</v>
      </c>
      <c r="B1514" s="7" t="s">
        <v>57</v>
      </c>
      <c r="C1514" s="24" t="str">
        <f>VLOOKUP(dynamic[customerID],customers[],2,FALSE)</f>
        <v>Island Trading</v>
      </c>
      <c r="D1514" s="24">
        <v>45304.0</v>
      </c>
      <c r="E1514" s="6">
        <f>IFERROR(__xludf.DUMMYFUNCTION("COUNTUNIQUEIFS($A$2:$A1514,$B$2:$B1514,B1514)"),9.0)</f>
        <v>9</v>
      </c>
      <c r="F1514" s="6">
        <f t="shared" si="1"/>
        <v>18</v>
      </c>
      <c r="G1514" s="6" t="str">
        <f>IF(MINIFS(dynamic[orderDate], dynamic[customerID], B1514) &gt;= DATE(2024,4,30)-120, 
     "New", 
     IF(MAXIFS(dynamic[orderCount], dynamic[customerID], B1514)&lt;=2, 
        IF((DATE(2024,4,30) - MAXIFS(dynamic[orderDate], dynamic[customerID], B1514)) &gt; 180, "Non-Returning", "Dormant"), 
        IF(AND(MAX(dynamic[sinceLastOrder]) &gt; 365, (DATE(2024,4,30) - MAXIFS(dynamic[orderDate], dynamic[customerID], B1514)) &gt; 180), 
           "Dormant", "Regular")))</f>
        <v>Regular</v>
      </c>
      <c r="H1514" s="6">
        <v>2.0</v>
      </c>
      <c r="I1514" s="9" t="str">
        <f>VLOOKUP(dynamic[productID],products[],2,FALSE)</f>
        <v>Chang</v>
      </c>
      <c r="J1514" s="9" t="str">
        <f>VLOOKUP(dynamic[productID],products[],12,FALSE)</f>
        <v>Beverages</v>
      </c>
      <c r="K1514" s="7" t="str">
        <f>IF(VLOOKUP(dynamic[productID],products[],7,FALSE)=1,"Discontinued","Current")</f>
        <v>Current</v>
      </c>
      <c r="L1514" s="9">
        <f>VLOOKUP(dynamic[productID],products[],IF(YEAR(dynamic[orderDate])=2022,8,IF(YEAR(dynamic[orderDate])=2023,9,IF(YEAR(dynamic[orderDate])=2024,10,NA))),FALSE)</f>
        <v>11.93843713</v>
      </c>
      <c r="M1514" s="9">
        <v>19.0</v>
      </c>
      <c r="N1514" s="25">
        <f>(dynamic[orderPrice]-dynamic[productCost])/dynamic[productCost]</f>
        <v>0.591498099</v>
      </c>
      <c r="O1514" s="10">
        <v>10.0</v>
      </c>
      <c r="P1514" s="25">
        <v>0.0</v>
      </c>
      <c r="Q1514" s="9">
        <f>dynamic[orderPrice]*dynamic[orderQuantity]</f>
        <v>190</v>
      </c>
      <c r="R1514" s="9">
        <f>dynamic[orderTotal]*(1-dynamic[discountApllied])</f>
        <v>190</v>
      </c>
      <c r="S1514" s="9">
        <f>dynamic[revenue]-(dynamic[productCost]*dynamic[orderQuantity])</f>
        <v>70.61562868</v>
      </c>
      <c r="T1514" s="25">
        <f>IFERROR(dynamic[profit]/dynamic[revenue], 0)</f>
        <v>0.3716612036</v>
      </c>
    </row>
    <row r="1515" ht="15.75" customHeight="1">
      <c r="A1515" s="6">
        <v>10829.0</v>
      </c>
      <c r="B1515" s="7" t="s">
        <v>57</v>
      </c>
      <c r="C1515" s="24" t="str">
        <f>VLOOKUP(dynamic[customerID],customers[],2,FALSE)</f>
        <v>Island Trading</v>
      </c>
      <c r="D1515" s="24">
        <v>45304.0</v>
      </c>
      <c r="E1515" s="6">
        <f>IFERROR(__xludf.DUMMYFUNCTION("COUNTUNIQUEIFS($A$2:$A1515,$B$2:$B1515,B1515)"),9.0)</f>
        <v>9</v>
      </c>
      <c r="F1515" s="6">
        <f t="shared" si="1"/>
        <v>18</v>
      </c>
      <c r="G1515" s="6" t="str">
        <f>IF(MINIFS(dynamic[orderDate], dynamic[customerID], B1515) &gt;= DATE(2024,4,30)-120, 
     "New", 
     IF(MAXIFS(dynamic[orderCount], dynamic[customerID], B1515)&lt;=2, 
        IF((DATE(2024,4,30) - MAXIFS(dynamic[orderDate], dynamic[customerID], B1515)) &gt; 180, "Non-Returning", "Dormant"), 
        IF(AND(MAX(dynamic[sinceLastOrder]) &gt; 365, (DATE(2024,4,30) - MAXIFS(dynamic[orderDate], dynamic[customerID], B1515)) &gt; 180), 
           "Dormant", "Regular")))</f>
        <v>Regular</v>
      </c>
      <c r="H1515" s="6">
        <v>8.0</v>
      </c>
      <c r="I1515" s="9" t="str">
        <f>VLOOKUP(dynamic[productID],products[],2,FALSE)</f>
        <v>Northwoods Cranberry Sauce</v>
      </c>
      <c r="J1515" s="9" t="str">
        <f>VLOOKUP(dynamic[productID],products[],12,FALSE)</f>
        <v>Condiments</v>
      </c>
      <c r="K1515" s="7" t="str">
        <f>IF(VLOOKUP(dynamic[productID],products[],7,FALSE)=1,"Discontinued","Current")</f>
        <v>Current</v>
      </c>
      <c r="L1515" s="9">
        <f>VLOOKUP(dynamic[productID],products[],IF(YEAR(dynamic[orderDate])=2022,8,IF(YEAR(dynamic[orderDate])=2023,9,IF(YEAR(dynamic[orderDate])=2024,10,NA))),FALSE)</f>
        <v>27.41770867</v>
      </c>
      <c r="M1515" s="9">
        <v>40.0</v>
      </c>
      <c r="N1515" s="25">
        <f>(dynamic[orderPrice]-dynamic[productCost])/dynamic[productCost]</f>
        <v>0.4589111179</v>
      </c>
      <c r="O1515" s="10">
        <v>20.0</v>
      </c>
      <c r="P1515" s="25">
        <v>0.0</v>
      </c>
      <c r="Q1515" s="9">
        <f>dynamic[orderPrice]*dynamic[orderQuantity]</f>
        <v>800</v>
      </c>
      <c r="R1515" s="9">
        <f>dynamic[orderTotal]*(1-dynamic[discountApllied])</f>
        <v>800</v>
      </c>
      <c r="S1515" s="9">
        <f>dynamic[revenue]-(dynamic[productCost]*dynamic[orderQuantity])</f>
        <v>251.6458267</v>
      </c>
      <c r="T1515" s="25">
        <f>IFERROR(dynamic[profit]/dynamic[revenue], 0)</f>
        <v>0.3145572833</v>
      </c>
    </row>
    <row r="1516" ht="15.75" customHeight="1">
      <c r="A1516" s="6">
        <v>10829.0</v>
      </c>
      <c r="B1516" s="7" t="s">
        <v>57</v>
      </c>
      <c r="C1516" s="24" t="str">
        <f>VLOOKUP(dynamic[customerID],customers[],2,FALSE)</f>
        <v>Island Trading</v>
      </c>
      <c r="D1516" s="24">
        <v>45304.0</v>
      </c>
      <c r="E1516" s="6">
        <f>IFERROR(__xludf.DUMMYFUNCTION("COUNTUNIQUEIFS($A$2:$A1516,$B$2:$B1516,B1516)"),9.0)</f>
        <v>9</v>
      </c>
      <c r="F1516" s="6">
        <f t="shared" si="1"/>
        <v>18</v>
      </c>
      <c r="G1516" s="6" t="str">
        <f>IF(MINIFS(dynamic[orderDate], dynamic[customerID], B1516) &gt;= DATE(2024,4,30)-120, 
     "New", 
     IF(MAXIFS(dynamic[orderCount], dynamic[customerID], B1516)&lt;=2, 
        IF((DATE(2024,4,30) - MAXIFS(dynamic[orderDate], dynamic[customerID], B1516)) &gt; 180, "Non-Returning", "Dormant"), 
        IF(AND(MAX(dynamic[sinceLastOrder]) &gt; 365, (DATE(2024,4,30) - MAXIFS(dynamic[orderDate], dynamic[customerID], B1516)) &gt; 180), 
           "Dormant", "Regular")))</f>
        <v>Regular</v>
      </c>
      <c r="H1516" s="6">
        <v>13.0</v>
      </c>
      <c r="I1516" s="9" t="str">
        <f>VLOOKUP(dynamic[productID],products[],2,FALSE)</f>
        <v>Konbu</v>
      </c>
      <c r="J1516" s="9" t="str">
        <f>VLOOKUP(dynamic[productID],products[],12,FALSE)</f>
        <v>Seafood</v>
      </c>
      <c r="K1516" s="7" t="str">
        <f>IF(VLOOKUP(dynamic[productID],products[],7,FALSE)=1,"Discontinued","Current")</f>
        <v>Current</v>
      </c>
      <c r="L1516" s="9">
        <f>VLOOKUP(dynamic[productID],products[],IF(YEAR(dynamic[orderDate])=2022,8,IF(YEAR(dynamic[orderDate])=2023,9,IF(YEAR(dynamic[orderDate])=2024,10,NA))),FALSE)</f>
        <v>3.966387047</v>
      </c>
      <c r="M1516" s="9">
        <v>6.0</v>
      </c>
      <c r="N1516" s="25">
        <f>(dynamic[orderPrice]-dynamic[productCost])/dynamic[productCost]</f>
        <v>0.5127116768</v>
      </c>
      <c r="O1516" s="10">
        <v>10.0</v>
      </c>
      <c r="P1516" s="25">
        <v>0.0</v>
      </c>
      <c r="Q1516" s="9">
        <f>dynamic[orderPrice]*dynamic[orderQuantity]</f>
        <v>60</v>
      </c>
      <c r="R1516" s="9">
        <f>dynamic[orderTotal]*(1-dynamic[discountApllied])</f>
        <v>60</v>
      </c>
      <c r="S1516" s="9">
        <f>dynamic[revenue]-(dynamic[productCost]*dynamic[orderQuantity])</f>
        <v>20.33612953</v>
      </c>
      <c r="T1516" s="25">
        <f>IFERROR(dynamic[profit]/dynamic[revenue], 0)</f>
        <v>0.3389354922</v>
      </c>
    </row>
    <row r="1517" ht="15.75" customHeight="1">
      <c r="A1517" s="6">
        <v>10829.0</v>
      </c>
      <c r="B1517" s="7" t="s">
        <v>57</v>
      </c>
      <c r="C1517" s="24" t="str">
        <f>VLOOKUP(dynamic[customerID],customers[],2,FALSE)</f>
        <v>Island Trading</v>
      </c>
      <c r="D1517" s="24">
        <v>45304.0</v>
      </c>
      <c r="E1517" s="6">
        <f>IFERROR(__xludf.DUMMYFUNCTION("COUNTUNIQUEIFS($A$2:$A1517,$B$2:$B1517,B1517)"),9.0)</f>
        <v>9</v>
      </c>
      <c r="F1517" s="6">
        <f t="shared" si="1"/>
        <v>18</v>
      </c>
      <c r="G1517" s="6" t="str">
        <f>IF(MINIFS(dynamic[orderDate], dynamic[customerID], B1517) &gt;= DATE(2024,4,30)-120, 
     "New", 
     IF(MAXIFS(dynamic[orderCount], dynamic[customerID], B1517)&lt;=2, 
        IF((DATE(2024,4,30) - MAXIFS(dynamic[orderDate], dynamic[customerID], B1517)) &gt; 180, "Non-Returning", "Dormant"), 
        IF(AND(MAX(dynamic[sinceLastOrder]) &gt; 365, (DATE(2024,4,30) - MAXIFS(dynamic[orderDate], dynamic[customerID], B1517)) &gt; 180), 
           "Dormant", "Regular")))</f>
        <v>Regular</v>
      </c>
      <c r="H1517" s="6">
        <v>60.0</v>
      </c>
      <c r="I1517" s="9" t="str">
        <f>VLOOKUP(dynamic[productID],products[],2,FALSE)</f>
        <v>Camembert Pierrot</v>
      </c>
      <c r="J1517" s="9" t="str">
        <f>VLOOKUP(dynamic[productID],products[],12,FALSE)</f>
        <v>Dairy Products</v>
      </c>
      <c r="K1517" s="7" t="str">
        <f>IF(VLOOKUP(dynamic[productID],products[],7,FALSE)=1,"Discontinued","Current")</f>
        <v>Current</v>
      </c>
      <c r="L1517" s="9">
        <f>VLOOKUP(dynamic[productID],products[],IF(YEAR(dynamic[orderDate])=2022,8,IF(YEAR(dynamic[orderDate])=2023,9,IF(YEAR(dynamic[orderDate])=2024,10,NA))),FALSE)</f>
        <v>22.49091154</v>
      </c>
      <c r="M1517" s="9">
        <v>34.0</v>
      </c>
      <c r="N1517" s="25">
        <f>(dynamic[orderPrice]-dynamic[productCost])/dynamic[productCost]</f>
        <v>0.5117217431</v>
      </c>
      <c r="O1517" s="10">
        <v>21.0</v>
      </c>
      <c r="P1517" s="25">
        <v>0.0</v>
      </c>
      <c r="Q1517" s="9">
        <f>dynamic[orderPrice]*dynamic[orderQuantity]</f>
        <v>714</v>
      </c>
      <c r="R1517" s="9">
        <f>dynamic[orderTotal]*(1-dynamic[discountApllied])</f>
        <v>714</v>
      </c>
      <c r="S1517" s="9">
        <f>dynamic[revenue]-(dynamic[productCost]*dynamic[orderQuantity])</f>
        <v>241.6908576</v>
      </c>
      <c r="T1517" s="25">
        <f>IFERROR(dynamic[profit]/dynamic[revenue], 0)</f>
        <v>0.3385026017</v>
      </c>
    </row>
    <row r="1518" ht="15.75" customHeight="1">
      <c r="A1518" s="6">
        <v>10830.0</v>
      </c>
      <c r="B1518" s="7" t="s">
        <v>48</v>
      </c>
      <c r="C1518" s="24" t="str">
        <f>VLOOKUP(dynamic[customerID],customers[],2,FALSE)</f>
        <v>Tradição Hipermercados</v>
      </c>
      <c r="D1518" s="24">
        <v>45304.0</v>
      </c>
      <c r="E1518" s="6">
        <f>IFERROR(__xludf.DUMMYFUNCTION("COUNTUNIQUEIFS($A$2:$A1518,$B$2:$B1518,B1518)"),4.0)</f>
        <v>4</v>
      </c>
      <c r="F1518" s="6">
        <f t="shared" si="1"/>
        <v>175</v>
      </c>
      <c r="G1518" s="6" t="str">
        <f>IF(MINIFS(dynamic[orderDate], dynamic[customerID], B1518) &gt;= DATE(2024,4,30)-120, 
     "New", 
     IF(MAXIFS(dynamic[orderCount], dynamic[customerID], B1518)&lt;=2, 
        IF((DATE(2024,4,30) - MAXIFS(dynamic[orderDate], dynamic[customerID], B1518)) &gt; 180, "Non-Returning", "Dormant"), 
        IF(AND(MAX(dynamic[sinceLastOrder]) &gt; 365, (DATE(2024,4,30) - MAXIFS(dynamic[orderDate], dynamic[customerID], B1518)) &gt; 180), 
           "Dormant", "Regular")))</f>
        <v>Regular</v>
      </c>
      <c r="H1518" s="6">
        <v>6.0</v>
      </c>
      <c r="I1518" s="9" t="str">
        <f>VLOOKUP(dynamic[productID],products[],2,FALSE)</f>
        <v>Grandma's Boysenberry Spread</v>
      </c>
      <c r="J1518" s="9" t="str">
        <f>VLOOKUP(dynamic[productID],products[],12,FALSE)</f>
        <v>Condiments</v>
      </c>
      <c r="K1518" s="7" t="str">
        <f>IF(VLOOKUP(dynamic[productID],products[],7,FALSE)=1,"Discontinued","Current")</f>
        <v>Current</v>
      </c>
      <c r="L1518" s="9">
        <f>VLOOKUP(dynamic[productID],products[],IF(YEAR(dynamic[orderDate])=2022,8,IF(YEAR(dynamic[orderDate])=2023,9,IF(YEAR(dynamic[orderDate])=2024,10,NA))),FALSE)</f>
        <v>17.2416593</v>
      </c>
      <c r="M1518" s="9">
        <v>25.0</v>
      </c>
      <c r="N1518" s="25">
        <f>(dynamic[orderPrice]-dynamic[productCost])/dynamic[productCost]</f>
        <v>0.4499764532</v>
      </c>
      <c r="O1518" s="10">
        <v>6.0</v>
      </c>
      <c r="P1518" s="25">
        <v>0.0</v>
      </c>
      <c r="Q1518" s="9">
        <f>dynamic[orderPrice]*dynamic[orderQuantity]</f>
        <v>150</v>
      </c>
      <c r="R1518" s="9">
        <f>dynamic[orderTotal]*(1-dynamic[discountApllied])</f>
        <v>150</v>
      </c>
      <c r="S1518" s="9">
        <f>dynamic[revenue]-(dynamic[productCost]*dynamic[orderQuantity])</f>
        <v>46.5500442</v>
      </c>
      <c r="T1518" s="25">
        <f>IFERROR(dynamic[profit]/dynamic[revenue], 0)</f>
        <v>0.310333628</v>
      </c>
    </row>
    <row r="1519" ht="15.75" customHeight="1">
      <c r="A1519" s="6">
        <v>10830.0</v>
      </c>
      <c r="B1519" s="7" t="s">
        <v>48</v>
      </c>
      <c r="C1519" s="24" t="str">
        <f>VLOOKUP(dynamic[customerID],customers[],2,FALSE)</f>
        <v>Tradição Hipermercados</v>
      </c>
      <c r="D1519" s="24">
        <v>45304.0</v>
      </c>
      <c r="E1519" s="6">
        <f>IFERROR(__xludf.DUMMYFUNCTION("COUNTUNIQUEIFS($A$2:$A1519,$B$2:$B1519,B1519)"),4.0)</f>
        <v>4</v>
      </c>
      <c r="F1519" s="6">
        <f t="shared" si="1"/>
        <v>175</v>
      </c>
      <c r="G1519" s="6" t="str">
        <f>IF(MINIFS(dynamic[orderDate], dynamic[customerID], B1519) &gt;= DATE(2024,4,30)-120, 
     "New", 
     IF(MAXIFS(dynamic[orderCount], dynamic[customerID], B1519)&lt;=2, 
        IF((DATE(2024,4,30) - MAXIFS(dynamic[orderDate], dynamic[customerID], B1519)) &gt; 180, "Non-Returning", "Dormant"), 
        IF(AND(MAX(dynamic[sinceLastOrder]) &gt; 365, (DATE(2024,4,30) - MAXIFS(dynamic[orderDate], dynamic[customerID], B1519)) &gt; 180), 
           "Dormant", "Regular")))</f>
        <v>Regular</v>
      </c>
      <c r="H1519" s="6">
        <v>39.0</v>
      </c>
      <c r="I1519" s="9" t="str">
        <f>VLOOKUP(dynamic[productID],products[],2,FALSE)</f>
        <v>Chartreuse verte</v>
      </c>
      <c r="J1519" s="9" t="str">
        <f>VLOOKUP(dynamic[productID],products[],12,FALSE)</f>
        <v>Beverages</v>
      </c>
      <c r="K1519" s="7" t="str">
        <f>IF(VLOOKUP(dynamic[productID],products[],7,FALSE)=1,"Discontinued","Current")</f>
        <v>Current</v>
      </c>
      <c r="L1519" s="9">
        <f>VLOOKUP(dynamic[productID],products[],IF(YEAR(dynamic[orderDate])=2022,8,IF(YEAR(dynamic[orderDate])=2023,9,IF(YEAR(dynamic[orderDate])=2024,10,NA))),FALSE)</f>
        <v>12.3017224</v>
      </c>
      <c r="M1519" s="9">
        <v>18.0</v>
      </c>
      <c r="N1519" s="25">
        <f>(dynamic[orderPrice]-dynamic[productCost])/dynamic[productCost]</f>
        <v>0.4632097374</v>
      </c>
      <c r="O1519" s="10">
        <v>28.0</v>
      </c>
      <c r="P1519" s="25">
        <v>0.0</v>
      </c>
      <c r="Q1519" s="9">
        <f>dynamic[orderPrice]*dynamic[orderQuantity]</f>
        <v>504</v>
      </c>
      <c r="R1519" s="9">
        <f>dynamic[orderTotal]*(1-dynamic[discountApllied])</f>
        <v>504</v>
      </c>
      <c r="S1519" s="9">
        <f>dynamic[revenue]-(dynamic[productCost]*dynamic[orderQuantity])</f>
        <v>159.5517728</v>
      </c>
      <c r="T1519" s="25">
        <f>IFERROR(dynamic[profit]/dynamic[revenue], 0)</f>
        <v>0.3165709779</v>
      </c>
    </row>
    <row r="1520" ht="15.75" customHeight="1">
      <c r="A1520" s="6">
        <v>10830.0</v>
      </c>
      <c r="B1520" s="7" t="s">
        <v>48</v>
      </c>
      <c r="C1520" s="24" t="str">
        <f>VLOOKUP(dynamic[customerID],customers[],2,FALSE)</f>
        <v>Tradição Hipermercados</v>
      </c>
      <c r="D1520" s="24">
        <v>45304.0</v>
      </c>
      <c r="E1520" s="6">
        <f>IFERROR(__xludf.DUMMYFUNCTION("COUNTUNIQUEIFS($A$2:$A1520,$B$2:$B1520,B1520)"),4.0)</f>
        <v>4</v>
      </c>
      <c r="F1520" s="6">
        <f t="shared" si="1"/>
        <v>175</v>
      </c>
      <c r="G1520" s="6" t="str">
        <f>IF(MINIFS(dynamic[orderDate], dynamic[customerID], B1520) &gt;= DATE(2024,4,30)-120, 
     "New", 
     IF(MAXIFS(dynamic[orderCount], dynamic[customerID], B1520)&lt;=2, 
        IF((DATE(2024,4,30) - MAXIFS(dynamic[orderDate], dynamic[customerID], B1520)) &gt; 180, "Non-Returning", "Dormant"), 
        IF(AND(MAX(dynamic[sinceLastOrder]) &gt; 365, (DATE(2024,4,30) - MAXIFS(dynamic[orderDate], dynamic[customerID], B1520)) &gt; 180), 
           "Dormant", "Regular")))</f>
        <v>Regular</v>
      </c>
      <c r="H1520" s="6">
        <v>60.0</v>
      </c>
      <c r="I1520" s="9" t="str">
        <f>VLOOKUP(dynamic[productID],products[],2,FALSE)</f>
        <v>Camembert Pierrot</v>
      </c>
      <c r="J1520" s="9" t="str">
        <f>VLOOKUP(dynamic[productID],products[],12,FALSE)</f>
        <v>Dairy Products</v>
      </c>
      <c r="K1520" s="7" t="str">
        <f>IF(VLOOKUP(dynamic[productID],products[],7,FALSE)=1,"Discontinued","Current")</f>
        <v>Current</v>
      </c>
      <c r="L1520" s="9">
        <f>VLOOKUP(dynamic[productID],products[],IF(YEAR(dynamic[orderDate])=2022,8,IF(YEAR(dynamic[orderDate])=2023,9,IF(YEAR(dynamic[orderDate])=2024,10,NA))),FALSE)</f>
        <v>22.49091154</v>
      </c>
      <c r="M1520" s="9">
        <v>34.0</v>
      </c>
      <c r="N1520" s="25">
        <f>(dynamic[orderPrice]-dynamic[productCost])/dynamic[productCost]</f>
        <v>0.5117217431</v>
      </c>
      <c r="O1520" s="10">
        <v>30.0</v>
      </c>
      <c r="P1520" s="25">
        <v>0.0</v>
      </c>
      <c r="Q1520" s="9">
        <f>dynamic[orderPrice]*dynamic[orderQuantity]</f>
        <v>1020</v>
      </c>
      <c r="R1520" s="9">
        <f>dynamic[orderTotal]*(1-dynamic[discountApllied])</f>
        <v>1020</v>
      </c>
      <c r="S1520" s="9">
        <f>dynamic[revenue]-(dynamic[productCost]*dynamic[orderQuantity])</f>
        <v>345.2726537</v>
      </c>
      <c r="T1520" s="25">
        <f>IFERROR(dynamic[profit]/dynamic[revenue], 0)</f>
        <v>0.3385026017</v>
      </c>
    </row>
    <row r="1521" ht="15.75" customHeight="1">
      <c r="A1521" s="6">
        <v>10830.0</v>
      </c>
      <c r="B1521" s="7" t="s">
        <v>48</v>
      </c>
      <c r="C1521" s="24" t="str">
        <f>VLOOKUP(dynamic[customerID],customers[],2,FALSE)</f>
        <v>Tradição Hipermercados</v>
      </c>
      <c r="D1521" s="24">
        <v>45304.0</v>
      </c>
      <c r="E1521" s="6">
        <f>IFERROR(__xludf.DUMMYFUNCTION("COUNTUNIQUEIFS($A$2:$A1521,$B$2:$B1521,B1521)"),4.0)</f>
        <v>4</v>
      </c>
      <c r="F1521" s="6">
        <f t="shared" si="1"/>
        <v>175</v>
      </c>
      <c r="G1521" s="6" t="str">
        <f>IF(MINIFS(dynamic[orderDate], dynamic[customerID], B1521) &gt;= DATE(2024,4,30)-120, 
     "New", 
     IF(MAXIFS(dynamic[orderCount], dynamic[customerID], B1521)&lt;=2, 
        IF((DATE(2024,4,30) - MAXIFS(dynamic[orderDate], dynamic[customerID], B1521)) &gt; 180, "Non-Returning", "Dormant"), 
        IF(AND(MAX(dynamic[sinceLastOrder]) &gt; 365, (DATE(2024,4,30) - MAXIFS(dynamic[orderDate], dynamic[customerID], B1521)) &gt; 180), 
           "Dormant", "Regular")))</f>
        <v>Regular</v>
      </c>
      <c r="H1521" s="6">
        <v>68.0</v>
      </c>
      <c r="I1521" s="9" t="str">
        <f>VLOOKUP(dynamic[productID],products[],2,FALSE)</f>
        <v>Scottish Longbreads</v>
      </c>
      <c r="J1521" s="9" t="str">
        <f>VLOOKUP(dynamic[productID],products[],12,FALSE)</f>
        <v>Confections</v>
      </c>
      <c r="K1521" s="7" t="str">
        <f>IF(VLOOKUP(dynamic[productID],products[],7,FALSE)=1,"Discontinued","Current")</f>
        <v>Current</v>
      </c>
      <c r="L1521" s="9">
        <f>VLOOKUP(dynamic[productID],products[],IF(YEAR(dynamic[orderDate])=2022,8,IF(YEAR(dynamic[orderDate])=2023,9,IF(YEAR(dynamic[orderDate])=2024,10,NA))),FALSE)</f>
        <v>9.555031708</v>
      </c>
      <c r="M1521" s="9">
        <v>12.5</v>
      </c>
      <c r="N1521" s="25">
        <f>(dynamic[orderPrice]-dynamic[productCost])/dynamic[productCost]</f>
        <v>0.3082112527</v>
      </c>
      <c r="O1521" s="10">
        <v>24.0</v>
      </c>
      <c r="P1521" s="25">
        <v>0.0</v>
      </c>
      <c r="Q1521" s="9">
        <f>dynamic[orderPrice]*dynamic[orderQuantity]</f>
        <v>300</v>
      </c>
      <c r="R1521" s="9">
        <f>dynamic[orderTotal]*(1-dynamic[discountApllied])</f>
        <v>300</v>
      </c>
      <c r="S1521" s="9">
        <f>dynamic[revenue]-(dynamic[productCost]*dynamic[orderQuantity])</f>
        <v>70.67923902</v>
      </c>
      <c r="T1521" s="25">
        <f>IFERROR(dynamic[profit]/dynamic[revenue], 0)</f>
        <v>0.2355974634</v>
      </c>
    </row>
    <row r="1522" ht="15.75" customHeight="1">
      <c r="A1522" s="6">
        <v>10831.0</v>
      </c>
      <c r="B1522" s="7" t="s">
        <v>80</v>
      </c>
      <c r="C1522" s="24" t="str">
        <f>VLOOKUP(dynamic[customerID],customers[],2,FALSE)</f>
        <v>Santé Gourmet</v>
      </c>
      <c r="D1522" s="24">
        <v>45305.0</v>
      </c>
      <c r="E1522" s="6">
        <f>IFERROR(__xludf.DUMMYFUNCTION("COUNTUNIQUEIFS($A$2:$A1522,$B$2:$B1522,B1522)"),4.0)</f>
        <v>4</v>
      </c>
      <c r="F1522" s="6">
        <f t="shared" si="1"/>
        <v>147</v>
      </c>
      <c r="G1522" s="6" t="str">
        <f>IF(MINIFS(dynamic[orderDate], dynamic[customerID], B1522) &gt;= DATE(2024,4,30)-120, 
     "New", 
     IF(MAXIFS(dynamic[orderCount], dynamic[customerID], B1522)&lt;=2, 
        IF((DATE(2024,4,30) - MAXIFS(dynamic[orderDate], dynamic[customerID], B1522)) &gt; 180, "Non-Returning", "Dormant"), 
        IF(AND(MAX(dynamic[sinceLastOrder]) &gt; 365, (DATE(2024,4,30) - MAXIFS(dynamic[orderDate], dynamic[customerID], B1522)) &gt; 180), 
           "Dormant", "Regular")))</f>
        <v>Regular</v>
      </c>
      <c r="H1522" s="6">
        <v>19.0</v>
      </c>
      <c r="I1522" s="9" t="str">
        <f>VLOOKUP(dynamic[productID],products[],2,FALSE)</f>
        <v>Teatime Chocolate Biscuits</v>
      </c>
      <c r="J1522" s="9" t="str">
        <f>VLOOKUP(dynamic[productID],products[],12,FALSE)</f>
        <v>Confections</v>
      </c>
      <c r="K1522" s="7" t="str">
        <f>IF(VLOOKUP(dynamic[productID],products[],7,FALSE)=1,"Discontinued","Current")</f>
        <v>Current</v>
      </c>
      <c r="L1522" s="9">
        <f>VLOOKUP(dynamic[productID],products[],IF(YEAR(dynamic[orderDate])=2022,8,IF(YEAR(dynamic[orderDate])=2023,9,IF(YEAR(dynamic[orderDate])=2024,10,NA))),FALSE)</f>
        <v>6.769656984</v>
      </c>
      <c r="M1522" s="9">
        <v>9.2</v>
      </c>
      <c r="N1522" s="25">
        <f>(dynamic[orderPrice]-dynamic[productCost])/dynamic[productCost]</f>
        <v>0.3590053413</v>
      </c>
      <c r="O1522" s="10">
        <v>2.0</v>
      </c>
      <c r="P1522" s="25">
        <v>0.0</v>
      </c>
      <c r="Q1522" s="9">
        <f>dynamic[orderPrice]*dynamic[orderQuantity]</f>
        <v>18.4</v>
      </c>
      <c r="R1522" s="9">
        <f>dynamic[orderTotal]*(1-dynamic[discountApllied])</f>
        <v>18.4</v>
      </c>
      <c r="S1522" s="9">
        <f>dynamic[revenue]-(dynamic[productCost]*dynamic[orderQuantity])</f>
        <v>4.860686032</v>
      </c>
      <c r="T1522" s="25">
        <f>IFERROR(dynamic[profit]/dynamic[revenue], 0)</f>
        <v>0.2641677191</v>
      </c>
    </row>
    <row r="1523" ht="15.75" customHeight="1">
      <c r="A1523" s="6">
        <v>10831.0</v>
      </c>
      <c r="B1523" s="7" t="s">
        <v>80</v>
      </c>
      <c r="C1523" s="24" t="str">
        <f>VLOOKUP(dynamic[customerID],customers[],2,FALSE)</f>
        <v>Santé Gourmet</v>
      </c>
      <c r="D1523" s="24">
        <v>45305.0</v>
      </c>
      <c r="E1523" s="6">
        <f>IFERROR(__xludf.DUMMYFUNCTION("COUNTUNIQUEIFS($A$2:$A1523,$B$2:$B1523,B1523)"),4.0)</f>
        <v>4</v>
      </c>
      <c r="F1523" s="6">
        <f t="shared" si="1"/>
        <v>147</v>
      </c>
      <c r="G1523" s="6" t="str">
        <f>IF(MINIFS(dynamic[orderDate], dynamic[customerID], B1523) &gt;= DATE(2024,4,30)-120, 
     "New", 
     IF(MAXIFS(dynamic[orderCount], dynamic[customerID], B1523)&lt;=2, 
        IF((DATE(2024,4,30) - MAXIFS(dynamic[orderDate], dynamic[customerID], B1523)) &gt; 180, "Non-Returning", "Dormant"), 
        IF(AND(MAX(dynamic[sinceLastOrder]) &gt; 365, (DATE(2024,4,30) - MAXIFS(dynamic[orderDate], dynamic[customerID], B1523)) &gt; 180), 
           "Dormant", "Regular")))</f>
        <v>Regular</v>
      </c>
      <c r="H1523" s="6">
        <v>35.0</v>
      </c>
      <c r="I1523" s="9" t="str">
        <f>VLOOKUP(dynamic[productID],products[],2,FALSE)</f>
        <v>Cold Brew Nitro</v>
      </c>
      <c r="J1523" s="9" t="str">
        <f>VLOOKUP(dynamic[productID],products[],12,FALSE)</f>
        <v>Beverages</v>
      </c>
      <c r="K1523" s="7" t="str">
        <f>IF(VLOOKUP(dynamic[productID],products[],7,FALSE)=1,"Discontinued","Current")</f>
        <v>Current</v>
      </c>
      <c r="L1523" s="9">
        <f>VLOOKUP(dynamic[productID],products[],IF(YEAR(dynamic[orderDate])=2022,8,IF(YEAR(dynamic[orderDate])=2023,9,IF(YEAR(dynamic[orderDate])=2024,10,NA))),FALSE)</f>
        <v>12.9261692</v>
      </c>
      <c r="M1523" s="9">
        <v>18.0</v>
      </c>
      <c r="N1523" s="25">
        <f>(dynamic[orderPrice]-dynamic[productCost])/dynamic[productCost]</f>
        <v>0.3925239355</v>
      </c>
      <c r="O1523" s="10">
        <v>8.0</v>
      </c>
      <c r="P1523" s="25">
        <v>0.0</v>
      </c>
      <c r="Q1523" s="9">
        <f>dynamic[orderPrice]*dynamic[orderQuantity]</f>
        <v>144</v>
      </c>
      <c r="R1523" s="9">
        <f>dynamic[orderTotal]*(1-dynamic[discountApllied])</f>
        <v>144</v>
      </c>
      <c r="S1523" s="9">
        <f>dynamic[revenue]-(dynamic[productCost]*dynamic[orderQuantity])</f>
        <v>40.59064643</v>
      </c>
      <c r="T1523" s="25">
        <f>IFERROR(dynamic[profit]/dynamic[revenue], 0)</f>
        <v>0.2818794891</v>
      </c>
    </row>
    <row r="1524" ht="15.75" customHeight="1">
      <c r="A1524" s="6">
        <v>10831.0</v>
      </c>
      <c r="B1524" s="7" t="s">
        <v>80</v>
      </c>
      <c r="C1524" s="24" t="str">
        <f>VLOOKUP(dynamic[customerID],customers[],2,FALSE)</f>
        <v>Santé Gourmet</v>
      </c>
      <c r="D1524" s="24">
        <v>45305.0</v>
      </c>
      <c r="E1524" s="6">
        <f>IFERROR(__xludf.DUMMYFUNCTION("COUNTUNIQUEIFS($A$2:$A1524,$B$2:$B1524,B1524)"),4.0)</f>
        <v>4</v>
      </c>
      <c r="F1524" s="6">
        <f t="shared" si="1"/>
        <v>147</v>
      </c>
      <c r="G1524" s="6" t="str">
        <f>IF(MINIFS(dynamic[orderDate], dynamic[customerID], B1524) &gt;= DATE(2024,4,30)-120, 
     "New", 
     IF(MAXIFS(dynamic[orderCount], dynamic[customerID], B1524)&lt;=2, 
        IF((DATE(2024,4,30) - MAXIFS(dynamic[orderDate], dynamic[customerID], B1524)) &gt; 180, "Non-Returning", "Dormant"), 
        IF(AND(MAX(dynamic[sinceLastOrder]) &gt; 365, (DATE(2024,4,30) - MAXIFS(dynamic[orderDate], dynamic[customerID], B1524)) &gt; 180), 
           "Dormant", "Regular")))</f>
        <v>Regular</v>
      </c>
      <c r="H1524" s="6">
        <v>38.0</v>
      </c>
      <c r="I1524" s="9" t="str">
        <f>VLOOKUP(dynamic[productID],products[],2,FALSE)</f>
        <v>Côte de Blaye</v>
      </c>
      <c r="J1524" s="9" t="str">
        <f>VLOOKUP(dynamic[productID],products[],12,FALSE)</f>
        <v>Beverages</v>
      </c>
      <c r="K1524" s="7" t="str">
        <f>IF(VLOOKUP(dynamic[productID],products[],7,FALSE)=1,"Discontinued","Current")</f>
        <v>Current</v>
      </c>
      <c r="L1524" s="9">
        <f>VLOOKUP(dynamic[productID],products[],IF(YEAR(dynamic[orderDate])=2022,8,IF(YEAR(dynamic[orderDate])=2023,9,IF(YEAR(dynamic[orderDate])=2024,10,NA))),FALSE)</f>
        <v>192.1798413</v>
      </c>
      <c r="M1524" s="9">
        <v>263.5</v>
      </c>
      <c r="N1524" s="25">
        <f>(dynamic[orderPrice]-dynamic[productCost])/dynamic[productCost]</f>
        <v>0.3711115493</v>
      </c>
      <c r="O1524" s="10">
        <v>8.0</v>
      </c>
      <c r="P1524" s="25">
        <v>0.0</v>
      </c>
      <c r="Q1524" s="9">
        <f>dynamic[orderPrice]*dynamic[orderQuantity]</f>
        <v>2108</v>
      </c>
      <c r="R1524" s="9">
        <f>dynamic[orderTotal]*(1-dynamic[discountApllied])</f>
        <v>2108</v>
      </c>
      <c r="S1524" s="9">
        <f>dynamic[revenue]-(dynamic[productCost]*dynamic[orderQuantity])</f>
        <v>570.5612693</v>
      </c>
      <c r="T1524" s="25">
        <f>IFERROR(dynamic[profit]/dynamic[revenue], 0)</f>
        <v>0.2706647388</v>
      </c>
    </row>
    <row r="1525" ht="15.75" customHeight="1">
      <c r="A1525" s="6">
        <v>10831.0</v>
      </c>
      <c r="B1525" s="7" t="s">
        <v>80</v>
      </c>
      <c r="C1525" s="24" t="str">
        <f>VLOOKUP(dynamic[customerID],customers[],2,FALSE)</f>
        <v>Santé Gourmet</v>
      </c>
      <c r="D1525" s="24">
        <v>45305.0</v>
      </c>
      <c r="E1525" s="6">
        <f>IFERROR(__xludf.DUMMYFUNCTION("COUNTUNIQUEIFS($A$2:$A1525,$B$2:$B1525,B1525)"),4.0)</f>
        <v>4</v>
      </c>
      <c r="F1525" s="6">
        <f t="shared" si="1"/>
        <v>147</v>
      </c>
      <c r="G1525" s="6" t="str">
        <f>IF(MINIFS(dynamic[orderDate], dynamic[customerID], B1525) &gt;= DATE(2024,4,30)-120, 
     "New", 
     IF(MAXIFS(dynamic[orderCount], dynamic[customerID], B1525)&lt;=2, 
        IF((DATE(2024,4,30) - MAXIFS(dynamic[orderDate], dynamic[customerID], B1525)) &gt; 180, "Non-Returning", "Dormant"), 
        IF(AND(MAX(dynamic[sinceLastOrder]) &gt; 365, (DATE(2024,4,30) - MAXIFS(dynamic[orderDate], dynamic[customerID], B1525)) &gt; 180), 
           "Dormant", "Regular")))</f>
        <v>Regular</v>
      </c>
      <c r="H1525" s="6">
        <v>43.0</v>
      </c>
      <c r="I1525" s="9" t="str">
        <f>VLOOKUP(dynamic[productID],products[],2,FALSE)</f>
        <v>Ipoh Coffee</v>
      </c>
      <c r="J1525" s="9" t="str">
        <f>VLOOKUP(dynamic[productID],products[],12,FALSE)</f>
        <v>Beverages</v>
      </c>
      <c r="K1525" s="7" t="str">
        <f>IF(VLOOKUP(dynamic[productID],products[],7,FALSE)=1,"Discontinued","Current")</f>
        <v>Current</v>
      </c>
      <c r="L1525" s="9">
        <f>VLOOKUP(dynamic[productID],products[],IF(YEAR(dynamic[orderDate])=2022,8,IF(YEAR(dynamic[orderDate])=2023,9,IF(YEAR(dynamic[orderDate])=2024,10,NA))),FALSE)</f>
        <v>30.97984738</v>
      </c>
      <c r="M1525" s="9">
        <v>46.0</v>
      </c>
      <c r="N1525" s="25">
        <f>(dynamic[orderPrice]-dynamic[productCost])/dynamic[productCost]</f>
        <v>0.484836237</v>
      </c>
      <c r="O1525" s="10">
        <v>9.0</v>
      </c>
      <c r="P1525" s="25">
        <v>0.0</v>
      </c>
      <c r="Q1525" s="9">
        <f>dynamic[orderPrice]*dynamic[orderQuantity]</f>
        <v>414</v>
      </c>
      <c r="R1525" s="9">
        <f>dynamic[orderTotal]*(1-dynamic[discountApllied])</f>
        <v>414</v>
      </c>
      <c r="S1525" s="9">
        <f>dynamic[revenue]-(dynamic[productCost]*dynamic[orderQuantity])</f>
        <v>135.1813736</v>
      </c>
      <c r="T1525" s="25">
        <f>IFERROR(dynamic[profit]/dynamic[revenue], 0)</f>
        <v>0.3265250571</v>
      </c>
    </row>
    <row r="1526" ht="15.75" customHeight="1">
      <c r="A1526" s="6">
        <v>10832.0</v>
      </c>
      <c r="B1526" s="7" t="s">
        <v>68</v>
      </c>
      <c r="C1526" s="24" t="str">
        <f>VLOOKUP(dynamic[customerID],customers[],2,FALSE)</f>
        <v>La maison d'Asie</v>
      </c>
      <c r="D1526" s="24">
        <v>45305.0</v>
      </c>
      <c r="E1526" s="6">
        <f>IFERROR(__xludf.DUMMYFUNCTION("COUNTUNIQUEIFS($A$2:$A1526,$B$2:$B1526,B1526)"),12.0)</f>
        <v>12</v>
      </c>
      <c r="F1526" s="6">
        <f t="shared" si="1"/>
        <v>26</v>
      </c>
      <c r="G1526" s="6" t="str">
        <f>IF(MINIFS(dynamic[orderDate], dynamic[customerID], B1526) &gt;= DATE(2024,4,30)-120, 
     "New", 
     IF(MAXIFS(dynamic[orderCount], dynamic[customerID], B1526)&lt;=2, 
        IF((DATE(2024,4,30) - MAXIFS(dynamic[orderDate], dynamic[customerID], B1526)) &gt; 180, "Non-Returning", "Dormant"), 
        IF(AND(MAX(dynamic[sinceLastOrder]) &gt; 365, (DATE(2024,4,30) - MAXIFS(dynamic[orderDate], dynamic[customerID], B1526)) &gt; 180), 
           "Dormant", "Regular")))</f>
        <v>Regular</v>
      </c>
      <c r="H1526" s="6">
        <v>13.0</v>
      </c>
      <c r="I1526" s="9" t="str">
        <f>VLOOKUP(dynamic[productID],products[],2,FALSE)</f>
        <v>Konbu</v>
      </c>
      <c r="J1526" s="9" t="str">
        <f>VLOOKUP(dynamic[productID],products[],12,FALSE)</f>
        <v>Seafood</v>
      </c>
      <c r="K1526" s="7" t="str">
        <f>IF(VLOOKUP(dynamic[productID],products[],7,FALSE)=1,"Discontinued","Current")</f>
        <v>Current</v>
      </c>
      <c r="L1526" s="9">
        <f>VLOOKUP(dynamic[productID],products[],IF(YEAR(dynamic[orderDate])=2022,8,IF(YEAR(dynamic[orderDate])=2023,9,IF(YEAR(dynamic[orderDate])=2024,10,NA))),FALSE)</f>
        <v>3.966387047</v>
      </c>
      <c r="M1526" s="9">
        <v>6.0</v>
      </c>
      <c r="N1526" s="25">
        <f>(dynamic[orderPrice]-dynamic[productCost])/dynamic[productCost]</f>
        <v>0.5127116768</v>
      </c>
      <c r="O1526" s="10">
        <v>3.0</v>
      </c>
      <c r="P1526" s="25">
        <v>0.2</v>
      </c>
      <c r="Q1526" s="9">
        <f>dynamic[orderPrice]*dynamic[orderQuantity]</f>
        <v>18</v>
      </c>
      <c r="R1526" s="9">
        <f>dynamic[orderTotal]*(1-dynamic[discountApllied])</f>
        <v>14.4</v>
      </c>
      <c r="S1526" s="9">
        <f>dynamic[revenue]-(dynamic[productCost]*dynamic[orderQuantity])</f>
        <v>2.50083886</v>
      </c>
      <c r="T1526" s="25">
        <f>IFERROR(dynamic[profit]/dynamic[revenue], 0)</f>
        <v>0.1736693653</v>
      </c>
    </row>
    <row r="1527" ht="15.75" customHeight="1">
      <c r="A1527" s="6">
        <v>10832.0</v>
      </c>
      <c r="B1527" s="7" t="s">
        <v>68</v>
      </c>
      <c r="C1527" s="24" t="str">
        <f>VLOOKUP(dynamic[customerID],customers[],2,FALSE)</f>
        <v>La maison d'Asie</v>
      </c>
      <c r="D1527" s="24">
        <v>45305.0</v>
      </c>
      <c r="E1527" s="6">
        <f>IFERROR(__xludf.DUMMYFUNCTION("COUNTUNIQUEIFS($A$2:$A1527,$B$2:$B1527,B1527)"),12.0)</f>
        <v>12</v>
      </c>
      <c r="F1527" s="6">
        <f t="shared" si="1"/>
        <v>26</v>
      </c>
      <c r="G1527" s="6" t="str">
        <f>IF(MINIFS(dynamic[orderDate], dynamic[customerID], B1527) &gt;= DATE(2024,4,30)-120, 
     "New", 
     IF(MAXIFS(dynamic[orderCount], dynamic[customerID], B1527)&lt;=2, 
        IF((DATE(2024,4,30) - MAXIFS(dynamic[orderDate], dynamic[customerID], B1527)) &gt; 180, "Non-Returning", "Dormant"), 
        IF(AND(MAX(dynamic[sinceLastOrder]) &gt; 365, (DATE(2024,4,30) - MAXIFS(dynamic[orderDate], dynamic[customerID], B1527)) &gt; 180), 
           "Dormant", "Regular")))</f>
        <v>Regular</v>
      </c>
      <c r="H1527" s="6">
        <v>25.0</v>
      </c>
      <c r="I1527" s="9" t="str">
        <f>VLOOKUP(dynamic[productID],products[],2,FALSE)</f>
        <v>HM Köstliche Kaiserschmarrn Knödelchen</v>
      </c>
      <c r="J1527" s="9" t="str">
        <f>VLOOKUP(dynamic[productID],products[],12,FALSE)</f>
        <v>Confections</v>
      </c>
      <c r="K1527" s="7" t="str">
        <f>IF(VLOOKUP(dynamic[productID],products[],7,FALSE)=1,"Discontinued","Current")</f>
        <v>Current</v>
      </c>
      <c r="L1527" s="9">
        <f>VLOOKUP(dynamic[productID],products[],IF(YEAR(dynamic[orderDate])=2022,8,IF(YEAR(dynamic[orderDate])=2023,9,IF(YEAR(dynamic[orderDate])=2024,10,NA))),FALSE)</f>
        <v>8.782270815</v>
      </c>
      <c r="M1527" s="9">
        <v>14.0</v>
      </c>
      <c r="N1527" s="25">
        <f>(dynamic[orderPrice]-dynamic[productCost])/dynamic[productCost]</f>
        <v>0.5941207342</v>
      </c>
      <c r="O1527" s="10">
        <v>10.0</v>
      </c>
      <c r="P1527" s="25">
        <v>0.2</v>
      </c>
      <c r="Q1527" s="9">
        <f>dynamic[orderPrice]*dynamic[orderQuantity]</f>
        <v>140</v>
      </c>
      <c r="R1527" s="9">
        <f>dynamic[orderTotal]*(1-dynamic[discountApllied])</f>
        <v>112</v>
      </c>
      <c r="S1527" s="9">
        <f>dynamic[revenue]-(dynamic[productCost]*dynamic[orderQuantity])</f>
        <v>24.17729185</v>
      </c>
      <c r="T1527" s="25">
        <f>IFERROR(dynamic[profit]/dynamic[revenue], 0)</f>
        <v>0.2158686772</v>
      </c>
    </row>
    <row r="1528" ht="15.75" customHeight="1">
      <c r="A1528" s="6">
        <v>10832.0</v>
      </c>
      <c r="B1528" s="7" t="s">
        <v>68</v>
      </c>
      <c r="C1528" s="24" t="str">
        <f>VLOOKUP(dynamic[customerID],customers[],2,FALSE)</f>
        <v>La maison d'Asie</v>
      </c>
      <c r="D1528" s="24">
        <v>45305.0</v>
      </c>
      <c r="E1528" s="6">
        <f>IFERROR(__xludf.DUMMYFUNCTION("COUNTUNIQUEIFS($A$2:$A1528,$B$2:$B1528,B1528)"),12.0)</f>
        <v>12</v>
      </c>
      <c r="F1528" s="6">
        <f t="shared" si="1"/>
        <v>26</v>
      </c>
      <c r="G1528" s="6" t="str">
        <f>IF(MINIFS(dynamic[orderDate], dynamic[customerID], B1528) &gt;= DATE(2024,4,30)-120, 
     "New", 
     IF(MAXIFS(dynamic[orderCount], dynamic[customerID], B1528)&lt;=2, 
        IF((DATE(2024,4,30) - MAXIFS(dynamic[orderDate], dynamic[customerID], B1528)) &gt; 180, "Non-Returning", "Dormant"), 
        IF(AND(MAX(dynamic[sinceLastOrder]) &gt; 365, (DATE(2024,4,30) - MAXIFS(dynamic[orderDate], dynamic[customerID], B1528)) &gt; 180), 
           "Dormant", "Regular")))</f>
        <v>Regular</v>
      </c>
      <c r="H1528" s="6">
        <v>44.0</v>
      </c>
      <c r="I1528" s="9" t="str">
        <f>VLOOKUP(dynamic[productID],products[],2,FALSE)</f>
        <v>Gula Malacca</v>
      </c>
      <c r="J1528" s="9" t="str">
        <f>VLOOKUP(dynamic[productID],products[],12,FALSE)</f>
        <v>Condiments</v>
      </c>
      <c r="K1528" s="7" t="str">
        <f>IF(VLOOKUP(dynamic[productID],products[],7,FALSE)=1,"Discontinued","Current")</f>
        <v>Current</v>
      </c>
      <c r="L1528" s="9">
        <f>VLOOKUP(dynamic[productID],products[],IF(YEAR(dynamic[orderDate])=2022,8,IF(YEAR(dynamic[orderDate])=2023,9,IF(YEAR(dynamic[orderDate])=2024,10,NA))),FALSE)</f>
        <v>12.27831512</v>
      </c>
      <c r="M1528" s="9">
        <v>19.45</v>
      </c>
      <c r="N1528" s="25">
        <f>(dynamic[orderPrice]-dynamic[productCost])/dynamic[productCost]</f>
        <v>0.5840935672</v>
      </c>
      <c r="O1528" s="10">
        <v>16.0</v>
      </c>
      <c r="P1528" s="25">
        <v>0.2</v>
      </c>
      <c r="Q1528" s="9">
        <f>dynamic[orderPrice]*dynamic[orderQuantity]</f>
        <v>311.2</v>
      </c>
      <c r="R1528" s="9">
        <f>dynamic[orderTotal]*(1-dynamic[discountApllied])</f>
        <v>248.96</v>
      </c>
      <c r="S1528" s="9">
        <f>dynamic[revenue]-(dynamic[productCost]*dynamic[orderQuantity])</f>
        <v>52.50695806</v>
      </c>
      <c r="T1528" s="25">
        <f>IFERROR(dynamic[profit]/dynamic[revenue], 0)</f>
        <v>0.2109051978</v>
      </c>
    </row>
    <row r="1529" ht="15.75" customHeight="1">
      <c r="A1529" s="6">
        <v>10832.0</v>
      </c>
      <c r="B1529" s="7" t="s">
        <v>68</v>
      </c>
      <c r="C1529" s="24" t="str">
        <f>VLOOKUP(dynamic[customerID],customers[],2,FALSE)</f>
        <v>La maison d'Asie</v>
      </c>
      <c r="D1529" s="24">
        <v>45305.0</v>
      </c>
      <c r="E1529" s="6">
        <f>IFERROR(__xludf.DUMMYFUNCTION("COUNTUNIQUEIFS($A$2:$A1529,$B$2:$B1529,B1529)"),12.0)</f>
        <v>12</v>
      </c>
      <c r="F1529" s="6">
        <f t="shared" si="1"/>
        <v>26</v>
      </c>
      <c r="G1529" s="6" t="str">
        <f>IF(MINIFS(dynamic[orderDate], dynamic[customerID], B1529) &gt;= DATE(2024,4,30)-120, 
     "New", 
     IF(MAXIFS(dynamic[orderCount], dynamic[customerID], B1529)&lt;=2, 
        IF((DATE(2024,4,30) - MAXIFS(dynamic[orderDate], dynamic[customerID], B1529)) &gt; 180, "Non-Returning", "Dormant"), 
        IF(AND(MAX(dynamic[sinceLastOrder]) &gt; 365, (DATE(2024,4,30) - MAXIFS(dynamic[orderDate], dynamic[customerID], B1529)) &gt; 180), 
           "Dormant", "Regular")))</f>
        <v>Regular</v>
      </c>
      <c r="H1529" s="6">
        <v>64.0</v>
      </c>
      <c r="I1529" s="9" t="str">
        <f>VLOOKUP(dynamic[productID],products[],2,FALSE)</f>
        <v>Lukas' leckere Sauerteigweggla</v>
      </c>
      <c r="J1529" s="9" t="str">
        <f>VLOOKUP(dynamic[productID],products[],12,FALSE)</f>
        <v>Grains/Cereals</v>
      </c>
      <c r="K1529" s="7" t="str">
        <f>IF(VLOOKUP(dynamic[productID],products[],7,FALSE)=1,"Discontinued","Current")</f>
        <v>Current</v>
      </c>
      <c r="L1529" s="9">
        <f>VLOOKUP(dynamic[productID],products[],IF(YEAR(dynamic[orderDate])=2022,8,IF(YEAR(dynamic[orderDate])=2023,9,IF(YEAR(dynamic[orderDate])=2024,10,NA))),FALSE)</f>
        <v>22.72434276</v>
      </c>
      <c r="M1529" s="9">
        <v>33.25</v>
      </c>
      <c r="N1529" s="25">
        <f>(dynamic[orderPrice]-dynamic[productCost])/dynamic[productCost]</f>
        <v>0.4631886324</v>
      </c>
      <c r="O1529" s="10">
        <v>3.0</v>
      </c>
      <c r="P1529" s="25">
        <v>0.0</v>
      </c>
      <c r="Q1529" s="9">
        <f>dynamic[orderPrice]*dynamic[orderQuantity]</f>
        <v>99.75</v>
      </c>
      <c r="R1529" s="9">
        <f>dynamic[orderTotal]*(1-dynamic[discountApllied])</f>
        <v>99.75</v>
      </c>
      <c r="S1529" s="9">
        <f>dynamic[revenue]-(dynamic[productCost]*dynamic[orderQuantity])</f>
        <v>31.57697173</v>
      </c>
      <c r="T1529" s="25">
        <f>IFERROR(dynamic[profit]/dynamic[revenue], 0)</f>
        <v>0.3165611201</v>
      </c>
    </row>
    <row r="1530" ht="15.75" customHeight="1">
      <c r="A1530" s="6">
        <v>10833.0</v>
      </c>
      <c r="B1530" s="7" t="s">
        <v>26</v>
      </c>
      <c r="C1530" s="24" t="str">
        <f>VLOOKUP(dynamic[customerID],customers[],2,FALSE)</f>
        <v>Ottilies Käseladen</v>
      </c>
      <c r="D1530" s="24">
        <v>45306.0</v>
      </c>
      <c r="E1530" s="6">
        <f>IFERROR(__xludf.DUMMYFUNCTION("COUNTUNIQUEIFS($A$2:$A1530,$B$2:$B1530,B1530)"),8.0)</f>
        <v>8</v>
      </c>
      <c r="F1530" s="6">
        <f t="shared" si="1"/>
        <v>41</v>
      </c>
      <c r="G1530" s="6" t="str">
        <f>IF(MINIFS(dynamic[orderDate], dynamic[customerID], B1530) &gt;= DATE(2024,4,30)-120, 
     "New", 
     IF(MAXIFS(dynamic[orderCount], dynamic[customerID], B1530)&lt;=2, 
        IF((DATE(2024,4,30) - MAXIFS(dynamic[orderDate], dynamic[customerID], B1530)) &gt; 180, "Non-Returning", "Dormant"), 
        IF(AND(MAX(dynamic[sinceLastOrder]) &gt; 365, (DATE(2024,4,30) - MAXIFS(dynamic[orderDate], dynamic[customerID], B1530)) &gt; 180), 
           "Dormant", "Regular")))</f>
        <v>Regular</v>
      </c>
      <c r="H1530" s="6">
        <v>7.0</v>
      </c>
      <c r="I1530" s="9" t="str">
        <f>VLOOKUP(dynamic[productID],products[],2,FALSE)</f>
        <v>Uncle Bob's Organic Dried Pears</v>
      </c>
      <c r="J1530" s="9" t="str">
        <f>VLOOKUP(dynamic[productID],products[],12,FALSE)</f>
        <v>Produce</v>
      </c>
      <c r="K1530" s="7" t="str">
        <f>IF(VLOOKUP(dynamic[productID],products[],7,FALSE)=1,"Discontinued","Current")</f>
        <v>Current</v>
      </c>
      <c r="L1530" s="9">
        <f>VLOOKUP(dynamic[productID],products[],IF(YEAR(dynamic[orderDate])=2022,8,IF(YEAR(dynamic[orderDate])=2023,9,IF(YEAR(dynamic[orderDate])=2024,10,NA))),FALSE)</f>
        <v>23.52222246</v>
      </c>
      <c r="M1530" s="9">
        <v>30.0</v>
      </c>
      <c r="N1530" s="25">
        <f>(dynamic[orderPrice]-dynamic[productCost])/dynamic[productCost]</f>
        <v>0.2753896894</v>
      </c>
      <c r="O1530" s="10">
        <v>20.0</v>
      </c>
      <c r="P1530" s="25">
        <v>0.1</v>
      </c>
      <c r="Q1530" s="9">
        <f>dynamic[orderPrice]*dynamic[orderQuantity]</f>
        <v>600</v>
      </c>
      <c r="R1530" s="9">
        <f>dynamic[orderTotal]*(1-dynamic[discountApllied])</f>
        <v>540</v>
      </c>
      <c r="S1530" s="9">
        <f>dynamic[revenue]-(dynamic[productCost]*dynamic[orderQuantity])</f>
        <v>69.55555074</v>
      </c>
      <c r="T1530" s="25">
        <f>IFERROR(dynamic[profit]/dynamic[revenue], 0)</f>
        <v>0.1288065754</v>
      </c>
    </row>
    <row r="1531" ht="15.75" customHeight="1">
      <c r="A1531" s="6">
        <v>10833.0</v>
      </c>
      <c r="B1531" s="7" t="s">
        <v>26</v>
      </c>
      <c r="C1531" s="24" t="str">
        <f>VLOOKUP(dynamic[customerID],customers[],2,FALSE)</f>
        <v>Ottilies Käseladen</v>
      </c>
      <c r="D1531" s="24">
        <v>45306.0</v>
      </c>
      <c r="E1531" s="6">
        <f>IFERROR(__xludf.DUMMYFUNCTION("COUNTUNIQUEIFS($A$2:$A1531,$B$2:$B1531,B1531)"),8.0)</f>
        <v>8</v>
      </c>
      <c r="F1531" s="6">
        <f t="shared" si="1"/>
        <v>41</v>
      </c>
      <c r="G1531" s="6" t="str">
        <f>IF(MINIFS(dynamic[orderDate], dynamic[customerID], B1531) &gt;= DATE(2024,4,30)-120, 
     "New", 
     IF(MAXIFS(dynamic[orderCount], dynamic[customerID], B1531)&lt;=2, 
        IF((DATE(2024,4,30) - MAXIFS(dynamic[orderDate], dynamic[customerID], B1531)) &gt; 180, "Non-Returning", "Dormant"), 
        IF(AND(MAX(dynamic[sinceLastOrder]) &gt; 365, (DATE(2024,4,30) - MAXIFS(dynamic[orderDate], dynamic[customerID], B1531)) &gt; 180), 
           "Dormant", "Regular")))</f>
        <v>Regular</v>
      </c>
      <c r="H1531" s="6">
        <v>31.0</v>
      </c>
      <c r="I1531" s="9" t="str">
        <f>VLOOKUP(dynamic[productID],products[],2,FALSE)</f>
        <v>Gorgonzola Telino</v>
      </c>
      <c r="J1531" s="9" t="str">
        <f>VLOOKUP(dynamic[productID],products[],12,FALSE)</f>
        <v>Dairy Products</v>
      </c>
      <c r="K1531" s="7" t="str">
        <f>IF(VLOOKUP(dynamic[productID],products[],7,FALSE)=1,"Discontinued","Current")</f>
        <v>Current</v>
      </c>
      <c r="L1531" s="9">
        <f>VLOOKUP(dynamic[productID],products[],IF(YEAR(dynamic[orderDate])=2022,8,IF(YEAR(dynamic[orderDate])=2023,9,IF(YEAR(dynamic[orderDate])=2024,10,NA))),FALSE)</f>
        <v>8.203054392</v>
      </c>
      <c r="M1531" s="9">
        <v>12.5</v>
      </c>
      <c r="N1531" s="25">
        <f>(dynamic[orderPrice]-dynamic[productCost])/dynamic[productCost]</f>
        <v>0.52382264</v>
      </c>
      <c r="O1531" s="10">
        <v>9.0</v>
      </c>
      <c r="P1531" s="25">
        <v>0.1</v>
      </c>
      <c r="Q1531" s="9">
        <f>dynamic[orderPrice]*dynamic[orderQuantity]</f>
        <v>112.5</v>
      </c>
      <c r="R1531" s="9">
        <f>dynamic[orderTotal]*(1-dynamic[discountApllied])</f>
        <v>101.25</v>
      </c>
      <c r="S1531" s="9">
        <f>dynamic[revenue]-(dynamic[productCost]*dynamic[orderQuantity])</f>
        <v>27.42251047</v>
      </c>
      <c r="T1531" s="25">
        <f>IFERROR(dynamic[profit]/dynamic[revenue], 0)</f>
        <v>0.2708396096</v>
      </c>
    </row>
    <row r="1532" ht="15.75" customHeight="1">
      <c r="A1532" s="6">
        <v>10833.0</v>
      </c>
      <c r="B1532" s="7" t="s">
        <v>26</v>
      </c>
      <c r="C1532" s="24" t="str">
        <f>VLOOKUP(dynamic[customerID],customers[],2,FALSE)</f>
        <v>Ottilies Käseladen</v>
      </c>
      <c r="D1532" s="24">
        <v>45306.0</v>
      </c>
      <c r="E1532" s="6">
        <f>IFERROR(__xludf.DUMMYFUNCTION("COUNTUNIQUEIFS($A$2:$A1532,$B$2:$B1532,B1532)"),8.0)</f>
        <v>8</v>
      </c>
      <c r="F1532" s="6">
        <f t="shared" si="1"/>
        <v>41</v>
      </c>
      <c r="G1532" s="6" t="str">
        <f>IF(MINIFS(dynamic[orderDate], dynamic[customerID], B1532) &gt;= DATE(2024,4,30)-120, 
     "New", 
     IF(MAXIFS(dynamic[orderCount], dynamic[customerID], B1532)&lt;=2, 
        IF((DATE(2024,4,30) - MAXIFS(dynamic[orderDate], dynamic[customerID], B1532)) &gt; 180, "Non-Returning", "Dormant"), 
        IF(AND(MAX(dynamic[sinceLastOrder]) &gt; 365, (DATE(2024,4,30) - MAXIFS(dynamic[orderDate], dynamic[customerID], B1532)) &gt; 180), 
           "Dormant", "Regular")))</f>
        <v>Regular</v>
      </c>
      <c r="H1532" s="6">
        <v>53.0</v>
      </c>
      <c r="I1532" s="9" t="str">
        <f>VLOOKUP(dynamic[productID],products[],2,FALSE)</f>
        <v>Perth Pasties</v>
      </c>
      <c r="J1532" s="9" t="str">
        <f>VLOOKUP(dynamic[productID],products[],12,FALSE)</f>
        <v>Meat/Poultry</v>
      </c>
      <c r="K1532" s="7" t="str">
        <f>IF(VLOOKUP(dynamic[productID],products[],7,FALSE)=1,"Discontinued","Current")</f>
        <v>Discontinued</v>
      </c>
      <c r="L1532" s="9">
        <f>VLOOKUP(dynamic[productID],products[],IF(YEAR(dynamic[orderDate])=2022,8,IF(YEAR(dynamic[orderDate])=2023,9,IF(YEAR(dynamic[orderDate])=2024,10,NA))),FALSE)</f>
        <v>22.92637057</v>
      </c>
      <c r="M1532" s="9">
        <v>32.8</v>
      </c>
      <c r="N1532" s="25">
        <f>(dynamic[orderPrice]-dynamic[productCost])/dynamic[productCost]</f>
        <v>0.4306669216</v>
      </c>
      <c r="O1532" s="10">
        <v>9.0</v>
      </c>
      <c r="P1532" s="25">
        <v>0.1</v>
      </c>
      <c r="Q1532" s="9">
        <f>dynamic[orderPrice]*dynamic[orderQuantity]</f>
        <v>295.2</v>
      </c>
      <c r="R1532" s="9">
        <f>dynamic[orderTotal]*(1-dynamic[discountApllied])</f>
        <v>265.68</v>
      </c>
      <c r="S1532" s="9">
        <f>dynamic[revenue]-(dynamic[productCost]*dynamic[orderQuantity])</f>
        <v>59.34266491</v>
      </c>
      <c r="T1532" s="25">
        <f>IFERROR(dynamic[profit]/dynamic[revenue], 0)</f>
        <v>0.2233614307</v>
      </c>
    </row>
    <row r="1533" ht="15.75" customHeight="1">
      <c r="A1533" s="6">
        <v>10834.0</v>
      </c>
      <c r="B1533" s="7" t="s">
        <v>48</v>
      </c>
      <c r="C1533" s="24" t="str">
        <f>VLOOKUP(dynamic[customerID],customers[],2,FALSE)</f>
        <v>Tradição Hipermercados</v>
      </c>
      <c r="D1533" s="24">
        <v>45306.0</v>
      </c>
      <c r="E1533" s="6">
        <f>IFERROR(__xludf.DUMMYFUNCTION("COUNTUNIQUEIFS($A$2:$A1533,$B$2:$B1533,B1533)"),5.0)</f>
        <v>5</v>
      </c>
      <c r="F1533" s="6">
        <f t="shared" si="1"/>
        <v>2</v>
      </c>
      <c r="G1533" s="6" t="str">
        <f>IF(MINIFS(dynamic[orderDate], dynamic[customerID], B1533) &gt;= DATE(2024,4,30)-120, 
     "New", 
     IF(MAXIFS(dynamic[orderCount], dynamic[customerID], B1533)&lt;=2, 
        IF((DATE(2024,4,30) - MAXIFS(dynamic[orderDate], dynamic[customerID], B1533)) &gt; 180, "Non-Returning", "Dormant"), 
        IF(AND(MAX(dynamic[sinceLastOrder]) &gt; 365, (DATE(2024,4,30) - MAXIFS(dynamic[orderDate], dynamic[customerID], B1533)) &gt; 180), 
           "Dormant", "Regular")))</f>
        <v>Regular</v>
      </c>
      <c r="H1533" s="6">
        <v>29.0</v>
      </c>
      <c r="I1533" s="9" t="str">
        <f>VLOOKUP(dynamic[productID],products[],2,FALSE)</f>
        <v>Thüringer Rostbratwurst</v>
      </c>
      <c r="J1533" s="9" t="str">
        <f>VLOOKUP(dynamic[productID],products[],12,FALSE)</f>
        <v>Meat/Poultry</v>
      </c>
      <c r="K1533" s="7" t="str">
        <f>IF(VLOOKUP(dynamic[productID],products[],7,FALSE)=1,"Discontinued","Current")</f>
        <v>Discontinued</v>
      </c>
      <c r="L1533" s="9">
        <f>VLOOKUP(dynamic[productID],products[],IF(YEAR(dynamic[orderDate])=2022,8,IF(YEAR(dynamic[orderDate])=2023,9,IF(YEAR(dynamic[orderDate])=2024,10,NA))),FALSE)</f>
        <v>80.14595973</v>
      </c>
      <c r="M1533" s="9">
        <v>123.79</v>
      </c>
      <c r="N1533" s="25">
        <f>(dynamic[orderPrice]-dynamic[productCost])/dynamic[productCost]</f>
        <v>0.544556961</v>
      </c>
      <c r="O1533" s="10">
        <v>8.0</v>
      </c>
      <c r="P1533" s="25">
        <v>0.05</v>
      </c>
      <c r="Q1533" s="9">
        <f>dynamic[orderPrice]*dynamic[orderQuantity]</f>
        <v>990.32</v>
      </c>
      <c r="R1533" s="9">
        <f>dynamic[orderTotal]*(1-dynamic[discountApllied])</f>
        <v>940.804</v>
      </c>
      <c r="S1533" s="9">
        <f>dynamic[revenue]-(dynamic[productCost]*dynamic[orderQuantity])</f>
        <v>299.6363221</v>
      </c>
      <c r="T1533" s="25">
        <f>IFERROR(dynamic[profit]/dynamic[revenue], 0)</f>
        <v>0.3184896345</v>
      </c>
    </row>
    <row r="1534" ht="15.75" customHeight="1">
      <c r="A1534" s="6">
        <v>10834.0</v>
      </c>
      <c r="B1534" s="7" t="s">
        <v>48</v>
      </c>
      <c r="C1534" s="24" t="str">
        <f>VLOOKUP(dynamic[customerID],customers[],2,FALSE)</f>
        <v>Tradição Hipermercados</v>
      </c>
      <c r="D1534" s="24">
        <v>45306.0</v>
      </c>
      <c r="E1534" s="6">
        <f>IFERROR(__xludf.DUMMYFUNCTION("COUNTUNIQUEIFS($A$2:$A1534,$B$2:$B1534,B1534)"),5.0)</f>
        <v>5</v>
      </c>
      <c r="F1534" s="6">
        <f t="shared" si="1"/>
        <v>2</v>
      </c>
      <c r="G1534" s="6" t="str">
        <f>IF(MINIFS(dynamic[orderDate], dynamic[customerID], B1534) &gt;= DATE(2024,4,30)-120, 
     "New", 
     IF(MAXIFS(dynamic[orderCount], dynamic[customerID], B1534)&lt;=2, 
        IF((DATE(2024,4,30) - MAXIFS(dynamic[orderDate], dynamic[customerID], B1534)) &gt; 180, "Non-Returning", "Dormant"), 
        IF(AND(MAX(dynamic[sinceLastOrder]) &gt; 365, (DATE(2024,4,30) - MAXIFS(dynamic[orderDate], dynamic[customerID], B1534)) &gt; 180), 
           "Dormant", "Regular")))</f>
        <v>Regular</v>
      </c>
      <c r="H1534" s="6">
        <v>30.0</v>
      </c>
      <c r="I1534" s="9" t="str">
        <f>VLOOKUP(dynamic[productID],products[],2,FALSE)</f>
        <v>Nord-Ost Matjeshering</v>
      </c>
      <c r="J1534" s="9" t="str">
        <f>VLOOKUP(dynamic[productID],products[],12,FALSE)</f>
        <v>Seafood</v>
      </c>
      <c r="K1534" s="7" t="str">
        <f>IF(VLOOKUP(dynamic[productID],products[],7,FALSE)=1,"Discontinued","Current")</f>
        <v>Current</v>
      </c>
      <c r="L1534" s="9">
        <f>VLOOKUP(dynamic[productID],products[],IF(YEAR(dynamic[orderDate])=2022,8,IF(YEAR(dynamic[orderDate])=2023,9,IF(YEAR(dynamic[orderDate])=2024,10,NA))),FALSE)</f>
        <v>17.0327851</v>
      </c>
      <c r="M1534" s="9">
        <v>25.89</v>
      </c>
      <c r="N1534" s="25">
        <f>(dynamic[orderPrice]-dynamic[productCost])/dynamic[productCost]</f>
        <v>0.5200097842</v>
      </c>
      <c r="O1534" s="10">
        <v>20.0</v>
      </c>
      <c r="P1534" s="25">
        <v>0.05</v>
      </c>
      <c r="Q1534" s="9">
        <f>dynamic[orderPrice]*dynamic[orderQuantity]</f>
        <v>517.8</v>
      </c>
      <c r="R1534" s="9">
        <f>dynamic[orderTotal]*(1-dynamic[discountApllied])</f>
        <v>491.91</v>
      </c>
      <c r="S1534" s="9">
        <f>dynamic[revenue]-(dynamic[productCost]*dynamic[orderQuantity])</f>
        <v>151.2542981</v>
      </c>
      <c r="T1534" s="25">
        <f>IFERROR(dynamic[profit]/dynamic[revenue], 0)</f>
        <v>0.3074836821</v>
      </c>
    </row>
    <row r="1535" ht="15.75" customHeight="1">
      <c r="A1535" s="6">
        <v>10835.0</v>
      </c>
      <c r="B1535" s="7" t="s">
        <v>100</v>
      </c>
      <c r="C1535" s="24" t="str">
        <f>VLOOKUP(dynamic[customerID],customers[],2,FALSE)</f>
        <v>Alfreds Futterkiste</v>
      </c>
      <c r="D1535" s="24">
        <v>45306.0</v>
      </c>
      <c r="E1535" s="6">
        <f>IFERROR(__xludf.DUMMYFUNCTION("COUNTUNIQUEIFS($A$2:$A1535,$B$2:$B1535,B1535)"),4.0)</f>
        <v>4</v>
      </c>
      <c r="F1535" s="6">
        <f t="shared" si="1"/>
        <v>94</v>
      </c>
      <c r="G1535" s="6" t="str">
        <f>IF(MINIFS(dynamic[orderDate], dynamic[customerID], B1535) &gt;= DATE(2024,4,30)-120, 
     "New", 
     IF(MAXIFS(dynamic[orderCount], dynamic[customerID], B1535)&lt;=2, 
        IF((DATE(2024,4,30) - MAXIFS(dynamic[orderDate], dynamic[customerID], B1535)) &gt; 180, "Non-Returning", "Dormant"), 
        IF(AND(MAX(dynamic[sinceLastOrder]) &gt; 365, (DATE(2024,4,30) - MAXIFS(dynamic[orderDate], dynamic[customerID], B1535)) &gt; 180), 
           "Dormant", "Regular")))</f>
        <v>Regular</v>
      </c>
      <c r="H1535" s="6">
        <v>59.0</v>
      </c>
      <c r="I1535" s="9" t="str">
        <f>VLOOKUP(dynamic[productID],products[],2,FALSE)</f>
        <v>Raclette Courdavault</v>
      </c>
      <c r="J1535" s="9" t="str">
        <f>VLOOKUP(dynamic[productID],products[],12,FALSE)</f>
        <v>Dairy Products</v>
      </c>
      <c r="K1535" s="7" t="str">
        <f>IF(VLOOKUP(dynamic[productID],products[],7,FALSE)=1,"Discontinued","Current")</f>
        <v>Current</v>
      </c>
      <c r="L1535" s="9">
        <f>VLOOKUP(dynamic[productID],products[],IF(YEAR(dynamic[orderDate])=2022,8,IF(YEAR(dynamic[orderDate])=2023,9,IF(YEAR(dynamic[orderDate])=2024,10,NA))),FALSE)</f>
        <v>36.74863711</v>
      </c>
      <c r="M1535" s="9">
        <v>55.0</v>
      </c>
      <c r="N1535" s="25">
        <f>(dynamic[orderPrice]-dynamic[productCost])/dynamic[productCost]</f>
        <v>0.4966541435</v>
      </c>
      <c r="O1535" s="10">
        <v>15.0</v>
      </c>
      <c r="P1535" s="25">
        <v>0.0</v>
      </c>
      <c r="Q1535" s="9">
        <f>dynamic[orderPrice]*dynamic[orderQuantity]</f>
        <v>825</v>
      </c>
      <c r="R1535" s="9">
        <f>dynamic[orderTotal]*(1-dynamic[discountApllied])</f>
        <v>825</v>
      </c>
      <c r="S1535" s="9">
        <f>dynamic[revenue]-(dynamic[productCost]*dynamic[orderQuantity])</f>
        <v>273.7704433</v>
      </c>
      <c r="T1535" s="25">
        <f>IFERROR(dynamic[profit]/dynamic[revenue], 0)</f>
        <v>0.3318429616</v>
      </c>
    </row>
    <row r="1536" ht="15.75" customHeight="1">
      <c r="A1536" s="6">
        <v>10835.0</v>
      </c>
      <c r="B1536" s="7" t="s">
        <v>100</v>
      </c>
      <c r="C1536" s="24" t="str">
        <f>VLOOKUP(dynamic[customerID],customers[],2,FALSE)</f>
        <v>Alfreds Futterkiste</v>
      </c>
      <c r="D1536" s="24">
        <v>45306.0</v>
      </c>
      <c r="E1536" s="6">
        <f>IFERROR(__xludf.DUMMYFUNCTION("COUNTUNIQUEIFS($A$2:$A1536,$B$2:$B1536,B1536)"),4.0)</f>
        <v>4</v>
      </c>
      <c r="F1536" s="6">
        <f t="shared" si="1"/>
        <v>94</v>
      </c>
      <c r="G1536" s="6" t="str">
        <f>IF(MINIFS(dynamic[orderDate], dynamic[customerID], B1536) &gt;= DATE(2024,4,30)-120, 
     "New", 
     IF(MAXIFS(dynamic[orderCount], dynamic[customerID], B1536)&lt;=2, 
        IF((DATE(2024,4,30) - MAXIFS(dynamic[orderDate], dynamic[customerID], B1536)) &gt; 180, "Non-Returning", "Dormant"), 
        IF(AND(MAX(dynamic[sinceLastOrder]) &gt; 365, (DATE(2024,4,30) - MAXIFS(dynamic[orderDate], dynamic[customerID], B1536)) &gt; 180), 
           "Dormant", "Regular")))</f>
        <v>Regular</v>
      </c>
      <c r="H1536" s="6">
        <v>77.0</v>
      </c>
      <c r="I1536" s="9" t="str">
        <f>VLOOKUP(dynamic[productID],products[],2,FALSE)</f>
        <v>Original Frankfurter grüne Soße</v>
      </c>
      <c r="J1536" s="9" t="str">
        <f>VLOOKUP(dynamic[productID],products[],12,FALSE)</f>
        <v>Condiments</v>
      </c>
      <c r="K1536" s="7" t="str">
        <f>IF(VLOOKUP(dynamic[productID],products[],7,FALSE)=1,"Discontinued","Current")</f>
        <v>Current</v>
      </c>
      <c r="L1536" s="9">
        <f>VLOOKUP(dynamic[productID],products[],IF(YEAR(dynamic[orderDate])=2022,8,IF(YEAR(dynamic[orderDate])=2023,9,IF(YEAR(dynamic[orderDate])=2024,10,NA))),FALSE)</f>
        <v>9.299025151</v>
      </c>
      <c r="M1536" s="9">
        <v>13.0</v>
      </c>
      <c r="N1536" s="25">
        <f>(dynamic[orderPrice]-dynamic[productCost])/dynamic[productCost]</f>
        <v>0.3979960037</v>
      </c>
      <c r="O1536" s="10">
        <v>2.0</v>
      </c>
      <c r="P1536" s="25">
        <v>0.2</v>
      </c>
      <c r="Q1536" s="9">
        <f>dynamic[orderPrice]*dynamic[orderQuantity]</f>
        <v>26</v>
      </c>
      <c r="R1536" s="9">
        <f>dynamic[orderTotal]*(1-dynamic[discountApllied])</f>
        <v>20.8</v>
      </c>
      <c r="S1536" s="9">
        <f>dynamic[revenue]-(dynamic[productCost]*dynamic[orderQuantity])</f>
        <v>2.201949697</v>
      </c>
      <c r="T1536" s="25">
        <f>IFERROR(dynamic[profit]/dynamic[revenue], 0)</f>
        <v>0.1058629662</v>
      </c>
    </row>
    <row r="1537" ht="15.75" customHeight="1">
      <c r="A1537" s="6">
        <v>10836.0</v>
      </c>
      <c r="B1537" s="7" t="s">
        <v>24</v>
      </c>
      <c r="C1537" s="24" t="str">
        <f>VLOOKUP(dynamic[customerID],customers[],2,FALSE)</f>
        <v>Ernst Handel</v>
      </c>
      <c r="D1537" s="24">
        <v>45307.0</v>
      </c>
      <c r="E1537" s="6">
        <f>IFERROR(__xludf.DUMMYFUNCTION("COUNTUNIQUEIFS($A$2:$A1537,$B$2:$B1537,B1537)"),22.0)</f>
        <v>22</v>
      </c>
      <c r="F1537" s="6">
        <f t="shared" si="1"/>
        <v>23</v>
      </c>
      <c r="G1537" s="6" t="str">
        <f>IF(MINIFS(dynamic[orderDate], dynamic[customerID], B1537) &gt;= DATE(2024,4,30)-120, 
     "New", 
     IF(MAXIFS(dynamic[orderCount], dynamic[customerID], B1537)&lt;=2, 
        IF((DATE(2024,4,30) - MAXIFS(dynamic[orderDate], dynamic[customerID], B1537)) &gt; 180, "Non-Returning", "Dormant"), 
        IF(AND(MAX(dynamic[sinceLastOrder]) &gt; 365, (DATE(2024,4,30) - MAXIFS(dynamic[orderDate], dynamic[customerID], B1537)) &gt; 180), 
           "Dormant", "Regular")))</f>
        <v>Regular</v>
      </c>
      <c r="H1537" s="6">
        <v>22.0</v>
      </c>
      <c r="I1537" s="9" t="str">
        <f>VLOOKUP(dynamic[productID],products[],2,FALSE)</f>
        <v>Gustaf's Knäckebröd</v>
      </c>
      <c r="J1537" s="9" t="str">
        <f>VLOOKUP(dynamic[productID],products[],12,FALSE)</f>
        <v>Grains/Cereals</v>
      </c>
      <c r="K1537" s="7" t="str">
        <f>IF(VLOOKUP(dynamic[productID],products[],7,FALSE)=1,"Discontinued","Current")</f>
        <v>Current</v>
      </c>
      <c r="L1537" s="9">
        <f>VLOOKUP(dynamic[productID],products[],IF(YEAR(dynamic[orderDate])=2022,8,IF(YEAR(dynamic[orderDate])=2023,9,IF(YEAR(dynamic[orderDate])=2024,10,NA))),FALSE)</f>
        <v>16.3916268</v>
      </c>
      <c r="M1537" s="9">
        <v>21.0</v>
      </c>
      <c r="N1537" s="25">
        <f>(dynamic[orderPrice]-dynamic[productCost])/dynamic[productCost]</f>
        <v>0.2811419062</v>
      </c>
      <c r="O1537" s="10">
        <v>52.0</v>
      </c>
      <c r="P1537" s="25">
        <v>0.0</v>
      </c>
      <c r="Q1537" s="9">
        <f>dynamic[orderPrice]*dynamic[orderQuantity]</f>
        <v>1092</v>
      </c>
      <c r="R1537" s="9">
        <f>dynamic[orderTotal]*(1-dynamic[discountApllied])</f>
        <v>1092</v>
      </c>
      <c r="S1537" s="9">
        <f>dynamic[revenue]-(dynamic[productCost]*dynamic[orderQuantity])</f>
        <v>239.6354066</v>
      </c>
      <c r="T1537" s="25">
        <f>IFERROR(dynamic[profit]/dynamic[revenue], 0)</f>
        <v>0.219446343</v>
      </c>
    </row>
    <row r="1538" ht="15.75" customHeight="1">
      <c r="A1538" s="6">
        <v>10836.0</v>
      </c>
      <c r="B1538" s="7" t="s">
        <v>24</v>
      </c>
      <c r="C1538" s="24" t="str">
        <f>VLOOKUP(dynamic[customerID],customers[],2,FALSE)</f>
        <v>Ernst Handel</v>
      </c>
      <c r="D1538" s="24">
        <v>45307.0</v>
      </c>
      <c r="E1538" s="6">
        <f>IFERROR(__xludf.DUMMYFUNCTION("COUNTUNIQUEIFS($A$2:$A1538,$B$2:$B1538,B1538)"),22.0)</f>
        <v>22</v>
      </c>
      <c r="F1538" s="6">
        <f t="shared" si="1"/>
        <v>23</v>
      </c>
      <c r="G1538" s="6" t="str">
        <f>IF(MINIFS(dynamic[orderDate], dynamic[customerID], B1538) &gt;= DATE(2024,4,30)-120, 
     "New", 
     IF(MAXIFS(dynamic[orderCount], dynamic[customerID], B1538)&lt;=2, 
        IF((DATE(2024,4,30) - MAXIFS(dynamic[orderDate], dynamic[customerID], B1538)) &gt; 180, "Non-Returning", "Dormant"), 
        IF(AND(MAX(dynamic[sinceLastOrder]) &gt; 365, (DATE(2024,4,30) - MAXIFS(dynamic[orderDate], dynamic[customerID], B1538)) &gt; 180), 
           "Dormant", "Regular")))</f>
        <v>Regular</v>
      </c>
      <c r="H1538" s="6">
        <v>35.0</v>
      </c>
      <c r="I1538" s="9" t="str">
        <f>VLOOKUP(dynamic[productID],products[],2,FALSE)</f>
        <v>Cold Brew Nitro</v>
      </c>
      <c r="J1538" s="9" t="str">
        <f>VLOOKUP(dynamic[productID],products[],12,FALSE)</f>
        <v>Beverages</v>
      </c>
      <c r="K1538" s="7" t="str">
        <f>IF(VLOOKUP(dynamic[productID],products[],7,FALSE)=1,"Discontinued","Current")</f>
        <v>Current</v>
      </c>
      <c r="L1538" s="9">
        <f>VLOOKUP(dynamic[productID],products[],IF(YEAR(dynamic[orderDate])=2022,8,IF(YEAR(dynamic[orderDate])=2023,9,IF(YEAR(dynamic[orderDate])=2024,10,NA))),FALSE)</f>
        <v>12.9261692</v>
      </c>
      <c r="M1538" s="9">
        <v>18.0</v>
      </c>
      <c r="N1538" s="25">
        <f>(dynamic[orderPrice]-dynamic[productCost])/dynamic[productCost]</f>
        <v>0.3925239355</v>
      </c>
      <c r="O1538" s="10">
        <v>6.0</v>
      </c>
      <c r="P1538" s="25">
        <v>0.0</v>
      </c>
      <c r="Q1538" s="9">
        <f>dynamic[orderPrice]*dynamic[orderQuantity]</f>
        <v>108</v>
      </c>
      <c r="R1538" s="9">
        <f>dynamic[orderTotal]*(1-dynamic[discountApllied])</f>
        <v>108</v>
      </c>
      <c r="S1538" s="9">
        <f>dynamic[revenue]-(dynamic[productCost]*dynamic[orderQuantity])</f>
        <v>30.44298482</v>
      </c>
      <c r="T1538" s="25">
        <f>IFERROR(dynamic[profit]/dynamic[revenue], 0)</f>
        <v>0.2818794891</v>
      </c>
    </row>
    <row r="1539" ht="15.75" customHeight="1">
      <c r="A1539" s="6">
        <v>10836.0</v>
      </c>
      <c r="B1539" s="7" t="s">
        <v>24</v>
      </c>
      <c r="C1539" s="24" t="str">
        <f>VLOOKUP(dynamic[customerID],customers[],2,FALSE)</f>
        <v>Ernst Handel</v>
      </c>
      <c r="D1539" s="24">
        <v>45307.0</v>
      </c>
      <c r="E1539" s="6">
        <f>IFERROR(__xludf.DUMMYFUNCTION("COUNTUNIQUEIFS($A$2:$A1539,$B$2:$B1539,B1539)"),22.0)</f>
        <v>22</v>
      </c>
      <c r="F1539" s="6">
        <f t="shared" si="1"/>
        <v>23</v>
      </c>
      <c r="G1539" s="6" t="str">
        <f>IF(MINIFS(dynamic[orderDate], dynamic[customerID], B1539) &gt;= DATE(2024,4,30)-120, 
     "New", 
     IF(MAXIFS(dynamic[orderCount], dynamic[customerID], B1539)&lt;=2, 
        IF((DATE(2024,4,30) - MAXIFS(dynamic[orderDate], dynamic[customerID], B1539)) &gt; 180, "Non-Returning", "Dormant"), 
        IF(AND(MAX(dynamic[sinceLastOrder]) &gt; 365, (DATE(2024,4,30) - MAXIFS(dynamic[orderDate], dynamic[customerID], B1539)) &gt; 180), 
           "Dormant", "Regular")))</f>
        <v>Regular</v>
      </c>
      <c r="H1539" s="6">
        <v>57.0</v>
      </c>
      <c r="I1539" s="9" t="str">
        <f>VLOOKUP(dynamic[productID],products[],2,FALSE)</f>
        <v>Ravioli Angelo</v>
      </c>
      <c r="J1539" s="9" t="str">
        <f>VLOOKUP(dynamic[productID],products[],12,FALSE)</f>
        <v>Grains/Cereals</v>
      </c>
      <c r="K1539" s="7" t="str">
        <f>IF(VLOOKUP(dynamic[productID],products[],7,FALSE)=1,"Discontinued","Current")</f>
        <v>Current</v>
      </c>
      <c r="L1539" s="9">
        <f>VLOOKUP(dynamic[productID],products[],IF(YEAR(dynamic[orderDate])=2022,8,IF(YEAR(dynamic[orderDate])=2023,9,IF(YEAR(dynamic[orderDate])=2024,10,NA))),FALSE)</f>
        <v>14.29534762</v>
      </c>
      <c r="M1539" s="9">
        <v>19.5</v>
      </c>
      <c r="N1539" s="25">
        <f>(dynamic[orderPrice]-dynamic[productCost])/dynamic[productCost]</f>
        <v>0.3640801552</v>
      </c>
      <c r="O1539" s="10">
        <v>24.0</v>
      </c>
      <c r="P1539" s="25">
        <v>0.0</v>
      </c>
      <c r="Q1539" s="9">
        <f>dynamic[orderPrice]*dynamic[orderQuantity]</f>
        <v>468</v>
      </c>
      <c r="R1539" s="9">
        <f>dynamic[orderTotal]*(1-dynamic[discountApllied])</f>
        <v>468</v>
      </c>
      <c r="S1539" s="9">
        <f>dynamic[revenue]-(dynamic[productCost]*dynamic[orderQuantity])</f>
        <v>124.9116571</v>
      </c>
      <c r="T1539" s="25">
        <f>IFERROR(dynamic[profit]/dynamic[revenue], 0)</f>
        <v>0.2669052503</v>
      </c>
    </row>
    <row r="1540" ht="15.75" customHeight="1">
      <c r="A1540" s="6">
        <v>10836.0</v>
      </c>
      <c r="B1540" s="7" t="s">
        <v>24</v>
      </c>
      <c r="C1540" s="24" t="str">
        <f>VLOOKUP(dynamic[customerID],customers[],2,FALSE)</f>
        <v>Ernst Handel</v>
      </c>
      <c r="D1540" s="24">
        <v>45307.0</v>
      </c>
      <c r="E1540" s="6">
        <f>IFERROR(__xludf.DUMMYFUNCTION("COUNTUNIQUEIFS($A$2:$A1540,$B$2:$B1540,B1540)"),22.0)</f>
        <v>22</v>
      </c>
      <c r="F1540" s="6">
        <f t="shared" si="1"/>
        <v>23</v>
      </c>
      <c r="G1540" s="6" t="str">
        <f>IF(MINIFS(dynamic[orderDate], dynamic[customerID], B1540) &gt;= DATE(2024,4,30)-120, 
     "New", 
     IF(MAXIFS(dynamic[orderCount], dynamic[customerID], B1540)&lt;=2, 
        IF((DATE(2024,4,30) - MAXIFS(dynamic[orderDate], dynamic[customerID], B1540)) &gt; 180, "Non-Returning", "Dormant"), 
        IF(AND(MAX(dynamic[sinceLastOrder]) &gt; 365, (DATE(2024,4,30) - MAXIFS(dynamic[orderDate], dynamic[customerID], B1540)) &gt; 180), 
           "Dormant", "Regular")))</f>
        <v>Regular</v>
      </c>
      <c r="H1540" s="6">
        <v>60.0</v>
      </c>
      <c r="I1540" s="9" t="str">
        <f>VLOOKUP(dynamic[productID],products[],2,FALSE)</f>
        <v>Camembert Pierrot</v>
      </c>
      <c r="J1540" s="9" t="str">
        <f>VLOOKUP(dynamic[productID],products[],12,FALSE)</f>
        <v>Dairy Products</v>
      </c>
      <c r="K1540" s="7" t="str">
        <f>IF(VLOOKUP(dynamic[productID],products[],7,FALSE)=1,"Discontinued","Current")</f>
        <v>Current</v>
      </c>
      <c r="L1540" s="9">
        <f>VLOOKUP(dynamic[productID],products[],IF(YEAR(dynamic[orderDate])=2022,8,IF(YEAR(dynamic[orderDate])=2023,9,IF(YEAR(dynamic[orderDate])=2024,10,NA))),FALSE)</f>
        <v>22.49091154</v>
      </c>
      <c r="M1540" s="9">
        <v>34.0</v>
      </c>
      <c r="N1540" s="25">
        <f>(dynamic[orderPrice]-dynamic[productCost])/dynamic[productCost]</f>
        <v>0.5117217431</v>
      </c>
      <c r="O1540" s="10">
        <v>60.0</v>
      </c>
      <c r="P1540" s="25">
        <v>0.0</v>
      </c>
      <c r="Q1540" s="9">
        <f>dynamic[orderPrice]*dynamic[orderQuantity]</f>
        <v>2040</v>
      </c>
      <c r="R1540" s="9">
        <f>dynamic[orderTotal]*(1-dynamic[discountApllied])</f>
        <v>2040</v>
      </c>
      <c r="S1540" s="9">
        <f>dynamic[revenue]-(dynamic[productCost]*dynamic[orderQuantity])</f>
        <v>690.5453075</v>
      </c>
      <c r="T1540" s="25">
        <f>IFERROR(dynamic[profit]/dynamic[revenue], 0)</f>
        <v>0.3385026017</v>
      </c>
    </row>
    <row r="1541" ht="15.75" customHeight="1">
      <c r="A1541" s="6">
        <v>10836.0</v>
      </c>
      <c r="B1541" s="7" t="s">
        <v>24</v>
      </c>
      <c r="C1541" s="24" t="str">
        <f>VLOOKUP(dynamic[customerID],customers[],2,FALSE)</f>
        <v>Ernst Handel</v>
      </c>
      <c r="D1541" s="24">
        <v>45307.0</v>
      </c>
      <c r="E1541" s="6">
        <f>IFERROR(__xludf.DUMMYFUNCTION("COUNTUNIQUEIFS($A$2:$A1541,$B$2:$B1541,B1541)"),22.0)</f>
        <v>22</v>
      </c>
      <c r="F1541" s="6">
        <f t="shared" si="1"/>
        <v>23</v>
      </c>
      <c r="G1541" s="6" t="str">
        <f>IF(MINIFS(dynamic[orderDate], dynamic[customerID], B1541) &gt;= DATE(2024,4,30)-120, 
     "New", 
     IF(MAXIFS(dynamic[orderCount], dynamic[customerID], B1541)&lt;=2, 
        IF((DATE(2024,4,30) - MAXIFS(dynamic[orderDate], dynamic[customerID], B1541)) &gt; 180, "Non-Returning", "Dormant"), 
        IF(AND(MAX(dynamic[sinceLastOrder]) &gt; 365, (DATE(2024,4,30) - MAXIFS(dynamic[orderDate], dynamic[customerID], B1541)) &gt; 180), 
           "Dormant", "Regular")))</f>
        <v>Regular</v>
      </c>
      <c r="H1541" s="6">
        <v>64.0</v>
      </c>
      <c r="I1541" s="9" t="str">
        <f>VLOOKUP(dynamic[productID],products[],2,FALSE)</f>
        <v>Lukas' leckere Sauerteigweggla</v>
      </c>
      <c r="J1541" s="9" t="str">
        <f>VLOOKUP(dynamic[productID],products[],12,FALSE)</f>
        <v>Grains/Cereals</v>
      </c>
      <c r="K1541" s="7" t="str">
        <f>IF(VLOOKUP(dynamic[productID],products[],7,FALSE)=1,"Discontinued","Current")</f>
        <v>Current</v>
      </c>
      <c r="L1541" s="9">
        <f>VLOOKUP(dynamic[productID],products[],IF(YEAR(dynamic[orderDate])=2022,8,IF(YEAR(dynamic[orderDate])=2023,9,IF(YEAR(dynamic[orderDate])=2024,10,NA))),FALSE)</f>
        <v>22.72434276</v>
      </c>
      <c r="M1541" s="9">
        <v>33.25</v>
      </c>
      <c r="N1541" s="25">
        <f>(dynamic[orderPrice]-dynamic[productCost])/dynamic[productCost]</f>
        <v>0.4631886324</v>
      </c>
      <c r="O1541" s="10">
        <v>30.0</v>
      </c>
      <c r="P1541" s="25">
        <v>0.0</v>
      </c>
      <c r="Q1541" s="9">
        <f>dynamic[orderPrice]*dynamic[orderQuantity]</f>
        <v>997.5</v>
      </c>
      <c r="R1541" s="9">
        <f>dynamic[orderTotal]*(1-dynamic[discountApllied])</f>
        <v>997.5</v>
      </c>
      <c r="S1541" s="9">
        <f>dynamic[revenue]-(dynamic[productCost]*dynamic[orderQuantity])</f>
        <v>315.7697173</v>
      </c>
      <c r="T1541" s="25">
        <f>IFERROR(dynamic[profit]/dynamic[revenue], 0)</f>
        <v>0.3165611201</v>
      </c>
    </row>
    <row r="1542" ht="15.75" customHeight="1">
      <c r="A1542" s="6">
        <v>10837.0</v>
      </c>
      <c r="B1542" s="7" t="s">
        <v>40</v>
      </c>
      <c r="C1542" s="24" t="str">
        <f>VLOOKUP(dynamic[customerID],customers[],2,FALSE)</f>
        <v>Berglunds snabbköp</v>
      </c>
      <c r="D1542" s="24">
        <v>45307.0</v>
      </c>
      <c r="E1542" s="6">
        <f>IFERROR(__xludf.DUMMYFUNCTION("COUNTUNIQUEIFS($A$2:$A1542,$B$2:$B1542,B1542)"),14.0)</f>
        <v>14</v>
      </c>
      <c r="F1542" s="6">
        <f t="shared" si="1"/>
        <v>31</v>
      </c>
      <c r="G1542" s="6" t="str">
        <f>IF(MINIFS(dynamic[orderDate], dynamic[customerID], B1542) &gt;= DATE(2024,4,30)-120, 
     "New", 
     IF(MAXIFS(dynamic[orderCount], dynamic[customerID], B1542)&lt;=2, 
        IF((DATE(2024,4,30) - MAXIFS(dynamic[orderDate], dynamic[customerID], B1542)) &gt; 180, "Non-Returning", "Dormant"), 
        IF(AND(MAX(dynamic[sinceLastOrder]) &gt; 365, (DATE(2024,4,30) - MAXIFS(dynamic[orderDate], dynamic[customerID], B1542)) &gt; 180), 
           "Dormant", "Regular")))</f>
        <v>Regular</v>
      </c>
      <c r="H1542" s="6">
        <v>13.0</v>
      </c>
      <c r="I1542" s="9" t="str">
        <f>VLOOKUP(dynamic[productID],products[],2,FALSE)</f>
        <v>Konbu</v>
      </c>
      <c r="J1542" s="9" t="str">
        <f>VLOOKUP(dynamic[productID],products[],12,FALSE)</f>
        <v>Seafood</v>
      </c>
      <c r="K1542" s="7" t="str">
        <f>IF(VLOOKUP(dynamic[productID],products[],7,FALSE)=1,"Discontinued","Current")</f>
        <v>Current</v>
      </c>
      <c r="L1542" s="9">
        <f>VLOOKUP(dynamic[productID],products[],IF(YEAR(dynamic[orderDate])=2022,8,IF(YEAR(dynamic[orderDate])=2023,9,IF(YEAR(dynamic[orderDate])=2024,10,NA))),FALSE)</f>
        <v>3.966387047</v>
      </c>
      <c r="M1542" s="9">
        <v>6.0</v>
      </c>
      <c r="N1542" s="25">
        <f>(dynamic[orderPrice]-dynamic[productCost])/dynamic[productCost]</f>
        <v>0.5127116768</v>
      </c>
      <c r="O1542" s="10">
        <v>6.0</v>
      </c>
      <c r="P1542" s="25">
        <v>0.0</v>
      </c>
      <c r="Q1542" s="9">
        <f>dynamic[orderPrice]*dynamic[orderQuantity]</f>
        <v>36</v>
      </c>
      <c r="R1542" s="9">
        <f>dynamic[orderTotal]*(1-dynamic[discountApllied])</f>
        <v>36</v>
      </c>
      <c r="S1542" s="9">
        <f>dynamic[revenue]-(dynamic[productCost]*dynamic[orderQuantity])</f>
        <v>12.20167772</v>
      </c>
      <c r="T1542" s="25">
        <f>IFERROR(dynamic[profit]/dynamic[revenue], 0)</f>
        <v>0.3389354922</v>
      </c>
    </row>
    <row r="1543" ht="15.75" customHeight="1">
      <c r="A1543" s="6">
        <v>10837.0</v>
      </c>
      <c r="B1543" s="7" t="s">
        <v>40</v>
      </c>
      <c r="C1543" s="24" t="str">
        <f>VLOOKUP(dynamic[customerID],customers[],2,FALSE)</f>
        <v>Berglunds snabbköp</v>
      </c>
      <c r="D1543" s="24">
        <v>45307.0</v>
      </c>
      <c r="E1543" s="6">
        <f>IFERROR(__xludf.DUMMYFUNCTION("COUNTUNIQUEIFS($A$2:$A1543,$B$2:$B1543,B1543)"),14.0)</f>
        <v>14</v>
      </c>
      <c r="F1543" s="6">
        <f t="shared" si="1"/>
        <v>31</v>
      </c>
      <c r="G1543" s="6" t="str">
        <f>IF(MINIFS(dynamic[orderDate], dynamic[customerID], B1543) &gt;= DATE(2024,4,30)-120, 
     "New", 
     IF(MAXIFS(dynamic[orderCount], dynamic[customerID], B1543)&lt;=2, 
        IF((DATE(2024,4,30) - MAXIFS(dynamic[orderDate], dynamic[customerID], B1543)) &gt; 180, "Non-Returning", "Dormant"), 
        IF(AND(MAX(dynamic[sinceLastOrder]) &gt; 365, (DATE(2024,4,30) - MAXIFS(dynamic[orderDate], dynamic[customerID], B1543)) &gt; 180), 
           "Dormant", "Regular")))</f>
        <v>Regular</v>
      </c>
      <c r="H1543" s="6">
        <v>40.0</v>
      </c>
      <c r="I1543" s="9" t="str">
        <f>VLOOKUP(dynamic[productID],products[],2,FALSE)</f>
        <v>Boston Crab Meat</v>
      </c>
      <c r="J1543" s="9" t="str">
        <f>VLOOKUP(dynamic[productID],products[],12,FALSE)</f>
        <v>Seafood</v>
      </c>
      <c r="K1543" s="7" t="str">
        <f>IF(VLOOKUP(dynamic[productID],products[],7,FALSE)=1,"Discontinued","Current")</f>
        <v>Current</v>
      </c>
      <c r="L1543" s="9">
        <f>VLOOKUP(dynamic[productID],products[],IF(YEAR(dynamic[orderDate])=2022,8,IF(YEAR(dynamic[orderDate])=2023,9,IF(YEAR(dynamic[orderDate])=2024,10,NA))),FALSE)</f>
        <v>12.44307</v>
      </c>
      <c r="M1543" s="9">
        <v>18.4</v>
      </c>
      <c r="N1543" s="25">
        <f>(dynamic[orderPrice]-dynamic[productCost])/dynamic[productCost]</f>
        <v>0.4787347499</v>
      </c>
      <c r="O1543" s="10">
        <v>25.0</v>
      </c>
      <c r="P1543" s="25">
        <v>0.0</v>
      </c>
      <c r="Q1543" s="9">
        <f>dynamic[orderPrice]*dynamic[orderQuantity]</f>
        <v>460</v>
      </c>
      <c r="R1543" s="9">
        <f>dynamic[orderTotal]*(1-dynamic[discountApllied])</f>
        <v>460</v>
      </c>
      <c r="S1543" s="9">
        <f>dynamic[revenue]-(dynamic[productCost]*dynamic[orderQuantity])</f>
        <v>148.9232501</v>
      </c>
      <c r="T1543" s="25">
        <f>IFERROR(dynamic[profit]/dynamic[revenue], 0)</f>
        <v>0.3237461958</v>
      </c>
    </row>
    <row r="1544" ht="15.75" customHeight="1">
      <c r="A1544" s="6">
        <v>10837.0</v>
      </c>
      <c r="B1544" s="7" t="s">
        <v>40</v>
      </c>
      <c r="C1544" s="24" t="str">
        <f>VLOOKUP(dynamic[customerID],customers[],2,FALSE)</f>
        <v>Berglunds snabbköp</v>
      </c>
      <c r="D1544" s="24">
        <v>45307.0</v>
      </c>
      <c r="E1544" s="6">
        <f>IFERROR(__xludf.DUMMYFUNCTION("COUNTUNIQUEIFS($A$2:$A1544,$B$2:$B1544,B1544)"),14.0)</f>
        <v>14</v>
      </c>
      <c r="F1544" s="6">
        <f t="shared" si="1"/>
        <v>31</v>
      </c>
      <c r="G1544" s="6" t="str">
        <f>IF(MINIFS(dynamic[orderDate], dynamic[customerID], B1544) &gt;= DATE(2024,4,30)-120, 
     "New", 
     IF(MAXIFS(dynamic[orderCount], dynamic[customerID], B1544)&lt;=2, 
        IF((DATE(2024,4,30) - MAXIFS(dynamic[orderDate], dynamic[customerID], B1544)) &gt; 180, "Non-Returning", "Dormant"), 
        IF(AND(MAX(dynamic[sinceLastOrder]) &gt; 365, (DATE(2024,4,30) - MAXIFS(dynamic[orderDate], dynamic[customerID], B1544)) &gt; 180), 
           "Dormant", "Regular")))</f>
        <v>Regular</v>
      </c>
      <c r="H1544" s="6">
        <v>47.0</v>
      </c>
      <c r="I1544" s="9" t="str">
        <f>VLOOKUP(dynamic[productID],products[],2,FALSE)</f>
        <v>Zaanse koeken</v>
      </c>
      <c r="J1544" s="9" t="str">
        <f>VLOOKUP(dynamic[productID],products[],12,FALSE)</f>
        <v>Confections</v>
      </c>
      <c r="K1544" s="7" t="str">
        <f>IF(VLOOKUP(dynamic[productID],products[],7,FALSE)=1,"Discontinued","Current")</f>
        <v>Current</v>
      </c>
      <c r="L1544" s="9">
        <f>VLOOKUP(dynamic[productID],products[],IF(YEAR(dynamic[orderDate])=2022,8,IF(YEAR(dynamic[orderDate])=2023,9,IF(YEAR(dynamic[orderDate])=2024,10,NA))),FALSE)</f>
        <v>6.635130774</v>
      </c>
      <c r="M1544" s="9">
        <v>9.5</v>
      </c>
      <c r="N1544" s="25">
        <f>(dynamic[orderPrice]-dynamic[productCost])/dynamic[productCost]</f>
        <v>0.4317728351</v>
      </c>
      <c r="O1544" s="10">
        <v>40.0</v>
      </c>
      <c r="P1544" s="25">
        <v>0.25</v>
      </c>
      <c r="Q1544" s="9">
        <f>dynamic[orderPrice]*dynamic[orderQuantity]</f>
        <v>380</v>
      </c>
      <c r="R1544" s="9">
        <f>dynamic[orderTotal]*(1-dynamic[discountApllied])</f>
        <v>285</v>
      </c>
      <c r="S1544" s="9">
        <f>dynamic[revenue]-(dynamic[productCost]*dynamic[orderQuantity])</f>
        <v>19.59476903</v>
      </c>
      <c r="T1544" s="25">
        <f>IFERROR(dynamic[profit]/dynamic[revenue], 0)</f>
        <v>0.06875357555</v>
      </c>
    </row>
    <row r="1545" ht="15.75" customHeight="1">
      <c r="A1545" s="6">
        <v>10837.0</v>
      </c>
      <c r="B1545" s="7" t="s">
        <v>40</v>
      </c>
      <c r="C1545" s="24" t="str">
        <f>VLOOKUP(dynamic[customerID],customers[],2,FALSE)</f>
        <v>Berglunds snabbköp</v>
      </c>
      <c r="D1545" s="24">
        <v>45307.0</v>
      </c>
      <c r="E1545" s="6">
        <f>IFERROR(__xludf.DUMMYFUNCTION("COUNTUNIQUEIFS($A$2:$A1545,$B$2:$B1545,B1545)"),14.0)</f>
        <v>14</v>
      </c>
      <c r="F1545" s="6">
        <f t="shared" si="1"/>
        <v>31</v>
      </c>
      <c r="G1545" s="6" t="str">
        <f>IF(MINIFS(dynamic[orderDate], dynamic[customerID], B1545) &gt;= DATE(2024,4,30)-120, 
     "New", 
     IF(MAXIFS(dynamic[orderCount], dynamic[customerID], B1545)&lt;=2, 
        IF((DATE(2024,4,30) - MAXIFS(dynamic[orderDate], dynamic[customerID], B1545)) &gt; 180, "Non-Returning", "Dormant"), 
        IF(AND(MAX(dynamic[sinceLastOrder]) &gt; 365, (DATE(2024,4,30) - MAXIFS(dynamic[orderDate], dynamic[customerID], B1545)) &gt; 180), 
           "Dormant", "Regular")))</f>
        <v>Regular</v>
      </c>
      <c r="H1545" s="6">
        <v>76.0</v>
      </c>
      <c r="I1545" s="9" t="str">
        <f>VLOOKUP(dynamic[productID],products[],2,FALSE)</f>
        <v>Lakkalikööri</v>
      </c>
      <c r="J1545" s="9" t="str">
        <f>VLOOKUP(dynamic[productID],products[],12,FALSE)</f>
        <v>Beverages</v>
      </c>
      <c r="K1545" s="7" t="str">
        <f>IF(VLOOKUP(dynamic[productID],products[],7,FALSE)=1,"Discontinued","Current")</f>
        <v>Current</v>
      </c>
      <c r="L1545" s="9">
        <f>VLOOKUP(dynamic[productID],products[],IF(YEAR(dynamic[orderDate])=2022,8,IF(YEAR(dynamic[orderDate])=2023,9,IF(YEAR(dynamic[orderDate])=2024,10,NA))),FALSE)</f>
        <v>12.15832249</v>
      </c>
      <c r="M1545" s="9">
        <v>18.0</v>
      </c>
      <c r="N1545" s="25">
        <f>(dynamic[orderPrice]-dynamic[productCost])/dynamic[productCost]</f>
        <v>0.4804673928</v>
      </c>
      <c r="O1545" s="10">
        <v>21.0</v>
      </c>
      <c r="P1545" s="25">
        <v>0.25</v>
      </c>
      <c r="Q1545" s="9">
        <f>dynamic[orderPrice]*dynamic[orderQuantity]</f>
        <v>378</v>
      </c>
      <c r="R1545" s="9">
        <f>dynamic[orderTotal]*(1-dynamic[discountApllied])</f>
        <v>283.5</v>
      </c>
      <c r="S1545" s="9">
        <f>dynamic[revenue]-(dynamic[productCost]*dynamic[orderQuantity])</f>
        <v>28.17522768</v>
      </c>
      <c r="T1545" s="25">
        <f>IFERROR(dynamic[profit]/dynamic[revenue], 0)</f>
        <v>0.09938351916</v>
      </c>
    </row>
    <row r="1546" ht="15.75" customHeight="1">
      <c r="A1546" s="6">
        <v>10838.0</v>
      </c>
      <c r="B1546" s="7" t="s">
        <v>82</v>
      </c>
      <c r="C1546" s="24" t="str">
        <f>VLOOKUP(dynamic[customerID],customers[],2,FALSE)</f>
        <v>LINO-Delicateses</v>
      </c>
      <c r="D1546" s="24">
        <v>45310.0</v>
      </c>
      <c r="E1546" s="6">
        <f>IFERROR(__xludf.DUMMYFUNCTION("COUNTUNIQUEIFS($A$2:$A1546,$B$2:$B1546,B1546)"),7.0)</f>
        <v>7</v>
      </c>
      <c r="F1546" s="6">
        <f t="shared" si="1"/>
        <v>17</v>
      </c>
      <c r="G1546" s="6" t="str">
        <f>IF(MINIFS(dynamic[orderDate], dynamic[customerID], B1546) &gt;= DATE(2024,4,30)-120, 
     "New", 
     IF(MAXIFS(dynamic[orderCount], dynamic[customerID], B1546)&lt;=2, 
        IF((DATE(2024,4,30) - MAXIFS(dynamic[orderDate], dynamic[customerID], B1546)) &gt; 180, "Non-Returning", "Dormant"), 
        IF(AND(MAX(dynamic[sinceLastOrder]) &gt; 365, (DATE(2024,4,30) - MAXIFS(dynamic[orderDate], dynamic[customerID], B1546)) &gt; 180), 
           "Dormant", "Regular")))</f>
        <v>Regular</v>
      </c>
      <c r="H1546" s="6">
        <v>1.0</v>
      </c>
      <c r="I1546" s="9" t="str">
        <f>VLOOKUP(dynamic[productID],products[],2,FALSE)</f>
        <v>Chai</v>
      </c>
      <c r="J1546" s="9" t="str">
        <f>VLOOKUP(dynamic[productID],products[],12,FALSE)</f>
        <v>Beverages</v>
      </c>
      <c r="K1546" s="7" t="str">
        <f>IF(VLOOKUP(dynamic[productID],products[],7,FALSE)=1,"Discontinued","Current")</f>
        <v>Current</v>
      </c>
      <c r="L1546" s="9">
        <f>VLOOKUP(dynamic[productID],products[],IF(YEAR(dynamic[orderDate])=2022,8,IF(YEAR(dynamic[orderDate])=2023,9,IF(YEAR(dynamic[orderDate])=2024,10,NA))),FALSE)</f>
        <v>12.17757454</v>
      </c>
      <c r="M1546" s="9">
        <v>18.0</v>
      </c>
      <c r="N1546" s="25">
        <f>(dynamic[orderPrice]-dynamic[productCost])/dynamic[productCost]</f>
        <v>0.4781268584</v>
      </c>
      <c r="O1546" s="10">
        <v>4.0</v>
      </c>
      <c r="P1546" s="25">
        <v>0.25</v>
      </c>
      <c r="Q1546" s="9">
        <f>dynamic[orderPrice]*dynamic[orderQuantity]</f>
        <v>72</v>
      </c>
      <c r="R1546" s="9">
        <f>dynamic[orderTotal]*(1-dynamic[discountApllied])</f>
        <v>54</v>
      </c>
      <c r="S1546" s="9">
        <f>dynamic[revenue]-(dynamic[productCost]*dynamic[orderQuantity])</f>
        <v>5.289701833</v>
      </c>
      <c r="T1546" s="25">
        <f>IFERROR(dynamic[profit]/dynamic[revenue], 0)</f>
        <v>0.09795744134</v>
      </c>
    </row>
    <row r="1547" ht="15.75" customHeight="1">
      <c r="A1547" s="6">
        <v>10838.0</v>
      </c>
      <c r="B1547" s="7" t="s">
        <v>82</v>
      </c>
      <c r="C1547" s="24" t="str">
        <f>VLOOKUP(dynamic[customerID],customers[],2,FALSE)</f>
        <v>LINO-Delicateses</v>
      </c>
      <c r="D1547" s="24">
        <v>45310.0</v>
      </c>
      <c r="E1547" s="6">
        <f>IFERROR(__xludf.DUMMYFUNCTION("COUNTUNIQUEIFS($A$2:$A1547,$B$2:$B1547,B1547)"),7.0)</f>
        <v>7</v>
      </c>
      <c r="F1547" s="6">
        <f t="shared" si="1"/>
        <v>17</v>
      </c>
      <c r="G1547" s="6" t="str">
        <f>IF(MINIFS(dynamic[orderDate], dynamic[customerID], B1547) &gt;= DATE(2024,4,30)-120, 
     "New", 
     IF(MAXIFS(dynamic[orderCount], dynamic[customerID], B1547)&lt;=2, 
        IF((DATE(2024,4,30) - MAXIFS(dynamic[orderDate], dynamic[customerID], B1547)) &gt; 180, "Non-Returning", "Dormant"), 
        IF(AND(MAX(dynamic[sinceLastOrder]) &gt; 365, (DATE(2024,4,30) - MAXIFS(dynamic[orderDate], dynamic[customerID], B1547)) &gt; 180), 
           "Dormant", "Regular")))</f>
        <v>Regular</v>
      </c>
      <c r="H1547" s="6">
        <v>18.0</v>
      </c>
      <c r="I1547" s="9" t="str">
        <f>VLOOKUP(dynamic[productID],products[],2,FALSE)</f>
        <v>Carnarvon Tigers</v>
      </c>
      <c r="J1547" s="9" t="str">
        <f>VLOOKUP(dynamic[productID],products[],12,FALSE)</f>
        <v>Seafood</v>
      </c>
      <c r="K1547" s="7" t="str">
        <f>IF(VLOOKUP(dynamic[productID],products[],7,FALSE)=1,"Discontinued","Current")</f>
        <v>Current</v>
      </c>
      <c r="L1547" s="9">
        <f>VLOOKUP(dynamic[productID],products[],IF(YEAR(dynamic[orderDate])=2022,8,IF(YEAR(dynamic[orderDate])=2023,9,IF(YEAR(dynamic[orderDate])=2024,10,NA))),FALSE)</f>
        <v>41.27004985</v>
      </c>
      <c r="M1547" s="9">
        <v>62.5</v>
      </c>
      <c r="N1547" s="25">
        <f>(dynamic[orderPrice]-dynamic[productCost])/dynamic[productCost]</f>
        <v>0.5144154231</v>
      </c>
      <c r="O1547" s="10">
        <v>25.0</v>
      </c>
      <c r="P1547" s="25">
        <v>0.25</v>
      </c>
      <c r="Q1547" s="9">
        <f>dynamic[orderPrice]*dynamic[orderQuantity]</f>
        <v>1562.5</v>
      </c>
      <c r="R1547" s="9">
        <f>dynamic[orderTotal]*(1-dynamic[discountApllied])</f>
        <v>1171.875</v>
      </c>
      <c r="S1547" s="9">
        <f>dynamic[revenue]-(dynamic[productCost]*dynamic[orderQuantity])</f>
        <v>140.1237539</v>
      </c>
      <c r="T1547" s="25">
        <f>IFERROR(dynamic[profit]/dynamic[revenue], 0)</f>
        <v>0.11957227</v>
      </c>
    </row>
    <row r="1548" ht="15.75" customHeight="1">
      <c r="A1548" s="6">
        <v>10838.0</v>
      </c>
      <c r="B1548" s="7" t="s">
        <v>82</v>
      </c>
      <c r="C1548" s="24" t="str">
        <f>VLOOKUP(dynamic[customerID],customers[],2,FALSE)</f>
        <v>LINO-Delicateses</v>
      </c>
      <c r="D1548" s="24">
        <v>45310.0</v>
      </c>
      <c r="E1548" s="6">
        <f>IFERROR(__xludf.DUMMYFUNCTION("COUNTUNIQUEIFS($A$2:$A1548,$B$2:$B1548,B1548)"),7.0)</f>
        <v>7</v>
      </c>
      <c r="F1548" s="6">
        <f t="shared" si="1"/>
        <v>17</v>
      </c>
      <c r="G1548" s="6" t="str">
        <f>IF(MINIFS(dynamic[orderDate], dynamic[customerID], B1548) &gt;= DATE(2024,4,30)-120, 
     "New", 
     IF(MAXIFS(dynamic[orderCount], dynamic[customerID], B1548)&lt;=2, 
        IF((DATE(2024,4,30) - MAXIFS(dynamic[orderDate], dynamic[customerID], B1548)) &gt; 180, "Non-Returning", "Dormant"), 
        IF(AND(MAX(dynamic[sinceLastOrder]) &gt; 365, (DATE(2024,4,30) - MAXIFS(dynamic[orderDate], dynamic[customerID], B1548)) &gt; 180), 
           "Dormant", "Regular")))</f>
        <v>Regular</v>
      </c>
      <c r="H1548" s="6">
        <v>36.0</v>
      </c>
      <c r="I1548" s="9" t="str">
        <f>VLOOKUP(dynamic[productID],products[],2,FALSE)</f>
        <v>Inlagd Sill</v>
      </c>
      <c r="J1548" s="9" t="str">
        <f>VLOOKUP(dynamic[productID],products[],12,FALSE)</f>
        <v>Seafood</v>
      </c>
      <c r="K1548" s="7" t="str">
        <f>IF(VLOOKUP(dynamic[productID],products[],7,FALSE)=1,"Discontinued","Current")</f>
        <v>Current</v>
      </c>
      <c r="L1548" s="9">
        <f>VLOOKUP(dynamic[productID],products[],IF(YEAR(dynamic[orderDate])=2022,8,IF(YEAR(dynamic[orderDate])=2023,9,IF(YEAR(dynamic[orderDate])=2024,10,NA))),FALSE)</f>
        <v>11.68525366</v>
      </c>
      <c r="M1548" s="9">
        <v>19.0</v>
      </c>
      <c r="N1548" s="25">
        <f>(dynamic[orderPrice]-dynamic[productCost])/dynamic[productCost]</f>
        <v>0.6259809637</v>
      </c>
      <c r="O1548" s="10">
        <v>50.0</v>
      </c>
      <c r="P1548" s="25">
        <v>0.25</v>
      </c>
      <c r="Q1548" s="9">
        <f>dynamic[orderPrice]*dynamic[orderQuantity]</f>
        <v>950</v>
      </c>
      <c r="R1548" s="9">
        <f>dynamic[orderTotal]*(1-dynamic[discountApllied])</f>
        <v>712.5</v>
      </c>
      <c r="S1548" s="9">
        <f>dynamic[revenue]-(dynamic[productCost]*dynamic[orderQuantity])</f>
        <v>128.2373172</v>
      </c>
      <c r="T1548" s="25">
        <f>IFERROR(dynamic[profit]/dynamic[revenue], 0)</f>
        <v>0.1799821996</v>
      </c>
    </row>
    <row r="1549" ht="15.75" customHeight="1">
      <c r="A1549" s="6">
        <v>10839.0</v>
      </c>
      <c r="B1549" s="7" t="s">
        <v>48</v>
      </c>
      <c r="C1549" s="24" t="str">
        <f>VLOOKUP(dynamic[customerID],customers[],2,FALSE)</f>
        <v>Tradição Hipermercados</v>
      </c>
      <c r="D1549" s="24">
        <v>45310.0</v>
      </c>
      <c r="E1549" s="6">
        <f>IFERROR(__xludf.DUMMYFUNCTION("COUNTUNIQUEIFS($A$2:$A1549,$B$2:$B1549,B1549)"),6.0)</f>
        <v>6</v>
      </c>
      <c r="F1549" s="6">
        <f t="shared" si="1"/>
        <v>4</v>
      </c>
      <c r="G1549" s="6" t="str">
        <f>IF(MINIFS(dynamic[orderDate], dynamic[customerID], B1549) &gt;= DATE(2024,4,30)-120, 
     "New", 
     IF(MAXIFS(dynamic[orderCount], dynamic[customerID], B1549)&lt;=2, 
        IF((DATE(2024,4,30) - MAXIFS(dynamic[orderDate], dynamic[customerID], B1549)) &gt; 180, "Non-Returning", "Dormant"), 
        IF(AND(MAX(dynamic[sinceLastOrder]) &gt; 365, (DATE(2024,4,30) - MAXIFS(dynamic[orderDate], dynamic[customerID], B1549)) &gt; 180), 
           "Dormant", "Regular")))</f>
        <v>Regular</v>
      </c>
      <c r="H1549" s="6">
        <v>58.0</v>
      </c>
      <c r="I1549" s="9" t="str">
        <f>VLOOKUP(dynamic[productID],products[],2,FALSE)</f>
        <v>Escargots de Bourgogne</v>
      </c>
      <c r="J1549" s="9" t="str">
        <f>VLOOKUP(dynamic[productID],products[],12,FALSE)</f>
        <v>Seafood</v>
      </c>
      <c r="K1549" s="7" t="str">
        <f>IF(VLOOKUP(dynamic[productID],products[],7,FALSE)=1,"Discontinued","Current")</f>
        <v>Current</v>
      </c>
      <c r="L1549" s="9">
        <f>VLOOKUP(dynamic[productID],products[],IF(YEAR(dynamic[orderDate])=2022,8,IF(YEAR(dynamic[orderDate])=2023,9,IF(YEAR(dynamic[orderDate])=2024,10,NA))),FALSE)</f>
        <v>8.683102193</v>
      </c>
      <c r="M1549" s="9">
        <v>13.25</v>
      </c>
      <c r="N1549" s="25">
        <f>(dynamic[orderPrice]-dynamic[productCost])/dynamic[productCost]</f>
        <v>0.5259523274</v>
      </c>
      <c r="O1549" s="10">
        <v>30.0</v>
      </c>
      <c r="P1549" s="25">
        <v>0.1</v>
      </c>
      <c r="Q1549" s="9">
        <f>dynamic[orderPrice]*dynamic[orderQuantity]</f>
        <v>397.5</v>
      </c>
      <c r="R1549" s="9">
        <f>dynamic[orderTotal]*(1-dynamic[discountApllied])</f>
        <v>357.75</v>
      </c>
      <c r="S1549" s="9">
        <f>dynamic[revenue]-(dynamic[productCost]*dynamic[orderQuantity])</f>
        <v>97.25693422</v>
      </c>
      <c r="T1549" s="25">
        <f>IFERROR(dynamic[profit]/dynamic[revenue], 0)</f>
        <v>0.2718572585</v>
      </c>
    </row>
    <row r="1550" ht="15.75" customHeight="1">
      <c r="A1550" s="6">
        <v>10839.0</v>
      </c>
      <c r="B1550" s="7" t="s">
        <v>48</v>
      </c>
      <c r="C1550" s="24" t="str">
        <f>VLOOKUP(dynamic[customerID],customers[],2,FALSE)</f>
        <v>Tradição Hipermercados</v>
      </c>
      <c r="D1550" s="24">
        <v>45310.0</v>
      </c>
      <c r="E1550" s="6">
        <f>IFERROR(__xludf.DUMMYFUNCTION("COUNTUNIQUEIFS($A$2:$A1550,$B$2:$B1550,B1550)"),6.0)</f>
        <v>6</v>
      </c>
      <c r="F1550" s="6">
        <f t="shared" si="1"/>
        <v>4</v>
      </c>
      <c r="G1550" s="6" t="str">
        <f>IF(MINIFS(dynamic[orderDate], dynamic[customerID], B1550) &gt;= DATE(2024,4,30)-120, 
     "New", 
     IF(MAXIFS(dynamic[orderCount], dynamic[customerID], B1550)&lt;=2, 
        IF((DATE(2024,4,30) - MAXIFS(dynamic[orderDate], dynamic[customerID], B1550)) &gt; 180, "Non-Returning", "Dormant"), 
        IF(AND(MAX(dynamic[sinceLastOrder]) &gt; 365, (DATE(2024,4,30) - MAXIFS(dynamic[orderDate], dynamic[customerID], B1550)) &gt; 180), 
           "Dormant", "Regular")))</f>
        <v>Regular</v>
      </c>
      <c r="H1550" s="6">
        <v>72.0</v>
      </c>
      <c r="I1550" s="9" t="str">
        <f>VLOOKUP(dynamic[productID],products[],2,FALSE)</f>
        <v>Mozzarella di Giovanni</v>
      </c>
      <c r="J1550" s="9" t="str">
        <f>VLOOKUP(dynamic[productID],products[],12,FALSE)</f>
        <v>Dairy Products</v>
      </c>
      <c r="K1550" s="7" t="str">
        <f>IF(VLOOKUP(dynamic[productID],products[],7,FALSE)=1,"Discontinued","Current")</f>
        <v>Current</v>
      </c>
      <c r="L1550" s="9">
        <f>VLOOKUP(dynamic[productID],products[],IF(YEAR(dynamic[orderDate])=2022,8,IF(YEAR(dynamic[orderDate])=2023,9,IF(YEAR(dynamic[orderDate])=2024,10,NA))),FALSE)</f>
        <v>24.35057898</v>
      </c>
      <c r="M1550" s="9">
        <v>34.8</v>
      </c>
      <c r="N1550" s="25">
        <f>(dynamic[orderPrice]-dynamic[productCost])/dynamic[productCost]</f>
        <v>0.4291241297</v>
      </c>
      <c r="O1550" s="10">
        <v>15.0</v>
      </c>
      <c r="P1550" s="25">
        <v>0.1</v>
      </c>
      <c r="Q1550" s="9">
        <f>dynamic[orderPrice]*dynamic[orderQuantity]</f>
        <v>522</v>
      </c>
      <c r="R1550" s="9">
        <f>dynamic[orderTotal]*(1-dynamic[discountApllied])</f>
        <v>469.8</v>
      </c>
      <c r="S1550" s="9">
        <f>dynamic[revenue]-(dynamic[productCost]*dynamic[orderQuantity])</f>
        <v>104.5413152</v>
      </c>
      <c r="T1550" s="25">
        <f>IFERROR(dynamic[profit]/dynamic[revenue], 0)</f>
        <v>0.2225230209</v>
      </c>
    </row>
    <row r="1551" ht="15.75" customHeight="1">
      <c r="A1551" s="6">
        <v>10840.0</v>
      </c>
      <c r="B1551" s="7" t="s">
        <v>82</v>
      </c>
      <c r="C1551" s="24" t="str">
        <f>VLOOKUP(dynamic[customerID],customers[],2,FALSE)</f>
        <v>LINO-Delicateses</v>
      </c>
      <c r="D1551" s="24">
        <v>45310.0</v>
      </c>
      <c r="E1551" s="6">
        <f>IFERROR(__xludf.DUMMYFUNCTION("COUNTUNIQUEIFS($A$2:$A1551,$B$2:$B1551,B1551)"),8.0)</f>
        <v>8</v>
      </c>
      <c r="F1551" s="6">
        <f t="shared" si="1"/>
        <v>0</v>
      </c>
      <c r="G1551" s="6" t="str">
        <f>IF(MINIFS(dynamic[orderDate], dynamic[customerID], B1551) &gt;= DATE(2024,4,30)-120, 
     "New", 
     IF(MAXIFS(dynamic[orderCount], dynamic[customerID], B1551)&lt;=2, 
        IF((DATE(2024,4,30) - MAXIFS(dynamic[orderDate], dynamic[customerID], B1551)) &gt; 180, "Non-Returning", "Dormant"), 
        IF(AND(MAX(dynamic[sinceLastOrder]) &gt; 365, (DATE(2024,4,30) - MAXIFS(dynamic[orderDate], dynamic[customerID], B1551)) &gt; 180), 
           "Dormant", "Regular")))</f>
        <v>Regular</v>
      </c>
      <c r="H1551" s="6">
        <v>25.0</v>
      </c>
      <c r="I1551" s="9" t="str">
        <f>VLOOKUP(dynamic[productID],products[],2,FALSE)</f>
        <v>HM Köstliche Kaiserschmarrn Knödelchen</v>
      </c>
      <c r="J1551" s="9" t="str">
        <f>VLOOKUP(dynamic[productID],products[],12,FALSE)</f>
        <v>Confections</v>
      </c>
      <c r="K1551" s="7" t="str">
        <f>IF(VLOOKUP(dynamic[productID],products[],7,FALSE)=1,"Discontinued","Current")</f>
        <v>Current</v>
      </c>
      <c r="L1551" s="9">
        <f>VLOOKUP(dynamic[productID],products[],IF(YEAR(dynamic[orderDate])=2022,8,IF(YEAR(dynamic[orderDate])=2023,9,IF(YEAR(dynamic[orderDate])=2024,10,NA))),FALSE)</f>
        <v>8.782270815</v>
      </c>
      <c r="M1551" s="9">
        <v>14.0</v>
      </c>
      <c r="N1551" s="25">
        <f>(dynamic[orderPrice]-dynamic[productCost])/dynamic[productCost]</f>
        <v>0.5941207342</v>
      </c>
      <c r="O1551" s="10">
        <v>6.0</v>
      </c>
      <c r="P1551" s="25">
        <v>0.2</v>
      </c>
      <c r="Q1551" s="9">
        <f>dynamic[orderPrice]*dynamic[orderQuantity]</f>
        <v>84</v>
      </c>
      <c r="R1551" s="9">
        <f>dynamic[orderTotal]*(1-dynamic[discountApllied])</f>
        <v>67.2</v>
      </c>
      <c r="S1551" s="9">
        <f>dynamic[revenue]-(dynamic[productCost]*dynamic[orderQuantity])</f>
        <v>14.50637511</v>
      </c>
      <c r="T1551" s="25">
        <f>IFERROR(dynamic[profit]/dynamic[revenue], 0)</f>
        <v>0.2158686772</v>
      </c>
    </row>
    <row r="1552" ht="15.75" customHeight="1">
      <c r="A1552" s="6">
        <v>10840.0</v>
      </c>
      <c r="B1552" s="7" t="s">
        <v>82</v>
      </c>
      <c r="C1552" s="24" t="str">
        <f>VLOOKUP(dynamic[customerID],customers[],2,FALSE)</f>
        <v>LINO-Delicateses</v>
      </c>
      <c r="D1552" s="24">
        <v>45310.0</v>
      </c>
      <c r="E1552" s="6">
        <f>IFERROR(__xludf.DUMMYFUNCTION("COUNTUNIQUEIFS($A$2:$A1552,$B$2:$B1552,B1552)"),8.0)</f>
        <v>8</v>
      </c>
      <c r="F1552" s="6">
        <f t="shared" si="1"/>
        <v>0</v>
      </c>
      <c r="G1552" s="6" t="str">
        <f>IF(MINIFS(dynamic[orderDate], dynamic[customerID], B1552) &gt;= DATE(2024,4,30)-120, 
     "New", 
     IF(MAXIFS(dynamic[orderCount], dynamic[customerID], B1552)&lt;=2, 
        IF((DATE(2024,4,30) - MAXIFS(dynamic[orderDate], dynamic[customerID], B1552)) &gt; 180, "Non-Returning", "Dormant"), 
        IF(AND(MAX(dynamic[sinceLastOrder]) &gt; 365, (DATE(2024,4,30) - MAXIFS(dynamic[orderDate], dynamic[customerID], B1552)) &gt; 180), 
           "Dormant", "Regular")))</f>
        <v>Regular</v>
      </c>
      <c r="H1552" s="6">
        <v>39.0</v>
      </c>
      <c r="I1552" s="9" t="str">
        <f>VLOOKUP(dynamic[productID],products[],2,FALSE)</f>
        <v>Chartreuse verte</v>
      </c>
      <c r="J1552" s="9" t="str">
        <f>VLOOKUP(dynamic[productID],products[],12,FALSE)</f>
        <v>Beverages</v>
      </c>
      <c r="K1552" s="7" t="str">
        <f>IF(VLOOKUP(dynamic[productID],products[],7,FALSE)=1,"Discontinued","Current")</f>
        <v>Current</v>
      </c>
      <c r="L1552" s="9">
        <f>VLOOKUP(dynamic[productID],products[],IF(YEAR(dynamic[orderDate])=2022,8,IF(YEAR(dynamic[orderDate])=2023,9,IF(YEAR(dynamic[orderDate])=2024,10,NA))),FALSE)</f>
        <v>12.3017224</v>
      </c>
      <c r="M1552" s="9">
        <v>18.0</v>
      </c>
      <c r="N1552" s="25">
        <f>(dynamic[orderPrice]-dynamic[productCost])/dynamic[productCost]</f>
        <v>0.4632097374</v>
      </c>
      <c r="O1552" s="10">
        <v>10.0</v>
      </c>
      <c r="P1552" s="25">
        <v>0.2</v>
      </c>
      <c r="Q1552" s="9">
        <f>dynamic[orderPrice]*dynamic[orderQuantity]</f>
        <v>180</v>
      </c>
      <c r="R1552" s="9">
        <f>dynamic[orderTotal]*(1-dynamic[discountApllied])</f>
        <v>144</v>
      </c>
      <c r="S1552" s="9">
        <f>dynamic[revenue]-(dynamic[productCost]*dynamic[orderQuantity])</f>
        <v>20.98277602</v>
      </c>
      <c r="T1552" s="25">
        <f>IFERROR(dynamic[profit]/dynamic[revenue], 0)</f>
        <v>0.1457137223</v>
      </c>
    </row>
    <row r="1553" ht="15.75" customHeight="1">
      <c r="A1553" s="6">
        <v>10841.0</v>
      </c>
      <c r="B1553" s="7" t="s">
        <v>19</v>
      </c>
      <c r="C1553" s="24" t="str">
        <f>VLOOKUP(dynamic[customerID],customers[],2,FALSE)</f>
        <v>Suprêmes délices</v>
      </c>
      <c r="D1553" s="24">
        <v>45311.0</v>
      </c>
      <c r="E1553" s="6">
        <f>IFERROR(__xludf.DUMMYFUNCTION("COUNTUNIQUEIFS($A$2:$A1553,$B$2:$B1553,B1553)"),7.0)</f>
        <v>7</v>
      </c>
      <c r="F1553" s="6">
        <f t="shared" si="1"/>
        <v>46</v>
      </c>
      <c r="G1553" s="6" t="str">
        <f>IF(MINIFS(dynamic[orderDate], dynamic[customerID], B1553) &gt;= DATE(2024,4,30)-120, 
     "New", 
     IF(MAXIFS(dynamic[orderCount], dynamic[customerID], B1553)&lt;=2, 
        IF((DATE(2024,4,30) - MAXIFS(dynamic[orderDate], dynamic[customerID], B1553)) &gt; 180, "Non-Returning", "Dormant"), 
        IF(AND(MAX(dynamic[sinceLastOrder]) &gt; 365, (DATE(2024,4,30) - MAXIFS(dynamic[orderDate], dynamic[customerID], B1553)) &gt; 180), 
           "Dormant", "Regular")))</f>
        <v>Regular</v>
      </c>
      <c r="H1553" s="6">
        <v>10.0</v>
      </c>
      <c r="I1553" s="9" t="str">
        <f>VLOOKUP(dynamic[productID],products[],2,FALSE)</f>
        <v>Ikura</v>
      </c>
      <c r="J1553" s="9" t="str">
        <f>VLOOKUP(dynamic[productID],products[],12,FALSE)</f>
        <v>Seafood</v>
      </c>
      <c r="K1553" s="7" t="str">
        <f>IF(VLOOKUP(dynamic[productID],products[],7,FALSE)=1,"Discontinued","Current")</f>
        <v>Current</v>
      </c>
      <c r="L1553" s="9">
        <f>VLOOKUP(dynamic[productID],products[],IF(YEAR(dynamic[orderDate])=2022,8,IF(YEAR(dynamic[orderDate])=2023,9,IF(YEAR(dynamic[orderDate])=2024,10,NA))),FALSE)</f>
        <v>20.90394627</v>
      </c>
      <c r="M1553" s="9">
        <v>31.0</v>
      </c>
      <c r="N1553" s="25">
        <f>(dynamic[orderPrice]-dynamic[productCost])/dynamic[productCost]</f>
        <v>0.4829735786</v>
      </c>
      <c r="O1553" s="10">
        <v>16.0</v>
      </c>
      <c r="P1553" s="25">
        <v>0.0</v>
      </c>
      <c r="Q1553" s="9">
        <f>dynamic[orderPrice]*dynamic[orderQuantity]</f>
        <v>496</v>
      </c>
      <c r="R1553" s="9">
        <f>dynamic[orderTotal]*(1-dynamic[discountApllied])</f>
        <v>496</v>
      </c>
      <c r="S1553" s="9">
        <f>dynamic[revenue]-(dynamic[productCost]*dynamic[orderQuantity])</f>
        <v>161.5368598</v>
      </c>
      <c r="T1553" s="25">
        <f>IFERROR(dynamic[profit]/dynamic[revenue], 0)</f>
        <v>0.3256791527</v>
      </c>
    </row>
    <row r="1554" ht="15.75" customHeight="1">
      <c r="A1554" s="6">
        <v>10841.0</v>
      </c>
      <c r="B1554" s="7" t="s">
        <v>19</v>
      </c>
      <c r="C1554" s="24" t="str">
        <f>VLOOKUP(dynamic[customerID],customers[],2,FALSE)</f>
        <v>Suprêmes délices</v>
      </c>
      <c r="D1554" s="24">
        <v>45311.0</v>
      </c>
      <c r="E1554" s="6">
        <f>IFERROR(__xludf.DUMMYFUNCTION("COUNTUNIQUEIFS($A$2:$A1554,$B$2:$B1554,B1554)"),7.0)</f>
        <v>7</v>
      </c>
      <c r="F1554" s="6">
        <f t="shared" si="1"/>
        <v>46</v>
      </c>
      <c r="G1554" s="6" t="str">
        <f>IF(MINIFS(dynamic[orderDate], dynamic[customerID], B1554) &gt;= DATE(2024,4,30)-120, 
     "New", 
     IF(MAXIFS(dynamic[orderCount], dynamic[customerID], B1554)&lt;=2, 
        IF((DATE(2024,4,30) - MAXIFS(dynamic[orderDate], dynamic[customerID], B1554)) &gt; 180, "Non-Returning", "Dormant"), 
        IF(AND(MAX(dynamic[sinceLastOrder]) &gt; 365, (DATE(2024,4,30) - MAXIFS(dynamic[orderDate], dynamic[customerID], B1554)) &gt; 180), 
           "Dormant", "Regular")))</f>
        <v>Regular</v>
      </c>
      <c r="H1554" s="6">
        <v>56.0</v>
      </c>
      <c r="I1554" s="9" t="str">
        <f>VLOOKUP(dynamic[productID],products[],2,FALSE)</f>
        <v>Gnocchi di nonna Alice</v>
      </c>
      <c r="J1554" s="9" t="str">
        <f>VLOOKUP(dynamic[productID],products[],12,FALSE)</f>
        <v>Grains/Cereals</v>
      </c>
      <c r="K1554" s="7" t="str">
        <f>IF(VLOOKUP(dynamic[productID],products[],7,FALSE)=1,"Discontinued","Current")</f>
        <v>Current</v>
      </c>
      <c r="L1554" s="9">
        <f>VLOOKUP(dynamic[productID],products[],IF(YEAR(dynamic[orderDate])=2022,8,IF(YEAR(dynamic[orderDate])=2023,9,IF(YEAR(dynamic[orderDate])=2024,10,NA))),FALSE)</f>
        <v>27.53915851</v>
      </c>
      <c r="M1554" s="9">
        <v>38.0</v>
      </c>
      <c r="N1554" s="25">
        <f>(dynamic[orderPrice]-dynamic[productCost])/dynamic[productCost]</f>
        <v>0.3798533452</v>
      </c>
      <c r="O1554" s="10">
        <v>30.0</v>
      </c>
      <c r="P1554" s="25">
        <v>0.0</v>
      </c>
      <c r="Q1554" s="9">
        <f>dynamic[orderPrice]*dynamic[orderQuantity]</f>
        <v>1140</v>
      </c>
      <c r="R1554" s="9">
        <f>dynamic[orderTotal]*(1-dynamic[discountApllied])</f>
        <v>1140</v>
      </c>
      <c r="S1554" s="9">
        <f>dynamic[revenue]-(dynamic[productCost]*dynamic[orderQuantity])</f>
        <v>313.8252446</v>
      </c>
      <c r="T1554" s="25">
        <f>IFERROR(dynamic[profit]/dynamic[revenue], 0)</f>
        <v>0.2752853023</v>
      </c>
    </row>
    <row r="1555" ht="15.75" customHeight="1">
      <c r="A1555" s="6">
        <v>10841.0</v>
      </c>
      <c r="B1555" s="7" t="s">
        <v>19</v>
      </c>
      <c r="C1555" s="24" t="str">
        <f>VLOOKUP(dynamic[customerID],customers[],2,FALSE)</f>
        <v>Suprêmes délices</v>
      </c>
      <c r="D1555" s="24">
        <v>45311.0</v>
      </c>
      <c r="E1555" s="6">
        <f>IFERROR(__xludf.DUMMYFUNCTION("COUNTUNIQUEIFS($A$2:$A1555,$B$2:$B1555,B1555)"),7.0)</f>
        <v>7</v>
      </c>
      <c r="F1555" s="6">
        <f t="shared" si="1"/>
        <v>46</v>
      </c>
      <c r="G1555" s="6" t="str">
        <f>IF(MINIFS(dynamic[orderDate], dynamic[customerID], B1555) &gt;= DATE(2024,4,30)-120, 
     "New", 
     IF(MAXIFS(dynamic[orderCount], dynamic[customerID], B1555)&lt;=2, 
        IF((DATE(2024,4,30) - MAXIFS(dynamic[orderDate], dynamic[customerID], B1555)) &gt; 180, "Non-Returning", "Dormant"), 
        IF(AND(MAX(dynamic[sinceLastOrder]) &gt; 365, (DATE(2024,4,30) - MAXIFS(dynamic[orderDate], dynamic[customerID], B1555)) &gt; 180), 
           "Dormant", "Regular")))</f>
        <v>Regular</v>
      </c>
      <c r="H1555" s="6">
        <v>59.0</v>
      </c>
      <c r="I1555" s="9" t="str">
        <f>VLOOKUP(dynamic[productID],products[],2,FALSE)</f>
        <v>Raclette Courdavault</v>
      </c>
      <c r="J1555" s="9" t="str">
        <f>VLOOKUP(dynamic[productID],products[],12,FALSE)</f>
        <v>Dairy Products</v>
      </c>
      <c r="K1555" s="7" t="str">
        <f>IF(VLOOKUP(dynamic[productID],products[],7,FALSE)=1,"Discontinued","Current")</f>
        <v>Current</v>
      </c>
      <c r="L1555" s="9">
        <f>VLOOKUP(dynamic[productID],products[],IF(YEAR(dynamic[orderDate])=2022,8,IF(YEAR(dynamic[orderDate])=2023,9,IF(YEAR(dynamic[orderDate])=2024,10,NA))),FALSE)</f>
        <v>36.74863711</v>
      </c>
      <c r="M1555" s="9">
        <v>55.0</v>
      </c>
      <c r="N1555" s="25">
        <f>(dynamic[orderPrice]-dynamic[productCost])/dynamic[productCost]</f>
        <v>0.4966541435</v>
      </c>
      <c r="O1555" s="10">
        <v>50.0</v>
      </c>
      <c r="P1555" s="25">
        <v>0.0</v>
      </c>
      <c r="Q1555" s="9">
        <f>dynamic[orderPrice]*dynamic[orderQuantity]</f>
        <v>2750</v>
      </c>
      <c r="R1555" s="9">
        <f>dynamic[orderTotal]*(1-dynamic[discountApllied])</f>
        <v>2750</v>
      </c>
      <c r="S1555" s="9">
        <f>dynamic[revenue]-(dynamic[productCost]*dynamic[orderQuantity])</f>
        <v>912.5681445</v>
      </c>
      <c r="T1555" s="25">
        <f>IFERROR(dynamic[profit]/dynamic[revenue], 0)</f>
        <v>0.3318429616</v>
      </c>
    </row>
    <row r="1556" ht="15.75" customHeight="1">
      <c r="A1556" s="6">
        <v>10841.0</v>
      </c>
      <c r="B1556" s="7" t="s">
        <v>19</v>
      </c>
      <c r="C1556" s="24" t="str">
        <f>VLOOKUP(dynamic[customerID],customers[],2,FALSE)</f>
        <v>Suprêmes délices</v>
      </c>
      <c r="D1556" s="24">
        <v>45311.0</v>
      </c>
      <c r="E1556" s="6">
        <f>IFERROR(__xludf.DUMMYFUNCTION("COUNTUNIQUEIFS($A$2:$A1556,$B$2:$B1556,B1556)"),7.0)</f>
        <v>7</v>
      </c>
      <c r="F1556" s="6">
        <f t="shared" si="1"/>
        <v>46</v>
      </c>
      <c r="G1556" s="6" t="str">
        <f>IF(MINIFS(dynamic[orderDate], dynamic[customerID], B1556) &gt;= DATE(2024,4,30)-120, 
     "New", 
     IF(MAXIFS(dynamic[orderCount], dynamic[customerID], B1556)&lt;=2, 
        IF((DATE(2024,4,30) - MAXIFS(dynamic[orderDate], dynamic[customerID], B1556)) &gt; 180, "Non-Returning", "Dormant"), 
        IF(AND(MAX(dynamic[sinceLastOrder]) &gt; 365, (DATE(2024,4,30) - MAXIFS(dynamic[orderDate], dynamic[customerID], B1556)) &gt; 180), 
           "Dormant", "Regular")))</f>
        <v>Regular</v>
      </c>
      <c r="H1556" s="6">
        <v>77.0</v>
      </c>
      <c r="I1556" s="9" t="str">
        <f>VLOOKUP(dynamic[productID],products[],2,FALSE)</f>
        <v>Original Frankfurter grüne Soße</v>
      </c>
      <c r="J1556" s="9" t="str">
        <f>VLOOKUP(dynamic[productID],products[],12,FALSE)</f>
        <v>Condiments</v>
      </c>
      <c r="K1556" s="7" t="str">
        <f>IF(VLOOKUP(dynamic[productID],products[],7,FALSE)=1,"Discontinued","Current")</f>
        <v>Current</v>
      </c>
      <c r="L1556" s="9">
        <f>VLOOKUP(dynamic[productID],products[],IF(YEAR(dynamic[orderDate])=2022,8,IF(YEAR(dynamic[orderDate])=2023,9,IF(YEAR(dynamic[orderDate])=2024,10,NA))),FALSE)</f>
        <v>9.299025151</v>
      </c>
      <c r="M1556" s="9">
        <v>13.0</v>
      </c>
      <c r="N1556" s="25">
        <f>(dynamic[orderPrice]-dynamic[productCost])/dynamic[productCost]</f>
        <v>0.3979960037</v>
      </c>
      <c r="O1556" s="10">
        <v>15.0</v>
      </c>
      <c r="P1556" s="25">
        <v>0.0</v>
      </c>
      <c r="Q1556" s="9">
        <f>dynamic[orderPrice]*dynamic[orderQuantity]</f>
        <v>195</v>
      </c>
      <c r="R1556" s="9">
        <f>dynamic[orderTotal]*(1-dynamic[discountApllied])</f>
        <v>195</v>
      </c>
      <c r="S1556" s="9">
        <f>dynamic[revenue]-(dynamic[productCost]*dynamic[orderQuantity])</f>
        <v>55.51462273</v>
      </c>
      <c r="T1556" s="25">
        <f>IFERROR(dynamic[profit]/dynamic[revenue], 0)</f>
        <v>0.284690373</v>
      </c>
    </row>
    <row r="1557" ht="15.75" customHeight="1">
      <c r="A1557" s="6">
        <v>10842.0</v>
      </c>
      <c r="B1557" s="7" t="s">
        <v>38</v>
      </c>
      <c r="C1557" s="24" t="str">
        <f>VLOOKUP(dynamic[customerID],customers[],2,FALSE)</f>
        <v>Tortuga Restaurante</v>
      </c>
      <c r="D1557" s="24">
        <v>45311.0</v>
      </c>
      <c r="E1557" s="6">
        <f>IFERROR(__xludf.DUMMYFUNCTION("COUNTUNIQUEIFS($A$2:$A1557,$B$2:$B1557,B1557)"),8.0)</f>
        <v>8</v>
      </c>
      <c r="F1557" s="6">
        <f t="shared" si="1"/>
        <v>120</v>
      </c>
      <c r="G1557" s="6" t="str">
        <f>IF(MINIFS(dynamic[orderDate], dynamic[customerID], B1557) &gt;= DATE(2024,4,30)-120, 
     "New", 
     IF(MAXIFS(dynamic[orderCount], dynamic[customerID], B1557)&lt;=2, 
        IF((DATE(2024,4,30) - MAXIFS(dynamic[orderDate], dynamic[customerID], B1557)) &gt; 180, "Non-Returning", "Dormant"), 
        IF(AND(MAX(dynamic[sinceLastOrder]) &gt; 365, (DATE(2024,4,30) - MAXIFS(dynamic[orderDate], dynamic[customerID], B1557)) &gt; 180), 
           "Dormant", "Regular")))</f>
        <v>Regular</v>
      </c>
      <c r="H1557" s="6">
        <v>11.0</v>
      </c>
      <c r="I1557" s="9" t="str">
        <f>VLOOKUP(dynamic[productID],products[],2,FALSE)</f>
        <v>Queso Cabrales</v>
      </c>
      <c r="J1557" s="9" t="str">
        <f>VLOOKUP(dynamic[productID],products[],12,FALSE)</f>
        <v>Dairy Products</v>
      </c>
      <c r="K1557" s="7" t="str">
        <f>IF(VLOOKUP(dynamic[productID],products[],7,FALSE)=1,"Discontinued","Current")</f>
        <v>Current</v>
      </c>
      <c r="L1557" s="9">
        <f>VLOOKUP(dynamic[productID],products[],IF(YEAR(dynamic[orderDate])=2022,8,IF(YEAR(dynamic[orderDate])=2023,9,IF(YEAR(dynamic[orderDate])=2024,10,NA))),FALSE)</f>
        <v>13.86836261</v>
      </c>
      <c r="M1557" s="9">
        <v>21.0</v>
      </c>
      <c r="N1557" s="25">
        <f>(dynamic[orderPrice]-dynamic[productCost])/dynamic[productCost]</f>
        <v>0.51423788</v>
      </c>
      <c r="O1557" s="10">
        <v>15.0</v>
      </c>
      <c r="P1557" s="25">
        <v>0.0</v>
      </c>
      <c r="Q1557" s="9">
        <f>dynamic[orderPrice]*dynamic[orderQuantity]</f>
        <v>315</v>
      </c>
      <c r="R1557" s="9">
        <f>dynamic[orderTotal]*(1-dynamic[discountApllied])</f>
        <v>315</v>
      </c>
      <c r="S1557" s="9">
        <f>dynamic[revenue]-(dynamic[productCost]*dynamic[orderQuantity])</f>
        <v>106.9745608</v>
      </c>
      <c r="T1557" s="25">
        <f>IFERROR(dynamic[profit]/dynamic[revenue], 0)</f>
        <v>0.3396017804</v>
      </c>
    </row>
    <row r="1558" ht="15.75" customHeight="1">
      <c r="A1558" s="6">
        <v>10842.0</v>
      </c>
      <c r="B1558" s="7" t="s">
        <v>38</v>
      </c>
      <c r="C1558" s="24" t="str">
        <f>VLOOKUP(dynamic[customerID],customers[],2,FALSE)</f>
        <v>Tortuga Restaurante</v>
      </c>
      <c r="D1558" s="24">
        <v>45311.0</v>
      </c>
      <c r="E1558" s="6">
        <f>IFERROR(__xludf.DUMMYFUNCTION("COUNTUNIQUEIFS($A$2:$A1558,$B$2:$B1558,B1558)"),8.0)</f>
        <v>8</v>
      </c>
      <c r="F1558" s="6">
        <f t="shared" si="1"/>
        <v>120</v>
      </c>
      <c r="G1558" s="6" t="str">
        <f>IF(MINIFS(dynamic[orderDate], dynamic[customerID], B1558) &gt;= DATE(2024,4,30)-120, 
     "New", 
     IF(MAXIFS(dynamic[orderCount], dynamic[customerID], B1558)&lt;=2, 
        IF((DATE(2024,4,30) - MAXIFS(dynamic[orderDate], dynamic[customerID], B1558)) &gt; 180, "Non-Returning", "Dormant"), 
        IF(AND(MAX(dynamic[sinceLastOrder]) &gt; 365, (DATE(2024,4,30) - MAXIFS(dynamic[orderDate], dynamic[customerID], B1558)) &gt; 180), 
           "Dormant", "Regular")))</f>
        <v>Regular</v>
      </c>
      <c r="H1558" s="6">
        <v>43.0</v>
      </c>
      <c r="I1558" s="9" t="str">
        <f>VLOOKUP(dynamic[productID],products[],2,FALSE)</f>
        <v>Ipoh Coffee</v>
      </c>
      <c r="J1558" s="9" t="str">
        <f>VLOOKUP(dynamic[productID],products[],12,FALSE)</f>
        <v>Beverages</v>
      </c>
      <c r="K1558" s="7" t="str">
        <f>IF(VLOOKUP(dynamic[productID],products[],7,FALSE)=1,"Discontinued","Current")</f>
        <v>Current</v>
      </c>
      <c r="L1558" s="9">
        <f>VLOOKUP(dynamic[productID],products[],IF(YEAR(dynamic[orderDate])=2022,8,IF(YEAR(dynamic[orderDate])=2023,9,IF(YEAR(dynamic[orderDate])=2024,10,NA))),FALSE)</f>
        <v>30.97984738</v>
      </c>
      <c r="M1558" s="9">
        <v>46.0</v>
      </c>
      <c r="N1558" s="25">
        <f>(dynamic[orderPrice]-dynamic[productCost])/dynamic[productCost]</f>
        <v>0.484836237</v>
      </c>
      <c r="O1558" s="10">
        <v>5.0</v>
      </c>
      <c r="P1558" s="25">
        <v>0.0</v>
      </c>
      <c r="Q1558" s="9">
        <f>dynamic[orderPrice]*dynamic[orderQuantity]</f>
        <v>230</v>
      </c>
      <c r="R1558" s="9">
        <f>dynamic[orderTotal]*(1-dynamic[discountApllied])</f>
        <v>230</v>
      </c>
      <c r="S1558" s="9">
        <f>dynamic[revenue]-(dynamic[productCost]*dynamic[orderQuantity])</f>
        <v>75.10076312</v>
      </c>
      <c r="T1558" s="25">
        <f>IFERROR(dynamic[profit]/dynamic[revenue], 0)</f>
        <v>0.3265250571</v>
      </c>
    </row>
    <row r="1559" ht="15.75" customHeight="1">
      <c r="A1559" s="6">
        <v>10842.0</v>
      </c>
      <c r="B1559" s="7" t="s">
        <v>38</v>
      </c>
      <c r="C1559" s="24" t="str">
        <f>VLOOKUP(dynamic[customerID],customers[],2,FALSE)</f>
        <v>Tortuga Restaurante</v>
      </c>
      <c r="D1559" s="24">
        <v>45311.0</v>
      </c>
      <c r="E1559" s="6">
        <f>IFERROR(__xludf.DUMMYFUNCTION("COUNTUNIQUEIFS($A$2:$A1559,$B$2:$B1559,B1559)"),8.0)</f>
        <v>8</v>
      </c>
      <c r="F1559" s="6">
        <f t="shared" si="1"/>
        <v>120</v>
      </c>
      <c r="G1559" s="6" t="str">
        <f>IF(MINIFS(dynamic[orderDate], dynamic[customerID], B1559) &gt;= DATE(2024,4,30)-120, 
     "New", 
     IF(MAXIFS(dynamic[orderCount], dynamic[customerID], B1559)&lt;=2, 
        IF((DATE(2024,4,30) - MAXIFS(dynamic[orderDate], dynamic[customerID], B1559)) &gt; 180, "Non-Returning", "Dormant"), 
        IF(AND(MAX(dynamic[sinceLastOrder]) &gt; 365, (DATE(2024,4,30) - MAXIFS(dynamic[orderDate], dynamic[customerID], B1559)) &gt; 180), 
           "Dormant", "Regular")))</f>
        <v>Regular</v>
      </c>
      <c r="H1559" s="6">
        <v>68.0</v>
      </c>
      <c r="I1559" s="9" t="str">
        <f>VLOOKUP(dynamic[productID],products[],2,FALSE)</f>
        <v>Scottish Longbreads</v>
      </c>
      <c r="J1559" s="9" t="str">
        <f>VLOOKUP(dynamic[productID],products[],12,FALSE)</f>
        <v>Confections</v>
      </c>
      <c r="K1559" s="7" t="str">
        <f>IF(VLOOKUP(dynamic[productID],products[],7,FALSE)=1,"Discontinued","Current")</f>
        <v>Current</v>
      </c>
      <c r="L1559" s="9">
        <f>VLOOKUP(dynamic[productID],products[],IF(YEAR(dynamic[orderDate])=2022,8,IF(YEAR(dynamic[orderDate])=2023,9,IF(YEAR(dynamic[orderDate])=2024,10,NA))),FALSE)</f>
        <v>9.555031708</v>
      </c>
      <c r="M1559" s="9">
        <v>12.5</v>
      </c>
      <c r="N1559" s="25">
        <f>(dynamic[orderPrice]-dynamic[productCost])/dynamic[productCost]</f>
        <v>0.3082112527</v>
      </c>
      <c r="O1559" s="10">
        <v>20.0</v>
      </c>
      <c r="P1559" s="25">
        <v>0.0</v>
      </c>
      <c r="Q1559" s="9">
        <f>dynamic[orderPrice]*dynamic[orderQuantity]</f>
        <v>250</v>
      </c>
      <c r="R1559" s="9">
        <f>dynamic[orderTotal]*(1-dynamic[discountApllied])</f>
        <v>250</v>
      </c>
      <c r="S1559" s="9">
        <f>dynamic[revenue]-(dynamic[productCost]*dynamic[orderQuantity])</f>
        <v>58.89936585</v>
      </c>
      <c r="T1559" s="25">
        <f>IFERROR(dynamic[profit]/dynamic[revenue], 0)</f>
        <v>0.2355974634</v>
      </c>
    </row>
    <row r="1560" ht="15.75" customHeight="1">
      <c r="A1560" s="6">
        <v>10842.0</v>
      </c>
      <c r="B1560" s="7" t="s">
        <v>38</v>
      </c>
      <c r="C1560" s="24" t="str">
        <f>VLOOKUP(dynamic[customerID],customers[],2,FALSE)</f>
        <v>Tortuga Restaurante</v>
      </c>
      <c r="D1560" s="24">
        <v>45311.0</v>
      </c>
      <c r="E1560" s="6">
        <f>IFERROR(__xludf.DUMMYFUNCTION("COUNTUNIQUEIFS($A$2:$A1560,$B$2:$B1560,B1560)"),8.0)</f>
        <v>8</v>
      </c>
      <c r="F1560" s="6">
        <f t="shared" si="1"/>
        <v>120</v>
      </c>
      <c r="G1560" s="6" t="str">
        <f>IF(MINIFS(dynamic[orderDate], dynamic[customerID], B1560) &gt;= DATE(2024,4,30)-120, 
     "New", 
     IF(MAXIFS(dynamic[orderCount], dynamic[customerID], B1560)&lt;=2, 
        IF((DATE(2024,4,30) - MAXIFS(dynamic[orderDate], dynamic[customerID], B1560)) &gt; 180, "Non-Returning", "Dormant"), 
        IF(AND(MAX(dynamic[sinceLastOrder]) &gt; 365, (DATE(2024,4,30) - MAXIFS(dynamic[orderDate], dynamic[customerID], B1560)) &gt; 180), 
           "Dormant", "Regular")))</f>
        <v>Regular</v>
      </c>
      <c r="H1560" s="6">
        <v>70.0</v>
      </c>
      <c r="I1560" s="9" t="str">
        <f>VLOOKUP(dynamic[productID],products[],2,FALSE)</f>
        <v>Outback Lager</v>
      </c>
      <c r="J1560" s="9" t="str">
        <f>VLOOKUP(dynamic[productID],products[],12,FALSE)</f>
        <v>Beverages</v>
      </c>
      <c r="K1560" s="7" t="str">
        <f>IF(VLOOKUP(dynamic[productID],products[],7,FALSE)=1,"Discontinued","Current")</f>
        <v>Current</v>
      </c>
      <c r="L1560" s="9">
        <f>VLOOKUP(dynamic[productID],products[],IF(YEAR(dynamic[orderDate])=2022,8,IF(YEAR(dynamic[orderDate])=2023,9,IF(YEAR(dynamic[orderDate])=2024,10,NA))),FALSE)</f>
        <v>10.03280812</v>
      </c>
      <c r="M1560" s="9">
        <v>15.0</v>
      </c>
      <c r="N1560" s="25">
        <f>(dynamic[orderPrice]-dynamic[productCost])/dynamic[productCost]</f>
        <v>0.4950948747</v>
      </c>
      <c r="O1560" s="10">
        <v>12.0</v>
      </c>
      <c r="P1560" s="25">
        <v>0.0</v>
      </c>
      <c r="Q1560" s="9">
        <f>dynamic[orderPrice]*dynamic[orderQuantity]</f>
        <v>180</v>
      </c>
      <c r="R1560" s="9">
        <f>dynamic[orderTotal]*(1-dynamic[discountApllied])</f>
        <v>180</v>
      </c>
      <c r="S1560" s="9">
        <f>dynamic[revenue]-(dynamic[productCost]*dynamic[orderQuantity])</f>
        <v>59.60630255</v>
      </c>
      <c r="T1560" s="25">
        <f>IFERROR(dynamic[profit]/dynamic[revenue], 0)</f>
        <v>0.3311461253</v>
      </c>
    </row>
    <row r="1561" ht="15.75" customHeight="1">
      <c r="A1561" s="6">
        <v>10843.0</v>
      </c>
      <c r="B1561" s="7" t="s">
        <v>18</v>
      </c>
      <c r="C1561" s="24" t="str">
        <f>VLOOKUP(dynamic[customerID],customers[],2,FALSE)</f>
        <v>Victuailles en stock</v>
      </c>
      <c r="D1561" s="24">
        <v>45312.0</v>
      </c>
      <c r="E1561" s="6">
        <f>IFERROR(__xludf.DUMMYFUNCTION("COUNTUNIQUEIFS($A$2:$A1561,$B$2:$B1561,B1561)"),9.0)</f>
        <v>9</v>
      </c>
      <c r="F1561" s="6">
        <f t="shared" si="1"/>
        <v>16</v>
      </c>
      <c r="G1561" s="6" t="str">
        <f>IF(MINIFS(dynamic[orderDate], dynamic[customerID], B1561) &gt;= DATE(2024,4,30)-120, 
     "New", 
     IF(MAXIFS(dynamic[orderCount], dynamic[customerID], B1561)&lt;=2, 
        IF((DATE(2024,4,30) - MAXIFS(dynamic[orderDate], dynamic[customerID], B1561)) &gt; 180, "Non-Returning", "Dormant"), 
        IF(AND(MAX(dynamic[sinceLastOrder]) &gt; 365, (DATE(2024,4,30) - MAXIFS(dynamic[orderDate], dynamic[customerID], B1561)) &gt; 180), 
           "Dormant", "Regular")))</f>
        <v>Regular</v>
      </c>
      <c r="H1561" s="6">
        <v>51.0</v>
      </c>
      <c r="I1561" s="9" t="str">
        <f>VLOOKUP(dynamic[productID],products[],2,FALSE)</f>
        <v>Manjimup Dried Apples</v>
      </c>
      <c r="J1561" s="9" t="str">
        <f>VLOOKUP(dynamic[productID],products[],12,FALSE)</f>
        <v>Produce</v>
      </c>
      <c r="K1561" s="7" t="str">
        <f>IF(VLOOKUP(dynamic[productID],products[],7,FALSE)=1,"Discontinued","Current")</f>
        <v>Current</v>
      </c>
      <c r="L1561" s="9">
        <f>VLOOKUP(dynamic[productID],products[],IF(YEAR(dynamic[orderDate])=2022,8,IF(YEAR(dynamic[orderDate])=2023,9,IF(YEAR(dynamic[orderDate])=2024,10,NA))),FALSE)</f>
        <v>39.51416462</v>
      </c>
      <c r="M1561" s="9">
        <v>53.0</v>
      </c>
      <c r="N1561" s="25">
        <f>(dynamic[orderPrice]-dynamic[productCost])/dynamic[productCost]</f>
        <v>0.3412911677</v>
      </c>
      <c r="O1561" s="10">
        <v>4.0</v>
      </c>
      <c r="P1561" s="25">
        <v>0.25</v>
      </c>
      <c r="Q1561" s="9">
        <f>dynamic[orderPrice]*dynamic[orderQuantity]</f>
        <v>212</v>
      </c>
      <c r="R1561" s="9">
        <f>dynamic[orderTotal]*(1-dynamic[discountApllied])</f>
        <v>159</v>
      </c>
      <c r="S1561" s="9">
        <f>dynamic[revenue]-(dynamic[productCost]*dynamic[orderQuantity])</f>
        <v>0.9433415264</v>
      </c>
      <c r="T1561" s="25">
        <f>IFERROR(dynamic[profit]/dynamic[revenue], 0)</f>
        <v>0.005932965575</v>
      </c>
    </row>
    <row r="1562" ht="15.75" customHeight="1">
      <c r="A1562" s="6">
        <v>10844.0</v>
      </c>
      <c r="B1562" s="7" t="s">
        <v>69</v>
      </c>
      <c r="C1562" s="24" t="str">
        <f>VLOOKUP(dynamic[customerID],customers[],2,FALSE)</f>
        <v>Piccolo und mehr</v>
      </c>
      <c r="D1562" s="24">
        <v>45312.0</v>
      </c>
      <c r="E1562" s="6">
        <f>IFERROR(__xludf.DUMMYFUNCTION("COUNTUNIQUEIFS($A$2:$A1562,$B$2:$B1562,B1562)"),9.0)</f>
        <v>9</v>
      </c>
      <c r="F1562" s="6">
        <f t="shared" si="1"/>
        <v>63</v>
      </c>
      <c r="G1562" s="6" t="str">
        <f>IF(MINIFS(dynamic[orderDate], dynamic[customerID], B1562) &gt;= DATE(2024,4,30)-120, 
     "New", 
     IF(MAXIFS(dynamic[orderCount], dynamic[customerID], B1562)&lt;=2, 
        IF((DATE(2024,4,30) - MAXIFS(dynamic[orderDate], dynamic[customerID], B1562)) &gt; 180, "Non-Returning", "Dormant"), 
        IF(AND(MAX(dynamic[sinceLastOrder]) &gt; 365, (DATE(2024,4,30) - MAXIFS(dynamic[orderDate], dynamic[customerID], B1562)) &gt; 180), 
           "Dormant", "Regular")))</f>
        <v>Regular</v>
      </c>
      <c r="H1562" s="6">
        <v>22.0</v>
      </c>
      <c r="I1562" s="9" t="str">
        <f>VLOOKUP(dynamic[productID],products[],2,FALSE)</f>
        <v>Gustaf's Knäckebröd</v>
      </c>
      <c r="J1562" s="9" t="str">
        <f>VLOOKUP(dynamic[productID],products[],12,FALSE)</f>
        <v>Grains/Cereals</v>
      </c>
      <c r="K1562" s="7" t="str">
        <f>IF(VLOOKUP(dynamic[productID],products[],7,FALSE)=1,"Discontinued","Current")</f>
        <v>Current</v>
      </c>
      <c r="L1562" s="9">
        <f>VLOOKUP(dynamic[productID],products[],IF(YEAR(dynamic[orderDate])=2022,8,IF(YEAR(dynamic[orderDate])=2023,9,IF(YEAR(dynamic[orderDate])=2024,10,NA))),FALSE)</f>
        <v>16.3916268</v>
      </c>
      <c r="M1562" s="9">
        <v>21.0</v>
      </c>
      <c r="N1562" s="25">
        <f>(dynamic[orderPrice]-dynamic[productCost])/dynamic[productCost]</f>
        <v>0.2811419062</v>
      </c>
      <c r="O1562" s="10">
        <v>35.0</v>
      </c>
      <c r="P1562" s="25">
        <v>0.0</v>
      </c>
      <c r="Q1562" s="9">
        <f>dynamic[orderPrice]*dynamic[orderQuantity]</f>
        <v>735</v>
      </c>
      <c r="R1562" s="9">
        <f>dynamic[orderTotal]*(1-dynamic[discountApllied])</f>
        <v>735</v>
      </c>
      <c r="S1562" s="9">
        <f>dynamic[revenue]-(dynamic[productCost]*dynamic[orderQuantity])</f>
        <v>161.2930621</v>
      </c>
      <c r="T1562" s="25">
        <f>IFERROR(dynamic[profit]/dynamic[revenue], 0)</f>
        <v>0.219446343</v>
      </c>
    </row>
    <row r="1563" ht="15.75" customHeight="1">
      <c r="A1563" s="6">
        <v>10845.0</v>
      </c>
      <c r="B1563" s="7" t="s">
        <v>36</v>
      </c>
      <c r="C1563" s="24" t="str">
        <f>VLOOKUP(dynamic[customerID],customers[],2,FALSE)</f>
        <v>QUICK-Stop</v>
      </c>
      <c r="D1563" s="24">
        <v>45312.0</v>
      </c>
      <c r="E1563" s="6">
        <f>IFERROR(__xludf.DUMMYFUNCTION("COUNTUNIQUEIFS($A$2:$A1563,$B$2:$B1563,B1563)"),21.0)</f>
        <v>21</v>
      </c>
      <c r="F1563" s="6">
        <f t="shared" si="1"/>
        <v>30</v>
      </c>
      <c r="G1563" s="6" t="str">
        <f>IF(MINIFS(dynamic[orderDate], dynamic[customerID], B1563) &gt;= DATE(2024,4,30)-120, 
     "New", 
     IF(MAXIFS(dynamic[orderCount], dynamic[customerID], B1563)&lt;=2, 
        IF((DATE(2024,4,30) - MAXIFS(dynamic[orderDate], dynamic[customerID], B1563)) &gt; 180, "Non-Returning", "Dormant"), 
        IF(AND(MAX(dynamic[sinceLastOrder]) &gt; 365, (DATE(2024,4,30) - MAXIFS(dynamic[orderDate], dynamic[customerID], B1563)) &gt; 180), 
           "Dormant", "Regular")))</f>
        <v>Regular</v>
      </c>
      <c r="H1563" s="6">
        <v>23.0</v>
      </c>
      <c r="I1563" s="9" t="str">
        <f>VLOOKUP(dynamic[productID],products[],2,FALSE)</f>
        <v>Tunnbröd</v>
      </c>
      <c r="J1563" s="9" t="str">
        <f>VLOOKUP(dynamic[productID],products[],12,FALSE)</f>
        <v>Grains/Cereals</v>
      </c>
      <c r="K1563" s="7" t="str">
        <f>IF(VLOOKUP(dynamic[productID],products[],7,FALSE)=1,"Discontinued","Current")</f>
        <v>Current</v>
      </c>
      <c r="L1563" s="9">
        <f>VLOOKUP(dynamic[productID],products[],IF(YEAR(dynamic[orderDate])=2022,8,IF(YEAR(dynamic[orderDate])=2023,9,IF(YEAR(dynamic[orderDate])=2024,10,NA))),FALSE)</f>
        <v>6.224885622</v>
      </c>
      <c r="M1563" s="9">
        <v>9.0</v>
      </c>
      <c r="N1563" s="25">
        <f>(dynamic[orderPrice]-dynamic[productCost])/dynamic[productCost]</f>
        <v>0.4458096979</v>
      </c>
      <c r="O1563" s="10">
        <v>70.0</v>
      </c>
      <c r="P1563" s="25">
        <v>0.1</v>
      </c>
      <c r="Q1563" s="9">
        <f>dynamic[orderPrice]*dynamic[orderQuantity]</f>
        <v>630</v>
      </c>
      <c r="R1563" s="9">
        <f>dynamic[orderTotal]*(1-dynamic[discountApllied])</f>
        <v>567</v>
      </c>
      <c r="S1563" s="9">
        <f>dynamic[revenue]-(dynamic[productCost]*dynamic[orderQuantity])</f>
        <v>131.2580065</v>
      </c>
      <c r="T1563" s="25">
        <f>IFERROR(dynamic[profit]/dynamic[revenue], 0)</f>
        <v>0.2314956023</v>
      </c>
    </row>
    <row r="1564" ht="15.75" customHeight="1">
      <c r="A1564" s="6">
        <v>10845.0</v>
      </c>
      <c r="B1564" s="7" t="s">
        <v>36</v>
      </c>
      <c r="C1564" s="24" t="str">
        <f>VLOOKUP(dynamic[customerID],customers[],2,FALSE)</f>
        <v>QUICK-Stop</v>
      </c>
      <c r="D1564" s="24">
        <v>45312.0</v>
      </c>
      <c r="E1564" s="6">
        <f>IFERROR(__xludf.DUMMYFUNCTION("COUNTUNIQUEIFS($A$2:$A1564,$B$2:$B1564,B1564)"),21.0)</f>
        <v>21</v>
      </c>
      <c r="F1564" s="6">
        <f t="shared" si="1"/>
        <v>30</v>
      </c>
      <c r="G1564" s="6" t="str">
        <f>IF(MINIFS(dynamic[orderDate], dynamic[customerID], B1564) &gt;= DATE(2024,4,30)-120, 
     "New", 
     IF(MAXIFS(dynamic[orderCount], dynamic[customerID], B1564)&lt;=2, 
        IF((DATE(2024,4,30) - MAXIFS(dynamic[orderDate], dynamic[customerID], B1564)) &gt; 180, "Non-Returning", "Dormant"), 
        IF(AND(MAX(dynamic[sinceLastOrder]) &gt; 365, (DATE(2024,4,30) - MAXIFS(dynamic[orderDate], dynamic[customerID], B1564)) &gt; 180), 
           "Dormant", "Regular")))</f>
        <v>Regular</v>
      </c>
      <c r="H1564" s="6">
        <v>35.0</v>
      </c>
      <c r="I1564" s="9" t="str">
        <f>VLOOKUP(dynamic[productID],products[],2,FALSE)</f>
        <v>Cold Brew Nitro</v>
      </c>
      <c r="J1564" s="9" t="str">
        <f>VLOOKUP(dynamic[productID],products[],12,FALSE)</f>
        <v>Beverages</v>
      </c>
      <c r="K1564" s="7" t="str">
        <f>IF(VLOOKUP(dynamic[productID],products[],7,FALSE)=1,"Discontinued","Current")</f>
        <v>Current</v>
      </c>
      <c r="L1564" s="9">
        <f>VLOOKUP(dynamic[productID],products[],IF(YEAR(dynamic[orderDate])=2022,8,IF(YEAR(dynamic[orderDate])=2023,9,IF(YEAR(dynamic[orderDate])=2024,10,NA))),FALSE)</f>
        <v>12.9261692</v>
      </c>
      <c r="M1564" s="9">
        <v>18.0</v>
      </c>
      <c r="N1564" s="25">
        <f>(dynamic[orderPrice]-dynamic[productCost])/dynamic[productCost]</f>
        <v>0.3925239355</v>
      </c>
      <c r="O1564" s="10">
        <v>25.0</v>
      </c>
      <c r="P1564" s="25">
        <v>0.1</v>
      </c>
      <c r="Q1564" s="9">
        <f>dynamic[orderPrice]*dynamic[orderQuantity]</f>
        <v>450</v>
      </c>
      <c r="R1564" s="9">
        <f>dynamic[orderTotal]*(1-dynamic[discountApllied])</f>
        <v>405</v>
      </c>
      <c r="S1564" s="9">
        <f>dynamic[revenue]-(dynamic[productCost]*dynamic[orderQuantity])</f>
        <v>81.8457701</v>
      </c>
      <c r="T1564" s="25">
        <f>IFERROR(dynamic[profit]/dynamic[revenue], 0)</f>
        <v>0.2020883212</v>
      </c>
    </row>
    <row r="1565" ht="15.75" customHeight="1">
      <c r="A1565" s="6">
        <v>10845.0</v>
      </c>
      <c r="B1565" s="7" t="s">
        <v>36</v>
      </c>
      <c r="C1565" s="24" t="str">
        <f>VLOOKUP(dynamic[customerID],customers[],2,FALSE)</f>
        <v>QUICK-Stop</v>
      </c>
      <c r="D1565" s="24">
        <v>45312.0</v>
      </c>
      <c r="E1565" s="6">
        <f>IFERROR(__xludf.DUMMYFUNCTION("COUNTUNIQUEIFS($A$2:$A1565,$B$2:$B1565,B1565)"),21.0)</f>
        <v>21</v>
      </c>
      <c r="F1565" s="6">
        <f t="shared" si="1"/>
        <v>30</v>
      </c>
      <c r="G1565" s="6" t="str">
        <f>IF(MINIFS(dynamic[orderDate], dynamic[customerID], B1565) &gt;= DATE(2024,4,30)-120, 
     "New", 
     IF(MAXIFS(dynamic[orderCount], dynamic[customerID], B1565)&lt;=2, 
        IF((DATE(2024,4,30) - MAXIFS(dynamic[orderDate], dynamic[customerID], B1565)) &gt; 180, "Non-Returning", "Dormant"), 
        IF(AND(MAX(dynamic[sinceLastOrder]) &gt; 365, (DATE(2024,4,30) - MAXIFS(dynamic[orderDate], dynamic[customerID], B1565)) &gt; 180), 
           "Dormant", "Regular")))</f>
        <v>Regular</v>
      </c>
      <c r="H1565" s="6">
        <v>42.0</v>
      </c>
      <c r="I1565" s="9" t="str">
        <f>VLOOKUP(dynamic[productID],products[],2,FALSE)</f>
        <v>Singaporean Hokkien Fried Mee</v>
      </c>
      <c r="J1565" s="9" t="str">
        <f>VLOOKUP(dynamic[productID],products[],12,FALSE)</f>
        <v>Grains/Cereals</v>
      </c>
      <c r="K1565" s="7" t="str">
        <f>IF(VLOOKUP(dynamic[productID],products[],7,FALSE)=1,"Discontinued","Current")</f>
        <v>Discontinued</v>
      </c>
      <c r="L1565" s="9">
        <f>VLOOKUP(dynamic[productID],products[],IF(YEAR(dynamic[orderDate])=2022,8,IF(YEAR(dynamic[orderDate])=2023,9,IF(YEAR(dynamic[orderDate])=2024,10,NA))),FALSE)</f>
        <v>9.64736714</v>
      </c>
      <c r="M1565" s="9">
        <v>14.0</v>
      </c>
      <c r="N1565" s="25">
        <f>(dynamic[orderPrice]-dynamic[productCost])/dynamic[productCost]</f>
        <v>0.4511731333</v>
      </c>
      <c r="O1565" s="10">
        <v>42.0</v>
      </c>
      <c r="P1565" s="25">
        <v>0.1</v>
      </c>
      <c r="Q1565" s="9">
        <f>dynamic[orderPrice]*dynamic[orderQuantity]</f>
        <v>588</v>
      </c>
      <c r="R1565" s="9">
        <f>dynamic[orderTotal]*(1-dynamic[discountApllied])</f>
        <v>529.2</v>
      </c>
      <c r="S1565" s="9">
        <f>dynamic[revenue]-(dynamic[productCost]*dynamic[orderQuantity])</f>
        <v>124.0105801</v>
      </c>
      <c r="T1565" s="25">
        <f>IFERROR(dynamic[profit]/dynamic[revenue], 0)</f>
        <v>0.2343359413</v>
      </c>
    </row>
    <row r="1566" ht="15.75" customHeight="1">
      <c r="A1566" s="6">
        <v>10845.0</v>
      </c>
      <c r="B1566" s="7" t="s">
        <v>36</v>
      </c>
      <c r="C1566" s="24" t="str">
        <f>VLOOKUP(dynamic[customerID],customers[],2,FALSE)</f>
        <v>QUICK-Stop</v>
      </c>
      <c r="D1566" s="24">
        <v>45312.0</v>
      </c>
      <c r="E1566" s="6">
        <f>IFERROR(__xludf.DUMMYFUNCTION("COUNTUNIQUEIFS($A$2:$A1566,$B$2:$B1566,B1566)"),21.0)</f>
        <v>21</v>
      </c>
      <c r="F1566" s="6">
        <f t="shared" si="1"/>
        <v>30</v>
      </c>
      <c r="G1566" s="6" t="str">
        <f>IF(MINIFS(dynamic[orderDate], dynamic[customerID], B1566) &gt;= DATE(2024,4,30)-120, 
     "New", 
     IF(MAXIFS(dynamic[orderCount], dynamic[customerID], B1566)&lt;=2, 
        IF((DATE(2024,4,30) - MAXIFS(dynamic[orderDate], dynamic[customerID], B1566)) &gt; 180, "Non-Returning", "Dormant"), 
        IF(AND(MAX(dynamic[sinceLastOrder]) &gt; 365, (DATE(2024,4,30) - MAXIFS(dynamic[orderDate], dynamic[customerID], B1566)) &gt; 180), 
           "Dormant", "Regular")))</f>
        <v>Regular</v>
      </c>
      <c r="H1566" s="6">
        <v>58.0</v>
      </c>
      <c r="I1566" s="9" t="str">
        <f>VLOOKUP(dynamic[productID],products[],2,FALSE)</f>
        <v>Escargots de Bourgogne</v>
      </c>
      <c r="J1566" s="9" t="str">
        <f>VLOOKUP(dynamic[productID],products[],12,FALSE)</f>
        <v>Seafood</v>
      </c>
      <c r="K1566" s="7" t="str">
        <f>IF(VLOOKUP(dynamic[productID],products[],7,FALSE)=1,"Discontinued","Current")</f>
        <v>Current</v>
      </c>
      <c r="L1566" s="9">
        <f>VLOOKUP(dynamic[productID],products[],IF(YEAR(dynamic[orderDate])=2022,8,IF(YEAR(dynamic[orderDate])=2023,9,IF(YEAR(dynamic[orderDate])=2024,10,NA))),FALSE)</f>
        <v>8.683102193</v>
      </c>
      <c r="M1566" s="9">
        <v>13.25</v>
      </c>
      <c r="N1566" s="25">
        <f>(dynamic[orderPrice]-dynamic[productCost])/dynamic[productCost]</f>
        <v>0.5259523274</v>
      </c>
      <c r="O1566" s="10">
        <v>60.0</v>
      </c>
      <c r="P1566" s="25">
        <v>0.1</v>
      </c>
      <c r="Q1566" s="9">
        <f>dynamic[orderPrice]*dynamic[orderQuantity]</f>
        <v>795</v>
      </c>
      <c r="R1566" s="9">
        <f>dynamic[orderTotal]*(1-dynamic[discountApllied])</f>
        <v>715.5</v>
      </c>
      <c r="S1566" s="9">
        <f>dynamic[revenue]-(dynamic[productCost]*dynamic[orderQuantity])</f>
        <v>194.5138684</v>
      </c>
      <c r="T1566" s="25">
        <f>IFERROR(dynamic[profit]/dynamic[revenue], 0)</f>
        <v>0.2718572585</v>
      </c>
    </row>
    <row r="1567" ht="15.75" customHeight="1">
      <c r="A1567" s="6">
        <v>10845.0</v>
      </c>
      <c r="B1567" s="7" t="s">
        <v>36</v>
      </c>
      <c r="C1567" s="24" t="str">
        <f>VLOOKUP(dynamic[customerID],customers[],2,FALSE)</f>
        <v>QUICK-Stop</v>
      </c>
      <c r="D1567" s="24">
        <v>45312.0</v>
      </c>
      <c r="E1567" s="6">
        <f>IFERROR(__xludf.DUMMYFUNCTION("COUNTUNIQUEIFS($A$2:$A1567,$B$2:$B1567,B1567)"),21.0)</f>
        <v>21</v>
      </c>
      <c r="F1567" s="6">
        <f t="shared" si="1"/>
        <v>30</v>
      </c>
      <c r="G1567" s="6" t="str">
        <f>IF(MINIFS(dynamic[orderDate], dynamic[customerID], B1567) &gt;= DATE(2024,4,30)-120, 
     "New", 
     IF(MAXIFS(dynamic[orderCount], dynamic[customerID], B1567)&lt;=2, 
        IF((DATE(2024,4,30) - MAXIFS(dynamic[orderDate], dynamic[customerID], B1567)) &gt; 180, "Non-Returning", "Dormant"), 
        IF(AND(MAX(dynamic[sinceLastOrder]) &gt; 365, (DATE(2024,4,30) - MAXIFS(dynamic[orderDate], dynamic[customerID], B1567)) &gt; 180), 
           "Dormant", "Regular")))</f>
        <v>Regular</v>
      </c>
      <c r="H1567" s="6">
        <v>64.0</v>
      </c>
      <c r="I1567" s="9" t="str">
        <f>VLOOKUP(dynamic[productID],products[],2,FALSE)</f>
        <v>Lukas' leckere Sauerteigweggla</v>
      </c>
      <c r="J1567" s="9" t="str">
        <f>VLOOKUP(dynamic[productID],products[],12,FALSE)</f>
        <v>Grains/Cereals</v>
      </c>
      <c r="K1567" s="7" t="str">
        <f>IF(VLOOKUP(dynamic[productID],products[],7,FALSE)=1,"Discontinued","Current")</f>
        <v>Current</v>
      </c>
      <c r="L1567" s="9">
        <f>VLOOKUP(dynamic[productID],products[],IF(YEAR(dynamic[orderDate])=2022,8,IF(YEAR(dynamic[orderDate])=2023,9,IF(YEAR(dynamic[orderDate])=2024,10,NA))),FALSE)</f>
        <v>22.72434276</v>
      </c>
      <c r="M1567" s="9">
        <v>33.25</v>
      </c>
      <c r="N1567" s="25">
        <f>(dynamic[orderPrice]-dynamic[productCost])/dynamic[productCost]</f>
        <v>0.4631886324</v>
      </c>
      <c r="O1567" s="10">
        <v>48.0</v>
      </c>
      <c r="P1567" s="25">
        <v>0.0</v>
      </c>
      <c r="Q1567" s="9">
        <f>dynamic[orderPrice]*dynamic[orderQuantity]</f>
        <v>1596</v>
      </c>
      <c r="R1567" s="9">
        <f>dynamic[orderTotal]*(1-dynamic[discountApllied])</f>
        <v>1596</v>
      </c>
      <c r="S1567" s="9">
        <f>dynamic[revenue]-(dynamic[productCost]*dynamic[orderQuantity])</f>
        <v>505.2315477</v>
      </c>
      <c r="T1567" s="25">
        <f>IFERROR(dynamic[profit]/dynamic[revenue], 0)</f>
        <v>0.3165611201</v>
      </c>
    </row>
    <row r="1568" ht="15.75" customHeight="1">
      <c r="A1568" s="6">
        <v>10846.0</v>
      </c>
      <c r="B1568" s="7" t="s">
        <v>19</v>
      </c>
      <c r="C1568" s="24" t="str">
        <f>VLOOKUP(dynamic[customerID],customers[],2,FALSE)</f>
        <v>Suprêmes délices</v>
      </c>
      <c r="D1568" s="24">
        <v>45313.0</v>
      </c>
      <c r="E1568" s="6">
        <f>IFERROR(__xludf.DUMMYFUNCTION("COUNTUNIQUEIFS($A$2:$A1568,$B$2:$B1568,B1568)"),8.0)</f>
        <v>8</v>
      </c>
      <c r="F1568" s="6">
        <f t="shared" si="1"/>
        <v>2</v>
      </c>
      <c r="G1568" s="6" t="str">
        <f>IF(MINIFS(dynamic[orderDate], dynamic[customerID], B1568) &gt;= DATE(2024,4,30)-120, 
     "New", 
     IF(MAXIFS(dynamic[orderCount], dynamic[customerID], B1568)&lt;=2, 
        IF((DATE(2024,4,30) - MAXIFS(dynamic[orderDate], dynamic[customerID], B1568)) &gt; 180, "Non-Returning", "Dormant"), 
        IF(AND(MAX(dynamic[sinceLastOrder]) &gt; 365, (DATE(2024,4,30) - MAXIFS(dynamic[orderDate], dynamic[customerID], B1568)) &gt; 180), 
           "Dormant", "Regular")))</f>
        <v>Regular</v>
      </c>
      <c r="H1568" s="6">
        <v>4.0</v>
      </c>
      <c r="I1568" s="9" t="str">
        <f>VLOOKUP(dynamic[productID],products[],2,FALSE)</f>
        <v>Chef Anton's Cajun Seasoning</v>
      </c>
      <c r="J1568" s="9" t="str">
        <f>VLOOKUP(dynamic[productID],products[],12,FALSE)</f>
        <v>Condiments</v>
      </c>
      <c r="K1568" s="7" t="str">
        <f>IF(VLOOKUP(dynamic[productID],products[],7,FALSE)=1,"Discontinued","Current")</f>
        <v>Current</v>
      </c>
      <c r="L1568" s="9">
        <f>VLOOKUP(dynamic[productID],products[],IF(YEAR(dynamic[orderDate])=2022,8,IF(YEAR(dynamic[orderDate])=2023,9,IF(YEAR(dynamic[orderDate])=2024,10,NA))),FALSE)</f>
        <v>14.37280157</v>
      </c>
      <c r="M1568" s="9">
        <v>22.0</v>
      </c>
      <c r="N1568" s="25">
        <f>(dynamic[orderPrice]-dynamic[productCost])/dynamic[productCost]</f>
        <v>0.5306688748</v>
      </c>
      <c r="O1568" s="10">
        <v>21.0</v>
      </c>
      <c r="P1568" s="25">
        <v>0.0</v>
      </c>
      <c r="Q1568" s="9">
        <f>dynamic[orderPrice]*dynamic[orderQuantity]</f>
        <v>462</v>
      </c>
      <c r="R1568" s="9">
        <f>dynamic[orderTotal]*(1-dynamic[discountApllied])</f>
        <v>462</v>
      </c>
      <c r="S1568" s="9">
        <f>dynamic[revenue]-(dynamic[productCost]*dynamic[orderQuantity])</f>
        <v>160.1711671</v>
      </c>
      <c r="T1568" s="25">
        <f>IFERROR(dynamic[profit]/dynamic[revenue], 0)</f>
        <v>0.346690838</v>
      </c>
    </row>
    <row r="1569" ht="15.75" customHeight="1">
      <c r="A1569" s="6">
        <v>10846.0</v>
      </c>
      <c r="B1569" s="7" t="s">
        <v>19</v>
      </c>
      <c r="C1569" s="24" t="str">
        <f>VLOOKUP(dynamic[customerID],customers[],2,FALSE)</f>
        <v>Suprêmes délices</v>
      </c>
      <c r="D1569" s="24">
        <v>45313.0</v>
      </c>
      <c r="E1569" s="6">
        <f>IFERROR(__xludf.DUMMYFUNCTION("COUNTUNIQUEIFS($A$2:$A1569,$B$2:$B1569,B1569)"),8.0)</f>
        <v>8</v>
      </c>
      <c r="F1569" s="6">
        <f t="shared" si="1"/>
        <v>2</v>
      </c>
      <c r="G1569" s="6" t="str">
        <f>IF(MINIFS(dynamic[orderDate], dynamic[customerID], B1569) &gt;= DATE(2024,4,30)-120, 
     "New", 
     IF(MAXIFS(dynamic[orderCount], dynamic[customerID], B1569)&lt;=2, 
        IF((DATE(2024,4,30) - MAXIFS(dynamic[orderDate], dynamic[customerID], B1569)) &gt; 180, "Non-Returning", "Dormant"), 
        IF(AND(MAX(dynamic[sinceLastOrder]) &gt; 365, (DATE(2024,4,30) - MAXIFS(dynamic[orderDate], dynamic[customerID], B1569)) &gt; 180), 
           "Dormant", "Regular")))</f>
        <v>Regular</v>
      </c>
      <c r="H1569" s="6">
        <v>70.0</v>
      </c>
      <c r="I1569" s="9" t="str">
        <f>VLOOKUP(dynamic[productID],products[],2,FALSE)</f>
        <v>Outback Lager</v>
      </c>
      <c r="J1569" s="9" t="str">
        <f>VLOOKUP(dynamic[productID],products[],12,FALSE)</f>
        <v>Beverages</v>
      </c>
      <c r="K1569" s="7" t="str">
        <f>IF(VLOOKUP(dynamic[productID],products[],7,FALSE)=1,"Discontinued","Current")</f>
        <v>Current</v>
      </c>
      <c r="L1569" s="9">
        <f>VLOOKUP(dynamic[productID],products[],IF(YEAR(dynamic[orderDate])=2022,8,IF(YEAR(dynamic[orderDate])=2023,9,IF(YEAR(dynamic[orderDate])=2024,10,NA))),FALSE)</f>
        <v>10.03280812</v>
      </c>
      <c r="M1569" s="9">
        <v>15.0</v>
      </c>
      <c r="N1569" s="25">
        <f>(dynamic[orderPrice]-dynamic[productCost])/dynamic[productCost]</f>
        <v>0.4950948747</v>
      </c>
      <c r="O1569" s="10">
        <v>30.0</v>
      </c>
      <c r="P1569" s="25">
        <v>0.0</v>
      </c>
      <c r="Q1569" s="9">
        <f>dynamic[orderPrice]*dynamic[orderQuantity]</f>
        <v>450</v>
      </c>
      <c r="R1569" s="9">
        <f>dynamic[orderTotal]*(1-dynamic[discountApllied])</f>
        <v>450</v>
      </c>
      <c r="S1569" s="9">
        <f>dynamic[revenue]-(dynamic[productCost]*dynamic[orderQuantity])</f>
        <v>149.0157564</v>
      </c>
      <c r="T1569" s="25">
        <f>IFERROR(dynamic[profit]/dynamic[revenue], 0)</f>
        <v>0.3311461253</v>
      </c>
    </row>
    <row r="1570" ht="15.75" customHeight="1">
      <c r="A1570" s="6">
        <v>10846.0</v>
      </c>
      <c r="B1570" s="7" t="s">
        <v>19</v>
      </c>
      <c r="C1570" s="24" t="str">
        <f>VLOOKUP(dynamic[customerID],customers[],2,FALSE)</f>
        <v>Suprêmes délices</v>
      </c>
      <c r="D1570" s="24">
        <v>45313.0</v>
      </c>
      <c r="E1570" s="6">
        <f>IFERROR(__xludf.DUMMYFUNCTION("COUNTUNIQUEIFS($A$2:$A1570,$B$2:$B1570,B1570)"),8.0)</f>
        <v>8</v>
      </c>
      <c r="F1570" s="6">
        <f t="shared" si="1"/>
        <v>2</v>
      </c>
      <c r="G1570" s="6" t="str">
        <f>IF(MINIFS(dynamic[orderDate], dynamic[customerID], B1570) &gt;= DATE(2024,4,30)-120, 
     "New", 
     IF(MAXIFS(dynamic[orderCount], dynamic[customerID], B1570)&lt;=2, 
        IF((DATE(2024,4,30) - MAXIFS(dynamic[orderDate], dynamic[customerID], B1570)) &gt; 180, "Non-Returning", "Dormant"), 
        IF(AND(MAX(dynamic[sinceLastOrder]) &gt; 365, (DATE(2024,4,30) - MAXIFS(dynamic[orderDate], dynamic[customerID], B1570)) &gt; 180), 
           "Dormant", "Regular")))</f>
        <v>Regular</v>
      </c>
      <c r="H1570" s="6">
        <v>74.0</v>
      </c>
      <c r="I1570" s="9" t="str">
        <f>VLOOKUP(dynamic[productID],products[],2,FALSE)</f>
        <v>Longlife Tofu</v>
      </c>
      <c r="J1570" s="9" t="str">
        <f>VLOOKUP(dynamic[productID],products[],12,FALSE)</f>
        <v>Produce</v>
      </c>
      <c r="K1570" s="7" t="str">
        <f>IF(VLOOKUP(dynamic[productID],products[],7,FALSE)=1,"Discontinued","Current")</f>
        <v>Current</v>
      </c>
      <c r="L1570" s="9">
        <f>VLOOKUP(dynamic[productID],products[],IF(YEAR(dynamic[orderDate])=2022,8,IF(YEAR(dynamic[orderDate])=2023,9,IF(YEAR(dynamic[orderDate])=2024,10,NA))),FALSE)</f>
        <v>7.717719033</v>
      </c>
      <c r="M1570" s="9">
        <v>10.0</v>
      </c>
      <c r="N1570" s="25">
        <f>(dynamic[orderPrice]-dynamic[productCost])/dynamic[productCost]</f>
        <v>0.2957196235</v>
      </c>
      <c r="O1570" s="10">
        <v>20.0</v>
      </c>
      <c r="P1570" s="25">
        <v>0.0</v>
      </c>
      <c r="Q1570" s="9">
        <f>dynamic[orderPrice]*dynamic[orderQuantity]</f>
        <v>200</v>
      </c>
      <c r="R1570" s="9">
        <f>dynamic[orderTotal]*(1-dynamic[discountApllied])</f>
        <v>200</v>
      </c>
      <c r="S1570" s="9">
        <f>dynamic[revenue]-(dynamic[productCost]*dynamic[orderQuantity])</f>
        <v>45.64561934</v>
      </c>
      <c r="T1570" s="25">
        <f>IFERROR(dynamic[profit]/dynamic[revenue], 0)</f>
        <v>0.2282280967</v>
      </c>
    </row>
    <row r="1571" ht="15.75" customHeight="1">
      <c r="A1571" s="6">
        <v>10847.0</v>
      </c>
      <c r="B1571" s="7" t="s">
        <v>60</v>
      </c>
      <c r="C1571" s="24" t="str">
        <f>VLOOKUP(dynamic[customerID],customers[],2,FALSE)</f>
        <v>Save-a-lot Markets</v>
      </c>
      <c r="D1571" s="24">
        <v>45313.0</v>
      </c>
      <c r="E1571" s="6">
        <f>IFERROR(__xludf.DUMMYFUNCTION("COUNTUNIQUEIFS($A$2:$A1571,$B$2:$B1571,B1571)"),22.0)</f>
        <v>22</v>
      </c>
      <c r="F1571" s="6">
        <f t="shared" si="1"/>
        <v>17</v>
      </c>
      <c r="G1571" s="6" t="str">
        <f>IF(MINIFS(dynamic[orderDate], dynamic[customerID], B1571) &gt;= DATE(2024,4,30)-120, 
     "New", 
     IF(MAXIFS(dynamic[orderCount], dynamic[customerID], B1571)&lt;=2, 
        IF((DATE(2024,4,30) - MAXIFS(dynamic[orderDate], dynamic[customerID], B1571)) &gt; 180, "Non-Returning", "Dormant"), 
        IF(AND(MAX(dynamic[sinceLastOrder]) &gt; 365, (DATE(2024,4,30) - MAXIFS(dynamic[orderDate], dynamic[customerID], B1571)) &gt; 180), 
           "Dormant", "Regular")))</f>
        <v>Regular</v>
      </c>
      <c r="H1571" s="6">
        <v>1.0</v>
      </c>
      <c r="I1571" s="9" t="str">
        <f>VLOOKUP(dynamic[productID],products[],2,FALSE)</f>
        <v>Chai</v>
      </c>
      <c r="J1571" s="9" t="str">
        <f>VLOOKUP(dynamic[productID],products[],12,FALSE)</f>
        <v>Beverages</v>
      </c>
      <c r="K1571" s="7" t="str">
        <f>IF(VLOOKUP(dynamic[productID],products[],7,FALSE)=1,"Discontinued","Current")</f>
        <v>Current</v>
      </c>
      <c r="L1571" s="9">
        <f>VLOOKUP(dynamic[productID],products[],IF(YEAR(dynamic[orderDate])=2022,8,IF(YEAR(dynamic[orderDate])=2023,9,IF(YEAR(dynamic[orderDate])=2024,10,NA))),FALSE)</f>
        <v>12.17757454</v>
      </c>
      <c r="M1571" s="9">
        <v>18.0</v>
      </c>
      <c r="N1571" s="25">
        <f>(dynamic[orderPrice]-dynamic[productCost])/dynamic[productCost]</f>
        <v>0.4781268584</v>
      </c>
      <c r="O1571" s="10">
        <v>80.0</v>
      </c>
      <c r="P1571" s="25">
        <v>0.2</v>
      </c>
      <c r="Q1571" s="9">
        <f>dynamic[orderPrice]*dynamic[orderQuantity]</f>
        <v>1440</v>
      </c>
      <c r="R1571" s="9">
        <f>dynamic[orderTotal]*(1-dynamic[discountApllied])</f>
        <v>1152</v>
      </c>
      <c r="S1571" s="9">
        <f>dynamic[revenue]-(dynamic[productCost]*dynamic[orderQuantity])</f>
        <v>177.7940367</v>
      </c>
      <c r="T1571" s="25">
        <f>IFERROR(dynamic[profit]/dynamic[revenue], 0)</f>
        <v>0.1543351013</v>
      </c>
    </row>
    <row r="1572" ht="15.75" customHeight="1">
      <c r="A1572" s="6">
        <v>10847.0</v>
      </c>
      <c r="B1572" s="7" t="s">
        <v>60</v>
      </c>
      <c r="C1572" s="24" t="str">
        <f>VLOOKUP(dynamic[customerID],customers[],2,FALSE)</f>
        <v>Save-a-lot Markets</v>
      </c>
      <c r="D1572" s="24">
        <v>45313.0</v>
      </c>
      <c r="E1572" s="6">
        <f>IFERROR(__xludf.DUMMYFUNCTION("COUNTUNIQUEIFS($A$2:$A1572,$B$2:$B1572,B1572)"),22.0)</f>
        <v>22</v>
      </c>
      <c r="F1572" s="6">
        <f t="shared" si="1"/>
        <v>17</v>
      </c>
      <c r="G1572" s="6" t="str">
        <f>IF(MINIFS(dynamic[orderDate], dynamic[customerID], B1572) &gt;= DATE(2024,4,30)-120, 
     "New", 
     IF(MAXIFS(dynamic[orderCount], dynamic[customerID], B1572)&lt;=2, 
        IF((DATE(2024,4,30) - MAXIFS(dynamic[orderDate], dynamic[customerID], B1572)) &gt; 180, "Non-Returning", "Dormant"), 
        IF(AND(MAX(dynamic[sinceLastOrder]) &gt; 365, (DATE(2024,4,30) - MAXIFS(dynamic[orderDate], dynamic[customerID], B1572)) &gt; 180), 
           "Dormant", "Regular")))</f>
        <v>Regular</v>
      </c>
      <c r="H1572" s="6">
        <v>19.0</v>
      </c>
      <c r="I1572" s="9" t="str">
        <f>VLOOKUP(dynamic[productID],products[],2,FALSE)</f>
        <v>Teatime Chocolate Biscuits</v>
      </c>
      <c r="J1572" s="9" t="str">
        <f>VLOOKUP(dynamic[productID],products[],12,FALSE)</f>
        <v>Confections</v>
      </c>
      <c r="K1572" s="7" t="str">
        <f>IF(VLOOKUP(dynamic[productID],products[],7,FALSE)=1,"Discontinued","Current")</f>
        <v>Current</v>
      </c>
      <c r="L1572" s="9">
        <f>VLOOKUP(dynamic[productID],products[],IF(YEAR(dynamic[orderDate])=2022,8,IF(YEAR(dynamic[orderDate])=2023,9,IF(YEAR(dynamic[orderDate])=2024,10,NA))),FALSE)</f>
        <v>6.769656984</v>
      </c>
      <c r="M1572" s="9">
        <v>9.2</v>
      </c>
      <c r="N1572" s="25">
        <f>(dynamic[orderPrice]-dynamic[productCost])/dynamic[productCost]</f>
        <v>0.3590053413</v>
      </c>
      <c r="O1572" s="10">
        <v>12.0</v>
      </c>
      <c r="P1572" s="25">
        <v>0.2</v>
      </c>
      <c r="Q1572" s="9">
        <f>dynamic[orderPrice]*dynamic[orderQuantity]</f>
        <v>110.4</v>
      </c>
      <c r="R1572" s="9">
        <f>dynamic[orderTotal]*(1-dynamic[discountApllied])</f>
        <v>88.32</v>
      </c>
      <c r="S1572" s="9">
        <f>dynamic[revenue]-(dynamic[productCost]*dynamic[orderQuantity])</f>
        <v>7.084116192</v>
      </c>
      <c r="T1572" s="25">
        <f>IFERROR(dynamic[profit]/dynamic[revenue], 0)</f>
        <v>0.08020964891</v>
      </c>
    </row>
    <row r="1573" ht="15.75" customHeight="1">
      <c r="A1573" s="6">
        <v>10847.0</v>
      </c>
      <c r="B1573" s="7" t="s">
        <v>60</v>
      </c>
      <c r="C1573" s="24" t="str">
        <f>VLOOKUP(dynamic[customerID],customers[],2,FALSE)</f>
        <v>Save-a-lot Markets</v>
      </c>
      <c r="D1573" s="24">
        <v>45313.0</v>
      </c>
      <c r="E1573" s="6">
        <f>IFERROR(__xludf.DUMMYFUNCTION("COUNTUNIQUEIFS($A$2:$A1573,$B$2:$B1573,B1573)"),22.0)</f>
        <v>22</v>
      </c>
      <c r="F1573" s="6">
        <f t="shared" si="1"/>
        <v>17</v>
      </c>
      <c r="G1573" s="6" t="str">
        <f>IF(MINIFS(dynamic[orderDate], dynamic[customerID], B1573) &gt;= DATE(2024,4,30)-120, 
     "New", 
     IF(MAXIFS(dynamic[orderCount], dynamic[customerID], B1573)&lt;=2, 
        IF((DATE(2024,4,30) - MAXIFS(dynamic[orderDate], dynamic[customerID], B1573)) &gt; 180, "Non-Returning", "Dormant"), 
        IF(AND(MAX(dynamic[sinceLastOrder]) &gt; 365, (DATE(2024,4,30) - MAXIFS(dynamic[orderDate], dynamic[customerID], B1573)) &gt; 180), 
           "Dormant", "Regular")))</f>
        <v>Regular</v>
      </c>
      <c r="H1573" s="6">
        <v>37.0</v>
      </c>
      <c r="I1573" s="9" t="str">
        <f>VLOOKUP(dynamic[productID],products[],2,FALSE)</f>
        <v>Gravad lax</v>
      </c>
      <c r="J1573" s="9" t="str">
        <f>VLOOKUP(dynamic[productID],products[],12,FALSE)</f>
        <v>Seafood</v>
      </c>
      <c r="K1573" s="7" t="str">
        <f>IF(VLOOKUP(dynamic[productID],products[],7,FALSE)=1,"Discontinued","Current")</f>
        <v>Current</v>
      </c>
      <c r="L1573" s="9">
        <f>VLOOKUP(dynamic[productID],products[],IF(YEAR(dynamic[orderDate])=2022,8,IF(YEAR(dynamic[orderDate])=2023,9,IF(YEAR(dynamic[orderDate])=2024,10,NA))),FALSE)</f>
        <v>16.5764923</v>
      </c>
      <c r="M1573" s="9">
        <v>26.0</v>
      </c>
      <c r="N1573" s="25">
        <f>(dynamic[orderPrice]-dynamic[productCost])/dynamic[productCost]</f>
        <v>0.5684862348</v>
      </c>
      <c r="O1573" s="10">
        <v>60.0</v>
      </c>
      <c r="P1573" s="25">
        <v>0.2</v>
      </c>
      <c r="Q1573" s="9">
        <f>dynamic[orderPrice]*dynamic[orderQuantity]</f>
        <v>1560</v>
      </c>
      <c r="R1573" s="9">
        <f>dynamic[orderTotal]*(1-dynamic[discountApllied])</f>
        <v>1248</v>
      </c>
      <c r="S1573" s="9">
        <f>dynamic[revenue]-(dynamic[productCost]*dynamic[orderQuantity])</f>
        <v>253.4104618</v>
      </c>
      <c r="T1573" s="25">
        <f>IFERROR(dynamic[profit]/dynamic[revenue], 0)</f>
        <v>0.2030532546</v>
      </c>
    </row>
    <row r="1574" ht="15.75" customHeight="1">
      <c r="A1574" s="6">
        <v>10847.0</v>
      </c>
      <c r="B1574" s="7" t="s">
        <v>60</v>
      </c>
      <c r="C1574" s="24" t="str">
        <f>VLOOKUP(dynamic[customerID],customers[],2,FALSE)</f>
        <v>Save-a-lot Markets</v>
      </c>
      <c r="D1574" s="24">
        <v>45313.0</v>
      </c>
      <c r="E1574" s="6">
        <f>IFERROR(__xludf.DUMMYFUNCTION("COUNTUNIQUEIFS($A$2:$A1574,$B$2:$B1574,B1574)"),22.0)</f>
        <v>22</v>
      </c>
      <c r="F1574" s="6">
        <f t="shared" si="1"/>
        <v>17</v>
      </c>
      <c r="G1574" s="6" t="str">
        <f>IF(MINIFS(dynamic[orderDate], dynamic[customerID], B1574) &gt;= DATE(2024,4,30)-120, 
     "New", 
     IF(MAXIFS(dynamic[orderCount], dynamic[customerID], B1574)&lt;=2, 
        IF((DATE(2024,4,30) - MAXIFS(dynamic[orderDate], dynamic[customerID], B1574)) &gt; 180, "Non-Returning", "Dormant"), 
        IF(AND(MAX(dynamic[sinceLastOrder]) &gt; 365, (DATE(2024,4,30) - MAXIFS(dynamic[orderDate], dynamic[customerID], B1574)) &gt; 180), 
           "Dormant", "Regular")))</f>
        <v>Regular</v>
      </c>
      <c r="H1574" s="6">
        <v>45.0</v>
      </c>
      <c r="I1574" s="9" t="str">
        <f>VLOOKUP(dynamic[productID],products[],2,FALSE)</f>
        <v>Rogede sild</v>
      </c>
      <c r="J1574" s="9" t="str">
        <f>VLOOKUP(dynamic[productID],products[],12,FALSE)</f>
        <v>Seafood</v>
      </c>
      <c r="K1574" s="7" t="str">
        <f>IF(VLOOKUP(dynamic[productID],products[],7,FALSE)=1,"Discontinued","Current")</f>
        <v>Current</v>
      </c>
      <c r="L1574" s="9">
        <f>VLOOKUP(dynamic[productID],products[],IF(YEAR(dynamic[orderDate])=2022,8,IF(YEAR(dynamic[orderDate])=2023,9,IF(YEAR(dynamic[orderDate])=2024,10,NA))),FALSE)</f>
        <v>6.510592171</v>
      </c>
      <c r="M1574" s="9">
        <v>9.5</v>
      </c>
      <c r="N1574" s="25">
        <f>(dynamic[orderPrice]-dynamic[productCost])/dynamic[productCost]</f>
        <v>0.4591606648</v>
      </c>
      <c r="O1574" s="10">
        <v>36.0</v>
      </c>
      <c r="P1574" s="25">
        <v>0.2</v>
      </c>
      <c r="Q1574" s="9">
        <f>dynamic[orderPrice]*dynamic[orderQuantity]</f>
        <v>342</v>
      </c>
      <c r="R1574" s="9">
        <f>dynamic[orderTotal]*(1-dynamic[discountApllied])</f>
        <v>273.6</v>
      </c>
      <c r="S1574" s="9">
        <f>dynamic[revenue]-(dynamic[productCost]*dynamic[orderQuantity])</f>
        <v>39.21868185</v>
      </c>
      <c r="T1574" s="25">
        <f>IFERROR(dynamic[profit]/dynamic[revenue], 0)</f>
        <v>0.1433431354</v>
      </c>
    </row>
    <row r="1575" ht="15.75" customHeight="1">
      <c r="A1575" s="6">
        <v>10847.0</v>
      </c>
      <c r="B1575" s="7" t="s">
        <v>60</v>
      </c>
      <c r="C1575" s="24" t="str">
        <f>VLOOKUP(dynamic[customerID],customers[],2,FALSE)</f>
        <v>Save-a-lot Markets</v>
      </c>
      <c r="D1575" s="24">
        <v>45313.0</v>
      </c>
      <c r="E1575" s="6">
        <f>IFERROR(__xludf.DUMMYFUNCTION("COUNTUNIQUEIFS($A$2:$A1575,$B$2:$B1575,B1575)"),22.0)</f>
        <v>22</v>
      </c>
      <c r="F1575" s="6">
        <f t="shared" si="1"/>
        <v>17</v>
      </c>
      <c r="G1575" s="6" t="str">
        <f>IF(MINIFS(dynamic[orderDate], dynamic[customerID], B1575) &gt;= DATE(2024,4,30)-120, 
     "New", 
     IF(MAXIFS(dynamic[orderCount], dynamic[customerID], B1575)&lt;=2, 
        IF((DATE(2024,4,30) - MAXIFS(dynamic[orderDate], dynamic[customerID], B1575)) &gt; 180, "Non-Returning", "Dormant"), 
        IF(AND(MAX(dynamic[sinceLastOrder]) &gt; 365, (DATE(2024,4,30) - MAXIFS(dynamic[orderDate], dynamic[customerID], B1575)) &gt; 180), 
           "Dormant", "Regular")))</f>
        <v>Regular</v>
      </c>
      <c r="H1575" s="6">
        <v>60.0</v>
      </c>
      <c r="I1575" s="9" t="str">
        <f>VLOOKUP(dynamic[productID],products[],2,FALSE)</f>
        <v>Camembert Pierrot</v>
      </c>
      <c r="J1575" s="9" t="str">
        <f>VLOOKUP(dynamic[productID],products[],12,FALSE)</f>
        <v>Dairy Products</v>
      </c>
      <c r="K1575" s="7" t="str">
        <f>IF(VLOOKUP(dynamic[productID],products[],7,FALSE)=1,"Discontinued","Current")</f>
        <v>Current</v>
      </c>
      <c r="L1575" s="9">
        <f>VLOOKUP(dynamic[productID],products[],IF(YEAR(dynamic[orderDate])=2022,8,IF(YEAR(dynamic[orderDate])=2023,9,IF(YEAR(dynamic[orderDate])=2024,10,NA))),FALSE)</f>
        <v>22.49091154</v>
      </c>
      <c r="M1575" s="9">
        <v>34.0</v>
      </c>
      <c r="N1575" s="25">
        <f>(dynamic[orderPrice]-dynamic[productCost])/dynamic[productCost]</f>
        <v>0.5117217431</v>
      </c>
      <c r="O1575" s="10">
        <v>45.0</v>
      </c>
      <c r="P1575" s="25">
        <v>0.2</v>
      </c>
      <c r="Q1575" s="9">
        <f>dynamic[orderPrice]*dynamic[orderQuantity]</f>
        <v>1530</v>
      </c>
      <c r="R1575" s="9">
        <f>dynamic[orderTotal]*(1-dynamic[discountApllied])</f>
        <v>1224</v>
      </c>
      <c r="S1575" s="9">
        <f>dynamic[revenue]-(dynamic[productCost]*dynamic[orderQuantity])</f>
        <v>211.9089806</v>
      </c>
      <c r="T1575" s="25">
        <f>IFERROR(dynamic[profit]/dynamic[revenue], 0)</f>
        <v>0.1731282521</v>
      </c>
    </row>
    <row r="1576" ht="15.75" customHeight="1">
      <c r="A1576" s="6">
        <v>10847.0</v>
      </c>
      <c r="B1576" s="7" t="s">
        <v>60</v>
      </c>
      <c r="C1576" s="24" t="str">
        <f>VLOOKUP(dynamic[customerID],customers[],2,FALSE)</f>
        <v>Save-a-lot Markets</v>
      </c>
      <c r="D1576" s="24">
        <v>45313.0</v>
      </c>
      <c r="E1576" s="6">
        <f>IFERROR(__xludf.DUMMYFUNCTION("COUNTUNIQUEIFS($A$2:$A1576,$B$2:$B1576,B1576)"),22.0)</f>
        <v>22</v>
      </c>
      <c r="F1576" s="6">
        <f t="shared" si="1"/>
        <v>17</v>
      </c>
      <c r="G1576" s="6" t="str">
        <f>IF(MINIFS(dynamic[orderDate], dynamic[customerID], B1576) &gt;= DATE(2024,4,30)-120, 
     "New", 
     IF(MAXIFS(dynamic[orderCount], dynamic[customerID], B1576)&lt;=2, 
        IF((DATE(2024,4,30) - MAXIFS(dynamic[orderDate], dynamic[customerID], B1576)) &gt; 180, "Non-Returning", "Dormant"), 
        IF(AND(MAX(dynamic[sinceLastOrder]) &gt; 365, (DATE(2024,4,30) - MAXIFS(dynamic[orderDate], dynamic[customerID], B1576)) &gt; 180), 
           "Dormant", "Regular")))</f>
        <v>Regular</v>
      </c>
      <c r="H1576" s="6">
        <v>71.0</v>
      </c>
      <c r="I1576" s="9" t="str">
        <f>VLOOKUP(dynamic[productID],products[],2,FALSE)</f>
        <v>Flotemysost</v>
      </c>
      <c r="J1576" s="9" t="str">
        <f>VLOOKUP(dynamic[productID],products[],12,FALSE)</f>
        <v>Dairy Products</v>
      </c>
      <c r="K1576" s="7" t="str">
        <f>IF(VLOOKUP(dynamic[productID],products[],7,FALSE)=1,"Discontinued","Current")</f>
        <v>Current</v>
      </c>
      <c r="L1576" s="9">
        <f>VLOOKUP(dynamic[productID],products[],IF(YEAR(dynamic[orderDate])=2022,8,IF(YEAR(dynamic[orderDate])=2023,9,IF(YEAR(dynamic[orderDate])=2024,10,NA))),FALSE)</f>
        <v>14.20977576</v>
      </c>
      <c r="M1576" s="9">
        <v>21.5</v>
      </c>
      <c r="N1576" s="25">
        <f>(dynamic[orderPrice]-dynamic[productCost])/dynamic[productCost]</f>
        <v>0.5130428769</v>
      </c>
      <c r="O1576" s="10">
        <v>55.0</v>
      </c>
      <c r="P1576" s="25">
        <v>0.2</v>
      </c>
      <c r="Q1576" s="9">
        <f>dynamic[orderPrice]*dynamic[orderQuantity]</f>
        <v>1182.5</v>
      </c>
      <c r="R1576" s="9">
        <f>dynamic[orderTotal]*(1-dynamic[discountApllied])</f>
        <v>946</v>
      </c>
      <c r="S1576" s="9">
        <f>dynamic[revenue]-(dynamic[productCost]*dynamic[orderQuantity])</f>
        <v>164.4623331</v>
      </c>
      <c r="T1576" s="25">
        <f>IFERROR(dynamic[profit]/dynamic[revenue], 0)</f>
        <v>0.1738502464</v>
      </c>
    </row>
    <row r="1577" ht="15.75" customHeight="1">
      <c r="A1577" s="6">
        <v>10848.0</v>
      </c>
      <c r="B1577" s="7" t="s">
        <v>87</v>
      </c>
      <c r="C1577" s="24" t="str">
        <f>VLOOKUP(dynamic[customerID],customers[],2,FALSE)</f>
        <v>Consolidated Holdings</v>
      </c>
      <c r="D1577" s="24">
        <v>45314.0</v>
      </c>
      <c r="E1577" s="6">
        <f>IFERROR(__xludf.DUMMYFUNCTION("COUNTUNIQUEIFS($A$2:$A1577,$B$2:$B1577,B1577)"),3.0)</f>
        <v>3</v>
      </c>
      <c r="F1577" s="6">
        <f t="shared" si="1"/>
        <v>326</v>
      </c>
      <c r="G1577" s="6" t="str">
        <f>IF(MINIFS(dynamic[orderDate], dynamic[customerID], B1577) &gt;= DATE(2024,4,30)-120, 
     "New", 
     IF(MAXIFS(dynamic[orderCount], dynamic[customerID], B1577)&lt;=2, 
        IF((DATE(2024,4,30) - MAXIFS(dynamic[orderDate], dynamic[customerID], B1577)) &gt; 180, "Non-Returning", "Dormant"), 
        IF(AND(MAX(dynamic[sinceLastOrder]) &gt; 365, (DATE(2024,4,30) - MAXIFS(dynamic[orderDate], dynamic[customerID], B1577)) &gt; 180), 
           "Dormant", "Regular")))</f>
        <v>Regular</v>
      </c>
      <c r="H1577" s="6">
        <v>5.0</v>
      </c>
      <c r="I1577" s="9" t="str">
        <f>VLOOKUP(dynamic[productID],products[],2,FALSE)</f>
        <v>Chef Anton's Gumbo Mix</v>
      </c>
      <c r="J1577" s="9" t="str">
        <f>VLOOKUP(dynamic[productID],products[],12,FALSE)</f>
        <v>Condiments</v>
      </c>
      <c r="K1577" s="7" t="str">
        <f>IF(VLOOKUP(dynamic[productID],products[],7,FALSE)=1,"Discontinued","Current")</f>
        <v>Discontinued</v>
      </c>
      <c r="L1577" s="9">
        <f>VLOOKUP(dynamic[productID],products[],IF(YEAR(dynamic[orderDate])=2022,8,IF(YEAR(dynamic[orderDate])=2023,9,IF(YEAR(dynamic[orderDate])=2024,10,NA))),FALSE)</f>
        <v>13.96337378</v>
      </c>
      <c r="M1577" s="9">
        <v>21.35</v>
      </c>
      <c r="N1577" s="25">
        <f>(dynamic[orderPrice]-dynamic[productCost])/dynamic[productCost]</f>
        <v>0.5290001069</v>
      </c>
      <c r="O1577" s="10">
        <v>30.0</v>
      </c>
      <c r="P1577" s="25">
        <v>0.0</v>
      </c>
      <c r="Q1577" s="9">
        <f>dynamic[orderPrice]*dynamic[orderQuantity]</f>
        <v>640.5</v>
      </c>
      <c r="R1577" s="9">
        <f>dynamic[orderTotal]*(1-dynamic[discountApllied])</f>
        <v>640.5</v>
      </c>
      <c r="S1577" s="9">
        <f>dynamic[revenue]-(dynamic[productCost]*dynamic[orderQuantity])</f>
        <v>221.5987867</v>
      </c>
      <c r="T1577" s="25">
        <f>IFERROR(dynamic[profit]/dynamic[revenue], 0)</f>
        <v>0.345977809</v>
      </c>
    </row>
    <row r="1578" ht="15.75" customHeight="1">
      <c r="A1578" s="6">
        <v>10848.0</v>
      </c>
      <c r="B1578" s="7" t="s">
        <v>87</v>
      </c>
      <c r="C1578" s="24" t="str">
        <f>VLOOKUP(dynamic[customerID],customers[],2,FALSE)</f>
        <v>Consolidated Holdings</v>
      </c>
      <c r="D1578" s="24">
        <v>45314.0</v>
      </c>
      <c r="E1578" s="6">
        <f>IFERROR(__xludf.DUMMYFUNCTION("COUNTUNIQUEIFS($A$2:$A1578,$B$2:$B1578,B1578)"),3.0)</f>
        <v>3</v>
      </c>
      <c r="F1578" s="6">
        <f t="shared" si="1"/>
        <v>326</v>
      </c>
      <c r="G1578" s="6" t="str">
        <f>IF(MINIFS(dynamic[orderDate], dynamic[customerID], B1578) &gt;= DATE(2024,4,30)-120, 
     "New", 
     IF(MAXIFS(dynamic[orderCount], dynamic[customerID], B1578)&lt;=2, 
        IF((DATE(2024,4,30) - MAXIFS(dynamic[orderDate], dynamic[customerID], B1578)) &gt; 180, "Non-Returning", "Dormant"), 
        IF(AND(MAX(dynamic[sinceLastOrder]) &gt; 365, (DATE(2024,4,30) - MAXIFS(dynamic[orderDate], dynamic[customerID], B1578)) &gt; 180), 
           "Dormant", "Regular")))</f>
        <v>Regular</v>
      </c>
      <c r="H1578" s="6">
        <v>9.0</v>
      </c>
      <c r="I1578" s="9" t="str">
        <f>VLOOKUP(dynamic[productID],products[],2,FALSE)</f>
        <v>Mishi Kobe Niku</v>
      </c>
      <c r="J1578" s="9" t="str">
        <f>VLOOKUP(dynamic[productID],products[],12,FALSE)</f>
        <v>Meat/Poultry</v>
      </c>
      <c r="K1578" s="7" t="str">
        <f>IF(VLOOKUP(dynamic[productID],products[],7,FALSE)=1,"Discontinued","Current")</f>
        <v>Discontinued</v>
      </c>
      <c r="L1578" s="9">
        <f>VLOOKUP(dynamic[productID],products[],IF(YEAR(dynamic[orderDate])=2022,8,IF(YEAR(dynamic[orderDate])=2023,9,IF(YEAR(dynamic[orderDate])=2024,10,NA))),FALSE)</f>
        <v>72.66863294</v>
      </c>
      <c r="M1578" s="9">
        <v>97.0</v>
      </c>
      <c r="N1578" s="25">
        <f>(dynamic[orderPrice]-dynamic[productCost])/dynamic[productCost]</f>
        <v>0.3348262665</v>
      </c>
      <c r="O1578" s="10">
        <v>3.0</v>
      </c>
      <c r="P1578" s="25">
        <v>0.0</v>
      </c>
      <c r="Q1578" s="9">
        <f>dynamic[orderPrice]*dynamic[orderQuantity]</f>
        <v>291</v>
      </c>
      <c r="R1578" s="9">
        <f>dynamic[orderTotal]*(1-dynamic[discountApllied])</f>
        <v>291</v>
      </c>
      <c r="S1578" s="9">
        <f>dynamic[revenue]-(dynamic[productCost]*dynamic[orderQuantity])</f>
        <v>72.99410117</v>
      </c>
      <c r="T1578" s="25">
        <f>IFERROR(dynamic[profit]/dynamic[revenue], 0)</f>
        <v>0.2508388356</v>
      </c>
    </row>
    <row r="1579" ht="15.75" customHeight="1">
      <c r="A1579" s="6">
        <v>10849.0</v>
      </c>
      <c r="B1579" s="7" t="s">
        <v>59</v>
      </c>
      <c r="C1579" s="24" t="str">
        <f>VLOOKUP(dynamic[customerID],customers[],2,FALSE)</f>
        <v>Königlich Essen</v>
      </c>
      <c r="D1579" s="24">
        <v>45314.0</v>
      </c>
      <c r="E1579" s="6">
        <f>IFERROR(__xludf.DUMMYFUNCTION("COUNTUNIQUEIFS($A$2:$A1579,$B$2:$B1579,B1579)"),12.0)</f>
        <v>12</v>
      </c>
      <c r="F1579" s="6">
        <f t="shared" si="1"/>
        <v>17</v>
      </c>
      <c r="G1579" s="6" t="str">
        <f>IF(MINIFS(dynamic[orderDate], dynamic[customerID], B1579) &gt;= DATE(2024,4,30)-120, 
     "New", 
     IF(MAXIFS(dynamic[orderCount], dynamic[customerID], B1579)&lt;=2, 
        IF((DATE(2024,4,30) - MAXIFS(dynamic[orderDate], dynamic[customerID], B1579)) &gt; 180, "Non-Returning", "Dormant"), 
        IF(AND(MAX(dynamic[sinceLastOrder]) &gt; 365, (DATE(2024,4,30) - MAXIFS(dynamic[orderDate], dynamic[customerID], B1579)) &gt; 180), 
           "Dormant", "Regular")))</f>
        <v>Regular</v>
      </c>
      <c r="H1579" s="6">
        <v>3.0</v>
      </c>
      <c r="I1579" s="9" t="str">
        <f>VLOOKUP(dynamic[productID],products[],2,FALSE)</f>
        <v>Aniseed Syrup</v>
      </c>
      <c r="J1579" s="9" t="str">
        <f>VLOOKUP(dynamic[productID],products[],12,FALSE)</f>
        <v>Condiments</v>
      </c>
      <c r="K1579" s="7" t="str">
        <f>IF(VLOOKUP(dynamic[productID],products[],7,FALSE)=1,"Discontinued","Current")</f>
        <v>Current</v>
      </c>
      <c r="L1579" s="9">
        <f>VLOOKUP(dynamic[productID],products[],IF(YEAR(dynamic[orderDate])=2022,8,IF(YEAR(dynamic[orderDate])=2023,9,IF(YEAR(dynamic[orderDate])=2024,10,NA))),FALSE)</f>
        <v>7.205917693</v>
      </c>
      <c r="M1579" s="9">
        <v>10.0</v>
      </c>
      <c r="N1579" s="25">
        <f>(dynamic[orderPrice]-dynamic[productCost])/dynamic[productCost]</f>
        <v>0.3877482961</v>
      </c>
      <c r="O1579" s="10">
        <v>49.0</v>
      </c>
      <c r="P1579" s="25">
        <v>0.0</v>
      </c>
      <c r="Q1579" s="9">
        <f>dynamic[orderPrice]*dynamic[orderQuantity]</f>
        <v>490</v>
      </c>
      <c r="R1579" s="9">
        <f>dynamic[orderTotal]*(1-dynamic[discountApllied])</f>
        <v>490</v>
      </c>
      <c r="S1579" s="9">
        <f>dynamic[revenue]-(dynamic[productCost]*dynamic[orderQuantity])</f>
        <v>136.910033</v>
      </c>
      <c r="T1579" s="25">
        <f>IFERROR(dynamic[profit]/dynamic[revenue], 0)</f>
        <v>0.2794082307</v>
      </c>
    </row>
    <row r="1580" ht="15.75" customHeight="1">
      <c r="A1580" s="6">
        <v>10849.0</v>
      </c>
      <c r="B1580" s="7" t="s">
        <v>59</v>
      </c>
      <c r="C1580" s="24" t="str">
        <f>VLOOKUP(dynamic[customerID],customers[],2,FALSE)</f>
        <v>Königlich Essen</v>
      </c>
      <c r="D1580" s="24">
        <v>45314.0</v>
      </c>
      <c r="E1580" s="6">
        <f>IFERROR(__xludf.DUMMYFUNCTION("COUNTUNIQUEIFS($A$2:$A1580,$B$2:$B1580,B1580)"),12.0)</f>
        <v>12</v>
      </c>
      <c r="F1580" s="6">
        <f t="shared" si="1"/>
        <v>17</v>
      </c>
      <c r="G1580" s="6" t="str">
        <f>IF(MINIFS(dynamic[orderDate], dynamic[customerID], B1580) &gt;= DATE(2024,4,30)-120, 
     "New", 
     IF(MAXIFS(dynamic[orderCount], dynamic[customerID], B1580)&lt;=2, 
        IF((DATE(2024,4,30) - MAXIFS(dynamic[orderDate], dynamic[customerID], B1580)) &gt; 180, "Non-Returning", "Dormant"), 
        IF(AND(MAX(dynamic[sinceLastOrder]) &gt; 365, (DATE(2024,4,30) - MAXIFS(dynamic[orderDate], dynamic[customerID], B1580)) &gt; 180), 
           "Dormant", "Regular")))</f>
        <v>Regular</v>
      </c>
      <c r="H1580" s="6">
        <v>26.0</v>
      </c>
      <c r="I1580" s="9" t="str">
        <f>VLOOKUP(dynamic[productID],products[],2,FALSE)</f>
        <v>NuNuCa Nuß-Nougat-Creme</v>
      </c>
      <c r="J1580" s="9" t="str">
        <f>VLOOKUP(dynamic[productID],products[],12,FALSE)</f>
        <v>Confections</v>
      </c>
      <c r="K1580" s="7" t="str">
        <f>IF(VLOOKUP(dynamic[productID],products[],7,FALSE)=1,"Discontinued","Current")</f>
        <v>Current</v>
      </c>
      <c r="L1580" s="9">
        <f>VLOOKUP(dynamic[productID],products[],IF(YEAR(dynamic[orderDate])=2022,8,IF(YEAR(dynamic[orderDate])=2023,9,IF(YEAR(dynamic[orderDate])=2024,10,NA))),FALSE)</f>
        <v>22.79977195</v>
      </c>
      <c r="M1580" s="9">
        <v>31.23</v>
      </c>
      <c r="N1580" s="25">
        <f>(dynamic[orderPrice]-dynamic[productCost])/dynamic[productCost]</f>
        <v>0.3697505427</v>
      </c>
      <c r="O1580" s="10">
        <v>18.0</v>
      </c>
      <c r="P1580" s="25">
        <v>0.15</v>
      </c>
      <c r="Q1580" s="9">
        <f>dynamic[orderPrice]*dynamic[orderQuantity]</f>
        <v>562.14</v>
      </c>
      <c r="R1580" s="9">
        <f>dynamic[orderTotal]*(1-dynamic[discountApllied])</f>
        <v>477.819</v>
      </c>
      <c r="S1580" s="9">
        <f>dynamic[revenue]-(dynamic[productCost]*dynamic[orderQuantity])</f>
        <v>67.42310494</v>
      </c>
      <c r="T1580" s="25">
        <f>IFERROR(dynamic[profit]/dynamic[revenue], 0)</f>
        <v>0.1411059521</v>
      </c>
    </row>
    <row r="1581" ht="15.75" customHeight="1">
      <c r="A1581" s="6">
        <v>10850.0</v>
      </c>
      <c r="B1581" s="7" t="s">
        <v>18</v>
      </c>
      <c r="C1581" s="24" t="str">
        <f>VLOOKUP(dynamic[customerID],customers[],2,FALSE)</f>
        <v>Victuailles en stock</v>
      </c>
      <c r="D1581" s="24">
        <v>45314.0</v>
      </c>
      <c r="E1581" s="6">
        <f>IFERROR(__xludf.DUMMYFUNCTION("COUNTUNIQUEIFS($A$2:$A1581,$B$2:$B1581,B1581)"),10.0)</f>
        <v>10</v>
      </c>
      <c r="F1581" s="6">
        <f t="shared" si="1"/>
        <v>2</v>
      </c>
      <c r="G1581" s="6" t="str">
        <f>IF(MINIFS(dynamic[orderDate], dynamic[customerID], B1581) &gt;= DATE(2024,4,30)-120, 
     "New", 
     IF(MAXIFS(dynamic[orderCount], dynamic[customerID], B1581)&lt;=2, 
        IF((DATE(2024,4,30) - MAXIFS(dynamic[orderDate], dynamic[customerID], B1581)) &gt; 180, "Non-Returning", "Dormant"), 
        IF(AND(MAX(dynamic[sinceLastOrder]) &gt; 365, (DATE(2024,4,30) - MAXIFS(dynamic[orderDate], dynamic[customerID], B1581)) &gt; 180), 
           "Dormant", "Regular")))</f>
        <v>Regular</v>
      </c>
      <c r="H1581" s="6">
        <v>25.0</v>
      </c>
      <c r="I1581" s="9" t="str">
        <f>VLOOKUP(dynamic[productID],products[],2,FALSE)</f>
        <v>HM Köstliche Kaiserschmarrn Knödelchen</v>
      </c>
      <c r="J1581" s="9" t="str">
        <f>VLOOKUP(dynamic[productID],products[],12,FALSE)</f>
        <v>Confections</v>
      </c>
      <c r="K1581" s="7" t="str">
        <f>IF(VLOOKUP(dynamic[productID],products[],7,FALSE)=1,"Discontinued","Current")</f>
        <v>Current</v>
      </c>
      <c r="L1581" s="9">
        <f>VLOOKUP(dynamic[productID],products[],IF(YEAR(dynamic[orderDate])=2022,8,IF(YEAR(dynamic[orderDate])=2023,9,IF(YEAR(dynamic[orderDate])=2024,10,NA))),FALSE)</f>
        <v>8.782270815</v>
      </c>
      <c r="M1581" s="9">
        <v>14.0</v>
      </c>
      <c r="N1581" s="25">
        <f>(dynamic[orderPrice]-dynamic[productCost])/dynamic[productCost]</f>
        <v>0.5941207342</v>
      </c>
      <c r="O1581" s="10">
        <v>20.0</v>
      </c>
      <c r="P1581" s="25">
        <v>0.15</v>
      </c>
      <c r="Q1581" s="9">
        <f>dynamic[orderPrice]*dynamic[orderQuantity]</f>
        <v>280</v>
      </c>
      <c r="R1581" s="9">
        <f>dynamic[orderTotal]*(1-dynamic[discountApllied])</f>
        <v>238</v>
      </c>
      <c r="S1581" s="9">
        <f>dynamic[revenue]-(dynamic[productCost]*dynamic[orderQuantity])</f>
        <v>62.3545837</v>
      </c>
      <c r="T1581" s="25">
        <f>IFERROR(dynamic[profit]/dynamic[revenue], 0)</f>
        <v>0.2619940492</v>
      </c>
    </row>
    <row r="1582" ht="15.75" customHeight="1">
      <c r="A1582" s="6">
        <v>10850.0</v>
      </c>
      <c r="B1582" s="7" t="s">
        <v>18</v>
      </c>
      <c r="C1582" s="24" t="str">
        <f>VLOOKUP(dynamic[customerID],customers[],2,FALSE)</f>
        <v>Victuailles en stock</v>
      </c>
      <c r="D1582" s="24">
        <v>45314.0</v>
      </c>
      <c r="E1582" s="6">
        <f>IFERROR(__xludf.DUMMYFUNCTION("COUNTUNIQUEIFS($A$2:$A1582,$B$2:$B1582,B1582)"),10.0)</f>
        <v>10</v>
      </c>
      <c r="F1582" s="6">
        <f t="shared" si="1"/>
        <v>2</v>
      </c>
      <c r="G1582" s="6" t="str">
        <f>IF(MINIFS(dynamic[orderDate], dynamic[customerID], B1582) &gt;= DATE(2024,4,30)-120, 
     "New", 
     IF(MAXIFS(dynamic[orderCount], dynamic[customerID], B1582)&lt;=2, 
        IF((DATE(2024,4,30) - MAXIFS(dynamic[orderDate], dynamic[customerID], B1582)) &gt; 180, "Non-Returning", "Dormant"), 
        IF(AND(MAX(dynamic[sinceLastOrder]) &gt; 365, (DATE(2024,4,30) - MAXIFS(dynamic[orderDate], dynamic[customerID], B1582)) &gt; 180), 
           "Dormant", "Regular")))</f>
        <v>Regular</v>
      </c>
      <c r="H1582" s="6">
        <v>33.0</v>
      </c>
      <c r="I1582" s="9" t="str">
        <f>VLOOKUP(dynamic[productID],products[],2,FALSE)</f>
        <v>Geitost</v>
      </c>
      <c r="J1582" s="9" t="str">
        <f>VLOOKUP(dynamic[productID],products[],12,FALSE)</f>
        <v>Dairy Products</v>
      </c>
      <c r="K1582" s="7" t="str">
        <f>IF(VLOOKUP(dynamic[productID],products[],7,FALSE)=1,"Discontinued","Current")</f>
        <v>Current</v>
      </c>
      <c r="L1582" s="9">
        <f>VLOOKUP(dynamic[productID],products[],IF(YEAR(dynamic[orderDate])=2022,8,IF(YEAR(dynamic[orderDate])=2023,9,IF(YEAR(dynamic[orderDate])=2024,10,NA))),FALSE)</f>
        <v>1.670163437</v>
      </c>
      <c r="M1582" s="9">
        <v>2.5</v>
      </c>
      <c r="N1582" s="25">
        <f>(dynamic[orderPrice]-dynamic[productCost])/dynamic[productCost]</f>
        <v>0.4968594957</v>
      </c>
      <c r="O1582" s="10">
        <v>4.0</v>
      </c>
      <c r="P1582" s="25">
        <v>0.15</v>
      </c>
      <c r="Q1582" s="9">
        <f>dynamic[orderPrice]*dynamic[orderQuantity]</f>
        <v>10</v>
      </c>
      <c r="R1582" s="9">
        <f>dynamic[orderTotal]*(1-dynamic[discountApllied])</f>
        <v>8.5</v>
      </c>
      <c r="S1582" s="9">
        <f>dynamic[revenue]-(dynamic[productCost]*dynamic[orderQuantity])</f>
        <v>1.819346252</v>
      </c>
      <c r="T1582" s="25">
        <f>IFERROR(dynamic[profit]/dynamic[revenue], 0)</f>
        <v>0.2140407355</v>
      </c>
    </row>
    <row r="1583" ht="15.75" customHeight="1">
      <c r="A1583" s="6">
        <v>10850.0</v>
      </c>
      <c r="B1583" s="7" t="s">
        <v>18</v>
      </c>
      <c r="C1583" s="24" t="str">
        <f>VLOOKUP(dynamic[customerID],customers[],2,FALSE)</f>
        <v>Victuailles en stock</v>
      </c>
      <c r="D1583" s="24">
        <v>45314.0</v>
      </c>
      <c r="E1583" s="6">
        <f>IFERROR(__xludf.DUMMYFUNCTION("COUNTUNIQUEIFS($A$2:$A1583,$B$2:$B1583,B1583)"),10.0)</f>
        <v>10</v>
      </c>
      <c r="F1583" s="6">
        <f t="shared" si="1"/>
        <v>2</v>
      </c>
      <c r="G1583" s="6" t="str">
        <f>IF(MINIFS(dynamic[orderDate], dynamic[customerID], B1583) &gt;= DATE(2024,4,30)-120, 
     "New", 
     IF(MAXIFS(dynamic[orderCount], dynamic[customerID], B1583)&lt;=2, 
        IF((DATE(2024,4,30) - MAXIFS(dynamic[orderDate], dynamic[customerID], B1583)) &gt; 180, "Non-Returning", "Dormant"), 
        IF(AND(MAX(dynamic[sinceLastOrder]) &gt; 365, (DATE(2024,4,30) - MAXIFS(dynamic[orderDate], dynamic[customerID], B1583)) &gt; 180), 
           "Dormant", "Regular")))</f>
        <v>Regular</v>
      </c>
      <c r="H1583" s="6">
        <v>70.0</v>
      </c>
      <c r="I1583" s="9" t="str">
        <f>VLOOKUP(dynamic[productID],products[],2,FALSE)</f>
        <v>Outback Lager</v>
      </c>
      <c r="J1583" s="9" t="str">
        <f>VLOOKUP(dynamic[productID],products[],12,FALSE)</f>
        <v>Beverages</v>
      </c>
      <c r="K1583" s="7" t="str">
        <f>IF(VLOOKUP(dynamic[productID],products[],7,FALSE)=1,"Discontinued","Current")</f>
        <v>Current</v>
      </c>
      <c r="L1583" s="9">
        <f>VLOOKUP(dynamic[productID],products[],IF(YEAR(dynamic[orderDate])=2022,8,IF(YEAR(dynamic[orderDate])=2023,9,IF(YEAR(dynamic[orderDate])=2024,10,NA))),FALSE)</f>
        <v>10.03280812</v>
      </c>
      <c r="M1583" s="9">
        <v>15.0</v>
      </c>
      <c r="N1583" s="25">
        <f>(dynamic[orderPrice]-dynamic[productCost])/dynamic[productCost]</f>
        <v>0.4950948747</v>
      </c>
      <c r="O1583" s="10">
        <v>30.0</v>
      </c>
      <c r="P1583" s="25">
        <v>0.15</v>
      </c>
      <c r="Q1583" s="9">
        <f>dynamic[orderPrice]*dynamic[orderQuantity]</f>
        <v>450</v>
      </c>
      <c r="R1583" s="9">
        <f>dynamic[orderTotal]*(1-dynamic[discountApllied])</f>
        <v>382.5</v>
      </c>
      <c r="S1583" s="9">
        <f>dynamic[revenue]-(dynamic[productCost]*dynamic[orderQuantity])</f>
        <v>81.51575637</v>
      </c>
      <c r="T1583" s="25">
        <f>IFERROR(dynamic[profit]/dynamic[revenue], 0)</f>
        <v>0.2131130886</v>
      </c>
    </row>
    <row r="1584" ht="15.75" customHeight="1">
      <c r="A1584" s="6">
        <v>10851.0</v>
      </c>
      <c r="B1584" s="7" t="s">
        <v>44</v>
      </c>
      <c r="C1584" s="24" t="str">
        <f>VLOOKUP(dynamic[customerID],customers[],2,FALSE)</f>
        <v>Ricardo Adocicados</v>
      </c>
      <c r="D1584" s="24">
        <v>45317.0</v>
      </c>
      <c r="E1584" s="6">
        <f>IFERROR(__xludf.DUMMYFUNCTION("COUNTUNIQUEIFS($A$2:$A1584,$B$2:$B1584,B1584)"),9.0)</f>
        <v>9</v>
      </c>
      <c r="F1584" s="6">
        <f t="shared" si="1"/>
        <v>21</v>
      </c>
      <c r="G1584" s="6" t="str">
        <f>IF(MINIFS(dynamic[orderDate], dynamic[customerID], B1584) &gt;= DATE(2024,4,30)-120, 
     "New", 
     IF(MAXIFS(dynamic[orderCount], dynamic[customerID], B1584)&lt;=2, 
        IF((DATE(2024,4,30) - MAXIFS(dynamic[orderDate], dynamic[customerID], B1584)) &gt; 180, "Non-Returning", "Dormant"), 
        IF(AND(MAX(dynamic[sinceLastOrder]) &gt; 365, (DATE(2024,4,30) - MAXIFS(dynamic[orderDate], dynamic[customerID], B1584)) &gt; 180), 
           "Dormant", "Regular")))</f>
        <v>Regular</v>
      </c>
      <c r="H1584" s="6">
        <v>2.0</v>
      </c>
      <c r="I1584" s="9" t="str">
        <f>VLOOKUP(dynamic[productID],products[],2,FALSE)</f>
        <v>Chang</v>
      </c>
      <c r="J1584" s="9" t="str">
        <f>VLOOKUP(dynamic[productID],products[],12,FALSE)</f>
        <v>Beverages</v>
      </c>
      <c r="K1584" s="7" t="str">
        <f>IF(VLOOKUP(dynamic[productID],products[],7,FALSE)=1,"Discontinued","Current")</f>
        <v>Current</v>
      </c>
      <c r="L1584" s="9">
        <f>VLOOKUP(dynamic[productID],products[],IF(YEAR(dynamic[orderDate])=2022,8,IF(YEAR(dynamic[orderDate])=2023,9,IF(YEAR(dynamic[orderDate])=2024,10,NA))),FALSE)</f>
        <v>11.93843713</v>
      </c>
      <c r="M1584" s="9">
        <v>19.0</v>
      </c>
      <c r="N1584" s="25">
        <f>(dynamic[orderPrice]-dynamic[productCost])/dynamic[productCost]</f>
        <v>0.591498099</v>
      </c>
      <c r="O1584" s="10">
        <v>5.0</v>
      </c>
      <c r="P1584" s="25">
        <v>0.05</v>
      </c>
      <c r="Q1584" s="9">
        <f>dynamic[orderPrice]*dynamic[orderQuantity]</f>
        <v>95</v>
      </c>
      <c r="R1584" s="9">
        <f>dynamic[orderTotal]*(1-dynamic[discountApllied])</f>
        <v>90.25</v>
      </c>
      <c r="S1584" s="9">
        <f>dynamic[revenue]-(dynamic[productCost]*dynamic[orderQuantity])</f>
        <v>30.55781434</v>
      </c>
      <c r="T1584" s="25">
        <f>IFERROR(dynamic[profit]/dynamic[revenue], 0)</f>
        <v>0.3385907406</v>
      </c>
    </row>
    <row r="1585" ht="15.75" customHeight="1">
      <c r="A1585" s="6">
        <v>10851.0</v>
      </c>
      <c r="B1585" s="7" t="s">
        <v>44</v>
      </c>
      <c r="C1585" s="24" t="str">
        <f>VLOOKUP(dynamic[customerID],customers[],2,FALSE)</f>
        <v>Ricardo Adocicados</v>
      </c>
      <c r="D1585" s="24">
        <v>45317.0</v>
      </c>
      <c r="E1585" s="6">
        <f>IFERROR(__xludf.DUMMYFUNCTION("COUNTUNIQUEIFS($A$2:$A1585,$B$2:$B1585,B1585)"),9.0)</f>
        <v>9</v>
      </c>
      <c r="F1585" s="6">
        <f t="shared" si="1"/>
        <v>21</v>
      </c>
      <c r="G1585" s="6" t="str">
        <f>IF(MINIFS(dynamic[orderDate], dynamic[customerID], B1585) &gt;= DATE(2024,4,30)-120, 
     "New", 
     IF(MAXIFS(dynamic[orderCount], dynamic[customerID], B1585)&lt;=2, 
        IF((DATE(2024,4,30) - MAXIFS(dynamic[orderDate], dynamic[customerID], B1585)) &gt; 180, "Non-Returning", "Dormant"), 
        IF(AND(MAX(dynamic[sinceLastOrder]) &gt; 365, (DATE(2024,4,30) - MAXIFS(dynamic[orderDate], dynamic[customerID], B1585)) &gt; 180), 
           "Dormant", "Regular")))</f>
        <v>Regular</v>
      </c>
      <c r="H1585" s="6">
        <v>25.0</v>
      </c>
      <c r="I1585" s="9" t="str">
        <f>VLOOKUP(dynamic[productID],products[],2,FALSE)</f>
        <v>HM Köstliche Kaiserschmarrn Knödelchen</v>
      </c>
      <c r="J1585" s="9" t="str">
        <f>VLOOKUP(dynamic[productID],products[],12,FALSE)</f>
        <v>Confections</v>
      </c>
      <c r="K1585" s="7" t="str">
        <f>IF(VLOOKUP(dynamic[productID],products[],7,FALSE)=1,"Discontinued","Current")</f>
        <v>Current</v>
      </c>
      <c r="L1585" s="9">
        <f>VLOOKUP(dynamic[productID],products[],IF(YEAR(dynamic[orderDate])=2022,8,IF(YEAR(dynamic[orderDate])=2023,9,IF(YEAR(dynamic[orderDate])=2024,10,NA))),FALSE)</f>
        <v>8.782270815</v>
      </c>
      <c r="M1585" s="9">
        <v>14.0</v>
      </c>
      <c r="N1585" s="25">
        <f>(dynamic[orderPrice]-dynamic[productCost])/dynamic[productCost]</f>
        <v>0.5941207342</v>
      </c>
      <c r="O1585" s="10">
        <v>10.0</v>
      </c>
      <c r="P1585" s="25">
        <v>0.05</v>
      </c>
      <c r="Q1585" s="9">
        <f>dynamic[orderPrice]*dynamic[orderQuantity]</f>
        <v>140</v>
      </c>
      <c r="R1585" s="9">
        <f>dynamic[orderTotal]*(1-dynamic[discountApllied])</f>
        <v>133</v>
      </c>
      <c r="S1585" s="9">
        <f>dynamic[revenue]-(dynamic[productCost]*dynamic[orderQuantity])</f>
        <v>45.17729185</v>
      </c>
      <c r="T1585" s="25">
        <f>IFERROR(dynamic[profit]/dynamic[revenue], 0)</f>
        <v>0.3396788861</v>
      </c>
    </row>
    <row r="1586" ht="15.75" customHeight="1">
      <c r="A1586" s="6">
        <v>10851.0</v>
      </c>
      <c r="B1586" s="7" t="s">
        <v>44</v>
      </c>
      <c r="C1586" s="24" t="str">
        <f>VLOOKUP(dynamic[customerID],customers[],2,FALSE)</f>
        <v>Ricardo Adocicados</v>
      </c>
      <c r="D1586" s="24">
        <v>45317.0</v>
      </c>
      <c r="E1586" s="6">
        <f>IFERROR(__xludf.DUMMYFUNCTION("COUNTUNIQUEIFS($A$2:$A1586,$B$2:$B1586,B1586)"),9.0)</f>
        <v>9</v>
      </c>
      <c r="F1586" s="6">
        <f t="shared" si="1"/>
        <v>21</v>
      </c>
      <c r="G1586" s="6" t="str">
        <f>IF(MINIFS(dynamic[orderDate], dynamic[customerID], B1586) &gt;= DATE(2024,4,30)-120, 
     "New", 
     IF(MAXIFS(dynamic[orderCount], dynamic[customerID], B1586)&lt;=2, 
        IF((DATE(2024,4,30) - MAXIFS(dynamic[orderDate], dynamic[customerID], B1586)) &gt; 180, "Non-Returning", "Dormant"), 
        IF(AND(MAX(dynamic[sinceLastOrder]) &gt; 365, (DATE(2024,4,30) - MAXIFS(dynamic[orderDate], dynamic[customerID], B1586)) &gt; 180), 
           "Dormant", "Regular")))</f>
        <v>Regular</v>
      </c>
      <c r="H1586" s="6">
        <v>57.0</v>
      </c>
      <c r="I1586" s="9" t="str">
        <f>VLOOKUP(dynamic[productID],products[],2,FALSE)</f>
        <v>Ravioli Angelo</v>
      </c>
      <c r="J1586" s="9" t="str">
        <f>VLOOKUP(dynamic[productID],products[],12,FALSE)</f>
        <v>Grains/Cereals</v>
      </c>
      <c r="K1586" s="7" t="str">
        <f>IF(VLOOKUP(dynamic[productID],products[],7,FALSE)=1,"Discontinued","Current")</f>
        <v>Current</v>
      </c>
      <c r="L1586" s="9">
        <f>VLOOKUP(dynamic[productID],products[],IF(YEAR(dynamic[orderDate])=2022,8,IF(YEAR(dynamic[orderDate])=2023,9,IF(YEAR(dynamic[orderDate])=2024,10,NA))),FALSE)</f>
        <v>14.29534762</v>
      </c>
      <c r="M1586" s="9">
        <v>19.5</v>
      </c>
      <c r="N1586" s="25">
        <f>(dynamic[orderPrice]-dynamic[productCost])/dynamic[productCost]</f>
        <v>0.3640801552</v>
      </c>
      <c r="O1586" s="10">
        <v>10.0</v>
      </c>
      <c r="P1586" s="25">
        <v>0.05</v>
      </c>
      <c r="Q1586" s="9">
        <f>dynamic[orderPrice]*dynamic[orderQuantity]</f>
        <v>195</v>
      </c>
      <c r="R1586" s="9">
        <f>dynamic[orderTotal]*(1-dynamic[discountApllied])</f>
        <v>185.25</v>
      </c>
      <c r="S1586" s="9">
        <f>dynamic[revenue]-(dynamic[productCost]*dynamic[orderQuantity])</f>
        <v>42.2965238</v>
      </c>
      <c r="T1586" s="25">
        <f>IFERROR(dynamic[profit]/dynamic[revenue], 0)</f>
        <v>0.2283213161</v>
      </c>
    </row>
    <row r="1587" ht="15.75" customHeight="1">
      <c r="A1587" s="6">
        <v>10851.0</v>
      </c>
      <c r="B1587" s="7" t="s">
        <v>44</v>
      </c>
      <c r="C1587" s="24" t="str">
        <f>VLOOKUP(dynamic[customerID],customers[],2,FALSE)</f>
        <v>Ricardo Adocicados</v>
      </c>
      <c r="D1587" s="24">
        <v>45317.0</v>
      </c>
      <c r="E1587" s="6">
        <f>IFERROR(__xludf.DUMMYFUNCTION("COUNTUNIQUEIFS($A$2:$A1587,$B$2:$B1587,B1587)"),9.0)</f>
        <v>9</v>
      </c>
      <c r="F1587" s="6">
        <f t="shared" si="1"/>
        <v>21</v>
      </c>
      <c r="G1587" s="6" t="str">
        <f>IF(MINIFS(dynamic[orderDate], dynamic[customerID], B1587) &gt;= DATE(2024,4,30)-120, 
     "New", 
     IF(MAXIFS(dynamic[orderCount], dynamic[customerID], B1587)&lt;=2, 
        IF((DATE(2024,4,30) - MAXIFS(dynamic[orderDate], dynamic[customerID], B1587)) &gt; 180, "Non-Returning", "Dormant"), 
        IF(AND(MAX(dynamic[sinceLastOrder]) &gt; 365, (DATE(2024,4,30) - MAXIFS(dynamic[orderDate], dynamic[customerID], B1587)) &gt; 180), 
           "Dormant", "Regular")))</f>
        <v>Regular</v>
      </c>
      <c r="H1587" s="6">
        <v>59.0</v>
      </c>
      <c r="I1587" s="9" t="str">
        <f>VLOOKUP(dynamic[productID],products[],2,FALSE)</f>
        <v>Raclette Courdavault</v>
      </c>
      <c r="J1587" s="9" t="str">
        <f>VLOOKUP(dynamic[productID],products[],12,FALSE)</f>
        <v>Dairy Products</v>
      </c>
      <c r="K1587" s="7" t="str">
        <f>IF(VLOOKUP(dynamic[productID],products[],7,FALSE)=1,"Discontinued","Current")</f>
        <v>Current</v>
      </c>
      <c r="L1587" s="9">
        <f>VLOOKUP(dynamic[productID],products[],IF(YEAR(dynamic[orderDate])=2022,8,IF(YEAR(dynamic[orderDate])=2023,9,IF(YEAR(dynamic[orderDate])=2024,10,NA))),FALSE)</f>
        <v>36.74863711</v>
      </c>
      <c r="M1587" s="9">
        <v>55.0</v>
      </c>
      <c r="N1587" s="25">
        <f>(dynamic[orderPrice]-dynamic[productCost])/dynamic[productCost]</f>
        <v>0.4966541435</v>
      </c>
      <c r="O1587" s="10">
        <v>42.0</v>
      </c>
      <c r="P1587" s="25">
        <v>0.05</v>
      </c>
      <c r="Q1587" s="9">
        <f>dynamic[orderPrice]*dynamic[orderQuantity]</f>
        <v>2310</v>
      </c>
      <c r="R1587" s="9">
        <f>dynamic[orderTotal]*(1-dynamic[discountApllied])</f>
        <v>2194.5</v>
      </c>
      <c r="S1587" s="9">
        <f>dynamic[revenue]-(dynamic[productCost]*dynamic[orderQuantity])</f>
        <v>651.0572414</v>
      </c>
      <c r="T1587" s="25">
        <f>IFERROR(dynamic[profit]/dynamic[revenue], 0)</f>
        <v>0.2966768017</v>
      </c>
    </row>
    <row r="1588" ht="15.75" customHeight="1">
      <c r="A1588" s="6">
        <v>10852.0</v>
      </c>
      <c r="B1588" s="7" t="s">
        <v>28</v>
      </c>
      <c r="C1588" s="24" t="str">
        <f>VLOOKUP(dynamic[customerID],customers[],2,FALSE)</f>
        <v>Rattlesnake Canyon Grocery</v>
      </c>
      <c r="D1588" s="24">
        <v>45317.0</v>
      </c>
      <c r="E1588" s="6">
        <f>IFERROR(__xludf.DUMMYFUNCTION("COUNTUNIQUEIFS($A$2:$A1588,$B$2:$B1588,B1588)"),14.0)</f>
        <v>14</v>
      </c>
      <c r="F1588" s="6">
        <f t="shared" si="1"/>
        <v>19</v>
      </c>
      <c r="G1588" s="6" t="str">
        <f>IF(MINIFS(dynamic[orderDate], dynamic[customerID], B1588) &gt;= DATE(2024,4,30)-120, 
     "New", 
     IF(MAXIFS(dynamic[orderCount], dynamic[customerID], B1588)&lt;=2, 
        IF((DATE(2024,4,30) - MAXIFS(dynamic[orderDate], dynamic[customerID], B1588)) &gt; 180, "Non-Returning", "Dormant"), 
        IF(AND(MAX(dynamic[sinceLastOrder]) &gt; 365, (DATE(2024,4,30) - MAXIFS(dynamic[orderDate], dynamic[customerID], B1588)) &gt; 180), 
           "Dormant", "Regular")))</f>
        <v>Regular</v>
      </c>
      <c r="H1588" s="6">
        <v>2.0</v>
      </c>
      <c r="I1588" s="9" t="str">
        <f>VLOOKUP(dynamic[productID],products[],2,FALSE)</f>
        <v>Chang</v>
      </c>
      <c r="J1588" s="9" t="str">
        <f>VLOOKUP(dynamic[productID],products[],12,FALSE)</f>
        <v>Beverages</v>
      </c>
      <c r="K1588" s="7" t="str">
        <f>IF(VLOOKUP(dynamic[productID],products[],7,FALSE)=1,"Discontinued","Current")</f>
        <v>Current</v>
      </c>
      <c r="L1588" s="9">
        <f>VLOOKUP(dynamic[productID],products[],IF(YEAR(dynamic[orderDate])=2022,8,IF(YEAR(dynamic[orderDate])=2023,9,IF(YEAR(dynamic[orderDate])=2024,10,NA))),FALSE)</f>
        <v>11.93843713</v>
      </c>
      <c r="M1588" s="9">
        <v>19.0</v>
      </c>
      <c r="N1588" s="25">
        <f>(dynamic[orderPrice]-dynamic[productCost])/dynamic[productCost]</f>
        <v>0.591498099</v>
      </c>
      <c r="O1588" s="10">
        <v>15.0</v>
      </c>
      <c r="P1588" s="25">
        <v>0.0</v>
      </c>
      <c r="Q1588" s="9">
        <f>dynamic[orderPrice]*dynamic[orderQuantity]</f>
        <v>285</v>
      </c>
      <c r="R1588" s="9">
        <f>dynamic[orderTotal]*(1-dynamic[discountApllied])</f>
        <v>285</v>
      </c>
      <c r="S1588" s="9">
        <f>dynamic[revenue]-(dynamic[productCost]*dynamic[orderQuantity])</f>
        <v>105.923443</v>
      </c>
      <c r="T1588" s="25">
        <f>IFERROR(dynamic[profit]/dynamic[revenue], 0)</f>
        <v>0.3716612036</v>
      </c>
    </row>
    <row r="1589" ht="15.75" customHeight="1">
      <c r="A1589" s="6">
        <v>10852.0</v>
      </c>
      <c r="B1589" s="7" t="s">
        <v>28</v>
      </c>
      <c r="C1589" s="24" t="str">
        <f>VLOOKUP(dynamic[customerID],customers[],2,FALSE)</f>
        <v>Rattlesnake Canyon Grocery</v>
      </c>
      <c r="D1589" s="24">
        <v>45317.0</v>
      </c>
      <c r="E1589" s="6">
        <f>IFERROR(__xludf.DUMMYFUNCTION("COUNTUNIQUEIFS($A$2:$A1589,$B$2:$B1589,B1589)"),14.0)</f>
        <v>14</v>
      </c>
      <c r="F1589" s="6">
        <f t="shared" si="1"/>
        <v>19</v>
      </c>
      <c r="G1589" s="6" t="str">
        <f>IF(MINIFS(dynamic[orderDate], dynamic[customerID], B1589) &gt;= DATE(2024,4,30)-120, 
     "New", 
     IF(MAXIFS(dynamic[orderCount], dynamic[customerID], B1589)&lt;=2, 
        IF((DATE(2024,4,30) - MAXIFS(dynamic[orderDate], dynamic[customerID], B1589)) &gt; 180, "Non-Returning", "Dormant"), 
        IF(AND(MAX(dynamic[sinceLastOrder]) &gt; 365, (DATE(2024,4,30) - MAXIFS(dynamic[orderDate], dynamic[customerID], B1589)) &gt; 180), 
           "Dormant", "Regular")))</f>
        <v>Regular</v>
      </c>
      <c r="H1589" s="6">
        <v>17.0</v>
      </c>
      <c r="I1589" s="9" t="str">
        <f>VLOOKUP(dynamic[productID],products[],2,FALSE)</f>
        <v>Alice Mutton</v>
      </c>
      <c r="J1589" s="9" t="str">
        <f>VLOOKUP(dynamic[productID],products[],12,FALSE)</f>
        <v>Meat/Poultry</v>
      </c>
      <c r="K1589" s="7" t="str">
        <f>IF(VLOOKUP(dynamic[productID],products[],7,FALSE)=1,"Discontinued","Current")</f>
        <v>Discontinued</v>
      </c>
      <c r="L1589" s="9">
        <f>VLOOKUP(dynamic[productID],products[],IF(YEAR(dynamic[orderDate])=2022,8,IF(YEAR(dynamic[orderDate])=2023,9,IF(YEAR(dynamic[orderDate])=2024,10,NA))),FALSE)</f>
        <v>28.51916263</v>
      </c>
      <c r="M1589" s="9">
        <v>39.0</v>
      </c>
      <c r="N1589" s="25">
        <f>(dynamic[orderPrice]-dynamic[productCost])/dynamic[productCost]</f>
        <v>0.3675015816</v>
      </c>
      <c r="O1589" s="10">
        <v>6.0</v>
      </c>
      <c r="P1589" s="25">
        <v>0.0</v>
      </c>
      <c r="Q1589" s="9">
        <f>dynamic[orderPrice]*dynamic[orderQuantity]</f>
        <v>234</v>
      </c>
      <c r="R1589" s="9">
        <f>dynamic[orderTotal]*(1-dynamic[discountApllied])</f>
        <v>234</v>
      </c>
      <c r="S1589" s="9">
        <f>dynamic[revenue]-(dynamic[productCost]*dynamic[orderQuantity])</f>
        <v>62.88502423</v>
      </c>
      <c r="T1589" s="25">
        <f>IFERROR(dynamic[profit]/dynamic[revenue], 0)</f>
        <v>0.2687394198</v>
      </c>
    </row>
    <row r="1590" ht="15.75" customHeight="1">
      <c r="A1590" s="6">
        <v>10852.0</v>
      </c>
      <c r="B1590" s="7" t="s">
        <v>28</v>
      </c>
      <c r="C1590" s="24" t="str">
        <f>VLOOKUP(dynamic[customerID],customers[],2,FALSE)</f>
        <v>Rattlesnake Canyon Grocery</v>
      </c>
      <c r="D1590" s="24">
        <v>45317.0</v>
      </c>
      <c r="E1590" s="6">
        <f>IFERROR(__xludf.DUMMYFUNCTION("COUNTUNIQUEIFS($A$2:$A1590,$B$2:$B1590,B1590)"),14.0)</f>
        <v>14</v>
      </c>
      <c r="F1590" s="6">
        <f t="shared" si="1"/>
        <v>19</v>
      </c>
      <c r="G1590" s="6" t="str">
        <f>IF(MINIFS(dynamic[orderDate], dynamic[customerID], B1590) &gt;= DATE(2024,4,30)-120, 
     "New", 
     IF(MAXIFS(dynamic[orderCount], dynamic[customerID], B1590)&lt;=2, 
        IF((DATE(2024,4,30) - MAXIFS(dynamic[orderDate], dynamic[customerID], B1590)) &gt; 180, "Non-Returning", "Dormant"), 
        IF(AND(MAX(dynamic[sinceLastOrder]) &gt; 365, (DATE(2024,4,30) - MAXIFS(dynamic[orderDate], dynamic[customerID], B1590)) &gt; 180), 
           "Dormant", "Regular")))</f>
        <v>Regular</v>
      </c>
      <c r="H1590" s="6">
        <v>62.0</v>
      </c>
      <c r="I1590" s="9" t="str">
        <f>VLOOKUP(dynamic[productID],products[],2,FALSE)</f>
        <v>Tarte au sucre</v>
      </c>
      <c r="J1590" s="9" t="str">
        <f>VLOOKUP(dynamic[productID],products[],12,FALSE)</f>
        <v>Confections</v>
      </c>
      <c r="K1590" s="7" t="str">
        <f>IF(VLOOKUP(dynamic[productID],products[],7,FALSE)=1,"Discontinued","Current")</f>
        <v>Current</v>
      </c>
      <c r="L1590" s="9">
        <f>VLOOKUP(dynamic[productID],products[],IF(YEAR(dynamic[orderDate])=2022,8,IF(YEAR(dynamic[orderDate])=2023,9,IF(YEAR(dynamic[orderDate])=2024,10,NA))),FALSE)</f>
        <v>34.88145014</v>
      </c>
      <c r="M1590" s="9">
        <v>49.3</v>
      </c>
      <c r="N1590" s="25">
        <f>(dynamic[orderPrice]-dynamic[productCost])/dynamic[productCost]</f>
        <v>0.4133586705</v>
      </c>
      <c r="O1590" s="10">
        <v>50.0</v>
      </c>
      <c r="P1590" s="25">
        <v>0.0</v>
      </c>
      <c r="Q1590" s="9">
        <f>dynamic[orderPrice]*dynamic[orderQuantity]</f>
        <v>2465</v>
      </c>
      <c r="R1590" s="9">
        <f>dynamic[orderTotal]*(1-dynamic[discountApllied])</f>
        <v>2465</v>
      </c>
      <c r="S1590" s="9">
        <f>dynamic[revenue]-(dynamic[productCost]*dynamic[orderQuantity])</f>
        <v>720.9274928</v>
      </c>
      <c r="T1590" s="25">
        <f>IFERROR(dynamic[profit]/dynamic[revenue], 0)</f>
        <v>0.2924655143</v>
      </c>
    </row>
    <row r="1591" ht="15.75" customHeight="1">
      <c r="A1591" s="6">
        <v>10853.0</v>
      </c>
      <c r="B1591" s="7" t="s">
        <v>91</v>
      </c>
      <c r="C1591" s="24" t="str">
        <f>VLOOKUP(dynamic[customerID],customers[],2,FALSE)</f>
        <v>Blauer See Delikatessen</v>
      </c>
      <c r="D1591" s="24">
        <v>45318.0</v>
      </c>
      <c r="E1591" s="6">
        <f>IFERROR(__xludf.DUMMYFUNCTION("COUNTUNIQUEIFS($A$2:$A1591,$B$2:$B1591,B1591)"),5.0)</f>
        <v>5</v>
      </c>
      <c r="F1591" s="6">
        <f t="shared" si="1"/>
        <v>182</v>
      </c>
      <c r="G1591" s="6" t="str">
        <f>IF(MINIFS(dynamic[orderDate], dynamic[customerID], B1591) &gt;= DATE(2024,4,30)-120, 
     "New", 
     IF(MAXIFS(dynamic[orderCount], dynamic[customerID], B1591)&lt;=2, 
        IF((DATE(2024,4,30) - MAXIFS(dynamic[orderDate], dynamic[customerID], B1591)) &gt; 180, "Non-Returning", "Dormant"), 
        IF(AND(MAX(dynamic[sinceLastOrder]) &gt; 365, (DATE(2024,4,30) - MAXIFS(dynamic[orderDate], dynamic[customerID], B1591)) &gt; 180), 
           "Dormant", "Regular")))</f>
        <v>Regular</v>
      </c>
      <c r="H1591" s="6">
        <v>18.0</v>
      </c>
      <c r="I1591" s="9" t="str">
        <f>VLOOKUP(dynamic[productID],products[],2,FALSE)</f>
        <v>Carnarvon Tigers</v>
      </c>
      <c r="J1591" s="9" t="str">
        <f>VLOOKUP(dynamic[productID],products[],12,FALSE)</f>
        <v>Seafood</v>
      </c>
      <c r="K1591" s="7" t="str">
        <f>IF(VLOOKUP(dynamic[productID],products[],7,FALSE)=1,"Discontinued","Current")</f>
        <v>Current</v>
      </c>
      <c r="L1591" s="9">
        <f>VLOOKUP(dynamic[productID],products[],IF(YEAR(dynamic[orderDate])=2022,8,IF(YEAR(dynamic[orderDate])=2023,9,IF(YEAR(dynamic[orderDate])=2024,10,NA))),FALSE)</f>
        <v>41.27004985</v>
      </c>
      <c r="M1591" s="9">
        <v>62.5</v>
      </c>
      <c r="N1591" s="25">
        <f>(dynamic[orderPrice]-dynamic[productCost])/dynamic[productCost]</f>
        <v>0.5144154231</v>
      </c>
      <c r="O1591" s="10">
        <v>10.0</v>
      </c>
      <c r="P1591" s="25">
        <v>0.0</v>
      </c>
      <c r="Q1591" s="9">
        <f>dynamic[orderPrice]*dynamic[orderQuantity]</f>
        <v>625</v>
      </c>
      <c r="R1591" s="9">
        <f>dynamic[orderTotal]*(1-dynamic[discountApllied])</f>
        <v>625</v>
      </c>
      <c r="S1591" s="9">
        <f>dynamic[revenue]-(dynamic[productCost]*dynamic[orderQuantity])</f>
        <v>212.2995015</v>
      </c>
      <c r="T1591" s="25">
        <f>IFERROR(dynamic[profit]/dynamic[revenue], 0)</f>
        <v>0.3396792025</v>
      </c>
    </row>
    <row r="1592" ht="15.75" customHeight="1">
      <c r="A1592" s="6">
        <v>10854.0</v>
      </c>
      <c r="B1592" s="7" t="s">
        <v>24</v>
      </c>
      <c r="C1592" s="24" t="str">
        <f>VLOOKUP(dynamic[customerID],customers[],2,FALSE)</f>
        <v>Ernst Handel</v>
      </c>
      <c r="D1592" s="24">
        <v>45318.0</v>
      </c>
      <c r="E1592" s="6">
        <f>IFERROR(__xludf.DUMMYFUNCTION("COUNTUNIQUEIFS($A$2:$A1592,$B$2:$B1592,B1592)"),23.0)</f>
        <v>23</v>
      </c>
      <c r="F1592" s="6">
        <f t="shared" si="1"/>
        <v>11</v>
      </c>
      <c r="G1592" s="6" t="str">
        <f>IF(MINIFS(dynamic[orderDate], dynamic[customerID], B1592) &gt;= DATE(2024,4,30)-120, 
     "New", 
     IF(MAXIFS(dynamic[orderCount], dynamic[customerID], B1592)&lt;=2, 
        IF((DATE(2024,4,30) - MAXIFS(dynamic[orderDate], dynamic[customerID], B1592)) &gt; 180, "Non-Returning", "Dormant"), 
        IF(AND(MAX(dynamic[sinceLastOrder]) &gt; 365, (DATE(2024,4,30) - MAXIFS(dynamic[orderDate], dynamic[customerID], B1592)) &gt; 180), 
           "Dormant", "Regular")))</f>
        <v>Regular</v>
      </c>
      <c r="H1592" s="6">
        <v>10.0</v>
      </c>
      <c r="I1592" s="9" t="str">
        <f>VLOOKUP(dynamic[productID],products[],2,FALSE)</f>
        <v>Ikura</v>
      </c>
      <c r="J1592" s="9" t="str">
        <f>VLOOKUP(dynamic[productID],products[],12,FALSE)</f>
        <v>Seafood</v>
      </c>
      <c r="K1592" s="7" t="str">
        <f>IF(VLOOKUP(dynamic[productID],products[],7,FALSE)=1,"Discontinued","Current")</f>
        <v>Current</v>
      </c>
      <c r="L1592" s="9">
        <f>VLOOKUP(dynamic[productID],products[],IF(YEAR(dynamic[orderDate])=2022,8,IF(YEAR(dynamic[orderDate])=2023,9,IF(YEAR(dynamic[orderDate])=2024,10,NA))),FALSE)</f>
        <v>20.90394627</v>
      </c>
      <c r="M1592" s="9">
        <v>31.0</v>
      </c>
      <c r="N1592" s="25">
        <f>(dynamic[orderPrice]-dynamic[productCost])/dynamic[productCost]</f>
        <v>0.4829735786</v>
      </c>
      <c r="O1592" s="10">
        <v>100.0</v>
      </c>
      <c r="P1592" s="25">
        <v>0.15</v>
      </c>
      <c r="Q1592" s="9">
        <f>dynamic[orderPrice]*dynamic[orderQuantity]</f>
        <v>3100</v>
      </c>
      <c r="R1592" s="9">
        <f>dynamic[orderTotal]*(1-dynamic[discountApllied])</f>
        <v>2635</v>
      </c>
      <c r="S1592" s="9">
        <f>dynamic[revenue]-(dynamic[productCost]*dynamic[orderQuantity])</f>
        <v>544.6053734</v>
      </c>
      <c r="T1592" s="25">
        <f>IFERROR(dynamic[profit]/dynamic[revenue], 0)</f>
        <v>0.2066813561</v>
      </c>
    </row>
    <row r="1593" ht="15.75" customHeight="1">
      <c r="A1593" s="6">
        <v>10854.0</v>
      </c>
      <c r="B1593" s="7" t="s">
        <v>24</v>
      </c>
      <c r="C1593" s="24" t="str">
        <f>VLOOKUP(dynamic[customerID],customers[],2,FALSE)</f>
        <v>Ernst Handel</v>
      </c>
      <c r="D1593" s="24">
        <v>45318.0</v>
      </c>
      <c r="E1593" s="6">
        <f>IFERROR(__xludf.DUMMYFUNCTION("COUNTUNIQUEIFS($A$2:$A1593,$B$2:$B1593,B1593)"),23.0)</f>
        <v>23</v>
      </c>
      <c r="F1593" s="6">
        <f t="shared" si="1"/>
        <v>11</v>
      </c>
      <c r="G1593" s="6" t="str">
        <f>IF(MINIFS(dynamic[orderDate], dynamic[customerID], B1593) &gt;= DATE(2024,4,30)-120, 
     "New", 
     IF(MAXIFS(dynamic[orderCount], dynamic[customerID], B1593)&lt;=2, 
        IF((DATE(2024,4,30) - MAXIFS(dynamic[orderDate], dynamic[customerID], B1593)) &gt; 180, "Non-Returning", "Dormant"), 
        IF(AND(MAX(dynamic[sinceLastOrder]) &gt; 365, (DATE(2024,4,30) - MAXIFS(dynamic[orderDate], dynamic[customerID], B1593)) &gt; 180), 
           "Dormant", "Regular")))</f>
        <v>Regular</v>
      </c>
      <c r="H1593" s="6">
        <v>13.0</v>
      </c>
      <c r="I1593" s="9" t="str">
        <f>VLOOKUP(dynamic[productID],products[],2,FALSE)</f>
        <v>Konbu</v>
      </c>
      <c r="J1593" s="9" t="str">
        <f>VLOOKUP(dynamic[productID],products[],12,FALSE)</f>
        <v>Seafood</v>
      </c>
      <c r="K1593" s="7" t="str">
        <f>IF(VLOOKUP(dynamic[productID],products[],7,FALSE)=1,"Discontinued","Current")</f>
        <v>Current</v>
      </c>
      <c r="L1593" s="9">
        <f>VLOOKUP(dynamic[productID],products[],IF(YEAR(dynamic[orderDate])=2022,8,IF(YEAR(dynamic[orderDate])=2023,9,IF(YEAR(dynamic[orderDate])=2024,10,NA))),FALSE)</f>
        <v>3.966387047</v>
      </c>
      <c r="M1593" s="9">
        <v>6.0</v>
      </c>
      <c r="N1593" s="25">
        <f>(dynamic[orderPrice]-dynamic[productCost])/dynamic[productCost]</f>
        <v>0.5127116768</v>
      </c>
      <c r="O1593" s="10">
        <v>65.0</v>
      </c>
      <c r="P1593" s="25">
        <v>0.15</v>
      </c>
      <c r="Q1593" s="9">
        <f>dynamic[orderPrice]*dynamic[orderQuantity]</f>
        <v>390</v>
      </c>
      <c r="R1593" s="9">
        <f>dynamic[orderTotal]*(1-dynamic[discountApllied])</f>
        <v>331.5</v>
      </c>
      <c r="S1593" s="9">
        <f>dynamic[revenue]-(dynamic[productCost]*dynamic[orderQuantity])</f>
        <v>73.68484197</v>
      </c>
      <c r="T1593" s="25">
        <f>IFERROR(dynamic[profit]/dynamic[revenue], 0)</f>
        <v>0.2222770497</v>
      </c>
    </row>
    <row r="1594" ht="15.75" customHeight="1">
      <c r="A1594" s="6">
        <v>10855.0</v>
      </c>
      <c r="B1594" s="7" t="s">
        <v>52</v>
      </c>
      <c r="C1594" s="24" t="str">
        <f>VLOOKUP(dynamic[customerID],customers[],2,FALSE)</f>
        <v>Old World Delicatessen</v>
      </c>
      <c r="D1594" s="24">
        <v>45318.0</v>
      </c>
      <c r="E1594" s="6">
        <f>IFERROR(__xludf.DUMMYFUNCTION("COUNTUNIQUEIFS($A$2:$A1594,$B$2:$B1594,B1594)"),8.0)</f>
        <v>8</v>
      </c>
      <c r="F1594" s="6">
        <f t="shared" si="1"/>
        <v>26</v>
      </c>
      <c r="G1594" s="6" t="str">
        <f>IF(MINIFS(dynamic[orderDate], dynamic[customerID], B1594) &gt;= DATE(2024,4,30)-120, 
     "New", 
     IF(MAXIFS(dynamic[orderCount], dynamic[customerID], B1594)&lt;=2, 
        IF((DATE(2024,4,30) - MAXIFS(dynamic[orderDate], dynamic[customerID], B1594)) &gt; 180, "Non-Returning", "Dormant"), 
        IF(AND(MAX(dynamic[sinceLastOrder]) &gt; 365, (DATE(2024,4,30) - MAXIFS(dynamic[orderDate], dynamic[customerID], B1594)) &gt; 180), 
           "Dormant", "Regular")))</f>
        <v>Regular</v>
      </c>
      <c r="H1594" s="6">
        <v>16.0</v>
      </c>
      <c r="I1594" s="9" t="str">
        <f>VLOOKUP(dynamic[productID],products[],2,FALSE)</f>
        <v>Pavlova</v>
      </c>
      <c r="J1594" s="9" t="str">
        <f>VLOOKUP(dynamic[productID],products[],12,FALSE)</f>
        <v>Confections</v>
      </c>
      <c r="K1594" s="7" t="str">
        <f>IF(VLOOKUP(dynamic[productID],products[],7,FALSE)=1,"Discontinued","Current")</f>
        <v>Current</v>
      </c>
      <c r="L1594" s="9">
        <f>VLOOKUP(dynamic[productID],products[],IF(YEAR(dynamic[orderDate])=2022,8,IF(YEAR(dynamic[orderDate])=2023,9,IF(YEAR(dynamic[orderDate])=2024,10,NA))),FALSE)</f>
        <v>12.68283974</v>
      </c>
      <c r="M1594" s="9">
        <v>17.45</v>
      </c>
      <c r="N1594" s="25">
        <f>(dynamic[orderPrice]-dynamic[productCost])/dynamic[productCost]</f>
        <v>0.3758748323</v>
      </c>
      <c r="O1594" s="10">
        <v>50.0</v>
      </c>
      <c r="P1594" s="25">
        <v>0.0</v>
      </c>
      <c r="Q1594" s="9">
        <f>dynamic[orderPrice]*dynamic[orderQuantity]</f>
        <v>872.5</v>
      </c>
      <c r="R1594" s="9">
        <f>dynamic[orderTotal]*(1-dynamic[discountApllied])</f>
        <v>872.5</v>
      </c>
      <c r="S1594" s="9">
        <f>dynamic[revenue]-(dynamic[productCost]*dynamic[orderQuantity])</f>
        <v>238.358013</v>
      </c>
      <c r="T1594" s="25">
        <f>IFERROR(dynamic[profit]/dynamic[revenue], 0)</f>
        <v>0.2731896997</v>
      </c>
    </row>
    <row r="1595" ht="15.75" customHeight="1">
      <c r="A1595" s="6">
        <v>10855.0</v>
      </c>
      <c r="B1595" s="7" t="s">
        <v>52</v>
      </c>
      <c r="C1595" s="24" t="str">
        <f>VLOOKUP(dynamic[customerID],customers[],2,FALSE)</f>
        <v>Old World Delicatessen</v>
      </c>
      <c r="D1595" s="24">
        <v>45318.0</v>
      </c>
      <c r="E1595" s="6">
        <f>IFERROR(__xludf.DUMMYFUNCTION("COUNTUNIQUEIFS($A$2:$A1595,$B$2:$B1595,B1595)"),8.0)</f>
        <v>8</v>
      </c>
      <c r="F1595" s="6">
        <f t="shared" si="1"/>
        <v>26</v>
      </c>
      <c r="G1595" s="6" t="str">
        <f>IF(MINIFS(dynamic[orderDate], dynamic[customerID], B1595) &gt;= DATE(2024,4,30)-120, 
     "New", 
     IF(MAXIFS(dynamic[orderCount], dynamic[customerID], B1595)&lt;=2, 
        IF((DATE(2024,4,30) - MAXIFS(dynamic[orderDate], dynamic[customerID], B1595)) &gt; 180, "Non-Returning", "Dormant"), 
        IF(AND(MAX(dynamic[sinceLastOrder]) &gt; 365, (DATE(2024,4,30) - MAXIFS(dynamic[orderDate], dynamic[customerID], B1595)) &gt; 180), 
           "Dormant", "Regular")))</f>
        <v>Regular</v>
      </c>
      <c r="H1595" s="6">
        <v>31.0</v>
      </c>
      <c r="I1595" s="9" t="str">
        <f>VLOOKUP(dynamic[productID],products[],2,FALSE)</f>
        <v>Gorgonzola Telino</v>
      </c>
      <c r="J1595" s="9" t="str">
        <f>VLOOKUP(dynamic[productID],products[],12,FALSE)</f>
        <v>Dairy Products</v>
      </c>
      <c r="K1595" s="7" t="str">
        <f>IF(VLOOKUP(dynamic[productID],products[],7,FALSE)=1,"Discontinued","Current")</f>
        <v>Current</v>
      </c>
      <c r="L1595" s="9">
        <f>VLOOKUP(dynamic[productID],products[],IF(YEAR(dynamic[orderDate])=2022,8,IF(YEAR(dynamic[orderDate])=2023,9,IF(YEAR(dynamic[orderDate])=2024,10,NA))),FALSE)</f>
        <v>8.203054392</v>
      </c>
      <c r="M1595" s="9">
        <v>12.5</v>
      </c>
      <c r="N1595" s="25">
        <f>(dynamic[orderPrice]-dynamic[productCost])/dynamic[productCost]</f>
        <v>0.52382264</v>
      </c>
      <c r="O1595" s="10">
        <v>14.0</v>
      </c>
      <c r="P1595" s="25">
        <v>0.0</v>
      </c>
      <c r="Q1595" s="9">
        <f>dynamic[orderPrice]*dynamic[orderQuantity]</f>
        <v>175</v>
      </c>
      <c r="R1595" s="9">
        <f>dynamic[orderTotal]*(1-dynamic[discountApllied])</f>
        <v>175</v>
      </c>
      <c r="S1595" s="9">
        <f>dynamic[revenue]-(dynamic[productCost]*dynamic[orderQuantity])</f>
        <v>60.15723851</v>
      </c>
      <c r="T1595" s="25">
        <f>IFERROR(dynamic[profit]/dynamic[revenue], 0)</f>
        <v>0.3437556486</v>
      </c>
    </row>
    <row r="1596" ht="15.75" customHeight="1">
      <c r="A1596" s="6">
        <v>10855.0</v>
      </c>
      <c r="B1596" s="7" t="s">
        <v>52</v>
      </c>
      <c r="C1596" s="24" t="str">
        <f>VLOOKUP(dynamic[customerID],customers[],2,FALSE)</f>
        <v>Old World Delicatessen</v>
      </c>
      <c r="D1596" s="24">
        <v>45318.0</v>
      </c>
      <c r="E1596" s="6">
        <f>IFERROR(__xludf.DUMMYFUNCTION("COUNTUNIQUEIFS($A$2:$A1596,$B$2:$B1596,B1596)"),8.0)</f>
        <v>8</v>
      </c>
      <c r="F1596" s="6">
        <f t="shared" si="1"/>
        <v>26</v>
      </c>
      <c r="G1596" s="6" t="str">
        <f>IF(MINIFS(dynamic[orderDate], dynamic[customerID], B1596) &gt;= DATE(2024,4,30)-120, 
     "New", 
     IF(MAXIFS(dynamic[orderCount], dynamic[customerID], B1596)&lt;=2, 
        IF((DATE(2024,4,30) - MAXIFS(dynamic[orderDate], dynamic[customerID], B1596)) &gt; 180, "Non-Returning", "Dormant"), 
        IF(AND(MAX(dynamic[sinceLastOrder]) &gt; 365, (DATE(2024,4,30) - MAXIFS(dynamic[orderDate], dynamic[customerID], B1596)) &gt; 180), 
           "Dormant", "Regular")))</f>
        <v>Regular</v>
      </c>
      <c r="H1596" s="6">
        <v>56.0</v>
      </c>
      <c r="I1596" s="9" t="str">
        <f>VLOOKUP(dynamic[productID],products[],2,FALSE)</f>
        <v>Gnocchi di nonna Alice</v>
      </c>
      <c r="J1596" s="9" t="str">
        <f>VLOOKUP(dynamic[productID],products[],12,FALSE)</f>
        <v>Grains/Cereals</v>
      </c>
      <c r="K1596" s="7" t="str">
        <f>IF(VLOOKUP(dynamic[productID],products[],7,FALSE)=1,"Discontinued","Current")</f>
        <v>Current</v>
      </c>
      <c r="L1596" s="9">
        <f>VLOOKUP(dynamic[productID],products[],IF(YEAR(dynamic[orderDate])=2022,8,IF(YEAR(dynamic[orderDate])=2023,9,IF(YEAR(dynamic[orderDate])=2024,10,NA))),FALSE)</f>
        <v>27.53915851</v>
      </c>
      <c r="M1596" s="9">
        <v>38.0</v>
      </c>
      <c r="N1596" s="25">
        <f>(dynamic[orderPrice]-dynamic[productCost])/dynamic[productCost]</f>
        <v>0.3798533452</v>
      </c>
      <c r="O1596" s="10">
        <v>24.0</v>
      </c>
      <c r="P1596" s="25">
        <v>0.0</v>
      </c>
      <c r="Q1596" s="9">
        <f>dynamic[orderPrice]*dynamic[orderQuantity]</f>
        <v>912</v>
      </c>
      <c r="R1596" s="9">
        <f>dynamic[orderTotal]*(1-dynamic[discountApllied])</f>
        <v>912</v>
      </c>
      <c r="S1596" s="9">
        <f>dynamic[revenue]-(dynamic[productCost]*dynamic[orderQuantity])</f>
        <v>251.0601957</v>
      </c>
      <c r="T1596" s="25">
        <f>IFERROR(dynamic[profit]/dynamic[revenue], 0)</f>
        <v>0.2752853023</v>
      </c>
    </row>
    <row r="1597" ht="15.75" customHeight="1">
      <c r="A1597" s="6">
        <v>10855.0</v>
      </c>
      <c r="B1597" s="7" t="s">
        <v>52</v>
      </c>
      <c r="C1597" s="24" t="str">
        <f>VLOOKUP(dynamic[customerID],customers[],2,FALSE)</f>
        <v>Old World Delicatessen</v>
      </c>
      <c r="D1597" s="24">
        <v>45318.0</v>
      </c>
      <c r="E1597" s="6">
        <f>IFERROR(__xludf.DUMMYFUNCTION("COUNTUNIQUEIFS($A$2:$A1597,$B$2:$B1597,B1597)"),8.0)</f>
        <v>8</v>
      </c>
      <c r="F1597" s="6">
        <f t="shared" si="1"/>
        <v>26</v>
      </c>
      <c r="G1597" s="6" t="str">
        <f>IF(MINIFS(dynamic[orderDate], dynamic[customerID], B1597) &gt;= DATE(2024,4,30)-120, 
     "New", 
     IF(MAXIFS(dynamic[orderCount], dynamic[customerID], B1597)&lt;=2, 
        IF((DATE(2024,4,30) - MAXIFS(dynamic[orderDate], dynamic[customerID], B1597)) &gt; 180, "Non-Returning", "Dormant"), 
        IF(AND(MAX(dynamic[sinceLastOrder]) &gt; 365, (DATE(2024,4,30) - MAXIFS(dynamic[orderDate], dynamic[customerID], B1597)) &gt; 180), 
           "Dormant", "Regular")))</f>
        <v>Regular</v>
      </c>
      <c r="H1597" s="6">
        <v>65.0</v>
      </c>
      <c r="I1597" s="9" t="str">
        <f>VLOOKUP(dynamic[productID],products[],2,FALSE)</f>
        <v>Louisiana Fiery Hot Pepper Sauce</v>
      </c>
      <c r="J1597" s="9" t="str">
        <f>VLOOKUP(dynamic[productID],products[],12,FALSE)</f>
        <v>Condiments</v>
      </c>
      <c r="K1597" s="7" t="str">
        <f>IF(VLOOKUP(dynamic[productID],products[],7,FALSE)=1,"Discontinued","Current")</f>
        <v>Current</v>
      </c>
      <c r="L1597" s="9">
        <f>VLOOKUP(dynamic[productID],products[],IF(YEAR(dynamic[orderDate])=2022,8,IF(YEAR(dynamic[orderDate])=2023,9,IF(YEAR(dynamic[orderDate])=2024,10,NA))),FALSE)</f>
        <v>14.50738168</v>
      </c>
      <c r="M1597" s="9">
        <v>21.05</v>
      </c>
      <c r="N1597" s="25">
        <f>(dynamic[orderPrice]-dynamic[productCost])/dynamic[productCost]</f>
        <v>0.4509854685</v>
      </c>
      <c r="O1597" s="10">
        <v>15.0</v>
      </c>
      <c r="P1597" s="25">
        <v>0.15</v>
      </c>
      <c r="Q1597" s="9">
        <f>dynamic[orderPrice]*dynamic[orderQuantity]</f>
        <v>315.75</v>
      </c>
      <c r="R1597" s="9">
        <f>dynamic[orderTotal]*(1-dynamic[discountApllied])</f>
        <v>268.3875</v>
      </c>
      <c r="S1597" s="9">
        <f>dynamic[revenue]-(dynamic[productCost]*dynamic[orderQuantity])</f>
        <v>50.77677484</v>
      </c>
      <c r="T1597" s="25">
        <f>IFERROR(dynamic[profit]/dynamic[revenue], 0)</f>
        <v>0.1891920259</v>
      </c>
    </row>
    <row r="1598" ht="15.75" customHeight="1">
      <c r="A1598" s="6">
        <v>10856.0</v>
      </c>
      <c r="B1598" s="7" t="s">
        <v>74</v>
      </c>
      <c r="C1598" s="24" t="str">
        <f>VLOOKUP(dynamic[customerID],customers[],2,FALSE)</f>
        <v>Antonio Moreno Taquería</v>
      </c>
      <c r="D1598" s="24">
        <v>45319.0</v>
      </c>
      <c r="E1598" s="6">
        <f>IFERROR(__xludf.DUMMYFUNCTION("COUNTUNIQUEIFS($A$2:$A1598,$B$2:$B1598,B1598)"),7.0)</f>
        <v>7</v>
      </c>
      <c r="F1598" s="6">
        <f t="shared" si="1"/>
        <v>125</v>
      </c>
      <c r="G1598" s="6" t="str">
        <f>IF(MINIFS(dynamic[orderDate], dynamic[customerID], B1598) &gt;= DATE(2024,4,30)-120, 
     "New", 
     IF(MAXIFS(dynamic[orderCount], dynamic[customerID], B1598)&lt;=2, 
        IF((DATE(2024,4,30) - MAXIFS(dynamic[orderDate], dynamic[customerID], B1598)) &gt; 180, "Non-Returning", "Dormant"), 
        IF(AND(MAX(dynamic[sinceLastOrder]) &gt; 365, (DATE(2024,4,30) - MAXIFS(dynamic[orderDate], dynamic[customerID], B1598)) &gt; 180), 
           "Dormant", "Regular")))</f>
        <v>Regular</v>
      </c>
      <c r="H1598" s="6">
        <v>2.0</v>
      </c>
      <c r="I1598" s="9" t="str">
        <f>VLOOKUP(dynamic[productID],products[],2,FALSE)</f>
        <v>Chang</v>
      </c>
      <c r="J1598" s="9" t="str">
        <f>VLOOKUP(dynamic[productID],products[],12,FALSE)</f>
        <v>Beverages</v>
      </c>
      <c r="K1598" s="7" t="str">
        <f>IF(VLOOKUP(dynamic[productID],products[],7,FALSE)=1,"Discontinued","Current")</f>
        <v>Current</v>
      </c>
      <c r="L1598" s="9">
        <f>VLOOKUP(dynamic[productID],products[],IF(YEAR(dynamic[orderDate])=2022,8,IF(YEAR(dynamic[orderDate])=2023,9,IF(YEAR(dynamic[orderDate])=2024,10,NA))),FALSE)</f>
        <v>11.93843713</v>
      </c>
      <c r="M1598" s="9">
        <v>19.0</v>
      </c>
      <c r="N1598" s="25">
        <f>(dynamic[orderPrice]-dynamic[productCost])/dynamic[productCost]</f>
        <v>0.591498099</v>
      </c>
      <c r="O1598" s="10">
        <v>20.0</v>
      </c>
      <c r="P1598" s="25">
        <v>0.0</v>
      </c>
      <c r="Q1598" s="9">
        <f>dynamic[orderPrice]*dynamic[orderQuantity]</f>
        <v>380</v>
      </c>
      <c r="R1598" s="9">
        <f>dynamic[orderTotal]*(1-dynamic[discountApllied])</f>
        <v>380</v>
      </c>
      <c r="S1598" s="9">
        <f>dynamic[revenue]-(dynamic[productCost]*dynamic[orderQuantity])</f>
        <v>141.2312574</v>
      </c>
      <c r="T1598" s="25">
        <f>IFERROR(dynamic[profit]/dynamic[revenue], 0)</f>
        <v>0.3716612036</v>
      </c>
    </row>
    <row r="1599" ht="15.75" customHeight="1">
      <c r="A1599" s="6">
        <v>10856.0</v>
      </c>
      <c r="B1599" s="7" t="s">
        <v>74</v>
      </c>
      <c r="C1599" s="24" t="str">
        <f>VLOOKUP(dynamic[customerID],customers[],2,FALSE)</f>
        <v>Antonio Moreno Taquería</v>
      </c>
      <c r="D1599" s="24">
        <v>45319.0</v>
      </c>
      <c r="E1599" s="6">
        <f>IFERROR(__xludf.DUMMYFUNCTION("COUNTUNIQUEIFS($A$2:$A1599,$B$2:$B1599,B1599)"),7.0)</f>
        <v>7</v>
      </c>
      <c r="F1599" s="6">
        <f t="shared" si="1"/>
        <v>125</v>
      </c>
      <c r="G1599" s="6" t="str">
        <f>IF(MINIFS(dynamic[orderDate], dynamic[customerID], B1599) &gt;= DATE(2024,4,30)-120, 
     "New", 
     IF(MAXIFS(dynamic[orderCount], dynamic[customerID], B1599)&lt;=2, 
        IF((DATE(2024,4,30) - MAXIFS(dynamic[orderDate], dynamic[customerID], B1599)) &gt; 180, "Non-Returning", "Dormant"), 
        IF(AND(MAX(dynamic[sinceLastOrder]) &gt; 365, (DATE(2024,4,30) - MAXIFS(dynamic[orderDate], dynamic[customerID], B1599)) &gt; 180), 
           "Dormant", "Regular")))</f>
        <v>Regular</v>
      </c>
      <c r="H1599" s="6">
        <v>42.0</v>
      </c>
      <c r="I1599" s="9" t="str">
        <f>VLOOKUP(dynamic[productID],products[],2,FALSE)</f>
        <v>Singaporean Hokkien Fried Mee</v>
      </c>
      <c r="J1599" s="9" t="str">
        <f>VLOOKUP(dynamic[productID],products[],12,FALSE)</f>
        <v>Grains/Cereals</v>
      </c>
      <c r="K1599" s="7" t="str">
        <f>IF(VLOOKUP(dynamic[productID],products[],7,FALSE)=1,"Discontinued","Current")</f>
        <v>Discontinued</v>
      </c>
      <c r="L1599" s="9">
        <f>VLOOKUP(dynamic[productID],products[],IF(YEAR(dynamic[orderDate])=2022,8,IF(YEAR(dynamic[orderDate])=2023,9,IF(YEAR(dynamic[orderDate])=2024,10,NA))),FALSE)</f>
        <v>9.64736714</v>
      </c>
      <c r="M1599" s="9">
        <v>14.0</v>
      </c>
      <c r="N1599" s="25">
        <f>(dynamic[orderPrice]-dynamic[productCost])/dynamic[productCost]</f>
        <v>0.4511731333</v>
      </c>
      <c r="O1599" s="10">
        <v>20.0</v>
      </c>
      <c r="P1599" s="25">
        <v>0.0</v>
      </c>
      <c r="Q1599" s="9">
        <f>dynamic[orderPrice]*dynamic[orderQuantity]</f>
        <v>280</v>
      </c>
      <c r="R1599" s="9">
        <f>dynamic[orderTotal]*(1-dynamic[discountApllied])</f>
        <v>280</v>
      </c>
      <c r="S1599" s="9">
        <f>dynamic[revenue]-(dynamic[productCost]*dynamic[orderQuantity])</f>
        <v>87.0526572</v>
      </c>
      <c r="T1599" s="25">
        <f>IFERROR(dynamic[profit]/dynamic[revenue], 0)</f>
        <v>0.3109023472</v>
      </c>
    </row>
    <row r="1600" ht="15.75" customHeight="1">
      <c r="A1600" s="6">
        <v>10857.0</v>
      </c>
      <c r="B1600" s="7" t="s">
        <v>40</v>
      </c>
      <c r="C1600" s="24" t="str">
        <f>VLOOKUP(dynamic[customerID],customers[],2,FALSE)</f>
        <v>Berglunds snabbköp</v>
      </c>
      <c r="D1600" s="24">
        <v>45319.0</v>
      </c>
      <c r="E1600" s="6">
        <f>IFERROR(__xludf.DUMMYFUNCTION("COUNTUNIQUEIFS($A$2:$A1600,$B$2:$B1600,B1600)"),15.0)</f>
        <v>15</v>
      </c>
      <c r="F1600" s="6">
        <f t="shared" si="1"/>
        <v>12</v>
      </c>
      <c r="G1600" s="6" t="str">
        <f>IF(MINIFS(dynamic[orderDate], dynamic[customerID], B1600) &gt;= DATE(2024,4,30)-120, 
     "New", 
     IF(MAXIFS(dynamic[orderCount], dynamic[customerID], B1600)&lt;=2, 
        IF((DATE(2024,4,30) - MAXIFS(dynamic[orderDate], dynamic[customerID], B1600)) &gt; 180, "Non-Returning", "Dormant"), 
        IF(AND(MAX(dynamic[sinceLastOrder]) &gt; 365, (DATE(2024,4,30) - MAXIFS(dynamic[orderDate], dynamic[customerID], B1600)) &gt; 180), 
           "Dormant", "Regular")))</f>
        <v>Regular</v>
      </c>
      <c r="H1600" s="6">
        <v>3.0</v>
      </c>
      <c r="I1600" s="9" t="str">
        <f>VLOOKUP(dynamic[productID],products[],2,FALSE)</f>
        <v>Aniseed Syrup</v>
      </c>
      <c r="J1600" s="9" t="str">
        <f>VLOOKUP(dynamic[productID],products[],12,FALSE)</f>
        <v>Condiments</v>
      </c>
      <c r="K1600" s="7" t="str">
        <f>IF(VLOOKUP(dynamic[productID],products[],7,FALSE)=1,"Discontinued","Current")</f>
        <v>Current</v>
      </c>
      <c r="L1600" s="9">
        <f>VLOOKUP(dynamic[productID],products[],IF(YEAR(dynamic[orderDate])=2022,8,IF(YEAR(dynamic[orderDate])=2023,9,IF(YEAR(dynamic[orderDate])=2024,10,NA))),FALSE)</f>
        <v>7.205917693</v>
      </c>
      <c r="M1600" s="9">
        <v>10.0</v>
      </c>
      <c r="N1600" s="25">
        <f>(dynamic[orderPrice]-dynamic[productCost])/dynamic[productCost]</f>
        <v>0.3877482961</v>
      </c>
      <c r="O1600" s="10">
        <v>30.0</v>
      </c>
      <c r="P1600" s="25">
        <v>0.0</v>
      </c>
      <c r="Q1600" s="9">
        <f>dynamic[orderPrice]*dynamic[orderQuantity]</f>
        <v>300</v>
      </c>
      <c r="R1600" s="9">
        <f>dynamic[orderTotal]*(1-dynamic[discountApllied])</f>
        <v>300</v>
      </c>
      <c r="S1600" s="9">
        <f>dynamic[revenue]-(dynamic[productCost]*dynamic[orderQuantity])</f>
        <v>83.82246921</v>
      </c>
      <c r="T1600" s="25">
        <f>IFERROR(dynamic[profit]/dynamic[revenue], 0)</f>
        <v>0.2794082307</v>
      </c>
    </row>
    <row r="1601" ht="15.75" customHeight="1">
      <c r="A1601" s="6">
        <v>10857.0</v>
      </c>
      <c r="B1601" s="7" t="s">
        <v>40</v>
      </c>
      <c r="C1601" s="24" t="str">
        <f>VLOOKUP(dynamic[customerID],customers[],2,FALSE)</f>
        <v>Berglunds snabbköp</v>
      </c>
      <c r="D1601" s="24">
        <v>45319.0</v>
      </c>
      <c r="E1601" s="6">
        <f>IFERROR(__xludf.DUMMYFUNCTION("COUNTUNIQUEIFS($A$2:$A1601,$B$2:$B1601,B1601)"),15.0)</f>
        <v>15</v>
      </c>
      <c r="F1601" s="6">
        <f t="shared" si="1"/>
        <v>12</v>
      </c>
      <c r="G1601" s="6" t="str">
        <f>IF(MINIFS(dynamic[orderDate], dynamic[customerID], B1601) &gt;= DATE(2024,4,30)-120, 
     "New", 
     IF(MAXIFS(dynamic[orderCount], dynamic[customerID], B1601)&lt;=2, 
        IF((DATE(2024,4,30) - MAXIFS(dynamic[orderDate], dynamic[customerID], B1601)) &gt; 180, "Non-Returning", "Dormant"), 
        IF(AND(MAX(dynamic[sinceLastOrder]) &gt; 365, (DATE(2024,4,30) - MAXIFS(dynamic[orderDate], dynamic[customerID], B1601)) &gt; 180), 
           "Dormant", "Regular")))</f>
        <v>Regular</v>
      </c>
      <c r="H1601" s="6">
        <v>26.0</v>
      </c>
      <c r="I1601" s="9" t="str">
        <f>VLOOKUP(dynamic[productID],products[],2,FALSE)</f>
        <v>NuNuCa Nuß-Nougat-Creme</v>
      </c>
      <c r="J1601" s="9" t="str">
        <f>VLOOKUP(dynamic[productID],products[],12,FALSE)</f>
        <v>Confections</v>
      </c>
      <c r="K1601" s="7" t="str">
        <f>IF(VLOOKUP(dynamic[productID],products[],7,FALSE)=1,"Discontinued","Current")</f>
        <v>Current</v>
      </c>
      <c r="L1601" s="9">
        <f>VLOOKUP(dynamic[productID],products[],IF(YEAR(dynamic[orderDate])=2022,8,IF(YEAR(dynamic[orderDate])=2023,9,IF(YEAR(dynamic[orderDate])=2024,10,NA))),FALSE)</f>
        <v>22.79977195</v>
      </c>
      <c r="M1601" s="9">
        <v>31.23</v>
      </c>
      <c r="N1601" s="25">
        <f>(dynamic[orderPrice]-dynamic[productCost])/dynamic[productCost]</f>
        <v>0.3697505427</v>
      </c>
      <c r="O1601" s="10">
        <v>35.0</v>
      </c>
      <c r="P1601" s="25">
        <v>0.25</v>
      </c>
      <c r="Q1601" s="9">
        <f>dynamic[orderPrice]*dynamic[orderQuantity]</f>
        <v>1093.05</v>
      </c>
      <c r="R1601" s="9">
        <f>dynamic[orderTotal]*(1-dynamic[discountApllied])</f>
        <v>819.7875</v>
      </c>
      <c r="S1601" s="9">
        <f>dynamic[revenue]-(dynamic[productCost]*dynamic[orderQuantity])</f>
        <v>21.79548183</v>
      </c>
      <c r="T1601" s="25">
        <f>IFERROR(dynamic[profit]/dynamic[revenue], 0)</f>
        <v>0.02658674574</v>
      </c>
    </row>
    <row r="1602" ht="15.75" customHeight="1">
      <c r="A1602" s="6">
        <v>10857.0</v>
      </c>
      <c r="B1602" s="7" t="s">
        <v>40</v>
      </c>
      <c r="C1602" s="24" t="str">
        <f>VLOOKUP(dynamic[customerID],customers[],2,FALSE)</f>
        <v>Berglunds snabbköp</v>
      </c>
      <c r="D1602" s="24">
        <v>45319.0</v>
      </c>
      <c r="E1602" s="6">
        <f>IFERROR(__xludf.DUMMYFUNCTION("COUNTUNIQUEIFS($A$2:$A1602,$B$2:$B1602,B1602)"),15.0)</f>
        <v>15</v>
      </c>
      <c r="F1602" s="6">
        <f t="shared" si="1"/>
        <v>12</v>
      </c>
      <c r="G1602" s="6" t="str">
        <f>IF(MINIFS(dynamic[orderDate], dynamic[customerID], B1602) &gt;= DATE(2024,4,30)-120, 
     "New", 
     IF(MAXIFS(dynamic[orderCount], dynamic[customerID], B1602)&lt;=2, 
        IF((DATE(2024,4,30) - MAXIFS(dynamic[orderDate], dynamic[customerID], B1602)) &gt; 180, "Non-Returning", "Dormant"), 
        IF(AND(MAX(dynamic[sinceLastOrder]) &gt; 365, (DATE(2024,4,30) - MAXIFS(dynamic[orderDate], dynamic[customerID], B1602)) &gt; 180), 
           "Dormant", "Regular")))</f>
        <v>Regular</v>
      </c>
      <c r="H1602" s="6">
        <v>29.0</v>
      </c>
      <c r="I1602" s="9" t="str">
        <f>VLOOKUP(dynamic[productID],products[],2,FALSE)</f>
        <v>Thüringer Rostbratwurst</v>
      </c>
      <c r="J1602" s="9" t="str">
        <f>VLOOKUP(dynamic[productID],products[],12,FALSE)</f>
        <v>Meat/Poultry</v>
      </c>
      <c r="K1602" s="7" t="str">
        <f>IF(VLOOKUP(dynamic[productID],products[],7,FALSE)=1,"Discontinued","Current")</f>
        <v>Discontinued</v>
      </c>
      <c r="L1602" s="9">
        <f>VLOOKUP(dynamic[productID],products[],IF(YEAR(dynamic[orderDate])=2022,8,IF(YEAR(dynamic[orderDate])=2023,9,IF(YEAR(dynamic[orderDate])=2024,10,NA))),FALSE)</f>
        <v>80.14595973</v>
      </c>
      <c r="M1602" s="9">
        <v>123.79</v>
      </c>
      <c r="N1602" s="25">
        <f>(dynamic[orderPrice]-dynamic[productCost])/dynamic[productCost]</f>
        <v>0.544556961</v>
      </c>
      <c r="O1602" s="10">
        <v>10.0</v>
      </c>
      <c r="P1602" s="25">
        <v>0.25</v>
      </c>
      <c r="Q1602" s="9">
        <f>dynamic[orderPrice]*dynamic[orderQuantity]</f>
        <v>1237.9</v>
      </c>
      <c r="R1602" s="9">
        <f>dynamic[orderTotal]*(1-dynamic[discountApllied])</f>
        <v>928.425</v>
      </c>
      <c r="S1602" s="9">
        <f>dynamic[revenue]-(dynamic[productCost]*dynamic[orderQuantity])</f>
        <v>126.9654027</v>
      </c>
      <c r="T1602" s="25">
        <f>IFERROR(dynamic[profit]/dynamic[revenue], 0)</f>
        <v>0.1367535371</v>
      </c>
    </row>
    <row r="1603" ht="15.75" customHeight="1">
      <c r="A1603" s="6">
        <v>10858.0</v>
      </c>
      <c r="B1603" s="7" t="s">
        <v>103</v>
      </c>
      <c r="C1603" s="24" t="str">
        <f>VLOOKUP(dynamic[customerID],customers[],2,FALSE)</f>
        <v>La corne d'abondance</v>
      </c>
      <c r="D1603" s="24">
        <v>45320.0</v>
      </c>
      <c r="E1603" s="6">
        <f>IFERROR(__xludf.DUMMYFUNCTION("COUNTUNIQUEIFS($A$2:$A1603,$B$2:$B1603,B1603)"),1.0)</f>
        <v>1</v>
      </c>
      <c r="F1603" s="6">
        <f t="shared" si="1"/>
        <v>0</v>
      </c>
      <c r="G1603" s="6" t="str">
        <f>IF(MINIFS(dynamic[orderDate], dynamic[customerID], B1603) &gt;= DATE(2024,4,30)-120, 
     "New", 
     IF(MAXIFS(dynamic[orderCount], dynamic[customerID], B1603)&lt;=2, 
        IF((DATE(2024,4,30) - MAXIFS(dynamic[orderDate], dynamic[customerID], B1603)) &gt; 180, "Non-Returning", "Dormant"), 
        IF(AND(MAX(dynamic[sinceLastOrder]) &gt; 365, (DATE(2024,4,30) - MAXIFS(dynamic[orderDate], dynamic[customerID], B1603)) &gt; 180), 
           "Dormant", "Regular")))</f>
        <v>New</v>
      </c>
      <c r="H1603" s="6">
        <v>7.0</v>
      </c>
      <c r="I1603" s="9" t="str">
        <f>VLOOKUP(dynamic[productID],products[],2,FALSE)</f>
        <v>Uncle Bob's Organic Dried Pears</v>
      </c>
      <c r="J1603" s="9" t="str">
        <f>VLOOKUP(dynamic[productID],products[],12,FALSE)</f>
        <v>Produce</v>
      </c>
      <c r="K1603" s="7" t="str">
        <f>IF(VLOOKUP(dynamic[productID],products[],7,FALSE)=1,"Discontinued","Current")</f>
        <v>Current</v>
      </c>
      <c r="L1603" s="9">
        <f>VLOOKUP(dynamic[productID],products[],IF(YEAR(dynamic[orderDate])=2022,8,IF(YEAR(dynamic[orderDate])=2023,9,IF(YEAR(dynamic[orderDate])=2024,10,NA))),FALSE)</f>
        <v>23.52222246</v>
      </c>
      <c r="M1603" s="9">
        <v>30.0</v>
      </c>
      <c r="N1603" s="25">
        <f>(dynamic[orderPrice]-dynamic[productCost])/dynamic[productCost]</f>
        <v>0.2753896894</v>
      </c>
      <c r="O1603" s="10">
        <v>5.0</v>
      </c>
      <c r="P1603" s="25">
        <v>0.0</v>
      </c>
      <c r="Q1603" s="9">
        <f>dynamic[orderPrice]*dynamic[orderQuantity]</f>
        <v>150</v>
      </c>
      <c r="R1603" s="9">
        <f>dynamic[orderTotal]*(1-dynamic[discountApllied])</f>
        <v>150</v>
      </c>
      <c r="S1603" s="9">
        <f>dynamic[revenue]-(dynamic[productCost]*dynamic[orderQuantity])</f>
        <v>32.38888769</v>
      </c>
      <c r="T1603" s="25">
        <f>IFERROR(dynamic[profit]/dynamic[revenue], 0)</f>
        <v>0.2159259179</v>
      </c>
    </row>
    <row r="1604" ht="15.75" customHeight="1">
      <c r="A1604" s="6">
        <v>10858.0</v>
      </c>
      <c r="B1604" s="7" t="s">
        <v>103</v>
      </c>
      <c r="C1604" s="24" t="str">
        <f>VLOOKUP(dynamic[customerID],customers[],2,FALSE)</f>
        <v>La corne d'abondance</v>
      </c>
      <c r="D1604" s="24">
        <v>45320.0</v>
      </c>
      <c r="E1604" s="6">
        <f>IFERROR(__xludf.DUMMYFUNCTION("COUNTUNIQUEIFS($A$2:$A1604,$B$2:$B1604,B1604)"),1.0)</f>
        <v>1</v>
      </c>
      <c r="F1604" s="6">
        <f t="shared" si="1"/>
        <v>0</v>
      </c>
      <c r="G1604" s="6" t="str">
        <f>IF(MINIFS(dynamic[orderDate], dynamic[customerID], B1604) &gt;= DATE(2024,4,30)-120, 
     "New", 
     IF(MAXIFS(dynamic[orderCount], dynamic[customerID], B1604)&lt;=2, 
        IF((DATE(2024,4,30) - MAXIFS(dynamic[orderDate], dynamic[customerID], B1604)) &gt; 180, "Non-Returning", "Dormant"), 
        IF(AND(MAX(dynamic[sinceLastOrder]) &gt; 365, (DATE(2024,4,30) - MAXIFS(dynamic[orderDate], dynamic[customerID], B1604)) &gt; 180), 
           "Dormant", "Regular")))</f>
        <v>New</v>
      </c>
      <c r="H1604" s="6">
        <v>27.0</v>
      </c>
      <c r="I1604" s="9" t="str">
        <f>VLOOKUP(dynamic[productID],products[],2,FALSE)</f>
        <v>Schoggi Schokolade</v>
      </c>
      <c r="J1604" s="9" t="str">
        <f>VLOOKUP(dynamic[productID],products[],12,FALSE)</f>
        <v>Confections</v>
      </c>
      <c r="K1604" s="7" t="str">
        <f>IF(VLOOKUP(dynamic[productID],products[],7,FALSE)=1,"Discontinued","Current")</f>
        <v>Current</v>
      </c>
      <c r="L1604" s="9">
        <f>VLOOKUP(dynamic[productID],products[],IF(YEAR(dynamic[orderDate])=2022,8,IF(YEAR(dynamic[orderDate])=2023,9,IF(YEAR(dynamic[orderDate])=2024,10,NA))),FALSE)</f>
        <v>33.69297986</v>
      </c>
      <c r="M1604" s="9">
        <v>43.9</v>
      </c>
      <c r="N1604" s="25">
        <f>(dynamic[orderPrice]-dynamic[productCost])/dynamic[productCost]</f>
        <v>0.3029420426</v>
      </c>
      <c r="O1604" s="10">
        <v>10.0</v>
      </c>
      <c r="P1604" s="25">
        <v>0.0</v>
      </c>
      <c r="Q1604" s="9">
        <f>dynamic[orderPrice]*dynamic[orderQuantity]</f>
        <v>439</v>
      </c>
      <c r="R1604" s="9">
        <f>dynamic[orderTotal]*(1-dynamic[discountApllied])</f>
        <v>439</v>
      </c>
      <c r="S1604" s="9">
        <f>dynamic[revenue]-(dynamic[productCost]*dynamic[orderQuantity])</f>
        <v>102.0702014</v>
      </c>
      <c r="T1604" s="25">
        <f>IFERROR(dynamic[profit]/dynamic[revenue], 0)</f>
        <v>0.2325061535</v>
      </c>
    </row>
    <row r="1605" ht="15.75" customHeight="1">
      <c r="A1605" s="6">
        <v>10858.0</v>
      </c>
      <c r="B1605" s="7" t="s">
        <v>103</v>
      </c>
      <c r="C1605" s="24" t="str">
        <f>VLOOKUP(dynamic[customerID],customers[],2,FALSE)</f>
        <v>La corne d'abondance</v>
      </c>
      <c r="D1605" s="24">
        <v>45320.0</v>
      </c>
      <c r="E1605" s="6">
        <f>IFERROR(__xludf.DUMMYFUNCTION("COUNTUNIQUEIFS($A$2:$A1605,$B$2:$B1605,B1605)"),1.0)</f>
        <v>1</v>
      </c>
      <c r="F1605" s="6">
        <f t="shared" si="1"/>
        <v>0</v>
      </c>
      <c r="G1605" s="6" t="str">
        <f>IF(MINIFS(dynamic[orderDate], dynamic[customerID], B1605) &gt;= DATE(2024,4,30)-120, 
     "New", 
     IF(MAXIFS(dynamic[orderCount], dynamic[customerID], B1605)&lt;=2, 
        IF((DATE(2024,4,30) - MAXIFS(dynamic[orderDate], dynamic[customerID], B1605)) &gt; 180, "Non-Returning", "Dormant"), 
        IF(AND(MAX(dynamic[sinceLastOrder]) &gt; 365, (DATE(2024,4,30) - MAXIFS(dynamic[orderDate], dynamic[customerID], B1605)) &gt; 180), 
           "Dormant", "Regular")))</f>
        <v>New</v>
      </c>
      <c r="H1605" s="6">
        <v>70.0</v>
      </c>
      <c r="I1605" s="9" t="str">
        <f>VLOOKUP(dynamic[productID],products[],2,FALSE)</f>
        <v>Outback Lager</v>
      </c>
      <c r="J1605" s="9" t="str">
        <f>VLOOKUP(dynamic[productID],products[],12,FALSE)</f>
        <v>Beverages</v>
      </c>
      <c r="K1605" s="7" t="str">
        <f>IF(VLOOKUP(dynamic[productID],products[],7,FALSE)=1,"Discontinued","Current")</f>
        <v>Current</v>
      </c>
      <c r="L1605" s="9">
        <f>VLOOKUP(dynamic[productID],products[],IF(YEAR(dynamic[orderDate])=2022,8,IF(YEAR(dynamic[orderDate])=2023,9,IF(YEAR(dynamic[orderDate])=2024,10,NA))),FALSE)</f>
        <v>10.03280812</v>
      </c>
      <c r="M1605" s="9">
        <v>15.0</v>
      </c>
      <c r="N1605" s="25">
        <f>(dynamic[orderPrice]-dynamic[productCost])/dynamic[productCost]</f>
        <v>0.4950948747</v>
      </c>
      <c r="O1605" s="10">
        <v>4.0</v>
      </c>
      <c r="P1605" s="25">
        <v>0.0</v>
      </c>
      <c r="Q1605" s="9">
        <f>dynamic[orderPrice]*dynamic[orderQuantity]</f>
        <v>60</v>
      </c>
      <c r="R1605" s="9">
        <f>dynamic[orderTotal]*(1-dynamic[discountApllied])</f>
        <v>60</v>
      </c>
      <c r="S1605" s="9">
        <f>dynamic[revenue]-(dynamic[productCost]*dynamic[orderQuantity])</f>
        <v>19.86876752</v>
      </c>
      <c r="T1605" s="25">
        <f>IFERROR(dynamic[profit]/dynamic[revenue], 0)</f>
        <v>0.3311461253</v>
      </c>
    </row>
    <row r="1606" ht="15.75" customHeight="1">
      <c r="A1606" s="6">
        <v>10859.0</v>
      </c>
      <c r="B1606" s="7" t="s">
        <v>32</v>
      </c>
      <c r="C1606" s="24" t="str">
        <f>VLOOKUP(dynamic[customerID],customers[],2,FALSE)</f>
        <v>Frankenversand</v>
      </c>
      <c r="D1606" s="24">
        <v>45320.0</v>
      </c>
      <c r="E1606" s="6">
        <f>IFERROR(__xludf.DUMMYFUNCTION("COUNTUNIQUEIFS($A$2:$A1606,$B$2:$B1606,B1606)"),13.0)</f>
        <v>13</v>
      </c>
      <c r="F1606" s="6">
        <f t="shared" si="1"/>
        <v>37</v>
      </c>
      <c r="G1606" s="6" t="str">
        <f>IF(MINIFS(dynamic[orderDate], dynamic[customerID], B1606) &gt;= DATE(2024,4,30)-120, 
     "New", 
     IF(MAXIFS(dynamic[orderCount], dynamic[customerID], B1606)&lt;=2, 
        IF((DATE(2024,4,30) - MAXIFS(dynamic[orderDate], dynamic[customerID], B1606)) &gt; 180, "Non-Returning", "Dormant"), 
        IF(AND(MAX(dynamic[sinceLastOrder]) &gt; 365, (DATE(2024,4,30) - MAXIFS(dynamic[orderDate], dynamic[customerID], B1606)) &gt; 180), 
           "Dormant", "Regular")))</f>
        <v>Regular</v>
      </c>
      <c r="H1606" s="6">
        <v>24.0</v>
      </c>
      <c r="I1606" s="9" t="str">
        <f>VLOOKUP(dynamic[productID],products[],2,FALSE)</f>
        <v>Brigadeiros Maravilhosos da Lilian</v>
      </c>
      <c r="J1606" s="9" t="str">
        <f>VLOOKUP(dynamic[productID],products[],12,FALSE)</f>
        <v>Confections</v>
      </c>
      <c r="K1606" s="7" t="str">
        <f>IF(VLOOKUP(dynamic[productID],products[],7,FALSE)=1,"Discontinued","Current")</f>
        <v>Discontinued</v>
      </c>
      <c r="L1606" s="9">
        <f>VLOOKUP(dynamic[productID],products[],IF(YEAR(dynamic[orderDate])=2022,8,IF(YEAR(dynamic[orderDate])=2023,9,IF(YEAR(dynamic[orderDate])=2024,10,NA))),FALSE)</f>
        <v>3.177326315</v>
      </c>
      <c r="M1606" s="9">
        <v>4.5</v>
      </c>
      <c r="N1606" s="25">
        <f>(dynamic[orderPrice]-dynamic[productCost])/dynamic[productCost]</f>
        <v>0.416285126</v>
      </c>
      <c r="O1606" s="10">
        <v>40.0</v>
      </c>
      <c r="P1606" s="25">
        <v>0.25</v>
      </c>
      <c r="Q1606" s="9">
        <f>dynamic[orderPrice]*dynamic[orderQuantity]</f>
        <v>180</v>
      </c>
      <c r="R1606" s="9">
        <f>dynamic[orderTotal]*(1-dynamic[discountApllied])</f>
        <v>135</v>
      </c>
      <c r="S1606" s="9">
        <f>dynamic[revenue]-(dynamic[productCost]*dynamic[orderQuantity])</f>
        <v>7.906947413</v>
      </c>
      <c r="T1606" s="25">
        <f>IFERROR(dynamic[profit]/dynamic[revenue], 0)</f>
        <v>0.05856998083</v>
      </c>
    </row>
    <row r="1607" ht="15.75" customHeight="1">
      <c r="A1607" s="6">
        <v>10859.0</v>
      </c>
      <c r="B1607" s="7" t="s">
        <v>32</v>
      </c>
      <c r="C1607" s="24" t="str">
        <f>VLOOKUP(dynamic[customerID],customers[],2,FALSE)</f>
        <v>Frankenversand</v>
      </c>
      <c r="D1607" s="24">
        <v>45320.0</v>
      </c>
      <c r="E1607" s="6">
        <f>IFERROR(__xludf.DUMMYFUNCTION("COUNTUNIQUEIFS($A$2:$A1607,$B$2:$B1607,B1607)"),13.0)</f>
        <v>13</v>
      </c>
      <c r="F1607" s="6">
        <f t="shared" si="1"/>
        <v>37</v>
      </c>
      <c r="G1607" s="6" t="str">
        <f>IF(MINIFS(dynamic[orderDate], dynamic[customerID], B1607) &gt;= DATE(2024,4,30)-120, 
     "New", 
     IF(MAXIFS(dynamic[orderCount], dynamic[customerID], B1607)&lt;=2, 
        IF((DATE(2024,4,30) - MAXIFS(dynamic[orderDate], dynamic[customerID], B1607)) &gt; 180, "Non-Returning", "Dormant"), 
        IF(AND(MAX(dynamic[sinceLastOrder]) &gt; 365, (DATE(2024,4,30) - MAXIFS(dynamic[orderDate], dynamic[customerID], B1607)) &gt; 180), 
           "Dormant", "Regular")))</f>
        <v>Regular</v>
      </c>
      <c r="H1607" s="6">
        <v>54.0</v>
      </c>
      <c r="I1607" s="9" t="str">
        <f>VLOOKUP(dynamic[productID],products[],2,FALSE)</f>
        <v>Tourtière</v>
      </c>
      <c r="J1607" s="9" t="str">
        <f>VLOOKUP(dynamic[productID],products[],12,FALSE)</f>
        <v>Meat/Poultry</v>
      </c>
      <c r="K1607" s="7" t="str">
        <f>IF(VLOOKUP(dynamic[productID],products[],7,FALSE)=1,"Discontinued","Current")</f>
        <v>Current</v>
      </c>
      <c r="L1607" s="9">
        <f>VLOOKUP(dynamic[productID],products[],IF(YEAR(dynamic[orderDate])=2022,8,IF(YEAR(dynamic[orderDate])=2023,9,IF(YEAR(dynamic[orderDate])=2024,10,NA))),FALSE)</f>
        <v>4.884716455</v>
      </c>
      <c r="M1607" s="9">
        <v>7.45</v>
      </c>
      <c r="N1607" s="25">
        <f>(dynamic[orderPrice]-dynamic[productCost])/dynamic[productCost]</f>
        <v>0.5251652923</v>
      </c>
      <c r="O1607" s="10">
        <v>35.0</v>
      </c>
      <c r="P1607" s="25">
        <v>0.25</v>
      </c>
      <c r="Q1607" s="9">
        <f>dynamic[orderPrice]*dynamic[orderQuantity]</f>
        <v>260.75</v>
      </c>
      <c r="R1607" s="9">
        <f>dynamic[orderTotal]*(1-dynamic[discountApllied])</f>
        <v>195.5625</v>
      </c>
      <c r="S1607" s="9">
        <f>dynamic[revenue]-(dynamic[productCost]*dynamic[orderQuantity])</f>
        <v>24.59742408</v>
      </c>
      <c r="T1607" s="25">
        <f>IFERROR(dynamic[profit]/dynamic[revenue], 0)</f>
        <v>0.1257778157</v>
      </c>
    </row>
    <row r="1608" ht="15.75" customHeight="1">
      <c r="A1608" s="6">
        <v>10859.0</v>
      </c>
      <c r="B1608" s="7" t="s">
        <v>32</v>
      </c>
      <c r="C1608" s="24" t="str">
        <f>VLOOKUP(dynamic[customerID],customers[],2,FALSE)</f>
        <v>Frankenversand</v>
      </c>
      <c r="D1608" s="24">
        <v>45320.0</v>
      </c>
      <c r="E1608" s="6">
        <f>IFERROR(__xludf.DUMMYFUNCTION("COUNTUNIQUEIFS($A$2:$A1608,$B$2:$B1608,B1608)"),13.0)</f>
        <v>13</v>
      </c>
      <c r="F1608" s="6">
        <f t="shared" si="1"/>
        <v>37</v>
      </c>
      <c r="G1608" s="6" t="str">
        <f>IF(MINIFS(dynamic[orderDate], dynamic[customerID], B1608) &gt;= DATE(2024,4,30)-120, 
     "New", 
     IF(MAXIFS(dynamic[orderCount], dynamic[customerID], B1608)&lt;=2, 
        IF((DATE(2024,4,30) - MAXIFS(dynamic[orderDate], dynamic[customerID], B1608)) &gt; 180, "Non-Returning", "Dormant"), 
        IF(AND(MAX(dynamic[sinceLastOrder]) &gt; 365, (DATE(2024,4,30) - MAXIFS(dynamic[orderDate], dynamic[customerID], B1608)) &gt; 180), 
           "Dormant", "Regular")))</f>
        <v>Regular</v>
      </c>
      <c r="H1608" s="6">
        <v>64.0</v>
      </c>
      <c r="I1608" s="9" t="str">
        <f>VLOOKUP(dynamic[productID],products[],2,FALSE)</f>
        <v>Lukas' leckere Sauerteigweggla</v>
      </c>
      <c r="J1608" s="9" t="str">
        <f>VLOOKUP(dynamic[productID],products[],12,FALSE)</f>
        <v>Grains/Cereals</v>
      </c>
      <c r="K1608" s="7" t="str">
        <f>IF(VLOOKUP(dynamic[productID],products[],7,FALSE)=1,"Discontinued","Current")</f>
        <v>Current</v>
      </c>
      <c r="L1608" s="9">
        <f>VLOOKUP(dynamic[productID],products[],IF(YEAR(dynamic[orderDate])=2022,8,IF(YEAR(dynamic[orderDate])=2023,9,IF(YEAR(dynamic[orderDate])=2024,10,NA))),FALSE)</f>
        <v>22.72434276</v>
      </c>
      <c r="M1608" s="9">
        <v>33.25</v>
      </c>
      <c r="N1608" s="25">
        <f>(dynamic[orderPrice]-dynamic[productCost])/dynamic[productCost]</f>
        <v>0.4631886324</v>
      </c>
      <c r="O1608" s="10">
        <v>30.0</v>
      </c>
      <c r="P1608" s="25">
        <v>0.25</v>
      </c>
      <c r="Q1608" s="9">
        <f>dynamic[orderPrice]*dynamic[orderQuantity]</f>
        <v>997.5</v>
      </c>
      <c r="R1608" s="9">
        <f>dynamic[orderTotal]*(1-dynamic[discountApllied])</f>
        <v>748.125</v>
      </c>
      <c r="S1608" s="9">
        <f>dynamic[revenue]-(dynamic[productCost]*dynamic[orderQuantity])</f>
        <v>66.39471732</v>
      </c>
      <c r="T1608" s="25">
        <f>IFERROR(dynamic[profit]/dynamic[revenue], 0)</f>
        <v>0.08874816016</v>
      </c>
    </row>
    <row r="1609" ht="15.75" customHeight="1">
      <c r="A1609" s="6">
        <v>10860.0</v>
      </c>
      <c r="B1609" s="7" t="s">
        <v>101</v>
      </c>
      <c r="C1609" s="24" t="str">
        <f>VLOOKUP(dynamic[customerID],customers[],2,FALSE)</f>
        <v>France restauration</v>
      </c>
      <c r="D1609" s="24">
        <v>45320.0</v>
      </c>
      <c r="E1609" s="6">
        <f>IFERROR(__xludf.DUMMYFUNCTION("COUNTUNIQUEIFS($A$2:$A1609,$B$2:$B1609,B1609)"),2.0)</f>
        <v>2</v>
      </c>
      <c r="F1609" s="6">
        <f t="shared" si="1"/>
        <v>134</v>
      </c>
      <c r="G1609" s="6" t="str">
        <f>IF(MINIFS(dynamic[orderDate], dynamic[customerID], B1609) &gt;= DATE(2024,4,30)-120, 
     "New", 
     IF(MAXIFS(dynamic[orderCount], dynamic[customerID], B1609)&lt;=2, 
        IF((DATE(2024,4,30) - MAXIFS(dynamic[orderDate], dynamic[customerID], B1609)) &gt; 180, "Non-Returning", "Dormant"), 
        IF(AND(MAX(dynamic[sinceLastOrder]) &gt; 365, (DATE(2024,4,30) - MAXIFS(dynamic[orderDate], dynamic[customerID], B1609)) &gt; 180), 
           "Dormant", "Regular")))</f>
        <v>Regular</v>
      </c>
      <c r="H1609" s="6">
        <v>51.0</v>
      </c>
      <c r="I1609" s="9" t="str">
        <f>VLOOKUP(dynamic[productID],products[],2,FALSE)</f>
        <v>Manjimup Dried Apples</v>
      </c>
      <c r="J1609" s="9" t="str">
        <f>VLOOKUP(dynamic[productID],products[],12,FALSE)</f>
        <v>Produce</v>
      </c>
      <c r="K1609" s="7" t="str">
        <f>IF(VLOOKUP(dynamic[productID],products[],7,FALSE)=1,"Discontinued","Current")</f>
        <v>Current</v>
      </c>
      <c r="L1609" s="9">
        <f>VLOOKUP(dynamic[productID],products[],IF(YEAR(dynamic[orderDate])=2022,8,IF(YEAR(dynamic[orderDate])=2023,9,IF(YEAR(dynamic[orderDate])=2024,10,NA))),FALSE)</f>
        <v>39.51416462</v>
      </c>
      <c r="M1609" s="9">
        <v>53.0</v>
      </c>
      <c r="N1609" s="25">
        <f>(dynamic[orderPrice]-dynamic[productCost])/dynamic[productCost]</f>
        <v>0.3412911677</v>
      </c>
      <c r="O1609" s="10">
        <v>3.0</v>
      </c>
      <c r="P1609" s="25">
        <v>0.0</v>
      </c>
      <c r="Q1609" s="9">
        <f>dynamic[orderPrice]*dynamic[orderQuantity]</f>
        <v>159</v>
      </c>
      <c r="R1609" s="9">
        <f>dynamic[orderTotal]*(1-dynamic[discountApllied])</f>
        <v>159</v>
      </c>
      <c r="S1609" s="9">
        <f>dynamic[revenue]-(dynamic[productCost]*dynamic[orderQuantity])</f>
        <v>40.45750614</v>
      </c>
      <c r="T1609" s="25">
        <f>IFERROR(dynamic[profit]/dynamic[revenue], 0)</f>
        <v>0.2544497242</v>
      </c>
    </row>
    <row r="1610" ht="15.75" customHeight="1">
      <c r="A1610" s="6">
        <v>10860.0</v>
      </c>
      <c r="B1610" s="7" t="s">
        <v>101</v>
      </c>
      <c r="C1610" s="24" t="str">
        <f>VLOOKUP(dynamic[customerID],customers[],2,FALSE)</f>
        <v>France restauration</v>
      </c>
      <c r="D1610" s="24">
        <v>45320.0</v>
      </c>
      <c r="E1610" s="6">
        <f>IFERROR(__xludf.DUMMYFUNCTION("COUNTUNIQUEIFS($A$2:$A1610,$B$2:$B1610,B1610)"),2.0)</f>
        <v>2</v>
      </c>
      <c r="F1610" s="6">
        <f t="shared" si="1"/>
        <v>134</v>
      </c>
      <c r="G1610" s="6" t="str">
        <f>IF(MINIFS(dynamic[orderDate], dynamic[customerID], B1610) &gt;= DATE(2024,4,30)-120, 
     "New", 
     IF(MAXIFS(dynamic[orderCount], dynamic[customerID], B1610)&lt;=2, 
        IF((DATE(2024,4,30) - MAXIFS(dynamic[orderDate], dynamic[customerID], B1610)) &gt; 180, "Non-Returning", "Dormant"), 
        IF(AND(MAX(dynamic[sinceLastOrder]) &gt; 365, (DATE(2024,4,30) - MAXIFS(dynamic[orderDate], dynamic[customerID], B1610)) &gt; 180), 
           "Dormant", "Regular")))</f>
        <v>Regular</v>
      </c>
      <c r="H1610" s="6">
        <v>76.0</v>
      </c>
      <c r="I1610" s="9" t="str">
        <f>VLOOKUP(dynamic[productID],products[],2,FALSE)</f>
        <v>Lakkalikööri</v>
      </c>
      <c r="J1610" s="9" t="str">
        <f>VLOOKUP(dynamic[productID],products[],12,FALSE)</f>
        <v>Beverages</v>
      </c>
      <c r="K1610" s="7" t="str">
        <f>IF(VLOOKUP(dynamic[productID],products[],7,FALSE)=1,"Discontinued","Current")</f>
        <v>Current</v>
      </c>
      <c r="L1610" s="9">
        <f>VLOOKUP(dynamic[productID],products[],IF(YEAR(dynamic[orderDate])=2022,8,IF(YEAR(dynamic[orderDate])=2023,9,IF(YEAR(dynamic[orderDate])=2024,10,NA))),FALSE)</f>
        <v>12.15832249</v>
      </c>
      <c r="M1610" s="9">
        <v>18.0</v>
      </c>
      <c r="N1610" s="25">
        <f>(dynamic[orderPrice]-dynamic[productCost])/dynamic[productCost]</f>
        <v>0.4804673928</v>
      </c>
      <c r="O1610" s="10">
        <v>20.0</v>
      </c>
      <c r="P1610" s="25">
        <v>0.0</v>
      </c>
      <c r="Q1610" s="9">
        <f>dynamic[orderPrice]*dynamic[orderQuantity]</f>
        <v>360</v>
      </c>
      <c r="R1610" s="9">
        <f>dynamic[orderTotal]*(1-dynamic[discountApllied])</f>
        <v>360</v>
      </c>
      <c r="S1610" s="9">
        <f>dynamic[revenue]-(dynamic[productCost]*dynamic[orderQuantity])</f>
        <v>116.8335502</v>
      </c>
      <c r="T1610" s="25">
        <f>IFERROR(dynamic[profit]/dynamic[revenue], 0)</f>
        <v>0.3245376394</v>
      </c>
    </row>
    <row r="1611" ht="15.75" customHeight="1">
      <c r="A1611" s="6">
        <v>10861.0</v>
      </c>
      <c r="B1611" s="7" t="s">
        <v>34</v>
      </c>
      <c r="C1611" s="24" t="str">
        <f>VLOOKUP(dynamic[customerID],customers[],2,FALSE)</f>
        <v>White Clover Markets</v>
      </c>
      <c r="D1611" s="24">
        <v>45321.0</v>
      </c>
      <c r="E1611" s="6">
        <f>IFERROR(__xludf.DUMMYFUNCTION("COUNTUNIQUEIFS($A$2:$A1611,$B$2:$B1611,B1611)"),11.0)</f>
        <v>11</v>
      </c>
      <c r="F1611" s="6">
        <f t="shared" si="1"/>
        <v>78</v>
      </c>
      <c r="G1611" s="6" t="str">
        <f>IF(MINIFS(dynamic[orderDate], dynamic[customerID], B1611) &gt;= DATE(2024,4,30)-120, 
     "New", 
     IF(MAXIFS(dynamic[orderCount], dynamic[customerID], B1611)&lt;=2, 
        IF((DATE(2024,4,30) - MAXIFS(dynamic[orderDate], dynamic[customerID], B1611)) &gt; 180, "Non-Returning", "Dormant"), 
        IF(AND(MAX(dynamic[sinceLastOrder]) &gt; 365, (DATE(2024,4,30) - MAXIFS(dynamic[orderDate], dynamic[customerID], B1611)) &gt; 180), 
           "Dormant", "Regular")))</f>
        <v>Regular</v>
      </c>
      <c r="H1611" s="6">
        <v>17.0</v>
      </c>
      <c r="I1611" s="9" t="str">
        <f>VLOOKUP(dynamic[productID],products[],2,FALSE)</f>
        <v>Alice Mutton</v>
      </c>
      <c r="J1611" s="9" t="str">
        <f>VLOOKUP(dynamic[productID],products[],12,FALSE)</f>
        <v>Meat/Poultry</v>
      </c>
      <c r="K1611" s="7" t="str">
        <f>IF(VLOOKUP(dynamic[productID],products[],7,FALSE)=1,"Discontinued","Current")</f>
        <v>Discontinued</v>
      </c>
      <c r="L1611" s="9">
        <f>VLOOKUP(dynamic[productID],products[],IF(YEAR(dynamic[orderDate])=2022,8,IF(YEAR(dynamic[orderDate])=2023,9,IF(YEAR(dynamic[orderDate])=2024,10,NA))),FALSE)</f>
        <v>28.51916263</v>
      </c>
      <c r="M1611" s="9">
        <v>39.0</v>
      </c>
      <c r="N1611" s="25">
        <f>(dynamic[orderPrice]-dynamic[productCost])/dynamic[productCost]</f>
        <v>0.3675015816</v>
      </c>
      <c r="O1611" s="10">
        <v>42.0</v>
      </c>
      <c r="P1611" s="25">
        <v>0.0</v>
      </c>
      <c r="Q1611" s="9">
        <f>dynamic[orderPrice]*dynamic[orderQuantity]</f>
        <v>1638</v>
      </c>
      <c r="R1611" s="9">
        <f>dynamic[orderTotal]*(1-dynamic[discountApllied])</f>
        <v>1638</v>
      </c>
      <c r="S1611" s="9">
        <f>dynamic[revenue]-(dynamic[productCost]*dynamic[orderQuantity])</f>
        <v>440.1951696</v>
      </c>
      <c r="T1611" s="25">
        <f>IFERROR(dynamic[profit]/dynamic[revenue], 0)</f>
        <v>0.2687394198</v>
      </c>
    </row>
    <row r="1612" ht="15.75" customHeight="1">
      <c r="A1612" s="6">
        <v>10861.0</v>
      </c>
      <c r="B1612" s="7" t="s">
        <v>34</v>
      </c>
      <c r="C1612" s="24" t="str">
        <f>VLOOKUP(dynamic[customerID],customers[],2,FALSE)</f>
        <v>White Clover Markets</v>
      </c>
      <c r="D1612" s="24">
        <v>45321.0</v>
      </c>
      <c r="E1612" s="6">
        <f>IFERROR(__xludf.DUMMYFUNCTION("COUNTUNIQUEIFS($A$2:$A1612,$B$2:$B1612,B1612)"),11.0)</f>
        <v>11</v>
      </c>
      <c r="F1612" s="6">
        <f t="shared" si="1"/>
        <v>78</v>
      </c>
      <c r="G1612" s="6" t="str">
        <f>IF(MINIFS(dynamic[orderDate], dynamic[customerID], B1612) &gt;= DATE(2024,4,30)-120, 
     "New", 
     IF(MAXIFS(dynamic[orderCount], dynamic[customerID], B1612)&lt;=2, 
        IF((DATE(2024,4,30) - MAXIFS(dynamic[orderDate], dynamic[customerID], B1612)) &gt; 180, "Non-Returning", "Dormant"), 
        IF(AND(MAX(dynamic[sinceLastOrder]) &gt; 365, (DATE(2024,4,30) - MAXIFS(dynamic[orderDate], dynamic[customerID], B1612)) &gt; 180), 
           "Dormant", "Regular")))</f>
        <v>Regular</v>
      </c>
      <c r="H1612" s="6">
        <v>18.0</v>
      </c>
      <c r="I1612" s="9" t="str">
        <f>VLOOKUP(dynamic[productID],products[],2,FALSE)</f>
        <v>Carnarvon Tigers</v>
      </c>
      <c r="J1612" s="9" t="str">
        <f>VLOOKUP(dynamic[productID],products[],12,FALSE)</f>
        <v>Seafood</v>
      </c>
      <c r="K1612" s="7" t="str">
        <f>IF(VLOOKUP(dynamic[productID],products[],7,FALSE)=1,"Discontinued","Current")</f>
        <v>Current</v>
      </c>
      <c r="L1612" s="9">
        <f>VLOOKUP(dynamic[productID],products[],IF(YEAR(dynamic[orderDate])=2022,8,IF(YEAR(dynamic[orderDate])=2023,9,IF(YEAR(dynamic[orderDate])=2024,10,NA))),FALSE)</f>
        <v>41.27004985</v>
      </c>
      <c r="M1612" s="9">
        <v>62.5</v>
      </c>
      <c r="N1612" s="25">
        <f>(dynamic[orderPrice]-dynamic[productCost])/dynamic[productCost]</f>
        <v>0.5144154231</v>
      </c>
      <c r="O1612" s="10">
        <v>20.0</v>
      </c>
      <c r="P1612" s="25">
        <v>0.0</v>
      </c>
      <c r="Q1612" s="9">
        <f>dynamic[orderPrice]*dynamic[orderQuantity]</f>
        <v>1250</v>
      </c>
      <c r="R1612" s="9">
        <f>dynamic[orderTotal]*(1-dynamic[discountApllied])</f>
        <v>1250</v>
      </c>
      <c r="S1612" s="9">
        <f>dynamic[revenue]-(dynamic[productCost]*dynamic[orderQuantity])</f>
        <v>424.5990031</v>
      </c>
      <c r="T1612" s="25">
        <f>IFERROR(dynamic[profit]/dynamic[revenue], 0)</f>
        <v>0.3396792025</v>
      </c>
    </row>
    <row r="1613" ht="15.75" customHeight="1">
      <c r="A1613" s="6">
        <v>10861.0</v>
      </c>
      <c r="B1613" s="7" t="s">
        <v>34</v>
      </c>
      <c r="C1613" s="24" t="str">
        <f>VLOOKUP(dynamic[customerID],customers[],2,FALSE)</f>
        <v>White Clover Markets</v>
      </c>
      <c r="D1613" s="24">
        <v>45321.0</v>
      </c>
      <c r="E1613" s="6">
        <f>IFERROR(__xludf.DUMMYFUNCTION("COUNTUNIQUEIFS($A$2:$A1613,$B$2:$B1613,B1613)"),11.0)</f>
        <v>11</v>
      </c>
      <c r="F1613" s="6">
        <f t="shared" si="1"/>
        <v>78</v>
      </c>
      <c r="G1613" s="6" t="str">
        <f>IF(MINIFS(dynamic[orderDate], dynamic[customerID], B1613) &gt;= DATE(2024,4,30)-120, 
     "New", 
     IF(MAXIFS(dynamic[orderCount], dynamic[customerID], B1613)&lt;=2, 
        IF((DATE(2024,4,30) - MAXIFS(dynamic[orderDate], dynamic[customerID], B1613)) &gt; 180, "Non-Returning", "Dormant"), 
        IF(AND(MAX(dynamic[sinceLastOrder]) &gt; 365, (DATE(2024,4,30) - MAXIFS(dynamic[orderDate], dynamic[customerID], B1613)) &gt; 180), 
           "Dormant", "Regular")))</f>
        <v>Regular</v>
      </c>
      <c r="H1613" s="6">
        <v>21.0</v>
      </c>
      <c r="I1613" s="9" t="str">
        <f>VLOOKUP(dynamic[productID],products[],2,FALSE)</f>
        <v>Sir Rodney's Scones</v>
      </c>
      <c r="J1613" s="9" t="str">
        <f>VLOOKUP(dynamic[productID],products[],12,FALSE)</f>
        <v>Confections</v>
      </c>
      <c r="K1613" s="7" t="str">
        <f>IF(VLOOKUP(dynamic[productID],products[],7,FALSE)=1,"Discontinued","Current")</f>
        <v>Current</v>
      </c>
      <c r="L1613" s="9">
        <f>VLOOKUP(dynamic[productID],products[],IF(YEAR(dynamic[orderDate])=2022,8,IF(YEAR(dynamic[orderDate])=2023,9,IF(YEAR(dynamic[orderDate])=2024,10,NA))),FALSE)</f>
        <v>7.459897593</v>
      </c>
      <c r="M1613" s="9">
        <v>10.0</v>
      </c>
      <c r="N1613" s="25">
        <f>(dynamic[orderPrice]-dynamic[productCost])/dynamic[productCost]</f>
        <v>0.3405009753</v>
      </c>
      <c r="O1613" s="10">
        <v>40.0</v>
      </c>
      <c r="P1613" s="25">
        <v>0.0</v>
      </c>
      <c r="Q1613" s="9">
        <f>dynamic[orderPrice]*dynamic[orderQuantity]</f>
        <v>400</v>
      </c>
      <c r="R1613" s="9">
        <f>dynamic[orderTotal]*(1-dynamic[discountApllied])</f>
        <v>400</v>
      </c>
      <c r="S1613" s="9">
        <f>dynamic[revenue]-(dynamic[productCost]*dynamic[orderQuantity])</f>
        <v>101.6040963</v>
      </c>
      <c r="T1613" s="25">
        <f>IFERROR(dynamic[profit]/dynamic[revenue], 0)</f>
        <v>0.2540102407</v>
      </c>
    </row>
    <row r="1614" ht="15.75" customHeight="1">
      <c r="A1614" s="6">
        <v>10861.0</v>
      </c>
      <c r="B1614" s="7" t="s">
        <v>34</v>
      </c>
      <c r="C1614" s="24" t="str">
        <f>VLOOKUP(dynamic[customerID],customers[],2,FALSE)</f>
        <v>White Clover Markets</v>
      </c>
      <c r="D1614" s="24">
        <v>45321.0</v>
      </c>
      <c r="E1614" s="6">
        <f>IFERROR(__xludf.DUMMYFUNCTION("COUNTUNIQUEIFS($A$2:$A1614,$B$2:$B1614,B1614)"),11.0)</f>
        <v>11</v>
      </c>
      <c r="F1614" s="6">
        <f t="shared" si="1"/>
        <v>78</v>
      </c>
      <c r="G1614" s="6" t="str">
        <f>IF(MINIFS(dynamic[orderDate], dynamic[customerID], B1614) &gt;= DATE(2024,4,30)-120, 
     "New", 
     IF(MAXIFS(dynamic[orderCount], dynamic[customerID], B1614)&lt;=2, 
        IF((DATE(2024,4,30) - MAXIFS(dynamic[orderDate], dynamic[customerID], B1614)) &gt; 180, "Non-Returning", "Dormant"), 
        IF(AND(MAX(dynamic[sinceLastOrder]) &gt; 365, (DATE(2024,4,30) - MAXIFS(dynamic[orderDate], dynamic[customerID], B1614)) &gt; 180), 
           "Dormant", "Regular")))</f>
        <v>Regular</v>
      </c>
      <c r="H1614" s="6">
        <v>33.0</v>
      </c>
      <c r="I1614" s="9" t="str">
        <f>VLOOKUP(dynamic[productID],products[],2,FALSE)</f>
        <v>Geitost</v>
      </c>
      <c r="J1614" s="9" t="str">
        <f>VLOOKUP(dynamic[productID],products[],12,FALSE)</f>
        <v>Dairy Products</v>
      </c>
      <c r="K1614" s="7" t="str">
        <f>IF(VLOOKUP(dynamic[productID],products[],7,FALSE)=1,"Discontinued","Current")</f>
        <v>Current</v>
      </c>
      <c r="L1614" s="9">
        <f>VLOOKUP(dynamic[productID],products[],IF(YEAR(dynamic[orderDate])=2022,8,IF(YEAR(dynamic[orderDate])=2023,9,IF(YEAR(dynamic[orderDate])=2024,10,NA))),FALSE)</f>
        <v>1.670163437</v>
      </c>
      <c r="M1614" s="9">
        <v>2.5</v>
      </c>
      <c r="N1614" s="25">
        <f>(dynamic[orderPrice]-dynamic[productCost])/dynamic[productCost]</f>
        <v>0.4968594957</v>
      </c>
      <c r="O1614" s="10">
        <v>35.0</v>
      </c>
      <c r="P1614" s="25">
        <v>0.0</v>
      </c>
      <c r="Q1614" s="9">
        <f>dynamic[orderPrice]*dynamic[orderQuantity]</f>
        <v>87.5</v>
      </c>
      <c r="R1614" s="9">
        <f>dynamic[orderTotal]*(1-dynamic[discountApllied])</f>
        <v>87.5</v>
      </c>
      <c r="S1614" s="9">
        <f>dynamic[revenue]-(dynamic[productCost]*dynamic[orderQuantity])</f>
        <v>29.0442797</v>
      </c>
      <c r="T1614" s="25">
        <f>IFERROR(dynamic[profit]/dynamic[revenue], 0)</f>
        <v>0.3319346252</v>
      </c>
    </row>
    <row r="1615" ht="15.75" customHeight="1">
      <c r="A1615" s="6">
        <v>10861.0</v>
      </c>
      <c r="B1615" s="7" t="s">
        <v>34</v>
      </c>
      <c r="C1615" s="24" t="str">
        <f>VLOOKUP(dynamic[customerID],customers[],2,FALSE)</f>
        <v>White Clover Markets</v>
      </c>
      <c r="D1615" s="24">
        <v>45321.0</v>
      </c>
      <c r="E1615" s="6">
        <f>IFERROR(__xludf.DUMMYFUNCTION("COUNTUNIQUEIFS($A$2:$A1615,$B$2:$B1615,B1615)"),11.0)</f>
        <v>11</v>
      </c>
      <c r="F1615" s="6">
        <f t="shared" si="1"/>
        <v>78</v>
      </c>
      <c r="G1615" s="6" t="str">
        <f>IF(MINIFS(dynamic[orderDate], dynamic[customerID], B1615) &gt;= DATE(2024,4,30)-120, 
     "New", 
     IF(MAXIFS(dynamic[orderCount], dynamic[customerID], B1615)&lt;=2, 
        IF((DATE(2024,4,30) - MAXIFS(dynamic[orderDate], dynamic[customerID], B1615)) &gt; 180, "Non-Returning", "Dormant"), 
        IF(AND(MAX(dynamic[sinceLastOrder]) &gt; 365, (DATE(2024,4,30) - MAXIFS(dynamic[orderDate], dynamic[customerID], B1615)) &gt; 180), 
           "Dormant", "Regular")))</f>
        <v>Regular</v>
      </c>
      <c r="H1615" s="6">
        <v>62.0</v>
      </c>
      <c r="I1615" s="9" t="str">
        <f>VLOOKUP(dynamic[productID],products[],2,FALSE)</f>
        <v>Tarte au sucre</v>
      </c>
      <c r="J1615" s="9" t="str">
        <f>VLOOKUP(dynamic[productID],products[],12,FALSE)</f>
        <v>Confections</v>
      </c>
      <c r="K1615" s="7" t="str">
        <f>IF(VLOOKUP(dynamic[productID],products[],7,FALSE)=1,"Discontinued","Current")</f>
        <v>Current</v>
      </c>
      <c r="L1615" s="9">
        <f>VLOOKUP(dynamic[productID],products[],IF(YEAR(dynamic[orderDate])=2022,8,IF(YEAR(dynamic[orderDate])=2023,9,IF(YEAR(dynamic[orderDate])=2024,10,NA))),FALSE)</f>
        <v>34.88145014</v>
      </c>
      <c r="M1615" s="9">
        <v>49.3</v>
      </c>
      <c r="N1615" s="25">
        <f>(dynamic[orderPrice]-dynamic[productCost])/dynamic[productCost]</f>
        <v>0.4133586705</v>
      </c>
      <c r="O1615" s="10">
        <v>3.0</v>
      </c>
      <c r="P1615" s="25">
        <v>0.0</v>
      </c>
      <c r="Q1615" s="9">
        <f>dynamic[orderPrice]*dynamic[orderQuantity]</f>
        <v>147.9</v>
      </c>
      <c r="R1615" s="9">
        <f>dynamic[orderTotal]*(1-dynamic[discountApllied])</f>
        <v>147.9</v>
      </c>
      <c r="S1615" s="9">
        <f>dynamic[revenue]-(dynamic[productCost]*dynamic[orderQuantity])</f>
        <v>43.25564957</v>
      </c>
      <c r="T1615" s="25">
        <f>IFERROR(dynamic[profit]/dynamic[revenue], 0)</f>
        <v>0.2924655143</v>
      </c>
    </row>
    <row r="1616" ht="15.75" customHeight="1">
      <c r="A1616" s="6">
        <v>10862.0</v>
      </c>
      <c r="B1616" s="7" t="s">
        <v>41</v>
      </c>
      <c r="C1616" s="24" t="str">
        <f>VLOOKUP(dynamic[customerID],customers[],2,FALSE)</f>
        <v>Lehmanns Marktstand</v>
      </c>
      <c r="D1616" s="24">
        <v>45321.0</v>
      </c>
      <c r="E1616" s="6">
        <f>IFERROR(__xludf.DUMMYFUNCTION("COUNTUNIQUEIFS($A$2:$A1616,$B$2:$B1616,B1616)"),12.0)</f>
        <v>12</v>
      </c>
      <c r="F1616" s="6">
        <f t="shared" si="1"/>
        <v>51</v>
      </c>
      <c r="G1616" s="6" t="str">
        <f>IF(MINIFS(dynamic[orderDate], dynamic[customerID], B1616) &gt;= DATE(2024,4,30)-120, 
     "New", 
     IF(MAXIFS(dynamic[orderCount], dynamic[customerID], B1616)&lt;=2, 
        IF((DATE(2024,4,30) - MAXIFS(dynamic[orderDate], dynamic[customerID], B1616)) &gt; 180, "Non-Returning", "Dormant"), 
        IF(AND(MAX(dynamic[sinceLastOrder]) &gt; 365, (DATE(2024,4,30) - MAXIFS(dynamic[orderDate], dynamic[customerID], B1616)) &gt; 180), 
           "Dormant", "Regular")))</f>
        <v>Regular</v>
      </c>
      <c r="H1616" s="6">
        <v>11.0</v>
      </c>
      <c r="I1616" s="9" t="str">
        <f>VLOOKUP(dynamic[productID],products[],2,FALSE)</f>
        <v>Queso Cabrales</v>
      </c>
      <c r="J1616" s="9" t="str">
        <f>VLOOKUP(dynamic[productID],products[],12,FALSE)</f>
        <v>Dairy Products</v>
      </c>
      <c r="K1616" s="7" t="str">
        <f>IF(VLOOKUP(dynamic[productID],products[],7,FALSE)=1,"Discontinued","Current")</f>
        <v>Current</v>
      </c>
      <c r="L1616" s="9">
        <f>VLOOKUP(dynamic[productID],products[],IF(YEAR(dynamic[orderDate])=2022,8,IF(YEAR(dynamic[orderDate])=2023,9,IF(YEAR(dynamic[orderDate])=2024,10,NA))),FALSE)</f>
        <v>13.86836261</v>
      </c>
      <c r="M1616" s="9">
        <v>21.0</v>
      </c>
      <c r="N1616" s="25">
        <f>(dynamic[orderPrice]-dynamic[productCost])/dynamic[productCost]</f>
        <v>0.51423788</v>
      </c>
      <c r="O1616" s="10">
        <v>25.0</v>
      </c>
      <c r="P1616" s="25">
        <v>0.0</v>
      </c>
      <c r="Q1616" s="9">
        <f>dynamic[orderPrice]*dynamic[orderQuantity]</f>
        <v>525</v>
      </c>
      <c r="R1616" s="9">
        <f>dynamic[orderTotal]*(1-dynamic[discountApllied])</f>
        <v>525</v>
      </c>
      <c r="S1616" s="9">
        <f>dynamic[revenue]-(dynamic[productCost]*dynamic[orderQuantity])</f>
        <v>178.2909347</v>
      </c>
      <c r="T1616" s="25">
        <f>IFERROR(dynamic[profit]/dynamic[revenue], 0)</f>
        <v>0.3396017804</v>
      </c>
    </row>
    <row r="1617" ht="15.75" customHeight="1">
      <c r="A1617" s="6">
        <v>10862.0</v>
      </c>
      <c r="B1617" s="7" t="s">
        <v>41</v>
      </c>
      <c r="C1617" s="24" t="str">
        <f>VLOOKUP(dynamic[customerID],customers[],2,FALSE)</f>
        <v>Lehmanns Marktstand</v>
      </c>
      <c r="D1617" s="24">
        <v>45321.0</v>
      </c>
      <c r="E1617" s="6">
        <f>IFERROR(__xludf.DUMMYFUNCTION("COUNTUNIQUEIFS($A$2:$A1617,$B$2:$B1617,B1617)"),12.0)</f>
        <v>12</v>
      </c>
      <c r="F1617" s="6">
        <f t="shared" si="1"/>
        <v>51</v>
      </c>
      <c r="G1617" s="6" t="str">
        <f>IF(MINIFS(dynamic[orderDate], dynamic[customerID], B1617) &gt;= DATE(2024,4,30)-120, 
     "New", 
     IF(MAXIFS(dynamic[orderCount], dynamic[customerID], B1617)&lt;=2, 
        IF((DATE(2024,4,30) - MAXIFS(dynamic[orderDate], dynamic[customerID], B1617)) &gt; 180, "Non-Returning", "Dormant"), 
        IF(AND(MAX(dynamic[sinceLastOrder]) &gt; 365, (DATE(2024,4,30) - MAXIFS(dynamic[orderDate], dynamic[customerID], B1617)) &gt; 180), 
           "Dormant", "Regular")))</f>
        <v>Regular</v>
      </c>
      <c r="H1617" s="6">
        <v>52.0</v>
      </c>
      <c r="I1617" s="9" t="str">
        <f>VLOOKUP(dynamic[productID],products[],2,FALSE)</f>
        <v>Filo Mix</v>
      </c>
      <c r="J1617" s="9" t="str">
        <f>VLOOKUP(dynamic[productID],products[],12,FALSE)</f>
        <v>Grains/Cereals</v>
      </c>
      <c r="K1617" s="7" t="str">
        <f>IF(VLOOKUP(dynamic[productID],products[],7,FALSE)=1,"Discontinued","Current")</f>
        <v>Current</v>
      </c>
      <c r="L1617" s="9">
        <f>VLOOKUP(dynamic[productID],products[],IF(YEAR(dynamic[orderDate])=2022,8,IF(YEAR(dynamic[orderDate])=2023,9,IF(YEAR(dynamic[orderDate])=2024,10,NA))),FALSE)</f>
        <v>5.222223442</v>
      </c>
      <c r="M1617" s="9">
        <v>7.0</v>
      </c>
      <c r="N1617" s="25">
        <f>(dynamic[orderPrice]-dynamic[productCost])/dynamic[productCost]</f>
        <v>0.3404252188</v>
      </c>
      <c r="O1617" s="10">
        <v>8.0</v>
      </c>
      <c r="P1617" s="25">
        <v>0.0</v>
      </c>
      <c r="Q1617" s="9">
        <f>dynamic[orderPrice]*dynamic[orderQuantity]</f>
        <v>56</v>
      </c>
      <c r="R1617" s="9">
        <f>dynamic[orderTotal]*(1-dynamic[discountApllied])</f>
        <v>56</v>
      </c>
      <c r="S1617" s="9">
        <f>dynamic[revenue]-(dynamic[productCost]*dynamic[orderQuantity])</f>
        <v>14.22221246</v>
      </c>
      <c r="T1617" s="25">
        <f>IFERROR(dynamic[profit]/dynamic[revenue], 0)</f>
        <v>0.2539680797</v>
      </c>
    </row>
    <row r="1618" ht="15.75" customHeight="1">
      <c r="A1618" s="6">
        <v>10863.0</v>
      </c>
      <c r="B1618" s="7" t="s">
        <v>23</v>
      </c>
      <c r="C1618" s="24" t="str">
        <f>VLOOKUP(dynamic[customerID],customers[],2,FALSE)</f>
        <v>HILARION-Abastos</v>
      </c>
      <c r="D1618" s="24">
        <v>45324.0</v>
      </c>
      <c r="E1618" s="6">
        <f>IFERROR(__xludf.DUMMYFUNCTION("COUNTUNIQUEIFS($A$2:$A1618,$B$2:$B1618,B1618)"),13.0)</f>
        <v>13</v>
      </c>
      <c r="F1618" s="6">
        <f t="shared" si="1"/>
        <v>39</v>
      </c>
      <c r="G1618" s="6" t="str">
        <f>IF(MINIFS(dynamic[orderDate], dynamic[customerID], B1618) &gt;= DATE(2024,4,30)-120, 
     "New", 
     IF(MAXIFS(dynamic[orderCount], dynamic[customerID], B1618)&lt;=2, 
        IF((DATE(2024,4,30) - MAXIFS(dynamic[orderDate], dynamic[customerID], B1618)) &gt; 180, "Non-Returning", "Dormant"), 
        IF(AND(MAX(dynamic[sinceLastOrder]) &gt; 365, (DATE(2024,4,30) - MAXIFS(dynamic[orderDate], dynamic[customerID], B1618)) &gt; 180), 
           "Dormant", "Regular")))</f>
        <v>Regular</v>
      </c>
      <c r="H1618" s="6">
        <v>1.0</v>
      </c>
      <c r="I1618" s="9" t="str">
        <f>VLOOKUP(dynamic[productID],products[],2,FALSE)</f>
        <v>Chai</v>
      </c>
      <c r="J1618" s="9" t="str">
        <f>VLOOKUP(dynamic[productID],products[],12,FALSE)</f>
        <v>Beverages</v>
      </c>
      <c r="K1618" s="7" t="str">
        <f>IF(VLOOKUP(dynamic[productID],products[],7,FALSE)=1,"Discontinued","Current")</f>
        <v>Current</v>
      </c>
      <c r="L1618" s="9">
        <f>VLOOKUP(dynamic[productID],products[],IF(YEAR(dynamic[orderDate])=2022,8,IF(YEAR(dynamic[orderDate])=2023,9,IF(YEAR(dynamic[orderDate])=2024,10,NA))),FALSE)</f>
        <v>12.17757454</v>
      </c>
      <c r="M1618" s="9">
        <v>18.0</v>
      </c>
      <c r="N1618" s="25">
        <f>(dynamic[orderPrice]-dynamic[productCost])/dynamic[productCost]</f>
        <v>0.4781268584</v>
      </c>
      <c r="O1618" s="10">
        <v>20.0</v>
      </c>
      <c r="P1618" s="25">
        <v>0.15</v>
      </c>
      <c r="Q1618" s="9">
        <f>dynamic[orderPrice]*dynamic[orderQuantity]</f>
        <v>360</v>
      </c>
      <c r="R1618" s="9">
        <f>dynamic[orderTotal]*(1-dynamic[discountApllied])</f>
        <v>306</v>
      </c>
      <c r="S1618" s="9">
        <f>dynamic[revenue]-(dynamic[productCost]*dynamic[orderQuantity])</f>
        <v>62.44850916</v>
      </c>
      <c r="T1618" s="25">
        <f>IFERROR(dynamic[profit]/dynamic[revenue], 0)</f>
        <v>0.2040800953</v>
      </c>
    </row>
    <row r="1619" ht="15.75" customHeight="1">
      <c r="A1619" s="6">
        <v>10863.0</v>
      </c>
      <c r="B1619" s="7" t="s">
        <v>23</v>
      </c>
      <c r="C1619" s="24" t="str">
        <f>VLOOKUP(dynamic[customerID],customers[],2,FALSE)</f>
        <v>HILARION-Abastos</v>
      </c>
      <c r="D1619" s="24">
        <v>45324.0</v>
      </c>
      <c r="E1619" s="6">
        <f>IFERROR(__xludf.DUMMYFUNCTION("COUNTUNIQUEIFS($A$2:$A1619,$B$2:$B1619,B1619)"),13.0)</f>
        <v>13</v>
      </c>
      <c r="F1619" s="6">
        <f t="shared" si="1"/>
        <v>39</v>
      </c>
      <c r="G1619" s="6" t="str">
        <f>IF(MINIFS(dynamic[orderDate], dynamic[customerID], B1619) &gt;= DATE(2024,4,30)-120, 
     "New", 
     IF(MAXIFS(dynamic[orderCount], dynamic[customerID], B1619)&lt;=2, 
        IF((DATE(2024,4,30) - MAXIFS(dynamic[orderDate], dynamic[customerID], B1619)) &gt; 180, "Non-Returning", "Dormant"), 
        IF(AND(MAX(dynamic[sinceLastOrder]) &gt; 365, (DATE(2024,4,30) - MAXIFS(dynamic[orderDate], dynamic[customerID], B1619)) &gt; 180), 
           "Dormant", "Regular")))</f>
        <v>Regular</v>
      </c>
      <c r="H1619" s="6">
        <v>58.0</v>
      </c>
      <c r="I1619" s="9" t="str">
        <f>VLOOKUP(dynamic[productID],products[],2,FALSE)</f>
        <v>Escargots de Bourgogne</v>
      </c>
      <c r="J1619" s="9" t="str">
        <f>VLOOKUP(dynamic[productID],products[],12,FALSE)</f>
        <v>Seafood</v>
      </c>
      <c r="K1619" s="7" t="str">
        <f>IF(VLOOKUP(dynamic[productID],products[],7,FALSE)=1,"Discontinued","Current")</f>
        <v>Current</v>
      </c>
      <c r="L1619" s="9">
        <f>VLOOKUP(dynamic[productID],products[],IF(YEAR(dynamic[orderDate])=2022,8,IF(YEAR(dynamic[orderDate])=2023,9,IF(YEAR(dynamic[orderDate])=2024,10,NA))),FALSE)</f>
        <v>8.683102193</v>
      </c>
      <c r="M1619" s="9">
        <v>13.25</v>
      </c>
      <c r="N1619" s="25">
        <f>(dynamic[orderPrice]-dynamic[productCost])/dynamic[productCost]</f>
        <v>0.5259523274</v>
      </c>
      <c r="O1619" s="10">
        <v>12.0</v>
      </c>
      <c r="P1619" s="25">
        <v>0.15</v>
      </c>
      <c r="Q1619" s="9">
        <f>dynamic[orderPrice]*dynamic[orderQuantity]</f>
        <v>159</v>
      </c>
      <c r="R1619" s="9">
        <f>dynamic[orderTotal]*(1-dynamic[discountApllied])</f>
        <v>135.15</v>
      </c>
      <c r="S1619" s="9">
        <f>dynamic[revenue]-(dynamic[productCost]*dynamic[orderQuantity])</f>
        <v>30.95277369</v>
      </c>
      <c r="T1619" s="25">
        <f>IFERROR(dynamic[profit]/dynamic[revenue], 0)</f>
        <v>0.2290253325</v>
      </c>
    </row>
    <row r="1620" ht="15.75" customHeight="1">
      <c r="A1620" s="6">
        <v>10864.0</v>
      </c>
      <c r="B1620" s="7" t="s">
        <v>70</v>
      </c>
      <c r="C1620" s="24" t="str">
        <f>VLOOKUP(dynamic[customerID],customers[],2,FALSE)</f>
        <v>Around the Horn</v>
      </c>
      <c r="D1620" s="24">
        <v>45324.0</v>
      </c>
      <c r="E1620" s="6">
        <f>IFERROR(__xludf.DUMMYFUNCTION("COUNTUNIQUEIFS($A$2:$A1620,$B$2:$B1620,B1620)"),10.0)</f>
        <v>10</v>
      </c>
      <c r="F1620" s="6">
        <f t="shared" si="1"/>
        <v>40</v>
      </c>
      <c r="G1620" s="6" t="str">
        <f>IF(MINIFS(dynamic[orderDate], dynamic[customerID], B1620) &gt;= DATE(2024,4,30)-120, 
     "New", 
     IF(MAXIFS(dynamic[orderCount], dynamic[customerID], B1620)&lt;=2, 
        IF((DATE(2024,4,30) - MAXIFS(dynamic[orderDate], dynamic[customerID], B1620)) &gt; 180, "Non-Returning", "Dormant"), 
        IF(AND(MAX(dynamic[sinceLastOrder]) &gt; 365, (DATE(2024,4,30) - MAXIFS(dynamic[orderDate], dynamic[customerID], B1620)) &gt; 180), 
           "Dormant", "Regular")))</f>
        <v>Regular</v>
      </c>
      <c r="H1620" s="6">
        <v>35.0</v>
      </c>
      <c r="I1620" s="9" t="str">
        <f>VLOOKUP(dynamic[productID],products[],2,FALSE)</f>
        <v>Cold Brew Nitro</v>
      </c>
      <c r="J1620" s="9" t="str">
        <f>VLOOKUP(dynamic[productID],products[],12,FALSE)</f>
        <v>Beverages</v>
      </c>
      <c r="K1620" s="7" t="str">
        <f>IF(VLOOKUP(dynamic[productID],products[],7,FALSE)=1,"Discontinued","Current")</f>
        <v>Current</v>
      </c>
      <c r="L1620" s="9">
        <f>VLOOKUP(dynamic[productID],products[],IF(YEAR(dynamic[orderDate])=2022,8,IF(YEAR(dynamic[orderDate])=2023,9,IF(YEAR(dynamic[orderDate])=2024,10,NA))),FALSE)</f>
        <v>12.9261692</v>
      </c>
      <c r="M1620" s="9">
        <v>18.0</v>
      </c>
      <c r="N1620" s="25">
        <f>(dynamic[orderPrice]-dynamic[productCost])/dynamic[productCost]</f>
        <v>0.3925239355</v>
      </c>
      <c r="O1620" s="10">
        <v>4.0</v>
      </c>
      <c r="P1620" s="25">
        <v>0.0</v>
      </c>
      <c r="Q1620" s="9">
        <f>dynamic[orderPrice]*dynamic[orderQuantity]</f>
        <v>72</v>
      </c>
      <c r="R1620" s="9">
        <f>dynamic[orderTotal]*(1-dynamic[discountApllied])</f>
        <v>72</v>
      </c>
      <c r="S1620" s="9">
        <f>dynamic[revenue]-(dynamic[productCost]*dynamic[orderQuantity])</f>
        <v>20.29532322</v>
      </c>
      <c r="T1620" s="25">
        <f>IFERROR(dynamic[profit]/dynamic[revenue], 0)</f>
        <v>0.2818794891</v>
      </c>
    </row>
    <row r="1621" ht="15.75" customHeight="1">
      <c r="A1621" s="6">
        <v>10864.0</v>
      </c>
      <c r="B1621" s="7" t="s">
        <v>70</v>
      </c>
      <c r="C1621" s="24" t="str">
        <f>VLOOKUP(dynamic[customerID],customers[],2,FALSE)</f>
        <v>Around the Horn</v>
      </c>
      <c r="D1621" s="24">
        <v>45324.0</v>
      </c>
      <c r="E1621" s="6">
        <f>IFERROR(__xludf.DUMMYFUNCTION("COUNTUNIQUEIFS($A$2:$A1621,$B$2:$B1621,B1621)"),10.0)</f>
        <v>10</v>
      </c>
      <c r="F1621" s="6">
        <f t="shared" si="1"/>
        <v>40</v>
      </c>
      <c r="G1621" s="6" t="str">
        <f>IF(MINIFS(dynamic[orderDate], dynamic[customerID], B1621) &gt;= DATE(2024,4,30)-120, 
     "New", 
     IF(MAXIFS(dynamic[orderCount], dynamic[customerID], B1621)&lt;=2, 
        IF((DATE(2024,4,30) - MAXIFS(dynamic[orderDate], dynamic[customerID], B1621)) &gt; 180, "Non-Returning", "Dormant"), 
        IF(AND(MAX(dynamic[sinceLastOrder]) &gt; 365, (DATE(2024,4,30) - MAXIFS(dynamic[orderDate], dynamic[customerID], B1621)) &gt; 180), 
           "Dormant", "Regular")))</f>
        <v>Regular</v>
      </c>
      <c r="H1621" s="6">
        <v>67.0</v>
      </c>
      <c r="I1621" s="9" t="str">
        <f>VLOOKUP(dynamic[productID],products[],2,FALSE)</f>
        <v>Laughing Lumberjack Lager</v>
      </c>
      <c r="J1621" s="9" t="str">
        <f>VLOOKUP(dynamic[productID],products[],12,FALSE)</f>
        <v>Beverages</v>
      </c>
      <c r="K1621" s="7" t="str">
        <f>IF(VLOOKUP(dynamic[productID],products[],7,FALSE)=1,"Discontinued","Current")</f>
        <v>Current</v>
      </c>
      <c r="L1621" s="9">
        <f>VLOOKUP(dynamic[productID],products[],IF(YEAR(dynamic[orderDate])=2022,8,IF(YEAR(dynamic[orderDate])=2023,9,IF(YEAR(dynamic[orderDate])=2024,10,NA))),FALSE)</f>
        <v>9.443192754</v>
      </c>
      <c r="M1621" s="9">
        <v>14.0</v>
      </c>
      <c r="N1621" s="25">
        <f>(dynamic[orderPrice]-dynamic[productCost])/dynamic[productCost]</f>
        <v>0.4825494263</v>
      </c>
      <c r="O1621" s="10">
        <v>15.0</v>
      </c>
      <c r="P1621" s="25">
        <v>0.0</v>
      </c>
      <c r="Q1621" s="9">
        <f>dynamic[orderPrice]*dynamic[orderQuantity]</f>
        <v>210</v>
      </c>
      <c r="R1621" s="9">
        <f>dynamic[orderTotal]*(1-dynamic[discountApllied])</f>
        <v>210</v>
      </c>
      <c r="S1621" s="9">
        <f>dynamic[revenue]-(dynamic[productCost]*dynamic[orderQuantity])</f>
        <v>68.35210869</v>
      </c>
      <c r="T1621" s="25">
        <f>IFERROR(dynamic[profit]/dynamic[revenue], 0)</f>
        <v>0.3254862318</v>
      </c>
    </row>
    <row r="1622" ht="15.75" customHeight="1">
      <c r="A1622" s="6">
        <v>10865.0</v>
      </c>
      <c r="B1622" s="7" t="s">
        <v>36</v>
      </c>
      <c r="C1622" s="24" t="str">
        <f>VLOOKUP(dynamic[customerID],customers[],2,FALSE)</f>
        <v>QUICK-Stop</v>
      </c>
      <c r="D1622" s="24">
        <v>45324.0</v>
      </c>
      <c r="E1622" s="6">
        <f>IFERROR(__xludf.DUMMYFUNCTION("COUNTUNIQUEIFS($A$2:$A1622,$B$2:$B1622,B1622)"),22.0)</f>
        <v>22</v>
      </c>
      <c r="F1622" s="6">
        <f t="shared" si="1"/>
        <v>12</v>
      </c>
      <c r="G1622" s="6" t="str">
        <f>IF(MINIFS(dynamic[orderDate], dynamic[customerID], B1622) &gt;= DATE(2024,4,30)-120, 
     "New", 
     IF(MAXIFS(dynamic[orderCount], dynamic[customerID], B1622)&lt;=2, 
        IF((DATE(2024,4,30) - MAXIFS(dynamic[orderDate], dynamic[customerID], B1622)) &gt; 180, "Non-Returning", "Dormant"), 
        IF(AND(MAX(dynamic[sinceLastOrder]) &gt; 365, (DATE(2024,4,30) - MAXIFS(dynamic[orderDate], dynamic[customerID], B1622)) &gt; 180), 
           "Dormant", "Regular")))</f>
        <v>Regular</v>
      </c>
      <c r="H1622" s="6">
        <v>38.0</v>
      </c>
      <c r="I1622" s="9" t="str">
        <f>VLOOKUP(dynamic[productID],products[],2,FALSE)</f>
        <v>Côte de Blaye</v>
      </c>
      <c r="J1622" s="9" t="str">
        <f>VLOOKUP(dynamic[productID],products[],12,FALSE)</f>
        <v>Beverages</v>
      </c>
      <c r="K1622" s="7" t="str">
        <f>IF(VLOOKUP(dynamic[productID],products[],7,FALSE)=1,"Discontinued","Current")</f>
        <v>Current</v>
      </c>
      <c r="L1622" s="9">
        <f>VLOOKUP(dynamic[productID],products[],IF(YEAR(dynamic[orderDate])=2022,8,IF(YEAR(dynamic[orderDate])=2023,9,IF(YEAR(dynamic[orderDate])=2024,10,NA))),FALSE)</f>
        <v>192.1798413</v>
      </c>
      <c r="M1622" s="9">
        <v>263.5</v>
      </c>
      <c r="N1622" s="25">
        <f>(dynamic[orderPrice]-dynamic[productCost])/dynamic[productCost]</f>
        <v>0.3711115493</v>
      </c>
      <c r="O1622" s="10">
        <v>60.0</v>
      </c>
      <c r="P1622" s="25">
        <v>0.05</v>
      </c>
      <c r="Q1622" s="9">
        <f>dynamic[orderPrice]*dynamic[orderQuantity]</f>
        <v>15810</v>
      </c>
      <c r="R1622" s="9">
        <f>dynamic[orderTotal]*(1-dynamic[discountApllied])</f>
        <v>15019.5</v>
      </c>
      <c r="S1622" s="9">
        <f>dynamic[revenue]-(dynamic[productCost]*dynamic[orderQuantity])</f>
        <v>3488.70952</v>
      </c>
      <c r="T1622" s="25">
        <f>IFERROR(dynamic[profit]/dynamic[revenue], 0)</f>
        <v>0.2322786724</v>
      </c>
    </row>
    <row r="1623" ht="15.75" customHeight="1">
      <c r="A1623" s="6">
        <v>10865.0</v>
      </c>
      <c r="B1623" s="7" t="s">
        <v>36</v>
      </c>
      <c r="C1623" s="24" t="str">
        <f>VLOOKUP(dynamic[customerID],customers[],2,FALSE)</f>
        <v>QUICK-Stop</v>
      </c>
      <c r="D1623" s="24">
        <v>45324.0</v>
      </c>
      <c r="E1623" s="6">
        <f>IFERROR(__xludf.DUMMYFUNCTION("COUNTUNIQUEIFS($A$2:$A1623,$B$2:$B1623,B1623)"),22.0)</f>
        <v>22</v>
      </c>
      <c r="F1623" s="6">
        <f t="shared" si="1"/>
        <v>12</v>
      </c>
      <c r="G1623" s="6" t="str">
        <f>IF(MINIFS(dynamic[orderDate], dynamic[customerID], B1623) &gt;= DATE(2024,4,30)-120, 
     "New", 
     IF(MAXIFS(dynamic[orderCount], dynamic[customerID], B1623)&lt;=2, 
        IF((DATE(2024,4,30) - MAXIFS(dynamic[orderDate], dynamic[customerID], B1623)) &gt; 180, "Non-Returning", "Dormant"), 
        IF(AND(MAX(dynamic[sinceLastOrder]) &gt; 365, (DATE(2024,4,30) - MAXIFS(dynamic[orderDate], dynamic[customerID], B1623)) &gt; 180), 
           "Dormant", "Regular")))</f>
        <v>Regular</v>
      </c>
      <c r="H1623" s="6">
        <v>39.0</v>
      </c>
      <c r="I1623" s="9" t="str">
        <f>VLOOKUP(dynamic[productID],products[],2,FALSE)</f>
        <v>Chartreuse verte</v>
      </c>
      <c r="J1623" s="9" t="str">
        <f>VLOOKUP(dynamic[productID],products[],12,FALSE)</f>
        <v>Beverages</v>
      </c>
      <c r="K1623" s="7" t="str">
        <f>IF(VLOOKUP(dynamic[productID],products[],7,FALSE)=1,"Discontinued","Current")</f>
        <v>Current</v>
      </c>
      <c r="L1623" s="9">
        <f>VLOOKUP(dynamic[productID],products[],IF(YEAR(dynamic[orderDate])=2022,8,IF(YEAR(dynamic[orderDate])=2023,9,IF(YEAR(dynamic[orderDate])=2024,10,NA))),FALSE)</f>
        <v>12.3017224</v>
      </c>
      <c r="M1623" s="9">
        <v>18.0</v>
      </c>
      <c r="N1623" s="25">
        <f>(dynamic[orderPrice]-dynamic[productCost])/dynamic[productCost]</f>
        <v>0.4632097374</v>
      </c>
      <c r="O1623" s="10">
        <v>80.0</v>
      </c>
      <c r="P1623" s="25">
        <v>0.05</v>
      </c>
      <c r="Q1623" s="9">
        <f>dynamic[orderPrice]*dynamic[orderQuantity]</f>
        <v>1440</v>
      </c>
      <c r="R1623" s="9">
        <f>dynamic[orderTotal]*(1-dynamic[discountApllied])</f>
        <v>1368</v>
      </c>
      <c r="S1623" s="9">
        <f>dynamic[revenue]-(dynamic[productCost]*dynamic[orderQuantity])</f>
        <v>383.8622081</v>
      </c>
      <c r="T1623" s="25">
        <f>IFERROR(dynamic[profit]/dynamic[revenue], 0)</f>
        <v>0.2806010293</v>
      </c>
    </row>
    <row r="1624" ht="15.75" customHeight="1">
      <c r="A1624" s="6">
        <v>10866.0</v>
      </c>
      <c r="B1624" s="7" t="s">
        <v>40</v>
      </c>
      <c r="C1624" s="24" t="str">
        <f>VLOOKUP(dynamic[customerID],customers[],2,FALSE)</f>
        <v>Berglunds snabbköp</v>
      </c>
      <c r="D1624" s="24">
        <v>45325.0</v>
      </c>
      <c r="E1624" s="6">
        <f>IFERROR(__xludf.DUMMYFUNCTION("COUNTUNIQUEIFS($A$2:$A1624,$B$2:$B1624,B1624)"),16.0)</f>
        <v>16</v>
      </c>
      <c r="F1624" s="6">
        <f t="shared" si="1"/>
        <v>6</v>
      </c>
      <c r="G1624" s="6" t="str">
        <f>IF(MINIFS(dynamic[orderDate], dynamic[customerID], B1624) &gt;= DATE(2024,4,30)-120, 
     "New", 
     IF(MAXIFS(dynamic[orderCount], dynamic[customerID], B1624)&lt;=2, 
        IF((DATE(2024,4,30) - MAXIFS(dynamic[orderDate], dynamic[customerID], B1624)) &gt; 180, "Non-Returning", "Dormant"), 
        IF(AND(MAX(dynamic[sinceLastOrder]) &gt; 365, (DATE(2024,4,30) - MAXIFS(dynamic[orderDate], dynamic[customerID], B1624)) &gt; 180), 
           "Dormant", "Regular")))</f>
        <v>Regular</v>
      </c>
      <c r="H1624" s="6">
        <v>2.0</v>
      </c>
      <c r="I1624" s="9" t="str">
        <f>VLOOKUP(dynamic[productID],products[],2,FALSE)</f>
        <v>Chang</v>
      </c>
      <c r="J1624" s="9" t="str">
        <f>VLOOKUP(dynamic[productID],products[],12,FALSE)</f>
        <v>Beverages</v>
      </c>
      <c r="K1624" s="7" t="str">
        <f>IF(VLOOKUP(dynamic[productID],products[],7,FALSE)=1,"Discontinued","Current")</f>
        <v>Current</v>
      </c>
      <c r="L1624" s="9">
        <f>VLOOKUP(dynamic[productID],products[],IF(YEAR(dynamic[orderDate])=2022,8,IF(YEAR(dynamic[orderDate])=2023,9,IF(YEAR(dynamic[orderDate])=2024,10,NA))),FALSE)</f>
        <v>11.93843713</v>
      </c>
      <c r="M1624" s="9">
        <v>19.0</v>
      </c>
      <c r="N1624" s="25">
        <f>(dynamic[orderPrice]-dynamic[productCost])/dynamic[productCost]</f>
        <v>0.591498099</v>
      </c>
      <c r="O1624" s="10">
        <v>21.0</v>
      </c>
      <c r="P1624" s="25">
        <v>0.25</v>
      </c>
      <c r="Q1624" s="9">
        <f>dynamic[orderPrice]*dynamic[orderQuantity]</f>
        <v>399</v>
      </c>
      <c r="R1624" s="9">
        <f>dynamic[orderTotal]*(1-dynamic[discountApllied])</f>
        <v>299.25</v>
      </c>
      <c r="S1624" s="9">
        <f>dynamic[revenue]-(dynamic[productCost]*dynamic[orderQuantity])</f>
        <v>48.54282023</v>
      </c>
      <c r="T1624" s="25">
        <f>IFERROR(dynamic[profit]/dynamic[revenue], 0)</f>
        <v>0.1622149381</v>
      </c>
    </row>
    <row r="1625" ht="15.75" customHeight="1">
      <c r="A1625" s="6">
        <v>10866.0</v>
      </c>
      <c r="B1625" s="7" t="s">
        <v>40</v>
      </c>
      <c r="C1625" s="24" t="str">
        <f>VLOOKUP(dynamic[customerID],customers[],2,FALSE)</f>
        <v>Berglunds snabbköp</v>
      </c>
      <c r="D1625" s="24">
        <v>45325.0</v>
      </c>
      <c r="E1625" s="6">
        <f>IFERROR(__xludf.DUMMYFUNCTION("COUNTUNIQUEIFS($A$2:$A1625,$B$2:$B1625,B1625)"),16.0)</f>
        <v>16</v>
      </c>
      <c r="F1625" s="6">
        <f t="shared" si="1"/>
        <v>6</v>
      </c>
      <c r="G1625" s="6" t="str">
        <f>IF(MINIFS(dynamic[orderDate], dynamic[customerID], B1625) &gt;= DATE(2024,4,30)-120, 
     "New", 
     IF(MAXIFS(dynamic[orderCount], dynamic[customerID], B1625)&lt;=2, 
        IF((DATE(2024,4,30) - MAXIFS(dynamic[orderDate], dynamic[customerID], B1625)) &gt; 180, "Non-Returning", "Dormant"), 
        IF(AND(MAX(dynamic[sinceLastOrder]) &gt; 365, (DATE(2024,4,30) - MAXIFS(dynamic[orderDate], dynamic[customerID], B1625)) &gt; 180), 
           "Dormant", "Regular")))</f>
        <v>Regular</v>
      </c>
      <c r="H1625" s="6">
        <v>24.0</v>
      </c>
      <c r="I1625" s="9" t="str">
        <f>VLOOKUP(dynamic[productID],products[],2,FALSE)</f>
        <v>Brigadeiros Maravilhosos da Lilian</v>
      </c>
      <c r="J1625" s="9" t="str">
        <f>VLOOKUP(dynamic[productID],products[],12,FALSE)</f>
        <v>Confections</v>
      </c>
      <c r="K1625" s="7" t="str">
        <f>IF(VLOOKUP(dynamic[productID],products[],7,FALSE)=1,"Discontinued","Current")</f>
        <v>Discontinued</v>
      </c>
      <c r="L1625" s="9">
        <f>VLOOKUP(dynamic[productID],products[],IF(YEAR(dynamic[orderDate])=2022,8,IF(YEAR(dynamic[orderDate])=2023,9,IF(YEAR(dynamic[orderDate])=2024,10,NA))),FALSE)</f>
        <v>3.177326315</v>
      </c>
      <c r="M1625" s="9">
        <v>4.5</v>
      </c>
      <c r="N1625" s="25">
        <f>(dynamic[orderPrice]-dynamic[productCost])/dynamic[productCost]</f>
        <v>0.416285126</v>
      </c>
      <c r="O1625" s="10">
        <v>6.0</v>
      </c>
      <c r="P1625" s="25">
        <v>0.25</v>
      </c>
      <c r="Q1625" s="9">
        <f>dynamic[orderPrice]*dynamic[orderQuantity]</f>
        <v>27</v>
      </c>
      <c r="R1625" s="9">
        <f>dynamic[orderTotal]*(1-dynamic[discountApllied])</f>
        <v>20.25</v>
      </c>
      <c r="S1625" s="9">
        <f>dynamic[revenue]-(dynamic[productCost]*dynamic[orderQuantity])</f>
        <v>1.186042112</v>
      </c>
      <c r="T1625" s="25">
        <f>IFERROR(dynamic[profit]/dynamic[revenue], 0)</f>
        <v>0.05856998083</v>
      </c>
    </row>
    <row r="1626" ht="15.75" customHeight="1">
      <c r="A1626" s="6">
        <v>10866.0</v>
      </c>
      <c r="B1626" s="7" t="s">
        <v>40</v>
      </c>
      <c r="C1626" s="24" t="str">
        <f>VLOOKUP(dynamic[customerID],customers[],2,FALSE)</f>
        <v>Berglunds snabbköp</v>
      </c>
      <c r="D1626" s="24">
        <v>45325.0</v>
      </c>
      <c r="E1626" s="6">
        <f>IFERROR(__xludf.DUMMYFUNCTION("COUNTUNIQUEIFS($A$2:$A1626,$B$2:$B1626,B1626)"),16.0)</f>
        <v>16</v>
      </c>
      <c r="F1626" s="6">
        <f t="shared" si="1"/>
        <v>6</v>
      </c>
      <c r="G1626" s="6" t="str">
        <f>IF(MINIFS(dynamic[orderDate], dynamic[customerID], B1626) &gt;= DATE(2024,4,30)-120, 
     "New", 
     IF(MAXIFS(dynamic[orderCount], dynamic[customerID], B1626)&lt;=2, 
        IF((DATE(2024,4,30) - MAXIFS(dynamic[orderDate], dynamic[customerID], B1626)) &gt; 180, "Non-Returning", "Dormant"), 
        IF(AND(MAX(dynamic[sinceLastOrder]) &gt; 365, (DATE(2024,4,30) - MAXIFS(dynamic[orderDate], dynamic[customerID], B1626)) &gt; 180), 
           "Dormant", "Regular")))</f>
        <v>Regular</v>
      </c>
      <c r="H1626" s="6">
        <v>30.0</v>
      </c>
      <c r="I1626" s="9" t="str">
        <f>VLOOKUP(dynamic[productID],products[],2,FALSE)</f>
        <v>Nord-Ost Matjeshering</v>
      </c>
      <c r="J1626" s="9" t="str">
        <f>VLOOKUP(dynamic[productID],products[],12,FALSE)</f>
        <v>Seafood</v>
      </c>
      <c r="K1626" s="7" t="str">
        <f>IF(VLOOKUP(dynamic[productID],products[],7,FALSE)=1,"Discontinued","Current")</f>
        <v>Current</v>
      </c>
      <c r="L1626" s="9">
        <f>VLOOKUP(dynamic[productID],products[],IF(YEAR(dynamic[orderDate])=2022,8,IF(YEAR(dynamic[orderDate])=2023,9,IF(YEAR(dynamic[orderDate])=2024,10,NA))),FALSE)</f>
        <v>17.0327851</v>
      </c>
      <c r="M1626" s="9">
        <v>25.89</v>
      </c>
      <c r="N1626" s="25">
        <f>(dynamic[orderPrice]-dynamic[productCost])/dynamic[productCost]</f>
        <v>0.5200097842</v>
      </c>
      <c r="O1626" s="10">
        <v>40.0</v>
      </c>
      <c r="P1626" s="25">
        <v>0.25</v>
      </c>
      <c r="Q1626" s="9">
        <f>dynamic[orderPrice]*dynamic[orderQuantity]</f>
        <v>1035.6</v>
      </c>
      <c r="R1626" s="9">
        <f>dynamic[orderTotal]*(1-dynamic[discountApllied])</f>
        <v>776.7</v>
      </c>
      <c r="S1626" s="9">
        <f>dynamic[revenue]-(dynamic[productCost]*dynamic[orderQuantity])</f>
        <v>95.38859612</v>
      </c>
      <c r="T1626" s="25">
        <f>IFERROR(dynamic[profit]/dynamic[revenue], 0)</f>
        <v>0.122812664</v>
      </c>
    </row>
    <row r="1627" ht="15.75" customHeight="1">
      <c r="A1627" s="6">
        <v>10867.0</v>
      </c>
      <c r="B1627" s="7" t="s">
        <v>53</v>
      </c>
      <c r="C1627" s="24" t="str">
        <f>VLOOKUP(dynamic[customerID],customers[],2,FALSE)</f>
        <v>Lonesome Pine Restaurant</v>
      </c>
      <c r="D1627" s="24">
        <v>45325.0</v>
      </c>
      <c r="E1627" s="6">
        <f>IFERROR(__xludf.DUMMYFUNCTION("COUNTUNIQUEIFS($A$2:$A1627,$B$2:$B1627,B1627)"),6.0)</f>
        <v>6</v>
      </c>
      <c r="F1627" s="6">
        <f t="shared" si="1"/>
        <v>145</v>
      </c>
      <c r="G1627" s="6" t="str">
        <f>IF(MINIFS(dynamic[orderDate], dynamic[customerID], B1627) &gt;= DATE(2024,4,30)-120, 
     "New", 
     IF(MAXIFS(dynamic[orderCount], dynamic[customerID], B1627)&lt;=2, 
        IF((DATE(2024,4,30) - MAXIFS(dynamic[orderDate], dynamic[customerID], B1627)) &gt; 180, "Non-Returning", "Dormant"), 
        IF(AND(MAX(dynamic[sinceLastOrder]) &gt; 365, (DATE(2024,4,30) - MAXIFS(dynamic[orderDate], dynamic[customerID], B1627)) &gt; 180), 
           "Dormant", "Regular")))</f>
        <v>Regular</v>
      </c>
      <c r="H1627" s="6">
        <v>53.0</v>
      </c>
      <c r="I1627" s="9" t="str">
        <f>VLOOKUP(dynamic[productID],products[],2,FALSE)</f>
        <v>Perth Pasties</v>
      </c>
      <c r="J1627" s="9" t="str">
        <f>VLOOKUP(dynamic[productID],products[],12,FALSE)</f>
        <v>Meat/Poultry</v>
      </c>
      <c r="K1627" s="7" t="str">
        <f>IF(VLOOKUP(dynamic[productID],products[],7,FALSE)=1,"Discontinued","Current")</f>
        <v>Discontinued</v>
      </c>
      <c r="L1627" s="9">
        <f>VLOOKUP(dynamic[productID],products[],IF(YEAR(dynamic[orderDate])=2022,8,IF(YEAR(dynamic[orderDate])=2023,9,IF(YEAR(dynamic[orderDate])=2024,10,NA))),FALSE)</f>
        <v>22.92637057</v>
      </c>
      <c r="M1627" s="9">
        <v>32.8</v>
      </c>
      <c r="N1627" s="25">
        <f>(dynamic[orderPrice]-dynamic[productCost])/dynamic[productCost]</f>
        <v>0.4306669216</v>
      </c>
      <c r="O1627" s="10">
        <v>3.0</v>
      </c>
      <c r="P1627" s="25">
        <v>0.0</v>
      </c>
      <c r="Q1627" s="9">
        <f>dynamic[orderPrice]*dynamic[orderQuantity]</f>
        <v>98.4</v>
      </c>
      <c r="R1627" s="9">
        <f>dynamic[orderTotal]*(1-dynamic[discountApllied])</f>
        <v>98.4</v>
      </c>
      <c r="S1627" s="9">
        <f>dynamic[revenue]-(dynamic[productCost]*dynamic[orderQuantity])</f>
        <v>29.6208883</v>
      </c>
      <c r="T1627" s="25">
        <f>IFERROR(dynamic[profit]/dynamic[revenue], 0)</f>
        <v>0.3010252876</v>
      </c>
    </row>
    <row r="1628" ht="15.75" customHeight="1">
      <c r="A1628" s="6">
        <v>10868.0</v>
      </c>
      <c r="B1628" s="7" t="s">
        <v>77</v>
      </c>
      <c r="C1628" s="24" t="str">
        <f>VLOOKUP(dynamic[customerID],customers[],2,FALSE)</f>
        <v>Queen Cozinha</v>
      </c>
      <c r="D1628" s="24">
        <v>45326.0</v>
      </c>
      <c r="E1628" s="6">
        <f>IFERROR(__xludf.DUMMYFUNCTION("COUNTUNIQUEIFS($A$2:$A1628,$B$2:$B1628,B1628)"),9.0)</f>
        <v>9</v>
      </c>
      <c r="F1628" s="6">
        <f t="shared" si="1"/>
        <v>47</v>
      </c>
      <c r="G1628" s="6" t="str">
        <f>IF(MINIFS(dynamic[orderDate], dynamic[customerID], B1628) &gt;= DATE(2024,4,30)-120, 
     "New", 
     IF(MAXIFS(dynamic[orderCount], dynamic[customerID], B1628)&lt;=2, 
        IF((DATE(2024,4,30) - MAXIFS(dynamic[orderDate], dynamic[customerID], B1628)) &gt; 180, "Non-Returning", "Dormant"), 
        IF(AND(MAX(dynamic[sinceLastOrder]) &gt; 365, (DATE(2024,4,30) - MAXIFS(dynamic[orderDate], dynamic[customerID], B1628)) &gt; 180), 
           "Dormant", "Regular")))</f>
        <v>Regular</v>
      </c>
      <c r="H1628" s="6">
        <v>26.0</v>
      </c>
      <c r="I1628" s="9" t="str">
        <f>VLOOKUP(dynamic[productID],products[],2,FALSE)</f>
        <v>NuNuCa Nuß-Nougat-Creme</v>
      </c>
      <c r="J1628" s="9" t="str">
        <f>VLOOKUP(dynamic[productID],products[],12,FALSE)</f>
        <v>Confections</v>
      </c>
      <c r="K1628" s="7" t="str">
        <f>IF(VLOOKUP(dynamic[productID],products[],7,FALSE)=1,"Discontinued","Current")</f>
        <v>Current</v>
      </c>
      <c r="L1628" s="9">
        <f>VLOOKUP(dynamic[productID],products[],IF(YEAR(dynamic[orderDate])=2022,8,IF(YEAR(dynamic[orderDate])=2023,9,IF(YEAR(dynamic[orderDate])=2024,10,NA))),FALSE)</f>
        <v>22.79977195</v>
      </c>
      <c r="M1628" s="9">
        <v>31.23</v>
      </c>
      <c r="N1628" s="25">
        <f>(dynamic[orderPrice]-dynamic[productCost])/dynamic[productCost]</f>
        <v>0.3697505427</v>
      </c>
      <c r="O1628" s="10">
        <v>20.0</v>
      </c>
      <c r="P1628" s="25">
        <v>0.0</v>
      </c>
      <c r="Q1628" s="9">
        <f>dynamic[orderPrice]*dynamic[orderQuantity]</f>
        <v>624.6</v>
      </c>
      <c r="R1628" s="9">
        <f>dynamic[orderTotal]*(1-dynamic[discountApllied])</f>
        <v>624.6</v>
      </c>
      <c r="S1628" s="9">
        <f>dynamic[revenue]-(dynamic[productCost]*dynamic[orderQuantity])</f>
        <v>168.604561</v>
      </c>
      <c r="T1628" s="25">
        <f>IFERROR(dynamic[profit]/dynamic[revenue], 0)</f>
        <v>0.2699400593</v>
      </c>
    </row>
    <row r="1629" ht="15.75" customHeight="1">
      <c r="A1629" s="6">
        <v>10868.0</v>
      </c>
      <c r="B1629" s="7" t="s">
        <v>77</v>
      </c>
      <c r="C1629" s="24" t="str">
        <f>VLOOKUP(dynamic[customerID],customers[],2,FALSE)</f>
        <v>Queen Cozinha</v>
      </c>
      <c r="D1629" s="24">
        <v>45326.0</v>
      </c>
      <c r="E1629" s="6">
        <f>IFERROR(__xludf.DUMMYFUNCTION("COUNTUNIQUEIFS($A$2:$A1629,$B$2:$B1629,B1629)"),9.0)</f>
        <v>9</v>
      </c>
      <c r="F1629" s="6">
        <f t="shared" si="1"/>
        <v>47</v>
      </c>
      <c r="G1629" s="6" t="str">
        <f>IF(MINIFS(dynamic[orderDate], dynamic[customerID], B1629) &gt;= DATE(2024,4,30)-120, 
     "New", 
     IF(MAXIFS(dynamic[orderCount], dynamic[customerID], B1629)&lt;=2, 
        IF((DATE(2024,4,30) - MAXIFS(dynamic[orderDate], dynamic[customerID], B1629)) &gt; 180, "Non-Returning", "Dormant"), 
        IF(AND(MAX(dynamic[sinceLastOrder]) &gt; 365, (DATE(2024,4,30) - MAXIFS(dynamic[orderDate], dynamic[customerID], B1629)) &gt; 180), 
           "Dormant", "Regular")))</f>
        <v>Regular</v>
      </c>
      <c r="H1629" s="6">
        <v>35.0</v>
      </c>
      <c r="I1629" s="9" t="str">
        <f>VLOOKUP(dynamic[productID],products[],2,FALSE)</f>
        <v>Cold Brew Nitro</v>
      </c>
      <c r="J1629" s="9" t="str">
        <f>VLOOKUP(dynamic[productID],products[],12,FALSE)</f>
        <v>Beverages</v>
      </c>
      <c r="K1629" s="7" t="str">
        <f>IF(VLOOKUP(dynamic[productID],products[],7,FALSE)=1,"Discontinued","Current")</f>
        <v>Current</v>
      </c>
      <c r="L1629" s="9">
        <f>VLOOKUP(dynamic[productID],products[],IF(YEAR(dynamic[orderDate])=2022,8,IF(YEAR(dynamic[orderDate])=2023,9,IF(YEAR(dynamic[orderDate])=2024,10,NA))),FALSE)</f>
        <v>12.9261692</v>
      </c>
      <c r="M1629" s="9">
        <v>18.0</v>
      </c>
      <c r="N1629" s="25">
        <f>(dynamic[orderPrice]-dynamic[productCost])/dynamic[productCost]</f>
        <v>0.3925239355</v>
      </c>
      <c r="O1629" s="10">
        <v>30.0</v>
      </c>
      <c r="P1629" s="25">
        <v>0.0</v>
      </c>
      <c r="Q1629" s="9">
        <f>dynamic[orderPrice]*dynamic[orderQuantity]</f>
        <v>540</v>
      </c>
      <c r="R1629" s="9">
        <f>dynamic[orderTotal]*(1-dynamic[discountApllied])</f>
        <v>540</v>
      </c>
      <c r="S1629" s="9">
        <f>dynamic[revenue]-(dynamic[productCost]*dynamic[orderQuantity])</f>
        <v>152.2149241</v>
      </c>
      <c r="T1629" s="25">
        <f>IFERROR(dynamic[profit]/dynamic[revenue], 0)</f>
        <v>0.2818794891</v>
      </c>
    </row>
    <row r="1630" ht="15.75" customHeight="1">
      <c r="A1630" s="6">
        <v>10868.0</v>
      </c>
      <c r="B1630" s="7" t="s">
        <v>77</v>
      </c>
      <c r="C1630" s="24" t="str">
        <f>VLOOKUP(dynamic[customerID],customers[],2,FALSE)</f>
        <v>Queen Cozinha</v>
      </c>
      <c r="D1630" s="24">
        <v>45326.0</v>
      </c>
      <c r="E1630" s="6">
        <f>IFERROR(__xludf.DUMMYFUNCTION("COUNTUNIQUEIFS($A$2:$A1630,$B$2:$B1630,B1630)"),9.0)</f>
        <v>9</v>
      </c>
      <c r="F1630" s="6">
        <f t="shared" si="1"/>
        <v>47</v>
      </c>
      <c r="G1630" s="6" t="str">
        <f>IF(MINIFS(dynamic[orderDate], dynamic[customerID], B1630) &gt;= DATE(2024,4,30)-120, 
     "New", 
     IF(MAXIFS(dynamic[orderCount], dynamic[customerID], B1630)&lt;=2, 
        IF((DATE(2024,4,30) - MAXIFS(dynamic[orderDate], dynamic[customerID], B1630)) &gt; 180, "Non-Returning", "Dormant"), 
        IF(AND(MAX(dynamic[sinceLastOrder]) &gt; 365, (DATE(2024,4,30) - MAXIFS(dynamic[orderDate], dynamic[customerID], B1630)) &gt; 180), 
           "Dormant", "Regular")))</f>
        <v>Regular</v>
      </c>
      <c r="H1630" s="6">
        <v>49.0</v>
      </c>
      <c r="I1630" s="9" t="str">
        <f>VLOOKUP(dynamic[productID],products[],2,FALSE)</f>
        <v>Maxilaku</v>
      </c>
      <c r="J1630" s="9" t="str">
        <f>VLOOKUP(dynamic[productID],products[],12,FALSE)</f>
        <v>Confections</v>
      </c>
      <c r="K1630" s="7" t="str">
        <f>IF(VLOOKUP(dynamic[productID],products[],7,FALSE)=1,"Discontinued","Current")</f>
        <v>Current</v>
      </c>
      <c r="L1630" s="9">
        <f>VLOOKUP(dynamic[productID],products[],IF(YEAR(dynamic[orderDate])=2022,8,IF(YEAR(dynamic[orderDate])=2023,9,IF(YEAR(dynamic[orderDate])=2024,10,NA))),FALSE)</f>
        <v>15.07459899</v>
      </c>
      <c r="M1630" s="9">
        <v>20.0</v>
      </c>
      <c r="N1630" s="25">
        <f>(dynamic[orderPrice]-dynamic[productCost])/dynamic[productCost]</f>
        <v>0.3267351269</v>
      </c>
      <c r="O1630" s="10">
        <v>42.0</v>
      </c>
      <c r="P1630" s="25">
        <v>0.1</v>
      </c>
      <c r="Q1630" s="9">
        <f>dynamic[orderPrice]*dynamic[orderQuantity]</f>
        <v>840</v>
      </c>
      <c r="R1630" s="9">
        <f>dynamic[orderTotal]*(1-dynamic[discountApllied])</f>
        <v>756</v>
      </c>
      <c r="S1630" s="9">
        <f>dynamic[revenue]-(dynamic[productCost]*dynamic[orderQuantity])</f>
        <v>122.8668426</v>
      </c>
      <c r="T1630" s="25">
        <f>IFERROR(dynamic[profit]/dynamic[revenue], 0)</f>
        <v>0.1625222785</v>
      </c>
    </row>
    <row r="1631" ht="15.75" customHeight="1">
      <c r="A1631" s="6">
        <v>10869.0</v>
      </c>
      <c r="B1631" s="7" t="s">
        <v>71</v>
      </c>
      <c r="C1631" s="24" t="str">
        <f>VLOOKUP(dynamic[customerID],customers[],2,FALSE)</f>
        <v>Seven Seas Imports</v>
      </c>
      <c r="D1631" s="24">
        <v>45326.0</v>
      </c>
      <c r="E1631" s="6">
        <f>IFERROR(__xludf.DUMMYFUNCTION("COUNTUNIQUEIFS($A$2:$A1631,$B$2:$B1631,B1631)"),9.0)</f>
        <v>9</v>
      </c>
      <c r="F1631" s="6">
        <f t="shared" si="1"/>
        <v>36</v>
      </c>
      <c r="G1631" s="6" t="str">
        <f>IF(MINIFS(dynamic[orderDate], dynamic[customerID], B1631) &gt;= DATE(2024,4,30)-120, 
     "New", 
     IF(MAXIFS(dynamic[orderCount], dynamic[customerID], B1631)&lt;=2, 
        IF((DATE(2024,4,30) - MAXIFS(dynamic[orderDate], dynamic[customerID], B1631)) &gt; 180, "Non-Returning", "Dormant"), 
        IF(AND(MAX(dynamic[sinceLastOrder]) &gt; 365, (DATE(2024,4,30) - MAXIFS(dynamic[orderDate], dynamic[customerID], B1631)) &gt; 180), 
           "Dormant", "Regular")))</f>
        <v>Regular</v>
      </c>
      <c r="H1631" s="6">
        <v>1.0</v>
      </c>
      <c r="I1631" s="9" t="str">
        <f>VLOOKUP(dynamic[productID],products[],2,FALSE)</f>
        <v>Chai</v>
      </c>
      <c r="J1631" s="9" t="str">
        <f>VLOOKUP(dynamic[productID],products[],12,FALSE)</f>
        <v>Beverages</v>
      </c>
      <c r="K1631" s="7" t="str">
        <f>IF(VLOOKUP(dynamic[productID],products[],7,FALSE)=1,"Discontinued","Current")</f>
        <v>Current</v>
      </c>
      <c r="L1631" s="9">
        <f>VLOOKUP(dynamic[productID],products[],IF(YEAR(dynamic[orderDate])=2022,8,IF(YEAR(dynamic[orderDate])=2023,9,IF(YEAR(dynamic[orderDate])=2024,10,NA))),FALSE)</f>
        <v>12.17757454</v>
      </c>
      <c r="M1631" s="9">
        <v>18.0</v>
      </c>
      <c r="N1631" s="25">
        <f>(dynamic[orderPrice]-dynamic[productCost])/dynamic[productCost]</f>
        <v>0.4781268584</v>
      </c>
      <c r="O1631" s="10">
        <v>40.0</v>
      </c>
      <c r="P1631" s="25">
        <v>0.0</v>
      </c>
      <c r="Q1631" s="9">
        <f>dynamic[orderPrice]*dynamic[orderQuantity]</f>
        <v>720</v>
      </c>
      <c r="R1631" s="9">
        <f>dynamic[orderTotal]*(1-dynamic[discountApllied])</f>
        <v>720</v>
      </c>
      <c r="S1631" s="9">
        <f>dynamic[revenue]-(dynamic[productCost]*dynamic[orderQuantity])</f>
        <v>232.8970183</v>
      </c>
      <c r="T1631" s="25">
        <f>IFERROR(dynamic[profit]/dynamic[revenue], 0)</f>
        <v>0.323468081</v>
      </c>
    </row>
    <row r="1632" ht="15.75" customHeight="1">
      <c r="A1632" s="6">
        <v>10869.0</v>
      </c>
      <c r="B1632" s="7" t="s">
        <v>71</v>
      </c>
      <c r="C1632" s="24" t="str">
        <f>VLOOKUP(dynamic[customerID],customers[],2,FALSE)</f>
        <v>Seven Seas Imports</v>
      </c>
      <c r="D1632" s="24">
        <v>45326.0</v>
      </c>
      <c r="E1632" s="6">
        <f>IFERROR(__xludf.DUMMYFUNCTION("COUNTUNIQUEIFS($A$2:$A1632,$B$2:$B1632,B1632)"),9.0)</f>
        <v>9</v>
      </c>
      <c r="F1632" s="6">
        <f t="shared" si="1"/>
        <v>36</v>
      </c>
      <c r="G1632" s="6" t="str">
        <f>IF(MINIFS(dynamic[orderDate], dynamic[customerID], B1632) &gt;= DATE(2024,4,30)-120, 
     "New", 
     IF(MAXIFS(dynamic[orderCount], dynamic[customerID], B1632)&lt;=2, 
        IF((DATE(2024,4,30) - MAXIFS(dynamic[orderDate], dynamic[customerID], B1632)) &gt; 180, "Non-Returning", "Dormant"), 
        IF(AND(MAX(dynamic[sinceLastOrder]) &gt; 365, (DATE(2024,4,30) - MAXIFS(dynamic[orderDate], dynamic[customerID], B1632)) &gt; 180), 
           "Dormant", "Regular")))</f>
        <v>Regular</v>
      </c>
      <c r="H1632" s="6">
        <v>11.0</v>
      </c>
      <c r="I1632" s="9" t="str">
        <f>VLOOKUP(dynamic[productID],products[],2,FALSE)</f>
        <v>Queso Cabrales</v>
      </c>
      <c r="J1632" s="9" t="str">
        <f>VLOOKUP(dynamic[productID],products[],12,FALSE)</f>
        <v>Dairy Products</v>
      </c>
      <c r="K1632" s="7" t="str">
        <f>IF(VLOOKUP(dynamic[productID],products[],7,FALSE)=1,"Discontinued","Current")</f>
        <v>Current</v>
      </c>
      <c r="L1632" s="9">
        <f>VLOOKUP(dynamic[productID],products[],IF(YEAR(dynamic[orderDate])=2022,8,IF(YEAR(dynamic[orderDate])=2023,9,IF(YEAR(dynamic[orderDate])=2024,10,NA))),FALSE)</f>
        <v>13.86836261</v>
      </c>
      <c r="M1632" s="9">
        <v>21.0</v>
      </c>
      <c r="N1632" s="25">
        <f>(dynamic[orderPrice]-dynamic[productCost])/dynamic[productCost]</f>
        <v>0.51423788</v>
      </c>
      <c r="O1632" s="10">
        <v>10.0</v>
      </c>
      <c r="P1632" s="25">
        <v>0.0</v>
      </c>
      <c r="Q1632" s="9">
        <f>dynamic[orderPrice]*dynamic[orderQuantity]</f>
        <v>210</v>
      </c>
      <c r="R1632" s="9">
        <f>dynamic[orderTotal]*(1-dynamic[discountApllied])</f>
        <v>210</v>
      </c>
      <c r="S1632" s="9">
        <f>dynamic[revenue]-(dynamic[productCost]*dynamic[orderQuantity])</f>
        <v>71.31637389</v>
      </c>
      <c r="T1632" s="25">
        <f>IFERROR(dynamic[profit]/dynamic[revenue], 0)</f>
        <v>0.3396017804</v>
      </c>
    </row>
    <row r="1633" ht="15.75" customHeight="1">
      <c r="A1633" s="6">
        <v>10869.0</v>
      </c>
      <c r="B1633" s="7" t="s">
        <v>71</v>
      </c>
      <c r="C1633" s="24" t="str">
        <f>VLOOKUP(dynamic[customerID],customers[],2,FALSE)</f>
        <v>Seven Seas Imports</v>
      </c>
      <c r="D1633" s="24">
        <v>45326.0</v>
      </c>
      <c r="E1633" s="6">
        <f>IFERROR(__xludf.DUMMYFUNCTION("COUNTUNIQUEIFS($A$2:$A1633,$B$2:$B1633,B1633)"),9.0)</f>
        <v>9</v>
      </c>
      <c r="F1633" s="6">
        <f t="shared" si="1"/>
        <v>36</v>
      </c>
      <c r="G1633" s="6" t="str">
        <f>IF(MINIFS(dynamic[orderDate], dynamic[customerID], B1633) &gt;= DATE(2024,4,30)-120, 
     "New", 
     IF(MAXIFS(dynamic[orderCount], dynamic[customerID], B1633)&lt;=2, 
        IF((DATE(2024,4,30) - MAXIFS(dynamic[orderDate], dynamic[customerID], B1633)) &gt; 180, "Non-Returning", "Dormant"), 
        IF(AND(MAX(dynamic[sinceLastOrder]) &gt; 365, (DATE(2024,4,30) - MAXIFS(dynamic[orderDate], dynamic[customerID], B1633)) &gt; 180), 
           "Dormant", "Regular")))</f>
        <v>Regular</v>
      </c>
      <c r="H1633" s="6">
        <v>23.0</v>
      </c>
      <c r="I1633" s="9" t="str">
        <f>VLOOKUP(dynamic[productID],products[],2,FALSE)</f>
        <v>Tunnbröd</v>
      </c>
      <c r="J1633" s="9" t="str">
        <f>VLOOKUP(dynamic[productID],products[],12,FALSE)</f>
        <v>Grains/Cereals</v>
      </c>
      <c r="K1633" s="7" t="str">
        <f>IF(VLOOKUP(dynamic[productID],products[],7,FALSE)=1,"Discontinued","Current")</f>
        <v>Current</v>
      </c>
      <c r="L1633" s="9">
        <f>VLOOKUP(dynamic[productID],products[],IF(YEAR(dynamic[orderDate])=2022,8,IF(YEAR(dynamic[orderDate])=2023,9,IF(YEAR(dynamic[orderDate])=2024,10,NA))),FALSE)</f>
        <v>6.224885622</v>
      </c>
      <c r="M1633" s="9">
        <v>9.0</v>
      </c>
      <c r="N1633" s="25">
        <f>(dynamic[orderPrice]-dynamic[productCost])/dynamic[productCost]</f>
        <v>0.4458096979</v>
      </c>
      <c r="O1633" s="10">
        <v>50.0</v>
      </c>
      <c r="P1633" s="25">
        <v>0.0</v>
      </c>
      <c r="Q1633" s="9">
        <f>dynamic[orderPrice]*dynamic[orderQuantity]</f>
        <v>450</v>
      </c>
      <c r="R1633" s="9">
        <f>dynamic[orderTotal]*(1-dynamic[discountApllied])</f>
        <v>450</v>
      </c>
      <c r="S1633" s="9">
        <f>dynamic[revenue]-(dynamic[productCost]*dynamic[orderQuantity])</f>
        <v>138.7557189</v>
      </c>
      <c r="T1633" s="25">
        <f>IFERROR(dynamic[profit]/dynamic[revenue], 0)</f>
        <v>0.308346042</v>
      </c>
    </row>
    <row r="1634" ht="15.75" customHeight="1">
      <c r="A1634" s="6">
        <v>10869.0</v>
      </c>
      <c r="B1634" s="7" t="s">
        <v>71</v>
      </c>
      <c r="C1634" s="24" t="str">
        <f>VLOOKUP(dynamic[customerID],customers[],2,FALSE)</f>
        <v>Seven Seas Imports</v>
      </c>
      <c r="D1634" s="24">
        <v>45326.0</v>
      </c>
      <c r="E1634" s="6">
        <f>IFERROR(__xludf.DUMMYFUNCTION("COUNTUNIQUEIFS($A$2:$A1634,$B$2:$B1634,B1634)"),9.0)</f>
        <v>9</v>
      </c>
      <c r="F1634" s="6">
        <f t="shared" si="1"/>
        <v>36</v>
      </c>
      <c r="G1634" s="6" t="str">
        <f>IF(MINIFS(dynamic[orderDate], dynamic[customerID], B1634) &gt;= DATE(2024,4,30)-120, 
     "New", 
     IF(MAXIFS(dynamic[orderCount], dynamic[customerID], B1634)&lt;=2, 
        IF((DATE(2024,4,30) - MAXIFS(dynamic[orderDate], dynamic[customerID], B1634)) &gt; 180, "Non-Returning", "Dormant"), 
        IF(AND(MAX(dynamic[sinceLastOrder]) &gt; 365, (DATE(2024,4,30) - MAXIFS(dynamic[orderDate], dynamic[customerID], B1634)) &gt; 180), 
           "Dormant", "Regular")))</f>
        <v>Regular</v>
      </c>
      <c r="H1634" s="6">
        <v>68.0</v>
      </c>
      <c r="I1634" s="9" t="str">
        <f>VLOOKUP(dynamic[productID],products[],2,FALSE)</f>
        <v>Scottish Longbreads</v>
      </c>
      <c r="J1634" s="9" t="str">
        <f>VLOOKUP(dynamic[productID],products[],12,FALSE)</f>
        <v>Confections</v>
      </c>
      <c r="K1634" s="7" t="str">
        <f>IF(VLOOKUP(dynamic[productID],products[],7,FALSE)=1,"Discontinued","Current")</f>
        <v>Current</v>
      </c>
      <c r="L1634" s="9">
        <f>VLOOKUP(dynamic[productID],products[],IF(YEAR(dynamic[orderDate])=2022,8,IF(YEAR(dynamic[orderDate])=2023,9,IF(YEAR(dynamic[orderDate])=2024,10,NA))),FALSE)</f>
        <v>9.555031708</v>
      </c>
      <c r="M1634" s="9">
        <v>12.5</v>
      </c>
      <c r="N1634" s="25">
        <f>(dynamic[orderPrice]-dynamic[productCost])/dynamic[productCost]</f>
        <v>0.3082112527</v>
      </c>
      <c r="O1634" s="10">
        <v>20.0</v>
      </c>
      <c r="P1634" s="25">
        <v>0.0</v>
      </c>
      <c r="Q1634" s="9">
        <f>dynamic[orderPrice]*dynamic[orderQuantity]</f>
        <v>250</v>
      </c>
      <c r="R1634" s="9">
        <f>dynamic[orderTotal]*(1-dynamic[discountApllied])</f>
        <v>250</v>
      </c>
      <c r="S1634" s="9">
        <f>dynamic[revenue]-(dynamic[productCost]*dynamic[orderQuantity])</f>
        <v>58.89936585</v>
      </c>
      <c r="T1634" s="25">
        <f>IFERROR(dynamic[profit]/dynamic[revenue], 0)</f>
        <v>0.2355974634</v>
      </c>
    </row>
    <row r="1635" ht="15.75" customHeight="1">
      <c r="A1635" s="6">
        <v>10870.0</v>
      </c>
      <c r="B1635" s="7" t="s">
        <v>78</v>
      </c>
      <c r="C1635" s="24" t="str">
        <f>VLOOKUP(dynamic[customerID],customers[],2,FALSE)</f>
        <v>Wolski  Zajazd</v>
      </c>
      <c r="D1635" s="24">
        <v>45326.0</v>
      </c>
      <c r="E1635" s="6">
        <f>IFERROR(__xludf.DUMMYFUNCTION("COUNTUNIQUEIFS($A$2:$A1635,$B$2:$B1635,B1635)"),4.0)</f>
        <v>4</v>
      </c>
      <c r="F1635" s="6">
        <f t="shared" si="1"/>
        <v>43</v>
      </c>
      <c r="G1635" s="6" t="str">
        <f>IF(MINIFS(dynamic[orderDate], dynamic[customerID], B1635) &gt;= DATE(2024,4,30)-120, 
     "New", 
     IF(MAXIFS(dynamic[orderCount], dynamic[customerID], B1635)&lt;=2, 
        IF((DATE(2024,4,30) - MAXIFS(dynamic[orderDate], dynamic[customerID], B1635)) &gt; 180, "Non-Returning", "Dormant"), 
        IF(AND(MAX(dynamic[sinceLastOrder]) &gt; 365, (DATE(2024,4,30) - MAXIFS(dynamic[orderDate], dynamic[customerID], B1635)) &gt; 180), 
           "Dormant", "Regular")))</f>
        <v>Regular</v>
      </c>
      <c r="H1635" s="6">
        <v>35.0</v>
      </c>
      <c r="I1635" s="9" t="str">
        <f>VLOOKUP(dynamic[productID],products[],2,FALSE)</f>
        <v>Cold Brew Nitro</v>
      </c>
      <c r="J1635" s="9" t="str">
        <f>VLOOKUP(dynamic[productID],products[],12,FALSE)</f>
        <v>Beverages</v>
      </c>
      <c r="K1635" s="7" t="str">
        <f>IF(VLOOKUP(dynamic[productID],products[],7,FALSE)=1,"Discontinued","Current")</f>
        <v>Current</v>
      </c>
      <c r="L1635" s="9">
        <f>VLOOKUP(dynamic[productID],products[],IF(YEAR(dynamic[orderDate])=2022,8,IF(YEAR(dynamic[orderDate])=2023,9,IF(YEAR(dynamic[orderDate])=2024,10,NA))),FALSE)</f>
        <v>12.9261692</v>
      </c>
      <c r="M1635" s="9">
        <v>18.0</v>
      </c>
      <c r="N1635" s="25">
        <f>(dynamic[orderPrice]-dynamic[productCost])/dynamic[productCost]</f>
        <v>0.3925239355</v>
      </c>
      <c r="O1635" s="10">
        <v>3.0</v>
      </c>
      <c r="P1635" s="25">
        <v>0.0</v>
      </c>
      <c r="Q1635" s="9">
        <f>dynamic[orderPrice]*dynamic[orderQuantity]</f>
        <v>54</v>
      </c>
      <c r="R1635" s="9">
        <f>dynamic[orderTotal]*(1-dynamic[discountApllied])</f>
        <v>54</v>
      </c>
      <c r="S1635" s="9">
        <f>dynamic[revenue]-(dynamic[productCost]*dynamic[orderQuantity])</f>
        <v>15.22149241</v>
      </c>
      <c r="T1635" s="25">
        <f>IFERROR(dynamic[profit]/dynamic[revenue], 0)</f>
        <v>0.2818794891</v>
      </c>
    </row>
    <row r="1636" ht="15.75" customHeight="1">
      <c r="A1636" s="6">
        <v>10870.0</v>
      </c>
      <c r="B1636" s="7" t="s">
        <v>78</v>
      </c>
      <c r="C1636" s="24" t="str">
        <f>VLOOKUP(dynamic[customerID],customers[],2,FALSE)</f>
        <v>Wolski  Zajazd</v>
      </c>
      <c r="D1636" s="24">
        <v>45326.0</v>
      </c>
      <c r="E1636" s="6">
        <f>IFERROR(__xludf.DUMMYFUNCTION("COUNTUNIQUEIFS($A$2:$A1636,$B$2:$B1636,B1636)"),4.0)</f>
        <v>4</v>
      </c>
      <c r="F1636" s="6">
        <f t="shared" si="1"/>
        <v>43</v>
      </c>
      <c r="G1636" s="6" t="str">
        <f>IF(MINIFS(dynamic[orderDate], dynamic[customerID], B1636) &gt;= DATE(2024,4,30)-120, 
     "New", 
     IF(MAXIFS(dynamic[orderCount], dynamic[customerID], B1636)&lt;=2, 
        IF((DATE(2024,4,30) - MAXIFS(dynamic[orderDate], dynamic[customerID], B1636)) &gt; 180, "Non-Returning", "Dormant"), 
        IF(AND(MAX(dynamic[sinceLastOrder]) &gt; 365, (DATE(2024,4,30) - MAXIFS(dynamic[orderDate], dynamic[customerID], B1636)) &gt; 180), 
           "Dormant", "Regular")))</f>
        <v>Regular</v>
      </c>
      <c r="H1636" s="6">
        <v>51.0</v>
      </c>
      <c r="I1636" s="9" t="str">
        <f>VLOOKUP(dynamic[productID],products[],2,FALSE)</f>
        <v>Manjimup Dried Apples</v>
      </c>
      <c r="J1636" s="9" t="str">
        <f>VLOOKUP(dynamic[productID],products[],12,FALSE)</f>
        <v>Produce</v>
      </c>
      <c r="K1636" s="7" t="str">
        <f>IF(VLOOKUP(dynamic[productID],products[],7,FALSE)=1,"Discontinued","Current")</f>
        <v>Current</v>
      </c>
      <c r="L1636" s="9">
        <f>VLOOKUP(dynamic[productID],products[],IF(YEAR(dynamic[orderDate])=2022,8,IF(YEAR(dynamic[orderDate])=2023,9,IF(YEAR(dynamic[orderDate])=2024,10,NA))),FALSE)</f>
        <v>39.51416462</v>
      </c>
      <c r="M1636" s="9">
        <v>53.0</v>
      </c>
      <c r="N1636" s="25">
        <f>(dynamic[orderPrice]-dynamic[productCost])/dynamic[productCost]</f>
        <v>0.3412911677</v>
      </c>
      <c r="O1636" s="10">
        <v>2.0</v>
      </c>
      <c r="P1636" s="25">
        <v>0.0</v>
      </c>
      <c r="Q1636" s="9">
        <f>dynamic[orderPrice]*dynamic[orderQuantity]</f>
        <v>106</v>
      </c>
      <c r="R1636" s="9">
        <f>dynamic[orderTotal]*(1-dynamic[discountApllied])</f>
        <v>106</v>
      </c>
      <c r="S1636" s="9">
        <f>dynamic[revenue]-(dynamic[productCost]*dynamic[orderQuantity])</f>
        <v>26.97167076</v>
      </c>
      <c r="T1636" s="25">
        <f>IFERROR(dynamic[profit]/dynamic[revenue], 0)</f>
        <v>0.2544497242</v>
      </c>
    </row>
    <row r="1637" ht="15.75" customHeight="1">
      <c r="A1637" s="6">
        <v>10871.0</v>
      </c>
      <c r="B1637" s="7" t="s">
        <v>63</v>
      </c>
      <c r="C1637" s="24" t="str">
        <f>VLOOKUP(dynamic[customerID],customers[],2,FALSE)</f>
        <v>Bon app'</v>
      </c>
      <c r="D1637" s="24">
        <v>45327.0</v>
      </c>
      <c r="E1637" s="6">
        <f>IFERROR(__xludf.DUMMYFUNCTION("COUNTUNIQUEIFS($A$2:$A1637,$B$2:$B1637,B1637)"),13.0)</f>
        <v>13</v>
      </c>
      <c r="F1637" s="6">
        <f t="shared" si="1"/>
        <v>24</v>
      </c>
      <c r="G1637" s="6" t="str">
        <f>IF(MINIFS(dynamic[orderDate], dynamic[customerID], B1637) &gt;= DATE(2024,4,30)-120, 
     "New", 
     IF(MAXIFS(dynamic[orderCount], dynamic[customerID], B1637)&lt;=2, 
        IF((DATE(2024,4,30) - MAXIFS(dynamic[orderDate], dynamic[customerID], B1637)) &gt; 180, "Non-Returning", "Dormant"), 
        IF(AND(MAX(dynamic[sinceLastOrder]) &gt; 365, (DATE(2024,4,30) - MAXIFS(dynamic[orderDate], dynamic[customerID], B1637)) &gt; 180), 
           "Dormant", "Regular")))</f>
        <v>Regular</v>
      </c>
      <c r="H1637" s="6">
        <v>6.0</v>
      </c>
      <c r="I1637" s="9" t="str">
        <f>VLOOKUP(dynamic[productID],products[],2,FALSE)</f>
        <v>Grandma's Boysenberry Spread</v>
      </c>
      <c r="J1637" s="9" t="str">
        <f>VLOOKUP(dynamic[productID],products[],12,FALSE)</f>
        <v>Condiments</v>
      </c>
      <c r="K1637" s="7" t="str">
        <f>IF(VLOOKUP(dynamic[productID],products[],7,FALSE)=1,"Discontinued","Current")</f>
        <v>Current</v>
      </c>
      <c r="L1637" s="9">
        <f>VLOOKUP(dynamic[productID],products[],IF(YEAR(dynamic[orderDate])=2022,8,IF(YEAR(dynamic[orderDate])=2023,9,IF(YEAR(dynamic[orderDate])=2024,10,NA))),FALSE)</f>
        <v>17.2416593</v>
      </c>
      <c r="M1637" s="9">
        <v>25.0</v>
      </c>
      <c r="N1637" s="25">
        <f>(dynamic[orderPrice]-dynamic[productCost])/dynamic[productCost]</f>
        <v>0.4499764532</v>
      </c>
      <c r="O1637" s="10">
        <v>50.0</v>
      </c>
      <c r="P1637" s="25">
        <v>0.05</v>
      </c>
      <c r="Q1637" s="9">
        <f>dynamic[orderPrice]*dynamic[orderQuantity]</f>
        <v>1250</v>
      </c>
      <c r="R1637" s="9">
        <f>dynamic[orderTotal]*(1-dynamic[discountApllied])</f>
        <v>1187.5</v>
      </c>
      <c r="S1637" s="9">
        <f>dynamic[revenue]-(dynamic[productCost]*dynamic[orderQuantity])</f>
        <v>325.417035</v>
      </c>
      <c r="T1637" s="25">
        <f>IFERROR(dynamic[profit]/dynamic[revenue], 0)</f>
        <v>0.2740353979</v>
      </c>
    </row>
    <row r="1638" ht="15.75" customHeight="1">
      <c r="A1638" s="6">
        <v>10871.0</v>
      </c>
      <c r="B1638" s="7" t="s">
        <v>63</v>
      </c>
      <c r="C1638" s="24" t="str">
        <f>VLOOKUP(dynamic[customerID],customers[],2,FALSE)</f>
        <v>Bon app'</v>
      </c>
      <c r="D1638" s="24">
        <v>45327.0</v>
      </c>
      <c r="E1638" s="6">
        <f>IFERROR(__xludf.DUMMYFUNCTION("COUNTUNIQUEIFS($A$2:$A1638,$B$2:$B1638,B1638)"),13.0)</f>
        <v>13</v>
      </c>
      <c r="F1638" s="6">
        <f t="shared" si="1"/>
        <v>24</v>
      </c>
      <c r="G1638" s="6" t="str">
        <f>IF(MINIFS(dynamic[orderDate], dynamic[customerID], B1638) &gt;= DATE(2024,4,30)-120, 
     "New", 
     IF(MAXIFS(dynamic[orderCount], dynamic[customerID], B1638)&lt;=2, 
        IF((DATE(2024,4,30) - MAXIFS(dynamic[orderDate], dynamic[customerID], B1638)) &gt; 180, "Non-Returning", "Dormant"), 
        IF(AND(MAX(dynamic[sinceLastOrder]) &gt; 365, (DATE(2024,4,30) - MAXIFS(dynamic[orderDate], dynamic[customerID], B1638)) &gt; 180), 
           "Dormant", "Regular")))</f>
        <v>Regular</v>
      </c>
      <c r="H1638" s="6">
        <v>16.0</v>
      </c>
      <c r="I1638" s="9" t="str">
        <f>VLOOKUP(dynamic[productID],products[],2,FALSE)</f>
        <v>Pavlova</v>
      </c>
      <c r="J1638" s="9" t="str">
        <f>VLOOKUP(dynamic[productID],products[],12,FALSE)</f>
        <v>Confections</v>
      </c>
      <c r="K1638" s="7" t="str">
        <f>IF(VLOOKUP(dynamic[productID],products[],7,FALSE)=1,"Discontinued","Current")</f>
        <v>Current</v>
      </c>
      <c r="L1638" s="9">
        <f>VLOOKUP(dynamic[productID],products[],IF(YEAR(dynamic[orderDate])=2022,8,IF(YEAR(dynamic[orderDate])=2023,9,IF(YEAR(dynamic[orderDate])=2024,10,NA))),FALSE)</f>
        <v>12.68283974</v>
      </c>
      <c r="M1638" s="9">
        <v>17.45</v>
      </c>
      <c r="N1638" s="25">
        <f>(dynamic[orderPrice]-dynamic[productCost])/dynamic[productCost]</f>
        <v>0.3758748323</v>
      </c>
      <c r="O1638" s="10">
        <v>12.0</v>
      </c>
      <c r="P1638" s="25">
        <v>0.05</v>
      </c>
      <c r="Q1638" s="9">
        <f>dynamic[orderPrice]*dynamic[orderQuantity]</f>
        <v>209.4</v>
      </c>
      <c r="R1638" s="9">
        <f>dynamic[orderTotal]*(1-dynamic[discountApllied])</f>
        <v>198.93</v>
      </c>
      <c r="S1638" s="9">
        <f>dynamic[revenue]-(dynamic[productCost]*dynamic[orderQuantity])</f>
        <v>46.73592312</v>
      </c>
      <c r="T1638" s="25">
        <f>IFERROR(dynamic[profit]/dynamic[revenue], 0)</f>
        <v>0.234936526</v>
      </c>
    </row>
    <row r="1639" ht="15.75" customHeight="1">
      <c r="A1639" s="6">
        <v>10871.0</v>
      </c>
      <c r="B1639" s="7" t="s">
        <v>63</v>
      </c>
      <c r="C1639" s="24" t="str">
        <f>VLOOKUP(dynamic[customerID],customers[],2,FALSE)</f>
        <v>Bon app'</v>
      </c>
      <c r="D1639" s="24">
        <v>45327.0</v>
      </c>
      <c r="E1639" s="6">
        <f>IFERROR(__xludf.DUMMYFUNCTION("COUNTUNIQUEIFS($A$2:$A1639,$B$2:$B1639,B1639)"),13.0)</f>
        <v>13</v>
      </c>
      <c r="F1639" s="6">
        <f t="shared" si="1"/>
        <v>24</v>
      </c>
      <c r="G1639" s="6" t="str">
        <f>IF(MINIFS(dynamic[orderDate], dynamic[customerID], B1639) &gt;= DATE(2024,4,30)-120, 
     "New", 
     IF(MAXIFS(dynamic[orderCount], dynamic[customerID], B1639)&lt;=2, 
        IF((DATE(2024,4,30) - MAXIFS(dynamic[orderDate], dynamic[customerID], B1639)) &gt; 180, "Non-Returning", "Dormant"), 
        IF(AND(MAX(dynamic[sinceLastOrder]) &gt; 365, (DATE(2024,4,30) - MAXIFS(dynamic[orderDate], dynamic[customerID], B1639)) &gt; 180), 
           "Dormant", "Regular")))</f>
        <v>Regular</v>
      </c>
      <c r="H1639" s="6">
        <v>17.0</v>
      </c>
      <c r="I1639" s="9" t="str">
        <f>VLOOKUP(dynamic[productID],products[],2,FALSE)</f>
        <v>Alice Mutton</v>
      </c>
      <c r="J1639" s="9" t="str">
        <f>VLOOKUP(dynamic[productID],products[],12,FALSE)</f>
        <v>Meat/Poultry</v>
      </c>
      <c r="K1639" s="7" t="str">
        <f>IF(VLOOKUP(dynamic[productID],products[],7,FALSE)=1,"Discontinued","Current")</f>
        <v>Discontinued</v>
      </c>
      <c r="L1639" s="9">
        <f>VLOOKUP(dynamic[productID],products[],IF(YEAR(dynamic[orderDate])=2022,8,IF(YEAR(dynamic[orderDate])=2023,9,IF(YEAR(dynamic[orderDate])=2024,10,NA))),FALSE)</f>
        <v>28.51916263</v>
      </c>
      <c r="M1639" s="9">
        <v>39.0</v>
      </c>
      <c r="N1639" s="25">
        <f>(dynamic[orderPrice]-dynamic[productCost])/dynamic[productCost]</f>
        <v>0.3675015816</v>
      </c>
      <c r="O1639" s="10">
        <v>16.0</v>
      </c>
      <c r="P1639" s="25">
        <v>0.05</v>
      </c>
      <c r="Q1639" s="9">
        <f>dynamic[orderPrice]*dynamic[orderQuantity]</f>
        <v>624</v>
      </c>
      <c r="R1639" s="9">
        <f>dynamic[orderTotal]*(1-dynamic[discountApllied])</f>
        <v>592.8</v>
      </c>
      <c r="S1639" s="9">
        <f>dynamic[revenue]-(dynamic[productCost]*dynamic[orderQuantity])</f>
        <v>136.4933979</v>
      </c>
      <c r="T1639" s="25">
        <f>IFERROR(dynamic[profit]/dynamic[revenue], 0)</f>
        <v>0.2302520208</v>
      </c>
    </row>
    <row r="1640" ht="15.75" customHeight="1">
      <c r="A1640" s="6">
        <v>10872.0</v>
      </c>
      <c r="B1640" s="7" t="s">
        <v>51</v>
      </c>
      <c r="C1640" s="24" t="str">
        <f>VLOOKUP(dynamic[customerID],customers[],2,FALSE)</f>
        <v>Godos Cocina Típica</v>
      </c>
      <c r="D1640" s="24">
        <v>45327.0</v>
      </c>
      <c r="E1640" s="6">
        <f>IFERROR(__xludf.DUMMYFUNCTION("COUNTUNIQUEIFS($A$2:$A1640,$B$2:$B1640,B1640)"),4.0)</f>
        <v>4</v>
      </c>
      <c r="F1640" s="6">
        <f t="shared" si="1"/>
        <v>177</v>
      </c>
      <c r="G1640" s="6" t="str">
        <f>IF(MINIFS(dynamic[orderDate], dynamic[customerID], B1640) &gt;= DATE(2024,4,30)-120, 
     "New", 
     IF(MAXIFS(dynamic[orderCount], dynamic[customerID], B1640)&lt;=2, 
        IF((DATE(2024,4,30) - MAXIFS(dynamic[orderDate], dynamic[customerID], B1640)) &gt; 180, "Non-Returning", "Dormant"), 
        IF(AND(MAX(dynamic[sinceLastOrder]) &gt; 365, (DATE(2024,4,30) - MAXIFS(dynamic[orderDate], dynamic[customerID], B1640)) &gt; 180), 
           "Dormant", "Regular")))</f>
        <v>Regular</v>
      </c>
      <c r="H1640" s="6">
        <v>55.0</v>
      </c>
      <c r="I1640" s="9" t="str">
        <f>VLOOKUP(dynamic[productID],products[],2,FALSE)</f>
        <v>Pâté chinois</v>
      </c>
      <c r="J1640" s="9" t="str">
        <f>VLOOKUP(dynamic[productID],products[],12,FALSE)</f>
        <v>Meat/Poultry</v>
      </c>
      <c r="K1640" s="7" t="str">
        <f>IF(VLOOKUP(dynamic[productID],products[],7,FALSE)=1,"Discontinued","Current")</f>
        <v>Current</v>
      </c>
      <c r="L1640" s="9">
        <f>VLOOKUP(dynamic[productID],products[],IF(YEAR(dynamic[orderDate])=2022,8,IF(YEAR(dynamic[orderDate])=2023,9,IF(YEAR(dynamic[orderDate])=2024,10,NA))),FALSE)</f>
        <v>16.95998522</v>
      </c>
      <c r="M1640" s="9">
        <v>24.0</v>
      </c>
      <c r="N1640" s="25">
        <f>(dynamic[orderPrice]-dynamic[productCost])/dynamic[productCost]</f>
        <v>0.4150955727</v>
      </c>
      <c r="O1640" s="10">
        <v>10.0</v>
      </c>
      <c r="P1640" s="25">
        <v>0.05</v>
      </c>
      <c r="Q1640" s="9">
        <f>dynamic[orderPrice]*dynamic[orderQuantity]</f>
        <v>240</v>
      </c>
      <c r="R1640" s="9">
        <f>dynamic[orderTotal]*(1-dynamic[discountApllied])</f>
        <v>228</v>
      </c>
      <c r="S1640" s="9">
        <f>dynamic[revenue]-(dynamic[productCost]*dynamic[orderQuantity])</f>
        <v>58.40014779</v>
      </c>
      <c r="T1640" s="25">
        <f>IFERROR(dynamic[profit]/dynamic[revenue], 0)</f>
        <v>0.2561409991</v>
      </c>
    </row>
    <row r="1641" ht="15.75" customHeight="1">
      <c r="A1641" s="6">
        <v>10872.0</v>
      </c>
      <c r="B1641" s="7" t="s">
        <v>51</v>
      </c>
      <c r="C1641" s="24" t="str">
        <f>VLOOKUP(dynamic[customerID],customers[],2,FALSE)</f>
        <v>Godos Cocina Típica</v>
      </c>
      <c r="D1641" s="24">
        <v>45327.0</v>
      </c>
      <c r="E1641" s="6">
        <f>IFERROR(__xludf.DUMMYFUNCTION("COUNTUNIQUEIFS($A$2:$A1641,$B$2:$B1641,B1641)"),4.0)</f>
        <v>4</v>
      </c>
      <c r="F1641" s="6">
        <f t="shared" si="1"/>
        <v>177</v>
      </c>
      <c r="G1641" s="6" t="str">
        <f>IF(MINIFS(dynamic[orderDate], dynamic[customerID], B1641) &gt;= DATE(2024,4,30)-120, 
     "New", 
     IF(MAXIFS(dynamic[orderCount], dynamic[customerID], B1641)&lt;=2, 
        IF((DATE(2024,4,30) - MAXIFS(dynamic[orderDate], dynamic[customerID], B1641)) &gt; 180, "Non-Returning", "Dormant"), 
        IF(AND(MAX(dynamic[sinceLastOrder]) &gt; 365, (DATE(2024,4,30) - MAXIFS(dynamic[orderDate], dynamic[customerID], B1641)) &gt; 180), 
           "Dormant", "Regular")))</f>
        <v>Regular</v>
      </c>
      <c r="H1641" s="6">
        <v>62.0</v>
      </c>
      <c r="I1641" s="9" t="str">
        <f>VLOOKUP(dynamic[productID],products[],2,FALSE)</f>
        <v>Tarte au sucre</v>
      </c>
      <c r="J1641" s="9" t="str">
        <f>VLOOKUP(dynamic[productID],products[],12,FALSE)</f>
        <v>Confections</v>
      </c>
      <c r="K1641" s="7" t="str">
        <f>IF(VLOOKUP(dynamic[productID],products[],7,FALSE)=1,"Discontinued","Current")</f>
        <v>Current</v>
      </c>
      <c r="L1641" s="9">
        <f>VLOOKUP(dynamic[productID],products[],IF(YEAR(dynamic[orderDate])=2022,8,IF(YEAR(dynamic[orderDate])=2023,9,IF(YEAR(dynamic[orderDate])=2024,10,NA))),FALSE)</f>
        <v>34.88145014</v>
      </c>
      <c r="M1641" s="9">
        <v>49.3</v>
      </c>
      <c r="N1641" s="25">
        <f>(dynamic[orderPrice]-dynamic[productCost])/dynamic[productCost]</f>
        <v>0.4133586705</v>
      </c>
      <c r="O1641" s="10">
        <v>20.0</v>
      </c>
      <c r="P1641" s="25">
        <v>0.05</v>
      </c>
      <c r="Q1641" s="9">
        <f>dynamic[orderPrice]*dynamic[orderQuantity]</f>
        <v>986</v>
      </c>
      <c r="R1641" s="9">
        <f>dynamic[orderTotal]*(1-dynamic[discountApllied])</f>
        <v>936.7</v>
      </c>
      <c r="S1641" s="9">
        <f>dynamic[revenue]-(dynamic[productCost]*dynamic[orderQuantity])</f>
        <v>239.0709971</v>
      </c>
      <c r="T1641" s="25">
        <f>IFERROR(dynamic[profit]/dynamic[revenue], 0)</f>
        <v>0.2552268572</v>
      </c>
    </row>
    <row r="1642" ht="15.75" customHeight="1">
      <c r="A1642" s="6">
        <v>10872.0</v>
      </c>
      <c r="B1642" s="7" t="s">
        <v>51</v>
      </c>
      <c r="C1642" s="24" t="str">
        <f>VLOOKUP(dynamic[customerID],customers[],2,FALSE)</f>
        <v>Godos Cocina Típica</v>
      </c>
      <c r="D1642" s="24">
        <v>45327.0</v>
      </c>
      <c r="E1642" s="6">
        <f>IFERROR(__xludf.DUMMYFUNCTION("COUNTUNIQUEIFS($A$2:$A1642,$B$2:$B1642,B1642)"),4.0)</f>
        <v>4</v>
      </c>
      <c r="F1642" s="6">
        <f t="shared" si="1"/>
        <v>177</v>
      </c>
      <c r="G1642" s="6" t="str">
        <f>IF(MINIFS(dynamic[orderDate], dynamic[customerID], B1642) &gt;= DATE(2024,4,30)-120, 
     "New", 
     IF(MAXIFS(dynamic[orderCount], dynamic[customerID], B1642)&lt;=2, 
        IF((DATE(2024,4,30) - MAXIFS(dynamic[orderDate], dynamic[customerID], B1642)) &gt; 180, "Non-Returning", "Dormant"), 
        IF(AND(MAX(dynamic[sinceLastOrder]) &gt; 365, (DATE(2024,4,30) - MAXIFS(dynamic[orderDate], dynamic[customerID], B1642)) &gt; 180), 
           "Dormant", "Regular")))</f>
        <v>Regular</v>
      </c>
      <c r="H1642" s="6">
        <v>64.0</v>
      </c>
      <c r="I1642" s="9" t="str">
        <f>VLOOKUP(dynamic[productID],products[],2,FALSE)</f>
        <v>Lukas' leckere Sauerteigweggla</v>
      </c>
      <c r="J1642" s="9" t="str">
        <f>VLOOKUP(dynamic[productID],products[],12,FALSE)</f>
        <v>Grains/Cereals</v>
      </c>
      <c r="K1642" s="7" t="str">
        <f>IF(VLOOKUP(dynamic[productID],products[],7,FALSE)=1,"Discontinued","Current")</f>
        <v>Current</v>
      </c>
      <c r="L1642" s="9">
        <f>VLOOKUP(dynamic[productID],products[],IF(YEAR(dynamic[orderDate])=2022,8,IF(YEAR(dynamic[orderDate])=2023,9,IF(YEAR(dynamic[orderDate])=2024,10,NA))),FALSE)</f>
        <v>22.72434276</v>
      </c>
      <c r="M1642" s="9">
        <v>33.25</v>
      </c>
      <c r="N1642" s="25">
        <f>(dynamic[orderPrice]-dynamic[productCost])/dynamic[productCost]</f>
        <v>0.4631886324</v>
      </c>
      <c r="O1642" s="10">
        <v>15.0</v>
      </c>
      <c r="P1642" s="25">
        <v>0.05</v>
      </c>
      <c r="Q1642" s="9">
        <f>dynamic[orderPrice]*dynamic[orderQuantity]</f>
        <v>498.75</v>
      </c>
      <c r="R1642" s="9">
        <f>dynamic[orderTotal]*(1-dynamic[discountApllied])</f>
        <v>473.8125</v>
      </c>
      <c r="S1642" s="9">
        <f>dynamic[revenue]-(dynamic[productCost]*dynamic[orderQuantity])</f>
        <v>132.9473587</v>
      </c>
      <c r="T1642" s="25">
        <f>IFERROR(dynamic[profit]/dynamic[revenue], 0)</f>
        <v>0.2805906528</v>
      </c>
    </row>
    <row r="1643" ht="15.75" customHeight="1">
      <c r="A1643" s="6">
        <v>10872.0</v>
      </c>
      <c r="B1643" s="7" t="s">
        <v>51</v>
      </c>
      <c r="C1643" s="24" t="str">
        <f>VLOOKUP(dynamic[customerID],customers[],2,FALSE)</f>
        <v>Godos Cocina Típica</v>
      </c>
      <c r="D1643" s="24">
        <v>45327.0</v>
      </c>
      <c r="E1643" s="6">
        <f>IFERROR(__xludf.DUMMYFUNCTION("COUNTUNIQUEIFS($A$2:$A1643,$B$2:$B1643,B1643)"),4.0)</f>
        <v>4</v>
      </c>
      <c r="F1643" s="6">
        <f t="shared" si="1"/>
        <v>177</v>
      </c>
      <c r="G1643" s="6" t="str">
        <f>IF(MINIFS(dynamic[orderDate], dynamic[customerID], B1643) &gt;= DATE(2024,4,30)-120, 
     "New", 
     IF(MAXIFS(dynamic[orderCount], dynamic[customerID], B1643)&lt;=2, 
        IF((DATE(2024,4,30) - MAXIFS(dynamic[orderDate], dynamic[customerID], B1643)) &gt; 180, "Non-Returning", "Dormant"), 
        IF(AND(MAX(dynamic[sinceLastOrder]) &gt; 365, (DATE(2024,4,30) - MAXIFS(dynamic[orderDate], dynamic[customerID], B1643)) &gt; 180), 
           "Dormant", "Regular")))</f>
        <v>Regular</v>
      </c>
      <c r="H1643" s="6">
        <v>65.0</v>
      </c>
      <c r="I1643" s="9" t="str">
        <f>VLOOKUP(dynamic[productID],products[],2,FALSE)</f>
        <v>Louisiana Fiery Hot Pepper Sauce</v>
      </c>
      <c r="J1643" s="9" t="str">
        <f>VLOOKUP(dynamic[productID],products[],12,FALSE)</f>
        <v>Condiments</v>
      </c>
      <c r="K1643" s="7" t="str">
        <f>IF(VLOOKUP(dynamic[productID],products[],7,FALSE)=1,"Discontinued","Current")</f>
        <v>Current</v>
      </c>
      <c r="L1643" s="9">
        <f>VLOOKUP(dynamic[productID],products[],IF(YEAR(dynamic[orderDate])=2022,8,IF(YEAR(dynamic[orderDate])=2023,9,IF(YEAR(dynamic[orderDate])=2024,10,NA))),FALSE)</f>
        <v>14.50738168</v>
      </c>
      <c r="M1643" s="9">
        <v>21.05</v>
      </c>
      <c r="N1643" s="25">
        <f>(dynamic[orderPrice]-dynamic[productCost])/dynamic[productCost]</f>
        <v>0.4509854685</v>
      </c>
      <c r="O1643" s="10">
        <v>21.0</v>
      </c>
      <c r="P1643" s="25">
        <v>0.05</v>
      </c>
      <c r="Q1643" s="9">
        <f>dynamic[orderPrice]*dynamic[orderQuantity]</f>
        <v>442.05</v>
      </c>
      <c r="R1643" s="9">
        <f>dynamic[orderTotal]*(1-dynamic[discountApllied])</f>
        <v>419.9475</v>
      </c>
      <c r="S1643" s="9">
        <f>dynamic[revenue]-(dynamic[productCost]*dynamic[orderQuantity])</f>
        <v>115.2924848</v>
      </c>
      <c r="T1643" s="25">
        <f>IFERROR(dynamic[profit]/dynamic[revenue], 0)</f>
        <v>0.2745402337</v>
      </c>
    </row>
    <row r="1644" ht="15.75" customHeight="1">
      <c r="A1644" s="6">
        <v>10873.0</v>
      </c>
      <c r="B1644" s="7" t="s">
        <v>98</v>
      </c>
      <c r="C1644" s="24" t="str">
        <f>VLOOKUP(dynamic[customerID],customers[],2,FALSE)</f>
        <v>Wilman Kala</v>
      </c>
      <c r="D1644" s="24">
        <v>45328.0</v>
      </c>
      <c r="E1644" s="6">
        <f>IFERROR(__xludf.DUMMYFUNCTION("COUNTUNIQUEIFS($A$2:$A1644,$B$2:$B1644,B1644)"),4.0)</f>
        <v>4</v>
      </c>
      <c r="F1644" s="6">
        <f t="shared" si="1"/>
        <v>122</v>
      </c>
      <c r="G1644" s="6" t="str">
        <f>IF(MINIFS(dynamic[orderDate], dynamic[customerID], B1644) &gt;= DATE(2024,4,30)-120, 
     "New", 
     IF(MAXIFS(dynamic[orderCount], dynamic[customerID], B1644)&lt;=2, 
        IF((DATE(2024,4,30) - MAXIFS(dynamic[orderDate], dynamic[customerID], B1644)) &gt; 180, "Non-Returning", "Dormant"), 
        IF(AND(MAX(dynamic[sinceLastOrder]) &gt; 365, (DATE(2024,4,30) - MAXIFS(dynamic[orderDate], dynamic[customerID], B1644)) &gt; 180), 
           "Dormant", "Regular")))</f>
        <v>Regular</v>
      </c>
      <c r="H1644" s="6">
        <v>21.0</v>
      </c>
      <c r="I1644" s="9" t="str">
        <f>VLOOKUP(dynamic[productID],products[],2,FALSE)</f>
        <v>Sir Rodney's Scones</v>
      </c>
      <c r="J1644" s="9" t="str">
        <f>VLOOKUP(dynamic[productID],products[],12,FALSE)</f>
        <v>Confections</v>
      </c>
      <c r="K1644" s="7" t="str">
        <f>IF(VLOOKUP(dynamic[productID],products[],7,FALSE)=1,"Discontinued","Current")</f>
        <v>Current</v>
      </c>
      <c r="L1644" s="9">
        <f>VLOOKUP(dynamic[productID],products[],IF(YEAR(dynamic[orderDate])=2022,8,IF(YEAR(dynamic[orderDate])=2023,9,IF(YEAR(dynamic[orderDate])=2024,10,NA))),FALSE)</f>
        <v>7.459897593</v>
      </c>
      <c r="M1644" s="9">
        <v>10.0</v>
      </c>
      <c r="N1644" s="25">
        <f>(dynamic[orderPrice]-dynamic[productCost])/dynamic[productCost]</f>
        <v>0.3405009753</v>
      </c>
      <c r="O1644" s="10">
        <v>20.0</v>
      </c>
      <c r="P1644" s="25">
        <v>0.0</v>
      </c>
      <c r="Q1644" s="9">
        <f>dynamic[orderPrice]*dynamic[orderQuantity]</f>
        <v>200</v>
      </c>
      <c r="R1644" s="9">
        <f>dynamic[orderTotal]*(1-dynamic[discountApllied])</f>
        <v>200</v>
      </c>
      <c r="S1644" s="9">
        <f>dynamic[revenue]-(dynamic[productCost]*dynamic[orderQuantity])</f>
        <v>50.80204813</v>
      </c>
      <c r="T1644" s="25">
        <f>IFERROR(dynamic[profit]/dynamic[revenue], 0)</f>
        <v>0.2540102407</v>
      </c>
    </row>
    <row r="1645" ht="15.75" customHeight="1">
      <c r="A1645" s="6">
        <v>10873.0</v>
      </c>
      <c r="B1645" s="7" t="s">
        <v>98</v>
      </c>
      <c r="C1645" s="24" t="str">
        <f>VLOOKUP(dynamic[customerID],customers[],2,FALSE)</f>
        <v>Wilman Kala</v>
      </c>
      <c r="D1645" s="24">
        <v>45328.0</v>
      </c>
      <c r="E1645" s="6">
        <f>IFERROR(__xludf.DUMMYFUNCTION("COUNTUNIQUEIFS($A$2:$A1645,$B$2:$B1645,B1645)"),4.0)</f>
        <v>4</v>
      </c>
      <c r="F1645" s="6">
        <f t="shared" si="1"/>
        <v>122</v>
      </c>
      <c r="G1645" s="6" t="str">
        <f>IF(MINIFS(dynamic[orderDate], dynamic[customerID], B1645) &gt;= DATE(2024,4,30)-120, 
     "New", 
     IF(MAXIFS(dynamic[orderCount], dynamic[customerID], B1645)&lt;=2, 
        IF((DATE(2024,4,30) - MAXIFS(dynamic[orderDate], dynamic[customerID], B1645)) &gt; 180, "Non-Returning", "Dormant"), 
        IF(AND(MAX(dynamic[sinceLastOrder]) &gt; 365, (DATE(2024,4,30) - MAXIFS(dynamic[orderDate], dynamic[customerID], B1645)) &gt; 180), 
           "Dormant", "Regular")))</f>
        <v>Regular</v>
      </c>
      <c r="H1645" s="6">
        <v>28.0</v>
      </c>
      <c r="I1645" s="9" t="str">
        <f>VLOOKUP(dynamic[productID],products[],2,FALSE)</f>
        <v>Rössle Sauerkraut</v>
      </c>
      <c r="J1645" s="9" t="str">
        <f>VLOOKUP(dynamic[productID],products[],12,FALSE)</f>
        <v>Produce</v>
      </c>
      <c r="K1645" s="7" t="str">
        <f>IF(VLOOKUP(dynamic[productID],products[],7,FALSE)=1,"Discontinued","Current")</f>
        <v>Discontinued</v>
      </c>
      <c r="L1645" s="9">
        <f>VLOOKUP(dynamic[productID],products[],IF(YEAR(dynamic[orderDate])=2022,8,IF(YEAR(dynamic[orderDate])=2023,9,IF(YEAR(dynamic[orderDate])=2024,10,NA))),FALSE)</f>
        <v>34.18502761</v>
      </c>
      <c r="M1645" s="9">
        <v>45.6</v>
      </c>
      <c r="N1645" s="25">
        <f>(dynamic[orderPrice]-dynamic[productCost])/dynamic[productCost]</f>
        <v>0.3339173079</v>
      </c>
      <c r="O1645" s="10">
        <v>3.0</v>
      </c>
      <c r="P1645" s="25">
        <v>0.0</v>
      </c>
      <c r="Q1645" s="9">
        <f>dynamic[orderPrice]*dynamic[orderQuantity]</f>
        <v>136.8</v>
      </c>
      <c r="R1645" s="9">
        <f>dynamic[orderTotal]*(1-dynamic[discountApllied])</f>
        <v>136.8</v>
      </c>
      <c r="S1645" s="9">
        <f>dynamic[revenue]-(dynamic[productCost]*dynamic[orderQuantity])</f>
        <v>34.24491717</v>
      </c>
      <c r="T1645" s="25">
        <f>IFERROR(dynamic[profit]/dynamic[revenue], 0)</f>
        <v>0.2503283419</v>
      </c>
    </row>
    <row r="1646" ht="15.75" customHeight="1">
      <c r="A1646" s="6">
        <v>10874.0</v>
      </c>
      <c r="B1646" s="7" t="s">
        <v>51</v>
      </c>
      <c r="C1646" s="24" t="str">
        <f>VLOOKUP(dynamic[customerID],customers[],2,FALSE)</f>
        <v>Godos Cocina Típica</v>
      </c>
      <c r="D1646" s="24">
        <v>45328.0</v>
      </c>
      <c r="E1646" s="6">
        <f>IFERROR(__xludf.DUMMYFUNCTION("COUNTUNIQUEIFS($A$2:$A1646,$B$2:$B1646,B1646)"),5.0)</f>
        <v>5</v>
      </c>
      <c r="F1646" s="6">
        <f t="shared" si="1"/>
        <v>1</v>
      </c>
      <c r="G1646" s="6" t="str">
        <f>IF(MINIFS(dynamic[orderDate], dynamic[customerID], B1646) &gt;= DATE(2024,4,30)-120, 
     "New", 
     IF(MAXIFS(dynamic[orderCount], dynamic[customerID], B1646)&lt;=2, 
        IF((DATE(2024,4,30) - MAXIFS(dynamic[orderDate], dynamic[customerID], B1646)) &gt; 180, "Non-Returning", "Dormant"), 
        IF(AND(MAX(dynamic[sinceLastOrder]) &gt; 365, (DATE(2024,4,30) - MAXIFS(dynamic[orderDate], dynamic[customerID], B1646)) &gt; 180), 
           "Dormant", "Regular")))</f>
        <v>Regular</v>
      </c>
      <c r="H1646" s="6">
        <v>10.0</v>
      </c>
      <c r="I1646" s="9" t="str">
        <f>VLOOKUP(dynamic[productID],products[],2,FALSE)</f>
        <v>Ikura</v>
      </c>
      <c r="J1646" s="9" t="str">
        <f>VLOOKUP(dynamic[productID],products[],12,FALSE)</f>
        <v>Seafood</v>
      </c>
      <c r="K1646" s="7" t="str">
        <f>IF(VLOOKUP(dynamic[productID],products[],7,FALSE)=1,"Discontinued","Current")</f>
        <v>Current</v>
      </c>
      <c r="L1646" s="9">
        <f>VLOOKUP(dynamic[productID],products[],IF(YEAR(dynamic[orderDate])=2022,8,IF(YEAR(dynamic[orderDate])=2023,9,IF(YEAR(dynamic[orderDate])=2024,10,NA))),FALSE)</f>
        <v>20.90394627</v>
      </c>
      <c r="M1646" s="9">
        <v>31.0</v>
      </c>
      <c r="N1646" s="25">
        <f>(dynamic[orderPrice]-dynamic[productCost])/dynamic[productCost]</f>
        <v>0.4829735786</v>
      </c>
      <c r="O1646" s="10">
        <v>10.0</v>
      </c>
      <c r="P1646" s="25">
        <v>0.0</v>
      </c>
      <c r="Q1646" s="9">
        <f>dynamic[orderPrice]*dynamic[orderQuantity]</f>
        <v>310</v>
      </c>
      <c r="R1646" s="9">
        <f>dynamic[orderTotal]*(1-dynamic[discountApllied])</f>
        <v>310</v>
      </c>
      <c r="S1646" s="9">
        <f>dynamic[revenue]-(dynamic[productCost]*dynamic[orderQuantity])</f>
        <v>100.9605373</v>
      </c>
      <c r="T1646" s="25">
        <f>IFERROR(dynamic[profit]/dynamic[revenue], 0)</f>
        <v>0.3256791527</v>
      </c>
    </row>
    <row r="1647" ht="15.75" customHeight="1">
      <c r="A1647" s="6">
        <v>10875.0</v>
      </c>
      <c r="B1647" s="7" t="s">
        <v>40</v>
      </c>
      <c r="C1647" s="24" t="str">
        <f>VLOOKUP(dynamic[customerID],customers[],2,FALSE)</f>
        <v>Berglunds snabbköp</v>
      </c>
      <c r="D1647" s="24">
        <v>45328.0</v>
      </c>
      <c r="E1647" s="6">
        <f>IFERROR(__xludf.DUMMYFUNCTION("COUNTUNIQUEIFS($A$2:$A1647,$B$2:$B1647,B1647)"),17.0)</f>
        <v>17</v>
      </c>
      <c r="F1647" s="6">
        <f t="shared" si="1"/>
        <v>3</v>
      </c>
      <c r="G1647" s="6" t="str">
        <f>IF(MINIFS(dynamic[orderDate], dynamic[customerID], B1647) &gt;= DATE(2024,4,30)-120, 
     "New", 
     IF(MAXIFS(dynamic[orderCount], dynamic[customerID], B1647)&lt;=2, 
        IF((DATE(2024,4,30) - MAXIFS(dynamic[orderDate], dynamic[customerID], B1647)) &gt; 180, "Non-Returning", "Dormant"), 
        IF(AND(MAX(dynamic[sinceLastOrder]) &gt; 365, (DATE(2024,4,30) - MAXIFS(dynamic[orderDate], dynamic[customerID], B1647)) &gt; 180), 
           "Dormant", "Regular")))</f>
        <v>Regular</v>
      </c>
      <c r="H1647" s="6">
        <v>19.0</v>
      </c>
      <c r="I1647" s="9" t="str">
        <f>VLOOKUP(dynamic[productID],products[],2,FALSE)</f>
        <v>Teatime Chocolate Biscuits</v>
      </c>
      <c r="J1647" s="9" t="str">
        <f>VLOOKUP(dynamic[productID],products[],12,FALSE)</f>
        <v>Confections</v>
      </c>
      <c r="K1647" s="7" t="str">
        <f>IF(VLOOKUP(dynamic[productID],products[],7,FALSE)=1,"Discontinued","Current")</f>
        <v>Current</v>
      </c>
      <c r="L1647" s="9">
        <f>VLOOKUP(dynamic[productID],products[],IF(YEAR(dynamic[orderDate])=2022,8,IF(YEAR(dynamic[orderDate])=2023,9,IF(YEAR(dynamic[orderDate])=2024,10,NA))),FALSE)</f>
        <v>6.769656984</v>
      </c>
      <c r="M1647" s="9">
        <v>9.2</v>
      </c>
      <c r="N1647" s="25">
        <f>(dynamic[orderPrice]-dynamic[productCost])/dynamic[productCost]</f>
        <v>0.3590053413</v>
      </c>
      <c r="O1647" s="10">
        <v>25.0</v>
      </c>
      <c r="P1647" s="25">
        <v>0.0</v>
      </c>
      <c r="Q1647" s="9">
        <f>dynamic[orderPrice]*dynamic[orderQuantity]</f>
        <v>230</v>
      </c>
      <c r="R1647" s="9">
        <f>dynamic[orderTotal]*(1-dynamic[discountApllied])</f>
        <v>230</v>
      </c>
      <c r="S1647" s="9">
        <f>dynamic[revenue]-(dynamic[productCost]*dynamic[orderQuantity])</f>
        <v>60.7585754</v>
      </c>
      <c r="T1647" s="25">
        <f>IFERROR(dynamic[profit]/dynamic[revenue], 0)</f>
        <v>0.2641677191</v>
      </c>
    </row>
    <row r="1648" ht="15.75" customHeight="1">
      <c r="A1648" s="6">
        <v>10875.0</v>
      </c>
      <c r="B1648" s="7" t="s">
        <v>40</v>
      </c>
      <c r="C1648" s="24" t="str">
        <f>VLOOKUP(dynamic[customerID],customers[],2,FALSE)</f>
        <v>Berglunds snabbköp</v>
      </c>
      <c r="D1648" s="24">
        <v>45328.0</v>
      </c>
      <c r="E1648" s="6">
        <f>IFERROR(__xludf.DUMMYFUNCTION("COUNTUNIQUEIFS($A$2:$A1648,$B$2:$B1648,B1648)"),17.0)</f>
        <v>17</v>
      </c>
      <c r="F1648" s="6">
        <f t="shared" si="1"/>
        <v>3</v>
      </c>
      <c r="G1648" s="6" t="str">
        <f>IF(MINIFS(dynamic[orderDate], dynamic[customerID], B1648) &gt;= DATE(2024,4,30)-120, 
     "New", 
     IF(MAXIFS(dynamic[orderCount], dynamic[customerID], B1648)&lt;=2, 
        IF((DATE(2024,4,30) - MAXIFS(dynamic[orderDate], dynamic[customerID], B1648)) &gt; 180, "Non-Returning", "Dormant"), 
        IF(AND(MAX(dynamic[sinceLastOrder]) &gt; 365, (DATE(2024,4,30) - MAXIFS(dynamic[orderDate], dynamic[customerID], B1648)) &gt; 180), 
           "Dormant", "Regular")))</f>
        <v>Regular</v>
      </c>
      <c r="H1648" s="6">
        <v>47.0</v>
      </c>
      <c r="I1648" s="9" t="str">
        <f>VLOOKUP(dynamic[productID],products[],2,FALSE)</f>
        <v>Zaanse koeken</v>
      </c>
      <c r="J1648" s="9" t="str">
        <f>VLOOKUP(dynamic[productID],products[],12,FALSE)</f>
        <v>Confections</v>
      </c>
      <c r="K1648" s="7" t="str">
        <f>IF(VLOOKUP(dynamic[productID],products[],7,FALSE)=1,"Discontinued","Current")</f>
        <v>Current</v>
      </c>
      <c r="L1648" s="9">
        <f>VLOOKUP(dynamic[productID],products[],IF(YEAR(dynamic[orderDate])=2022,8,IF(YEAR(dynamic[orderDate])=2023,9,IF(YEAR(dynamic[orderDate])=2024,10,NA))),FALSE)</f>
        <v>6.635130774</v>
      </c>
      <c r="M1648" s="9">
        <v>9.5</v>
      </c>
      <c r="N1648" s="25">
        <f>(dynamic[orderPrice]-dynamic[productCost])/dynamic[productCost]</f>
        <v>0.4317728351</v>
      </c>
      <c r="O1648" s="10">
        <v>21.0</v>
      </c>
      <c r="P1648" s="25">
        <v>0.1</v>
      </c>
      <c r="Q1648" s="9">
        <f>dynamic[orderPrice]*dynamic[orderQuantity]</f>
        <v>199.5</v>
      </c>
      <c r="R1648" s="9">
        <f>dynamic[orderTotal]*(1-dynamic[discountApllied])</f>
        <v>179.55</v>
      </c>
      <c r="S1648" s="9">
        <f>dynamic[revenue]-(dynamic[productCost]*dynamic[orderQuantity])</f>
        <v>40.21225374</v>
      </c>
      <c r="T1648" s="25">
        <f>IFERROR(dynamic[profit]/dynamic[revenue], 0)</f>
        <v>0.223961313</v>
      </c>
    </row>
    <row r="1649" ht="15.75" customHeight="1">
      <c r="A1649" s="6">
        <v>10875.0</v>
      </c>
      <c r="B1649" s="7" t="s">
        <v>40</v>
      </c>
      <c r="C1649" s="24" t="str">
        <f>VLOOKUP(dynamic[customerID],customers[],2,FALSE)</f>
        <v>Berglunds snabbköp</v>
      </c>
      <c r="D1649" s="24">
        <v>45328.0</v>
      </c>
      <c r="E1649" s="6">
        <f>IFERROR(__xludf.DUMMYFUNCTION("COUNTUNIQUEIFS($A$2:$A1649,$B$2:$B1649,B1649)"),17.0)</f>
        <v>17</v>
      </c>
      <c r="F1649" s="6">
        <f t="shared" si="1"/>
        <v>3</v>
      </c>
      <c r="G1649" s="6" t="str">
        <f>IF(MINIFS(dynamic[orderDate], dynamic[customerID], B1649) &gt;= DATE(2024,4,30)-120, 
     "New", 
     IF(MAXIFS(dynamic[orderCount], dynamic[customerID], B1649)&lt;=2, 
        IF((DATE(2024,4,30) - MAXIFS(dynamic[orderDate], dynamic[customerID], B1649)) &gt; 180, "Non-Returning", "Dormant"), 
        IF(AND(MAX(dynamic[sinceLastOrder]) &gt; 365, (DATE(2024,4,30) - MAXIFS(dynamic[orderDate], dynamic[customerID], B1649)) &gt; 180), 
           "Dormant", "Regular")))</f>
        <v>Regular</v>
      </c>
      <c r="H1649" s="6">
        <v>49.0</v>
      </c>
      <c r="I1649" s="9" t="str">
        <f>VLOOKUP(dynamic[productID],products[],2,FALSE)</f>
        <v>Maxilaku</v>
      </c>
      <c r="J1649" s="9" t="str">
        <f>VLOOKUP(dynamic[productID],products[],12,FALSE)</f>
        <v>Confections</v>
      </c>
      <c r="K1649" s="7" t="str">
        <f>IF(VLOOKUP(dynamic[productID],products[],7,FALSE)=1,"Discontinued","Current")</f>
        <v>Current</v>
      </c>
      <c r="L1649" s="9">
        <f>VLOOKUP(dynamic[productID],products[],IF(YEAR(dynamic[orderDate])=2022,8,IF(YEAR(dynamic[orderDate])=2023,9,IF(YEAR(dynamic[orderDate])=2024,10,NA))),FALSE)</f>
        <v>15.07459899</v>
      </c>
      <c r="M1649" s="9">
        <v>20.0</v>
      </c>
      <c r="N1649" s="25">
        <f>(dynamic[orderPrice]-dynamic[productCost])/dynamic[productCost]</f>
        <v>0.3267351269</v>
      </c>
      <c r="O1649" s="10">
        <v>15.0</v>
      </c>
      <c r="P1649" s="25">
        <v>0.0</v>
      </c>
      <c r="Q1649" s="9">
        <f>dynamic[orderPrice]*dynamic[orderQuantity]</f>
        <v>300</v>
      </c>
      <c r="R1649" s="9">
        <f>dynamic[orderTotal]*(1-dynamic[discountApllied])</f>
        <v>300</v>
      </c>
      <c r="S1649" s="9">
        <f>dynamic[revenue]-(dynamic[productCost]*dynamic[orderQuantity])</f>
        <v>73.8810152</v>
      </c>
      <c r="T1649" s="25">
        <f>IFERROR(dynamic[profit]/dynamic[revenue], 0)</f>
        <v>0.2462700507</v>
      </c>
    </row>
    <row r="1650" ht="15.75" customHeight="1">
      <c r="A1650" s="6">
        <v>10876.0</v>
      </c>
      <c r="B1650" s="7" t="s">
        <v>63</v>
      </c>
      <c r="C1650" s="24" t="str">
        <f>VLOOKUP(dynamic[customerID],customers[],2,FALSE)</f>
        <v>Bon app'</v>
      </c>
      <c r="D1650" s="24">
        <v>45331.0</v>
      </c>
      <c r="E1650" s="6">
        <f>IFERROR(__xludf.DUMMYFUNCTION("COUNTUNIQUEIFS($A$2:$A1650,$B$2:$B1650,B1650)"),14.0)</f>
        <v>14</v>
      </c>
      <c r="F1650" s="6">
        <f t="shared" si="1"/>
        <v>4</v>
      </c>
      <c r="G1650" s="6" t="str">
        <f>IF(MINIFS(dynamic[orderDate], dynamic[customerID], B1650) &gt;= DATE(2024,4,30)-120, 
     "New", 
     IF(MAXIFS(dynamic[orderCount], dynamic[customerID], B1650)&lt;=2, 
        IF((DATE(2024,4,30) - MAXIFS(dynamic[orderDate], dynamic[customerID], B1650)) &gt; 180, "Non-Returning", "Dormant"), 
        IF(AND(MAX(dynamic[sinceLastOrder]) &gt; 365, (DATE(2024,4,30) - MAXIFS(dynamic[orderDate], dynamic[customerID], B1650)) &gt; 180), 
           "Dormant", "Regular")))</f>
        <v>Regular</v>
      </c>
      <c r="H1650" s="6">
        <v>46.0</v>
      </c>
      <c r="I1650" s="9" t="str">
        <f>VLOOKUP(dynamic[productID],products[],2,FALSE)</f>
        <v>Spegesild</v>
      </c>
      <c r="J1650" s="9" t="str">
        <f>VLOOKUP(dynamic[productID],products[],12,FALSE)</f>
        <v>Seafood</v>
      </c>
      <c r="K1650" s="7" t="str">
        <f>IF(VLOOKUP(dynamic[productID],products[],7,FALSE)=1,"Discontinued","Current")</f>
        <v>Current</v>
      </c>
      <c r="L1650" s="9">
        <f>VLOOKUP(dynamic[productID],products[],IF(YEAR(dynamic[orderDate])=2022,8,IF(YEAR(dynamic[orderDate])=2023,9,IF(YEAR(dynamic[orderDate])=2024,10,NA))),FALSE)</f>
        <v>8.247981557</v>
      </c>
      <c r="M1650" s="9">
        <v>12.0</v>
      </c>
      <c r="N1650" s="25">
        <f>(dynamic[orderPrice]-dynamic[productCost])/dynamic[productCost]</f>
        <v>0.4549014105</v>
      </c>
      <c r="O1650" s="10">
        <v>21.0</v>
      </c>
      <c r="P1650" s="25">
        <v>0.0</v>
      </c>
      <c r="Q1650" s="9">
        <f>dynamic[orderPrice]*dynamic[orderQuantity]</f>
        <v>252</v>
      </c>
      <c r="R1650" s="9">
        <f>dynamic[orderTotal]*(1-dynamic[discountApllied])</f>
        <v>252</v>
      </c>
      <c r="S1650" s="9">
        <f>dynamic[revenue]-(dynamic[productCost]*dynamic[orderQuantity])</f>
        <v>78.79238731</v>
      </c>
      <c r="T1650" s="25">
        <f>IFERROR(dynamic[profit]/dynamic[revenue], 0)</f>
        <v>0.3126682036</v>
      </c>
    </row>
    <row r="1651" ht="15.75" customHeight="1">
      <c r="A1651" s="6">
        <v>10876.0</v>
      </c>
      <c r="B1651" s="7" t="s">
        <v>63</v>
      </c>
      <c r="C1651" s="24" t="str">
        <f>VLOOKUP(dynamic[customerID],customers[],2,FALSE)</f>
        <v>Bon app'</v>
      </c>
      <c r="D1651" s="24">
        <v>45331.0</v>
      </c>
      <c r="E1651" s="6">
        <f>IFERROR(__xludf.DUMMYFUNCTION("COUNTUNIQUEIFS($A$2:$A1651,$B$2:$B1651,B1651)"),14.0)</f>
        <v>14</v>
      </c>
      <c r="F1651" s="6">
        <f t="shared" si="1"/>
        <v>4</v>
      </c>
      <c r="G1651" s="6" t="str">
        <f>IF(MINIFS(dynamic[orderDate], dynamic[customerID], B1651) &gt;= DATE(2024,4,30)-120, 
     "New", 
     IF(MAXIFS(dynamic[orderCount], dynamic[customerID], B1651)&lt;=2, 
        IF((DATE(2024,4,30) - MAXIFS(dynamic[orderDate], dynamic[customerID], B1651)) &gt; 180, "Non-Returning", "Dormant"), 
        IF(AND(MAX(dynamic[sinceLastOrder]) &gt; 365, (DATE(2024,4,30) - MAXIFS(dynamic[orderDate], dynamic[customerID], B1651)) &gt; 180), 
           "Dormant", "Regular")))</f>
        <v>Regular</v>
      </c>
      <c r="H1651" s="6">
        <v>64.0</v>
      </c>
      <c r="I1651" s="9" t="str">
        <f>VLOOKUP(dynamic[productID],products[],2,FALSE)</f>
        <v>Lukas' leckere Sauerteigweggla</v>
      </c>
      <c r="J1651" s="9" t="str">
        <f>VLOOKUP(dynamic[productID],products[],12,FALSE)</f>
        <v>Grains/Cereals</v>
      </c>
      <c r="K1651" s="7" t="str">
        <f>IF(VLOOKUP(dynamic[productID],products[],7,FALSE)=1,"Discontinued","Current")</f>
        <v>Current</v>
      </c>
      <c r="L1651" s="9">
        <f>VLOOKUP(dynamic[productID],products[],IF(YEAR(dynamic[orderDate])=2022,8,IF(YEAR(dynamic[orderDate])=2023,9,IF(YEAR(dynamic[orderDate])=2024,10,NA))),FALSE)</f>
        <v>22.72434276</v>
      </c>
      <c r="M1651" s="9">
        <v>33.25</v>
      </c>
      <c r="N1651" s="25">
        <f>(dynamic[orderPrice]-dynamic[productCost])/dynamic[productCost]</f>
        <v>0.4631886324</v>
      </c>
      <c r="O1651" s="10">
        <v>20.0</v>
      </c>
      <c r="P1651" s="25">
        <v>0.0</v>
      </c>
      <c r="Q1651" s="9">
        <f>dynamic[orderPrice]*dynamic[orderQuantity]</f>
        <v>665</v>
      </c>
      <c r="R1651" s="9">
        <f>dynamic[orderTotal]*(1-dynamic[discountApllied])</f>
        <v>665</v>
      </c>
      <c r="S1651" s="9">
        <f>dynamic[revenue]-(dynamic[productCost]*dynamic[orderQuantity])</f>
        <v>210.5131449</v>
      </c>
      <c r="T1651" s="25">
        <f>IFERROR(dynamic[profit]/dynamic[revenue], 0)</f>
        <v>0.3165611201</v>
      </c>
    </row>
    <row r="1652" ht="15.75" customHeight="1">
      <c r="A1652" s="6">
        <v>10877.0</v>
      </c>
      <c r="B1652" s="7" t="s">
        <v>44</v>
      </c>
      <c r="C1652" s="24" t="str">
        <f>VLOOKUP(dynamic[customerID],customers[],2,FALSE)</f>
        <v>Ricardo Adocicados</v>
      </c>
      <c r="D1652" s="24">
        <v>45331.0</v>
      </c>
      <c r="E1652" s="6">
        <f>IFERROR(__xludf.DUMMYFUNCTION("COUNTUNIQUEIFS($A$2:$A1652,$B$2:$B1652,B1652)"),10.0)</f>
        <v>10</v>
      </c>
      <c r="F1652" s="6">
        <f t="shared" si="1"/>
        <v>14</v>
      </c>
      <c r="G1652" s="6" t="str">
        <f>IF(MINIFS(dynamic[orderDate], dynamic[customerID], B1652) &gt;= DATE(2024,4,30)-120, 
     "New", 
     IF(MAXIFS(dynamic[orderCount], dynamic[customerID], B1652)&lt;=2, 
        IF((DATE(2024,4,30) - MAXIFS(dynamic[orderDate], dynamic[customerID], B1652)) &gt; 180, "Non-Returning", "Dormant"), 
        IF(AND(MAX(dynamic[sinceLastOrder]) &gt; 365, (DATE(2024,4,30) - MAXIFS(dynamic[orderDate], dynamic[customerID], B1652)) &gt; 180), 
           "Dormant", "Regular")))</f>
        <v>Regular</v>
      </c>
      <c r="H1652" s="6">
        <v>16.0</v>
      </c>
      <c r="I1652" s="9" t="str">
        <f>VLOOKUP(dynamic[productID],products[],2,FALSE)</f>
        <v>Pavlova</v>
      </c>
      <c r="J1652" s="9" t="str">
        <f>VLOOKUP(dynamic[productID],products[],12,FALSE)</f>
        <v>Confections</v>
      </c>
      <c r="K1652" s="7" t="str">
        <f>IF(VLOOKUP(dynamic[productID],products[],7,FALSE)=1,"Discontinued","Current")</f>
        <v>Current</v>
      </c>
      <c r="L1652" s="9">
        <f>VLOOKUP(dynamic[productID],products[],IF(YEAR(dynamic[orderDate])=2022,8,IF(YEAR(dynamic[orderDate])=2023,9,IF(YEAR(dynamic[orderDate])=2024,10,NA))),FALSE)</f>
        <v>12.68283974</v>
      </c>
      <c r="M1652" s="9">
        <v>17.45</v>
      </c>
      <c r="N1652" s="25">
        <f>(dynamic[orderPrice]-dynamic[productCost])/dynamic[productCost]</f>
        <v>0.3758748323</v>
      </c>
      <c r="O1652" s="10">
        <v>30.0</v>
      </c>
      <c r="P1652" s="25">
        <v>0.25</v>
      </c>
      <c r="Q1652" s="9">
        <f>dynamic[orderPrice]*dynamic[orderQuantity]</f>
        <v>523.5</v>
      </c>
      <c r="R1652" s="9">
        <f>dynamic[orderTotal]*(1-dynamic[discountApllied])</f>
        <v>392.625</v>
      </c>
      <c r="S1652" s="9">
        <f>dynamic[revenue]-(dynamic[productCost]*dynamic[orderQuantity])</f>
        <v>12.13980781</v>
      </c>
      <c r="T1652" s="25">
        <f>IFERROR(dynamic[profit]/dynamic[revenue], 0)</f>
        <v>0.03091959965</v>
      </c>
    </row>
    <row r="1653" ht="15.75" customHeight="1">
      <c r="A1653" s="6">
        <v>10877.0</v>
      </c>
      <c r="B1653" s="7" t="s">
        <v>44</v>
      </c>
      <c r="C1653" s="24" t="str">
        <f>VLOOKUP(dynamic[customerID],customers[],2,FALSE)</f>
        <v>Ricardo Adocicados</v>
      </c>
      <c r="D1653" s="24">
        <v>45331.0</v>
      </c>
      <c r="E1653" s="6">
        <f>IFERROR(__xludf.DUMMYFUNCTION("COUNTUNIQUEIFS($A$2:$A1653,$B$2:$B1653,B1653)"),10.0)</f>
        <v>10</v>
      </c>
      <c r="F1653" s="6">
        <f t="shared" si="1"/>
        <v>14</v>
      </c>
      <c r="G1653" s="6" t="str">
        <f>IF(MINIFS(dynamic[orderDate], dynamic[customerID], B1653) &gt;= DATE(2024,4,30)-120, 
     "New", 
     IF(MAXIFS(dynamic[orderCount], dynamic[customerID], B1653)&lt;=2, 
        IF((DATE(2024,4,30) - MAXIFS(dynamic[orderDate], dynamic[customerID], B1653)) &gt; 180, "Non-Returning", "Dormant"), 
        IF(AND(MAX(dynamic[sinceLastOrder]) &gt; 365, (DATE(2024,4,30) - MAXIFS(dynamic[orderDate], dynamic[customerID], B1653)) &gt; 180), 
           "Dormant", "Regular")))</f>
        <v>Regular</v>
      </c>
      <c r="H1653" s="6">
        <v>18.0</v>
      </c>
      <c r="I1653" s="9" t="str">
        <f>VLOOKUP(dynamic[productID],products[],2,FALSE)</f>
        <v>Carnarvon Tigers</v>
      </c>
      <c r="J1653" s="9" t="str">
        <f>VLOOKUP(dynamic[productID],products[],12,FALSE)</f>
        <v>Seafood</v>
      </c>
      <c r="K1653" s="7" t="str">
        <f>IF(VLOOKUP(dynamic[productID],products[],7,FALSE)=1,"Discontinued","Current")</f>
        <v>Current</v>
      </c>
      <c r="L1653" s="9">
        <f>VLOOKUP(dynamic[productID],products[],IF(YEAR(dynamic[orderDate])=2022,8,IF(YEAR(dynamic[orderDate])=2023,9,IF(YEAR(dynamic[orderDate])=2024,10,NA))),FALSE)</f>
        <v>41.27004985</v>
      </c>
      <c r="M1653" s="9">
        <v>62.5</v>
      </c>
      <c r="N1653" s="25">
        <f>(dynamic[orderPrice]-dynamic[productCost])/dynamic[productCost]</f>
        <v>0.5144154231</v>
      </c>
      <c r="O1653" s="10">
        <v>25.0</v>
      </c>
      <c r="P1653" s="25">
        <v>0.0</v>
      </c>
      <c r="Q1653" s="9">
        <f>dynamic[orderPrice]*dynamic[orderQuantity]</f>
        <v>1562.5</v>
      </c>
      <c r="R1653" s="9">
        <f>dynamic[orderTotal]*(1-dynamic[discountApllied])</f>
        <v>1562.5</v>
      </c>
      <c r="S1653" s="9">
        <f>dynamic[revenue]-(dynamic[productCost]*dynamic[orderQuantity])</f>
        <v>530.7487539</v>
      </c>
      <c r="T1653" s="25">
        <f>IFERROR(dynamic[profit]/dynamic[revenue], 0)</f>
        <v>0.3396792025</v>
      </c>
    </row>
    <row r="1654" ht="15.75" customHeight="1">
      <c r="A1654" s="6">
        <v>10878.0</v>
      </c>
      <c r="B1654" s="7" t="s">
        <v>36</v>
      </c>
      <c r="C1654" s="24" t="str">
        <f>VLOOKUP(dynamic[customerID],customers[],2,FALSE)</f>
        <v>QUICK-Stop</v>
      </c>
      <c r="D1654" s="24">
        <v>45332.0</v>
      </c>
      <c r="E1654" s="6">
        <f>IFERROR(__xludf.DUMMYFUNCTION("COUNTUNIQUEIFS($A$2:$A1654,$B$2:$B1654,B1654)"),23.0)</f>
        <v>23</v>
      </c>
      <c r="F1654" s="6">
        <f t="shared" si="1"/>
        <v>8</v>
      </c>
      <c r="G1654" s="6" t="str">
        <f>IF(MINIFS(dynamic[orderDate], dynamic[customerID], B1654) &gt;= DATE(2024,4,30)-120, 
     "New", 
     IF(MAXIFS(dynamic[orderCount], dynamic[customerID], B1654)&lt;=2, 
        IF((DATE(2024,4,30) - MAXIFS(dynamic[orderDate], dynamic[customerID], B1654)) &gt; 180, "Non-Returning", "Dormant"), 
        IF(AND(MAX(dynamic[sinceLastOrder]) &gt; 365, (DATE(2024,4,30) - MAXIFS(dynamic[orderDate], dynamic[customerID], B1654)) &gt; 180), 
           "Dormant", "Regular")))</f>
        <v>Regular</v>
      </c>
      <c r="H1654" s="6">
        <v>20.0</v>
      </c>
      <c r="I1654" s="9" t="str">
        <f>VLOOKUP(dynamic[productID],products[],2,FALSE)</f>
        <v>Sir Rodney's Marmalade</v>
      </c>
      <c r="J1654" s="9" t="str">
        <f>VLOOKUP(dynamic[productID],products[],12,FALSE)</f>
        <v>Confections</v>
      </c>
      <c r="K1654" s="7" t="str">
        <f>IF(VLOOKUP(dynamic[productID],products[],7,FALSE)=1,"Discontinued","Current")</f>
        <v>Current</v>
      </c>
      <c r="L1654" s="9">
        <f>VLOOKUP(dynamic[productID],products[],IF(YEAR(dynamic[orderDate])=2022,8,IF(YEAR(dynamic[orderDate])=2023,9,IF(YEAR(dynamic[orderDate])=2024,10,NA))),FALSE)</f>
        <v>62.82537598</v>
      </c>
      <c r="M1654" s="9">
        <v>81.0</v>
      </c>
      <c r="N1654" s="25">
        <f>(dynamic[orderPrice]-dynamic[productCost])/dynamic[productCost]</f>
        <v>0.2892879468</v>
      </c>
      <c r="O1654" s="10">
        <v>20.0</v>
      </c>
      <c r="P1654" s="25">
        <v>0.05</v>
      </c>
      <c r="Q1654" s="9">
        <f>dynamic[orderPrice]*dynamic[orderQuantity]</f>
        <v>1620</v>
      </c>
      <c r="R1654" s="9">
        <f>dynamic[orderTotal]*(1-dynamic[discountApllied])</f>
        <v>1539</v>
      </c>
      <c r="S1654" s="9">
        <f>dynamic[revenue]-(dynamic[productCost]*dynamic[orderQuantity])</f>
        <v>282.4924805</v>
      </c>
      <c r="T1654" s="25">
        <f>IFERROR(dynamic[profit]/dynamic[revenue], 0)</f>
        <v>0.1835558678</v>
      </c>
    </row>
    <row r="1655" ht="15.75" customHeight="1">
      <c r="A1655" s="6">
        <v>10879.0</v>
      </c>
      <c r="B1655" s="7" t="s">
        <v>98</v>
      </c>
      <c r="C1655" s="24" t="str">
        <f>VLOOKUP(dynamic[customerID],customers[],2,FALSE)</f>
        <v>Wilman Kala</v>
      </c>
      <c r="D1655" s="24">
        <v>45332.0</v>
      </c>
      <c r="E1655" s="6">
        <f>IFERROR(__xludf.DUMMYFUNCTION("COUNTUNIQUEIFS($A$2:$A1655,$B$2:$B1655,B1655)"),5.0)</f>
        <v>5</v>
      </c>
      <c r="F1655" s="6">
        <f t="shared" si="1"/>
        <v>4</v>
      </c>
      <c r="G1655" s="6" t="str">
        <f>IF(MINIFS(dynamic[orderDate], dynamic[customerID], B1655) &gt;= DATE(2024,4,30)-120, 
     "New", 
     IF(MAXIFS(dynamic[orderCount], dynamic[customerID], B1655)&lt;=2, 
        IF((DATE(2024,4,30) - MAXIFS(dynamic[orderDate], dynamic[customerID], B1655)) &gt; 180, "Non-Returning", "Dormant"), 
        IF(AND(MAX(dynamic[sinceLastOrder]) &gt; 365, (DATE(2024,4,30) - MAXIFS(dynamic[orderDate], dynamic[customerID], B1655)) &gt; 180), 
           "Dormant", "Regular")))</f>
        <v>Regular</v>
      </c>
      <c r="H1655" s="6">
        <v>40.0</v>
      </c>
      <c r="I1655" s="9" t="str">
        <f>VLOOKUP(dynamic[productID],products[],2,FALSE)</f>
        <v>Boston Crab Meat</v>
      </c>
      <c r="J1655" s="9" t="str">
        <f>VLOOKUP(dynamic[productID],products[],12,FALSE)</f>
        <v>Seafood</v>
      </c>
      <c r="K1655" s="7" t="str">
        <f>IF(VLOOKUP(dynamic[productID],products[],7,FALSE)=1,"Discontinued","Current")</f>
        <v>Current</v>
      </c>
      <c r="L1655" s="9">
        <f>VLOOKUP(dynamic[productID],products[],IF(YEAR(dynamic[orderDate])=2022,8,IF(YEAR(dynamic[orderDate])=2023,9,IF(YEAR(dynamic[orderDate])=2024,10,NA))),FALSE)</f>
        <v>12.44307</v>
      </c>
      <c r="M1655" s="9">
        <v>18.4</v>
      </c>
      <c r="N1655" s="25">
        <f>(dynamic[orderPrice]-dynamic[productCost])/dynamic[productCost]</f>
        <v>0.4787347499</v>
      </c>
      <c r="O1655" s="10">
        <v>12.0</v>
      </c>
      <c r="P1655" s="25">
        <v>0.0</v>
      </c>
      <c r="Q1655" s="9">
        <f>dynamic[orderPrice]*dynamic[orderQuantity]</f>
        <v>220.8</v>
      </c>
      <c r="R1655" s="9">
        <f>dynamic[orderTotal]*(1-dynamic[discountApllied])</f>
        <v>220.8</v>
      </c>
      <c r="S1655" s="9">
        <f>dynamic[revenue]-(dynamic[productCost]*dynamic[orderQuantity])</f>
        <v>71.48316003</v>
      </c>
      <c r="T1655" s="25">
        <f>IFERROR(dynamic[profit]/dynamic[revenue], 0)</f>
        <v>0.3237461958</v>
      </c>
    </row>
    <row r="1656" ht="15.75" customHeight="1">
      <c r="A1656" s="6">
        <v>10879.0</v>
      </c>
      <c r="B1656" s="7" t="s">
        <v>98</v>
      </c>
      <c r="C1656" s="24" t="str">
        <f>VLOOKUP(dynamic[customerID],customers[],2,FALSE)</f>
        <v>Wilman Kala</v>
      </c>
      <c r="D1656" s="24">
        <v>45332.0</v>
      </c>
      <c r="E1656" s="6">
        <f>IFERROR(__xludf.DUMMYFUNCTION("COUNTUNIQUEIFS($A$2:$A1656,$B$2:$B1656,B1656)"),5.0)</f>
        <v>5</v>
      </c>
      <c r="F1656" s="6">
        <f t="shared" si="1"/>
        <v>4</v>
      </c>
      <c r="G1656" s="6" t="str">
        <f>IF(MINIFS(dynamic[orderDate], dynamic[customerID], B1656) &gt;= DATE(2024,4,30)-120, 
     "New", 
     IF(MAXIFS(dynamic[orderCount], dynamic[customerID], B1656)&lt;=2, 
        IF((DATE(2024,4,30) - MAXIFS(dynamic[orderDate], dynamic[customerID], B1656)) &gt; 180, "Non-Returning", "Dormant"), 
        IF(AND(MAX(dynamic[sinceLastOrder]) &gt; 365, (DATE(2024,4,30) - MAXIFS(dynamic[orderDate], dynamic[customerID], B1656)) &gt; 180), 
           "Dormant", "Regular")))</f>
        <v>Regular</v>
      </c>
      <c r="H1656" s="6">
        <v>65.0</v>
      </c>
      <c r="I1656" s="9" t="str">
        <f>VLOOKUP(dynamic[productID],products[],2,FALSE)</f>
        <v>Louisiana Fiery Hot Pepper Sauce</v>
      </c>
      <c r="J1656" s="9" t="str">
        <f>VLOOKUP(dynamic[productID],products[],12,FALSE)</f>
        <v>Condiments</v>
      </c>
      <c r="K1656" s="7" t="str">
        <f>IF(VLOOKUP(dynamic[productID],products[],7,FALSE)=1,"Discontinued","Current")</f>
        <v>Current</v>
      </c>
      <c r="L1656" s="9">
        <f>VLOOKUP(dynamic[productID],products[],IF(YEAR(dynamic[orderDate])=2022,8,IF(YEAR(dynamic[orderDate])=2023,9,IF(YEAR(dynamic[orderDate])=2024,10,NA))),FALSE)</f>
        <v>14.50738168</v>
      </c>
      <c r="M1656" s="9">
        <v>21.05</v>
      </c>
      <c r="N1656" s="25">
        <f>(dynamic[orderPrice]-dynamic[productCost])/dynamic[productCost]</f>
        <v>0.4509854685</v>
      </c>
      <c r="O1656" s="10">
        <v>10.0</v>
      </c>
      <c r="P1656" s="25">
        <v>0.0</v>
      </c>
      <c r="Q1656" s="9">
        <f>dynamic[orderPrice]*dynamic[orderQuantity]</f>
        <v>210.5</v>
      </c>
      <c r="R1656" s="9">
        <f>dynamic[orderTotal]*(1-dynamic[discountApllied])</f>
        <v>210.5</v>
      </c>
      <c r="S1656" s="9">
        <f>dynamic[revenue]-(dynamic[productCost]*dynamic[orderQuantity])</f>
        <v>65.42618323</v>
      </c>
      <c r="T1656" s="25">
        <f>IFERROR(dynamic[profit]/dynamic[revenue], 0)</f>
        <v>0.310813222</v>
      </c>
    </row>
    <row r="1657" ht="15.75" customHeight="1">
      <c r="A1657" s="6">
        <v>10879.0</v>
      </c>
      <c r="B1657" s="7" t="s">
        <v>98</v>
      </c>
      <c r="C1657" s="24" t="str">
        <f>VLOOKUP(dynamic[customerID],customers[],2,FALSE)</f>
        <v>Wilman Kala</v>
      </c>
      <c r="D1657" s="24">
        <v>45332.0</v>
      </c>
      <c r="E1657" s="6">
        <f>IFERROR(__xludf.DUMMYFUNCTION("COUNTUNIQUEIFS($A$2:$A1657,$B$2:$B1657,B1657)"),5.0)</f>
        <v>5</v>
      </c>
      <c r="F1657" s="6">
        <f t="shared" si="1"/>
        <v>4</v>
      </c>
      <c r="G1657" s="6" t="str">
        <f>IF(MINIFS(dynamic[orderDate], dynamic[customerID], B1657) &gt;= DATE(2024,4,30)-120, 
     "New", 
     IF(MAXIFS(dynamic[orderCount], dynamic[customerID], B1657)&lt;=2, 
        IF((DATE(2024,4,30) - MAXIFS(dynamic[orderDate], dynamic[customerID], B1657)) &gt; 180, "Non-Returning", "Dormant"), 
        IF(AND(MAX(dynamic[sinceLastOrder]) &gt; 365, (DATE(2024,4,30) - MAXIFS(dynamic[orderDate], dynamic[customerID], B1657)) &gt; 180), 
           "Dormant", "Regular")))</f>
        <v>Regular</v>
      </c>
      <c r="H1657" s="6">
        <v>76.0</v>
      </c>
      <c r="I1657" s="9" t="str">
        <f>VLOOKUP(dynamic[productID],products[],2,FALSE)</f>
        <v>Lakkalikööri</v>
      </c>
      <c r="J1657" s="9" t="str">
        <f>VLOOKUP(dynamic[productID],products[],12,FALSE)</f>
        <v>Beverages</v>
      </c>
      <c r="K1657" s="7" t="str">
        <f>IF(VLOOKUP(dynamic[productID],products[],7,FALSE)=1,"Discontinued","Current")</f>
        <v>Current</v>
      </c>
      <c r="L1657" s="9">
        <f>VLOOKUP(dynamic[productID],products[],IF(YEAR(dynamic[orderDate])=2022,8,IF(YEAR(dynamic[orderDate])=2023,9,IF(YEAR(dynamic[orderDate])=2024,10,NA))),FALSE)</f>
        <v>12.15832249</v>
      </c>
      <c r="M1657" s="9">
        <v>18.0</v>
      </c>
      <c r="N1657" s="25">
        <f>(dynamic[orderPrice]-dynamic[productCost])/dynamic[productCost]</f>
        <v>0.4804673928</v>
      </c>
      <c r="O1657" s="10">
        <v>10.0</v>
      </c>
      <c r="P1657" s="25">
        <v>0.0</v>
      </c>
      <c r="Q1657" s="9">
        <f>dynamic[orderPrice]*dynamic[orderQuantity]</f>
        <v>180</v>
      </c>
      <c r="R1657" s="9">
        <f>dynamic[orderTotal]*(1-dynamic[discountApllied])</f>
        <v>180</v>
      </c>
      <c r="S1657" s="9">
        <f>dynamic[revenue]-(dynamic[productCost]*dynamic[orderQuantity])</f>
        <v>58.41677509</v>
      </c>
      <c r="T1657" s="25">
        <f>IFERROR(dynamic[profit]/dynamic[revenue], 0)</f>
        <v>0.3245376394</v>
      </c>
    </row>
    <row r="1658" ht="15.75" customHeight="1">
      <c r="A1658" s="6">
        <v>10880.0</v>
      </c>
      <c r="B1658" s="7" t="s">
        <v>29</v>
      </c>
      <c r="C1658" s="24" t="str">
        <f>VLOOKUP(dynamic[customerID],customers[],2,FALSE)</f>
        <v>Folk och fä HB</v>
      </c>
      <c r="D1658" s="24">
        <v>45332.0</v>
      </c>
      <c r="E1658" s="6">
        <f>IFERROR(__xludf.DUMMYFUNCTION("COUNTUNIQUEIFS($A$2:$A1658,$B$2:$B1658,B1658)"),12.0)</f>
        <v>12</v>
      </c>
      <c r="F1658" s="6">
        <f t="shared" si="1"/>
        <v>32</v>
      </c>
      <c r="G1658" s="6" t="str">
        <f>IF(MINIFS(dynamic[orderDate], dynamic[customerID], B1658) &gt;= DATE(2024,4,30)-120, 
     "New", 
     IF(MAXIFS(dynamic[orderCount], dynamic[customerID], B1658)&lt;=2, 
        IF((DATE(2024,4,30) - MAXIFS(dynamic[orderDate], dynamic[customerID], B1658)) &gt; 180, "Non-Returning", "Dormant"), 
        IF(AND(MAX(dynamic[sinceLastOrder]) &gt; 365, (DATE(2024,4,30) - MAXIFS(dynamic[orderDate], dynamic[customerID], B1658)) &gt; 180), 
           "Dormant", "Regular")))</f>
        <v>Regular</v>
      </c>
      <c r="H1658" s="6">
        <v>23.0</v>
      </c>
      <c r="I1658" s="9" t="str">
        <f>VLOOKUP(dynamic[productID],products[],2,FALSE)</f>
        <v>Tunnbröd</v>
      </c>
      <c r="J1658" s="9" t="str">
        <f>VLOOKUP(dynamic[productID],products[],12,FALSE)</f>
        <v>Grains/Cereals</v>
      </c>
      <c r="K1658" s="7" t="str">
        <f>IF(VLOOKUP(dynamic[productID],products[],7,FALSE)=1,"Discontinued","Current")</f>
        <v>Current</v>
      </c>
      <c r="L1658" s="9">
        <f>VLOOKUP(dynamic[productID],products[],IF(YEAR(dynamic[orderDate])=2022,8,IF(YEAR(dynamic[orderDate])=2023,9,IF(YEAR(dynamic[orderDate])=2024,10,NA))),FALSE)</f>
        <v>6.224885622</v>
      </c>
      <c r="M1658" s="9">
        <v>9.0</v>
      </c>
      <c r="N1658" s="25">
        <f>(dynamic[orderPrice]-dynamic[productCost])/dynamic[productCost]</f>
        <v>0.4458096979</v>
      </c>
      <c r="O1658" s="10">
        <v>30.0</v>
      </c>
      <c r="P1658" s="25">
        <v>0.2</v>
      </c>
      <c r="Q1658" s="9">
        <f>dynamic[orderPrice]*dynamic[orderQuantity]</f>
        <v>270</v>
      </c>
      <c r="R1658" s="9">
        <f>dynamic[orderTotal]*(1-dynamic[discountApllied])</f>
        <v>216</v>
      </c>
      <c r="S1658" s="9">
        <f>dynamic[revenue]-(dynamic[productCost]*dynamic[orderQuantity])</f>
        <v>29.25343135</v>
      </c>
      <c r="T1658" s="25">
        <f>IFERROR(dynamic[profit]/dynamic[revenue], 0)</f>
        <v>0.1354325525</v>
      </c>
    </row>
    <row r="1659" ht="15.75" customHeight="1">
      <c r="A1659" s="6">
        <v>10880.0</v>
      </c>
      <c r="B1659" s="7" t="s">
        <v>29</v>
      </c>
      <c r="C1659" s="24" t="str">
        <f>VLOOKUP(dynamic[customerID],customers[],2,FALSE)</f>
        <v>Folk och fä HB</v>
      </c>
      <c r="D1659" s="24">
        <v>45332.0</v>
      </c>
      <c r="E1659" s="6">
        <f>IFERROR(__xludf.DUMMYFUNCTION("COUNTUNIQUEIFS($A$2:$A1659,$B$2:$B1659,B1659)"),12.0)</f>
        <v>12</v>
      </c>
      <c r="F1659" s="6">
        <f t="shared" si="1"/>
        <v>32</v>
      </c>
      <c r="G1659" s="6" t="str">
        <f>IF(MINIFS(dynamic[orderDate], dynamic[customerID], B1659) &gt;= DATE(2024,4,30)-120, 
     "New", 
     IF(MAXIFS(dynamic[orderCount], dynamic[customerID], B1659)&lt;=2, 
        IF((DATE(2024,4,30) - MAXIFS(dynamic[orderDate], dynamic[customerID], B1659)) &gt; 180, "Non-Returning", "Dormant"), 
        IF(AND(MAX(dynamic[sinceLastOrder]) &gt; 365, (DATE(2024,4,30) - MAXIFS(dynamic[orderDate], dynamic[customerID], B1659)) &gt; 180), 
           "Dormant", "Regular")))</f>
        <v>Regular</v>
      </c>
      <c r="H1659" s="6">
        <v>61.0</v>
      </c>
      <c r="I1659" s="9" t="str">
        <f>VLOOKUP(dynamic[productID],products[],2,FALSE)</f>
        <v>Sirop d'érable</v>
      </c>
      <c r="J1659" s="9" t="str">
        <f>VLOOKUP(dynamic[productID],products[],12,FALSE)</f>
        <v>Condiments</v>
      </c>
      <c r="K1659" s="7" t="str">
        <f>IF(VLOOKUP(dynamic[productID],products[],7,FALSE)=1,"Discontinued","Current")</f>
        <v>Current</v>
      </c>
      <c r="L1659" s="9">
        <f>VLOOKUP(dynamic[productID],products[],IF(YEAR(dynamic[orderDate])=2022,8,IF(YEAR(dynamic[orderDate])=2023,9,IF(YEAR(dynamic[orderDate])=2024,10,NA))),FALSE)</f>
        <v>18.74487379</v>
      </c>
      <c r="M1659" s="9">
        <v>28.5</v>
      </c>
      <c r="N1659" s="25">
        <f>(dynamic[orderPrice]-dynamic[productCost])/dynamic[productCost]</f>
        <v>0.5204156786</v>
      </c>
      <c r="O1659" s="10">
        <v>30.0</v>
      </c>
      <c r="P1659" s="25">
        <v>0.2</v>
      </c>
      <c r="Q1659" s="9">
        <f>dynamic[orderPrice]*dynamic[orderQuantity]</f>
        <v>855</v>
      </c>
      <c r="R1659" s="9">
        <f>dynamic[orderTotal]*(1-dynamic[discountApllied])</f>
        <v>684</v>
      </c>
      <c r="S1659" s="9">
        <f>dynamic[revenue]-(dynamic[productCost]*dynamic[orderQuantity])</f>
        <v>121.6537864</v>
      </c>
      <c r="T1659" s="25">
        <f>IFERROR(dynamic[profit]/dynamic[revenue], 0)</f>
        <v>0.1778564128</v>
      </c>
    </row>
    <row r="1660" ht="15.75" customHeight="1">
      <c r="A1660" s="6">
        <v>10880.0</v>
      </c>
      <c r="B1660" s="7" t="s">
        <v>29</v>
      </c>
      <c r="C1660" s="24" t="str">
        <f>VLOOKUP(dynamic[customerID],customers[],2,FALSE)</f>
        <v>Folk och fä HB</v>
      </c>
      <c r="D1660" s="24">
        <v>45332.0</v>
      </c>
      <c r="E1660" s="6">
        <f>IFERROR(__xludf.DUMMYFUNCTION("COUNTUNIQUEIFS($A$2:$A1660,$B$2:$B1660,B1660)"),12.0)</f>
        <v>12</v>
      </c>
      <c r="F1660" s="6">
        <f t="shared" si="1"/>
        <v>32</v>
      </c>
      <c r="G1660" s="6" t="str">
        <f>IF(MINIFS(dynamic[orderDate], dynamic[customerID], B1660) &gt;= DATE(2024,4,30)-120, 
     "New", 
     IF(MAXIFS(dynamic[orderCount], dynamic[customerID], B1660)&lt;=2, 
        IF((DATE(2024,4,30) - MAXIFS(dynamic[orderDate], dynamic[customerID], B1660)) &gt; 180, "Non-Returning", "Dormant"), 
        IF(AND(MAX(dynamic[sinceLastOrder]) &gt; 365, (DATE(2024,4,30) - MAXIFS(dynamic[orderDate], dynamic[customerID], B1660)) &gt; 180), 
           "Dormant", "Regular")))</f>
        <v>Regular</v>
      </c>
      <c r="H1660" s="6">
        <v>70.0</v>
      </c>
      <c r="I1660" s="9" t="str">
        <f>VLOOKUP(dynamic[productID],products[],2,FALSE)</f>
        <v>Outback Lager</v>
      </c>
      <c r="J1660" s="9" t="str">
        <f>VLOOKUP(dynamic[productID],products[],12,FALSE)</f>
        <v>Beverages</v>
      </c>
      <c r="K1660" s="7" t="str">
        <f>IF(VLOOKUP(dynamic[productID],products[],7,FALSE)=1,"Discontinued","Current")</f>
        <v>Current</v>
      </c>
      <c r="L1660" s="9">
        <f>VLOOKUP(dynamic[productID],products[],IF(YEAR(dynamic[orderDate])=2022,8,IF(YEAR(dynamic[orderDate])=2023,9,IF(YEAR(dynamic[orderDate])=2024,10,NA))),FALSE)</f>
        <v>10.03280812</v>
      </c>
      <c r="M1660" s="9">
        <v>15.0</v>
      </c>
      <c r="N1660" s="25">
        <f>(dynamic[orderPrice]-dynamic[productCost])/dynamic[productCost]</f>
        <v>0.4950948747</v>
      </c>
      <c r="O1660" s="10">
        <v>50.0</v>
      </c>
      <c r="P1660" s="25">
        <v>0.2</v>
      </c>
      <c r="Q1660" s="9">
        <f>dynamic[orderPrice]*dynamic[orderQuantity]</f>
        <v>750</v>
      </c>
      <c r="R1660" s="9">
        <f>dynamic[orderTotal]*(1-dynamic[discountApllied])</f>
        <v>600</v>
      </c>
      <c r="S1660" s="9">
        <f>dynamic[revenue]-(dynamic[productCost]*dynamic[orderQuantity])</f>
        <v>98.35959395</v>
      </c>
      <c r="T1660" s="25">
        <f>IFERROR(dynamic[profit]/dynamic[revenue], 0)</f>
        <v>0.1639326566</v>
      </c>
    </row>
    <row r="1661" ht="15.75" customHeight="1">
      <c r="A1661" s="6">
        <v>10881.0</v>
      </c>
      <c r="B1661" s="7" t="s">
        <v>93</v>
      </c>
      <c r="C1661" s="24" t="str">
        <f>VLOOKUP(dynamic[customerID],customers[],2,FALSE)</f>
        <v>Cactus Comidas para llevar</v>
      </c>
      <c r="D1661" s="24">
        <v>45333.0</v>
      </c>
      <c r="E1661" s="6">
        <f>IFERROR(__xludf.DUMMYFUNCTION("COUNTUNIQUEIFS($A$2:$A1661,$B$2:$B1661,B1661)"),4.0)</f>
        <v>4</v>
      </c>
      <c r="F1661" s="6">
        <f t="shared" si="1"/>
        <v>35</v>
      </c>
      <c r="G1661" s="6" t="str">
        <f>IF(MINIFS(dynamic[orderDate], dynamic[customerID], B1661) &gt;= DATE(2024,4,30)-120, 
     "New", 
     IF(MAXIFS(dynamic[orderCount], dynamic[customerID], B1661)&lt;=2, 
        IF((DATE(2024,4,30) - MAXIFS(dynamic[orderDate], dynamic[customerID], B1661)) &gt; 180, "Non-Returning", "Dormant"), 
        IF(AND(MAX(dynamic[sinceLastOrder]) &gt; 365, (DATE(2024,4,30) - MAXIFS(dynamic[orderDate], dynamic[customerID], B1661)) &gt; 180), 
           "Dormant", "Regular")))</f>
        <v>Regular</v>
      </c>
      <c r="H1661" s="6">
        <v>73.0</v>
      </c>
      <c r="I1661" s="9" t="str">
        <f>VLOOKUP(dynamic[productID],products[],2,FALSE)</f>
        <v>Röd Kaviar</v>
      </c>
      <c r="J1661" s="9" t="str">
        <f>VLOOKUP(dynamic[productID],products[],12,FALSE)</f>
        <v>Seafood</v>
      </c>
      <c r="K1661" s="7" t="str">
        <f>IF(VLOOKUP(dynamic[productID],products[],7,FALSE)=1,"Discontinued","Current")</f>
        <v>Current</v>
      </c>
      <c r="L1661" s="9">
        <f>VLOOKUP(dynamic[productID],products[],IF(YEAR(dynamic[orderDate])=2022,8,IF(YEAR(dynamic[orderDate])=2023,9,IF(YEAR(dynamic[orderDate])=2024,10,NA))),FALSE)</f>
        <v>10.38017757</v>
      </c>
      <c r="M1661" s="9">
        <v>15.0</v>
      </c>
      <c r="N1661" s="25">
        <f>(dynamic[orderPrice]-dynamic[productCost])/dynamic[productCost]</f>
        <v>0.445061984</v>
      </c>
      <c r="O1661" s="10">
        <v>10.0</v>
      </c>
      <c r="P1661" s="25">
        <v>0.0</v>
      </c>
      <c r="Q1661" s="9">
        <f>dynamic[orderPrice]*dynamic[orderQuantity]</f>
        <v>150</v>
      </c>
      <c r="R1661" s="9">
        <f>dynamic[orderTotal]*(1-dynamic[discountApllied])</f>
        <v>150</v>
      </c>
      <c r="S1661" s="9">
        <f>dynamic[revenue]-(dynamic[productCost]*dynamic[orderQuantity])</f>
        <v>46.19822425</v>
      </c>
      <c r="T1661" s="25">
        <f>IFERROR(dynamic[profit]/dynamic[revenue], 0)</f>
        <v>0.3079881617</v>
      </c>
    </row>
    <row r="1662" ht="15.75" customHeight="1">
      <c r="A1662" s="6">
        <v>10882.0</v>
      </c>
      <c r="B1662" s="7" t="s">
        <v>60</v>
      </c>
      <c r="C1662" s="24" t="str">
        <f>VLOOKUP(dynamic[customerID],customers[],2,FALSE)</f>
        <v>Save-a-lot Markets</v>
      </c>
      <c r="D1662" s="24">
        <v>45333.0</v>
      </c>
      <c r="E1662" s="6">
        <f>IFERROR(__xludf.DUMMYFUNCTION("COUNTUNIQUEIFS($A$2:$A1662,$B$2:$B1662,B1662)"),23.0)</f>
        <v>23</v>
      </c>
      <c r="F1662" s="6">
        <f t="shared" si="1"/>
        <v>20</v>
      </c>
      <c r="G1662" s="6" t="str">
        <f>IF(MINIFS(dynamic[orderDate], dynamic[customerID], B1662) &gt;= DATE(2024,4,30)-120, 
     "New", 
     IF(MAXIFS(dynamic[orderCount], dynamic[customerID], B1662)&lt;=2, 
        IF((DATE(2024,4,30) - MAXIFS(dynamic[orderDate], dynamic[customerID], B1662)) &gt; 180, "Non-Returning", "Dormant"), 
        IF(AND(MAX(dynamic[sinceLastOrder]) &gt; 365, (DATE(2024,4,30) - MAXIFS(dynamic[orderDate], dynamic[customerID], B1662)) &gt; 180), 
           "Dormant", "Regular")))</f>
        <v>Regular</v>
      </c>
      <c r="H1662" s="6">
        <v>42.0</v>
      </c>
      <c r="I1662" s="9" t="str">
        <f>VLOOKUP(dynamic[productID],products[],2,FALSE)</f>
        <v>Singaporean Hokkien Fried Mee</v>
      </c>
      <c r="J1662" s="9" t="str">
        <f>VLOOKUP(dynamic[productID],products[],12,FALSE)</f>
        <v>Grains/Cereals</v>
      </c>
      <c r="K1662" s="7" t="str">
        <f>IF(VLOOKUP(dynamic[productID],products[],7,FALSE)=1,"Discontinued","Current")</f>
        <v>Discontinued</v>
      </c>
      <c r="L1662" s="9">
        <f>VLOOKUP(dynamic[productID],products[],IF(YEAR(dynamic[orderDate])=2022,8,IF(YEAR(dynamic[orderDate])=2023,9,IF(YEAR(dynamic[orderDate])=2024,10,NA))),FALSE)</f>
        <v>9.64736714</v>
      </c>
      <c r="M1662" s="9">
        <v>14.0</v>
      </c>
      <c r="N1662" s="25">
        <f>(dynamic[orderPrice]-dynamic[productCost])/dynamic[productCost]</f>
        <v>0.4511731333</v>
      </c>
      <c r="O1662" s="10">
        <v>25.0</v>
      </c>
      <c r="P1662" s="25">
        <v>0.0</v>
      </c>
      <c r="Q1662" s="9">
        <f>dynamic[orderPrice]*dynamic[orderQuantity]</f>
        <v>350</v>
      </c>
      <c r="R1662" s="9">
        <f>dynamic[orderTotal]*(1-dynamic[discountApllied])</f>
        <v>350</v>
      </c>
      <c r="S1662" s="9">
        <f>dynamic[revenue]-(dynamic[productCost]*dynamic[orderQuantity])</f>
        <v>108.8158215</v>
      </c>
      <c r="T1662" s="25">
        <f>IFERROR(dynamic[profit]/dynamic[revenue], 0)</f>
        <v>0.3109023472</v>
      </c>
    </row>
    <row r="1663" ht="15.75" customHeight="1">
      <c r="A1663" s="6">
        <v>10882.0</v>
      </c>
      <c r="B1663" s="7" t="s">
        <v>60</v>
      </c>
      <c r="C1663" s="24" t="str">
        <f>VLOOKUP(dynamic[customerID],customers[],2,FALSE)</f>
        <v>Save-a-lot Markets</v>
      </c>
      <c r="D1663" s="24">
        <v>45333.0</v>
      </c>
      <c r="E1663" s="6">
        <f>IFERROR(__xludf.DUMMYFUNCTION("COUNTUNIQUEIFS($A$2:$A1663,$B$2:$B1663,B1663)"),23.0)</f>
        <v>23</v>
      </c>
      <c r="F1663" s="6">
        <f t="shared" si="1"/>
        <v>20</v>
      </c>
      <c r="G1663" s="6" t="str">
        <f>IF(MINIFS(dynamic[orderDate], dynamic[customerID], B1663) &gt;= DATE(2024,4,30)-120, 
     "New", 
     IF(MAXIFS(dynamic[orderCount], dynamic[customerID], B1663)&lt;=2, 
        IF((DATE(2024,4,30) - MAXIFS(dynamic[orderDate], dynamic[customerID], B1663)) &gt; 180, "Non-Returning", "Dormant"), 
        IF(AND(MAX(dynamic[sinceLastOrder]) &gt; 365, (DATE(2024,4,30) - MAXIFS(dynamic[orderDate], dynamic[customerID], B1663)) &gt; 180), 
           "Dormant", "Regular")))</f>
        <v>Regular</v>
      </c>
      <c r="H1663" s="6">
        <v>49.0</v>
      </c>
      <c r="I1663" s="9" t="str">
        <f>VLOOKUP(dynamic[productID],products[],2,FALSE)</f>
        <v>Maxilaku</v>
      </c>
      <c r="J1663" s="9" t="str">
        <f>VLOOKUP(dynamic[productID],products[],12,FALSE)</f>
        <v>Confections</v>
      </c>
      <c r="K1663" s="7" t="str">
        <f>IF(VLOOKUP(dynamic[productID],products[],7,FALSE)=1,"Discontinued","Current")</f>
        <v>Current</v>
      </c>
      <c r="L1663" s="9">
        <f>VLOOKUP(dynamic[productID],products[],IF(YEAR(dynamic[orderDate])=2022,8,IF(YEAR(dynamic[orderDate])=2023,9,IF(YEAR(dynamic[orderDate])=2024,10,NA))),FALSE)</f>
        <v>15.07459899</v>
      </c>
      <c r="M1663" s="9">
        <v>20.0</v>
      </c>
      <c r="N1663" s="25">
        <f>(dynamic[orderPrice]-dynamic[productCost])/dynamic[productCost]</f>
        <v>0.3267351269</v>
      </c>
      <c r="O1663" s="10">
        <v>20.0</v>
      </c>
      <c r="P1663" s="25">
        <v>0.15</v>
      </c>
      <c r="Q1663" s="9">
        <f>dynamic[orderPrice]*dynamic[orderQuantity]</f>
        <v>400</v>
      </c>
      <c r="R1663" s="9">
        <f>dynamic[orderTotal]*(1-dynamic[discountApllied])</f>
        <v>340</v>
      </c>
      <c r="S1663" s="9">
        <f>dynamic[revenue]-(dynamic[productCost]*dynamic[orderQuantity])</f>
        <v>38.50802027</v>
      </c>
      <c r="T1663" s="25">
        <f>IFERROR(dynamic[profit]/dynamic[revenue], 0)</f>
        <v>0.1132588831</v>
      </c>
    </row>
    <row r="1664" ht="15.75" customHeight="1">
      <c r="A1664" s="6">
        <v>10882.0</v>
      </c>
      <c r="B1664" s="7" t="s">
        <v>60</v>
      </c>
      <c r="C1664" s="24" t="str">
        <f>VLOOKUP(dynamic[customerID],customers[],2,FALSE)</f>
        <v>Save-a-lot Markets</v>
      </c>
      <c r="D1664" s="24">
        <v>45333.0</v>
      </c>
      <c r="E1664" s="6">
        <f>IFERROR(__xludf.DUMMYFUNCTION("COUNTUNIQUEIFS($A$2:$A1664,$B$2:$B1664,B1664)"),23.0)</f>
        <v>23</v>
      </c>
      <c r="F1664" s="6">
        <f t="shared" si="1"/>
        <v>20</v>
      </c>
      <c r="G1664" s="6" t="str">
        <f>IF(MINIFS(dynamic[orderDate], dynamic[customerID], B1664) &gt;= DATE(2024,4,30)-120, 
     "New", 
     IF(MAXIFS(dynamic[orderCount], dynamic[customerID], B1664)&lt;=2, 
        IF((DATE(2024,4,30) - MAXIFS(dynamic[orderDate], dynamic[customerID], B1664)) &gt; 180, "Non-Returning", "Dormant"), 
        IF(AND(MAX(dynamic[sinceLastOrder]) &gt; 365, (DATE(2024,4,30) - MAXIFS(dynamic[orderDate], dynamic[customerID], B1664)) &gt; 180), 
           "Dormant", "Regular")))</f>
        <v>Regular</v>
      </c>
      <c r="H1664" s="6">
        <v>54.0</v>
      </c>
      <c r="I1664" s="9" t="str">
        <f>VLOOKUP(dynamic[productID],products[],2,FALSE)</f>
        <v>Tourtière</v>
      </c>
      <c r="J1664" s="9" t="str">
        <f>VLOOKUP(dynamic[productID],products[],12,FALSE)</f>
        <v>Meat/Poultry</v>
      </c>
      <c r="K1664" s="7" t="str">
        <f>IF(VLOOKUP(dynamic[productID],products[],7,FALSE)=1,"Discontinued","Current")</f>
        <v>Current</v>
      </c>
      <c r="L1664" s="9">
        <f>VLOOKUP(dynamic[productID],products[],IF(YEAR(dynamic[orderDate])=2022,8,IF(YEAR(dynamic[orderDate])=2023,9,IF(YEAR(dynamic[orderDate])=2024,10,NA))),FALSE)</f>
        <v>4.884716455</v>
      </c>
      <c r="M1664" s="9">
        <v>7.45</v>
      </c>
      <c r="N1664" s="25">
        <f>(dynamic[orderPrice]-dynamic[productCost])/dynamic[productCost]</f>
        <v>0.5251652923</v>
      </c>
      <c r="O1664" s="10">
        <v>32.0</v>
      </c>
      <c r="P1664" s="25">
        <v>0.15</v>
      </c>
      <c r="Q1664" s="9">
        <f>dynamic[orderPrice]*dynamic[orderQuantity]</f>
        <v>238.4</v>
      </c>
      <c r="R1664" s="9">
        <f>dynamic[orderTotal]*(1-dynamic[discountApllied])</f>
        <v>202.64</v>
      </c>
      <c r="S1664" s="9">
        <f>dynamic[revenue]-(dynamic[productCost]*dynamic[orderQuantity])</f>
        <v>46.32907344</v>
      </c>
      <c r="T1664" s="25">
        <f>IFERROR(dynamic[profit]/dynamic[revenue], 0)</f>
        <v>0.2286274844</v>
      </c>
    </row>
    <row r="1665" ht="15.75" customHeight="1">
      <c r="A1665" s="6">
        <v>10883.0</v>
      </c>
      <c r="B1665" s="7" t="s">
        <v>53</v>
      </c>
      <c r="C1665" s="24" t="str">
        <f>VLOOKUP(dynamic[customerID],customers[],2,FALSE)</f>
        <v>Lonesome Pine Restaurant</v>
      </c>
      <c r="D1665" s="24">
        <v>45334.0</v>
      </c>
      <c r="E1665" s="6">
        <f>IFERROR(__xludf.DUMMYFUNCTION("COUNTUNIQUEIFS($A$2:$A1665,$B$2:$B1665,B1665)"),7.0)</f>
        <v>7</v>
      </c>
      <c r="F1665" s="6">
        <f t="shared" si="1"/>
        <v>9</v>
      </c>
      <c r="G1665" s="6" t="str">
        <f>IF(MINIFS(dynamic[orderDate], dynamic[customerID], B1665) &gt;= DATE(2024,4,30)-120, 
     "New", 
     IF(MAXIFS(dynamic[orderCount], dynamic[customerID], B1665)&lt;=2, 
        IF((DATE(2024,4,30) - MAXIFS(dynamic[orderDate], dynamic[customerID], B1665)) &gt; 180, "Non-Returning", "Dormant"), 
        IF(AND(MAX(dynamic[sinceLastOrder]) &gt; 365, (DATE(2024,4,30) - MAXIFS(dynamic[orderDate], dynamic[customerID], B1665)) &gt; 180), 
           "Dormant", "Regular")))</f>
        <v>Regular</v>
      </c>
      <c r="H1665" s="6">
        <v>24.0</v>
      </c>
      <c r="I1665" s="9" t="str">
        <f>VLOOKUP(dynamic[productID],products[],2,FALSE)</f>
        <v>Brigadeiros Maravilhosos da Lilian</v>
      </c>
      <c r="J1665" s="9" t="str">
        <f>VLOOKUP(dynamic[productID],products[],12,FALSE)</f>
        <v>Confections</v>
      </c>
      <c r="K1665" s="7" t="str">
        <f>IF(VLOOKUP(dynamic[productID],products[],7,FALSE)=1,"Discontinued","Current")</f>
        <v>Discontinued</v>
      </c>
      <c r="L1665" s="9">
        <f>VLOOKUP(dynamic[productID],products[],IF(YEAR(dynamic[orderDate])=2022,8,IF(YEAR(dynamic[orderDate])=2023,9,IF(YEAR(dynamic[orderDate])=2024,10,NA))),FALSE)</f>
        <v>3.177326315</v>
      </c>
      <c r="M1665" s="9">
        <v>4.5</v>
      </c>
      <c r="N1665" s="25">
        <f>(dynamic[orderPrice]-dynamic[productCost])/dynamic[productCost]</f>
        <v>0.416285126</v>
      </c>
      <c r="O1665" s="10">
        <v>8.0</v>
      </c>
      <c r="P1665" s="25">
        <v>0.0</v>
      </c>
      <c r="Q1665" s="9">
        <f>dynamic[orderPrice]*dynamic[orderQuantity]</f>
        <v>36</v>
      </c>
      <c r="R1665" s="9">
        <f>dynamic[orderTotal]*(1-dynamic[discountApllied])</f>
        <v>36</v>
      </c>
      <c r="S1665" s="9">
        <f>dynamic[revenue]-(dynamic[productCost]*dynamic[orderQuantity])</f>
        <v>10.58138948</v>
      </c>
      <c r="T1665" s="25">
        <f>IFERROR(dynamic[profit]/dynamic[revenue], 0)</f>
        <v>0.2939274856</v>
      </c>
    </row>
    <row r="1666" ht="15.75" customHeight="1">
      <c r="A1666" s="6">
        <v>10884.0</v>
      </c>
      <c r="B1666" s="7" t="s">
        <v>97</v>
      </c>
      <c r="C1666" s="24" t="str">
        <f>VLOOKUP(dynamic[customerID],customers[],2,FALSE)</f>
        <v>Let's Stop N Shop</v>
      </c>
      <c r="D1666" s="24">
        <v>45334.0</v>
      </c>
      <c r="E1666" s="6">
        <f>IFERROR(__xludf.DUMMYFUNCTION("COUNTUNIQUEIFS($A$2:$A1666,$B$2:$B1666,B1666)"),4.0)</f>
        <v>4</v>
      </c>
      <c r="F1666" s="6">
        <f t="shared" si="1"/>
        <v>94</v>
      </c>
      <c r="G1666" s="6" t="str">
        <f>IF(MINIFS(dynamic[orderDate], dynamic[customerID], B1666) &gt;= DATE(2024,4,30)-120, 
     "New", 
     IF(MAXIFS(dynamic[orderCount], dynamic[customerID], B1666)&lt;=2, 
        IF((DATE(2024,4,30) - MAXIFS(dynamic[orderDate], dynamic[customerID], B1666)) &gt; 180, "Non-Returning", "Dormant"), 
        IF(AND(MAX(dynamic[sinceLastOrder]) &gt; 365, (DATE(2024,4,30) - MAXIFS(dynamic[orderDate], dynamic[customerID], B1666)) &gt; 180), 
           "Dormant", "Regular")))</f>
        <v>Regular</v>
      </c>
      <c r="H1666" s="6">
        <v>21.0</v>
      </c>
      <c r="I1666" s="9" t="str">
        <f>VLOOKUP(dynamic[productID],products[],2,FALSE)</f>
        <v>Sir Rodney's Scones</v>
      </c>
      <c r="J1666" s="9" t="str">
        <f>VLOOKUP(dynamic[productID],products[],12,FALSE)</f>
        <v>Confections</v>
      </c>
      <c r="K1666" s="7" t="str">
        <f>IF(VLOOKUP(dynamic[productID],products[],7,FALSE)=1,"Discontinued","Current")</f>
        <v>Current</v>
      </c>
      <c r="L1666" s="9">
        <f>VLOOKUP(dynamic[productID],products[],IF(YEAR(dynamic[orderDate])=2022,8,IF(YEAR(dynamic[orderDate])=2023,9,IF(YEAR(dynamic[orderDate])=2024,10,NA))),FALSE)</f>
        <v>7.459897593</v>
      </c>
      <c r="M1666" s="9">
        <v>10.0</v>
      </c>
      <c r="N1666" s="25">
        <f>(dynamic[orderPrice]-dynamic[productCost])/dynamic[productCost]</f>
        <v>0.3405009753</v>
      </c>
      <c r="O1666" s="10">
        <v>40.0</v>
      </c>
      <c r="P1666" s="25">
        <v>0.05</v>
      </c>
      <c r="Q1666" s="9">
        <f>dynamic[orderPrice]*dynamic[orderQuantity]</f>
        <v>400</v>
      </c>
      <c r="R1666" s="9">
        <f>dynamic[orderTotal]*(1-dynamic[discountApllied])</f>
        <v>380</v>
      </c>
      <c r="S1666" s="9">
        <f>dynamic[revenue]-(dynamic[productCost]*dynamic[orderQuantity])</f>
        <v>81.60409626</v>
      </c>
      <c r="T1666" s="25">
        <f>IFERROR(dynamic[profit]/dynamic[revenue], 0)</f>
        <v>0.2147476217</v>
      </c>
    </row>
    <row r="1667" ht="15.75" customHeight="1">
      <c r="A1667" s="6">
        <v>10884.0</v>
      </c>
      <c r="B1667" s="7" t="s">
        <v>97</v>
      </c>
      <c r="C1667" s="24" t="str">
        <f>VLOOKUP(dynamic[customerID],customers[],2,FALSE)</f>
        <v>Let's Stop N Shop</v>
      </c>
      <c r="D1667" s="24">
        <v>45334.0</v>
      </c>
      <c r="E1667" s="6">
        <f>IFERROR(__xludf.DUMMYFUNCTION("COUNTUNIQUEIFS($A$2:$A1667,$B$2:$B1667,B1667)"),4.0)</f>
        <v>4</v>
      </c>
      <c r="F1667" s="6">
        <f t="shared" si="1"/>
        <v>94</v>
      </c>
      <c r="G1667" s="6" t="str">
        <f>IF(MINIFS(dynamic[orderDate], dynamic[customerID], B1667) &gt;= DATE(2024,4,30)-120, 
     "New", 
     IF(MAXIFS(dynamic[orderCount], dynamic[customerID], B1667)&lt;=2, 
        IF((DATE(2024,4,30) - MAXIFS(dynamic[orderDate], dynamic[customerID], B1667)) &gt; 180, "Non-Returning", "Dormant"), 
        IF(AND(MAX(dynamic[sinceLastOrder]) &gt; 365, (DATE(2024,4,30) - MAXIFS(dynamic[orderDate], dynamic[customerID], B1667)) &gt; 180), 
           "Dormant", "Regular")))</f>
        <v>Regular</v>
      </c>
      <c r="H1667" s="6">
        <v>56.0</v>
      </c>
      <c r="I1667" s="9" t="str">
        <f>VLOOKUP(dynamic[productID],products[],2,FALSE)</f>
        <v>Gnocchi di nonna Alice</v>
      </c>
      <c r="J1667" s="9" t="str">
        <f>VLOOKUP(dynamic[productID],products[],12,FALSE)</f>
        <v>Grains/Cereals</v>
      </c>
      <c r="K1667" s="7" t="str">
        <f>IF(VLOOKUP(dynamic[productID],products[],7,FALSE)=1,"Discontinued","Current")</f>
        <v>Current</v>
      </c>
      <c r="L1667" s="9">
        <f>VLOOKUP(dynamic[productID],products[],IF(YEAR(dynamic[orderDate])=2022,8,IF(YEAR(dynamic[orderDate])=2023,9,IF(YEAR(dynamic[orderDate])=2024,10,NA))),FALSE)</f>
        <v>27.53915851</v>
      </c>
      <c r="M1667" s="9">
        <v>38.0</v>
      </c>
      <c r="N1667" s="25">
        <f>(dynamic[orderPrice]-dynamic[productCost])/dynamic[productCost]</f>
        <v>0.3798533452</v>
      </c>
      <c r="O1667" s="10">
        <v>21.0</v>
      </c>
      <c r="P1667" s="25">
        <v>0.05</v>
      </c>
      <c r="Q1667" s="9">
        <f>dynamic[orderPrice]*dynamic[orderQuantity]</f>
        <v>798</v>
      </c>
      <c r="R1667" s="9">
        <f>dynamic[orderTotal]*(1-dynamic[discountApllied])</f>
        <v>758.1</v>
      </c>
      <c r="S1667" s="9">
        <f>dynamic[revenue]-(dynamic[productCost]*dynamic[orderQuantity])</f>
        <v>179.7776712</v>
      </c>
      <c r="T1667" s="25">
        <f>IFERROR(dynamic[profit]/dynamic[revenue], 0)</f>
        <v>0.2371424234</v>
      </c>
    </row>
    <row r="1668" ht="15.75" customHeight="1">
      <c r="A1668" s="6">
        <v>10884.0</v>
      </c>
      <c r="B1668" s="7" t="s">
        <v>97</v>
      </c>
      <c r="C1668" s="24" t="str">
        <f>VLOOKUP(dynamic[customerID],customers[],2,FALSE)</f>
        <v>Let's Stop N Shop</v>
      </c>
      <c r="D1668" s="24">
        <v>45334.0</v>
      </c>
      <c r="E1668" s="6">
        <f>IFERROR(__xludf.DUMMYFUNCTION("COUNTUNIQUEIFS($A$2:$A1668,$B$2:$B1668,B1668)"),4.0)</f>
        <v>4</v>
      </c>
      <c r="F1668" s="6">
        <f t="shared" si="1"/>
        <v>94</v>
      </c>
      <c r="G1668" s="6" t="str">
        <f>IF(MINIFS(dynamic[orderDate], dynamic[customerID], B1668) &gt;= DATE(2024,4,30)-120, 
     "New", 
     IF(MAXIFS(dynamic[orderCount], dynamic[customerID], B1668)&lt;=2, 
        IF((DATE(2024,4,30) - MAXIFS(dynamic[orderDate], dynamic[customerID], B1668)) &gt; 180, "Non-Returning", "Dormant"), 
        IF(AND(MAX(dynamic[sinceLastOrder]) &gt; 365, (DATE(2024,4,30) - MAXIFS(dynamic[orderDate], dynamic[customerID], B1668)) &gt; 180), 
           "Dormant", "Regular")))</f>
        <v>Regular</v>
      </c>
      <c r="H1668" s="6">
        <v>65.0</v>
      </c>
      <c r="I1668" s="9" t="str">
        <f>VLOOKUP(dynamic[productID],products[],2,FALSE)</f>
        <v>Louisiana Fiery Hot Pepper Sauce</v>
      </c>
      <c r="J1668" s="9" t="str">
        <f>VLOOKUP(dynamic[productID],products[],12,FALSE)</f>
        <v>Condiments</v>
      </c>
      <c r="K1668" s="7" t="str">
        <f>IF(VLOOKUP(dynamic[productID],products[],7,FALSE)=1,"Discontinued","Current")</f>
        <v>Current</v>
      </c>
      <c r="L1668" s="9">
        <f>VLOOKUP(dynamic[productID],products[],IF(YEAR(dynamic[orderDate])=2022,8,IF(YEAR(dynamic[orderDate])=2023,9,IF(YEAR(dynamic[orderDate])=2024,10,NA))),FALSE)</f>
        <v>14.50738168</v>
      </c>
      <c r="M1668" s="9">
        <v>21.05</v>
      </c>
      <c r="N1668" s="25">
        <f>(dynamic[orderPrice]-dynamic[productCost])/dynamic[productCost]</f>
        <v>0.4509854685</v>
      </c>
      <c r="O1668" s="10">
        <v>12.0</v>
      </c>
      <c r="P1668" s="25">
        <v>0.05</v>
      </c>
      <c r="Q1668" s="9">
        <f>dynamic[orderPrice]*dynamic[orderQuantity]</f>
        <v>252.6</v>
      </c>
      <c r="R1668" s="9">
        <f>dynamic[orderTotal]*(1-dynamic[discountApllied])</f>
        <v>239.97</v>
      </c>
      <c r="S1668" s="9">
        <f>dynamic[revenue]-(dynamic[productCost]*dynamic[orderQuantity])</f>
        <v>65.88141987</v>
      </c>
      <c r="T1668" s="25">
        <f>IFERROR(dynamic[profit]/dynamic[revenue], 0)</f>
        <v>0.2745402337</v>
      </c>
    </row>
    <row r="1669" ht="15.75" customHeight="1">
      <c r="A1669" s="6">
        <v>10885.0</v>
      </c>
      <c r="B1669" s="7" t="s">
        <v>19</v>
      </c>
      <c r="C1669" s="24" t="str">
        <f>VLOOKUP(dynamic[customerID],customers[],2,FALSE)</f>
        <v>Suprêmes délices</v>
      </c>
      <c r="D1669" s="24">
        <v>45334.0</v>
      </c>
      <c r="E1669" s="6">
        <f>IFERROR(__xludf.DUMMYFUNCTION("COUNTUNIQUEIFS($A$2:$A1669,$B$2:$B1669,B1669)"),9.0)</f>
        <v>9</v>
      </c>
      <c r="F1669" s="6">
        <f t="shared" si="1"/>
        <v>21</v>
      </c>
      <c r="G1669" s="6" t="str">
        <f>IF(MINIFS(dynamic[orderDate], dynamic[customerID], B1669) &gt;= DATE(2024,4,30)-120, 
     "New", 
     IF(MAXIFS(dynamic[orderCount], dynamic[customerID], B1669)&lt;=2, 
        IF((DATE(2024,4,30) - MAXIFS(dynamic[orderDate], dynamic[customerID], B1669)) &gt; 180, "Non-Returning", "Dormant"), 
        IF(AND(MAX(dynamic[sinceLastOrder]) &gt; 365, (DATE(2024,4,30) - MAXIFS(dynamic[orderDate], dynamic[customerID], B1669)) &gt; 180), 
           "Dormant", "Regular")))</f>
        <v>Regular</v>
      </c>
      <c r="H1669" s="6">
        <v>2.0</v>
      </c>
      <c r="I1669" s="9" t="str">
        <f>VLOOKUP(dynamic[productID],products[],2,FALSE)</f>
        <v>Chang</v>
      </c>
      <c r="J1669" s="9" t="str">
        <f>VLOOKUP(dynamic[productID],products[],12,FALSE)</f>
        <v>Beverages</v>
      </c>
      <c r="K1669" s="7" t="str">
        <f>IF(VLOOKUP(dynamic[productID],products[],7,FALSE)=1,"Discontinued","Current")</f>
        <v>Current</v>
      </c>
      <c r="L1669" s="9">
        <f>VLOOKUP(dynamic[productID],products[],IF(YEAR(dynamic[orderDate])=2022,8,IF(YEAR(dynamic[orderDate])=2023,9,IF(YEAR(dynamic[orderDate])=2024,10,NA))),FALSE)</f>
        <v>11.93843713</v>
      </c>
      <c r="M1669" s="9">
        <v>19.0</v>
      </c>
      <c r="N1669" s="25">
        <f>(dynamic[orderPrice]-dynamic[productCost])/dynamic[productCost]</f>
        <v>0.591498099</v>
      </c>
      <c r="O1669" s="10">
        <v>20.0</v>
      </c>
      <c r="P1669" s="25">
        <v>0.0</v>
      </c>
      <c r="Q1669" s="9">
        <f>dynamic[orderPrice]*dynamic[orderQuantity]</f>
        <v>380</v>
      </c>
      <c r="R1669" s="9">
        <f>dynamic[orderTotal]*(1-dynamic[discountApllied])</f>
        <v>380</v>
      </c>
      <c r="S1669" s="9">
        <f>dynamic[revenue]-(dynamic[productCost]*dynamic[orderQuantity])</f>
        <v>141.2312574</v>
      </c>
      <c r="T1669" s="25">
        <f>IFERROR(dynamic[profit]/dynamic[revenue], 0)</f>
        <v>0.3716612036</v>
      </c>
    </row>
    <row r="1670" ht="15.75" customHeight="1">
      <c r="A1670" s="6">
        <v>10885.0</v>
      </c>
      <c r="B1670" s="7" t="s">
        <v>19</v>
      </c>
      <c r="C1670" s="24" t="str">
        <f>VLOOKUP(dynamic[customerID],customers[],2,FALSE)</f>
        <v>Suprêmes délices</v>
      </c>
      <c r="D1670" s="24">
        <v>45334.0</v>
      </c>
      <c r="E1670" s="6">
        <f>IFERROR(__xludf.DUMMYFUNCTION("COUNTUNIQUEIFS($A$2:$A1670,$B$2:$B1670,B1670)"),9.0)</f>
        <v>9</v>
      </c>
      <c r="F1670" s="6">
        <f t="shared" si="1"/>
        <v>21</v>
      </c>
      <c r="G1670" s="6" t="str">
        <f>IF(MINIFS(dynamic[orderDate], dynamic[customerID], B1670) &gt;= DATE(2024,4,30)-120, 
     "New", 
     IF(MAXIFS(dynamic[orderCount], dynamic[customerID], B1670)&lt;=2, 
        IF((DATE(2024,4,30) - MAXIFS(dynamic[orderDate], dynamic[customerID], B1670)) &gt; 180, "Non-Returning", "Dormant"), 
        IF(AND(MAX(dynamic[sinceLastOrder]) &gt; 365, (DATE(2024,4,30) - MAXIFS(dynamic[orderDate], dynamic[customerID], B1670)) &gt; 180), 
           "Dormant", "Regular")))</f>
        <v>Regular</v>
      </c>
      <c r="H1670" s="6">
        <v>24.0</v>
      </c>
      <c r="I1670" s="9" t="str">
        <f>VLOOKUP(dynamic[productID],products[],2,FALSE)</f>
        <v>Brigadeiros Maravilhosos da Lilian</v>
      </c>
      <c r="J1670" s="9" t="str">
        <f>VLOOKUP(dynamic[productID],products[],12,FALSE)</f>
        <v>Confections</v>
      </c>
      <c r="K1670" s="7" t="str">
        <f>IF(VLOOKUP(dynamic[productID],products[],7,FALSE)=1,"Discontinued","Current")</f>
        <v>Discontinued</v>
      </c>
      <c r="L1670" s="9">
        <f>VLOOKUP(dynamic[productID],products[],IF(YEAR(dynamic[orderDate])=2022,8,IF(YEAR(dynamic[orderDate])=2023,9,IF(YEAR(dynamic[orderDate])=2024,10,NA))),FALSE)</f>
        <v>3.177326315</v>
      </c>
      <c r="M1670" s="9">
        <v>4.5</v>
      </c>
      <c r="N1670" s="25">
        <f>(dynamic[orderPrice]-dynamic[productCost])/dynamic[productCost]</f>
        <v>0.416285126</v>
      </c>
      <c r="O1670" s="10">
        <v>12.0</v>
      </c>
      <c r="P1670" s="25">
        <v>0.0</v>
      </c>
      <c r="Q1670" s="9">
        <f>dynamic[orderPrice]*dynamic[orderQuantity]</f>
        <v>54</v>
      </c>
      <c r="R1670" s="9">
        <f>dynamic[orderTotal]*(1-dynamic[discountApllied])</f>
        <v>54</v>
      </c>
      <c r="S1670" s="9">
        <f>dynamic[revenue]-(dynamic[productCost]*dynamic[orderQuantity])</f>
        <v>15.87208422</v>
      </c>
      <c r="T1670" s="25">
        <f>IFERROR(dynamic[profit]/dynamic[revenue], 0)</f>
        <v>0.2939274856</v>
      </c>
    </row>
    <row r="1671" ht="15.75" customHeight="1">
      <c r="A1671" s="6">
        <v>10885.0</v>
      </c>
      <c r="B1671" s="7" t="s">
        <v>19</v>
      </c>
      <c r="C1671" s="24" t="str">
        <f>VLOOKUP(dynamic[customerID],customers[],2,FALSE)</f>
        <v>Suprêmes délices</v>
      </c>
      <c r="D1671" s="24">
        <v>45334.0</v>
      </c>
      <c r="E1671" s="6">
        <f>IFERROR(__xludf.DUMMYFUNCTION("COUNTUNIQUEIFS($A$2:$A1671,$B$2:$B1671,B1671)"),9.0)</f>
        <v>9</v>
      </c>
      <c r="F1671" s="6">
        <f t="shared" si="1"/>
        <v>21</v>
      </c>
      <c r="G1671" s="6" t="str">
        <f>IF(MINIFS(dynamic[orderDate], dynamic[customerID], B1671) &gt;= DATE(2024,4,30)-120, 
     "New", 
     IF(MAXIFS(dynamic[orderCount], dynamic[customerID], B1671)&lt;=2, 
        IF((DATE(2024,4,30) - MAXIFS(dynamic[orderDate], dynamic[customerID], B1671)) &gt; 180, "Non-Returning", "Dormant"), 
        IF(AND(MAX(dynamic[sinceLastOrder]) &gt; 365, (DATE(2024,4,30) - MAXIFS(dynamic[orderDate], dynamic[customerID], B1671)) &gt; 180), 
           "Dormant", "Regular")))</f>
        <v>Regular</v>
      </c>
      <c r="H1671" s="6">
        <v>70.0</v>
      </c>
      <c r="I1671" s="9" t="str">
        <f>VLOOKUP(dynamic[productID],products[],2,FALSE)</f>
        <v>Outback Lager</v>
      </c>
      <c r="J1671" s="9" t="str">
        <f>VLOOKUP(dynamic[productID],products[],12,FALSE)</f>
        <v>Beverages</v>
      </c>
      <c r="K1671" s="7" t="str">
        <f>IF(VLOOKUP(dynamic[productID],products[],7,FALSE)=1,"Discontinued","Current")</f>
        <v>Current</v>
      </c>
      <c r="L1671" s="9">
        <f>VLOOKUP(dynamic[productID],products[],IF(YEAR(dynamic[orderDate])=2022,8,IF(YEAR(dynamic[orderDate])=2023,9,IF(YEAR(dynamic[orderDate])=2024,10,NA))),FALSE)</f>
        <v>10.03280812</v>
      </c>
      <c r="M1671" s="9">
        <v>15.0</v>
      </c>
      <c r="N1671" s="25">
        <f>(dynamic[orderPrice]-dynamic[productCost])/dynamic[productCost]</f>
        <v>0.4950948747</v>
      </c>
      <c r="O1671" s="10">
        <v>30.0</v>
      </c>
      <c r="P1671" s="25">
        <v>0.0</v>
      </c>
      <c r="Q1671" s="9">
        <f>dynamic[orderPrice]*dynamic[orderQuantity]</f>
        <v>450</v>
      </c>
      <c r="R1671" s="9">
        <f>dynamic[orderTotal]*(1-dynamic[discountApllied])</f>
        <v>450</v>
      </c>
      <c r="S1671" s="9">
        <f>dynamic[revenue]-(dynamic[productCost]*dynamic[orderQuantity])</f>
        <v>149.0157564</v>
      </c>
      <c r="T1671" s="25">
        <f>IFERROR(dynamic[profit]/dynamic[revenue], 0)</f>
        <v>0.3311461253</v>
      </c>
    </row>
    <row r="1672" ht="15.75" customHeight="1">
      <c r="A1672" s="6">
        <v>10885.0</v>
      </c>
      <c r="B1672" s="7" t="s">
        <v>19</v>
      </c>
      <c r="C1672" s="24" t="str">
        <f>VLOOKUP(dynamic[customerID],customers[],2,FALSE)</f>
        <v>Suprêmes délices</v>
      </c>
      <c r="D1672" s="24">
        <v>45334.0</v>
      </c>
      <c r="E1672" s="6">
        <f>IFERROR(__xludf.DUMMYFUNCTION("COUNTUNIQUEIFS($A$2:$A1672,$B$2:$B1672,B1672)"),9.0)</f>
        <v>9</v>
      </c>
      <c r="F1672" s="6">
        <f t="shared" si="1"/>
        <v>21</v>
      </c>
      <c r="G1672" s="6" t="str">
        <f>IF(MINIFS(dynamic[orderDate], dynamic[customerID], B1672) &gt;= DATE(2024,4,30)-120, 
     "New", 
     IF(MAXIFS(dynamic[orderCount], dynamic[customerID], B1672)&lt;=2, 
        IF((DATE(2024,4,30) - MAXIFS(dynamic[orderDate], dynamic[customerID], B1672)) &gt; 180, "Non-Returning", "Dormant"), 
        IF(AND(MAX(dynamic[sinceLastOrder]) &gt; 365, (DATE(2024,4,30) - MAXIFS(dynamic[orderDate], dynamic[customerID], B1672)) &gt; 180), 
           "Dormant", "Regular")))</f>
        <v>Regular</v>
      </c>
      <c r="H1672" s="6">
        <v>77.0</v>
      </c>
      <c r="I1672" s="9" t="str">
        <f>VLOOKUP(dynamic[productID],products[],2,FALSE)</f>
        <v>Original Frankfurter grüne Soße</v>
      </c>
      <c r="J1672" s="9" t="str">
        <f>VLOOKUP(dynamic[productID],products[],12,FALSE)</f>
        <v>Condiments</v>
      </c>
      <c r="K1672" s="7" t="str">
        <f>IF(VLOOKUP(dynamic[productID],products[],7,FALSE)=1,"Discontinued","Current")</f>
        <v>Current</v>
      </c>
      <c r="L1672" s="9">
        <f>VLOOKUP(dynamic[productID],products[],IF(YEAR(dynamic[orderDate])=2022,8,IF(YEAR(dynamic[orderDate])=2023,9,IF(YEAR(dynamic[orderDate])=2024,10,NA))),FALSE)</f>
        <v>9.299025151</v>
      </c>
      <c r="M1672" s="9">
        <v>13.0</v>
      </c>
      <c r="N1672" s="25">
        <f>(dynamic[orderPrice]-dynamic[productCost])/dynamic[productCost]</f>
        <v>0.3979960037</v>
      </c>
      <c r="O1672" s="10">
        <v>25.0</v>
      </c>
      <c r="P1672" s="25">
        <v>0.0</v>
      </c>
      <c r="Q1672" s="9">
        <f>dynamic[orderPrice]*dynamic[orderQuantity]</f>
        <v>325</v>
      </c>
      <c r="R1672" s="9">
        <f>dynamic[orderTotal]*(1-dynamic[discountApllied])</f>
        <v>325</v>
      </c>
      <c r="S1672" s="9">
        <f>dynamic[revenue]-(dynamic[productCost]*dynamic[orderQuantity])</f>
        <v>92.52437122</v>
      </c>
      <c r="T1672" s="25">
        <f>IFERROR(dynamic[profit]/dynamic[revenue], 0)</f>
        <v>0.284690373</v>
      </c>
    </row>
    <row r="1673" ht="15.75" customHeight="1">
      <c r="A1673" s="6">
        <v>10886.0</v>
      </c>
      <c r="B1673" s="7" t="s">
        <v>16</v>
      </c>
      <c r="C1673" s="24" t="str">
        <f>VLOOKUP(dynamic[customerID],customers[],2,FALSE)</f>
        <v>Hanari Carnes</v>
      </c>
      <c r="D1673" s="24">
        <v>45335.0</v>
      </c>
      <c r="E1673" s="6">
        <f>IFERROR(__xludf.DUMMYFUNCTION("COUNTUNIQUEIFS($A$2:$A1673,$B$2:$B1673,B1673)"),8.0)</f>
        <v>8</v>
      </c>
      <c r="F1673" s="6">
        <f t="shared" si="1"/>
        <v>57</v>
      </c>
      <c r="G1673" s="6" t="str">
        <f>IF(MINIFS(dynamic[orderDate], dynamic[customerID], B1673) &gt;= DATE(2024,4,30)-120, 
     "New", 
     IF(MAXIFS(dynamic[orderCount], dynamic[customerID], B1673)&lt;=2, 
        IF((DATE(2024,4,30) - MAXIFS(dynamic[orderDate], dynamic[customerID], B1673)) &gt; 180, "Non-Returning", "Dormant"), 
        IF(AND(MAX(dynamic[sinceLastOrder]) &gt; 365, (DATE(2024,4,30) - MAXIFS(dynamic[orderDate], dynamic[customerID], B1673)) &gt; 180), 
           "Dormant", "Regular")))</f>
        <v>Regular</v>
      </c>
      <c r="H1673" s="6">
        <v>10.0</v>
      </c>
      <c r="I1673" s="9" t="str">
        <f>VLOOKUP(dynamic[productID],products[],2,FALSE)</f>
        <v>Ikura</v>
      </c>
      <c r="J1673" s="9" t="str">
        <f>VLOOKUP(dynamic[productID],products[],12,FALSE)</f>
        <v>Seafood</v>
      </c>
      <c r="K1673" s="7" t="str">
        <f>IF(VLOOKUP(dynamic[productID],products[],7,FALSE)=1,"Discontinued","Current")</f>
        <v>Current</v>
      </c>
      <c r="L1673" s="9">
        <f>VLOOKUP(dynamic[productID],products[],IF(YEAR(dynamic[orderDate])=2022,8,IF(YEAR(dynamic[orderDate])=2023,9,IF(YEAR(dynamic[orderDate])=2024,10,NA))),FALSE)</f>
        <v>20.90394627</v>
      </c>
      <c r="M1673" s="9">
        <v>31.0</v>
      </c>
      <c r="N1673" s="25">
        <f>(dynamic[orderPrice]-dynamic[productCost])/dynamic[productCost]</f>
        <v>0.4829735786</v>
      </c>
      <c r="O1673" s="10">
        <v>70.0</v>
      </c>
      <c r="P1673" s="25">
        <v>0.0</v>
      </c>
      <c r="Q1673" s="9">
        <f>dynamic[orderPrice]*dynamic[orderQuantity]</f>
        <v>2170</v>
      </c>
      <c r="R1673" s="9">
        <f>dynamic[orderTotal]*(1-dynamic[discountApllied])</f>
        <v>2170</v>
      </c>
      <c r="S1673" s="9">
        <f>dynamic[revenue]-(dynamic[productCost]*dynamic[orderQuantity])</f>
        <v>706.7237614</v>
      </c>
      <c r="T1673" s="25">
        <f>IFERROR(dynamic[profit]/dynamic[revenue], 0)</f>
        <v>0.3256791527</v>
      </c>
    </row>
    <row r="1674" ht="15.75" customHeight="1">
      <c r="A1674" s="6">
        <v>10886.0</v>
      </c>
      <c r="B1674" s="7" t="s">
        <v>16</v>
      </c>
      <c r="C1674" s="24" t="str">
        <f>VLOOKUP(dynamic[customerID],customers[],2,FALSE)</f>
        <v>Hanari Carnes</v>
      </c>
      <c r="D1674" s="24">
        <v>45335.0</v>
      </c>
      <c r="E1674" s="6">
        <f>IFERROR(__xludf.DUMMYFUNCTION("COUNTUNIQUEIFS($A$2:$A1674,$B$2:$B1674,B1674)"),8.0)</f>
        <v>8</v>
      </c>
      <c r="F1674" s="6">
        <f t="shared" si="1"/>
        <v>57</v>
      </c>
      <c r="G1674" s="6" t="str">
        <f>IF(MINIFS(dynamic[orderDate], dynamic[customerID], B1674) &gt;= DATE(2024,4,30)-120, 
     "New", 
     IF(MAXIFS(dynamic[orderCount], dynamic[customerID], B1674)&lt;=2, 
        IF((DATE(2024,4,30) - MAXIFS(dynamic[orderDate], dynamic[customerID], B1674)) &gt; 180, "Non-Returning", "Dormant"), 
        IF(AND(MAX(dynamic[sinceLastOrder]) &gt; 365, (DATE(2024,4,30) - MAXIFS(dynamic[orderDate], dynamic[customerID], B1674)) &gt; 180), 
           "Dormant", "Regular")))</f>
        <v>Regular</v>
      </c>
      <c r="H1674" s="6">
        <v>31.0</v>
      </c>
      <c r="I1674" s="9" t="str">
        <f>VLOOKUP(dynamic[productID],products[],2,FALSE)</f>
        <v>Gorgonzola Telino</v>
      </c>
      <c r="J1674" s="9" t="str">
        <f>VLOOKUP(dynamic[productID],products[],12,FALSE)</f>
        <v>Dairy Products</v>
      </c>
      <c r="K1674" s="7" t="str">
        <f>IF(VLOOKUP(dynamic[productID],products[],7,FALSE)=1,"Discontinued","Current")</f>
        <v>Current</v>
      </c>
      <c r="L1674" s="9">
        <f>VLOOKUP(dynamic[productID],products[],IF(YEAR(dynamic[orderDate])=2022,8,IF(YEAR(dynamic[orderDate])=2023,9,IF(YEAR(dynamic[orderDate])=2024,10,NA))),FALSE)</f>
        <v>8.203054392</v>
      </c>
      <c r="M1674" s="9">
        <v>12.5</v>
      </c>
      <c r="N1674" s="25">
        <f>(dynamic[orderPrice]-dynamic[productCost])/dynamic[productCost]</f>
        <v>0.52382264</v>
      </c>
      <c r="O1674" s="10">
        <v>35.0</v>
      </c>
      <c r="P1674" s="25">
        <v>0.0</v>
      </c>
      <c r="Q1674" s="9">
        <f>dynamic[orderPrice]*dynamic[orderQuantity]</f>
        <v>437.5</v>
      </c>
      <c r="R1674" s="9">
        <f>dynamic[orderTotal]*(1-dynamic[discountApllied])</f>
        <v>437.5</v>
      </c>
      <c r="S1674" s="9">
        <f>dynamic[revenue]-(dynamic[productCost]*dynamic[orderQuantity])</f>
        <v>150.3930963</v>
      </c>
      <c r="T1674" s="25">
        <f>IFERROR(dynamic[profit]/dynamic[revenue], 0)</f>
        <v>0.3437556486</v>
      </c>
    </row>
    <row r="1675" ht="15.75" customHeight="1">
      <c r="A1675" s="6">
        <v>10886.0</v>
      </c>
      <c r="B1675" s="7" t="s">
        <v>16</v>
      </c>
      <c r="C1675" s="24" t="str">
        <f>VLOOKUP(dynamic[customerID],customers[],2,FALSE)</f>
        <v>Hanari Carnes</v>
      </c>
      <c r="D1675" s="24">
        <v>45335.0</v>
      </c>
      <c r="E1675" s="6">
        <f>IFERROR(__xludf.DUMMYFUNCTION("COUNTUNIQUEIFS($A$2:$A1675,$B$2:$B1675,B1675)"),8.0)</f>
        <v>8</v>
      </c>
      <c r="F1675" s="6">
        <f t="shared" si="1"/>
        <v>57</v>
      </c>
      <c r="G1675" s="6" t="str">
        <f>IF(MINIFS(dynamic[orderDate], dynamic[customerID], B1675) &gt;= DATE(2024,4,30)-120, 
     "New", 
     IF(MAXIFS(dynamic[orderCount], dynamic[customerID], B1675)&lt;=2, 
        IF((DATE(2024,4,30) - MAXIFS(dynamic[orderDate], dynamic[customerID], B1675)) &gt; 180, "Non-Returning", "Dormant"), 
        IF(AND(MAX(dynamic[sinceLastOrder]) &gt; 365, (DATE(2024,4,30) - MAXIFS(dynamic[orderDate], dynamic[customerID], B1675)) &gt; 180), 
           "Dormant", "Regular")))</f>
        <v>Regular</v>
      </c>
      <c r="H1675" s="6">
        <v>77.0</v>
      </c>
      <c r="I1675" s="9" t="str">
        <f>VLOOKUP(dynamic[productID],products[],2,FALSE)</f>
        <v>Original Frankfurter grüne Soße</v>
      </c>
      <c r="J1675" s="9" t="str">
        <f>VLOOKUP(dynamic[productID],products[],12,FALSE)</f>
        <v>Condiments</v>
      </c>
      <c r="K1675" s="7" t="str">
        <f>IF(VLOOKUP(dynamic[productID],products[],7,FALSE)=1,"Discontinued","Current")</f>
        <v>Current</v>
      </c>
      <c r="L1675" s="9">
        <f>VLOOKUP(dynamic[productID],products[],IF(YEAR(dynamic[orderDate])=2022,8,IF(YEAR(dynamic[orderDate])=2023,9,IF(YEAR(dynamic[orderDate])=2024,10,NA))),FALSE)</f>
        <v>9.299025151</v>
      </c>
      <c r="M1675" s="9">
        <v>13.0</v>
      </c>
      <c r="N1675" s="25">
        <f>(dynamic[orderPrice]-dynamic[productCost])/dynamic[productCost]</f>
        <v>0.3979960037</v>
      </c>
      <c r="O1675" s="10">
        <v>40.0</v>
      </c>
      <c r="P1675" s="25">
        <v>0.0</v>
      </c>
      <c r="Q1675" s="9">
        <f>dynamic[orderPrice]*dynamic[orderQuantity]</f>
        <v>520</v>
      </c>
      <c r="R1675" s="9">
        <f>dynamic[orderTotal]*(1-dynamic[discountApllied])</f>
        <v>520</v>
      </c>
      <c r="S1675" s="9">
        <f>dynamic[revenue]-(dynamic[productCost]*dynamic[orderQuantity])</f>
        <v>148.0389939</v>
      </c>
      <c r="T1675" s="25">
        <f>IFERROR(dynamic[profit]/dynamic[revenue], 0)</f>
        <v>0.284690373</v>
      </c>
    </row>
    <row r="1676" ht="15.75" customHeight="1">
      <c r="A1676" s="6">
        <v>10887.0</v>
      </c>
      <c r="B1676" s="7" t="s">
        <v>75</v>
      </c>
      <c r="C1676" s="24" t="str">
        <f>VLOOKUP(dynamic[customerID],customers[],2,FALSE)</f>
        <v>Galería del gastrónomo</v>
      </c>
      <c r="D1676" s="24">
        <v>45335.0</v>
      </c>
      <c r="E1676" s="6">
        <f>IFERROR(__xludf.DUMMYFUNCTION("COUNTUNIQUEIFS($A$2:$A1676,$B$2:$B1676,B1676)"),4.0)</f>
        <v>4</v>
      </c>
      <c r="F1676" s="6">
        <f t="shared" si="1"/>
        <v>245</v>
      </c>
      <c r="G1676" s="6" t="str">
        <f>IF(MINIFS(dynamic[orderDate], dynamic[customerID], B1676) &gt;= DATE(2024,4,30)-120, 
     "New", 
     IF(MAXIFS(dynamic[orderCount], dynamic[customerID], B1676)&lt;=2, 
        IF((DATE(2024,4,30) - MAXIFS(dynamic[orderDate], dynamic[customerID], B1676)) &gt; 180, "Non-Returning", "Dormant"), 
        IF(AND(MAX(dynamic[sinceLastOrder]) &gt; 365, (DATE(2024,4,30) - MAXIFS(dynamic[orderDate], dynamic[customerID], B1676)) &gt; 180), 
           "Dormant", "Regular")))</f>
        <v>Regular</v>
      </c>
      <c r="H1676" s="6">
        <v>25.0</v>
      </c>
      <c r="I1676" s="9" t="str">
        <f>VLOOKUP(dynamic[productID],products[],2,FALSE)</f>
        <v>HM Köstliche Kaiserschmarrn Knödelchen</v>
      </c>
      <c r="J1676" s="9" t="str">
        <f>VLOOKUP(dynamic[productID],products[],12,FALSE)</f>
        <v>Confections</v>
      </c>
      <c r="K1676" s="7" t="str">
        <f>IF(VLOOKUP(dynamic[productID],products[],7,FALSE)=1,"Discontinued","Current")</f>
        <v>Current</v>
      </c>
      <c r="L1676" s="9">
        <f>VLOOKUP(dynamic[productID],products[],IF(YEAR(dynamic[orderDate])=2022,8,IF(YEAR(dynamic[orderDate])=2023,9,IF(YEAR(dynamic[orderDate])=2024,10,NA))),FALSE)</f>
        <v>8.782270815</v>
      </c>
      <c r="M1676" s="9">
        <v>14.0</v>
      </c>
      <c r="N1676" s="25">
        <f>(dynamic[orderPrice]-dynamic[productCost])/dynamic[productCost]</f>
        <v>0.5941207342</v>
      </c>
      <c r="O1676" s="10">
        <v>5.0</v>
      </c>
      <c r="P1676" s="25">
        <v>0.0</v>
      </c>
      <c r="Q1676" s="9">
        <f>dynamic[orderPrice]*dynamic[orderQuantity]</f>
        <v>70</v>
      </c>
      <c r="R1676" s="9">
        <f>dynamic[orderTotal]*(1-dynamic[discountApllied])</f>
        <v>70</v>
      </c>
      <c r="S1676" s="9">
        <f>dynamic[revenue]-(dynamic[productCost]*dynamic[orderQuantity])</f>
        <v>26.08864592</v>
      </c>
      <c r="T1676" s="25">
        <f>IFERROR(dynamic[profit]/dynamic[revenue], 0)</f>
        <v>0.3726949418</v>
      </c>
    </row>
    <row r="1677" ht="15.75" customHeight="1">
      <c r="A1677" s="6">
        <v>10888.0</v>
      </c>
      <c r="B1677" s="7" t="s">
        <v>51</v>
      </c>
      <c r="C1677" s="24" t="str">
        <f>VLOOKUP(dynamic[customerID],customers[],2,FALSE)</f>
        <v>Godos Cocina Típica</v>
      </c>
      <c r="D1677" s="24">
        <v>45338.0</v>
      </c>
      <c r="E1677" s="6">
        <f>IFERROR(__xludf.DUMMYFUNCTION("COUNTUNIQUEIFS($A$2:$A1677,$B$2:$B1677,B1677)"),6.0)</f>
        <v>6</v>
      </c>
      <c r="F1677" s="6">
        <f t="shared" si="1"/>
        <v>10</v>
      </c>
      <c r="G1677" s="6" t="str">
        <f>IF(MINIFS(dynamic[orderDate], dynamic[customerID], B1677) &gt;= DATE(2024,4,30)-120, 
     "New", 
     IF(MAXIFS(dynamic[orderCount], dynamic[customerID], B1677)&lt;=2, 
        IF((DATE(2024,4,30) - MAXIFS(dynamic[orderDate], dynamic[customerID], B1677)) &gt; 180, "Non-Returning", "Dormant"), 
        IF(AND(MAX(dynamic[sinceLastOrder]) &gt; 365, (DATE(2024,4,30) - MAXIFS(dynamic[orderDate], dynamic[customerID], B1677)) &gt; 180), 
           "Dormant", "Regular")))</f>
        <v>Regular</v>
      </c>
      <c r="H1677" s="6">
        <v>2.0</v>
      </c>
      <c r="I1677" s="9" t="str">
        <f>VLOOKUP(dynamic[productID],products[],2,FALSE)</f>
        <v>Chang</v>
      </c>
      <c r="J1677" s="9" t="str">
        <f>VLOOKUP(dynamic[productID],products[],12,FALSE)</f>
        <v>Beverages</v>
      </c>
      <c r="K1677" s="7" t="str">
        <f>IF(VLOOKUP(dynamic[productID],products[],7,FALSE)=1,"Discontinued","Current")</f>
        <v>Current</v>
      </c>
      <c r="L1677" s="9">
        <f>VLOOKUP(dynamic[productID],products[],IF(YEAR(dynamic[orderDate])=2022,8,IF(YEAR(dynamic[orderDate])=2023,9,IF(YEAR(dynamic[orderDate])=2024,10,NA))),FALSE)</f>
        <v>11.93843713</v>
      </c>
      <c r="M1677" s="9">
        <v>19.0</v>
      </c>
      <c r="N1677" s="25">
        <f>(dynamic[orderPrice]-dynamic[productCost])/dynamic[productCost]</f>
        <v>0.591498099</v>
      </c>
      <c r="O1677" s="10">
        <v>20.0</v>
      </c>
      <c r="P1677" s="25">
        <v>0.0</v>
      </c>
      <c r="Q1677" s="9">
        <f>dynamic[orderPrice]*dynamic[orderQuantity]</f>
        <v>380</v>
      </c>
      <c r="R1677" s="9">
        <f>dynamic[orderTotal]*(1-dynamic[discountApllied])</f>
        <v>380</v>
      </c>
      <c r="S1677" s="9">
        <f>dynamic[revenue]-(dynamic[productCost]*dynamic[orderQuantity])</f>
        <v>141.2312574</v>
      </c>
      <c r="T1677" s="25">
        <f>IFERROR(dynamic[profit]/dynamic[revenue], 0)</f>
        <v>0.3716612036</v>
      </c>
    </row>
    <row r="1678" ht="15.75" customHeight="1">
      <c r="A1678" s="6">
        <v>10888.0</v>
      </c>
      <c r="B1678" s="7" t="s">
        <v>51</v>
      </c>
      <c r="C1678" s="24" t="str">
        <f>VLOOKUP(dynamic[customerID],customers[],2,FALSE)</f>
        <v>Godos Cocina Típica</v>
      </c>
      <c r="D1678" s="24">
        <v>45338.0</v>
      </c>
      <c r="E1678" s="6">
        <f>IFERROR(__xludf.DUMMYFUNCTION("COUNTUNIQUEIFS($A$2:$A1678,$B$2:$B1678,B1678)"),6.0)</f>
        <v>6</v>
      </c>
      <c r="F1678" s="6">
        <f t="shared" si="1"/>
        <v>10</v>
      </c>
      <c r="G1678" s="6" t="str">
        <f>IF(MINIFS(dynamic[orderDate], dynamic[customerID], B1678) &gt;= DATE(2024,4,30)-120, 
     "New", 
     IF(MAXIFS(dynamic[orderCount], dynamic[customerID], B1678)&lt;=2, 
        IF((DATE(2024,4,30) - MAXIFS(dynamic[orderDate], dynamic[customerID], B1678)) &gt; 180, "Non-Returning", "Dormant"), 
        IF(AND(MAX(dynamic[sinceLastOrder]) &gt; 365, (DATE(2024,4,30) - MAXIFS(dynamic[orderDate], dynamic[customerID], B1678)) &gt; 180), 
           "Dormant", "Regular")))</f>
        <v>Regular</v>
      </c>
      <c r="H1678" s="6">
        <v>68.0</v>
      </c>
      <c r="I1678" s="9" t="str">
        <f>VLOOKUP(dynamic[productID],products[],2,FALSE)</f>
        <v>Scottish Longbreads</v>
      </c>
      <c r="J1678" s="9" t="str">
        <f>VLOOKUP(dynamic[productID],products[],12,FALSE)</f>
        <v>Confections</v>
      </c>
      <c r="K1678" s="7" t="str">
        <f>IF(VLOOKUP(dynamic[productID],products[],7,FALSE)=1,"Discontinued","Current")</f>
        <v>Current</v>
      </c>
      <c r="L1678" s="9">
        <f>VLOOKUP(dynamic[productID],products[],IF(YEAR(dynamic[orderDate])=2022,8,IF(YEAR(dynamic[orderDate])=2023,9,IF(YEAR(dynamic[orderDate])=2024,10,NA))),FALSE)</f>
        <v>9.555031708</v>
      </c>
      <c r="M1678" s="9">
        <v>12.5</v>
      </c>
      <c r="N1678" s="25">
        <f>(dynamic[orderPrice]-dynamic[productCost])/dynamic[productCost]</f>
        <v>0.3082112527</v>
      </c>
      <c r="O1678" s="10">
        <v>18.0</v>
      </c>
      <c r="P1678" s="25">
        <v>0.0</v>
      </c>
      <c r="Q1678" s="9">
        <f>dynamic[orderPrice]*dynamic[orderQuantity]</f>
        <v>225</v>
      </c>
      <c r="R1678" s="9">
        <f>dynamic[orderTotal]*(1-dynamic[discountApllied])</f>
        <v>225</v>
      </c>
      <c r="S1678" s="9">
        <f>dynamic[revenue]-(dynamic[productCost]*dynamic[orderQuantity])</f>
        <v>53.00942926</v>
      </c>
      <c r="T1678" s="25">
        <f>IFERROR(dynamic[profit]/dynamic[revenue], 0)</f>
        <v>0.2355974634</v>
      </c>
    </row>
    <row r="1679" ht="15.75" customHeight="1">
      <c r="A1679" s="6">
        <v>10889.0</v>
      </c>
      <c r="B1679" s="7" t="s">
        <v>28</v>
      </c>
      <c r="C1679" s="24" t="str">
        <f>VLOOKUP(dynamic[customerID],customers[],2,FALSE)</f>
        <v>Rattlesnake Canyon Grocery</v>
      </c>
      <c r="D1679" s="24">
        <v>45338.0</v>
      </c>
      <c r="E1679" s="6">
        <f>IFERROR(__xludf.DUMMYFUNCTION("COUNTUNIQUEIFS($A$2:$A1679,$B$2:$B1679,B1679)"),15.0)</f>
        <v>15</v>
      </c>
      <c r="F1679" s="6">
        <f t="shared" si="1"/>
        <v>21</v>
      </c>
      <c r="G1679" s="6" t="str">
        <f>IF(MINIFS(dynamic[orderDate], dynamic[customerID], B1679) &gt;= DATE(2024,4,30)-120, 
     "New", 
     IF(MAXIFS(dynamic[orderCount], dynamic[customerID], B1679)&lt;=2, 
        IF((DATE(2024,4,30) - MAXIFS(dynamic[orderDate], dynamic[customerID], B1679)) &gt; 180, "Non-Returning", "Dormant"), 
        IF(AND(MAX(dynamic[sinceLastOrder]) &gt; 365, (DATE(2024,4,30) - MAXIFS(dynamic[orderDate], dynamic[customerID], B1679)) &gt; 180), 
           "Dormant", "Regular")))</f>
        <v>Regular</v>
      </c>
      <c r="H1679" s="6">
        <v>11.0</v>
      </c>
      <c r="I1679" s="9" t="str">
        <f>VLOOKUP(dynamic[productID],products[],2,FALSE)</f>
        <v>Queso Cabrales</v>
      </c>
      <c r="J1679" s="9" t="str">
        <f>VLOOKUP(dynamic[productID],products[],12,FALSE)</f>
        <v>Dairy Products</v>
      </c>
      <c r="K1679" s="7" t="str">
        <f>IF(VLOOKUP(dynamic[productID],products[],7,FALSE)=1,"Discontinued","Current")</f>
        <v>Current</v>
      </c>
      <c r="L1679" s="9">
        <f>VLOOKUP(dynamic[productID],products[],IF(YEAR(dynamic[orderDate])=2022,8,IF(YEAR(dynamic[orderDate])=2023,9,IF(YEAR(dynamic[orderDate])=2024,10,NA))),FALSE)</f>
        <v>13.86836261</v>
      </c>
      <c r="M1679" s="9">
        <v>21.0</v>
      </c>
      <c r="N1679" s="25">
        <f>(dynamic[orderPrice]-dynamic[productCost])/dynamic[productCost]</f>
        <v>0.51423788</v>
      </c>
      <c r="O1679" s="10">
        <v>40.0</v>
      </c>
      <c r="P1679" s="25">
        <v>0.0</v>
      </c>
      <c r="Q1679" s="9">
        <f>dynamic[orderPrice]*dynamic[orderQuantity]</f>
        <v>840</v>
      </c>
      <c r="R1679" s="9">
        <f>dynamic[orderTotal]*(1-dynamic[discountApllied])</f>
        <v>840</v>
      </c>
      <c r="S1679" s="9">
        <f>dynamic[revenue]-(dynamic[productCost]*dynamic[orderQuantity])</f>
        <v>285.2654955</v>
      </c>
      <c r="T1679" s="25">
        <f>IFERROR(dynamic[profit]/dynamic[revenue], 0)</f>
        <v>0.3396017804</v>
      </c>
    </row>
    <row r="1680" ht="15.75" customHeight="1">
      <c r="A1680" s="6">
        <v>10889.0</v>
      </c>
      <c r="B1680" s="7" t="s">
        <v>28</v>
      </c>
      <c r="C1680" s="24" t="str">
        <f>VLOOKUP(dynamic[customerID],customers[],2,FALSE)</f>
        <v>Rattlesnake Canyon Grocery</v>
      </c>
      <c r="D1680" s="24">
        <v>45338.0</v>
      </c>
      <c r="E1680" s="6">
        <f>IFERROR(__xludf.DUMMYFUNCTION("COUNTUNIQUEIFS($A$2:$A1680,$B$2:$B1680,B1680)"),15.0)</f>
        <v>15</v>
      </c>
      <c r="F1680" s="6">
        <f t="shared" si="1"/>
        <v>21</v>
      </c>
      <c r="G1680" s="6" t="str">
        <f>IF(MINIFS(dynamic[orderDate], dynamic[customerID], B1680) &gt;= DATE(2024,4,30)-120, 
     "New", 
     IF(MAXIFS(dynamic[orderCount], dynamic[customerID], B1680)&lt;=2, 
        IF((DATE(2024,4,30) - MAXIFS(dynamic[orderDate], dynamic[customerID], B1680)) &gt; 180, "Non-Returning", "Dormant"), 
        IF(AND(MAX(dynamic[sinceLastOrder]) &gt; 365, (DATE(2024,4,30) - MAXIFS(dynamic[orderDate], dynamic[customerID], B1680)) &gt; 180), 
           "Dormant", "Regular")))</f>
        <v>Regular</v>
      </c>
      <c r="H1680" s="6">
        <v>38.0</v>
      </c>
      <c r="I1680" s="9" t="str">
        <f>VLOOKUP(dynamic[productID],products[],2,FALSE)</f>
        <v>Côte de Blaye</v>
      </c>
      <c r="J1680" s="9" t="str">
        <f>VLOOKUP(dynamic[productID],products[],12,FALSE)</f>
        <v>Beverages</v>
      </c>
      <c r="K1680" s="7" t="str">
        <f>IF(VLOOKUP(dynamic[productID],products[],7,FALSE)=1,"Discontinued","Current")</f>
        <v>Current</v>
      </c>
      <c r="L1680" s="9">
        <f>VLOOKUP(dynamic[productID],products[],IF(YEAR(dynamic[orderDate])=2022,8,IF(YEAR(dynamic[orderDate])=2023,9,IF(YEAR(dynamic[orderDate])=2024,10,NA))),FALSE)</f>
        <v>192.1798413</v>
      </c>
      <c r="M1680" s="9">
        <v>263.5</v>
      </c>
      <c r="N1680" s="25">
        <f>(dynamic[orderPrice]-dynamic[productCost])/dynamic[productCost]</f>
        <v>0.3711115493</v>
      </c>
      <c r="O1680" s="10">
        <v>40.0</v>
      </c>
      <c r="P1680" s="25">
        <v>0.0</v>
      </c>
      <c r="Q1680" s="9">
        <f>dynamic[orderPrice]*dynamic[orderQuantity]</f>
        <v>10540</v>
      </c>
      <c r="R1680" s="9">
        <f>dynamic[orderTotal]*(1-dynamic[discountApllied])</f>
        <v>10540</v>
      </c>
      <c r="S1680" s="9">
        <f>dynamic[revenue]-(dynamic[productCost]*dynamic[orderQuantity])</f>
        <v>2852.806346</v>
      </c>
      <c r="T1680" s="25">
        <f>IFERROR(dynamic[profit]/dynamic[revenue], 0)</f>
        <v>0.2706647388</v>
      </c>
    </row>
    <row r="1681" ht="15.75" customHeight="1">
      <c r="A1681" s="6">
        <v>10890.0</v>
      </c>
      <c r="B1681" s="7" t="s">
        <v>56</v>
      </c>
      <c r="C1681" s="24" t="str">
        <f>VLOOKUP(dynamic[customerID],customers[],2,FALSE)</f>
        <v>Du monde entier</v>
      </c>
      <c r="D1681" s="24">
        <v>45338.0</v>
      </c>
      <c r="E1681" s="6">
        <f>IFERROR(__xludf.DUMMYFUNCTION("COUNTUNIQUEIFS($A$2:$A1681,$B$2:$B1681,B1681)"),4.0)</f>
        <v>4</v>
      </c>
      <c r="F1681" s="6">
        <f t="shared" si="1"/>
        <v>143</v>
      </c>
      <c r="G1681" s="6" t="str">
        <f>IF(MINIFS(dynamic[orderDate], dynamic[customerID], B1681) &gt;= DATE(2024,4,30)-120, 
     "New", 
     IF(MAXIFS(dynamic[orderCount], dynamic[customerID], B1681)&lt;=2, 
        IF((DATE(2024,4,30) - MAXIFS(dynamic[orderDate], dynamic[customerID], B1681)) &gt; 180, "Non-Returning", "Dormant"), 
        IF(AND(MAX(dynamic[sinceLastOrder]) &gt; 365, (DATE(2024,4,30) - MAXIFS(dynamic[orderDate], dynamic[customerID], B1681)) &gt; 180), 
           "Dormant", "Regular")))</f>
        <v>Regular</v>
      </c>
      <c r="H1681" s="6">
        <v>17.0</v>
      </c>
      <c r="I1681" s="9" t="str">
        <f>VLOOKUP(dynamic[productID],products[],2,FALSE)</f>
        <v>Alice Mutton</v>
      </c>
      <c r="J1681" s="9" t="str">
        <f>VLOOKUP(dynamic[productID],products[],12,FALSE)</f>
        <v>Meat/Poultry</v>
      </c>
      <c r="K1681" s="7" t="str">
        <f>IF(VLOOKUP(dynamic[productID],products[],7,FALSE)=1,"Discontinued","Current")</f>
        <v>Discontinued</v>
      </c>
      <c r="L1681" s="9">
        <f>VLOOKUP(dynamic[productID],products[],IF(YEAR(dynamic[orderDate])=2022,8,IF(YEAR(dynamic[orderDate])=2023,9,IF(YEAR(dynamic[orderDate])=2024,10,NA))),FALSE)</f>
        <v>28.51916263</v>
      </c>
      <c r="M1681" s="9">
        <v>39.0</v>
      </c>
      <c r="N1681" s="25">
        <f>(dynamic[orderPrice]-dynamic[productCost])/dynamic[productCost]</f>
        <v>0.3675015816</v>
      </c>
      <c r="O1681" s="10">
        <v>15.0</v>
      </c>
      <c r="P1681" s="25">
        <v>0.0</v>
      </c>
      <c r="Q1681" s="9">
        <f>dynamic[orderPrice]*dynamic[orderQuantity]</f>
        <v>585</v>
      </c>
      <c r="R1681" s="9">
        <f>dynamic[orderTotal]*(1-dynamic[discountApllied])</f>
        <v>585</v>
      </c>
      <c r="S1681" s="9">
        <f>dynamic[revenue]-(dynamic[productCost]*dynamic[orderQuantity])</f>
        <v>157.2125606</v>
      </c>
      <c r="T1681" s="25">
        <f>IFERROR(dynamic[profit]/dynamic[revenue], 0)</f>
        <v>0.2687394198</v>
      </c>
    </row>
    <row r="1682" ht="15.75" customHeight="1">
      <c r="A1682" s="6">
        <v>10890.0</v>
      </c>
      <c r="B1682" s="7" t="s">
        <v>56</v>
      </c>
      <c r="C1682" s="24" t="str">
        <f>VLOOKUP(dynamic[customerID],customers[],2,FALSE)</f>
        <v>Du monde entier</v>
      </c>
      <c r="D1682" s="24">
        <v>45338.0</v>
      </c>
      <c r="E1682" s="6">
        <f>IFERROR(__xludf.DUMMYFUNCTION("COUNTUNIQUEIFS($A$2:$A1682,$B$2:$B1682,B1682)"),4.0)</f>
        <v>4</v>
      </c>
      <c r="F1682" s="6">
        <f t="shared" si="1"/>
        <v>143</v>
      </c>
      <c r="G1682" s="6" t="str">
        <f>IF(MINIFS(dynamic[orderDate], dynamic[customerID], B1682) &gt;= DATE(2024,4,30)-120, 
     "New", 
     IF(MAXIFS(dynamic[orderCount], dynamic[customerID], B1682)&lt;=2, 
        IF((DATE(2024,4,30) - MAXIFS(dynamic[orderDate], dynamic[customerID], B1682)) &gt; 180, "Non-Returning", "Dormant"), 
        IF(AND(MAX(dynamic[sinceLastOrder]) &gt; 365, (DATE(2024,4,30) - MAXIFS(dynamic[orderDate], dynamic[customerID], B1682)) &gt; 180), 
           "Dormant", "Regular")))</f>
        <v>Regular</v>
      </c>
      <c r="H1682" s="6">
        <v>34.0</v>
      </c>
      <c r="I1682" s="9" t="str">
        <f>VLOOKUP(dynamic[productID],products[],2,FALSE)</f>
        <v>Sasquatch Ale</v>
      </c>
      <c r="J1682" s="9" t="str">
        <f>VLOOKUP(dynamic[productID],products[],12,FALSE)</f>
        <v>Beverages</v>
      </c>
      <c r="K1682" s="7" t="str">
        <f>IF(VLOOKUP(dynamic[productID],products[],7,FALSE)=1,"Discontinued","Current")</f>
        <v>Current</v>
      </c>
      <c r="L1682" s="9">
        <f>VLOOKUP(dynamic[productID],products[],IF(YEAR(dynamic[orderDate])=2022,8,IF(YEAR(dynamic[orderDate])=2023,9,IF(YEAR(dynamic[orderDate])=2024,10,NA))),FALSE)</f>
        <v>10.07231561</v>
      </c>
      <c r="M1682" s="9">
        <v>14.0</v>
      </c>
      <c r="N1682" s="25">
        <f>(dynamic[orderPrice]-dynamic[productCost])/dynamic[productCost]</f>
        <v>0.389948503</v>
      </c>
      <c r="O1682" s="10">
        <v>10.0</v>
      </c>
      <c r="P1682" s="25">
        <v>0.0</v>
      </c>
      <c r="Q1682" s="9">
        <f>dynamic[orderPrice]*dynamic[orderQuantity]</f>
        <v>140</v>
      </c>
      <c r="R1682" s="9">
        <f>dynamic[orderTotal]*(1-dynamic[discountApllied])</f>
        <v>140</v>
      </c>
      <c r="S1682" s="9">
        <f>dynamic[revenue]-(dynamic[productCost]*dynamic[orderQuantity])</f>
        <v>39.27684392</v>
      </c>
      <c r="T1682" s="25">
        <f>IFERROR(dynamic[profit]/dynamic[revenue], 0)</f>
        <v>0.2805488852</v>
      </c>
    </row>
    <row r="1683" ht="15.75" customHeight="1">
      <c r="A1683" s="6">
        <v>10890.0</v>
      </c>
      <c r="B1683" s="7" t="s">
        <v>56</v>
      </c>
      <c r="C1683" s="24" t="str">
        <f>VLOOKUP(dynamic[customerID],customers[],2,FALSE)</f>
        <v>Du monde entier</v>
      </c>
      <c r="D1683" s="24">
        <v>45338.0</v>
      </c>
      <c r="E1683" s="6">
        <f>IFERROR(__xludf.DUMMYFUNCTION("COUNTUNIQUEIFS($A$2:$A1683,$B$2:$B1683,B1683)"),4.0)</f>
        <v>4</v>
      </c>
      <c r="F1683" s="6">
        <f t="shared" si="1"/>
        <v>143</v>
      </c>
      <c r="G1683" s="6" t="str">
        <f>IF(MINIFS(dynamic[orderDate], dynamic[customerID], B1683) &gt;= DATE(2024,4,30)-120, 
     "New", 
     IF(MAXIFS(dynamic[orderCount], dynamic[customerID], B1683)&lt;=2, 
        IF((DATE(2024,4,30) - MAXIFS(dynamic[orderDate], dynamic[customerID], B1683)) &gt; 180, "Non-Returning", "Dormant"), 
        IF(AND(MAX(dynamic[sinceLastOrder]) &gt; 365, (DATE(2024,4,30) - MAXIFS(dynamic[orderDate], dynamic[customerID], B1683)) &gt; 180), 
           "Dormant", "Regular")))</f>
        <v>Regular</v>
      </c>
      <c r="H1683" s="6">
        <v>41.0</v>
      </c>
      <c r="I1683" s="9" t="str">
        <f>VLOOKUP(dynamic[productID],products[],2,FALSE)</f>
        <v>Jack's New England Clam Chowder</v>
      </c>
      <c r="J1683" s="9" t="str">
        <f>VLOOKUP(dynamic[productID],products[],12,FALSE)</f>
        <v>Seafood</v>
      </c>
      <c r="K1683" s="7" t="str">
        <f>IF(VLOOKUP(dynamic[productID],products[],7,FALSE)=1,"Discontinued","Current")</f>
        <v>Current</v>
      </c>
      <c r="L1683" s="9">
        <f>VLOOKUP(dynamic[productID],products[],IF(YEAR(dynamic[orderDate])=2022,8,IF(YEAR(dynamic[orderDate])=2023,9,IF(YEAR(dynamic[orderDate])=2024,10,NA))),FALSE)</f>
        <v>6.611787882</v>
      </c>
      <c r="M1683" s="9">
        <v>9.65</v>
      </c>
      <c r="N1683" s="25">
        <f>(dynamic[orderPrice]-dynamic[productCost])/dynamic[productCost]</f>
        <v>0.459514457</v>
      </c>
      <c r="O1683" s="10">
        <v>14.0</v>
      </c>
      <c r="P1683" s="25">
        <v>0.0</v>
      </c>
      <c r="Q1683" s="9">
        <f>dynamic[orderPrice]*dynamic[orderQuantity]</f>
        <v>135.1</v>
      </c>
      <c r="R1683" s="9">
        <f>dynamic[orderTotal]*(1-dynamic[discountApllied])</f>
        <v>135.1</v>
      </c>
      <c r="S1683" s="9">
        <f>dynamic[revenue]-(dynamic[productCost]*dynamic[orderQuantity])</f>
        <v>42.53496965</v>
      </c>
      <c r="T1683" s="25">
        <f>IFERROR(dynamic[profit]/dynamic[revenue], 0)</f>
        <v>0.314840634</v>
      </c>
    </row>
    <row r="1684" ht="15.75" customHeight="1">
      <c r="A1684" s="6">
        <v>10891.0</v>
      </c>
      <c r="B1684" s="7" t="s">
        <v>41</v>
      </c>
      <c r="C1684" s="24" t="str">
        <f>VLOOKUP(dynamic[customerID],customers[],2,FALSE)</f>
        <v>Lehmanns Marktstand</v>
      </c>
      <c r="D1684" s="24">
        <v>45339.0</v>
      </c>
      <c r="E1684" s="6">
        <f>IFERROR(__xludf.DUMMYFUNCTION("COUNTUNIQUEIFS($A$2:$A1684,$B$2:$B1684,B1684)"),13.0)</f>
        <v>13</v>
      </c>
      <c r="F1684" s="6">
        <f t="shared" si="1"/>
        <v>18</v>
      </c>
      <c r="G1684" s="6" t="str">
        <f>IF(MINIFS(dynamic[orderDate], dynamic[customerID], B1684) &gt;= DATE(2024,4,30)-120, 
     "New", 
     IF(MAXIFS(dynamic[orderCount], dynamic[customerID], B1684)&lt;=2, 
        IF((DATE(2024,4,30) - MAXIFS(dynamic[orderDate], dynamic[customerID], B1684)) &gt; 180, "Non-Returning", "Dormant"), 
        IF(AND(MAX(dynamic[sinceLastOrder]) &gt; 365, (DATE(2024,4,30) - MAXIFS(dynamic[orderDate], dynamic[customerID], B1684)) &gt; 180), 
           "Dormant", "Regular")))</f>
        <v>Regular</v>
      </c>
      <c r="H1684" s="6">
        <v>30.0</v>
      </c>
      <c r="I1684" s="9" t="str">
        <f>VLOOKUP(dynamic[productID],products[],2,FALSE)</f>
        <v>Nord-Ost Matjeshering</v>
      </c>
      <c r="J1684" s="9" t="str">
        <f>VLOOKUP(dynamic[productID],products[],12,FALSE)</f>
        <v>Seafood</v>
      </c>
      <c r="K1684" s="7" t="str">
        <f>IF(VLOOKUP(dynamic[productID],products[],7,FALSE)=1,"Discontinued","Current")</f>
        <v>Current</v>
      </c>
      <c r="L1684" s="9">
        <f>VLOOKUP(dynamic[productID],products[],IF(YEAR(dynamic[orderDate])=2022,8,IF(YEAR(dynamic[orderDate])=2023,9,IF(YEAR(dynamic[orderDate])=2024,10,NA))),FALSE)</f>
        <v>17.0327851</v>
      </c>
      <c r="M1684" s="9">
        <v>25.89</v>
      </c>
      <c r="N1684" s="25">
        <f>(dynamic[orderPrice]-dynamic[productCost])/dynamic[productCost]</f>
        <v>0.5200097842</v>
      </c>
      <c r="O1684" s="10">
        <v>15.0</v>
      </c>
      <c r="P1684" s="25">
        <v>0.05</v>
      </c>
      <c r="Q1684" s="9">
        <f>dynamic[orderPrice]*dynamic[orderQuantity]</f>
        <v>388.35</v>
      </c>
      <c r="R1684" s="9">
        <f>dynamic[orderTotal]*(1-dynamic[discountApllied])</f>
        <v>368.9325</v>
      </c>
      <c r="S1684" s="9">
        <f>dynamic[revenue]-(dynamic[productCost]*dynamic[orderQuantity])</f>
        <v>113.4407235</v>
      </c>
      <c r="T1684" s="25">
        <f>IFERROR(dynamic[profit]/dynamic[revenue], 0)</f>
        <v>0.3074836821</v>
      </c>
    </row>
    <row r="1685" ht="15.75" customHeight="1">
      <c r="A1685" s="6">
        <v>10892.0</v>
      </c>
      <c r="B1685" s="7" t="s">
        <v>95</v>
      </c>
      <c r="C1685" s="24" t="str">
        <f>VLOOKUP(dynamic[customerID],customers[],2,FALSE)</f>
        <v>Maison Dewey</v>
      </c>
      <c r="D1685" s="24">
        <v>45339.0</v>
      </c>
      <c r="E1685" s="6">
        <f>IFERROR(__xludf.DUMMYFUNCTION("COUNTUNIQUEIFS($A$2:$A1685,$B$2:$B1685,B1685)"),4.0)</f>
        <v>4</v>
      </c>
      <c r="F1685" s="6">
        <f t="shared" si="1"/>
        <v>78</v>
      </c>
      <c r="G1685" s="6" t="str">
        <f>IF(MINIFS(dynamic[orderDate], dynamic[customerID], B1685) &gt;= DATE(2024,4,30)-120, 
     "New", 
     IF(MAXIFS(dynamic[orderCount], dynamic[customerID], B1685)&lt;=2, 
        IF((DATE(2024,4,30) - MAXIFS(dynamic[orderDate], dynamic[customerID], B1685)) &gt; 180, "Non-Returning", "Dormant"), 
        IF(AND(MAX(dynamic[sinceLastOrder]) &gt; 365, (DATE(2024,4,30) - MAXIFS(dynamic[orderDate], dynamic[customerID], B1685)) &gt; 180), 
           "Dormant", "Regular")))</f>
        <v>Regular</v>
      </c>
      <c r="H1685" s="6">
        <v>59.0</v>
      </c>
      <c r="I1685" s="9" t="str">
        <f>VLOOKUP(dynamic[productID],products[],2,FALSE)</f>
        <v>Raclette Courdavault</v>
      </c>
      <c r="J1685" s="9" t="str">
        <f>VLOOKUP(dynamic[productID],products[],12,FALSE)</f>
        <v>Dairy Products</v>
      </c>
      <c r="K1685" s="7" t="str">
        <f>IF(VLOOKUP(dynamic[productID],products[],7,FALSE)=1,"Discontinued","Current")</f>
        <v>Current</v>
      </c>
      <c r="L1685" s="9">
        <f>VLOOKUP(dynamic[productID],products[],IF(YEAR(dynamic[orderDate])=2022,8,IF(YEAR(dynamic[orderDate])=2023,9,IF(YEAR(dynamic[orderDate])=2024,10,NA))),FALSE)</f>
        <v>36.74863711</v>
      </c>
      <c r="M1685" s="9">
        <v>55.0</v>
      </c>
      <c r="N1685" s="25">
        <f>(dynamic[orderPrice]-dynamic[productCost])/dynamic[productCost]</f>
        <v>0.4966541435</v>
      </c>
      <c r="O1685" s="10">
        <v>40.0</v>
      </c>
      <c r="P1685" s="25">
        <v>0.05</v>
      </c>
      <c r="Q1685" s="9">
        <f>dynamic[orderPrice]*dynamic[orderQuantity]</f>
        <v>2200</v>
      </c>
      <c r="R1685" s="9">
        <f>dynamic[orderTotal]*(1-dynamic[discountApllied])</f>
        <v>2090</v>
      </c>
      <c r="S1685" s="9">
        <f>dynamic[revenue]-(dynamic[productCost]*dynamic[orderQuantity])</f>
        <v>620.0545156</v>
      </c>
      <c r="T1685" s="25">
        <f>IFERROR(dynamic[profit]/dynamic[revenue], 0)</f>
        <v>0.2966768017</v>
      </c>
    </row>
    <row r="1686" ht="15.75" customHeight="1">
      <c r="A1686" s="6">
        <v>10893.0</v>
      </c>
      <c r="B1686" s="7" t="s">
        <v>59</v>
      </c>
      <c r="C1686" s="24" t="str">
        <f>VLOOKUP(dynamic[customerID],customers[],2,FALSE)</f>
        <v>Königlich Essen</v>
      </c>
      <c r="D1686" s="24">
        <v>45340.0</v>
      </c>
      <c r="E1686" s="6">
        <f>IFERROR(__xludf.DUMMYFUNCTION("COUNTUNIQUEIFS($A$2:$A1686,$B$2:$B1686,B1686)"),13.0)</f>
        <v>13</v>
      </c>
      <c r="F1686" s="6">
        <f t="shared" si="1"/>
        <v>26</v>
      </c>
      <c r="G1686" s="6" t="str">
        <f>IF(MINIFS(dynamic[orderDate], dynamic[customerID], B1686) &gt;= DATE(2024,4,30)-120, 
     "New", 
     IF(MAXIFS(dynamic[orderCount], dynamic[customerID], B1686)&lt;=2, 
        IF((DATE(2024,4,30) - MAXIFS(dynamic[orderDate], dynamic[customerID], B1686)) &gt; 180, "Non-Returning", "Dormant"), 
        IF(AND(MAX(dynamic[sinceLastOrder]) &gt; 365, (DATE(2024,4,30) - MAXIFS(dynamic[orderDate], dynamic[customerID], B1686)) &gt; 180), 
           "Dormant", "Regular")))</f>
        <v>Regular</v>
      </c>
      <c r="H1686" s="6">
        <v>8.0</v>
      </c>
      <c r="I1686" s="9" t="str">
        <f>VLOOKUP(dynamic[productID],products[],2,FALSE)</f>
        <v>Northwoods Cranberry Sauce</v>
      </c>
      <c r="J1686" s="9" t="str">
        <f>VLOOKUP(dynamic[productID],products[],12,FALSE)</f>
        <v>Condiments</v>
      </c>
      <c r="K1686" s="7" t="str">
        <f>IF(VLOOKUP(dynamic[productID],products[],7,FALSE)=1,"Discontinued","Current")</f>
        <v>Current</v>
      </c>
      <c r="L1686" s="9">
        <f>VLOOKUP(dynamic[productID],products[],IF(YEAR(dynamic[orderDate])=2022,8,IF(YEAR(dynamic[orderDate])=2023,9,IF(YEAR(dynamic[orderDate])=2024,10,NA))),FALSE)</f>
        <v>27.41770867</v>
      </c>
      <c r="M1686" s="9">
        <v>40.0</v>
      </c>
      <c r="N1686" s="25">
        <f>(dynamic[orderPrice]-dynamic[productCost])/dynamic[productCost]</f>
        <v>0.4589111179</v>
      </c>
      <c r="O1686" s="10">
        <v>30.0</v>
      </c>
      <c r="P1686" s="25">
        <v>0.0</v>
      </c>
      <c r="Q1686" s="9">
        <f>dynamic[orderPrice]*dynamic[orderQuantity]</f>
        <v>1200</v>
      </c>
      <c r="R1686" s="9">
        <f>dynamic[orderTotal]*(1-dynamic[discountApllied])</f>
        <v>1200</v>
      </c>
      <c r="S1686" s="9">
        <f>dynamic[revenue]-(dynamic[productCost]*dynamic[orderQuantity])</f>
        <v>377.46874</v>
      </c>
      <c r="T1686" s="25">
        <f>IFERROR(dynamic[profit]/dynamic[revenue], 0)</f>
        <v>0.3145572833</v>
      </c>
    </row>
    <row r="1687" ht="15.75" customHeight="1">
      <c r="A1687" s="6">
        <v>10893.0</v>
      </c>
      <c r="B1687" s="7" t="s">
        <v>59</v>
      </c>
      <c r="C1687" s="24" t="str">
        <f>VLOOKUP(dynamic[customerID],customers[],2,FALSE)</f>
        <v>Königlich Essen</v>
      </c>
      <c r="D1687" s="24">
        <v>45340.0</v>
      </c>
      <c r="E1687" s="6">
        <f>IFERROR(__xludf.DUMMYFUNCTION("COUNTUNIQUEIFS($A$2:$A1687,$B$2:$B1687,B1687)"),13.0)</f>
        <v>13</v>
      </c>
      <c r="F1687" s="6">
        <f t="shared" si="1"/>
        <v>26</v>
      </c>
      <c r="G1687" s="6" t="str">
        <f>IF(MINIFS(dynamic[orderDate], dynamic[customerID], B1687) &gt;= DATE(2024,4,30)-120, 
     "New", 
     IF(MAXIFS(dynamic[orderCount], dynamic[customerID], B1687)&lt;=2, 
        IF((DATE(2024,4,30) - MAXIFS(dynamic[orderDate], dynamic[customerID], B1687)) &gt; 180, "Non-Returning", "Dormant"), 
        IF(AND(MAX(dynamic[sinceLastOrder]) &gt; 365, (DATE(2024,4,30) - MAXIFS(dynamic[orderDate], dynamic[customerID], B1687)) &gt; 180), 
           "Dormant", "Regular")))</f>
        <v>Regular</v>
      </c>
      <c r="H1687" s="6">
        <v>24.0</v>
      </c>
      <c r="I1687" s="9" t="str">
        <f>VLOOKUP(dynamic[productID],products[],2,FALSE)</f>
        <v>Brigadeiros Maravilhosos da Lilian</v>
      </c>
      <c r="J1687" s="9" t="str">
        <f>VLOOKUP(dynamic[productID],products[],12,FALSE)</f>
        <v>Confections</v>
      </c>
      <c r="K1687" s="7" t="str">
        <f>IF(VLOOKUP(dynamic[productID],products[],7,FALSE)=1,"Discontinued","Current")</f>
        <v>Discontinued</v>
      </c>
      <c r="L1687" s="9">
        <f>VLOOKUP(dynamic[productID],products[],IF(YEAR(dynamic[orderDate])=2022,8,IF(YEAR(dynamic[orderDate])=2023,9,IF(YEAR(dynamic[orderDate])=2024,10,NA))),FALSE)</f>
        <v>3.177326315</v>
      </c>
      <c r="M1687" s="9">
        <v>4.5</v>
      </c>
      <c r="N1687" s="25">
        <f>(dynamic[orderPrice]-dynamic[productCost])/dynamic[productCost]</f>
        <v>0.416285126</v>
      </c>
      <c r="O1687" s="10">
        <v>10.0</v>
      </c>
      <c r="P1687" s="25">
        <v>0.0</v>
      </c>
      <c r="Q1687" s="9">
        <f>dynamic[orderPrice]*dynamic[orderQuantity]</f>
        <v>45</v>
      </c>
      <c r="R1687" s="9">
        <f>dynamic[orderTotal]*(1-dynamic[discountApllied])</f>
        <v>45</v>
      </c>
      <c r="S1687" s="9">
        <f>dynamic[revenue]-(dynamic[productCost]*dynamic[orderQuantity])</f>
        <v>13.22673685</v>
      </c>
      <c r="T1687" s="25">
        <f>IFERROR(dynamic[profit]/dynamic[revenue], 0)</f>
        <v>0.2939274856</v>
      </c>
    </row>
    <row r="1688" ht="15.75" customHeight="1">
      <c r="A1688" s="6">
        <v>10893.0</v>
      </c>
      <c r="B1688" s="7" t="s">
        <v>59</v>
      </c>
      <c r="C1688" s="24" t="str">
        <f>VLOOKUP(dynamic[customerID],customers[],2,FALSE)</f>
        <v>Königlich Essen</v>
      </c>
      <c r="D1688" s="24">
        <v>45340.0</v>
      </c>
      <c r="E1688" s="6">
        <f>IFERROR(__xludf.DUMMYFUNCTION("COUNTUNIQUEIFS($A$2:$A1688,$B$2:$B1688,B1688)"),13.0)</f>
        <v>13</v>
      </c>
      <c r="F1688" s="6">
        <f t="shared" si="1"/>
        <v>26</v>
      </c>
      <c r="G1688" s="6" t="str">
        <f>IF(MINIFS(dynamic[orderDate], dynamic[customerID], B1688) &gt;= DATE(2024,4,30)-120, 
     "New", 
     IF(MAXIFS(dynamic[orderCount], dynamic[customerID], B1688)&lt;=2, 
        IF((DATE(2024,4,30) - MAXIFS(dynamic[orderDate], dynamic[customerID], B1688)) &gt; 180, "Non-Returning", "Dormant"), 
        IF(AND(MAX(dynamic[sinceLastOrder]) &gt; 365, (DATE(2024,4,30) - MAXIFS(dynamic[orderDate], dynamic[customerID], B1688)) &gt; 180), 
           "Dormant", "Regular")))</f>
        <v>Regular</v>
      </c>
      <c r="H1688" s="6">
        <v>29.0</v>
      </c>
      <c r="I1688" s="9" t="str">
        <f>VLOOKUP(dynamic[productID],products[],2,FALSE)</f>
        <v>Thüringer Rostbratwurst</v>
      </c>
      <c r="J1688" s="9" t="str">
        <f>VLOOKUP(dynamic[productID],products[],12,FALSE)</f>
        <v>Meat/Poultry</v>
      </c>
      <c r="K1688" s="7" t="str">
        <f>IF(VLOOKUP(dynamic[productID],products[],7,FALSE)=1,"Discontinued","Current")</f>
        <v>Discontinued</v>
      </c>
      <c r="L1688" s="9">
        <f>VLOOKUP(dynamic[productID],products[],IF(YEAR(dynamic[orderDate])=2022,8,IF(YEAR(dynamic[orderDate])=2023,9,IF(YEAR(dynamic[orderDate])=2024,10,NA))),FALSE)</f>
        <v>80.14595973</v>
      </c>
      <c r="M1688" s="9">
        <v>123.79</v>
      </c>
      <c r="N1688" s="25">
        <f>(dynamic[orderPrice]-dynamic[productCost])/dynamic[productCost]</f>
        <v>0.544556961</v>
      </c>
      <c r="O1688" s="10">
        <v>24.0</v>
      </c>
      <c r="P1688" s="25">
        <v>0.0</v>
      </c>
      <c r="Q1688" s="9">
        <f>dynamic[orderPrice]*dynamic[orderQuantity]</f>
        <v>2970.96</v>
      </c>
      <c r="R1688" s="9">
        <f>dynamic[orderTotal]*(1-dynamic[discountApllied])</f>
        <v>2970.96</v>
      </c>
      <c r="S1688" s="9">
        <f>dynamic[revenue]-(dynamic[productCost]*dynamic[orderQuantity])</f>
        <v>1047.456966</v>
      </c>
      <c r="T1688" s="25">
        <f>IFERROR(dynamic[profit]/dynamic[revenue], 0)</f>
        <v>0.3525651528</v>
      </c>
    </row>
    <row r="1689" ht="15.75" customHeight="1">
      <c r="A1689" s="6">
        <v>10893.0</v>
      </c>
      <c r="B1689" s="7" t="s">
        <v>59</v>
      </c>
      <c r="C1689" s="24" t="str">
        <f>VLOOKUP(dynamic[customerID],customers[],2,FALSE)</f>
        <v>Königlich Essen</v>
      </c>
      <c r="D1689" s="24">
        <v>45340.0</v>
      </c>
      <c r="E1689" s="6">
        <f>IFERROR(__xludf.DUMMYFUNCTION("COUNTUNIQUEIFS($A$2:$A1689,$B$2:$B1689,B1689)"),13.0)</f>
        <v>13</v>
      </c>
      <c r="F1689" s="6">
        <f t="shared" si="1"/>
        <v>26</v>
      </c>
      <c r="G1689" s="6" t="str">
        <f>IF(MINIFS(dynamic[orderDate], dynamic[customerID], B1689) &gt;= DATE(2024,4,30)-120, 
     "New", 
     IF(MAXIFS(dynamic[orderCount], dynamic[customerID], B1689)&lt;=2, 
        IF((DATE(2024,4,30) - MAXIFS(dynamic[orderDate], dynamic[customerID], B1689)) &gt; 180, "Non-Returning", "Dormant"), 
        IF(AND(MAX(dynamic[sinceLastOrder]) &gt; 365, (DATE(2024,4,30) - MAXIFS(dynamic[orderDate], dynamic[customerID], B1689)) &gt; 180), 
           "Dormant", "Regular")))</f>
        <v>Regular</v>
      </c>
      <c r="H1689" s="6">
        <v>30.0</v>
      </c>
      <c r="I1689" s="9" t="str">
        <f>VLOOKUP(dynamic[productID],products[],2,FALSE)</f>
        <v>Nord-Ost Matjeshering</v>
      </c>
      <c r="J1689" s="9" t="str">
        <f>VLOOKUP(dynamic[productID],products[],12,FALSE)</f>
        <v>Seafood</v>
      </c>
      <c r="K1689" s="7" t="str">
        <f>IF(VLOOKUP(dynamic[productID],products[],7,FALSE)=1,"Discontinued","Current")</f>
        <v>Current</v>
      </c>
      <c r="L1689" s="9">
        <f>VLOOKUP(dynamic[productID],products[],IF(YEAR(dynamic[orderDate])=2022,8,IF(YEAR(dynamic[orderDate])=2023,9,IF(YEAR(dynamic[orderDate])=2024,10,NA))),FALSE)</f>
        <v>17.0327851</v>
      </c>
      <c r="M1689" s="9">
        <v>25.89</v>
      </c>
      <c r="N1689" s="25">
        <f>(dynamic[orderPrice]-dynamic[productCost])/dynamic[productCost]</f>
        <v>0.5200097842</v>
      </c>
      <c r="O1689" s="10">
        <v>35.0</v>
      </c>
      <c r="P1689" s="25">
        <v>0.0</v>
      </c>
      <c r="Q1689" s="9">
        <f>dynamic[orderPrice]*dynamic[orderQuantity]</f>
        <v>906.15</v>
      </c>
      <c r="R1689" s="9">
        <f>dynamic[orderTotal]*(1-dynamic[discountApllied])</f>
        <v>906.15</v>
      </c>
      <c r="S1689" s="9">
        <f>dynamic[revenue]-(dynamic[productCost]*dynamic[orderQuantity])</f>
        <v>310.0025216</v>
      </c>
      <c r="T1689" s="25">
        <f>IFERROR(dynamic[profit]/dynamic[revenue], 0)</f>
        <v>0.342109498</v>
      </c>
    </row>
    <row r="1690" ht="15.75" customHeight="1">
      <c r="A1690" s="6">
        <v>10893.0</v>
      </c>
      <c r="B1690" s="7" t="s">
        <v>59</v>
      </c>
      <c r="C1690" s="24" t="str">
        <f>VLOOKUP(dynamic[customerID],customers[],2,FALSE)</f>
        <v>Königlich Essen</v>
      </c>
      <c r="D1690" s="24">
        <v>45340.0</v>
      </c>
      <c r="E1690" s="6">
        <f>IFERROR(__xludf.DUMMYFUNCTION("COUNTUNIQUEIFS($A$2:$A1690,$B$2:$B1690,B1690)"),13.0)</f>
        <v>13</v>
      </c>
      <c r="F1690" s="6">
        <f t="shared" si="1"/>
        <v>26</v>
      </c>
      <c r="G1690" s="6" t="str">
        <f>IF(MINIFS(dynamic[orderDate], dynamic[customerID], B1690) &gt;= DATE(2024,4,30)-120, 
     "New", 
     IF(MAXIFS(dynamic[orderCount], dynamic[customerID], B1690)&lt;=2, 
        IF((DATE(2024,4,30) - MAXIFS(dynamic[orderDate], dynamic[customerID], B1690)) &gt; 180, "Non-Returning", "Dormant"), 
        IF(AND(MAX(dynamic[sinceLastOrder]) &gt; 365, (DATE(2024,4,30) - MAXIFS(dynamic[orderDate], dynamic[customerID], B1690)) &gt; 180), 
           "Dormant", "Regular")))</f>
        <v>Regular</v>
      </c>
      <c r="H1690" s="6">
        <v>36.0</v>
      </c>
      <c r="I1690" s="9" t="str">
        <f>VLOOKUP(dynamic[productID],products[],2,FALSE)</f>
        <v>Inlagd Sill</v>
      </c>
      <c r="J1690" s="9" t="str">
        <f>VLOOKUP(dynamic[productID],products[],12,FALSE)</f>
        <v>Seafood</v>
      </c>
      <c r="K1690" s="7" t="str">
        <f>IF(VLOOKUP(dynamic[productID],products[],7,FALSE)=1,"Discontinued","Current")</f>
        <v>Current</v>
      </c>
      <c r="L1690" s="9">
        <f>VLOOKUP(dynamic[productID],products[],IF(YEAR(dynamic[orderDate])=2022,8,IF(YEAR(dynamic[orderDate])=2023,9,IF(YEAR(dynamic[orderDate])=2024,10,NA))),FALSE)</f>
        <v>11.68525366</v>
      </c>
      <c r="M1690" s="9">
        <v>19.0</v>
      </c>
      <c r="N1690" s="25">
        <f>(dynamic[orderPrice]-dynamic[productCost])/dynamic[productCost]</f>
        <v>0.6259809637</v>
      </c>
      <c r="O1690" s="10">
        <v>20.0</v>
      </c>
      <c r="P1690" s="25">
        <v>0.0</v>
      </c>
      <c r="Q1690" s="9">
        <f>dynamic[orderPrice]*dynamic[orderQuantity]</f>
        <v>380</v>
      </c>
      <c r="R1690" s="9">
        <f>dynamic[orderTotal]*(1-dynamic[discountApllied])</f>
        <v>380</v>
      </c>
      <c r="S1690" s="9">
        <f>dynamic[revenue]-(dynamic[productCost]*dynamic[orderQuantity])</f>
        <v>146.2949269</v>
      </c>
      <c r="T1690" s="25">
        <f>IFERROR(dynamic[profit]/dynamic[revenue], 0)</f>
        <v>0.3849866497</v>
      </c>
    </row>
    <row r="1691" ht="15.75" customHeight="1">
      <c r="A1691" s="6">
        <v>10894.0</v>
      </c>
      <c r="B1691" s="7" t="s">
        <v>60</v>
      </c>
      <c r="C1691" s="24" t="str">
        <f>VLOOKUP(dynamic[customerID],customers[],2,FALSE)</f>
        <v>Save-a-lot Markets</v>
      </c>
      <c r="D1691" s="24">
        <v>45340.0</v>
      </c>
      <c r="E1691" s="6">
        <f>IFERROR(__xludf.DUMMYFUNCTION("COUNTUNIQUEIFS($A$2:$A1691,$B$2:$B1691,B1691)"),24.0)</f>
        <v>24</v>
      </c>
      <c r="F1691" s="6">
        <f t="shared" si="1"/>
        <v>7</v>
      </c>
      <c r="G1691" s="6" t="str">
        <f>IF(MINIFS(dynamic[orderDate], dynamic[customerID], B1691) &gt;= DATE(2024,4,30)-120, 
     "New", 
     IF(MAXIFS(dynamic[orderCount], dynamic[customerID], B1691)&lt;=2, 
        IF((DATE(2024,4,30) - MAXIFS(dynamic[orderDate], dynamic[customerID], B1691)) &gt; 180, "Non-Returning", "Dormant"), 
        IF(AND(MAX(dynamic[sinceLastOrder]) &gt; 365, (DATE(2024,4,30) - MAXIFS(dynamic[orderDate], dynamic[customerID], B1691)) &gt; 180), 
           "Dormant", "Regular")))</f>
        <v>Regular</v>
      </c>
      <c r="H1691" s="6">
        <v>13.0</v>
      </c>
      <c r="I1691" s="9" t="str">
        <f>VLOOKUP(dynamic[productID],products[],2,FALSE)</f>
        <v>Konbu</v>
      </c>
      <c r="J1691" s="9" t="str">
        <f>VLOOKUP(dynamic[productID],products[],12,FALSE)</f>
        <v>Seafood</v>
      </c>
      <c r="K1691" s="7" t="str">
        <f>IF(VLOOKUP(dynamic[productID],products[],7,FALSE)=1,"Discontinued","Current")</f>
        <v>Current</v>
      </c>
      <c r="L1691" s="9">
        <f>VLOOKUP(dynamic[productID],products[],IF(YEAR(dynamic[orderDate])=2022,8,IF(YEAR(dynamic[orderDate])=2023,9,IF(YEAR(dynamic[orderDate])=2024,10,NA))),FALSE)</f>
        <v>3.966387047</v>
      </c>
      <c r="M1691" s="9">
        <v>6.0</v>
      </c>
      <c r="N1691" s="25">
        <f>(dynamic[orderPrice]-dynamic[productCost])/dynamic[productCost]</f>
        <v>0.5127116768</v>
      </c>
      <c r="O1691" s="10">
        <v>28.0</v>
      </c>
      <c r="P1691" s="25">
        <v>0.05</v>
      </c>
      <c r="Q1691" s="9">
        <f>dynamic[orderPrice]*dynamic[orderQuantity]</f>
        <v>168</v>
      </c>
      <c r="R1691" s="9">
        <f>dynamic[orderTotal]*(1-dynamic[discountApllied])</f>
        <v>159.6</v>
      </c>
      <c r="S1691" s="9">
        <f>dynamic[revenue]-(dynamic[productCost]*dynamic[orderQuantity])</f>
        <v>48.5411627</v>
      </c>
      <c r="T1691" s="25">
        <f>IFERROR(dynamic[profit]/dynamic[revenue], 0)</f>
        <v>0.3041426234</v>
      </c>
    </row>
    <row r="1692" ht="15.75" customHeight="1">
      <c r="A1692" s="6">
        <v>10894.0</v>
      </c>
      <c r="B1692" s="7" t="s">
        <v>60</v>
      </c>
      <c r="C1692" s="24" t="str">
        <f>VLOOKUP(dynamic[customerID],customers[],2,FALSE)</f>
        <v>Save-a-lot Markets</v>
      </c>
      <c r="D1692" s="24">
        <v>45340.0</v>
      </c>
      <c r="E1692" s="6">
        <f>IFERROR(__xludf.DUMMYFUNCTION("COUNTUNIQUEIFS($A$2:$A1692,$B$2:$B1692,B1692)"),24.0)</f>
        <v>24</v>
      </c>
      <c r="F1692" s="6">
        <f t="shared" si="1"/>
        <v>7</v>
      </c>
      <c r="G1692" s="6" t="str">
        <f>IF(MINIFS(dynamic[orderDate], dynamic[customerID], B1692) &gt;= DATE(2024,4,30)-120, 
     "New", 
     IF(MAXIFS(dynamic[orderCount], dynamic[customerID], B1692)&lt;=2, 
        IF((DATE(2024,4,30) - MAXIFS(dynamic[orderDate], dynamic[customerID], B1692)) &gt; 180, "Non-Returning", "Dormant"), 
        IF(AND(MAX(dynamic[sinceLastOrder]) &gt; 365, (DATE(2024,4,30) - MAXIFS(dynamic[orderDate], dynamic[customerID], B1692)) &gt; 180), 
           "Dormant", "Regular")))</f>
        <v>Regular</v>
      </c>
      <c r="H1692" s="6">
        <v>69.0</v>
      </c>
      <c r="I1692" s="9" t="str">
        <f>VLOOKUP(dynamic[productID],products[],2,FALSE)</f>
        <v>Gudbrandsdalsost</v>
      </c>
      <c r="J1692" s="9" t="str">
        <f>VLOOKUP(dynamic[productID],products[],12,FALSE)</f>
        <v>Dairy Products</v>
      </c>
      <c r="K1692" s="7" t="str">
        <f>IF(VLOOKUP(dynamic[productID],products[],7,FALSE)=1,"Discontinued","Current")</f>
        <v>Current</v>
      </c>
      <c r="L1692" s="9">
        <f>VLOOKUP(dynamic[productID],products[],IF(YEAR(dynamic[orderDate])=2022,8,IF(YEAR(dynamic[orderDate])=2023,9,IF(YEAR(dynamic[orderDate])=2024,10,NA))),FALSE)</f>
        <v>24.68292146</v>
      </c>
      <c r="M1692" s="9">
        <v>36.0</v>
      </c>
      <c r="N1692" s="25">
        <f>(dynamic[orderPrice]-dynamic[productCost])/dynamic[productCost]</f>
        <v>0.4584983412</v>
      </c>
      <c r="O1692" s="10">
        <v>50.0</v>
      </c>
      <c r="P1692" s="25">
        <v>0.05</v>
      </c>
      <c r="Q1692" s="9">
        <f>dynamic[orderPrice]*dynamic[orderQuantity]</f>
        <v>1800</v>
      </c>
      <c r="R1692" s="9">
        <f>dynamic[orderTotal]*(1-dynamic[discountApllied])</f>
        <v>1710</v>
      </c>
      <c r="S1692" s="9">
        <f>dynamic[revenue]-(dynamic[productCost]*dynamic[orderQuantity])</f>
        <v>475.8539272</v>
      </c>
      <c r="T1692" s="25">
        <f>IFERROR(dynamic[profit]/dynamic[revenue], 0)</f>
        <v>0.2782771504</v>
      </c>
    </row>
    <row r="1693" ht="15.75" customHeight="1">
      <c r="A1693" s="6">
        <v>10894.0</v>
      </c>
      <c r="B1693" s="7" t="s">
        <v>60</v>
      </c>
      <c r="C1693" s="24" t="str">
        <f>VLOOKUP(dynamic[customerID],customers[],2,FALSE)</f>
        <v>Save-a-lot Markets</v>
      </c>
      <c r="D1693" s="24">
        <v>45340.0</v>
      </c>
      <c r="E1693" s="6">
        <f>IFERROR(__xludf.DUMMYFUNCTION("COUNTUNIQUEIFS($A$2:$A1693,$B$2:$B1693,B1693)"),24.0)</f>
        <v>24</v>
      </c>
      <c r="F1693" s="6">
        <f t="shared" si="1"/>
        <v>7</v>
      </c>
      <c r="G1693" s="6" t="str">
        <f>IF(MINIFS(dynamic[orderDate], dynamic[customerID], B1693) &gt;= DATE(2024,4,30)-120, 
     "New", 
     IF(MAXIFS(dynamic[orderCount], dynamic[customerID], B1693)&lt;=2, 
        IF((DATE(2024,4,30) - MAXIFS(dynamic[orderDate], dynamic[customerID], B1693)) &gt; 180, "Non-Returning", "Dormant"), 
        IF(AND(MAX(dynamic[sinceLastOrder]) &gt; 365, (DATE(2024,4,30) - MAXIFS(dynamic[orderDate], dynamic[customerID], B1693)) &gt; 180), 
           "Dormant", "Regular")))</f>
        <v>Regular</v>
      </c>
      <c r="H1693" s="6">
        <v>75.0</v>
      </c>
      <c r="I1693" s="9" t="str">
        <f>VLOOKUP(dynamic[productID],products[],2,FALSE)</f>
        <v>Rhönbräu Klosterbier</v>
      </c>
      <c r="J1693" s="9" t="str">
        <f>VLOOKUP(dynamic[productID],products[],12,FALSE)</f>
        <v>Beverages</v>
      </c>
      <c r="K1693" s="7" t="str">
        <f>IF(VLOOKUP(dynamic[productID],products[],7,FALSE)=1,"Discontinued","Current")</f>
        <v>Current</v>
      </c>
      <c r="L1693" s="9">
        <f>VLOOKUP(dynamic[productID],products[],IF(YEAR(dynamic[orderDate])=2022,8,IF(YEAR(dynamic[orderDate])=2023,9,IF(YEAR(dynamic[orderDate])=2024,10,NA))),FALSE)</f>
        <v>5.374051525</v>
      </c>
      <c r="M1693" s="9">
        <v>7.75</v>
      </c>
      <c r="N1693" s="25">
        <f>(dynamic[orderPrice]-dynamic[productCost])/dynamic[productCost]</f>
        <v>0.4421149413</v>
      </c>
      <c r="O1693" s="10">
        <v>120.0</v>
      </c>
      <c r="P1693" s="25">
        <v>0.05</v>
      </c>
      <c r="Q1693" s="9">
        <f>dynamic[orderPrice]*dynamic[orderQuantity]</f>
        <v>930</v>
      </c>
      <c r="R1693" s="9">
        <f>dynamic[orderTotal]*(1-dynamic[discountApllied])</f>
        <v>883.5</v>
      </c>
      <c r="S1693" s="9">
        <f>dynamic[revenue]-(dynamic[productCost]*dynamic[orderQuantity])</f>
        <v>238.613817</v>
      </c>
      <c r="T1693" s="25">
        <f>IFERROR(dynamic[profit]/dynamic[revenue], 0)</f>
        <v>0.2700778913</v>
      </c>
    </row>
    <row r="1694" ht="15.75" customHeight="1">
      <c r="A1694" s="6">
        <v>10895.0</v>
      </c>
      <c r="B1694" s="7" t="s">
        <v>24</v>
      </c>
      <c r="C1694" s="24" t="str">
        <f>VLOOKUP(dynamic[customerID],customers[],2,FALSE)</f>
        <v>Ernst Handel</v>
      </c>
      <c r="D1694" s="24">
        <v>45340.0</v>
      </c>
      <c r="E1694" s="6">
        <f>IFERROR(__xludf.DUMMYFUNCTION("COUNTUNIQUEIFS($A$2:$A1694,$B$2:$B1694,B1694)"),24.0)</f>
        <v>24</v>
      </c>
      <c r="F1694" s="6">
        <f t="shared" si="1"/>
        <v>22</v>
      </c>
      <c r="G1694" s="6" t="str">
        <f>IF(MINIFS(dynamic[orderDate], dynamic[customerID], B1694) &gt;= DATE(2024,4,30)-120, 
     "New", 
     IF(MAXIFS(dynamic[orderCount], dynamic[customerID], B1694)&lt;=2, 
        IF((DATE(2024,4,30) - MAXIFS(dynamic[orderDate], dynamic[customerID], B1694)) &gt; 180, "Non-Returning", "Dormant"), 
        IF(AND(MAX(dynamic[sinceLastOrder]) &gt; 365, (DATE(2024,4,30) - MAXIFS(dynamic[orderDate], dynamic[customerID], B1694)) &gt; 180), 
           "Dormant", "Regular")))</f>
        <v>Regular</v>
      </c>
      <c r="H1694" s="6">
        <v>24.0</v>
      </c>
      <c r="I1694" s="9" t="str">
        <f>VLOOKUP(dynamic[productID],products[],2,FALSE)</f>
        <v>Brigadeiros Maravilhosos da Lilian</v>
      </c>
      <c r="J1694" s="9" t="str">
        <f>VLOOKUP(dynamic[productID],products[],12,FALSE)</f>
        <v>Confections</v>
      </c>
      <c r="K1694" s="7" t="str">
        <f>IF(VLOOKUP(dynamic[productID],products[],7,FALSE)=1,"Discontinued","Current")</f>
        <v>Discontinued</v>
      </c>
      <c r="L1694" s="9">
        <f>VLOOKUP(dynamic[productID],products[],IF(YEAR(dynamic[orderDate])=2022,8,IF(YEAR(dynamic[orderDate])=2023,9,IF(YEAR(dynamic[orderDate])=2024,10,NA))),FALSE)</f>
        <v>3.177326315</v>
      </c>
      <c r="M1694" s="9">
        <v>4.5</v>
      </c>
      <c r="N1694" s="25">
        <f>(dynamic[orderPrice]-dynamic[productCost])/dynamic[productCost]</f>
        <v>0.416285126</v>
      </c>
      <c r="O1694" s="10">
        <v>110.0</v>
      </c>
      <c r="P1694" s="25">
        <v>0.0</v>
      </c>
      <c r="Q1694" s="9">
        <f>dynamic[orderPrice]*dynamic[orderQuantity]</f>
        <v>495</v>
      </c>
      <c r="R1694" s="9">
        <f>dynamic[orderTotal]*(1-dynamic[discountApllied])</f>
        <v>495</v>
      </c>
      <c r="S1694" s="9">
        <f>dynamic[revenue]-(dynamic[productCost]*dynamic[orderQuantity])</f>
        <v>145.4941054</v>
      </c>
      <c r="T1694" s="25">
        <f>IFERROR(dynamic[profit]/dynamic[revenue], 0)</f>
        <v>0.2939274856</v>
      </c>
    </row>
    <row r="1695" ht="15.75" customHeight="1">
      <c r="A1695" s="6">
        <v>10895.0</v>
      </c>
      <c r="B1695" s="7" t="s">
        <v>24</v>
      </c>
      <c r="C1695" s="24" t="str">
        <f>VLOOKUP(dynamic[customerID],customers[],2,FALSE)</f>
        <v>Ernst Handel</v>
      </c>
      <c r="D1695" s="24">
        <v>45340.0</v>
      </c>
      <c r="E1695" s="6">
        <f>IFERROR(__xludf.DUMMYFUNCTION("COUNTUNIQUEIFS($A$2:$A1695,$B$2:$B1695,B1695)"),24.0)</f>
        <v>24</v>
      </c>
      <c r="F1695" s="6">
        <f t="shared" si="1"/>
        <v>22</v>
      </c>
      <c r="G1695" s="6" t="str">
        <f>IF(MINIFS(dynamic[orderDate], dynamic[customerID], B1695) &gt;= DATE(2024,4,30)-120, 
     "New", 
     IF(MAXIFS(dynamic[orderCount], dynamic[customerID], B1695)&lt;=2, 
        IF((DATE(2024,4,30) - MAXIFS(dynamic[orderDate], dynamic[customerID], B1695)) &gt; 180, "Non-Returning", "Dormant"), 
        IF(AND(MAX(dynamic[sinceLastOrder]) &gt; 365, (DATE(2024,4,30) - MAXIFS(dynamic[orderDate], dynamic[customerID], B1695)) &gt; 180), 
           "Dormant", "Regular")))</f>
        <v>Regular</v>
      </c>
      <c r="H1695" s="6">
        <v>39.0</v>
      </c>
      <c r="I1695" s="9" t="str">
        <f>VLOOKUP(dynamic[productID],products[],2,FALSE)</f>
        <v>Chartreuse verte</v>
      </c>
      <c r="J1695" s="9" t="str">
        <f>VLOOKUP(dynamic[productID],products[],12,FALSE)</f>
        <v>Beverages</v>
      </c>
      <c r="K1695" s="7" t="str">
        <f>IF(VLOOKUP(dynamic[productID],products[],7,FALSE)=1,"Discontinued","Current")</f>
        <v>Current</v>
      </c>
      <c r="L1695" s="9">
        <f>VLOOKUP(dynamic[productID],products[],IF(YEAR(dynamic[orderDate])=2022,8,IF(YEAR(dynamic[orderDate])=2023,9,IF(YEAR(dynamic[orderDate])=2024,10,NA))),FALSE)</f>
        <v>12.3017224</v>
      </c>
      <c r="M1695" s="9">
        <v>18.0</v>
      </c>
      <c r="N1695" s="25">
        <f>(dynamic[orderPrice]-dynamic[productCost])/dynamic[productCost]</f>
        <v>0.4632097374</v>
      </c>
      <c r="O1695" s="10">
        <v>45.0</v>
      </c>
      <c r="P1695" s="25">
        <v>0.0</v>
      </c>
      <c r="Q1695" s="9">
        <f>dynamic[orderPrice]*dynamic[orderQuantity]</f>
        <v>810</v>
      </c>
      <c r="R1695" s="9">
        <f>dynamic[orderTotal]*(1-dynamic[discountApllied])</f>
        <v>810</v>
      </c>
      <c r="S1695" s="9">
        <f>dynamic[revenue]-(dynamic[productCost]*dynamic[orderQuantity])</f>
        <v>256.4224921</v>
      </c>
      <c r="T1695" s="25">
        <f>IFERROR(dynamic[profit]/dynamic[revenue], 0)</f>
        <v>0.3165709779</v>
      </c>
    </row>
    <row r="1696" ht="15.75" customHeight="1">
      <c r="A1696" s="6">
        <v>10895.0</v>
      </c>
      <c r="B1696" s="7" t="s">
        <v>24</v>
      </c>
      <c r="C1696" s="24" t="str">
        <f>VLOOKUP(dynamic[customerID],customers[],2,FALSE)</f>
        <v>Ernst Handel</v>
      </c>
      <c r="D1696" s="24">
        <v>45340.0</v>
      </c>
      <c r="E1696" s="6">
        <f>IFERROR(__xludf.DUMMYFUNCTION("COUNTUNIQUEIFS($A$2:$A1696,$B$2:$B1696,B1696)"),24.0)</f>
        <v>24</v>
      </c>
      <c r="F1696" s="6">
        <f t="shared" si="1"/>
        <v>22</v>
      </c>
      <c r="G1696" s="6" t="str">
        <f>IF(MINIFS(dynamic[orderDate], dynamic[customerID], B1696) &gt;= DATE(2024,4,30)-120, 
     "New", 
     IF(MAXIFS(dynamic[orderCount], dynamic[customerID], B1696)&lt;=2, 
        IF((DATE(2024,4,30) - MAXIFS(dynamic[orderDate], dynamic[customerID], B1696)) &gt; 180, "Non-Returning", "Dormant"), 
        IF(AND(MAX(dynamic[sinceLastOrder]) &gt; 365, (DATE(2024,4,30) - MAXIFS(dynamic[orderDate], dynamic[customerID], B1696)) &gt; 180), 
           "Dormant", "Regular")))</f>
        <v>Regular</v>
      </c>
      <c r="H1696" s="6">
        <v>40.0</v>
      </c>
      <c r="I1696" s="9" t="str">
        <f>VLOOKUP(dynamic[productID],products[],2,FALSE)</f>
        <v>Boston Crab Meat</v>
      </c>
      <c r="J1696" s="9" t="str">
        <f>VLOOKUP(dynamic[productID],products[],12,FALSE)</f>
        <v>Seafood</v>
      </c>
      <c r="K1696" s="7" t="str">
        <f>IF(VLOOKUP(dynamic[productID],products[],7,FALSE)=1,"Discontinued","Current")</f>
        <v>Current</v>
      </c>
      <c r="L1696" s="9">
        <f>VLOOKUP(dynamic[productID],products[],IF(YEAR(dynamic[orderDate])=2022,8,IF(YEAR(dynamic[orderDate])=2023,9,IF(YEAR(dynamic[orderDate])=2024,10,NA))),FALSE)</f>
        <v>12.44307</v>
      </c>
      <c r="M1696" s="9">
        <v>18.4</v>
      </c>
      <c r="N1696" s="25">
        <f>(dynamic[orderPrice]-dynamic[productCost])/dynamic[productCost]</f>
        <v>0.4787347499</v>
      </c>
      <c r="O1696" s="10">
        <v>91.0</v>
      </c>
      <c r="P1696" s="25">
        <v>0.0</v>
      </c>
      <c r="Q1696" s="9">
        <f>dynamic[orderPrice]*dynamic[orderQuantity]</f>
        <v>1674.4</v>
      </c>
      <c r="R1696" s="9">
        <f>dynamic[orderTotal]*(1-dynamic[discountApllied])</f>
        <v>1674.4</v>
      </c>
      <c r="S1696" s="9">
        <f>dynamic[revenue]-(dynamic[productCost]*dynamic[orderQuantity])</f>
        <v>542.0806302</v>
      </c>
      <c r="T1696" s="25">
        <f>IFERROR(dynamic[profit]/dynamic[revenue], 0)</f>
        <v>0.3237461958</v>
      </c>
    </row>
    <row r="1697" ht="15.75" customHeight="1">
      <c r="A1697" s="6">
        <v>10895.0</v>
      </c>
      <c r="B1697" s="7" t="s">
        <v>24</v>
      </c>
      <c r="C1697" s="24" t="str">
        <f>VLOOKUP(dynamic[customerID],customers[],2,FALSE)</f>
        <v>Ernst Handel</v>
      </c>
      <c r="D1697" s="24">
        <v>45340.0</v>
      </c>
      <c r="E1697" s="6">
        <f>IFERROR(__xludf.DUMMYFUNCTION("COUNTUNIQUEIFS($A$2:$A1697,$B$2:$B1697,B1697)"),24.0)</f>
        <v>24</v>
      </c>
      <c r="F1697" s="6">
        <f t="shared" si="1"/>
        <v>22</v>
      </c>
      <c r="G1697" s="6" t="str">
        <f>IF(MINIFS(dynamic[orderDate], dynamic[customerID], B1697) &gt;= DATE(2024,4,30)-120, 
     "New", 
     IF(MAXIFS(dynamic[orderCount], dynamic[customerID], B1697)&lt;=2, 
        IF((DATE(2024,4,30) - MAXIFS(dynamic[orderDate], dynamic[customerID], B1697)) &gt; 180, "Non-Returning", "Dormant"), 
        IF(AND(MAX(dynamic[sinceLastOrder]) &gt; 365, (DATE(2024,4,30) - MAXIFS(dynamic[orderDate], dynamic[customerID], B1697)) &gt; 180), 
           "Dormant", "Regular")))</f>
        <v>Regular</v>
      </c>
      <c r="H1697" s="6">
        <v>60.0</v>
      </c>
      <c r="I1697" s="9" t="str">
        <f>VLOOKUP(dynamic[productID],products[],2,FALSE)</f>
        <v>Camembert Pierrot</v>
      </c>
      <c r="J1697" s="9" t="str">
        <f>VLOOKUP(dynamic[productID],products[],12,FALSE)</f>
        <v>Dairy Products</v>
      </c>
      <c r="K1697" s="7" t="str">
        <f>IF(VLOOKUP(dynamic[productID],products[],7,FALSE)=1,"Discontinued","Current")</f>
        <v>Current</v>
      </c>
      <c r="L1697" s="9">
        <f>VLOOKUP(dynamic[productID],products[],IF(YEAR(dynamic[orderDate])=2022,8,IF(YEAR(dynamic[orderDate])=2023,9,IF(YEAR(dynamic[orderDate])=2024,10,NA))),FALSE)</f>
        <v>22.49091154</v>
      </c>
      <c r="M1697" s="9">
        <v>34.0</v>
      </c>
      <c r="N1697" s="25">
        <f>(dynamic[orderPrice]-dynamic[productCost])/dynamic[productCost]</f>
        <v>0.5117217431</v>
      </c>
      <c r="O1697" s="10">
        <v>100.0</v>
      </c>
      <c r="P1697" s="25">
        <v>0.0</v>
      </c>
      <c r="Q1697" s="9">
        <f>dynamic[orderPrice]*dynamic[orderQuantity]</f>
        <v>3400</v>
      </c>
      <c r="R1697" s="9">
        <f>dynamic[orderTotal]*(1-dynamic[discountApllied])</f>
        <v>3400</v>
      </c>
      <c r="S1697" s="9">
        <f>dynamic[revenue]-(dynamic[productCost]*dynamic[orderQuantity])</f>
        <v>1150.908846</v>
      </c>
      <c r="T1697" s="25">
        <f>IFERROR(dynamic[profit]/dynamic[revenue], 0)</f>
        <v>0.3385026017</v>
      </c>
    </row>
    <row r="1698" ht="15.75" customHeight="1">
      <c r="A1698" s="6">
        <v>10896.0</v>
      </c>
      <c r="B1698" s="7" t="s">
        <v>95</v>
      </c>
      <c r="C1698" s="24" t="str">
        <f>VLOOKUP(dynamic[customerID],customers[],2,FALSE)</f>
        <v>Maison Dewey</v>
      </c>
      <c r="D1698" s="24">
        <v>45341.0</v>
      </c>
      <c r="E1698" s="6">
        <f>IFERROR(__xludf.DUMMYFUNCTION("COUNTUNIQUEIFS($A$2:$A1698,$B$2:$B1698,B1698)"),5.0)</f>
        <v>5</v>
      </c>
      <c r="F1698" s="6">
        <f t="shared" si="1"/>
        <v>2</v>
      </c>
      <c r="G1698" s="6" t="str">
        <f>IF(MINIFS(dynamic[orderDate], dynamic[customerID], B1698) &gt;= DATE(2024,4,30)-120, 
     "New", 
     IF(MAXIFS(dynamic[orderCount], dynamic[customerID], B1698)&lt;=2, 
        IF((DATE(2024,4,30) - MAXIFS(dynamic[orderDate], dynamic[customerID], B1698)) &gt; 180, "Non-Returning", "Dormant"), 
        IF(AND(MAX(dynamic[sinceLastOrder]) &gt; 365, (DATE(2024,4,30) - MAXIFS(dynamic[orderDate], dynamic[customerID], B1698)) &gt; 180), 
           "Dormant", "Regular")))</f>
        <v>Regular</v>
      </c>
      <c r="H1698" s="6">
        <v>45.0</v>
      </c>
      <c r="I1698" s="9" t="str">
        <f>VLOOKUP(dynamic[productID],products[],2,FALSE)</f>
        <v>Rogede sild</v>
      </c>
      <c r="J1698" s="9" t="str">
        <f>VLOOKUP(dynamic[productID],products[],12,FALSE)</f>
        <v>Seafood</v>
      </c>
      <c r="K1698" s="7" t="str">
        <f>IF(VLOOKUP(dynamic[productID],products[],7,FALSE)=1,"Discontinued","Current")</f>
        <v>Current</v>
      </c>
      <c r="L1698" s="9">
        <f>VLOOKUP(dynamic[productID],products[],IF(YEAR(dynamic[orderDate])=2022,8,IF(YEAR(dynamic[orderDate])=2023,9,IF(YEAR(dynamic[orderDate])=2024,10,NA))),FALSE)</f>
        <v>6.510592171</v>
      </c>
      <c r="M1698" s="9">
        <v>9.5</v>
      </c>
      <c r="N1698" s="25">
        <f>(dynamic[orderPrice]-dynamic[productCost])/dynamic[productCost]</f>
        <v>0.4591606648</v>
      </c>
      <c r="O1698" s="10">
        <v>15.0</v>
      </c>
      <c r="P1698" s="25">
        <v>0.0</v>
      </c>
      <c r="Q1698" s="9">
        <f>dynamic[orderPrice]*dynamic[orderQuantity]</f>
        <v>142.5</v>
      </c>
      <c r="R1698" s="9">
        <f>dynamic[orderTotal]*(1-dynamic[discountApllied])</f>
        <v>142.5</v>
      </c>
      <c r="S1698" s="9">
        <f>dynamic[revenue]-(dynamic[productCost]*dynamic[orderQuantity])</f>
        <v>44.84111744</v>
      </c>
      <c r="T1698" s="25">
        <f>IFERROR(dynamic[profit]/dynamic[revenue], 0)</f>
        <v>0.3146745083</v>
      </c>
    </row>
    <row r="1699" ht="15.75" customHeight="1">
      <c r="A1699" s="6">
        <v>10896.0</v>
      </c>
      <c r="B1699" s="7" t="s">
        <v>95</v>
      </c>
      <c r="C1699" s="24" t="str">
        <f>VLOOKUP(dynamic[customerID],customers[],2,FALSE)</f>
        <v>Maison Dewey</v>
      </c>
      <c r="D1699" s="24">
        <v>45341.0</v>
      </c>
      <c r="E1699" s="6">
        <f>IFERROR(__xludf.DUMMYFUNCTION("COUNTUNIQUEIFS($A$2:$A1699,$B$2:$B1699,B1699)"),5.0)</f>
        <v>5</v>
      </c>
      <c r="F1699" s="6">
        <f t="shared" si="1"/>
        <v>2</v>
      </c>
      <c r="G1699" s="6" t="str">
        <f>IF(MINIFS(dynamic[orderDate], dynamic[customerID], B1699) &gt;= DATE(2024,4,30)-120, 
     "New", 
     IF(MAXIFS(dynamic[orderCount], dynamic[customerID], B1699)&lt;=2, 
        IF((DATE(2024,4,30) - MAXIFS(dynamic[orderDate], dynamic[customerID], B1699)) &gt; 180, "Non-Returning", "Dormant"), 
        IF(AND(MAX(dynamic[sinceLastOrder]) &gt; 365, (DATE(2024,4,30) - MAXIFS(dynamic[orderDate], dynamic[customerID], B1699)) &gt; 180), 
           "Dormant", "Regular")))</f>
        <v>Regular</v>
      </c>
      <c r="H1699" s="6">
        <v>56.0</v>
      </c>
      <c r="I1699" s="9" t="str">
        <f>VLOOKUP(dynamic[productID],products[],2,FALSE)</f>
        <v>Gnocchi di nonna Alice</v>
      </c>
      <c r="J1699" s="9" t="str">
        <f>VLOOKUP(dynamic[productID],products[],12,FALSE)</f>
        <v>Grains/Cereals</v>
      </c>
      <c r="K1699" s="7" t="str">
        <f>IF(VLOOKUP(dynamic[productID],products[],7,FALSE)=1,"Discontinued","Current")</f>
        <v>Current</v>
      </c>
      <c r="L1699" s="9">
        <f>VLOOKUP(dynamic[productID],products[],IF(YEAR(dynamic[orderDate])=2022,8,IF(YEAR(dynamic[orderDate])=2023,9,IF(YEAR(dynamic[orderDate])=2024,10,NA))),FALSE)</f>
        <v>27.53915851</v>
      </c>
      <c r="M1699" s="9">
        <v>38.0</v>
      </c>
      <c r="N1699" s="25">
        <f>(dynamic[orderPrice]-dynamic[productCost])/dynamic[productCost]</f>
        <v>0.3798533452</v>
      </c>
      <c r="O1699" s="10">
        <v>16.0</v>
      </c>
      <c r="P1699" s="25">
        <v>0.0</v>
      </c>
      <c r="Q1699" s="9">
        <f>dynamic[orderPrice]*dynamic[orderQuantity]</f>
        <v>608</v>
      </c>
      <c r="R1699" s="9">
        <f>dynamic[orderTotal]*(1-dynamic[discountApllied])</f>
        <v>608</v>
      </c>
      <c r="S1699" s="9">
        <f>dynamic[revenue]-(dynamic[productCost]*dynamic[orderQuantity])</f>
        <v>167.3734638</v>
      </c>
      <c r="T1699" s="25">
        <f>IFERROR(dynamic[profit]/dynamic[revenue], 0)</f>
        <v>0.2752853023</v>
      </c>
    </row>
    <row r="1700" ht="15.75" customHeight="1">
      <c r="A1700" s="6">
        <v>10897.0</v>
      </c>
      <c r="B1700" s="7" t="s">
        <v>49</v>
      </c>
      <c r="C1700" s="24" t="str">
        <f>VLOOKUP(dynamic[customerID],customers[],2,FALSE)</f>
        <v>Hungry Owl All-Night Grocers</v>
      </c>
      <c r="D1700" s="24">
        <v>45341.0</v>
      </c>
      <c r="E1700" s="6">
        <f>IFERROR(__xludf.DUMMYFUNCTION("COUNTUNIQUEIFS($A$2:$A1700,$B$2:$B1700,B1700)"),16.0)</f>
        <v>16</v>
      </c>
      <c r="F1700" s="6">
        <f t="shared" si="1"/>
        <v>100</v>
      </c>
      <c r="G1700" s="6" t="str">
        <f>IF(MINIFS(dynamic[orderDate], dynamic[customerID], B1700) &gt;= DATE(2024,4,30)-120, 
     "New", 
     IF(MAXIFS(dynamic[orderCount], dynamic[customerID], B1700)&lt;=2, 
        IF((DATE(2024,4,30) - MAXIFS(dynamic[orderDate], dynamic[customerID], B1700)) &gt; 180, "Non-Returning", "Dormant"), 
        IF(AND(MAX(dynamic[sinceLastOrder]) &gt; 365, (DATE(2024,4,30) - MAXIFS(dynamic[orderDate], dynamic[customerID], B1700)) &gt; 180), 
           "Dormant", "Regular")))</f>
        <v>Regular</v>
      </c>
      <c r="H1700" s="6">
        <v>29.0</v>
      </c>
      <c r="I1700" s="9" t="str">
        <f>VLOOKUP(dynamic[productID],products[],2,FALSE)</f>
        <v>Thüringer Rostbratwurst</v>
      </c>
      <c r="J1700" s="9" t="str">
        <f>VLOOKUP(dynamic[productID],products[],12,FALSE)</f>
        <v>Meat/Poultry</v>
      </c>
      <c r="K1700" s="7" t="str">
        <f>IF(VLOOKUP(dynamic[productID],products[],7,FALSE)=1,"Discontinued","Current")</f>
        <v>Discontinued</v>
      </c>
      <c r="L1700" s="9">
        <f>VLOOKUP(dynamic[productID],products[],IF(YEAR(dynamic[orderDate])=2022,8,IF(YEAR(dynamic[orderDate])=2023,9,IF(YEAR(dynamic[orderDate])=2024,10,NA))),FALSE)</f>
        <v>80.14595973</v>
      </c>
      <c r="M1700" s="9">
        <v>123.79</v>
      </c>
      <c r="N1700" s="25">
        <f>(dynamic[orderPrice]-dynamic[productCost])/dynamic[productCost]</f>
        <v>0.544556961</v>
      </c>
      <c r="O1700" s="10">
        <v>80.0</v>
      </c>
      <c r="P1700" s="25">
        <v>0.0</v>
      </c>
      <c r="Q1700" s="9">
        <f>dynamic[orderPrice]*dynamic[orderQuantity]</f>
        <v>9903.2</v>
      </c>
      <c r="R1700" s="9">
        <f>dynamic[orderTotal]*(1-dynamic[discountApllied])</f>
        <v>9903.2</v>
      </c>
      <c r="S1700" s="9">
        <f>dynamic[revenue]-(dynamic[productCost]*dynamic[orderQuantity])</f>
        <v>3491.523221</v>
      </c>
      <c r="T1700" s="25">
        <f>IFERROR(dynamic[profit]/dynamic[revenue], 0)</f>
        <v>0.3525651528</v>
      </c>
    </row>
    <row r="1701" ht="15.75" customHeight="1">
      <c r="A1701" s="6">
        <v>10897.0</v>
      </c>
      <c r="B1701" s="7" t="s">
        <v>49</v>
      </c>
      <c r="C1701" s="24" t="str">
        <f>VLOOKUP(dynamic[customerID],customers[],2,FALSE)</f>
        <v>Hungry Owl All-Night Grocers</v>
      </c>
      <c r="D1701" s="24">
        <v>45341.0</v>
      </c>
      <c r="E1701" s="6">
        <f>IFERROR(__xludf.DUMMYFUNCTION("COUNTUNIQUEIFS($A$2:$A1701,$B$2:$B1701,B1701)"),16.0)</f>
        <v>16</v>
      </c>
      <c r="F1701" s="6">
        <f t="shared" si="1"/>
        <v>100</v>
      </c>
      <c r="G1701" s="6" t="str">
        <f>IF(MINIFS(dynamic[orderDate], dynamic[customerID], B1701) &gt;= DATE(2024,4,30)-120, 
     "New", 
     IF(MAXIFS(dynamic[orderCount], dynamic[customerID], B1701)&lt;=2, 
        IF((DATE(2024,4,30) - MAXIFS(dynamic[orderDate], dynamic[customerID], B1701)) &gt; 180, "Non-Returning", "Dormant"), 
        IF(AND(MAX(dynamic[sinceLastOrder]) &gt; 365, (DATE(2024,4,30) - MAXIFS(dynamic[orderDate], dynamic[customerID], B1701)) &gt; 180), 
           "Dormant", "Regular")))</f>
        <v>Regular</v>
      </c>
      <c r="H1701" s="6">
        <v>30.0</v>
      </c>
      <c r="I1701" s="9" t="str">
        <f>VLOOKUP(dynamic[productID],products[],2,FALSE)</f>
        <v>Nord-Ost Matjeshering</v>
      </c>
      <c r="J1701" s="9" t="str">
        <f>VLOOKUP(dynamic[productID],products[],12,FALSE)</f>
        <v>Seafood</v>
      </c>
      <c r="K1701" s="7" t="str">
        <f>IF(VLOOKUP(dynamic[productID],products[],7,FALSE)=1,"Discontinued","Current")</f>
        <v>Current</v>
      </c>
      <c r="L1701" s="9">
        <f>VLOOKUP(dynamic[productID],products[],IF(YEAR(dynamic[orderDate])=2022,8,IF(YEAR(dynamic[orderDate])=2023,9,IF(YEAR(dynamic[orderDate])=2024,10,NA))),FALSE)</f>
        <v>17.0327851</v>
      </c>
      <c r="M1701" s="9">
        <v>25.89</v>
      </c>
      <c r="N1701" s="25">
        <f>(dynamic[orderPrice]-dynamic[productCost])/dynamic[productCost]</f>
        <v>0.5200097842</v>
      </c>
      <c r="O1701" s="10">
        <v>36.0</v>
      </c>
      <c r="P1701" s="25">
        <v>0.0</v>
      </c>
      <c r="Q1701" s="9">
        <f>dynamic[orderPrice]*dynamic[orderQuantity]</f>
        <v>932.04</v>
      </c>
      <c r="R1701" s="9">
        <f>dynamic[orderTotal]*(1-dynamic[discountApllied])</f>
        <v>932.04</v>
      </c>
      <c r="S1701" s="9">
        <f>dynamic[revenue]-(dynamic[productCost]*dynamic[orderQuantity])</f>
        <v>318.8597365</v>
      </c>
      <c r="T1701" s="25">
        <f>IFERROR(dynamic[profit]/dynamic[revenue], 0)</f>
        <v>0.342109498</v>
      </c>
    </row>
    <row r="1702" ht="15.75" customHeight="1">
      <c r="A1702" s="6">
        <v>10898.0</v>
      </c>
      <c r="B1702" s="7" t="s">
        <v>84</v>
      </c>
      <c r="C1702" s="24" t="str">
        <f>VLOOKUP(dynamic[customerID],customers[],2,FALSE)</f>
        <v>Océano Atlántico Ltda.</v>
      </c>
      <c r="D1702" s="24">
        <v>45342.0</v>
      </c>
      <c r="E1702" s="6">
        <f>IFERROR(__xludf.DUMMYFUNCTION("COUNTUNIQUEIFS($A$2:$A1702,$B$2:$B1702,B1702)"),3.0)</f>
        <v>3</v>
      </c>
      <c r="F1702" s="6">
        <f t="shared" si="1"/>
        <v>288</v>
      </c>
      <c r="G1702" s="6" t="str">
        <f>IF(MINIFS(dynamic[orderDate], dynamic[customerID], B1702) &gt;= DATE(2024,4,30)-120, 
     "New", 
     IF(MAXIFS(dynamic[orderCount], dynamic[customerID], B1702)&lt;=2, 
        IF((DATE(2024,4,30) - MAXIFS(dynamic[orderDate], dynamic[customerID], B1702)) &gt; 180, "Non-Returning", "Dormant"), 
        IF(AND(MAX(dynamic[sinceLastOrder]) &gt; 365, (DATE(2024,4,30) - MAXIFS(dynamic[orderDate], dynamic[customerID], B1702)) &gt; 180), 
           "Dormant", "Regular")))</f>
        <v>Regular</v>
      </c>
      <c r="H1702" s="6">
        <v>13.0</v>
      </c>
      <c r="I1702" s="9" t="str">
        <f>VLOOKUP(dynamic[productID],products[],2,FALSE)</f>
        <v>Konbu</v>
      </c>
      <c r="J1702" s="9" t="str">
        <f>VLOOKUP(dynamic[productID],products[],12,FALSE)</f>
        <v>Seafood</v>
      </c>
      <c r="K1702" s="7" t="str">
        <f>IF(VLOOKUP(dynamic[productID],products[],7,FALSE)=1,"Discontinued","Current")</f>
        <v>Current</v>
      </c>
      <c r="L1702" s="9">
        <f>VLOOKUP(dynamic[productID],products[],IF(YEAR(dynamic[orderDate])=2022,8,IF(YEAR(dynamic[orderDate])=2023,9,IF(YEAR(dynamic[orderDate])=2024,10,NA))),FALSE)</f>
        <v>3.966387047</v>
      </c>
      <c r="M1702" s="9">
        <v>6.0</v>
      </c>
      <c r="N1702" s="25">
        <f>(dynamic[orderPrice]-dynamic[productCost])/dynamic[productCost]</f>
        <v>0.5127116768</v>
      </c>
      <c r="O1702" s="10">
        <v>5.0</v>
      </c>
      <c r="P1702" s="25">
        <v>0.0</v>
      </c>
      <c r="Q1702" s="9">
        <f>dynamic[orderPrice]*dynamic[orderQuantity]</f>
        <v>30</v>
      </c>
      <c r="R1702" s="9">
        <f>dynamic[orderTotal]*(1-dynamic[discountApllied])</f>
        <v>30</v>
      </c>
      <c r="S1702" s="9">
        <f>dynamic[revenue]-(dynamic[productCost]*dynamic[orderQuantity])</f>
        <v>10.16806477</v>
      </c>
      <c r="T1702" s="25">
        <f>IFERROR(dynamic[profit]/dynamic[revenue], 0)</f>
        <v>0.3389354922</v>
      </c>
    </row>
    <row r="1703" ht="15.75" customHeight="1">
      <c r="A1703" s="6">
        <v>10899.0</v>
      </c>
      <c r="B1703" s="7" t="s">
        <v>43</v>
      </c>
      <c r="C1703" s="24" t="str">
        <f>VLOOKUP(dynamic[customerID],customers[],2,FALSE)</f>
        <v>LILA-Supermercado</v>
      </c>
      <c r="D1703" s="24">
        <v>45342.0</v>
      </c>
      <c r="E1703" s="6">
        <f>IFERROR(__xludf.DUMMYFUNCTION("COUNTUNIQUEIFS($A$2:$A1703,$B$2:$B1703,B1703)"),11.0)</f>
        <v>11</v>
      </c>
      <c r="F1703" s="6">
        <f t="shared" si="1"/>
        <v>42</v>
      </c>
      <c r="G1703" s="6" t="str">
        <f>IF(MINIFS(dynamic[orderDate], dynamic[customerID], B1703) &gt;= DATE(2024,4,30)-120, 
     "New", 
     IF(MAXIFS(dynamic[orderCount], dynamic[customerID], B1703)&lt;=2, 
        IF((DATE(2024,4,30) - MAXIFS(dynamic[orderDate], dynamic[customerID], B1703)) &gt; 180, "Non-Returning", "Dormant"), 
        IF(AND(MAX(dynamic[sinceLastOrder]) &gt; 365, (DATE(2024,4,30) - MAXIFS(dynamic[orderDate], dynamic[customerID], B1703)) &gt; 180), 
           "Dormant", "Regular")))</f>
        <v>Regular</v>
      </c>
      <c r="H1703" s="6">
        <v>39.0</v>
      </c>
      <c r="I1703" s="9" t="str">
        <f>VLOOKUP(dynamic[productID],products[],2,FALSE)</f>
        <v>Chartreuse verte</v>
      </c>
      <c r="J1703" s="9" t="str">
        <f>VLOOKUP(dynamic[productID],products[],12,FALSE)</f>
        <v>Beverages</v>
      </c>
      <c r="K1703" s="7" t="str">
        <f>IF(VLOOKUP(dynamic[productID],products[],7,FALSE)=1,"Discontinued","Current")</f>
        <v>Current</v>
      </c>
      <c r="L1703" s="9">
        <f>VLOOKUP(dynamic[productID],products[],IF(YEAR(dynamic[orderDate])=2022,8,IF(YEAR(dynamic[orderDate])=2023,9,IF(YEAR(dynamic[orderDate])=2024,10,NA))),FALSE)</f>
        <v>12.3017224</v>
      </c>
      <c r="M1703" s="9">
        <v>18.0</v>
      </c>
      <c r="N1703" s="25">
        <f>(dynamic[orderPrice]-dynamic[productCost])/dynamic[productCost]</f>
        <v>0.4632097374</v>
      </c>
      <c r="O1703" s="10">
        <v>8.0</v>
      </c>
      <c r="P1703" s="25">
        <v>0.15</v>
      </c>
      <c r="Q1703" s="9">
        <f>dynamic[orderPrice]*dynamic[orderQuantity]</f>
        <v>144</v>
      </c>
      <c r="R1703" s="9">
        <f>dynamic[orderTotal]*(1-dynamic[discountApllied])</f>
        <v>122.4</v>
      </c>
      <c r="S1703" s="9">
        <f>dynamic[revenue]-(dynamic[productCost]*dynamic[orderQuantity])</f>
        <v>23.98622081</v>
      </c>
      <c r="T1703" s="25">
        <f>IFERROR(dynamic[profit]/dynamic[revenue], 0)</f>
        <v>0.1959658563</v>
      </c>
    </row>
    <row r="1704" ht="15.75" customHeight="1">
      <c r="A1704" s="6">
        <v>10900.0</v>
      </c>
      <c r="B1704" s="7" t="s">
        <v>22</v>
      </c>
      <c r="C1704" s="24" t="str">
        <f>VLOOKUP(dynamic[customerID],customers[],2,FALSE)</f>
        <v>Wellington Importadora</v>
      </c>
      <c r="D1704" s="24">
        <v>45342.0</v>
      </c>
      <c r="E1704" s="6">
        <f>IFERROR(__xludf.DUMMYFUNCTION("COUNTUNIQUEIFS($A$2:$A1704,$B$2:$B1704,B1704)"),7.0)</f>
        <v>7</v>
      </c>
      <c r="F1704" s="6">
        <f t="shared" si="1"/>
        <v>50</v>
      </c>
      <c r="G1704" s="6" t="str">
        <f>IF(MINIFS(dynamic[orderDate], dynamic[customerID], B1704) &gt;= DATE(2024,4,30)-120, 
     "New", 
     IF(MAXIFS(dynamic[orderCount], dynamic[customerID], B1704)&lt;=2, 
        IF((DATE(2024,4,30) - MAXIFS(dynamic[orderDate], dynamic[customerID], B1704)) &gt; 180, "Non-Returning", "Dormant"), 
        IF(AND(MAX(dynamic[sinceLastOrder]) &gt; 365, (DATE(2024,4,30) - MAXIFS(dynamic[orderDate], dynamic[customerID], B1704)) &gt; 180), 
           "Dormant", "Regular")))</f>
        <v>Regular</v>
      </c>
      <c r="H1704" s="6">
        <v>70.0</v>
      </c>
      <c r="I1704" s="9" t="str">
        <f>VLOOKUP(dynamic[productID],products[],2,FALSE)</f>
        <v>Outback Lager</v>
      </c>
      <c r="J1704" s="9" t="str">
        <f>VLOOKUP(dynamic[productID],products[],12,FALSE)</f>
        <v>Beverages</v>
      </c>
      <c r="K1704" s="7" t="str">
        <f>IF(VLOOKUP(dynamic[productID],products[],7,FALSE)=1,"Discontinued","Current")</f>
        <v>Current</v>
      </c>
      <c r="L1704" s="9">
        <f>VLOOKUP(dynamic[productID],products[],IF(YEAR(dynamic[orderDate])=2022,8,IF(YEAR(dynamic[orderDate])=2023,9,IF(YEAR(dynamic[orderDate])=2024,10,NA))),FALSE)</f>
        <v>10.03280812</v>
      </c>
      <c r="M1704" s="9">
        <v>15.0</v>
      </c>
      <c r="N1704" s="25">
        <f>(dynamic[orderPrice]-dynamic[productCost])/dynamic[productCost]</f>
        <v>0.4950948747</v>
      </c>
      <c r="O1704" s="10">
        <v>3.0</v>
      </c>
      <c r="P1704" s="25">
        <v>0.25</v>
      </c>
      <c r="Q1704" s="9">
        <f>dynamic[orderPrice]*dynamic[orderQuantity]</f>
        <v>45</v>
      </c>
      <c r="R1704" s="9">
        <f>dynamic[orderTotal]*(1-dynamic[discountApllied])</f>
        <v>33.75</v>
      </c>
      <c r="S1704" s="9">
        <f>dynamic[revenue]-(dynamic[productCost]*dynamic[orderQuantity])</f>
        <v>3.651575637</v>
      </c>
      <c r="T1704" s="25">
        <f>IFERROR(dynamic[profit]/dynamic[revenue], 0)</f>
        <v>0.1081948337</v>
      </c>
    </row>
    <row r="1705" ht="15.75" customHeight="1">
      <c r="A1705" s="6">
        <v>10901.0</v>
      </c>
      <c r="B1705" s="7" t="s">
        <v>23</v>
      </c>
      <c r="C1705" s="24" t="str">
        <f>VLOOKUP(dynamic[customerID],customers[],2,FALSE)</f>
        <v>HILARION-Abastos</v>
      </c>
      <c r="D1705" s="24">
        <v>45345.0</v>
      </c>
      <c r="E1705" s="6">
        <f>IFERROR(__xludf.DUMMYFUNCTION("COUNTUNIQUEIFS($A$2:$A1705,$B$2:$B1705,B1705)"),14.0)</f>
        <v>14</v>
      </c>
      <c r="F1705" s="6">
        <f t="shared" si="1"/>
        <v>21</v>
      </c>
      <c r="G1705" s="6" t="str">
        <f>IF(MINIFS(dynamic[orderDate], dynamic[customerID], B1705) &gt;= DATE(2024,4,30)-120, 
     "New", 
     IF(MAXIFS(dynamic[orderCount], dynamic[customerID], B1705)&lt;=2, 
        IF((DATE(2024,4,30) - MAXIFS(dynamic[orderDate], dynamic[customerID], B1705)) &gt; 180, "Non-Returning", "Dormant"), 
        IF(AND(MAX(dynamic[sinceLastOrder]) &gt; 365, (DATE(2024,4,30) - MAXIFS(dynamic[orderDate], dynamic[customerID], B1705)) &gt; 180), 
           "Dormant", "Regular")))</f>
        <v>Regular</v>
      </c>
      <c r="H1705" s="6">
        <v>41.0</v>
      </c>
      <c r="I1705" s="9" t="str">
        <f>VLOOKUP(dynamic[productID],products[],2,FALSE)</f>
        <v>Jack's New England Clam Chowder</v>
      </c>
      <c r="J1705" s="9" t="str">
        <f>VLOOKUP(dynamic[productID],products[],12,FALSE)</f>
        <v>Seafood</v>
      </c>
      <c r="K1705" s="7" t="str">
        <f>IF(VLOOKUP(dynamic[productID],products[],7,FALSE)=1,"Discontinued","Current")</f>
        <v>Current</v>
      </c>
      <c r="L1705" s="9">
        <f>VLOOKUP(dynamic[productID],products[],IF(YEAR(dynamic[orderDate])=2022,8,IF(YEAR(dynamic[orderDate])=2023,9,IF(YEAR(dynamic[orderDate])=2024,10,NA))),FALSE)</f>
        <v>6.611787882</v>
      </c>
      <c r="M1705" s="9">
        <v>9.65</v>
      </c>
      <c r="N1705" s="25">
        <f>(dynamic[orderPrice]-dynamic[productCost])/dynamic[productCost]</f>
        <v>0.459514457</v>
      </c>
      <c r="O1705" s="10">
        <v>30.0</v>
      </c>
      <c r="P1705" s="25">
        <v>0.0</v>
      </c>
      <c r="Q1705" s="9">
        <f>dynamic[orderPrice]*dynamic[orderQuantity]</f>
        <v>289.5</v>
      </c>
      <c r="R1705" s="9">
        <f>dynamic[orderTotal]*(1-dynamic[discountApllied])</f>
        <v>289.5</v>
      </c>
      <c r="S1705" s="9">
        <f>dynamic[revenue]-(dynamic[productCost]*dynamic[orderQuantity])</f>
        <v>91.14636354</v>
      </c>
      <c r="T1705" s="25">
        <f>IFERROR(dynamic[profit]/dynamic[revenue], 0)</f>
        <v>0.314840634</v>
      </c>
    </row>
    <row r="1706" ht="15.75" customHeight="1">
      <c r="A1706" s="6">
        <v>10901.0</v>
      </c>
      <c r="B1706" s="7" t="s">
        <v>23</v>
      </c>
      <c r="C1706" s="24" t="str">
        <f>VLOOKUP(dynamic[customerID],customers[],2,FALSE)</f>
        <v>HILARION-Abastos</v>
      </c>
      <c r="D1706" s="24">
        <v>45345.0</v>
      </c>
      <c r="E1706" s="6">
        <f>IFERROR(__xludf.DUMMYFUNCTION("COUNTUNIQUEIFS($A$2:$A1706,$B$2:$B1706,B1706)"),14.0)</f>
        <v>14</v>
      </c>
      <c r="F1706" s="6">
        <f t="shared" si="1"/>
        <v>21</v>
      </c>
      <c r="G1706" s="6" t="str">
        <f>IF(MINIFS(dynamic[orderDate], dynamic[customerID], B1706) &gt;= DATE(2024,4,30)-120, 
     "New", 
     IF(MAXIFS(dynamic[orderCount], dynamic[customerID], B1706)&lt;=2, 
        IF((DATE(2024,4,30) - MAXIFS(dynamic[orderDate], dynamic[customerID], B1706)) &gt; 180, "Non-Returning", "Dormant"), 
        IF(AND(MAX(dynamic[sinceLastOrder]) &gt; 365, (DATE(2024,4,30) - MAXIFS(dynamic[orderDate], dynamic[customerID], B1706)) &gt; 180), 
           "Dormant", "Regular")))</f>
        <v>Regular</v>
      </c>
      <c r="H1706" s="6">
        <v>71.0</v>
      </c>
      <c r="I1706" s="9" t="str">
        <f>VLOOKUP(dynamic[productID],products[],2,FALSE)</f>
        <v>Flotemysost</v>
      </c>
      <c r="J1706" s="9" t="str">
        <f>VLOOKUP(dynamic[productID],products[],12,FALSE)</f>
        <v>Dairy Products</v>
      </c>
      <c r="K1706" s="7" t="str">
        <f>IF(VLOOKUP(dynamic[productID],products[],7,FALSE)=1,"Discontinued","Current")</f>
        <v>Current</v>
      </c>
      <c r="L1706" s="9">
        <f>VLOOKUP(dynamic[productID],products[],IF(YEAR(dynamic[orderDate])=2022,8,IF(YEAR(dynamic[orderDate])=2023,9,IF(YEAR(dynamic[orderDate])=2024,10,NA))),FALSE)</f>
        <v>14.20977576</v>
      </c>
      <c r="M1706" s="9">
        <v>21.5</v>
      </c>
      <c r="N1706" s="25">
        <f>(dynamic[orderPrice]-dynamic[productCost])/dynamic[productCost]</f>
        <v>0.5130428769</v>
      </c>
      <c r="O1706" s="10">
        <v>30.0</v>
      </c>
      <c r="P1706" s="25">
        <v>0.0</v>
      </c>
      <c r="Q1706" s="9">
        <f>dynamic[orderPrice]*dynamic[orderQuantity]</f>
        <v>645</v>
      </c>
      <c r="R1706" s="9">
        <f>dynamic[orderTotal]*(1-dynamic[discountApllied])</f>
        <v>645</v>
      </c>
      <c r="S1706" s="9">
        <f>dynamic[revenue]-(dynamic[productCost]*dynamic[orderQuantity])</f>
        <v>218.7067271</v>
      </c>
      <c r="T1706" s="25">
        <f>IFERROR(dynamic[profit]/dynamic[revenue], 0)</f>
        <v>0.3390801971</v>
      </c>
    </row>
    <row r="1707" ht="15.75" customHeight="1">
      <c r="A1707" s="6">
        <v>10902.0</v>
      </c>
      <c r="B1707" s="7" t="s">
        <v>29</v>
      </c>
      <c r="C1707" s="24" t="str">
        <f>VLOOKUP(dynamic[customerID],customers[],2,FALSE)</f>
        <v>Folk och fä HB</v>
      </c>
      <c r="D1707" s="24">
        <v>45345.0</v>
      </c>
      <c r="E1707" s="6">
        <f>IFERROR(__xludf.DUMMYFUNCTION("COUNTUNIQUEIFS($A$2:$A1707,$B$2:$B1707,B1707)"),13.0)</f>
        <v>13</v>
      </c>
      <c r="F1707" s="6">
        <f t="shared" si="1"/>
        <v>13</v>
      </c>
      <c r="G1707" s="6" t="str">
        <f>IF(MINIFS(dynamic[orderDate], dynamic[customerID], B1707) &gt;= DATE(2024,4,30)-120, 
     "New", 
     IF(MAXIFS(dynamic[orderCount], dynamic[customerID], B1707)&lt;=2, 
        IF((DATE(2024,4,30) - MAXIFS(dynamic[orderDate], dynamic[customerID], B1707)) &gt; 180, "Non-Returning", "Dormant"), 
        IF(AND(MAX(dynamic[sinceLastOrder]) &gt; 365, (DATE(2024,4,30) - MAXIFS(dynamic[orderDate], dynamic[customerID], B1707)) &gt; 180), 
           "Dormant", "Regular")))</f>
        <v>Regular</v>
      </c>
      <c r="H1707" s="6">
        <v>55.0</v>
      </c>
      <c r="I1707" s="9" t="str">
        <f>VLOOKUP(dynamic[productID],products[],2,FALSE)</f>
        <v>Pâté chinois</v>
      </c>
      <c r="J1707" s="9" t="str">
        <f>VLOOKUP(dynamic[productID],products[],12,FALSE)</f>
        <v>Meat/Poultry</v>
      </c>
      <c r="K1707" s="7" t="str">
        <f>IF(VLOOKUP(dynamic[productID],products[],7,FALSE)=1,"Discontinued","Current")</f>
        <v>Current</v>
      </c>
      <c r="L1707" s="9">
        <f>VLOOKUP(dynamic[productID],products[],IF(YEAR(dynamic[orderDate])=2022,8,IF(YEAR(dynamic[orderDate])=2023,9,IF(YEAR(dynamic[orderDate])=2024,10,NA))),FALSE)</f>
        <v>16.95998522</v>
      </c>
      <c r="M1707" s="9">
        <v>24.0</v>
      </c>
      <c r="N1707" s="25">
        <f>(dynamic[orderPrice]-dynamic[productCost])/dynamic[productCost]</f>
        <v>0.4150955727</v>
      </c>
      <c r="O1707" s="10">
        <v>30.0</v>
      </c>
      <c r="P1707" s="25">
        <v>0.15</v>
      </c>
      <c r="Q1707" s="9">
        <f>dynamic[orderPrice]*dynamic[orderQuantity]</f>
        <v>720</v>
      </c>
      <c r="R1707" s="9">
        <f>dynamic[orderTotal]*(1-dynamic[discountApllied])</f>
        <v>612</v>
      </c>
      <c r="S1707" s="9">
        <f>dynamic[revenue]-(dynamic[productCost]*dynamic[orderQuantity])</f>
        <v>103.2004434</v>
      </c>
      <c r="T1707" s="25">
        <f>IFERROR(dynamic[profit]/dynamic[revenue], 0)</f>
        <v>0.1686281754</v>
      </c>
    </row>
    <row r="1708" ht="15.75" customHeight="1">
      <c r="A1708" s="6">
        <v>10902.0</v>
      </c>
      <c r="B1708" s="7" t="s">
        <v>29</v>
      </c>
      <c r="C1708" s="24" t="str">
        <f>VLOOKUP(dynamic[customerID],customers[],2,FALSE)</f>
        <v>Folk och fä HB</v>
      </c>
      <c r="D1708" s="24">
        <v>45345.0</v>
      </c>
      <c r="E1708" s="6">
        <f>IFERROR(__xludf.DUMMYFUNCTION("COUNTUNIQUEIFS($A$2:$A1708,$B$2:$B1708,B1708)"),13.0)</f>
        <v>13</v>
      </c>
      <c r="F1708" s="6">
        <f t="shared" si="1"/>
        <v>13</v>
      </c>
      <c r="G1708" s="6" t="str">
        <f>IF(MINIFS(dynamic[orderDate], dynamic[customerID], B1708) &gt;= DATE(2024,4,30)-120, 
     "New", 
     IF(MAXIFS(dynamic[orderCount], dynamic[customerID], B1708)&lt;=2, 
        IF((DATE(2024,4,30) - MAXIFS(dynamic[orderDate], dynamic[customerID], B1708)) &gt; 180, "Non-Returning", "Dormant"), 
        IF(AND(MAX(dynamic[sinceLastOrder]) &gt; 365, (DATE(2024,4,30) - MAXIFS(dynamic[orderDate], dynamic[customerID], B1708)) &gt; 180), 
           "Dormant", "Regular")))</f>
        <v>Regular</v>
      </c>
      <c r="H1708" s="6">
        <v>62.0</v>
      </c>
      <c r="I1708" s="9" t="str">
        <f>VLOOKUP(dynamic[productID],products[],2,FALSE)</f>
        <v>Tarte au sucre</v>
      </c>
      <c r="J1708" s="9" t="str">
        <f>VLOOKUP(dynamic[productID],products[],12,FALSE)</f>
        <v>Confections</v>
      </c>
      <c r="K1708" s="7" t="str">
        <f>IF(VLOOKUP(dynamic[productID],products[],7,FALSE)=1,"Discontinued","Current")</f>
        <v>Current</v>
      </c>
      <c r="L1708" s="9">
        <f>VLOOKUP(dynamic[productID],products[],IF(YEAR(dynamic[orderDate])=2022,8,IF(YEAR(dynamic[orderDate])=2023,9,IF(YEAR(dynamic[orderDate])=2024,10,NA))),FALSE)</f>
        <v>34.88145014</v>
      </c>
      <c r="M1708" s="9">
        <v>49.3</v>
      </c>
      <c r="N1708" s="25">
        <f>(dynamic[orderPrice]-dynamic[productCost])/dynamic[productCost]</f>
        <v>0.4133586705</v>
      </c>
      <c r="O1708" s="10">
        <v>6.0</v>
      </c>
      <c r="P1708" s="25">
        <v>0.15</v>
      </c>
      <c r="Q1708" s="9">
        <f>dynamic[orderPrice]*dynamic[orderQuantity]</f>
        <v>295.8</v>
      </c>
      <c r="R1708" s="9">
        <f>dynamic[orderTotal]*(1-dynamic[discountApllied])</f>
        <v>251.43</v>
      </c>
      <c r="S1708" s="9">
        <f>dynamic[revenue]-(dynamic[productCost]*dynamic[orderQuantity])</f>
        <v>42.14129914</v>
      </c>
      <c r="T1708" s="25">
        <f>IFERROR(dynamic[profit]/dynamic[revenue], 0)</f>
        <v>0.1676064875</v>
      </c>
    </row>
    <row r="1709" ht="15.75" customHeight="1">
      <c r="A1709" s="6">
        <v>10903.0</v>
      </c>
      <c r="B1709" s="7" t="s">
        <v>16</v>
      </c>
      <c r="C1709" s="24" t="str">
        <f>VLOOKUP(dynamic[customerID],customers[],2,FALSE)</f>
        <v>Hanari Carnes</v>
      </c>
      <c r="D1709" s="24">
        <v>45346.0</v>
      </c>
      <c r="E1709" s="6">
        <f>IFERROR(__xludf.DUMMYFUNCTION("COUNTUNIQUEIFS($A$2:$A1709,$B$2:$B1709,B1709)"),9.0)</f>
        <v>9</v>
      </c>
      <c r="F1709" s="6">
        <f t="shared" si="1"/>
        <v>11</v>
      </c>
      <c r="G1709" s="6" t="str">
        <f>IF(MINIFS(dynamic[orderDate], dynamic[customerID], B1709) &gt;= DATE(2024,4,30)-120, 
     "New", 
     IF(MAXIFS(dynamic[orderCount], dynamic[customerID], B1709)&lt;=2, 
        IF((DATE(2024,4,30) - MAXIFS(dynamic[orderDate], dynamic[customerID], B1709)) &gt; 180, "Non-Returning", "Dormant"), 
        IF(AND(MAX(dynamic[sinceLastOrder]) &gt; 365, (DATE(2024,4,30) - MAXIFS(dynamic[orderDate], dynamic[customerID], B1709)) &gt; 180), 
           "Dormant", "Regular")))</f>
        <v>Regular</v>
      </c>
      <c r="H1709" s="6">
        <v>13.0</v>
      </c>
      <c r="I1709" s="9" t="str">
        <f>VLOOKUP(dynamic[productID],products[],2,FALSE)</f>
        <v>Konbu</v>
      </c>
      <c r="J1709" s="9" t="str">
        <f>VLOOKUP(dynamic[productID],products[],12,FALSE)</f>
        <v>Seafood</v>
      </c>
      <c r="K1709" s="7" t="str">
        <f>IF(VLOOKUP(dynamic[productID],products[],7,FALSE)=1,"Discontinued","Current")</f>
        <v>Current</v>
      </c>
      <c r="L1709" s="9">
        <f>VLOOKUP(dynamic[productID],products[],IF(YEAR(dynamic[orderDate])=2022,8,IF(YEAR(dynamic[orderDate])=2023,9,IF(YEAR(dynamic[orderDate])=2024,10,NA))),FALSE)</f>
        <v>3.966387047</v>
      </c>
      <c r="M1709" s="9">
        <v>6.0</v>
      </c>
      <c r="N1709" s="25">
        <f>(dynamic[orderPrice]-dynamic[productCost])/dynamic[productCost]</f>
        <v>0.5127116768</v>
      </c>
      <c r="O1709" s="10">
        <v>40.0</v>
      </c>
      <c r="P1709" s="25">
        <v>0.0</v>
      </c>
      <c r="Q1709" s="9">
        <f>dynamic[orderPrice]*dynamic[orderQuantity]</f>
        <v>240</v>
      </c>
      <c r="R1709" s="9">
        <f>dynamic[orderTotal]*(1-dynamic[discountApllied])</f>
        <v>240</v>
      </c>
      <c r="S1709" s="9">
        <f>dynamic[revenue]-(dynamic[productCost]*dynamic[orderQuantity])</f>
        <v>81.34451814</v>
      </c>
      <c r="T1709" s="25">
        <f>IFERROR(dynamic[profit]/dynamic[revenue], 0)</f>
        <v>0.3389354922</v>
      </c>
    </row>
    <row r="1710" ht="15.75" customHeight="1">
      <c r="A1710" s="6">
        <v>10903.0</v>
      </c>
      <c r="B1710" s="7" t="s">
        <v>16</v>
      </c>
      <c r="C1710" s="24" t="str">
        <f>VLOOKUP(dynamic[customerID],customers[],2,FALSE)</f>
        <v>Hanari Carnes</v>
      </c>
      <c r="D1710" s="24">
        <v>45346.0</v>
      </c>
      <c r="E1710" s="6">
        <f>IFERROR(__xludf.DUMMYFUNCTION("COUNTUNIQUEIFS($A$2:$A1710,$B$2:$B1710,B1710)"),9.0)</f>
        <v>9</v>
      </c>
      <c r="F1710" s="6">
        <f t="shared" si="1"/>
        <v>11</v>
      </c>
      <c r="G1710" s="6" t="str">
        <f>IF(MINIFS(dynamic[orderDate], dynamic[customerID], B1710) &gt;= DATE(2024,4,30)-120, 
     "New", 
     IF(MAXIFS(dynamic[orderCount], dynamic[customerID], B1710)&lt;=2, 
        IF((DATE(2024,4,30) - MAXIFS(dynamic[orderDate], dynamic[customerID], B1710)) &gt; 180, "Non-Returning", "Dormant"), 
        IF(AND(MAX(dynamic[sinceLastOrder]) &gt; 365, (DATE(2024,4,30) - MAXIFS(dynamic[orderDate], dynamic[customerID], B1710)) &gt; 180), 
           "Dormant", "Regular")))</f>
        <v>Regular</v>
      </c>
      <c r="H1710" s="6">
        <v>65.0</v>
      </c>
      <c r="I1710" s="9" t="str">
        <f>VLOOKUP(dynamic[productID],products[],2,FALSE)</f>
        <v>Louisiana Fiery Hot Pepper Sauce</v>
      </c>
      <c r="J1710" s="9" t="str">
        <f>VLOOKUP(dynamic[productID],products[],12,FALSE)</f>
        <v>Condiments</v>
      </c>
      <c r="K1710" s="7" t="str">
        <f>IF(VLOOKUP(dynamic[productID],products[],7,FALSE)=1,"Discontinued","Current")</f>
        <v>Current</v>
      </c>
      <c r="L1710" s="9">
        <f>VLOOKUP(dynamic[productID],products[],IF(YEAR(dynamic[orderDate])=2022,8,IF(YEAR(dynamic[orderDate])=2023,9,IF(YEAR(dynamic[orderDate])=2024,10,NA))),FALSE)</f>
        <v>14.50738168</v>
      </c>
      <c r="M1710" s="9">
        <v>21.05</v>
      </c>
      <c r="N1710" s="25">
        <f>(dynamic[orderPrice]-dynamic[productCost])/dynamic[productCost]</f>
        <v>0.4509854685</v>
      </c>
      <c r="O1710" s="10">
        <v>21.0</v>
      </c>
      <c r="P1710" s="25">
        <v>0.0</v>
      </c>
      <c r="Q1710" s="9">
        <f>dynamic[orderPrice]*dynamic[orderQuantity]</f>
        <v>442.05</v>
      </c>
      <c r="R1710" s="9">
        <f>dynamic[orderTotal]*(1-dynamic[discountApllied])</f>
        <v>442.05</v>
      </c>
      <c r="S1710" s="9">
        <f>dynamic[revenue]-(dynamic[productCost]*dynamic[orderQuantity])</f>
        <v>137.3949848</v>
      </c>
      <c r="T1710" s="25">
        <f>IFERROR(dynamic[profit]/dynamic[revenue], 0)</f>
        <v>0.310813222</v>
      </c>
    </row>
    <row r="1711" ht="15.75" customHeight="1">
      <c r="A1711" s="6">
        <v>10903.0</v>
      </c>
      <c r="B1711" s="7" t="s">
        <v>16</v>
      </c>
      <c r="C1711" s="24" t="str">
        <f>VLOOKUP(dynamic[customerID],customers[],2,FALSE)</f>
        <v>Hanari Carnes</v>
      </c>
      <c r="D1711" s="24">
        <v>45346.0</v>
      </c>
      <c r="E1711" s="6">
        <f>IFERROR(__xludf.DUMMYFUNCTION("COUNTUNIQUEIFS($A$2:$A1711,$B$2:$B1711,B1711)"),9.0)</f>
        <v>9</v>
      </c>
      <c r="F1711" s="6">
        <f t="shared" si="1"/>
        <v>11</v>
      </c>
      <c r="G1711" s="6" t="str">
        <f>IF(MINIFS(dynamic[orderDate], dynamic[customerID], B1711) &gt;= DATE(2024,4,30)-120, 
     "New", 
     IF(MAXIFS(dynamic[orderCount], dynamic[customerID], B1711)&lt;=2, 
        IF((DATE(2024,4,30) - MAXIFS(dynamic[orderDate], dynamic[customerID], B1711)) &gt; 180, "Non-Returning", "Dormant"), 
        IF(AND(MAX(dynamic[sinceLastOrder]) &gt; 365, (DATE(2024,4,30) - MAXIFS(dynamic[orderDate], dynamic[customerID], B1711)) &gt; 180), 
           "Dormant", "Regular")))</f>
        <v>Regular</v>
      </c>
      <c r="H1711" s="6">
        <v>68.0</v>
      </c>
      <c r="I1711" s="9" t="str">
        <f>VLOOKUP(dynamic[productID],products[],2,FALSE)</f>
        <v>Scottish Longbreads</v>
      </c>
      <c r="J1711" s="9" t="str">
        <f>VLOOKUP(dynamic[productID],products[],12,FALSE)</f>
        <v>Confections</v>
      </c>
      <c r="K1711" s="7" t="str">
        <f>IF(VLOOKUP(dynamic[productID],products[],7,FALSE)=1,"Discontinued","Current")</f>
        <v>Current</v>
      </c>
      <c r="L1711" s="9">
        <f>VLOOKUP(dynamic[productID],products[],IF(YEAR(dynamic[orderDate])=2022,8,IF(YEAR(dynamic[orderDate])=2023,9,IF(YEAR(dynamic[orderDate])=2024,10,NA))),FALSE)</f>
        <v>9.555031708</v>
      </c>
      <c r="M1711" s="9">
        <v>12.5</v>
      </c>
      <c r="N1711" s="25">
        <f>(dynamic[orderPrice]-dynamic[productCost])/dynamic[productCost]</f>
        <v>0.3082112527</v>
      </c>
      <c r="O1711" s="10">
        <v>20.0</v>
      </c>
      <c r="P1711" s="25">
        <v>0.0</v>
      </c>
      <c r="Q1711" s="9">
        <f>dynamic[orderPrice]*dynamic[orderQuantity]</f>
        <v>250</v>
      </c>
      <c r="R1711" s="9">
        <f>dynamic[orderTotal]*(1-dynamic[discountApllied])</f>
        <v>250</v>
      </c>
      <c r="S1711" s="9">
        <f>dynamic[revenue]-(dynamic[productCost]*dynamic[orderQuantity])</f>
        <v>58.89936585</v>
      </c>
      <c r="T1711" s="25">
        <f>IFERROR(dynamic[profit]/dynamic[revenue], 0)</f>
        <v>0.2355974634</v>
      </c>
    </row>
    <row r="1712" ht="15.75" customHeight="1">
      <c r="A1712" s="6">
        <v>10904.0</v>
      </c>
      <c r="B1712" s="7" t="s">
        <v>34</v>
      </c>
      <c r="C1712" s="24" t="str">
        <f>VLOOKUP(dynamic[customerID],customers[],2,FALSE)</f>
        <v>White Clover Markets</v>
      </c>
      <c r="D1712" s="24">
        <v>45346.0</v>
      </c>
      <c r="E1712" s="6">
        <f>IFERROR(__xludf.DUMMYFUNCTION("COUNTUNIQUEIFS($A$2:$A1712,$B$2:$B1712,B1712)"),12.0)</f>
        <v>12</v>
      </c>
      <c r="F1712" s="6">
        <f t="shared" si="1"/>
        <v>25</v>
      </c>
      <c r="G1712" s="6" t="str">
        <f>IF(MINIFS(dynamic[orderDate], dynamic[customerID], B1712) &gt;= DATE(2024,4,30)-120, 
     "New", 
     IF(MAXIFS(dynamic[orderCount], dynamic[customerID], B1712)&lt;=2, 
        IF((DATE(2024,4,30) - MAXIFS(dynamic[orderDate], dynamic[customerID], B1712)) &gt; 180, "Non-Returning", "Dormant"), 
        IF(AND(MAX(dynamic[sinceLastOrder]) &gt; 365, (DATE(2024,4,30) - MAXIFS(dynamic[orderDate], dynamic[customerID], B1712)) &gt; 180), 
           "Dormant", "Regular")))</f>
        <v>Regular</v>
      </c>
      <c r="H1712" s="6">
        <v>58.0</v>
      </c>
      <c r="I1712" s="9" t="str">
        <f>VLOOKUP(dynamic[productID],products[],2,FALSE)</f>
        <v>Escargots de Bourgogne</v>
      </c>
      <c r="J1712" s="9" t="str">
        <f>VLOOKUP(dynamic[productID],products[],12,FALSE)</f>
        <v>Seafood</v>
      </c>
      <c r="K1712" s="7" t="str">
        <f>IF(VLOOKUP(dynamic[productID],products[],7,FALSE)=1,"Discontinued","Current")</f>
        <v>Current</v>
      </c>
      <c r="L1712" s="9">
        <f>VLOOKUP(dynamic[productID],products[],IF(YEAR(dynamic[orderDate])=2022,8,IF(YEAR(dynamic[orderDate])=2023,9,IF(YEAR(dynamic[orderDate])=2024,10,NA))),FALSE)</f>
        <v>8.683102193</v>
      </c>
      <c r="M1712" s="9">
        <v>13.25</v>
      </c>
      <c r="N1712" s="25">
        <f>(dynamic[orderPrice]-dynamic[productCost])/dynamic[productCost]</f>
        <v>0.5259523274</v>
      </c>
      <c r="O1712" s="10">
        <v>15.0</v>
      </c>
      <c r="P1712" s="25">
        <v>0.0</v>
      </c>
      <c r="Q1712" s="9">
        <f>dynamic[orderPrice]*dynamic[orderQuantity]</f>
        <v>198.75</v>
      </c>
      <c r="R1712" s="9">
        <f>dynamic[orderTotal]*(1-dynamic[discountApllied])</f>
        <v>198.75</v>
      </c>
      <c r="S1712" s="9">
        <f>dynamic[revenue]-(dynamic[productCost]*dynamic[orderQuantity])</f>
        <v>68.50346711</v>
      </c>
      <c r="T1712" s="25">
        <f>IFERROR(dynamic[profit]/dynamic[revenue], 0)</f>
        <v>0.3446715326</v>
      </c>
    </row>
    <row r="1713" ht="15.75" customHeight="1">
      <c r="A1713" s="6">
        <v>10904.0</v>
      </c>
      <c r="B1713" s="7" t="s">
        <v>34</v>
      </c>
      <c r="C1713" s="24" t="str">
        <f>VLOOKUP(dynamic[customerID],customers[],2,FALSE)</f>
        <v>White Clover Markets</v>
      </c>
      <c r="D1713" s="24">
        <v>45346.0</v>
      </c>
      <c r="E1713" s="6">
        <f>IFERROR(__xludf.DUMMYFUNCTION("COUNTUNIQUEIFS($A$2:$A1713,$B$2:$B1713,B1713)"),12.0)</f>
        <v>12</v>
      </c>
      <c r="F1713" s="6">
        <f t="shared" si="1"/>
        <v>25</v>
      </c>
      <c r="G1713" s="6" t="str">
        <f>IF(MINIFS(dynamic[orderDate], dynamic[customerID], B1713) &gt;= DATE(2024,4,30)-120, 
     "New", 
     IF(MAXIFS(dynamic[orderCount], dynamic[customerID], B1713)&lt;=2, 
        IF((DATE(2024,4,30) - MAXIFS(dynamic[orderDate], dynamic[customerID], B1713)) &gt; 180, "Non-Returning", "Dormant"), 
        IF(AND(MAX(dynamic[sinceLastOrder]) &gt; 365, (DATE(2024,4,30) - MAXIFS(dynamic[orderDate], dynamic[customerID], B1713)) &gt; 180), 
           "Dormant", "Regular")))</f>
        <v>Regular</v>
      </c>
      <c r="H1713" s="6">
        <v>62.0</v>
      </c>
      <c r="I1713" s="9" t="str">
        <f>VLOOKUP(dynamic[productID],products[],2,FALSE)</f>
        <v>Tarte au sucre</v>
      </c>
      <c r="J1713" s="9" t="str">
        <f>VLOOKUP(dynamic[productID],products[],12,FALSE)</f>
        <v>Confections</v>
      </c>
      <c r="K1713" s="7" t="str">
        <f>IF(VLOOKUP(dynamic[productID],products[],7,FALSE)=1,"Discontinued","Current")</f>
        <v>Current</v>
      </c>
      <c r="L1713" s="9">
        <f>VLOOKUP(dynamic[productID],products[],IF(YEAR(dynamic[orderDate])=2022,8,IF(YEAR(dynamic[orderDate])=2023,9,IF(YEAR(dynamic[orderDate])=2024,10,NA))),FALSE)</f>
        <v>34.88145014</v>
      </c>
      <c r="M1713" s="9">
        <v>49.3</v>
      </c>
      <c r="N1713" s="25">
        <f>(dynamic[orderPrice]-dynamic[productCost])/dynamic[productCost]</f>
        <v>0.4133586705</v>
      </c>
      <c r="O1713" s="10">
        <v>35.0</v>
      </c>
      <c r="P1713" s="25">
        <v>0.0</v>
      </c>
      <c r="Q1713" s="9">
        <f>dynamic[orderPrice]*dynamic[orderQuantity]</f>
        <v>1725.5</v>
      </c>
      <c r="R1713" s="9">
        <f>dynamic[orderTotal]*(1-dynamic[discountApllied])</f>
        <v>1725.5</v>
      </c>
      <c r="S1713" s="9">
        <f>dynamic[revenue]-(dynamic[productCost]*dynamic[orderQuantity])</f>
        <v>504.649245</v>
      </c>
      <c r="T1713" s="25">
        <f>IFERROR(dynamic[profit]/dynamic[revenue], 0)</f>
        <v>0.2924655143</v>
      </c>
    </row>
    <row r="1714" ht="15.75" customHeight="1">
      <c r="A1714" s="6">
        <v>10905.0</v>
      </c>
      <c r="B1714" s="7" t="s">
        <v>22</v>
      </c>
      <c r="C1714" s="24" t="str">
        <f>VLOOKUP(dynamic[customerID],customers[],2,FALSE)</f>
        <v>Wellington Importadora</v>
      </c>
      <c r="D1714" s="24">
        <v>45346.0</v>
      </c>
      <c r="E1714" s="6">
        <f>IFERROR(__xludf.DUMMYFUNCTION("COUNTUNIQUEIFS($A$2:$A1714,$B$2:$B1714,B1714)"),8.0)</f>
        <v>8</v>
      </c>
      <c r="F1714" s="6">
        <f t="shared" si="1"/>
        <v>4</v>
      </c>
      <c r="G1714" s="6" t="str">
        <f>IF(MINIFS(dynamic[orderDate], dynamic[customerID], B1714) &gt;= DATE(2024,4,30)-120, 
     "New", 
     IF(MAXIFS(dynamic[orderCount], dynamic[customerID], B1714)&lt;=2, 
        IF((DATE(2024,4,30) - MAXIFS(dynamic[orderDate], dynamic[customerID], B1714)) &gt; 180, "Non-Returning", "Dormant"), 
        IF(AND(MAX(dynamic[sinceLastOrder]) &gt; 365, (DATE(2024,4,30) - MAXIFS(dynamic[orderDate], dynamic[customerID], B1714)) &gt; 180), 
           "Dormant", "Regular")))</f>
        <v>Regular</v>
      </c>
      <c r="H1714" s="6">
        <v>1.0</v>
      </c>
      <c r="I1714" s="9" t="str">
        <f>VLOOKUP(dynamic[productID],products[],2,FALSE)</f>
        <v>Chai</v>
      </c>
      <c r="J1714" s="9" t="str">
        <f>VLOOKUP(dynamic[productID],products[],12,FALSE)</f>
        <v>Beverages</v>
      </c>
      <c r="K1714" s="7" t="str">
        <f>IF(VLOOKUP(dynamic[productID],products[],7,FALSE)=1,"Discontinued","Current")</f>
        <v>Current</v>
      </c>
      <c r="L1714" s="9">
        <f>VLOOKUP(dynamic[productID],products[],IF(YEAR(dynamic[orderDate])=2022,8,IF(YEAR(dynamic[orderDate])=2023,9,IF(YEAR(dynamic[orderDate])=2024,10,NA))),FALSE)</f>
        <v>12.17757454</v>
      </c>
      <c r="M1714" s="9">
        <v>18.0</v>
      </c>
      <c r="N1714" s="25">
        <f>(dynamic[orderPrice]-dynamic[productCost])/dynamic[productCost]</f>
        <v>0.4781268584</v>
      </c>
      <c r="O1714" s="10">
        <v>20.0</v>
      </c>
      <c r="P1714" s="25">
        <v>0.05</v>
      </c>
      <c r="Q1714" s="9">
        <f>dynamic[orderPrice]*dynamic[orderQuantity]</f>
        <v>360</v>
      </c>
      <c r="R1714" s="9">
        <f>dynamic[orderTotal]*(1-dynamic[discountApllied])</f>
        <v>342</v>
      </c>
      <c r="S1714" s="9">
        <f>dynamic[revenue]-(dynamic[productCost]*dynamic[orderQuantity])</f>
        <v>98.44850916</v>
      </c>
      <c r="T1714" s="25">
        <f>IFERROR(dynamic[profit]/dynamic[revenue], 0)</f>
        <v>0.2878611379</v>
      </c>
    </row>
    <row r="1715" ht="15.75" customHeight="1">
      <c r="A1715" s="6">
        <v>10906.0</v>
      </c>
      <c r="B1715" s="7" t="s">
        <v>78</v>
      </c>
      <c r="C1715" s="24" t="str">
        <f>VLOOKUP(dynamic[customerID],customers[],2,FALSE)</f>
        <v>Wolski  Zajazd</v>
      </c>
      <c r="D1715" s="24">
        <v>45347.0</v>
      </c>
      <c r="E1715" s="6">
        <f>IFERROR(__xludf.DUMMYFUNCTION("COUNTUNIQUEIFS($A$2:$A1715,$B$2:$B1715,B1715)"),5.0)</f>
        <v>5</v>
      </c>
      <c r="F1715" s="6">
        <f t="shared" si="1"/>
        <v>21</v>
      </c>
      <c r="G1715" s="6" t="str">
        <f>IF(MINIFS(dynamic[orderDate], dynamic[customerID], B1715) &gt;= DATE(2024,4,30)-120, 
     "New", 
     IF(MAXIFS(dynamic[orderCount], dynamic[customerID], B1715)&lt;=2, 
        IF((DATE(2024,4,30) - MAXIFS(dynamic[orderDate], dynamic[customerID], B1715)) &gt; 180, "Non-Returning", "Dormant"), 
        IF(AND(MAX(dynamic[sinceLastOrder]) &gt; 365, (DATE(2024,4,30) - MAXIFS(dynamic[orderDate], dynamic[customerID], B1715)) &gt; 180), 
           "Dormant", "Regular")))</f>
        <v>Regular</v>
      </c>
      <c r="H1715" s="6">
        <v>61.0</v>
      </c>
      <c r="I1715" s="9" t="str">
        <f>VLOOKUP(dynamic[productID],products[],2,FALSE)</f>
        <v>Sirop d'érable</v>
      </c>
      <c r="J1715" s="9" t="str">
        <f>VLOOKUP(dynamic[productID],products[],12,FALSE)</f>
        <v>Condiments</v>
      </c>
      <c r="K1715" s="7" t="str">
        <f>IF(VLOOKUP(dynamic[productID],products[],7,FALSE)=1,"Discontinued","Current")</f>
        <v>Current</v>
      </c>
      <c r="L1715" s="9">
        <f>VLOOKUP(dynamic[productID],products[],IF(YEAR(dynamic[orderDate])=2022,8,IF(YEAR(dynamic[orderDate])=2023,9,IF(YEAR(dynamic[orderDate])=2024,10,NA))),FALSE)</f>
        <v>18.74487379</v>
      </c>
      <c r="M1715" s="9">
        <v>28.5</v>
      </c>
      <c r="N1715" s="25">
        <f>(dynamic[orderPrice]-dynamic[productCost])/dynamic[productCost]</f>
        <v>0.5204156786</v>
      </c>
      <c r="O1715" s="10">
        <v>15.0</v>
      </c>
      <c r="P1715" s="25">
        <v>0.0</v>
      </c>
      <c r="Q1715" s="9">
        <f>dynamic[orderPrice]*dynamic[orderQuantity]</f>
        <v>427.5</v>
      </c>
      <c r="R1715" s="9">
        <f>dynamic[orderTotal]*(1-dynamic[discountApllied])</f>
        <v>427.5</v>
      </c>
      <c r="S1715" s="9">
        <f>dynamic[revenue]-(dynamic[productCost]*dynamic[orderQuantity])</f>
        <v>146.3268932</v>
      </c>
      <c r="T1715" s="25">
        <f>IFERROR(dynamic[profit]/dynamic[revenue], 0)</f>
        <v>0.3422851303</v>
      </c>
    </row>
    <row r="1716" ht="15.75" customHeight="1">
      <c r="A1716" s="6">
        <v>10907.0</v>
      </c>
      <c r="B1716" s="7" t="s">
        <v>102</v>
      </c>
      <c r="C1716" s="24" t="str">
        <f>VLOOKUP(dynamic[customerID],customers[],2,FALSE)</f>
        <v>Spécialités du monde</v>
      </c>
      <c r="D1716" s="24">
        <v>45347.0</v>
      </c>
      <c r="E1716" s="6">
        <f>IFERROR(__xludf.DUMMYFUNCTION("COUNTUNIQUEIFS($A$2:$A1716,$B$2:$B1716,B1716)"),2.0)</f>
        <v>2</v>
      </c>
      <c r="F1716" s="6">
        <f t="shared" si="1"/>
        <v>105</v>
      </c>
      <c r="G1716" s="6" t="str">
        <f>IF(MINIFS(dynamic[orderDate], dynamic[customerID], B1716) &gt;= DATE(2024,4,30)-120, 
     "New", 
     IF(MAXIFS(dynamic[orderCount], dynamic[customerID], B1716)&lt;=2, 
        IF((DATE(2024,4,30) - MAXIFS(dynamic[orderDate], dynamic[customerID], B1716)) &gt; 180, "Non-Returning", "Dormant"), 
        IF(AND(MAX(dynamic[sinceLastOrder]) &gt; 365, (DATE(2024,4,30) - MAXIFS(dynamic[orderDate], dynamic[customerID], B1716)) &gt; 180), 
           "Dormant", "Regular")))</f>
        <v>Regular</v>
      </c>
      <c r="H1716" s="6">
        <v>75.0</v>
      </c>
      <c r="I1716" s="9" t="str">
        <f>VLOOKUP(dynamic[productID],products[],2,FALSE)</f>
        <v>Rhönbräu Klosterbier</v>
      </c>
      <c r="J1716" s="9" t="str">
        <f>VLOOKUP(dynamic[productID],products[],12,FALSE)</f>
        <v>Beverages</v>
      </c>
      <c r="K1716" s="7" t="str">
        <f>IF(VLOOKUP(dynamic[productID],products[],7,FALSE)=1,"Discontinued","Current")</f>
        <v>Current</v>
      </c>
      <c r="L1716" s="9">
        <f>VLOOKUP(dynamic[productID],products[],IF(YEAR(dynamic[orderDate])=2022,8,IF(YEAR(dynamic[orderDate])=2023,9,IF(YEAR(dynamic[orderDate])=2024,10,NA))),FALSE)</f>
        <v>5.374051525</v>
      </c>
      <c r="M1716" s="9">
        <v>7.75</v>
      </c>
      <c r="N1716" s="25">
        <f>(dynamic[orderPrice]-dynamic[productCost])/dynamic[productCost]</f>
        <v>0.4421149413</v>
      </c>
      <c r="O1716" s="10">
        <v>14.0</v>
      </c>
      <c r="P1716" s="25">
        <v>0.0</v>
      </c>
      <c r="Q1716" s="9">
        <f>dynamic[orderPrice]*dynamic[orderQuantity]</f>
        <v>108.5</v>
      </c>
      <c r="R1716" s="9">
        <f>dynamic[orderTotal]*(1-dynamic[discountApllied])</f>
        <v>108.5</v>
      </c>
      <c r="S1716" s="9">
        <f>dynamic[revenue]-(dynamic[productCost]*dynamic[orderQuantity])</f>
        <v>33.26327865</v>
      </c>
      <c r="T1716" s="25">
        <f>IFERROR(dynamic[profit]/dynamic[revenue], 0)</f>
        <v>0.3065739967</v>
      </c>
    </row>
    <row r="1717" ht="15.75" customHeight="1">
      <c r="A1717" s="6">
        <v>10908.0</v>
      </c>
      <c r="B1717" s="7" t="s">
        <v>45</v>
      </c>
      <c r="C1717" s="24" t="str">
        <f>VLOOKUP(dynamic[customerID],customers[],2,FALSE)</f>
        <v>Reggiani Caseifici</v>
      </c>
      <c r="D1717" s="24">
        <v>45348.0</v>
      </c>
      <c r="E1717" s="6">
        <f>IFERROR(__xludf.DUMMYFUNCTION("COUNTUNIQUEIFS($A$2:$A1717,$B$2:$B1717,B1717)"),9.0)</f>
        <v>9</v>
      </c>
      <c r="F1717" s="6">
        <f t="shared" si="1"/>
        <v>55</v>
      </c>
      <c r="G1717" s="6" t="str">
        <f>IF(MINIFS(dynamic[orderDate], dynamic[customerID], B1717) &gt;= DATE(2024,4,30)-120, 
     "New", 
     IF(MAXIFS(dynamic[orderCount], dynamic[customerID], B1717)&lt;=2, 
        IF((DATE(2024,4,30) - MAXIFS(dynamic[orderDate], dynamic[customerID], B1717)) &gt; 180, "Non-Returning", "Dormant"), 
        IF(AND(MAX(dynamic[sinceLastOrder]) &gt; 365, (DATE(2024,4,30) - MAXIFS(dynamic[orderDate], dynamic[customerID], B1717)) &gt; 180), 
           "Dormant", "Regular")))</f>
        <v>Regular</v>
      </c>
      <c r="H1717" s="6">
        <v>7.0</v>
      </c>
      <c r="I1717" s="9" t="str">
        <f>VLOOKUP(dynamic[productID],products[],2,FALSE)</f>
        <v>Uncle Bob's Organic Dried Pears</v>
      </c>
      <c r="J1717" s="9" t="str">
        <f>VLOOKUP(dynamic[productID],products[],12,FALSE)</f>
        <v>Produce</v>
      </c>
      <c r="K1717" s="7" t="str">
        <f>IF(VLOOKUP(dynamic[productID],products[],7,FALSE)=1,"Discontinued","Current")</f>
        <v>Current</v>
      </c>
      <c r="L1717" s="9">
        <f>VLOOKUP(dynamic[productID],products[],IF(YEAR(dynamic[orderDate])=2022,8,IF(YEAR(dynamic[orderDate])=2023,9,IF(YEAR(dynamic[orderDate])=2024,10,NA))),FALSE)</f>
        <v>23.52222246</v>
      </c>
      <c r="M1717" s="9">
        <v>30.0</v>
      </c>
      <c r="N1717" s="25">
        <f>(dynamic[orderPrice]-dynamic[productCost])/dynamic[productCost]</f>
        <v>0.2753896894</v>
      </c>
      <c r="O1717" s="10">
        <v>20.0</v>
      </c>
      <c r="P1717" s="25">
        <v>0.05</v>
      </c>
      <c r="Q1717" s="9">
        <f>dynamic[orderPrice]*dynamic[orderQuantity]</f>
        <v>600</v>
      </c>
      <c r="R1717" s="9">
        <f>dynamic[orderTotal]*(1-dynamic[discountApllied])</f>
        <v>570</v>
      </c>
      <c r="S1717" s="9">
        <f>dynamic[revenue]-(dynamic[productCost]*dynamic[orderQuantity])</f>
        <v>99.55555074</v>
      </c>
      <c r="T1717" s="25">
        <f>IFERROR(dynamic[profit]/dynamic[revenue], 0)</f>
        <v>0.1746588609</v>
      </c>
    </row>
    <row r="1718" ht="15.75" customHeight="1">
      <c r="A1718" s="6">
        <v>10908.0</v>
      </c>
      <c r="B1718" s="7" t="s">
        <v>45</v>
      </c>
      <c r="C1718" s="24" t="str">
        <f>VLOOKUP(dynamic[customerID],customers[],2,FALSE)</f>
        <v>Reggiani Caseifici</v>
      </c>
      <c r="D1718" s="24">
        <v>45348.0</v>
      </c>
      <c r="E1718" s="6">
        <f>IFERROR(__xludf.DUMMYFUNCTION("COUNTUNIQUEIFS($A$2:$A1718,$B$2:$B1718,B1718)"),9.0)</f>
        <v>9</v>
      </c>
      <c r="F1718" s="6">
        <f t="shared" si="1"/>
        <v>55</v>
      </c>
      <c r="G1718" s="6" t="str">
        <f>IF(MINIFS(dynamic[orderDate], dynamic[customerID], B1718) &gt;= DATE(2024,4,30)-120, 
     "New", 
     IF(MAXIFS(dynamic[orderCount], dynamic[customerID], B1718)&lt;=2, 
        IF((DATE(2024,4,30) - MAXIFS(dynamic[orderDate], dynamic[customerID], B1718)) &gt; 180, "Non-Returning", "Dormant"), 
        IF(AND(MAX(dynamic[sinceLastOrder]) &gt; 365, (DATE(2024,4,30) - MAXIFS(dynamic[orderDate], dynamic[customerID], B1718)) &gt; 180), 
           "Dormant", "Regular")))</f>
        <v>Regular</v>
      </c>
      <c r="H1718" s="6">
        <v>52.0</v>
      </c>
      <c r="I1718" s="9" t="str">
        <f>VLOOKUP(dynamic[productID],products[],2,FALSE)</f>
        <v>Filo Mix</v>
      </c>
      <c r="J1718" s="9" t="str">
        <f>VLOOKUP(dynamic[productID],products[],12,FALSE)</f>
        <v>Grains/Cereals</v>
      </c>
      <c r="K1718" s="7" t="str">
        <f>IF(VLOOKUP(dynamic[productID],products[],7,FALSE)=1,"Discontinued","Current")</f>
        <v>Current</v>
      </c>
      <c r="L1718" s="9">
        <f>VLOOKUP(dynamic[productID],products[],IF(YEAR(dynamic[orderDate])=2022,8,IF(YEAR(dynamic[orderDate])=2023,9,IF(YEAR(dynamic[orderDate])=2024,10,NA))),FALSE)</f>
        <v>5.222223442</v>
      </c>
      <c r="M1718" s="9">
        <v>7.0</v>
      </c>
      <c r="N1718" s="25">
        <f>(dynamic[orderPrice]-dynamic[productCost])/dynamic[productCost]</f>
        <v>0.3404252188</v>
      </c>
      <c r="O1718" s="10">
        <v>14.0</v>
      </c>
      <c r="P1718" s="25">
        <v>0.05</v>
      </c>
      <c r="Q1718" s="9">
        <f>dynamic[orderPrice]*dynamic[orderQuantity]</f>
        <v>98</v>
      </c>
      <c r="R1718" s="9">
        <f>dynamic[orderTotal]*(1-dynamic[discountApllied])</f>
        <v>93.1</v>
      </c>
      <c r="S1718" s="9">
        <f>dynamic[revenue]-(dynamic[productCost]*dynamic[orderQuantity])</f>
        <v>19.98887181</v>
      </c>
      <c r="T1718" s="25">
        <f>IFERROR(dynamic[profit]/dynamic[revenue], 0)</f>
        <v>0.2147032418</v>
      </c>
    </row>
    <row r="1719" ht="15.75" customHeight="1">
      <c r="A1719" s="6">
        <v>10909.0</v>
      </c>
      <c r="B1719" s="7" t="s">
        <v>80</v>
      </c>
      <c r="C1719" s="24" t="str">
        <f>VLOOKUP(dynamic[customerID],customers[],2,FALSE)</f>
        <v>Santé Gourmet</v>
      </c>
      <c r="D1719" s="24">
        <v>45348.0</v>
      </c>
      <c r="E1719" s="6">
        <f>IFERROR(__xludf.DUMMYFUNCTION("COUNTUNIQUEIFS($A$2:$A1719,$B$2:$B1719,B1719)"),5.0)</f>
        <v>5</v>
      </c>
      <c r="F1719" s="6">
        <f t="shared" si="1"/>
        <v>43</v>
      </c>
      <c r="G1719" s="6" t="str">
        <f>IF(MINIFS(dynamic[orderDate], dynamic[customerID], B1719) &gt;= DATE(2024,4,30)-120, 
     "New", 
     IF(MAXIFS(dynamic[orderCount], dynamic[customerID], B1719)&lt;=2, 
        IF((DATE(2024,4,30) - MAXIFS(dynamic[orderDate], dynamic[customerID], B1719)) &gt; 180, "Non-Returning", "Dormant"), 
        IF(AND(MAX(dynamic[sinceLastOrder]) &gt; 365, (DATE(2024,4,30) - MAXIFS(dynamic[orderDate], dynamic[customerID], B1719)) &gt; 180), 
           "Dormant", "Regular")))</f>
        <v>Regular</v>
      </c>
      <c r="H1719" s="6">
        <v>7.0</v>
      </c>
      <c r="I1719" s="9" t="str">
        <f>VLOOKUP(dynamic[productID],products[],2,FALSE)</f>
        <v>Uncle Bob's Organic Dried Pears</v>
      </c>
      <c r="J1719" s="9" t="str">
        <f>VLOOKUP(dynamic[productID],products[],12,FALSE)</f>
        <v>Produce</v>
      </c>
      <c r="K1719" s="7" t="str">
        <f>IF(VLOOKUP(dynamic[productID],products[],7,FALSE)=1,"Discontinued","Current")</f>
        <v>Current</v>
      </c>
      <c r="L1719" s="9">
        <f>VLOOKUP(dynamic[productID],products[],IF(YEAR(dynamic[orderDate])=2022,8,IF(YEAR(dynamic[orderDate])=2023,9,IF(YEAR(dynamic[orderDate])=2024,10,NA))),FALSE)</f>
        <v>23.52222246</v>
      </c>
      <c r="M1719" s="9">
        <v>30.0</v>
      </c>
      <c r="N1719" s="25">
        <f>(dynamic[orderPrice]-dynamic[productCost])/dynamic[productCost]</f>
        <v>0.2753896894</v>
      </c>
      <c r="O1719" s="10">
        <v>12.0</v>
      </c>
      <c r="P1719" s="25">
        <v>0.0</v>
      </c>
      <c r="Q1719" s="9">
        <f>dynamic[orderPrice]*dynamic[orderQuantity]</f>
        <v>360</v>
      </c>
      <c r="R1719" s="9">
        <f>dynamic[orderTotal]*(1-dynamic[discountApllied])</f>
        <v>360</v>
      </c>
      <c r="S1719" s="9">
        <f>dynamic[revenue]-(dynamic[productCost]*dynamic[orderQuantity])</f>
        <v>77.73333044</v>
      </c>
      <c r="T1719" s="25">
        <f>IFERROR(dynamic[profit]/dynamic[revenue], 0)</f>
        <v>0.2159259179</v>
      </c>
    </row>
    <row r="1720" ht="15.75" customHeight="1">
      <c r="A1720" s="6">
        <v>10909.0</v>
      </c>
      <c r="B1720" s="7" t="s">
        <v>80</v>
      </c>
      <c r="C1720" s="24" t="str">
        <f>VLOOKUP(dynamic[customerID],customers[],2,FALSE)</f>
        <v>Santé Gourmet</v>
      </c>
      <c r="D1720" s="24">
        <v>45348.0</v>
      </c>
      <c r="E1720" s="6">
        <f>IFERROR(__xludf.DUMMYFUNCTION("COUNTUNIQUEIFS($A$2:$A1720,$B$2:$B1720,B1720)"),5.0)</f>
        <v>5</v>
      </c>
      <c r="F1720" s="6">
        <f t="shared" si="1"/>
        <v>43</v>
      </c>
      <c r="G1720" s="6" t="str">
        <f>IF(MINIFS(dynamic[orderDate], dynamic[customerID], B1720) &gt;= DATE(2024,4,30)-120, 
     "New", 
     IF(MAXIFS(dynamic[orderCount], dynamic[customerID], B1720)&lt;=2, 
        IF((DATE(2024,4,30) - MAXIFS(dynamic[orderDate], dynamic[customerID], B1720)) &gt; 180, "Non-Returning", "Dormant"), 
        IF(AND(MAX(dynamic[sinceLastOrder]) &gt; 365, (DATE(2024,4,30) - MAXIFS(dynamic[orderDate], dynamic[customerID], B1720)) &gt; 180), 
           "Dormant", "Regular")))</f>
        <v>Regular</v>
      </c>
      <c r="H1720" s="6">
        <v>16.0</v>
      </c>
      <c r="I1720" s="9" t="str">
        <f>VLOOKUP(dynamic[productID],products[],2,FALSE)</f>
        <v>Pavlova</v>
      </c>
      <c r="J1720" s="9" t="str">
        <f>VLOOKUP(dynamic[productID],products[],12,FALSE)</f>
        <v>Confections</v>
      </c>
      <c r="K1720" s="7" t="str">
        <f>IF(VLOOKUP(dynamic[productID],products[],7,FALSE)=1,"Discontinued","Current")</f>
        <v>Current</v>
      </c>
      <c r="L1720" s="9">
        <f>VLOOKUP(dynamic[productID],products[],IF(YEAR(dynamic[orderDate])=2022,8,IF(YEAR(dynamic[orderDate])=2023,9,IF(YEAR(dynamic[orderDate])=2024,10,NA))),FALSE)</f>
        <v>12.68283974</v>
      </c>
      <c r="M1720" s="9">
        <v>17.45</v>
      </c>
      <c r="N1720" s="25">
        <f>(dynamic[orderPrice]-dynamic[productCost])/dynamic[productCost]</f>
        <v>0.3758748323</v>
      </c>
      <c r="O1720" s="10">
        <v>15.0</v>
      </c>
      <c r="P1720" s="25">
        <v>0.0</v>
      </c>
      <c r="Q1720" s="9">
        <f>dynamic[orderPrice]*dynamic[orderQuantity]</f>
        <v>261.75</v>
      </c>
      <c r="R1720" s="9">
        <f>dynamic[orderTotal]*(1-dynamic[discountApllied])</f>
        <v>261.75</v>
      </c>
      <c r="S1720" s="9">
        <f>dynamic[revenue]-(dynamic[productCost]*dynamic[orderQuantity])</f>
        <v>71.50740391</v>
      </c>
      <c r="T1720" s="25">
        <f>IFERROR(dynamic[profit]/dynamic[revenue], 0)</f>
        <v>0.2731896997</v>
      </c>
    </row>
    <row r="1721" ht="15.75" customHeight="1">
      <c r="A1721" s="6">
        <v>10909.0</v>
      </c>
      <c r="B1721" s="7" t="s">
        <v>80</v>
      </c>
      <c r="C1721" s="24" t="str">
        <f>VLOOKUP(dynamic[customerID],customers[],2,FALSE)</f>
        <v>Santé Gourmet</v>
      </c>
      <c r="D1721" s="24">
        <v>45348.0</v>
      </c>
      <c r="E1721" s="6">
        <f>IFERROR(__xludf.DUMMYFUNCTION("COUNTUNIQUEIFS($A$2:$A1721,$B$2:$B1721,B1721)"),5.0)</f>
        <v>5</v>
      </c>
      <c r="F1721" s="6">
        <f t="shared" si="1"/>
        <v>43</v>
      </c>
      <c r="G1721" s="6" t="str">
        <f>IF(MINIFS(dynamic[orderDate], dynamic[customerID], B1721) &gt;= DATE(2024,4,30)-120, 
     "New", 
     IF(MAXIFS(dynamic[orderCount], dynamic[customerID], B1721)&lt;=2, 
        IF((DATE(2024,4,30) - MAXIFS(dynamic[orderDate], dynamic[customerID], B1721)) &gt; 180, "Non-Returning", "Dormant"), 
        IF(AND(MAX(dynamic[sinceLastOrder]) &gt; 365, (DATE(2024,4,30) - MAXIFS(dynamic[orderDate], dynamic[customerID], B1721)) &gt; 180), 
           "Dormant", "Regular")))</f>
        <v>Regular</v>
      </c>
      <c r="H1721" s="6">
        <v>41.0</v>
      </c>
      <c r="I1721" s="9" t="str">
        <f>VLOOKUP(dynamic[productID],products[],2,FALSE)</f>
        <v>Jack's New England Clam Chowder</v>
      </c>
      <c r="J1721" s="9" t="str">
        <f>VLOOKUP(dynamic[productID],products[],12,FALSE)</f>
        <v>Seafood</v>
      </c>
      <c r="K1721" s="7" t="str">
        <f>IF(VLOOKUP(dynamic[productID],products[],7,FALSE)=1,"Discontinued","Current")</f>
        <v>Current</v>
      </c>
      <c r="L1721" s="9">
        <f>VLOOKUP(dynamic[productID],products[],IF(YEAR(dynamic[orderDate])=2022,8,IF(YEAR(dynamic[orderDate])=2023,9,IF(YEAR(dynamic[orderDate])=2024,10,NA))),FALSE)</f>
        <v>6.611787882</v>
      </c>
      <c r="M1721" s="9">
        <v>9.65</v>
      </c>
      <c r="N1721" s="25">
        <f>(dynamic[orderPrice]-dynamic[productCost])/dynamic[productCost]</f>
        <v>0.459514457</v>
      </c>
      <c r="O1721" s="10">
        <v>5.0</v>
      </c>
      <c r="P1721" s="25">
        <v>0.0</v>
      </c>
      <c r="Q1721" s="9">
        <f>dynamic[orderPrice]*dynamic[orderQuantity]</f>
        <v>48.25</v>
      </c>
      <c r="R1721" s="9">
        <f>dynamic[orderTotal]*(1-dynamic[discountApllied])</f>
        <v>48.25</v>
      </c>
      <c r="S1721" s="9">
        <f>dynamic[revenue]-(dynamic[productCost]*dynamic[orderQuantity])</f>
        <v>15.19106059</v>
      </c>
      <c r="T1721" s="25">
        <f>IFERROR(dynamic[profit]/dynamic[revenue], 0)</f>
        <v>0.314840634</v>
      </c>
    </row>
    <row r="1722" ht="15.75" customHeight="1">
      <c r="A1722" s="6">
        <v>10910.0</v>
      </c>
      <c r="B1722" s="7" t="s">
        <v>98</v>
      </c>
      <c r="C1722" s="24" t="str">
        <f>VLOOKUP(dynamic[customerID],customers[],2,FALSE)</f>
        <v>Wilman Kala</v>
      </c>
      <c r="D1722" s="24">
        <v>45348.0</v>
      </c>
      <c r="E1722" s="6">
        <f>IFERROR(__xludf.DUMMYFUNCTION("COUNTUNIQUEIFS($A$2:$A1722,$B$2:$B1722,B1722)"),6.0)</f>
        <v>6</v>
      </c>
      <c r="F1722" s="6">
        <f t="shared" si="1"/>
        <v>16</v>
      </c>
      <c r="G1722" s="6" t="str">
        <f>IF(MINIFS(dynamic[orderDate], dynamic[customerID], B1722) &gt;= DATE(2024,4,30)-120, 
     "New", 
     IF(MAXIFS(dynamic[orderCount], dynamic[customerID], B1722)&lt;=2, 
        IF((DATE(2024,4,30) - MAXIFS(dynamic[orderDate], dynamic[customerID], B1722)) &gt; 180, "Non-Returning", "Dormant"), 
        IF(AND(MAX(dynamic[sinceLastOrder]) &gt; 365, (DATE(2024,4,30) - MAXIFS(dynamic[orderDate], dynamic[customerID], B1722)) &gt; 180), 
           "Dormant", "Regular")))</f>
        <v>Regular</v>
      </c>
      <c r="H1722" s="6">
        <v>19.0</v>
      </c>
      <c r="I1722" s="9" t="str">
        <f>VLOOKUP(dynamic[productID],products[],2,FALSE)</f>
        <v>Teatime Chocolate Biscuits</v>
      </c>
      <c r="J1722" s="9" t="str">
        <f>VLOOKUP(dynamic[productID],products[],12,FALSE)</f>
        <v>Confections</v>
      </c>
      <c r="K1722" s="7" t="str">
        <f>IF(VLOOKUP(dynamic[productID],products[],7,FALSE)=1,"Discontinued","Current")</f>
        <v>Current</v>
      </c>
      <c r="L1722" s="9">
        <f>VLOOKUP(dynamic[productID],products[],IF(YEAR(dynamic[orderDate])=2022,8,IF(YEAR(dynamic[orderDate])=2023,9,IF(YEAR(dynamic[orderDate])=2024,10,NA))),FALSE)</f>
        <v>6.769656984</v>
      </c>
      <c r="M1722" s="9">
        <v>9.2</v>
      </c>
      <c r="N1722" s="25">
        <f>(dynamic[orderPrice]-dynamic[productCost])/dynamic[productCost]</f>
        <v>0.3590053413</v>
      </c>
      <c r="O1722" s="10">
        <v>12.0</v>
      </c>
      <c r="P1722" s="25">
        <v>0.0</v>
      </c>
      <c r="Q1722" s="9">
        <f>dynamic[orderPrice]*dynamic[orderQuantity]</f>
        <v>110.4</v>
      </c>
      <c r="R1722" s="9">
        <f>dynamic[orderTotal]*(1-dynamic[discountApllied])</f>
        <v>110.4</v>
      </c>
      <c r="S1722" s="9">
        <f>dynamic[revenue]-(dynamic[productCost]*dynamic[orderQuantity])</f>
        <v>29.16411619</v>
      </c>
      <c r="T1722" s="25">
        <f>IFERROR(dynamic[profit]/dynamic[revenue], 0)</f>
        <v>0.2641677191</v>
      </c>
    </row>
    <row r="1723" ht="15.75" customHeight="1">
      <c r="A1723" s="6">
        <v>10910.0</v>
      </c>
      <c r="B1723" s="7" t="s">
        <v>98</v>
      </c>
      <c r="C1723" s="24" t="str">
        <f>VLOOKUP(dynamic[customerID],customers[],2,FALSE)</f>
        <v>Wilman Kala</v>
      </c>
      <c r="D1723" s="24">
        <v>45348.0</v>
      </c>
      <c r="E1723" s="6">
        <f>IFERROR(__xludf.DUMMYFUNCTION("COUNTUNIQUEIFS($A$2:$A1723,$B$2:$B1723,B1723)"),6.0)</f>
        <v>6</v>
      </c>
      <c r="F1723" s="6">
        <f t="shared" si="1"/>
        <v>16</v>
      </c>
      <c r="G1723" s="6" t="str">
        <f>IF(MINIFS(dynamic[orderDate], dynamic[customerID], B1723) &gt;= DATE(2024,4,30)-120, 
     "New", 
     IF(MAXIFS(dynamic[orderCount], dynamic[customerID], B1723)&lt;=2, 
        IF((DATE(2024,4,30) - MAXIFS(dynamic[orderDate], dynamic[customerID], B1723)) &gt; 180, "Non-Returning", "Dormant"), 
        IF(AND(MAX(dynamic[sinceLastOrder]) &gt; 365, (DATE(2024,4,30) - MAXIFS(dynamic[orderDate], dynamic[customerID], B1723)) &gt; 180), 
           "Dormant", "Regular")))</f>
        <v>Regular</v>
      </c>
      <c r="H1723" s="6">
        <v>49.0</v>
      </c>
      <c r="I1723" s="9" t="str">
        <f>VLOOKUP(dynamic[productID],products[],2,FALSE)</f>
        <v>Maxilaku</v>
      </c>
      <c r="J1723" s="9" t="str">
        <f>VLOOKUP(dynamic[productID],products[],12,FALSE)</f>
        <v>Confections</v>
      </c>
      <c r="K1723" s="7" t="str">
        <f>IF(VLOOKUP(dynamic[productID],products[],7,FALSE)=1,"Discontinued","Current")</f>
        <v>Current</v>
      </c>
      <c r="L1723" s="9">
        <f>VLOOKUP(dynamic[productID],products[],IF(YEAR(dynamic[orderDate])=2022,8,IF(YEAR(dynamic[orderDate])=2023,9,IF(YEAR(dynamic[orderDate])=2024,10,NA))),FALSE)</f>
        <v>15.07459899</v>
      </c>
      <c r="M1723" s="9">
        <v>20.0</v>
      </c>
      <c r="N1723" s="25">
        <f>(dynamic[orderPrice]-dynamic[productCost])/dynamic[productCost]</f>
        <v>0.3267351269</v>
      </c>
      <c r="O1723" s="10">
        <v>10.0</v>
      </c>
      <c r="P1723" s="25">
        <v>0.0</v>
      </c>
      <c r="Q1723" s="9">
        <f>dynamic[orderPrice]*dynamic[orderQuantity]</f>
        <v>200</v>
      </c>
      <c r="R1723" s="9">
        <f>dynamic[orderTotal]*(1-dynamic[discountApllied])</f>
        <v>200</v>
      </c>
      <c r="S1723" s="9">
        <f>dynamic[revenue]-(dynamic[productCost]*dynamic[orderQuantity])</f>
        <v>49.25401014</v>
      </c>
      <c r="T1723" s="25">
        <f>IFERROR(dynamic[profit]/dynamic[revenue], 0)</f>
        <v>0.2462700507</v>
      </c>
    </row>
    <row r="1724" ht="15.75" customHeight="1">
      <c r="A1724" s="6">
        <v>10910.0</v>
      </c>
      <c r="B1724" s="7" t="s">
        <v>98</v>
      </c>
      <c r="C1724" s="24" t="str">
        <f>VLOOKUP(dynamic[customerID],customers[],2,FALSE)</f>
        <v>Wilman Kala</v>
      </c>
      <c r="D1724" s="24">
        <v>45348.0</v>
      </c>
      <c r="E1724" s="6">
        <f>IFERROR(__xludf.DUMMYFUNCTION("COUNTUNIQUEIFS($A$2:$A1724,$B$2:$B1724,B1724)"),6.0)</f>
        <v>6</v>
      </c>
      <c r="F1724" s="6">
        <f t="shared" si="1"/>
        <v>16</v>
      </c>
      <c r="G1724" s="6" t="str">
        <f>IF(MINIFS(dynamic[orderDate], dynamic[customerID], B1724) &gt;= DATE(2024,4,30)-120, 
     "New", 
     IF(MAXIFS(dynamic[orderCount], dynamic[customerID], B1724)&lt;=2, 
        IF((DATE(2024,4,30) - MAXIFS(dynamic[orderDate], dynamic[customerID], B1724)) &gt; 180, "Non-Returning", "Dormant"), 
        IF(AND(MAX(dynamic[sinceLastOrder]) &gt; 365, (DATE(2024,4,30) - MAXIFS(dynamic[orderDate], dynamic[customerID], B1724)) &gt; 180), 
           "Dormant", "Regular")))</f>
        <v>Regular</v>
      </c>
      <c r="H1724" s="6">
        <v>61.0</v>
      </c>
      <c r="I1724" s="9" t="str">
        <f>VLOOKUP(dynamic[productID],products[],2,FALSE)</f>
        <v>Sirop d'érable</v>
      </c>
      <c r="J1724" s="9" t="str">
        <f>VLOOKUP(dynamic[productID],products[],12,FALSE)</f>
        <v>Condiments</v>
      </c>
      <c r="K1724" s="7" t="str">
        <f>IF(VLOOKUP(dynamic[productID],products[],7,FALSE)=1,"Discontinued","Current")</f>
        <v>Current</v>
      </c>
      <c r="L1724" s="9">
        <f>VLOOKUP(dynamic[productID],products[],IF(YEAR(dynamic[orderDate])=2022,8,IF(YEAR(dynamic[orderDate])=2023,9,IF(YEAR(dynamic[orderDate])=2024,10,NA))),FALSE)</f>
        <v>18.74487379</v>
      </c>
      <c r="M1724" s="9">
        <v>28.5</v>
      </c>
      <c r="N1724" s="25">
        <f>(dynamic[orderPrice]-dynamic[productCost])/dynamic[productCost]</f>
        <v>0.5204156786</v>
      </c>
      <c r="O1724" s="10">
        <v>5.0</v>
      </c>
      <c r="P1724" s="25">
        <v>0.0</v>
      </c>
      <c r="Q1724" s="9">
        <f>dynamic[orderPrice]*dynamic[orderQuantity]</f>
        <v>142.5</v>
      </c>
      <c r="R1724" s="9">
        <f>dynamic[orderTotal]*(1-dynamic[discountApllied])</f>
        <v>142.5</v>
      </c>
      <c r="S1724" s="9">
        <f>dynamic[revenue]-(dynamic[productCost]*dynamic[orderQuantity])</f>
        <v>48.77563106</v>
      </c>
      <c r="T1724" s="25">
        <f>IFERROR(dynamic[profit]/dynamic[revenue], 0)</f>
        <v>0.3422851303</v>
      </c>
    </row>
    <row r="1725" ht="15.75" customHeight="1">
      <c r="A1725" s="6">
        <v>10911.0</v>
      </c>
      <c r="B1725" s="7" t="s">
        <v>51</v>
      </c>
      <c r="C1725" s="24" t="str">
        <f>VLOOKUP(dynamic[customerID],customers[],2,FALSE)</f>
        <v>Godos Cocina Típica</v>
      </c>
      <c r="D1725" s="24">
        <v>45348.0</v>
      </c>
      <c r="E1725" s="6">
        <f>IFERROR(__xludf.DUMMYFUNCTION("COUNTUNIQUEIFS($A$2:$A1725,$B$2:$B1725,B1725)"),7.0)</f>
        <v>7</v>
      </c>
      <c r="F1725" s="6">
        <f t="shared" si="1"/>
        <v>10</v>
      </c>
      <c r="G1725" s="6" t="str">
        <f>IF(MINIFS(dynamic[orderDate], dynamic[customerID], B1725) &gt;= DATE(2024,4,30)-120, 
     "New", 
     IF(MAXIFS(dynamic[orderCount], dynamic[customerID], B1725)&lt;=2, 
        IF((DATE(2024,4,30) - MAXIFS(dynamic[orderDate], dynamic[customerID], B1725)) &gt; 180, "Non-Returning", "Dormant"), 
        IF(AND(MAX(dynamic[sinceLastOrder]) &gt; 365, (DATE(2024,4,30) - MAXIFS(dynamic[orderDate], dynamic[customerID], B1725)) &gt; 180), 
           "Dormant", "Regular")))</f>
        <v>Regular</v>
      </c>
      <c r="H1725" s="6">
        <v>1.0</v>
      </c>
      <c r="I1725" s="9" t="str">
        <f>VLOOKUP(dynamic[productID],products[],2,FALSE)</f>
        <v>Chai</v>
      </c>
      <c r="J1725" s="9" t="str">
        <f>VLOOKUP(dynamic[productID],products[],12,FALSE)</f>
        <v>Beverages</v>
      </c>
      <c r="K1725" s="7" t="str">
        <f>IF(VLOOKUP(dynamic[productID],products[],7,FALSE)=1,"Discontinued","Current")</f>
        <v>Current</v>
      </c>
      <c r="L1725" s="9">
        <f>VLOOKUP(dynamic[productID],products[],IF(YEAR(dynamic[orderDate])=2022,8,IF(YEAR(dynamic[orderDate])=2023,9,IF(YEAR(dynamic[orderDate])=2024,10,NA))),FALSE)</f>
        <v>12.17757454</v>
      </c>
      <c r="M1725" s="9">
        <v>18.0</v>
      </c>
      <c r="N1725" s="25">
        <f>(dynamic[orderPrice]-dynamic[productCost])/dynamic[productCost]</f>
        <v>0.4781268584</v>
      </c>
      <c r="O1725" s="10">
        <v>10.0</v>
      </c>
      <c r="P1725" s="25">
        <v>0.0</v>
      </c>
      <c r="Q1725" s="9">
        <f>dynamic[orderPrice]*dynamic[orderQuantity]</f>
        <v>180</v>
      </c>
      <c r="R1725" s="9">
        <f>dynamic[orderTotal]*(1-dynamic[discountApllied])</f>
        <v>180</v>
      </c>
      <c r="S1725" s="9">
        <f>dynamic[revenue]-(dynamic[productCost]*dynamic[orderQuantity])</f>
        <v>58.22425458</v>
      </c>
      <c r="T1725" s="25">
        <f>IFERROR(dynamic[profit]/dynamic[revenue], 0)</f>
        <v>0.323468081</v>
      </c>
    </row>
    <row r="1726" ht="15.75" customHeight="1">
      <c r="A1726" s="6">
        <v>10911.0</v>
      </c>
      <c r="B1726" s="7" t="s">
        <v>51</v>
      </c>
      <c r="C1726" s="24" t="str">
        <f>VLOOKUP(dynamic[customerID],customers[],2,FALSE)</f>
        <v>Godos Cocina Típica</v>
      </c>
      <c r="D1726" s="24">
        <v>45348.0</v>
      </c>
      <c r="E1726" s="6">
        <f>IFERROR(__xludf.DUMMYFUNCTION("COUNTUNIQUEIFS($A$2:$A1726,$B$2:$B1726,B1726)"),7.0)</f>
        <v>7</v>
      </c>
      <c r="F1726" s="6">
        <f t="shared" si="1"/>
        <v>10</v>
      </c>
      <c r="G1726" s="6" t="str">
        <f>IF(MINIFS(dynamic[orderDate], dynamic[customerID], B1726) &gt;= DATE(2024,4,30)-120, 
     "New", 
     IF(MAXIFS(dynamic[orderCount], dynamic[customerID], B1726)&lt;=2, 
        IF((DATE(2024,4,30) - MAXIFS(dynamic[orderDate], dynamic[customerID], B1726)) &gt; 180, "Non-Returning", "Dormant"), 
        IF(AND(MAX(dynamic[sinceLastOrder]) &gt; 365, (DATE(2024,4,30) - MAXIFS(dynamic[orderDate], dynamic[customerID], B1726)) &gt; 180), 
           "Dormant", "Regular")))</f>
        <v>Regular</v>
      </c>
      <c r="H1726" s="6">
        <v>17.0</v>
      </c>
      <c r="I1726" s="9" t="str">
        <f>VLOOKUP(dynamic[productID],products[],2,FALSE)</f>
        <v>Alice Mutton</v>
      </c>
      <c r="J1726" s="9" t="str">
        <f>VLOOKUP(dynamic[productID],products[],12,FALSE)</f>
        <v>Meat/Poultry</v>
      </c>
      <c r="K1726" s="7" t="str">
        <f>IF(VLOOKUP(dynamic[productID],products[],7,FALSE)=1,"Discontinued","Current")</f>
        <v>Discontinued</v>
      </c>
      <c r="L1726" s="9">
        <f>VLOOKUP(dynamic[productID],products[],IF(YEAR(dynamic[orderDate])=2022,8,IF(YEAR(dynamic[orderDate])=2023,9,IF(YEAR(dynamic[orderDate])=2024,10,NA))),FALSE)</f>
        <v>28.51916263</v>
      </c>
      <c r="M1726" s="9">
        <v>39.0</v>
      </c>
      <c r="N1726" s="25">
        <f>(dynamic[orderPrice]-dynamic[productCost])/dynamic[productCost]</f>
        <v>0.3675015816</v>
      </c>
      <c r="O1726" s="10">
        <v>12.0</v>
      </c>
      <c r="P1726" s="25">
        <v>0.0</v>
      </c>
      <c r="Q1726" s="9">
        <f>dynamic[orderPrice]*dynamic[orderQuantity]</f>
        <v>468</v>
      </c>
      <c r="R1726" s="9">
        <f>dynamic[orderTotal]*(1-dynamic[discountApllied])</f>
        <v>468</v>
      </c>
      <c r="S1726" s="9">
        <f>dynamic[revenue]-(dynamic[productCost]*dynamic[orderQuantity])</f>
        <v>125.7700485</v>
      </c>
      <c r="T1726" s="25">
        <f>IFERROR(dynamic[profit]/dynamic[revenue], 0)</f>
        <v>0.2687394198</v>
      </c>
    </row>
    <row r="1727" ht="15.75" customHeight="1">
      <c r="A1727" s="6">
        <v>10911.0</v>
      </c>
      <c r="B1727" s="7" t="s">
        <v>51</v>
      </c>
      <c r="C1727" s="24" t="str">
        <f>VLOOKUP(dynamic[customerID],customers[],2,FALSE)</f>
        <v>Godos Cocina Típica</v>
      </c>
      <c r="D1727" s="24">
        <v>45348.0</v>
      </c>
      <c r="E1727" s="6">
        <f>IFERROR(__xludf.DUMMYFUNCTION("COUNTUNIQUEIFS($A$2:$A1727,$B$2:$B1727,B1727)"),7.0)</f>
        <v>7</v>
      </c>
      <c r="F1727" s="6">
        <f t="shared" si="1"/>
        <v>10</v>
      </c>
      <c r="G1727" s="6" t="str">
        <f>IF(MINIFS(dynamic[orderDate], dynamic[customerID], B1727) &gt;= DATE(2024,4,30)-120, 
     "New", 
     IF(MAXIFS(dynamic[orderCount], dynamic[customerID], B1727)&lt;=2, 
        IF((DATE(2024,4,30) - MAXIFS(dynamic[orderDate], dynamic[customerID], B1727)) &gt; 180, "Non-Returning", "Dormant"), 
        IF(AND(MAX(dynamic[sinceLastOrder]) &gt; 365, (DATE(2024,4,30) - MAXIFS(dynamic[orderDate], dynamic[customerID], B1727)) &gt; 180), 
           "Dormant", "Regular")))</f>
        <v>Regular</v>
      </c>
      <c r="H1727" s="6">
        <v>67.0</v>
      </c>
      <c r="I1727" s="9" t="str">
        <f>VLOOKUP(dynamic[productID],products[],2,FALSE)</f>
        <v>Laughing Lumberjack Lager</v>
      </c>
      <c r="J1727" s="9" t="str">
        <f>VLOOKUP(dynamic[productID],products[],12,FALSE)</f>
        <v>Beverages</v>
      </c>
      <c r="K1727" s="7" t="str">
        <f>IF(VLOOKUP(dynamic[productID],products[],7,FALSE)=1,"Discontinued","Current")</f>
        <v>Current</v>
      </c>
      <c r="L1727" s="9">
        <f>VLOOKUP(dynamic[productID],products[],IF(YEAR(dynamic[orderDate])=2022,8,IF(YEAR(dynamic[orderDate])=2023,9,IF(YEAR(dynamic[orderDate])=2024,10,NA))),FALSE)</f>
        <v>9.443192754</v>
      </c>
      <c r="M1727" s="9">
        <v>14.0</v>
      </c>
      <c r="N1727" s="25">
        <f>(dynamic[orderPrice]-dynamic[productCost])/dynamic[productCost]</f>
        <v>0.4825494263</v>
      </c>
      <c r="O1727" s="10">
        <v>15.0</v>
      </c>
      <c r="P1727" s="25">
        <v>0.0</v>
      </c>
      <c r="Q1727" s="9">
        <f>dynamic[orderPrice]*dynamic[orderQuantity]</f>
        <v>210</v>
      </c>
      <c r="R1727" s="9">
        <f>dynamic[orderTotal]*(1-dynamic[discountApllied])</f>
        <v>210</v>
      </c>
      <c r="S1727" s="9">
        <f>dynamic[revenue]-(dynamic[productCost]*dynamic[orderQuantity])</f>
        <v>68.35210869</v>
      </c>
      <c r="T1727" s="25">
        <f>IFERROR(dynamic[profit]/dynamic[revenue], 0)</f>
        <v>0.3254862318</v>
      </c>
    </row>
    <row r="1728" ht="15.75" customHeight="1">
      <c r="A1728" s="6">
        <v>10912.0</v>
      </c>
      <c r="B1728" s="7" t="s">
        <v>49</v>
      </c>
      <c r="C1728" s="24" t="str">
        <f>VLOOKUP(dynamic[customerID],customers[],2,FALSE)</f>
        <v>Hungry Owl All-Night Grocers</v>
      </c>
      <c r="D1728" s="24">
        <v>45348.0</v>
      </c>
      <c r="E1728" s="6">
        <f>IFERROR(__xludf.DUMMYFUNCTION("COUNTUNIQUEIFS($A$2:$A1728,$B$2:$B1728,B1728)"),17.0)</f>
        <v>17</v>
      </c>
      <c r="F1728" s="6">
        <f t="shared" si="1"/>
        <v>7</v>
      </c>
      <c r="G1728" s="6" t="str">
        <f>IF(MINIFS(dynamic[orderDate], dynamic[customerID], B1728) &gt;= DATE(2024,4,30)-120, 
     "New", 
     IF(MAXIFS(dynamic[orderCount], dynamic[customerID], B1728)&lt;=2, 
        IF((DATE(2024,4,30) - MAXIFS(dynamic[orderDate], dynamic[customerID], B1728)) &gt; 180, "Non-Returning", "Dormant"), 
        IF(AND(MAX(dynamic[sinceLastOrder]) &gt; 365, (DATE(2024,4,30) - MAXIFS(dynamic[orderDate], dynamic[customerID], B1728)) &gt; 180), 
           "Dormant", "Regular")))</f>
        <v>Regular</v>
      </c>
      <c r="H1728" s="6">
        <v>11.0</v>
      </c>
      <c r="I1728" s="9" t="str">
        <f>VLOOKUP(dynamic[productID],products[],2,FALSE)</f>
        <v>Queso Cabrales</v>
      </c>
      <c r="J1728" s="9" t="str">
        <f>VLOOKUP(dynamic[productID],products[],12,FALSE)</f>
        <v>Dairy Products</v>
      </c>
      <c r="K1728" s="7" t="str">
        <f>IF(VLOOKUP(dynamic[productID],products[],7,FALSE)=1,"Discontinued","Current")</f>
        <v>Current</v>
      </c>
      <c r="L1728" s="9">
        <f>VLOOKUP(dynamic[productID],products[],IF(YEAR(dynamic[orderDate])=2022,8,IF(YEAR(dynamic[orderDate])=2023,9,IF(YEAR(dynamic[orderDate])=2024,10,NA))),FALSE)</f>
        <v>13.86836261</v>
      </c>
      <c r="M1728" s="9">
        <v>21.0</v>
      </c>
      <c r="N1728" s="25">
        <f>(dynamic[orderPrice]-dynamic[productCost])/dynamic[productCost]</f>
        <v>0.51423788</v>
      </c>
      <c r="O1728" s="10">
        <v>40.0</v>
      </c>
      <c r="P1728" s="25">
        <v>0.25</v>
      </c>
      <c r="Q1728" s="9">
        <f>dynamic[orderPrice]*dynamic[orderQuantity]</f>
        <v>840</v>
      </c>
      <c r="R1728" s="9">
        <f>dynamic[orderTotal]*(1-dynamic[discountApllied])</f>
        <v>630</v>
      </c>
      <c r="S1728" s="9">
        <f>dynamic[revenue]-(dynamic[productCost]*dynamic[orderQuantity])</f>
        <v>75.26549555</v>
      </c>
      <c r="T1728" s="25">
        <f>IFERROR(dynamic[profit]/dynamic[revenue], 0)</f>
        <v>0.1194690406</v>
      </c>
    </row>
    <row r="1729" ht="15.75" customHeight="1">
      <c r="A1729" s="6">
        <v>10912.0</v>
      </c>
      <c r="B1729" s="7" t="s">
        <v>49</v>
      </c>
      <c r="C1729" s="24" t="str">
        <f>VLOOKUP(dynamic[customerID],customers[],2,FALSE)</f>
        <v>Hungry Owl All-Night Grocers</v>
      </c>
      <c r="D1729" s="24">
        <v>45348.0</v>
      </c>
      <c r="E1729" s="6">
        <f>IFERROR(__xludf.DUMMYFUNCTION("COUNTUNIQUEIFS($A$2:$A1729,$B$2:$B1729,B1729)"),17.0)</f>
        <v>17</v>
      </c>
      <c r="F1729" s="6">
        <f t="shared" si="1"/>
        <v>7</v>
      </c>
      <c r="G1729" s="6" t="str">
        <f>IF(MINIFS(dynamic[orderDate], dynamic[customerID], B1729) &gt;= DATE(2024,4,30)-120, 
     "New", 
     IF(MAXIFS(dynamic[orderCount], dynamic[customerID], B1729)&lt;=2, 
        IF((DATE(2024,4,30) - MAXIFS(dynamic[orderDate], dynamic[customerID], B1729)) &gt; 180, "Non-Returning", "Dormant"), 
        IF(AND(MAX(dynamic[sinceLastOrder]) &gt; 365, (DATE(2024,4,30) - MAXIFS(dynamic[orderDate], dynamic[customerID], B1729)) &gt; 180), 
           "Dormant", "Regular")))</f>
        <v>Regular</v>
      </c>
      <c r="H1729" s="6">
        <v>29.0</v>
      </c>
      <c r="I1729" s="9" t="str">
        <f>VLOOKUP(dynamic[productID],products[],2,FALSE)</f>
        <v>Thüringer Rostbratwurst</v>
      </c>
      <c r="J1729" s="9" t="str">
        <f>VLOOKUP(dynamic[productID],products[],12,FALSE)</f>
        <v>Meat/Poultry</v>
      </c>
      <c r="K1729" s="7" t="str">
        <f>IF(VLOOKUP(dynamic[productID],products[],7,FALSE)=1,"Discontinued","Current")</f>
        <v>Discontinued</v>
      </c>
      <c r="L1729" s="9">
        <f>VLOOKUP(dynamic[productID],products[],IF(YEAR(dynamic[orderDate])=2022,8,IF(YEAR(dynamic[orderDate])=2023,9,IF(YEAR(dynamic[orderDate])=2024,10,NA))),FALSE)</f>
        <v>80.14595973</v>
      </c>
      <c r="M1729" s="9">
        <v>123.79</v>
      </c>
      <c r="N1729" s="25">
        <f>(dynamic[orderPrice]-dynamic[productCost])/dynamic[productCost]</f>
        <v>0.544556961</v>
      </c>
      <c r="O1729" s="10">
        <v>60.0</v>
      </c>
      <c r="P1729" s="25">
        <v>0.25</v>
      </c>
      <c r="Q1729" s="9">
        <f>dynamic[orderPrice]*dynamic[orderQuantity]</f>
        <v>7427.4</v>
      </c>
      <c r="R1729" s="9">
        <f>dynamic[orderTotal]*(1-dynamic[discountApllied])</f>
        <v>5570.55</v>
      </c>
      <c r="S1729" s="9">
        <f>dynamic[revenue]-(dynamic[productCost]*dynamic[orderQuantity])</f>
        <v>761.7924159</v>
      </c>
      <c r="T1729" s="25">
        <f>IFERROR(dynamic[profit]/dynamic[revenue], 0)</f>
        <v>0.1367535371</v>
      </c>
    </row>
    <row r="1730" ht="15.75" customHeight="1">
      <c r="A1730" s="6">
        <v>10913.0</v>
      </c>
      <c r="B1730" s="7" t="s">
        <v>77</v>
      </c>
      <c r="C1730" s="24" t="str">
        <f>VLOOKUP(dynamic[customerID],customers[],2,FALSE)</f>
        <v>Queen Cozinha</v>
      </c>
      <c r="D1730" s="24">
        <v>45348.0</v>
      </c>
      <c r="E1730" s="6">
        <f>IFERROR(__xludf.DUMMYFUNCTION("COUNTUNIQUEIFS($A$2:$A1730,$B$2:$B1730,B1730)"),10.0)</f>
        <v>10</v>
      </c>
      <c r="F1730" s="6">
        <f t="shared" si="1"/>
        <v>22</v>
      </c>
      <c r="G1730" s="6" t="str">
        <f>IF(MINIFS(dynamic[orderDate], dynamic[customerID], B1730) &gt;= DATE(2024,4,30)-120, 
     "New", 
     IF(MAXIFS(dynamic[orderCount], dynamic[customerID], B1730)&lt;=2, 
        IF((DATE(2024,4,30) - MAXIFS(dynamic[orderDate], dynamic[customerID], B1730)) &gt; 180, "Non-Returning", "Dormant"), 
        IF(AND(MAX(dynamic[sinceLastOrder]) &gt; 365, (DATE(2024,4,30) - MAXIFS(dynamic[orderDate], dynamic[customerID], B1730)) &gt; 180), 
           "Dormant", "Regular")))</f>
        <v>Regular</v>
      </c>
      <c r="H1730" s="6">
        <v>4.0</v>
      </c>
      <c r="I1730" s="9" t="str">
        <f>VLOOKUP(dynamic[productID],products[],2,FALSE)</f>
        <v>Chef Anton's Cajun Seasoning</v>
      </c>
      <c r="J1730" s="9" t="str">
        <f>VLOOKUP(dynamic[productID],products[],12,FALSE)</f>
        <v>Condiments</v>
      </c>
      <c r="K1730" s="7" t="str">
        <f>IF(VLOOKUP(dynamic[productID],products[],7,FALSE)=1,"Discontinued","Current")</f>
        <v>Current</v>
      </c>
      <c r="L1730" s="9">
        <f>VLOOKUP(dynamic[productID],products[],IF(YEAR(dynamic[orderDate])=2022,8,IF(YEAR(dynamic[orderDate])=2023,9,IF(YEAR(dynamic[orderDate])=2024,10,NA))),FALSE)</f>
        <v>14.37280157</v>
      </c>
      <c r="M1730" s="9">
        <v>22.0</v>
      </c>
      <c r="N1730" s="25">
        <f>(dynamic[orderPrice]-dynamic[productCost])/dynamic[productCost]</f>
        <v>0.5306688748</v>
      </c>
      <c r="O1730" s="10">
        <v>30.0</v>
      </c>
      <c r="P1730" s="25">
        <v>0.25</v>
      </c>
      <c r="Q1730" s="9">
        <f>dynamic[orderPrice]*dynamic[orderQuantity]</f>
        <v>660</v>
      </c>
      <c r="R1730" s="9">
        <f>dynamic[orderTotal]*(1-dynamic[discountApllied])</f>
        <v>495</v>
      </c>
      <c r="S1730" s="9">
        <f>dynamic[revenue]-(dynamic[productCost]*dynamic[orderQuantity])</f>
        <v>63.81595305</v>
      </c>
      <c r="T1730" s="25">
        <f>IFERROR(dynamic[profit]/dynamic[revenue], 0)</f>
        <v>0.1289211173</v>
      </c>
    </row>
    <row r="1731" ht="15.75" customHeight="1">
      <c r="A1731" s="6">
        <v>10913.0</v>
      </c>
      <c r="B1731" s="7" t="s">
        <v>77</v>
      </c>
      <c r="C1731" s="24" t="str">
        <f>VLOOKUP(dynamic[customerID],customers[],2,FALSE)</f>
        <v>Queen Cozinha</v>
      </c>
      <c r="D1731" s="24">
        <v>45348.0</v>
      </c>
      <c r="E1731" s="6">
        <f>IFERROR(__xludf.DUMMYFUNCTION("COUNTUNIQUEIFS($A$2:$A1731,$B$2:$B1731,B1731)"),10.0)</f>
        <v>10</v>
      </c>
      <c r="F1731" s="6">
        <f t="shared" si="1"/>
        <v>22</v>
      </c>
      <c r="G1731" s="6" t="str">
        <f>IF(MINIFS(dynamic[orderDate], dynamic[customerID], B1731) &gt;= DATE(2024,4,30)-120, 
     "New", 
     IF(MAXIFS(dynamic[orderCount], dynamic[customerID], B1731)&lt;=2, 
        IF((DATE(2024,4,30) - MAXIFS(dynamic[orderDate], dynamic[customerID], B1731)) &gt; 180, "Non-Returning", "Dormant"), 
        IF(AND(MAX(dynamic[sinceLastOrder]) &gt; 365, (DATE(2024,4,30) - MAXIFS(dynamic[orderDate], dynamic[customerID], B1731)) &gt; 180), 
           "Dormant", "Regular")))</f>
        <v>Regular</v>
      </c>
      <c r="H1731" s="6">
        <v>33.0</v>
      </c>
      <c r="I1731" s="9" t="str">
        <f>VLOOKUP(dynamic[productID],products[],2,FALSE)</f>
        <v>Geitost</v>
      </c>
      <c r="J1731" s="9" t="str">
        <f>VLOOKUP(dynamic[productID],products[],12,FALSE)</f>
        <v>Dairy Products</v>
      </c>
      <c r="K1731" s="7" t="str">
        <f>IF(VLOOKUP(dynamic[productID],products[],7,FALSE)=1,"Discontinued","Current")</f>
        <v>Current</v>
      </c>
      <c r="L1731" s="9">
        <f>VLOOKUP(dynamic[productID],products[],IF(YEAR(dynamic[orderDate])=2022,8,IF(YEAR(dynamic[orderDate])=2023,9,IF(YEAR(dynamic[orderDate])=2024,10,NA))),FALSE)</f>
        <v>1.670163437</v>
      </c>
      <c r="M1731" s="9">
        <v>2.5</v>
      </c>
      <c r="N1731" s="25">
        <f>(dynamic[orderPrice]-dynamic[productCost])/dynamic[productCost]</f>
        <v>0.4968594957</v>
      </c>
      <c r="O1731" s="10">
        <v>40.0</v>
      </c>
      <c r="P1731" s="25">
        <v>0.25</v>
      </c>
      <c r="Q1731" s="9">
        <f>dynamic[orderPrice]*dynamic[orderQuantity]</f>
        <v>100</v>
      </c>
      <c r="R1731" s="9">
        <f>dynamic[orderTotal]*(1-dynamic[discountApllied])</f>
        <v>75</v>
      </c>
      <c r="S1731" s="9">
        <f>dynamic[revenue]-(dynamic[productCost]*dynamic[orderQuantity])</f>
        <v>8.19346252</v>
      </c>
      <c r="T1731" s="25">
        <f>IFERROR(dynamic[profit]/dynamic[revenue], 0)</f>
        <v>0.1092461669</v>
      </c>
    </row>
    <row r="1732" ht="15.75" customHeight="1">
      <c r="A1732" s="6">
        <v>10913.0</v>
      </c>
      <c r="B1732" s="7" t="s">
        <v>77</v>
      </c>
      <c r="C1732" s="24" t="str">
        <f>VLOOKUP(dynamic[customerID],customers[],2,FALSE)</f>
        <v>Queen Cozinha</v>
      </c>
      <c r="D1732" s="24">
        <v>45348.0</v>
      </c>
      <c r="E1732" s="6">
        <f>IFERROR(__xludf.DUMMYFUNCTION("COUNTUNIQUEIFS($A$2:$A1732,$B$2:$B1732,B1732)"),10.0)</f>
        <v>10</v>
      </c>
      <c r="F1732" s="6">
        <f t="shared" si="1"/>
        <v>22</v>
      </c>
      <c r="G1732" s="6" t="str">
        <f>IF(MINIFS(dynamic[orderDate], dynamic[customerID], B1732) &gt;= DATE(2024,4,30)-120, 
     "New", 
     IF(MAXIFS(dynamic[orderCount], dynamic[customerID], B1732)&lt;=2, 
        IF((DATE(2024,4,30) - MAXIFS(dynamic[orderDate], dynamic[customerID], B1732)) &gt; 180, "Non-Returning", "Dormant"), 
        IF(AND(MAX(dynamic[sinceLastOrder]) &gt; 365, (DATE(2024,4,30) - MAXIFS(dynamic[orderDate], dynamic[customerID], B1732)) &gt; 180), 
           "Dormant", "Regular")))</f>
        <v>Regular</v>
      </c>
      <c r="H1732" s="6">
        <v>58.0</v>
      </c>
      <c r="I1732" s="9" t="str">
        <f>VLOOKUP(dynamic[productID],products[],2,FALSE)</f>
        <v>Escargots de Bourgogne</v>
      </c>
      <c r="J1732" s="9" t="str">
        <f>VLOOKUP(dynamic[productID],products[],12,FALSE)</f>
        <v>Seafood</v>
      </c>
      <c r="K1732" s="7" t="str">
        <f>IF(VLOOKUP(dynamic[productID],products[],7,FALSE)=1,"Discontinued","Current")</f>
        <v>Current</v>
      </c>
      <c r="L1732" s="9">
        <f>VLOOKUP(dynamic[productID],products[],IF(YEAR(dynamic[orderDate])=2022,8,IF(YEAR(dynamic[orderDate])=2023,9,IF(YEAR(dynamic[orderDate])=2024,10,NA))),FALSE)</f>
        <v>8.683102193</v>
      </c>
      <c r="M1732" s="9">
        <v>13.25</v>
      </c>
      <c r="N1732" s="25">
        <f>(dynamic[orderPrice]-dynamic[productCost])/dynamic[productCost]</f>
        <v>0.5259523274</v>
      </c>
      <c r="O1732" s="10">
        <v>15.0</v>
      </c>
      <c r="P1732" s="25">
        <v>0.0</v>
      </c>
      <c r="Q1732" s="9">
        <f>dynamic[orderPrice]*dynamic[orderQuantity]</f>
        <v>198.75</v>
      </c>
      <c r="R1732" s="9">
        <f>dynamic[orderTotal]*(1-dynamic[discountApllied])</f>
        <v>198.75</v>
      </c>
      <c r="S1732" s="9">
        <f>dynamic[revenue]-(dynamic[productCost]*dynamic[orderQuantity])</f>
        <v>68.50346711</v>
      </c>
      <c r="T1732" s="25">
        <f>IFERROR(dynamic[profit]/dynamic[revenue], 0)</f>
        <v>0.3446715326</v>
      </c>
    </row>
    <row r="1733" ht="15.75" customHeight="1">
      <c r="A1733" s="6">
        <v>10914.0</v>
      </c>
      <c r="B1733" s="7" t="s">
        <v>77</v>
      </c>
      <c r="C1733" s="24" t="str">
        <f>VLOOKUP(dynamic[customerID],customers[],2,FALSE)</f>
        <v>Queen Cozinha</v>
      </c>
      <c r="D1733" s="24">
        <v>45349.0</v>
      </c>
      <c r="E1733" s="6">
        <f>IFERROR(__xludf.DUMMYFUNCTION("COUNTUNIQUEIFS($A$2:$A1733,$B$2:$B1733,B1733)"),11.0)</f>
        <v>11</v>
      </c>
      <c r="F1733" s="6">
        <f t="shared" si="1"/>
        <v>1</v>
      </c>
      <c r="G1733" s="6" t="str">
        <f>IF(MINIFS(dynamic[orderDate], dynamic[customerID], B1733) &gt;= DATE(2024,4,30)-120, 
     "New", 
     IF(MAXIFS(dynamic[orderCount], dynamic[customerID], B1733)&lt;=2, 
        IF((DATE(2024,4,30) - MAXIFS(dynamic[orderDate], dynamic[customerID], B1733)) &gt; 180, "Non-Returning", "Dormant"), 
        IF(AND(MAX(dynamic[sinceLastOrder]) &gt; 365, (DATE(2024,4,30) - MAXIFS(dynamic[orderDate], dynamic[customerID], B1733)) &gt; 180), 
           "Dormant", "Regular")))</f>
        <v>Regular</v>
      </c>
      <c r="H1733" s="6">
        <v>71.0</v>
      </c>
      <c r="I1733" s="9" t="str">
        <f>VLOOKUP(dynamic[productID],products[],2,FALSE)</f>
        <v>Flotemysost</v>
      </c>
      <c r="J1733" s="9" t="str">
        <f>VLOOKUP(dynamic[productID],products[],12,FALSE)</f>
        <v>Dairy Products</v>
      </c>
      <c r="K1733" s="7" t="str">
        <f>IF(VLOOKUP(dynamic[productID],products[],7,FALSE)=1,"Discontinued","Current")</f>
        <v>Current</v>
      </c>
      <c r="L1733" s="9">
        <f>VLOOKUP(dynamic[productID],products[],IF(YEAR(dynamic[orderDate])=2022,8,IF(YEAR(dynamic[orderDate])=2023,9,IF(YEAR(dynamic[orderDate])=2024,10,NA))),FALSE)</f>
        <v>14.20977576</v>
      </c>
      <c r="M1733" s="9">
        <v>21.5</v>
      </c>
      <c r="N1733" s="25">
        <f>(dynamic[orderPrice]-dynamic[productCost])/dynamic[productCost]</f>
        <v>0.5130428769</v>
      </c>
      <c r="O1733" s="10">
        <v>25.0</v>
      </c>
      <c r="P1733" s="25">
        <v>0.0</v>
      </c>
      <c r="Q1733" s="9">
        <f>dynamic[orderPrice]*dynamic[orderQuantity]</f>
        <v>537.5</v>
      </c>
      <c r="R1733" s="9">
        <f>dynamic[orderTotal]*(1-dynamic[discountApllied])</f>
        <v>537.5</v>
      </c>
      <c r="S1733" s="9">
        <f>dynamic[revenue]-(dynamic[productCost]*dynamic[orderQuantity])</f>
        <v>182.2556059</v>
      </c>
      <c r="T1733" s="25">
        <f>IFERROR(dynamic[profit]/dynamic[revenue], 0)</f>
        <v>0.3390801971</v>
      </c>
    </row>
    <row r="1734" ht="15.75" customHeight="1">
      <c r="A1734" s="6">
        <v>10915.0</v>
      </c>
      <c r="B1734" s="7" t="s">
        <v>38</v>
      </c>
      <c r="C1734" s="24" t="str">
        <f>VLOOKUP(dynamic[customerID],customers[],2,FALSE)</f>
        <v>Tortuga Restaurante</v>
      </c>
      <c r="D1734" s="24">
        <v>45349.0</v>
      </c>
      <c r="E1734" s="6">
        <f>IFERROR(__xludf.DUMMYFUNCTION("COUNTUNIQUEIFS($A$2:$A1734,$B$2:$B1734,B1734)"),9.0)</f>
        <v>9</v>
      </c>
      <c r="F1734" s="6">
        <f t="shared" si="1"/>
        <v>38</v>
      </c>
      <c r="G1734" s="6" t="str">
        <f>IF(MINIFS(dynamic[orderDate], dynamic[customerID], B1734) &gt;= DATE(2024,4,30)-120, 
     "New", 
     IF(MAXIFS(dynamic[orderCount], dynamic[customerID], B1734)&lt;=2, 
        IF((DATE(2024,4,30) - MAXIFS(dynamic[orderDate], dynamic[customerID], B1734)) &gt; 180, "Non-Returning", "Dormant"), 
        IF(AND(MAX(dynamic[sinceLastOrder]) &gt; 365, (DATE(2024,4,30) - MAXIFS(dynamic[orderDate], dynamic[customerID], B1734)) &gt; 180), 
           "Dormant", "Regular")))</f>
        <v>Regular</v>
      </c>
      <c r="H1734" s="6">
        <v>17.0</v>
      </c>
      <c r="I1734" s="9" t="str">
        <f>VLOOKUP(dynamic[productID],products[],2,FALSE)</f>
        <v>Alice Mutton</v>
      </c>
      <c r="J1734" s="9" t="str">
        <f>VLOOKUP(dynamic[productID],products[],12,FALSE)</f>
        <v>Meat/Poultry</v>
      </c>
      <c r="K1734" s="7" t="str">
        <f>IF(VLOOKUP(dynamic[productID],products[],7,FALSE)=1,"Discontinued","Current")</f>
        <v>Discontinued</v>
      </c>
      <c r="L1734" s="9">
        <f>VLOOKUP(dynamic[productID],products[],IF(YEAR(dynamic[orderDate])=2022,8,IF(YEAR(dynamic[orderDate])=2023,9,IF(YEAR(dynamic[orderDate])=2024,10,NA))),FALSE)</f>
        <v>28.51916263</v>
      </c>
      <c r="M1734" s="9">
        <v>39.0</v>
      </c>
      <c r="N1734" s="25">
        <f>(dynamic[orderPrice]-dynamic[productCost])/dynamic[productCost]</f>
        <v>0.3675015816</v>
      </c>
      <c r="O1734" s="10">
        <v>10.0</v>
      </c>
      <c r="P1734" s="25">
        <v>0.0</v>
      </c>
      <c r="Q1734" s="9">
        <f>dynamic[orderPrice]*dynamic[orderQuantity]</f>
        <v>390</v>
      </c>
      <c r="R1734" s="9">
        <f>dynamic[orderTotal]*(1-dynamic[discountApllied])</f>
        <v>390</v>
      </c>
      <c r="S1734" s="9">
        <f>dynamic[revenue]-(dynamic[productCost]*dynamic[orderQuantity])</f>
        <v>104.8083737</v>
      </c>
      <c r="T1734" s="25">
        <f>IFERROR(dynamic[profit]/dynamic[revenue], 0)</f>
        <v>0.2687394198</v>
      </c>
    </row>
    <row r="1735" ht="15.75" customHeight="1">
      <c r="A1735" s="6">
        <v>10915.0</v>
      </c>
      <c r="B1735" s="7" t="s">
        <v>38</v>
      </c>
      <c r="C1735" s="24" t="str">
        <f>VLOOKUP(dynamic[customerID],customers[],2,FALSE)</f>
        <v>Tortuga Restaurante</v>
      </c>
      <c r="D1735" s="24">
        <v>45349.0</v>
      </c>
      <c r="E1735" s="6">
        <f>IFERROR(__xludf.DUMMYFUNCTION("COUNTUNIQUEIFS($A$2:$A1735,$B$2:$B1735,B1735)"),9.0)</f>
        <v>9</v>
      </c>
      <c r="F1735" s="6">
        <f t="shared" si="1"/>
        <v>38</v>
      </c>
      <c r="G1735" s="6" t="str">
        <f>IF(MINIFS(dynamic[orderDate], dynamic[customerID], B1735) &gt;= DATE(2024,4,30)-120, 
     "New", 
     IF(MAXIFS(dynamic[orderCount], dynamic[customerID], B1735)&lt;=2, 
        IF((DATE(2024,4,30) - MAXIFS(dynamic[orderDate], dynamic[customerID], B1735)) &gt; 180, "Non-Returning", "Dormant"), 
        IF(AND(MAX(dynamic[sinceLastOrder]) &gt; 365, (DATE(2024,4,30) - MAXIFS(dynamic[orderDate], dynamic[customerID], B1735)) &gt; 180), 
           "Dormant", "Regular")))</f>
        <v>Regular</v>
      </c>
      <c r="H1735" s="6">
        <v>33.0</v>
      </c>
      <c r="I1735" s="9" t="str">
        <f>VLOOKUP(dynamic[productID],products[],2,FALSE)</f>
        <v>Geitost</v>
      </c>
      <c r="J1735" s="9" t="str">
        <f>VLOOKUP(dynamic[productID],products[],12,FALSE)</f>
        <v>Dairy Products</v>
      </c>
      <c r="K1735" s="7" t="str">
        <f>IF(VLOOKUP(dynamic[productID],products[],7,FALSE)=1,"Discontinued","Current")</f>
        <v>Current</v>
      </c>
      <c r="L1735" s="9">
        <f>VLOOKUP(dynamic[productID],products[],IF(YEAR(dynamic[orderDate])=2022,8,IF(YEAR(dynamic[orderDate])=2023,9,IF(YEAR(dynamic[orderDate])=2024,10,NA))),FALSE)</f>
        <v>1.670163437</v>
      </c>
      <c r="M1735" s="9">
        <v>2.5</v>
      </c>
      <c r="N1735" s="25">
        <f>(dynamic[orderPrice]-dynamic[productCost])/dynamic[productCost]</f>
        <v>0.4968594957</v>
      </c>
      <c r="O1735" s="10">
        <v>30.0</v>
      </c>
      <c r="P1735" s="25">
        <v>0.0</v>
      </c>
      <c r="Q1735" s="9">
        <f>dynamic[orderPrice]*dynamic[orderQuantity]</f>
        <v>75</v>
      </c>
      <c r="R1735" s="9">
        <f>dynamic[orderTotal]*(1-dynamic[discountApllied])</f>
        <v>75</v>
      </c>
      <c r="S1735" s="9">
        <f>dynamic[revenue]-(dynamic[productCost]*dynamic[orderQuantity])</f>
        <v>24.89509689</v>
      </c>
      <c r="T1735" s="25">
        <f>IFERROR(dynamic[profit]/dynamic[revenue], 0)</f>
        <v>0.3319346252</v>
      </c>
    </row>
    <row r="1736" ht="15.75" customHeight="1">
      <c r="A1736" s="6">
        <v>10915.0</v>
      </c>
      <c r="B1736" s="7" t="s">
        <v>38</v>
      </c>
      <c r="C1736" s="24" t="str">
        <f>VLOOKUP(dynamic[customerID],customers[],2,FALSE)</f>
        <v>Tortuga Restaurante</v>
      </c>
      <c r="D1736" s="24">
        <v>45349.0</v>
      </c>
      <c r="E1736" s="6">
        <f>IFERROR(__xludf.DUMMYFUNCTION("COUNTUNIQUEIFS($A$2:$A1736,$B$2:$B1736,B1736)"),9.0)</f>
        <v>9</v>
      </c>
      <c r="F1736" s="6">
        <f t="shared" si="1"/>
        <v>38</v>
      </c>
      <c r="G1736" s="6" t="str">
        <f>IF(MINIFS(dynamic[orderDate], dynamic[customerID], B1736) &gt;= DATE(2024,4,30)-120, 
     "New", 
     IF(MAXIFS(dynamic[orderCount], dynamic[customerID], B1736)&lt;=2, 
        IF((DATE(2024,4,30) - MAXIFS(dynamic[orderDate], dynamic[customerID], B1736)) &gt; 180, "Non-Returning", "Dormant"), 
        IF(AND(MAX(dynamic[sinceLastOrder]) &gt; 365, (DATE(2024,4,30) - MAXIFS(dynamic[orderDate], dynamic[customerID], B1736)) &gt; 180), 
           "Dormant", "Regular")))</f>
        <v>Regular</v>
      </c>
      <c r="H1736" s="6">
        <v>54.0</v>
      </c>
      <c r="I1736" s="9" t="str">
        <f>VLOOKUP(dynamic[productID],products[],2,FALSE)</f>
        <v>Tourtière</v>
      </c>
      <c r="J1736" s="9" t="str">
        <f>VLOOKUP(dynamic[productID],products[],12,FALSE)</f>
        <v>Meat/Poultry</v>
      </c>
      <c r="K1736" s="7" t="str">
        <f>IF(VLOOKUP(dynamic[productID],products[],7,FALSE)=1,"Discontinued","Current")</f>
        <v>Current</v>
      </c>
      <c r="L1736" s="9">
        <f>VLOOKUP(dynamic[productID],products[],IF(YEAR(dynamic[orderDate])=2022,8,IF(YEAR(dynamic[orderDate])=2023,9,IF(YEAR(dynamic[orderDate])=2024,10,NA))),FALSE)</f>
        <v>4.884716455</v>
      </c>
      <c r="M1736" s="9">
        <v>7.45</v>
      </c>
      <c r="N1736" s="25">
        <f>(dynamic[orderPrice]-dynamic[productCost])/dynamic[productCost]</f>
        <v>0.5251652923</v>
      </c>
      <c r="O1736" s="10">
        <v>10.0</v>
      </c>
      <c r="P1736" s="25">
        <v>0.0</v>
      </c>
      <c r="Q1736" s="9">
        <f>dynamic[orderPrice]*dynamic[orderQuantity]</f>
        <v>74.5</v>
      </c>
      <c r="R1736" s="9">
        <f>dynamic[orderTotal]*(1-dynamic[discountApllied])</f>
        <v>74.5</v>
      </c>
      <c r="S1736" s="9">
        <f>dynamic[revenue]-(dynamic[productCost]*dynamic[orderQuantity])</f>
        <v>25.65283545</v>
      </c>
      <c r="T1736" s="25">
        <f>IFERROR(dynamic[profit]/dynamic[revenue], 0)</f>
        <v>0.3443333618</v>
      </c>
    </row>
    <row r="1737" ht="15.75" customHeight="1">
      <c r="A1737" s="6">
        <v>10916.0</v>
      </c>
      <c r="B1737" s="7" t="s">
        <v>88</v>
      </c>
      <c r="C1737" s="24" t="str">
        <f>VLOOKUP(dynamic[customerID],customers[],2,FALSE)</f>
        <v>Rancho grande</v>
      </c>
      <c r="D1737" s="24">
        <v>45349.0</v>
      </c>
      <c r="E1737" s="6">
        <f>IFERROR(__xludf.DUMMYFUNCTION("COUNTUNIQUEIFS($A$2:$A1737,$B$2:$B1737,B1737)"),4.0)</f>
        <v>4</v>
      </c>
      <c r="F1737" s="6">
        <f t="shared" si="1"/>
        <v>45</v>
      </c>
      <c r="G1737" s="6" t="str">
        <f>IF(MINIFS(dynamic[orderDate], dynamic[customerID], B1737) &gt;= DATE(2024,4,30)-120, 
     "New", 
     IF(MAXIFS(dynamic[orderCount], dynamic[customerID], B1737)&lt;=2, 
        IF((DATE(2024,4,30) - MAXIFS(dynamic[orderDate], dynamic[customerID], B1737)) &gt; 180, "Non-Returning", "Dormant"), 
        IF(AND(MAX(dynamic[sinceLastOrder]) &gt; 365, (DATE(2024,4,30) - MAXIFS(dynamic[orderDate], dynamic[customerID], B1737)) &gt; 180), 
           "Dormant", "Regular")))</f>
        <v>Regular</v>
      </c>
      <c r="H1737" s="6">
        <v>16.0</v>
      </c>
      <c r="I1737" s="9" t="str">
        <f>VLOOKUP(dynamic[productID],products[],2,FALSE)</f>
        <v>Pavlova</v>
      </c>
      <c r="J1737" s="9" t="str">
        <f>VLOOKUP(dynamic[productID],products[],12,FALSE)</f>
        <v>Confections</v>
      </c>
      <c r="K1737" s="7" t="str">
        <f>IF(VLOOKUP(dynamic[productID],products[],7,FALSE)=1,"Discontinued","Current")</f>
        <v>Current</v>
      </c>
      <c r="L1737" s="9">
        <f>VLOOKUP(dynamic[productID],products[],IF(YEAR(dynamic[orderDate])=2022,8,IF(YEAR(dynamic[orderDate])=2023,9,IF(YEAR(dynamic[orderDate])=2024,10,NA))),FALSE)</f>
        <v>12.68283974</v>
      </c>
      <c r="M1737" s="9">
        <v>17.45</v>
      </c>
      <c r="N1737" s="25">
        <f>(dynamic[orderPrice]-dynamic[productCost])/dynamic[productCost]</f>
        <v>0.3758748323</v>
      </c>
      <c r="O1737" s="10">
        <v>6.0</v>
      </c>
      <c r="P1737" s="25">
        <v>0.0</v>
      </c>
      <c r="Q1737" s="9">
        <f>dynamic[orderPrice]*dynamic[orderQuantity]</f>
        <v>104.7</v>
      </c>
      <c r="R1737" s="9">
        <f>dynamic[orderTotal]*(1-dynamic[discountApllied])</f>
        <v>104.7</v>
      </c>
      <c r="S1737" s="9">
        <f>dynamic[revenue]-(dynamic[productCost]*dynamic[orderQuantity])</f>
        <v>28.60296156</v>
      </c>
      <c r="T1737" s="25">
        <f>IFERROR(dynamic[profit]/dynamic[revenue], 0)</f>
        <v>0.2731896997</v>
      </c>
    </row>
    <row r="1738" ht="15.75" customHeight="1">
      <c r="A1738" s="6">
        <v>10916.0</v>
      </c>
      <c r="B1738" s="7" t="s">
        <v>88</v>
      </c>
      <c r="C1738" s="24" t="str">
        <f>VLOOKUP(dynamic[customerID],customers[],2,FALSE)</f>
        <v>Rancho grande</v>
      </c>
      <c r="D1738" s="24">
        <v>45349.0</v>
      </c>
      <c r="E1738" s="6">
        <f>IFERROR(__xludf.DUMMYFUNCTION("COUNTUNIQUEIFS($A$2:$A1738,$B$2:$B1738,B1738)"),4.0)</f>
        <v>4</v>
      </c>
      <c r="F1738" s="6">
        <f t="shared" si="1"/>
        <v>45</v>
      </c>
      <c r="G1738" s="6" t="str">
        <f>IF(MINIFS(dynamic[orderDate], dynamic[customerID], B1738) &gt;= DATE(2024,4,30)-120, 
     "New", 
     IF(MAXIFS(dynamic[orderCount], dynamic[customerID], B1738)&lt;=2, 
        IF((DATE(2024,4,30) - MAXIFS(dynamic[orderDate], dynamic[customerID], B1738)) &gt; 180, "Non-Returning", "Dormant"), 
        IF(AND(MAX(dynamic[sinceLastOrder]) &gt; 365, (DATE(2024,4,30) - MAXIFS(dynamic[orderDate], dynamic[customerID], B1738)) &gt; 180), 
           "Dormant", "Regular")))</f>
        <v>Regular</v>
      </c>
      <c r="H1738" s="6">
        <v>32.0</v>
      </c>
      <c r="I1738" s="9" t="str">
        <f>VLOOKUP(dynamic[productID],products[],2,FALSE)</f>
        <v>Mascarpone Fabioli</v>
      </c>
      <c r="J1738" s="9" t="str">
        <f>VLOOKUP(dynamic[productID],products[],12,FALSE)</f>
        <v>Dairy Products</v>
      </c>
      <c r="K1738" s="7" t="str">
        <f>IF(VLOOKUP(dynamic[productID],products[],7,FALSE)=1,"Discontinued","Current")</f>
        <v>Current</v>
      </c>
      <c r="L1738" s="9">
        <f>VLOOKUP(dynamic[productID],products[],IF(YEAR(dynamic[orderDate])=2022,8,IF(YEAR(dynamic[orderDate])=2023,9,IF(YEAR(dynamic[orderDate])=2024,10,NA))),FALSE)</f>
        <v>21.42783354</v>
      </c>
      <c r="M1738" s="9">
        <v>32.0</v>
      </c>
      <c r="N1738" s="25">
        <f>(dynamic[orderPrice]-dynamic[productCost])/dynamic[productCost]</f>
        <v>0.4933847575</v>
      </c>
      <c r="O1738" s="10">
        <v>6.0</v>
      </c>
      <c r="P1738" s="25">
        <v>0.0</v>
      </c>
      <c r="Q1738" s="9">
        <f>dynamic[orderPrice]*dynamic[orderQuantity]</f>
        <v>192</v>
      </c>
      <c r="R1738" s="9">
        <f>dynamic[orderTotal]*(1-dynamic[discountApllied])</f>
        <v>192</v>
      </c>
      <c r="S1738" s="9">
        <f>dynamic[revenue]-(dynamic[productCost]*dynamic[orderQuantity])</f>
        <v>63.43299874</v>
      </c>
      <c r="T1738" s="25">
        <f>IFERROR(dynamic[profit]/dynamic[revenue], 0)</f>
        <v>0.3303802018</v>
      </c>
    </row>
    <row r="1739" ht="15.75" customHeight="1">
      <c r="A1739" s="6">
        <v>10916.0</v>
      </c>
      <c r="B1739" s="7" t="s">
        <v>88</v>
      </c>
      <c r="C1739" s="24" t="str">
        <f>VLOOKUP(dynamic[customerID],customers[],2,FALSE)</f>
        <v>Rancho grande</v>
      </c>
      <c r="D1739" s="24">
        <v>45349.0</v>
      </c>
      <c r="E1739" s="6">
        <f>IFERROR(__xludf.DUMMYFUNCTION("COUNTUNIQUEIFS($A$2:$A1739,$B$2:$B1739,B1739)"),4.0)</f>
        <v>4</v>
      </c>
      <c r="F1739" s="6">
        <f t="shared" si="1"/>
        <v>45</v>
      </c>
      <c r="G1739" s="6" t="str">
        <f>IF(MINIFS(dynamic[orderDate], dynamic[customerID], B1739) &gt;= DATE(2024,4,30)-120, 
     "New", 
     IF(MAXIFS(dynamic[orderCount], dynamic[customerID], B1739)&lt;=2, 
        IF((DATE(2024,4,30) - MAXIFS(dynamic[orderDate], dynamic[customerID], B1739)) &gt; 180, "Non-Returning", "Dormant"), 
        IF(AND(MAX(dynamic[sinceLastOrder]) &gt; 365, (DATE(2024,4,30) - MAXIFS(dynamic[orderDate], dynamic[customerID], B1739)) &gt; 180), 
           "Dormant", "Regular")))</f>
        <v>Regular</v>
      </c>
      <c r="H1739" s="6">
        <v>57.0</v>
      </c>
      <c r="I1739" s="9" t="str">
        <f>VLOOKUP(dynamic[productID],products[],2,FALSE)</f>
        <v>Ravioli Angelo</v>
      </c>
      <c r="J1739" s="9" t="str">
        <f>VLOOKUP(dynamic[productID],products[],12,FALSE)</f>
        <v>Grains/Cereals</v>
      </c>
      <c r="K1739" s="7" t="str">
        <f>IF(VLOOKUP(dynamic[productID],products[],7,FALSE)=1,"Discontinued","Current")</f>
        <v>Current</v>
      </c>
      <c r="L1739" s="9">
        <f>VLOOKUP(dynamic[productID],products[],IF(YEAR(dynamic[orderDate])=2022,8,IF(YEAR(dynamic[orderDate])=2023,9,IF(YEAR(dynamic[orderDate])=2024,10,NA))),FALSE)</f>
        <v>14.29534762</v>
      </c>
      <c r="M1739" s="9">
        <v>19.5</v>
      </c>
      <c r="N1739" s="25">
        <f>(dynamic[orderPrice]-dynamic[productCost])/dynamic[productCost]</f>
        <v>0.3640801552</v>
      </c>
      <c r="O1739" s="10">
        <v>20.0</v>
      </c>
      <c r="P1739" s="25">
        <v>0.0</v>
      </c>
      <c r="Q1739" s="9">
        <f>dynamic[orderPrice]*dynamic[orderQuantity]</f>
        <v>390</v>
      </c>
      <c r="R1739" s="9">
        <f>dynamic[orderTotal]*(1-dynamic[discountApllied])</f>
        <v>390</v>
      </c>
      <c r="S1739" s="9">
        <f>dynamic[revenue]-(dynamic[productCost]*dynamic[orderQuantity])</f>
        <v>104.0930476</v>
      </c>
      <c r="T1739" s="25">
        <f>IFERROR(dynamic[profit]/dynamic[revenue], 0)</f>
        <v>0.2669052503</v>
      </c>
    </row>
    <row r="1740" ht="15.75" customHeight="1">
      <c r="A1740" s="6">
        <v>10917.0</v>
      </c>
      <c r="B1740" s="7" t="s">
        <v>42</v>
      </c>
      <c r="C1740" s="24" t="str">
        <f>VLOOKUP(dynamic[customerID],customers[],2,FALSE)</f>
        <v>Romero y tomillo</v>
      </c>
      <c r="D1740" s="24">
        <v>45353.0</v>
      </c>
      <c r="E1740" s="6">
        <f>IFERROR(__xludf.DUMMYFUNCTION("COUNTUNIQUEIFS($A$2:$A1740,$B$2:$B1740,B1740)"),4.0)</f>
        <v>4</v>
      </c>
      <c r="F1740" s="6">
        <f t="shared" si="1"/>
        <v>533</v>
      </c>
      <c r="G1740" s="6" t="str">
        <f>IF(MINIFS(dynamic[orderDate], dynamic[customerID], B1740) &gt;= DATE(2024,4,30)-120, 
     "New", 
     IF(MAXIFS(dynamic[orderCount], dynamic[customerID], B1740)&lt;=2, 
        IF((DATE(2024,4,30) - MAXIFS(dynamic[orderDate], dynamic[customerID], B1740)) &gt; 180, "Non-Returning", "Dormant"), 
        IF(AND(MAX(dynamic[sinceLastOrder]) &gt; 365, (DATE(2024,4,30) - MAXIFS(dynamic[orderDate], dynamic[customerID], B1740)) &gt; 180), 
           "Dormant", "Regular")))</f>
        <v>Regular</v>
      </c>
      <c r="H1740" s="6">
        <v>30.0</v>
      </c>
      <c r="I1740" s="9" t="str">
        <f>VLOOKUP(dynamic[productID],products[],2,FALSE)</f>
        <v>Nord-Ost Matjeshering</v>
      </c>
      <c r="J1740" s="9" t="str">
        <f>VLOOKUP(dynamic[productID],products[],12,FALSE)</f>
        <v>Seafood</v>
      </c>
      <c r="K1740" s="7" t="str">
        <f>IF(VLOOKUP(dynamic[productID],products[],7,FALSE)=1,"Discontinued","Current")</f>
        <v>Current</v>
      </c>
      <c r="L1740" s="9">
        <f>VLOOKUP(dynamic[productID],products[],IF(YEAR(dynamic[orderDate])=2022,8,IF(YEAR(dynamic[orderDate])=2023,9,IF(YEAR(dynamic[orderDate])=2024,10,NA))),FALSE)</f>
        <v>17.0327851</v>
      </c>
      <c r="M1740" s="9">
        <v>25.89</v>
      </c>
      <c r="N1740" s="25">
        <f>(dynamic[orderPrice]-dynamic[productCost])/dynamic[productCost]</f>
        <v>0.5200097842</v>
      </c>
      <c r="O1740" s="10">
        <v>1.0</v>
      </c>
      <c r="P1740" s="25">
        <v>0.0</v>
      </c>
      <c r="Q1740" s="9">
        <f>dynamic[orderPrice]*dynamic[orderQuantity]</f>
        <v>25.89</v>
      </c>
      <c r="R1740" s="9">
        <f>dynamic[orderTotal]*(1-dynamic[discountApllied])</f>
        <v>25.89</v>
      </c>
      <c r="S1740" s="9">
        <f>dynamic[revenue]-(dynamic[productCost]*dynamic[orderQuantity])</f>
        <v>8.857214903</v>
      </c>
      <c r="T1740" s="25">
        <f>IFERROR(dynamic[profit]/dynamic[revenue], 0)</f>
        <v>0.342109498</v>
      </c>
    </row>
    <row r="1741" ht="15.75" customHeight="1">
      <c r="A1741" s="6">
        <v>10917.0</v>
      </c>
      <c r="B1741" s="7" t="s">
        <v>42</v>
      </c>
      <c r="C1741" s="24" t="str">
        <f>VLOOKUP(dynamic[customerID],customers[],2,FALSE)</f>
        <v>Romero y tomillo</v>
      </c>
      <c r="D1741" s="24">
        <v>45353.0</v>
      </c>
      <c r="E1741" s="6">
        <f>IFERROR(__xludf.DUMMYFUNCTION("COUNTUNIQUEIFS($A$2:$A1741,$B$2:$B1741,B1741)"),4.0)</f>
        <v>4</v>
      </c>
      <c r="F1741" s="6">
        <f t="shared" si="1"/>
        <v>533</v>
      </c>
      <c r="G1741" s="6" t="str">
        <f>IF(MINIFS(dynamic[orderDate], dynamic[customerID], B1741) &gt;= DATE(2024,4,30)-120, 
     "New", 
     IF(MAXIFS(dynamic[orderCount], dynamic[customerID], B1741)&lt;=2, 
        IF((DATE(2024,4,30) - MAXIFS(dynamic[orderDate], dynamic[customerID], B1741)) &gt; 180, "Non-Returning", "Dormant"), 
        IF(AND(MAX(dynamic[sinceLastOrder]) &gt; 365, (DATE(2024,4,30) - MAXIFS(dynamic[orderDate], dynamic[customerID], B1741)) &gt; 180), 
           "Dormant", "Regular")))</f>
        <v>Regular</v>
      </c>
      <c r="H1741" s="6">
        <v>60.0</v>
      </c>
      <c r="I1741" s="9" t="str">
        <f>VLOOKUP(dynamic[productID],products[],2,FALSE)</f>
        <v>Camembert Pierrot</v>
      </c>
      <c r="J1741" s="9" t="str">
        <f>VLOOKUP(dynamic[productID],products[],12,FALSE)</f>
        <v>Dairy Products</v>
      </c>
      <c r="K1741" s="7" t="str">
        <f>IF(VLOOKUP(dynamic[productID],products[],7,FALSE)=1,"Discontinued","Current")</f>
        <v>Current</v>
      </c>
      <c r="L1741" s="9">
        <f>VLOOKUP(dynamic[productID],products[],IF(YEAR(dynamic[orderDate])=2022,8,IF(YEAR(dynamic[orderDate])=2023,9,IF(YEAR(dynamic[orderDate])=2024,10,NA))),FALSE)</f>
        <v>22.49091154</v>
      </c>
      <c r="M1741" s="9">
        <v>34.0</v>
      </c>
      <c r="N1741" s="25">
        <f>(dynamic[orderPrice]-dynamic[productCost])/dynamic[productCost]</f>
        <v>0.5117217431</v>
      </c>
      <c r="O1741" s="10">
        <v>10.0</v>
      </c>
      <c r="P1741" s="25">
        <v>0.0</v>
      </c>
      <c r="Q1741" s="9">
        <f>dynamic[orderPrice]*dynamic[orderQuantity]</f>
        <v>340</v>
      </c>
      <c r="R1741" s="9">
        <f>dynamic[orderTotal]*(1-dynamic[discountApllied])</f>
        <v>340</v>
      </c>
      <c r="S1741" s="9">
        <f>dynamic[revenue]-(dynamic[productCost]*dynamic[orderQuantity])</f>
        <v>115.0908846</v>
      </c>
      <c r="T1741" s="25">
        <f>IFERROR(dynamic[profit]/dynamic[revenue], 0)</f>
        <v>0.3385026017</v>
      </c>
    </row>
    <row r="1742" ht="15.75" customHeight="1">
      <c r="A1742" s="6">
        <v>10918.0</v>
      </c>
      <c r="B1742" s="7" t="s">
        <v>81</v>
      </c>
      <c r="C1742" s="24" t="str">
        <f>VLOOKUP(dynamic[customerID],customers[],2,FALSE)</f>
        <v>Bottom-Dollar Markets</v>
      </c>
      <c r="D1742" s="24">
        <v>45353.0</v>
      </c>
      <c r="E1742" s="6">
        <f>IFERROR(__xludf.DUMMYFUNCTION("COUNTUNIQUEIFS($A$2:$A1742,$B$2:$B1742,B1742)"),7.0)</f>
        <v>7</v>
      </c>
      <c r="F1742" s="6">
        <f t="shared" si="1"/>
        <v>109</v>
      </c>
      <c r="G1742" s="6" t="str">
        <f>IF(MINIFS(dynamic[orderDate], dynamic[customerID], B1742) &gt;= DATE(2024,4,30)-120, 
     "New", 
     IF(MAXIFS(dynamic[orderCount], dynamic[customerID], B1742)&lt;=2, 
        IF((DATE(2024,4,30) - MAXIFS(dynamic[orderDate], dynamic[customerID], B1742)) &gt; 180, "Non-Returning", "Dormant"), 
        IF(AND(MAX(dynamic[sinceLastOrder]) &gt; 365, (DATE(2024,4,30) - MAXIFS(dynamic[orderDate], dynamic[customerID], B1742)) &gt; 180), 
           "Dormant", "Regular")))</f>
        <v>Regular</v>
      </c>
      <c r="H1742" s="6">
        <v>1.0</v>
      </c>
      <c r="I1742" s="9" t="str">
        <f>VLOOKUP(dynamic[productID],products[],2,FALSE)</f>
        <v>Chai</v>
      </c>
      <c r="J1742" s="9" t="str">
        <f>VLOOKUP(dynamic[productID],products[],12,FALSE)</f>
        <v>Beverages</v>
      </c>
      <c r="K1742" s="7" t="str">
        <f>IF(VLOOKUP(dynamic[productID],products[],7,FALSE)=1,"Discontinued","Current")</f>
        <v>Current</v>
      </c>
      <c r="L1742" s="9">
        <f>VLOOKUP(dynamic[productID],products[],IF(YEAR(dynamic[orderDate])=2022,8,IF(YEAR(dynamic[orderDate])=2023,9,IF(YEAR(dynamic[orderDate])=2024,10,NA))),FALSE)</f>
        <v>12.17757454</v>
      </c>
      <c r="M1742" s="9">
        <v>18.0</v>
      </c>
      <c r="N1742" s="25">
        <f>(dynamic[orderPrice]-dynamic[productCost])/dynamic[productCost]</f>
        <v>0.4781268584</v>
      </c>
      <c r="O1742" s="10">
        <v>60.0</v>
      </c>
      <c r="P1742" s="25">
        <v>0.25</v>
      </c>
      <c r="Q1742" s="9">
        <f>dynamic[orderPrice]*dynamic[orderQuantity]</f>
        <v>1080</v>
      </c>
      <c r="R1742" s="9">
        <f>dynamic[orderTotal]*(1-dynamic[discountApllied])</f>
        <v>810</v>
      </c>
      <c r="S1742" s="9">
        <f>dynamic[revenue]-(dynamic[productCost]*dynamic[orderQuantity])</f>
        <v>79.34552749</v>
      </c>
      <c r="T1742" s="25">
        <f>IFERROR(dynamic[profit]/dynamic[revenue], 0)</f>
        <v>0.09795744134</v>
      </c>
    </row>
    <row r="1743" ht="15.75" customHeight="1">
      <c r="A1743" s="6">
        <v>10918.0</v>
      </c>
      <c r="B1743" s="7" t="s">
        <v>81</v>
      </c>
      <c r="C1743" s="24" t="str">
        <f>VLOOKUP(dynamic[customerID],customers[],2,FALSE)</f>
        <v>Bottom-Dollar Markets</v>
      </c>
      <c r="D1743" s="24">
        <v>45353.0</v>
      </c>
      <c r="E1743" s="6">
        <f>IFERROR(__xludf.DUMMYFUNCTION("COUNTUNIQUEIFS($A$2:$A1743,$B$2:$B1743,B1743)"),7.0)</f>
        <v>7</v>
      </c>
      <c r="F1743" s="6">
        <f t="shared" si="1"/>
        <v>109</v>
      </c>
      <c r="G1743" s="6" t="str">
        <f>IF(MINIFS(dynamic[orderDate], dynamic[customerID], B1743) &gt;= DATE(2024,4,30)-120, 
     "New", 
     IF(MAXIFS(dynamic[orderCount], dynamic[customerID], B1743)&lt;=2, 
        IF((DATE(2024,4,30) - MAXIFS(dynamic[orderDate], dynamic[customerID], B1743)) &gt; 180, "Non-Returning", "Dormant"), 
        IF(AND(MAX(dynamic[sinceLastOrder]) &gt; 365, (DATE(2024,4,30) - MAXIFS(dynamic[orderDate], dynamic[customerID], B1743)) &gt; 180), 
           "Dormant", "Regular")))</f>
        <v>Regular</v>
      </c>
      <c r="H1743" s="6">
        <v>60.0</v>
      </c>
      <c r="I1743" s="9" t="str">
        <f>VLOOKUP(dynamic[productID],products[],2,FALSE)</f>
        <v>Camembert Pierrot</v>
      </c>
      <c r="J1743" s="9" t="str">
        <f>VLOOKUP(dynamic[productID],products[],12,FALSE)</f>
        <v>Dairy Products</v>
      </c>
      <c r="K1743" s="7" t="str">
        <f>IF(VLOOKUP(dynamic[productID],products[],7,FALSE)=1,"Discontinued","Current")</f>
        <v>Current</v>
      </c>
      <c r="L1743" s="9">
        <f>VLOOKUP(dynamic[productID],products[],IF(YEAR(dynamic[orderDate])=2022,8,IF(YEAR(dynamic[orderDate])=2023,9,IF(YEAR(dynamic[orderDate])=2024,10,NA))),FALSE)</f>
        <v>22.49091154</v>
      </c>
      <c r="M1743" s="9">
        <v>34.0</v>
      </c>
      <c r="N1743" s="25">
        <f>(dynamic[orderPrice]-dynamic[productCost])/dynamic[productCost]</f>
        <v>0.5117217431</v>
      </c>
      <c r="O1743" s="10">
        <v>25.0</v>
      </c>
      <c r="P1743" s="25">
        <v>0.25</v>
      </c>
      <c r="Q1743" s="9">
        <f>dynamic[orderPrice]*dynamic[orderQuantity]</f>
        <v>850</v>
      </c>
      <c r="R1743" s="9">
        <f>dynamic[orderTotal]*(1-dynamic[discountApllied])</f>
        <v>637.5</v>
      </c>
      <c r="S1743" s="9">
        <f>dynamic[revenue]-(dynamic[productCost]*dynamic[orderQuantity])</f>
        <v>75.22721145</v>
      </c>
      <c r="T1743" s="25">
        <f>IFERROR(dynamic[profit]/dynamic[revenue], 0)</f>
        <v>0.1180034689</v>
      </c>
    </row>
    <row r="1744" ht="15.75" customHeight="1">
      <c r="A1744" s="6">
        <v>10919.0</v>
      </c>
      <c r="B1744" s="7" t="s">
        <v>82</v>
      </c>
      <c r="C1744" s="24" t="str">
        <f>VLOOKUP(dynamic[customerID],customers[],2,FALSE)</f>
        <v>LINO-Delicateses</v>
      </c>
      <c r="D1744" s="24">
        <v>45353.0</v>
      </c>
      <c r="E1744" s="6">
        <f>IFERROR(__xludf.DUMMYFUNCTION("COUNTUNIQUEIFS($A$2:$A1744,$B$2:$B1744,B1744)"),9.0)</f>
        <v>9</v>
      </c>
      <c r="F1744" s="6">
        <f t="shared" si="1"/>
        <v>43</v>
      </c>
      <c r="G1744" s="6" t="str">
        <f>IF(MINIFS(dynamic[orderDate], dynamic[customerID], B1744) &gt;= DATE(2024,4,30)-120, 
     "New", 
     IF(MAXIFS(dynamic[orderCount], dynamic[customerID], B1744)&lt;=2, 
        IF((DATE(2024,4,30) - MAXIFS(dynamic[orderDate], dynamic[customerID], B1744)) &gt; 180, "Non-Returning", "Dormant"), 
        IF(AND(MAX(dynamic[sinceLastOrder]) &gt; 365, (DATE(2024,4,30) - MAXIFS(dynamic[orderDate], dynamic[customerID], B1744)) &gt; 180), 
           "Dormant", "Regular")))</f>
        <v>Regular</v>
      </c>
      <c r="H1744" s="6">
        <v>16.0</v>
      </c>
      <c r="I1744" s="9" t="str">
        <f>VLOOKUP(dynamic[productID],products[],2,FALSE)</f>
        <v>Pavlova</v>
      </c>
      <c r="J1744" s="9" t="str">
        <f>VLOOKUP(dynamic[productID],products[],12,FALSE)</f>
        <v>Confections</v>
      </c>
      <c r="K1744" s="7" t="str">
        <f>IF(VLOOKUP(dynamic[productID],products[],7,FALSE)=1,"Discontinued","Current")</f>
        <v>Current</v>
      </c>
      <c r="L1744" s="9">
        <f>VLOOKUP(dynamic[productID],products[],IF(YEAR(dynamic[orderDate])=2022,8,IF(YEAR(dynamic[orderDate])=2023,9,IF(YEAR(dynamic[orderDate])=2024,10,NA))),FALSE)</f>
        <v>12.68283974</v>
      </c>
      <c r="M1744" s="9">
        <v>17.45</v>
      </c>
      <c r="N1744" s="25">
        <f>(dynamic[orderPrice]-dynamic[productCost])/dynamic[productCost]</f>
        <v>0.3758748323</v>
      </c>
      <c r="O1744" s="10">
        <v>24.0</v>
      </c>
      <c r="P1744" s="25">
        <v>0.0</v>
      </c>
      <c r="Q1744" s="9">
        <f>dynamic[orderPrice]*dynamic[orderQuantity]</f>
        <v>418.8</v>
      </c>
      <c r="R1744" s="9">
        <f>dynamic[orderTotal]*(1-dynamic[discountApllied])</f>
        <v>418.8</v>
      </c>
      <c r="S1744" s="9">
        <f>dynamic[revenue]-(dynamic[productCost]*dynamic[orderQuantity])</f>
        <v>114.4118462</v>
      </c>
      <c r="T1744" s="25">
        <f>IFERROR(dynamic[profit]/dynamic[revenue], 0)</f>
        <v>0.2731896997</v>
      </c>
    </row>
    <row r="1745" ht="15.75" customHeight="1">
      <c r="A1745" s="6">
        <v>10919.0</v>
      </c>
      <c r="B1745" s="7" t="s">
        <v>82</v>
      </c>
      <c r="C1745" s="24" t="str">
        <f>VLOOKUP(dynamic[customerID],customers[],2,FALSE)</f>
        <v>LINO-Delicateses</v>
      </c>
      <c r="D1745" s="24">
        <v>45353.0</v>
      </c>
      <c r="E1745" s="6">
        <f>IFERROR(__xludf.DUMMYFUNCTION("COUNTUNIQUEIFS($A$2:$A1745,$B$2:$B1745,B1745)"),9.0)</f>
        <v>9</v>
      </c>
      <c r="F1745" s="6">
        <f t="shared" si="1"/>
        <v>43</v>
      </c>
      <c r="G1745" s="6" t="str">
        <f>IF(MINIFS(dynamic[orderDate], dynamic[customerID], B1745) &gt;= DATE(2024,4,30)-120, 
     "New", 
     IF(MAXIFS(dynamic[orderCount], dynamic[customerID], B1745)&lt;=2, 
        IF((DATE(2024,4,30) - MAXIFS(dynamic[orderDate], dynamic[customerID], B1745)) &gt; 180, "Non-Returning", "Dormant"), 
        IF(AND(MAX(dynamic[sinceLastOrder]) &gt; 365, (DATE(2024,4,30) - MAXIFS(dynamic[orderDate], dynamic[customerID], B1745)) &gt; 180), 
           "Dormant", "Regular")))</f>
        <v>Regular</v>
      </c>
      <c r="H1745" s="6">
        <v>25.0</v>
      </c>
      <c r="I1745" s="9" t="str">
        <f>VLOOKUP(dynamic[productID],products[],2,FALSE)</f>
        <v>HM Köstliche Kaiserschmarrn Knödelchen</v>
      </c>
      <c r="J1745" s="9" t="str">
        <f>VLOOKUP(dynamic[productID],products[],12,FALSE)</f>
        <v>Confections</v>
      </c>
      <c r="K1745" s="7" t="str">
        <f>IF(VLOOKUP(dynamic[productID],products[],7,FALSE)=1,"Discontinued","Current")</f>
        <v>Current</v>
      </c>
      <c r="L1745" s="9">
        <f>VLOOKUP(dynamic[productID],products[],IF(YEAR(dynamic[orderDate])=2022,8,IF(YEAR(dynamic[orderDate])=2023,9,IF(YEAR(dynamic[orderDate])=2024,10,NA))),FALSE)</f>
        <v>8.782270815</v>
      </c>
      <c r="M1745" s="9">
        <v>14.0</v>
      </c>
      <c r="N1745" s="25">
        <f>(dynamic[orderPrice]-dynamic[productCost])/dynamic[productCost]</f>
        <v>0.5941207342</v>
      </c>
      <c r="O1745" s="10">
        <v>24.0</v>
      </c>
      <c r="P1745" s="25">
        <v>0.0</v>
      </c>
      <c r="Q1745" s="9">
        <f>dynamic[orderPrice]*dynamic[orderQuantity]</f>
        <v>336</v>
      </c>
      <c r="R1745" s="9">
        <f>dynamic[orderTotal]*(1-dynamic[discountApllied])</f>
        <v>336</v>
      </c>
      <c r="S1745" s="9">
        <f>dynamic[revenue]-(dynamic[productCost]*dynamic[orderQuantity])</f>
        <v>125.2255004</v>
      </c>
      <c r="T1745" s="25">
        <f>IFERROR(dynamic[profit]/dynamic[revenue], 0)</f>
        <v>0.3726949418</v>
      </c>
    </row>
    <row r="1746" ht="15.75" customHeight="1">
      <c r="A1746" s="6">
        <v>10919.0</v>
      </c>
      <c r="B1746" s="7" t="s">
        <v>82</v>
      </c>
      <c r="C1746" s="24" t="str">
        <f>VLOOKUP(dynamic[customerID],customers[],2,FALSE)</f>
        <v>LINO-Delicateses</v>
      </c>
      <c r="D1746" s="24">
        <v>45353.0</v>
      </c>
      <c r="E1746" s="6">
        <f>IFERROR(__xludf.DUMMYFUNCTION("COUNTUNIQUEIFS($A$2:$A1746,$B$2:$B1746,B1746)"),9.0)</f>
        <v>9</v>
      </c>
      <c r="F1746" s="6">
        <f t="shared" si="1"/>
        <v>43</v>
      </c>
      <c r="G1746" s="6" t="str">
        <f>IF(MINIFS(dynamic[orderDate], dynamic[customerID], B1746) &gt;= DATE(2024,4,30)-120, 
     "New", 
     IF(MAXIFS(dynamic[orderCount], dynamic[customerID], B1746)&lt;=2, 
        IF((DATE(2024,4,30) - MAXIFS(dynamic[orderDate], dynamic[customerID], B1746)) &gt; 180, "Non-Returning", "Dormant"), 
        IF(AND(MAX(dynamic[sinceLastOrder]) &gt; 365, (DATE(2024,4,30) - MAXIFS(dynamic[orderDate], dynamic[customerID], B1746)) &gt; 180), 
           "Dormant", "Regular")))</f>
        <v>Regular</v>
      </c>
      <c r="H1746" s="6">
        <v>40.0</v>
      </c>
      <c r="I1746" s="9" t="str">
        <f>VLOOKUP(dynamic[productID],products[],2,FALSE)</f>
        <v>Boston Crab Meat</v>
      </c>
      <c r="J1746" s="9" t="str">
        <f>VLOOKUP(dynamic[productID],products[],12,FALSE)</f>
        <v>Seafood</v>
      </c>
      <c r="K1746" s="7" t="str">
        <f>IF(VLOOKUP(dynamic[productID],products[],7,FALSE)=1,"Discontinued","Current")</f>
        <v>Current</v>
      </c>
      <c r="L1746" s="9">
        <f>VLOOKUP(dynamic[productID],products[],IF(YEAR(dynamic[orderDate])=2022,8,IF(YEAR(dynamic[orderDate])=2023,9,IF(YEAR(dynamic[orderDate])=2024,10,NA))),FALSE)</f>
        <v>12.44307</v>
      </c>
      <c r="M1746" s="9">
        <v>18.4</v>
      </c>
      <c r="N1746" s="25">
        <f>(dynamic[orderPrice]-dynamic[productCost])/dynamic[productCost]</f>
        <v>0.4787347499</v>
      </c>
      <c r="O1746" s="10">
        <v>20.0</v>
      </c>
      <c r="P1746" s="25">
        <v>0.0</v>
      </c>
      <c r="Q1746" s="9">
        <f>dynamic[orderPrice]*dynamic[orderQuantity]</f>
        <v>368</v>
      </c>
      <c r="R1746" s="9">
        <f>dynamic[orderTotal]*(1-dynamic[discountApllied])</f>
        <v>368</v>
      </c>
      <c r="S1746" s="9">
        <f>dynamic[revenue]-(dynamic[productCost]*dynamic[orderQuantity])</f>
        <v>119.1386001</v>
      </c>
      <c r="T1746" s="25">
        <f>IFERROR(dynamic[profit]/dynamic[revenue], 0)</f>
        <v>0.3237461958</v>
      </c>
    </row>
    <row r="1747" ht="15.75" customHeight="1">
      <c r="A1747" s="6">
        <v>10920.0</v>
      </c>
      <c r="B1747" s="7" t="s">
        <v>70</v>
      </c>
      <c r="C1747" s="24" t="str">
        <f>VLOOKUP(dynamic[customerID],customers[],2,FALSE)</f>
        <v>Around the Horn</v>
      </c>
      <c r="D1747" s="24">
        <v>45354.0</v>
      </c>
      <c r="E1747" s="6">
        <f>IFERROR(__xludf.DUMMYFUNCTION("COUNTUNIQUEIFS($A$2:$A1747,$B$2:$B1747,B1747)"),11.0)</f>
        <v>11</v>
      </c>
      <c r="F1747" s="6">
        <f t="shared" si="1"/>
        <v>30</v>
      </c>
      <c r="G1747" s="6" t="str">
        <f>IF(MINIFS(dynamic[orderDate], dynamic[customerID], B1747) &gt;= DATE(2024,4,30)-120, 
     "New", 
     IF(MAXIFS(dynamic[orderCount], dynamic[customerID], B1747)&lt;=2, 
        IF((DATE(2024,4,30) - MAXIFS(dynamic[orderDate], dynamic[customerID], B1747)) &gt; 180, "Non-Returning", "Dormant"), 
        IF(AND(MAX(dynamic[sinceLastOrder]) &gt; 365, (DATE(2024,4,30) - MAXIFS(dynamic[orderDate], dynamic[customerID], B1747)) &gt; 180), 
           "Dormant", "Regular")))</f>
        <v>Regular</v>
      </c>
      <c r="H1747" s="6">
        <v>50.0</v>
      </c>
      <c r="I1747" s="9" t="str">
        <f>VLOOKUP(dynamic[productID],products[],2,FALSE)</f>
        <v>Valkoinen suklaa</v>
      </c>
      <c r="J1747" s="9" t="str">
        <f>VLOOKUP(dynamic[productID],products[],12,FALSE)</f>
        <v>Confections</v>
      </c>
      <c r="K1747" s="7" t="str">
        <f>IF(VLOOKUP(dynamic[productID],products[],7,FALSE)=1,"Discontinued","Current")</f>
        <v>Current</v>
      </c>
      <c r="L1747" s="9">
        <f>VLOOKUP(dynamic[productID],products[],IF(YEAR(dynamic[orderDate])=2022,8,IF(YEAR(dynamic[orderDate])=2023,9,IF(YEAR(dynamic[orderDate])=2024,10,NA))),FALSE)</f>
        <v>12.64292203</v>
      </c>
      <c r="M1747" s="9">
        <v>16.25</v>
      </c>
      <c r="N1747" s="25">
        <f>(dynamic[orderPrice]-dynamic[productCost])/dynamic[productCost]</f>
        <v>0.2853041375</v>
      </c>
      <c r="O1747" s="10">
        <v>24.0</v>
      </c>
      <c r="P1747" s="25">
        <v>0.0</v>
      </c>
      <c r="Q1747" s="9">
        <f>dynamic[orderPrice]*dynamic[orderQuantity]</f>
        <v>390</v>
      </c>
      <c r="R1747" s="9">
        <f>dynamic[orderTotal]*(1-dynamic[discountApllied])</f>
        <v>390</v>
      </c>
      <c r="S1747" s="9">
        <f>dynamic[revenue]-(dynamic[productCost]*dynamic[orderQuantity])</f>
        <v>86.5698712</v>
      </c>
      <c r="T1747" s="25">
        <f>IFERROR(dynamic[profit]/dynamic[revenue], 0)</f>
        <v>0.2219740287</v>
      </c>
    </row>
    <row r="1748" ht="15.75" customHeight="1">
      <c r="A1748" s="6">
        <v>10921.0</v>
      </c>
      <c r="B1748" s="7" t="s">
        <v>76</v>
      </c>
      <c r="C1748" s="24" t="str">
        <f>VLOOKUP(dynamic[customerID],customers[],2,FALSE)</f>
        <v>Vaffeljernet</v>
      </c>
      <c r="D1748" s="24">
        <v>45354.0</v>
      </c>
      <c r="E1748" s="6">
        <f>IFERROR(__xludf.DUMMYFUNCTION("COUNTUNIQUEIFS($A$2:$A1748,$B$2:$B1748,B1748)"),9.0)</f>
        <v>9</v>
      </c>
      <c r="F1748" s="6">
        <f t="shared" si="1"/>
        <v>86</v>
      </c>
      <c r="G1748" s="6" t="str">
        <f>IF(MINIFS(dynamic[orderDate], dynamic[customerID], B1748) &gt;= DATE(2024,4,30)-120, 
     "New", 
     IF(MAXIFS(dynamic[orderCount], dynamic[customerID], B1748)&lt;=2, 
        IF((DATE(2024,4,30) - MAXIFS(dynamic[orderDate], dynamic[customerID], B1748)) &gt; 180, "Non-Returning", "Dormant"), 
        IF(AND(MAX(dynamic[sinceLastOrder]) &gt; 365, (DATE(2024,4,30) - MAXIFS(dynamic[orderDate], dynamic[customerID], B1748)) &gt; 180), 
           "Dormant", "Regular")))</f>
        <v>Regular</v>
      </c>
      <c r="H1748" s="6">
        <v>35.0</v>
      </c>
      <c r="I1748" s="9" t="str">
        <f>VLOOKUP(dynamic[productID],products[],2,FALSE)</f>
        <v>Cold Brew Nitro</v>
      </c>
      <c r="J1748" s="9" t="str">
        <f>VLOOKUP(dynamic[productID],products[],12,FALSE)</f>
        <v>Beverages</v>
      </c>
      <c r="K1748" s="7" t="str">
        <f>IF(VLOOKUP(dynamic[productID],products[],7,FALSE)=1,"Discontinued","Current")</f>
        <v>Current</v>
      </c>
      <c r="L1748" s="9">
        <f>VLOOKUP(dynamic[productID],products[],IF(YEAR(dynamic[orderDate])=2022,8,IF(YEAR(dynamic[orderDate])=2023,9,IF(YEAR(dynamic[orderDate])=2024,10,NA))),FALSE)</f>
        <v>12.9261692</v>
      </c>
      <c r="M1748" s="9">
        <v>18.0</v>
      </c>
      <c r="N1748" s="25">
        <f>(dynamic[orderPrice]-dynamic[productCost])/dynamic[productCost]</f>
        <v>0.3925239355</v>
      </c>
      <c r="O1748" s="10">
        <v>10.0</v>
      </c>
      <c r="P1748" s="25">
        <v>0.0</v>
      </c>
      <c r="Q1748" s="9">
        <f>dynamic[orderPrice]*dynamic[orderQuantity]</f>
        <v>180</v>
      </c>
      <c r="R1748" s="9">
        <f>dynamic[orderTotal]*(1-dynamic[discountApllied])</f>
        <v>180</v>
      </c>
      <c r="S1748" s="9">
        <f>dynamic[revenue]-(dynamic[productCost]*dynamic[orderQuantity])</f>
        <v>50.73830804</v>
      </c>
      <c r="T1748" s="25">
        <f>IFERROR(dynamic[profit]/dynamic[revenue], 0)</f>
        <v>0.2818794891</v>
      </c>
    </row>
    <row r="1749" ht="15.75" customHeight="1">
      <c r="A1749" s="6">
        <v>10921.0</v>
      </c>
      <c r="B1749" s="7" t="s">
        <v>76</v>
      </c>
      <c r="C1749" s="24" t="str">
        <f>VLOOKUP(dynamic[customerID],customers[],2,FALSE)</f>
        <v>Vaffeljernet</v>
      </c>
      <c r="D1749" s="24">
        <v>45354.0</v>
      </c>
      <c r="E1749" s="6">
        <f>IFERROR(__xludf.DUMMYFUNCTION("COUNTUNIQUEIFS($A$2:$A1749,$B$2:$B1749,B1749)"),9.0)</f>
        <v>9</v>
      </c>
      <c r="F1749" s="6">
        <f t="shared" si="1"/>
        <v>86</v>
      </c>
      <c r="G1749" s="6" t="str">
        <f>IF(MINIFS(dynamic[orderDate], dynamic[customerID], B1749) &gt;= DATE(2024,4,30)-120, 
     "New", 
     IF(MAXIFS(dynamic[orderCount], dynamic[customerID], B1749)&lt;=2, 
        IF((DATE(2024,4,30) - MAXIFS(dynamic[orderDate], dynamic[customerID], B1749)) &gt; 180, "Non-Returning", "Dormant"), 
        IF(AND(MAX(dynamic[sinceLastOrder]) &gt; 365, (DATE(2024,4,30) - MAXIFS(dynamic[orderDate], dynamic[customerID], B1749)) &gt; 180), 
           "Dormant", "Regular")))</f>
        <v>Regular</v>
      </c>
      <c r="H1749" s="6">
        <v>63.0</v>
      </c>
      <c r="I1749" s="9" t="str">
        <f>VLOOKUP(dynamic[productID],products[],2,FALSE)</f>
        <v>Vegie-spread</v>
      </c>
      <c r="J1749" s="9" t="str">
        <f>VLOOKUP(dynamic[productID],products[],12,FALSE)</f>
        <v>Condiments</v>
      </c>
      <c r="K1749" s="7" t="str">
        <f>IF(VLOOKUP(dynamic[productID],products[],7,FALSE)=1,"Discontinued","Current")</f>
        <v>Current</v>
      </c>
      <c r="L1749" s="9">
        <f>VLOOKUP(dynamic[productID],products[],IF(YEAR(dynamic[orderDate])=2022,8,IF(YEAR(dynamic[orderDate])=2023,9,IF(YEAR(dynamic[orderDate])=2024,10,NA))),FALSE)</f>
        <v>32.59198577</v>
      </c>
      <c r="M1749" s="9">
        <v>43.9</v>
      </c>
      <c r="N1749" s="25">
        <f>(dynamic[orderPrice]-dynamic[productCost])/dynamic[productCost]</f>
        <v>0.3469568963</v>
      </c>
      <c r="O1749" s="10">
        <v>40.0</v>
      </c>
      <c r="P1749" s="25">
        <v>0.0</v>
      </c>
      <c r="Q1749" s="9">
        <f>dynamic[orderPrice]*dynamic[orderQuantity]</f>
        <v>1756</v>
      </c>
      <c r="R1749" s="9">
        <f>dynamic[orderTotal]*(1-dynamic[discountApllied])</f>
        <v>1756</v>
      </c>
      <c r="S1749" s="9">
        <f>dynamic[revenue]-(dynamic[productCost]*dynamic[orderQuantity])</f>
        <v>452.3205691</v>
      </c>
      <c r="T1749" s="25">
        <f>IFERROR(dynamic[profit]/dynamic[revenue], 0)</f>
        <v>0.2575857455</v>
      </c>
    </row>
    <row r="1750" ht="15.75" customHeight="1">
      <c r="A1750" s="6">
        <v>10922.0</v>
      </c>
      <c r="B1750" s="7" t="s">
        <v>16</v>
      </c>
      <c r="C1750" s="24" t="str">
        <f>VLOOKUP(dynamic[customerID],customers[],2,FALSE)</f>
        <v>Hanari Carnes</v>
      </c>
      <c r="D1750" s="24">
        <v>45354.0</v>
      </c>
      <c r="E1750" s="6">
        <f>IFERROR(__xludf.DUMMYFUNCTION("COUNTUNIQUEIFS($A$2:$A1750,$B$2:$B1750,B1750)"),10.0)</f>
        <v>10</v>
      </c>
      <c r="F1750" s="6">
        <f t="shared" si="1"/>
        <v>8</v>
      </c>
      <c r="G1750" s="6" t="str">
        <f>IF(MINIFS(dynamic[orderDate], dynamic[customerID], B1750) &gt;= DATE(2024,4,30)-120, 
     "New", 
     IF(MAXIFS(dynamic[orderCount], dynamic[customerID], B1750)&lt;=2, 
        IF((DATE(2024,4,30) - MAXIFS(dynamic[orderDate], dynamic[customerID], B1750)) &gt; 180, "Non-Returning", "Dormant"), 
        IF(AND(MAX(dynamic[sinceLastOrder]) &gt; 365, (DATE(2024,4,30) - MAXIFS(dynamic[orderDate], dynamic[customerID], B1750)) &gt; 180), 
           "Dormant", "Regular")))</f>
        <v>Regular</v>
      </c>
      <c r="H1750" s="6">
        <v>17.0</v>
      </c>
      <c r="I1750" s="9" t="str">
        <f>VLOOKUP(dynamic[productID],products[],2,FALSE)</f>
        <v>Alice Mutton</v>
      </c>
      <c r="J1750" s="9" t="str">
        <f>VLOOKUP(dynamic[productID],products[],12,FALSE)</f>
        <v>Meat/Poultry</v>
      </c>
      <c r="K1750" s="7" t="str">
        <f>IF(VLOOKUP(dynamic[productID],products[],7,FALSE)=1,"Discontinued","Current")</f>
        <v>Discontinued</v>
      </c>
      <c r="L1750" s="9">
        <f>VLOOKUP(dynamic[productID],products[],IF(YEAR(dynamic[orderDate])=2022,8,IF(YEAR(dynamic[orderDate])=2023,9,IF(YEAR(dynamic[orderDate])=2024,10,NA))),FALSE)</f>
        <v>28.51916263</v>
      </c>
      <c r="M1750" s="9">
        <v>39.0</v>
      </c>
      <c r="N1750" s="25">
        <f>(dynamic[orderPrice]-dynamic[productCost])/dynamic[productCost]</f>
        <v>0.3675015816</v>
      </c>
      <c r="O1750" s="10">
        <v>15.0</v>
      </c>
      <c r="P1750" s="25">
        <v>0.0</v>
      </c>
      <c r="Q1750" s="9">
        <f>dynamic[orderPrice]*dynamic[orderQuantity]</f>
        <v>585</v>
      </c>
      <c r="R1750" s="9">
        <f>dynamic[orderTotal]*(1-dynamic[discountApllied])</f>
        <v>585</v>
      </c>
      <c r="S1750" s="9">
        <f>dynamic[revenue]-(dynamic[productCost]*dynamic[orderQuantity])</f>
        <v>157.2125606</v>
      </c>
      <c r="T1750" s="25">
        <f>IFERROR(dynamic[profit]/dynamic[revenue], 0)</f>
        <v>0.2687394198</v>
      </c>
    </row>
    <row r="1751" ht="15.75" customHeight="1">
      <c r="A1751" s="6">
        <v>10922.0</v>
      </c>
      <c r="B1751" s="7" t="s">
        <v>16</v>
      </c>
      <c r="C1751" s="24" t="str">
        <f>VLOOKUP(dynamic[customerID],customers[],2,FALSE)</f>
        <v>Hanari Carnes</v>
      </c>
      <c r="D1751" s="24">
        <v>45354.0</v>
      </c>
      <c r="E1751" s="6">
        <f>IFERROR(__xludf.DUMMYFUNCTION("COUNTUNIQUEIFS($A$2:$A1751,$B$2:$B1751,B1751)"),10.0)</f>
        <v>10</v>
      </c>
      <c r="F1751" s="6">
        <f t="shared" si="1"/>
        <v>8</v>
      </c>
      <c r="G1751" s="6" t="str">
        <f>IF(MINIFS(dynamic[orderDate], dynamic[customerID], B1751) &gt;= DATE(2024,4,30)-120, 
     "New", 
     IF(MAXIFS(dynamic[orderCount], dynamic[customerID], B1751)&lt;=2, 
        IF((DATE(2024,4,30) - MAXIFS(dynamic[orderDate], dynamic[customerID], B1751)) &gt; 180, "Non-Returning", "Dormant"), 
        IF(AND(MAX(dynamic[sinceLastOrder]) &gt; 365, (DATE(2024,4,30) - MAXIFS(dynamic[orderDate], dynamic[customerID], B1751)) &gt; 180), 
           "Dormant", "Regular")))</f>
        <v>Regular</v>
      </c>
      <c r="H1751" s="6">
        <v>24.0</v>
      </c>
      <c r="I1751" s="9" t="str">
        <f>VLOOKUP(dynamic[productID],products[],2,FALSE)</f>
        <v>Brigadeiros Maravilhosos da Lilian</v>
      </c>
      <c r="J1751" s="9" t="str">
        <f>VLOOKUP(dynamic[productID],products[],12,FALSE)</f>
        <v>Confections</v>
      </c>
      <c r="K1751" s="7" t="str">
        <f>IF(VLOOKUP(dynamic[productID],products[],7,FALSE)=1,"Discontinued","Current")</f>
        <v>Discontinued</v>
      </c>
      <c r="L1751" s="9">
        <f>VLOOKUP(dynamic[productID],products[],IF(YEAR(dynamic[orderDate])=2022,8,IF(YEAR(dynamic[orderDate])=2023,9,IF(YEAR(dynamic[orderDate])=2024,10,NA))),FALSE)</f>
        <v>3.177326315</v>
      </c>
      <c r="M1751" s="9">
        <v>4.5</v>
      </c>
      <c r="N1751" s="25">
        <f>(dynamic[orderPrice]-dynamic[productCost])/dynamic[productCost]</f>
        <v>0.416285126</v>
      </c>
      <c r="O1751" s="10">
        <v>35.0</v>
      </c>
      <c r="P1751" s="25">
        <v>0.0</v>
      </c>
      <c r="Q1751" s="9">
        <f>dynamic[orderPrice]*dynamic[orderQuantity]</f>
        <v>157.5</v>
      </c>
      <c r="R1751" s="9">
        <f>dynamic[orderTotal]*(1-dynamic[discountApllied])</f>
        <v>157.5</v>
      </c>
      <c r="S1751" s="9">
        <f>dynamic[revenue]-(dynamic[productCost]*dynamic[orderQuantity])</f>
        <v>46.29357899</v>
      </c>
      <c r="T1751" s="25">
        <f>IFERROR(dynamic[profit]/dynamic[revenue], 0)</f>
        <v>0.2939274856</v>
      </c>
    </row>
    <row r="1752" ht="15.75" customHeight="1">
      <c r="A1752" s="6">
        <v>10923.0</v>
      </c>
      <c r="B1752" s="7" t="s">
        <v>68</v>
      </c>
      <c r="C1752" s="24" t="str">
        <f>VLOOKUP(dynamic[customerID],customers[],2,FALSE)</f>
        <v>La maison d'Asie</v>
      </c>
      <c r="D1752" s="24">
        <v>45354.0</v>
      </c>
      <c r="E1752" s="6">
        <f>IFERROR(__xludf.DUMMYFUNCTION("COUNTUNIQUEIFS($A$2:$A1752,$B$2:$B1752,B1752)"),13.0)</f>
        <v>13</v>
      </c>
      <c r="F1752" s="6">
        <f t="shared" si="1"/>
        <v>49</v>
      </c>
      <c r="G1752" s="6" t="str">
        <f>IF(MINIFS(dynamic[orderDate], dynamic[customerID], B1752) &gt;= DATE(2024,4,30)-120, 
     "New", 
     IF(MAXIFS(dynamic[orderCount], dynamic[customerID], B1752)&lt;=2, 
        IF((DATE(2024,4,30) - MAXIFS(dynamic[orderDate], dynamic[customerID], B1752)) &gt; 180, "Non-Returning", "Dormant"), 
        IF(AND(MAX(dynamic[sinceLastOrder]) &gt; 365, (DATE(2024,4,30) - MAXIFS(dynamic[orderDate], dynamic[customerID], B1752)) &gt; 180), 
           "Dormant", "Regular")))</f>
        <v>Regular</v>
      </c>
      <c r="H1752" s="6">
        <v>42.0</v>
      </c>
      <c r="I1752" s="9" t="str">
        <f>VLOOKUP(dynamic[productID],products[],2,FALSE)</f>
        <v>Singaporean Hokkien Fried Mee</v>
      </c>
      <c r="J1752" s="9" t="str">
        <f>VLOOKUP(dynamic[productID],products[],12,FALSE)</f>
        <v>Grains/Cereals</v>
      </c>
      <c r="K1752" s="7" t="str">
        <f>IF(VLOOKUP(dynamic[productID],products[],7,FALSE)=1,"Discontinued","Current")</f>
        <v>Discontinued</v>
      </c>
      <c r="L1752" s="9">
        <f>VLOOKUP(dynamic[productID],products[],IF(YEAR(dynamic[orderDate])=2022,8,IF(YEAR(dynamic[orderDate])=2023,9,IF(YEAR(dynamic[orderDate])=2024,10,NA))),FALSE)</f>
        <v>9.64736714</v>
      </c>
      <c r="M1752" s="9">
        <v>14.0</v>
      </c>
      <c r="N1752" s="25">
        <f>(dynamic[orderPrice]-dynamic[productCost])/dynamic[productCost]</f>
        <v>0.4511731333</v>
      </c>
      <c r="O1752" s="10">
        <v>10.0</v>
      </c>
      <c r="P1752" s="25">
        <v>0.2</v>
      </c>
      <c r="Q1752" s="9">
        <f>dynamic[orderPrice]*dynamic[orderQuantity]</f>
        <v>140</v>
      </c>
      <c r="R1752" s="9">
        <f>dynamic[orderTotal]*(1-dynamic[discountApllied])</f>
        <v>112</v>
      </c>
      <c r="S1752" s="9">
        <f>dynamic[revenue]-(dynamic[productCost]*dynamic[orderQuantity])</f>
        <v>15.5263286</v>
      </c>
      <c r="T1752" s="25">
        <f>IFERROR(dynamic[profit]/dynamic[revenue], 0)</f>
        <v>0.138627934</v>
      </c>
    </row>
    <row r="1753" ht="15.75" customHeight="1">
      <c r="A1753" s="6">
        <v>10923.0</v>
      </c>
      <c r="B1753" s="7" t="s">
        <v>68</v>
      </c>
      <c r="C1753" s="24" t="str">
        <f>VLOOKUP(dynamic[customerID],customers[],2,FALSE)</f>
        <v>La maison d'Asie</v>
      </c>
      <c r="D1753" s="24">
        <v>45354.0</v>
      </c>
      <c r="E1753" s="6">
        <f>IFERROR(__xludf.DUMMYFUNCTION("COUNTUNIQUEIFS($A$2:$A1753,$B$2:$B1753,B1753)"),13.0)</f>
        <v>13</v>
      </c>
      <c r="F1753" s="6">
        <f t="shared" si="1"/>
        <v>49</v>
      </c>
      <c r="G1753" s="6" t="str">
        <f>IF(MINIFS(dynamic[orderDate], dynamic[customerID], B1753) &gt;= DATE(2024,4,30)-120, 
     "New", 
     IF(MAXIFS(dynamic[orderCount], dynamic[customerID], B1753)&lt;=2, 
        IF((DATE(2024,4,30) - MAXIFS(dynamic[orderDate], dynamic[customerID], B1753)) &gt; 180, "Non-Returning", "Dormant"), 
        IF(AND(MAX(dynamic[sinceLastOrder]) &gt; 365, (DATE(2024,4,30) - MAXIFS(dynamic[orderDate], dynamic[customerID], B1753)) &gt; 180), 
           "Dormant", "Regular")))</f>
        <v>Regular</v>
      </c>
      <c r="H1753" s="6">
        <v>43.0</v>
      </c>
      <c r="I1753" s="9" t="str">
        <f>VLOOKUP(dynamic[productID],products[],2,FALSE)</f>
        <v>Ipoh Coffee</v>
      </c>
      <c r="J1753" s="9" t="str">
        <f>VLOOKUP(dynamic[productID],products[],12,FALSE)</f>
        <v>Beverages</v>
      </c>
      <c r="K1753" s="7" t="str">
        <f>IF(VLOOKUP(dynamic[productID],products[],7,FALSE)=1,"Discontinued","Current")</f>
        <v>Current</v>
      </c>
      <c r="L1753" s="9">
        <f>VLOOKUP(dynamic[productID],products[],IF(YEAR(dynamic[orderDate])=2022,8,IF(YEAR(dynamic[orderDate])=2023,9,IF(YEAR(dynamic[orderDate])=2024,10,NA))),FALSE)</f>
        <v>30.97984738</v>
      </c>
      <c r="M1753" s="9">
        <v>46.0</v>
      </c>
      <c r="N1753" s="25">
        <f>(dynamic[orderPrice]-dynamic[productCost])/dynamic[productCost]</f>
        <v>0.484836237</v>
      </c>
      <c r="O1753" s="10">
        <v>10.0</v>
      </c>
      <c r="P1753" s="25">
        <v>0.2</v>
      </c>
      <c r="Q1753" s="9">
        <f>dynamic[orderPrice]*dynamic[orderQuantity]</f>
        <v>460</v>
      </c>
      <c r="R1753" s="9">
        <f>dynamic[orderTotal]*(1-dynamic[discountApllied])</f>
        <v>368</v>
      </c>
      <c r="S1753" s="9">
        <f>dynamic[revenue]-(dynamic[productCost]*dynamic[orderQuantity])</f>
        <v>58.20152625</v>
      </c>
      <c r="T1753" s="25">
        <f>IFERROR(dynamic[profit]/dynamic[revenue], 0)</f>
        <v>0.1581563213</v>
      </c>
    </row>
    <row r="1754" ht="15.75" customHeight="1">
      <c r="A1754" s="6">
        <v>10923.0</v>
      </c>
      <c r="B1754" s="7" t="s">
        <v>68</v>
      </c>
      <c r="C1754" s="24" t="str">
        <f>VLOOKUP(dynamic[customerID],customers[],2,FALSE)</f>
        <v>La maison d'Asie</v>
      </c>
      <c r="D1754" s="24">
        <v>45354.0</v>
      </c>
      <c r="E1754" s="6">
        <f>IFERROR(__xludf.DUMMYFUNCTION("COUNTUNIQUEIFS($A$2:$A1754,$B$2:$B1754,B1754)"),13.0)</f>
        <v>13</v>
      </c>
      <c r="F1754" s="6">
        <f t="shared" si="1"/>
        <v>49</v>
      </c>
      <c r="G1754" s="6" t="str">
        <f>IF(MINIFS(dynamic[orderDate], dynamic[customerID], B1754) &gt;= DATE(2024,4,30)-120, 
     "New", 
     IF(MAXIFS(dynamic[orderCount], dynamic[customerID], B1754)&lt;=2, 
        IF((DATE(2024,4,30) - MAXIFS(dynamic[orderDate], dynamic[customerID], B1754)) &gt; 180, "Non-Returning", "Dormant"), 
        IF(AND(MAX(dynamic[sinceLastOrder]) &gt; 365, (DATE(2024,4,30) - MAXIFS(dynamic[orderDate], dynamic[customerID], B1754)) &gt; 180), 
           "Dormant", "Regular")))</f>
        <v>Regular</v>
      </c>
      <c r="H1754" s="6">
        <v>67.0</v>
      </c>
      <c r="I1754" s="9" t="str">
        <f>VLOOKUP(dynamic[productID],products[],2,FALSE)</f>
        <v>Laughing Lumberjack Lager</v>
      </c>
      <c r="J1754" s="9" t="str">
        <f>VLOOKUP(dynamic[productID],products[],12,FALSE)</f>
        <v>Beverages</v>
      </c>
      <c r="K1754" s="7" t="str">
        <f>IF(VLOOKUP(dynamic[productID],products[],7,FALSE)=1,"Discontinued","Current")</f>
        <v>Current</v>
      </c>
      <c r="L1754" s="9">
        <f>VLOOKUP(dynamic[productID],products[],IF(YEAR(dynamic[orderDate])=2022,8,IF(YEAR(dynamic[orderDate])=2023,9,IF(YEAR(dynamic[orderDate])=2024,10,NA))),FALSE)</f>
        <v>9.443192754</v>
      </c>
      <c r="M1754" s="9">
        <v>14.0</v>
      </c>
      <c r="N1754" s="25">
        <f>(dynamic[orderPrice]-dynamic[productCost])/dynamic[productCost]</f>
        <v>0.4825494263</v>
      </c>
      <c r="O1754" s="10">
        <v>24.0</v>
      </c>
      <c r="P1754" s="25">
        <v>0.2</v>
      </c>
      <c r="Q1754" s="9">
        <f>dynamic[orderPrice]*dynamic[orderQuantity]</f>
        <v>336</v>
      </c>
      <c r="R1754" s="9">
        <f>dynamic[orderTotal]*(1-dynamic[discountApllied])</f>
        <v>268.8</v>
      </c>
      <c r="S1754" s="9">
        <f>dynamic[revenue]-(dynamic[productCost]*dynamic[orderQuantity])</f>
        <v>42.1633739</v>
      </c>
      <c r="T1754" s="25">
        <f>IFERROR(dynamic[profit]/dynamic[revenue], 0)</f>
        <v>0.1568577898</v>
      </c>
    </row>
    <row r="1755" ht="15.75" customHeight="1">
      <c r="A1755" s="6">
        <v>10924.0</v>
      </c>
      <c r="B1755" s="7" t="s">
        <v>40</v>
      </c>
      <c r="C1755" s="24" t="str">
        <f>VLOOKUP(dynamic[customerID],customers[],2,FALSE)</f>
        <v>Berglunds snabbköp</v>
      </c>
      <c r="D1755" s="24">
        <v>45355.0</v>
      </c>
      <c r="E1755" s="6">
        <f>IFERROR(__xludf.DUMMYFUNCTION("COUNTUNIQUEIFS($A$2:$A1755,$B$2:$B1755,B1755)"),18.0)</f>
        <v>18</v>
      </c>
      <c r="F1755" s="6">
        <f t="shared" si="1"/>
        <v>27</v>
      </c>
      <c r="G1755" s="6" t="str">
        <f>IF(MINIFS(dynamic[orderDate], dynamic[customerID], B1755) &gt;= DATE(2024,4,30)-120, 
     "New", 
     IF(MAXIFS(dynamic[orderCount], dynamic[customerID], B1755)&lt;=2, 
        IF((DATE(2024,4,30) - MAXIFS(dynamic[orderDate], dynamic[customerID], B1755)) &gt; 180, "Non-Returning", "Dormant"), 
        IF(AND(MAX(dynamic[sinceLastOrder]) &gt; 365, (DATE(2024,4,30) - MAXIFS(dynamic[orderDate], dynamic[customerID], B1755)) &gt; 180), 
           "Dormant", "Regular")))</f>
        <v>Regular</v>
      </c>
      <c r="H1755" s="6">
        <v>10.0</v>
      </c>
      <c r="I1755" s="9" t="str">
        <f>VLOOKUP(dynamic[productID],products[],2,FALSE)</f>
        <v>Ikura</v>
      </c>
      <c r="J1755" s="9" t="str">
        <f>VLOOKUP(dynamic[productID],products[],12,FALSE)</f>
        <v>Seafood</v>
      </c>
      <c r="K1755" s="7" t="str">
        <f>IF(VLOOKUP(dynamic[productID],products[],7,FALSE)=1,"Discontinued","Current")</f>
        <v>Current</v>
      </c>
      <c r="L1755" s="9">
        <f>VLOOKUP(dynamic[productID],products[],IF(YEAR(dynamic[orderDate])=2022,8,IF(YEAR(dynamic[orderDate])=2023,9,IF(YEAR(dynamic[orderDate])=2024,10,NA))),FALSE)</f>
        <v>20.90394627</v>
      </c>
      <c r="M1755" s="9">
        <v>31.0</v>
      </c>
      <c r="N1755" s="25">
        <f>(dynamic[orderPrice]-dynamic[productCost])/dynamic[productCost]</f>
        <v>0.4829735786</v>
      </c>
      <c r="O1755" s="10">
        <v>20.0</v>
      </c>
      <c r="P1755" s="25">
        <v>0.1</v>
      </c>
      <c r="Q1755" s="9">
        <f>dynamic[orderPrice]*dynamic[orderQuantity]</f>
        <v>620</v>
      </c>
      <c r="R1755" s="9">
        <f>dynamic[orderTotal]*(1-dynamic[discountApllied])</f>
        <v>558</v>
      </c>
      <c r="S1755" s="9">
        <f>dynamic[revenue]-(dynamic[productCost]*dynamic[orderQuantity])</f>
        <v>139.9210747</v>
      </c>
      <c r="T1755" s="25">
        <f>IFERROR(dynamic[profit]/dynamic[revenue], 0)</f>
        <v>0.2507546141</v>
      </c>
    </row>
    <row r="1756" ht="15.75" customHeight="1">
      <c r="A1756" s="6">
        <v>10924.0</v>
      </c>
      <c r="B1756" s="7" t="s">
        <v>40</v>
      </c>
      <c r="C1756" s="24" t="str">
        <f>VLOOKUP(dynamic[customerID],customers[],2,FALSE)</f>
        <v>Berglunds snabbköp</v>
      </c>
      <c r="D1756" s="24">
        <v>45355.0</v>
      </c>
      <c r="E1756" s="6">
        <f>IFERROR(__xludf.DUMMYFUNCTION("COUNTUNIQUEIFS($A$2:$A1756,$B$2:$B1756,B1756)"),18.0)</f>
        <v>18</v>
      </c>
      <c r="F1756" s="6">
        <f t="shared" si="1"/>
        <v>27</v>
      </c>
      <c r="G1756" s="6" t="str">
        <f>IF(MINIFS(dynamic[orderDate], dynamic[customerID], B1756) &gt;= DATE(2024,4,30)-120, 
     "New", 
     IF(MAXIFS(dynamic[orderCount], dynamic[customerID], B1756)&lt;=2, 
        IF((DATE(2024,4,30) - MAXIFS(dynamic[orderDate], dynamic[customerID], B1756)) &gt; 180, "Non-Returning", "Dormant"), 
        IF(AND(MAX(dynamic[sinceLastOrder]) &gt; 365, (DATE(2024,4,30) - MAXIFS(dynamic[orderDate], dynamic[customerID], B1756)) &gt; 180), 
           "Dormant", "Regular")))</f>
        <v>Regular</v>
      </c>
      <c r="H1756" s="6">
        <v>28.0</v>
      </c>
      <c r="I1756" s="9" t="str">
        <f>VLOOKUP(dynamic[productID],products[],2,FALSE)</f>
        <v>Rössle Sauerkraut</v>
      </c>
      <c r="J1756" s="9" t="str">
        <f>VLOOKUP(dynamic[productID],products[],12,FALSE)</f>
        <v>Produce</v>
      </c>
      <c r="K1756" s="7" t="str">
        <f>IF(VLOOKUP(dynamic[productID],products[],7,FALSE)=1,"Discontinued","Current")</f>
        <v>Discontinued</v>
      </c>
      <c r="L1756" s="9">
        <f>VLOOKUP(dynamic[productID],products[],IF(YEAR(dynamic[orderDate])=2022,8,IF(YEAR(dynamic[orderDate])=2023,9,IF(YEAR(dynamic[orderDate])=2024,10,NA))),FALSE)</f>
        <v>34.18502761</v>
      </c>
      <c r="M1756" s="9">
        <v>45.6</v>
      </c>
      <c r="N1756" s="25">
        <f>(dynamic[orderPrice]-dynamic[productCost])/dynamic[productCost]</f>
        <v>0.3339173079</v>
      </c>
      <c r="O1756" s="10">
        <v>30.0</v>
      </c>
      <c r="P1756" s="25">
        <v>0.1</v>
      </c>
      <c r="Q1756" s="9">
        <f>dynamic[orderPrice]*dynamic[orderQuantity]</f>
        <v>1368</v>
      </c>
      <c r="R1756" s="9">
        <f>dynamic[orderTotal]*(1-dynamic[discountApllied])</f>
        <v>1231.2</v>
      </c>
      <c r="S1756" s="9">
        <f>dynamic[revenue]-(dynamic[productCost]*dynamic[orderQuantity])</f>
        <v>205.6491717</v>
      </c>
      <c r="T1756" s="25">
        <f>IFERROR(dynamic[profit]/dynamic[revenue], 0)</f>
        <v>0.167031491</v>
      </c>
    </row>
    <row r="1757" ht="15.75" customHeight="1">
      <c r="A1757" s="6">
        <v>10924.0</v>
      </c>
      <c r="B1757" s="7" t="s">
        <v>40</v>
      </c>
      <c r="C1757" s="24" t="str">
        <f>VLOOKUP(dynamic[customerID],customers[],2,FALSE)</f>
        <v>Berglunds snabbköp</v>
      </c>
      <c r="D1757" s="24">
        <v>45355.0</v>
      </c>
      <c r="E1757" s="6">
        <f>IFERROR(__xludf.DUMMYFUNCTION("COUNTUNIQUEIFS($A$2:$A1757,$B$2:$B1757,B1757)"),18.0)</f>
        <v>18</v>
      </c>
      <c r="F1757" s="6">
        <f t="shared" si="1"/>
        <v>27</v>
      </c>
      <c r="G1757" s="6" t="str">
        <f>IF(MINIFS(dynamic[orderDate], dynamic[customerID], B1757) &gt;= DATE(2024,4,30)-120, 
     "New", 
     IF(MAXIFS(dynamic[orderCount], dynamic[customerID], B1757)&lt;=2, 
        IF((DATE(2024,4,30) - MAXIFS(dynamic[orderDate], dynamic[customerID], B1757)) &gt; 180, "Non-Returning", "Dormant"), 
        IF(AND(MAX(dynamic[sinceLastOrder]) &gt; 365, (DATE(2024,4,30) - MAXIFS(dynamic[orderDate], dynamic[customerID], B1757)) &gt; 180), 
           "Dormant", "Regular")))</f>
        <v>Regular</v>
      </c>
      <c r="H1757" s="6">
        <v>75.0</v>
      </c>
      <c r="I1757" s="9" t="str">
        <f>VLOOKUP(dynamic[productID],products[],2,FALSE)</f>
        <v>Rhönbräu Klosterbier</v>
      </c>
      <c r="J1757" s="9" t="str">
        <f>VLOOKUP(dynamic[productID],products[],12,FALSE)</f>
        <v>Beverages</v>
      </c>
      <c r="K1757" s="7" t="str">
        <f>IF(VLOOKUP(dynamic[productID],products[],7,FALSE)=1,"Discontinued","Current")</f>
        <v>Current</v>
      </c>
      <c r="L1757" s="9">
        <f>VLOOKUP(dynamic[productID],products[],IF(YEAR(dynamic[orderDate])=2022,8,IF(YEAR(dynamic[orderDate])=2023,9,IF(YEAR(dynamic[orderDate])=2024,10,NA))),FALSE)</f>
        <v>5.374051525</v>
      </c>
      <c r="M1757" s="9">
        <v>7.75</v>
      </c>
      <c r="N1757" s="25">
        <f>(dynamic[orderPrice]-dynamic[productCost])/dynamic[productCost]</f>
        <v>0.4421149413</v>
      </c>
      <c r="O1757" s="10">
        <v>6.0</v>
      </c>
      <c r="P1757" s="25">
        <v>0.0</v>
      </c>
      <c r="Q1757" s="9">
        <f>dynamic[orderPrice]*dynamic[orderQuantity]</f>
        <v>46.5</v>
      </c>
      <c r="R1757" s="9">
        <f>dynamic[orderTotal]*(1-dynamic[discountApllied])</f>
        <v>46.5</v>
      </c>
      <c r="S1757" s="9">
        <f>dynamic[revenue]-(dynamic[productCost]*dynamic[orderQuantity])</f>
        <v>14.25569085</v>
      </c>
      <c r="T1757" s="25">
        <f>IFERROR(dynamic[profit]/dynamic[revenue], 0)</f>
        <v>0.3065739967</v>
      </c>
    </row>
    <row r="1758" ht="15.75" customHeight="1">
      <c r="A1758" s="6">
        <v>10925.0</v>
      </c>
      <c r="B1758" s="7" t="s">
        <v>16</v>
      </c>
      <c r="C1758" s="24" t="str">
        <f>VLOOKUP(dynamic[customerID],customers[],2,FALSE)</f>
        <v>Hanari Carnes</v>
      </c>
      <c r="D1758" s="24">
        <v>45355.0</v>
      </c>
      <c r="E1758" s="6">
        <f>IFERROR(__xludf.DUMMYFUNCTION("COUNTUNIQUEIFS($A$2:$A1758,$B$2:$B1758,B1758)"),11.0)</f>
        <v>11</v>
      </c>
      <c r="F1758" s="6">
        <f t="shared" si="1"/>
        <v>1</v>
      </c>
      <c r="G1758" s="6" t="str">
        <f>IF(MINIFS(dynamic[orderDate], dynamic[customerID], B1758) &gt;= DATE(2024,4,30)-120, 
     "New", 
     IF(MAXIFS(dynamic[orderCount], dynamic[customerID], B1758)&lt;=2, 
        IF((DATE(2024,4,30) - MAXIFS(dynamic[orderDate], dynamic[customerID], B1758)) &gt; 180, "Non-Returning", "Dormant"), 
        IF(AND(MAX(dynamic[sinceLastOrder]) &gt; 365, (DATE(2024,4,30) - MAXIFS(dynamic[orderDate], dynamic[customerID], B1758)) &gt; 180), 
           "Dormant", "Regular")))</f>
        <v>Regular</v>
      </c>
      <c r="H1758" s="6">
        <v>36.0</v>
      </c>
      <c r="I1758" s="9" t="str">
        <f>VLOOKUP(dynamic[productID],products[],2,FALSE)</f>
        <v>Inlagd Sill</v>
      </c>
      <c r="J1758" s="9" t="str">
        <f>VLOOKUP(dynamic[productID],products[],12,FALSE)</f>
        <v>Seafood</v>
      </c>
      <c r="K1758" s="7" t="str">
        <f>IF(VLOOKUP(dynamic[productID],products[],7,FALSE)=1,"Discontinued","Current")</f>
        <v>Current</v>
      </c>
      <c r="L1758" s="9">
        <f>VLOOKUP(dynamic[productID],products[],IF(YEAR(dynamic[orderDate])=2022,8,IF(YEAR(dynamic[orderDate])=2023,9,IF(YEAR(dynamic[orderDate])=2024,10,NA))),FALSE)</f>
        <v>11.68525366</v>
      </c>
      <c r="M1758" s="9">
        <v>19.0</v>
      </c>
      <c r="N1758" s="25">
        <f>(dynamic[orderPrice]-dynamic[productCost])/dynamic[productCost]</f>
        <v>0.6259809637</v>
      </c>
      <c r="O1758" s="10">
        <v>25.0</v>
      </c>
      <c r="P1758" s="25">
        <v>0.15</v>
      </c>
      <c r="Q1758" s="9">
        <f>dynamic[orderPrice]*dynamic[orderQuantity]</f>
        <v>475</v>
      </c>
      <c r="R1758" s="9">
        <f>dynamic[orderTotal]*(1-dynamic[discountApllied])</f>
        <v>403.75</v>
      </c>
      <c r="S1758" s="9">
        <f>dynamic[revenue]-(dynamic[productCost]*dynamic[orderQuantity])</f>
        <v>111.6186586</v>
      </c>
      <c r="T1758" s="25">
        <f>IFERROR(dynamic[profit]/dynamic[revenue], 0)</f>
        <v>0.276454882</v>
      </c>
    </row>
    <row r="1759" ht="15.75" customHeight="1">
      <c r="A1759" s="6">
        <v>10925.0</v>
      </c>
      <c r="B1759" s="7" t="s">
        <v>16</v>
      </c>
      <c r="C1759" s="24" t="str">
        <f>VLOOKUP(dynamic[customerID],customers[],2,FALSE)</f>
        <v>Hanari Carnes</v>
      </c>
      <c r="D1759" s="24">
        <v>45355.0</v>
      </c>
      <c r="E1759" s="6">
        <f>IFERROR(__xludf.DUMMYFUNCTION("COUNTUNIQUEIFS($A$2:$A1759,$B$2:$B1759,B1759)"),11.0)</f>
        <v>11</v>
      </c>
      <c r="F1759" s="6">
        <f t="shared" si="1"/>
        <v>1</v>
      </c>
      <c r="G1759" s="6" t="str">
        <f>IF(MINIFS(dynamic[orderDate], dynamic[customerID], B1759) &gt;= DATE(2024,4,30)-120, 
     "New", 
     IF(MAXIFS(dynamic[orderCount], dynamic[customerID], B1759)&lt;=2, 
        IF((DATE(2024,4,30) - MAXIFS(dynamic[orderDate], dynamic[customerID], B1759)) &gt; 180, "Non-Returning", "Dormant"), 
        IF(AND(MAX(dynamic[sinceLastOrder]) &gt; 365, (DATE(2024,4,30) - MAXIFS(dynamic[orderDate], dynamic[customerID], B1759)) &gt; 180), 
           "Dormant", "Regular")))</f>
        <v>Regular</v>
      </c>
      <c r="H1759" s="6">
        <v>52.0</v>
      </c>
      <c r="I1759" s="9" t="str">
        <f>VLOOKUP(dynamic[productID],products[],2,FALSE)</f>
        <v>Filo Mix</v>
      </c>
      <c r="J1759" s="9" t="str">
        <f>VLOOKUP(dynamic[productID],products[],12,FALSE)</f>
        <v>Grains/Cereals</v>
      </c>
      <c r="K1759" s="7" t="str">
        <f>IF(VLOOKUP(dynamic[productID],products[],7,FALSE)=1,"Discontinued","Current")</f>
        <v>Current</v>
      </c>
      <c r="L1759" s="9">
        <f>VLOOKUP(dynamic[productID],products[],IF(YEAR(dynamic[orderDate])=2022,8,IF(YEAR(dynamic[orderDate])=2023,9,IF(YEAR(dynamic[orderDate])=2024,10,NA))),FALSE)</f>
        <v>5.222223442</v>
      </c>
      <c r="M1759" s="9">
        <v>7.0</v>
      </c>
      <c r="N1759" s="25">
        <f>(dynamic[orderPrice]-dynamic[productCost])/dynamic[productCost]</f>
        <v>0.3404252188</v>
      </c>
      <c r="O1759" s="10">
        <v>12.0</v>
      </c>
      <c r="P1759" s="25">
        <v>0.15</v>
      </c>
      <c r="Q1759" s="9">
        <f>dynamic[orderPrice]*dynamic[orderQuantity]</f>
        <v>84</v>
      </c>
      <c r="R1759" s="9">
        <f>dynamic[orderTotal]*(1-dynamic[discountApllied])</f>
        <v>71.4</v>
      </c>
      <c r="S1759" s="9">
        <f>dynamic[revenue]-(dynamic[productCost]*dynamic[orderQuantity])</f>
        <v>8.733318695</v>
      </c>
      <c r="T1759" s="25">
        <f>IFERROR(dynamic[profit]/dynamic[revenue], 0)</f>
        <v>0.1223153879</v>
      </c>
    </row>
    <row r="1760" ht="15.75" customHeight="1">
      <c r="A1760" s="6">
        <v>10926.0</v>
      </c>
      <c r="B1760" s="7" t="s">
        <v>54</v>
      </c>
      <c r="C1760" s="24" t="str">
        <f>VLOOKUP(dynamic[customerID],customers[],2,FALSE)</f>
        <v>Ana Trujillo Emparedados y helados</v>
      </c>
      <c r="D1760" s="24">
        <v>45355.0</v>
      </c>
      <c r="E1760" s="6">
        <f>IFERROR(__xludf.DUMMYFUNCTION("COUNTUNIQUEIFS($A$2:$A1760,$B$2:$B1760,B1760)"),4.0)</f>
        <v>4</v>
      </c>
      <c r="F1760" s="6">
        <f t="shared" si="1"/>
        <v>97</v>
      </c>
      <c r="G1760" s="6" t="str">
        <f>IF(MINIFS(dynamic[orderDate], dynamic[customerID], B1760) &gt;= DATE(2024,4,30)-120, 
     "New", 
     IF(MAXIFS(dynamic[orderCount], dynamic[customerID], B1760)&lt;=2, 
        IF((DATE(2024,4,30) - MAXIFS(dynamic[orderDate], dynamic[customerID], B1760)) &gt; 180, "Non-Returning", "Dormant"), 
        IF(AND(MAX(dynamic[sinceLastOrder]) &gt; 365, (DATE(2024,4,30) - MAXIFS(dynamic[orderDate], dynamic[customerID], B1760)) &gt; 180), 
           "Dormant", "Regular")))</f>
        <v>Regular</v>
      </c>
      <c r="H1760" s="6">
        <v>11.0</v>
      </c>
      <c r="I1760" s="9" t="str">
        <f>VLOOKUP(dynamic[productID],products[],2,FALSE)</f>
        <v>Queso Cabrales</v>
      </c>
      <c r="J1760" s="9" t="str">
        <f>VLOOKUP(dynamic[productID],products[],12,FALSE)</f>
        <v>Dairy Products</v>
      </c>
      <c r="K1760" s="7" t="str">
        <f>IF(VLOOKUP(dynamic[productID],products[],7,FALSE)=1,"Discontinued","Current")</f>
        <v>Current</v>
      </c>
      <c r="L1760" s="9">
        <f>VLOOKUP(dynamic[productID],products[],IF(YEAR(dynamic[orderDate])=2022,8,IF(YEAR(dynamic[orderDate])=2023,9,IF(YEAR(dynamic[orderDate])=2024,10,NA))),FALSE)</f>
        <v>13.86836261</v>
      </c>
      <c r="M1760" s="9">
        <v>21.0</v>
      </c>
      <c r="N1760" s="25">
        <f>(dynamic[orderPrice]-dynamic[productCost])/dynamic[productCost]</f>
        <v>0.51423788</v>
      </c>
      <c r="O1760" s="10">
        <v>2.0</v>
      </c>
      <c r="P1760" s="25">
        <v>0.0</v>
      </c>
      <c r="Q1760" s="9">
        <f>dynamic[orderPrice]*dynamic[orderQuantity]</f>
        <v>42</v>
      </c>
      <c r="R1760" s="9">
        <f>dynamic[orderTotal]*(1-dynamic[discountApllied])</f>
        <v>42</v>
      </c>
      <c r="S1760" s="9">
        <f>dynamic[revenue]-(dynamic[productCost]*dynamic[orderQuantity])</f>
        <v>14.26327478</v>
      </c>
      <c r="T1760" s="25">
        <f>IFERROR(dynamic[profit]/dynamic[revenue], 0)</f>
        <v>0.3396017804</v>
      </c>
    </row>
    <row r="1761" ht="15.75" customHeight="1">
      <c r="A1761" s="6">
        <v>10926.0</v>
      </c>
      <c r="B1761" s="7" t="s">
        <v>54</v>
      </c>
      <c r="C1761" s="24" t="str">
        <f>VLOOKUP(dynamic[customerID],customers[],2,FALSE)</f>
        <v>Ana Trujillo Emparedados y helados</v>
      </c>
      <c r="D1761" s="24">
        <v>45355.0</v>
      </c>
      <c r="E1761" s="6">
        <f>IFERROR(__xludf.DUMMYFUNCTION("COUNTUNIQUEIFS($A$2:$A1761,$B$2:$B1761,B1761)"),4.0)</f>
        <v>4</v>
      </c>
      <c r="F1761" s="6">
        <f t="shared" si="1"/>
        <v>97</v>
      </c>
      <c r="G1761" s="6" t="str">
        <f>IF(MINIFS(dynamic[orderDate], dynamic[customerID], B1761) &gt;= DATE(2024,4,30)-120, 
     "New", 
     IF(MAXIFS(dynamic[orderCount], dynamic[customerID], B1761)&lt;=2, 
        IF((DATE(2024,4,30) - MAXIFS(dynamic[orderDate], dynamic[customerID], B1761)) &gt; 180, "Non-Returning", "Dormant"), 
        IF(AND(MAX(dynamic[sinceLastOrder]) &gt; 365, (DATE(2024,4,30) - MAXIFS(dynamic[orderDate], dynamic[customerID], B1761)) &gt; 180), 
           "Dormant", "Regular")))</f>
        <v>Regular</v>
      </c>
      <c r="H1761" s="6">
        <v>13.0</v>
      </c>
      <c r="I1761" s="9" t="str">
        <f>VLOOKUP(dynamic[productID],products[],2,FALSE)</f>
        <v>Konbu</v>
      </c>
      <c r="J1761" s="9" t="str">
        <f>VLOOKUP(dynamic[productID],products[],12,FALSE)</f>
        <v>Seafood</v>
      </c>
      <c r="K1761" s="7" t="str">
        <f>IF(VLOOKUP(dynamic[productID],products[],7,FALSE)=1,"Discontinued","Current")</f>
        <v>Current</v>
      </c>
      <c r="L1761" s="9">
        <f>VLOOKUP(dynamic[productID],products[],IF(YEAR(dynamic[orderDate])=2022,8,IF(YEAR(dynamic[orderDate])=2023,9,IF(YEAR(dynamic[orderDate])=2024,10,NA))),FALSE)</f>
        <v>3.966387047</v>
      </c>
      <c r="M1761" s="9">
        <v>6.0</v>
      </c>
      <c r="N1761" s="25">
        <f>(dynamic[orderPrice]-dynamic[productCost])/dynamic[productCost]</f>
        <v>0.5127116768</v>
      </c>
      <c r="O1761" s="10">
        <v>10.0</v>
      </c>
      <c r="P1761" s="25">
        <v>0.0</v>
      </c>
      <c r="Q1761" s="9">
        <f>dynamic[orderPrice]*dynamic[orderQuantity]</f>
        <v>60</v>
      </c>
      <c r="R1761" s="9">
        <f>dynamic[orderTotal]*(1-dynamic[discountApllied])</f>
        <v>60</v>
      </c>
      <c r="S1761" s="9">
        <f>dynamic[revenue]-(dynamic[productCost]*dynamic[orderQuantity])</f>
        <v>20.33612953</v>
      </c>
      <c r="T1761" s="25">
        <f>IFERROR(dynamic[profit]/dynamic[revenue], 0)</f>
        <v>0.3389354922</v>
      </c>
    </row>
    <row r="1762" ht="15.75" customHeight="1">
      <c r="A1762" s="6">
        <v>10926.0</v>
      </c>
      <c r="B1762" s="7" t="s">
        <v>54</v>
      </c>
      <c r="C1762" s="24" t="str">
        <f>VLOOKUP(dynamic[customerID],customers[],2,FALSE)</f>
        <v>Ana Trujillo Emparedados y helados</v>
      </c>
      <c r="D1762" s="24">
        <v>45355.0</v>
      </c>
      <c r="E1762" s="6">
        <f>IFERROR(__xludf.DUMMYFUNCTION("COUNTUNIQUEIFS($A$2:$A1762,$B$2:$B1762,B1762)"),4.0)</f>
        <v>4</v>
      </c>
      <c r="F1762" s="6">
        <f t="shared" si="1"/>
        <v>97</v>
      </c>
      <c r="G1762" s="6" t="str">
        <f>IF(MINIFS(dynamic[orderDate], dynamic[customerID], B1762) &gt;= DATE(2024,4,30)-120, 
     "New", 
     IF(MAXIFS(dynamic[orderCount], dynamic[customerID], B1762)&lt;=2, 
        IF((DATE(2024,4,30) - MAXIFS(dynamic[orderDate], dynamic[customerID], B1762)) &gt; 180, "Non-Returning", "Dormant"), 
        IF(AND(MAX(dynamic[sinceLastOrder]) &gt; 365, (DATE(2024,4,30) - MAXIFS(dynamic[orderDate], dynamic[customerID], B1762)) &gt; 180), 
           "Dormant", "Regular")))</f>
        <v>Regular</v>
      </c>
      <c r="H1762" s="6">
        <v>19.0</v>
      </c>
      <c r="I1762" s="9" t="str">
        <f>VLOOKUP(dynamic[productID],products[],2,FALSE)</f>
        <v>Teatime Chocolate Biscuits</v>
      </c>
      <c r="J1762" s="9" t="str">
        <f>VLOOKUP(dynamic[productID],products[],12,FALSE)</f>
        <v>Confections</v>
      </c>
      <c r="K1762" s="7" t="str">
        <f>IF(VLOOKUP(dynamic[productID],products[],7,FALSE)=1,"Discontinued","Current")</f>
        <v>Current</v>
      </c>
      <c r="L1762" s="9">
        <f>VLOOKUP(dynamic[productID],products[],IF(YEAR(dynamic[orderDate])=2022,8,IF(YEAR(dynamic[orderDate])=2023,9,IF(YEAR(dynamic[orderDate])=2024,10,NA))),FALSE)</f>
        <v>6.769656984</v>
      </c>
      <c r="M1762" s="9">
        <v>9.2</v>
      </c>
      <c r="N1762" s="25">
        <f>(dynamic[orderPrice]-dynamic[productCost])/dynamic[productCost]</f>
        <v>0.3590053413</v>
      </c>
      <c r="O1762" s="10">
        <v>7.0</v>
      </c>
      <c r="P1762" s="25">
        <v>0.0</v>
      </c>
      <c r="Q1762" s="9">
        <f>dynamic[orderPrice]*dynamic[orderQuantity]</f>
        <v>64.4</v>
      </c>
      <c r="R1762" s="9">
        <f>dynamic[orderTotal]*(1-dynamic[discountApllied])</f>
        <v>64.4</v>
      </c>
      <c r="S1762" s="9">
        <f>dynamic[revenue]-(dynamic[productCost]*dynamic[orderQuantity])</f>
        <v>17.01240111</v>
      </c>
      <c r="T1762" s="25">
        <f>IFERROR(dynamic[profit]/dynamic[revenue], 0)</f>
        <v>0.2641677191</v>
      </c>
    </row>
    <row r="1763" ht="15.75" customHeight="1">
      <c r="A1763" s="6">
        <v>10926.0</v>
      </c>
      <c r="B1763" s="7" t="s">
        <v>54</v>
      </c>
      <c r="C1763" s="24" t="str">
        <f>VLOOKUP(dynamic[customerID],customers[],2,FALSE)</f>
        <v>Ana Trujillo Emparedados y helados</v>
      </c>
      <c r="D1763" s="24">
        <v>45355.0</v>
      </c>
      <c r="E1763" s="6">
        <f>IFERROR(__xludf.DUMMYFUNCTION("COUNTUNIQUEIFS($A$2:$A1763,$B$2:$B1763,B1763)"),4.0)</f>
        <v>4</v>
      </c>
      <c r="F1763" s="6">
        <f t="shared" si="1"/>
        <v>97</v>
      </c>
      <c r="G1763" s="6" t="str">
        <f>IF(MINIFS(dynamic[orderDate], dynamic[customerID], B1763) &gt;= DATE(2024,4,30)-120, 
     "New", 
     IF(MAXIFS(dynamic[orderCount], dynamic[customerID], B1763)&lt;=2, 
        IF((DATE(2024,4,30) - MAXIFS(dynamic[orderDate], dynamic[customerID], B1763)) &gt; 180, "Non-Returning", "Dormant"), 
        IF(AND(MAX(dynamic[sinceLastOrder]) &gt; 365, (DATE(2024,4,30) - MAXIFS(dynamic[orderDate], dynamic[customerID], B1763)) &gt; 180), 
           "Dormant", "Regular")))</f>
        <v>Regular</v>
      </c>
      <c r="H1763" s="6">
        <v>72.0</v>
      </c>
      <c r="I1763" s="9" t="str">
        <f>VLOOKUP(dynamic[productID],products[],2,FALSE)</f>
        <v>Mozzarella di Giovanni</v>
      </c>
      <c r="J1763" s="9" t="str">
        <f>VLOOKUP(dynamic[productID],products[],12,FALSE)</f>
        <v>Dairy Products</v>
      </c>
      <c r="K1763" s="7" t="str">
        <f>IF(VLOOKUP(dynamic[productID],products[],7,FALSE)=1,"Discontinued","Current")</f>
        <v>Current</v>
      </c>
      <c r="L1763" s="9">
        <f>VLOOKUP(dynamic[productID],products[],IF(YEAR(dynamic[orderDate])=2022,8,IF(YEAR(dynamic[orderDate])=2023,9,IF(YEAR(dynamic[orderDate])=2024,10,NA))),FALSE)</f>
        <v>24.35057898</v>
      </c>
      <c r="M1763" s="9">
        <v>34.8</v>
      </c>
      <c r="N1763" s="25">
        <f>(dynamic[orderPrice]-dynamic[productCost])/dynamic[productCost]</f>
        <v>0.4291241297</v>
      </c>
      <c r="O1763" s="10">
        <v>10.0</v>
      </c>
      <c r="P1763" s="25">
        <v>0.0</v>
      </c>
      <c r="Q1763" s="9">
        <f>dynamic[orderPrice]*dynamic[orderQuantity]</f>
        <v>348</v>
      </c>
      <c r="R1763" s="9">
        <f>dynamic[orderTotal]*(1-dynamic[discountApllied])</f>
        <v>348</v>
      </c>
      <c r="S1763" s="9">
        <f>dynamic[revenue]-(dynamic[productCost]*dynamic[orderQuantity])</f>
        <v>104.4942102</v>
      </c>
      <c r="T1763" s="25">
        <f>IFERROR(dynamic[profit]/dynamic[revenue], 0)</f>
        <v>0.3002707188</v>
      </c>
    </row>
    <row r="1764" ht="15.75" customHeight="1">
      <c r="A1764" s="6">
        <v>10927.0</v>
      </c>
      <c r="B1764" s="7" t="s">
        <v>103</v>
      </c>
      <c r="C1764" s="24" t="str">
        <f>VLOOKUP(dynamic[customerID],customers[],2,FALSE)</f>
        <v>La corne d'abondance</v>
      </c>
      <c r="D1764" s="24">
        <v>45356.0</v>
      </c>
      <c r="E1764" s="6">
        <f>IFERROR(__xludf.DUMMYFUNCTION("COUNTUNIQUEIFS($A$2:$A1764,$B$2:$B1764,B1764)"),2.0)</f>
        <v>2</v>
      </c>
      <c r="F1764" s="6">
        <f t="shared" si="1"/>
        <v>36</v>
      </c>
      <c r="G1764" s="6" t="str">
        <f>IF(MINIFS(dynamic[orderDate], dynamic[customerID], B1764) &gt;= DATE(2024,4,30)-120, 
     "New", 
     IF(MAXIFS(dynamic[orderCount], dynamic[customerID], B1764)&lt;=2, 
        IF((DATE(2024,4,30) - MAXIFS(dynamic[orderDate], dynamic[customerID], B1764)) &gt; 180, "Non-Returning", "Dormant"), 
        IF(AND(MAX(dynamic[sinceLastOrder]) &gt; 365, (DATE(2024,4,30) - MAXIFS(dynamic[orderDate], dynamic[customerID], B1764)) &gt; 180), 
           "Dormant", "Regular")))</f>
        <v>New</v>
      </c>
      <c r="H1764" s="6">
        <v>20.0</v>
      </c>
      <c r="I1764" s="9" t="str">
        <f>VLOOKUP(dynamic[productID],products[],2,FALSE)</f>
        <v>Sir Rodney's Marmalade</v>
      </c>
      <c r="J1764" s="9" t="str">
        <f>VLOOKUP(dynamic[productID],products[],12,FALSE)</f>
        <v>Confections</v>
      </c>
      <c r="K1764" s="7" t="str">
        <f>IF(VLOOKUP(dynamic[productID],products[],7,FALSE)=1,"Discontinued","Current")</f>
        <v>Current</v>
      </c>
      <c r="L1764" s="9">
        <f>VLOOKUP(dynamic[productID],products[],IF(YEAR(dynamic[orderDate])=2022,8,IF(YEAR(dynamic[orderDate])=2023,9,IF(YEAR(dynamic[orderDate])=2024,10,NA))),FALSE)</f>
        <v>62.82537598</v>
      </c>
      <c r="M1764" s="9">
        <v>81.0</v>
      </c>
      <c r="N1764" s="25">
        <f>(dynamic[orderPrice]-dynamic[productCost])/dynamic[productCost]</f>
        <v>0.2892879468</v>
      </c>
      <c r="O1764" s="10">
        <v>5.0</v>
      </c>
      <c r="P1764" s="25">
        <v>0.0</v>
      </c>
      <c r="Q1764" s="9">
        <f>dynamic[orderPrice]*dynamic[orderQuantity]</f>
        <v>405</v>
      </c>
      <c r="R1764" s="9">
        <f>dynamic[orderTotal]*(1-dynamic[discountApllied])</f>
        <v>405</v>
      </c>
      <c r="S1764" s="9">
        <f>dynamic[revenue]-(dynamic[productCost]*dynamic[orderQuantity])</f>
        <v>90.87312012</v>
      </c>
      <c r="T1764" s="25">
        <f>IFERROR(dynamic[profit]/dynamic[revenue], 0)</f>
        <v>0.2243780744</v>
      </c>
    </row>
    <row r="1765" ht="15.75" customHeight="1">
      <c r="A1765" s="6">
        <v>10927.0</v>
      </c>
      <c r="B1765" s="7" t="s">
        <v>103</v>
      </c>
      <c r="C1765" s="24" t="str">
        <f>VLOOKUP(dynamic[customerID],customers[],2,FALSE)</f>
        <v>La corne d'abondance</v>
      </c>
      <c r="D1765" s="24">
        <v>45356.0</v>
      </c>
      <c r="E1765" s="6">
        <f>IFERROR(__xludf.DUMMYFUNCTION("COUNTUNIQUEIFS($A$2:$A1765,$B$2:$B1765,B1765)"),2.0)</f>
        <v>2</v>
      </c>
      <c r="F1765" s="6">
        <f t="shared" si="1"/>
        <v>36</v>
      </c>
      <c r="G1765" s="6" t="str">
        <f>IF(MINIFS(dynamic[orderDate], dynamic[customerID], B1765) &gt;= DATE(2024,4,30)-120, 
     "New", 
     IF(MAXIFS(dynamic[orderCount], dynamic[customerID], B1765)&lt;=2, 
        IF((DATE(2024,4,30) - MAXIFS(dynamic[orderDate], dynamic[customerID], B1765)) &gt; 180, "Non-Returning", "Dormant"), 
        IF(AND(MAX(dynamic[sinceLastOrder]) &gt; 365, (DATE(2024,4,30) - MAXIFS(dynamic[orderDate], dynamic[customerID], B1765)) &gt; 180), 
           "Dormant", "Regular")))</f>
        <v>New</v>
      </c>
      <c r="H1765" s="6">
        <v>52.0</v>
      </c>
      <c r="I1765" s="9" t="str">
        <f>VLOOKUP(dynamic[productID],products[],2,FALSE)</f>
        <v>Filo Mix</v>
      </c>
      <c r="J1765" s="9" t="str">
        <f>VLOOKUP(dynamic[productID],products[],12,FALSE)</f>
        <v>Grains/Cereals</v>
      </c>
      <c r="K1765" s="7" t="str">
        <f>IF(VLOOKUP(dynamic[productID],products[],7,FALSE)=1,"Discontinued","Current")</f>
        <v>Current</v>
      </c>
      <c r="L1765" s="9">
        <f>VLOOKUP(dynamic[productID],products[],IF(YEAR(dynamic[orderDate])=2022,8,IF(YEAR(dynamic[orderDate])=2023,9,IF(YEAR(dynamic[orderDate])=2024,10,NA))),FALSE)</f>
        <v>5.222223442</v>
      </c>
      <c r="M1765" s="9">
        <v>7.0</v>
      </c>
      <c r="N1765" s="25">
        <f>(dynamic[orderPrice]-dynamic[productCost])/dynamic[productCost]</f>
        <v>0.3404252188</v>
      </c>
      <c r="O1765" s="10">
        <v>5.0</v>
      </c>
      <c r="P1765" s="25">
        <v>0.0</v>
      </c>
      <c r="Q1765" s="9">
        <f>dynamic[orderPrice]*dynamic[orderQuantity]</f>
        <v>35</v>
      </c>
      <c r="R1765" s="9">
        <f>dynamic[orderTotal]*(1-dynamic[discountApllied])</f>
        <v>35</v>
      </c>
      <c r="S1765" s="9">
        <f>dynamic[revenue]-(dynamic[productCost]*dynamic[orderQuantity])</f>
        <v>8.88888279</v>
      </c>
      <c r="T1765" s="25">
        <f>IFERROR(dynamic[profit]/dynamic[revenue], 0)</f>
        <v>0.2539680797</v>
      </c>
    </row>
    <row r="1766" ht="15.75" customHeight="1">
      <c r="A1766" s="6">
        <v>10927.0</v>
      </c>
      <c r="B1766" s="7" t="s">
        <v>103</v>
      </c>
      <c r="C1766" s="24" t="str">
        <f>VLOOKUP(dynamic[customerID],customers[],2,FALSE)</f>
        <v>La corne d'abondance</v>
      </c>
      <c r="D1766" s="24">
        <v>45356.0</v>
      </c>
      <c r="E1766" s="6">
        <f>IFERROR(__xludf.DUMMYFUNCTION("COUNTUNIQUEIFS($A$2:$A1766,$B$2:$B1766,B1766)"),2.0)</f>
        <v>2</v>
      </c>
      <c r="F1766" s="6">
        <f t="shared" si="1"/>
        <v>36</v>
      </c>
      <c r="G1766" s="6" t="str">
        <f>IF(MINIFS(dynamic[orderDate], dynamic[customerID], B1766) &gt;= DATE(2024,4,30)-120, 
     "New", 
     IF(MAXIFS(dynamic[orderCount], dynamic[customerID], B1766)&lt;=2, 
        IF((DATE(2024,4,30) - MAXIFS(dynamic[orderDate], dynamic[customerID], B1766)) &gt; 180, "Non-Returning", "Dormant"), 
        IF(AND(MAX(dynamic[sinceLastOrder]) &gt; 365, (DATE(2024,4,30) - MAXIFS(dynamic[orderDate], dynamic[customerID], B1766)) &gt; 180), 
           "Dormant", "Regular")))</f>
        <v>New</v>
      </c>
      <c r="H1766" s="6">
        <v>76.0</v>
      </c>
      <c r="I1766" s="9" t="str">
        <f>VLOOKUP(dynamic[productID],products[],2,FALSE)</f>
        <v>Lakkalikööri</v>
      </c>
      <c r="J1766" s="9" t="str">
        <f>VLOOKUP(dynamic[productID],products[],12,FALSE)</f>
        <v>Beverages</v>
      </c>
      <c r="K1766" s="7" t="str">
        <f>IF(VLOOKUP(dynamic[productID],products[],7,FALSE)=1,"Discontinued","Current")</f>
        <v>Current</v>
      </c>
      <c r="L1766" s="9">
        <f>VLOOKUP(dynamic[productID],products[],IF(YEAR(dynamic[orderDate])=2022,8,IF(YEAR(dynamic[orderDate])=2023,9,IF(YEAR(dynamic[orderDate])=2024,10,NA))),FALSE)</f>
        <v>12.15832249</v>
      </c>
      <c r="M1766" s="9">
        <v>18.0</v>
      </c>
      <c r="N1766" s="25">
        <f>(dynamic[orderPrice]-dynamic[productCost])/dynamic[productCost]</f>
        <v>0.4804673928</v>
      </c>
      <c r="O1766" s="10">
        <v>20.0</v>
      </c>
      <c r="P1766" s="25">
        <v>0.0</v>
      </c>
      <c r="Q1766" s="9">
        <f>dynamic[orderPrice]*dynamic[orderQuantity]</f>
        <v>360</v>
      </c>
      <c r="R1766" s="9">
        <f>dynamic[orderTotal]*(1-dynamic[discountApllied])</f>
        <v>360</v>
      </c>
      <c r="S1766" s="9">
        <f>dynamic[revenue]-(dynamic[productCost]*dynamic[orderQuantity])</f>
        <v>116.8335502</v>
      </c>
      <c r="T1766" s="25">
        <f>IFERROR(dynamic[profit]/dynamic[revenue], 0)</f>
        <v>0.3245376394</v>
      </c>
    </row>
    <row r="1767" ht="15.75" customHeight="1">
      <c r="A1767" s="6">
        <v>10928.0</v>
      </c>
      <c r="B1767" s="7" t="s">
        <v>75</v>
      </c>
      <c r="C1767" s="24" t="str">
        <f>VLOOKUP(dynamic[customerID],customers[],2,FALSE)</f>
        <v>Galería del gastrónomo</v>
      </c>
      <c r="D1767" s="24">
        <v>45356.0</v>
      </c>
      <c r="E1767" s="6">
        <f>IFERROR(__xludf.DUMMYFUNCTION("COUNTUNIQUEIFS($A$2:$A1767,$B$2:$B1767,B1767)"),5.0)</f>
        <v>5</v>
      </c>
      <c r="F1767" s="6">
        <f t="shared" si="1"/>
        <v>21</v>
      </c>
      <c r="G1767" s="6" t="str">
        <f>IF(MINIFS(dynamic[orderDate], dynamic[customerID], B1767) &gt;= DATE(2024,4,30)-120, 
     "New", 
     IF(MAXIFS(dynamic[orderCount], dynamic[customerID], B1767)&lt;=2, 
        IF((DATE(2024,4,30) - MAXIFS(dynamic[orderDate], dynamic[customerID], B1767)) &gt; 180, "Non-Returning", "Dormant"), 
        IF(AND(MAX(dynamic[sinceLastOrder]) &gt; 365, (DATE(2024,4,30) - MAXIFS(dynamic[orderDate], dynamic[customerID], B1767)) &gt; 180), 
           "Dormant", "Regular")))</f>
        <v>Regular</v>
      </c>
      <c r="H1767" s="6">
        <v>47.0</v>
      </c>
      <c r="I1767" s="9" t="str">
        <f>VLOOKUP(dynamic[productID],products[],2,FALSE)</f>
        <v>Zaanse koeken</v>
      </c>
      <c r="J1767" s="9" t="str">
        <f>VLOOKUP(dynamic[productID],products[],12,FALSE)</f>
        <v>Confections</v>
      </c>
      <c r="K1767" s="7" t="str">
        <f>IF(VLOOKUP(dynamic[productID],products[],7,FALSE)=1,"Discontinued","Current")</f>
        <v>Current</v>
      </c>
      <c r="L1767" s="9">
        <f>VLOOKUP(dynamic[productID],products[],IF(YEAR(dynamic[orderDate])=2022,8,IF(YEAR(dynamic[orderDate])=2023,9,IF(YEAR(dynamic[orderDate])=2024,10,NA))),FALSE)</f>
        <v>6.635130774</v>
      </c>
      <c r="M1767" s="9">
        <v>9.5</v>
      </c>
      <c r="N1767" s="25">
        <f>(dynamic[orderPrice]-dynamic[productCost])/dynamic[productCost]</f>
        <v>0.4317728351</v>
      </c>
      <c r="O1767" s="10">
        <v>5.0</v>
      </c>
      <c r="P1767" s="25">
        <v>0.0</v>
      </c>
      <c r="Q1767" s="9">
        <f>dynamic[orderPrice]*dynamic[orderQuantity]</f>
        <v>47.5</v>
      </c>
      <c r="R1767" s="9">
        <f>dynamic[orderTotal]*(1-dynamic[discountApllied])</f>
        <v>47.5</v>
      </c>
      <c r="S1767" s="9">
        <f>dynamic[revenue]-(dynamic[productCost]*dynamic[orderQuantity])</f>
        <v>14.32434613</v>
      </c>
      <c r="T1767" s="25">
        <f>IFERROR(dynamic[profit]/dynamic[revenue], 0)</f>
        <v>0.3015651817</v>
      </c>
    </row>
    <row r="1768" ht="15.75" customHeight="1">
      <c r="A1768" s="6">
        <v>10928.0</v>
      </c>
      <c r="B1768" s="7" t="s">
        <v>75</v>
      </c>
      <c r="C1768" s="24" t="str">
        <f>VLOOKUP(dynamic[customerID],customers[],2,FALSE)</f>
        <v>Galería del gastrónomo</v>
      </c>
      <c r="D1768" s="24">
        <v>45356.0</v>
      </c>
      <c r="E1768" s="6">
        <f>IFERROR(__xludf.DUMMYFUNCTION("COUNTUNIQUEIFS($A$2:$A1768,$B$2:$B1768,B1768)"),5.0)</f>
        <v>5</v>
      </c>
      <c r="F1768" s="6">
        <f t="shared" si="1"/>
        <v>21</v>
      </c>
      <c r="G1768" s="6" t="str">
        <f>IF(MINIFS(dynamic[orderDate], dynamic[customerID], B1768) &gt;= DATE(2024,4,30)-120, 
     "New", 
     IF(MAXIFS(dynamic[orderCount], dynamic[customerID], B1768)&lt;=2, 
        IF((DATE(2024,4,30) - MAXIFS(dynamic[orderDate], dynamic[customerID], B1768)) &gt; 180, "Non-Returning", "Dormant"), 
        IF(AND(MAX(dynamic[sinceLastOrder]) &gt; 365, (DATE(2024,4,30) - MAXIFS(dynamic[orderDate], dynamic[customerID], B1768)) &gt; 180), 
           "Dormant", "Regular")))</f>
        <v>Regular</v>
      </c>
      <c r="H1768" s="6">
        <v>76.0</v>
      </c>
      <c r="I1768" s="9" t="str">
        <f>VLOOKUP(dynamic[productID],products[],2,FALSE)</f>
        <v>Lakkalikööri</v>
      </c>
      <c r="J1768" s="9" t="str">
        <f>VLOOKUP(dynamic[productID],products[],12,FALSE)</f>
        <v>Beverages</v>
      </c>
      <c r="K1768" s="7" t="str">
        <f>IF(VLOOKUP(dynamic[productID],products[],7,FALSE)=1,"Discontinued","Current")</f>
        <v>Current</v>
      </c>
      <c r="L1768" s="9">
        <f>VLOOKUP(dynamic[productID],products[],IF(YEAR(dynamic[orderDate])=2022,8,IF(YEAR(dynamic[orderDate])=2023,9,IF(YEAR(dynamic[orderDate])=2024,10,NA))),FALSE)</f>
        <v>12.15832249</v>
      </c>
      <c r="M1768" s="9">
        <v>18.0</v>
      </c>
      <c r="N1768" s="25">
        <f>(dynamic[orderPrice]-dynamic[productCost])/dynamic[productCost]</f>
        <v>0.4804673928</v>
      </c>
      <c r="O1768" s="10">
        <v>5.0</v>
      </c>
      <c r="P1768" s="25">
        <v>0.0</v>
      </c>
      <c r="Q1768" s="9">
        <f>dynamic[orderPrice]*dynamic[orderQuantity]</f>
        <v>90</v>
      </c>
      <c r="R1768" s="9">
        <f>dynamic[orderTotal]*(1-dynamic[discountApllied])</f>
        <v>90</v>
      </c>
      <c r="S1768" s="9">
        <f>dynamic[revenue]-(dynamic[productCost]*dynamic[orderQuantity])</f>
        <v>29.20838754</v>
      </c>
      <c r="T1768" s="25">
        <f>IFERROR(dynamic[profit]/dynamic[revenue], 0)</f>
        <v>0.3245376394</v>
      </c>
    </row>
    <row r="1769" ht="15.75" customHeight="1">
      <c r="A1769" s="6">
        <v>10929.0</v>
      </c>
      <c r="B1769" s="7" t="s">
        <v>32</v>
      </c>
      <c r="C1769" s="24" t="str">
        <f>VLOOKUP(dynamic[customerID],customers[],2,FALSE)</f>
        <v>Frankenversand</v>
      </c>
      <c r="D1769" s="24">
        <v>45356.0</v>
      </c>
      <c r="E1769" s="6">
        <f>IFERROR(__xludf.DUMMYFUNCTION("COUNTUNIQUEIFS($A$2:$A1769,$B$2:$B1769,B1769)"),14.0)</f>
        <v>14</v>
      </c>
      <c r="F1769" s="6">
        <f t="shared" si="1"/>
        <v>36</v>
      </c>
      <c r="G1769" s="6" t="str">
        <f>IF(MINIFS(dynamic[orderDate], dynamic[customerID], B1769) &gt;= DATE(2024,4,30)-120, 
     "New", 
     IF(MAXIFS(dynamic[orderCount], dynamic[customerID], B1769)&lt;=2, 
        IF((DATE(2024,4,30) - MAXIFS(dynamic[orderDate], dynamic[customerID], B1769)) &gt; 180, "Non-Returning", "Dormant"), 
        IF(AND(MAX(dynamic[sinceLastOrder]) &gt; 365, (DATE(2024,4,30) - MAXIFS(dynamic[orderDate], dynamic[customerID], B1769)) &gt; 180), 
           "Dormant", "Regular")))</f>
        <v>Regular</v>
      </c>
      <c r="H1769" s="6">
        <v>21.0</v>
      </c>
      <c r="I1769" s="9" t="str">
        <f>VLOOKUP(dynamic[productID],products[],2,FALSE)</f>
        <v>Sir Rodney's Scones</v>
      </c>
      <c r="J1769" s="9" t="str">
        <f>VLOOKUP(dynamic[productID],products[],12,FALSE)</f>
        <v>Confections</v>
      </c>
      <c r="K1769" s="7" t="str">
        <f>IF(VLOOKUP(dynamic[productID],products[],7,FALSE)=1,"Discontinued","Current")</f>
        <v>Current</v>
      </c>
      <c r="L1769" s="9">
        <f>VLOOKUP(dynamic[productID],products[],IF(YEAR(dynamic[orderDate])=2022,8,IF(YEAR(dynamic[orderDate])=2023,9,IF(YEAR(dynamic[orderDate])=2024,10,NA))),FALSE)</f>
        <v>7.459897593</v>
      </c>
      <c r="M1769" s="9">
        <v>10.0</v>
      </c>
      <c r="N1769" s="25">
        <f>(dynamic[orderPrice]-dynamic[productCost])/dynamic[productCost]</f>
        <v>0.3405009753</v>
      </c>
      <c r="O1769" s="10">
        <v>60.0</v>
      </c>
      <c r="P1769" s="25">
        <v>0.0</v>
      </c>
      <c r="Q1769" s="9">
        <f>dynamic[orderPrice]*dynamic[orderQuantity]</f>
        <v>600</v>
      </c>
      <c r="R1769" s="9">
        <f>dynamic[orderTotal]*(1-dynamic[discountApllied])</f>
        <v>600</v>
      </c>
      <c r="S1769" s="9">
        <f>dynamic[revenue]-(dynamic[productCost]*dynamic[orderQuantity])</f>
        <v>152.4061444</v>
      </c>
      <c r="T1769" s="25">
        <f>IFERROR(dynamic[profit]/dynamic[revenue], 0)</f>
        <v>0.2540102407</v>
      </c>
    </row>
    <row r="1770" ht="15.75" customHeight="1">
      <c r="A1770" s="6">
        <v>10929.0</v>
      </c>
      <c r="B1770" s="7" t="s">
        <v>32</v>
      </c>
      <c r="C1770" s="24" t="str">
        <f>VLOOKUP(dynamic[customerID],customers[],2,FALSE)</f>
        <v>Frankenversand</v>
      </c>
      <c r="D1770" s="24">
        <v>45356.0</v>
      </c>
      <c r="E1770" s="6">
        <f>IFERROR(__xludf.DUMMYFUNCTION("COUNTUNIQUEIFS($A$2:$A1770,$B$2:$B1770,B1770)"),14.0)</f>
        <v>14</v>
      </c>
      <c r="F1770" s="6">
        <f t="shared" si="1"/>
        <v>36</v>
      </c>
      <c r="G1770" s="6" t="str">
        <f>IF(MINIFS(dynamic[orderDate], dynamic[customerID], B1770) &gt;= DATE(2024,4,30)-120, 
     "New", 
     IF(MAXIFS(dynamic[orderCount], dynamic[customerID], B1770)&lt;=2, 
        IF((DATE(2024,4,30) - MAXIFS(dynamic[orderDate], dynamic[customerID], B1770)) &gt; 180, "Non-Returning", "Dormant"), 
        IF(AND(MAX(dynamic[sinceLastOrder]) &gt; 365, (DATE(2024,4,30) - MAXIFS(dynamic[orderDate], dynamic[customerID], B1770)) &gt; 180), 
           "Dormant", "Regular")))</f>
        <v>Regular</v>
      </c>
      <c r="H1770" s="6">
        <v>75.0</v>
      </c>
      <c r="I1770" s="9" t="str">
        <f>VLOOKUP(dynamic[productID],products[],2,FALSE)</f>
        <v>Rhönbräu Klosterbier</v>
      </c>
      <c r="J1770" s="9" t="str">
        <f>VLOOKUP(dynamic[productID],products[],12,FALSE)</f>
        <v>Beverages</v>
      </c>
      <c r="K1770" s="7" t="str">
        <f>IF(VLOOKUP(dynamic[productID],products[],7,FALSE)=1,"Discontinued","Current")</f>
        <v>Current</v>
      </c>
      <c r="L1770" s="9">
        <f>VLOOKUP(dynamic[productID],products[],IF(YEAR(dynamic[orderDate])=2022,8,IF(YEAR(dynamic[orderDate])=2023,9,IF(YEAR(dynamic[orderDate])=2024,10,NA))),FALSE)</f>
        <v>5.374051525</v>
      </c>
      <c r="M1770" s="9">
        <v>7.75</v>
      </c>
      <c r="N1770" s="25">
        <f>(dynamic[orderPrice]-dynamic[productCost])/dynamic[productCost]</f>
        <v>0.4421149413</v>
      </c>
      <c r="O1770" s="10">
        <v>49.0</v>
      </c>
      <c r="P1770" s="25">
        <v>0.0</v>
      </c>
      <c r="Q1770" s="9">
        <f>dynamic[orderPrice]*dynamic[orderQuantity]</f>
        <v>379.75</v>
      </c>
      <c r="R1770" s="9">
        <f>dynamic[orderTotal]*(1-dynamic[discountApllied])</f>
        <v>379.75</v>
      </c>
      <c r="S1770" s="9">
        <f>dynamic[revenue]-(dynamic[productCost]*dynamic[orderQuantity])</f>
        <v>116.4214753</v>
      </c>
      <c r="T1770" s="25">
        <f>IFERROR(dynamic[profit]/dynamic[revenue], 0)</f>
        <v>0.3065739967</v>
      </c>
    </row>
    <row r="1771" ht="15.75" customHeight="1">
      <c r="A1771" s="6">
        <v>10929.0</v>
      </c>
      <c r="B1771" s="7" t="s">
        <v>32</v>
      </c>
      <c r="C1771" s="24" t="str">
        <f>VLOOKUP(dynamic[customerID],customers[],2,FALSE)</f>
        <v>Frankenversand</v>
      </c>
      <c r="D1771" s="24">
        <v>45356.0</v>
      </c>
      <c r="E1771" s="6">
        <f>IFERROR(__xludf.DUMMYFUNCTION("COUNTUNIQUEIFS($A$2:$A1771,$B$2:$B1771,B1771)"),14.0)</f>
        <v>14</v>
      </c>
      <c r="F1771" s="6">
        <f t="shared" si="1"/>
        <v>36</v>
      </c>
      <c r="G1771" s="6" t="str">
        <f>IF(MINIFS(dynamic[orderDate], dynamic[customerID], B1771) &gt;= DATE(2024,4,30)-120, 
     "New", 
     IF(MAXIFS(dynamic[orderCount], dynamic[customerID], B1771)&lt;=2, 
        IF((DATE(2024,4,30) - MAXIFS(dynamic[orderDate], dynamic[customerID], B1771)) &gt; 180, "Non-Returning", "Dormant"), 
        IF(AND(MAX(dynamic[sinceLastOrder]) &gt; 365, (DATE(2024,4,30) - MAXIFS(dynamic[orderDate], dynamic[customerID], B1771)) &gt; 180), 
           "Dormant", "Regular")))</f>
        <v>Regular</v>
      </c>
      <c r="H1771" s="6">
        <v>77.0</v>
      </c>
      <c r="I1771" s="9" t="str">
        <f>VLOOKUP(dynamic[productID],products[],2,FALSE)</f>
        <v>Original Frankfurter grüne Soße</v>
      </c>
      <c r="J1771" s="9" t="str">
        <f>VLOOKUP(dynamic[productID],products[],12,FALSE)</f>
        <v>Condiments</v>
      </c>
      <c r="K1771" s="7" t="str">
        <f>IF(VLOOKUP(dynamic[productID],products[],7,FALSE)=1,"Discontinued","Current")</f>
        <v>Current</v>
      </c>
      <c r="L1771" s="9">
        <f>VLOOKUP(dynamic[productID],products[],IF(YEAR(dynamic[orderDate])=2022,8,IF(YEAR(dynamic[orderDate])=2023,9,IF(YEAR(dynamic[orderDate])=2024,10,NA))),FALSE)</f>
        <v>9.299025151</v>
      </c>
      <c r="M1771" s="9">
        <v>13.0</v>
      </c>
      <c r="N1771" s="25">
        <f>(dynamic[orderPrice]-dynamic[productCost])/dynamic[productCost]</f>
        <v>0.3979960037</v>
      </c>
      <c r="O1771" s="10">
        <v>15.0</v>
      </c>
      <c r="P1771" s="25">
        <v>0.0</v>
      </c>
      <c r="Q1771" s="9">
        <f>dynamic[orderPrice]*dynamic[orderQuantity]</f>
        <v>195</v>
      </c>
      <c r="R1771" s="9">
        <f>dynamic[orderTotal]*(1-dynamic[discountApllied])</f>
        <v>195</v>
      </c>
      <c r="S1771" s="9">
        <f>dynamic[revenue]-(dynamic[productCost]*dynamic[orderQuantity])</f>
        <v>55.51462273</v>
      </c>
      <c r="T1771" s="25">
        <f>IFERROR(dynamic[profit]/dynamic[revenue], 0)</f>
        <v>0.284690373</v>
      </c>
    </row>
    <row r="1772" ht="15.75" customHeight="1">
      <c r="A1772" s="6">
        <v>10930.0</v>
      </c>
      <c r="B1772" s="7" t="s">
        <v>19</v>
      </c>
      <c r="C1772" s="24" t="str">
        <f>VLOOKUP(dynamic[customerID],customers[],2,FALSE)</f>
        <v>Suprêmes délices</v>
      </c>
      <c r="D1772" s="24">
        <v>45357.0</v>
      </c>
      <c r="E1772" s="6">
        <f>IFERROR(__xludf.DUMMYFUNCTION("COUNTUNIQUEIFS($A$2:$A1772,$B$2:$B1772,B1772)"),10.0)</f>
        <v>10</v>
      </c>
      <c r="F1772" s="6">
        <f t="shared" si="1"/>
        <v>23</v>
      </c>
      <c r="G1772" s="6" t="str">
        <f>IF(MINIFS(dynamic[orderDate], dynamic[customerID], B1772) &gt;= DATE(2024,4,30)-120, 
     "New", 
     IF(MAXIFS(dynamic[orderCount], dynamic[customerID], B1772)&lt;=2, 
        IF((DATE(2024,4,30) - MAXIFS(dynamic[orderDate], dynamic[customerID], B1772)) &gt; 180, "Non-Returning", "Dormant"), 
        IF(AND(MAX(dynamic[sinceLastOrder]) &gt; 365, (DATE(2024,4,30) - MAXIFS(dynamic[orderDate], dynamic[customerID], B1772)) &gt; 180), 
           "Dormant", "Regular")))</f>
        <v>Regular</v>
      </c>
      <c r="H1772" s="6">
        <v>21.0</v>
      </c>
      <c r="I1772" s="9" t="str">
        <f>VLOOKUP(dynamic[productID],products[],2,FALSE)</f>
        <v>Sir Rodney's Scones</v>
      </c>
      <c r="J1772" s="9" t="str">
        <f>VLOOKUP(dynamic[productID],products[],12,FALSE)</f>
        <v>Confections</v>
      </c>
      <c r="K1772" s="7" t="str">
        <f>IF(VLOOKUP(dynamic[productID],products[],7,FALSE)=1,"Discontinued","Current")</f>
        <v>Current</v>
      </c>
      <c r="L1772" s="9">
        <f>VLOOKUP(dynamic[productID],products[],IF(YEAR(dynamic[orderDate])=2022,8,IF(YEAR(dynamic[orderDate])=2023,9,IF(YEAR(dynamic[orderDate])=2024,10,NA))),FALSE)</f>
        <v>7.459897593</v>
      </c>
      <c r="M1772" s="9">
        <v>10.0</v>
      </c>
      <c r="N1772" s="25">
        <f>(dynamic[orderPrice]-dynamic[productCost])/dynamic[productCost]</f>
        <v>0.3405009753</v>
      </c>
      <c r="O1772" s="10">
        <v>36.0</v>
      </c>
      <c r="P1772" s="25">
        <v>0.0</v>
      </c>
      <c r="Q1772" s="9">
        <f>dynamic[orderPrice]*dynamic[orderQuantity]</f>
        <v>360</v>
      </c>
      <c r="R1772" s="9">
        <f>dynamic[orderTotal]*(1-dynamic[discountApllied])</f>
        <v>360</v>
      </c>
      <c r="S1772" s="9">
        <f>dynamic[revenue]-(dynamic[productCost]*dynamic[orderQuantity])</f>
        <v>91.44368663</v>
      </c>
      <c r="T1772" s="25">
        <f>IFERROR(dynamic[profit]/dynamic[revenue], 0)</f>
        <v>0.2540102407</v>
      </c>
    </row>
    <row r="1773" ht="15.75" customHeight="1">
      <c r="A1773" s="6">
        <v>10930.0</v>
      </c>
      <c r="B1773" s="7" t="s">
        <v>19</v>
      </c>
      <c r="C1773" s="24" t="str">
        <f>VLOOKUP(dynamic[customerID],customers[],2,FALSE)</f>
        <v>Suprêmes délices</v>
      </c>
      <c r="D1773" s="24">
        <v>45357.0</v>
      </c>
      <c r="E1773" s="6">
        <f>IFERROR(__xludf.DUMMYFUNCTION("COUNTUNIQUEIFS($A$2:$A1773,$B$2:$B1773,B1773)"),10.0)</f>
        <v>10</v>
      </c>
      <c r="F1773" s="6">
        <f t="shared" si="1"/>
        <v>23</v>
      </c>
      <c r="G1773" s="6" t="str">
        <f>IF(MINIFS(dynamic[orderDate], dynamic[customerID], B1773) &gt;= DATE(2024,4,30)-120, 
     "New", 
     IF(MAXIFS(dynamic[orderCount], dynamic[customerID], B1773)&lt;=2, 
        IF((DATE(2024,4,30) - MAXIFS(dynamic[orderDate], dynamic[customerID], B1773)) &gt; 180, "Non-Returning", "Dormant"), 
        IF(AND(MAX(dynamic[sinceLastOrder]) &gt; 365, (DATE(2024,4,30) - MAXIFS(dynamic[orderDate], dynamic[customerID], B1773)) &gt; 180), 
           "Dormant", "Regular")))</f>
        <v>Regular</v>
      </c>
      <c r="H1773" s="6">
        <v>27.0</v>
      </c>
      <c r="I1773" s="9" t="str">
        <f>VLOOKUP(dynamic[productID],products[],2,FALSE)</f>
        <v>Schoggi Schokolade</v>
      </c>
      <c r="J1773" s="9" t="str">
        <f>VLOOKUP(dynamic[productID],products[],12,FALSE)</f>
        <v>Confections</v>
      </c>
      <c r="K1773" s="7" t="str">
        <f>IF(VLOOKUP(dynamic[productID],products[],7,FALSE)=1,"Discontinued","Current")</f>
        <v>Current</v>
      </c>
      <c r="L1773" s="9">
        <f>VLOOKUP(dynamic[productID],products[],IF(YEAR(dynamic[orderDate])=2022,8,IF(YEAR(dynamic[orderDate])=2023,9,IF(YEAR(dynamic[orderDate])=2024,10,NA))),FALSE)</f>
        <v>33.69297986</v>
      </c>
      <c r="M1773" s="9">
        <v>43.9</v>
      </c>
      <c r="N1773" s="25">
        <f>(dynamic[orderPrice]-dynamic[productCost])/dynamic[productCost]</f>
        <v>0.3029420426</v>
      </c>
      <c r="O1773" s="10">
        <v>25.0</v>
      </c>
      <c r="P1773" s="25">
        <v>0.0</v>
      </c>
      <c r="Q1773" s="9">
        <f>dynamic[orderPrice]*dynamic[orderQuantity]</f>
        <v>1097.5</v>
      </c>
      <c r="R1773" s="9">
        <f>dynamic[orderTotal]*(1-dynamic[discountApllied])</f>
        <v>1097.5</v>
      </c>
      <c r="S1773" s="9">
        <f>dynamic[revenue]-(dynamic[productCost]*dynamic[orderQuantity])</f>
        <v>255.1755035</v>
      </c>
      <c r="T1773" s="25">
        <f>IFERROR(dynamic[profit]/dynamic[revenue], 0)</f>
        <v>0.2325061535</v>
      </c>
    </row>
    <row r="1774" ht="15.75" customHeight="1">
      <c r="A1774" s="6">
        <v>10930.0</v>
      </c>
      <c r="B1774" s="7" t="s">
        <v>19</v>
      </c>
      <c r="C1774" s="24" t="str">
        <f>VLOOKUP(dynamic[customerID],customers[],2,FALSE)</f>
        <v>Suprêmes délices</v>
      </c>
      <c r="D1774" s="24">
        <v>45357.0</v>
      </c>
      <c r="E1774" s="6">
        <f>IFERROR(__xludf.DUMMYFUNCTION("COUNTUNIQUEIFS($A$2:$A1774,$B$2:$B1774,B1774)"),10.0)</f>
        <v>10</v>
      </c>
      <c r="F1774" s="6">
        <f t="shared" si="1"/>
        <v>23</v>
      </c>
      <c r="G1774" s="6" t="str">
        <f>IF(MINIFS(dynamic[orderDate], dynamic[customerID], B1774) &gt;= DATE(2024,4,30)-120, 
     "New", 
     IF(MAXIFS(dynamic[orderCount], dynamic[customerID], B1774)&lt;=2, 
        IF((DATE(2024,4,30) - MAXIFS(dynamic[orderDate], dynamic[customerID], B1774)) &gt; 180, "Non-Returning", "Dormant"), 
        IF(AND(MAX(dynamic[sinceLastOrder]) &gt; 365, (DATE(2024,4,30) - MAXIFS(dynamic[orderDate], dynamic[customerID], B1774)) &gt; 180), 
           "Dormant", "Regular")))</f>
        <v>Regular</v>
      </c>
      <c r="H1774" s="6">
        <v>55.0</v>
      </c>
      <c r="I1774" s="9" t="str">
        <f>VLOOKUP(dynamic[productID],products[],2,FALSE)</f>
        <v>Pâté chinois</v>
      </c>
      <c r="J1774" s="9" t="str">
        <f>VLOOKUP(dynamic[productID],products[],12,FALSE)</f>
        <v>Meat/Poultry</v>
      </c>
      <c r="K1774" s="7" t="str">
        <f>IF(VLOOKUP(dynamic[productID],products[],7,FALSE)=1,"Discontinued","Current")</f>
        <v>Current</v>
      </c>
      <c r="L1774" s="9">
        <f>VLOOKUP(dynamic[productID],products[],IF(YEAR(dynamic[orderDate])=2022,8,IF(YEAR(dynamic[orderDate])=2023,9,IF(YEAR(dynamic[orderDate])=2024,10,NA))),FALSE)</f>
        <v>16.95998522</v>
      </c>
      <c r="M1774" s="9">
        <v>24.0</v>
      </c>
      <c r="N1774" s="25">
        <f>(dynamic[orderPrice]-dynamic[productCost])/dynamic[productCost]</f>
        <v>0.4150955727</v>
      </c>
      <c r="O1774" s="10">
        <v>25.0</v>
      </c>
      <c r="P1774" s="25">
        <v>0.2</v>
      </c>
      <c r="Q1774" s="9">
        <f>dynamic[orderPrice]*dynamic[orderQuantity]</f>
        <v>600</v>
      </c>
      <c r="R1774" s="9">
        <f>dynamic[orderTotal]*(1-dynamic[discountApllied])</f>
        <v>480</v>
      </c>
      <c r="S1774" s="9">
        <f>dynamic[revenue]-(dynamic[productCost]*dynamic[orderQuantity])</f>
        <v>56.00036947</v>
      </c>
      <c r="T1774" s="25">
        <f>IFERROR(dynamic[profit]/dynamic[revenue], 0)</f>
        <v>0.1166674364</v>
      </c>
    </row>
    <row r="1775" ht="15.75" customHeight="1">
      <c r="A1775" s="6">
        <v>10930.0</v>
      </c>
      <c r="B1775" s="7" t="s">
        <v>19</v>
      </c>
      <c r="C1775" s="24" t="str">
        <f>VLOOKUP(dynamic[customerID],customers[],2,FALSE)</f>
        <v>Suprêmes délices</v>
      </c>
      <c r="D1775" s="24">
        <v>45357.0</v>
      </c>
      <c r="E1775" s="6">
        <f>IFERROR(__xludf.DUMMYFUNCTION("COUNTUNIQUEIFS($A$2:$A1775,$B$2:$B1775,B1775)"),10.0)</f>
        <v>10</v>
      </c>
      <c r="F1775" s="6">
        <f t="shared" si="1"/>
        <v>23</v>
      </c>
      <c r="G1775" s="6" t="str">
        <f>IF(MINIFS(dynamic[orderDate], dynamic[customerID], B1775) &gt;= DATE(2024,4,30)-120, 
     "New", 
     IF(MAXIFS(dynamic[orderCount], dynamic[customerID], B1775)&lt;=2, 
        IF((DATE(2024,4,30) - MAXIFS(dynamic[orderDate], dynamic[customerID], B1775)) &gt; 180, "Non-Returning", "Dormant"), 
        IF(AND(MAX(dynamic[sinceLastOrder]) &gt; 365, (DATE(2024,4,30) - MAXIFS(dynamic[orderDate], dynamic[customerID], B1775)) &gt; 180), 
           "Dormant", "Regular")))</f>
        <v>Regular</v>
      </c>
      <c r="H1775" s="6">
        <v>58.0</v>
      </c>
      <c r="I1775" s="9" t="str">
        <f>VLOOKUP(dynamic[productID],products[],2,FALSE)</f>
        <v>Escargots de Bourgogne</v>
      </c>
      <c r="J1775" s="9" t="str">
        <f>VLOOKUP(dynamic[productID],products[],12,FALSE)</f>
        <v>Seafood</v>
      </c>
      <c r="K1775" s="7" t="str">
        <f>IF(VLOOKUP(dynamic[productID],products[],7,FALSE)=1,"Discontinued","Current")</f>
        <v>Current</v>
      </c>
      <c r="L1775" s="9">
        <f>VLOOKUP(dynamic[productID],products[],IF(YEAR(dynamic[orderDate])=2022,8,IF(YEAR(dynamic[orderDate])=2023,9,IF(YEAR(dynamic[orderDate])=2024,10,NA))),FALSE)</f>
        <v>8.683102193</v>
      </c>
      <c r="M1775" s="9">
        <v>13.25</v>
      </c>
      <c r="N1775" s="25">
        <f>(dynamic[orderPrice]-dynamic[productCost])/dynamic[productCost]</f>
        <v>0.5259523274</v>
      </c>
      <c r="O1775" s="10">
        <v>30.0</v>
      </c>
      <c r="P1775" s="25">
        <v>0.2</v>
      </c>
      <c r="Q1775" s="9">
        <f>dynamic[orderPrice]*dynamic[orderQuantity]</f>
        <v>397.5</v>
      </c>
      <c r="R1775" s="9">
        <f>dynamic[orderTotal]*(1-dynamic[discountApllied])</f>
        <v>318</v>
      </c>
      <c r="S1775" s="9">
        <f>dynamic[revenue]-(dynamic[productCost]*dynamic[orderQuantity])</f>
        <v>57.50693422</v>
      </c>
      <c r="T1775" s="25">
        <f>IFERROR(dynamic[profit]/dynamic[revenue], 0)</f>
        <v>0.1808394158</v>
      </c>
    </row>
    <row r="1776" ht="15.75" customHeight="1">
      <c r="A1776" s="6">
        <v>10931.0</v>
      </c>
      <c r="B1776" s="7" t="s">
        <v>21</v>
      </c>
      <c r="C1776" s="24" t="str">
        <f>VLOOKUP(dynamic[customerID],customers[],2,FALSE)</f>
        <v>Richter Supermarkt</v>
      </c>
      <c r="D1776" s="24">
        <v>45357.0</v>
      </c>
      <c r="E1776" s="6">
        <f>IFERROR(__xludf.DUMMYFUNCTION("COUNTUNIQUEIFS($A$2:$A1776,$B$2:$B1776,B1776)"),7.0)</f>
        <v>7</v>
      </c>
      <c r="F1776" s="6">
        <f t="shared" si="1"/>
        <v>99</v>
      </c>
      <c r="G1776" s="6" t="str">
        <f>IF(MINIFS(dynamic[orderDate], dynamic[customerID], B1776) &gt;= DATE(2024,4,30)-120, 
     "New", 
     IF(MAXIFS(dynamic[orderCount], dynamic[customerID], B1776)&lt;=2, 
        IF((DATE(2024,4,30) - MAXIFS(dynamic[orderDate], dynamic[customerID], B1776)) &gt; 180, "Non-Returning", "Dormant"), 
        IF(AND(MAX(dynamic[sinceLastOrder]) &gt; 365, (DATE(2024,4,30) - MAXIFS(dynamic[orderDate], dynamic[customerID], B1776)) &gt; 180), 
           "Dormant", "Regular")))</f>
        <v>Regular</v>
      </c>
      <c r="H1776" s="6">
        <v>13.0</v>
      </c>
      <c r="I1776" s="9" t="str">
        <f>VLOOKUP(dynamic[productID],products[],2,FALSE)</f>
        <v>Konbu</v>
      </c>
      <c r="J1776" s="9" t="str">
        <f>VLOOKUP(dynamic[productID],products[],12,FALSE)</f>
        <v>Seafood</v>
      </c>
      <c r="K1776" s="7" t="str">
        <f>IF(VLOOKUP(dynamic[productID],products[],7,FALSE)=1,"Discontinued","Current")</f>
        <v>Current</v>
      </c>
      <c r="L1776" s="9">
        <f>VLOOKUP(dynamic[productID],products[],IF(YEAR(dynamic[orderDate])=2022,8,IF(YEAR(dynamic[orderDate])=2023,9,IF(YEAR(dynamic[orderDate])=2024,10,NA))),FALSE)</f>
        <v>3.966387047</v>
      </c>
      <c r="M1776" s="9">
        <v>6.0</v>
      </c>
      <c r="N1776" s="25">
        <f>(dynamic[orderPrice]-dynamic[productCost])/dynamic[productCost]</f>
        <v>0.5127116768</v>
      </c>
      <c r="O1776" s="10">
        <v>42.0</v>
      </c>
      <c r="P1776" s="25">
        <v>0.15</v>
      </c>
      <c r="Q1776" s="9">
        <f>dynamic[orderPrice]*dynamic[orderQuantity]</f>
        <v>252</v>
      </c>
      <c r="R1776" s="9">
        <f>dynamic[orderTotal]*(1-dynamic[discountApllied])</f>
        <v>214.2</v>
      </c>
      <c r="S1776" s="9">
        <f>dynamic[revenue]-(dynamic[productCost]*dynamic[orderQuantity])</f>
        <v>47.61174404</v>
      </c>
      <c r="T1776" s="25">
        <f>IFERROR(dynamic[profit]/dynamic[revenue], 0)</f>
        <v>0.2222770497</v>
      </c>
    </row>
    <row r="1777" ht="15.75" customHeight="1">
      <c r="A1777" s="6">
        <v>10931.0</v>
      </c>
      <c r="B1777" s="7" t="s">
        <v>21</v>
      </c>
      <c r="C1777" s="24" t="str">
        <f>VLOOKUP(dynamic[customerID],customers[],2,FALSE)</f>
        <v>Richter Supermarkt</v>
      </c>
      <c r="D1777" s="24">
        <v>45357.0</v>
      </c>
      <c r="E1777" s="6">
        <f>IFERROR(__xludf.DUMMYFUNCTION("COUNTUNIQUEIFS($A$2:$A1777,$B$2:$B1777,B1777)"),7.0)</f>
        <v>7</v>
      </c>
      <c r="F1777" s="6">
        <f t="shared" si="1"/>
        <v>99</v>
      </c>
      <c r="G1777" s="6" t="str">
        <f>IF(MINIFS(dynamic[orderDate], dynamic[customerID], B1777) &gt;= DATE(2024,4,30)-120, 
     "New", 
     IF(MAXIFS(dynamic[orderCount], dynamic[customerID], B1777)&lt;=2, 
        IF((DATE(2024,4,30) - MAXIFS(dynamic[orderDate], dynamic[customerID], B1777)) &gt; 180, "Non-Returning", "Dormant"), 
        IF(AND(MAX(dynamic[sinceLastOrder]) &gt; 365, (DATE(2024,4,30) - MAXIFS(dynamic[orderDate], dynamic[customerID], B1777)) &gt; 180), 
           "Dormant", "Regular")))</f>
        <v>Regular</v>
      </c>
      <c r="H1777" s="6">
        <v>57.0</v>
      </c>
      <c r="I1777" s="9" t="str">
        <f>VLOOKUP(dynamic[productID],products[],2,FALSE)</f>
        <v>Ravioli Angelo</v>
      </c>
      <c r="J1777" s="9" t="str">
        <f>VLOOKUP(dynamic[productID],products[],12,FALSE)</f>
        <v>Grains/Cereals</v>
      </c>
      <c r="K1777" s="7" t="str">
        <f>IF(VLOOKUP(dynamic[productID],products[],7,FALSE)=1,"Discontinued","Current")</f>
        <v>Current</v>
      </c>
      <c r="L1777" s="9">
        <f>VLOOKUP(dynamic[productID],products[],IF(YEAR(dynamic[orderDate])=2022,8,IF(YEAR(dynamic[orderDate])=2023,9,IF(YEAR(dynamic[orderDate])=2024,10,NA))),FALSE)</f>
        <v>14.29534762</v>
      </c>
      <c r="M1777" s="9">
        <v>19.5</v>
      </c>
      <c r="N1777" s="25">
        <f>(dynamic[orderPrice]-dynamic[productCost])/dynamic[productCost]</f>
        <v>0.3640801552</v>
      </c>
      <c r="O1777" s="10">
        <v>30.0</v>
      </c>
      <c r="P1777" s="25">
        <v>0.0</v>
      </c>
      <c r="Q1777" s="9">
        <f>dynamic[orderPrice]*dynamic[orderQuantity]</f>
        <v>585</v>
      </c>
      <c r="R1777" s="9">
        <f>dynamic[orderTotal]*(1-dynamic[discountApllied])</f>
        <v>585</v>
      </c>
      <c r="S1777" s="9">
        <f>dynamic[revenue]-(dynamic[productCost]*dynamic[orderQuantity])</f>
        <v>156.1395714</v>
      </c>
      <c r="T1777" s="25">
        <f>IFERROR(dynamic[profit]/dynamic[revenue], 0)</f>
        <v>0.2669052503</v>
      </c>
    </row>
    <row r="1778" ht="15.75" customHeight="1">
      <c r="A1778" s="6">
        <v>10932.0</v>
      </c>
      <c r="B1778" s="7" t="s">
        <v>63</v>
      </c>
      <c r="C1778" s="24" t="str">
        <f>VLOOKUP(dynamic[customerID],customers[],2,FALSE)</f>
        <v>Bon app'</v>
      </c>
      <c r="D1778" s="24">
        <v>45357.0</v>
      </c>
      <c r="E1778" s="6">
        <f>IFERROR(__xludf.DUMMYFUNCTION("COUNTUNIQUEIFS($A$2:$A1778,$B$2:$B1778,B1778)"),15.0)</f>
        <v>15</v>
      </c>
      <c r="F1778" s="6">
        <f t="shared" si="1"/>
        <v>26</v>
      </c>
      <c r="G1778" s="6" t="str">
        <f>IF(MINIFS(dynamic[orderDate], dynamic[customerID], B1778) &gt;= DATE(2024,4,30)-120, 
     "New", 
     IF(MAXIFS(dynamic[orderCount], dynamic[customerID], B1778)&lt;=2, 
        IF((DATE(2024,4,30) - MAXIFS(dynamic[orderDate], dynamic[customerID], B1778)) &gt; 180, "Non-Returning", "Dormant"), 
        IF(AND(MAX(dynamic[sinceLastOrder]) &gt; 365, (DATE(2024,4,30) - MAXIFS(dynamic[orderDate], dynamic[customerID], B1778)) &gt; 180), 
           "Dormant", "Regular")))</f>
        <v>Regular</v>
      </c>
      <c r="H1778" s="6">
        <v>16.0</v>
      </c>
      <c r="I1778" s="9" t="str">
        <f>VLOOKUP(dynamic[productID],products[],2,FALSE)</f>
        <v>Pavlova</v>
      </c>
      <c r="J1778" s="9" t="str">
        <f>VLOOKUP(dynamic[productID],products[],12,FALSE)</f>
        <v>Confections</v>
      </c>
      <c r="K1778" s="7" t="str">
        <f>IF(VLOOKUP(dynamic[productID],products[],7,FALSE)=1,"Discontinued","Current")</f>
        <v>Current</v>
      </c>
      <c r="L1778" s="9">
        <f>VLOOKUP(dynamic[productID],products[],IF(YEAR(dynamic[orderDate])=2022,8,IF(YEAR(dynamic[orderDate])=2023,9,IF(YEAR(dynamic[orderDate])=2024,10,NA))),FALSE)</f>
        <v>12.68283974</v>
      </c>
      <c r="M1778" s="9">
        <v>17.45</v>
      </c>
      <c r="N1778" s="25">
        <f>(dynamic[orderPrice]-dynamic[productCost])/dynamic[productCost]</f>
        <v>0.3758748323</v>
      </c>
      <c r="O1778" s="10">
        <v>30.0</v>
      </c>
      <c r="P1778" s="25">
        <v>0.1</v>
      </c>
      <c r="Q1778" s="9">
        <f>dynamic[orderPrice]*dynamic[orderQuantity]</f>
        <v>523.5</v>
      </c>
      <c r="R1778" s="9">
        <f>dynamic[orderTotal]*(1-dynamic[discountApllied])</f>
        <v>471.15</v>
      </c>
      <c r="S1778" s="9">
        <f>dynamic[revenue]-(dynamic[productCost]*dynamic[orderQuantity])</f>
        <v>90.66480781</v>
      </c>
      <c r="T1778" s="25">
        <f>IFERROR(dynamic[profit]/dynamic[revenue], 0)</f>
        <v>0.1924329997</v>
      </c>
    </row>
    <row r="1779" ht="15.75" customHeight="1">
      <c r="A1779" s="6">
        <v>10932.0</v>
      </c>
      <c r="B1779" s="7" t="s">
        <v>63</v>
      </c>
      <c r="C1779" s="24" t="str">
        <f>VLOOKUP(dynamic[customerID],customers[],2,FALSE)</f>
        <v>Bon app'</v>
      </c>
      <c r="D1779" s="24">
        <v>45357.0</v>
      </c>
      <c r="E1779" s="6">
        <f>IFERROR(__xludf.DUMMYFUNCTION("COUNTUNIQUEIFS($A$2:$A1779,$B$2:$B1779,B1779)"),15.0)</f>
        <v>15</v>
      </c>
      <c r="F1779" s="6">
        <f t="shared" si="1"/>
        <v>26</v>
      </c>
      <c r="G1779" s="6" t="str">
        <f>IF(MINIFS(dynamic[orderDate], dynamic[customerID], B1779) &gt;= DATE(2024,4,30)-120, 
     "New", 
     IF(MAXIFS(dynamic[orderCount], dynamic[customerID], B1779)&lt;=2, 
        IF((DATE(2024,4,30) - MAXIFS(dynamic[orderDate], dynamic[customerID], B1779)) &gt; 180, "Non-Returning", "Dormant"), 
        IF(AND(MAX(dynamic[sinceLastOrder]) &gt; 365, (DATE(2024,4,30) - MAXIFS(dynamic[orderDate], dynamic[customerID], B1779)) &gt; 180), 
           "Dormant", "Regular")))</f>
        <v>Regular</v>
      </c>
      <c r="H1779" s="6">
        <v>62.0</v>
      </c>
      <c r="I1779" s="9" t="str">
        <f>VLOOKUP(dynamic[productID],products[],2,FALSE)</f>
        <v>Tarte au sucre</v>
      </c>
      <c r="J1779" s="9" t="str">
        <f>VLOOKUP(dynamic[productID],products[],12,FALSE)</f>
        <v>Confections</v>
      </c>
      <c r="K1779" s="7" t="str">
        <f>IF(VLOOKUP(dynamic[productID],products[],7,FALSE)=1,"Discontinued","Current")</f>
        <v>Current</v>
      </c>
      <c r="L1779" s="9">
        <f>VLOOKUP(dynamic[productID],products[],IF(YEAR(dynamic[orderDate])=2022,8,IF(YEAR(dynamic[orderDate])=2023,9,IF(YEAR(dynamic[orderDate])=2024,10,NA))),FALSE)</f>
        <v>34.88145014</v>
      </c>
      <c r="M1779" s="9">
        <v>49.3</v>
      </c>
      <c r="N1779" s="25">
        <f>(dynamic[orderPrice]-dynamic[productCost])/dynamic[productCost]</f>
        <v>0.4133586705</v>
      </c>
      <c r="O1779" s="10">
        <v>14.0</v>
      </c>
      <c r="P1779" s="25">
        <v>0.1</v>
      </c>
      <c r="Q1779" s="9">
        <f>dynamic[orderPrice]*dynamic[orderQuantity]</f>
        <v>690.2</v>
      </c>
      <c r="R1779" s="9">
        <f>dynamic[orderTotal]*(1-dynamic[discountApllied])</f>
        <v>621.18</v>
      </c>
      <c r="S1779" s="9">
        <f>dynamic[revenue]-(dynamic[productCost]*dynamic[orderQuantity])</f>
        <v>132.839698</v>
      </c>
      <c r="T1779" s="25">
        <f>IFERROR(dynamic[profit]/dynamic[revenue], 0)</f>
        <v>0.2138505715</v>
      </c>
    </row>
    <row r="1780" ht="15.75" customHeight="1">
      <c r="A1780" s="6">
        <v>10932.0</v>
      </c>
      <c r="B1780" s="7" t="s">
        <v>63</v>
      </c>
      <c r="C1780" s="24" t="str">
        <f>VLOOKUP(dynamic[customerID],customers[],2,FALSE)</f>
        <v>Bon app'</v>
      </c>
      <c r="D1780" s="24">
        <v>45357.0</v>
      </c>
      <c r="E1780" s="6">
        <f>IFERROR(__xludf.DUMMYFUNCTION("COUNTUNIQUEIFS($A$2:$A1780,$B$2:$B1780,B1780)"),15.0)</f>
        <v>15</v>
      </c>
      <c r="F1780" s="6">
        <f t="shared" si="1"/>
        <v>26</v>
      </c>
      <c r="G1780" s="6" t="str">
        <f>IF(MINIFS(dynamic[orderDate], dynamic[customerID], B1780) &gt;= DATE(2024,4,30)-120, 
     "New", 
     IF(MAXIFS(dynamic[orderCount], dynamic[customerID], B1780)&lt;=2, 
        IF((DATE(2024,4,30) - MAXIFS(dynamic[orderDate], dynamic[customerID], B1780)) &gt; 180, "Non-Returning", "Dormant"), 
        IF(AND(MAX(dynamic[sinceLastOrder]) &gt; 365, (DATE(2024,4,30) - MAXIFS(dynamic[orderDate], dynamic[customerID], B1780)) &gt; 180), 
           "Dormant", "Regular")))</f>
        <v>Regular</v>
      </c>
      <c r="H1780" s="6">
        <v>72.0</v>
      </c>
      <c r="I1780" s="9" t="str">
        <f>VLOOKUP(dynamic[productID],products[],2,FALSE)</f>
        <v>Mozzarella di Giovanni</v>
      </c>
      <c r="J1780" s="9" t="str">
        <f>VLOOKUP(dynamic[productID],products[],12,FALSE)</f>
        <v>Dairy Products</v>
      </c>
      <c r="K1780" s="7" t="str">
        <f>IF(VLOOKUP(dynamic[productID],products[],7,FALSE)=1,"Discontinued","Current")</f>
        <v>Current</v>
      </c>
      <c r="L1780" s="9">
        <f>VLOOKUP(dynamic[productID],products[],IF(YEAR(dynamic[orderDate])=2022,8,IF(YEAR(dynamic[orderDate])=2023,9,IF(YEAR(dynamic[orderDate])=2024,10,NA))),FALSE)</f>
        <v>24.35057898</v>
      </c>
      <c r="M1780" s="9">
        <v>34.8</v>
      </c>
      <c r="N1780" s="25">
        <f>(dynamic[orderPrice]-dynamic[productCost])/dynamic[productCost]</f>
        <v>0.4291241297</v>
      </c>
      <c r="O1780" s="10">
        <v>16.0</v>
      </c>
      <c r="P1780" s="25">
        <v>0.0</v>
      </c>
      <c r="Q1780" s="9">
        <f>dynamic[orderPrice]*dynamic[orderQuantity]</f>
        <v>556.8</v>
      </c>
      <c r="R1780" s="9">
        <f>dynamic[orderTotal]*(1-dynamic[discountApllied])</f>
        <v>556.8</v>
      </c>
      <c r="S1780" s="9">
        <f>dynamic[revenue]-(dynamic[productCost]*dynamic[orderQuantity])</f>
        <v>167.1907362</v>
      </c>
      <c r="T1780" s="25">
        <f>IFERROR(dynamic[profit]/dynamic[revenue], 0)</f>
        <v>0.3002707188</v>
      </c>
    </row>
    <row r="1781" ht="15.75" customHeight="1">
      <c r="A1781" s="6">
        <v>10932.0</v>
      </c>
      <c r="B1781" s="7" t="s">
        <v>63</v>
      </c>
      <c r="C1781" s="24" t="str">
        <f>VLOOKUP(dynamic[customerID],customers[],2,FALSE)</f>
        <v>Bon app'</v>
      </c>
      <c r="D1781" s="24">
        <v>45357.0</v>
      </c>
      <c r="E1781" s="6">
        <f>IFERROR(__xludf.DUMMYFUNCTION("COUNTUNIQUEIFS($A$2:$A1781,$B$2:$B1781,B1781)"),15.0)</f>
        <v>15</v>
      </c>
      <c r="F1781" s="6">
        <f t="shared" si="1"/>
        <v>26</v>
      </c>
      <c r="G1781" s="6" t="str">
        <f>IF(MINIFS(dynamic[orderDate], dynamic[customerID], B1781) &gt;= DATE(2024,4,30)-120, 
     "New", 
     IF(MAXIFS(dynamic[orderCount], dynamic[customerID], B1781)&lt;=2, 
        IF((DATE(2024,4,30) - MAXIFS(dynamic[orderDate], dynamic[customerID], B1781)) &gt; 180, "Non-Returning", "Dormant"), 
        IF(AND(MAX(dynamic[sinceLastOrder]) &gt; 365, (DATE(2024,4,30) - MAXIFS(dynamic[orderDate], dynamic[customerID], B1781)) &gt; 180), 
           "Dormant", "Regular")))</f>
        <v>Regular</v>
      </c>
      <c r="H1781" s="6">
        <v>75.0</v>
      </c>
      <c r="I1781" s="9" t="str">
        <f>VLOOKUP(dynamic[productID],products[],2,FALSE)</f>
        <v>Rhönbräu Klosterbier</v>
      </c>
      <c r="J1781" s="9" t="str">
        <f>VLOOKUP(dynamic[productID],products[],12,FALSE)</f>
        <v>Beverages</v>
      </c>
      <c r="K1781" s="7" t="str">
        <f>IF(VLOOKUP(dynamic[productID],products[],7,FALSE)=1,"Discontinued","Current")</f>
        <v>Current</v>
      </c>
      <c r="L1781" s="9">
        <f>VLOOKUP(dynamic[productID],products[],IF(YEAR(dynamic[orderDate])=2022,8,IF(YEAR(dynamic[orderDate])=2023,9,IF(YEAR(dynamic[orderDate])=2024,10,NA))),FALSE)</f>
        <v>5.374051525</v>
      </c>
      <c r="M1781" s="9">
        <v>7.75</v>
      </c>
      <c r="N1781" s="25">
        <f>(dynamic[orderPrice]-dynamic[productCost])/dynamic[productCost]</f>
        <v>0.4421149413</v>
      </c>
      <c r="O1781" s="10">
        <v>20.0</v>
      </c>
      <c r="P1781" s="25">
        <v>0.1</v>
      </c>
      <c r="Q1781" s="9">
        <f>dynamic[orderPrice]*dynamic[orderQuantity]</f>
        <v>155</v>
      </c>
      <c r="R1781" s="9">
        <f>dynamic[orderTotal]*(1-dynamic[discountApllied])</f>
        <v>139.5</v>
      </c>
      <c r="S1781" s="9">
        <f>dynamic[revenue]-(dynamic[productCost]*dynamic[orderQuantity])</f>
        <v>32.01896949</v>
      </c>
      <c r="T1781" s="25">
        <f>IFERROR(dynamic[profit]/dynamic[revenue], 0)</f>
        <v>0.229526663</v>
      </c>
    </row>
    <row r="1782" ht="15.75" customHeight="1">
      <c r="A1782" s="6">
        <v>10933.0</v>
      </c>
      <c r="B1782" s="7" t="s">
        <v>57</v>
      </c>
      <c r="C1782" s="24" t="str">
        <f>VLOOKUP(dynamic[customerID],customers[],2,FALSE)</f>
        <v>Island Trading</v>
      </c>
      <c r="D1782" s="24">
        <v>45357.0</v>
      </c>
      <c r="E1782" s="6">
        <f>IFERROR(__xludf.DUMMYFUNCTION("COUNTUNIQUEIFS($A$2:$A1782,$B$2:$B1782,B1782)"),10.0)</f>
        <v>10</v>
      </c>
      <c r="F1782" s="6">
        <f t="shared" si="1"/>
        <v>53</v>
      </c>
      <c r="G1782" s="6" t="str">
        <f>IF(MINIFS(dynamic[orderDate], dynamic[customerID], B1782) &gt;= DATE(2024,4,30)-120, 
     "New", 
     IF(MAXIFS(dynamic[orderCount], dynamic[customerID], B1782)&lt;=2, 
        IF((DATE(2024,4,30) - MAXIFS(dynamic[orderDate], dynamic[customerID], B1782)) &gt; 180, "Non-Returning", "Dormant"), 
        IF(AND(MAX(dynamic[sinceLastOrder]) &gt; 365, (DATE(2024,4,30) - MAXIFS(dynamic[orderDate], dynamic[customerID], B1782)) &gt; 180), 
           "Dormant", "Regular")))</f>
        <v>Regular</v>
      </c>
      <c r="H1782" s="6">
        <v>53.0</v>
      </c>
      <c r="I1782" s="9" t="str">
        <f>VLOOKUP(dynamic[productID],products[],2,FALSE)</f>
        <v>Perth Pasties</v>
      </c>
      <c r="J1782" s="9" t="str">
        <f>VLOOKUP(dynamic[productID],products[],12,FALSE)</f>
        <v>Meat/Poultry</v>
      </c>
      <c r="K1782" s="7" t="str">
        <f>IF(VLOOKUP(dynamic[productID],products[],7,FALSE)=1,"Discontinued","Current")</f>
        <v>Discontinued</v>
      </c>
      <c r="L1782" s="9">
        <f>VLOOKUP(dynamic[productID],products[],IF(YEAR(dynamic[orderDate])=2022,8,IF(YEAR(dynamic[orderDate])=2023,9,IF(YEAR(dynamic[orderDate])=2024,10,NA))),FALSE)</f>
        <v>22.92637057</v>
      </c>
      <c r="M1782" s="9">
        <v>32.8</v>
      </c>
      <c r="N1782" s="25">
        <f>(dynamic[orderPrice]-dynamic[productCost])/dynamic[productCost]</f>
        <v>0.4306669216</v>
      </c>
      <c r="O1782" s="10">
        <v>2.0</v>
      </c>
      <c r="P1782" s="25">
        <v>0.0</v>
      </c>
      <c r="Q1782" s="9">
        <f>dynamic[orderPrice]*dynamic[orderQuantity]</f>
        <v>65.6</v>
      </c>
      <c r="R1782" s="9">
        <f>dynamic[orderTotal]*(1-dynamic[discountApllied])</f>
        <v>65.6</v>
      </c>
      <c r="S1782" s="9">
        <f>dynamic[revenue]-(dynamic[productCost]*dynamic[orderQuantity])</f>
        <v>19.74725887</v>
      </c>
      <c r="T1782" s="25">
        <f>IFERROR(dynamic[profit]/dynamic[revenue], 0)</f>
        <v>0.3010252876</v>
      </c>
    </row>
    <row r="1783" ht="15.75" customHeight="1">
      <c r="A1783" s="6">
        <v>10933.0</v>
      </c>
      <c r="B1783" s="7" t="s">
        <v>57</v>
      </c>
      <c r="C1783" s="24" t="str">
        <f>VLOOKUP(dynamic[customerID],customers[],2,FALSE)</f>
        <v>Island Trading</v>
      </c>
      <c r="D1783" s="24">
        <v>45357.0</v>
      </c>
      <c r="E1783" s="6">
        <f>IFERROR(__xludf.DUMMYFUNCTION("COUNTUNIQUEIFS($A$2:$A1783,$B$2:$B1783,B1783)"),10.0)</f>
        <v>10</v>
      </c>
      <c r="F1783" s="6">
        <f t="shared" si="1"/>
        <v>53</v>
      </c>
      <c r="G1783" s="6" t="str">
        <f>IF(MINIFS(dynamic[orderDate], dynamic[customerID], B1783) &gt;= DATE(2024,4,30)-120, 
     "New", 
     IF(MAXIFS(dynamic[orderCount], dynamic[customerID], B1783)&lt;=2, 
        IF((DATE(2024,4,30) - MAXIFS(dynamic[orderDate], dynamic[customerID], B1783)) &gt; 180, "Non-Returning", "Dormant"), 
        IF(AND(MAX(dynamic[sinceLastOrder]) &gt; 365, (DATE(2024,4,30) - MAXIFS(dynamic[orderDate], dynamic[customerID], B1783)) &gt; 180), 
           "Dormant", "Regular")))</f>
        <v>Regular</v>
      </c>
      <c r="H1783" s="6">
        <v>61.0</v>
      </c>
      <c r="I1783" s="9" t="str">
        <f>VLOOKUP(dynamic[productID],products[],2,FALSE)</f>
        <v>Sirop d'érable</v>
      </c>
      <c r="J1783" s="9" t="str">
        <f>VLOOKUP(dynamic[productID],products[],12,FALSE)</f>
        <v>Condiments</v>
      </c>
      <c r="K1783" s="7" t="str">
        <f>IF(VLOOKUP(dynamic[productID],products[],7,FALSE)=1,"Discontinued","Current")</f>
        <v>Current</v>
      </c>
      <c r="L1783" s="9">
        <f>VLOOKUP(dynamic[productID],products[],IF(YEAR(dynamic[orderDate])=2022,8,IF(YEAR(dynamic[orderDate])=2023,9,IF(YEAR(dynamic[orderDate])=2024,10,NA))),FALSE)</f>
        <v>18.74487379</v>
      </c>
      <c r="M1783" s="9">
        <v>28.5</v>
      </c>
      <c r="N1783" s="25">
        <f>(dynamic[orderPrice]-dynamic[productCost])/dynamic[productCost]</f>
        <v>0.5204156786</v>
      </c>
      <c r="O1783" s="10">
        <v>30.0</v>
      </c>
      <c r="P1783" s="25">
        <v>0.0</v>
      </c>
      <c r="Q1783" s="9">
        <f>dynamic[orderPrice]*dynamic[orderQuantity]</f>
        <v>855</v>
      </c>
      <c r="R1783" s="9">
        <f>dynamic[orderTotal]*(1-dynamic[discountApllied])</f>
        <v>855</v>
      </c>
      <c r="S1783" s="9">
        <f>dynamic[revenue]-(dynamic[productCost]*dynamic[orderQuantity])</f>
        <v>292.6537864</v>
      </c>
      <c r="T1783" s="25">
        <f>IFERROR(dynamic[profit]/dynamic[revenue], 0)</f>
        <v>0.3422851303</v>
      </c>
    </row>
    <row r="1784" ht="15.75" customHeight="1">
      <c r="A1784" s="6">
        <v>10934.0</v>
      </c>
      <c r="B1784" s="7" t="s">
        <v>41</v>
      </c>
      <c r="C1784" s="24" t="str">
        <f>VLOOKUP(dynamic[customerID],customers[],2,FALSE)</f>
        <v>Lehmanns Marktstand</v>
      </c>
      <c r="D1784" s="24">
        <v>45360.0</v>
      </c>
      <c r="E1784" s="6">
        <f>IFERROR(__xludf.DUMMYFUNCTION("COUNTUNIQUEIFS($A$2:$A1784,$B$2:$B1784,B1784)"),14.0)</f>
        <v>14</v>
      </c>
      <c r="F1784" s="6">
        <f t="shared" si="1"/>
        <v>21</v>
      </c>
      <c r="G1784" s="6" t="str">
        <f>IF(MINIFS(dynamic[orderDate], dynamic[customerID], B1784) &gt;= DATE(2024,4,30)-120, 
     "New", 
     IF(MAXIFS(dynamic[orderCount], dynamic[customerID], B1784)&lt;=2, 
        IF((DATE(2024,4,30) - MAXIFS(dynamic[orderDate], dynamic[customerID], B1784)) &gt; 180, "Non-Returning", "Dormant"), 
        IF(AND(MAX(dynamic[sinceLastOrder]) &gt; 365, (DATE(2024,4,30) - MAXIFS(dynamic[orderDate], dynamic[customerID], B1784)) &gt; 180), 
           "Dormant", "Regular")))</f>
        <v>Regular</v>
      </c>
      <c r="H1784" s="6">
        <v>6.0</v>
      </c>
      <c r="I1784" s="9" t="str">
        <f>VLOOKUP(dynamic[productID],products[],2,FALSE)</f>
        <v>Grandma's Boysenberry Spread</v>
      </c>
      <c r="J1784" s="9" t="str">
        <f>VLOOKUP(dynamic[productID],products[],12,FALSE)</f>
        <v>Condiments</v>
      </c>
      <c r="K1784" s="7" t="str">
        <f>IF(VLOOKUP(dynamic[productID],products[],7,FALSE)=1,"Discontinued","Current")</f>
        <v>Current</v>
      </c>
      <c r="L1784" s="9">
        <f>VLOOKUP(dynamic[productID],products[],IF(YEAR(dynamic[orderDate])=2022,8,IF(YEAR(dynamic[orderDate])=2023,9,IF(YEAR(dynamic[orderDate])=2024,10,NA))),FALSE)</f>
        <v>17.2416593</v>
      </c>
      <c r="M1784" s="9">
        <v>25.0</v>
      </c>
      <c r="N1784" s="25">
        <f>(dynamic[orderPrice]-dynamic[productCost])/dynamic[productCost]</f>
        <v>0.4499764532</v>
      </c>
      <c r="O1784" s="10">
        <v>20.0</v>
      </c>
      <c r="P1784" s="25">
        <v>0.0</v>
      </c>
      <c r="Q1784" s="9">
        <f>dynamic[orderPrice]*dynamic[orderQuantity]</f>
        <v>500</v>
      </c>
      <c r="R1784" s="9">
        <f>dynamic[orderTotal]*(1-dynamic[discountApllied])</f>
        <v>500</v>
      </c>
      <c r="S1784" s="9">
        <f>dynamic[revenue]-(dynamic[productCost]*dynamic[orderQuantity])</f>
        <v>155.166814</v>
      </c>
      <c r="T1784" s="25">
        <f>IFERROR(dynamic[profit]/dynamic[revenue], 0)</f>
        <v>0.310333628</v>
      </c>
    </row>
    <row r="1785" ht="15.75" customHeight="1">
      <c r="A1785" s="6">
        <v>10935.0</v>
      </c>
      <c r="B1785" s="7" t="s">
        <v>22</v>
      </c>
      <c r="C1785" s="24" t="str">
        <f>VLOOKUP(dynamic[customerID],customers[],2,FALSE)</f>
        <v>Wellington Importadora</v>
      </c>
      <c r="D1785" s="24">
        <v>45360.0</v>
      </c>
      <c r="E1785" s="6">
        <f>IFERROR(__xludf.DUMMYFUNCTION("COUNTUNIQUEIFS($A$2:$A1785,$B$2:$B1785,B1785)"),9.0)</f>
        <v>9</v>
      </c>
      <c r="F1785" s="6">
        <f t="shared" si="1"/>
        <v>14</v>
      </c>
      <c r="G1785" s="6" t="str">
        <f>IF(MINIFS(dynamic[orderDate], dynamic[customerID], B1785) &gt;= DATE(2024,4,30)-120, 
     "New", 
     IF(MAXIFS(dynamic[orderCount], dynamic[customerID], B1785)&lt;=2, 
        IF((DATE(2024,4,30) - MAXIFS(dynamic[orderDate], dynamic[customerID], B1785)) &gt; 180, "Non-Returning", "Dormant"), 
        IF(AND(MAX(dynamic[sinceLastOrder]) &gt; 365, (DATE(2024,4,30) - MAXIFS(dynamic[orderDate], dynamic[customerID], B1785)) &gt; 180), 
           "Dormant", "Regular")))</f>
        <v>Regular</v>
      </c>
      <c r="H1785" s="6">
        <v>1.0</v>
      </c>
      <c r="I1785" s="9" t="str">
        <f>VLOOKUP(dynamic[productID],products[],2,FALSE)</f>
        <v>Chai</v>
      </c>
      <c r="J1785" s="9" t="str">
        <f>VLOOKUP(dynamic[productID],products[],12,FALSE)</f>
        <v>Beverages</v>
      </c>
      <c r="K1785" s="7" t="str">
        <f>IF(VLOOKUP(dynamic[productID],products[],7,FALSE)=1,"Discontinued","Current")</f>
        <v>Current</v>
      </c>
      <c r="L1785" s="9">
        <f>VLOOKUP(dynamic[productID],products[],IF(YEAR(dynamic[orderDate])=2022,8,IF(YEAR(dynamic[orderDate])=2023,9,IF(YEAR(dynamic[orderDate])=2024,10,NA))),FALSE)</f>
        <v>12.17757454</v>
      </c>
      <c r="M1785" s="9">
        <v>18.0</v>
      </c>
      <c r="N1785" s="25">
        <f>(dynamic[orderPrice]-dynamic[productCost])/dynamic[productCost]</f>
        <v>0.4781268584</v>
      </c>
      <c r="O1785" s="10">
        <v>21.0</v>
      </c>
      <c r="P1785" s="25">
        <v>0.0</v>
      </c>
      <c r="Q1785" s="9">
        <f>dynamic[orderPrice]*dynamic[orderQuantity]</f>
        <v>378</v>
      </c>
      <c r="R1785" s="9">
        <f>dynamic[orderTotal]*(1-dynamic[discountApllied])</f>
        <v>378</v>
      </c>
      <c r="S1785" s="9">
        <f>dynamic[revenue]-(dynamic[productCost]*dynamic[orderQuantity])</f>
        <v>122.2709346</v>
      </c>
      <c r="T1785" s="25">
        <f>IFERROR(dynamic[profit]/dynamic[revenue], 0)</f>
        <v>0.323468081</v>
      </c>
    </row>
    <row r="1786" ht="15.75" customHeight="1">
      <c r="A1786" s="6">
        <v>10935.0</v>
      </c>
      <c r="B1786" s="7" t="s">
        <v>22</v>
      </c>
      <c r="C1786" s="24" t="str">
        <f>VLOOKUP(dynamic[customerID],customers[],2,FALSE)</f>
        <v>Wellington Importadora</v>
      </c>
      <c r="D1786" s="24">
        <v>45360.0</v>
      </c>
      <c r="E1786" s="6">
        <f>IFERROR(__xludf.DUMMYFUNCTION("COUNTUNIQUEIFS($A$2:$A1786,$B$2:$B1786,B1786)"),9.0)</f>
        <v>9</v>
      </c>
      <c r="F1786" s="6">
        <f t="shared" si="1"/>
        <v>14</v>
      </c>
      <c r="G1786" s="6" t="str">
        <f>IF(MINIFS(dynamic[orderDate], dynamic[customerID], B1786) &gt;= DATE(2024,4,30)-120, 
     "New", 
     IF(MAXIFS(dynamic[orderCount], dynamic[customerID], B1786)&lt;=2, 
        IF((DATE(2024,4,30) - MAXIFS(dynamic[orderDate], dynamic[customerID], B1786)) &gt; 180, "Non-Returning", "Dormant"), 
        IF(AND(MAX(dynamic[sinceLastOrder]) &gt; 365, (DATE(2024,4,30) - MAXIFS(dynamic[orderDate], dynamic[customerID], B1786)) &gt; 180), 
           "Dormant", "Regular")))</f>
        <v>Regular</v>
      </c>
      <c r="H1786" s="6">
        <v>18.0</v>
      </c>
      <c r="I1786" s="9" t="str">
        <f>VLOOKUP(dynamic[productID],products[],2,FALSE)</f>
        <v>Carnarvon Tigers</v>
      </c>
      <c r="J1786" s="9" t="str">
        <f>VLOOKUP(dynamic[productID],products[],12,FALSE)</f>
        <v>Seafood</v>
      </c>
      <c r="K1786" s="7" t="str">
        <f>IF(VLOOKUP(dynamic[productID],products[],7,FALSE)=1,"Discontinued","Current")</f>
        <v>Current</v>
      </c>
      <c r="L1786" s="9">
        <f>VLOOKUP(dynamic[productID],products[],IF(YEAR(dynamic[orderDate])=2022,8,IF(YEAR(dynamic[orderDate])=2023,9,IF(YEAR(dynamic[orderDate])=2024,10,NA))),FALSE)</f>
        <v>41.27004985</v>
      </c>
      <c r="M1786" s="9">
        <v>62.5</v>
      </c>
      <c r="N1786" s="25">
        <f>(dynamic[orderPrice]-dynamic[productCost])/dynamic[productCost]</f>
        <v>0.5144154231</v>
      </c>
      <c r="O1786" s="10">
        <v>4.0</v>
      </c>
      <c r="P1786" s="25">
        <v>0.25</v>
      </c>
      <c r="Q1786" s="9">
        <f>dynamic[orderPrice]*dynamic[orderQuantity]</f>
        <v>250</v>
      </c>
      <c r="R1786" s="9">
        <f>dynamic[orderTotal]*(1-dynamic[discountApllied])</f>
        <v>187.5</v>
      </c>
      <c r="S1786" s="9">
        <f>dynamic[revenue]-(dynamic[productCost]*dynamic[orderQuantity])</f>
        <v>22.41980062</v>
      </c>
      <c r="T1786" s="25">
        <f>IFERROR(dynamic[profit]/dynamic[revenue], 0)</f>
        <v>0.11957227</v>
      </c>
    </row>
    <row r="1787" ht="15.75" customHeight="1">
      <c r="A1787" s="6">
        <v>10935.0</v>
      </c>
      <c r="B1787" s="7" t="s">
        <v>22</v>
      </c>
      <c r="C1787" s="24" t="str">
        <f>VLOOKUP(dynamic[customerID],customers[],2,FALSE)</f>
        <v>Wellington Importadora</v>
      </c>
      <c r="D1787" s="24">
        <v>45360.0</v>
      </c>
      <c r="E1787" s="6">
        <f>IFERROR(__xludf.DUMMYFUNCTION("COUNTUNIQUEIFS($A$2:$A1787,$B$2:$B1787,B1787)"),9.0)</f>
        <v>9</v>
      </c>
      <c r="F1787" s="6">
        <f t="shared" si="1"/>
        <v>14</v>
      </c>
      <c r="G1787" s="6" t="str">
        <f>IF(MINIFS(dynamic[orderDate], dynamic[customerID], B1787) &gt;= DATE(2024,4,30)-120, 
     "New", 
     IF(MAXIFS(dynamic[orderCount], dynamic[customerID], B1787)&lt;=2, 
        IF((DATE(2024,4,30) - MAXIFS(dynamic[orderDate], dynamic[customerID], B1787)) &gt; 180, "Non-Returning", "Dormant"), 
        IF(AND(MAX(dynamic[sinceLastOrder]) &gt; 365, (DATE(2024,4,30) - MAXIFS(dynamic[orderDate], dynamic[customerID], B1787)) &gt; 180), 
           "Dormant", "Regular")))</f>
        <v>Regular</v>
      </c>
      <c r="H1787" s="6">
        <v>23.0</v>
      </c>
      <c r="I1787" s="9" t="str">
        <f>VLOOKUP(dynamic[productID],products[],2,FALSE)</f>
        <v>Tunnbröd</v>
      </c>
      <c r="J1787" s="9" t="str">
        <f>VLOOKUP(dynamic[productID],products[],12,FALSE)</f>
        <v>Grains/Cereals</v>
      </c>
      <c r="K1787" s="7" t="str">
        <f>IF(VLOOKUP(dynamic[productID],products[],7,FALSE)=1,"Discontinued","Current")</f>
        <v>Current</v>
      </c>
      <c r="L1787" s="9">
        <f>VLOOKUP(dynamic[productID],products[],IF(YEAR(dynamic[orderDate])=2022,8,IF(YEAR(dynamic[orderDate])=2023,9,IF(YEAR(dynamic[orderDate])=2024,10,NA))),FALSE)</f>
        <v>6.224885622</v>
      </c>
      <c r="M1787" s="9">
        <v>9.0</v>
      </c>
      <c r="N1787" s="25">
        <f>(dynamic[orderPrice]-dynamic[productCost])/dynamic[productCost]</f>
        <v>0.4458096979</v>
      </c>
      <c r="O1787" s="10">
        <v>8.0</v>
      </c>
      <c r="P1787" s="25">
        <v>0.25</v>
      </c>
      <c r="Q1787" s="9">
        <f>dynamic[orderPrice]*dynamic[orderQuantity]</f>
        <v>72</v>
      </c>
      <c r="R1787" s="9">
        <f>dynamic[orderTotal]*(1-dynamic[discountApllied])</f>
        <v>54</v>
      </c>
      <c r="S1787" s="9">
        <f>dynamic[revenue]-(dynamic[productCost]*dynamic[orderQuantity])</f>
        <v>4.200915027</v>
      </c>
      <c r="T1787" s="25">
        <f>IFERROR(dynamic[profit]/dynamic[revenue], 0)</f>
        <v>0.07779472272</v>
      </c>
    </row>
    <row r="1788" ht="15.75" customHeight="1">
      <c r="A1788" s="6">
        <v>10936.0</v>
      </c>
      <c r="B1788" s="7" t="s">
        <v>94</v>
      </c>
      <c r="C1788" s="24" t="str">
        <f>VLOOKUP(dynamic[customerID],customers[],2,FALSE)</f>
        <v>Great Lakes Food Market</v>
      </c>
      <c r="D1788" s="24">
        <v>45360.0</v>
      </c>
      <c r="E1788" s="6">
        <f>IFERROR(__xludf.DUMMYFUNCTION("COUNTUNIQUEIFS($A$2:$A1788,$B$2:$B1788,B1788)"),8.0)</f>
        <v>8</v>
      </c>
      <c r="F1788" s="6">
        <f t="shared" si="1"/>
        <v>63</v>
      </c>
      <c r="G1788" s="6" t="str">
        <f>IF(MINIFS(dynamic[orderDate], dynamic[customerID], B1788) &gt;= DATE(2024,4,30)-120, 
     "New", 
     IF(MAXIFS(dynamic[orderCount], dynamic[customerID], B1788)&lt;=2, 
        IF((DATE(2024,4,30) - MAXIFS(dynamic[orderDate], dynamic[customerID], B1788)) &gt; 180, "Non-Returning", "Dormant"), 
        IF(AND(MAX(dynamic[sinceLastOrder]) &gt; 365, (DATE(2024,4,30) - MAXIFS(dynamic[orderDate], dynamic[customerID], B1788)) &gt; 180), 
           "Dormant", "Regular")))</f>
        <v>Regular</v>
      </c>
      <c r="H1788" s="6">
        <v>36.0</v>
      </c>
      <c r="I1788" s="9" t="str">
        <f>VLOOKUP(dynamic[productID],products[],2,FALSE)</f>
        <v>Inlagd Sill</v>
      </c>
      <c r="J1788" s="9" t="str">
        <f>VLOOKUP(dynamic[productID],products[],12,FALSE)</f>
        <v>Seafood</v>
      </c>
      <c r="K1788" s="7" t="str">
        <f>IF(VLOOKUP(dynamic[productID],products[],7,FALSE)=1,"Discontinued","Current")</f>
        <v>Current</v>
      </c>
      <c r="L1788" s="9">
        <f>VLOOKUP(dynamic[productID],products[],IF(YEAR(dynamic[orderDate])=2022,8,IF(YEAR(dynamic[orderDate])=2023,9,IF(YEAR(dynamic[orderDate])=2024,10,NA))),FALSE)</f>
        <v>11.68525366</v>
      </c>
      <c r="M1788" s="9">
        <v>19.0</v>
      </c>
      <c r="N1788" s="25">
        <f>(dynamic[orderPrice]-dynamic[productCost])/dynamic[productCost]</f>
        <v>0.6259809637</v>
      </c>
      <c r="O1788" s="10">
        <v>30.0</v>
      </c>
      <c r="P1788" s="25">
        <v>0.2</v>
      </c>
      <c r="Q1788" s="9">
        <f>dynamic[orderPrice]*dynamic[orderQuantity]</f>
        <v>570</v>
      </c>
      <c r="R1788" s="9">
        <f>dynamic[orderTotal]*(1-dynamic[discountApllied])</f>
        <v>456</v>
      </c>
      <c r="S1788" s="9">
        <f>dynamic[revenue]-(dynamic[productCost]*dynamic[orderQuantity])</f>
        <v>105.4423903</v>
      </c>
      <c r="T1788" s="25">
        <f>IFERROR(dynamic[profit]/dynamic[revenue], 0)</f>
        <v>0.2312333121</v>
      </c>
    </row>
    <row r="1789" ht="15.75" customHeight="1">
      <c r="A1789" s="6">
        <v>10937.0</v>
      </c>
      <c r="B1789" s="7" t="s">
        <v>93</v>
      </c>
      <c r="C1789" s="24" t="str">
        <f>VLOOKUP(dynamic[customerID],customers[],2,FALSE)</f>
        <v>Cactus Comidas para llevar</v>
      </c>
      <c r="D1789" s="24">
        <v>45361.0</v>
      </c>
      <c r="E1789" s="6">
        <f>IFERROR(__xludf.DUMMYFUNCTION("COUNTUNIQUEIFS($A$2:$A1789,$B$2:$B1789,B1789)"),5.0)</f>
        <v>5</v>
      </c>
      <c r="F1789" s="6">
        <f t="shared" si="1"/>
        <v>28</v>
      </c>
      <c r="G1789" s="6" t="str">
        <f>IF(MINIFS(dynamic[orderDate], dynamic[customerID], B1789) &gt;= DATE(2024,4,30)-120, 
     "New", 
     IF(MAXIFS(dynamic[orderCount], dynamic[customerID], B1789)&lt;=2, 
        IF((DATE(2024,4,30) - MAXIFS(dynamic[orderDate], dynamic[customerID], B1789)) &gt; 180, "Non-Returning", "Dormant"), 
        IF(AND(MAX(dynamic[sinceLastOrder]) &gt; 365, (DATE(2024,4,30) - MAXIFS(dynamic[orderDate], dynamic[customerID], B1789)) &gt; 180), 
           "Dormant", "Regular")))</f>
        <v>Regular</v>
      </c>
      <c r="H1789" s="6">
        <v>28.0</v>
      </c>
      <c r="I1789" s="9" t="str">
        <f>VLOOKUP(dynamic[productID],products[],2,FALSE)</f>
        <v>Rössle Sauerkraut</v>
      </c>
      <c r="J1789" s="9" t="str">
        <f>VLOOKUP(dynamic[productID],products[],12,FALSE)</f>
        <v>Produce</v>
      </c>
      <c r="K1789" s="7" t="str">
        <f>IF(VLOOKUP(dynamic[productID],products[],7,FALSE)=1,"Discontinued","Current")</f>
        <v>Discontinued</v>
      </c>
      <c r="L1789" s="9">
        <f>VLOOKUP(dynamic[productID],products[],IF(YEAR(dynamic[orderDate])=2022,8,IF(YEAR(dynamic[orderDate])=2023,9,IF(YEAR(dynamic[orderDate])=2024,10,NA))),FALSE)</f>
        <v>34.18502761</v>
      </c>
      <c r="M1789" s="9">
        <v>45.6</v>
      </c>
      <c r="N1789" s="25">
        <f>(dynamic[orderPrice]-dynamic[productCost])/dynamic[productCost]</f>
        <v>0.3339173079</v>
      </c>
      <c r="O1789" s="10">
        <v>8.0</v>
      </c>
      <c r="P1789" s="25">
        <v>0.0</v>
      </c>
      <c r="Q1789" s="9">
        <f>dynamic[orderPrice]*dynamic[orderQuantity]</f>
        <v>364.8</v>
      </c>
      <c r="R1789" s="9">
        <f>dynamic[orderTotal]*(1-dynamic[discountApllied])</f>
        <v>364.8</v>
      </c>
      <c r="S1789" s="9">
        <f>dynamic[revenue]-(dynamic[productCost]*dynamic[orderQuantity])</f>
        <v>91.31977912</v>
      </c>
      <c r="T1789" s="25">
        <f>IFERROR(dynamic[profit]/dynamic[revenue], 0)</f>
        <v>0.2503283419</v>
      </c>
    </row>
    <row r="1790" ht="15.75" customHeight="1">
      <c r="A1790" s="6">
        <v>10937.0</v>
      </c>
      <c r="B1790" s="7" t="s">
        <v>93</v>
      </c>
      <c r="C1790" s="24" t="str">
        <f>VLOOKUP(dynamic[customerID],customers[],2,FALSE)</f>
        <v>Cactus Comidas para llevar</v>
      </c>
      <c r="D1790" s="24">
        <v>45361.0</v>
      </c>
      <c r="E1790" s="6">
        <f>IFERROR(__xludf.DUMMYFUNCTION("COUNTUNIQUEIFS($A$2:$A1790,$B$2:$B1790,B1790)"),5.0)</f>
        <v>5</v>
      </c>
      <c r="F1790" s="6">
        <f t="shared" si="1"/>
        <v>28</v>
      </c>
      <c r="G1790" s="6" t="str">
        <f>IF(MINIFS(dynamic[orderDate], dynamic[customerID], B1790) &gt;= DATE(2024,4,30)-120, 
     "New", 
     IF(MAXIFS(dynamic[orderCount], dynamic[customerID], B1790)&lt;=2, 
        IF((DATE(2024,4,30) - MAXIFS(dynamic[orderDate], dynamic[customerID], B1790)) &gt; 180, "Non-Returning", "Dormant"), 
        IF(AND(MAX(dynamic[sinceLastOrder]) &gt; 365, (DATE(2024,4,30) - MAXIFS(dynamic[orderDate], dynamic[customerID], B1790)) &gt; 180), 
           "Dormant", "Regular")))</f>
        <v>Regular</v>
      </c>
      <c r="H1790" s="6">
        <v>34.0</v>
      </c>
      <c r="I1790" s="9" t="str">
        <f>VLOOKUP(dynamic[productID],products[],2,FALSE)</f>
        <v>Sasquatch Ale</v>
      </c>
      <c r="J1790" s="9" t="str">
        <f>VLOOKUP(dynamic[productID],products[],12,FALSE)</f>
        <v>Beverages</v>
      </c>
      <c r="K1790" s="7" t="str">
        <f>IF(VLOOKUP(dynamic[productID],products[],7,FALSE)=1,"Discontinued","Current")</f>
        <v>Current</v>
      </c>
      <c r="L1790" s="9">
        <f>VLOOKUP(dynamic[productID],products[],IF(YEAR(dynamic[orderDate])=2022,8,IF(YEAR(dynamic[orderDate])=2023,9,IF(YEAR(dynamic[orderDate])=2024,10,NA))),FALSE)</f>
        <v>10.07231561</v>
      </c>
      <c r="M1790" s="9">
        <v>14.0</v>
      </c>
      <c r="N1790" s="25">
        <f>(dynamic[orderPrice]-dynamic[productCost])/dynamic[productCost]</f>
        <v>0.389948503</v>
      </c>
      <c r="O1790" s="10">
        <v>20.0</v>
      </c>
      <c r="P1790" s="25">
        <v>0.0</v>
      </c>
      <c r="Q1790" s="9">
        <f>dynamic[orderPrice]*dynamic[orderQuantity]</f>
        <v>280</v>
      </c>
      <c r="R1790" s="9">
        <f>dynamic[orderTotal]*(1-dynamic[discountApllied])</f>
        <v>280</v>
      </c>
      <c r="S1790" s="9">
        <f>dynamic[revenue]-(dynamic[productCost]*dynamic[orderQuantity])</f>
        <v>78.55368785</v>
      </c>
      <c r="T1790" s="25">
        <f>IFERROR(dynamic[profit]/dynamic[revenue], 0)</f>
        <v>0.2805488852</v>
      </c>
    </row>
    <row r="1791" ht="15.75" customHeight="1">
      <c r="A1791" s="6">
        <v>10938.0</v>
      </c>
      <c r="B1791" s="7" t="s">
        <v>36</v>
      </c>
      <c r="C1791" s="24" t="str">
        <f>VLOOKUP(dynamic[customerID],customers[],2,FALSE)</f>
        <v>QUICK-Stop</v>
      </c>
      <c r="D1791" s="24">
        <v>45361.0</v>
      </c>
      <c r="E1791" s="6">
        <f>IFERROR(__xludf.DUMMYFUNCTION("COUNTUNIQUEIFS($A$2:$A1791,$B$2:$B1791,B1791)"),24.0)</f>
        <v>24</v>
      </c>
      <c r="F1791" s="6">
        <f t="shared" si="1"/>
        <v>29</v>
      </c>
      <c r="G1791" s="6" t="str">
        <f>IF(MINIFS(dynamic[orderDate], dynamic[customerID], B1791) &gt;= DATE(2024,4,30)-120, 
     "New", 
     IF(MAXIFS(dynamic[orderCount], dynamic[customerID], B1791)&lt;=2, 
        IF((DATE(2024,4,30) - MAXIFS(dynamic[orderDate], dynamic[customerID], B1791)) &gt; 180, "Non-Returning", "Dormant"), 
        IF(AND(MAX(dynamic[sinceLastOrder]) &gt; 365, (DATE(2024,4,30) - MAXIFS(dynamic[orderDate], dynamic[customerID], B1791)) &gt; 180), 
           "Dormant", "Regular")))</f>
        <v>Regular</v>
      </c>
      <c r="H1791" s="6">
        <v>13.0</v>
      </c>
      <c r="I1791" s="9" t="str">
        <f>VLOOKUP(dynamic[productID],products[],2,FALSE)</f>
        <v>Konbu</v>
      </c>
      <c r="J1791" s="9" t="str">
        <f>VLOOKUP(dynamic[productID],products[],12,FALSE)</f>
        <v>Seafood</v>
      </c>
      <c r="K1791" s="7" t="str">
        <f>IF(VLOOKUP(dynamic[productID],products[],7,FALSE)=1,"Discontinued","Current")</f>
        <v>Current</v>
      </c>
      <c r="L1791" s="9">
        <f>VLOOKUP(dynamic[productID],products[],IF(YEAR(dynamic[orderDate])=2022,8,IF(YEAR(dynamic[orderDate])=2023,9,IF(YEAR(dynamic[orderDate])=2024,10,NA))),FALSE)</f>
        <v>3.966387047</v>
      </c>
      <c r="M1791" s="9">
        <v>6.0</v>
      </c>
      <c r="N1791" s="25">
        <f>(dynamic[orderPrice]-dynamic[productCost])/dynamic[productCost]</f>
        <v>0.5127116768</v>
      </c>
      <c r="O1791" s="10">
        <v>20.0</v>
      </c>
      <c r="P1791" s="25">
        <v>0.25</v>
      </c>
      <c r="Q1791" s="9">
        <f>dynamic[orderPrice]*dynamic[orderQuantity]</f>
        <v>120</v>
      </c>
      <c r="R1791" s="9">
        <f>dynamic[orderTotal]*(1-dynamic[discountApllied])</f>
        <v>90</v>
      </c>
      <c r="S1791" s="9">
        <f>dynamic[revenue]-(dynamic[productCost]*dynamic[orderQuantity])</f>
        <v>10.67225907</v>
      </c>
      <c r="T1791" s="25">
        <f>IFERROR(dynamic[profit]/dynamic[revenue], 0)</f>
        <v>0.1185806563</v>
      </c>
    </row>
    <row r="1792" ht="15.75" customHeight="1">
      <c r="A1792" s="6">
        <v>10938.0</v>
      </c>
      <c r="B1792" s="7" t="s">
        <v>36</v>
      </c>
      <c r="C1792" s="24" t="str">
        <f>VLOOKUP(dynamic[customerID],customers[],2,FALSE)</f>
        <v>QUICK-Stop</v>
      </c>
      <c r="D1792" s="24">
        <v>45361.0</v>
      </c>
      <c r="E1792" s="6">
        <f>IFERROR(__xludf.DUMMYFUNCTION("COUNTUNIQUEIFS($A$2:$A1792,$B$2:$B1792,B1792)"),24.0)</f>
        <v>24</v>
      </c>
      <c r="F1792" s="6">
        <f t="shared" si="1"/>
        <v>29</v>
      </c>
      <c r="G1792" s="6" t="str">
        <f>IF(MINIFS(dynamic[orderDate], dynamic[customerID], B1792) &gt;= DATE(2024,4,30)-120, 
     "New", 
     IF(MAXIFS(dynamic[orderCount], dynamic[customerID], B1792)&lt;=2, 
        IF((DATE(2024,4,30) - MAXIFS(dynamic[orderDate], dynamic[customerID], B1792)) &gt; 180, "Non-Returning", "Dormant"), 
        IF(AND(MAX(dynamic[sinceLastOrder]) &gt; 365, (DATE(2024,4,30) - MAXIFS(dynamic[orderDate], dynamic[customerID], B1792)) &gt; 180), 
           "Dormant", "Regular")))</f>
        <v>Regular</v>
      </c>
      <c r="H1792" s="6">
        <v>43.0</v>
      </c>
      <c r="I1792" s="9" t="str">
        <f>VLOOKUP(dynamic[productID],products[],2,FALSE)</f>
        <v>Ipoh Coffee</v>
      </c>
      <c r="J1792" s="9" t="str">
        <f>VLOOKUP(dynamic[productID],products[],12,FALSE)</f>
        <v>Beverages</v>
      </c>
      <c r="K1792" s="7" t="str">
        <f>IF(VLOOKUP(dynamic[productID],products[],7,FALSE)=1,"Discontinued","Current")</f>
        <v>Current</v>
      </c>
      <c r="L1792" s="9">
        <f>VLOOKUP(dynamic[productID],products[],IF(YEAR(dynamic[orderDate])=2022,8,IF(YEAR(dynamic[orderDate])=2023,9,IF(YEAR(dynamic[orderDate])=2024,10,NA))),FALSE)</f>
        <v>30.97984738</v>
      </c>
      <c r="M1792" s="9">
        <v>46.0</v>
      </c>
      <c r="N1792" s="25">
        <f>(dynamic[orderPrice]-dynamic[productCost])/dynamic[productCost]</f>
        <v>0.484836237</v>
      </c>
      <c r="O1792" s="10">
        <v>24.0</v>
      </c>
      <c r="P1792" s="25">
        <v>0.25</v>
      </c>
      <c r="Q1792" s="9">
        <f>dynamic[orderPrice]*dynamic[orderQuantity]</f>
        <v>1104</v>
      </c>
      <c r="R1792" s="9">
        <f>dynamic[orderTotal]*(1-dynamic[discountApllied])</f>
        <v>828</v>
      </c>
      <c r="S1792" s="9">
        <f>dynamic[revenue]-(dynamic[productCost]*dynamic[orderQuantity])</f>
        <v>84.48366299</v>
      </c>
      <c r="T1792" s="25">
        <f>IFERROR(dynamic[profit]/dynamic[revenue], 0)</f>
        <v>0.1020334094</v>
      </c>
    </row>
    <row r="1793" ht="15.75" customHeight="1">
      <c r="A1793" s="6">
        <v>10938.0</v>
      </c>
      <c r="B1793" s="7" t="s">
        <v>36</v>
      </c>
      <c r="C1793" s="24" t="str">
        <f>VLOOKUP(dynamic[customerID],customers[],2,FALSE)</f>
        <v>QUICK-Stop</v>
      </c>
      <c r="D1793" s="24">
        <v>45361.0</v>
      </c>
      <c r="E1793" s="6">
        <f>IFERROR(__xludf.DUMMYFUNCTION("COUNTUNIQUEIFS($A$2:$A1793,$B$2:$B1793,B1793)"),24.0)</f>
        <v>24</v>
      </c>
      <c r="F1793" s="6">
        <f t="shared" si="1"/>
        <v>29</v>
      </c>
      <c r="G1793" s="6" t="str">
        <f>IF(MINIFS(dynamic[orderDate], dynamic[customerID], B1793) &gt;= DATE(2024,4,30)-120, 
     "New", 
     IF(MAXIFS(dynamic[orderCount], dynamic[customerID], B1793)&lt;=2, 
        IF((DATE(2024,4,30) - MAXIFS(dynamic[orderDate], dynamic[customerID], B1793)) &gt; 180, "Non-Returning", "Dormant"), 
        IF(AND(MAX(dynamic[sinceLastOrder]) &gt; 365, (DATE(2024,4,30) - MAXIFS(dynamic[orderDate], dynamic[customerID], B1793)) &gt; 180), 
           "Dormant", "Regular")))</f>
        <v>Regular</v>
      </c>
      <c r="H1793" s="6">
        <v>60.0</v>
      </c>
      <c r="I1793" s="9" t="str">
        <f>VLOOKUP(dynamic[productID],products[],2,FALSE)</f>
        <v>Camembert Pierrot</v>
      </c>
      <c r="J1793" s="9" t="str">
        <f>VLOOKUP(dynamic[productID],products[],12,FALSE)</f>
        <v>Dairy Products</v>
      </c>
      <c r="K1793" s="7" t="str">
        <f>IF(VLOOKUP(dynamic[productID],products[],7,FALSE)=1,"Discontinued","Current")</f>
        <v>Current</v>
      </c>
      <c r="L1793" s="9">
        <f>VLOOKUP(dynamic[productID],products[],IF(YEAR(dynamic[orderDate])=2022,8,IF(YEAR(dynamic[orderDate])=2023,9,IF(YEAR(dynamic[orderDate])=2024,10,NA))),FALSE)</f>
        <v>22.49091154</v>
      </c>
      <c r="M1793" s="9">
        <v>34.0</v>
      </c>
      <c r="N1793" s="25">
        <f>(dynamic[orderPrice]-dynamic[productCost])/dynamic[productCost]</f>
        <v>0.5117217431</v>
      </c>
      <c r="O1793" s="10">
        <v>49.0</v>
      </c>
      <c r="P1793" s="25">
        <v>0.25</v>
      </c>
      <c r="Q1793" s="9">
        <f>dynamic[orderPrice]*dynamic[orderQuantity]</f>
        <v>1666</v>
      </c>
      <c r="R1793" s="9">
        <f>dynamic[orderTotal]*(1-dynamic[discountApllied])</f>
        <v>1249.5</v>
      </c>
      <c r="S1793" s="9">
        <f>dynamic[revenue]-(dynamic[productCost]*dynamic[orderQuantity])</f>
        <v>147.4453344</v>
      </c>
      <c r="T1793" s="25">
        <f>IFERROR(dynamic[profit]/dynamic[revenue], 0)</f>
        <v>0.1180034689</v>
      </c>
    </row>
    <row r="1794" ht="15.75" customHeight="1">
      <c r="A1794" s="6">
        <v>10938.0</v>
      </c>
      <c r="B1794" s="7" t="s">
        <v>36</v>
      </c>
      <c r="C1794" s="24" t="str">
        <f>VLOOKUP(dynamic[customerID],customers[],2,FALSE)</f>
        <v>QUICK-Stop</v>
      </c>
      <c r="D1794" s="24">
        <v>45361.0</v>
      </c>
      <c r="E1794" s="6">
        <f>IFERROR(__xludf.DUMMYFUNCTION("COUNTUNIQUEIFS($A$2:$A1794,$B$2:$B1794,B1794)"),24.0)</f>
        <v>24</v>
      </c>
      <c r="F1794" s="6">
        <f t="shared" si="1"/>
        <v>29</v>
      </c>
      <c r="G1794" s="6" t="str">
        <f>IF(MINIFS(dynamic[orderDate], dynamic[customerID], B1794) &gt;= DATE(2024,4,30)-120, 
     "New", 
     IF(MAXIFS(dynamic[orderCount], dynamic[customerID], B1794)&lt;=2, 
        IF((DATE(2024,4,30) - MAXIFS(dynamic[orderDate], dynamic[customerID], B1794)) &gt; 180, "Non-Returning", "Dormant"), 
        IF(AND(MAX(dynamic[sinceLastOrder]) &gt; 365, (DATE(2024,4,30) - MAXIFS(dynamic[orderDate], dynamic[customerID], B1794)) &gt; 180), 
           "Dormant", "Regular")))</f>
        <v>Regular</v>
      </c>
      <c r="H1794" s="6">
        <v>71.0</v>
      </c>
      <c r="I1794" s="9" t="str">
        <f>VLOOKUP(dynamic[productID],products[],2,FALSE)</f>
        <v>Flotemysost</v>
      </c>
      <c r="J1794" s="9" t="str">
        <f>VLOOKUP(dynamic[productID],products[],12,FALSE)</f>
        <v>Dairy Products</v>
      </c>
      <c r="K1794" s="7" t="str">
        <f>IF(VLOOKUP(dynamic[productID],products[],7,FALSE)=1,"Discontinued","Current")</f>
        <v>Current</v>
      </c>
      <c r="L1794" s="9">
        <f>VLOOKUP(dynamic[productID],products[],IF(YEAR(dynamic[orderDate])=2022,8,IF(YEAR(dynamic[orderDate])=2023,9,IF(YEAR(dynamic[orderDate])=2024,10,NA))),FALSE)</f>
        <v>14.20977576</v>
      </c>
      <c r="M1794" s="9">
        <v>21.5</v>
      </c>
      <c r="N1794" s="25">
        <f>(dynamic[orderPrice]-dynamic[productCost])/dynamic[productCost]</f>
        <v>0.5130428769</v>
      </c>
      <c r="O1794" s="10">
        <v>35.0</v>
      </c>
      <c r="P1794" s="25">
        <v>0.25</v>
      </c>
      <c r="Q1794" s="9">
        <f>dynamic[orderPrice]*dynamic[orderQuantity]</f>
        <v>752.5</v>
      </c>
      <c r="R1794" s="9">
        <f>dynamic[orderTotal]*(1-dynamic[discountApllied])</f>
        <v>564.375</v>
      </c>
      <c r="S1794" s="9">
        <f>dynamic[revenue]-(dynamic[productCost]*dynamic[orderQuantity])</f>
        <v>67.03284831</v>
      </c>
      <c r="T1794" s="25">
        <f>IFERROR(dynamic[profit]/dynamic[revenue], 0)</f>
        <v>0.1187735961</v>
      </c>
    </row>
    <row r="1795" ht="15.75" customHeight="1">
      <c r="A1795" s="6">
        <v>10939.0</v>
      </c>
      <c r="B1795" s="7" t="s">
        <v>37</v>
      </c>
      <c r="C1795" s="24" t="str">
        <f>VLOOKUP(dynamic[customerID],customers[],2,FALSE)</f>
        <v>Magazzini Alimentari Riuniti</v>
      </c>
      <c r="D1795" s="24">
        <v>45361.0</v>
      </c>
      <c r="E1795" s="6">
        <f>IFERROR(__xludf.DUMMYFUNCTION("COUNTUNIQUEIFS($A$2:$A1795,$B$2:$B1795,B1795)"),9.0)</f>
        <v>9</v>
      </c>
      <c r="F1795" s="6">
        <f t="shared" si="1"/>
        <v>63</v>
      </c>
      <c r="G1795" s="6" t="str">
        <f>IF(MINIFS(dynamic[orderDate], dynamic[customerID], B1795) &gt;= DATE(2024,4,30)-120, 
     "New", 
     IF(MAXIFS(dynamic[orderCount], dynamic[customerID], B1795)&lt;=2, 
        IF((DATE(2024,4,30) - MAXIFS(dynamic[orderDate], dynamic[customerID], B1795)) &gt; 180, "Non-Returning", "Dormant"), 
        IF(AND(MAX(dynamic[sinceLastOrder]) &gt; 365, (DATE(2024,4,30) - MAXIFS(dynamic[orderDate], dynamic[customerID], B1795)) &gt; 180), 
           "Dormant", "Regular")))</f>
        <v>Regular</v>
      </c>
      <c r="H1795" s="6">
        <v>2.0</v>
      </c>
      <c r="I1795" s="9" t="str">
        <f>VLOOKUP(dynamic[productID],products[],2,FALSE)</f>
        <v>Chang</v>
      </c>
      <c r="J1795" s="9" t="str">
        <f>VLOOKUP(dynamic[productID],products[],12,FALSE)</f>
        <v>Beverages</v>
      </c>
      <c r="K1795" s="7" t="str">
        <f>IF(VLOOKUP(dynamic[productID],products[],7,FALSE)=1,"Discontinued","Current")</f>
        <v>Current</v>
      </c>
      <c r="L1795" s="9">
        <f>VLOOKUP(dynamic[productID],products[],IF(YEAR(dynamic[orderDate])=2022,8,IF(YEAR(dynamic[orderDate])=2023,9,IF(YEAR(dynamic[orderDate])=2024,10,NA))),FALSE)</f>
        <v>11.93843713</v>
      </c>
      <c r="M1795" s="9">
        <v>19.0</v>
      </c>
      <c r="N1795" s="25">
        <f>(dynamic[orderPrice]-dynamic[productCost])/dynamic[productCost]</f>
        <v>0.591498099</v>
      </c>
      <c r="O1795" s="10">
        <v>10.0</v>
      </c>
      <c r="P1795" s="25">
        <v>0.15</v>
      </c>
      <c r="Q1795" s="9">
        <f>dynamic[orderPrice]*dynamic[orderQuantity]</f>
        <v>190</v>
      </c>
      <c r="R1795" s="9">
        <f>dynamic[orderTotal]*(1-dynamic[discountApllied])</f>
        <v>161.5</v>
      </c>
      <c r="S1795" s="9">
        <f>dynamic[revenue]-(dynamic[productCost]*dynamic[orderQuantity])</f>
        <v>42.11562868</v>
      </c>
      <c r="T1795" s="25">
        <f>IFERROR(dynamic[profit]/dynamic[revenue], 0)</f>
        <v>0.2607778866</v>
      </c>
    </row>
    <row r="1796" ht="15.75" customHeight="1">
      <c r="A1796" s="6">
        <v>10939.0</v>
      </c>
      <c r="B1796" s="7" t="s">
        <v>37</v>
      </c>
      <c r="C1796" s="24" t="str">
        <f>VLOOKUP(dynamic[customerID],customers[],2,FALSE)</f>
        <v>Magazzini Alimentari Riuniti</v>
      </c>
      <c r="D1796" s="24">
        <v>45361.0</v>
      </c>
      <c r="E1796" s="6">
        <f>IFERROR(__xludf.DUMMYFUNCTION("COUNTUNIQUEIFS($A$2:$A1796,$B$2:$B1796,B1796)"),9.0)</f>
        <v>9</v>
      </c>
      <c r="F1796" s="6">
        <f t="shared" si="1"/>
        <v>63</v>
      </c>
      <c r="G1796" s="6" t="str">
        <f>IF(MINIFS(dynamic[orderDate], dynamic[customerID], B1796) &gt;= DATE(2024,4,30)-120, 
     "New", 
     IF(MAXIFS(dynamic[orderCount], dynamic[customerID], B1796)&lt;=2, 
        IF((DATE(2024,4,30) - MAXIFS(dynamic[orderDate], dynamic[customerID], B1796)) &gt; 180, "Non-Returning", "Dormant"), 
        IF(AND(MAX(dynamic[sinceLastOrder]) &gt; 365, (DATE(2024,4,30) - MAXIFS(dynamic[orderDate], dynamic[customerID], B1796)) &gt; 180), 
           "Dormant", "Regular")))</f>
        <v>Regular</v>
      </c>
      <c r="H1796" s="6">
        <v>67.0</v>
      </c>
      <c r="I1796" s="9" t="str">
        <f>VLOOKUP(dynamic[productID],products[],2,FALSE)</f>
        <v>Laughing Lumberjack Lager</v>
      </c>
      <c r="J1796" s="9" t="str">
        <f>VLOOKUP(dynamic[productID],products[],12,FALSE)</f>
        <v>Beverages</v>
      </c>
      <c r="K1796" s="7" t="str">
        <f>IF(VLOOKUP(dynamic[productID],products[],7,FALSE)=1,"Discontinued","Current")</f>
        <v>Current</v>
      </c>
      <c r="L1796" s="9">
        <f>VLOOKUP(dynamic[productID],products[],IF(YEAR(dynamic[orderDate])=2022,8,IF(YEAR(dynamic[orderDate])=2023,9,IF(YEAR(dynamic[orderDate])=2024,10,NA))),FALSE)</f>
        <v>9.443192754</v>
      </c>
      <c r="M1796" s="9">
        <v>14.0</v>
      </c>
      <c r="N1796" s="25">
        <f>(dynamic[orderPrice]-dynamic[productCost])/dynamic[productCost]</f>
        <v>0.4825494263</v>
      </c>
      <c r="O1796" s="10">
        <v>40.0</v>
      </c>
      <c r="P1796" s="25">
        <v>0.15</v>
      </c>
      <c r="Q1796" s="9">
        <f>dynamic[orderPrice]*dynamic[orderQuantity]</f>
        <v>560</v>
      </c>
      <c r="R1796" s="9">
        <f>dynamic[orderTotal]*(1-dynamic[discountApllied])</f>
        <v>476</v>
      </c>
      <c r="S1796" s="9">
        <f>dynamic[revenue]-(dynamic[productCost]*dynamic[orderQuantity])</f>
        <v>98.27228984</v>
      </c>
      <c r="T1796" s="25">
        <f>IFERROR(dynamic[profit]/dynamic[revenue], 0)</f>
        <v>0.2064543904</v>
      </c>
    </row>
    <row r="1797" ht="15.75" customHeight="1">
      <c r="A1797" s="6">
        <v>10940.0</v>
      </c>
      <c r="B1797" s="7" t="s">
        <v>63</v>
      </c>
      <c r="C1797" s="24" t="str">
        <f>VLOOKUP(dynamic[customerID],customers[],2,FALSE)</f>
        <v>Bon app'</v>
      </c>
      <c r="D1797" s="24">
        <v>45362.0</v>
      </c>
      <c r="E1797" s="6">
        <f>IFERROR(__xludf.DUMMYFUNCTION("COUNTUNIQUEIFS($A$2:$A1797,$B$2:$B1797,B1797)"),16.0)</f>
        <v>16</v>
      </c>
      <c r="F1797" s="6">
        <f t="shared" si="1"/>
        <v>5</v>
      </c>
      <c r="G1797" s="6" t="str">
        <f>IF(MINIFS(dynamic[orderDate], dynamic[customerID], B1797) &gt;= DATE(2024,4,30)-120, 
     "New", 
     IF(MAXIFS(dynamic[orderCount], dynamic[customerID], B1797)&lt;=2, 
        IF((DATE(2024,4,30) - MAXIFS(dynamic[orderDate], dynamic[customerID], B1797)) &gt; 180, "Non-Returning", "Dormant"), 
        IF(AND(MAX(dynamic[sinceLastOrder]) &gt; 365, (DATE(2024,4,30) - MAXIFS(dynamic[orderDate], dynamic[customerID], B1797)) &gt; 180), 
           "Dormant", "Regular")))</f>
        <v>Regular</v>
      </c>
      <c r="H1797" s="6">
        <v>7.0</v>
      </c>
      <c r="I1797" s="9" t="str">
        <f>VLOOKUP(dynamic[productID],products[],2,FALSE)</f>
        <v>Uncle Bob's Organic Dried Pears</v>
      </c>
      <c r="J1797" s="9" t="str">
        <f>VLOOKUP(dynamic[productID],products[],12,FALSE)</f>
        <v>Produce</v>
      </c>
      <c r="K1797" s="7" t="str">
        <f>IF(VLOOKUP(dynamic[productID],products[],7,FALSE)=1,"Discontinued","Current")</f>
        <v>Current</v>
      </c>
      <c r="L1797" s="9">
        <f>VLOOKUP(dynamic[productID],products[],IF(YEAR(dynamic[orderDate])=2022,8,IF(YEAR(dynamic[orderDate])=2023,9,IF(YEAR(dynamic[orderDate])=2024,10,NA))),FALSE)</f>
        <v>23.52222246</v>
      </c>
      <c r="M1797" s="9">
        <v>30.0</v>
      </c>
      <c r="N1797" s="25">
        <f>(dynamic[orderPrice]-dynamic[productCost])/dynamic[productCost]</f>
        <v>0.2753896894</v>
      </c>
      <c r="O1797" s="10">
        <v>8.0</v>
      </c>
      <c r="P1797" s="25">
        <v>0.0</v>
      </c>
      <c r="Q1797" s="9">
        <f>dynamic[orderPrice]*dynamic[orderQuantity]</f>
        <v>240</v>
      </c>
      <c r="R1797" s="9">
        <f>dynamic[orderTotal]*(1-dynamic[discountApllied])</f>
        <v>240</v>
      </c>
      <c r="S1797" s="9">
        <f>dynamic[revenue]-(dynamic[productCost]*dynamic[orderQuantity])</f>
        <v>51.8222203</v>
      </c>
      <c r="T1797" s="25">
        <f>IFERROR(dynamic[profit]/dynamic[revenue], 0)</f>
        <v>0.2159259179</v>
      </c>
    </row>
    <row r="1798" ht="15.75" customHeight="1">
      <c r="A1798" s="6">
        <v>10940.0</v>
      </c>
      <c r="B1798" s="7" t="s">
        <v>63</v>
      </c>
      <c r="C1798" s="24" t="str">
        <f>VLOOKUP(dynamic[customerID],customers[],2,FALSE)</f>
        <v>Bon app'</v>
      </c>
      <c r="D1798" s="24">
        <v>45362.0</v>
      </c>
      <c r="E1798" s="6">
        <f>IFERROR(__xludf.DUMMYFUNCTION("COUNTUNIQUEIFS($A$2:$A1798,$B$2:$B1798,B1798)"),16.0)</f>
        <v>16</v>
      </c>
      <c r="F1798" s="6">
        <f t="shared" si="1"/>
        <v>5</v>
      </c>
      <c r="G1798" s="6" t="str">
        <f>IF(MINIFS(dynamic[orderDate], dynamic[customerID], B1798) &gt;= DATE(2024,4,30)-120, 
     "New", 
     IF(MAXIFS(dynamic[orderCount], dynamic[customerID], B1798)&lt;=2, 
        IF((DATE(2024,4,30) - MAXIFS(dynamic[orderDate], dynamic[customerID], B1798)) &gt; 180, "Non-Returning", "Dormant"), 
        IF(AND(MAX(dynamic[sinceLastOrder]) &gt; 365, (DATE(2024,4,30) - MAXIFS(dynamic[orderDate], dynamic[customerID], B1798)) &gt; 180), 
           "Dormant", "Regular")))</f>
        <v>Regular</v>
      </c>
      <c r="H1798" s="6">
        <v>13.0</v>
      </c>
      <c r="I1798" s="9" t="str">
        <f>VLOOKUP(dynamic[productID],products[],2,FALSE)</f>
        <v>Konbu</v>
      </c>
      <c r="J1798" s="9" t="str">
        <f>VLOOKUP(dynamic[productID],products[],12,FALSE)</f>
        <v>Seafood</v>
      </c>
      <c r="K1798" s="7" t="str">
        <f>IF(VLOOKUP(dynamic[productID],products[],7,FALSE)=1,"Discontinued","Current")</f>
        <v>Current</v>
      </c>
      <c r="L1798" s="9">
        <f>VLOOKUP(dynamic[productID],products[],IF(YEAR(dynamic[orderDate])=2022,8,IF(YEAR(dynamic[orderDate])=2023,9,IF(YEAR(dynamic[orderDate])=2024,10,NA))),FALSE)</f>
        <v>3.966387047</v>
      </c>
      <c r="M1798" s="9">
        <v>6.0</v>
      </c>
      <c r="N1798" s="25">
        <f>(dynamic[orderPrice]-dynamic[productCost])/dynamic[productCost]</f>
        <v>0.5127116768</v>
      </c>
      <c r="O1798" s="10">
        <v>20.0</v>
      </c>
      <c r="P1798" s="25">
        <v>0.0</v>
      </c>
      <c r="Q1798" s="9">
        <f>dynamic[orderPrice]*dynamic[orderQuantity]</f>
        <v>120</v>
      </c>
      <c r="R1798" s="9">
        <f>dynamic[orderTotal]*(1-dynamic[discountApllied])</f>
        <v>120</v>
      </c>
      <c r="S1798" s="9">
        <f>dynamic[revenue]-(dynamic[productCost]*dynamic[orderQuantity])</f>
        <v>40.67225907</v>
      </c>
      <c r="T1798" s="25">
        <f>IFERROR(dynamic[profit]/dynamic[revenue], 0)</f>
        <v>0.3389354922</v>
      </c>
    </row>
    <row r="1799" ht="15.75" customHeight="1">
      <c r="A1799" s="6">
        <v>10941.0</v>
      </c>
      <c r="B1799" s="7" t="s">
        <v>60</v>
      </c>
      <c r="C1799" s="24" t="str">
        <f>VLOOKUP(dynamic[customerID],customers[],2,FALSE)</f>
        <v>Save-a-lot Markets</v>
      </c>
      <c r="D1799" s="24">
        <v>45362.0</v>
      </c>
      <c r="E1799" s="6">
        <f>IFERROR(__xludf.DUMMYFUNCTION("COUNTUNIQUEIFS($A$2:$A1799,$B$2:$B1799,B1799)"),25.0)</f>
        <v>25</v>
      </c>
      <c r="F1799" s="6">
        <f t="shared" si="1"/>
        <v>22</v>
      </c>
      <c r="G1799" s="6" t="str">
        <f>IF(MINIFS(dynamic[orderDate], dynamic[customerID], B1799) &gt;= DATE(2024,4,30)-120, 
     "New", 
     IF(MAXIFS(dynamic[orderCount], dynamic[customerID], B1799)&lt;=2, 
        IF((DATE(2024,4,30) - MAXIFS(dynamic[orderDate], dynamic[customerID], B1799)) &gt; 180, "Non-Returning", "Dormant"), 
        IF(AND(MAX(dynamic[sinceLastOrder]) &gt; 365, (DATE(2024,4,30) - MAXIFS(dynamic[orderDate], dynamic[customerID], B1799)) &gt; 180), 
           "Dormant", "Regular")))</f>
        <v>Regular</v>
      </c>
      <c r="H1799" s="6">
        <v>31.0</v>
      </c>
      <c r="I1799" s="9" t="str">
        <f>VLOOKUP(dynamic[productID],products[],2,FALSE)</f>
        <v>Gorgonzola Telino</v>
      </c>
      <c r="J1799" s="9" t="str">
        <f>VLOOKUP(dynamic[productID],products[],12,FALSE)</f>
        <v>Dairy Products</v>
      </c>
      <c r="K1799" s="7" t="str">
        <f>IF(VLOOKUP(dynamic[productID],products[],7,FALSE)=1,"Discontinued","Current")</f>
        <v>Current</v>
      </c>
      <c r="L1799" s="9">
        <f>VLOOKUP(dynamic[productID],products[],IF(YEAR(dynamic[orderDate])=2022,8,IF(YEAR(dynamic[orderDate])=2023,9,IF(YEAR(dynamic[orderDate])=2024,10,NA))),FALSE)</f>
        <v>8.203054392</v>
      </c>
      <c r="M1799" s="9">
        <v>12.5</v>
      </c>
      <c r="N1799" s="25">
        <f>(dynamic[orderPrice]-dynamic[productCost])/dynamic[productCost]</f>
        <v>0.52382264</v>
      </c>
      <c r="O1799" s="10">
        <v>44.0</v>
      </c>
      <c r="P1799" s="25">
        <v>0.25</v>
      </c>
      <c r="Q1799" s="9">
        <f>dynamic[orderPrice]*dynamic[orderQuantity]</f>
        <v>550</v>
      </c>
      <c r="R1799" s="9">
        <f>dynamic[orderTotal]*(1-dynamic[discountApllied])</f>
        <v>412.5</v>
      </c>
      <c r="S1799" s="9">
        <f>dynamic[revenue]-(dynamic[productCost]*dynamic[orderQuantity])</f>
        <v>51.56560675</v>
      </c>
      <c r="T1799" s="25">
        <f>IFERROR(dynamic[profit]/dynamic[revenue], 0)</f>
        <v>0.1250075315</v>
      </c>
    </row>
    <row r="1800" ht="15.75" customHeight="1">
      <c r="A1800" s="6">
        <v>10941.0</v>
      </c>
      <c r="B1800" s="7" t="s">
        <v>60</v>
      </c>
      <c r="C1800" s="24" t="str">
        <f>VLOOKUP(dynamic[customerID],customers[],2,FALSE)</f>
        <v>Save-a-lot Markets</v>
      </c>
      <c r="D1800" s="24">
        <v>45362.0</v>
      </c>
      <c r="E1800" s="6">
        <f>IFERROR(__xludf.DUMMYFUNCTION("COUNTUNIQUEIFS($A$2:$A1800,$B$2:$B1800,B1800)"),25.0)</f>
        <v>25</v>
      </c>
      <c r="F1800" s="6">
        <f t="shared" si="1"/>
        <v>22</v>
      </c>
      <c r="G1800" s="6" t="str">
        <f>IF(MINIFS(dynamic[orderDate], dynamic[customerID], B1800) &gt;= DATE(2024,4,30)-120, 
     "New", 
     IF(MAXIFS(dynamic[orderCount], dynamic[customerID], B1800)&lt;=2, 
        IF((DATE(2024,4,30) - MAXIFS(dynamic[orderDate], dynamic[customerID], B1800)) &gt; 180, "Non-Returning", "Dormant"), 
        IF(AND(MAX(dynamic[sinceLastOrder]) &gt; 365, (DATE(2024,4,30) - MAXIFS(dynamic[orderDate], dynamic[customerID], B1800)) &gt; 180), 
           "Dormant", "Regular")))</f>
        <v>Regular</v>
      </c>
      <c r="H1800" s="6">
        <v>62.0</v>
      </c>
      <c r="I1800" s="9" t="str">
        <f>VLOOKUP(dynamic[productID],products[],2,FALSE)</f>
        <v>Tarte au sucre</v>
      </c>
      <c r="J1800" s="9" t="str">
        <f>VLOOKUP(dynamic[productID],products[],12,FALSE)</f>
        <v>Confections</v>
      </c>
      <c r="K1800" s="7" t="str">
        <f>IF(VLOOKUP(dynamic[productID],products[],7,FALSE)=1,"Discontinued","Current")</f>
        <v>Current</v>
      </c>
      <c r="L1800" s="9">
        <f>VLOOKUP(dynamic[productID],products[],IF(YEAR(dynamic[orderDate])=2022,8,IF(YEAR(dynamic[orderDate])=2023,9,IF(YEAR(dynamic[orderDate])=2024,10,NA))),FALSE)</f>
        <v>34.88145014</v>
      </c>
      <c r="M1800" s="9">
        <v>49.3</v>
      </c>
      <c r="N1800" s="25">
        <f>(dynamic[orderPrice]-dynamic[productCost])/dynamic[productCost]</f>
        <v>0.4133586705</v>
      </c>
      <c r="O1800" s="10">
        <v>30.0</v>
      </c>
      <c r="P1800" s="25">
        <v>0.25</v>
      </c>
      <c r="Q1800" s="9">
        <f>dynamic[orderPrice]*dynamic[orderQuantity]</f>
        <v>1479</v>
      </c>
      <c r="R1800" s="9">
        <f>dynamic[orderTotal]*(1-dynamic[discountApllied])</f>
        <v>1109.25</v>
      </c>
      <c r="S1800" s="9">
        <f>dynamic[revenue]-(dynamic[productCost]*dynamic[orderQuantity])</f>
        <v>62.8064957</v>
      </c>
      <c r="T1800" s="25">
        <f>IFERROR(dynamic[profit]/dynamic[revenue], 0)</f>
        <v>0.05662068578</v>
      </c>
    </row>
    <row r="1801" ht="15.75" customHeight="1">
      <c r="A1801" s="6">
        <v>10941.0</v>
      </c>
      <c r="B1801" s="7" t="s">
        <v>60</v>
      </c>
      <c r="C1801" s="24" t="str">
        <f>VLOOKUP(dynamic[customerID],customers[],2,FALSE)</f>
        <v>Save-a-lot Markets</v>
      </c>
      <c r="D1801" s="24">
        <v>45362.0</v>
      </c>
      <c r="E1801" s="6">
        <f>IFERROR(__xludf.DUMMYFUNCTION("COUNTUNIQUEIFS($A$2:$A1801,$B$2:$B1801,B1801)"),25.0)</f>
        <v>25</v>
      </c>
      <c r="F1801" s="6">
        <f t="shared" si="1"/>
        <v>22</v>
      </c>
      <c r="G1801" s="6" t="str">
        <f>IF(MINIFS(dynamic[orderDate], dynamic[customerID], B1801) &gt;= DATE(2024,4,30)-120, 
     "New", 
     IF(MAXIFS(dynamic[orderCount], dynamic[customerID], B1801)&lt;=2, 
        IF((DATE(2024,4,30) - MAXIFS(dynamic[orderDate], dynamic[customerID], B1801)) &gt; 180, "Non-Returning", "Dormant"), 
        IF(AND(MAX(dynamic[sinceLastOrder]) &gt; 365, (DATE(2024,4,30) - MAXIFS(dynamic[orderDate], dynamic[customerID], B1801)) &gt; 180), 
           "Dormant", "Regular")))</f>
        <v>Regular</v>
      </c>
      <c r="H1801" s="6">
        <v>68.0</v>
      </c>
      <c r="I1801" s="9" t="str">
        <f>VLOOKUP(dynamic[productID],products[],2,FALSE)</f>
        <v>Scottish Longbreads</v>
      </c>
      <c r="J1801" s="9" t="str">
        <f>VLOOKUP(dynamic[productID],products[],12,FALSE)</f>
        <v>Confections</v>
      </c>
      <c r="K1801" s="7" t="str">
        <f>IF(VLOOKUP(dynamic[productID],products[],7,FALSE)=1,"Discontinued","Current")</f>
        <v>Current</v>
      </c>
      <c r="L1801" s="9">
        <f>VLOOKUP(dynamic[productID],products[],IF(YEAR(dynamic[orderDate])=2022,8,IF(YEAR(dynamic[orderDate])=2023,9,IF(YEAR(dynamic[orderDate])=2024,10,NA))),FALSE)</f>
        <v>9.555031708</v>
      </c>
      <c r="M1801" s="9">
        <v>12.5</v>
      </c>
      <c r="N1801" s="25">
        <f>(dynamic[orderPrice]-dynamic[productCost])/dynamic[productCost]</f>
        <v>0.3082112527</v>
      </c>
      <c r="O1801" s="10">
        <v>80.0</v>
      </c>
      <c r="P1801" s="25">
        <v>0.25</v>
      </c>
      <c r="Q1801" s="9">
        <f>dynamic[orderPrice]*dynamic[orderQuantity]</f>
        <v>1000</v>
      </c>
      <c r="R1801" s="9">
        <f>dynamic[orderTotal]*(1-dynamic[discountApllied])</f>
        <v>750</v>
      </c>
      <c r="S1801" s="9">
        <f>dynamic[revenue]-(dynamic[productCost]*dynamic[orderQuantity])</f>
        <v>-14.40253661</v>
      </c>
      <c r="T1801" s="25">
        <f>IFERROR(dynamic[profit]/dynamic[revenue], 0)</f>
        <v>-0.01920338214</v>
      </c>
    </row>
    <row r="1802" ht="15.75" customHeight="1">
      <c r="A1802" s="6">
        <v>10941.0</v>
      </c>
      <c r="B1802" s="7" t="s">
        <v>60</v>
      </c>
      <c r="C1802" s="24" t="str">
        <f>VLOOKUP(dynamic[customerID],customers[],2,FALSE)</f>
        <v>Save-a-lot Markets</v>
      </c>
      <c r="D1802" s="24">
        <v>45362.0</v>
      </c>
      <c r="E1802" s="6">
        <f>IFERROR(__xludf.DUMMYFUNCTION("COUNTUNIQUEIFS($A$2:$A1802,$B$2:$B1802,B1802)"),25.0)</f>
        <v>25</v>
      </c>
      <c r="F1802" s="6">
        <f t="shared" si="1"/>
        <v>22</v>
      </c>
      <c r="G1802" s="6" t="str">
        <f>IF(MINIFS(dynamic[orderDate], dynamic[customerID], B1802) &gt;= DATE(2024,4,30)-120, 
     "New", 
     IF(MAXIFS(dynamic[orderCount], dynamic[customerID], B1802)&lt;=2, 
        IF((DATE(2024,4,30) - MAXIFS(dynamic[orderDate], dynamic[customerID], B1802)) &gt; 180, "Non-Returning", "Dormant"), 
        IF(AND(MAX(dynamic[sinceLastOrder]) &gt; 365, (DATE(2024,4,30) - MAXIFS(dynamic[orderDate], dynamic[customerID], B1802)) &gt; 180), 
           "Dormant", "Regular")))</f>
        <v>Regular</v>
      </c>
      <c r="H1802" s="6">
        <v>72.0</v>
      </c>
      <c r="I1802" s="9" t="str">
        <f>VLOOKUP(dynamic[productID],products[],2,FALSE)</f>
        <v>Mozzarella di Giovanni</v>
      </c>
      <c r="J1802" s="9" t="str">
        <f>VLOOKUP(dynamic[productID],products[],12,FALSE)</f>
        <v>Dairy Products</v>
      </c>
      <c r="K1802" s="7" t="str">
        <f>IF(VLOOKUP(dynamic[productID],products[],7,FALSE)=1,"Discontinued","Current")</f>
        <v>Current</v>
      </c>
      <c r="L1802" s="9">
        <f>VLOOKUP(dynamic[productID],products[],IF(YEAR(dynamic[orderDate])=2022,8,IF(YEAR(dynamic[orderDate])=2023,9,IF(YEAR(dynamic[orderDate])=2024,10,NA))),FALSE)</f>
        <v>24.35057898</v>
      </c>
      <c r="M1802" s="9">
        <v>34.8</v>
      </c>
      <c r="N1802" s="25">
        <f>(dynamic[orderPrice]-dynamic[productCost])/dynamic[productCost]</f>
        <v>0.4291241297</v>
      </c>
      <c r="O1802" s="10">
        <v>50.0</v>
      </c>
      <c r="P1802" s="25">
        <v>0.0</v>
      </c>
      <c r="Q1802" s="9">
        <f>dynamic[orderPrice]*dynamic[orderQuantity]</f>
        <v>1740</v>
      </c>
      <c r="R1802" s="9">
        <f>dynamic[orderTotal]*(1-dynamic[discountApllied])</f>
        <v>1740</v>
      </c>
      <c r="S1802" s="9">
        <f>dynamic[revenue]-(dynamic[productCost]*dynamic[orderQuantity])</f>
        <v>522.4710508</v>
      </c>
      <c r="T1802" s="25">
        <f>IFERROR(dynamic[profit]/dynamic[revenue], 0)</f>
        <v>0.3002707188</v>
      </c>
    </row>
    <row r="1803" ht="15.75" customHeight="1">
      <c r="A1803" s="6">
        <v>10942.0</v>
      </c>
      <c r="B1803" s="7" t="s">
        <v>45</v>
      </c>
      <c r="C1803" s="24" t="str">
        <f>VLOOKUP(dynamic[customerID],customers[],2,FALSE)</f>
        <v>Reggiani Caseifici</v>
      </c>
      <c r="D1803" s="24">
        <v>45362.0</v>
      </c>
      <c r="E1803" s="6">
        <f>IFERROR(__xludf.DUMMYFUNCTION("COUNTUNIQUEIFS($A$2:$A1803,$B$2:$B1803,B1803)"),10.0)</f>
        <v>10</v>
      </c>
      <c r="F1803" s="6">
        <f t="shared" si="1"/>
        <v>14</v>
      </c>
      <c r="G1803" s="6" t="str">
        <f>IF(MINIFS(dynamic[orderDate], dynamic[customerID], B1803) &gt;= DATE(2024,4,30)-120, 
     "New", 
     IF(MAXIFS(dynamic[orderCount], dynamic[customerID], B1803)&lt;=2, 
        IF((DATE(2024,4,30) - MAXIFS(dynamic[orderDate], dynamic[customerID], B1803)) &gt; 180, "Non-Returning", "Dormant"), 
        IF(AND(MAX(dynamic[sinceLastOrder]) &gt; 365, (DATE(2024,4,30) - MAXIFS(dynamic[orderDate], dynamic[customerID], B1803)) &gt; 180), 
           "Dormant", "Regular")))</f>
        <v>Regular</v>
      </c>
      <c r="H1803" s="6">
        <v>49.0</v>
      </c>
      <c r="I1803" s="9" t="str">
        <f>VLOOKUP(dynamic[productID],products[],2,FALSE)</f>
        <v>Maxilaku</v>
      </c>
      <c r="J1803" s="9" t="str">
        <f>VLOOKUP(dynamic[productID],products[],12,FALSE)</f>
        <v>Confections</v>
      </c>
      <c r="K1803" s="7" t="str">
        <f>IF(VLOOKUP(dynamic[productID],products[],7,FALSE)=1,"Discontinued","Current")</f>
        <v>Current</v>
      </c>
      <c r="L1803" s="9">
        <f>VLOOKUP(dynamic[productID],products[],IF(YEAR(dynamic[orderDate])=2022,8,IF(YEAR(dynamic[orderDate])=2023,9,IF(YEAR(dynamic[orderDate])=2024,10,NA))),FALSE)</f>
        <v>15.07459899</v>
      </c>
      <c r="M1803" s="9">
        <v>20.0</v>
      </c>
      <c r="N1803" s="25">
        <f>(dynamic[orderPrice]-dynamic[productCost])/dynamic[productCost]</f>
        <v>0.3267351269</v>
      </c>
      <c r="O1803" s="10">
        <v>28.0</v>
      </c>
      <c r="P1803" s="25">
        <v>0.0</v>
      </c>
      <c r="Q1803" s="9">
        <f>dynamic[orderPrice]*dynamic[orderQuantity]</f>
        <v>560</v>
      </c>
      <c r="R1803" s="9">
        <f>dynamic[orderTotal]*(1-dynamic[discountApllied])</f>
        <v>560</v>
      </c>
      <c r="S1803" s="9">
        <f>dynamic[revenue]-(dynamic[productCost]*dynamic[orderQuantity])</f>
        <v>137.9112284</v>
      </c>
      <c r="T1803" s="25">
        <f>IFERROR(dynamic[profit]/dynamic[revenue], 0)</f>
        <v>0.2462700507</v>
      </c>
    </row>
    <row r="1804" ht="15.75" customHeight="1">
      <c r="A1804" s="6">
        <v>10943.0</v>
      </c>
      <c r="B1804" s="7" t="s">
        <v>46</v>
      </c>
      <c r="C1804" s="24" t="str">
        <f>VLOOKUP(dynamic[customerID],customers[],2,FALSE)</f>
        <v>B's Beverages</v>
      </c>
      <c r="D1804" s="24">
        <v>45362.0</v>
      </c>
      <c r="E1804" s="6">
        <f>IFERROR(__xludf.DUMMYFUNCTION("COUNTUNIQUEIFS($A$2:$A1804,$B$2:$B1804,B1804)"),8.0)</f>
        <v>8</v>
      </c>
      <c r="F1804" s="6">
        <f t="shared" si="1"/>
        <v>240</v>
      </c>
      <c r="G1804" s="6" t="str">
        <f>IF(MINIFS(dynamic[orderDate], dynamic[customerID], B1804) &gt;= DATE(2024,4,30)-120, 
     "New", 
     IF(MAXIFS(dynamic[orderCount], dynamic[customerID], B1804)&lt;=2, 
        IF((DATE(2024,4,30) - MAXIFS(dynamic[orderDate], dynamic[customerID], B1804)) &gt; 180, "Non-Returning", "Dormant"), 
        IF(AND(MAX(dynamic[sinceLastOrder]) &gt; 365, (DATE(2024,4,30) - MAXIFS(dynamic[orderDate], dynamic[customerID], B1804)) &gt; 180), 
           "Dormant", "Regular")))</f>
        <v>Regular</v>
      </c>
      <c r="H1804" s="6">
        <v>13.0</v>
      </c>
      <c r="I1804" s="9" t="str">
        <f>VLOOKUP(dynamic[productID],products[],2,FALSE)</f>
        <v>Konbu</v>
      </c>
      <c r="J1804" s="9" t="str">
        <f>VLOOKUP(dynamic[productID],products[],12,FALSE)</f>
        <v>Seafood</v>
      </c>
      <c r="K1804" s="7" t="str">
        <f>IF(VLOOKUP(dynamic[productID],products[],7,FALSE)=1,"Discontinued","Current")</f>
        <v>Current</v>
      </c>
      <c r="L1804" s="9">
        <f>VLOOKUP(dynamic[productID],products[],IF(YEAR(dynamic[orderDate])=2022,8,IF(YEAR(dynamic[orderDate])=2023,9,IF(YEAR(dynamic[orderDate])=2024,10,NA))),FALSE)</f>
        <v>3.966387047</v>
      </c>
      <c r="M1804" s="9">
        <v>6.0</v>
      </c>
      <c r="N1804" s="25">
        <f>(dynamic[orderPrice]-dynamic[productCost])/dynamic[productCost]</f>
        <v>0.5127116768</v>
      </c>
      <c r="O1804" s="10">
        <v>15.0</v>
      </c>
      <c r="P1804" s="25">
        <v>0.0</v>
      </c>
      <c r="Q1804" s="9">
        <f>dynamic[orderPrice]*dynamic[orderQuantity]</f>
        <v>90</v>
      </c>
      <c r="R1804" s="9">
        <f>dynamic[orderTotal]*(1-dynamic[discountApllied])</f>
        <v>90</v>
      </c>
      <c r="S1804" s="9">
        <f>dynamic[revenue]-(dynamic[productCost]*dynamic[orderQuantity])</f>
        <v>30.5041943</v>
      </c>
      <c r="T1804" s="25">
        <f>IFERROR(dynamic[profit]/dynamic[revenue], 0)</f>
        <v>0.3389354922</v>
      </c>
    </row>
    <row r="1805" ht="15.75" customHeight="1">
      <c r="A1805" s="6">
        <v>10943.0</v>
      </c>
      <c r="B1805" s="7" t="s">
        <v>46</v>
      </c>
      <c r="C1805" s="24" t="str">
        <f>VLOOKUP(dynamic[customerID],customers[],2,FALSE)</f>
        <v>B's Beverages</v>
      </c>
      <c r="D1805" s="24">
        <v>45362.0</v>
      </c>
      <c r="E1805" s="6">
        <f>IFERROR(__xludf.DUMMYFUNCTION("COUNTUNIQUEIFS($A$2:$A1805,$B$2:$B1805,B1805)"),8.0)</f>
        <v>8</v>
      </c>
      <c r="F1805" s="6">
        <f t="shared" si="1"/>
        <v>240</v>
      </c>
      <c r="G1805" s="6" t="str">
        <f>IF(MINIFS(dynamic[orderDate], dynamic[customerID], B1805) &gt;= DATE(2024,4,30)-120, 
     "New", 
     IF(MAXIFS(dynamic[orderCount], dynamic[customerID], B1805)&lt;=2, 
        IF((DATE(2024,4,30) - MAXIFS(dynamic[orderDate], dynamic[customerID], B1805)) &gt; 180, "Non-Returning", "Dormant"), 
        IF(AND(MAX(dynamic[sinceLastOrder]) &gt; 365, (DATE(2024,4,30) - MAXIFS(dynamic[orderDate], dynamic[customerID], B1805)) &gt; 180), 
           "Dormant", "Regular")))</f>
        <v>Regular</v>
      </c>
      <c r="H1805" s="6">
        <v>22.0</v>
      </c>
      <c r="I1805" s="9" t="str">
        <f>VLOOKUP(dynamic[productID],products[],2,FALSE)</f>
        <v>Gustaf's Knäckebröd</v>
      </c>
      <c r="J1805" s="9" t="str">
        <f>VLOOKUP(dynamic[productID],products[],12,FALSE)</f>
        <v>Grains/Cereals</v>
      </c>
      <c r="K1805" s="7" t="str">
        <f>IF(VLOOKUP(dynamic[productID],products[],7,FALSE)=1,"Discontinued","Current")</f>
        <v>Current</v>
      </c>
      <c r="L1805" s="9">
        <f>VLOOKUP(dynamic[productID],products[],IF(YEAR(dynamic[orderDate])=2022,8,IF(YEAR(dynamic[orderDate])=2023,9,IF(YEAR(dynamic[orderDate])=2024,10,NA))),FALSE)</f>
        <v>16.3916268</v>
      </c>
      <c r="M1805" s="9">
        <v>21.0</v>
      </c>
      <c r="N1805" s="25">
        <f>(dynamic[orderPrice]-dynamic[productCost])/dynamic[productCost]</f>
        <v>0.2811419062</v>
      </c>
      <c r="O1805" s="10">
        <v>21.0</v>
      </c>
      <c r="P1805" s="25">
        <v>0.0</v>
      </c>
      <c r="Q1805" s="9">
        <f>dynamic[orderPrice]*dynamic[orderQuantity]</f>
        <v>441</v>
      </c>
      <c r="R1805" s="9">
        <f>dynamic[orderTotal]*(1-dynamic[discountApllied])</f>
        <v>441</v>
      </c>
      <c r="S1805" s="9">
        <f>dynamic[revenue]-(dynamic[productCost]*dynamic[orderQuantity])</f>
        <v>96.77583727</v>
      </c>
      <c r="T1805" s="25">
        <f>IFERROR(dynamic[profit]/dynamic[revenue], 0)</f>
        <v>0.219446343</v>
      </c>
    </row>
    <row r="1806" ht="15.75" customHeight="1">
      <c r="A1806" s="6">
        <v>10943.0</v>
      </c>
      <c r="B1806" s="7" t="s">
        <v>46</v>
      </c>
      <c r="C1806" s="24" t="str">
        <f>VLOOKUP(dynamic[customerID],customers[],2,FALSE)</f>
        <v>B's Beverages</v>
      </c>
      <c r="D1806" s="24">
        <v>45362.0</v>
      </c>
      <c r="E1806" s="6">
        <f>IFERROR(__xludf.DUMMYFUNCTION("COUNTUNIQUEIFS($A$2:$A1806,$B$2:$B1806,B1806)"),8.0)</f>
        <v>8</v>
      </c>
      <c r="F1806" s="6">
        <f t="shared" si="1"/>
        <v>240</v>
      </c>
      <c r="G1806" s="6" t="str">
        <f>IF(MINIFS(dynamic[orderDate], dynamic[customerID], B1806) &gt;= DATE(2024,4,30)-120, 
     "New", 
     IF(MAXIFS(dynamic[orderCount], dynamic[customerID], B1806)&lt;=2, 
        IF((DATE(2024,4,30) - MAXIFS(dynamic[orderDate], dynamic[customerID], B1806)) &gt; 180, "Non-Returning", "Dormant"), 
        IF(AND(MAX(dynamic[sinceLastOrder]) &gt; 365, (DATE(2024,4,30) - MAXIFS(dynamic[orderDate], dynamic[customerID], B1806)) &gt; 180), 
           "Dormant", "Regular")))</f>
        <v>Regular</v>
      </c>
      <c r="H1806" s="6">
        <v>46.0</v>
      </c>
      <c r="I1806" s="9" t="str">
        <f>VLOOKUP(dynamic[productID],products[],2,FALSE)</f>
        <v>Spegesild</v>
      </c>
      <c r="J1806" s="9" t="str">
        <f>VLOOKUP(dynamic[productID],products[],12,FALSE)</f>
        <v>Seafood</v>
      </c>
      <c r="K1806" s="7" t="str">
        <f>IF(VLOOKUP(dynamic[productID],products[],7,FALSE)=1,"Discontinued","Current")</f>
        <v>Current</v>
      </c>
      <c r="L1806" s="9">
        <f>VLOOKUP(dynamic[productID],products[],IF(YEAR(dynamic[orderDate])=2022,8,IF(YEAR(dynamic[orderDate])=2023,9,IF(YEAR(dynamic[orderDate])=2024,10,NA))),FALSE)</f>
        <v>8.247981557</v>
      </c>
      <c r="M1806" s="9">
        <v>12.0</v>
      </c>
      <c r="N1806" s="25">
        <f>(dynamic[orderPrice]-dynamic[productCost])/dynamic[productCost]</f>
        <v>0.4549014105</v>
      </c>
      <c r="O1806" s="10">
        <v>15.0</v>
      </c>
      <c r="P1806" s="25">
        <v>0.0</v>
      </c>
      <c r="Q1806" s="9">
        <f>dynamic[orderPrice]*dynamic[orderQuantity]</f>
        <v>180</v>
      </c>
      <c r="R1806" s="9">
        <f>dynamic[orderTotal]*(1-dynamic[discountApllied])</f>
        <v>180</v>
      </c>
      <c r="S1806" s="9">
        <f>dynamic[revenue]-(dynamic[productCost]*dynamic[orderQuantity])</f>
        <v>56.28027665</v>
      </c>
      <c r="T1806" s="25">
        <f>IFERROR(dynamic[profit]/dynamic[revenue], 0)</f>
        <v>0.3126682036</v>
      </c>
    </row>
    <row r="1807" ht="15.75" customHeight="1">
      <c r="A1807" s="6">
        <v>10944.0</v>
      </c>
      <c r="B1807" s="7" t="s">
        <v>81</v>
      </c>
      <c r="C1807" s="24" t="str">
        <f>VLOOKUP(dynamic[customerID],customers[],2,FALSE)</f>
        <v>Bottom-Dollar Markets</v>
      </c>
      <c r="D1807" s="24">
        <v>45363.0</v>
      </c>
      <c r="E1807" s="6">
        <f>IFERROR(__xludf.DUMMYFUNCTION("COUNTUNIQUEIFS($A$2:$A1807,$B$2:$B1807,B1807)"),8.0)</f>
        <v>8</v>
      </c>
      <c r="F1807" s="6">
        <f t="shared" si="1"/>
        <v>10</v>
      </c>
      <c r="G1807" s="6" t="str">
        <f>IF(MINIFS(dynamic[orderDate], dynamic[customerID], B1807) &gt;= DATE(2024,4,30)-120, 
     "New", 
     IF(MAXIFS(dynamic[orderCount], dynamic[customerID], B1807)&lt;=2, 
        IF((DATE(2024,4,30) - MAXIFS(dynamic[orderDate], dynamic[customerID], B1807)) &gt; 180, "Non-Returning", "Dormant"), 
        IF(AND(MAX(dynamic[sinceLastOrder]) &gt; 365, (DATE(2024,4,30) - MAXIFS(dynamic[orderDate], dynamic[customerID], B1807)) &gt; 180), 
           "Dormant", "Regular")))</f>
        <v>Regular</v>
      </c>
      <c r="H1807" s="6">
        <v>11.0</v>
      </c>
      <c r="I1807" s="9" t="str">
        <f>VLOOKUP(dynamic[productID],products[],2,FALSE)</f>
        <v>Queso Cabrales</v>
      </c>
      <c r="J1807" s="9" t="str">
        <f>VLOOKUP(dynamic[productID],products[],12,FALSE)</f>
        <v>Dairy Products</v>
      </c>
      <c r="K1807" s="7" t="str">
        <f>IF(VLOOKUP(dynamic[productID],products[],7,FALSE)=1,"Discontinued","Current")</f>
        <v>Current</v>
      </c>
      <c r="L1807" s="9">
        <f>VLOOKUP(dynamic[productID],products[],IF(YEAR(dynamic[orderDate])=2022,8,IF(YEAR(dynamic[orderDate])=2023,9,IF(YEAR(dynamic[orderDate])=2024,10,NA))),FALSE)</f>
        <v>13.86836261</v>
      </c>
      <c r="M1807" s="9">
        <v>21.0</v>
      </c>
      <c r="N1807" s="25">
        <f>(dynamic[orderPrice]-dynamic[productCost])/dynamic[productCost]</f>
        <v>0.51423788</v>
      </c>
      <c r="O1807" s="10">
        <v>5.0</v>
      </c>
      <c r="P1807" s="25">
        <v>0.25</v>
      </c>
      <c r="Q1807" s="9">
        <f>dynamic[orderPrice]*dynamic[orderQuantity]</f>
        <v>105</v>
      </c>
      <c r="R1807" s="9">
        <f>dynamic[orderTotal]*(1-dynamic[discountApllied])</f>
        <v>78.75</v>
      </c>
      <c r="S1807" s="9">
        <f>dynamic[revenue]-(dynamic[productCost]*dynamic[orderQuantity])</f>
        <v>9.408186943</v>
      </c>
      <c r="T1807" s="25">
        <f>IFERROR(dynamic[profit]/dynamic[revenue], 0)</f>
        <v>0.1194690406</v>
      </c>
    </row>
    <row r="1808" ht="15.75" customHeight="1">
      <c r="A1808" s="6">
        <v>10944.0</v>
      </c>
      <c r="B1808" s="7" t="s">
        <v>81</v>
      </c>
      <c r="C1808" s="24" t="str">
        <f>VLOOKUP(dynamic[customerID],customers[],2,FALSE)</f>
        <v>Bottom-Dollar Markets</v>
      </c>
      <c r="D1808" s="24">
        <v>45363.0</v>
      </c>
      <c r="E1808" s="6">
        <f>IFERROR(__xludf.DUMMYFUNCTION("COUNTUNIQUEIFS($A$2:$A1808,$B$2:$B1808,B1808)"),8.0)</f>
        <v>8</v>
      </c>
      <c r="F1808" s="6">
        <f t="shared" si="1"/>
        <v>10</v>
      </c>
      <c r="G1808" s="6" t="str">
        <f>IF(MINIFS(dynamic[orderDate], dynamic[customerID], B1808) &gt;= DATE(2024,4,30)-120, 
     "New", 
     IF(MAXIFS(dynamic[orderCount], dynamic[customerID], B1808)&lt;=2, 
        IF((DATE(2024,4,30) - MAXIFS(dynamic[orderDate], dynamic[customerID], B1808)) &gt; 180, "Non-Returning", "Dormant"), 
        IF(AND(MAX(dynamic[sinceLastOrder]) &gt; 365, (DATE(2024,4,30) - MAXIFS(dynamic[orderDate], dynamic[customerID], B1808)) &gt; 180), 
           "Dormant", "Regular")))</f>
        <v>Regular</v>
      </c>
      <c r="H1808" s="6">
        <v>44.0</v>
      </c>
      <c r="I1808" s="9" t="str">
        <f>VLOOKUP(dynamic[productID],products[],2,FALSE)</f>
        <v>Gula Malacca</v>
      </c>
      <c r="J1808" s="9" t="str">
        <f>VLOOKUP(dynamic[productID],products[],12,FALSE)</f>
        <v>Condiments</v>
      </c>
      <c r="K1808" s="7" t="str">
        <f>IF(VLOOKUP(dynamic[productID],products[],7,FALSE)=1,"Discontinued","Current")</f>
        <v>Current</v>
      </c>
      <c r="L1808" s="9">
        <f>VLOOKUP(dynamic[productID],products[],IF(YEAR(dynamic[orderDate])=2022,8,IF(YEAR(dynamic[orderDate])=2023,9,IF(YEAR(dynamic[orderDate])=2024,10,NA))),FALSE)</f>
        <v>12.27831512</v>
      </c>
      <c r="M1808" s="9">
        <v>19.45</v>
      </c>
      <c r="N1808" s="25">
        <f>(dynamic[orderPrice]-dynamic[productCost])/dynamic[productCost]</f>
        <v>0.5840935672</v>
      </c>
      <c r="O1808" s="10">
        <v>18.0</v>
      </c>
      <c r="P1808" s="25">
        <v>0.25</v>
      </c>
      <c r="Q1808" s="9">
        <f>dynamic[orderPrice]*dynamic[orderQuantity]</f>
        <v>350.1</v>
      </c>
      <c r="R1808" s="9">
        <f>dynamic[orderTotal]*(1-dynamic[discountApllied])</f>
        <v>262.575</v>
      </c>
      <c r="S1808" s="9">
        <f>dynamic[revenue]-(dynamic[productCost]*dynamic[orderQuantity])</f>
        <v>41.56532781</v>
      </c>
      <c r="T1808" s="25">
        <f>IFERROR(dynamic[profit]/dynamic[revenue], 0)</f>
        <v>0.1582988777</v>
      </c>
    </row>
    <row r="1809" ht="15.75" customHeight="1">
      <c r="A1809" s="6">
        <v>10944.0</v>
      </c>
      <c r="B1809" s="7" t="s">
        <v>81</v>
      </c>
      <c r="C1809" s="24" t="str">
        <f>VLOOKUP(dynamic[customerID],customers[],2,FALSE)</f>
        <v>Bottom-Dollar Markets</v>
      </c>
      <c r="D1809" s="24">
        <v>45363.0</v>
      </c>
      <c r="E1809" s="6">
        <f>IFERROR(__xludf.DUMMYFUNCTION("COUNTUNIQUEIFS($A$2:$A1809,$B$2:$B1809,B1809)"),8.0)</f>
        <v>8</v>
      </c>
      <c r="F1809" s="6">
        <f t="shared" si="1"/>
        <v>10</v>
      </c>
      <c r="G1809" s="6" t="str">
        <f>IF(MINIFS(dynamic[orderDate], dynamic[customerID], B1809) &gt;= DATE(2024,4,30)-120, 
     "New", 
     IF(MAXIFS(dynamic[orderCount], dynamic[customerID], B1809)&lt;=2, 
        IF((DATE(2024,4,30) - MAXIFS(dynamic[orderDate], dynamic[customerID], B1809)) &gt; 180, "Non-Returning", "Dormant"), 
        IF(AND(MAX(dynamic[sinceLastOrder]) &gt; 365, (DATE(2024,4,30) - MAXIFS(dynamic[orderDate], dynamic[customerID], B1809)) &gt; 180), 
           "Dormant", "Regular")))</f>
        <v>Regular</v>
      </c>
      <c r="H1809" s="6">
        <v>56.0</v>
      </c>
      <c r="I1809" s="9" t="str">
        <f>VLOOKUP(dynamic[productID],products[],2,FALSE)</f>
        <v>Gnocchi di nonna Alice</v>
      </c>
      <c r="J1809" s="9" t="str">
        <f>VLOOKUP(dynamic[productID],products[],12,FALSE)</f>
        <v>Grains/Cereals</v>
      </c>
      <c r="K1809" s="7" t="str">
        <f>IF(VLOOKUP(dynamic[productID],products[],7,FALSE)=1,"Discontinued","Current")</f>
        <v>Current</v>
      </c>
      <c r="L1809" s="9">
        <f>VLOOKUP(dynamic[productID],products[],IF(YEAR(dynamic[orderDate])=2022,8,IF(YEAR(dynamic[orderDate])=2023,9,IF(YEAR(dynamic[orderDate])=2024,10,NA))),FALSE)</f>
        <v>27.53915851</v>
      </c>
      <c r="M1809" s="9">
        <v>38.0</v>
      </c>
      <c r="N1809" s="25">
        <f>(dynamic[orderPrice]-dynamic[productCost])/dynamic[productCost]</f>
        <v>0.3798533452</v>
      </c>
      <c r="O1809" s="10">
        <v>18.0</v>
      </c>
      <c r="P1809" s="25">
        <v>0.0</v>
      </c>
      <c r="Q1809" s="9">
        <f>dynamic[orderPrice]*dynamic[orderQuantity]</f>
        <v>684</v>
      </c>
      <c r="R1809" s="9">
        <f>dynamic[orderTotal]*(1-dynamic[discountApllied])</f>
        <v>684</v>
      </c>
      <c r="S1809" s="9">
        <f>dynamic[revenue]-(dynamic[productCost]*dynamic[orderQuantity])</f>
        <v>188.2951467</v>
      </c>
      <c r="T1809" s="25">
        <f>IFERROR(dynamic[profit]/dynamic[revenue], 0)</f>
        <v>0.2752853023</v>
      </c>
    </row>
    <row r="1810" ht="15.75" customHeight="1">
      <c r="A1810" s="6">
        <v>10945.0</v>
      </c>
      <c r="B1810" s="7" t="s">
        <v>39</v>
      </c>
      <c r="C1810" s="24" t="str">
        <f>VLOOKUP(dynamic[customerID],customers[],2,FALSE)</f>
        <v>Morgenstern Gesundkost</v>
      </c>
      <c r="D1810" s="24">
        <v>45363.0</v>
      </c>
      <c r="E1810" s="6">
        <f>IFERROR(__xludf.DUMMYFUNCTION("COUNTUNIQUEIFS($A$2:$A1810,$B$2:$B1810,B1810)"),5.0)</f>
        <v>5</v>
      </c>
      <c r="F1810" s="6">
        <f t="shared" si="1"/>
        <v>87</v>
      </c>
      <c r="G1810" s="6" t="str">
        <f>IF(MINIFS(dynamic[orderDate], dynamic[customerID], B1810) &gt;= DATE(2024,4,30)-120, 
     "New", 
     IF(MAXIFS(dynamic[orderCount], dynamic[customerID], B1810)&lt;=2, 
        IF((DATE(2024,4,30) - MAXIFS(dynamic[orderDate], dynamic[customerID], B1810)) &gt; 180, "Non-Returning", "Dormant"), 
        IF(AND(MAX(dynamic[sinceLastOrder]) &gt; 365, (DATE(2024,4,30) - MAXIFS(dynamic[orderDate], dynamic[customerID], B1810)) &gt; 180), 
           "Dormant", "Regular")))</f>
        <v>Regular</v>
      </c>
      <c r="H1810" s="6">
        <v>13.0</v>
      </c>
      <c r="I1810" s="9" t="str">
        <f>VLOOKUP(dynamic[productID],products[],2,FALSE)</f>
        <v>Konbu</v>
      </c>
      <c r="J1810" s="9" t="str">
        <f>VLOOKUP(dynamic[productID],products[],12,FALSE)</f>
        <v>Seafood</v>
      </c>
      <c r="K1810" s="7" t="str">
        <f>IF(VLOOKUP(dynamic[productID],products[],7,FALSE)=1,"Discontinued","Current")</f>
        <v>Current</v>
      </c>
      <c r="L1810" s="9">
        <f>VLOOKUP(dynamic[productID],products[],IF(YEAR(dynamic[orderDate])=2022,8,IF(YEAR(dynamic[orderDate])=2023,9,IF(YEAR(dynamic[orderDate])=2024,10,NA))),FALSE)</f>
        <v>3.966387047</v>
      </c>
      <c r="M1810" s="9">
        <v>6.0</v>
      </c>
      <c r="N1810" s="25">
        <f>(dynamic[orderPrice]-dynamic[productCost])/dynamic[productCost]</f>
        <v>0.5127116768</v>
      </c>
      <c r="O1810" s="10">
        <v>20.0</v>
      </c>
      <c r="P1810" s="25">
        <v>0.0</v>
      </c>
      <c r="Q1810" s="9">
        <f>dynamic[orderPrice]*dynamic[orderQuantity]</f>
        <v>120</v>
      </c>
      <c r="R1810" s="9">
        <f>dynamic[orderTotal]*(1-dynamic[discountApllied])</f>
        <v>120</v>
      </c>
      <c r="S1810" s="9">
        <f>dynamic[revenue]-(dynamic[productCost]*dynamic[orderQuantity])</f>
        <v>40.67225907</v>
      </c>
      <c r="T1810" s="25">
        <f>IFERROR(dynamic[profit]/dynamic[revenue], 0)</f>
        <v>0.3389354922</v>
      </c>
    </row>
    <row r="1811" ht="15.75" customHeight="1">
      <c r="A1811" s="6">
        <v>10945.0</v>
      </c>
      <c r="B1811" s="7" t="s">
        <v>39</v>
      </c>
      <c r="C1811" s="24" t="str">
        <f>VLOOKUP(dynamic[customerID],customers[],2,FALSE)</f>
        <v>Morgenstern Gesundkost</v>
      </c>
      <c r="D1811" s="24">
        <v>45363.0</v>
      </c>
      <c r="E1811" s="6">
        <f>IFERROR(__xludf.DUMMYFUNCTION("COUNTUNIQUEIFS($A$2:$A1811,$B$2:$B1811,B1811)"),5.0)</f>
        <v>5</v>
      </c>
      <c r="F1811" s="6">
        <f t="shared" si="1"/>
        <v>87</v>
      </c>
      <c r="G1811" s="6" t="str">
        <f>IF(MINIFS(dynamic[orderDate], dynamic[customerID], B1811) &gt;= DATE(2024,4,30)-120, 
     "New", 
     IF(MAXIFS(dynamic[orderCount], dynamic[customerID], B1811)&lt;=2, 
        IF((DATE(2024,4,30) - MAXIFS(dynamic[orderDate], dynamic[customerID], B1811)) &gt; 180, "Non-Returning", "Dormant"), 
        IF(AND(MAX(dynamic[sinceLastOrder]) &gt; 365, (DATE(2024,4,30) - MAXIFS(dynamic[orderDate], dynamic[customerID], B1811)) &gt; 180), 
           "Dormant", "Regular")))</f>
        <v>Regular</v>
      </c>
      <c r="H1811" s="6">
        <v>31.0</v>
      </c>
      <c r="I1811" s="9" t="str">
        <f>VLOOKUP(dynamic[productID],products[],2,FALSE)</f>
        <v>Gorgonzola Telino</v>
      </c>
      <c r="J1811" s="9" t="str">
        <f>VLOOKUP(dynamic[productID],products[],12,FALSE)</f>
        <v>Dairy Products</v>
      </c>
      <c r="K1811" s="7" t="str">
        <f>IF(VLOOKUP(dynamic[productID],products[],7,FALSE)=1,"Discontinued","Current")</f>
        <v>Current</v>
      </c>
      <c r="L1811" s="9">
        <f>VLOOKUP(dynamic[productID],products[],IF(YEAR(dynamic[orderDate])=2022,8,IF(YEAR(dynamic[orderDate])=2023,9,IF(YEAR(dynamic[orderDate])=2024,10,NA))),FALSE)</f>
        <v>8.203054392</v>
      </c>
      <c r="M1811" s="9">
        <v>12.5</v>
      </c>
      <c r="N1811" s="25">
        <f>(dynamic[orderPrice]-dynamic[productCost])/dynamic[productCost]</f>
        <v>0.52382264</v>
      </c>
      <c r="O1811" s="10">
        <v>10.0</v>
      </c>
      <c r="P1811" s="25">
        <v>0.0</v>
      </c>
      <c r="Q1811" s="9">
        <f>dynamic[orderPrice]*dynamic[orderQuantity]</f>
        <v>125</v>
      </c>
      <c r="R1811" s="9">
        <f>dynamic[orderTotal]*(1-dynamic[discountApllied])</f>
        <v>125</v>
      </c>
      <c r="S1811" s="9">
        <f>dynamic[revenue]-(dynamic[productCost]*dynamic[orderQuantity])</f>
        <v>42.96945608</v>
      </c>
      <c r="T1811" s="25">
        <f>IFERROR(dynamic[profit]/dynamic[revenue], 0)</f>
        <v>0.3437556486</v>
      </c>
    </row>
    <row r="1812" ht="15.75" customHeight="1">
      <c r="A1812" s="6">
        <v>10946.0</v>
      </c>
      <c r="B1812" s="7" t="s">
        <v>76</v>
      </c>
      <c r="C1812" s="24" t="str">
        <f>VLOOKUP(dynamic[customerID],customers[],2,FALSE)</f>
        <v>Vaffeljernet</v>
      </c>
      <c r="D1812" s="24">
        <v>45363.0</v>
      </c>
      <c r="E1812" s="6">
        <f>IFERROR(__xludf.DUMMYFUNCTION("COUNTUNIQUEIFS($A$2:$A1812,$B$2:$B1812,B1812)"),10.0)</f>
        <v>10</v>
      </c>
      <c r="F1812" s="6">
        <f t="shared" si="1"/>
        <v>9</v>
      </c>
      <c r="G1812" s="6" t="str">
        <f>IF(MINIFS(dynamic[orderDate], dynamic[customerID], B1812) &gt;= DATE(2024,4,30)-120, 
     "New", 
     IF(MAXIFS(dynamic[orderCount], dynamic[customerID], B1812)&lt;=2, 
        IF((DATE(2024,4,30) - MAXIFS(dynamic[orderDate], dynamic[customerID], B1812)) &gt; 180, "Non-Returning", "Dormant"), 
        IF(AND(MAX(dynamic[sinceLastOrder]) &gt; 365, (DATE(2024,4,30) - MAXIFS(dynamic[orderDate], dynamic[customerID], B1812)) &gt; 180), 
           "Dormant", "Regular")))</f>
        <v>Regular</v>
      </c>
      <c r="H1812" s="6">
        <v>10.0</v>
      </c>
      <c r="I1812" s="9" t="str">
        <f>VLOOKUP(dynamic[productID],products[],2,FALSE)</f>
        <v>Ikura</v>
      </c>
      <c r="J1812" s="9" t="str">
        <f>VLOOKUP(dynamic[productID],products[],12,FALSE)</f>
        <v>Seafood</v>
      </c>
      <c r="K1812" s="7" t="str">
        <f>IF(VLOOKUP(dynamic[productID],products[],7,FALSE)=1,"Discontinued","Current")</f>
        <v>Current</v>
      </c>
      <c r="L1812" s="9">
        <f>VLOOKUP(dynamic[productID],products[],IF(YEAR(dynamic[orderDate])=2022,8,IF(YEAR(dynamic[orderDate])=2023,9,IF(YEAR(dynamic[orderDate])=2024,10,NA))),FALSE)</f>
        <v>20.90394627</v>
      </c>
      <c r="M1812" s="9">
        <v>31.0</v>
      </c>
      <c r="N1812" s="25">
        <f>(dynamic[orderPrice]-dynamic[productCost])/dynamic[productCost]</f>
        <v>0.4829735786</v>
      </c>
      <c r="O1812" s="10">
        <v>25.0</v>
      </c>
      <c r="P1812" s="25">
        <v>0.0</v>
      </c>
      <c r="Q1812" s="9">
        <f>dynamic[orderPrice]*dynamic[orderQuantity]</f>
        <v>775</v>
      </c>
      <c r="R1812" s="9">
        <f>dynamic[orderTotal]*(1-dynamic[discountApllied])</f>
        <v>775</v>
      </c>
      <c r="S1812" s="9">
        <f>dynamic[revenue]-(dynamic[productCost]*dynamic[orderQuantity])</f>
        <v>252.4013434</v>
      </c>
      <c r="T1812" s="25">
        <f>IFERROR(dynamic[profit]/dynamic[revenue], 0)</f>
        <v>0.3256791527</v>
      </c>
    </row>
    <row r="1813" ht="15.75" customHeight="1">
      <c r="A1813" s="6">
        <v>10946.0</v>
      </c>
      <c r="B1813" s="7" t="s">
        <v>76</v>
      </c>
      <c r="C1813" s="24" t="str">
        <f>VLOOKUP(dynamic[customerID],customers[],2,FALSE)</f>
        <v>Vaffeljernet</v>
      </c>
      <c r="D1813" s="24">
        <v>45363.0</v>
      </c>
      <c r="E1813" s="6">
        <f>IFERROR(__xludf.DUMMYFUNCTION("COUNTUNIQUEIFS($A$2:$A1813,$B$2:$B1813,B1813)"),10.0)</f>
        <v>10</v>
      </c>
      <c r="F1813" s="6">
        <f t="shared" si="1"/>
        <v>9</v>
      </c>
      <c r="G1813" s="6" t="str">
        <f>IF(MINIFS(dynamic[orderDate], dynamic[customerID], B1813) &gt;= DATE(2024,4,30)-120, 
     "New", 
     IF(MAXIFS(dynamic[orderCount], dynamic[customerID], B1813)&lt;=2, 
        IF((DATE(2024,4,30) - MAXIFS(dynamic[orderDate], dynamic[customerID], B1813)) &gt; 180, "Non-Returning", "Dormant"), 
        IF(AND(MAX(dynamic[sinceLastOrder]) &gt; 365, (DATE(2024,4,30) - MAXIFS(dynamic[orderDate], dynamic[customerID], B1813)) &gt; 180), 
           "Dormant", "Regular")))</f>
        <v>Regular</v>
      </c>
      <c r="H1813" s="6">
        <v>24.0</v>
      </c>
      <c r="I1813" s="9" t="str">
        <f>VLOOKUP(dynamic[productID],products[],2,FALSE)</f>
        <v>Brigadeiros Maravilhosos da Lilian</v>
      </c>
      <c r="J1813" s="9" t="str">
        <f>VLOOKUP(dynamic[productID],products[],12,FALSE)</f>
        <v>Confections</v>
      </c>
      <c r="K1813" s="7" t="str">
        <f>IF(VLOOKUP(dynamic[productID],products[],7,FALSE)=1,"Discontinued","Current")</f>
        <v>Discontinued</v>
      </c>
      <c r="L1813" s="9">
        <f>VLOOKUP(dynamic[productID],products[],IF(YEAR(dynamic[orderDate])=2022,8,IF(YEAR(dynamic[orderDate])=2023,9,IF(YEAR(dynamic[orderDate])=2024,10,NA))),FALSE)</f>
        <v>3.177326315</v>
      </c>
      <c r="M1813" s="9">
        <v>4.5</v>
      </c>
      <c r="N1813" s="25">
        <f>(dynamic[orderPrice]-dynamic[productCost])/dynamic[productCost]</f>
        <v>0.416285126</v>
      </c>
      <c r="O1813" s="10">
        <v>25.0</v>
      </c>
      <c r="P1813" s="25">
        <v>0.0</v>
      </c>
      <c r="Q1813" s="9">
        <f>dynamic[orderPrice]*dynamic[orderQuantity]</f>
        <v>112.5</v>
      </c>
      <c r="R1813" s="9">
        <f>dynamic[orderTotal]*(1-dynamic[discountApllied])</f>
        <v>112.5</v>
      </c>
      <c r="S1813" s="9">
        <f>dynamic[revenue]-(dynamic[productCost]*dynamic[orderQuantity])</f>
        <v>33.06684213</v>
      </c>
      <c r="T1813" s="25">
        <f>IFERROR(dynamic[profit]/dynamic[revenue], 0)</f>
        <v>0.2939274856</v>
      </c>
    </row>
    <row r="1814" ht="15.75" customHeight="1">
      <c r="A1814" s="6">
        <v>10946.0</v>
      </c>
      <c r="B1814" s="7" t="s">
        <v>76</v>
      </c>
      <c r="C1814" s="24" t="str">
        <f>VLOOKUP(dynamic[customerID],customers[],2,FALSE)</f>
        <v>Vaffeljernet</v>
      </c>
      <c r="D1814" s="24">
        <v>45363.0</v>
      </c>
      <c r="E1814" s="6">
        <f>IFERROR(__xludf.DUMMYFUNCTION("COUNTUNIQUEIFS($A$2:$A1814,$B$2:$B1814,B1814)"),10.0)</f>
        <v>10</v>
      </c>
      <c r="F1814" s="6">
        <f t="shared" si="1"/>
        <v>9</v>
      </c>
      <c r="G1814" s="6" t="str">
        <f>IF(MINIFS(dynamic[orderDate], dynamic[customerID], B1814) &gt;= DATE(2024,4,30)-120, 
     "New", 
     IF(MAXIFS(dynamic[orderCount], dynamic[customerID], B1814)&lt;=2, 
        IF((DATE(2024,4,30) - MAXIFS(dynamic[orderDate], dynamic[customerID], B1814)) &gt; 180, "Non-Returning", "Dormant"), 
        IF(AND(MAX(dynamic[sinceLastOrder]) &gt; 365, (DATE(2024,4,30) - MAXIFS(dynamic[orderDate], dynamic[customerID], B1814)) &gt; 180), 
           "Dormant", "Regular")))</f>
        <v>Regular</v>
      </c>
      <c r="H1814" s="6">
        <v>77.0</v>
      </c>
      <c r="I1814" s="9" t="str">
        <f>VLOOKUP(dynamic[productID],products[],2,FALSE)</f>
        <v>Original Frankfurter grüne Soße</v>
      </c>
      <c r="J1814" s="9" t="str">
        <f>VLOOKUP(dynamic[productID],products[],12,FALSE)</f>
        <v>Condiments</v>
      </c>
      <c r="K1814" s="7" t="str">
        <f>IF(VLOOKUP(dynamic[productID],products[],7,FALSE)=1,"Discontinued","Current")</f>
        <v>Current</v>
      </c>
      <c r="L1814" s="9">
        <f>VLOOKUP(dynamic[productID],products[],IF(YEAR(dynamic[orderDate])=2022,8,IF(YEAR(dynamic[orderDate])=2023,9,IF(YEAR(dynamic[orderDate])=2024,10,NA))),FALSE)</f>
        <v>9.299025151</v>
      </c>
      <c r="M1814" s="9">
        <v>13.0</v>
      </c>
      <c r="N1814" s="25">
        <f>(dynamic[orderPrice]-dynamic[productCost])/dynamic[productCost]</f>
        <v>0.3979960037</v>
      </c>
      <c r="O1814" s="10">
        <v>40.0</v>
      </c>
      <c r="P1814" s="25">
        <v>0.0</v>
      </c>
      <c r="Q1814" s="9">
        <f>dynamic[orderPrice]*dynamic[orderQuantity]</f>
        <v>520</v>
      </c>
      <c r="R1814" s="9">
        <f>dynamic[orderTotal]*(1-dynamic[discountApllied])</f>
        <v>520</v>
      </c>
      <c r="S1814" s="9">
        <f>dynamic[revenue]-(dynamic[productCost]*dynamic[orderQuantity])</f>
        <v>148.0389939</v>
      </c>
      <c r="T1814" s="25">
        <f>IFERROR(dynamic[profit]/dynamic[revenue], 0)</f>
        <v>0.284690373</v>
      </c>
    </row>
    <row r="1815" ht="15.75" customHeight="1">
      <c r="A1815" s="6">
        <v>10947.0</v>
      </c>
      <c r="B1815" s="7" t="s">
        <v>46</v>
      </c>
      <c r="C1815" s="24" t="str">
        <f>VLOOKUP(dynamic[customerID],customers[],2,FALSE)</f>
        <v>B's Beverages</v>
      </c>
      <c r="D1815" s="24">
        <v>45364.0</v>
      </c>
      <c r="E1815" s="6">
        <f>IFERROR(__xludf.DUMMYFUNCTION("COUNTUNIQUEIFS($A$2:$A1815,$B$2:$B1815,B1815)"),9.0)</f>
        <v>9</v>
      </c>
      <c r="F1815" s="6">
        <f t="shared" si="1"/>
        <v>2</v>
      </c>
      <c r="G1815" s="6" t="str">
        <f>IF(MINIFS(dynamic[orderDate], dynamic[customerID], B1815) &gt;= DATE(2024,4,30)-120, 
     "New", 
     IF(MAXIFS(dynamic[orderCount], dynamic[customerID], B1815)&lt;=2, 
        IF((DATE(2024,4,30) - MAXIFS(dynamic[orderDate], dynamic[customerID], B1815)) &gt; 180, "Non-Returning", "Dormant"), 
        IF(AND(MAX(dynamic[sinceLastOrder]) &gt; 365, (DATE(2024,4,30) - MAXIFS(dynamic[orderDate], dynamic[customerID], B1815)) &gt; 180), 
           "Dormant", "Regular")))</f>
        <v>Regular</v>
      </c>
      <c r="H1815" s="6">
        <v>59.0</v>
      </c>
      <c r="I1815" s="9" t="str">
        <f>VLOOKUP(dynamic[productID],products[],2,FALSE)</f>
        <v>Raclette Courdavault</v>
      </c>
      <c r="J1815" s="9" t="str">
        <f>VLOOKUP(dynamic[productID],products[],12,FALSE)</f>
        <v>Dairy Products</v>
      </c>
      <c r="K1815" s="7" t="str">
        <f>IF(VLOOKUP(dynamic[productID],products[],7,FALSE)=1,"Discontinued","Current")</f>
        <v>Current</v>
      </c>
      <c r="L1815" s="9">
        <f>VLOOKUP(dynamic[productID],products[],IF(YEAR(dynamic[orderDate])=2022,8,IF(YEAR(dynamic[orderDate])=2023,9,IF(YEAR(dynamic[orderDate])=2024,10,NA))),FALSE)</f>
        <v>36.74863711</v>
      </c>
      <c r="M1815" s="9">
        <v>55.0</v>
      </c>
      <c r="N1815" s="25">
        <f>(dynamic[orderPrice]-dynamic[productCost])/dynamic[productCost]</f>
        <v>0.4966541435</v>
      </c>
      <c r="O1815" s="10">
        <v>4.0</v>
      </c>
      <c r="P1815" s="25">
        <v>0.0</v>
      </c>
      <c r="Q1815" s="9">
        <f>dynamic[orderPrice]*dynamic[orderQuantity]</f>
        <v>220</v>
      </c>
      <c r="R1815" s="9">
        <f>dynamic[orderTotal]*(1-dynamic[discountApllied])</f>
        <v>220</v>
      </c>
      <c r="S1815" s="9">
        <f>dynamic[revenue]-(dynamic[productCost]*dynamic[orderQuantity])</f>
        <v>73.00545156</v>
      </c>
      <c r="T1815" s="25">
        <f>IFERROR(dynamic[profit]/dynamic[revenue], 0)</f>
        <v>0.3318429616</v>
      </c>
    </row>
    <row r="1816" ht="15.75" customHeight="1">
      <c r="A1816" s="6">
        <v>10948.0</v>
      </c>
      <c r="B1816" s="7" t="s">
        <v>51</v>
      </c>
      <c r="C1816" s="24" t="str">
        <f>VLOOKUP(dynamic[customerID],customers[],2,FALSE)</f>
        <v>Godos Cocina Típica</v>
      </c>
      <c r="D1816" s="24">
        <v>45364.0</v>
      </c>
      <c r="E1816" s="6">
        <f>IFERROR(__xludf.DUMMYFUNCTION("COUNTUNIQUEIFS($A$2:$A1816,$B$2:$B1816,B1816)"),8.0)</f>
        <v>8</v>
      </c>
      <c r="F1816" s="6">
        <f t="shared" si="1"/>
        <v>16</v>
      </c>
      <c r="G1816" s="6" t="str">
        <f>IF(MINIFS(dynamic[orderDate], dynamic[customerID], B1816) &gt;= DATE(2024,4,30)-120, 
     "New", 
     IF(MAXIFS(dynamic[orderCount], dynamic[customerID], B1816)&lt;=2, 
        IF((DATE(2024,4,30) - MAXIFS(dynamic[orderDate], dynamic[customerID], B1816)) &gt; 180, "Non-Returning", "Dormant"), 
        IF(AND(MAX(dynamic[sinceLastOrder]) &gt; 365, (DATE(2024,4,30) - MAXIFS(dynamic[orderDate], dynamic[customerID], B1816)) &gt; 180), 
           "Dormant", "Regular")))</f>
        <v>Regular</v>
      </c>
      <c r="H1816" s="6">
        <v>50.0</v>
      </c>
      <c r="I1816" s="9" t="str">
        <f>VLOOKUP(dynamic[productID],products[],2,FALSE)</f>
        <v>Valkoinen suklaa</v>
      </c>
      <c r="J1816" s="9" t="str">
        <f>VLOOKUP(dynamic[productID],products[],12,FALSE)</f>
        <v>Confections</v>
      </c>
      <c r="K1816" s="7" t="str">
        <f>IF(VLOOKUP(dynamic[productID],products[],7,FALSE)=1,"Discontinued","Current")</f>
        <v>Current</v>
      </c>
      <c r="L1816" s="9">
        <f>VLOOKUP(dynamic[productID],products[],IF(YEAR(dynamic[orderDate])=2022,8,IF(YEAR(dynamic[orderDate])=2023,9,IF(YEAR(dynamic[orderDate])=2024,10,NA))),FALSE)</f>
        <v>12.64292203</v>
      </c>
      <c r="M1816" s="9">
        <v>16.25</v>
      </c>
      <c r="N1816" s="25">
        <f>(dynamic[orderPrice]-dynamic[productCost])/dynamic[productCost]</f>
        <v>0.2853041375</v>
      </c>
      <c r="O1816" s="10">
        <v>9.0</v>
      </c>
      <c r="P1816" s="25">
        <v>0.0</v>
      </c>
      <c r="Q1816" s="9">
        <f>dynamic[orderPrice]*dynamic[orderQuantity]</f>
        <v>146.25</v>
      </c>
      <c r="R1816" s="9">
        <f>dynamic[orderTotal]*(1-dynamic[discountApllied])</f>
        <v>146.25</v>
      </c>
      <c r="S1816" s="9">
        <f>dynamic[revenue]-(dynamic[productCost]*dynamic[orderQuantity])</f>
        <v>32.4637017</v>
      </c>
      <c r="T1816" s="25">
        <f>IFERROR(dynamic[profit]/dynamic[revenue], 0)</f>
        <v>0.2219740287</v>
      </c>
    </row>
    <row r="1817" ht="15.75" customHeight="1">
      <c r="A1817" s="6">
        <v>10948.0</v>
      </c>
      <c r="B1817" s="7" t="s">
        <v>51</v>
      </c>
      <c r="C1817" s="24" t="str">
        <f>VLOOKUP(dynamic[customerID],customers[],2,FALSE)</f>
        <v>Godos Cocina Típica</v>
      </c>
      <c r="D1817" s="24">
        <v>45364.0</v>
      </c>
      <c r="E1817" s="6">
        <f>IFERROR(__xludf.DUMMYFUNCTION("COUNTUNIQUEIFS($A$2:$A1817,$B$2:$B1817,B1817)"),8.0)</f>
        <v>8</v>
      </c>
      <c r="F1817" s="6">
        <f t="shared" si="1"/>
        <v>16</v>
      </c>
      <c r="G1817" s="6" t="str">
        <f>IF(MINIFS(dynamic[orderDate], dynamic[customerID], B1817) &gt;= DATE(2024,4,30)-120, 
     "New", 
     IF(MAXIFS(dynamic[orderCount], dynamic[customerID], B1817)&lt;=2, 
        IF((DATE(2024,4,30) - MAXIFS(dynamic[orderDate], dynamic[customerID], B1817)) &gt; 180, "Non-Returning", "Dormant"), 
        IF(AND(MAX(dynamic[sinceLastOrder]) &gt; 365, (DATE(2024,4,30) - MAXIFS(dynamic[orderDate], dynamic[customerID], B1817)) &gt; 180), 
           "Dormant", "Regular")))</f>
        <v>Regular</v>
      </c>
      <c r="H1817" s="6">
        <v>51.0</v>
      </c>
      <c r="I1817" s="9" t="str">
        <f>VLOOKUP(dynamic[productID],products[],2,FALSE)</f>
        <v>Manjimup Dried Apples</v>
      </c>
      <c r="J1817" s="9" t="str">
        <f>VLOOKUP(dynamic[productID],products[],12,FALSE)</f>
        <v>Produce</v>
      </c>
      <c r="K1817" s="7" t="str">
        <f>IF(VLOOKUP(dynamic[productID],products[],7,FALSE)=1,"Discontinued","Current")</f>
        <v>Current</v>
      </c>
      <c r="L1817" s="9">
        <f>VLOOKUP(dynamic[productID],products[],IF(YEAR(dynamic[orderDate])=2022,8,IF(YEAR(dynamic[orderDate])=2023,9,IF(YEAR(dynamic[orderDate])=2024,10,NA))),FALSE)</f>
        <v>39.51416462</v>
      </c>
      <c r="M1817" s="9">
        <v>53.0</v>
      </c>
      <c r="N1817" s="25">
        <f>(dynamic[orderPrice]-dynamic[productCost])/dynamic[productCost]</f>
        <v>0.3412911677</v>
      </c>
      <c r="O1817" s="10">
        <v>40.0</v>
      </c>
      <c r="P1817" s="25">
        <v>0.0</v>
      </c>
      <c r="Q1817" s="9">
        <f>dynamic[orderPrice]*dynamic[orderQuantity]</f>
        <v>2120</v>
      </c>
      <c r="R1817" s="9">
        <f>dynamic[orderTotal]*(1-dynamic[discountApllied])</f>
        <v>2120</v>
      </c>
      <c r="S1817" s="9">
        <f>dynamic[revenue]-(dynamic[productCost]*dynamic[orderQuantity])</f>
        <v>539.4334153</v>
      </c>
      <c r="T1817" s="25">
        <f>IFERROR(dynamic[profit]/dynamic[revenue], 0)</f>
        <v>0.2544497242</v>
      </c>
    </row>
    <row r="1818" ht="15.75" customHeight="1">
      <c r="A1818" s="6">
        <v>10948.0</v>
      </c>
      <c r="B1818" s="7" t="s">
        <v>51</v>
      </c>
      <c r="C1818" s="24" t="str">
        <f>VLOOKUP(dynamic[customerID],customers[],2,FALSE)</f>
        <v>Godos Cocina Típica</v>
      </c>
      <c r="D1818" s="24">
        <v>45364.0</v>
      </c>
      <c r="E1818" s="6">
        <f>IFERROR(__xludf.DUMMYFUNCTION("COUNTUNIQUEIFS($A$2:$A1818,$B$2:$B1818,B1818)"),8.0)</f>
        <v>8</v>
      </c>
      <c r="F1818" s="6">
        <f t="shared" si="1"/>
        <v>16</v>
      </c>
      <c r="G1818" s="6" t="str">
        <f>IF(MINIFS(dynamic[orderDate], dynamic[customerID], B1818) &gt;= DATE(2024,4,30)-120, 
     "New", 
     IF(MAXIFS(dynamic[orderCount], dynamic[customerID], B1818)&lt;=2, 
        IF((DATE(2024,4,30) - MAXIFS(dynamic[orderDate], dynamic[customerID], B1818)) &gt; 180, "Non-Returning", "Dormant"), 
        IF(AND(MAX(dynamic[sinceLastOrder]) &gt; 365, (DATE(2024,4,30) - MAXIFS(dynamic[orderDate], dynamic[customerID], B1818)) &gt; 180), 
           "Dormant", "Regular")))</f>
        <v>Regular</v>
      </c>
      <c r="H1818" s="6">
        <v>55.0</v>
      </c>
      <c r="I1818" s="9" t="str">
        <f>VLOOKUP(dynamic[productID],products[],2,FALSE)</f>
        <v>Pâté chinois</v>
      </c>
      <c r="J1818" s="9" t="str">
        <f>VLOOKUP(dynamic[productID],products[],12,FALSE)</f>
        <v>Meat/Poultry</v>
      </c>
      <c r="K1818" s="7" t="str">
        <f>IF(VLOOKUP(dynamic[productID],products[],7,FALSE)=1,"Discontinued","Current")</f>
        <v>Current</v>
      </c>
      <c r="L1818" s="9">
        <f>VLOOKUP(dynamic[productID],products[],IF(YEAR(dynamic[orderDate])=2022,8,IF(YEAR(dynamic[orderDate])=2023,9,IF(YEAR(dynamic[orderDate])=2024,10,NA))),FALSE)</f>
        <v>16.95998522</v>
      </c>
      <c r="M1818" s="9">
        <v>24.0</v>
      </c>
      <c r="N1818" s="25">
        <f>(dynamic[orderPrice]-dynamic[productCost])/dynamic[productCost]</f>
        <v>0.4150955727</v>
      </c>
      <c r="O1818" s="10">
        <v>4.0</v>
      </c>
      <c r="P1818" s="25">
        <v>0.0</v>
      </c>
      <c r="Q1818" s="9">
        <f>dynamic[orderPrice]*dynamic[orderQuantity]</f>
        <v>96</v>
      </c>
      <c r="R1818" s="9">
        <f>dynamic[orderTotal]*(1-dynamic[discountApllied])</f>
        <v>96</v>
      </c>
      <c r="S1818" s="9">
        <f>dynamic[revenue]-(dynamic[productCost]*dynamic[orderQuantity])</f>
        <v>28.16005912</v>
      </c>
      <c r="T1818" s="25">
        <f>IFERROR(dynamic[profit]/dynamic[revenue], 0)</f>
        <v>0.2933339491</v>
      </c>
    </row>
    <row r="1819" ht="15.75" customHeight="1">
      <c r="A1819" s="6">
        <v>10949.0</v>
      </c>
      <c r="B1819" s="7" t="s">
        <v>81</v>
      </c>
      <c r="C1819" s="24" t="str">
        <f>VLOOKUP(dynamic[customerID],customers[],2,FALSE)</f>
        <v>Bottom-Dollar Markets</v>
      </c>
      <c r="D1819" s="24">
        <v>45364.0</v>
      </c>
      <c r="E1819" s="6">
        <f>IFERROR(__xludf.DUMMYFUNCTION("COUNTUNIQUEIFS($A$2:$A1819,$B$2:$B1819,B1819)"),9.0)</f>
        <v>9</v>
      </c>
      <c r="F1819" s="6">
        <f t="shared" si="1"/>
        <v>1</v>
      </c>
      <c r="G1819" s="6" t="str">
        <f>IF(MINIFS(dynamic[orderDate], dynamic[customerID], B1819) &gt;= DATE(2024,4,30)-120, 
     "New", 
     IF(MAXIFS(dynamic[orderCount], dynamic[customerID], B1819)&lt;=2, 
        IF((DATE(2024,4,30) - MAXIFS(dynamic[orderDate], dynamic[customerID], B1819)) &gt; 180, "Non-Returning", "Dormant"), 
        IF(AND(MAX(dynamic[sinceLastOrder]) &gt; 365, (DATE(2024,4,30) - MAXIFS(dynamic[orderDate], dynamic[customerID], B1819)) &gt; 180), 
           "Dormant", "Regular")))</f>
        <v>Regular</v>
      </c>
      <c r="H1819" s="6">
        <v>6.0</v>
      </c>
      <c r="I1819" s="9" t="str">
        <f>VLOOKUP(dynamic[productID],products[],2,FALSE)</f>
        <v>Grandma's Boysenberry Spread</v>
      </c>
      <c r="J1819" s="9" t="str">
        <f>VLOOKUP(dynamic[productID],products[],12,FALSE)</f>
        <v>Condiments</v>
      </c>
      <c r="K1819" s="7" t="str">
        <f>IF(VLOOKUP(dynamic[productID],products[],7,FALSE)=1,"Discontinued","Current")</f>
        <v>Current</v>
      </c>
      <c r="L1819" s="9">
        <f>VLOOKUP(dynamic[productID],products[],IF(YEAR(dynamic[orderDate])=2022,8,IF(YEAR(dynamic[orderDate])=2023,9,IF(YEAR(dynamic[orderDate])=2024,10,NA))),FALSE)</f>
        <v>17.2416593</v>
      </c>
      <c r="M1819" s="9">
        <v>25.0</v>
      </c>
      <c r="N1819" s="25">
        <f>(dynamic[orderPrice]-dynamic[productCost])/dynamic[productCost]</f>
        <v>0.4499764532</v>
      </c>
      <c r="O1819" s="10">
        <v>12.0</v>
      </c>
      <c r="P1819" s="25">
        <v>0.0</v>
      </c>
      <c r="Q1819" s="9">
        <f>dynamic[orderPrice]*dynamic[orderQuantity]</f>
        <v>300</v>
      </c>
      <c r="R1819" s="9">
        <f>dynamic[orderTotal]*(1-dynamic[discountApllied])</f>
        <v>300</v>
      </c>
      <c r="S1819" s="9">
        <f>dynamic[revenue]-(dynamic[productCost]*dynamic[orderQuantity])</f>
        <v>93.1000884</v>
      </c>
      <c r="T1819" s="25">
        <f>IFERROR(dynamic[profit]/dynamic[revenue], 0)</f>
        <v>0.310333628</v>
      </c>
    </row>
    <row r="1820" ht="15.75" customHeight="1">
      <c r="A1820" s="6">
        <v>10949.0</v>
      </c>
      <c r="B1820" s="7" t="s">
        <v>81</v>
      </c>
      <c r="C1820" s="24" t="str">
        <f>VLOOKUP(dynamic[customerID],customers[],2,FALSE)</f>
        <v>Bottom-Dollar Markets</v>
      </c>
      <c r="D1820" s="24">
        <v>45364.0</v>
      </c>
      <c r="E1820" s="6">
        <f>IFERROR(__xludf.DUMMYFUNCTION("COUNTUNIQUEIFS($A$2:$A1820,$B$2:$B1820,B1820)"),9.0)</f>
        <v>9</v>
      </c>
      <c r="F1820" s="6">
        <f t="shared" si="1"/>
        <v>1</v>
      </c>
      <c r="G1820" s="6" t="str">
        <f>IF(MINIFS(dynamic[orderDate], dynamic[customerID], B1820) &gt;= DATE(2024,4,30)-120, 
     "New", 
     IF(MAXIFS(dynamic[orderCount], dynamic[customerID], B1820)&lt;=2, 
        IF((DATE(2024,4,30) - MAXIFS(dynamic[orderDate], dynamic[customerID], B1820)) &gt; 180, "Non-Returning", "Dormant"), 
        IF(AND(MAX(dynamic[sinceLastOrder]) &gt; 365, (DATE(2024,4,30) - MAXIFS(dynamic[orderDate], dynamic[customerID], B1820)) &gt; 180), 
           "Dormant", "Regular")))</f>
        <v>Regular</v>
      </c>
      <c r="H1820" s="6">
        <v>10.0</v>
      </c>
      <c r="I1820" s="9" t="str">
        <f>VLOOKUP(dynamic[productID],products[],2,FALSE)</f>
        <v>Ikura</v>
      </c>
      <c r="J1820" s="9" t="str">
        <f>VLOOKUP(dynamic[productID],products[],12,FALSE)</f>
        <v>Seafood</v>
      </c>
      <c r="K1820" s="7" t="str">
        <f>IF(VLOOKUP(dynamic[productID],products[],7,FALSE)=1,"Discontinued","Current")</f>
        <v>Current</v>
      </c>
      <c r="L1820" s="9">
        <f>VLOOKUP(dynamic[productID],products[],IF(YEAR(dynamic[orderDate])=2022,8,IF(YEAR(dynamic[orderDate])=2023,9,IF(YEAR(dynamic[orderDate])=2024,10,NA))),FALSE)</f>
        <v>20.90394627</v>
      </c>
      <c r="M1820" s="9">
        <v>31.0</v>
      </c>
      <c r="N1820" s="25">
        <f>(dynamic[orderPrice]-dynamic[productCost])/dynamic[productCost]</f>
        <v>0.4829735786</v>
      </c>
      <c r="O1820" s="10">
        <v>30.0</v>
      </c>
      <c r="P1820" s="25">
        <v>0.0</v>
      </c>
      <c r="Q1820" s="9">
        <f>dynamic[orderPrice]*dynamic[orderQuantity]</f>
        <v>930</v>
      </c>
      <c r="R1820" s="9">
        <f>dynamic[orderTotal]*(1-dynamic[discountApllied])</f>
        <v>930</v>
      </c>
      <c r="S1820" s="9">
        <f>dynamic[revenue]-(dynamic[productCost]*dynamic[orderQuantity])</f>
        <v>302.881612</v>
      </c>
      <c r="T1820" s="25">
        <f>IFERROR(dynamic[profit]/dynamic[revenue], 0)</f>
        <v>0.3256791527</v>
      </c>
    </row>
    <row r="1821" ht="15.75" customHeight="1">
      <c r="A1821" s="6">
        <v>10949.0</v>
      </c>
      <c r="B1821" s="7" t="s">
        <v>81</v>
      </c>
      <c r="C1821" s="24" t="str">
        <f>VLOOKUP(dynamic[customerID],customers[],2,FALSE)</f>
        <v>Bottom-Dollar Markets</v>
      </c>
      <c r="D1821" s="24">
        <v>45364.0</v>
      </c>
      <c r="E1821" s="6">
        <f>IFERROR(__xludf.DUMMYFUNCTION("COUNTUNIQUEIFS($A$2:$A1821,$B$2:$B1821,B1821)"),9.0)</f>
        <v>9</v>
      </c>
      <c r="F1821" s="6">
        <f t="shared" si="1"/>
        <v>1</v>
      </c>
      <c r="G1821" s="6" t="str">
        <f>IF(MINIFS(dynamic[orderDate], dynamic[customerID], B1821) &gt;= DATE(2024,4,30)-120, 
     "New", 
     IF(MAXIFS(dynamic[orderCount], dynamic[customerID], B1821)&lt;=2, 
        IF((DATE(2024,4,30) - MAXIFS(dynamic[orderDate], dynamic[customerID], B1821)) &gt; 180, "Non-Returning", "Dormant"), 
        IF(AND(MAX(dynamic[sinceLastOrder]) &gt; 365, (DATE(2024,4,30) - MAXIFS(dynamic[orderDate], dynamic[customerID], B1821)) &gt; 180), 
           "Dormant", "Regular")))</f>
        <v>Regular</v>
      </c>
      <c r="H1821" s="6">
        <v>17.0</v>
      </c>
      <c r="I1821" s="9" t="str">
        <f>VLOOKUP(dynamic[productID],products[],2,FALSE)</f>
        <v>Alice Mutton</v>
      </c>
      <c r="J1821" s="9" t="str">
        <f>VLOOKUP(dynamic[productID],products[],12,FALSE)</f>
        <v>Meat/Poultry</v>
      </c>
      <c r="K1821" s="7" t="str">
        <f>IF(VLOOKUP(dynamic[productID],products[],7,FALSE)=1,"Discontinued","Current")</f>
        <v>Discontinued</v>
      </c>
      <c r="L1821" s="9">
        <f>VLOOKUP(dynamic[productID],products[],IF(YEAR(dynamic[orderDate])=2022,8,IF(YEAR(dynamic[orderDate])=2023,9,IF(YEAR(dynamic[orderDate])=2024,10,NA))),FALSE)</f>
        <v>28.51916263</v>
      </c>
      <c r="M1821" s="9">
        <v>39.0</v>
      </c>
      <c r="N1821" s="25">
        <f>(dynamic[orderPrice]-dynamic[productCost])/dynamic[productCost]</f>
        <v>0.3675015816</v>
      </c>
      <c r="O1821" s="10">
        <v>6.0</v>
      </c>
      <c r="P1821" s="25">
        <v>0.0</v>
      </c>
      <c r="Q1821" s="9">
        <f>dynamic[orderPrice]*dynamic[orderQuantity]</f>
        <v>234</v>
      </c>
      <c r="R1821" s="9">
        <f>dynamic[orderTotal]*(1-dynamic[discountApllied])</f>
        <v>234</v>
      </c>
      <c r="S1821" s="9">
        <f>dynamic[revenue]-(dynamic[productCost]*dynamic[orderQuantity])</f>
        <v>62.88502423</v>
      </c>
      <c r="T1821" s="25">
        <f>IFERROR(dynamic[profit]/dynamic[revenue], 0)</f>
        <v>0.2687394198</v>
      </c>
    </row>
    <row r="1822" ht="15.75" customHeight="1">
      <c r="A1822" s="6">
        <v>10949.0</v>
      </c>
      <c r="B1822" s="7" t="s">
        <v>81</v>
      </c>
      <c r="C1822" s="24" t="str">
        <f>VLOOKUP(dynamic[customerID],customers[],2,FALSE)</f>
        <v>Bottom-Dollar Markets</v>
      </c>
      <c r="D1822" s="24">
        <v>45364.0</v>
      </c>
      <c r="E1822" s="6">
        <f>IFERROR(__xludf.DUMMYFUNCTION("COUNTUNIQUEIFS($A$2:$A1822,$B$2:$B1822,B1822)"),9.0)</f>
        <v>9</v>
      </c>
      <c r="F1822" s="6">
        <f t="shared" si="1"/>
        <v>1</v>
      </c>
      <c r="G1822" s="6" t="str">
        <f>IF(MINIFS(dynamic[orderDate], dynamic[customerID], B1822) &gt;= DATE(2024,4,30)-120, 
     "New", 
     IF(MAXIFS(dynamic[orderCount], dynamic[customerID], B1822)&lt;=2, 
        IF((DATE(2024,4,30) - MAXIFS(dynamic[orderDate], dynamic[customerID], B1822)) &gt; 180, "Non-Returning", "Dormant"), 
        IF(AND(MAX(dynamic[sinceLastOrder]) &gt; 365, (DATE(2024,4,30) - MAXIFS(dynamic[orderDate], dynamic[customerID], B1822)) &gt; 180), 
           "Dormant", "Regular")))</f>
        <v>Regular</v>
      </c>
      <c r="H1822" s="6">
        <v>62.0</v>
      </c>
      <c r="I1822" s="9" t="str">
        <f>VLOOKUP(dynamic[productID],products[],2,FALSE)</f>
        <v>Tarte au sucre</v>
      </c>
      <c r="J1822" s="9" t="str">
        <f>VLOOKUP(dynamic[productID],products[],12,FALSE)</f>
        <v>Confections</v>
      </c>
      <c r="K1822" s="7" t="str">
        <f>IF(VLOOKUP(dynamic[productID],products[],7,FALSE)=1,"Discontinued","Current")</f>
        <v>Current</v>
      </c>
      <c r="L1822" s="9">
        <f>VLOOKUP(dynamic[productID],products[],IF(YEAR(dynamic[orderDate])=2022,8,IF(YEAR(dynamic[orderDate])=2023,9,IF(YEAR(dynamic[orderDate])=2024,10,NA))),FALSE)</f>
        <v>34.88145014</v>
      </c>
      <c r="M1822" s="9">
        <v>49.3</v>
      </c>
      <c r="N1822" s="25">
        <f>(dynamic[orderPrice]-dynamic[productCost])/dynamic[productCost]</f>
        <v>0.4133586705</v>
      </c>
      <c r="O1822" s="10">
        <v>60.0</v>
      </c>
      <c r="P1822" s="25">
        <v>0.0</v>
      </c>
      <c r="Q1822" s="9">
        <f>dynamic[orderPrice]*dynamic[orderQuantity]</f>
        <v>2958</v>
      </c>
      <c r="R1822" s="9">
        <f>dynamic[orderTotal]*(1-dynamic[discountApllied])</f>
        <v>2958</v>
      </c>
      <c r="S1822" s="9">
        <f>dynamic[revenue]-(dynamic[productCost]*dynamic[orderQuantity])</f>
        <v>865.1129914</v>
      </c>
      <c r="T1822" s="25">
        <f>IFERROR(dynamic[profit]/dynamic[revenue], 0)</f>
        <v>0.2924655143</v>
      </c>
    </row>
    <row r="1823" ht="15.75" customHeight="1">
      <c r="A1823" s="6">
        <v>10950.0</v>
      </c>
      <c r="B1823" s="7" t="s">
        <v>37</v>
      </c>
      <c r="C1823" s="24" t="str">
        <f>VLOOKUP(dynamic[customerID],customers[],2,FALSE)</f>
        <v>Magazzini Alimentari Riuniti</v>
      </c>
      <c r="D1823" s="24">
        <v>45367.0</v>
      </c>
      <c r="E1823" s="6">
        <f>IFERROR(__xludf.DUMMYFUNCTION("COUNTUNIQUEIFS($A$2:$A1823,$B$2:$B1823,B1823)"),10.0)</f>
        <v>10</v>
      </c>
      <c r="F1823" s="6">
        <f t="shared" si="1"/>
        <v>6</v>
      </c>
      <c r="G1823" s="6" t="str">
        <f>IF(MINIFS(dynamic[orderDate], dynamic[customerID], B1823) &gt;= DATE(2024,4,30)-120, 
     "New", 
     IF(MAXIFS(dynamic[orderCount], dynamic[customerID], B1823)&lt;=2, 
        IF((DATE(2024,4,30) - MAXIFS(dynamic[orderDate], dynamic[customerID], B1823)) &gt; 180, "Non-Returning", "Dormant"), 
        IF(AND(MAX(dynamic[sinceLastOrder]) &gt; 365, (DATE(2024,4,30) - MAXIFS(dynamic[orderDate], dynamic[customerID], B1823)) &gt; 180), 
           "Dormant", "Regular")))</f>
        <v>Regular</v>
      </c>
      <c r="H1823" s="6">
        <v>4.0</v>
      </c>
      <c r="I1823" s="9" t="str">
        <f>VLOOKUP(dynamic[productID],products[],2,FALSE)</f>
        <v>Chef Anton's Cajun Seasoning</v>
      </c>
      <c r="J1823" s="9" t="str">
        <f>VLOOKUP(dynamic[productID],products[],12,FALSE)</f>
        <v>Condiments</v>
      </c>
      <c r="K1823" s="7" t="str">
        <f>IF(VLOOKUP(dynamic[productID],products[],7,FALSE)=1,"Discontinued","Current")</f>
        <v>Current</v>
      </c>
      <c r="L1823" s="9">
        <f>VLOOKUP(dynamic[productID],products[],IF(YEAR(dynamic[orderDate])=2022,8,IF(YEAR(dynamic[orderDate])=2023,9,IF(YEAR(dynamic[orderDate])=2024,10,NA))),FALSE)</f>
        <v>14.37280157</v>
      </c>
      <c r="M1823" s="9">
        <v>22.0</v>
      </c>
      <c r="N1823" s="25">
        <f>(dynamic[orderPrice]-dynamic[productCost])/dynamic[productCost]</f>
        <v>0.5306688748</v>
      </c>
      <c r="O1823" s="10">
        <v>5.0</v>
      </c>
      <c r="P1823" s="25">
        <v>0.0</v>
      </c>
      <c r="Q1823" s="9">
        <f>dynamic[orderPrice]*dynamic[orderQuantity]</f>
        <v>110</v>
      </c>
      <c r="R1823" s="9">
        <f>dynamic[orderTotal]*(1-dynamic[discountApllied])</f>
        <v>110</v>
      </c>
      <c r="S1823" s="9">
        <f>dynamic[revenue]-(dynamic[productCost]*dynamic[orderQuantity])</f>
        <v>38.13599217</v>
      </c>
      <c r="T1823" s="25">
        <f>IFERROR(dynamic[profit]/dynamic[revenue], 0)</f>
        <v>0.346690838</v>
      </c>
    </row>
    <row r="1824" ht="15.75" customHeight="1">
      <c r="A1824" s="6">
        <v>10951.0</v>
      </c>
      <c r="B1824" s="7" t="s">
        <v>21</v>
      </c>
      <c r="C1824" s="24" t="str">
        <f>VLOOKUP(dynamic[customerID],customers[],2,FALSE)</f>
        <v>Richter Supermarkt</v>
      </c>
      <c r="D1824" s="24">
        <v>45367.0</v>
      </c>
      <c r="E1824" s="6">
        <f>IFERROR(__xludf.DUMMYFUNCTION("COUNTUNIQUEIFS($A$2:$A1824,$B$2:$B1824,B1824)"),8.0)</f>
        <v>8</v>
      </c>
      <c r="F1824" s="6">
        <f t="shared" si="1"/>
        <v>10</v>
      </c>
      <c r="G1824" s="6" t="str">
        <f>IF(MINIFS(dynamic[orderDate], dynamic[customerID], B1824) &gt;= DATE(2024,4,30)-120, 
     "New", 
     IF(MAXIFS(dynamic[orderCount], dynamic[customerID], B1824)&lt;=2, 
        IF((DATE(2024,4,30) - MAXIFS(dynamic[orderDate], dynamic[customerID], B1824)) &gt; 180, "Non-Returning", "Dormant"), 
        IF(AND(MAX(dynamic[sinceLastOrder]) &gt; 365, (DATE(2024,4,30) - MAXIFS(dynamic[orderDate], dynamic[customerID], B1824)) &gt; 180), 
           "Dormant", "Regular")))</f>
        <v>Regular</v>
      </c>
      <c r="H1824" s="6">
        <v>33.0</v>
      </c>
      <c r="I1824" s="9" t="str">
        <f>VLOOKUP(dynamic[productID],products[],2,FALSE)</f>
        <v>Geitost</v>
      </c>
      <c r="J1824" s="9" t="str">
        <f>VLOOKUP(dynamic[productID],products[],12,FALSE)</f>
        <v>Dairy Products</v>
      </c>
      <c r="K1824" s="7" t="str">
        <f>IF(VLOOKUP(dynamic[productID],products[],7,FALSE)=1,"Discontinued","Current")</f>
        <v>Current</v>
      </c>
      <c r="L1824" s="9">
        <f>VLOOKUP(dynamic[productID],products[],IF(YEAR(dynamic[orderDate])=2022,8,IF(YEAR(dynamic[orderDate])=2023,9,IF(YEAR(dynamic[orderDate])=2024,10,NA))),FALSE)</f>
        <v>1.670163437</v>
      </c>
      <c r="M1824" s="9">
        <v>2.5</v>
      </c>
      <c r="N1824" s="25">
        <f>(dynamic[orderPrice]-dynamic[productCost])/dynamic[productCost]</f>
        <v>0.4968594957</v>
      </c>
      <c r="O1824" s="10">
        <v>15.0</v>
      </c>
      <c r="P1824" s="25">
        <v>0.05</v>
      </c>
      <c r="Q1824" s="9">
        <f>dynamic[orderPrice]*dynamic[orderQuantity]</f>
        <v>37.5</v>
      </c>
      <c r="R1824" s="9">
        <f>dynamic[orderTotal]*(1-dynamic[discountApllied])</f>
        <v>35.625</v>
      </c>
      <c r="S1824" s="9">
        <f>dynamic[revenue]-(dynamic[productCost]*dynamic[orderQuantity])</f>
        <v>10.57254844</v>
      </c>
      <c r="T1824" s="25">
        <f>IFERROR(dynamic[profit]/dynamic[revenue], 0)</f>
        <v>0.2967732897</v>
      </c>
    </row>
    <row r="1825" ht="15.75" customHeight="1">
      <c r="A1825" s="6">
        <v>10951.0</v>
      </c>
      <c r="B1825" s="7" t="s">
        <v>21</v>
      </c>
      <c r="C1825" s="24" t="str">
        <f>VLOOKUP(dynamic[customerID],customers[],2,FALSE)</f>
        <v>Richter Supermarkt</v>
      </c>
      <c r="D1825" s="24">
        <v>45367.0</v>
      </c>
      <c r="E1825" s="6">
        <f>IFERROR(__xludf.DUMMYFUNCTION("COUNTUNIQUEIFS($A$2:$A1825,$B$2:$B1825,B1825)"),8.0)</f>
        <v>8</v>
      </c>
      <c r="F1825" s="6">
        <f t="shared" si="1"/>
        <v>10</v>
      </c>
      <c r="G1825" s="6" t="str">
        <f>IF(MINIFS(dynamic[orderDate], dynamic[customerID], B1825) &gt;= DATE(2024,4,30)-120, 
     "New", 
     IF(MAXIFS(dynamic[orderCount], dynamic[customerID], B1825)&lt;=2, 
        IF((DATE(2024,4,30) - MAXIFS(dynamic[orderDate], dynamic[customerID], B1825)) &gt; 180, "Non-Returning", "Dormant"), 
        IF(AND(MAX(dynamic[sinceLastOrder]) &gt; 365, (DATE(2024,4,30) - MAXIFS(dynamic[orderDate], dynamic[customerID], B1825)) &gt; 180), 
           "Dormant", "Regular")))</f>
        <v>Regular</v>
      </c>
      <c r="H1825" s="6">
        <v>41.0</v>
      </c>
      <c r="I1825" s="9" t="str">
        <f>VLOOKUP(dynamic[productID],products[],2,FALSE)</f>
        <v>Jack's New England Clam Chowder</v>
      </c>
      <c r="J1825" s="9" t="str">
        <f>VLOOKUP(dynamic[productID],products[],12,FALSE)</f>
        <v>Seafood</v>
      </c>
      <c r="K1825" s="7" t="str">
        <f>IF(VLOOKUP(dynamic[productID],products[],7,FALSE)=1,"Discontinued","Current")</f>
        <v>Current</v>
      </c>
      <c r="L1825" s="9">
        <f>VLOOKUP(dynamic[productID],products[],IF(YEAR(dynamic[orderDate])=2022,8,IF(YEAR(dynamic[orderDate])=2023,9,IF(YEAR(dynamic[orderDate])=2024,10,NA))),FALSE)</f>
        <v>6.611787882</v>
      </c>
      <c r="M1825" s="9">
        <v>9.65</v>
      </c>
      <c r="N1825" s="25">
        <f>(dynamic[orderPrice]-dynamic[productCost])/dynamic[productCost]</f>
        <v>0.459514457</v>
      </c>
      <c r="O1825" s="10">
        <v>6.0</v>
      </c>
      <c r="P1825" s="25">
        <v>0.05</v>
      </c>
      <c r="Q1825" s="9">
        <f>dynamic[orderPrice]*dynamic[orderQuantity]</f>
        <v>57.9</v>
      </c>
      <c r="R1825" s="9">
        <f>dynamic[orderTotal]*(1-dynamic[discountApllied])</f>
        <v>55.005</v>
      </c>
      <c r="S1825" s="9">
        <f>dynamic[revenue]-(dynamic[productCost]*dynamic[orderQuantity])</f>
        <v>15.33427271</v>
      </c>
      <c r="T1825" s="25">
        <f>IFERROR(dynamic[profit]/dynamic[revenue], 0)</f>
        <v>0.2787796147</v>
      </c>
    </row>
    <row r="1826" ht="15.75" customHeight="1">
      <c r="A1826" s="6">
        <v>10951.0</v>
      </c>
      <c r="B1826" s="7" t="s">
        <v>21</v>
      </c>
      <c r="C1826" s="24" t="str">
        <f>VLOOKUP(dynamic[customerID],customers[],2,FALSE)</f>
        <v>Richter Supermarkt</v>
      </c>
      <c r="D1826" s="24">
        <v>45367.0</v>
      </c>
      <c r="E1826" s="6">
        <f>IFERROR(__xludf.DUMMYFUNCTION("COUNTUNIQUEIFS($A$2:$A1826,$B$2:$B1826,B1826)"),8.0)</f>
        <v>8</v>
      </c>
      <c r="F1826" s="6">
        <f t="shared" si="1"/>
        <v>10</v>
      </c>
      <c r="G1826" s="6" t="str">
        <f>IF(MINIFS(dynamic[orderDate], dynamic[customerID], B1826) &gt;= DATE(2024,4,30)-120, 
     "New", 
     IF(MAXIFS(dynamic[orderCount], dynamic[customerID], B1826)&lt;=2, 
        IF((DATE(2024,4,30) - MAXIFS(dynamic[orderDate], dynamic[customerID], B1826)) &gt; 180, "Non-Returning", "Dormant"), 
        IF(AND(MAX(dynamic[sinceLastOrder]) &gt; 365, (DATE(2024,4,30) - MAXIFS(dynamic[orderDate], dynamic[customerID], B1826)) &gt; 180), 
           "Dormant", "Regular")))</f>
        <v>Regular</v>
      </c>
      <c r="H1826" s="6">
        <v>75.0</v>
      </c>
      <c r="I1826" s="9" t="str">
        <f>VLOOKUP(dynamic[productID],products[],2,FALSE)</f>
        <v>Rhönbräu Klosterbier</v>
      </c>
      <c r="J1826" s="9" t="str">
        <f>VLOOKUP(dynamic[productID],products[],12,FALSE)</f>
        <v>Beverages</v>
      </c>
      <c r="K1826" s="7" t="str">
        <f>IF(VLOOKUP(dynamic[productID],products[],7,FALSE)=1,"Discontinued","Current")</f>
        <v>Current</v>
      </c>
      <c r="L1826" s="9">
        <f>VLOOKUP(dynamic[productID],products[],IF(YEAR(dynamic[orderDate])=2022,8,IF(YEAR(dynamic[orderDate])=2023,9,IF(YEAR(dynamic[orderDate])=2024,10,NA))),FALSE)</f>
        <v>5.374051525</v>
      </c>
      <c r="M1826" s="9">
        <v>7.75</v>
      </c>
      <c r="N1826" s="25">
        <f>(dynamic[orderPrice]-dynamic[productCost])/dynamic[productCost]</f>
        <v>0.4421149413</v>
      </c>
      <c r="O1826" s="10">
        <v>50.0</v>
      </c>
      <c r="P1826" s="25">
        <v>0.05</v>
      </c>
      <c r="Q1826" s="9">
        <f>dynamic[orderPrice]*dynamic[orderQuantity]</f>
        <v>387.5</v>
      </c>
      <c r="R1826" s="9">
        <f>dynamic[orderTotal]*(1-dynamic[discountApllied])</f>
        <v>368.125</v>
      </c>
      <c r="S1826" s="9">
        <f>dynamic[revenue]-(dynamic[productCost]*dynamic[orderQuantity])</f>
        <v>99.42242374</v>
      </c>
      <c r="T1826" s="25">
        <f>IFERROR(dynamic[profit]/dynamic[revenue], 0)</f>
        <v>0.2700778913</v>
      </c>
    </row>
    <row r="1827" ht="15.75" customHeight="1">
      <c r="A1827" s="6">
        <v>10952.0</v>
      </c>
      <c r="B1827" s="7" t="s">
        <v>100</v>
      </c>
      <c r="C1827" s="24" t="str">
        <f>VLOOKUP(dynamic[customerID],customers[],2,FALSE)</f>
        <v>Alfreds Futterkiste</v>
      </c>
      <c r="D1827" s="24">
        <v>45367.0</v>
      </c>
      <c r="E1827" s="6">
        <f>IFERROR(__xludf.DUMMYFUNCTION("COUNTUNIQUEIFS($A$2:$A1827,$B$2:$B1827,B1827)"),5.0)</f>
        <v>5</v>
      </c>
      <c r="F1827" s="6">
        <f t="shared" si="1"/>
        <v>61</v>
      </c>
      <c r="G1827" s="6" t="str">
        <f>IF(MINIFS(dynamic[orderDate], dynamic[customerID], B1827) &gt;= DATE(2024,4,30)-120, 
     "New", 
     IF(MAXIFS(dynamic[orderCount], dynamic[customerID], B1827)&lt;=2, 
        IF((DATE(2024,4,30) - MAXIFS(dynamic[orderDate], dynamic[customerID], B1827)) &gt; 180, "Non-Returning", "Dormant"), 
        IF(AND(MAX(dynamic[sinceLastOrder]) &gt; 365, (DATE(2024,4,30) - MAXIFS(dynamic[orderDate], dynamic[customerID], B1827)) &gt; 180), 
           "Dormant", "Regular")))</f>
        <v>Regular</v>
      </c>
      <c r="H1827" s="6">
        <v>6.0</v>
      </c>
      <c r="I1827" s="9" t="str">
        <f>VLOOKUP(dynamic[productID],products[],2,FALSE)</f>
        <v>Grandma's Boysenberry Spread</v>
      </c>
      <c r="J1827" s="9" t="str">
        <f>VLOOKUP(dynamic[productID],products[],12,FALSE)</f>
        <v>Condiments</v>
      </c>
      <c r="K1827" s="7" t="str">
        <f>IF(VLOOKUP(dynamic[productID],products[],7,FALSE)=1,"Discontinued","Current")</f>
        <v>Current</v>
      </c>
      <c r="L1827" s="9">
        <f>VLOOKUP(dynamic[productID],products[],IF(YEAR(dynamic[orderDate])=2022,8,IF(YEAR(dynamic[orderDate])=2023,9,IF(YEAR(dynamic[orderDate])=2024,10,NA))),FALSE)</f>
        <v>17.2416593</v>
      </c>
      <c r="M1827" s="9">
        <v>25.0</v>
      </c>
      <c r="N1827" s="25">
        <f>(dynamic[orderPrice]-dynamic[productCost])/dynamic[productCost]</f>
        <v>0.4499764532</v>
      </c>
      <c r="O1827" s="10">
        <v>16.0</v>
      </c>
      <c r="P1827" s="25">
        <v>0.05</v>
      </c>
      <c r="Q1827" s="9">
        <f>dynamic[orderPrice]*dynamic[orderQuantity]</f>
        <v>400</v>
      </c>
      <c r="R1827" s="9">
        <f>dynamic[orderTotal]*(1-dynamic[discountApllied])</f>
        <v>380</v>
      </c>
      <c r="S1827" s="9">
        <f>dynamic[revenue]-(dynamic[productCost]*dynamic[orderQuantity])</f>
        <v>104.1334512</v>
      </c>
      <c r="T1827" s="25">
        <f>IFERROR(dynamic[profit]/dynamic[revenue], 0)</f>
        <v>0.2740353979</v>
      </c>
    </row>
    <row r="1828" ht="15.75" customHeight="1">
      <c r="A1828" s="6">
        <v>10952.0</v>
      </c>
      <c r="B1828" s="7" t="s">
        <v>100</v>
      </c>
      <c r="C1828" s="24" t="str">
        <f>VLOOKUP(dynamic[customerID],customers[],2,FALSE)</f>
        <v>Alfreds Futterkiste</v>
      </c>
      <c r="D1828" s="24">
        <v>45367.0</v>
      </c>
      <c r="E1828" s="6">
        <f>IFERROR(__xludf.DUMMYFUNCTION("COUNTUNIQUEIFS($A$2:$A1828,$B$2:$B1828,B1828)"),5.0)</f>
        <v>5</v>
      </c>
      <c r="F1828" s="6">
        <f t="shared" si="1"/>
        <v>61</v>
      </c>
      <c r="G1828" s="6" t="str">
        <f>IF(MINIFS(dynamic[orderDate], dynamic[customerID], B1828) &gt;= DATE(2024,4,30)-120, 
     "New", 
     IF(MAXIFS(dynamic[orderCount], dynamic[customerID], B1828)&lt;=2, 
        IF((DATE(2024,4,30) - MAXIFS(dynamic[orderDate], dynamic[customerID], B1828)) &gt; 180, "Non-Returning", "Dormant"), 
        IF(AND(MAX(dynamic[sinceLastOrder]) &gt; 365, (DATE(2024,4,30) - MAXIFS(dynamic[orderDate], dynamic[customerID], B1828)) &gt; 180), 
           "Dormant", "Regular")))</f>
        <v>Regular</v>
      </c>
      <c r="H1828" s="6">
        <v>28.0</v>
      </c>
      <c r="I1828" s="9" t="str">
        <f>VLOOKUP(dynamic[productID],products[],2,FALSE)</f>
        <v>Rössle Sauerkraut</v>
      </c>
      <c r="J1828" s="9" t="str">
        <f>VLOOKUP(dynamic[productID],products[],12,FALSE)</f>
        <v>Produce</v>
      </c>
      <c r="K1828" s="7" t="str">
        <f>IF(VLOOKUP(dynamic[productID],products[],7,FALSE)=1,"Discontinued","Current")</f>
        <v>Discontinued</v>
      </c>
      <c r="L1828" s="9">
        <f>VLOOKUP(dynamic[productID],products[],IF(YEAR(dynamic[orderDate])=2022,8,IF(YEAR(dynamic[orderDate])=2023,9,IF(YEAR(dynamic[orderDate])=2024,10,NA))),FALSE)</f>
        <v>34.18502761</v>
      </c>
      <c r="M1828" s="9">
        <v>45.6</v>
      </c>
      <c r="N1828" s="25">
        <f>(dynamic[orderPrice]-dynamic[productCost])/dynamic[productCost]</f>
        <v>0.3339173079</v>
      </c>
      <c r="O1828" s="10">
        <v>2.0</v>
      </c>
      <c r="P1828" s="25">
        <v>0.0</v>
      </c>
      <c r="Q1828" s="9">
        <f>dynamic[orderPrice]*dynamic[orderQuantity]</f>
        <v>91.2</v>
      </c>
      <c r="R1828" s="9">
        <f>dynamic[orderTotal]*(1-dynamic[discountApllied])</f>
        <v>91.2</v>
      </c>
      <c r="S1828" s="9">
        <f>dynamic[revenue]-(dynamic[productCost]*dynamic[orderQuantity])</f>
        <v>22.82994478</v>
      </c>
      <c r="T1828" s="25">
        <f>IFERROR(dynamic[profit]/dynamic[revenue], 0)</f>
        <v>0.2503283419</v>
      </c>
    </row>
    <row r="1829" ht="15.75" customHeight="1">
      <c r="A1829" s="6">
        <v>10953.0</v>
      </c>
      <c r="B1829" s="7" t="s">
        <v>70</v>
      </c>
      <c r="C1829" s="24" t="str">
        <f>VLOOKUP(dynamic[customerID],customers[],2,FALSE)</f>
        <v>Around the Horn</v>
      </c>
      <c r="D1829" s="24">
        <v>45367.0</v>
      </c>
      <c r="E1829" s="6">
        <f>IFERROR(__xludf.DUMMYFUNCTION("COUNTUNIQUEIFS($A$2:$A1829,$B$2:$B1829,B1829)"),12.0)</f>
        <v>12</v>
      </c>
      <c r="F1829" s="6">
        <f t="shared" si="1"/>
        <v>13</v>
      </c>
      <c r="G1829" s="6" t="str">
        <f>IF(MINIFS(dynamic[orderDate], dynamic[customerID], B1829) &gt;= DATE(2024,4,30)-120, 
     "New", 
     IF(MAXIFS(dynamic[orderCount], dynamic[customerID], B1829)&lt;=2, 
        IF((DATE(2024,4,30) - MAXIFS(dynamic[orderDate], dynamic[customerID], B1829)) &gt; 180, "Non-Returning", "Dormant"), 
        IF(AND(MAX(dynamic[sinceLastOrder]) &gt; 365, (DATE(2024,4,30) - MAXIFS(dynamic[orderDate], dynamic[customerID], B1829)) &gt; 180), 
           "Dormant", "Regular")))</f>
        <v>Regular</v>
      </c>
      <c r="H1829" s="6">
        <v>20.0</v>
      </c>
      <c r="I1829" s="9" t="str">
        <f>VLOOKUP(dynamic[productID],products[],2,FALSE)</f>
        <v>Sir Rodney's Marmalade</v>
      </c>
      <c r="J1829" s="9" t="str">
        <f>VLOOKUP(dynamic[productID],products[],12,FALSE)</f>
        <v>Confections</v>
      </c>
      <c r="K1829" s="7" t="str">
        <f>IF(VLOOKUP(dynamic[productID],products[],7,FALSE)=1,"Discontinued","Current")</f>
        <v>Current</v>
      </c>
      <c r="L1829" s="9">
        <f>VLOOKUP(dynamic[productID],products[],IF(YEAR(dynamic[orderDate])=2022,8,IF(YEAR(dynamic[orderDate])=2023,9,IF(YEAR(dynamic[orderDate])=2024,10,NA))),FALSE)</f>
        <v>62.82537598</v>
      </c>
      <c r="M1829" s="9">
        <v>81.0</v>
      </c>
      <c r="N1829" s="25">
        <f>(dynamic[orderPrice]-dynamic[productCost])/dynamic[productCost]</f>
        <v>0.2892879468</v>
      </c>
      <c r="O1829" s="10">
        <v>50.0</v>
      </c>
      <c r="P1829" s="25">
        <v>0.05</v>
      </c>
      <c r="Q1829" s="9">
        <f>dynamic[orderPrice]*dynamic[orderQuantity]</f>
        <v>4050</v>
      </c>
      <c r="R1829" s="9">
        <f>dynamic[orderTotal]*(1-dynamic[discountApllied])</f>
        <v>3847.5</v>
      </c>
      <c r="S1829" s="9">
        <f>dynamic[revenue]-(dynamic[productCost]*dynamic[orderQuantity])</f>
        <v>706.2312012</v>
      </c>
      <c r="T1829" s="25">
        <f>IFERROR(dynamic[profit]/dynamic[revenue], 0)</f>
        <v>0.1835558678</v>
      </c>
    </row>
    <row r="1830" ht="15.75" customHeight="1">
      <c r="A1830" s="6">
        <v>10953.0</v>
      </c>
      <c r="B1830" s="7" t="s">
        <v>70</v>
      </c>
      <c r="C1830" s="24" t="str">
        <f>VLOOKUP(dynamic[customerID],customers[],2,FALSE)</f>
        <v>Around the Horn</v>
      </c>
      <c r="D1830" s="24">
        <v>45367.0</v>
      </c>
      <c r="E1830" s="6">
        <f>IFERROR(__xludf.DUMMYFUNCTION("COUNTUNIQUEIFS($A$2:$A1830,$B$2:$B1830,B1830)"),12.0)</f>
        <v>12</v>
      </c>
      <c r="F1830" s="6">
        <f t="shared" si="1"/>
        <v>13</v>
      </c>
      <c r="G1830" s="6" t="str">
        <f>IF(MINIFS(dynamic[orderDate], dynamic[customerID], B1830) &gt;= DATE(2024,4,30)-120, 
     "New", 
     IF(MAXIFS(dynamic[orderCount], dynamic[customerID], B1830)&lt;=2, 
        IF((DATE(2024,4,30) - MAXIFS(dynamic[orderDate], dynamic[customerID], B1830)) &gt; 180, "Non-Returning", "Dormant"), 
        IF(AND(MAX(dynamic[sinceLastOrder]) &gt; 365, (DATE(2024,4,30) - MAXIFS(dynamic[orderDate], dynamic[customerID], B1830)) &gt; 180), 
           "Dormant", "Regular")))</f>
        <v>Regular</v>
      </c>
      <c r="H1830" s="6">
        <v>31.0</v>
      </c>
      <c r="I1830" s="9" t="str">
        <f>VLOOKUP(dynamic[productID],products[],2,FALSE)</f>
        <v>Gorgonzola Telino</v>
      </c>
      <c r="J1830" s="9" t="str">
        <f>VLOOKUP(dynamic[productID],products[],12,FALSE)</f>
        <v>Dairy Products</v>
      </c>
      <c r="K1830" s="7" t="str">
        <f>IF(VLOOKUP(dynamic[productID],products[],7,FALSE)=1,"Discontinued","Current")</f>
        <v>Current</v>
      </c>
      <c r="L1830" s="9">
        <f>VLOOKUP(dynamic[productID],products[],IF(YEAR(dynamic[orderDate])=2022,8,IF(YEAR(dynamic[orderDate])=2023,9,IF(YEAR(dynamic[orderDate])=2024,10,NA))),FALSE)</f>
        <v>8.203054392</v>
      </c>
      <c r="M1830" s="9">
        <v>12.5</v>
      </c>
      <c r="N1830" s="25">
        <f>(dynamic[orderPrice]-dynamic[productCost])/dynamic[productCost]</f>
        <v>0.52382264</v>
      </c>
      <c r="O1830" s="10">
        <v>50.0</v>
      </c>
      <c r="P1830" s="25">
        <v>0.05</v>
      </c>
      <c r="Q1830" s="9">
        <f>dynamic[orderPrice]*dynamic[orderQuantity]</f>
        <v>625</v>
      </c>
      <c r="R1830" s="9">
        <f>dynamic[orderTotal]*(1-dynamic[discountApllied])</f>
        <v>593.75</v>
      </c>
      <c r="S1830" s="9">
        <f>dynamic[revenue]-(dynamic[productCost]*dynamic[orderQuantity])</f>
        <v>183.5972804</v>
      </c>
      <c r="T1830" s="25">
        <f>IFERROR(dynamic[profit]/dynamic[revenue], 0)</f>
        <v>0.3092164722</v>
      </c>
    </row>
    <row r="1831" ht="15.75" customHeight="1">
      <c r="A1831" s="6">
        <v>10954.0</v>
      </c>
      <c r="B1831" s="7" t="s">
        <v>82</v>
      </c>
      <c r="C1831" s="24" t="str">
        <f>VLOOKUP(dynamic[customerID],customers[],2,FALSE)</f>
        <v>LINO-Delicateses</v>
      </c>
      <c r="D1831" s="24">
        <v>45368.0</v>
      </c>
      <c r="E1831" s="6">
        <f>IFERROR(__xludf.DUMMYFUNCTION("COUNTUNIQUEIFS($A$2:$A1831,$B$2:$B1831,B1831)"),10.0)</f>
        <v>10</v>
      </c>
      <c r="F1831" s="6">
        <f t="shared" si="1"/>
        <v>15</v>
      </c>
      <c r="G1831" s="6" t="str">
        <f>IF(MINIFS(dynamic[orderDate], dynamic[customerID], B1831) &gt;= DATE(2024,4,30)-120, 
     "New", 
     IF(MAXIFS(dynamic[orderCount], dynamic[customerID], B1831)&lt;=2, 
        IF((DATE(2024,4,30) - MAXIFS(dynamic[orderDate], dynamic[customerID], B1831)) &gt; 180, "Non-Returning", "Dormant"), 
        IF(AND(MAX(dynamic[sinceLastOrder]) &gt; 365, (DATE(2024,4,30) - MAXIFS(dynamic[orderDate], dynamic[customerID], B1831)) &gt; 180), 
           "Dormant", "Regular")))</f>
        <v>Regular</v>
      </c>
      <c r="H1831" s="6">
        <v>16.0</v>
      </c>
      <c r="I1831" s="9" t="str">
        <f>VLOOKUP(dynamic[productID],products[],2,FALSE)</f>
        <v>Pavlova</v>
      </c>
      <c r="J1831" s="9" t="str">
        <f>VLOOKUP(dynamic[productID],products[],12,FALSE)</f>
        <v>Confections</v>
      </c>
      <c r="K1831" s="7" t="str">
        <f>IF(VLOOKUP(dynamic[productID],products[],7,FALSE)=1,"Discontinued","Current")</f>
        <v>Current</v>
      </c>
      <c r="L1831" s="9">
        <f>VLOOKUP(dynamic[productID],products[],IF(YEAR(dynamic[orderDate])=2022,8,IF(YEAR(dynamic[orderDate])=2023,9,IF(YEAR(dynamic[orderDate])=2024,10,NA))),FALSE)</f>
        <v>12.68283974</v>
      </c>
      <c r="M1831" s="9">
        <v>17.45</v>
      </c>
      <c r="N1831" s="25">
        <f>(dynamic[orderPrice]-dynamic[productCost])/dynamic[productCost]</f>
        <v>0.3758748323</v>
      </c>
      <c r="O1831" s="10">
        <v>28.0</v>
      </c>
      <c r="P1831" s="25">
        <v>0.15</v>
      </c>
      <c r="Q1831" s="9">
        <f>dynamic[orderPrice]*dynamic[orderQuantity]</f>
        <v>488.6</v>
      </c>
      <c r="R1831" s="9">
        <f>dynamic[orderTotal]*(1-dynamic[discountApllied])</f>
        <v>415.31</v>
      </c>
      <c r="S1831" s="9">
        <f>dynamic[revenue]-(dynamic[productCost]*dynamic[orderQuantity])</f>
        <v>60.19048729</v>
      </c>
      <c r="T1831" s="25">
        <f>IFERROR(dynamic[profit]/dynamic[revenue], 0)</f>
        <v>0.1449290585</v>
      </c>
    </row>
    <row r="1832" ht="15.75" customHeight="1">
      <c r="A1832" s="6">
        <v>10954.0</v>
      </c>
      <c r="B1832" s="7" t="s">
        <v>82</v>
      </c>
      <c r="C1832" s="24" t="str">
        <f>VLOOKUP(dynamic[customerID],customers[],2,FALSE)</f>
        <v>LINO-Delicateses</v>
      </c>
      <c r="D1832" s="24">
        <v>45368.0</v>
      </c>
      <c r="E1832" s="6">
        <f>IFERROR(__xludf.DUMMYFUNCTION("COUNTUNIQUEIFS($A$2:$A1832,$B$2:$B1832,B1832)"),10.0)</f>
        <v>10</v>
      </c>
      <c r="F1832" s="6">
        <f t="shared" si="1"/>
        <v>15</v>
      </c>
      <c r="G1832" s="6" t="str">
        <f>IF(MINIFS(dynamic[orderDate], dynamic[customerID], B1832) &gt;= DATE(2024,4,30)-120, 
     "New", 
     IF(MAXIFS(dynamic[orderCount], dynamic[customerID], B1832)&lt;=2, 
        IF((DATE(2024,4,30) - MAXIFS(dynamic[orderDate], dynamic[customerID], B1832)) &gt; 180, "Non-Returning", "Dormant"), 
        IF(AND(MAX(dynamic[sinceLastOrder]) &gt; 365, (DATE(2024,4,30) - MAXIFS(dynamic[orderDate], dynamic[customerID], B1832)) &gt; 180), 
           "Dormant", "Regular")))</f>
        <v>Regular</v>
      </c>
      <c r="H1832" s="6">
        <v>31.0</v>
      </c>
      <c r="I1832" s="9" t="str">
        <f>VLOOKUP(dynamic[productID],products[],2,FALSE)</f>
        <v>Gorgonzola Telino</v>
      </c>
      <c r="J1832" s="9" t="str">
        <f>VLOOKUP(dynamic[productID],products[],12,FALSE)</f>
        <v>Dairy Products</v>
      </c>
      <c r="K1832" s="7" t="str">
        <f>IF(VLOOKUP(dynamic[productID],products[],7,FALSE)=1,"Discontinued","Current")</f>
        <v>Current</v>
      </c>
      <c r="L1832" s="9">
        <f>VLOOKUP(dynamic[productID],products[],IF(YEAR(dynamic[orderDate])=2022,8,IF(YEAR(dynamic[orderDate])=2023,9,IF(YEAR(dynamic[orderDate])=2024,10,NA))),FALSE)</f>
        <v>8.203054392</v>
      </c>
      <c r="M1832" s="9">
        <v>12.5</v>
      </c>
      <c r="N1832" s="25">
        <f>(dynamic[orderPrice]-dynamic[productCost])/dynamic[productCost]</f>
        <v>0.52382264</v>
      </c>
      <c r="O1832" s="10">
        <v>25.0</v>
      </c>
      <c r="P1832" s="25">
        <v>0.15</v>
      </c>
      <c r="Q1832" s="9">
        <f>dynamic[orderPrice]*dynamic[orderQuantity]</f>
        <v>312.5</v>
      </c>
      <c r="R1832" s="9">
        <f>dynamic[orderTotal]*(1-dynamic[discountApllied])</f>
        <v>265.625</v>
      </c>
      <c r="S1832" s="9">
        <f>dynamic[revenue]-(dynamic[productCost]*dynamic[orderQuantity])</f>
        <v>60.5486402</v>
      </c>
      <c r="T1832" s="25">
        <f>IFERROR(dynamic[profit]/dynamic[revenue], 0)</f>
        <v>0.2279478219</v>
      </c>
    </row>
    <row r="1833" ht="15.75" customHeight="1">
      <c r="A1833" s="6">
        <v>10954.0</v>
      </c>
      <c r="B1833" s="7" t="s">
        <v>82</v>
      </c>
      <c r="C1833" s="24" t="str">
        <f>VLOOKUP(dynamic[customerID],customers[],2,FALSE)</f>
        <v>LINO-Delicateses</v>
      </c>
      <c r="D1833" s="24">
        <v>45368.0</v>
      </c>
      <c r="E1833" s="6">
        <f>IFERROR(__xludf.DUMMYFUNCTION("COUNTUNIQUEIFS($A$2:$A1833,$B$2:$B1833,B1833)"),10.0)</f>
        <v>10</v>
      </c>
      <c r="F1833" s="6">
        <f t="shared" si="1"/>
        <v>15</v>
      </c>
      <c r="G1833" s="6" t="str">
        <f>IF(MINIFS(dynamic[orderDate], dynamic[customerID], B1833) &gt;= DATE(2024,4,30)-120, 
     "New", 
     IF(MAXIFS(dynamic[orderCount], dynamic[customerID], B1833)&lt;=2, 
        IF((DATE(2024,4,30) - MAXIFS(dynamic[orderDate], dynamic[customerID], B1833)) &gt; 180, "Non-Returning", "Dormant"), 
        IF(AND(MAX(dynamic[sinceLastOrder]) &gt; 365, (DATE(2024,4,30) - MAXIFS(dynamic[orderDate], dynamic[customerID], B1833)) &gt; 180), 
           "Dormant", "Regular")))</f>
        <v>Regular</v>
      </c>
      <c r="H1833" s="6">
        <v>45.0</v>
      </c>
      <c r="I1833" s="9" t="str">
        <f>VLOOKUP(dynamic[productID],products[],2,FALSE)</f>
        <v>Rogede sild</v>
      </c>
      <c r="J1833" s="9" t="str">
        <f>VLOOKUP(dynamic[productID],products[],12,FALSE)</f>
        <v>Seafood</v>
      </c>
      <c r="K1833" s="7" t="str">
        <f>IF(VLOOKUP(dynamic[productID],products[],7,FALSE)=1,"Discontinued","Current")</f>
        <v>Current</v>
      </c>
      <c r="L1833" s="9">
        <f>VLOOKUP(dynamic[productID],products[],IF(YEAR(dynamic[orderDate])=2022,8,IF(YEAR(dynamic[orderDate])=2023,9,IF(YEAR(dynamic[orderDate])=2024,10,NA))),FALSE)</f>
        <v>6.510592171</v>
      </c>
      <c r="M1833" s="9">
        <v>9.5</v>
      </c>
      <c r="N1833" s="25">
        <f>(dynamic[orderPrice]-dynamic[productCost])/dynamic[productCost]</f>
        <v>0.4591606648</v>
      </c>
      <c r="O1833" s="10">
        <v>30.0</v>
      </c>
      <c r="P1833" s="25">
        <v>0.0</v>
      </c>
      <c r="Q1833" s="9">
        <f>dynamic[orderPrice]*dynamic[orderQuantity]</f>
        <v>285</v>
      </c>
      <c r="R1833" s="9">
        <f>dynamic[orderTotal]*(1-dynamic[discountApllied])</f>
        <v>285</v>
      </c>
      <c r="S1833" s="9">
        <f>dynamic[revenue]-(dynamic[productCost]*dynamic[orderQuantity])</f>
        <v>89.68223488</v>
      </c>
      <c r="T1833" s="25">
        <f>IFERROR(dynamic[profit]/dynamic[revenue], 0)</f>
        <v>0.3146745083</v>
      </c>
    </row>
    <row r="1834" ht="15.75" customHeight="1">
      <c r="A1834" s="6">
        <v>10954.0</v>
      </c>
      <c r="B1834" s="7" t="s">
        <v>82</v>
      </c>
      <c r="C1834" s="24" t="str">
        <f>VLOOKUP(dynamic[customerID],customers[],2,FALSE)</f>
        <v>LINO-Delicateses</v>
      </c>
      <c r="D1834" s="24">
        <v>45368.0</v>
      </c>
      <c r="E1834" s="6">
        <f>IFERROR(__xludf.DUMMYFUNCTION("COUNTUNIQUEIFS($A$2:$A1834,$B$2:$B1834,B1834)"),10.0)</f>
        <v>10</v>
      </c>
      <c r="F1834" s="6">
        <f t="shared" si="1"/>
        <v>15</v>
      </c>
      <c r="G1834" s="6" t="str">
        <f>IF(MINIFS(dynamic[orderDate], dynamic[customerID], B1834) &gt;= DATE(2024,4,30)-120, 
     "New", 
     IF(MAXIFS(dynamic[orderCount], dynamic[customerID], B1834)&lt;=2, 
        IF((DATE(2024,4,30) - MAXIFS(dynamic[orderDate], dynamic[customerID], B1834)) &gt; 180, "Non-Returning", "Dormant"), 
        IF(AND(MAX(dynamic[sinceLastOrder]) &gt; 365, (DATE(2024,4,30) - MAXIFS(dynamic[orderDate], dynamic[customerID], B1834)) &gt; 180), 
           "Dormant", "Regular")))</f>
        <v>Regular</v>
      </c>
      <c r="H1834" s="6">
        <v>60.0</v>
      </c>
      <c r="I1834" s="9" t="str">
        <f>VLOOKUP(dynamic[productID],products[],2,FALSE)</f>
        <v>Camembert Pierrot</v>
      </c>
      <c r="J1834" s="9" t="str">
        <f>VLOOKUP(dynamic[productID],products[],12,FALSE)</f>
        <v>Dairy Products</v>
      </c>
      <c r="K1834" s="7" t="str">
        <f>IF(VLOOKUP(dynamic[productID],products[],7,FALSE)=1,"Discontinued","Current")</f>
        <v>Current</v>
      </c>
      <c r="L1834" s="9">
        <f>VLOOKUP(dynamic[productID],products[],IF(YEAR(dynamic[orderDate])=2022,8,IF(YEAR(dynamic[orderDate])=2023,9,IF(YEAR(dynamic[orderDate])=2024,10,NA))),FALSE)</f>
        <v>22.49091154</v>
      </c>
      <c r="M1834" s="9">
        <v>34.0</v>
      </c>
      <c r="N1834" s="25">
        <f>(dynamic[orderPrice]-dynamic[productCost])/dynamic[productCost]</f>
        <v>0.5117217431</v>
      </c>
      <c r="O1834" s="10">
        <v>24.0</v>
      </c>
      <c r="P1834" s="25">
        <v>0.15</v>
      </c>
      <c r="Q1834" s="9">
        <f>dynamic[orderPrice]*dynamic[orderQuantity]</f>
        <v>816</v>
      </c>
      <c r="R1834" s="9">
        <f>dynamic[orderTotal]*(1-dynamic[discountApllied])</f>
        <v>693.6</v>
      </c>
      <c r="S1834" s="9">
        <f>dynamic[revenue]-(dynamic[productCost]*dynamic[orderQuantity])</f>
        <v>153.818123</v>
      </c>
      <c r="T1834" s="25">
        <f>IFERROR(dynamic[profit]/dynamic[revenue], 0)</f>
        <v>0.2217677667</v>
      </c>
    </row>
    <row r="1835" ht="15.75" customHeight="1">
      <c r="A1835" s="6">
        <v>10955.0</v>
      </c>
      <c r="B1835" s="7" t="s">
        <v>29</v>
      </c>
      <c r="C1835" s="24" t="str">
        <f>VLOOKUP(dynamic[customerID],customers[],2,FALSE)</f>
        <v>Folk och fä HB</v>
      </c>
      <c r="D1835" s="24">
        <v>45368.0</v>
      </c>
      <c r="E1835" s="6">
        <f>IFERROR(__xludf.DUMMYFUNCTION("COUNTUNIQUEIFS($A$2:$A1835,$B$2:$B1835,B1835)"),14.0)</f>
        <v>14</v>
      </c>
      <c r="F1835" s="6">
        <f t="shared" si="1"/>
        <v>23</v>
      </c>
      <c r="G1835" s="6" t="str">
        <f>IF(MINIFS(dynamic[orderDate], dynamic[customerID], B1835) &gt;= DATE(2024,4,30)-120, 
     "New", 
     IF(MAXIFS(dynamic[orderCount], dynamic[customerID], B1835)&lt;=2, 
        IF((DATE(2024,4,30) - MAXIFS(dynamic[orderDate], dynamic[customerID], B1835)) &gt; 180, "Non-Returning", "Dormant"), 
        IF(AND(MAX(dynamic[sinceLastOrder]) &gt; 365, (DATE(2024,4,30) - MAXIFS(dynamic[orderDate], dynamic[customerID], B1835)) &gt; 180), 
           "Dormant", "Regular")))</f>
        <v>Regular</v>
      </c>
      <c r="H1835" s="6">
        <v>75.0</v>
      </c>
      <c r="I1835" s="9" t="str">
        <f>VLOOKUP(dynamic[productID],products[],2,FALSE)</f>
        <v>Rhönbräu Klosterbier</v>
      </c>
      <c r="J1835" s="9" t="str">
        <f>VLOOKUP(dynamic[productID],products[],12,FALSE)</f>
        <v>Beverages</v>
      </c>
      <c r="K1835" s="7" t="str">
        <f>IF(VLOOKUP(dynamic[productID],products[],7,FALSE)=1,"Discontinued","Current")</f>
        <v>Current</v>
      </c>
      <c r="L1835" s="9">
        <f>VLOOKUP(dynamic[productID],products[],IF(YEAR(dynamic[orderDate])=2022,8,IF(YEAR(dynamic[orderDate])=2023,9,IF(YEAR(dynamic[orderDate])=2024,10,NA))),FALSE)</f>
        <v>5.374051525</v>
      </c>
      <c r="M1835" s="9">
        <v>7.75</v>
      </c>
      <c r="N1835" s="25">
        <f>(dynamic[orderPrice]-dynamic[productCost])/dynamic[productCost]</f>
        <v>0.4421149413</v>
      </c>
      <c r="O1835" s="10">
        <v>12.0</v>
      </c>
      <c r="P1835" s="25">
        <v>0.2</v>
      </c>
      <c r="Q1835" s="9">
        <f>dynamic[orderPrice]*dynamic[orderQuantity]</f>
        <v>93</v>
      </c>
      <c r="R1835" s="9">
        <f>dynamic[orderTotal]*(1-dynamic[discountApllied])</f>
        <v>74.4</v>
      </c>
      <c r="S1835" s="9">
        <f>dynamic[revenue]-(dynamic[productCost]*dynamic[orderQuantity])</f>
        <v>9.911381697</v>
      </c>
      <c r="T1835" s="25">
        <f>IFERROR(dynamic[profit]/dynamic[revenue], 0)</f>
        <v>0.1332174959</v>
      </c>
    </row>
    <row r="1836" ht="15.75" customHeight="1">
      <c r="A1836" s="6">
        <v>10956.0</v>
      </c>
      <c r="B1836" s="7" t="s">
        <v>91</v>
      </c>
      <c r="C1836" s="24" t="str">
        <f>VLOOKUP(dynamic[customerID],customers[],2,FALSE)</f>
        <v>Blauer See Delikatessen</v>
      </c>
      <c r="D1836" s="24">
        <v>45368.0</v>
      </c>
      <c r="E1836" s="6">
        <f>IFERROR(__xludf.DUMMYFUNCTION("COUNTUNIQUEIFS($A$2:$A1836,$B$2:$B1836,B1836)"),6.0)</f>
        <v>6</v>
      </c>
      <c r="F1836" s="6">
        <f t="shared" si="1"/>
        <v>50</v>
      </c>
      <c r="G1836" s="6" t="str">
        <f>IF(MINIFS(dynamic[orderDate], dynamic[customerID], B1836) &gt;= DATE(2024,4,30)-120, 
     "New", 
     IF(MAXIFS(dynamic[orderCount], dynamic[customerID], B1836)&lt;=2, 
        IF((DATE(2024,4,30) - MAXIFS(dynamic[orderDate], dynamic[customerID], B1836)) &gt; 180, "Non-Returning", "Dormant"), 
        IF(AND(MAX(dynamic[sinceLastOrder]) &gt; 365, (DATE(2024,4,30) - MAXIFS(dynamic[orderDate], dynamic[customerID], B1836)) &gt; 180), 
           "Dormant", "Regular")))</f>
        <v>Regular</v>
      </c>
      <c r="H1836" s="6">
        <v>21.0</v>
      </c>
      <c r="I1836" s="9" t="str">
        <f>VLOOKUP(dynamic[productID],products[],2,FALSE)</f>
        <v>Sir Rodney's Scones</v>
      </c>
      <c r="J1836" s="9" t="str">
        <f>VLOOKUP(dynamic[productID],products[],12,FALSE)</f>
        <v>Confections</v>
      </c>
      <c r="K1836" s="7" t="str">
        <f>IF(VLOOKUP(dynamic[productID],products[],7,FALSE)=1,"Discontinued","Current")</f>
        <v>Current</v>
      </c>
      <c r="L1836" s="9">
        <f>VLOOKUP(dynamic[productID],products[],IF(YEAR(dynamic[orderDate])=2022,8,IF(YEAR(dynamic[orderDate])=2023,9,IF(YEAR(dynamic[orderDate])=2024,10,NA))),FALSE)</f>
        <v>7.459897593</v>
      </c>
      <c r="M1836" s="9">
        <v>10.0</v>
      </c>
      <c r="N1836" s="25">
        <f>(dynamic[orderPrice]-dynamic[productCost])/dynamic[productCost]</f>
        <v>0.3405009753</v>
      </c>
      <c r="O1836" s="10">
        <v>12.0</v>
      </c>
      <c r="P1836" s="25">
        <v>0.0</v>
      </c>
      <c r="Q1836" s="9">
        <f>dynamic[orderPrice]*dynamic[orderQuantity]</f>
        <v>120</v>
      </c>
      <c r="R1836" s="9">
        <f>dynamic[orderTotal]*(1-dynamic[discountApllied])</f>
        <v>120</v>
      </c>
      <c r="S1836" s="9">
        <f>dynamic[revenue]-(dynamic[productCost]*dynamic[orderQuantity])</f>
        <v>30.48122888</v>
      </c>
      <c r="T1836" s="25">
        <f>IFERROR(dynamic[profit]/dynamic[revenue], 0)</f>
        <v>0.2540102407</v>
      </c>
    </row>
    <row r="1837" ht="15.75" customHeight="1">
      <c r="A1837" s="6">
        <v>10956.0</v>
      </c>
      <c r="B1837" s="7" t="s">
        <v>91</v>
      </c>
      <c r="C1837" s="24" t="str">
        <f>VLOOKUP(dynamic[customerID],customers[],2,FALSE)</f>
        <v>Blauer See Delikatessen</v>
      </c>
      <c r="D1837" s="24">
        <v>45368.0</v>
      </c>
      <c r="E1837" s="6">
        <f>IFERROR(__xludf.DUMMYFUNCTION("COUNTUNIQUEIFS($A$2:$A1837,$B$2:$B1837,B1837)"),6.0)</f>
        <v>6</v>
      </c>
      <c r="F1837" s="6">
        <f t="shared" si="1"/>
        <v>50</v>
      </c>
      <c r="G1837" s="6" t="str">
        <f>IF(MINIFS(dynamic[orderDate], dynamic[customerID], B1837) &gt;= DATE(2024,4,30)-120, 
     "New", 
     IF(MAXIFS(dynamic[orderCount], dynamic[customerID], B1837)&lt;=2, 
        IF((DATE(2024,4,30) - MAXIFS(dynamic[orderDate], dynamic[customerID], B1837)) &gt; 180, "Non-Returning", "Dormant"), 
        IF(AND(MAX(dynamic[sinceLastOrder]) &gt; 365, (DATE(2024,4,30) - MAXIFS(dynamic[orderDate], dynamic[customerID], B1837)) &gt; 180), 
           "Dormant", "Regular")))</f>
        <v>Regular</v>
      </c>
      <c r="H1837" s="6">
        <v>47.0</v>
      </c>
      <c r="I1837" s="9" t="str">
        <f>VLOOKUP(dynamic[productID],products[],2,FALSE)</f>
        <v>Zaanse koeken</v>
      </c>
      <c r="J1837" s="9" t="str">
        <f>VLOOKUP(dynamic[productID],products[],12,FALSE)</f>
        <v>Confections</v>
      </c>
      <c r="K1837" s="7" t="str">
        <f>IF(VLOOKUP(dynamic[productID],products[],7,FALSE)=1,"Discontinued","Current")</f>
        <v>Current</v>
      </c>
      <c r="L1837" s="9">
        <f>VLOOKUP(dynamic[productID],products[],IF(YEAR(dynamic[orderDate])=2022,8,IF(YEAR(dynamic[orderDate])=2023,9,IF(YEAR(dynamic[orderDate])=2024,10,NA))),FALSE)</f>
        <v>6.635130774</v>
      </c>
      <c r="M1837" s="9">
        <v>9.5</v>
      </c>
      <c r="N1837" s="25">
        <f>(dynamic[orderPrice]-dynamic[productCost])/dynamic[productCost]</f>
        <v>0.4317728351</v>
      </c>
      <c r="O1837" s="10">
        <v>14.0</v>
      </c>
      <c r="P1837" s="25">
        <v>0.0</v>
      </c>
      <c r="Q1837" s="9">
        <f>dynamic[orderPrice]*dynamic[orderQuantity]</f>
        <v>133</v>
      </c>
      <c r="R1837" s="9">
        <f>dynamic[orderTotal]*(1-dynamic[discountApllied])</f>
        <v>133</v>
      </c>
      <c r="S1837" s="9">
        <f>dynamic[revenue]-(dynamic[productCost]*dynamic[orderQuantity])</f>
        <v>40.10816916</v>
      </c>
      <c r="T1837" s="25">
        <f>IFERROR(dynamic[profit]/dynamic[revenue], 0)</f>
        <v>0.3015651817</v>
      </c>
    </row>
    <row r="1838" ht="15.75" customHeight="1">
      <c r="A1838" s="6">
        <v>10956.0</v>
      </c>
      <c r="B1838" s="7" t="s">
        <v>91</v>
      </c>
      <c r="C1838" s="24" t="str">
        <f>VLOOKUP(dynamic[customerID],customers[],2,FALSE)</f>
        <v>Blauer See Delikatessen</v>
      </c>
      <c r="D1838" s="24">
        <v>45368.0</v>
      </c>
      <c r="E1838" s="6">
        <f>IFERROR(__xludf.DUMMYFUNCTION("COUNTUNIQUEIFS($A$2:$A1838,$B$2:$B1838,B1838)"),6.0)</f>
        <v>6</v>
      </c>
      <c r="F1838" s="6">
        <f t="shared" si="1"/>
        <v>50</v>
      </c>
      <c r="G1838" s="6" t="str">
        <f>IF(MINIFS(dynamic[orderDate], dynamic[customerID], B1838) &gt;= DATE(2024,4,30)-120, 
     "New", 
     IF(MAXIFS(dynamic[orderCount], dynamic[customerID], B1838)&lt;=2, 
        IF((DATE(2024,4,30) - MAXIFS(dynamic[orderDate], dynamic[customerID], B1838)) &gt; 180, "Non-Returning", "Dormant"), 
        IF(AND(MAX(dynamic[sinceLastOrder]) &gt; 365, (DATE(2024,4,30) - MAXIFS(dynamic[orderDate], dynamic[customerID], B1838)) &gt; 180), 
           "Dormant", "Regular")))</f>
        <v>Regular</v>
      </c>
      <c r="H1838" s="6">
        <v>51.0</v>
      </c>
      <c r="I1838" s="9" t="str">
        <f>VLOOKUP(dynamic[productID],products[],2,FALSE)</f>
        <v>Manjimup Dried Apples</v>
      </c>
      <c r="J1838" s="9" t="str">
        <f>VLOOKUP(dynamic[productID],products[],12,FALSE)</f>
        <v>Produce</v>
      </c>
      <c r="K1838" s="7" t="str">
        <f>IF(VLOOKUP(dynamic[productID],products[],7,FALSE)=1,"Discontinued","Current")</f>
        <v>Current</v>
      </c>
      <c r="L1838" s="9">
        <f>VLOOKUP(dynamic[productID],products[],IF(YEAR(dynamic[orderDate])=2022,8,IF(YEAR(dynamic[orderDate])=2023,9,IF(YEAR(dynamic[orderDate])=2024,10,NA))),FALSE)</f>
        <v>39.51416462</v>
      </c>
      <c r="M1838" s="9">
        <v>53.0</v>
      </c>
      <c r="N1838" s="25">
        <f>(dynamic[orderPrice]-dynamic[productCost])/dynamic[productCost]</f>
        <v>0.3412911677</v>
      </c>
      <c r="O1838" s="10">
        <v>8.0</v>
      </c>
      <c r="P1838" s="25">
        <v>0.0</v>
      </c>
      <c r="Q1838" s="9">
        <f>dynamic[orderPrice]*dynamic[orderQuantity]</f>
        <v>424</v>
      </c>
      <c r="R1838" s="9">
        <f>dynamic[orderTotal]*(1-dynamic[discountApllied])</f>
        <v>424</v>
      </c>
      <c r="S1838" s="9">
        <f>dynamic[revenue]-(dynamic[productCost]*dynamic[orderQuantity])</f>
        <v>107.8866831</v>
      </c>
      <c r="T1838" s="25">
        <f>IFERROR(dynamic[profit]/dynamic[revenue], 0)</f>
        <v>0.2544497242</v>
      </c>
    </row>
    <row r="1839" ht="15.75" customHeight="1">
      <c r="A1839" s="6">
        <v>10957.0</v>
      </c>
      <c r="B1839" s="7" t="s">
        <v>23</v>
      </c>
      <c r="C1839" s="24" t="str">
        <f>VLOOKUP(dynamic[customerID],customers[],2,FALSE)</f>
        <v>HILARION-Abastos</v>
      </c>
      <c r="D1839" s="24">
        <v>45369.0</v>
      </c>
      <c r="E1839" s="6">
        <f>IFERROR(__xludf.DUMMYFUNCTION("COUNTUNIQUEIFS($A$2:$A1839,$B$2:$B1839,B1839)"),15.0)</f>
        <v>15</v>
      </c>
      <c r="F1839" s="6">
        <f t="shared" si="1"/>
        <v>24</v>
      </c>
      <c r="G1839" s="6" t="str">
        <f>IF(MINIFS(dynamic[orderDate], dynamic[customerID], B1839) &gt;= DATE(2024,4,30)-120, 
     "New", 
     IF(MAXIFS(dynamic[orderCount], dynamic[customerID], B1839)&lt;=2, 
        IF((DATE(2024,4,30) - MAXIFS(dynamic[orderDate], dynamic[customerID], B1839)) &gt; 180, "Non-Returning", "Dormant"), 
        IF(AND(MAX(dynamic[sinceLastOrder]) &gt; 365, (DATE(2024,4,30) - MAXIFS(dynamic[orderDate], dynamic[customerID], B1839)) &gt; 180), 
           "Dormant", "Regular")))</f>
        <v>Regular</v>
      </c>
      <c r="H1839" s="6">
        <v>30.0</v>
      </c>
      <c r="I1839" s="9" t="str">
        <f>VLOOKUP(dynamic[productID],products[],2,FALSE)</f>
        <v>Nord-Ost Matjeshering</v>
      </c>
      <c r="J1839" s="9" t="str">
        <f>VLOOKUP(dynamic[productID],products[],12,FALSE)</f>
        <v>Seafood</v>
      </c>
      <c r="K1839" s="7" t="str">
        <f>IF(VLOOKUP(dynamic[productID],products[],7,FALSE)=1,"Discontinued","Current")</f>
        <v>Current</v>
      </c>
      <c r="L1839" s="9">
        <f>VLOOKUP(dynamic[productID],products[],IF(YEAR(dynamic[orderDate])=2022,8,IF(YEAR(dynamic[orderDate])=2023,9,IF(YEAR(dynamic[orderDate])=2024,10,NA))),FALSE)</f>
        <v>17.0327851</v>
      </c>
      <c r="M1839" s="9">
        <v>25.89</v>
      </c>
      <c r="N1839" s="25">
        <f>(dynamic[orderPrice]-dynamic[productCost])/dynamic[productCost]</f>
        <v>0.5200097842</v>
      </c>
      <c r="O1839" s="10">
        <v>30.0</v>
      </c>
      <c r="P1839" s="25">
        <v>0.0</v>
      </c>
      <c r="Q1839" s="9">
        <f>dynamic[orderPrice]*dynamic[orderQuantity]</f>
        <v>776.7</v>
      </c>
      <c r="R1839" s="9">
        <f>dynamic[orderTotal]*(1-dynamic[discountApllied])</f>
        <v>776.7</v>
      </c>
      <c r="S1839" s="9">
        <f>dynamic[revenue]-(dynamic[productCost]*dynamic[orderQuantity])</f>
        <v>265.7164471</v>
      </c>
      <c r="T1839" s="25">
        <f>IFERROR(dynamic[profit]/dynamic[revenue], 0)</f>
        <v>0.342109498</v>
      </c>
    </row>
    <row r="1840" ht="15.75" customHeight="1">
      <c r="A1840" s="6">
        <v>10957.0</v>
      </c>
      <c r="B1840" s="7" t="s">
        <v>23</v>
      </c>
      <c r="C1840" s="24" t="str">
        <f>VLOOKUP(dynamic[customerID],customers[],2,FALSE)</f>
        <v>HILARION-Abastos</v>
      </c>
      <c r="D1840" s="24">
        <v>45369.0</v>
      </c>
      <c r="E1840" s="6">
        <f>IFERROR(__xludf.DUMMYFUNCTION("COUNTUNIQUEIFS($A$2:$A1840,$B$2:$B1840,B1840)"),15.0)</f>
        <v>15</v>
      </c>
      <c r="F1840" s="6">
        <f t="shared" si="1"/>
        <v>24</v>
      </c>
      <c r="G1840" s="6" t="str">
        <f>IF(MINIFS(dynamic[orderDate], dynamic[customerID], B1840) &gt;= DATE(2024,4,30)-120, 
     "New", 
     IF(MAXIFS(dynamic[orderCount], dynamic[customerID], B1840)&lt;=2, 
        IF((DATE(2024,4,30) - MAXIFS(dynamic[orderDate], dynamic[customerID], B1840)) &gt; 180, "Non-Returning", "Dormant"), 
        IF(AND(MAX(dynamic[sinceLastOrder]) &gt; 365, (DATE(2024,4,30) - MAXIFS(dynamic[orderDate], dynamic[customerID], B1840)) &gt; 180), 
           "Dormant", "Regular")))</f>
        <v>Regular</v>
      </c>
      <c r="H1840" s="6">
        <v>35.0</v>
      </c>
      <c r="I1840" s="9" t="str">
        <f>VLOOKUP(dynamic[productID],products[],2,FALSE)</f>
        <v>Cold Brew Nitro</v>
      </c>
      <c r="J1840" s="9" t="str">
        <f>VLOOKUP(dynamic[productID],products[],12,FALSE)</f>
        <v>Beverages</v>
      </c>
      <c r="K1840" s="7" t="str">
        <f>IF(VLOOKUP(dynamic[productID],products[],7,FALSE)=1,"Discontinued","Current")</f>
        <v>Current</v>
      </c>
      <c r="L1840" s="9">
        <f>VLOOKUP(dynamic[productID],products[],IF(YEAR(dynamic[orderDate])=2022,8,IF(YEAR(dynamic[orderDate])=2023,9,IF(YEAR(dynamic[orderDate])=2024,10,NA))),FALSE)</f>
        <v>12.9261692</v>
      </c>
      <c r="M1840" s="9">
        <v>18.0</v>
      </c>
      <c r="N1840" s="25">
        <f>(dynamic[orderPrice]-dynamic[productCost])/dynamic[productCost]</f>
        <v>0.3925239355</v>
      </c>
      <c r="O1840" s="10">
        <v>40.0</v>
      </c>
      <c r="P1840" s="25">
        <v>0.0</v>
      </c>
      <c r="Q1840" s="9">
        <f>dynamic[orderPrice]*dynamic[orderQuantity]</f>
        <v>720</v>
      </c>
      <c r="R1840" s="9">
        <f>dynamic[orderTotal]*(1-dynamic[discountApllied])</f>
        <v>720</v>
      </c>
      <c r="S1840" s="9">
        <f>dynamic[revenue]-(dynamic[productCost]*dynamic[orderQuantity])</f>
        <v>202.9532322</v>
      </c>
      <c r="T1840" s="25">
        <f>IFERROR(dynamic[profit]/dynamic[revenue], 0)</f>
        <v>0.2818794891</v>
      </c>
    </row>
    <row r="1841" ht="15.75" customHeight="1">
      <c r="A1841" s="6">
        <v>10957.0</v>
      </c>
      <c r="B1841" s="7" t="s">
        <v>23</v>
      </c>
      <c r="C1841" s="24" t="str">
        <f>VLOOKUP(dynamic[customerID],customers[],2,FALSE)</f>
        <v>HILARION-Abastos</v>
      </c>
      <c r="D1841" s="24">
        <v>45369.0</v>
      </c>
      <c r="E1841" s="6">
        <f>IFERROR(__xludf.DUMMYFUNCTION("COUNTUNIQUEIFS($A$2:$A1841,$B$2:$B1841,B1841)"),15.0)</f>
        <v>15</v>
      </c>
      <c r="F1841" s="6">
        <f t="shared" si="1"/>
        <v>24</v>
      </c>
      <c r="G1841" s="6" t="str">
        <f>IF(MINIFS(dynamic[orderDate], dynamic[customerID], B1841) &gt;= DATE(2024,4,30)-120, 
     "New", 
     IF(MAXIFS(dynamic[orderCount], dynamic[customerID], B1841)&lt;=2, 
        IF((DATE(2024,4,30) - MAXIFS(dynamic[orderDate], dynamic[customerID], B1841)) &gt; 180, "Non-Returning", "Dormant"), 
        IF(AND(MAX(dynamic[sinceLastOrder]) &gt; 365, (DATE(2024,4,30) - MAXIFS(dynamic[orderDate], dynamic[customerID], B1841)) &gt; 180), 
           "Dormant", "Regular")))</f>
        <v>Regular</v>
      </c>
      <c r="H1841" s="6">
        <v>64.0</v>
      </c>
      <c r="I1841" s="9" t="str">
        <f>VLOOKUP(dynamic[productID],products[],2,FALSE)</f>
        <v>Lukas' leckere Sauerteigweggla</v>
      </c>
      <c r="J1841" s="9" t="str">
        <f>VLOOKUP(dynamic[productID],products[],12,FALSE)</f>
        <v>Grains/Cereals</v>
      </c>
      <c r="K1841" s="7" t="str">
        <f>IF(VLOOKUP(dynamic[productID],products[],7,FALSE)=1,"Discontinued","Current")</f>
        <v>Current</v>
      </c>
      <c r="L1841" s="9">
        <f>VLOOKUP(dynamic[productID],products[],IF(YEAR(dynamic[orderDate])=2022,8,IF(YEAR(dynamic[orderDate])=2023,9,IF(YEAR(dynamic[orderDate])=2024,10,NA))),FALSE)</f>
        <v>22.72434276</v>
      </c>
      <c r="M1841" s="9">
        <v>33.25</v>
      </c>
      <c r="N1841" s="25">
        <f>(dynamic[orderPrice]-dynamic[productCost])/dynamic[productCost]</f>
        <v>0.4631886324</v>
      </c>
      <c r="O1841" s="10">
        <v>8.0</v>
      </c>
      <c r="P1841" s="25">
        <v>0.0</v>
      </c>
      <c r="Q1841" s="9">
        <f>dynamic[orderPrice]*dynamic[orderQuantity]</f>
        <v>266</v>
      </c>
      <c r="R1841" s="9">
        <f>dynamic[orderTotal]*(1-dynamic[discountApllied])</f>
        <v>266</v>
      </c>
      <c r="S1841" s="9">
        <f>dynamic[revenue]-(dynamic[productCost]*dynamic[orderQuantity])</f>
        <v>84.20525795</v>
      </c>
      <c r="T1841" s="25">
        <f>IFERROR(dynamic[profit]/dynamic[revenue], 0)</f>
        <v>0.3165611201</v>
      </c>
    </row>
    <row r="1842" ht="15.75" customHeight="1">
      <c r="A1842" s="6">
        <v>10958.0</v>
      </c>
      <c r="B1842" s="7" t="s">
        <v>84</v>
      </c>
      <c r="C1842" s="24" t="str">
        <f>VLOOKUP(dynamic[customerID],customers[],2,FALSE)</f>
        <v>Océano Atlántico Ltda.</v>
      </c>
      <c r="D1842" s="24">
        <v>45369.0</v>
      </c>
      <c r="E1842" s="6">
        <f>IFERROR(__xludf.DUMMYFUNCTION("COUNTUNIQUEIFS($A$2:$A1842,$B$2:$B1842,B1842)"),4.0)</f>
        <v>4</v>
      </c>
      <c r="F1842" s="6">
        <f t="shared" si="1"/>
        <v>27</v>
      </c>
      <c r="G1842" s="6" t="str">
        <f>IF(MINIFS(dynamic[orderDate], dynamic[customerID], B1842) &gt;= DATE(2024,4,30)-120, 
     "New", 
     IF(MAXIFS(dynamic[orderCount], dynamic[customerID], B1842)&lt;=2, 
        IF((DATE(2024,4,30) - MAXIFS(dynamic[orderDate], dynamic[customerID], B1842)) &gt; 180, "Non-Returning", "Dormant"), 
        IF(AND(MAX(dynamic[sinceLastOrder]) &gt; 365, (DATE(2024,4,30) - MAXIFS(dynamic[orderDate], dynamic[customerID], B1842)) &gt; 180), 
           "Dormant", "Regular")))</f>
        <v>Regular</v>
      </c>
      <c r="H1842" s="6">
        <v>5.0</v>
      </c>
      <c r="I1842" s="9" t="str">
        <f>VLOOKUP(dynamic[productID],products[],2,FALSE)</f>
        <v>Chef Anton's Gumbo Mix</v>
      </c>
      <c r="J1842" s="9" t="str">
        <f>VLOOKUP(dynamic[productID],products[],12,FALSE)</f>
        <v>Condiments</v>
      </c>
      <c r="K1842" s="7" t="str">
        <f>IF(VLOOKUP(dynamic[productID],products[],7,FALSE)=1,"Discontinued","Current")</f>
        <v>Discontinued</v>
      </c>
      <c r="L1842" s="9">
        <f>VLOOKUP(dynamic[productID],products[],IF(YEAR(dynamic[orderDate])=2022,8,IF(YEAR(dynamic[orderDate])=2023,9,IF(YEAR(dynamic[orderDate])=2024,10,NA))),FALSE)</f>
        <v>13.96337378</v>
      </c>
      <c r="M1842" s="9">
        <v>21.35</v>
      </c>
      <c r="N1842" s="25">
        <f>(dynamic[orderPrice]-dynamic[productCost])/dynamic[productCost]</f>
        <v>0.5290001069</v>
      </c>
      <c r="O1842" s="10">
        <v>20.0</v>
      </c>
      <c r="P1842" s="25">
        <v>0.0</v>
      </c>
      <c r="Q1842" s="9">
        <f>dynamic[orderPrice]*dynamic[orderQuantity]</f>
        <v>427</v>
      </c>
      <c r="R1842" s="9">
        <f>dynamic[orderTotal]*(1-dynamic[discountApllied])</f>
        <v>427</v>
      </c>
      <c r="S1842" s="9">
        <f>dynamic[revenue]-(dynamic[productCost]*dynamic[orderQuantity])</f>
        <v>147.7325244</v>
      </c>
      <c r="T1842" s="25">
        <f>IFERROR(dynamic[profit]/dynamic[revenue], 0)</f>
        <v>0.345977809</v>
      </c>
    </row>
    <row r="1843" ht="15.75" customHeight="1">
      <c r="A1843" s="6">
        <v>10958.0</v>
      </c>
      <c r="B1843" s="7" t="s">
        <v>84</v>
      </c>
      <c r="C1843" s="24" t="str">
        <f>VLOOKUP(dynamic[customerID],customers[],2,FALSE)</f>
        <v>Océano Atlántico Ltda.</v>
      </c>
      <c r="D1843" s="24">
        <v>45369.0</v>
      </c>
      <c r="E1843" s="6">
        <f>IFERROR(__xludf.DUMMYFUNCTION("COUNTUNIQUEIFS($A$2:$A1843,$B$2:$B1843,B1843)"),4.0)</f>
        <v>4</v>
      </c>
      <c r="F1843" s="6">
        <f t="shared" si="1"/>
        <v>27</v>
      </c>
      <c r="G1843" s="6" t="str">
        <f>IF(MINIFS(dynamic[orderDate], dynamic[customerID], B1843) &gt;= DATE(2024,4,30)-120, 
     "New", 
     IF(MAXIFS(dynamic[orderCount], dynamic[customerID], B1843)&lt;=2, 
        IF((DATE(2024,4,30) - MAXIFS(dynamic[orderDate], dynamic[customerID], B1843)) &gt; 180, "Non-Returning", "Dormant"), 
        IF(AND(MAX(dynamic[sinceLastOrder]) &gt; 365, (DATE(2024,4,30) - MAXIFS(dynamic[orderDate], dynamic[customerID], B1843)) &gt; 180), 
           "Dormant", "Regular")))</f>
        <v>Regular</v>
      </c>
      <c r="H1843" s="6">
        <v>7.0</v>
      </c>
      <c r="I1843" s="9" t="str">
        <f>VLOOKUP(dynamic[productID],products[],2,FALSE)</f>
        <v>Uncle Bob's Organic Dried Pears</v>
      </c>
      <c r="J1843" s="9" t="str">
        <f>VLOOKUP(dynamic[productID],products[],12,FALSE)</f>
        <v>Produce</v>
      </c>
      <c r="K1843" s="7" t="str">
        <f>IF(VLOOKUP(dynamic[productID],products[],7,FALSE)=1,"Discontinued","Current")</f>
        <v>Current</v>
      </c>
      <c r="L1843" s="9">
        <f>VLOOKUP(dynamic[productID],products[],IF(YEAR(dynamic[orderDate])=2022,8,IF(YEAR(dynamic[orderDate])=2023,9,IF(YEAR(dynamic[orderDate])=2024,10,NA))),FALSE)</f>
        <v>23.52222246</v>
      </c>
      <c r="M1843" s="9">
        <v>30.0</v>
      </c>
      <c r="N1843" s="25">
        <f>(dynamic[orderPrice]-dynamic[productCost])/dynamic[productCost]</f>
        <v>0.2753896894</v>
      </c>
      <c r="O1843" s="10">
        <v>6.0</v>
      </c>
      <c r="P1843" s="25">
        <v>0.0</v>
      </c>
      <c r="Q1843" s="9">
        <f>dynamic[orderPrice]*dynamic[orderQuantity]</f>
        <v>180</v>
      </c>
      <c r="R1843" s="9">
        <f>dynamic[orderTotal]*(1-dynamic[discountApllied])</f>
        <v>180</v>
      </c>
      <c r="S1843" s="9">
        <f>dynamic[revenue]-(dynamic[productCost]*dynamic[orderQuantity])</f>
        <v>38.86666522</v>
      </c>
      <c r="T1843" s="25">
        <f>IFERROR(dynamic[profit]/dynamic[revenue], 0)</f>
        <v>0.2159259179</v>
      </c>
    </row>
    <row r="1844" ht="15.75" customHeight="1">
      <c r="A1844" s="6">
        <v>10958.0</v>
      </c>
      <c r="B1844" s="7" t="s">
        <v>84</v>
      </c>
      <c r="C1844" s="24" t="str">
        <f>VLOOKUP(dynamic[customerID],customers[],2,FALSE)</f>
        <v>Océano Atlántico Ltda.</v>
      </c>
      <c r="D1844" s="24">
        <v>45369.0</v>
      </c>
      <c r="E1844" s="6">
        <f>IFERROR(__xludf.DUMMYFUNCTION("COUNTUNIQUEIFS($A$2:$A1844,$B$2:$B1844,B1844)"),4.0)</f>
        <v>4</v>
      </c>
      <c r="F1844" s="6">
        <f t="shared" si="1"/>
        <v>27</v>
      </c>
      <c r="G1844" s="6" t="str">
        <f>IF(MINIFS(dynamic[orderDate], dynamic[customerID], B1844) &gt;= DATE(2024,4,30)-120, 
     "New", 
     IF(MAXIFS(dynamic[orderCount], dynamic[customerID], B1844)&lt;=2, 
        IF((DATE(2024,4,30) - MAXIFS(dynamic[orderDate], dynamic[customerID], B1844)) &gt; 180, "Non-Returning", "Dormant"), 
        IF(AND(MAX(dynamic[sinceLastOrder]) &gt; 365, (DATE(2024,4,30) - MAXIFS(dynamic[orderDate], dynamic[customerID], B1844)) &gt; 180), 
           "Dormant", "Regular")))</f>
        <v>Regular</v>
      </c>
      <c r="H1844" s="6">
        <v>72.0</v>
      </c>
      <c r="I1844" s="9" t="str">
        <f>VLOOKUP(dynamic[productID],products[],2,FALSE)</f>
        <v>Mozzarella di Giovanni</v>
      </c>
      <c r="J1844" s="9" t="str">
        <f>VLOOKUP(dynamic[productID],products[],12,FALSE)</f>
        <v>Dairy Products</v>
      </c>
      <c r="K1844" s="7" t="str">
        <f>IF(VLOOKUP(dynamic[productID],products[],7,FALSE)=1,"Discontinued","Current")</f>
        <v>Current</v>
      </c>
      <c r="L1844" s="9">
        <f>VLOOKUP(dynamic[productID],products[],IF(YEAR(dynamic[orderDate])=2022,8,IF(YEAR(dynamic[orderDate])=2023,9,IF(YEAR(dynamic[orderDate])=2024,10,NA))),FALSE)</f>
        <v>24.35057898</v>
      </c>
      <c r="M1844" s="9">
        <v>34.8</v>
      </c>
      <c r="N1844" s="25">
        <f>(dynamic[orderPrice]-dynamic[productCost])/dynamic[productCost]</f>
        <v>0.4291241297</v>
      </c>
      <c r="O1844" s="10">
        <v>5.0</v>
      </c>
      <c r="P1844" s="25">
        <v>0.0</v>
      </c>
      <c r="Q1844" s="9">
        <f>dynamic[orderPrice]*dynamic[orderQuantity]</f>
        <v>174</v>
      </c>
      <c r="R1844" s="9">
        <f>dynamic[orderTotal]*(1-dynamic[discountApllied])</f>
        <v>174</v>
      </c>
      <c r="S1844" s="9">
        <f>dynamic[revenue]-(dynamic[productCost]*dynamic[orderQuantity])</f>
        <v>52.24710508</v>
      </c>
      <c r="T1844" s="25">
        <f>IFERROR(dynamic[profit]/dynamic[revenue], 0)</f>
        <v>0.3002707188</v>
      </c>
    </row>
    <row r="1845" ht="15.75" customHeight="1">
      <c r="A1845" s="6">
        <v>10959.0</v>
      </c>
      <c r="B1845" s="7" t="s">
        <v>86</v>
      </c>
      <c r="C1845" s="24" t="str">
        <f>VLOOKUP(dynamic[customerID],customers[],2,FALSE)</f>
        <v>Gourmet Lanchonetes</v>
      </c>
      <c r="D1845" s="24">
        <v>45369.0</v>
      </c>
      <c r="E1845" s="6">
        <f>IFERROR(__xludf.DUMMYFUNCTION("COUNTUNIQUEIFS($A$2:$A1845,$B$2:$B1845,B1845)"),8.0)</f>
        <v>8</v>
      </c>
      <c r="F1845" s="6">
        <f t="shared" si="1"/>
        <v>87</v>
      </c>
      <c r="G1845" s="6" t="str">
        <f>IF(MINIFS(dynamic[orderDate], dynamic[customerID], B1845) &gt;= DATE(2024,4,30)-120, 
     "New", 
     IF(MAXIFS(dynamic[orderCount], dynamic[customerID], B1845)&lt;=2, 
        IF((DATE(2024,4,30) - MAXIFS(dynamic[orderDate], dynamic[customerID], B1845)) &gt; 180, "Non-Returning", "Dormant"), 
        IF(AND(MAX(dynamic[sinceLastOrder]) &gt; 365, (DATE(2024,4,30) - MAXIFS(dynamic[orderDate], dynamic[customerID], B1845)) &gt; 180), 
           "Dormant", "Regular")))</f>
        <v>Regular</v>
      </c>
      <c r="H1845" s="6">
        <v>75.0</v>
      </c>
      <c r="I1845" s="9" t="str">
        <f>VLOOKUP(dynamic[productID],products[],2,FALSE)</f>
        <v>Rhönbräu Klosterbier</v>
      </c>
      <c r="J1845" s="9" t="str">
        <f>VLOOKUP(dynamic[productID],products[],12,FALSE)</f>
        <v>Beverages</v>
      </c>
      <c r="K1845" s="7" t="str">
        <f>IF(VLOOKUP(dynamic[productID],products[],7,FALSE)=1,"Discontinued","Current")</f>
        <v>Current</v>
      </c>
      <c r="L1845" s="9">
        <f>VLOOKUP(dynamic[productID],products[],IF(YEAR(dynamic[orderDate])=2022,8,IF(YEAR(dynamic[orderDate])=2023,9,IF(YEAR(dynamic[orderDate])=2024,10,NA))),FALSE)</f>
        <v>5.374051525</v>
      </c>
      <c r="M1845" s="9">
        <v>7.75</v>
      </c>
      <c r="N1845" s="25">
        <f>(dynamic[orderPrice]-dynamic[productCost])/dynamic[productCost]</f>
        <v>0.4421149413</v>
      </c>
      <c r="O1845" s="10">
        <v>20.0</v>
      </c>
      <c r="P1845" s="25">
        <v>0.15</v>
      </c>
      <c r="Q1845" s="9">
        <f>dynamic[orderPrice]*dynamic[orderQuantity]</f>
        <v>155</v>
      </c>
      <c r="R1845" s="9">
        <f>dynamic[orderTotal]*(1-dynamic[discountApllied])</f>
        <v>131.75</v>
      </c>
      <c r="S1845" s="9">
        <f>dynamic[revenue]-(dynamic[productCost]*dynamic[orderQuantity])</f>
        <v>24.26896949</v>
      </c>
      <c r="T1845" s="25">
        <f>IFERROR(dynamic[profit]/dynamic[revenue], 0)</f>
        <v>0.184204702</v>
      </c>
    </row>
    <row r="1846" ht="15.75" customHeight="1">
      <c r="A1846" s="6">
        <v>10960.0</v>
      </c>
      <c r="B1846" s="7" t="s">
        <v>23</v>
      </c>
      <c r="C1846" s="24" t="str">
        <f>VLOOKUP(dynamic[customerID],customers[],2,FALSE)</f>
        <v>HILARION-Abastos</v>
      </c>
      <c r="D1846" s="24">
        <v>45370.0</v>
      </c>
      <c r="E1846" s="6">
        <f>IFERROR(__xludf.DUMMYFUNCTION("COUNTUNIQUEIFS($A$2:$A1846,$B$2:$B1846,B1846)"),16.0)</f>
        <v>16</v>
      </c>
      <c r="F1846" s="6">
        <f t="shared" si="1"/>
        <v>1</v>
      </c>
      <c r="G1846" s="6" t="str">
        <f>IF(MINIFS(dynamic[orderDate], dynamic[customerID], B1846) &gt;= DATE(2024,4,30)-120, 
     "New", 
     IF(MAXIFS(dynamic[orderCount], dynamic[customerID], B1846)&lt;=2, 
        IF((DATE(2024,4,30) - MAXIFS(dynamic[orderDate], dynamic[customerID], B1846)) &gt; 180, "Non-Returning", "Dormant"), 
        IF(AND(MAX(dynamic[sinceLastOrder]) &gt; 365, (DATE(2024,4,30) - MAXIFS(dynamic[orderDate], dynamic[customerID], B1846)) &gt; 180), 
           "Dormant", "Regular")))</f>
        <v>Regular</v>
      </c>
      <c r="H1846" s="6">
        <v>24.0</v>
      </c>
      <c r="I1846" s="9" t="str">
        <f>VLOOKUP(dynamic[productID],products[],2,FALSE)</f>
        <v>Brigadeiros Maravilhosos da Lilian</v>
      </c>
      <c r="J1846" s="9" t="str">
        <f>VLOOKUP(dynamic[productID],products[],12,FALSE)</f>
        <v>Confections</v>
      </c>
      <c r="K1846" s="7" t="str">
        <f>IF(VLOOKUP(dynamic[productID],products[],7,FALSE)=1,"Discontinued","Current")</f>
        <v>Discontinued</v>
      </c>
      <c r="L1846" s="9">
        <f>VLOOKUP(dynamic[productID],products[],IF(YEAR(dynamic[orderDate])=2022,8,IF(YEAR(dynamic[orderDate])=2023,9,IF(YEAR(dynamic[orderDate])=2024,10,NA))),FALSE)</f>
        <v>3.177326315</v>
      </c>
      <c r="M1846" s="9">
        <v>4.5</v>
      </c>
      <c r="N1846" s="25">
        <f>(dynamic[orderPrice]-dynamic[productCost])/dynamic[productCost]</f>
        <v>0.416285126</v>
      </c>
      <c r="O1846" s="10">
        <v>10.0</v>
      </c>
      <c r="P1846" s="25">
        <v>0.25</v>
      </c>
      <c r="Q1846" s="9">
        <f>dynamic[orderPrice]*dynamic[orderQuantity]</f>
        <v>45</v>
      </c>
      <c r="R1846" s="9">
        <f>dynamic[orderTotal]*(1-dynamic[discountApllied])</f>
        <v>33.75</v>
      </c>
      <c r="S1846" s="9">
        <f>dynamic[revenue]-(dynamic[productCost]*dynamic[orderQuantity])</f>
        <v>1.976736853</v>
      </c>
      <c r="T1846" s="25">
        <f>IFERROR(dynamic[profit]/dynamic[revenue], 0)</f>
        <v>0.05856998083</v>
      </c>
    </row>
    <row r="1847" ht="15.75" customHeight="1">
      <c r="A1847" s="6">
        <v>10960.0</v>
      </c>
      <c r="B1847" s="7" t="s">
        <v>23</v>
      </c>
      <c r="C1847" s="24" t="str">
        <f>VLOOKUP(dynamic[customerID],customers[],2,FALSE)</f>
        <v>HILARION-Abastos</v>
      </c>
      <c r="D1847" s="24">
        <v>45370.0</v>
      </c>
      <c r="E1847" s="6">
        <f>IFERROR(__xludf.DUMMYFUNCTION("COUNTUNIQUEIFS($A$2:$A1847,$B$2:$B1847,B1847)"),16.0)</f>
        <v>16</v>
      </c>
      <c r="F1847" s="6">
        <f t="shared" si="1"/>
        <v>1</v>
      </c>
      <c r="G1847" s="6" t="str">
        <f>IF(MINIFS(dynamic[orderDate], dynamic[customerID], B1847) &gt;= DATE(2024,4,30)-120, 
     "New", 
     IF(MAXIFS(dynamic[orderCount], dynamic[customerID], B1847)&lt;=2, 
        IF((DATE(2024,4,30) - MAXIFS(dynamic[orderDate], dynamic[customerID], B1847)) &gt; 180, "Non-Returning", "Dormant"), 
        IF(AND(MAX(dynamic[sinceLastOrder]) &gt; 365, (DATE(2024,4,30) - MAXIFS(dynamic[orderDate], dynamic[customerID], B1847)) &gt; 180), 
           "Dormant", "Regular")))</f>
        <v>Regular</v>
      </c>
      <c r="H1847" s="6">
        <v>41.0</v>
      </c>
      <c r="I1847" s="9" t="str">
        <f>VLOOKUP(dynamic[productID],products[],2,FALSE)</f>
        <v>Jack's New England Clam Chowder</v>
      </c>
      <c r="J1847" s="9" t="str">
        <f>VLOOKUP(dynamic[productID],products[],12,FALSE)</f>
        <v>Seafood</v>
      </c>
      <c r="K1847" s="7" t="str">
        <f>IF(VLOOKUP(dynamic[productID],products[],7,FALSE)=1,"Discontinued","Current")</f>
        <v>Current</v>
      </c>
      <c r="L1847" s="9">
        <f>VLOOKUP(dynamic[productID],products[],IF(YEAR(dynamic[orderDate])=2022,8,IF(YEAR(dynamic[orderDate])=2023,9,IF(YEAR(dynamic[orderDate])=2024,10,NA))),FALSE)</f>
        <v>6.611787882</v>
      </c>
      <c r="M1847" s="9">
        <v>9.65</v>
      </c>
      <c r="N1847" s="25">
        <f>(dynamic[orderPrice]-dynamic[productCost])/dynamic[productCost]</f>
        <v>0.459514457</v>
      </c>
      <c r="O1847" s="10">
        <v>24.0</v>
      </c>
      <c r="P1847" s="25">
        <v>0.0</v>
      </c>
      <c r="Q1847" s="9">
        <f>dynamic[orderPrice]*dynamic[orderQuantity]</f>
        <v>231.6</v>
      </c>
      <c r="R1847" s="9">
        <f>dynamic[orderTotal]*(1-dynamic[discountApllied])</f>
        <v>231.6</v>
      </c>
      <c r="S1847" s="9">
        <f>dynamic[revenue]-(dynamic[productCost]*dynamic[orderQuantity])</f>
        <v>72.91709083</v>
      </c>
      <c r="T1847" s="25">
        <f>IFERROR(dynamic[profit]/dynamic[revenue], 0)</f>
        <v>0.314840634</v>
      </c>
    </row>
    <row r="1848" ht="15.75" customHeight="1">
      <c r="A1848" s="6">
        <v>10961.0</v>
      </c>
      <c r="B1848" s="7" t="s">
        <v>77</v>
      </c>
      <c r="C1848" s="24" t="str">
        <f>VLOOKUP(dynamic[customerID],customers[],2,FALSE)</f>
        <v>Queen Cozinha</v>
      </c>
      <c r="D1848" s="24">
        <v>45370.0</v>
      </c>
      <c r="E1848" s="6">
        <f>IFERROR(__xludf.DUMMYFUNCTION("COUNTUNIQUEIFS($A$2:$A1848,$B$2:$B1848,B1848)"),12.0)</f>
        <v>12</v>
      </c>
      <c r="F1848" s="6">
        <f t="shared" si="1"/>
        <v>21</v>
      </c>
      <c r="G1848" s="6" t="str">
        <f>IF(MINIFS(dynamic[orderDate], dynamic[customerID], B1848) &gt;= DATE(2024,4,30)-120, 
     "New", 
     IF(MAXIFS(dynamic[orderCount], dynamic[customerID], B1848)&lt;=2, 
        IF((DATE(2024,4,30) - MAXIFS(dynamic[orderDate], dynamic[customerID], B1848)) &gt; 180, "Non-Returning", "Dormant"), 
        IF(AND(MAX(dynamic[sinceLastOrder]) &gt; 365, (DATE(2024,4,30) - MAXIFS(dynamic[orderDate], dynamic[customerID], B1848)) &gt; 180), 
           "Dormant", "Regular")))</f>
        <v>Regular</v>
      </c>
      <c r="H1848" s="6">
        <v>52.0</v>
      </c>
      <c r="I1848" s="9" t="str">
        <f>VLOOKUP(dynamic[productID],products[],2,FALSE)</f>
        <v>Filo Mix</v>
      </c>
      <c r="J1848" s="9" t="str">
        <f>VLOOKUP(dynamic[productID],products[],12,FALSE)</f>
        <v>Grains/Cereals</v>
      </c>
      <c r="K1848" s="7" t="str">
        <f>IF(VLOOKUP(dynamic[productID],products[],7,FALSE)=1,"Discontinued","Current")</f>
        <v>Current</v>
      </c>
      <c r="L1848" s="9">
        <f>VLOOKUP(dynamic[productID],products[],IF(YEAR(dynamic[orderDate])=2022,8,IF(YEAR(dynamic[orderDate])=2023,9,IF(YEAR(dynamic[orderDate])=2024,10,NA))),FALSE)</f>
        <v>5.222223442</v>
      </c>
      <c r="M1848" s="9">
        <v>7.0</v>
      </c>
      <c r="N1848" s="25">
        <f>(dynamic[orderPrice]-dynamic[productCost])/dynamic[productCost]</f>
        <v>0.3404252188</v>
      </c>
      <c r="O1848" s="10">
        <v>6.0</v>
      </c>
      <c r="P1848" s="25">
        <v>0.05</v>
      </c>
      <c r="Q1848" s="9">
        <f>dynamic[orderPrice]*dynamic[orderQuantity]</f>
        <v>42</v>
      </c>
      <c r="R1848" s="9">
        <f>dynamic[orderTotal]*(1-dynamic[discountApllied])</f>
        <v>39.9</v>
      </c>
      <c r="S1848" s="9">
        <f>dynamic[revenue]-(dynamic[productCost]*dynamic[orderQuantity])</f>
        <v>8.566659347</v>
      </c>
      <c r="T1848" s="25">
        <f>IFERROR(dynamic[profit]/dynamic[revenue], 0)</f>
        <v>0.2147032418</v>
      </c>
    </row>
    <row r="1849" ht="15.75" customHeight="1">
      <c r="A1849" s="6">
        <v>10961.0</v>
      </c>
      <c r="B1849" s="7" t="s">
        <v>77</v>
      </c>
      <c r="C1849" s="24" t="str">
        <f>VLOOKUP(dynamic[customerID],customers[],2,FALSE)</f>
        <v>Queen Cozinha</v>
      </c>
      <c r="D1849" s="24">
        <v>45370.0</v>
      </c>
      <c r="E1849" s="6">
        <f>IFERROR(__xludf.DUMMYFUNCTION("COUNTUNIQUEIFS($A$2:$A1849,$B$2:$B1849,B1849)"),12.0)</f>
        <v>12</v>
      </c>
      <c r="F1849" s="6">
        <f t="shared" si="1"/>
        <v>21</v>
      </c>
      <c r="G1849" s="6" t="str">
        <f>IF(MINIFS(dynamic[orderDate], dynamic[customerID], B1849) &gt;= DATE(2024,4,30)-120, 
     "New", 
     IF(MAXIFS(dynamic[orderCount], dynamic[customerID], B1849)&lt;=2, 
        IF((DATE(2024,4,30) - MAXIFS(dynamic[orderDate], dynamic[customerID], B1849)) &gt; 180, "Non-Returning", "Dormant"), 
        IF(AND(MAX(dynamic[sinceLastOrder]) &gt; 365, (DATE(2024,4,30) - MAXIFS(dynamic[orderDate], dynamic[customerID], B1849)) &gt; 180), 
           "Dormant", "Regular")))</f>
        <v>Regular</v>
      </c>
      <c r="H1849" s="6">
        <v>76.0</v>
      </c>
      <c r="I1849" s="9" t="str">
        <f>VLOOKUP(dynamic[productID],products[],2,FALSE)</f>
        <v>Lakkalikööri</v>
      </c>
      <c r="J1849" s="9" t="str">
        <f>VLOOKUP(dynamic[productID],products[],12,FALSE)</f>
        <v>Beverages</v>
      </c>
      <c r="K1849" s="7" t="str">
        <f>IF(VLOOKUP(dynamic[productID],products[],7,FALSE)=1,"Discontinued","Current")</f>
        <v>Current</v>
      </c>
      <c r="L1849" s="9">
        <f>VLOOKUP(dynamic[productID],products[],IF(YEAR(dynamic[orderDate])=2022,8,IF(YEAR(dynamic[orderDate])=2023,9,IF(YEAR(dynamic[orderDate])=2024,10,NA))),FALSE)</f>
        <v>12.15832249</v>
      </c>
      <c r="M1849" s="9">
        <v>18.0</v>
      </c>
      <c r="N1849" s="25">
        <f>(dynamic[orderPrice]-dynamic[productCost])/dynamic[productCost]</f>
        <v>0.4804673928</v>
      </c>
      <c r="O1849" s="10">
        <v>60.0</v>
      </c>
      <c r="P1849" s="25">
        <v>0.0</v>
      </c>
      <c r="Q1849" s="9">
        <f>dynamic[orderPrice]*dynamic[orderQuantity]</f>
        <v>1080</v>
      </c>
      <c r="R1849" s="9">
        <f>dynamic[orderTotal]*(1-dynamic[discountApllied])</f>
        <v>1080</v>
      </c>
      <c r="S1849" s="9">
        <f>dynamic[revenue]-(dynamic[productCost]*dynamic[orderQuantity])</f>
        <v>350.5006505</v>
      </c>
      <c r="T1849" s="25">
        <f>IFERROR(dynamic[profit]/dynamic[revenue], 0)</f>
        <v>0.3245376394</v>
      </c>
    </row>
    <row r="1850" ht="15.75" customHeight="1">
      <c r="A1850" s="6">
        <v>10962.0</v>
      </c>
      <c r="B1850" s="7" t="s">
        <v>36</v>
      </c>
      <c r="C1850" s="24" t="str">
        <f>VLOOKUP(dynamic[customerID],customers[],2,FALSE)</f>
        <v>QUICK-Stop</v>
      </c>
      <c r="D1850" s="24">
        <v>45370.0</v>
      </c>
      <c r="E1850" s="6">
        <f>IFERROR(__xludf.DUMMYFUNCTION("COUNTUNIQUEIFS($A$2:$A1850,$B$2:$B1850,B1850)"),25.0)</f>
        <v>25</v>
      </c>
      <c r="F1850" s="6">
        <f t="shared" si="1"/>
        <v>9</v>
      </c>
      <c r="G1850" s="6" t="str">
        <f>IF(MINIFS(dynamic[orderDate], dynamic[customerID], B1850) &gt;= DATE(2024,4,30)-120, 
     "New", 
     IF(MAXIFS(dynamic[orderCount], dynamic[customerID], B1850)&lt;=2, 
        IF((DATE(2024,4,30) - MAXIFS(dynamic[orderDate], dynamic[customerID], B1850)) &gt; 180, "Non-Returning", "Dormant"), 
        IF(AND(MAX(dynamic[sinceLastOrder]) &gt; 365, (DATE(2024,4,30) - MAXIFS(dynamic[orderDate], dynamic[customerID], B1850)) &gt; 180), 
           "Dormant", "Regular")))</f>
        <v>Regular</v>
      </c>
      <c r="H1850" s="6">
        <v>7.0</v>
      </c>
      <c r="I1850" s="9" t="str">
        <f>VLOOKUP(dynamic[productID],products[],2,FALSE)</f>
        <v>Uncle Bob's Organic Dried Pears</v>
      </c>
      <c r="J1850" s="9" t="str">
        <f>VLOOKUP(dynamic[productID],products[],12,FALSE)</f>
        <v>Produce</v>
      </c>
      <c r="K1850" s="7" t="str">
        <f>IF(VLOOKUP(dynamic[productID],products[],7,FALSE)=1,"Discontinued","Current")</f>
        <v>Current</v>
      </c>
      <c r="L1850" s="9">
        <f>VLOOKUP(dynamic[productID],products[],IF(YEAR(dynamic[orderDate])=2022,8,IF(YEAR(dynamic[orderDate])=2023,9,IF(YEAR(dynamic[orderDate])=2024,10,NA))),FALSE)</f>
        <v>23.52222246</v>
      </c>
      <c r="M1850" s="9">
        <v>30.0</v>
      </c>
      <c r="N1850" s="25">
        <f>(dynamic[orderPrice]-dynamic[productCost])/dynamic[productCost]</f>
        <v>0.2753896894</v>
      </c>
      <c r="O1850" s="10">
        <v>45.0</v>
      </c>
      <c r="P1850" s="25">
        <v>0.0</v>
      </c>
      <c r="Q1850" s="9">
        <f>dynamic[orderPrice]*dynamic[orderQuantity]</f>
        <v>1350</v>
      </c>
      <c r="R1850" s="9">
        <f>dynamic[orderTotal]*(1-dynamic[discountApllied])</f>
        <v>1350</v>
      </c>
      <c r="S1850" s="9">
        <f>dynamic[revenue]-(dynamic[productCost]*dynamic[orderQuantity])</f>
        <v>291.4999892</v>
      </c>
      <c r="T1850" s="25">
        <f>IFERROR(dynamic[profit]/dynamic[revenue], 0)</f>
        <v>0.2159259179</v>
      </c>
    </row>
    <row r="1851" ht="15.75" customHeight="1">
      <c r="A1851" s="6">
        <v>10962.0</v>
      </c>
      <c r="B1851" s="7" t="s">
        <v>36</v>
      </c>
      <c r="C1851" s="24" t="str">
        <f>VLOOKUP(dynamic[customerID],customers[],2,FALSE)</f>
        <v>QUICK-Stop</v>
      </c>
      <c r="D1851" s="24">
        <v>45370.0</v>
      </c>
      <c r="E1851" s="6">
        <f>IFERROR(__xludf.DUMMYFUNCTION("COUNTUNIQUEIFS($A$2:$A1851,$B$2:$B1851,B1851)"),25.0)</f>
        <v>25</v>
      </c>
      <c r="F1851" s="6">
        <f t="shared" si="1"/>
        <v>9</v>
      </c>
      <c r="G1851" s="6" t="str">
        <f>IF(MINIFS(dynamic[orderDate], dynamic[customerID], B1851) &gt;= DATE(2024,4,30)-120, 
     "New", 
     IF(MAXIFS(dynamic[orderCount], dynamic[customerID], B1851)&lt;=2, 
        IF((DATE(2024,4,30) - MAXIFS(dynamic[orderDate], dynamic[customerID], B1851)) &gt; 180, "Non-Returning", "Dormant"), 
        IF(AND(MAX(dynamic[sinceLastOrder]) &gt; 365, (DATE(2024,4,30) - MAXIFS(dynamic[orderDate], dynamic[customerID], B1851)) &gt; 180), 
           "Dormant", "Regular")))</f>
        <v>Regular</v>
      </c>
      <c r="H1851" s="6">
        <v>13.0</v>
      </c>
      <c r="I1851" s="9" t="str">
        <f>VLOOKUP(dynamic[productID],products[],2,FALSE)</f>
        <v>Konbu</v>
      </c>
      <c r="J1851" s="9" t="str">
        <f>VLOOKUP(dynamic[productID],products[],12,FALSE)</f>
        <v>Seafood</v>
      </c>
      <c r="K1851" s="7" t="str">
        <f>IF(VLOOKUP(dynamic[productID],products[],7,FALSE)=1,"Discontinued","Current")</f>
        <v>Current</v>
      </c>
      <c r="L1851" s="9">
        <f>VLOOKUP(dynamic[productID],products[],IF(YEAR(dynamic[orderDate])=2022,8,IF(YEAR(dynamic[orderDate])=2023,9,IF(YEAR(dynamic[orderDate])=2024,10,NA))),FALSE)</f>
        <v>3.966387047</v>
      </c>
      <c r="M1851" s="9">
        <v>6.0</v>
      </c>
      <c r="N1851" s="25">
        <f>(dynamic[orderPrice]-dynamic[productCost])/dynamic[productCost]</f>
        <v>0.5127116768</v>
      </c>
      <c r="O1851" s="10">
        <v>77.0</v>
      </c>
      <c r="P1851" s="25">
        <v>0.0</v>
      </c>
      <c r="Q1851" s="9">
        <f>dynamic[orderPrice]*dynamic[orderQuantity]</f>
        <v>462</v>
      </c>
      <c r="R1851" s="9">
        <f>dynamic[orderTotal]*(1-dynamic[discountApllied])</f>
        <v>462</v>
      </c>
      <c r="S1851" s="9">
        <f>dynamic[revenue]-(dynamic[productCost]*dynamic[orderQuantity])</f>
        <v>156.5881974</v>
      </c>
      <c r="T1851" s="25">
        <f>IFERROR(dynamic[profit]/dynamic[revenue], 0)</f>
        <v>0.3389354922</v>
      </c>
    </row>
    <row r="1852" ht="15.75" customHeight="1">
      <c r="A1852" s="6">
        <v>10962.0</v>
      </c>
      <c r="B1852" s="7" t="s">
        <v>36</v>
      </c>
      <c r="C1852" s="24" t="str">
        <f>VLOOKUP(dynamic[customerID],customers[],2,FALSE)</f>
        <v>QUICK-Stop</v>
      </c>
      <c r="D1852" s="24">
        <v>45370.0</v>
      </c>
      <c r="E1852" s="6">
        <f>IFERROR(__xludf.DUMMYFUNCTION("COUNTUNIQUEIFS($A$2:$A1852,$B$2:$B1852,B1852)"),25.0)</f>
        <v>25</v>
      </c>
      <c r="F1852" s="6">
        <f t="shared" si="1"/>
        <v>9</v>
      </c>
      <c r="G1852" s="6" t="str">
        <f>IF(MINIFS(dynamic[orderDate], dynamic[customerID], B1852) &gt;= DATE(2024,4,30)-120, 
     "New", 
     IF(MAXIFS(dynamic[orderCount], dynamic[customerID], B1852)&lt;=2, 
        IF((DATE(2024,4,30) - MAXIFS(dynamic[orderDate], dynamic[customerID], B1852)) &gt; 180, "Non-Returning", "Dormant"), 
        IF(AND(MAX(dynamic[sinceLastOrder]) &gt; 365, (DATE(2024,4,30) - MAXIFS(dynamic[orderDate], dynamic[customerID], B1852)) &gt; 180), 
           "Dormant", "Regular")))</f>
        <v>Regular</v>
      </c>
      <c r="H1852" s="6">
        <v>53.0</v>
      </c>
      <c r="I1852" s="9" t="str">
        <f>VLOOKUP(dynamic[productID],products[],2,FALSE)</f>
        <v>Perth Pasties</v>
      </c>
      <c r="J1852" s="9" t="str">
        <f>VLOOKUP(dynamic[productID],products[],12,FALSE)</f>
        <v>Meat/Poultry</v>
      </c>
      <c r="K1852" s="7" t="str">
        <f>IF(VLOOKUP(dynamic[productID],products[],7,FALSE)=1,"Discontinued","Current")</f>
        <v>Discontinued</v>
      </c>
      <c r="L1852" s="9">
        <f>VLOOKUP(dynamic[productID],products[],IF(YEAR(dynamic[orderDate])=2022,8,IF(YEAR(dynamic[orderDate])=2023,9,IF(YEAR(dynamic[orderDate])=2024,10,NA))),FALSE)</f>
        <v>22.92637057</v>
      </c>
      <c r="M1852" s="9">
        <v>32.8</v>
      </c>
      <c r="N1852" s="25">
        <f>(dynamic[orderPrice]-dynamic[productCost])/dynamic[productCost]</f>
        <v>0.4306669216</v>
      </c>
      <c r="O1852" s="10">
        <v>20.0</v>
      </c>
      <c r="P1852" s="25">
        <v>0.0</v>
      </c>
      <c r="Q1852" s="9">
        <f>dynamic[orderPrice]*dynamic[orderQuantity]</f>
        <v>656</v>
      </c>
      <c r="R1852" s="9">
        <f>dynamic[orderTotal]*(1-dynamic[discountApllied])</f>
        <v>656</v>
      </c>
      <c r="S1852" s="9">
        <f>dynamic[revenue]-(dynamic[productCost]*dynamic[orderQuantity])</f>
        <v>197.4725887</v>
      </c>
      <c r="T1852" s="25">
        <f>IFERROR(dynamic[profit]/dynamic[revenue], 0)</f>
        <v>0.3010252876</v>
      </c>
    </row>
    <row r="1853" ht="15.75" customHeight="1">
      <c r="A1853" s="6">
        <v>10962.0</v>
      </c>
      <c r="B1853" s="7" t="s">
        <v>36</v>
      </c>
      <c r="C1853" s="24" t="str">
        <f>VLOOKUP(dynamic[customerID],customers[],2,FALSE)</f>
        <v>QUICK-Stop</v>
      </c>
      <c r="D1853" s="24">
        <v>45370.0</v>
      </c>
      <c r="E1853" s="6">
        <f>IFERROR(__xludf.DUMMYFUNCTION("COUNTUNIQUEIFS($A$2:$A1853,$B$2:$B1853,B1853)"),25.0)</f>
        <v>25</v>
      </c>
      <c r="F1853" s="6">
        <f t="shared" si="1"/>
        <v>9</v>
      </c>
      <c r="G1853" s="6" t="str">
        <f>IF(MINIFS(dynamic[orderDate], dynamic[customerID], B1853) &gt;= DATE(2024,4,30)-120, 
     "New", 
     IF(MAXIFS(dynamic[orderCount], dynamic[customerID], B1853)&lt;=2, 
        IF((DATE(2024,4,30) - MAXIFS(dynamic[orderDate], dynamic[customerID], B1853)) &gt; 180, "Non-Returning", "Dormant"), 
        IF(AND(MAX(dynamic[sinceLastOrder]) &gt; 365, (DATE(2024,4,30) - MAXIFS(dynamic[orderDate], dynamic[customerID], B1853)) &gt; 180), 
           "Dormant", "Regular")))</f>
        <v>Regular</v>
      </c>
      <c r="H1853" s="6">
        <v>69.0</v>
      </c>
      <c r="I1853" s="9" t="str">
        <f>VLOOKUP(dynamic[productID],products[],2,FALSE)</f>
        <v>Gudbrandsdalsost</v>
      </c>
      <c r="J1853" s="9" t="str">
        <f>VLOOKUP(dynamic[productID],products[],12,FALSE)</f>
        <v>Dairy Products</v>
      </c>
      <c r="K1853" s="7" t="str">
        <f>IF(VLOOKUP(dynamic[productID],products[],7,FALSE)=1,"Discontinued","Current")</f>
        <v>Current</v>
      </c>
      <c r="L1853" s="9">
        <f>VLOOKUP(dynamic[productID],products[],IF(YEAR(dynamic[orderDate])=2022,8,IF(YEAR(dynamic[orderDate])=2023,9,IF(YEAR(dynamic[orderDate])=2024,10,NA))),FALSE)</f>
        <v>24.68292146</v>
      </c>
      <c r="M1853" s="9">
        <v>36.0</v>
      </c>
      <c r="N1853" s="25">
        <f>(dynamic[orderPrice]-dynamic[productCost])/dynamic[productCost]</f>
        <v>0.4584983412</v>
      </c>
      <c r="O1853" s="10">
        <v>9.0</v>
      </c>
      <c r="P1853" s="25">
        <v>0.0</v>
      </c>
      <c r="Q1853" s="9">
        <f>dynamic[orderPrice]*dynamic[orderQuantity]</f>
        <v>324</v>
      </c>
      <c r="R1853" s="9">
        <f>dynamic[orderTotal]*(1-dynamic[discountApllied])</f>
        <v>324</v>
      </c>
      <c r="S1853" s="9">
        <f>dynamic[revenue]-(dynamic[productCost]*dynamic[orderQuantity])</f>
        <v>101.8537069</v>
      </c>
      <c r="T1853" s="25">
        <f>IFERROR(dynamic[profit]/dynamic[revenue], 0)</f>
        <v>0.3143632929</v>
      </c>
    </row>
    <row r="1854" ht="15.75" customHeight="1">
      <c r="A1854" s="6">
        <v>10962.0</v>
      </c>
      <c r="B1854" s="7" t="s">
        <v>36</v>
      </c>
      <c r="C1854" s="24" t="str">
        <f>VLOOKUP(dynamic[customerID],customers[],2,FALSE)</f>
        <v>QUICK-Stop</v>
      </c>
      <c r="D1854" s="24">
        <v>45370.0</v>
      </c>
      <c r="E1854" s="6">
        <f>IFERROR(__xludf.DUMMYFUNCTION("COUNTUNIQUEIFS($A$2:$A1854,$B$2:$B1854,B1854)"),25.0)</f>
        <v>25</v>
      </c>
      <c r="F1854" s="6">
        <f t="shared" si="1"/>
        <v>9</v>
      </c>
      <c r="G1854" s="6" t="str">
        <f>IF(MINIFS(dynamic[orderDate], dynamic[customerID], B1854) &gt;= DATE(2024,4,30)-120, 
     "New", 
     IF(MAXIFS(dynamic[orderCount], dynamic[customerID], B1854)&lt;=2, 
        IF((DATE(2024,4,30) - MAXIFS(dynamic[orderDate], dynamic[customerID], B1854)) &gt; 180, "Non-Returning", "Dormant"), 
        IF(AND(MAX(dynamic[sinceLastOrder]) &gt; 365, (DATE(2024,4,30) - MAXIFS(dynamic[orderDate], dynamic[customerID], B1854)) &gt; 180), 
           "Dormant", "Regular")))</f>
        <v>Regular</v>
      </c>
      <c r="H1854" s="6">
        <v>76.0</v>
      </c>
      <c r="I1854" s="9" t="str">
        <f>VLOOKUP(dynamic[productID],products[],2,FALSE)</f>
        <v>Lakkalikööri</v>
      </c>
      <c r="J1854" s="9" t="str">
        <f>VLOOKUP(dynamic[productID],products[],12,FALSE)</f>
        <v>Beverages</v>
      </c>
      <c r="K1854" s="7" t="str">
        <f>IF(VLOOKUP(dynamic[productID],products[],7,FALSE)=1,"Discontinued","Current")</f>
        <v>Current</v>
      </c>
      <c r="L1854" s="9">
        <f>VLOOKUP(dynamic[productID],products[],IF(YEAR(dynamic[orderDate])=2022,8,IF(YEAR(dynamic[orderDate])=2023,9,IF(YEAR(dynamic[orderDate])=2024,10,NA))),FALSE)</f>
        <v>12.15832249</v>
      </c>
      <c r="M1854" s="9">
        <v>18.0</v>
      </c>
      <c r="N1854" s="25">
        <f>(dynamic[orderPrice]-dynamic[productCost])/dynamic[productCost]</f>
        <v>0.4804673928</v>
      </c>
      <c r="O1854" s="10">
        <v>44.0</v>
      </c>
      <c r="P1854" s="25">
        <v>0.0</v>
      </c>
      <c r="Q1854" s="9">
        <f>dynamic[orderPrice]*dynamic[orderQuantity]</f>
        <v>792</v>
      </c>
      <c r="R1854" s="9">
        <f>dynamic[orderTotal]*(1-dynamic[discountApllied])</f>
        <v>792</v>
      </c>
      <c r="S1854" s="9">
        <f>dynamic[revenue]-(dynamic[productCost]*dynamic[orderQuantity])</f>
        <v>257.0338104</v>
      </c>
      <c r="T1854" s="25">
        <f>IFERROR(dynamic[profit]/dynamic[revenue], 0)</f>
        <v>0.3245376394</v>
      </c>
    </row>
    <row r="1855" ht="15.75" customHeight="1">
      <c r="A1855" s="6">
        <v>10963.0</v>
      </c>
      <c r="B1855" s="7" t="s">
        <v>62</v>
      </c>
      <c r="C1855" s="24" t="str">
        <f>VLOOKUP(dynamic[customerID],customers[],2,FALSE)</f>
        <v>Furia Bacalhau e Frutos do Mar</v>
      </c>
      <c r="D1855" s="24">
        <v>45370.0</v>
      </c>
      <c r="E1855" s="6">
        <f>IFERROR(__xludf.DUMMYFUNCTION("COUNTUNIQUEIFS($A$2:$A1855,$B$2:$B1855,B1855)"),8.0)</f>
        <v>8</v>
      </c>
      <c r="F1855" s="6">
        <f t="shared" si="1"/>
        <v>191</v>
      </c>
      <c r="G1855" s="6" t="str">
        <f>IF(MINIFS(dynamic[orderDate], dynamic[customerID], B1855) &gt;= DATE(2024,4,30)-120, 
     "New", 
     IF(MAXIFS(dynamic[orderCount], dynamic[customerID], B1855)&lt;=2, 
        IF((DATE(2024,4,30) - MAXIFS(dynamic[orderDate], dynamic[customerID], B1855)) &gt; 180, "Non-Returning", "Dormant"), 
        IF(AND(MAX(dynamic[sinceLastOrder]) &gt; 365, (DATE(2024,4,30) - MAXIFS(dynamic[orderDate], dynamic[customerID], B1855)) &gt; 180), 
           "Dormant", "Regular")))</f>
        <v>Regular</v>
      </c>
      <c r="H1855" s="6">
        <v>60.0</v>
      </c>
      <c r="I1855" s="9" t="str">
        <f>VLOOKUP(dynamic[productID],products[],2,FALSE)</f>
        <v>Camembert Pierrot</v>
      </c>
      <c r="J1855" s="9" t="str">
        <f>VLOOKUP(dynamic[productID],products[],12,FALSE)</f>
        <v>Dairy Products</v>
      </c>
      <c r="K1855" s="7" t="str">
        <f>IF(VLOOKUP(dynamic[productID],products[],7,FALSE)=1,"Discontinued","Current")</f>
        <v>Current</v>
      </c>
      <c r="L1855" s="9">
        <f>VLOOKUP(dynamic[productID],products[],IF(YEAR(dynamic[orderDate])=2022,8,IF(YEAR(dynamic[orderDate])=2023,9,IF(YEAR(dynamic[orderDate])=2024,10,NA))),FALSE)</f>
        <v>22.49091154</v>
      </c>
      <c r="M1855" s="9">
        <v>34.0</v>
      </c>
      <c r="N1855" s="25">
        <f>(dynamic[orderPrice]-dynamic[productCost])/dynamic[productCost]</f>
        <v>0.5117217431</v>
      </c>
      <c r="O1855" s="10">
        <v>2.0</v>
      </c>
      <c r="P1855" s="25">
        <v>0.15</v>
      </c>
      <c r="Q1855" s="9">
        <f>dynamic[orderPrice]*dynamic[orderQuantity]</f>
        <v>68</v>
      </c>
      <c r="R1855" s="9">
        <f>dynamic[orderTotal]*(1-dynamic[discountApllied])</f>
        <v>57.8</v>
      </c>
      <c r="S1855" s="9">
        <f>dynamic[revenue]-(dynamic[productCost]*dynamic[orderQuantity])</f>
        <v>12.81817692</v>
      </c>
      <c r="T1855" s="25">
        <f>IFERROR(dynamic[profit]/dynamic[revenue], 0)</f>
        <v>0.2217677667</v>
      </c>
    </row>
    <row r="1856" ht="15.75" customHeight="1">
      <c r="A1856" s="6">
        <v>10964.0</v>
      </c>
      <c r="B1856" s="7" t="s">
        <v>102</v>
      </c>
      <c r="C1856" s="24" t="str">
        <f>VLOOKUP(dynamic[customerID],customers[],2,FALSE)</f>
        <v>Spécialités du monde</v>
      </c>
      <c r="D1856" s="24">
        <v>45371.0</v>
      </c>
      <c r="E1856" s="6">
        <f>IFERROR(__xludf.DUMMYFUNCTION("COUNTUNIQUEIFS($A$2:$A1856,$B$2:$B1856,B1856)"),3.0)</f>
        <v>3</v>
      </c>
      <c r="F1856" s="6">
        <f t="shared" si="1"/>
        <v>24</v>
      </c>
      <c r="G1856" s="6" t="str">
        <f>IF(MINIFS(dynamic[orderDate], dynamic[customerID], B1856) &gt;= DATE(2024,4,30)-120, 
     "New", 
     IF(MAXIFS(dynamic[orderCount], dynamic[customerID], B1856)&lt;=2, 
        IF((DATE(2024,4,30) - MAXIFS(dynamic[orderDate], dynamic[customerID], B1856)) &gt; 180, "Non-Returning", "Dormant"), 
        IF(AND(MAX(dynamic[sinceLastOrder]) &gt; 365, (DATE(2024,4,30) - MAXIFS(dynamic[orderDate], dynamic[customerID], B1856)) &gt; 180), 
           "Dormant", "Regular")))</f>
        <v>Regular</v>
      </c>
      <c r="H1856" s="6">
        <v>18.0</v>
      </c>
      <c r="I1856" s="9" t="str">
        <f>VLOOKUP(dynamic[productID],products[],2,FALSE)</f>
        <v>Carnarvon Tigers</v>
      </c>
      <c r="J1856" s="9" t="str">
        <f>VLOOKUP(dynamic[productID],products[],12,FALSE)</f>
        <v>Seafood</v>
      </c>
      <c r="K1856" s="7" t="str">
        <f>IF(VLOOKUP(dynamic[productID],products[],7,FALSE)=1,"Discontinued","Current")</f>
        <v>Current</v>
      </c>
      <c r="L1856" s="9">
        <f>VLOOKUP(dynamic[productID],products[],IF(YEAR(dynamic[orderDate])=2022,8,IF(YEAR(dynamic[orderDate])=2023,9,IF(YEAR(dynamic[orderDate])=2024,10,NA))),FALSE)</f>
        <v>41.27004985</v>
      </c>
      <c r="M1856" s="9">
        <v>62.5</v>
      </c>
      <c r="N1856" s="25">
        <f>(dynamic[orderPrice]-dynamic[productCost])/dynamic[productCost]</f>
        <v>0.5144154231</v>
      </c>
      <c r="O1856" s="10">
        <v>6.0</v>
      </c>
      <c r="P1856" s="25">
        <v>0.0</v>
      </c>
      <c r="Q1856" s="9">
        <f>dynamic[orderPrice]*dynamic[orderQuantity]</f>
        <v>375</v>
      </c>
      <c r="R1856" s="9">
        <f>dynamic[orderTotal]*(1-dynamic[discountApllied])</f>
        <v>375</v>
      </c>
      <c r="S1856" s="9">
        <f>dynamic[revenue]-(dynamic[productCost]*dynamic[orderQuantity])</f>
        <v>127.3797009</v>
      </c>
      <c r="T1856" s="25">
        <f>IFERROR(dynamic[profit]/dynamic[revenue], 0)</f>
        <v>0.3396792025</v>
      </c>
    </row>
    <row r="1857" ht="15.75" customHeight="1">
      <c r="A1857" s="6">
        <v>10964.0</v>
      </c>
      <c r="B1857" s="7" t="s">
        <v>102</v>
      </c>
      <c r="C1857" s="24" t="str">
        <f>VLOOKUP(dynamic[customerID],customers[],2,FALSE)</f>
        <v>Spécialités du monde</v>
      </c>
      <c r="D1857" s="24">
        <v>45371.0</v>
      </c>
      <c r="E1857" s="6">
        <f>IFERROR(__xludf.DUMMYFUNCTION("COUNTUNIQUEIFS($A$2:$A1857,$B$2:$B1857,B1857)"),3.0)</f>
        <v>3</v>
      </c>
      <c r="F1857" s="6">
        <f t="shared" si="1"/>
        <v>24</v>
      </c>
      <c r="G1857" s="6" t="str">
        <f>IF(MINIFS(dynamic[orderDate], dynamic[customerID], B1857) &gt;= DATE(2024,4,30)-120, 
     "New", 
     IF(MAXIFS(dynamic[orderCount], dynamic[customerID], B1857)&lt;=2, 
        IF((DATE(2024,4,30) - MAXIFS(dynamic[orderDate], dynamic[customerID], B1857)) &gt; 180, "Non-Returning", "Dormant"), 
        IF(AND(MAX(dynamic[sinceLastOrder]) &gt; 365, (DATE(2024,4,30) - MAXIFS(dynamic[orderDate], dynamic[customerID], B1857)) &gt; 180), 
           "Dormant", "Regular")))</f>
        <v>Regular</v>
      </c>
      <c r="H1857" s="6">
        <v>38.0</v>
      </c>
      <c r="I1857" s="9" t="str">
        <f>VLOOKUP(dynamic[productID],products[],2,FALSE)</f>
        <v>Côte de Blaye</v>
      </c>
      <c r="J1857" s="9" t="str">
        <f>VLOOKUP(dynamic[productID],products[],12,FALSE)</f>
        <v>Beverages</v>
      </c>
      <c r="K1857" s="7" t="str">
        <f>IF(VLOOKUP(dynamic[productID],products[],7,FALSE)=1,"Discontinued","Current")</f>
        <v>Current</v>
      </c>
      <c r="L1857" s="9">
        <f>VLOOKUP(dynamic[productID],products[],IF(YEAR(dynamic[orderDate])=2022,8,IF(YEAR(dynamic[orderDate])=2023,9,IF(YEAR(dynamic[orderDate])=2024,10,NA))),FALSE)</f>
        <v>192.1798413</v>
      </c>
      <c r="M1857" s="9">
        <v>263.5</v>
      </c>
      <c r="N1857" s="25">
        <f>(dynamic[orderPrice]-dynamic[productCost])/dynamic[productCost]</f>
        <v>0.3711115493</v>
      </c>
      <c r="O1857" s="10">
        <v>5.0</v>
      </c>
      <c r="P1857" s="25">
        <v>0.0</v>
      </c>
      <c r="Q1857" s="9">
        <f>dynamic[orderPrice]*dynamic[orderQuantity]</f>
        <v>1317.5</v>
      </c>
      <c r="R1857" s="9">
        <f>dynamic[orderTotal]*(1-dynamic[discountApllied])</f>
        <v>1317.5</v>
      </c>
      <c r="S1857" s="9">
        <f>dynamic[revenue]-(dynamic[productCost]*dynamic[orderQuantity])</f>
        <v>356.6007933</v>
      </c>
      <c r="T1857" s="25">
        <f>IFERROR(dynamic[profit]/dynamic[revenue], 0)</f>
        <v>0.2706647388</v>
      </c>
    </row>
    <row r="1858" ht="15.75" customHeight="1">
      <c r="A1858" s="6">
        <v>10964.0</v>
      </c>
      <c r="B1858" s="7" t="s">
        <v>102</v>
      </c>
      <c r="C1858" s="24" t="str">
        <f>VLOOKUP(dynamic[customerID],customers[],2,FALSE)</f>
        <v>Spécialités du monde</v>
      </c>
      <c r="D1858" s="24">
        <v>45371.0</v>
      </c>
      <c r="E1858" s="6">
        <f>IFERROR(__xludf.DUMMYFUNCTION("COUNTUNIQUEIFS($A$2:$A1858,$B$2:$B1858,B1858)"),3.0)</f>
        <v>3</v>
      </c>
      <c r="F1858" s="6">
        <f t="shared" si="1"/>
        <v>24</v>
      </c>
      <c r="G1858" s="6" t="str">
        <f>IF(MINIFS(dynamic[orderDate], dynamic[customerID], B1858) &gt;= DATE(2024,4,30)-120, 
     "New", 
     IF(MAXIFS(dynamic[orderCount], dynamic[customerID], B1858)&lt;=2, 
        IF((DATE(2024,4,30) - MAXIFS(dynamic[orderDate], dynamic[customerID], B1858)) &gt; 180, "Non-Returning", "Dormant"), 
        IF(AND(MAX(dynamic[sinceLastOrder]) &gt; 365, (DATE(2024,4,30) - MAXIFS(dynamic[orderDate], dynamic[customerID], B1858)) &gt; 180), 
           "Dormant", "Regular")))</f>
        <v>Regular</v>
      </c>
      <c r="H1858" s="6">
        <v>69.0</v>
      </c>
      <c r="I1858" s="9" t="str">
        <f>VLOOKUP(dynamic[productID],products[],2,FALSE)</f>
        <v>Gudbrandsdalsost</v>
      </c>
      <c r="J1858" s="9" t="str">
        <f>VLOOKUP(dynamic[productID],products[],12,FALSE)</f>
        <v>Dairy Products</v>
      </c>
      <c r="K1858" s="7" t="str">
        <f>IF(VLOOKUP(dynamic[productID],products[],7,FALSE)=1,"Discontinued","Current")</f>
        <v>Current</v>
      </c>
      <c r="L1858" s="9">
        <f>VLOOKUP(dynamic[productID],products[],IF(YEAR(dynamic[orderDate])=2022,8,IF(YEAR(dynamic[orderDate])=2023,9,IF(YEAR(dynamic[orderDate])=2024,10,NA))),FALSE)</f>
        <v>24.68292146</v>
      </c>
      <c r="M1858" s="9">
        <v>36.0</v>
      </c>
      <c r="N1858" s="25">
        <f>(dynamic[orderPrice]-dynamic[productCost])/dynamic[productCost]</f>
        <v>0.4584983412</v>
      </c>
      <c r="O1858" s="10">
        <v>10.0</v>
      </c>
      <c r="P1858" s="25">
        <v>0.0</v>
      </c>
      <c r="Q1858" s="9">
        <f>dynamic[orderPrice]*dynamic[orderQuantity]</f>
        <v>360</v>
      </c>
      <c r="R1858" s="9">
        <f>dynamic[orderTotal]*(1-dynamic[discountApllied])</f>
        <v>360</v>
      </c>
      <c r="S1858" s="9">
        <f>dynamic[revenue]-(dynamic[productCost]*dynamic[orderQuantity])</f>
        <v>113.1707854</v>
      </c>
      <c r="T1858" s="25">
        <f>IFERROR(dynamic[profit]/dynamic[revenue], 0)</f>
        <v>0.3143632929</v>
      </c>
    </row>
    <row r="1859" ht="15.75" customHeight="1">
      <c r="A1859" s="6">
        <v>10965.0</v>
      </c>
      <c r="B1859" s="7" t="s">
        <v>52</v>
      </c>
      <c r="C1859" s="24" t="str">
        <f>VLOOKUP(dynamic[customerID],customers[],2,FALSE)</f>
        <v>Old World Delicatessen</v>
      </c>
      <c r="D1859" s="24">
        <v>45371.0</v>
      </c>
      <c r="E1859" s="6">
        <f>IFERROR(__xludf.DUMMYFUNCTION("COUNTUNIQUEIFS($A$2:$A1859,$B$2:$B1859,B1859)"),9.0)</f>
        <v>9</v>
      </c>
      <c r="F1859" s="6">
        <f t="shared" si="1"/>
        <v>53</v>
      </c>
      <c r="G1859" s="6" t="str">
        <f>IF(MINIFS(dynamic[orderDate], dynamic[customerID], B1859) &gt;= DATE(2024,4,30)-120, 
     "New", 
     IF(MAXIFS(dynamic[orderCount], dynamic[customerID], B1859)&lt;=2, 
        IF((DATE(2024,4,30) - MAXIFS(dynamic[orderDate], dynamic[customerID], B1859)) &gt; 180, "Non-Returning", "Dormant"), 
        IF(AND(MAX(dynamic[sinceLastOrder]) &gt; 365, (DATE(2024,4,30) - MAXIFS(dynamic[orderDate], dynamic[customerID], B1859)) &gt; 180), 
           "Dormant", "Regular")))</f>
        <v>Regular</v>
      </c>
      <c r="H1859" s="6">
        <v>51.0</v>
      </c>
      <c r="I1859" s="9" t="str">
        <f>VLOOKUP(dynamic[productID],products[],2,FALSE)</f>
        <v>Manjimup Dried Apples</v>
      </c>
      <c r="J1859" s="9" t="str">
        <f>VLOOKUP(dynamic[productID],products[],12,FALSE)</f>
        <v>Produce</v>
      </c>
      <c r="K1859" s="7" t="str">
        <f>IF(VLOOKUP(dynamic[productID],products[],7,FALSE)=1,"Discontinued","Current")</f>
        <v>Current</v>
      </c>
      <c r="L1859" s="9">
        <f>VLOOKUP(dynamic[productID],products[],IF(YEAR(dynamic[orderDate])=2022,8,IF(YEAR(dynamic[orderDate])=2023,9,IF(YEAR(dynamic[orderDate])=2024,10,NA))),FALSE)</f>
        <v>39.51416462</v>
      </c>
      <c r="M1859" s="9">
        <v>53.0</v>
      </c>
      <c r="N1859" s="25">
        <f>(dynamic[orderPrice]-dynamic[productCost])/dynamic[productCost]</f>
        <v>0.3412911677</v>
      </c>
      <c r="O1859" s="10">
        <v>16.0</v>
      </c>
      <c r="P1859" s="25">
        <v>0.0</v>
      </c>
      <c r="Q1859" s="9">
        <f>dynamic[orderPrice]*dynamic[orderQuantity]</f>
        <v>848</v>
      </c>
      <c r="R1859" s="9">
        <f>dynamic[orderTotal]*(1-dynamic[discountApllied])</f>
        <v>848</v>
      </c>
      <c r="S1859" s="9">
        <f>dynamic[revenue]-(dynamic[productCost]*dynamic[orderQuantity])</f>
        <v>215.7733661</v>
      </c>
      <c r="T1859" s="25">
        <f>IFERROR(dynamic[profit]/dynamic[revenue], 0)</f>
        <v>0.2544497242</v>
      </c>
    </row>
    <row r="1860" ht="15.75" customHeight="1">
      <c r="A1860" s="6">
        <v>10966.0</v>
      </c>
      <c r="B1860" s="7" t="s">
        <v>20</v>
      </c>
      <c r="C1860" s="24" t="str">
        <f>VLOOKUP(dynamic[customerID],customers[],2,FALSE)</f>
        <v>Chop-suey Chinese</v>
      </c>
      <c r="D1860" s="24">
        <v>45371.0</v>
      </c>
      <c r="E1860" s="6">
        <f>IFERROR(__xludf.DUMMYFUNCTION("COUNTUNIQUEIFS($A$2:$A1860,$B$2:$B1860,B1860)"),6.0)</f>
        <v>6</v>
      </c>
      <c r="F1860" s="6">
        <f t="shared" si="1"/>
        <v>122</v>
      </c>
      <c r="G1860" s="6" t="str">
        <f>IF(MINIFS(dynamic[orderDate], dynamic[customerID], B1860) &gt;= DATE(2024,4,30)-120, 
     "New", 
     IF(MAXIFS(dynamic[orderCount], dynamic[customerID], B1860)&lt;=2, 
        IF((DATE(2024,4,30) - MAXIFS(dynamic[orderDate], dynamic[customerID], B1860)) &gt; 180, "Non-Returning", "Dormant"), 
        IF(AND(MAX(dynamic[sinceLastOrder]) &gt; 365, (DATE(2024,4,30) - MAXIFS(dynamic[orderDate], dynamic[customerID], B1860)) &gt; 180), 
           "Dormant", "Regular")))</f>
        <v>Regular</v>
      </c>
      <c r="H1860" s="6">
        <v>37.0</v>
      </c>
      <c r="I1860" s="9" t="str">
        <f>VLOOKUP(dynamic[productID],products[],2,FALSE)</f>
        <v>Gravad lax</v>
      </c>
      <c r="J1860" s="9" t="str">
        <f>VLOOKUP(dynamic[productID],products[],12,FALSE)</f>
        <v>Seafood</v>
      </c>
      <c r="K1860" s="7" t="str">
        <f>IF(VLOOKUP(dynamic[productID],products[],7,FALSE)=1,"Discontinued","Current")</f>
        <v>Current</v>
      </c>
      <c r="L1860" s="9">
        <f>VLOOKUP(dynamic[productID],products[],IF(YEAR(dynamic[orderDate])=2022,8,IF(YEAR(dynamic[orderDate])=2023,9,IF(YEAR(dynamic[orderDate])=2024,10,NA))),FALSE)</f>
        <v>16.5764923</v>
      </c>
      <c r="M1860" s="9">
        <v>26.0</v>
      </c>
      <c r="N1860" s="25">
        <f>(dynamic[orderPrice]-dynamic[productCost])/dynamic[productCost]</f>
        <v>0.5684862348</v>
      </c>
      <c r="O1860" s="10">
        <v>8.0</v>
      </c>
      <c r="P1860" s="25">
        <v>0.0</v>
      </c>
      <c r="Q1860" s="9">
        <f>dynamic[orderPrice]*dynamic[orderQuantity]</f>
        <v>208</v>
      </c>
      <c r="R1860" s="9">
        <f>dynamic[orderTotal]*(1-dynamic[discountApllied])</f>
        <v>208</v>
      </c>
      <c r="S1860" s="9">
        <f>dynamic[revenue]-(dynamic[productCost]*dynamic[orderQuantity])</f>
        <v>75.38806157</v>
      </c>
      <c r="T1860" s="25">
        <f>IFERROR(dynamic[profit]/dynamic[revenue], 0)</f>
        <v>0.3624426037</v>
      </c>
    </row>
    <row r="1861" ht="15.75" customHeight="1">
      <c r="A1861" s="6">
        <v>10966.0</v>
      </c>
      <c r="B1861" s="7" t="s">
        <v>20</v>
      </c>
      <c r="C1861" s="24" t="str">
        <f>VLOOKUP(dynamic[customerID],customers[],2,FALSE)</f>
        <v>Chop-suey Chinese</v>
      </c>
      <c r="D1861" s="24">
        <v>45371.0</v>
      </c>
      <c r="E1861" s="6">
        <f>IFERROR(__xludf.DUMMYFUNCTION("COUNTUNIQUEIFS($A$2:$A1861,$B$2:$B1861,B1861)"),6.0)</f>
        <v>6</v>
      </c>
      <c r="F1861" s="6">
        <f t="shared" si="1"/>
        <v>122</v>
      </c>
      <c r="G1861" s="6" t="str">
        <f>IF(MINIFS(dynamic[orderDate], dynamic[customerID], B1861) &gt;= DATE(2024,4,30)-120, 
     "New", 
     IF(MAXIFS(dynamic[orderCount], dynamic[customerID], B1861)&lt;=2, 
        IF((DATE(2024,4,30) - MAXIFS(dynamic[orderDate], dynamic[customerID], B1861)) &gt; 180, "Non-Returning", "Dormant"), 
        IF(AND(MAX(dynamic[sinceLastOrder]) &gt; 365, (DATE(2024,4,30) - MAXIFS(dynamic[orderDate], dynamic[customerID], B1861)) &gt; 180), 
           "Dormant", "Regular")))</f>
        <v>Regular</v>
      </c>
      <c r="H1861" s="6">
        <v>56.0</v>
      </c>
      <c r="I1861" s="9" t="str">
        <f>VLOOKUP(dynamic[productID],products[],2,FALSE)</f>
        <v>Gnocchi di nonna Alice</v>
      </c>
      <c r="J1861" s="9" t="str">
        <f>VLOOKUP(dynamic[productID],products[],12,FALSE)</f>
        <v>Grains/Cereals</v>
      </c>
      <c r="K1861" s="7" t="str">
        <f>IF(VLOOKUP(dynamic[productID],products[],7,FALSE)=1,"Discontinued","Current")</f>
        <v>Current</v>
      </c>
      <c r="L1861" s="9">
        <f>VLOOKUP(dynamic[productID],products[],IF(YEAR(dynamic[orderDate])=2022,8,IF(YEAR(dynamic[orderDate])=2023,9,IF(YEAR(dynamic[orderDate])=2024,10,NA))),FALSE)</f>
        <v>27.53915851</v>
      </c>
      <c r="M1861" s="9">
        <v>38.0</v>
      </c>
      <c r="N1861" s="25">
        <f>(dynamic[orderPrice]-dynamic[productCost])/dynamic[productCost]</f>
        <v>0.3798533452</v>
      </c>
      <c r="O1861" s="10">
        <v>12.0</v>
      </c>
      <c r="P1861" s="25">
        <v>0.15</v>
      </c>
      <c r="Q1861" s="9">
        <f>dynamic[orderPrice]*dynamic[orderQuantity]</f>
        <v>456</v>
      </c>
      <c r="R1861" s="9">
        <f>dynamic[orderTotal]*(1-dynamic[discountApllied])</f>
        <v>387.6</v>
      </c>
      <c r="S1861" s="9">
        <f>dynamic[revenue]-(dynamic[productCost]*dynamic[orderQuantity])</f>
        <v>57.13009783</v>
      </c>
      <c r="T1861" s="25">
        <f>IFERROR(dynamic[profit]/dynamic[revenue], 0)</f>
        <v>0.1473944733</v>
      </c>
    </row>
    <row r="1862" ht="15.75" customHeight="1">
      <c r="A1862" s="6">
        <v>10966.0</v>
      </c>
      <c r="B1862" s="7" t="s">
        <v>20</v>
      </c>
      <c r="C1862" s="24" t="str">
        <f>VLOOKUP(dynamic[customerID],customers[],2,FALSE)</f>
        <v>Chop-suey Chinese</v>
      </c>
      <c r="D1862" s="24">
        <v>45371.0</v>
      </c>
      <c r="E1862" s="6">
        <f>IFERROR(__xludf.DUMMYFUNCTION("COUNTUNIQUEIFS($A$2:$A1862,$B$2:$B1862,B1862)"),6.0)</f>
        <v>6</v>
      </c>
      <c r="F1862" s="6">
        <f t="shared" si="1"/>
        <v>122</v>
      </c>
      <c r="G1862" s="6" t="str">
        <f>IF(MINIFS(dynamic[orderDate], dynamic[customerID], B1862) &gt;= DATE(2024,4,30)-120, 
     "New", 
     IF(MAXIFS(dynamic[orderCount], dynamic[customerID], B1862)&lt;=2, 
        IF((DATE(2024,4,30) - MAXIFS(dynamic[orderDate], dynamic[customerID], B1862)) &gt; 180, "Non-Returning", "Dormant"), 
        IF(AND(MAX(dynamic[sinceLastOrder]) &gt; 365, (DATE(2024,4,30) - MAXIFS(dynamic[orderDate], dynamic[customerID], B1862)) &gt; 180), 
           "Dormant", "Regular")))</f>
        <v>Regular</v>
      </c>
      <c r="H1862" s="6">
        <v>62.0</v>
      </c>
      <c r="I1862" s="9" t="str">
        <f>VLOOKUP(dynamic[productID],products[],2,FALSE)</f>
        <v>Tarte au sucre</v>
      </c>
      <c r="J1862" s="9" t="str">
        <f>VLOOKUP(dynamic[productID],products[],12,FALSE)</f>
        <v>Confections</v>
      </c>
      <c r="K1862" s="7" t="str">
        <f>IF(VLOOKUP(dynamic[productID],products[],7,FALSE)=1,"Discontinued","Current")</f>
        <v>Current</v>
      </c>
      <c r="L1862" s="9">
        <f>VLOOKUP(dynamic[productID],products[],IF(YEAR(dynamic[orderDate])=2022,8,IF(YEAR(dynamic[orderDate])=2023,9,IF(YEAR(dynamic[orderDate])=2024,10,NA))),FALSE)</f>
        <v>34.88145014</v>
      </c>
      <c r="M1862" s="9">
        <v>49.3</v>
      </c>
      <c r="N1862" s="25">
        <f>(dynamic[orderPrice]-dynamic[productCost])/dynamic[productCost]</f>
        <v>0.4133586705</v>
      </c>
      <c r="O1862" s="10">
        <v>12.0</v>
      </c>
      <c r="P1862" s="25">
        <v>0.15</v>
      </c>
      <c r="Q1862" s="9">
        <f>dynamic[orderPrice]*dynamic[orderQuantity]</f>
        <v>591.6</v>
      </c>
      <c r="R1862" s="9">
        <f>dynamic[orderTotal]*(1-dynamic[discountApllied])</f>
        <v>502.86</v>
      </c>
      <c r="S1862" s="9">
        <f>dynamic[revenue]-(dynamic[productCost]*dynamic[orderQuantity])</f>
        <v>84.28259828</v>
      </c>
      <c r="T1862" s="25">
        <f>IFERROR(dynamic[profit]/dynamic[revenue], 0)</f>
        <v>0.1676064875</v>
      </c>
    </row>
    <row r="1863" ht="15.75" customHeight="1">
      <c r="A1863" s="6">
        <v>10967.0</v>
      </c>
      <c r="B1863" s="7" t="s">
        <v>14</v>
      </c>
      <c r="C1863" s="24" t="str">
        <f>VLOOKUP(dynamic[customerID],customers[],2,FALSE)</f>
        <v>Toms Spezialitäten</v>
      </c>
      <c r="D1863" s="24">
        <v>45374.0</v>
      </c>
      <c r="E1863" s="6">
        <f>IFERROR(__xludf.DUMMYFUNCTION("COUNTUNIQUEIFS($A$2:$A1863,$B$2:$B1863,B1863)"),6.0)</f>
        <v>6</v>
      </c>
      <c r="F1863" s="6">
        <f t="shared" si="1"/>
        <v>244</v>
      </c>
      <c r="G1863" s="6" t="str">
        <f>IF(MINIFS(dynamic[orderDate], dynamic[customerID], B1863) &gt;= DATE(2024,4,30)-120, 
     "New", 
     IF(MAXIFS(dynamic[orderCount], dynamic[customerID], B1863)&lt;=2, 
        IF((DATE(2024,4,30) - MAXIFS(dynamic[orderDate], dynamic[customerID], B1863)) &gt; 180, "Non-Returning", "Dormant"), 
        IF(AND(MAX(dynamic[sinceLastOrder]) &gt; 365, (DATE(2024,4,30) - MAXIFS(dynamic[orderDate], dynamic[customerID], B1863)) &gt; 180), 
           "Dormant", "Regular")))</f>
        <v>Regular</v>
      </c>
      <c r="H1863" s="6">
        <v>19.0</v>
      </c>
      <c r="I1863" s="9" t="str">
        <f>VLOOKUP(dynamic[productID],products[],2,FALSE)</f>
        <v>Teatime Chocolate Biscuits</v>
      </c>
      <c r="J1863" s="9" t="str">
        <f>VLOOKUP(dynamic[productID],products[],12,FALSE)</f>
        <v>Confections</v>
      </c>
      <c r="K1863" s="7" t="str">
        <f>IF(VLOOKUP(dynamic[productID],products[],7,FALSE)=1,"Discontinued","Current")</f>
        <v>Current</v>
      </c>
      <c r="L1863" s="9">
        <f>VLOOKUP(dynamic[productID],products[],IF(YEAR(dynamic[orderDate])=2022,8,IF(YEAR(dynamic[orderDate])=2023,9,IF(YEAR(dynamic[orderDate])=2024,10,NA))),FALSE)</f>
        <v>6.769656984</v>
      </c>
      <c r="M1863" s="9">
        <v>9.2</v>
      </c>
      <c r="N1863" s="25">
        <f>(dynamic[orderPrice]-dynamic[productCost])/dynamic[productCost]</f>
        <v>0.3590053413</v>
      </c>
      <c r="O1863" s="10">
        <v>12.0</v>
      </c>
      <c r="P1863" s="25">
        <v>0.0</v>
      </c>
      <c r="Q1863" s="9">
        <f>dynamic[orderPrice]*dynamic[orderQuantity]</f>
        <v>110.4</v>
      </c>
      <c r="R1863" s="9">
        <f>dynamic[orderTotal]*(1-dynamic[discountApllied])</f>
        <v>110.4</v>
      </c>
      <c r="S1863" s="9">
        <f>dynamic[revenue]-(dynamic[productCost]*dynamic[orderQuantity])</f>
        <v>29.16411619</v>
      </c>
      <c r="T1863" s="25">
        <f>IFERROR(dynamic[profit]/dynamic[revenue], 0)</f>
        <v>0.2641677191</v>
      </c>
    </row>
    <row r="1864" ht="15.75" customHeight="1">
      <c r="A1864" s="6">
        <v>10967.0</v>
      </c>
      <c r="B1864" s="7" t="s">
        <v>14</v>
      </c>
      <c r="C1864" s="24" t="str">
        <f>VLOOKUP(dynamic[customerID],customers[],2,FALSE)</f>
        <v>Toms Spezialitäten</v>
      </c>
      <c r="D1864" s="24">
        <v>45374.0</v>
      </c>
      <c r="E1864" s="6">
        <f>IFERROR(__xludf.DUMMYFUNCTION("COUNTUNIQUEIFS($A$2:$A1864,$B$2:$B1864,B1864)"),6.0)</f>
        <v>6</v>
      </c>
      <c r="F1864" s="6">
        <f t="shared" si="1"/>
        <v>244</v>
      </c>
      <c r="G1864" s="6" t="str">
        <f>IF(MINIFS(dynamic[orderDate], dynamic[customerID], B1864) &gt;= DATE(2024,4,30)-120, 
     "New", 
     IF(MAXIFS(dynamic[orderCount], dynamic[customerID], B1864)&lt;=2, 
        IF((DATE(2024,4,30) - MAXIFS(dynamic[orderDate], dynamic[customerID], B1864)) &gt; 180, "Non-Returning", "Dormant"), 
        IF(AND(MAX(dynamic[sinceLastOrder]) &gt; 365, (DATE(2024,4,30) - MAXIFS(dynamic[orderDate], dynamic[customerID], B1864)) &gt; 180), 
           "Dormant", "Regular")))</f>
        <v>Regular</v>
      </c>
      <c r="H1864" s="6">
        <v>49.0</v>
      </c>
      <c r="I1864" s="9" t="str">
        <f>VLOOKUP(dynamic[productID],products[],2,FALSE)</f>
        <v>Maxilaku</v>
      </c>
      <c r="J1864" s="9" t="str">
        <f>VLOOKUP(dynamic[productID],products[],12,FALSE)</f>
        <v>Confections</v>
      </c>
      <c r="K1864" s="7" t="str">
        <f>IF(VLOOKUP(dynamic[productID],products[],7,FALSE)=1,"Discontinued","Current")</f>
        <v>Current</v>
      </c>
      <c r="L1864" s="9">
        <f>VLOOKUP(dynamic[productID],products[],IF(YEAR(dynamic[orderDate])=2022,8,IF(YEAR(dynamic[orderDate])=2023,9,IF(YEAR(dynamic[orderDate])=2024,10,NA))),FALSE)</f>
        <v>15.07459899</v>
      </c>
      <c r="M1864" s="9">
        <v>20.0</v>
      </c>
      <c r="N1864" s="25">
        <f>(dynamic[orderPrice]-dynamic[productCost])/dynamic[productCost]</f>
        <v>0.3267351269</v>
      </c>
      <c r="O1864" s="10">
        <v>40.0</v>
      </c>
      <c r="P1864" s="25">
        <v>0.0</v>
      </c>
      <c r="Q1864" s="9">
        <f>dynamic[orderPrice]*dynamic[orderQuantity]</f>
        <v>800</v>
      </c>
      <c r="R1864" s="9">
        <f>dynamic[orderTotal]*(1-dynamic[discountApllied])</f>
        <v>800</v>
      </c>
      <c r="S1864" s="9">
        <f>dynamic[revenue]-(dynamic[productCost]*dynamic[orderQuantity])</f>
        <v>197.0160405</v>
      </c>
      <c r="T1864" s="25">
        <f>IFERROR(dynamic[profit]/dynamic[revenue], 0)</f>
        <v>0.2462700507</v>
      </c>
    </row>
    <row r="1865" ht="15.75" customHeight="1">
      <c r="A1865" s="6">
        <v>10968.0</v>
      </c>
      <c r="B1865" s="7" t="s">
        <v>24</v>
      </c>
      <c r="C1865" s="24" t="str">
        <f>VLOOKUP(dynamic[customerID],customers[],2,FALSE)</f>
        <v>Ernst Handel</v>
      </c>
      <c r="D1865" s="24">
        <v>45374.0</v>
      </c>
      <c r="E1865" s="6">
        <f>IFERROR(__xludf.DUMMYFUNCTION("COUNTUNIQUEIFS($A$2:$A1865,$B$2:$B1865,B1865)"),25.0)</f>
        <v>25</v>
      </c>
      <c r="F1865" s="6">
        <f t="shared" si="1"/>
        <v>34</v>
      </c>
      <c r="G1865" s="6" t="str">
        <f>IF(MINIFS(dynamic[orderDate], dynamic[customerID], B1865) &gt;= DATE(2024,4,30)-120, 
     "New", 
     IF(MAXIFS(dynamic[orderCount], dynamic[customerID], B1865)&lt;=2, 
        IF((DATE(2024,4,30) - MAXIFS(dynamic[orderDate], dynamic[customerID], B1865)) &gt; 180, "Non-Returning", "Dormant"), 
        IF(AND(MAX(dynamic[sinceLastOrder]) &gt; 365, (DATE(2024,4,30) - MAXIFS(dynamic[orderDate], dynamic[customerID], B1865)) &gt; 180), 
           "Dormant", "Regular")))</f>
        <v>Regular</v>
      </c>
      <c r="H1865" s="6">
        <v>12.0</v>
      </c>
      <c r="I1865" s="9" t="str">
        <f>VLOOKUP(dynamic[productID],products[],2,FALSE)</f>
        <v>Queso Manchego La Pastora</v>
      </c>
      <c r="J1865" s="9" t="str">
        <f>VLOOKUP(dynamic[productID],products[],12,FALSE)</f>
        <v>Dairy Products</v>
      </c>
      <c r="K1865" s="7" t="str">
        <f>IF(VLOOKUP(dynamic[productID],products[],7,FALSE)=1,"Discontinued","Current")</f>
        <v>Current</v>
      </c>
      <c r="L1865" s="9">
        <f>VLOOKUP(dynamic[productID],products[],IF(YEAR(dynamic[orderDate])=2022,8,IF(YEAR(dynamic[orderDate])=2023,9,IF(YEAR(dynamic[orderDate])=2024,10,NA))),FALSE)</f>
        <v>25.02510955</v>
      </c>
      <c r="M1865" s="9">
        <v>38.0</v>
      </c>
      <c r="N1865" s="25">
        <f>(dynamic[orderPrice]-dynamic[productCost])/dynamic[productCost]</f>
        <v>0.518474871</v>
      </c>
      <c r="O1865" s="10">
        <v>30.0</v>
      </c>
      <c r="P1865" s="25">
        <v>0.0</v>
      </c>
      <c r="Q1865" s="9">
        <f>dynamic[orderPrice]*dynamic[orderQuantity]</f>
        <v>1140</v>
      </c>
      <c r="R1865" s="9">
        <f>dynamic[orderTotal]*(1-dynamic[discountApllied])</f>
        <v>1140</v>
      </c>
      <c r="S1865" s="9">
        <f>dynamic[revenue]-(dynamic[productCost]*dynamic[orderQuantity])</f>
        <v>389.2467134</v>
      </c>
      <c r="T1865" s="25">
        <f>IFERROR(dynamic[profit]/dynamic[revenue], 0)</f>
        <v>0.3414444854</v>
      </c>
    </row>
    <row r="1866" ht="15.75" customHeight="1">
      <c r="A1866" s="6">
        <v>10968.0</v>
      </c>
      <c r="B1866" s="7" t="s">
        <v>24</v>
      </c>
      <c r="C1866" s="24" t="str">
        <f>VLOOKUP(dynamic[customerID],customers[],2,FALSE)</f>
        <v>Ernst Handel</v>
      </c>
      <c r="D1866" s="24">
        <v>45374.0</v>
      </c>
      <c r="E1866" s="6">
        <f>IFERROR(__xludf.DUMMYFUNCTION("COUNTUNIQUEIFS($A$2:$A1866,$B$2:$B1866,B1866)"),25.0)</f>
        <v>25</v>
      </c>
      <c r="F1866" s="6">
        <f t="shared" si="1"/>
        <v>34</v>
      </c>
      <c r="G1866" s="6" t="str">
        <f>IF(MINIFS(dynamic[orderDate], dynamic[customerID], B1866) &gt;= DATE(2024,4,30)-120, 
     "New", 
     IF(MAXIFS(dynamic[orderCount], dynamic[customerID], B1866)&lt;=2, 
        IF((DATE(2024,4,30) - MAXIFS(dynamic[orderDate], dynamic[customerID], B1866)) &gt; 180, "Non-Returning", "Dormant"), 
        IF(AND(MAX(dynamic[sinceLastOrder]) &gt; 365, (DATE(2024,4,30) - MAXIFS(dynamic[orderDate], dynamic[customerID], B1866)) &gt; 180), 
           "Dormant", "Regular")))</f>
        <v>Regular</v>
      </c>
      <c r="H1866" s="6">
        <v>24.0</v>
      </c>
      <c r="I1866" s="9" t="str">
        <f>VLOOKUP(dynamic[productID],products[],2,FALSE)</f>
        <v>Brigadeiros Maravilhosos da Lilian</v>
      </c>
      <c r="J1866" s="9" t="str">
        <f>VLOOKUP(dynamic[productID],products[],12,FALSE)</f>
        <v>Confections</v>
      </c>
      <c r="K1866" s="7" t="str">
        <f>IF(VLOOKUP(dynamic[productID],products[],7,FALSE)=1,"Discontinued","Current")</f>
        <v>Discontinued</v>
      </c>
      <c r="L1866" s="9">
        <f>VLOOKUP(dynamic[productID],products[],IF(YEAR(dynamic[orderDate])=2022,8,IF(YEAR(dynamic[orderDate])=2023,9,IF(YEAR(dynamic[orderDate])=2024,10,NA))),FALSE)</f>
        <v>3.177326315</v>
      </c>
      <c r="M1866" s="9">
        <v>4.5</v>
      </c>
      <c r="N1866" s="25">
        <f>(dynamic[orderPrice]-dynamic[productCost])/dynamic[productCost]</f>
        <v>0.416285126</v>
      </c>
      <c r="O1866" s="10">
        <v>30.0</v>
      </c>
      <c r="P1866" s="25">
        <v>0.0</v>
      </c>
      <c r="Q1866" s="9">
        <f>dynamic[orderPrice]*dynamic[orderQuantity]</f>
        <v>135</v>
      </c>
      <c r="R1866" s="9">
        <f>dynamic[orderTotal]*(1-dynamic[discountApllied])</f>
        <v>135</v>
      </c>
      <c r="S1866" s="9">
        <f>dynamic[revenue]-(dynamic[productCost]*dynamic[orderQuantity])</f>
        <v>39.68021056</v>
      </c>
      <c r="T1866" s="25">
        <f>IFERROR(dynamic[profit]/dynamic[revenue], 0)</f>
        <v>0.2939274856</v>
      </c>
    </row>
    <row r="1867" ht="15.75" customHeight="1">
      <c r="A1867" s="6">
        <v>10968.0</v>
      </c>
      <c r="B1867" s="7" t="s">
        <v>24</v>
      </c>
      <c r="C1867" s="24" t="str">
        <f>VLOOKUP(dynamic[customerID],customers[],2,FALSE)</f>
        <v>Ernst Handel</v>
      </c>
      <c r="D1867" s="24">
        <v>45374.0</v>
      </c>
      <c r="E1867" s="6">
        <f>IFERROR(__xludf.DUMMYFUNCTION("COUNTUNIQUEIFS($A$2:$A1867,$B$2:$B1867,B1867)"),25.0)</f>
        <v>25</v>
      </c>
      <c r="F1867" s="6">
        <f t="shared" si="1"/>
        <v>34</v>
      </c>
      <c r="G1867" s="6" t="str">
        <f>IF(MINIFS(dynamic[orderDate], dynamic[customerID], B1867) &gt;= DATE(2024,4,30)-120, 
     "New", 
     IF(MAXIFS(dynamic[orderCount], dynamic[customerID], B1867)&lt;=2, 
        IF((DATE(2024,4,30) - MAXIFS(dynamic[orderDate], dynamic[customerID], B1867)) &gt; 180, "Non-Returning", "Dormant"), 
        IF(AND(MAX(dynamic[sinceLastOrder]) &gt; 365, (DATE(2024,4,30) - MAXIFS(dynamic[orderDate], dynamic[customerID], B1867)) &gt; 180), 
           "Dormant", "Regular")))</f>
        <v>Regular</v>
      </c>
      <c r="H1867" s="6">
        <v>64.0</v>
      </c>
      <c r="I1867" s="9" t="str">
        <f>VLOOKUP(dynamic[productID],products[],2,FALSE)</f>
        <v>Lukas' leckere Sauerteigweggla</v>
      </c>
      <c r="J1867" s="9" t="str">
        <f>VLOOKUP(dynamic[productID],products[],12,FALSE)</f>
        <v>Grains/Cereals</v>
      </c>
      <c r="K1867" s="7" t="str">
        <f>IF(VLOOKUP(dynamic[productID],products[],7,FALSE)=1,"Discontinued","Current")</f>
        <v>Current</v>
      </c>
      <c r="L1867" s="9">
        <f>VLOOKUP(dynamic[productID],products[],IF(YEAR(dynamic[orderDate])=2022,8,IF(YEAR(dynamic[orderDate])=2023,9,IF(YEAR(dynamic[orderDate])=2024,10,NA))),FALSE)</f>
        <v>22.72434276</v>
      </c>
      <c r="M1867" s="9">
        <v>33.25</v>
      </c>
      <c r="N1867" s="25">
        <f>(dynamic[orderPrice]-dynamic[productCost])/dynamic[productCost]</f>
        <v>0.4631886324</v>
      </c>
      <c r="O1867" s="10">
        <v>4.0</v>
      </c>
      <c r="P1867" s="25">
        <v>0.0</v>
      </c>
      <c r="Q1867" s="9">
        <f>dynamic[orderPrice]*dynamic[orderQuantity]</f>
        <v>133</v>
      </c>
      <c r="R1867" s="9">
        <f>dynamic[orderTotal]*(1-dynamic[discountApllied])</f>
        <v>133</v>
      </c>
      <c r="S1867" s="9">
        <f>dynamic[revenue]-(dynamic[productCost]*dynamic[orderQuantity])</f>
        <v>42.10262898</v>
      </c>
      <c r="T1867" s="25">
        <f>IFERROR(dynamic[profit]/dynamic[revenue], 0)</f>
        <v>0.3165611201</v>
      </c>
    </row>
    <row r="1868" ht="15.75" customHeight="1">
      <c r="A1868" s="6">
        <v>10969.0</v>
      </c>
      <c r="B1868" s="7" t="s">
        <v>47</v>
      </c>
      <c r="C1868" s="24" t="str">
        <f>VLOOKUP(dynamic[customerID],customers[],2,FALSE)</f>
        <v>Comércio Mineiro</v>
      </c>
      <c r="D1868" s="24">
        <v>45374.0</v>
      </c>
      <c r="E1868" s="6">
        <f>IFERROR(__xludf.DUMMYFUNCTION("COUNTUNIQUEIFS($A$2:$A1868,$B$2:$B1868,B1868)"),4.0)</f>
        <v>4</v>
      </c>
      <c r="F1868" s="6">
        <f t="shared" si="1"/>
        <v>356</v>
      </c>
      <c r="G1868" s="6" t="str">
        <f>IF(MINIFS(dynamic[orderDate], dynamic[customerID], B1868) &gt;= DATE(2024,4,30)-120, 
     "New", 
     IF(MAXIFS(dynamic[orderCount], dynamic[customerID], B1868)&lt;=2, 
        IF((DATE(2024,4,30) - MAXIFS(dynamic[orderDate], dynamic[customerID], B1868)) &gt; 180, "Non-Returning", "Dormant"), 
        IF(AND(MAX(dynamic[sinceLastOrder]) &gt; 365, (DATE(2024,4,30) - MAXIFS(dynamic[orderDate], dynamic[customerID], B1868)) &gt; 180), 
           "Dormant", "Regular")))</f>
        <v>Regular</v>
      </c>
      <c r="H1868" s="6">
        <v>46.0</v>
      </c>
      <c r="I1868" s="9" t="str">
        <f>VLOOKUP(dynamic[productID],products[],2,FALSE)</f>
        <v>Spegesild</v>
      </c>
      <c r="J1868" s="9" t="str">
        <f>VLOOKUP(dynamic[productID],products[],12,FALSE)</f>
        <v>Seafood</v>
      </c>
      <c r="K1868" s="7" t="str">
        <f>IF(VLOOKUP(dynamic[productID],products[],7,FALSE)=1,"Discontinued","Current")</f>
        <v>Current</v>
      </c>
      <c r="L1868" s="9">
        <f>VLOOKUP(dynamic[productID],products[],IF(YEAR(dynamic[orderDate])=2022,8,IF(YEAR(dynamic[orderDate])=2023,9,IF(YEAR(dynamic[orderDate])=2024,10,NA))),FALSE)</f>
        <v>8.247981557</v>
      </c>
      <c r="M1868" s="9">
        <v>12.0</v>
      </c>
      <c r="N1868" s="25">
        <f>(dynamic[orderPrice]-dynamic[productCost])/dynamic[productCost]</f>
        <v>0.4549014105</v>
      </c>
      <c r="O1868" s="10">
        <v>9.0</v>
      </c>
      <c r="P1868" s="25">
        <v>0.0</v>
      </c>
      <c r="Q1868" s="9">
        <f>dynamic[orderPrice]*dynamic[orderQuantity]</f>
        <v>108</v>
      </c>
      <c r="R1868" s="9">
        <f>dynamic[orderTotal]*(1-dynamic[discountApllied])</f>
        <v>108</v>
      </c>
      <c r="S1868" s="9">
        <f>dynamic[revenue]-(dynamic[productCost]*dynamic[orderQuantity])</f>
        <v>33.76816599</v>
      </c>
      <c r="T1868" s="25">
        <f>IFERROR(dynamic[profit]/dynamic[revenue], 0)</f>
        <v>0.3126682036</v>
      </c>
    </row>
    <row r="1869" ht="15.75" customHeight="1">
      <c r="A1869" s="6">
        <v>10970.0</v>
      </c>
      <c r="B1869" s="7" t="s">
        <v>61</v>
      </c>
      <c r="C1869" s="24" t="str">
        <f>VLOOKUP(dynamic[customerID],customers[],2,FALSE)</f>
        <v>Bólido Comidas preparadas</v>
      </c>
      <c r="D1869" s="24">
        <v>45375.0</v>
      </c>
      <c r="E1869" s="6">
        <f>IFERROR(__xludf.DUMMYFUNCTION("COUNTUNIQUEIFS($A$2:$A1869,$B$2:$B1869,B1869)"),3.0)</f>
        <v>3</v>
      </c>
      <c r="F1869" s="6">
        <f t="shared" si="1"/>
        <v>86</v>
      </c>
      <c r="G1869" s="6" t="str">
        <f>IF(MINIFS(dynamic[orderDate], dynamic[customerID], B1869) &gt;= DATE(2024,4,30)-120, 
     "New", 
     IF(MAXIFS(dynamic[orderCount], dynamic[customerID], B1869)&lt;=2, 
        IF((DATE(2024,4,30) - MAXIFS(dynamic[orderDate], dynamic[customerID], B1869)) &gt; 180, "Non-Returning", "Dormant"), 
        IF(AND(MAX(dynamic[sinceLastOrder]) &gt; 365, (DATE(2024,4,30) - MAXIFS(dynamic[orderDate], dynamic[customerID], B1869)) &gt; 180), 
           "Dormant", "Regular")))</f>
        <v>Regular</v>
      </c>
      <c r="H1869" s="6">
        <v>52.0</v>
      </c>
      <c r="I1869" s="9" t="str">
        <f>VLOOKUP(dynamic[productID],products[],2,FALSE)</f>
        <v>Filo Mix</v>
      </c>
      <c r="J1869" s="9" t="str">
        <f>VLOOKUP(dynamic[productID],products[],12,FALSE)</f>
        <v>Grains/Cereals</v>
      </c>
      <c r="K1869" s="7" t="str">
        <f>IF(VLOOKUP(dynamic[productID],products[],7,FALSE)=1,"Discontinued","Current")</f>
        <v>Current</v>
      </c>
      <c r="L1869" s="9">
        <f>VLOOKUP(dynamic[productID],products[],IF(YEAR(dynamic[orderDate])=2022,8,IF(YEAR(dynamic[orderDate])=2023,9,IF(YEAR(dynamic[orderDate])=2024,10,NA))),FALSE)</f>
        <v>5.222223442</v>
      </c>
      <c r="M1869" s="9">
        <v>7.0</v>
      </c>
      <c r="N1869" s="25">
        <f>(dynamic[orderPrice]-dynamic[productCost])/dynamic[productCost]</f>
        <v>0.3404252188</v>
      </c>
      <c r="O1869" s="10">
        <v>40.0</v>
      </c>
      <c r="P1869" s="25">
        <v>0.2</v>
      </c>
      <c r="Q1869" s="9">
        <f>dynamic[orderPrice]*dynamic[orderQuantity]</f>
        <v>280</v>
      </c>
      <c r="R1869" s="9">
        <f>dynamic[orderTotal]*(1-dynamic[discountApllied])</f>
        <v>224</v>
      </c>
      <c r="S1869" s="9">
        <f>dynamic[revenue]-(dynamic[productCost]*dynamic[orderQuantity])</f>
        <v>15.11106232</v>
      </c>
      <c r="T1869" s="25">
        <f>IFERROR(dynamic[profit]/dynamic[revenue], 0)</f>
        <v>0.06746009963</v>
      </c>
    </row>
    <row r="1870" ht="15.75" customHeight="1">
      <c r="A1870" s="6">
        <v>10971.0</v>
      </c>
      <c r="B1870" s="7" t="s">
        <v>101</v>
      </c>
      <c r="C1870" s="24" t="str">
        <f>VLOOKUP(dynamic[customerID],customers[],2,FALSE)</f>
        <v>France restauration</v>
      </c>
      <c r="D1870" s="24">
        <v>45375.0</v>
      </c>
      <c r="E1870" s="6">
        <f>IFERROR(__xludf.DUMMYFUNCTION("COUNTUNIQUEIFS($A$2:$A1870,$B$2:$B1870,B1870)"),3.0)</f>
        <v>3</v>
      </c>
      <c r="F1870" s="6">
        <f t="shared" si="1"/>
        <v>55</v>
      </c>
      <c r="G1870" s="6" t="str">
        <f>IF(MINIFS(dynamic[orderDate], dynamic[customerID], B1870) &gt;= DATE(2024,4,30)-120, 
     "New", 
     IF(MAXIFS(dynamic[orderCount], dynamic[customerID], B1870)&lt;=2, 
        IF((DATE(2024,4,30) - MAXIFS(dynamic[orderDate], dynamic[customerID], B1870)) &gt; 180, "Non-Returning", "Dormant"), 
        IF(AND(MAX(dynamic[sinceLastOrder]) &gt; 365, (DATE(2024,4,30) - MAXIFS(dynamic[orderDate], dynamic[customerID], B1870)) &gt; 180), 
           "Dormant", "Regular")))</f>
        <v>Regular</v>
      </c>
      <c r="H1870" s="6">
        <v>29.0</v>
      </c>
      <c r="I1870" s="9" t="str">
        <f>VLOOKUP(dynamic[productID],products[],2,FALSE)</f>
        <v>Thüringer Rostbratwurst</v>
      </c>
      <c r="J1870" s="9" t="str">
        <f>VLOOKUP(dynamic[productID],products[],12,FALSE)</f>
        <v>Meat/Poultry</v>
      </c>
      <c r="K1870" s="7" t="str">
        <f>IF(VLOOKUP(dynamic[productID],products[],7,FALSE)=1,"Discontinued","Current")</f>
        <v>Discontinued</v>
      </c>
      <c r="L1870" s="9">
        <f>VLOOKUP(dynamic[productID],products[],IF(YEAR(dynamic[orderDate])=2022,8,IF(YEAR(dynamic[orderDate])=2023,9,IF(YEAR(dynamic[orderDate])=2024,10,NA))),FALSE)</f>
        <v>80.14595973</v>
      </c>
      <c r="M1870" s="9">
        <v>123.79</v>
      </c>
      <c r="N1870" s="25">
        <f>(dynamic[orderPrice]-dynamic[productCost])/dynamic[productCost]</f>
        <v>0.544556961</v>
      </c>
      <c r="O1870" s="10">
        <v>14.0</v>
      </c>
      <c r="P1870" s="25">
        <v>0.0</v>
      </c>
      <c r="Q1870" s="9">
        <f>dynamic[orderPrice]*dynamic[orderQuantity]</f>
        <v>1733.06</v>
      </c>
      <c r="R1870" s="9">
        <f>dynamic[orderTotal]*(1-dynamic[discountApllied])</f>
        <v>1733.06</v>
      </c>
      <c r="S1870" s="9">
        <f>dynamic[revenue]-(dynamic[productCost]*dynamic[orderQuantity])</f>
        <v>611.0165637</v>
      </c>
      <c r="T1870" s="25">
        <f>IFERROR(dynamic[profit]/dynamic[revenue], 0)</f>
        <v>0.3525651528</v>
      </c>
    </row>
    <row r="1871" ht="15.75" customHeight="1">
      <c r="A1871" s="6">
        <v>10972.0</v>
      </c>
      <c r="B1871" s="7" t="s">
        <v>103</v>
      </c>
      <c r="C1871" s="24" t="str">
        <f>VLOOKUP(dynamic[customerID],customers[],2,FALSE)</f>
        <v>La corne d'abondance</v>
      </c>
      <c r="D1871" s="24">
        <v>45375.0</v>
      </c>
      <c r="E1871" s="6">
        <f>IFERROR(__xludf.DUMMYFUNCTION("COUNTUNIQUEIFS($A$2:$A1871,$B$2:$B1871,B1871)"),3.0)</f>
        <v>3</v>
      </c>
      <c r="F1871" s="6">
        <f t="shared" si="1"/>
        <v>19</v>
      </c>
      <c r="G1871" s="6" t="str">
        <f>IF(MINIFS(dynamic[orderDate], dynamic[customerID], B1871) &gt;= DATE(2024,4,30)-120, 
     "New", 
     IF(MAXIFS(dynamic[orderCount], dynamic[customerID], B1871)&lt;=2, 
        IF((DATE(2024,4,30) - MAXIFS(dynamic[orderDate], dynamic[customerID], B1871)) &gt; 180, "Non-Returning", "Dormant"), 
        IF(AND(MAX(dynamic[sinceLastOrder]) &gt; 365, (DATE(2024,4,30) - MAXIFS(dynamic[orderDate], dynamic[customerID], B1871)) &gt; 180), 
           "Dormant", "Regular")))</f>
        <v>New</v>
      </c>
      <c r="H1871" s="6">
        <v>17.0</v>
      </c>
      <c r="I1871" s="9" t="str">
        <f>VLOOKUP(dynamic[productID],products[],2,FALSE)</f>
        <v>Alice Mutton</v>
      </c>
      <c r="J1871" s="9" t="str">
        <f>VLOOKUP(dynamic[productID],products[],12,FALSE)</f>
        <v>Meat/Poultry</v>
      </c>
      <c r="K1871" s="7" t="str">
        <f>IF(VLOOKUP(dynamic[productID],products[],7,FALSE)=1,"Discontinued","Current")</f>
        <v>Discontinued</v>
      </c>
      <c r="L1871" s="9">
        <f>VLOOKUP(dynamic[productID],products[],IF(YEAR(dynamic[orderDate])=2022,8,IF(YEAR(dynamic[orderDate])=2023,9,IF(YEAR(dynamic[orderDate])=2024,10,NA))),FALSE)</f>
        <v>28.51916263</v>
      </c>
      <c r="M1871" s="9">
        <v>39.0</v>
      </c>
      <c r="N1871" s="25">
        <f>(dynamic[orderPrice]-dynamic[productCost])/dynamic[productCost]</f>
        <v>0.3675015816</v>
      </c>
      <c r="O1871" s="10">
        <v>6.0</v>
      </c>
      <c r="P1871" s="25">
        <v>0.0</v>
      </c>
      <c r="Q1871" s="9">
        <f>dynamic[orderPrice]*dynamic[orderQuantity]</f>
        <v>234</v>
      </c>
      <c r="R1871" s="9">
        <f>dynamic[orderTotal]*(1-dynamic[discountApllied])</f>
        <v>234</v>
      </c>
      <c r="S1871" s="9">
        <f>dynamic[revenue]-(dynamic[productCost]*dynamic[orderQuantity])</f>
        <v>62.88502423</v>
      </c>
      <c r="T1871" s="25">
        <f>IFERROR(dynamic[profit]/dynamic[revenue], 0)</f>
        <v>0.2687394198</v>
      </c>
    </row>
    <row r="1872" ht="15.75" customHeight="1">
      <c r="A1872" s="6">
        <v>10972.0</v>
      </c>
      <c r="B1872" s="7" t="s">
        <v>103</v>
      </c>
      <c r="C1872" s="24" t="str">
        <f>VLOOKUP(dynamic[customerID],customers[],2,FALSE)</f>
        <v>La corne d'abondance</v>
      </c>
      <c r="D1872" s="24">
        <v>45375.0</v>
      </c>
      <c r="E1872" s="6">
        <f>IFERROR(__xludf.DUMMYFUNCTION("COUNTUNIQUEIFS($A$2:$A1872,$B$2:$B1872,B1872)"),3.0)</f>
        <v>3</v>
      </c>
      <c r="F1872" s="6">
        <f t="shared" si="1"/>
        <v>19</v>
      </c>
      <c r="G1872" s="6" t="str">
        <f>IF(MINIFS(dynamic[orderDate], dynamic[customerID], B1872) &gt;= DATE(2024,4,30)-120, 
     "New", 
     IF(MAXIFS(dynamic[orderCount], dynamic[customerID], B1872)&lt;=2, 
        IF((DATE(2024,4,30) - MAXIFS(dynamic[orderDate], dynamic[customerID], B1872)) &gt; 180, "Non-Returning", "Dormant"), 
        IF(AND(MAX(dynamic[sinceLastOrder]) &gt; 365, (DATE(2024,4,30) - MAXIFS(dynamic[orderDate], dynamic[customerID], B1872)) &gt; 180), 
           "Dormant", "Regular")))</f>
        <v>New</v>
      </c>
      <c r="H1872" s="6">
        <v>33.0</v>
      </c>
      <c r="I1872" s="9" t="str">
        <f>VLOOKUP(dynamic[productID],products[],2,FALSE)</f>
        <v>Geitost</v>
      </c>
      <c r="J1872" s="9" t="str">
        <f>VLOOKUP(dynamic[productID],products[],12,FALSE)</f>
        <v>Dairy Products</v>
      </c>
      <c r="K1872" s="7" t="str">
        <f>IF(VLOOKUP(dynamic[productID],products[],7,FALSE)=1,"Discontinued","Current")</f>
        <v>Current</v>
      </c>
      <c r="L1872" s="9">
        <f>VLOOKUP(dynamic[productID],products[],IF(YEAR(dynamic[orderDate])=2022,8,IF(YEAR(dynamic[orderDate])=2023,9,IF(YEAR(dynamic[orderDate])=2024,10,NA))),FALSE)</f>
        <v>1.670163437</v>
      </c>
      <c r="M1872" s="9">
        <v>2.5</v>
      </c>
      <c r="N1872" s="25">
        <f>(dynamic[orderPrice]-dynamic[productCost])/dynamic[productCost]</f>
        <v>0.4968594957</v>
      </c>
      <c r="O1872" s="10">
        <v>7.0</v>
      </c>
      <c r="P1872" s="25">
        <v>0.0</v>
      </c>
      <c r="Q1872" s="9">
        <f>dynamic[orderPrice]*dynamic[orderQuantity]</f>
        <v>17.5</v>
      </c>
      <c r="R1872" s="9">
        <f>dynamic[orderTotal]*(1-dynamic[discountApllied])</f>
        <v>17.5</v>
      </c>
      <c r="S1872" s="9">
        <f>dynamic[revenue]-(dynamic[productCost]*dynamic[orderQuantity])</f>
        <v>5.808855941</v>
      </c>
      <c r="T1872" s="25">
        <f>IFERROR(dynamic[profit]/dynamic[revenue], 0)</f>
        <v>0.3319346252</v>
      </c>
    </row>
    <row r="1873" ht="15.75" customHeight="1">
      <c r="A1873" s="6">
        <v>10973.0</v>
      </c>
      <c r="B1873" s="7" t="s">
        <v>103</v>
      </c>
      <c r="C1873" s="24" t="str">
        <f>VLOOKUP(dynamic[customerID],customers[],2,FALSE)</f>
        <v>La corne d'abondance</v>
      </c>
      <c r="D1873" s="24">
        <v>45375.0</v>
      </c>
      <c r="E1873" s="6">
        <f>IFERROR(__xludf.DUMMYFUNCTION("COUNTUNIQUEIFS($A$2:$A1873,$B$2:$B1873,B1873)"),4.0)</f>
        <v>4</v>
      </c>
      <c r="F1873" s="6">
        <f t="shared" si="1"/>
        <v>0</v>
      </c>
      <c r="G1873" s="6" t="str">
        <f>IF(MINIFS(dynamic[orderDate], dynamic[customerID], B1873) &gt;= DATE(2024,4,30)-120, 
     "New", 
     IF(MAXIFS(dynamic[orderCount], dynamic[customerID], B1873)&lt;=2, 
        IF((DATE(2024,4,30) - MAXIFS(dynamic[orderDate], dynamic[customerID], B1873)) &gt; 180, "Non-Returning", "Dormant"), 
        IF(AND(MAX(dynamic[sinceLastOrder]) &gt; 365, (DATE(2024,4,30) - MAXIFS(dynamic[orderDate], dynamic[customerID], B1873)) &gt; 180), 
           "Dormant", "Regular")))</f>
        <v>New</v>
      </c>
      <c r="H1873" s="6">
        <v>26.0</v>
      </c>
      <c r="I1873" s="9" t="str">
        <f>VLOOKUP(dynamic[productID],products[],2,FALSE)</f>
        <v>NuNuCa Nuß-Nougat-Creme</v>
      </c>
      <c r="J1873" s="9" t="str">
        <f>VLOOKUP(dynamic[productID],products[],12,FALSE)</f>
        <v>Confections</v>
      </c>
      <c r="K1873" s="7" t="str">
        <f>IF(VLOOKUP(dynamic[productID],products[],7,FALSE)=1,"Discontinued","Current")</f>
        <v>Current</v>
      </c>
      <c r="L1873" s="9">
        <f>VLOOKUP(dynamic[productID],products[],IF(YEAR(dynamic[orderDate])=2022,8,IF(YEAR(dynamic[orderDate])=2023,9,IF(YEAR(dynamic[orderDate])=2024,10,NA))),FALSE)</f>
        <v>22.79977195</v>
      </c>
      <c r="M1873" s="9">
        <v>31.23</v>
      </c>
      <c r="N1873" s="25">
        <f>(dynamic[orderPrice]-dynamic[productCost])/dynamic[productCost]</f>
        <v>0.3697505427</v>
      </c>
      <c r="O1873" s="10">
        <v>5.0</v>
      </c>
      <c r="P1873" s="25">
        <v>0.0</v>
      </c>
      <c r="Q1873" s="9">
        <f>dynamic[orderPrice]*dynamic[orderQuantity]</f>
        <v>156.15</v>
      </c>
      <c r="R1873" s="9">
        <f>dynamic[orderTotal]*(1-dynamic[discountApllied])</f>
        <v>156.15</v>
      </c>
      <c r="S1873" s="9">
        <f>dynamic[revenue]-(dynamic[productCost]*dynamic[orderQuantity])</f>
        <v>42.15114026</v>
      </c>
      <c r="T1873" s="25">
        <f>IFERROR(dynamic[profit]/dynamic[revenue], 0)</f>
        <v>0.2699400593</v>
      </c>
    </row>
    <row r="1874" ht="15.75" customHeight="1">
      <c r="A1874" s="6">
        <v>10973.0</v>
      </c>
      <c r="B1874" s="7" t="s">
        <v>103</v>
      </c>
      <c r="C1874" s="24" t="str">
        <f>VLOOKUP(dynamic[customerID],customers[],2,FALSE)</f>
        <v>La corne d'abondance</v>
      </c>
      <c r="D1874" s="24">
        <v>45375.0</v>
      </c>
      <c r="E1874" s="6">
        <f>IFERROR(__xludf.DUMMYFUNCTION("COUNTUNIQUEIFS($A$2:$A1874,$B$2:$B1874,B1874)"),4.0)</f>
        <v>4</v>
      </c>
      <c r="F1874" s="6">
        <f t="shared" si="1"/>
        <v>0</v>
      </c>
      <c r="G1874" s="6" t="str">
        <f>IF(MINIFS(dynamic[orderDate], dynamic[customerID], B1874) &gt;= DATE(2024,4,30)-120, 
     "New", 
     IF(MAXIFS(dynamic[orderCount], dynamic[customerID], B1874)&lt;=2, 
        IF((DATE(2024,4,30) - MAXIFS(dynamic[orderDate], dynamic[customerID], B1874)) &gt; 180, "Non-Returning", "Dormant"), 
        IF(AND(MAX(dynamic[sinceLastOrder]) &gt; 365, (DATE(2024,4,30) - MAXIFS(dynamic[orderDate], dynamic[customerID], B1874)) &gt; 180), 
           "Dormant", "Regular")))</f>
        <v>New</v>
      </c>
      <c r="H1874" s="6">
        <v>41.0</v>
      </c>
      <c r="I1874" s="9" t="str">
        <f>VLOOKUP(dynamic[productID],products[],2,FALSE)</f>
        <v>Jack's New England Clam Chowder</v>
      </c>
      <c r="J1874" s="9" t="str">
        <f>VLOOKUP(dynamic[productID],products[],12,FALSE)</f>
        <v>Seafood</v>
      </c>
      <c r="K1874" s="7" t="str">
        <f>IF(VLOOKUP(dynamic[productID],products[],7,FALSE)=1,"Discontinued","Current")</f>
        <v>Current</v>
      </c>
      <c r="L1874" s="9">
        <f>VLOOKUP(dynamic[productID],products[],IF(YEAR(dynamic[orderDate])=2022,8,IF(YEAR(dynamic[orderDate])=2023,9,IF(YEAR(dynamic[orderDate])=2024,10,NA))),FALSE)</f>
        <v>6.611787882</v>
      </c>
      <c r="M1874" s="9">
        <v>9.65</v>
      </c>
      <c r="N1874" s="25">
        <f>(dynamic[orderPrice]-dynamic[productCost])/dynamic[productCost]</f>
        <v>0.459514457</v>
      </c>
      <c r="O1874" s="10">
        <v>6.0</v>
      </c>
      <c r="P1874" s="25">
        <v>0.0</v>
      </c>
      <c r="Q1874" s="9">
        <f>dynamic[orderPrice]*dynamic[orderQuantity]</f>
        <v>57.9</v>
      </c>
      <c r="R1874" s="9">
        <f>dynamic[orderTotal]*(1-dynamic[discountApllied])</f>
        <v>57.9</v>
      </c>
      <c r="S1874" s="9">
        <f>dynamic[revenue]-(dynamic[productCost]*dynamic[orderQuantity])</f>
        <v>18.22927271</v>
      </c>
      <c r="T1874" s="25">
        <f>IFERROR(dynamic[profit]/dynamic[revenue], 0)</f>
        <v>0.314840634</v>
      </c>
    </row>
    <row r="1875" ht="15.75" customHeight="1">
      <c r="A1875" s="6">
        <v>10973.0</v>
      </c>
      <c r="B1875" s="7" t="s">
        <v>103</v>
      </c>
      <c r="C1875" s="24" t="str">
        <f>VLOOKUP(dynamic[customerID],customers[],2,FALSE)</f>
        <v>La corne d'abondance</v>
      </c>
      <c r="D1875" s="24">
        <v>45375.0</v>
      </c>
      <c r="E1875" s="6">
        <f>IFERROR(__xludf.DUMMYFUNCTION("COUNTUNIQUEIFS($A$2:$A1875,$B$2:$B1875,B1875)"),4.0)</f>
        <v>4</v>
      </c>
      <c r="F1875" s="6">
        <f t="shared" si="1"/>
        <v>0</v>
      </c>
      <c r="G1875" s="6" t="str">
        <f>IF(MINIFS(dynamic[orderDate], dynamic[customerID], B1875) &gt;= DATE(2024,4,30)-120, 
     "New", 
     IF(MAXIFS(dynamic[orderCount], dynamic[customerID], B1875)&lt;=2, 
        IF((DATE(2024,4,30) - MAXIFS(dynamic[orderDate], dynamic[customerID], B1875)) &gt; 180, "Non-Returning", "Dormant"), 
        IF(AND(MAX(dynamic[sinceLastOrder]) &gt; 365, (DATE(2024,4,30) - MAXIFS(dynamic[orderDate], dynamic[customerID], B1875)) &gt; 180), 
           "Dormant", "Regular")))</f>
        <v>New</v>
      </c>
      <c r="H1875" s="6">
        <v>75.0</v>
      </c>
      <c r="I1875" s="9" t="str">
        <f>VLOOKUP(dynamic[productID],products[],2,FALSE)</f>
        <v>Rhönbräu Klosterbier</v>
      </c>
      <c r="J1875" s="9" t="str">
        <f>VLOOKUP(dynamic[productID],products[],12,FALSE)</f>
        <v>Beverages</v>
      </c>
      <c r="K1875" s="7" t="str">
        <f>IF(VLOOKUP(dynamic[productID],products[],7,FALSE)=1,"Discontinued","Current")</f>
        <v>Current</v>
      </c>
      <c r="L1875" s="9">
        <f>VLOOKUP(dynamic[productID],products[],IF(YEAR(dynamic[orderDate])=2022,8,IF(YEAR(dynamic[orderDate])=2023,9,IF(YEAR(dynamic[orderDate])=2024,10,NA))),FALSE)</f>
        <v>5.374051525</v>
      </c>
      <c r="M1875" s="9">
        <v>7.75</v>
      </c>
      <c r="N1875" s="25">
        <f>(dynamic[orderPrice]-dynamic[productCost])/dynamic[productCost]</f>
        <v>0.4421149413</v>
      </c>
      <c r="O1875" s="10">
        <v>10.0</v>
      </c>
      <c r="P1875" s="25">
        <v>0.0</v>
      </c>
      <c r="Q1875" s="9">
        <f>dynamic[orderPrice]*dynamic[orderQuantity]</f>
        <v>77.5</v>
      </c>
      <c r="R1875" s="9">
        <f>dynamic[orderTotal]*(1-dynamic[discountApllied])</f>
        <v>77.5</v>
      </c>
      <c r="S1875" s="9">
        <f>dynamic[revenue]-(dynamic[productCost]*dynamic[orderQuantity])</f>
        <v>23.75948475</v>
      </c>
      <c r="T1875" s="25">
        <f>IFERROR(dynamic[profit]/dynamic[revenue], 0)</f>
        <v>0.3065739967</v>
      </c>
    </row>
    <row r="1876" ht="15.75" customHeight="1">
      <c r="A1876" s="6">
        <v>10974.0</v>
      </c>
      <c r="B1876" s="7" t="s">
        <v>35</v>
      </c>
      <c r="C1876" s="24" t="str">
        <f>VLOOKUP(dynamic[customerID],customers[],2,FALSE)</f>
        <v>Split Rail Beer &amp; Ale</v>
      </c>
      <c r="D1876" s="24">
        <v>45376.0</v>
      </c>
      <c r="E1876" s="6">
        <f>IFERROR(__xludf.DUMMYFUNCTION("COUNTUNIQUEIFS($A$2:$A1876,$B$2:$B1876,B1876)"),9.0)</f>
        <v>9</v>
      </c>
      <c r="F1876" s="6">
        <f t="shared" si="1"/>
        <v>77</v>
      </c>
      <c r="G1876" s="6" t="str">
        <f>IF(MINIFS(dynamic[orderDate], dynamic[customerID], B1876) &gt;= DATE(2024,4,30)-120, 
     "New", 
     IF(MAXIFS(dynamic[orderCount], dynamic[customerID], B1876)&lt;=2, 
        IF((DATE(2024,4,30) - MAXIFS(dynamic[orderDate], dynamic[customerID], B1876)) &gt; 180, "Non-Returning", "Dormant"), 
        IF(AND(MAX(dynamic[sinceLastOrder]) &gt; 365, (DATE(2024,4,30) - MAXIFS(dynamic[orderDate], dynamic[customerID], B1876)) &gt; 180), 
           "Dormant", "Regular")))</f>
        <v>Regular</v>
      </c>
      <c r="H1876" s="6">
        <v>63.0</v>
      </c>
      <c r="I1876" s="9" t="str">
        <f>VLOOKUP(dynamic[productID],products[],2,FALSE)</f>
        <v>Vegie-spread</v>
      </c>
      <c r="J1876" s="9" t="str">
        <f>VLOOKUP(dynamic[productID],products[],12,FALSE)</f>
        <v>Condiments</v>
      </c>
      <c r="K1876" s="7" t="str">
        <f>IF(VLOOKUP(dynamic[productID],products[],7,FALSE)=1,"Discontinued","Current")</f>
        <v>Current</v>
      </c>
      <c r="L1876" s="9">
        <f>VLOOKUP(dynamic[productID],products[],IF(YEAR(dynamic[orderDate])=2022,8,IF(YEAR(dynamic[orderDate])=2023,9,IF(YEAR(dynamic[orderDate])=2024,10,NA))),FALSE)</f>
        <v>32.59198577</v>
      </c>
      <c r="M1876" s="9">
        <v>43.9</v>
      </c>
      <c r="N1876" s="25">
        <f>(dynamic[orderPrice]-dynamic[productCost])/dynamic[productCost]</f>
        <v>0.3469568963</v>
      </c>
      <c r="O1876" s="10">
        <v>10.0</v>
      </c>
      <c r="P1876" s="25">
        <v>0.0</v>
      </c>
      <c r="Q1876" s="9">
        <f>dynamic[orderPrice]*dynamic[orderQuantity]</f>
        <v>439</v>
      </c>
      <c r="R1876" s="9">
        <f>dynamic[orderTotal]*(1-dynamic[discountApllied])</f>
        <v>439</v>
      </c>
      <c r="S1876" s="9">
        <f>dynamic[revenue]-(dynamic[productCost]*dynamic[orderQuantity])</f>
        <v>113.0801423</v>
      </c>
      <c r="T1876" s="25">
        <f>IFERROR(dynamic[profit]/dynamic[revenue], 0)</f>
        <v>0.2575857455</v>
      </c>
    </row>
    <row r="1877" ht="15.75" customHeight="1">
      <c r="A1877" s="6">
        <v>10975.0</v>
      </c>
      <c r="B1877" s="7" t="s">
        <v>81</v>
      </c>
      <c r="C1877" s="24" t="str">
        <f>VLOOKUP(dynamic[customerID],customers[],2,FALSE)</f>
        <v>Bottom-Dollar Markets</v>
      </c>
      <c r="D1877" s="24">
        <v>45376.0</v>
      </c>
      <c r="E1877" s="6">
        <f>IFERROR(__xludf.DUMMYFUNCTION("COUNTUNIQUEIFS($A$2:$A1877,$B$2:$B1877,B1877)"),10.0)</f>
        <v>10</v>
      </c>
      <c r="F1877" s="6">
        <f t="shared" si="1"/>
        <v>12</v>
      </c>
      <c r="G1877" s="6" t="str">
        <f>IF(MINIFS(dynamic[orderDate], dynamic[customerID], B1877) &gt;= DATE(2024,4,30)-120, 
     "New", 
     IF(MAXIFS(dynamic[orderCount], dynamic[customerID], B1877)&lt;=2, 
        IF((DATE(2024,4,30) - MAXIFS(dynamic[orderDate], dynamic[customerID], B1877)) &gt; 180, "Non-Returning", "Dormant"), 
        IF(AND(MAX(dynamic[sinceLastOrder]) &gt; 365, (DATE(2024,4,30) - MAXIFS(dynamic[orderDate], dynamic[customerID], B1877)) &gt; 180), 
           "Dormant", "Regular")))</f>
        <v>Regular</v>
      </c>
      <c r="H1877" s="6">
        <v>8.0</v>
      </c>
      <c r="I1877" s="9" t="str">
        <f>VLOOKUP(dynamic[productID],products[],2,FALSE)</f>
        <v>Northwoods Cranberry Sauce</v>
      </c>
      <c r="J1877" s="9" t="str">
        <f>VLOOKUP(dynamic[productID],products[],12,FALSE)</f>
        <v>Condiments</v>
      </c>
      <c r="K1877" s="7" t="str">
        <f>IF(VLOOKUP(dynamic[productID],products[],7,FALSE)=1,"Discontinued","Current")</f>
        <v>Current</v>
      </c>
      <c r="L1877" s="9">
        <f>VLOOKUP(dynamic[productID],products[],IF(YEAR(dynamic[orderDate])=2022,8,IF(YEAR(dynamic[orderDate])=2023,9,IF(YEAR(dynamic[orderDate])=2024,10,NA))),FALSE)</f>
        <v>27.41770867</v>
      </c>
      <c r="M1877" s="9">
        <v>40.0</v>
      </c>
      <c r="N1877" s="25">
        <f>(dynamic[orderPrice]-dynamic[productCost])/dynamic[productCost]</f>
        <v>0.4589111179</v>
      </c>
      <c r="O1877" s="10">
        <v>16.0</v>
      </c>
      <c r="P1877" s="25">
        <v>0.0</v>
      </c>
      <c r="Q1877" s="9">
        <f>dynamic[orderPrice]*dynamic[orderQuantity]</f>
        <v>640</v>
      </c>
      <c r="R1877" s="9">
        <f>dynamic[orderTotal]*(1-dynamic[discountApllied])</f>
        <v>640</v>
      </c>
      <c r="S1877" s="9">
        <f>dynamic[revenue]-(dynamic[productCost]*dynamic[orderQuantity])</f>
        <v>201.3166613</v>
      </c>
      <c r="T1877" s="25">
        <f>IFERROR(dynamic[profit]/dynamic[revenue], 0)</f>
        <v>0.3145572833</v>
      </c>
    </row>
    <row r="1878" ht="15.75" customHeight="1">
      <c r="A1878" s="6">
        <v>10975.0</v>
      </c>
      <c r="B1878" s="7" t="s">
        <v>81</v>
      </c>
      <c r="C1878" s="24" t="str">
        <f>VLOOKUP(dynamic[customerID],customers[],2,FALSE)</f>
        <v>Bottom-Dollar Markets</v>
      </c>
      <c r="D1878" s="24">
        <v>45376.0</v>
      </c>
      <c r="E1878" s="6">
        <f>IFERROR(__xludf.DUMMYFUNCTION("COUNTUNIQUEIFS($A$2:$A1878,$B$2:$B1878,B1878)"),10.0)</f>
        <v>10</v>
      </c>
      <c r="F1878" s="6">
        <f t="shared" si="1"/>
        <v>12</v>
      </c>
      <c r="G1878" s="6" t="str">
        <f>IF(MINIFS(dynamic[orderDate], dynamic[customerID], B1878) &gt;= DATE(2024,4,30)-120, 
     "New", 
     IF(MAXIFS(dynamic[orderCount], dynamic[customerID], B1878)&lt;=2, 
        IF((DATE(2024,4,30) - MAXIFS(dynamic[orderDate], dynamic[customerID], B1878)) &gt; 180, "Non-Returning", "Dormant"), 
        IF(AND(MAX(dynamic[sinceLastOrder]) &gt; 365, (DATE(2024,4,30) - MAXIFS(dynamic[orderDate], dynamic[customerID], B1878)) &gt; 180), 
           "Dormant", "Regular")))</f>
        <v>Regular</v>
      </c>
      <c r="H1878" s="6">
        <v>75.0</v>
      </c>
      <c r="I1878" s="9" t="str">
        <f>VLOOKUP(dynamic[productID],products[],2,FALSE)</f>
        <v>Rhönbräu Klosterbier</v>
      </c>
      <c r="J1878" s="9" t="str">
        <f>VLOOKUP(dynamic[productID],products[],12,FALSE)</f>
        <v>Beverages</v>
      </c>
      <c r="K1878" s="7" t="str">
        <f>IF(VLOOKUP(dynamic[productID],products[],7,FALSE)=1,"Discontinued","Current")</f>
        <v>Current</v>
      </c>
      <c r="L1878" s="9">
        <f>VLOOKUP(dynamic[productID],products[],IF(YEAR(dynamic[orderDate])=2022,8,IF(YEAR(dynamic[orderDate])=2023,9,IF(YEAR(dynamic[orderDate])=2024,10,NA))),FALSE)</f>
        <v>5.374051525</v>
      </c>
      <c r="M1878" s="9">
        <v>7.75</v>
      </c>
      <c r="N1878" s="25">
        <f>(dynamic[orderPrice]-dynamic[productCost])/dynamic[productCost]</f>
        <v>0.4421149413</v>
      </c>
      <c r="O1878" s="10">
        <v>10.0</v>
      </c>
      <c r="P1878" s="25">
        <v>0.0</v>
      </c>
      <c r="Q1878" s="9">
        <f>dynamic[orderPrice]*dynamic[orderQuantity]</f>
        <v>77.5</v>
      </c>
      <c r="R1878" s="9">
        <f>dynamic[orderTotal]*(1-dynamic[discountApllied])</f>
        <v>77.5</v>
      </c>
      <c r="S1878" s="9">
        <f>dynamic[revenue]-(dynamic[productCost]*dynamic[orderQuantity])</f>
        <v>23.75948475</v>
      </c>
      <c r="T1878" s="25">
        <f>IFERROR(dynamic[profit]/dynamic[revenue], 0)</f>
        <v>0.3065739967</v>
      </c>
    </row>
    <row r="1879" ht="15.75" customHeight="1">
      <c r="A1879" s="6">
        <v>10976.0</v>
      </c>
      <c r="B1879" s="7" t="s">
        <v>23</v>
      </c>
      <c r="C1879" s="24" t="str">
        <f>VLOOKUP(dynamic[customerID],customers[],2,FALSE)</f>
        <v>HILARION-Abastos</v>
      </c>
      <c r="D1879" s="24">
        <v>45376.0</v>
      </c>
      <c r="E1879" s="6">
        <f>IFERROR(__xludf.DUMMYFUNCTION("COUNTUNIQUEIFS($A$2:$A1879,$B$2:$B1879,B1879)"),17.0)</f>
        <v>17</v>
      </c>
      <c r="F1879" s="6">
        <f t="shared" si="1"/>
        <v>6</v>
      </c>
      <c r="G1879" s="6" t="str">
        <f>IF(MINIFS(dynamic[orderDate], dynamic[customerID], B1879) &gt;= DATE(2024,4,30)-120, 
     "New", 
     IF(MAXIFS(dynamic[orderCount], dynamic[customerID], B1879)&lt;=2, 
        IF((DATE(2024,4,30) - MAXIFS(dynamic[orderDate], dynamic[customerID], B1879)) &gt; 180, "Non-Returning", "Dormant"), 
        IF(AND(MAX(dynamic[sinceLastOrder]) &gt; 365, (DATE(2024,4,30) - MAXIFS(dynamic[orderDate], dynamic[customerID], B1879)) &gt; 180), 
           "Dormant", "Regular")))</f>
        <v>Regular</v>
      </c>
      <c r="H1879" s="6">
        <v>28.0</v>
      </c>
      <c r="I1879" s="9" t="str">
        <f>VLOOKUP(dynamic[productID],products[],2,FALSE)</f>
        <v>Rössle Sauerkraut</v>
      </c>
      <c r="J1879" s="9" t="str">
        <f>VLOOKUP(dynamic[productID],products[],12,FALSE)</f>
        <v>Produce</v>
      </c>
      <c r="K1879" s="7" t="str">
        <f>IF(VLOOKUP(dynamic[productID],products[],7,FALSE)=1,"Discontinued","Current")</f>
        <v>Discontinued</v>
      </c>
      <c r="L1879" s="9">
        <f>VLOOKUP(dynamic[productID],products[],IF(YEAR(dynamic[orderDate])=2022,8,IF(YEAR(dynamic[orderDate])=2023,9,IF(YEAR(dynamic[orderDate])=2024,10,NA))),FALSE)</f>
        <v>34.18502761</v>
      </c>
      <c r="M1879" s="9">
        <v>45.6</v>
      </c>
      <c r="N1879" s="25">
        <f>(dynamic[orderPrice]-dynamic[productCost])/dynamic[productCost]</f>
        <v>0.3339173079</v>
      </c>
      <c r="O1879" s="10">
        <v>20.0</v>
      </c>
      <c r="P1879" s="25">
        <v>0.0</v>
      </c>
      <c r="Q1879" s="9">
        <f>dynamic[orderPrice]*dynamic[orderQuantity]</f>
        <v>912</v>
      </c>
      <c r="R1879" s="9">
        <f>dynamic[orderTotal]*(1-dynamic[discountApllied])</f>
        <v>912</v>
      </c>
      <c r="S1879" s="9">
        <f>dynamic[revenue]-(dynamic[productCost]*dynamic[orderQuantity])</f>
        <v>228.2994478</v>
      </c>
      <c r="T1879" s="25">
        <f>IFERROR(dynamic[profit]/dynamic[revenue], 0)</f>
        <v>0.2503283419</v>
      </c>
    </row>
    <row r="1880" ht="15.75" customHeight="1">
      <c r="A1880" s="6">
        <v>10977.0</v>
      </c>
      <c r="B1880" s="7" t="s">
        <v>29</v>
      </c>
      <c r="C1880" s="24" t="str">
        <f>VLOOKUP(dynamic[customerID],customers[],2,FALSE)</f>
        <v>Folk och fä HB</v>
      </c>
      <c r="D1880" s="24">
        <v>45377.0</v>
      </c>
      <c r="E1880" s="6">
        <f>IFERROR(__xludf.DUMMYFUNCTION("COUNTUNIQUEIFS($A$2:$A1880,$B$2:$B1880,B1880)"),15.0)</f>
        <v>15</v>
      </c>
      <c r="F1880" s="6">
        <f t="shared" si="1"/>
        <v>9</v>
      </c>
      <c r="G1880" s="6" t="str">
        <f>IF(MINIFS(dynamic[orderDate], dynamic[customerID], B1880) &gt;= DATE(2024,4,30)-120, 
     "New", 
     IF(MAXIFS(dynamic[orderCount], dynamic[customerID], B1880)&lt;=2, 
        IF((DATE(2024,4,30) - MAXIFS(dynamic[orderDate], dynamic[customerID], B1880)) &gt; 180, "Non-Returning", "Dormant"), 
        IF(AND(MAX(dynamic[sinceLastOrder]) &gt; 365, (DATE(2024,4,30) - MAXIFS(dynamic[orderDate], dynamic[customerID], B1880)) &gt; 180), 
           "Dormant", "Regular")))</f>
        <v>Regular</v>
      </c>
      <c r="H1880" s="6">
        <v>39.0</v>
      </c>
      <c r="I1880" s="9" t="str">
        <f>VLOOKUP(dynamic[productID],products[],2,FALSE)</f>
        <v>Chartreuse verte</v>
      </c>
      <c r="J1880" s="9" t="str">
        <f>VLOOKUP(dynamic[productID],products[],12,FALSE)</f>
        <v>Beverages</v>
      </c>
      <c r="K1880" s="7" t="str">
        <f>IF(VLOOKUP(dynamic[productID],products[],7,FALSE)=1,"Discontinued","Current")</f>
        <v>Current</v>
      </c>
      <c r="L1880" s="9">
        <f>VLOOKUP(dynamic[productID],products[],IF(YEAR(dynamic[orderDate])=2022,8,IF(YEAR(dynamic[orderDate])=2023,9,IF(YEAR(dynamic[orderDate])=2024,10,NA))),FALSE)</f>
        <v>12.3017224</v>
      </c>
      <c r="M1880" s="9">
        <v>18.0</v>
      </c>
      <c r="N1880" s="25">
        <f>(dynamic[orderPrice]-dynamic[productCost])/dynamic[productCost]</f>
        <v>0.4632097374</v>
      </c>
      <c r="O1880" s="10">
        <v>30.0</v>
      </c>
      <c r="P1880" s="25">
        <v>0.0</v>
      </c>
      <c r="Q1880" s="9">
        <f>dynamic[orderPrice]*dynamic[orderQuantity]</f>
        <v>540</v>
      </c>
      <c r="R1880" s="9">
        <f>dynamic[orderTotal]*(1-dynamic[discountApllied])</f>
        <v>540</v>
      </c>
      <c r="S1880" s="9">
        <f>dynamic[revenue]-(dynamic[productCost]*dynamic[orderQuantity])</f>
        <v>170.9483281</v>
      </c>
      <c r="T1880" s="25">
        <f>IFERROR(dynamic[profit]/dynamic[revenue], 0)</f>
        <v>0.3165709779</v>
      </c>
    </row>
    <row r="1881" ht="15.75" customHeight="1">
      <c r="A1881" s="6">
        <v>10977.0</v>
      </c>
      <c r="B1881" s="7" t="s">
        <v>29</v>
      </c>
      <c r="C1881" s="24" t="str">
        <f>VLOOKUP(dynamic[customerID],customers[],2,FALSE)</f>
        <v>Folk och fä HB</v>
      </c>
      <c r="D1881" s="24">
        <v>45377.0</v>
      </c>
      <c r="E1881" s="6">
        <f>IFERROR(__xludf.DUMMYFUNCTION("COUNTUNIQUEIFS($A$2:$A1881,$B$2:$B1881,B1881)"),15.0)</f>
        <v>15</v>
      </c>
      <c r="F1881" s="6">
        <f t="shared" si="1"/>
        <v>9</v>
      </c>
      <c r="G1881" s="6" t="str">
        <f>IF(MINIFS(dynamic[orderDate], dynamic[customerID], B1881) &gt;= DATE(2024,4,30)-120, 
     "New", 
     IF(MAXIFS(dynamic[orderCount], dynamic[customerID], B1881)&lt;=2, 
        IF((DATE(2024,4,30) - MAXIFS(dynamic[orderDate], dynamic[customerID], B1881)) &gt; 180, "Non-Returning", "Dormant"), 
        IF(AND(MAX(dynamic[sinceLastOrder]) &gt; 365, (DATE(2024,4,30) - MAXIFS(dynamic[orderDate], dynamic[customerID], B1881)) &gt; 180), 
           "Dormant", "Regular")))</f>
        <v>Regular</v>
      </c>
      <c r="H1881" s="6">
        <v>47.0</v>
      </c>
      <c r="I1881" s="9" t="str">
        <f>VLOOKUP(dynamic[productID],products[],2,FALSE)</f>
        <v>Zaanse koeken</v>
      </c>
      <c r="J1881" s="9" t="str">
        <f>VLOOKUP(dynamic[productID],products[],12,FALSE)</f>
        <v>Confections</v>
      </c>
      <c r="K1881" s="7" t="str">
        <f>IF(VLOOKUP(dynamic[productID],products[],7,FALSE)=1,"Discontinued","Current")</f>
        <v>Current</v>
      </c>
      <c r="L1881" s="9">
        <f>VLOOKUP(dynamic[productID],products[],IF(YEAR(dynamic[orderDate])=2022,8,IF(YEAR(dynamic[orderDate])=2023,9,IF(YEAR(dynamic[orderDate])=2024,10,NA))),FALSE)</f>
        <v>6.635130774</v>
      </c>
      <c r="M1881" s="9">
        <v>9.5</v>
      </c>
      <c r="N1881" s="25">
        <f>(dynamic[orderPrice]-dynamic[productCost])/dynamic[productCost]</f>
        <v>0.4317728351</v>
      </c>
      <c r="O1881" s="10">
        <v>30.0</v>
      </c>
      <c r="P1881" s="25">
        <v>0.0</v>
      </c>
      <c r="Q1881" s="9">
        <f>dynamic[orderPrice]*dynamic[orderQuantity]</f>
        <v>285</v>
      </c>
      <c r="R1881" s="9">
        <f>dynamic[orderTotal]*(1-dynamic[discountApllied])</f>
        <v>285</v>
      </c>
      <c r="S1881" s="9">
        <f>dynamic[revenue]-(dynamic[productCost]*dynamic[orderQuantity])</f>
        <v>85.94607677</v>
      </c>
      <c r="T1881" s="25">
        <f>IFERROR(dynamic[profit]/dynamic[revenue], 0)</f>
        <v>0.3015651817</v>
      </c>
    </row>
    <row r="1882" ht="15.75" customHeight="1">
      <c r="A1882" s="6">
        <v>10977.0</v>
      </c>
      <c r="B1882" s="7" t="s">
        <v>29</v>
      </c>
      <c r="C1882" s="24" t="str">
        <f>VLOOKUP(dynamic[customerID],customers[],2,FALSE)</f>
        <v>Folk och fä HB</v>
      </c>
      <c r="D1882" s="24">
        <v>45377.0</v>
      </c>
      <c r="E1882" s="6">
        <f>IFERROR(__xludf.DUMMYFUNCTION("COUNTUNIQUEIFS($A$2:$A1882,$B$2:$B1882,B1882)"),15.0)</f>
        <v>15</v>
      </c>
      <c r="F1882" s="6">
        <f t="shared" si="1"/>
        <v>9</v>
      </c>
      <c r="G1882" s="6" t="str">
        <f>IF(MINIFS(dynamic[orderDate], dynamic[customerID], B1882) &gt;= DATE(2024,4,30)-120, 
     "New", 
     IF(MAXIFS(dynamic[orderCount], dynamic[customerID], B1882)&lt;=2, 
        IF((DATE(2024,4,30) - MAXIFS(dynamic[orderDate], dynamic[customerID], B1882)) &gt; 180, "Non-Returning", "Dormant"), 
        IF(AND(MAX(dynamic[sinceLastOrder]) &gt; 365, (DATE(2024,4,30) - MAXIFS(dynamic[orderDate], dynamic[customerID], B1882)) &gt; 180), 
           "Dormant", "Regular")))</f>
        <v>Regular</v>
      </c>
      <c r="H1882" s="6">
        <v>51.0</v>
      </c>
      <c r="I1882" s="9" t="str">
        <f>VLOOKUP(dynamic[productID],products[],2,FALSE)</f>
        <v>Manjimup Dried Apples</v>
      </c>
      <c r="J1882" s="9" t="str">
        <f>VLOOKUP(dynamic[productID],products[],12,FALSE)</f>
        <v>Produce</v>
      </c>
      <c r="K1882" s="7" t="str">
        <f>IF(VLOOKUP(dynamic[productID],products[],7,FALSE)=1,"Discontinued","Current")</f>
        <v>Current</v>
      </c>
      <c r="L1882" s="9">
        <f>VLOOKUP(dynamic[productID],products[],IF(YEAR(dynamic[orderDate])=2022,8,IF(YEAR(dynamic[orderDate])=2023,9,IF(YEAR(dynamic[orderDate])=2024,10,NA))),FALSE)</f>
        <v>39.51416462</v>
      </c>
      <c r="M1882" s="9">
        <v>53.0</v>
      </c>
      <c r="N1882" s="25">
        <f>(dynamic[orderPrice]-dynamic[productCost])/dynamic[productCost]</f>
        <v>0.3412911677</v>
      </c>
      <c r="O1882" s="10">
        <v>10.0</v>
      </c>
      <c r="P1882" s="25">
        <v>0.0</v>
      </c>
      <c r="Q1882" s="9">
        <f>dynamic[orderPrice]*dynamic[orderQuantity]</f>
        <v>530</v>
      </c>
      <c r="R1882" s="9">
        <f>dynamic[orderTotal]*(1-dynamic[discountApllied])</f>
        <v>530</v>
      </c>
      <c r="S1882" s="9">
        <f>dynamic[revenue]-(dynamic[productCost]*dynamic[orderQuantity])</f>
        <v>134.8583538</v>
      </c>
      <c r="T1882" s="25">
        <f>IFERROR(dynamic[profit]/dynamic[revenue], 0)</f>
        <v>0.2544497242</v>
      </c>
    </row>
    <row r="1883" ht="15.75" customHeight="1">
      <c r="A1883" s="6">
        <v>10977.0</v>
      </c>
      <c r="B1883" s="7" t="s">
        <v>29</v>
      </c>
      <c r="C1883" s="24" t="str">
        <f>VLOOKUP(dynamic[customerID],customers[],2,FALSE)</f>
        <v>Folk och fä HB</v>
      </c>
      <c r="D1883" s="24">
        <v>45377.0</v>
      </c>
      <c r="E1883" s="6">
        <f>IFERROR(__xludf.DUMMYFUNCTION("COUNTUNIQUEIFS($A$2:$A1883,$B$2:$B1883,B1883)"),15.0)</f>
        <v>15</v>
      </c>
      <c r="F1883" s="6">
        <f t="shared" si="1"/>
        <v>9</v>
      </c>
      <c r="G1883" s="6" t="str">
        <f>IF(MINIFS(dynamic[orderDate], dynamic[customerID], B1883) &gt;= DATE(2024,4,30)-120, 
     "New", 
     IF(MAXIFS(dynamic[orderCount], dynamic[customerID], B1883)&lt;=2, 
        IF((DATE(2024,4,30) - MAXIFS(dynamic[orderDate], dynamic[customerID], B1883)) &gt; 180, "Non-Returning", "Dormant"), 
        IF(AND(MAX(dynamic[sinceLastOrder]) &gt; 365, (DATE(2024,4,30) - MAXIFS(dynamic[orderDate], dynamic[customerID], B1883)) &gt; 180), 
           "Dormant", "Regular")))</f>
        <v>Regular</v>
      </c>
      <c r="H1883" s="6">
        <v>63.0</v>
      </c>
      <c r="I1883" s="9" t="str">
        <f>VLOOKUP(dynamic[productID],products[],2,FALSE)</f>
        <v>Vegie-spread</v>
      </c>
      <c r="J1883" s="9" t="str">
        <f>VLOOKUP(dynamic[productID],products[],12,FALSE)</f>
        <v>Condiments</v>
      </c>
      <c r="K1883" s="7" t="str">
        <f>IF(VLOOKUP(dynamic[productID],products[],7,FALSE)=1,"Discontinued","Current")</f>
        <v>Current</v>
      </c>
      <c r="L1883" s="9">
        <f>VLOOKUP(dynamic[productID],products[],IF(YEAR(dynamic[orderDate])=2022,8,IF(YEAR(dynamic[orderDate])=2023,9,IF(YEAR(dynamic[orderDate])=2024,10,NA))),FALSE)</f>
        <v>32.59198577</v>
      </c>
      <c r="M1883" s="9">
        <v>43.9</v>
      </c>
      <c r="N1883" s="25">
        <f>(dynamic[orderPrice]-dynamic[productCost])/dynamic[productCost]</f>
        <v>0.3469568963</v>
      </c>
      <c r="O1883" s="10">
        <v>20.0</v>
      </c>
      <c r="P1883" s="25">
        <v>0.0</v>
      </c>
      <c r="Q1883" s="9">
        <f>dynamic[orderPrice]*dynamic[orderQuantity]</f>
        <v>878</v>
      </c>
      <c r="R1883" s="9">
        <f>dynamic[orderTotal]*(1-dynamic[discountApllied])</f>
        <v>878</v>
      </c>
      <c r="S1883" s="9">
        <f>dynamic[revenue]-(dynamic[productCost]*dynamic[orderQuantity])</f>
        <v>226.1602846</v>
      </c>
      <c r="T1883" s="25">
        <f>IFERROR(dynamic[profit]/dynamic[revenue], 0)</f>
        <v>0.2575857455</v>
      </c>
    </row>
    <row r="1884" ht="15.75" customHeight="1">
      <c r="A1884" s="6">
        <v>10978.0</v>
      </c>
      <c r="B1884" s="7" t="s">
        <v>95</v>
      </c>
      <c r="C1884" s="24" t="str">
        <f>VLOOKUP(dynamic[customerID],customers[],2,FALSE)</f>
        <v>Maison Dewey</v>
      </c>
      <c r="D1884" s="24">
        <v>45377.0</v>
      </c>
      <c r="E1884" s="6">
        <f>IFERROR(__xludf.DUMMYFUNCTION("COUNTUNIQUEIFS($A$2:$A1884,$B$2:$B1884,B1884)"),6.0)</f>
        <v>6</v>
      </c>
      <c r="F1884" s="6">
        <f t="shared" si="1"/>
        <v>36</v>
      </c>
      <c r="G1884" s="6" t="str">
        <f>IF(MINIFS(dynamic[orderDate], dynamic[customerID], B1884) &gt;= DATE(2024,4,30)-120, 
     "New", 
     IF(MAXIFS(dynamic[orderCount], dynamic[customerID], B1884)&lt;=2, 
        IF((DATE(2024,4,30) - MAXIFS(dynamic[orderDate], dynamic[customerID], B1884)) &gt; 180, "Non-Returning", "Dormant"), 
        IF(AND(MAX(dynamic[sinceLastOrder]) &gt; 365, (DATE(2024,4,30) - MAXIFS(dynamic[orderDate], dynamic[customerID], B1884)) &gt; 180), 
           "Dormant", "Regular")))</f>
        <v>Regular</v>
      </c>
      <c r="H1884" s="6">
        <v>8.0</v>
      </c>
      <c r="I1884" s="9" t="str">
        <f>VLOOKUP(dynamic[productID],products[],2,FALSE)</f>
        <v>Northwoods Cranberry Sauce</v>
      </c>
      <c r="J1884" s="9" t="str">
        <f>VLOOKUP(dynamic[productID],products[],12,FALSE)</f>
        <v>Condiments</v>
      </c>
      <c r="K1884" s="7" t="str">
        <f>IF(VLOOKUP(dynamic[productID],products[],7,FALSE)=1,"Discontinued","Current")</f>
        <v>Current</v>
      </c>
      <c r="L1884" s="9">
        <f>VLOOKUP(dynamic[productID],products[],IF(YEAR(dynamic[orderDate])=2022,8,IF(YEAR(dynamic[orderDate])=2023,9,IF(YEAR(dynamic[orderDate])=2024,10,NA))),FALSE)</f>
        <v>27.41770867</v>
      </c>
      <c r="M1884" s="9">
        <v>40.0</v>
      </c>
      <c r="N1884" s="25">
        <f>(dynamic[orderPrice]-dynamic[productCost])/dynamic[productCost]</f>
        <v>0.4589111179</v>
      </c>
      <c r="O1884" s="10">
        <v>20.0</v>
      </c>
      <c r="P1884" s="25">
        <v>0.15</v>
      </c>
      <c r="Q1884" s="9">
        <f>dynamic[orderPrice]*dynamic[orderQuantity]</f>
        <v>800</v>
      </c>
      <c r="R1884" s="9">
        <f>dynamic[orderTotal]*(1-dynamic[discountApllied])</f>
        <v>680</v>
      </c>
      <c r="S1884" s="9">
        <f>dynamic[revenue]-(dynamic[productCost]*dynamic[orderQuantity])</f>
        <v>131.6458267</v>
      </c>
      <c r="T1884" s="25">
        <f>IFERROR(dynamic[profit]/dynamic[revenue], 0)</f>
        <v>0.1935968039</v>
      </c>
    </row>
    <row r="1885" ht="15.75" customHeight="1">
      <c r="A1885" s="6">
        <v>10978.0</v>
      </c>
      <c r="B1885" s="7" t="s">
        <v>95</v>
      </c>
      <c r="C1885" s="24" t="str">
        <f>VLOOKUP(dynamic[customerID],customers[],2,FALSE)</f>
        <v>Maison Dewey</v>
      </c>
      <c r="D1885" s="24">
        <v>45377.0</v>
      </c>
      <c r="E1885" s="6">
        <f>IFERROR(__xludf.DUMMYFUNCTION("COUNTUNIQUEIFS($A$2:$A1885,$B$2:$B1885,B1885)"),6.0)</f>
        <v>6</v>
      </c>
      <c r="F1885" s="6">
        <f t="shared" si="1"/>
        <v>36</v>
      </c>
      <c r="G1885" s="6" t="str">
        <f>IF(MINIFS(dynamic[orderDate], dynamic[customerID], B1885) &gt;= DATE(2024,4,30)-120, 
     "New", 
     IF(MAXIFS(dynamic[orderCount], dynamic[customerID], B1885)&lt;=2, 
        IF((DATE(2024,4,30) - MAXIFS(dynamic[orderDate], dynamic[customerID], B1885)) &gt; 180, "Non-Returning", "Dormant"), 
        IF(AND(MAX(dynamic[sinceLastOrder]) &gt; 365, (DATE(2024,4,30) - MAXIFS(dynamic[orderDate], dynamic[customerID], B1885)) &gt; 180), 
           "Dormant", "Regular")))</f>
        <v>Regular</v>
      </c>
      <c r="H1885" s="6">
        <v>21.0</v>
      </c>
      <c r="I1885" s="9" t="str">
        <f>VLOOKUP(dynamic[productID],products[],2,FALSE)</f>
        <v>Sir Rodney's Scones</v>
      </c>
      <c r="J1885" s="9" t="str">
        <f>VLOOKUP(dynamic[productID],products[],12,FALSE)</f>
        <v>Confections</v>
      </c>
      <c r="K1885" s="7" t="str">
        <f>IF(VLOOKUP(dynamic[productID],products[],7,FALSE)=1,"Discontinued","Current")</f>
        <v>Current</v>
      </c>
      <c r="L1885" s="9">
        <f>VLOOKUP(dynamic[productID],products[],IF(YEAR(dynamic[orderDate])=2022,8,IF(YEAR(dynamic[orderDate])=2023,9,IF(YEAR(dynamic[orderDate])=2024,10,NA))),FALSE)</f>
        <v>7.459897593</v>
      </c>
      <c r="M1885" s="9">
        <v>10.0</v>
      </c>
      <c r="N1885" s="25">
        <f>(dynamic[orderPrice]-dynamic[productCost])/dynamic[productCost]</f>
        <v>0.3405009753</v>
      </c>
      <c r="O1885" s="10">
        <v>40.0</v>
      </c>
      <c r="P1885" s="25">
        <v>0.15</v>
      </c>
      <c r="Q1885" s="9">
        <f>dynamic[orderPrice]*dynamic[orderQuantity]</f>
        <v>400</v>
      </c>
      <c r="R1885" s="9">
        <f>dynamic[orderTotal]*(1-dynamic[discountApllied])</f>
        <v>340</v>
      </c>
      <c r="S1885" s="9">
        <f>dynamic[revenue]-(dynamic[productCost]*dynamic[orderQuantity])</f>
        <v>41.60409626</v>
      </c>
      <c r="T1885" s="25">
        <f>IFERROR(dynamic[profit]/dynamic[revenue], 0)</f>
        <v>0.122364989</v>
      </c>
    </row>
    <row r="1886" ht="15.75" customHeight="1">
      <c r="A1886" s="6">
        <v>10978.0</v>
      </c>
      <c r="B1886" s="7" t="s">
        <v>95</v>
      </c>
      <c r="C1886" s="24" t="str">
        <f>VLOOKUP(dynamic[customerID],customers[],2,FALSE)</f>
        <v>Maison Dewey</v>
      </c>
      <c r="D1886" s="24">
        <v>45377.0</v>
      </c>
      <c r="E1886" s="6">
        <f>IFERROR(__xludf.DUMMYFUNCTION("COUNTUNIQUEIFS($A$2:$A1886,$B$2:$B1886,B1886)"),6.0)</f>
        <v>6</v>
      </c>
      <c r="F1886" s="6">
        <f t="shared" si="1"/>
        <v>36</v>
      </c>
      <c r="G1886" s="6" t="str">
        <f>IF(MINIFS(dynamic[orderDate], dynamic[customerID], B1886) &gt;= DATE(2024,4,30)-120, 
     "New", 
     IF(MAXIFS(dynamic[orderCount], dynamic[customerID], B1886)&lt;=2, 
        IF((DATE(2024,4,30) - MAXIFS(dynamic[orderDate], dynamic[customerID], B1886)) &gt; 180, "Non-Returning", "Dormant"), 
        IF(AND(MAX(dynamic[sinceLastOrder]) &gt; 365, (DATE(2024,4,30) - MAXIFS(dynamic[orderDate], dynamic[customerID], B1886)) &gt; 180), 
           "Dormant", "Regular")))</f>
        <v>Regular</v>
      </c>
      <c r="H1886" s="6">
        <v>40.0</v>
      </c>
      <c r="I1886" s="9" t="str">
        <f>VLOOKUP(dynamic[productID],products[],2,FALSE)</f>
        <v>Boston Crab Meat</v>
      </c>
      <c r="J1886" s="9" t="str">
        <f>VLOOKUP(dynamic[productID],products[],12,FALSE)</f>
        <v>Seafood</v>
      </c>
      <c r="K1886" s="7" t="str">
        <f>IF(VLOOKUP(dynamic[productID],products[],7,FALSE)=1,"Discontinued","Current")</f>
        <v>Current</v>
      </c>
      <c r="L1886" s="9">
        <f>VLOOKUP(dynamic[productID],products[],IF(YEAR(dynamic[orderDate])=2022,8,IF(YEAR(dynamic[orderDate])=2023,9,IF(YEAR(dynamic[orderDate])=2024,10,NA))),FALSE)</f>
        <v>12.44307</v>
      </c>
      <c r="M1886" s="9">
        <v>18.4</v>
      </c>
      <c r="N1886" s="25">
        <f>(dynamic[orderPrice]-dynamic[productCost])/dynamic[productCost]</f>
        <v>0.4787347499</v>
      </c>
      <c r="O1886" s="10">
        <v>10.0</v>
      </c>
      <c r="P1886" s="25">
        <v>0.0</v>
      </c>
      <c r="Q1886" s="9">
        <f>dynamic[orderPrice]*dynamic[orderQuantity]</f>
        <v>184</v>
      </c>
      <c r="R1886" s="9">
        <f>dynamic[orderTotal]*(1-dynamic[discountApllied])</f>
        <v>184</v>
      </c>
      <c r="S1886" s="9">
        <f>dynamic[revenue]-(dynamic[productCost]*dynamic[orderQuantity])</f>
        <v>59.56930003</v>
      </c>
      <c r="T1886" s="25">
        <f>IFERROR(dynamic[profit]/dynamic[revenue], 0)</f>
        <v>0.3237461958</v>
      </c>
    </row>
    <row r="1887" ht="15.75" customHeight="1">
      <c r="A1887" s="6">
        <v>10978.0</v>
      </c>
      <c r="B1887" s="7" t="s">
        <v>95</v>
      </c>
      <c r="C1887" s="24" t="str">
        <f>VLOOKUP(dynamic[customerID],customers[],2,FALSE)</f>
        <v>Maison Dewey</v>
      </c>
      <c r="D1887" s="24">
        <v>45377.0</v>
      </c>
      <c r="E1887" s="6">
        <f>IFERROR(__xludf.DUMMYFUNCTION("COUNTUNIQUEIFS($A$2:$A1887,$B$2:$B1887,B1887)"),6.0)</f>
        <v>6</v>
      </c>
      <c r="F1887" s="6">
        <f t="shared" si="1"/>
        <v>36</v>
      </c>
      <c r="G1887" s="6" t="str">
        <f>IF(MINIFS(dynamic[orderDate], dynamic[customerID], B1887) &gt;= DATE(2024,4,30)-120, 
     "New", 
     IF(MAXIFS(dynamic[orderCount], dynamic[customerID], B1887)&lt;=2, 
        IF((DATE(2024,4,30) - MAXIFS(dynamic[orderDate], dynamic[customerID], B1887)) &gt; 180, "Non-Returning", "Dormant"), 
        IF(AND(MAX(dynamic[sinceLastOrder]) &gt; 365, (DATE(2024,4,30) - MAXIFS(dynamic[orderDate], dynamic[customerID], B1887)) &gt; 180), 
           "Dormant", "Regular")))</f>
        <v>Regular</v>
      </c>
      <c r="H1887" s="6">
        <v>44.0</v>
      </c>
      <c r="I1887" s="9" t="str">
        <f>VLOOKUP(dynamic[productID],products[],2,FALSE)</f>
        <v>Gula Malacca</v>
      </c>
      <c r="J1887" s="9" t="str">
        <f>VLOOKUP(dynamic[productID],products[],12,FALSE)</f>
        <v>Condiments</v>
      </c>
      <c r="K1887" s="7" t="str">
        <f>IF(VLOOKUP(dynamic[productID],products[],7,FALSE)=1,"Discontinued","Current")</f>
        <v>Current</v>
      </c>
      <c r="L1887" s="9">
        <f>VLOOKUP(dynamic[productID],products[],IF(YEAR(dynamic[orderDate])=2022,8,IF(YEAR(dynamic[orderDate])=2023,9,IF(YEAR(dynamic[orderDate])=2024,10,NA))),FALSE)</f>
        <v>12.27831512</v>
      </c>
      <c r="M1887" s="9">
        <v>19.45</v>
      </c>
      <c r="N1887" s="25">
        <f>(dynamic[orderPrice]-dynamic[productCost])/dynamic[productCost]</f>
        <v>0.5840935672</v>
      </c>
      <c r="O1887" s="10">
        <v>6.0</v>
      </c>
      <c r="P1887" s="25">
        <v>0.15</v>
      </c>
      <c r="Q1887" s="9">
        <f>dynamic[orderPrice]*dynamic[orderQuantity]</f>
        <v>116.7</v>
      </c>
      <c r="R1887" s="9">
        <f>dynamic[orderTotal]*(1-dynamic[discountApllied])</f>
        <v>99.195</v>
      </c>
      <c r="S1887" s="9">
        <f>dynamic[revenue]-(dynamic[productCost]*dynamic[orderQuantity])</f>
        <v>25.52510927</v>
      </c>
      <c r="T1887" s="25">
        <f>IFERROR(dynamic[profit]/dynamic[revenue], 0)</f>
        <v>0.2573225391</v>
      </c>
    </row>
    <row r="1888" ht="15.75" customHeight="1">
      <c r="A1888" s="6">
        <v>10979.0</v>
      </c>
      <c r="B1888" s="7" t="s">
        <v>24</v>
      </c>
      <c r="C1888" s="24" t="str">
        <f>VLOOKUP(dynamic[customerID],customers[],2,FALSE)</f>
        <v>Ernst Handel</v>
      </c>
      <c r="D1888" s="24">
        <v>45377.0</v>
      </c>
      <c r="E1888" s="6">
        <f>IFERROR(__xludf.DUMMYFUNCTION("COUNTUNIQUEIFS($A$2:$A1888,$B$2:$B1888,B1888)"),26.0)</f>
        <v>26</v>
      </c>
      <c r="F1888" s="6">
        <f t="shared" si="1"/>
        <v>3</v>
      </c>
      <c r="G1888" s="6" t="str">
        <f>IF(MINIFS(dynamic[orderDate], dynamic[customerID], B1888) &gt;= DATE(2024,4,30)-120, 
     "New", 
     IF(MAXIFS(dynamic[orderCount], dynamic[customerID], B1888)&lt;=2, 
        IF((DATE(2024,4,30) - MAXIFS(dynamic[orderDate], dynamic[customerID], B1888)) &gt; 180, "Non-Returning", "Dormant"), 
        IF(AND(MAX(dynamic[sinceLastOrder]) &gt; 365, (DATE(2024,4,30) - MAXIFS(dynamic[orderDate], dynamic[customerID], B1888)) &gt; 180), 
           "Dormant", "Regular")))</f>
        <v>Regular</v>
      </c>
      <c r="H1888" s="6">
        <v>7.0</v>
      </c>
      <c r="I1888" s="9" t="str">
        <f>VLOOKUP(dynamic[productID],products[],2,FALSE)</f>
        <v>Uncle Bob's Organic Dried Pears</v>
      </c>
      <c r="J1888" s="9" t="str">
        <f>VLOOKUP(dynamic[productID],products[],12,FALSE)</f>
        <v>Produce</v>
      </c>
      <c r="K1888" s="7" t="str">
        <f>IF(VLOOKUP(dynamic[productID],products[],7,FALSE)=1,"Discontinued","Current")</f>
        <v>Current</v>
      </c>
      <c r="L1888" s="9">
        <f>VLOOKUP(dynamic[productID],products[],IF(YEAR(dynamic[orderDate])=2022,8,IF(YEAR(dynamic[orderDate])=2023,9,IF(YEAR(dynamic[orderDate])=2024,10,NA))),FALSE)</f>
        <v>23.52222246</v>
      </c>
      <c r="M1888" s="9">
        <v>30.0</v>
      </c>
      <c r="N1888" s="25">
        <f>(dynamic[orderPrice]-dynamic[productCost])/dynamic[productCost]</f>
        <v>0.2753896894</v>
      </c>
      <c r="O1888" s="10">
        <v>18.0</v>
      </c>
      <c r="P1888" s="25">
        <v>0.0</v>
      </c>
      <c r="Q1888" s="9">
        <f>dynamic[orderPrice]*dynamic[orderQuantity]</f>
        <v>540</v>
      </c>
      <c r="R1888" s="9">
        <f>dynamic[orderTotal]*(1-dynamic[discountApllied])</f>
        <v>540</v>
      </c>
      <c r="S1888" s="9">
        <f>dynamic[revenue]-(dynamic[productCost]*dynamic[orderQuantity])</f>
        <v>116.5999957</v>
      </c>
      <c r="T1888" s="25">
        <f>IFERROR(dynamic[profit]/dynamic[revenue], 0)</f>
        <v>0.2159259179</v>
      </c>
    </row>
    <row r="1889" ht="15.75" customHeight="1">
      <c r="A1889" s="6">
        <v>10979.0</v>
      </c>
      <c r="B1889" s="7" t="s">
        <v>24</v>
      </c>
      <c r="C1889" s="24" t="str">
        <f>VLOOKUP(dynamic[customerID],customers[],2,FALSE)</f>
        <v>Ernst Handel</v>
      </c>
      <c r="D1889" s="24">
        <v>45377.0</v>
      </c>
      <c r="E1889" s="6">
        <f>IFERROR(__xludf.DUMMYFUNCTION("COUNTUNIQUEIFS($A$2:$A1889,$B$2:$B1889,B1889)"),26.0)</f>
        <v>26</v>
      </c>
      <c r="F1889" s="6">
        <f t="shared" si="1"/>
        <v>3</v>
      </c>
      <c r="G1889" s="6" t="str">
        <f>IF(MINIFS(dynamic[orderDate], dynamic[customerID], B1889) &gt;= DATE(2024,4,30)-120, 
     "New", 
     IF(MAXIFS(dynamic[orderCount], dynamic[customerID], B1889)&lt;=2, 
        IF((DATE(2024,4,30) - MAXIFS(dynamic[orderDate], dynamic[customerID], B1889)) &gt; 180, "Non-Returning", "Dormant"), 
        IF(AND(MAX(dynamic[sinceLastOrder]) &gt; 365, (DATE(2024,4,30) - MAXIFS(dynamic[orderDate], dynamic[customerID], B1889)) &gt; 180), 
           "Dormant", "Regular")))</f>
        <v>Regular</v>
      </c>
      <c r="H1889" s="6">
        <v>12.0</v>
      </c>
      <c r="I1889" s="9" t="str">
        <f>VLOOKUP(dynamic[productID],products[],2,FALSE)</f>
        <v>Queso Manchego La Pastora</v>
      </c>
      <c r="J1889" s="9" t="str">
        <f>VLOOKUP(dynamic[productID],products[],12,FALSE)</f>
        <v>Dairy Products</v>
      </c>
      <c r="K1889" s="7" t="str">
        <f>IF(VLOOKUP(dynamic[productID],products[],7,FALSE)=1,"Discontinued","Current")</f>
        <v>Current</v>
      </c>
      <c r="L1889" s="9">
        <f>VLOOKUP(dynamic[productID],products[],IF(YEAR(dynamic[orderDate])=2022,8,IF(YEAR(dynamic[orderDate])=2023,9,IF(YEAR(dynamic[orderDate])=2024,10,NA))),FALSE)</f>
        <v>25.02510955</v>
      </c>
      <c r="M1889" s="9">
        <v>38.0</v>
      </c>
      <c r="N1889" s="25">
        <f>(dynamic[orderPrice]-dynamic[productCost])/dynamic[productCost]</f>
        <v>0.518474871</v>
      </c>
      <c r="O1889" s="10">
        <v>20.0</v>
      </c>
      <c r="P1889" s="25">
        <v>0.0</v>
      </c>
      <c r="Q1889" s="9">
        <f>dynamic[orderPrice]*dynamic[orderQuantity]</f>
        <v>760</v>
      </c>
      <c r="R1889" s="9">
        <f>dynamic[orderTotal]*(1-dynamic[discountApllied])</f>
        <v>760</v>
      </c>
      <c r="S1889" s="9">
        <f>dynamic[revenue]-(dynamic[productCost]*dynamic[orderQuantity])</f>
        <v>259.4978089</v>
      </c>
      <c r="T1889" s="25">
        <f>IFERROR(dynamic[profit]/dynamic[revenue], 0)</f>
        <v>0.3414444854</v>
      </c>
    </row>
    <row r="1890" ht="15.75" customHeight="1">
      <c r="A1890" s="6">
        <v>10979.0</v>
      </c>
      <c r="B1890" s="7" t="s">
        <v>24</v>
      </c>
      <c r="C1890" s="24" t="str">
        <f>VLOOKUP(dynamic[customerID],customers[],2,FALSE)</f>
        <v>Ernst Handel</v>
      </c>
      <c r="D1890" s="24">
        <v>45377.0</v>
      </c>
      <c r="E1890" s="6">
        <f>IFERROR(__xludf.DUMMYFUNCTION("COUNTUNIQUEIFS($A$2:$A1890,$B$2:$B1890,B1890)"),26.0)</f>
        <v>26</v>
      </c>
      <c r="F1890" s="6">
        <f t="shared" si="1"/>
        <v>3</v>
      </c>
      <c r="G1890" s="6" t="str">
        <f>IF(MINIFS(dynamic[orderDate], dynamic[customerID], B1890) &gt;= DATE(2024,4,30)-120, 
     "New", 
     IF(MAXIFS(dynamic[orderCount], dynamic[customerID], B1890)&lt;=2, 
        IF((DATE(2024,4,30) - MAXIFS(dynamic[orderDate], dynamic[customerID], B1890)) &gt; 180, "Non-Returning", "Dormant"), 
        IF(AND(MAX(dynamic[sinceLastOrder]) &gt; 365, (DATE(2024,4,30) - MAXIFS(dynamic[orderDate], dynamic[customerID], B1890)) &gt; 180), 
           "Dormant", "Regular")))</f>
        <v>Regular</v>
      </c>
      <c r="H1890" s="6">
        <v>24.0</v>
      </c>
      <c r="I1890" s="9" t="str">
        <f>VLOOKUP(dynamic[productID],products[],2,FALSE)</f>
        <v>Brigadeiros Maravilhosos da Lilian</v>
      </c>
      <c r="J1890" s="9" t="str">
        <f>VLOOKUP(dynamic[productID],products[],12,FALSE)</f>
        <v>Confections</v>
      </c>
      <c r="K1890" s="7" t="str">
        <f>IF(VLOOKUP(dynamic[productID],products[],7,FALSE)=1,"Discontinued","Current")</f>
        <v>Discontinued</v>
      </c>
      <c r="L1890" s="9">
        <f>VLOOKUP(dynamic[productID],products[],IF(YEAR(dynamic[orderDate])=2022,8,IF(YEAR(dynamic[orderDate])=2023,9,IF(YEAR(dynamic[orderDate])=2024,10,NA))),FALSE)</f>
        <v>3.177326315</v>
      </c>
      <c r="M1890" s="9">
        <v>4.5</v>
      </c>
      <c r="N1890" s="25">
        <f>(dynamic[orderPrice]-dynamic[productCost])/dynamic[productCost]</f>
        <v>0.416285126</v>
      </c>
      <c r="O1890" s="10">
        <v>80.0</v>
      </c>
      <c r="P1890" s="25">
        <v>0.0</v>
      </c>
      <c r="Q1890" s="9">
        <f>dynamic[orderPrice]*dynamic[orderQuantity]</f>
        <v>360</v>
      </c>
      <c r="R1890" s="9">
        <f>dynamic[orderTotal]*(1-dynamic[discountApllied])</f>
        <v>360</v>
      </c>
      <c r="S1890" s="9">
        <f>dynamic[revenue]-(dynamic[productCost]*dynamic[orderQuantity])</f>
        <v>105.8138948</v>
      </c>
      <c r="T1890" s="25">
        <f>IFERROR(dynamic[profit]/dynamic[revenue], 0)</f>
        <v>0.2939274856</v>
      </c>
    </row>
    <row r="1891" ht="15.75" customHeight="1">
      <c r="A1891" s="6">
        <v>10979.0</v>
      </c>
      <c r="B1891" s="7" t="s">
        <v>24</v>
      </c>
      <c r="C1891" s="24" t="str">
        <f>VLOOKUP(dynamic[customerID],customers[],2,FALSE)</f>
        <v>Ernst Handel</v>
      </c>
      <c r="D1891" s="24">
        <v>45377.0</v>
      </c>
      <c r="E1891" s="6">
        <f>IFERROR(__xludf.DUMMYFUNCTION("COUNTUNIQUEIFS($A$2:$A1891,$B$2:$B1891,B1891)"),26.0)</f>
        <v>26</v>
      </c>
      <c r="F1891" s="6">
        <f t="shared" si="1"/>
        <v>3</v>
      </c>
      <c r="G1891" s="6" t="str">
        <f>IF(MINIFS(dynamic[orderDate], dynamic[customerID], B1891) &gt;= DATE(2024,4,30)-120, 
     "New", 
     IF(MAXIFS(dynamic[orderCount], dynamic[customerID], B1891)&lt;=2, 
        IF((DATE(2024,4,30) - MAXIFS(dynamic[orderDate], dynamic[customerID], B1891)) &gt; 180, "Non-Returning", "Dormant"), 
        IF(AND(MAX(dynamic[sinceLastOrder]) &gt; 365, (DATE(2024,4,30) - MAXIFS(dynamic[orderDate], dynamic[customerID], B1891)) &gt; 180), 
           "Dormant", "Regular")))</f>
        <v>Regular</v>
      </c>
      <c r="H1891" s="6">
        <v>27.0</v>
      </c>
      <c r="I1891" s="9" t="str">
        <f>VLOOKUP(dynamic[productID],products[],2,FALSE)</f>
        <v>Schoggi Schokolade</v>
      </c>
      <c r="J1891" s="9" t="str">
        <f>VLOOKUP(dynamic[productID],products[],12,FALSE)</f>
        <v>Confections</v>
      </c>
      <c r="K1891" s="7" t="str">
        <f>IF(VLOOKUP(dynamic[productID],products[],7,FALSE)=1,"Discontinued","Current")</f>
        <v>Current</v>
      </c>
      <c r="L1891" s="9">
        <f>VLOOKUP(dynamic[productID],products[],IF(YEAR(dynamic[orderDate])=2022,8,IF(YEAR(dynamic[orderDate])=2023,9,IF(YEAR(dynamic[orderDate])=2024,10,NA))),FALSE)</f>
        <v>33.69297986</v>
      </c>
      <c r="M1891" s="9">
        <v>43.9</v>
      </c>
      <c r="N1891" s="25">
        <f>(dynamic[orderPrice]-dynamic[productCost])/dynamic[productCost]</f>
        <v>0.3029420426</v>
      </c>
      <c r="O1891" s="10">
        <v>30.0</v>
      </c>
      <c r="P1891" s="25">
        <v>0.0</v>
      </c>
      <c r="Q1891" s="9">
        <f>dynamic[orderPrice]*dynamic[orderQuantity]</f>
        <v>1317</v>
      </c>
      <c r="R1891" s="9">
        <f>dynamic[orderTotal]*(1-dynamic[discountApllied])</f>
        <v>1317</v>
      </c>
      <c r="S1891" s="9">
        <f>dynamic[revenue]-(dynamic[productCost]*dynamic[orderQuantity])</f>
        <v>306.2106042</v>
      </c>
      <c r="T1891" s="25">
        <f>IFERROR(dynamic[profit]/dynamic[revenue], 0)</f>
        <v>0.2325061535</v>
      </c>
    </row>
    <row r="1892" ht="15.75" customHeight="1">
      <c r="A1892" s="6">
        <v>10979.0</v>
      </c>
      <c r="B1892" s="7" t="s">
        <v>24</v>
      </c>
      <c r="C1892" s="24" t="str">
        <f>VLOOKUP(dynamic[customerID],customers[],2,FALSE)</f>
        <v>Ernst Handel</v>
      </c>
      <c r="D1892" s="24">
        <v>45377.0</v>
      </c>
      <c r="E1892" s="6">
        <f>IFERROR(__xludf.DUMMYFUNCTION("COUNTUNIQUEIFS($A$2:$A1892,$B$2:$B1892,B1892)"),26.0)</f>
        <v>26</v>
      </c>
      <c r="F1892" s="6">
        <f t="shared" si="1"/>
        <v>3</v>
      </c>
      <c r="G1892" s="6" t="str">
        <f>IF(MINIFS(dynamic[orderDate], dynamic[customerID], B1892) &gt;= DATE(2024,4,30)-120, 
     "New", 
     IF(MAXIFS(dynamic[orderCount], dynamic[customerID], B1892)&lt;=2, 
        IF((DATE(2024,4,30) - MAXIFS(dynamic[orderDate], dynamic[customerID], B1892)) &gt; 180, "Non-Returning", "Dormant"), 
        IF(AND(MAX(dynamic[sinceLastOrder]) &gt; 365, (DATE(2024,4,30) - MAXIFS(dynamic[orderDate], dynamic[customerID], B1892)) &gt; 180), 
           "Dormant", "Regular")))</f>
        <v>Regular</v>
      </c>
      <c r="H1892" s="6">
        <v>31.0</v>
      </c>
      <c r="I1892" s="9" t="str">
        <f>VLOOKUP(dynamic[productID],products[],2,FALSE)</f>
        <v>Gorgonzola Telino</v>
      </c>
      <c r="J1892" s="9" t="str">
        <f>VLOOKUP(dynamic[productID],products[],12,FALSE)</f>
        <v>Dairy Products</v>
      </c>
      <c r="K1892" s="7" t="str">
        <f>IF(VLOOKUP(dynamic[productID],products[],7,FALSE)=1,"Discontinued","Current")</f>
        <v>Current</v>
      </c>
      <c r="L1892" s="9">
        <f>VLOOKUP(dynamic[productID],products[],IF(YEAR(dynamic[orderDate])=2022,8,IF(YEAR(dynamic[orderDate])=2023,9,IF(YEAR(dynamic[orderDate])=2024,10,NA))),FALSE)</f>
        <v>8.203054392</v>
      </c>
      <c r="M1892" s="9">
        <v>12.5</v>
      </c>
      <c r="N1892" s="25">
        <f>(dynamic[orderPrice]-dynamic[productCost])/dynamic[productCost]</f>
        <v>0.52382264</v>
      </c>
      <c r="O1892" s="10">
        <v>24.0</v>
      </c>
      <c r="P1892" s="25">
        <v>0.0</v>
      </c>
      <c r="Q1892" s="9">
        <f>dynamic[orderPrice]*dynamic[orderQuantity]</f>
        <v>300</v>
      </c>
      <c r="R1892" s="9">
        <f>dynamic[orderTotal]*(1-dynamic[discountApllied])</f>
        <v>300</v>
      </c>
      <c r="S1892" s="9">
        <f>dynamic[revenue]-(dynamic[productCost]*dynamic[orderQuantity])</f>
        <v>103.1266946</v>
      </c>
      <c r="T1892" s="25">
        <f>IFERROR(dynamic[profit]/dynamic[revenue], 0)</f>
        <v>0.3437556486</v>
      </c>
    </row>
    <row r="1893" ht="15.75" customHeight="1">
      <c r="A1893" s="6">
        <v>10979.0</v>
      </c>
      <c r="B1893" s="7" t="s">
        <v>24</v>
      </c>
      <c r="C1893" s="24" t="str">
        <f>VLOOKUP(dynamic[customerID],customers[],2,FALSE)</f>
        <v>Ernst Handel</v>
      </c>
      <c r="D1893" s="24">
        <v>45377.0</v>
      </c>
      <c r="E1893" s="6">
        <f>IFERROR(__xludf.DUMMYFUNCTION("COUNTUNIQUEIFS($A$2:$A1893,$B$2:$B1893,B1893)"),26.0)</f>
        <v>26</v>
      </c>
      <c r="F1893" s="6">
        <f t="shared" si="1"/>
        <v>3</v>
      </c>
      <c r="G1893" s="6" t="str">
        <f>IF(MINIFS(dynamic[orderDate], dynamic[customerID], B1893) &gt;= DATE(2024,4,30)-120, 
     "New", 
     IF(MAXIFS(dynamic[orderCount], dynamic[customerID], B1893)&lt;=2, 
        IF((DATE(2024,4,30) - MAXIFS(dynamic[orderDate], dynamic[customerID], B1893)) &gt; 180, "Non-Returning", "Dormant"), 
        IF(AND(MAX(dynamic[sinceLastOrder]) &gt; 365, (DATE(2024,4,30) - MAXIFS(dynamic[orderDate], dynamic[customerID], B1893)) &gt; 180), 
           "Dormant", "Regular")))</f>
        <v>Regular</v>
      </c>
      <c r="H1893" s="6">
        <v>63.0</v>
      </c>
      <c r="I1893" s="9" t="str">
        <f>VLOOKUP(dynamic[productID],products[],2,FALSE)</f>
        <v>Vegie-spread</v>
      </c>
      <c r="J1893" s="9" t="str">
        <f>VLOOKUP(dynamic[productID],products[],12,FALSE)</f>
        <v>Condiments</v>
      </c>
      <c r="K1893" s="7" t="str">
        <f>IF(VLOOKUP(dynamic[productID],products[],7,FALSE)=1,"Discontinued","Current")</f>
        <v>Current</v>
      </c>
      <c r="L1893" s="9">
        <f>VLOOKUP(dynamic[productID],products[],IF(YEAR(dynamic[orderDate])=2022,8,IF(YEAR(dynamic[orderDate])=2023,9,IF(YEAR(dynamic[orderDate])=2024,10,NA))),FALSE)</f>
        <v>32.59198577</v>
      </c>
      <c r="M1893" s="9">
        <v>43.9</v>
      </c>
      <c r="N1893" s="25">
        <f>(dynamic[orderPrice]-dynamic[productCost])/dynamic[productCost]</f>
        <v>0.3469568963</v>
      </c>
      <c r="O1893" s="10">
        <v>35.0</v>
      </c>
      <c r="P1893" s="25">
        <v>0.0</v>
      </c>
      <c r="Q1893" s="9">
        <f>dynamic[orderPrice]*dynamic[orderQuantity]</f>
        <v>1536.5</v>
      </c>
      <c r="R1893" s="9">
        <f>dynamic[orderTotal]*(1-dynamic[discountApllied])</f>
        <v>1536.5</v>
      </c>
      <c r="S1893" s="9">
        <f>dynamic[revenue]-(dynamic[productCost]*dynamic[orderQuantity])</f>
        <v>395.780498</v>
      </c>
      <c r="T1893" s="25">
        <f>IFERROR(dynamic[profit]/dynamic[revenue], 0)</f>
        <v>0.2575857455</v>
      </c>
    </row>
    <row r="1894" ht="15.75" customHeight="1">
      <c r="A1894" s="6">
        <v>10980.0</v>
      </c>
      <c r="B1894" s="7" t="s">
        <v>29</v>
      </c>
      <c r="C1894" s="24" t="str">
        <f>VLOOKUP(dynamic[customerID],customers[],2,FALSE)</f>
        <v>Folk och fä HB</v>
      </c>
      <c r="D1894" s="24">
        <v>45378.0</v>
      </c>
      <c r="E1894" s="6">
        <f>IFERROR(__xludf.DUMMYFUNCTION("COUNTUNIQUEIFS($A$2:$A1894,$B$2:$B1894,B1894)"),16.0)</f>
        <v>16</v>
      </c>
      <c r="F1894" s="6">
        <f t="shared" si="1"/>
        <v>1</v>
      </c>
      <c r="G1894" s="6" t="str">
        <f>IF(MINIFS(dynamic[orderDate], dynamic[customerID], B1894) &gt;= DATE(2024,4,30)-120, 
     "New", 
     IF(MAXIFS(dynamic[orderCount], dynamic[customerID], B1894)&lt;=2, 
        IF((DATE(2024,4,30) - MAXIFS(dynamic[orderDate], dynamic[customerID], B1894)) &gt; 180, "Non-Returning", "Dormant"), 
        IF(AND(MAX(dynamic[sinceLastOrder]) &gt; 365, (DATE(2024,4,30) - MAXIFS(dynamic[orderDate], dynamic[customerID], B1894)) &gt; 180), 
           "Dormant", "Regular")))</f>
        <v>Regular</v>
      </c>
      <c r="H1894" s="6">
        <v>75.0</v>
      </c>
      <c r="I1894" s="9" t="str">
        <f>VLOOKUP(dynamic[productID],products[],2,FALSE)</f>
        <v>Rhönbräu Klosterbier</v>
      </c>
      <c r="J1894" s="9" t="str">
        <f>VLOOKUP(dynamic[productID],products[],12,FALSE)</f>
        <v>Beverages</v>
      </c>
      <c r="K1894" s="7" t="str">
        <f>IF(VLOOKUP(dynamic[productID],products[],7,FALSE)=1,"Discontinued","Current")</f>
        <v>Current</v>
      </c>
      <c r="L1894" s="9">
        <f>VLOOKUP(dynamic[productID],products[],IF(YEAR(dynamic[orderDate])=2022,8,IF(YEAR(dynamic[orderDate])=2023,9,IF(YEAR(dynamic[orderDate])=2024,10,NA))),FALSE)</f>
        <v>5.374051525</v>
      </c>
      <c r="M1894" s="9">
        <v>7.75</v>
      </c>
      <c r="N1894" s="25">
        <f>(dynamic[orderPrice]-dynamic[productCost])/dynamic[productCost]</f>
        <v>0.4421149413</v>
      </c>
      <c r="O1894" s="10">
        <v>40.0</v>
      </c>
      <c r="P1894" s="25">
        <v>0.2</v>
      </c>
      <c r="Q1894" s="9">
        <f>dynamic[orderPrice]*dynamic[orderQuantity]</f>
        <v>310</v>
      </c>
      <c r="R1894" s="9">
        <f>dynamic[orderTotal]*(1-dynamic[discountApllied])</f>
        <v>248</v>
      </c>
      <c r="S1894" s="9">
        <f>dynamic[revenue]-(dynamic[productCost]*dynamic[orderQuantity])</f>
        <v>33.03793899</v>
      </c>
      <c r="T1894" s="25">
        <f>IFERROR(dynamic[profit]/dynamic[revenue], 0)</f>
        <v>0.1332174959</v>
      </c>
    </row>
    <row r="1895" ht="15.75" customHeight="1">
      <c r="A1895" s="6">
        <v>10981.0</v>
      </c>
      <c r="B1895" s="7" t="s">
        <v>16</v>
      </c>
      <c r="C1895" s="24" t="str">
        <f>VLOOKUP(dynamic[customerID],customers[],2,FALSE)</f>
        <v>Hanari Carnes</v>
      </c>
      <c r="D1895" s="24">
        <v>45378.0</v>
      </c>
      <c r="E1895" s="6">
        <f>IFERROR(__xludf.DUMMYFUNCTION("COUNTUNIQUEIFS($A$2:$A1895,$B$2:$B1895,B1895)"),12.0)</f>
        <v>12</v>
      </c>
      <c r="F1895" s="6">
        <f t="shared" si="1"/>
        <v>23</v>
      </c>
      <c r="G1895" s="6" t="str">
        <f>IF(MINIFS(dynamic[orderDate], dynamic[customerID], B1895) &gt;= DATE(2024,4,30)-120, 
     "New", 
     IF(MAXIFS(dynamic[orderCount], dynamic[customerID], B1895)&lt;=2, 
        IF((DATE(2024,4,30) - MAXIFS(dynamic[orderDate], dynamic[customerID], B1895)) &gt; 180, "Non-Returning", "Dormant"), 
        IF(AND(MAX(dynamic[sinceLastOrder]) &gt; 365, (DATE(2024,4,30) - MAXIFS(dynamic[orderDate], dynamic[customerID], B1895)) &gt; 180), 
           "Dormant", "Regular")))</f>
        <v>Regular</v>
      </c>
      <c r="H1895" s="6">
        <v>38.0</v>
      </c>
      <c r="I1895" s="9" t="str">
        <f>VLOOKUP(dynamic[productID],products[],2,FALSE)</f>
        <v>Côte de Blaye</v>
      </c>
      <c r="J1895" s="9" t="str">
        <f>VLOOKUP(dynamic[productID],products[],12,FALSE)</f>
        <v>Beverages</v>
      </c>
      <c r="K1895" s="7" t="str">
        <f>IF(VLOOKUP(dynamic[productID],products[],7,FALSE)=1,"Discontinued","Current")</f>
        <v>Current</v>
      </c>
      <c r="L1895" s="9">
        <f>VLOOKUP(dynamic[productID],products[],IF(YEAR(dynamic[orderDate])=2022,8,IF(YEAR(dynamic[orderDate])=2023,9,IF(YEAR(dynamic[orderDate])=2024,10,NA))),FALSE)</f>
        <v>192.1798413</v>
      </c>
      <c r="M1895" s="9">
        <v>263.5</v>
      </c>
      <c r="N1895" s="25">
        <f>(dynamic[orderPrice]-dynamic[productCost])/dynamic[productCost]</f>
        <v>0.3711115493</v>
      </c>
      <c r="O1895" s="10">
        <v>60.0</v>
      </c>
      <c r="P1895" s="25">
        <v>0.0</v>
      </c>
      <c r="Q1895" s="9">
        <f>dynamic[orderPrice]*dynamic[orderQuantity]</f>
        <v>15810</v>
      </c>
      <c r="R1895" s="9">
        <f>dynamic[orderTotal]*(1-dynamic[discountApllied])</f>
        <v>15810</v>
      </c>
      <c r="S1895" s="9">
        <f>dynamic[revenue]-(dynamic[productCost]*dynamic[orderQuantity])</f>
        <v>4279.20952</v>
      </c>
      <c r="T1895" s="25">
        <f>IFERROR(dynamic[profit]/dynamic[revenue], 0)</f>
        <v>0.2706647388</v>
      </c>
    </row>
    <row r="1896" ht="15.75" customHeight="1">
      <c r="A1896" s="6">
        <v>10982.0</v>
      </c>
      <c r="B1896" s="7" t="s">
        <v>81</v>
      </c>
      <c r="C1896" s="24" t="str">
        <f>VLOOKUP(dynamic[customerID],customers[],2,FALSE)</f>
        <v>Bottom-Dollar Markets</v>
      </c>
      <c r="D1896" s="24">
        <v>45378.0</v>
      </c>
      <c r="E1896" s="6">
        <f>IFERROR(__xludf.DUMMYFUNCTION("COUNTUNIQUEIFS($A$2:$A1896,$B$2:$B1896,B1896)"),11.0)</f>
        <v>11</v>
      </c>
      <c r="F1896" s="6">
        <f t="shared" si="1"/>
        <v>2</v>
      </c>
      <c r="G1896" s="6" t="str">
        <f>IF(MINIFS(dynamic[orderDate], dynamic[customerID], B1896) &gt;= DATE(2024,4,30)-120, 
     "New", 
     IF(MAXIFS(dynamic[orderCount], dynamic[customerID], B1896)&lt;=2, 
        IF((DATE(2024,4,30) - MAXIFS(dynamic[orderDate], dynamic[customerID], B1896)) &gt; 180, "Non-Returning", "Dormant"), 
        IF(AND(MAX(dynamic[sinceLastOrder]) &gt; 365, (DATE(2024,4,30) - MAXIFS(dynamic[orderDate], dynamic[customerID], B1896)) &gt; 180), 
           "Dormant", "Regular")))</f>
        <v>Regular</v>
      </c>
      <c r="H1896" s="6">
        <v>7.0</v>
      </c>
      <c r="I1896" s="9" t="str">
        <f>VLOOKUP(dynamic[productID],products[],2,FALSE)</f>
        <v>Uncle Bob's Organic Dried Pears</v>
      </c>
      <c r="J1896" s="9" t="str">
        <f>VLOOKUP(dynamic[productID],products[],12,FALSE)</f>
        <v>Produce</v>
      </c>
      <c r="K1896" s="7" t="str">
        <f>IF(VLOOKUP(dynamic[productID],products[],7,FALSE)=1,"Discontinued","Current")</f>
        <v>Current</v>
      </c>
      <c r="L1896" s="9">
        <f>VLOOKUP(dynamic[productID],products[],IF(YEAR(dynamic[orderDate])=2022,8,IF(YEAR(dynamic[orderDate])=2023,9,IF(YEAR(dynamic[orderDate])=2024,10,NA))),FALSE)</f>
        <v>23.52222246</v>
      </c>
      <c r="M1896" s="9">
        <v>30.0</v>
      </c>
      <c r="N1896" s="25">
        <f>(dynamic[orderPrice]-dynamic[productCost])/dynamic[productCost]</f>
        <v>0.2753896894</v>
      </c>
      <c r="O1896" s="10">
        <v>20.0</v>
      </c>
      <c r="P1896" s="25">
        <v>0.0</v>
      </c>
      <c r="Q1896" s="9">
        <f>dynamic[orderPrice]*dynamic[orderQuantity]</f>
        <v>600</v>
      </c>
      <c r="R1896" s="9">
        <f>dynamic[orderTotal]*(1-dynamic[discountApllied])</f>
        <v>600</v>
      </c>
      <c r="S1896" s="9">
        <f>dynamic[revenue]-(dynamic[productCost]*dynamic[orderQuantity])</f>
        <v>129.5555507</v>
      </c>
      <c r="T1896" s="25">
        <f>IFERROR(dynamic[profit]/dynamic[revenue], 0)</f>
        <v>0.2159259179</v>
      </c>
    </row>
    <row r="1897" ht="15.75" customHeight="1">
      <c r="A1897" s="6">
        <v>10982.0</v>
      </c>
      <c r="B1897" s="7" t="s">
        <v>81</v>
      </c>
      <c r="C1897" s="24" t="str">
        <f>VLOOKUP(dynamic[customerID],customers[],2,FALSE)</f>
        <v>Bottom-Dollar Markets</v>
      </c>
      <c r="D1897" s="24">
        <v>45378.0</v>
      </c>
      <c r="E1897" s="6">
        <f>IFERROR(__xludf.DUMMYFUNCTION("COUNTUNIQUEIFS($A$2:$A1897,$B$2:$B1897,B1897)"),11.0)</f>
        <v>11</v>
      </c>
      <c r="F1897" s="6">
        <f t="shared" si="1"/>
        <v>2</v>
      </c>
      <c r="G1897" s="6" t="str">
        <f>IF(MINIFS(dynamic[orderDate], dynamic[customerID], B1897) &gt;= DATE(2024,4,30)-120, 
     "New", 
     IF(MAXIFS(dynamic[orderCount], dynamic[customerID], B1897)&lt;=2, 
        IF((DATE(2024,4,30) - MAXIFS(dynamic[orderDate], dynamic[customerID], B1897)) &gt; 180, "Non-Returning", "Dormant"), 
        IF(AND(MAX(dynamic[sinceLastOrder]) &gt; 365, (DATE(2024,4,30) - MAXIFS(dynamic[orderDate], dynamic[customerID], B1897)) &gt; 180), 
           "Dormant", "Regular")))</f>
        <v>Regular</v>
      </c>
      <c r="H1897" s="6">
        <v>43.0</v>
      </c>
      <c r="I1897" s="9" t="str">
        <f>VLOOKUP(dynamic[productID],products[],2,FALSE)</f>
        <v>Ipoh Coffee</v>
      </c>
      <c r="J1897" s="9" t="str">
        <f>VLOOKUP(dynamic[productID],products[],12,FALSE)</f>
        <v>Beverages</v>
      </c>
      <c r="K1897" s="7" t="str">
        <f>IF(VLOOKUP(dynamic[productID],products[],7,FALSE)=1,"Discontinued","Current")</f>
        <v>Current</v>
      </c>
      <c r="L1897" s="9">
        <f>VLOOKUP(dynamic[productID],products[],IF(YEAR(dynamic[orderDate])=2022,8,IF(YEAR(dynamic[orderDate])=2023,9,IF(YEAR(dynamic[orderDate])=2024,10,NA))),FALSE)</f>
        <v>30.97984738</v>
      </c>
      <c r="M1897" s="9">
        <v>46.0</v>
      </c>
      <c r="N1897" s="25">
        <f>(dynamic[orderPrice]-dynamic[productCost])/dynamic[productCost]</f>
        <v>0.484836237</v>
      </c>
      <c r="O1897" s="10">
        <v>9.0</v>
      </c>
      <c r="P1897" s="25">
        <v>0.0</v>
      </c>
      <c r="Q1897" s="9">
        <f>dynamic[orderPrice]*dynamic[orderQuantity]</f>
        <v>414</v>
      </c>
      <c r="R1897" s="9">
        <f>dynamic[orderTotal]*(1-dynamic[discountApllied])</f>
        <v>414</v>
      </c>
      <c r="S1897" s="9">
        <f>dynamic[revenue]-(dynamic[productCost]*dynamic[orderQuantity])</f>
        <v>135.1813736</v>
      </c>
      <c r="T1897" s="25">
        <f>IFERROR(dynamic[profit]/dynamic[revenue], 0)</f>
        <v>0.3265250571</v>
      </c>
    </row>
    <row r="1898" ht="15.75" customHeight="1">
      <c r="A1898" s="6">
        <v>10983.0</v>
      </c>
      <c r="B1898" s="7" t="s">
        <v>60</v>
      </c>
      <c r="C1898" s="24" t="str">
        <f>VLOOKUP(dynamic[customerID],customers[],2,FALSE)</f>
        <v>Save-a-lot Markets</v>
      </c>
      <c r="D1898" s="24">
        <v>45378.0</v>
      </c>
      <c r="E1898" s="6">
        <f>IFERROR(__xludf.DUMMYFUNCTION("COUNTUNIQUEIFS($A$2:$A1898,$B$2:$B1898,B1898)"),26.0)</f>
        <v>26</v>
      </c>
      <c r="F1898" s="6">
        <f t="shared" si="1"/>
        <v>16</v>
      </c>
      <c r="G1898" s="6" t="str">
        <f>IF(MINIFS(dynamic[orderDate], dynamic[customerID], B1898) &gt;= DATE(2024,4,30)-120, 
     "New", 
     IF(MAXIFS(dynamic[orderCount], dynamic[customerID], B1898)&lt;=2, 
        IF((DATE(2024,4,30) - MAXIFS(dynamic[orderDate], dynamic[customerID], B1898)) &gt; 180, "Non-Returning", "Dormant"), 
        IF(AND(MAX(dynamic[sinceLastOrder]) &gt; 365, (DATE(2024,4,30) - MAXIFS(dynamic[orderDate], dynamic[customerID], B1898)) &gt; 180), 
           "Dormant", "Regular")))</f>
        <v>Regular</v>
      </c>
      <c r="H1898" s="6">
        <v>13.0</v>
      </c>
      <c r="I1898" s="9" t="str">
        <f>VLOOKUP(dynamic[productID],products[],2,FALSE)</f>
        <v>Konbu</v>
      </c>
      <c r="J1898" s="9" t="str">
        <f>VLOOKUP(dynamic[productID],products[],12,FALSE)</f>
        <v>Seafood</v>
      </c>
      <c r="K1898" s="7" t="str">
        <f>IF(VLOOKUP(dynamic[productID],products[],7,FALSE)=1,"Discontinued","Current")</f>
        <v>Current</v>
      </c>
      <c r="L1898" s="9">
        <f>VLOOKUP(dynamic[productID],products[],IF(YEAR(dynamic[orderDate])=2022,8,IF(YEAR(dynamic[orderDate])=2023,9,IF(YEAR(dynamic[orderDate])=2024,10,NA))),FALSE)</f>
        <v>3.966387047</v>
      </c>
      <c r="M1898" s="9">
        <v>6.0</v>
      </c>
      <c r="N1898" s="25">
        <f>(dynamic[orderPrice]-dynamic[productCost])/dynamic[productCost]</f>
        <v>0.5127116768</v>
      </c>
      <c r="O1898" s="10">
        <v>84.0</v>
      </c>
      <c r="P1898" s="25">
        <v>0.15</v>
      </c>
      <c r="Q1898" s="9">
        <f>dynamic[orderPrice]*dynamic[orderQuantity]</f>
        <v>504</v>
      </c>
      <c r="R1898" s="9">
        <f>dynamic[orderTotal]*(1-dynamic[discountApllied])</f>
        <v>428.4</v>
      </c>
      <c r="S1898" s="9">
        <f>dynamic[revenue]-(dynamic[productCost]*dynamic[orderQuantity])</f>
        <v>95.22348809</v>
      </c>
      <c r="T1898" s="25">
        <f>IFERROR(dynamic[profit]/dynamic[revenue], 0)</f>
        <v>0.2222770497</v>
      </c>
    </row>
    <row r="1899" ht="15.75" customHeight="1">
      <c r="A1899" s="6">
        <v>10983.0</v>
      </c>
      <c r="B1899" s="7" t="s">
        <v>60</v>
      </c>
      <c r="C1899" s="24" t="str">
        <f>VLOOKUP(dynamic[customerID],customers[],2,FALSE)</f>
        <v>Save-a-lot Markets</v>
      </c>
      <c r="D1899" s="24">
        <v>45378.0</v>
      </c>
      <c r="E1899" s="6">
        <f>IFERROR(__xludf.DUMMYFUNCTION("COUNTUNIQUEIFS($A$2:$A1899,$B$2:$B1899,B1899)"),26.0)</f>
        <v>26</v>
      </c>
      <c r="F1899" s="6">
        <f t="shared" si="1"/>
        <v>16</v>
      </c>
      <c r="G1899" s="6" t="str">
        <f>IF(MINIFS(dynamic[orderDate], dynamic[customerID], B1899) &gt;= DATE(2024,4,30)-120, 
     "New", 
     IF(MAXIFS(dynamic[orderCount], dynamic[customerID], B1899)&lt;=2, 
        IF((DATE(2024,4,30) - MAXIFS(dynamic[orderDate], dynamic[customerID], B1899)) &gt; 180, "Non-Returning", "Dormant"), 
        IF(AND(MAX(dynamic[sinceLastOrder]) &gt; 365, (DATE(2024,4,30) - MAXIFS(dynamic[orderDate], dynamic[customerID], B1899)) &gt; 180), 
           "Dormant", "Regular")))</f>
        <v>Regular</v>
      </c>
      <c r="H1899" s="6">
        <v>57.0</v>
      </c>
      <c r="I1899" s="9" t="str">
        <f>VLOOKUP(dynamic[productID],products[],2,FALSE)</f>
        <v>Ravioli Angelo</v>
      </c>
      <c r="J1899" s="9" t="str">
        <f>VLOOKUP(dynamic[productID],products[],12,FALSE)</f>
        <v>Grains/Cereals</v>
      </c>
      <c r="K1899" s="7" t="str">
        <f>IF(VLOOKUP(dynamic[productID],products[],7,FALSE)=1,"Discontinued","Current")</f>
        <v>Current</v>
      </c>
      <c r="L1899" s="9">
        <f>VLOOKUP(dynamic[productID],products[],IF(YEAR(dynamic[orderDate])=2022,8,IF(YEAR(dynamic[orderDate])=2023,9,IF(YEAR(dynamic[orderDate])=2024,10,NA))),FALSE)</f>
        <v>14.29534762</v>
      </c>
      <c r="M1899" s="9">
        <v>19.5</v>
      </c>
      <c r="N1899" s="25">
        <f>(dynamic[orderPrice]-dynamic[productCost])/dynamic[productCost]</f>
        <v>0.3640801552</v>
      </c>
      <c r="O1899" s="10">
        <v>15.0</v>
      </c>
      <c r="P1899" s="25">
        <v>0.0</v>
      </c>
      <c r="Q1899" s="9">
        <f>dynamic[orderPrice]*dynamic[orderQuantity]</f>
        <v>292.5</v>
      </c>
      <c r="R1899" s="9">
        <f>dynamic[orderTotal]*(1-dynamic[discountApllied])</f>
        <v>292.5</v>
      </c>
      <c r="S1899" s="9">
        <f>dynamic[revenue]-(dynamic[productCost]*dynamic[orderQuantity])</f>
        <v>78.06978571</v>
      </c>
      <c r="T1899" s="25">
        <f>IFERROR(dynamic[profit]/dynamic[revenue], 0)</f>
        <v>0.2669052503</v>
      </c>
    </row>
    <row r="1900" ht="15.75" customHeight="1">
      <c r="A1900" s="6">
        <v>10984.0</v>
      </c>
      <c r="B1900" s="7" t="s">
        <v>60</v>
      </c>
      <c r="C1900" s="24" t="str">
        <f>VLOOKUP(dynamic[customerID],customers[],2,FALSE)</f>
        <v>Save-a-lot Markets</v>
      </c>
      <c r="D1900" s="24">
        <v>45381.0</v>
      </c>
      <c r="E1900" s="6">
        <f>IFERROR(__xludf.DUMMYFUNCTION("COUNTUNIQUEIFS($A$2:$A1900,$B$2:$B1900,B1900)"),27.0)</f>
        <v>27</v>
      </c>
      <c r="F1900" s="6">
        <f t="shared" si="1"/>
        <v>3</v>
      </c>
      <c r="G1900" s="6" t="str">
        <f>IF(MINIFS(dynamic[orderDate], dynamic[customerID], B1900) &gt;= DATE(2024,4,30)-120, 
     "New", 
     IF(MAXIFS(dynamic[orderCount], dynamic[customerID], B1900)&lt;=2, 
        IF((DATE(2024,4,30) - MAXIFS(dynamic[orderDate], dynamic[customerID], B1900)) &gt; 180, "Non-Returning", "Dormant"), 
        IF(AND(MAX(dynamic[sinceLastOrder]) &gt; 365, (DATE(2024,4,30) - MAXIFS(dynamic[orderDate], dynamic[customerID], B1900)) &gt; 180), 
           "Dormant", "Regular")))</f>
        <v>Regular</v>
      </c>
      <c r="H1900" s="6">
        <v>16.0</v>
      </c>
      <c r="I1900" s="9" t="str">
        <f>VLOOKUP(dynamic[productID],products[],2,FALSE)</f>
        <v>Pavlova</v>
      </c>
      <c r="J1900" s="9" t="str">
        <f>VLOOKUP(dynamic[productID],products[],12,FALSE)</f>
        <v>Confections</v>
      </c>
      <c r="K1900" s="7" t="str">
        <f>IF(VLOOKUP(dynamic[productID],products[],7,FALSE)=1,"Discontinued","Current")</f>
        <v>Current</v>
      </c>
      <c r="L1900" s="9">
        <f>VLOOKUP(dynamic[productID],products[],IF(YEAR(dynamic[orderDate])=2022,8,IF(YEAR(dynamic[orderDate])=2023,9,IF(YEAR(dynamic[orderDate])=2024,10,NA))),FALSE)</f>
        <v>12.68283974</v>
      </c>
      <c r="M1900" s="9">
        <v>17.45</v>
      </c>
      <c r="N1900" s="25">
        <f>(dynamic[orderPrice]-dynamic[productCost])/dynamic[productCost]</f>
        <v>0.3758748323</v>
      </c>
      <c r="O1900" s="10">
        <v>55.0</v>
      </c>
      <c r="P1900" s="25">
        <v>0.0</v>
      </c>
      <c r="Q1900" s="9">
        <f>dynamic[orderPrice]*dynamic[orderQuantity]</f>
        <v>959.75</v>
      </c>
      <c r="R1900" s="9">
        <f>dynamic[orderTotal]*(1-dynamic[discountApllied])</f>
        <v>959.75</v>
      </c>
      <c r="S1900" s="9">
        <f>dynamic[revenue]-(dynamic[productCost]*dynamic[orderQuantity])</f>
        <v>262.1938143</v>
      </c>
      <c r="T1900" s="25">
        <f>IFERROR(dynamic[profit]/dynamic[revenue], 0)</f>
        <v>0.2731896997</v>
      </c>
    </row>
    <row r="1901" ht="15.75" customHeight="1">
      <c r="A1901" s="6">
        <v>10984.0</v>
      </c>
      <c r="B1901" s="7" t="s">
        <v>60</v>
      </c>
      <c r="C1901" s="24" t="str">
        <f>VLOOKUP(dynamic[customerID],customers[],2,FALSE)</f>
        <v>Save-a-lot Markets</v>
      </c>
      <c r="D1901" s="24">
        <v>45381.0</v>
      </c>
      <c r="E1901" s="6">
        <f>IFERROR(__xludf.DUMMYFUNCTION("COUNTUNIQUEIFS($A$2:$A1901,$B$2:$B1901,B1901)"),27.0)</f>
        <v>27</v>
      </c>
      <c r="F1901" s="6">
        <f t="shared" si="1"/>
        <v>3</v>
      </c>
      <c r="G1901" s="6" t="str">
        <f>IF(MINIFS(dynamic[orderDate], dynamic[customerID], B1901) &gt;= DATE(2024,4,30)-120, 
     "New", 
     IF(MAXIFS(dynamic[orderCount], dynamic[customerID], B1901)&lt;=2, 
        IF((DATE(2024,4,30) - MAXIFS(dynamic[orderDate], dynamic[customerID], B1901)) &gt; 180, "Non-Returning", "Dormant"), 
        IF(AND(MAX(dynamic[sinceLastOrder]) &gt; 365, (DATE(2024,4,30) - MAXIFS(dynamic[orderDate], dynamic[customerID], B1901)) &gt; 180), 
           "Dormant", "Regular")))</f>
        <v>Regular</v>
      </c>
      <c r="H1901" s="6">
        <v>24.0</v>
      </c>
      <c r="I1901" s="9" t="str">
        <f>VLOOKUP(dynamic[productID],products[],2,FALSE)</f>
        <v>Brigadeiros Maravilhosos da Lilian</v>
      </c>
      <c r="J1901" s="9" t="str">
        <f>VLOOKUP(dynamic[productID],products[],12,FALSE)</f>
        <v>Confections</v>
      </c>
      <c r="K1901" s="7" t="str">
        <f>IF(VLOOKUP(dynamic[productID],products[],7,FALSE)=1,"Discontinued","Current")</f>
        <v>Discontinued</v>
      </c>
      <c r="L1901" s="9">
        <f>VLOOKUP(dynamic[productID],products[],IF(YEAR(dynamic[orderDate])=2022,8,IF(YEAR(dynamic[orderDate])=2023,9,IF(YEAR(dynamic[orderDate])=2024,10,NA))),FALSE)</f>
        <v>3.177326315</v>
      </c>
      <c r="M1901" s="9">
        <v>4.5</v>
      </c>
      <c r="N1901" s="25">
        <f>(dynamic[orderPrice]-dynamic[productCost])/dynamic[productCost]</f>
        <v>0.416285126</v>
      </c>
      <c r="O1901" s="10">
        <v>20.0</v>
      </c>
      <c r="P1901" s="25">
        <v>0.0</v>
      </c>
      <c r="Q1901" s="9">
        <f>dynamic[orderPrice]*dynamic[orderQuantity]</f>
        <v>90</v>
      </c>
      <c r="R1901" s="9">
        <f>dynamic[orderTotal]*(1-dynamic[discountApllied])</f>
        <v>90</v>
      </c>
      <c r="S1901" s="9">
        <f>dynamic[revenue]-(dynamic[productCost]*dynamic[orderQuantity])</f>
        <v>26.45347371</v>
      </c>
      <c r="T1901" s="25">
        <f>IFERROR(dynamic[profit]/dynamic[revenue], 0)</f>
        <v>0.2939274856</v>
      </c>
    </row>
    <row r="1902" ht="15.75" customHeight="1">
      <c r="A1902" s="6">
        <v>10984.0</v>
      </c>
      <c r="B1902" s="7" t="s">
        <v>60</v>
      </c>
      <c r="C1902" s="24" t="str">
        <f>VLOOKUP(dynamic[customerID],customers[],2,FALSE)</f>
        <v>Save-a-lot Markets</v>
      </c>
      <c r="D1902" s="24">
        <v>45381.0</v>
      </c>
      <c r="E1902" s="6">
        <f>IFERROR(__xludf.DUMMYFUNCTION("COUNTUNIQUEIFS($A$2:$A1902,$B$2:$B1902,B1902)"),27.0)</f>
        <v>27</v>
      </c>
      <c r="F1902" s="6">
        <f t="shared" si="1"/>
        <v>3</v>
      </c>
      <c r="G1902" s="6" t="str">
        <f>IF(MINIFS(dynamic[orderDate], dynamic[customerID], B1902) &gt;= DATE(2024,4,30)-120, 
     "New", 
     IF(MAXIFS(dynamic[orderCount], dynamic[customerID], B1902)&lt;=2, 
        IF((DATE(2024,4,30) - MAXIFS(dynamic[orderDate], dynamic[customerID], B1902)) &gt; 180, "Non-Returning", "Dormant"), 
        IF(AND(MAX(dynamic[sinceLastOrder]) &gt; 365, (DATE(2024,4,30) - MAXIFS(dynamic[orderDate], dynamic[customerID], B1902)) &gt; 180), 
           "Dormant", "Regular")))</f>
        <v>Regular</v>
      </c>
      <c r="H1902" s="6">
        <v>36.0</v>
      </c>
      <c r="I1902" s="9" t="str">
        <f>VLOOKUP(dynamic[productID],products[],2,FALSE)</f>
        <v>Inlagd Sill</v>
      </c>
      <c r="J1902" s="9" t="str">
        <f>VLOOKUP(dynamic[productID],products[],12,FALSE)</f>
        <v>Seafood</v>
      </c>
      <c r="K1902" s="7" t="str">
        <f>IF(VLOOKUP(dynamic[productID],products[],7,FALSE)=1,"Discontinued","Current")</f>
        <v>Current</v>
      </c>
      <c r="L1902" s="9">
        <f>VLOOKUP(dynamic[productID],products[],IF(YEAR(dynamic[orderDate])=2022,8,IF(YEAR(dynamic[orderDate])=2023,9,IF(YEAR(dynamic[orderDate])=2024,10,NA))),FALSE)</f>
        <v>11.68525366</v>
      </c>
      <c r="M1902" s="9">
        <v>19.0</v>
      </c>
      <c r="N1902" s="25">
        <f>(dynamic[orderPrice]-dynamic[productCost])/dynamic[productCost]</f>
        <v>0.6259809637</v>
      </c>
      <c r="O1902" s="10">
        <v>40.0</v>
      </c>
      <c r="P1902" s="25">
        <v>0.0</v>
      </c>
      <c r="Q1902" s="9">
        <f>dynamic[orderPrice]*dynamic[orderQuantity]</f>
        <v>760</v>
      </c>
      <c r="R1902" s="9">
        <f>dynamic[orderTotal]*(1-dynamic[discountApllied])</f>
        <v>760</v>
      </c>
      <c r="S1902" s="9">
        <f>dynamic[revenue]-(dynamic[productCost]*dynamic[orderQuantity])</f>
        <v>292.5898538</v>
      </c>
      <c r="T1902" s="25">
        <f>IFERROR(dynamic[profit]/dynamic[revenue], 0)</f>
        <v>0.3849866497</v>
      </c>
    </row>
    <row r="1903" ht="15.75" customHeight="1">
      <c r="A1903" s="6">
        <v>10985.0</v>
      </c>
      <c r="B1903" s="7" t="s">
        <v>49</v>
      </c>
      <c r="C1903" s="24" t="str">
        <f>VLOOKUP(dynamic[customerID],customers[],2,FALSE)</f>
        <v>Hungry Owl All-Night Grocers</v>
      </c>
      <c r="D1903" s="24">
        <v>45381.0</v>
      </c>
      <c r="E1903" s="6">
        <f>IFERROR(__xludf.DUMMYFUNCTION("COUNTUNIQUEIFS($A$2:$A1903,$B$2:$B1903,B1903)"),18.0)</f>
        <v>18</v>
      </c>
      <c r="F1903" s="6">
        <f t="shared" si="1"/>
        <v>33</v>
      </c>
      <c r="G1903" s="6" t="str">
        <f>IF(MINIFS(dynamic[orderDate], dynamic[customerID], B1903) &gt;= DATE(2024,4,30)-120, 
     "New", 
     IF(MAXIFS(dynamic[orderCount], dynamic[customerID], B1903)&lt;=2, 
        IF((DATE(2024,4,30) - MAXIFS(dynamic[orderDate], dynamic[customerID], B1903)) &gt; 180, "Non-Returning", "Dormant"), 
        IF(AND(MAX(dynamic[sinceLastOrder]) &gt; 365, (DATE(2024,4,30) - MAXIFS(dynamic[orderDate], dynamic[customerID], B1903)) &gt; 180), 
           "Dormant", "Regular")))</f>
        <v>Regular</v>
      </c>
      <c r="H1903" s="6">
        <v>16.0</v>
      </c>
      <c r="I1903" s="9" t="str">
        <f>VLOOKUP(dynamic[productID],products[],2,FALSE)</f>
        <v>Pavlova</v>
      </c>
      <c r="J1903" s="9" t="str">
        <f>VLOOKUP(dynamic[productID],products[],12,FALSE)</f>
        <v>Confections</v>
      </c>
      <c r="K1903" s="7" t="str">
        <f>IF(VLOOKUP(dynamic[productID],products[],7,FALSE)=1,"Discontinued","Current")</f>
        <v>Current</v>
      </c>
      <c r="L1903" s="9">
        <f>VLOOKUP(dynamic[productID],products[],IF(YEAR(dynamic[orderDate])=2022,8,IF(YEAR(dynamic[orderDate])=2023,9,IF(YEAR(dynamic[orderDate])=2024,10,NA))),FALSE)</f>
        <v>12.68283974</v>
      </c>
      <c r="M1903" s="9">
        <v>17.45</v>
      </c>
      <c r="N1903" s="25">
        <f>(dynamic[orderPrice]-dynamic[productCost])/dynamic[productCost]</f>
        <v>0.3758748323</v>
      </c>
      <c r="O1903" s="10">
        <v>36.0</v>
      </c>
      <c r="P1903" s="25">
        <v>0.1</v>
      </c>
      <c r="Q1903" s="9">
        <f>dynamic[orderPrice]*dynamic[orderQuantity]</f>
        <v>628.2</v>
      </c>
      <c r="R1903" s="9">
        <f>dynamic[orderTotal]*(1-dynamic[discountApllied])</f>
        <v>565.38</v>
      </c>
      <c r="S1903" s="9">
        <f>dynamic[revenue]-(dynamic[productCost]*dynamic[orderQuantity])</f>
        <v>108.7977694</v>
      </c>
      <c r="T1903" s="25">
        <f>IFERROR(dynamic[profit]/dynamic[revenue], 0)</f>
        <v>0.1924329997</v>
      </c>
    </row>
    <row r="1904" ht="15.75" customHeight="1">
      <c r="A1904" s="6">
        <v>10985.0</v>
      </c>
      <c r="B1904" s="7" t="s">
        <v>49</v>
      </c>
      <c r="C1904" s="24" t="str">
        <f>VLOOKUP(dynamic[customerID],customers[],2,FALSE)</f>
        <v>Hungry Owl All-Night Grocers</v>
      </c>
      <c r="D1904" s="24">
        <v>45381.0</v>
      </c>
      <c r="E1904" s="6">
        <f>IFERROR(__xludf.DUMMYFUNCTION("COUNTUNIQUEIFS($A$2:$A1904,$B$2:$B1904,B1904)"),18.0)</f>
        <v>18</v>
      </c>
      <c r="F1904" s="6">
        <f t="shared" si="1"/>
        <v>33</v>
      </c>
      <c r="G1904" s="6" t="str">
        <f>IF(MINIFS(dynamic[orderDate], dynamic[customerID], B1904) &gt;= DATE(2024,4,30)-120, 
     "New", 
     IF(MAXIFS(dynamic[orderCount], dynamic[customerID], B1904)&lt;=2, 
        IF((DATE(2024,4,30) - MAXIFS(dynamic[orderDate], dynamic[customerID], B1904)) &gt; 180, "Non-Returning", "Dormant"), 
        IF(AND(MAX(dynamic[sinceLastOrder]) &gt; 365, (DATE(2024,4,30) - MAXIFS(dynamic[orderDate], dynamic[customerID], B1904)) &gt; 180), 
           "Dormant", "Regular")))</f>
        <v>Regular</v>
      </c>
      <c r="H1904" s="6">
        <v>18.0</v>
      </c>
      <c r="I1904" s="9" t="str">
        <f>VLOOKUP(dynamic[productID],products[],2,FALSE)</f>
        <v>Carnarvon Tigers</v>
      </c>
      <c r="J1904" s="9" t="str">
        <f>VLOOKUP(dynamic[productID],products[],12,FALSE)</f>
        <v>Seafood</v>
      </c>
      <c r="K1904" s="7" t="str">
        <f>IF(VLOOKUP(dynamic[productID],products[],7,FALSE)=1,"Discontinued","Current")</f>
        <v>Current</v>
      </c>
      <c r="L1904" s="9">
        <f>VLOOKUP(dynamic[productID],products[],IF(YEAR(dynamic[orderDate])=2022,8,IF(YEAR(dynamic[orderDate])=2023,9,IF(YEAR(dynamic[orderDate])=2024,10,NA))),FALSE)</f>
        <v>41.27004985</v>
      </c>
      <c r="M1904" s="9">
        <v>62.5</v>
      </c>
      <c r="N1904" s="25">
        <f>(dynamic[orderPrice]-dynamic[productCost])/dynamic[productCost]</f>
        <v>0.5144154231</v>
      </c>
      <c r="O1904" s="10">
        <v>8.0</v>
      </c>
      <c r="P1904" s="25">
        <v>0.1</v>
      </c>
      <c r="Q1904" s="9">
        <f>dynamic[orderPrice]*dynamic[orderQuantity]</f>
        <v>500</v>
      </c>
      <c r="R1904" s="9">
        <f>dynamic[orderTotal]*(1-dynamic[discountApllied])</f>
        <v>450</v>
      </c>
      <c r="S1904" s="9">
        <f>dynamic[revenue]-(dynamic[productCost]*dynamic[orderQuantity])</f>
        <v>119.8396012</v>
      </c>
      <c r="T1904" s="25">
        <f>IFERROR(dynamic[profit]/dynamic[revenue], 0)</f>
        <v>0.266310225</v>
      </c>
    </row>
    <row r="1905" ht="15.75" customHeight="1">
      <c r="A1905" s="6">
        <v>10985.0</v>
      </c>
      <c r="B1905" s="7" t="s">
        <v>49</v>
      </c>
      <c r="C1905" s="24" t="str">
        <f>VLOOKUP(dynamic[customerID],customers[],2,FALSE)</f>
        <v>Hungry Owl All-Night Grocers</v>
      </c>
      <c r="D1905" s="24">
        <v>45381.0</v>
      </c>
      <c r="E1905" s="6">
        <f>IFERROR(__xludf.DUMMYFUNCTION("COUNTUNIQUEIFS($A$2:$A1905,$B$2:$B1905,B1905)"),18.0)</f>
        <v>18</v>
      </c>
      <c r="F1905" s="6">
        <f t="shared" si="1"/>
        <v>33</v>
      </c>
      <c r="G1905" s="6" t="str">
        <f>IF(MINIFS(dynamic[orderDate], dynamic[customerID], B1905) &gt;= DATE(2024,4,30)-120, 
     "New", 
     IF(MAXIFS(dynamic[orderCount], dynamic[customerID], B1905)&lt;=2, 
        IF((DATE(2024,4,30) - MAXIFS(dynamic[orderDate], dynamic[customerID], B1905)) &gt; 180, "Non-Returning", "Dormant"), 
        IF(AND(MAX(dynamic[sinceLastOrder]) &gt; 365, (DATE(2024,4,30) - MAXIFS(dynamic[orderDate], dynamic[customerID], B1905)) &gt; 180), 
           "Dormant", "Regular")))</f>
        <v>Regular</v>
      </c>
      <c r="H1905" s="6">
        <v>32.0</v>
      </c>
      <c r="I1905" s="9" t="str">
        <f>VLOOKUP(dynamic[productID],products[],2,FALSE)</f>
        <v>Mascarpone Fabioli</v>
      </c>
      <c r="J1905" s="9" t="str">
        <f>VLOOKUP(dynamic[productID],products[],12,FALSE)</f>
        <v>Dairy Products</v>
      </c>
      <c r="K1905" s="7" t="str">
        <f>IF(VLOOKUP(dynamic[productID],products[],7,FALSE)=1,"Discontinued","Current")</f>
        <v>Current</v>
      </c>
      <c r="L1905" s="9">
        <f>VLOOKUP(dynamic[productID],products[],IF(YEAR(dynamic[orderDate])=2022,8,IF(YEAR(dynamic[orderDate])=2023,9,IF(YEAR(dynamic[orderDate])=2024,10,NA))),FALSE)</f>
        <v>21.42783354</v>
      </c>
      <c r="M1905" s="9">
        <v>32.0</v>
      </c>
      <c r="N1905" s="25">
        <f>(dynamic[orderPrice]-dynamic[productCost])/dynamic[productCost]</f>
        <v>0.4933847575</v>
      </c>
      <c r="O1905" s="10">
        <v>35.0</v>
      </c>
      <c r="P1905" s="25">
        <v>0.1</v>
      </c>
      <c r="Q1905" s="9">
        <f>dynamic[orderPrice]*dynamic[orderQuantity]</f>
        <v>1120</v>
      </c>
      <c r="R1905" s="9">
        <f>dynamic[orderTotal]*(1-dynamic[discountApllied])</f>
        <v>1008</v>
      </c>
      <c r="S1905" s="9">
        <f>dynamic[revenue]-(dynamic[productCost]*dynamic[orderQuantity])</f>
        <v>258.025826</v>
      </c>
      <c r="T1905" s="25">
        <f>IFERROR(dynamic[profit]/dynamic[revenue], 0)</f>
        <v>0.255978002</v>
      </c>
    </row>
    <row r="1906" ht="15.75" customHeight="1">
      <c r="A1906" s="6">
        <v>10986.0</v>
      </c>
      <c r="B1906" s="7" t="s">
        <v>84</v>
      </c>
      <c r="C1906" s="24" t="str">
        <f>VLOOKUP(dynamic[customerID],customers[],2,FALSE)</f>
        <v>Océano Atlántico Ltda.</v>
      </c>
      <c r="D1906" s="24">
        <v>45381.0</v>
      </c>
      <c r="E1906" s="6">
        <f>IFERROR(__xludf.DUMMYFUNCTION("COUNTUNIQUEIFS($A$2:$A1906,$B$2:$B1906,B1906)"),5.0)</f>
        <v>5</v>
      </c>
      <c r="F1906" s="6">
        <f t="shared" si="1"/>
        <v>12</v>
      </c>
      <c r="G1906" s="6" t="str">
        <f>IF(MINIFS(dynamic[orderDate], dynamic[customerID], B1906) &gt;= DATE(2024,4,30)-120, 
     "New", 
     IF(MAXIFS(dynamic[orderCount], dynamic[customerID], B1906)&lt;=2, 
        IF((DATE(2024,4,30) - MAXIFS(dynamic[orderDate], dynamic[customerID], B1906)) &gt; 180, "Non-Returning", "Dormant"), 
        IF(AND(MAX(dynamic[sinceLastOrder]) &gt; 365, (DATE(2024,4,30) - MAXIFS(dynamic[orderDate], dynamic[customerID], B1906)) &gt; 180), 
           "Dormant", "Regular")))</f>
        <v>Regular</v>
      </c>
      <c r="H1906" s="6">
        <v>11.0</v>
      </c>
      <c r="I1906" s="9" t="str">
        <f>VLOOKUP(dynamic[productID],products[],2,FALSE)</f>
        <v>Queso Cabrales</v>
      </c>
      <c r="J1906" s="9" t="str">
        <f>VLOOKUP(dynamic[productID],products[],12,FALSE)</f>
        <v>Dairy Products</v>
      </c>
      <c r="K1906" s="7" t="str">
        <f>IF(VLOOKUP(dynamic[productID],products[],7,FALSE)=1,"Discontinued","Current")</f>
        <v>Current</v>
      </c>
      <c r="L1906" s="9">
        <f>VLOOKUP(dynamic[productID],products[],IF(YEAR(dynamic[orderDate])=2022,8,IF(YEAR(dynamic[orderDate])=2023,9,IF(YEAR(dynamic[orderDate])=2024,10,NA))),FALSE)</f>
        <v>13.86836261</v>
      </c>
      <c r="M1906" s="9">
        <v>21.0</v>
      </c>
      <c r="N1906" s="25">
        <f>(dynamic[orderPrice]-dynamic[productCost])/dynamic[productCost]</f>
        <v>0.51423788</v>
      </c>
      <c r="O1906" s="10">
        <v>30.0</v>
      </c>
      <c r="P1906" s="25">
        <v>0.0</v>
      </c>
      <c r="Q1906" s="9">
        <f>dynamic[orderPrice]*dynamic[orderQuantity]</f>
        <v>630</v>
      </c>
      <c r="R1906" s="9">
        <f>dynamic[orderTotal]*(1-dynamic[discountApllied])</f>
        <v>630</v>
      </c>
      <c r="S1906" s="9">
        <f>dynamic[revenue]-(dynamic[productCost]*dynamic[orderQuantity])</f>
        <v>213.9491217</v>
      </c>
      <c r="T1906" s="25">
        <f>IFERROR(dynamic[profit]/dynamic[revenue], 0)</f>
        <v>0.3396017804</v>
      </c>
    </row>
    <row r="1907" ht="15.75" customHeight="1">
      <c r="A1907" s="6">
        <v>10986.0</v>
      </c>
      <c r="B1907" s="7" t="s">
        <v>84</v>
      </c>
      <c r="C1907" s="24" t="str">
        <f>VLOOKUP(dynamic[customerID],customers[],2,FALSE)</f>
        <v>Océano Atlántico Ltda.</v>
      </c>
      <c r="D1907" s="24">
        <v>45381.0</v>
      </c>
      <c r="E1907" s="6">
        <f>IFERROR(__xludf.DUMMYFUNCTION("COUNTUNIQUEIFS($A$2:$A1907,$B$2:$B1907,B1907)"),5.0)</f>
        <v>5</v>
      </c>
      <c r="F1907" s="6">
        <f t="shared" si="1"/>
        <v>12</v>
      </c>
      <c r="G1907" s="6" t="str">
        <f>IF(MINIFS(dynamic[orderDate], dynamic[customerID], B1907) &gt;= DATE(2024,4,30)-120, 
     "New", 
     IF(MAXIFS(dynamic[orderCount], dynamic[customerID], B1907)&lt;=2, 
        IF((DATE(2024,4,30) - MAXIFS(dynamic[orderDate], dynamic[customerID], B1907)) &gt; 180, "Non-Returning", "Dormant"), 
        IF(AND(MAX(dynamic[sinceLastOrder]) &gt; 365, (DATE(2024,4,30) - MAXIFS(dynamic[orderDate], dynamic[customerID], B1907)) &gt; 180), 
           "Dormant", "Regular")))</f>
        <v>Regular</v>
      </c>
      <c r="H1907" s="6">
        <v>20.0</v>
      </c>
      <c r="I1907" s="9" t="str">
        <f>VLOOKUP(dynamic[productID],products[],2,FALSE)</f>
        <v>Sir Rodney's Marmalade</v>
      </c>
      <c r="J1907" s="9" t="str">
        <f>VLOOKUP(dynamic[productID],products[],12,FALSE)</f>
        <v>Confections</v>
      </c>
      <c r="K1907" s="7" t="str">
        <f>IF(VLOOKUP(dynamic[productID],products[],7,FALSE)=1,"Discontinued","Current")</f>
        <v>Current</v>
      </c>
      <c r="L1907" s="9">
        <f>VLOOKUP(dynamic[productID],products[],IF(YEAR(dynamic[orderDate])=2022,8,IF(YEAR(dynamic[orderDate])=2023,9,IF(YEAR(dynamic[orderDate])=2024,10,NA))),FALSE)</f>
        <v>62.82537598</v>
      </c>
      <c r="M1907" s="9">
        <v>81.0</v>
      </c>
      <c r="N1907" s="25">
        <f>(dynamic[orderPrice]-dynamic[productCost])/dynamic[productCost]</f>
        <v>0.2892879468</v>
      </c>
      <c r="O1907" s="10">
        <v>15.0</v>
      </c>
      <c r="P1907" s="25">
        <v>0.0</v>
      </c>
      <c r="Q1907" s="9">
        <f>dynamic[orderPrice]*dynamic[orderQuantity]</f>
        <v>1215</v>
      </c>
      <c r="R1907" s="9">
        <f>dynamic[orderTotal]*(1-dynamic[discountApllied])</f>
        <v>1215</v>
      </c>
      <c r="S1907" s="9">
        <f>dynamic[revenue]-(dynamic[productCost]*dynamic[orderQuantity])</f>
        <v>272.6193604</v>
      </c>
      <c r="T1907" s="25">
        <f>IFERROR(dynamic[profit]/dynamic[revenue], 0)</f>
        <v>0.2243780744</v>
      </c>
    </row>
    <row r="1908" ht="15.75" customHeight="1">
      <c r="A1908" s="6">
        <v>10986.0</v>
      </c>
      <c r="B1908" s="7" t="s">
        <v>84</v>
      </c>
      <c r="C1908" s="24" t="str">
        <f>VLOOKUP(dynamic[customerID],customers[],2,FALSE)</f>
        <v>Océano Atlántico Ltda.</v>
      </c>
      <c r="D1908" s="24">
        <v>45381.0</v>
      </c>
      <c r="E1908" s="6">
        <f>IFERROR(__xludf.DUMMYFUNCTION("COUNTUNIQUEIFS($A$2:$A1908,$B$2:$B1908,B1908)"),5.0)</f>
        <v>5</v>
      </c>
      <c r="F1908" s="6">
        <f t="shared" si="1"/>
        <v>12</v>
      </c>
      <c r="G1908" s="6" t="str">
        <f>IF(MINIFS(dynamic[orderDate], dynamic[customerID], B1908) &gt;= DATE(2024,4,30)-120, 
     "New", 
     IF(MAXIFS(dynamic[orderCount], dynamic[customerID], B1908)&lt;=2, 
        IF((DATE(2024,4,30) - MAXIFS(dynamic[orderDate], dynamic[customerID], B1908)) &gt; 180, "Non-Returning", "Dormant"), 
        IF(AND(MAX(dynamic[sinceLastOrder]) &gt; 365, (DATE(2024,4,30) - MAXIFS(dynamic[orderDate], dynamic[customerID], B1908)) &gt; 180), 
           "Dormant", "Regular")))</f>
        <v>Regular</v>
      </c>
      <c r="H1908" s="6">
        <v>76.0</v>
      </c>
      <c r="I1908" s="9" t="str">
        <f>VLOOKUP(dynamic[productID],products[],2,FALSE)</f>
        <v>Lakkalikööri</v>
      </c>
      <c r="J1908" s="9" t="str">
        <f>VLOOKUP(dynamic[productID],products[],12,FALSE)</f>
        <v>Beverages</v>
      </c>
      <c r="K1908" s="7" t="str">
        <f>IF(VLOOKUP(dynamic[productID],products[],7,FALSE)=1,"Discontinued","Current")</f>
        <v>Current</v>
      </c>
      <c r="L1908" s="9">
        <f>VLOOKUP(dynamic[productID],products[],IF(YEAR(dynamic[orderDate])=2022,8,IF(YEAR(dynamic[orderDate])=2023,9,IF(YEAR(dynamic[orderDate])=2024,10,NA))),FALSE)</f>
        <v>12.15832249</v>
      </c>
      <c r="M1908" s="9">
        <v>18.0</v>
      </c>
      <c r="N1908" s="25">
        <f>(dynamic[orderPrice]-dynamic[productCost])/dynamic[productCost]</f>
        <v>0.4804673928</v>
      </c>
      <c r="O1908" s="10">
        <v>10.0</v>
      </c>
      <c r="P1908" s="25">
        <v>0.0</v>
      </c>
      <c r="Q1908" s="9">
        <f>dynamic[orderPrice]*dynamic[orderQuantity]</f>
        <v>180</v>
      </c>
      <c r="R1908" s="9">
        <f>dynamic[orderTotal]*(1-dynamic[discountApllied])</f>
        <v>180</v>
      </c>
      <c r="S1908" s="9">
        <f>dynamic[revenue]-(dynamic[productCost]*dynamic[orderQuantity])</f>
        <v>58.41677509</v>
      </c>
      <c r="T1908" s="25">
        <f>IFERROR(dynamic[profit]/dynamic[revenue], 0)</f>
        <v>0.3245376394</v>
      </c>
    </row>
    <row r="1909" ht="15.75" customHeight="1">
      <c r="A1909" s="6">
        <v>10986.0</v>
      </c>
      <c r="B1909" s="7" t="s">
        <v>84</v>
      </c>
      <c r="C1909" s="24" t="str">
        <f>VLOOKUP(dynamic[customerID],customers[],2,FALSE)</f>
        <v>Océano Atlántico Ltda.</v>
      </c>
      <c r="D1909" s="24">
        <v>45381.0</v>
      </c>
      <c r="E1909" s="6">
        <f>IFERROR(__xludf.DUMMYFUNCTION("COUNTUNIQUEIFS($A$2:$A1909,$B$2:$B1909,B1909)"),5.0)</f>
        <v>5</v>
      </c>
      <c r="F1909" s="6">
        <f t="shared" si="1"/>
        <v>12</v>
      </c>
      <c r="G1909" s="6" t="str">
        <f>IF(MINIFS(dynamic[orderDate], dynamic[customerID], B1909) &gt;= DATE(2024,4,30)-120, 
     "New", 
     IF(MAXIFS(dynamic[orderCount], dynamic[customerID], B1909)&lt;=2, 
        IF((DATE(2024,4,30) - MAXIFS(dynamic[orderDate], dynamic[customerID], B1909)) &gt; 180, "Non-Returning", "Dormant"), 
        IF(AND(MAX(dynamic[sinceLastOrder]) &gt; 365, (DATE(2024,4,30) - MAXIFS(dynamic[orderDate], dynamic[customerID], B1909)) &gt; 180), 
           "Dormant", "Regular")))</f>
        <v>Regular</v>
      </c>
      <c r="H1909" s="6">
        <v>77.0</v>
      </c>
      <c r="I1909" s="9" t="str">
        <f>VLOOKUP(dynamic[productID],products[],2,FALSE)</f>
        <v>Original Frankfurter grüne Soße</v>
      </c>
      <c r="J1909" s="9" t="str">
        <f>VLOOKUP(dynamic[productID],products[],12,FALSE)</f>
        <v>Condiments</v>
      </c>
      <c r="K1909" s="7" t="str">
        <f>IF(VLOOKUP(dynamic[productID],products[],7,FALSE)=1,"Discontinued","Current")</f>
        <v>Current</v>
      </c>
      <c r="L1909" s="9">
        <f>VLOOKUP(dynamic[productID],products[],IF(YEAR(dynamic[orderDate])=2022,8,IF(YEAR(dynamic[orderDate])=2023,9,IF(YEAR(dynamic[orderDate])=2024,10,NA))),FALSE)</f>
        <v>9.299025151</v>
      </c>
      <c r="M1909" s="9">
        <v>13.0</v>
      </c>
      <c r="N1909" s="25">
        <f>(dynamic[orderPrice]-dynamic[productCost])/dynamic[productCost]</f>
        <v>0.3979960037</v>
      </c>
      <c r="O1909" s="10">
        <v>15.0</v>
      </c>
      <c r="P1909" s="25">
        <v>0.0</v>
      </c>
      <c r="Q1909" s="9">
        <f>dynamic[orderPrice]*dynamic[orderQuantity]</f>
        <v>195</v>
      </c>
      <c r="R1909" s="9">
        <f>dynamic[orderTotal]*(1-dynamic[discountApllied])</f>
        <v>195</v>
      </c>
      <c r="S1909" s="9">
        <f>dynamic[revenue]-(dynamic[productCost]*dynamic[orderQuantity])</f>
        <v>55.51462273</v>
      </c>
      <c r="T1909" s="25">
        <f>IFERROR(dynamic[profit]/dynamic[revenue], 0)</f>
        <v>0.284690373</v>
      </c>
    </row>
    <row r="1910" ht="15.75" customHeight="1">
      <c r="A1910" s="6">
        <v>10987.0</v>
      </c>
      <c r="B1910" s="7" t="s">
        <v>73</v>
      </c>
      <c r="C1910" s="24" t="str">
        <f>VLOOKUP(dynamic[customerID],customers[],2,FALSE)</f>
        <v>Eastern Connection</v>
      </c>
      <c r="D1910" s="24">
        <v>45382.0</v>
      </c>
      <c r="E1910" s="6">
        <f>IFERROR(__xludf.DUMMYFUNCTION("COUNTUNIQUEIFS($A$2:$A1910,$B$2:$B1910,B1910)"),5.0)</f>
        <v>5</v>
      </c>
      <c r="F1910" s="6">
        <f t="shared" si="1"/>
        <v>149</v>
      </c>
      <c r="G1910" s="6" t="str">
        <f>IF(MINIFS(dynamic[orderDate], dynamic[customerID], B1910) &gt;= DATE(2024,4,30)-120, 
     "New", 
     IF(MAXIFS(dynamic[orderCount], dynamic[customerID], B1910)&lt;=2, 
        IF((DATE(2024,4,30) - MAXIFS(dynamic[orderDate], dynamic[customerID], B1910)) &gt; 180, "Non-Returning", "Dormant"), 
        IF(AND(MAX(dynamic[sinceLastOrder]) &gt; 365, (DATE(2024,4,30) - MAXIFS(dynamic[orderDate], dynamic[customerID], B1910)) &gt; 180), 
           "Dormant", "Regular")))</f>
        <v>Regular</v>
      </c>
      <c r="H1910" s="6">
        <v>7.0</v>
      </c>
      <c r="I1910" s="9" t="str">
        <f>VLOOKUP(dynamic[productID],products[],2,FALSE)</f>
        <v>Uncle Bob's Organic Dried Pears</v>
      </c>
      <c r="J1910" s="9" t="str">
        <f>VLOOKUP(dynamic[productID],products[],12,FALSE)</f>
        <v>Produce</v>
      </c>
      <c r="K1910" s="7" t="str">
        <f>IF(VLOOKUP(dynamic[productID],products[],7,FALSE)=1,"Discontinued","Current")</f>
        <v>Current</v>
      </c>
      <c r="L1910" s="9">
        <f>VLOOKUP(dynamic[productID],products[],IF(YEAR(dynamic[orderDate])=2022,8,IF(YEAR(dynamic[orderDate])=2023,9,IF(YEAR(dynamic[orderDate])=2024,10,NA))),FALSE)</f>
        <v>23.52222246</v>
      </c>
      <c r="M1910" s="9">
        <v>30.0</v>
      </c>
      <c r="N1910" s="25">
        <f>(dynamic[orderPrice]-dynamic[productCost])/dynamic[productCost]</f>
        <v>0.2753896894</v>
      </c>
      <c r="O1910" s="10">
        <v>60.0</v>
      </c>
      <c r="P1910" s="25">
        <v>0.0</v>
      </c>
      <c r="Q1910" s="9">
        <f>dynamic[orderPrice]*dynamic[orderQuantity]</f>
        <v>1800</v>
      </c>
      <c r="R1910" s="9">
        <f>dynamic[orderTotal]*(1-dynamic[discountApllied])</f>
        <v>1800</v>
      </c>
      <c r="S1910" s="9">
        <f>dynamic[revenue]-(dynamic[productCost]*dynamic[orderQuantity])</f>
        <v>388.6666522</v>
      </c>
      <c r="T1910" s="25">
        <f>IFERROR(dynamic[profit]/dynamic[revenue], 0)</f>
        <v>0.2159259179</v>
      </c>
    </row>
    <row r="1911" ht="15.75" customHeight="1">
      <c r="A1911" s="6">
        <v>10987.0</v>
      </c>
      <c r="B1911" s="7" t="s">
        <v>73</v>
      </c>
      <c r="C1911" s="24" t="str">
        <f>VLOOKUP(dynamic[customerID],customers[],2,FALSE)</f>
        <v>Eastern Connection</v>
      </c>
      <c r="D1911" s="24">
        <v>45382.0</v>
      </c>
      <c r="E1911" s="6">
        <f>IFERROR(__xludf.DUMMYFUNCTION("COUNTUNIQUEIFS($A$2:$A1911,$B$2:$B1911,B1911)"),5.0)</f>
        <v>5</v>
      </c>
      <c r="F1911" s="6">
        <f t="shared" si="1"/>
        <v>149</v>
      </c>
      <c r="G1911" s="6" t="str">
        <f>IF(MINIFS(dynamic[orderDate], dynamic[customerID], B1911) &gt;= DATE(2024,4,30)-120, 
     "New", 
     IF(MAXIFS(dynamic[orderCount], dynamic[customerID], B1911)&lt;=2, 
        IF((DATE(2024,4,30) - MAXIFS(dynamic[orderDate], dynamic[customerID], B1911)) &gt; 180, "Non-Returning", "Dormant"), 
        IF(AND(MAX(dynamic[sinceLastOrder]) &gt; 365, (DATE(2024,4,30) - MAXIFS(dynamic[orderDate], dynamic[customerID], B1911)) &gt; 180), 
           "Dormant", "Regular")))</f>
        <v>Regular</v>
      </c>
      <c r="H1911" s="6">
        <v>43.0</v>
      </c>
      <c r="I1911" s="9" t="str">
        <f>VLOOKUP(dynamic[productID],products[],2,FALSE)</f>
        <v>Ipoh Coffee</v>
      </c>
      <c r="J1911" s="9" t="str">
        <f>VLOOKUP(dynamic[productID],products[],12,FALSE)</f>
        <v>Beverages</v>
      </c>
      <c r="K1911" s="7" t="str">
        <f>IF(VLOOKUP(dynamic[productID],products[],7,FALSE)=1,"Discontinued","Current")</f>
        <v>Current</v>
      </c>
      <c r="L1911" s="9">
        <f>VLOOKUP(dynamic[productID],products[],IF(YEAR(dynamic[orderDate])=2022,8,IF(YEAR(dynamic[orderDate])=2023,9,IF(YEAR(dynamic[orderDate])=2024,10,NA))),FALSE)</f>
        <v>30.97984738</v>
      </c>
      <c r="M1911" s="9">
        <v>46.0</v>
      </c>
      <c r="N1911" s="25">
        <f>(dynamic[orderPrice]-dynamic[productCost])/dynamic[productCost]</f>
        <v>0.484836237</v>
      </c>
      <c r="O1911" s="10">
        <v>6.0</v>
      </c>
      <c r="P1911" s="25">
        <v>0.0</v>
      </c>
      <c r="Q1911" s="9">
        <f>dynamic[orderPrice]*dynamic[orderQuantity]</f>
        <v>276</v>
      </c>
      <c r="R1911" s="9">
        <f>dynamic[orderTotal]*(1-dynamic[discountApllied])</f>
        <v>276</v>
      </c>
      <c r="S1911" s="9">
        <f>dynamic[revenue]-(dynamic[productCost]*dynamic[orderQuantity])</f>
        <v>90.12091575</v>
      </c>
      <c r="T1911" s="25">
        <f>IFERROR(dynamic[profit]/dynamic[revenue], 0)</f>
        <v>0.3265250571</v>
      </c>
    </row>
    <row r="1912" ht="15.75" customHeight="1">
      <c r="A1912" s="6">
        <v>10987.0</v>
      </c>
      <c r="B1912" s="7" t="s">
        <v>73</v>
      </c>
      <c r="C1912" s="24" t="str">
        <f>VLOOKUP(dynamic[customerID],customers[],2,FALSE)</f>
        <v>Eastern Connection</v>
      </c>
      <c r="D1912" s="24">
        <v>45382.0</v>
      </c>
      <c r="E1912" s="6">
        <f>IFERROR(__xludf.DUMMYFUNCTION("COUNTUNIQUEIFS($A$2:$A1912,$B$2:$B1912,B1912)"),5.0)</f>
        <v>5</v>
      </c>
      <c r="F1912" s="6">
        <f t="shared" si="1"/>
        <v>149</v>
      </c>
      <c r="G1912" s="6" t="str">
        <f>IF(MINIFS(dynamic[orderDate], dynamic[customerID], B1912) &gt;= DATE(2024,4,30)-120, 
     "New", 
     IF(MAXIFS(dynamic[orderCount], dynamic[customerID], B1912)&lt;=2, 
        IF((DATE(2024,4,30) - MAXIFS(dynamic[orderDate], dynamic[customerID], B1912)) &gt; 180, "Non-Returning", "Dormant"), 
        IF(AND(MAX(dynamic[sinceLastOrder]) &gt; 365, (DATE(2024,4,30) - MAXIFS(dynamic[orderDate], dynamic[customerID], B1912)) &gt; 180), 
           "Dormant", "Regular")))</f>
        <v>Regular</v>
      </c>
      <c r="H1912" s="6">
        <v>72.0</v>
      </c>
      <c r="I1912" s="9" t="str">
        <f>VLOOKUP(dynamic[productID],products[],2,FALSE)</f>
        <v>Mozzarella di Giovanni</v>
      </c>
      <c r="J1912" s="9" t="str">
        <f>VLOOKUP(dynamic[productID],products[],12,FALSE)</f>
        <v>Dairy Products</v>
      </c>
      <c r="K1912" s="7" t="str">
        <f>IF(VLOOKUP(dynamic[productID],products[],7,FALSE)=1,"Discontinued","Current")</f>
        <v>Current</v>
      </c>
      <c r="L1912" s="9">
        <f>VLOOKUP(dynamic[productID],products[],IF(YEAR(dynamic[orderDate])=2022,8,IF(YEAR(dynamic[orderDate])=2023,9,IF(YEAR(dynamic[orderDate])=2024,10,NA))),FALSE)</f>
        <v>24.35057898</v>
      </c>
      <c r="M1912" s="9">
        <v>34.8</v>
      </c>
      <c r="N1912" s="25">
        <f>(dynamic[orderPrice]-dynamic[productCost])/dynamic[productCost]</f>
        <v>0.4291241297</v>
      </c>
      <c r="O1912" s="10">
        <v>20.0</v>
      </c>
      <c r="P1912" s="25">
        <v>0.0</v>
      </c>
      <c r="Q1912" s="9">
        <f>dynamic[orderPrice]*dynamic[orderQuantity]</f>
        <v>696</v>
      </c>
      <c r="R1912" s="9">
        <f>dynamic[orderTotal]*(1-dynamic[discountApllied])</f>
        <v>696</v>
      </c>
      <c r="S1912" s="9">
        <f>dynamic[revenue]-(dynamic[productCost]*dynamic[orderQuantity])</f>
        <v>208.9884203</v>
      </c>
      <c r="T1912" s="25">
        <f>IFERROR(dynamic[profit]/dynamic[revenue], 0)</f>
        <v>0.3002707188</v>
      </c>
    </row>
    <row r="1913" ht="15.75" customHeight="1">
      <c r="A1913" s="6">
        <v>10988.0</v>
      </c>
      <c r="B1913" s="7" t="s">
        <v>28</v>
      </c>
      <c r="C1913" s="24" t="str">
        <f>VLOOKUP(dynamic[customerID],customers[],2,FALSE)</f>
        <v>Rattlesnake Canyon Grocery</v>
      </c>
      <c r="D1913" s="24">
        <v>45382.0</v>
      </c>
      <c r="E1913" s="6">
        <f>IFERROR(__xludf.DUMMYFUNCTION("COUNTUNIQUEIFS($A$2:$A1913,$B$2:$B1913,B1913)"),16.0)</f>
        <v>16</v>
      </c>
      <c r="F1913" s="6">
        <f t="shared" si="1"/>
        <v>44</v>
      </c>
      <c r="G1913" s="6" t="str">
        <f>IF(MINIFS(dynamic[orderDate], dynamic[customerID], B1913) &gt;= DATE(2024,4,30)-120, 
     "New", 
     IF(MAXIFS(dynamic[orderCount], dynamic[customerID], B1913)&lt;=2, 
        IF((DATE(2024,4,30) - MAXIFS(dynamic[orderDate], dynamic[customerID], B1913)) &gt; 180, "Non-Returning", "Dormant"), 
        IF(AND(MAX(dynamic[sinceLastOrder]) &gt; 365, (DATE(2024,4,30) - MAXIFS(dynamic[orderDate], dynamic[customerID], B1913)) &gt; 180), 
           "Dormant", "Regular")))</f>
        <v>Regular</v>
      </c>
      <c r="H1913" s="6">
        <v>7.0</v>
      </c>
      <c r="I1913" s="9" t="str">
        <f>VLOOKUP(dynamic[productID],products[],2,FALSE)</f>
        <v>Uncle Bob's Organic Dried Pears</v>
      </c>
      <c r="J1913" s="9" t="str">
        <f>VLOOKUP(dynamic[productID],products[],12,FALSE)</f>
        <v>Produce</v>
      </c>
      <c r="K1913" s="7" t="str">
        <f>IF(VLOOKUP(dynamic[productID],products[],7,FALSE)=1,"Discontinued","Current")</f>
        <v>Current</v>
      </c>
      <c r="L1913" s="9">
        <f>VLOOKUP(dynamic[productID],products[],IF(YEAR(dynamic[orderDate])=2022,8,IF(YEAR(dynamic[orderDate])=2023,9,IF(YEAR(dynamic[orderDate])=2024,10,NA))),FALSE)</f>
        <v>23.52222246</v>
      </c>
      <c r="M1913" s="9">
        <v>30.0</v>
      </c>
      <c r="N1913" s="25">
        <f>(dynamic[orderPrice]-dynamic[productCost])/dynamic[productCost]</f>
        <v>0.2753896894</v>
      </c>
      <c r="O1913" s="10">
        <v>60.0</v>
      </c>
      <c r="P1913" s="25">
        <v>0.0</v>
      </c>
      <c r="Q1913" s="9">
        <f>dynamic[orderPrice]*dynamic[orderQuantity]</f>
        <v>1800</v>
      </c>
      <c r="R1913" s="9">
        <f>dynamic[orderTotal]*(1-dynamic[discountApllied])</f>
        <v>1800</v>
      </c>
      <c r="S1913" s="9">
        <f>dynamic[revenue]-(dynamic[productCost]*dynamic[orderQuantity])</f>
        <v>388.6666522</v>
      </c>
      <c r="T1913" s="25">
        <f>IFERROR(dynamic[profit]/dynamic[revenue], 0)</f>
        <v>0.2159259179</v>
      </c>
    </row>
    <row r="1914" ht="15.75" customHeight="1">
      <c r="A1914" s="6">
        <v>10988.0</v>
      </c>
      <c r="B1914" s="7" t="s">
        <v>28</v>
      </c>
      <c r="C1914" s="24" t="str">
        <f>VLOOKUP(dynamic[customerID],customers[],2,FALSE)</f>
        <v>Rattlesnake Canyon Grocery</v>
      </c>
      <c r="D1914" s="24">
        <v>45382.0</v>
      </c>
      <c r="E1914" s="6">
        <f>IFERROR(__xludf.DUMMYFUNCTION("COUNTUNIQUEIFS($A$2:$A1914,$B$2:$B1914,B1914)"),16.0)</f>
        <v>16</v>
      </c>
      <c r="F1914" s="6">
        <f t="shared" si="1"/>
        <v>44</v>
      </c>
      <c r="G1914" s="6" t="str">
        <f>IF(MINIFS(dynamic[orderDate], dynamic[customerID], B1914) &gt;= DATE(2024,4,30)-120, 
     "New", 
     IF(MAXIFS(dynamic[orderCount], dynamic[customerID], B1914)&lt;=2, 
        IF((DATE(2024,4,30) - MAXIFS(dynamic[orderDate], dynamic[customerID], B1914)) &gt; 180, "Non-Returning", "Dormant"), 
        IF(AND(MAX(dynamic[sinceLastOrder]) &gt; 365, (DATE(2024,4,30) - MAXIFS(dynamic[orderDate], dynamic[customerID], B1914)) &gt; 180), 
           "Dormant", "Regular")))</f>
        <v>Regular</v>
      </c>
      <c r="H1914" s="6">
        <v>62.0</v>
      </c>
      <c r="I1914" s="9" t="str">
        <f>VLOOKUP(dynamic[productID],products[],2,FALSE)</f>
        <v>Tarte au sucre</v>
      </c>
      <c r="J1914" s="9" t="str">
        <f>VLOOKUP(dynamic[productID],products[],12,FALSE)</f>
        <v>Confections</v>
      </c>
      <c r="K1914" s="7" t="str">
        <f>IF(VLOOKUP(dynamic[productID],products[],7,FALSE)=1,"Discontinued","Current")</f>
        <v>Current</v>
      </c>
      <c r="L1914" s="9">
        <f>VLOOKUP(dynamic[productID],products[],IF(YEAR(dynamic[orderDate])=2022,8,IF(YEAR(dynamic[orderDate])=2023,9,IF(YEAR(dynamic[orderDate])=2024,10,NA))),FALSE)</f>
        <v>34.88145014</v>
      </c>
      <c r="M1914" s="9">
        <v>49.3</v>
      </c>
      <c r="N1914" s="25">
        <f>(dynamic[orderPrice]-dynamic[productCost])/dynamic[productCost]</f>
        <v>0.4133586705</v>
      </c>
      <c r="O1914" s="10">
        <v>40.0</v>
      </c>
      <c r="P1914" s="25">
        <v>0.1</v>
      </c>
      <c r="Q1914" s="9">
        <f>dynamic[orderPrice]*dynamic[orderQuantity]</f>
        <v>1972</v>
      </c>
      <c r="R1914" s="9">
        <f>dynamic[orderTotal]*(1-dynamic[discountApllied])</f>
        <v>1774.8</v>
      </c>
      <c r="S1914" s="9">
        <f>dynamic[revenue]-(dynamic[productCost]*dynamic[orderQuantity])</f>
        <v>379.5419943</v>
      </c>
      <c r="T1914" s="25">
        <f>IFERROR(dynamic[profit]/dynamic[revenue], 0)</f>
        <v>0.2138505715</v>
      </c>
    </row>
    <row r="1915" ht="15.75" customHeight="1">
      <c r="A1915" s="6">
        <v>10989.0</v>
      </c>
      <c r="B1915" s="7" t="s">
        <v>27</v>
      </c>
      <c r="C1915" s="24" t="str">
        <f>VLOOKUP(dynamic[customerID],customers[],2,FALSE)</f>
        <v>Que Delícia</v>
      </c>
      <c r="D1915" s="24">
        <v>45382.0</v>
      </c>
      <c r="E1915" s="6">
        <f>IFERROR(__xludf.DUMMYFUNCTION("COUNTUNIQUEIFS($A$2:$A1915,$B$2:$B1915,B1915)"),9.0)</f>
        <v>9</v>
      </c>
      <c r="F1915" s="6">
        <f t="shared" si="1"/>
        <v>98</v>
      </c>
      <c r="G1915" s="6" t="str">
        <f>IF(MINIFS(dynamic[orderDate], dynamic[customerID], B1915) &gt;= DATE(2024,4,30)-120, 
     "New", 
     IF(MAXIFS(dynamic[orderCount], dynamic[customerID], B1915)&lt;=2, 
        IF((DATE(2024,4,30) - MAXIFS(dynamic[orderDate], dynamic[customerID], B1915)) &gt; 180, "Non-Returning", "Dormant"), 
        IF(AND(MAX(dynamic[sinceLastOrder]) &gt; 365, (DATE(2024,4,30) - MAXIFS(dynamic[orderDate], dynamic[customerID], B1915)) &gt; 180), 
           "Dormant", "Regular")))</f>
        <v>Regular</v>
      </c>
      <c r="H1915" s="6">
        <v>6.0</v>
      </c>
      <c r="I1915" s="9" t="str">
        <f>VLOOKUP(dynamic[productID],products[],2,FALSE)</f>
        <v>Grandma's Boysenberry Spread</v>
      </c>
      <c r="J1915" s="9" t="str">
        <f>VLOOKUP(dynamic[productID],products[],12,FALSE)</f>
        <v>Condiments</v>
      </c>
      <c r="K1915" s="7" t="str">
        <f>IF(VLOOKUP(dynamic[productID],products[],7,FALSE)=1,"Discontinued","Current")</f>
        <v>Current</v>
      </c>
      <c r="L1915" s="9">
        <f>VLOOKUP(dynamic[productID],products[],IF(YEAR(dynamic[orderDate])=2022,8,IF(YEAR(dynamic[orderDate])=2023,9,IF(YEAR(dynamic[orderDate])=2024,10,NA))),FALSE)</f>
        <v>17.2416593</v>
      </c>
      <c r="M1915" s="9">
        <v>25.0</v>
      </c>
      <c r="N1915" s="25">
        <f>(dynamic[orderPrice]-dynamic[productCost])/dynamic[productCost]</f>
        <v>0.4499764532</v>
      </c>
      <c r="O1915" s="10">
        <v>40.0</v>
      </c>
      <c r="P1915" s="25">
        <v>0.0</v>
      </c>
      <c r="Q1915" s="9">
        <f>dynamic[orderPrice]*dynamic[orderQuantity]</f>
        <v>1000</v>
      </c>
      <c r="R1915" s="9">
        <f>dynamic[orderTotal]*(1-dynamic[discountApllied])</f>
        <v>1000</v>
      </c>
      <c r="S1915" s="9">
        <f>dynamic[revenue]-(dynamic[productCost]*dynamic[orderQuantity])</f>
        <v>310.333628</v>
      </c>
      <c r="T1915" s="25">
        <f>IFERROR(dynamic[profit]/dynamic[revenue], 0)</f>
        <v>0.310333628</v>
      </c>
    </row>
    <row r="1916" ht="15.75" customHeight="1">
      <c r="A1916" s="6">
        <v>10989.0</v>
      </c>
      <c r="B1916" s="7" t="s">
        <v>27</v>
      </c>
      <c r="C1916" s="24" t="str">
        <f>VLOOKUP(dynamic[customerID],customers[],2,FALSE)</f>
        <v>Que Delícia</v>
      </c>
      <c r="D1916" s="24">
        <v>45382.0</v>
      </c>
      <c r="E1916" s="6">
        <f>IFERROR(__xludf.DUMMYFUNCTION("COUNTUNIQUEIFS($A$2:$A1916,$B$2:$B1916,B1916)"),9.0)</f>
        <v>9</v>
      </c>
      <c r="F1916" s="6">
        <f t="shared" si="1"/>
        <v>98</v>
      </c>
      <c r="G1916" s="6" t="str">
        <f>IF(MINIFS(dynamic[orderDate], dynamic[customerID], B1916) &gt;= DATE(2024,4,30)-120, 
     "New", 
     IF(MAXIFS(dynamic[orderCount], dynamic[customerID], B1916)&lt;=2, 
        IF((DATE(2024,4,30) - MAXIFS(dynamic[orderDate], dynamic[customerID], B1916)) &gt; 180, "Non-Returning", "Dormant"), 
        IF(AND(MAX(dynamic[sinceLastOrder]) &gt; 365, (DATE(2024,4,30) - MAXIFS(dynamic[orderDate], dynamic[customerID], B1916)) &gt; 180), 
           "Dormant", "Regular")))</f>
        <v>Regular</v>
      </c>
      <c r="H1916" s="6">
        <v>11.0</v>
      </c>
      <c r="I1916" s="9" t="str">
        <f>VLOOKUP(dynamic[productID],products[],2,FALSE)</f>
        <v>Queso Cabrales</v>
      </c>
      <c r="J1916" s="9" t="str">
        <f>VLOOKUP(dynamic[productID],products[],12,FALSE)</f>
        <v>Dairy Products</v>
      </c>
      <c r="K1916" s="7" t="str">
        <f>IF(VLOOKUP(dynamic[productID],products[],7,FALSE)=1,"Discontinued","Current")</f>
        <v>Current</v>
      </c>
      <c r="L1916" s="9">
        <f>VLOOKUP(dynamic[productID],products[],IF(YEAR(dynamic[orderDate])=2022,8,IF(YEAR(dynamic[orderDate])=2023,9,IF(YEAR(dynamic[orderDate])=2024,10,NA))),FALSE)</f>
        <v>13.86836261</v>
      </c>
      <c r="M1916" s="9">
        <v>21.0</v>
      </c>
      <c r="N1916" s="25">
        <f>(dynamic[orderPrice]-dynamic[productCost])/dynamic[productCost]</f>
        <v>0.51423788</v>
      </c>
      <c r="O1916" s="10">
        <v>15.0</v>
      </c>
      <c r="P1916" s="25">
        <v>0.0</v>
      </c>
      <c r="Q1916" s="9">
        <f>dynamic[orderPrice]*dynamic[orderQuantity]</f>
        <v>315</v>
      </c>
      <c r="R1916" s="9">
        <f>dynamic[orderTotal]*(1-dynamic[discountApllied])</f>
        <v>315</v>
      </c>
      <c r="S1916" s="9">
        <f>dynamic[revenue]-(dynamic[productCost]*dynamic[orderQuantity])</f>
        <v>106.9745608</v>
      </c>
      <c r="T1916" s="25">
        <f>IFERROR(dynamic[profit]/dynamic[revenue], 0)</f>
        <v>0.3396017804</v>
      </c>
    </row>
    <row r="1917" ht="15.75" customHeight="1">
      <c r="A1917" s="6">
        <v>10989.0</v>
      </c>
      <c r="B1917" s="7" t="s">
        <v>27</v>
      </c>
      <c r="C1917" s="24" t="str">
        <f>VLOOKUP(dynamic[customerID],customers[],2,FALSE)</f>
        <v>Que Delícia</v>
      </c>
      <c r="D1917" s="24">
        <v>45382.0</v>
      </c>
      <c r="E1917" s="6">
        <f>IFERROR(__xludf.DUMMYFUNCTION("COUNTUNIQUEIFS($A$2:$A1917,$B$2:$B1917,B1917)"),9.0)</f>
        <v>9</v>
      </c>
      <c r="F1917" s="6">
        <f t="shared" si="1"/>
        <v>98</v>
      </c>
      <c r="G1917" s="6" t="str">
        <f>IF(MINIFS(dynamic[orderDate], dynamic[customerID], B1917) &gt;= DATE(2024,4,30)-120, 
     "New", 
     IF(MAXIFS(dynamic[orderCount], dynamic[customerID], B1917)&lt;=2, 
        IF((DATE(2024,4,30) - MAXIFS(dynamic[orderDate], dynamic[customerID], B1917)) &gt; 180, "Non-Returning", "Dormant"), 
        IF(AND(MAX(dynamic[sinceLastOrder]) &gt; 365, (DATE(2024,4,30) - MAXIFS(dynamic[orderDate], dynamic[customerID], B1917)) &gt; 180), 
           "Dormant", "Regular")))</f>
        <v>Regular</v>
      </c>
      <c r="H1917" s="6">
        <v>41.0</v>
      </c>
      <c r="I1917" s="9" t="str">
        <f>VLOOKUP(dynamic[productID],products[],2,FALSE)</f>
        <v>Jack's New England Clam Chowder</v>
      </c>
      <c r="J1917" s="9" t="str">
        <f>VLOOKUP(dynamic[productID],products[],12,FALSE)</f>
        <v>Seafood</v>
      </c>
      <c r="K1917" s="7" t="str">
        <f>IF(VLOOKUP(dynamic[productID],products[],7,FALSE)=1,"Discontinued","Current")</f>
        <v>Current</v>
      </c>
      <c r="L1917" s="9">
        <f>VLOOKUP(dynamic[productID],products[],IF(YEAR(dynamic[orderDate])=2022,8,IF(YEAR(dynamic[orderDate])=2023,9,IF(YEAR(dynamic[orderDate])=2024,10,NA))),FALSE)</f>
        <v>6.611787882</v>
      </c>
      <c r="M1917" s="9">
        <v>9.65</v>
      </c>
      <c r="N1917" s="25">
        <f>(dynamic[orderPrice]-dynamic[productCost])/dynamic[productCost]</f>
        <v>0.459514457</v>
      </c>
      <c r="O1917" s="10">
        <v>4.0</v>
      </c>
      <c r="P1917" s="25">
        <v>0.0</v>
      </c>
      <c r="Q1917" s="9">
        <f>dynamic[orderPrice]*dynamic[orderQuantity]</f>
        <v>38.6</v>
      </c>
      <c r="R1917" s="9">
        <f>dynamic[orderTotal]*(1-dynamic[discountApllied])</f>
        <v>38.6</v>
      </c>
      <c r="S1917" s="9">
        <f>dynamic[revenue]-(dynamic[productCost]*dynamic[orderQuantity])</f>
        <v>12.15284847</v>
      </c>
      <c r="T1917" s="25">
        <f>IFERROR(dynamic[profit]/dynamic[revenue], 0)</f>
        <v>0.314840634</v>
      </c>
    </row>
    <row r="1918" ht="15.75" customHeight="1">
      <c r="A1918" s="6">
        <v>10990.0</v>
      </c>
      <c r="B1918" s="7" t="s">
        <v>24</v>
      </c>
      <c r="C1918" s="24" t="str">
        <f>VLOOKUP(dynamic[customerID],customers[],2,FALSE)</f>
        <v>Ernst Handel</v>
      </c>
      <c r="D1918" s="24">
        <v>45383.0</v>
      </c>
      <c r="E1918" s="6">
        <f>IFERROR(__xludf.DUMMYFUNCTION("COUNTUNIQUEIFS($A$2:$A1918,$B$2:$B1918,B1918)"),27.0)</f>
        <v>27</v>
      </c>
      <c r="F1918" s="6">
        <f t="shared" si="1"/>
        <v>6</v>
      </c>
      <c r="G1918" s="6" t="str">
        <f>IF(MINIFS(dynamic[orderDate], dynamic[customerID], B1918) &gt;= DATE(2024,4,30)-120, 
     "New", 
     IF(MAXIFS(dynamic[orderCount], dynamic[customerID], B1918)&lt;=2, 
        IF((DATE(2024,4,30) - MAXIFS(dynamic[orderDate], dynamic[customerID], B1918)) &gt; 180, "Non-Returning", "Dormant"), 
        IF(AND(MAX(dynamic[sinceLastOrder]) &gt; 365, (DATE(2024,4,30) - MAXIFS(dynamic[orderDate], dynamic[customerID], B1918)) &gt; 180), 
           "Dormant", "Regular")))</f>
        <v>Regular</v>
      </c>
      <c r="H1918" s="6">
        <v>21.0</v>
      </c>
      <c r="I1918" s="9" t="str">
        <f>VLOOKUP(dynamic[productID],products[],2,FALSE)</f>
        <v>Sir Rodney's Scones</v>
      </c>
      <c r="J1918" s="9" t="str">
        <f>VLOOKUP(dynamic[productID],products[],12,FALSE)</f>
        <v>Confections</v>
      </c>
      <c r="K1918" s="7" t="str">
        <f>IF(VLOOKUP(dynamic[productID],products[],7,FALSE)=1,"Discontinued","Current")</f>
        <v>Current</v>
      </c>
      <c r="L1918" s="9">
        <f>VLOOKUP(dynamic[productID],products[],IF(YEAR(dynamic[orderDate])=2022,8,IF(YEAR(dynamic[orderDate])=2023,9,IF(YEAR(dynamic[orderDate])=2024,10,NA))),FALSE)</f>
        <v>7.459897593</v>
      </c>
      <c r="M1918" s="9">
        <v>10.0</v>
      </c>
      <c r="N1918" s="25">
        <f>(dynamic[orderPrice]-dynamic[productCost])/dynamic[productCost]</f>
        <v>0.3405009753</v>
      </c>
      <c r="O1918" s="10">
        <v>65.0</v>
      </c>
      <c r="P1918" s="25">
        <v>0.0</v>
      </c>
      <c r="Q1918" s="9">
        <f>dynamic[orderPrice]*dynamic[orderQuantity]</f>
        <v>650</v>
      </c>
      <c r="R1918" s="9">
        <f>dynamic[orderTotal]*(1-dynamic[discountApllied])</f>
        <v>650</v>
      </c>
      <c r="S1918" s="9">
        <f>dynamic[revenue]-(dynamic[productCost]*dynamic[orderQuantity])</f>
        <v>165.1066564</v>
      </c>
      <c r="T1918" s="25">
        <f>IFERROR(dynamic[profit]/dynamic[revenue], 0)</f>
        <v>0.2540102407</v>
      </c>
    </row>
    <row r="1919" ht="15.75" customHeight="1">
      <c r="A1919" s="6">
        <v>10990.0</v>
      </c>
      <c r="B1919" s="7" t="s">
        <v>24</v>
      </c>
      <c r="C1919" s="24" t="str">
        <f>VLOOKUP(dynamic[customerID],customers[],2,FALSE)</f>
        <v>Ernst Handel</v>
      </c>
      <c r="D1919" s="24">
        <v>45383.0</v>
      </c>
      <c r="E1919" s="6">
        <f>IFERROR(__xludf.DUMMYFUNCTION("COUNTUNIQUEIFS($A$2:$A1919,$B$2:$B1919,B1919)"),27.0)</f>
        <v>27</v>
      </c>
      <c r="F1919" s="6">
        <f t="shared" si="1"/>
        <v>6</v>
      </c>
      <c r="G1919" s="6" t="str">
        <f>IF(MINIFS(dynamic[orderDate], dynamic[customerID], B1919) &gt;= DATE(2024,4,30)-120, 
     "New", 
     IF(MAXIFS(dynamic[orderCount], dynamic[customerID], B1919)&lt;=2, 
        IF((DATE(2024,4,30) - MAXIFS(dynamic[orderDate], dynamic[customerID], B1919)) &gt; 180, "Non-Returning", "Dormant"), 
        IF(AND(MAX(dynamic[sinceLastOrder]) &gt; 365, (DATE(2024,4,30) - MAXIFS(dynamic[orderDate], dynamic[customerID], B1919)) &gt; 180), 
           "Dormant", "Regular")))</f>
        <v>Regular</v>
      </c>
      <c r="H1919" s="6">
        <v>34.0</v>
      </c>
      <c r="I1919" s="9" t="str">
        <f>VLOOKUP(dynamic[productID],products[],2,FALSE)</f>
        <v>Sasquatch Ale</v>
      </c>
      <c r="J1919" s="9" t="str">
        <f>VLOOKUP(dynamic[productID],products[],12,FALSE)</f>
        <v>Beverages</v>
      </c>
      <c r="K1919" s="7" t="str">
        <f>IF(VLOOKUP(dynamic[productID],products[],7,FALSE)=1,"Discontinued","Current")</f>
        <v>Current</v>
      </c>
      <c r="L1919" s="9">
        <f>VLOOKUP(dynamic[productID],products[],IF(YEAR(dynamic[orderDate])=2022,8,IF(YEAR(dynamic[orderDate])=2023,9,IF(YEAR(dynamic[orderDate])=2024,10,NA))),FALSE)</f>
        <v>10.07231561</v>
      </c>
      <c r="M1919" s="9">
        <v>14.0</v>
      </c>
      <c r="N1919" s="25">
        <f>(dynamic[orderPrice]-dynamic[productCost])/dynamic[productCost]</f>
        <v>0.389948503</v>
      </c>
      <c r="O1919" s="10">
        <v>60.0</v>
      </c>
      <c r="P1919" s="25">
        <v>0.15</v>
      </c>
      <c r="Q1919" s="9">
        <f>dynamic[orderPrice]*dynamic[orderQuantity]</f>
        <v>840</v>
      </c>
      <c r="R1919" s="9">
        <f>dynamic[orderTotal]*(1-dynamic[discountApllied])</f>
        <v>714</v>
      </c>
      <c r="S1919" s="9">
        <f>dynamic[revenue]-(dynamic[productCost]*dynamic[orderQuantity])</f>
        <v>109.6610635</v>
      </c>
      <c r="T1919" s="25">
        <f>IFERROR(dynamic[profit]/dynamic[revenue], 0)</f>
        <v>0.1535869237</v>
      </c>
    </row>
    <row r="1920" ht="15.75" customHeight="1">
      <c r="A1920" s="6">
        <v>10990.0</v>
      </c>
      <c r="B1920" s="7" t="s">
        <v>24</v>
      </c>
      <c r="C1920" s="24" t="str">
        <f>VLOOKUP(dynamic[customerID],customers[],2,FALSE)</f>
        <v>Ernst Handel</v>
      </c>
      <c r="D1920" s="24">
        <v>45383.0</v>
      </c>
      <c r="E1920" s="6">
        <f>IFERROR(__xludf.DUMMYFUNCTION("COUNTUNIQUEIFS($A$2:$A1920,$B$2:$B1920,B1920)"),27.0)</f>
        <v>27</v>
      </c>
      <c r="F1920" s="6">
        <f t="shared" si="1"/>
        <v>6</v>
      </c>
      <c r="G1920" s="6" t="str">
        <f>IF(MINIFS(dynamic[orderDate], dynamic[customerID], B1920) &gt;= DATE(2024,4,30)-120, 
     "New", 
     IF(MAXIFS(dynamic[orderCount], dynamic[customerID], B1920)&lt;=2, 
        IF((DATE(2024,4,30) - MAXIFS(dynamic[orderDate], dynamic[customerID], B1920)) &gt; 180, "Non-Returning", "Dormant"), 
        IF(AND(MAX(dynamic[sinceLastOrder]) &gt; 365, (DATE(2024,4,30) - MAXIFS(dynamic[orderDate], dynamic[customerID], B1920)) &gt; 180), 
           "Dormant", "Regular")))</f>
        <v>Regular</v>
      </c>
      <c r="H1920" s="6">
        <v>55.0</v>
      </c>
      <c r="I1920" s="9" t="str">
        <f>VLOOKUP(dynamic[productID],products[],2,FALSE)</f>
        <v>Pâté chinois</v>
      </c>
      <c r="J1920" s="9" t="str">
        <f>VLOOKUP(dynamic[productID],products[],12,FALSE)</f>
        <v>Meat/Poultry</v>
      </c>
      <c r="K1920" s="7" t="str">
        <f>IF(VLOOKUP(dynamic[productID],products[],7,FALSE)=1,"Discontinued","Current")</f>
        <v>Current</v>
      </c>
      <c r="L1920" s="9">
        <f>VLOOKUP(dynamic[productID],products[],IF(YEAR(dynamic[orderDate])=2022,8,IF(YEAR(dynamic[orderDate])=2023,9,IF(YEAR(dynamic[orderDate])=2024,10,NA))),FALSE)</f>
        <v>16.95998522</v>
      </c>
      <c r="M1920" s="9">
        <v>24.0</v>
      </c>
      <c r="N1920" s="25">
        <f>(dynamic[orderPrice]-dynamic[productCost])/dynamic[productCost]</f>
        <v>0.4150955727</v>
      </c>
      <c r="O1920" s="10">
        <v>65.0</v>
      </c>
      <c r="P1920" s="25">
        <v>0.15</v>
      </c>
      <c r="Q1920" s="9">
        <f>dynamic[orderPrice]*dynamic[orderQuantity]</f>
        <v>1560</v>
      </c>
      <c r="R1920" s="9">
        <f>dynamic[orderTotal]*(1-dynamic[discountApllied])</f>
        <v>1326</v>
      </c>
      <c r="S1920" s="9">
        <f>dynamic[revenue]-(dynamic[productCost]*dynamic[orderQuantity])</f>
        <v>223.6009606</v>
      </c>
      <c r="T1920" s="25">
        <f>IFERROR(dynamic[profit]/dynamic[revenue], 0)</f>
        <v>0.1686281754</v>
      </c>
    </row>
    <row r="1921" ht="15.75" customHeight="1">
      <c r="A1921" s="6">
        <v>10990.0</v>
      </c>
      <c r="B1921" s="7" t="s">
        <v>24</v>
      </c>
      <c r="C1921" s="24" t="str">
        <f>VLOOKUP(dynamic[customerID],customers[],2,FALSE)</f>
        <v>Ernst Handel</v>
      </c>
      <c r="D1921" s="24">
        <v>45383.0</v>
      </c>
      <c r="E1921" s="6">
        <f>IFERROR(__xludf.DUMMYFUNCTION("COUNTUNIQUEIFS($A$2:$A1921,$B$2:$B1921,B1921)"),27.0)</f>
        <v>27</v>
      </c>
      <c r="F1921" s="6">
        <f t="shared" si="1"/>
        <v>6</v>
      </c>
      <c r="G1921" s="6" t="str">
        <f>IF(MINIFS(dynamic[orderDate], dynamic[customerID], B1921) &gt;= DATE(2024,4,30)-120, 
     "New", 
     IF(MAXIFS(dynamic[orderCount], dynamic[customerID], B1921)&lt;=2, 
        IF((DATE(2024,4,30) - MAXIFS(dynamic[orderDate], dynamic[customerID], B1921)) &gt; 180, "Non-Returning", "Dormant"), 
        IF(AND(MAX(dynamic[sinceLastOrder]) &gt; 365, (DATE(2024,4,30) - MAXIFS(dynamic[orderDate], dynamic[customerID], B1921)) &gt; 180), 
           "Dormant", "Regular")))</f>
        <v>Regular</v>
      </c>
      <c r="H1921" s="6">
        <v>61.0</v>
      </c>
      <c r="I1921" s="9" t="str">
        <f>VLOOKUP(dynamic[productID],products[],2,FALSE)</f>
        <v>Sirop d'érable</v>
      </c>
      <c r="J1921" s="9" t="str">
        <f>VLOOKUP(dynamic[productID],products[],12,FALSE)</f>
        <v>Condiments</v>
      </c>
      <c r="K1921" s="7" t="str">
        <f>IF(VLOOKUP(dynamic[productID],products[],7,FALSE)=1,"Discontinued","Current")</f>
        <v>Current</v>
      </c>
      <c r="L1921" s="9">
        <f>VLOOKUP(dynamic[productID],products[],IF(YEAR(dynamic[orderDate])=2022,8,IF(YEAR(dynamic[orderDate])=2023,9,IF(YEAR(dynamic[orderDate])=2024,10,NA))),FALSE)</f>
        <v>18.74487379</v>
      </c>
      <c r="M1921" s="9">
        <v>28.5</v>
      </c>
      <c r="N1921" s="25">
        <f>(dynamic[orderPrice]-dynamic[productCost])/dynamic[productCost]</f>
        <v>0.5204156786</v>
      </c>
      <c r="O1921" s="10">
        <v>66.0</v>
      </c>
      <c r="P1921" s="25">
        <v>0.15</v>
      </c>
      <c r="Q1921" s="9">
        <f>dynamic[orderPrice]*dynamic[orderQuantity]</f>
        <v>1881</v>
      </c>
      <c r="R1921" s="9">
        <f>dynamic[orderTotal]*(1-dynamic[discountApllied])</f>
        <v>1598.85</v>
      </c>
      <c r="S1921" s="9">
        <f>dynamic[revenue]-(dynamic[productCost]*dynamic[orderQuantity])</f>
        <v>361.68833</v>
      </c>
      <c r="T1921" s="25">
        <f>IFERROR(dynamic[profit]/dynamic[revenue], 0)</f>
        <v>0.2262178003</v>
      </c>
    </row>
    <row r="1922" ht="15.75" customHeight="1">
      <c r="A1922" s="6">
        <v>10991.0</v>
      </c>
      <c r="B1922" s="7" t="s">
        <v>36</v>
      </c>
      <c r="C1922" s="24" t="str">
        <f>VLOOKUP(dynamic[customerID],customers[],2,FALSE)</f>
        <v>QUICK-Stop</v>
      </c>
      <c r="D1922" s="24">
        <v>45383.0</v>
      </c>
      <c r="E1922" s="6">
        <f>IFERROR(__xludf.DUMMYFUNCTION("COUNTUNIQUEIFS($A$2:$A1922,$B$2:$B1922,B1922)"),26.0)</f>
        <v>26</v>
      </c>
      <c r="F1922" s="6">
        <f t="shared" si="1"/>
        <v>13</v>
      </c>
      <c r="G1922" s="6" t="str">
        <f>IF(MINIFS(dynamic[orderDate], dynamic[customerID], B1922) &gt;= DATE(2024,4,30)-120, 
     "New", 
     IF(MAXIFS(dynamic[orderCount], dynamic[customerID], B1922)&lt;=2, 
        IF((DATE(2024,4,30) - MAXIFS(dynamic[orderDate], dynamic[customerID], B1922)) &gt; 180, "Non-Returning", "Dormant"), 
        IF(AND(MAX(dynamic[sinceLastOrder]) &gt; 365, (DATE(2024,4,30) - MAXIFS(dynamic[orderDate], dynamic[customerID], B1922)) &gt; 180), 
           "Dormant", "Regular")))</f>
        <v>Regular</v>
      </c>
      <c r="H1922" s="6">
        <v>2.0</v>
      </c>
      <c r="I1922" s="9" t="str">
        <f>VLOOKUP(dynamic[productID],products[],2,FALSE)</f>
        <v>Chang</v>
      </c>
      <c r="J1922" s="9" t="str">
        <f>VLOOKUP(dynamic[productID],products[],12,FALSE)</f>
        <v>Beverages</v>
      </c>
      <c r="K1922" s="7" t="str">
        <f>IF(VLOOKUP(dynamic[productID],products[],7,FALSE)=1,"Discontinued","Current")</f>
        <v>Current</v>
      </c>
      <c r="L1922" s="9">
        <f>VLOOKUP(dynamic[productID],products[],IF(YEAR(dynamic[orderDate])=2022,8,IF(YEAR(dynamic[orderDate])=2023,9,IF(YEAR(dynamic[orderDate])=2024,10,NA))),FALSE)</f>
        <v>11.93843713</v>
      </c>
      <c r="M1922" s="9">
        <v>19.0</v>
      </c>
      <c r="N1922" s="25">
        <f>(dynamic[orderPrice]-dynamic[productCost])/dynamic[productCost]</f>
        <v>0.591498099</v>
      </c>
      <c r="O1922" s="10">
        <v>50.0</v>
      </c>
      <c r="P1922" s="25">
        <v>0.2</v>
      </c>
      <c r="Q1922" s="9">
        <f>dynamic[orderPrice]*dynamic[orderQuantity]</f>
        <v>950</v>
      </c>
      <c r="R1922" s="9">
        <f>dynamic[orderTotal]*(1-dynamic[discountApllied])</f>
        <v>760</v>
      </c>
      <c r="S1922" s="9">
        <f>dynamic[revenue]-(dynamic[productCost]*dynamic[orderQuantity])</f>
        <v>163.0781434</v>
      </c>
      <c r="T1922" s="25">
        <f>IFERROR(dynamic[profit]/dynamic[revenue], 0)</f>
        <v>0.2145765045</v>
      </c>
    </row>
    <row r="1923" ht="15.75" customHeight="1">
      <c r="A1923" s="6">
        <v>10991.0</v>
      </c>
      <c r="B1923" s="7" t="s">
        <v>36</v>
      </c>
      <c r="C1923" s="24" t="str">
        <f>VLOOKUP(dynamic[customerID],customers[],2,FALSE)</f>
        <v>QUICK-Stop</v>
      </c>
      <c r="D1923" s="24">
        <v>45383.0</v>
      </c>
      <c r="E1923" s="6">
        <f>IFERROR(__xludf.DUMMYFUNCTION("COUNTUNIQUEIFS($A$2:$A1923,$B$2:$B1923,B1923)"),26.0)</f>
        <v>26</v>
      </c>
      <c r="F1923" s="6">
        <f t="shared" si="1"/>
        <v>13</v>
      </c>
      <c r="G1923" s="6" t="str">
        <f>IF(MINIFS(dynamic[orderDate], dynamic[customerID], B1923) &gt;= DATE(2024,4,30)-120, 
     "New", 
     IF(MAXIFS(dynamic[orderCount], dynamic[customerID], B1923)&lt;=2, 
        IF((DATE(2024,4,30) - MAXIFS(dynamic[orderDate], dynamic[customerID], B1923)) &gt; 180, "Non-Returning", "Dormant"), 
        IF(AND(MAX(dynamic[sinceLastOrder]) &gt; 365, (DATE(2024,4,30) - MAXIFS(dynamic[orderDate], dynamic[customerID], B1923)) &gt; 180), 
           "Dormant", "Regular")))</f>
        <v>Regular</v>
      </c>
      <c r="H1923" s="6">
        <v>70.0</v>
      </c>
      <c r="I1923" s="9" t="str">
        <f>VLOOKUP(dynamic[productID],products[],2,FALSE)</f>
        <v>Outback Lager</v>
      </c>
      <c r="J1923" s="9" t="str">
        <f>VLOOKUP(dynamic[productID],products[],12,FALSE)</f>
        <v>Beverages</v>
      </c>
      <c r="K1923" s="7" t="str">
        <f>IF(VLOOKUP(dynamic[productID],products[],7,FALSE)=1,"Discontinued","Current")</f>
        <v>Current</v>
      </c>
      <c r="L1923" s="9">
        <f>VLOOKUP(dynamic[productID],products[],IF(YEAR(dynamic[orderDate])=2022,8,IF(YEAR(dynamic[orderDate])=2023,9,IF(YEAR(dynamic[orderDate])=2024,10,NA))),FALSE)</f>
        <v>10.03280812</v>
      </c>
      <c r="M1923" s="9">
        <v>15.0</v>
      </c>
      <c r="N1923" s="25">
        <f>(dynamic[orderPrice]-dynamic[productCost])/dynamic[productCost]</f>
        <v>0.4950948747</v>
      </c>
      <c r="O1923" s="10">
        <v>20.0</v>
      </c>
      <c r="P1923" s="25">
        <v>0.2</v>
      </c>
      <c r="Q1923" s="9">
        <f>dynamic[orderPrice]*dynamic[orderQuantity]</f>
        <v>300</v>
      </c>
      <c r="R1923" s="9">
        <f>dynamic[orderTotal]*(1-dynamic[discountApllied])</f>
        <v>240</v>
      </c>
      <c r="S1923" s="9">
        <f>dynamic[revenue]-(dynamic[productCost]*dynamic[orderQuantity])</f>
        <v>39.34383758</v>
      </c>
      <c r="T1923" s="25">
        <f>IFERROR(dynamic[profit]/dynamic[revenue], 0)</f>
        <v>0.1639326566</v>
      </c>
    </row>
    <row r="1924" ht="15.75" customHeight="1">
      <c r="A1924" s="6">
        <v>10991.0</v>
      </c>
      <c r="B1924" s="7" t="s">
        <v>36</v>
      </c>
      <c r="C1924" s="24" t="str">
        <f>VLOOKUP(dynamic[customerID],customers[],2,FALSE)</f>
        <v>QUICK-Stop</v>
      </c>
      <c r="D1924" s="24">
        <v>45383.0</v>
      </c>
      <c r="E1924" s="6">
        <f>IFERROR(__xludf.DUMMYFUNCTION("COUNTUNIQUEIFS($A$2:$A1924,$B$2:$B1924,B1924)"),26.0)</f>
        <v>26</v>
      </c>
      <c r="F1924" s="6">
        <f t="shared" si="1"/>
        <v>13</v>
      </c>
      <c r="G1924" s="6" t="str">
        <f>IF(MINIFS(dynamic[orderDate], dynamic[customerID], B1924) &gt;= DATE(2024,4,30)-120, 
     "New", 
     IF(MAXIFS(dynamic[orderCount], dynamic[customerID], B1924)&lt;=2, 
        IF((DATE(2024,4,30) - MAXIFS(dynamic[orderDate], dynamic[customerID], B1924)) &gt; 180, "Non-Returning", "Dormant"), 
        IF(AND(MAX(dynamic[sinceLastOrder]) &gt; 365, (DATE(2024,4,30) - MAXIFS(dynamic[orderDate], dynamic[customerID], B1924)) &gt; 180), 
           "Dormant", "Regular")))</f>
        <v>Regular</v>
      </c>
      <c r="H1924" s="6">
        <v>76.0</v>
      </c>
      <c r="I1924" s="9" t="str">
        <f>VLOOKUP(dynamic[productID],products[],2,FALSE)</f>
        <v>Lakkalikööri</v>
      </c>
      <c r="J1924" s="9" t="str">
        <f>VLOOKUP(dynamic[productID],products[],12,FALSE)</f>
        <v>Beverages</v>
      </c>
      <c r="K1924" s="7" t="str">
        <f>IF(VLOOKUP(dynamic[productID],products[],7,FALSE)=1,"Discontinued","Current")</f>
        <v>Current</v>
      </c>
      <c r="L1924" s="9">
        <f>VLOOKUP(dynamic[productID],products[],IF(YEAR(dynamic[orderDate])=2022,8,IF(YEAR(dynamic[orderDate])=2023,9,IF(YEAR(dynamic[orderDate])=2024,10,NA))),FALSE)</f>
        <v>12.15832249</v>
      </c>
      <c r="M1924" s="9">
        <v>18.0</v>
      </c>
      <c r="N1924" s="25">
        <f>(dynamic[orderPrice]-dynamic[productCost])/dynamic[productCost]</f>
        <v>0.4804673928</v>
      </c>
      <c r="O1924" s="10">
        <v>90.0</v>
      </c>
      <c r="P1924" s="25">
        <v>0.2</v>
      </c>
      <c r="Q1924" s="9">
        <f>dynamic[orderPrice]*dynamic[orderQuantity]</f>
        <v>1620</v>
      </c>
      <c r="R1924" s="9">
        <f>dynamic[orderTotal]*(1-dynamic[discountApllied])</f>
        <v>1296</v>
      </c>
      <c r="S1924" s="9">
        <f>dynamic[revenue]-(dynamic[productCost]*dynamic[orderQuantity])</f>
        <v>201.7509758</v>
      </c>
      <c r="T1924" s="25">
        <f>IFERROR(dynamic[profit]/dynamic[revenue], 0)</f>
        <v>0.1556720492</v>
      </c>
    </row>
    <row r="1925" ht="15.75" customHeight="1">
      <c r="A1925" s="6">
        <v>10992.0</v>
      </c>
      <c r="B1925" s="7" t="s">
        <v>55</v>
      </c>
      <c r="C1925" s="24" t="str">
        <f>VLOOKUP(dynamic[customerID],customers[],2,FALSE)</f>
        <v>The Big Cheese</v>
      </c>
      <c r="D1925" s="24">
        <v>45383.0</v>
      </c>
      <c r="E1925" s="6">
        <f>IFERROR(__xludf.DUMMYFUNCTION("COUNTUNIQUEIFS($A$2:$A1925,$B$2:$B1925,B1925)"),4.0)</f>
        <v>4</v>
      </c>
      <c r="F1925" s="6">
        <f t="shared" si="1"/>
        <v>93</v>
      </c>
      <c r="G1925" s="6" t="str">
        <f>IF(MINIFS(dynamic[orderDate], dynamic[customerID], B1925) &gt;= DATE(2024,4,30)-120, 
     "New", 
     IF(MAXIFS(dynamic[orderCount], dynamic[customerID], B1925)&lt;=2, 
        IF((DATE(2024,4,30) - MAXIFS(dynamic[orderDate], dynamic[customerID], B1925)) &gt; 180, "Non-Returning", "Dormant"), 
        IF(AND(MAX(dynamic[sinceLastOrder]) &gt; 365, (DATE(2024,4,30) - MAXIFS(dynamic[orderDate], dynamic[customerID], B1925)) &gt; 180), 
           "Dormant", "Regular")))</f>
        <v>Regular</v>
      </c>
      <c r="H1925" s="6">
        <v>72.0</v>
      </c>
      <c r="I1925" s="9" t="str">
        <f>VLOOKUP(dynamic[productID],products[],2,FALSE)</f>
        <v>Mozzarella di Giovanni</v>
      </c>
      <c r="J1925" s="9" t="str">
        <f>VLOOKUP(dynamic[productID],products[],12,FALSE)</f>
        <v>Dairy Products</v>
      </c>
      <c r="K1925" s="7" t="str">
        <f>IF(VLOOKUP(dynamic[productID],products[],7,FALSE)=1,"Discontinued","Current")</f>
        <v>Current</v>
      </c>
      <c r="L1925" s="9">
        <f>VLOOKUP(dynamic[productID],products[],IF(YEAR(dynamic[orderDate])=2022,8,IF(YEAR(dynamic[orderDate])=2023,9,IF(YEAR(dynamic[orderDate])=2024,10,NA))),FALSE)</f>
        <v>24.35057898</v>
      </c>
      <c r="M1925" s="9">
        <v>34.8</v>
      </c>
      <c r="N1925" s="25">
        <f>(dynamic[orderPrice]-dynamic[productCost])/dynamic[productCost]</f>
        <v>0.4291241297</v>
      </c>
      <c r="O1925" s="10">
        <v>2.0</v>
      </c>
      <c r="P1925" s="25">
        <v>0.0</v>
      </c>
      <c r="Q1925" s="9">
        <f>dynamic[orderPrice]*dynamic[orderQuantity]</f>
        <v>69.6</v>
      </c>
      <c r="R1925" s="9">
        <f>dynamic[orderTotal]*(1-dynamic[discountApllied])</f>
        <v>69.6</v>
      </c>
      <c r="S1925" s="9">
        <f>dynamic[revenue]-(dynamic[productCost]*dynamic[orderQuantity])</f>
        <v>20.89884203</v>
      </c>
      <c r="T1925" s="25">
        <f>IFERROR(dynamic[profit]/dynamic[revenue], 0)</f>
        <v>0.3002707188</v>
      </c>
    </row>
    <row r="1926" ht="15.75" customHeight="1">
      <c r="A1926" s="6">
        <v>10993.0</v>
      </c>
      <c r="B1926" s="7" t="s">
        <v>29</v>
      </c>
      <c r="C1926" s="24" t="str">
        <f>VLOOKUP(dynamic[customerID],customers[],2,FALSE)</f>
        <v>Folk och fä HB</v>
      </c>
      <c r="D1926" s="24">
        <v>45383.0</v>
      </c>
      <c r="E1926" s="6">
        <f>IFERROR(__xludf.DUMMYFUNCTION("COUNTUNIQUEIFS($A$2:$A1926,$B$2:$B1926,B1926)"),17.0)</f>
        <v>17</v>
      </c>
      <c r="F1926" s="6">
        <f t="shared" si="1"/>
        <v>5</v>
      </c>
      <c r="G1926" s="6" t="str">
        <f>IF(MINIFS(dynamic[orderDate], dynamic[customerID], B1926) &gt;= DATE(2024,4,30)-120, 
     "New", 
     IF(MAXIFS(dynamic[orderCount], dynamic[customerID], B1926)&lt;=2, 
        IF((DATE(2024,4,30) - MAXIFS(dynamic[orderDate], dynamic[customerID], B1926)) &gt; 180, "Non-Returning", "Dormant"), 
        IF(AND(MAX(dynamic[sinceLastOrder]) &gt; 365, (DATE(2024,4,30) - MAXIFS(dynamic[orderDate], dynamic[customerID], B1926)) &gt; 180), 
           "Dormant", "Regular")))</f>
        <v>Regular</v>
      </c>
      <c r="H1926" s="6">
        <v>29.0</v>
      </c>
      <c r="I1926" s="9" t="str">
        <f>VLOOKUP(dynamic[productID],products[],2,FALSE)</f>
        <v>Thüringer Rostbratwurst</v>
      </c>
      <c r="J1926" s="9" t="str">
        <f>VLOOKUP(dynamic[productID],products[],12,FALSE)</f>
        <v>Meat/Poultry</v>
      </c>
      <c r="K1926" s="7" t="str">
        <f>IF(VLOOKUP(dynamic[productID],products[],7,FALSE)=1,"Discontinued","Current")</f>
        <v>Discontinued</v>
      </c>
      <c r="L1926" s="9">
        <f>VLOOKUP(dynamic[productID],products[],IF(YEAR(dynamic[orderDate])=2022,8,IF(YEAR(dynamic[orderDate])=2023,9,IF(YEAR(dynamic[orderDate])=2024,10,NA))),FALSE)</f>
        <v>80.14595973</v>
      </c>
      <c r="M1926" s="9">
        <v>123.79</v>
      </c>
      <c r="N1926" s="25">
        <f>(dynamic[orderPrice]-dynamic[productCost])/dynamic[productCost]</f>
        <v>0.544556961</v>
      </c>
      <c r="O1926" s="10">
        <v>50.0</v>
      </c>
      <c r="P1926" s="25">
        <v>0.25</v>
      </c>
      <c r="Q1926" s="9">
        <f>dynamic[orderPrice]*dynamic[orderQuantity]</f>
        <v>6189.5</v>
      </c>
      <c r="R1926" s="9">
        <f>dynamic[orderTotal]*(1-dynamic[discountApllied])</f>
        <v>4642.125</v>
      </c>
      <c r="S1926" s="9">
        <f>dynamic[revenue]-(dynamic[productCost]*dynamic[orderQuantity])</f>
        <v>634.8270133</v>
      </c>
      <c r="T1926" s="25">
        <f>IFERROR(dynamic[profit]/dynamic[revenue], 0)</f>
        <v>0.1367535371</v>
      </c>
    </row>
    <row r="1927" ht="15.75" customHeight="1">
      <c r="A1927" s="6">
        <v>10993.0</v>
      </c>
      <c r="B1927" s="7" t="s">
        <v>29</v>
      </c>
      <c r="C1927" s="24" t="str">
        <f>VLOOKUP(dynamic[customerID],customers[],2,FALSE)</f>
        <v>Folk och fä HB</v>
      </c>
      <c r="D1927" s="24">
        <v>45383.0</v>
      </c>
      <c r="E1927" s="6">
        <f>IFERROR(__xludf.DUMMYFUNCTION("COUNTUNIQUEIFS($A$2:$A1927,$B$2:$B1927,B1927)"),17.0)</f>
        <v>17</v>
      </c>
      <c r="F1927" s="6">
        <f t="shared" si="1"/>
        <v>5</v>
      </c>
      <c r="G1927" s="6" t="str">
        <f>IF(MINIFS(dynamic[orderDate], dynamic[customerID], B1927) &gt;= DATE(2024,4,30)-120, 
     "New", 
     IF(MAXIFS(dynamic[orderCount], dynamic[customerID], B1927)&lt;=2, 
        IF((DATE(2024,4,30) - MAXIFS(dynamic[orderDate], dynamic[customerID], B1927)) &gt; 180, "Non-Returning", "Dormant"), 
        IF(AND(MAX(dynamic[sinceLastOrder]) &gt; 365, (DATE(2024,4,30) - MAXIFS(dynamic[orderDate], dynamic[customerID], B1927)) &gt; 180), 
           "Dormant", "Regular")))</f>
        <v>Regular</v>
      </c>
      <c r="H1927" s="6">
        <v>41.0</v>
      </c>
      <c r="I1927" s="9" t="str">
        <f>VLOOKUP(dynamic[productID],products[],2,FALSE)</f>
        <v>Jack's New England Clam Chowder</v>
      </c>
      <c r="J1927" s="9" t="str">
        <f>VLOOKUP(dynamic[productID],products[],12,FALSE)</f>
        <v>Seafood</v>
      </c>
      <c r="K1927" s="7" t="str">
        <f>IF(VLOOKUP(dynamic[productID],products[],7,FALSE)=1,"Discontinued","Current")</f>
        <v>Current</v>
      </c>
      <c r="L1927" s="9">
        <f>VLOOKUP(dynamic[productID],products[],IF(YEAR(dynamic[orderDate])=2022,8,IF(YEAR(dynamic[orderDate])=2023,9,IF(YEAR(dynamic[orderDate])=2024,10,NA))),FALSE)</f>
        <v>6.611787882</v>
      </c>
      <c r="M1927" s="9">
        <v>9.65</v>
      </c>
      <c r="N1927" s="25">
        <f>(dynamic[orderPrice]-dynamic[productCost])/dynamic[productCost]</f>
        <v>0.459514457</v>
      </c>
      <c r="O1927" s="10">
        <v>35.0</v>
      </c>
      <c r="P1927" s="25">
        <v>0.25</v>
      </c>
      <c r="Q1927" s="9">
        <f>dynamic[orderPrice]*dynamic[orderQuantity]</f>
        <v>337.75</v>
      </c>
      <c r="R1927" s="9">
        <f>dynamic[orderTotal]*(1-dynamic[discountApllied])</f>
        <v>253.3125</v>
      </c>
      <c r="S1927" s="9">
        <f>dynamic[revenue]-(dynamic[productCost]*dynamic[orderQuantity])</f>
        <v>21.89992413</v>
      </c>
      <c r="T1927" s="25">
        <f>IFERROR(dynamic[profit]/dynamic[revenue], 0)</f>
        <v>0.08645417866</v>
      </c>
    </row>
    <row r="1928" ht="15.75" customHeight="1">
      <c r="A1928" s="6">
        <v>10994.0</v>
      </c>
      <c r="B1928" s="7" t="s">
        <v>76</v>
      </c>
      <c r="C1928" s="24" t="str">
        <f>VLOOKUP(dynamic[customerID],customers[],2,FALSE)</f>
        <v>Vaffeljernet</v>
      </c>
      <c r="D1928" s="24">
        <v>45384.0</v>
      </c>
      <c r="E1928" s="6">
        <f>IFERROR(__xludf.DUMMYFUNCTION("COUNTUNIQUEIFS($A$2:$A1928,$B$2:$B1928,B1928)"),11.0)</f>
        <v>11</v>
      </c>
      <c r="F1928" s="6">
        <f t="shared" si="1"/>
        <v>21</v>
      </c>
      <c r="G1928" s="6" t="str">
        <f>IF(MINIFS(dynamic[orderDate], dynamic[customerID], B1928) &gt;= DATE(2024,4,30)-120, 
     "New", 
     IF(MAXIFS(dynamic[orderCount], dynamic[customerID], B1928)&lt;=2, 
        IF((DATE(2024,4,30) - MAXIFS(dynamic[orderDate], dynamic[customerID], B1928)) &gt; 180, "Non-Returning", "Dormant"), 
        IF(AND(MAX(dynamic[sinceLastOrder]) &gt; 365, (DATE(2024,4,30) - MAXIFS(dynamic[orderDate], dynamic[customerID], B1928)) &gt; 180), 
           "Dormant", "Regular")))</f>
        <v>Regular</v>
      </c>
      <c r="H1928" s="6">
        <v>59.0</v>
      </c>
      <c r="I1928" s="9" t="str">
        <f>VLOOKUP(dynamic[productID],products[],2,FALSE)</f>
        <v>Raclette Courdavault</v>
      </c>
      <c r="J1928" s="9" t="str">
        <f>VLOOKUP(dynamic[productID],products[],12,FALSE)</f>
        <v>Dairy Products</v>
      </c>
      <c r="K1928" s="7" t="str">
        <f>IF(VLOOKUP(dynamic[productID],products[],7,FALSE)=1,"Discontinued","Current")</f>
        <v>Current</v>
      </c>
      <c r="L1928" s="9">
        <f>VLOOKUP(dynamic[productID],products[],IF(YEAR(dynamic[orderDate])=2022,8,IF(YEAR(dynamic[orderDate])=2023,9,IF(YEAR(dynamic[orderDate])=2024,10,NA))),FALSE)</f>
        <v>36.74863711</v>
      </c>
      <c r="M1928" s="9">
        <v>55.0</v>
      </c>
      <c r="N1928" s="25">
        <f>(dynamic[orderPrice]-dynamic[productCost])/dynamic[productCost]</f>
        <v>0.4966541435</v>
      </c>
      <c r="O1928" s="10">
        <v>18.0</v>
      </c>
      <c r="P1928" s="25">
        <v>0.05</v>
      </c>
      <c r="Q1928" s="9">
        <f>dynamic[orderPrice]*dynamic[orderQuantity]</f>
        <v>990</v>
      </c>
      <c r="R1928" s="9">
        <f>dynamic[orderTotal]*(1-dynamic[discountApllied])</f>
        <v>940.5</v>
      </c>
      <c r="S1928" s="9">
        <f>dynamic[revenue]-(dynamic[productCost]*dynamic[orderQuantity])</f>
        <v>279.024532</v>
      </c>
      <c r="T1928" s="25">
        <f>IFERROR(dynamic[profit]/dynamic[revenue], 0)</f>
        <v>0.2966768017</v>
      </c>
    </row>
    <row r="1929" ht="15.75" customHeight="1">
      <c r="A1929" s="6">
        <v>10995.0</v>
      </c>
      <c r="B1929" s="7" t="s">
        <v>58</v>
      </c>
      <c r="C1929" s="24" t="str">
        <f>VLOOKUP(dynamic[customerID],customers[],2,FALSE)</f>
        <v>Pericles Comidas clásicas</v>
      </c>
      <c r="D1929" s="24">
        <v>45384.0</v>
      </c>
      <c r="E1929" s="6">
        <f>IFERROR(__xludf.DUMMYFUNCTION("COUNTUNIQUEIFS($A$2:$A1929,$B$2:$B1929,B1929)"),5.0)</f>
        <v>5</v>
      </c>
      <c r="F1929" s="6">
        <f t="shared" si="1"/>
        <v>358</v>
      </c>
      <c r="G1929" s="6" t="str">
        <f>IF(MINIFS(dynamic[orderDate], dynamic[customerID], B1929) &gt;= DATE(2024,4,30)-120, 
     "New", 
     IF(MAXIFS(dynamic[orderCount], dynamic[customerID], B1929)&lt;=2, 
        IF((DATE(2024,4,30) - MAXIFS(dynamic[orderDate], dynamic[customerID], B1929)) &gt; 180, "Non-Returning", "Dormant"), 
        IF(AND(MAX(dynamic[sinceLastOrder]) &gt; 365, (DATE(2024,4,30) - MAXIFS(dynamic[orderDate], dynamic[customerID], B1929)) &gt; 180), 
           "Dormant", "Regular")))</f>
        <v>Regular</v>
      </c>
      <c r="H1929" s="6">
        <v>51.0</v>
      </c>
      <c r="I1929" s="9" t="str">
        <f>VLOOKUP(dynamic[productID],products[],2,FALSE)</f>
        <v>Manjimup Dried Apples</v>
      </c>
      <c r="J1929" s="9" t="str">
        <f>VLOOKUP(dynamic[productID],products[],12,FALSE)</f>
        <v>Produce</v>
      </c>
      <c r="K1929" s="7" t="str">
        <f>IF(VLOOKUP(dynamic[productID],products[],7,FALSE)=1,"Discontinued","Current")</f>
        <v>Current</v>
      </c>
      <c r="L1929" s="9">
        <f>VLOOKUP(dynamic[productID],products[],IF(YEAR(dynamic[orderDate])=2022,8,IF(YEAR(dynamic[orderDate])=2023,9,IF(YEAR(dynamic[orderDate])=2024,10,NA))),FALSE)</f>
        <v>39.51416462</v>
      </c>
      <c r="M1929" s="9">
        <v>53.0</v>
      </c>
      <c r="N1929" s="25">
        <f>(dynamic[orderPrice]-dynamic[productCost])/dynamic[productCost]</f>
        <v>0.3412911677</v>
      </c>
      <c r="O1929" s="10">
        <v>20.0</v>
      </c>
      <c r="P1929" s="25">
        <v>0.0</v>
      </c>
      <c r="Q1929" s="9">
        <f>dynamic[orderPrice]*dynamic[orderQuantity]</f>
        <v>1060</v>
      </c>
      <c r="R1929" s="9">
        <f>dynamic[orderTotal]*(1-dynamic[discountApllied])</f>
        <v>1060</v>
      </c>
      <c r="S1929" s="9">
        <f>dynamic[revenue]-(dynamic[productCost]*dynamic[orderQuantity])</f>
        <v>269.7167076</v>
      </c>
      <c r="T1929" s="25">
        <f>IFERROR(dynamic[profit]/dynamic[revenue], 0)</f>
        <v>0.2544497242</v>
      </c>
    </row>
    <row r="1930" ht="15.75" customHeight="1">
      <c r="A1930" s="6">
        <v>10995.0</v>
      </c>
      <c r="B1930" s="7" t="s">
        <v>58</v>
      </c>
      <c r="C1930" s="24" t="str">
        <f>VLOOKUP(dynamic[customerID],customers[],2,FALSE)</f>
        <v>Pericles Comidas clásicas</v>
      </c>
      <c r="D1930" s="24">
        <v>45384.0</v>
      </c>
      <c r="E1930" s="6">
        <f>IFERROR(__xludf.DUMMYFUNCTION("COUNTUNIQUEIFS($A$2:$A1930,$B$2:$B1930,B1930)"),5.0)</f>
        <v>5</v>
      </c>
      <c r="F1930" s="6">
        <f t="shared" si="1"/>
        <v>358</v>
      </c>
      <c r="G1930" s="6" t="str">
        <f>IF(MINIFS(dynamic[orderDate], dynamic[customerID], B1930) &gt;= DATE(2024,4,30)-120, 
     "New", 
     IF(MAXIFS(dynamic[orderCount], dynamic[customerID], B1930)&lt;=2, 
        IF((DATE(2024,4,30) - MAXIFS(dynamic[orderDate], dynamic[customerID], B1930)) &gt; 180, "Non-Returning", "Dormant"), 
        IF(AND(MAX(dynamic[sinceLastOrder]) &gt; 365, (DATE(2024,4,30) - MAXIFS(dynamic[orderDate], dynamic[customerID], B1930)) &gt; 180), 
           "Dormant", "Regular")))</f>
        <v>Regular</v>
      </c>
      <c r="H1930" s="6">
        <v>60.0</v>
      </c>
      <c r="I1930" s="9" t="str">
        <f>VLOOKUP(dynamic[productID],products[],2,FALSE)</f>
        <v>Camembert Pierrot</v>
      </c>
      <c r="J1930" s="9" t="str">
        <f>VLOOKUP(dynamic[productID],products[],12,FALSE)</f>
        <v>Dairy Products</v>
      </c>
      <c r="K1930" s="7" t="str">
        <f>IF(VLOOKUP(dynamic[productID],products[],7,FALSE)=1,"Discontinued","Current")</f>
        <v>Current</v>
      </c>
      <c r="L1930" s="9">
        <f>VLOOKUP(dynamic[productID],products[],IF(YEAR(dynamic[orderDate])=2022,8,IF(YEAR(dynamic[orderDate])=2023,9,IF(YEAR(dynamic[orderDate])=2024,10,NA))),FALSE)</f>
        <v>22.49091154</v>
      </c>
      <c r="M1930" s="9">
        <v>34.0</v>
      </c>
      <c r="N1930" s="25">
        <f>(dynamic[orderPrice]-dynamic[productCost])/dynamic[productCost]</f>
        <v>0.5117217431</v>
      </c>
      <c r="O1930" s="10">
        <v>4.0</v>
      </c>
      <c r="P1930" s="25">
        <v>0.0</v>
      </c>
      <c r="Q1930" s="9">
        <f>dynamic[orderPrice]*dynamic[orderQuantity]</f>
        <v>136</v>
      </c>
      <c r="R1930" s="9">
        <f>dynamic[orderTotal]*(1-dynamic[discountApllied])</f>
        <v>136</v>
      </c>
      <c r="S1930" s="9">
        <f>dynamic[revenue]-(dynamic[productCost]*dynamic[orderQuantity])</f>
        <v>46.03635383</v>
      </c>
      <c r="T1930" s="25">
        <f>IFERROR(dynamic[profit]/dynamic[revenue], 0)</f>
        <v>0.3385026017</v>
      </c>
    </row>
    <row r="1931" ht="15.75" customHeight="1">
      <c r="A1931" s="6">
        <v>10996.0</v>
      </c>
      <c r="B1931" s="7" t="s">
        <v>36</v>
      </c>
      <c r="C1931" s="24" t="str">
        <f>VLOOKUP(dynamic[customerID],customers[],2,FALSE)</f>
        <v>QUICK-Stop</v>
      </c>
      <c r="D1931" s="24">
        <v>45384.0</v>
      </c>
      <c r="E1931" s="6">
        <f>IFERROR(__xludf.DUMMYFUNCTION("COUNTUNIQUEIFS($A$2:$A1931,$B$2:$B1931,B1931)"),27.0)</f>
        <v>27</v>
      </c>
      <c r="F1931" s="6">
        <f t="shared" si="1"/>
        <v>1</v>
      </c>
      <c r="G1931" s="6" t="str">
        <f>IF(MINIFS(dynamic[orderDate], dynamic[customerID], B1931) &gt;= DATE(2024,4,30)-120, 
     "New", 
     IF(MAXIFS(dynamic[orderCount], dynamic[customerID], B1931)&lt;=2, 
        IF((DATE(2024,4,30) - MAXIFS(dynamic[orderDate], dynamic[customerID], B1931)) &gt; 180, "Non-Returning", "Dormant"), 
        IF(AND(MAX(dynamic[sinceLastOrder]) &gt; 365, (DATE(2024,4,30) - MAXIFS(dynamic[orderDate], dynamic[customerID], B1931)) &gt; 180), 
           "Dormant", "Regular")))</f>
        <v>Regular</v>
      </c>
      <c r="H1931" s="6">
        <v>42.0</v>
      </c>
      <c r="I1931" s="9" t="str">
        <f>VLOOKUP(dynamic[productID],products[],2,FALSE)</f>
        <v>Singaporean Hokkien Fried Mee</v>
      </c>
      <c r="J1931" s="9" t="str">
        <f>VLOOKUP(dynamic[productID],products[],12,FALSE)</f>
        <v>Grains/Cereals</v>
      </c>
      <c r="K1931" s="7" t="str">
        <f>IF(VLOOKUP(dynamic[productID],products[],7,FALSE)=1,"Discontinued","Current")</f>
        <v>Discontinued</v>
      </c>
      <c r="L1931" s="9">
        <f>VLOOKUP(dynamic[productID],products[],IF(YEAR(dynamic[orderDate])=2022,8,IF(YEAR(dynamic[orderDate])=2023,9,IF(YEAR(dynamic[orderDate])=2024,10,NA))),FALSE)</f>
        <v>9.64736714</v>
      </c>
      <c r="M1931" s="9">
        <v>14.0</v>
      </c>
      <c r="N1931" s="25">
        <f>(dynamic[orderPrice]-dynamic[productCost])/dynamic[productCost]</f>
        <v>0.4511731333</v>
      </c>
      <c r="O1931" s="10">
        <v>40.0</v>
      </c>
      <c r="P1931" s="25">
        <v>0.0</v>
      </c>
      <c r="Q1931" s="9">
        <f>dynamic[orderPrice]*dynamic[orderQuantity]</f>
        <v>560</v>
      </c>
      <c r="R1931" s="9">
        <f>dynamic[orderTotal]*(1-dynamic[discountApllied])</f>
        <v>560</v>
      </c>
      <c r="S1931" s="9">
        <f>dynamic[revenue]-(dynamic[productCost]*dynamic[orderQuantity])</f>
        <v>174.1053144</v>
      </c>
      <c r="T1931" s="25">
        <f>IFERROR(dynamic[profit]/dynamic[revenue], 0)</f>
        <v>0.3109023472</v>
      </c>
    </row>
    <row r="1932" ht="15.75" customHeight="1">
      <c r="A1932" s="6">
        <v>10997.0</v>
      </c>
      <c r="B1932" s="7" t="s">
        <v>43</v>
      </c>
      <c r="C1932" s="24" t="str">
        <f>VLOOKUP(dynamic[customerID],customers[],2,FALSE)</f>
        <v>LILA-Supermercado</v>
      </c>
      <c r="D1932" s="24">
        <v>45385.0</v>
      </c>
      <c r="E1932" s="6">
        <f>IFERROR(__xludf.DUMMYFUNCTION("COUNTUNIQUEIFS($A$2:$A1932,$B$2:$B1932,B1932)"),12.0)</f>
        <v>12</v>
      </c>
      <c r="F1932" s="6">
        <f t="shared" si="1"/>
        <v>43</v>
      </c>
      <c r="G1932" s="6" t="str">
        <f>IF(MINIFS(dynamic[orderDate], dynamic[customerID], B1932) &gt;= DATE(2024,4,30)-120, 
     "New", 
     IF(MAXIFS(dynamic[orderCount], dynamic[customerID], B1932)&lt;=2, 
        IF((DATE(2024,4,30) - MAXIFS(dynamic[orderDate], dynamic[customerID], B1932)) &gt; 180, "Non-Returning", "Dormant"), 
        IF(AND(MAX(dynamic[sinceLastOrder]) &gt; 365, (DATE(2024,4,30) - MAXIFS(dynamic[orderDate], dynamic[customerID], B1932)) &gt; 180), 
           "Dormant", "Regular")))</f>
        <v>Regular</v>
      </c>
      <c r="H1932" s="6">
        <v>32.0</v>
      </c>
      <c r="I1932" s="9" t="str">
        <f>VLOOKUP(dynamic[productID],products[],2,FALSE)</f>
        <v>Mascarpone Fabioli</v>
      </c>
      <c r="J1932" s="9" t="str">
        <f>VLOOKUP(dynamic[productID],products[],12,FALSE)</f>
        <v>Dairy Products</v>
      </c>
      <c r="K1932" s="7" t="str">
        <f>IF(VLOOKUP(dynamic[productID],products[],7,FALSE)=1,"Discontinued","Current")</f>
        <v>Current</v>
      </c>
      <c r="L1932" s="9">
        <f>VLOOKUP(dynamic[productID],products[],IF(YEAR(dynamic[orderDate])=2022,8,IF(YEAR(dynamic[orderDate])=2023,9,IF(YEAR(dynamic[orderDate])=2024,10,NA))),FALSE)</f>
        <v>21.42783354</v>
      </c>
      <c r="M1932" s="9">
        <v>32.0</v>
      </c>
      <c r="N1932" s="25">
        <f>(dynamic[orderPrice]-dynamic[productCost])/dynamic[productCost]</f>
        <v>0.4933847575</v>
      </c>
      <c r="O1932" s="10">
        <v>50.0</v>
      </c>
      <c r="P1932" s="25">
        <v>0.0</v>
      </c>
      <c r="Q1932" s="9">
        <f>dynamic[orderPrice]*dynamic[orderQuantity]</f>
        <v>1600</v>
      </c>
      <c r="R1932" s="9">
        <f>dynamic[orderTotal]*(1-dynamic[discountApllied])</f>
        <v>1600</v>
      </c>
      <c r="S1932" s="9">
        <f>dynamic[revenue]-(dynamic[productCost]*dynamic[orderQuantity])</f>
        <v>528.6083229</v>
      </c>
      <c r="T1932" s="25">
        <f>IFERROR(dynamic[profit]/dynamic[revenue], 0)</f>
        <v>0.3303802018</v>
      </c>
    </row>
    <row r="1933" ht="15.75" customHeight="1">
      <c r="A1933" s="6">
        <v>10997.0</v>
      </c>
      <c r="B1933" s="7" t="s">
        <v>43</v>
      </c>
      <c r="C1933" s="24" t="str">
        <f>VLOOKUP(dynamic[customerID],customers[],2,FALSE)</f>
        <v>LILA-Supermercado</v>
      </c>
      <c r="D1933" s="24">
        <v>45385.0</v>
      </c>
      <c r="E1933" s="6">
        <f>IFERROR(__xludf.DUMMYFUNCTION("COUNTUNIQUEIFS($A$2:$A1933,$B$2:$B1933,B1933)"),12.0)</f>
        <v>12</v>
      </c>
      <c r="F1933" s="6">
        <f t="shared" si="1"/>
        <v>43</v>
      </c>
      <c r="G1933" s="6" t="str">
        <f>IF(MINIFS(dynamic[orderDate], dynamic[customerID], B1933) &gt;= DATE(2024,4,30)-120, 
     "New", 
     IF(MAXIFS(dynamic[orderCount], dynamic[customerID], B1933)&lt;=2, 
        IF((DATE(2024,4,30) - MAXIFS(dynamic[orderDate], dynamic[customerID], B1933)) &gt; 180, "Non-Returning", "Dormant"), 
        IF(AND(MAX(dynamic[sinceLastOrder]) &gt; 365, (DATE(2024,4,30) - MAXIFS(dynamic[orderDate], dynamic[customerID], B1933)) &gt; 180), 
           "Dormant", "Regular")))</f>
        <v>Regular</v>
      </c>
      <c r="H1933" s="6">
        <v>46.0</v>
      </c>
      <c r="I1933" s="9" t="str">
        <f>VLOOKUP(dynamic[productID],products[],2,FALSE)</f>
        <v>Spegesild</v>
      </c>
      <c r="J1933" s="9" t="str">
        <f>VLOOKUP(dynamic[productID],products[],12,FALSE)</f>
        <v>Seafood</v>
      </c>
      <c r="K1933" s="7" t="str">
        <f>IF(VLOOKUP(dynamic[productID],products[],7,FALSE)=1,"Discontinued","Current")</f>
        <v>Current</v>
      </c>
      <c r="L1933" s="9">
        <f>VLOOKUP(dynamic[productID],products[],IF(YEAR(dynamic[orderDate])=2022,8,IF(YEAR(dynamic[orderDate])=2023,9,IF(YEAR(dynamic[orderDate])=2024,10,NA))),FALSE)</f>
        <v>8.247981557</v>
      </c>
      <c r="M1933" s="9">
        <v>12.0</v>
      </c>
      <c r="N1933" s="25">
        <f>(dynamic[orderPrice]-dynamic[productCost])/dynamic[productCost]</f>
        <v>0.4549014105</v>
      </c>
      <c r="O1933" s="10">
        <v>20.0</v>
      </c>
      <c r="P1933" s="25">
        <v>0.25</v>
      </c>
      <c r="Q1933" s="9">
        <f>dynamic[orderPrice]*dynamic[orderQuantity]</f>
        <v>240</v>
      </c>
      <c r="R1933" s="9">
        <f>dynamic[orderTotal]*(1-dynamic[discountApllied])</f>
        <v>180</v>
      </c>
      <c r="S1933" s="9">
        <f>dynamic[revenue]-(dynamic[productCost]*dynamic[orderQuantity])</f>
        <v>15.04036887</v>
      </c>
      <c r="T1933" s="25">
        <f>IFERROR(dynamic[profit]/dynamic[revenue], 0)</f>
        <v>0.08355760483</v>
      </c>
    </row>
    <row r="1934" ht="15.75" customHeight="1">
      <c r="A1934" s="6">
        <v>10997.0</v>
      </c>
      <c r="B1934" s="7" t="s">
        <v>43</v>
      </c>
      <c r="C1934" s="24" t="str">
        <f>VLOOKUP(dynamic[customerID],customers[],2,FALSE)</f>
        <v>LILA-Supermercado</v>
      </c>
      <c r="D1934" s="24">
        <v>45385.0</v>
      </c>
      <c r="E1934" s="6">
        <f>IFERROR(__xludf.DUMMYFUNCTION("COUNTUNIQUEIFS($A$2:$A1934,$B$2:$B1934,B1934)"),12.0)</f>
        <v>12</v>
      </c>
      <c r="F1934" s="6">
        <f t="shared" si="1"/>
        <v>43</v>
      </c>
      <c r="G1934" s="6" t="str">
        <f>IF(MINIFS(dynamic[orderDate], dynamic[customerID], B1934) &gt;= DATE(2024,4,30)-120, 
     "New", 
     IF(MAXIFS(dynamic[orderCount], dynamic[customerID], B1934)&lt;=2, 
        IF((DATE(2024,4,30) - MAXIFS(dynamic[orderDate], dynamic[customerID], B1934)) &gt; 180, "Non-Returning", "Dormant"), 
        IF(AND(MAX(dynamic[sinceLastOrder]) &gt; 365, (DATE(2024,4,30) - MAXIFS(dynamic[orderDate], dynamic[customerID], B1934)) &gt; 180), 
           "Dormant", "Regular")))</f>
        <v>Regular</v>
      </c>
      <c r="H1934" s="6">
        <v>52.0</v>
      </c>
      <c r="I1934" s="9" t="str">
        <f>VLOOKUP(dynamic[productID],products[],2,FALSE)</f>
        <v>Filo Mix</v>
      </c>
      <c r="J1934" s="9" t="str">
        <f>VLOOKUP(dynamic[productID],products[],12,FALSE)</f>
        <v>Grains/Cereals</v>
      </c>
      <c r="K1934" s="7" t="str">
        <f>IF(VLOOKUP(dynamic[productID],products[],7,FALSE)=1,"Discontinued","Current")</f>
        <v>Current</v>
      </c>
      <c r="L1934" s="9">
        <f>VLOOKUP(dynamic[productID],products[],IF(YEAR(dynamic[orderDate])=2022,8,IF(YEAR(dynamic[orderDate])=2023,9,IF(YEAR(dynamic[orderDate])=2024,10,NA))),FALSE)</f>
        <v>5.222223442</v>
      </c>
      <c r="M1934" s="9">
        <v>7.0</v>
      </c>
      <c r="N1934" s="25">
        <f>(dynamic[orderPrice]-dynamic[productCost])/dynamic[productCost]</f>
        <v>0.3404252188</v>
      </c>
      <c r="O1934" s="10">
        <v>20.0</v>
      </c>
      <c r="P1934" s="25">
        <v>0.25</v>
      </c>
      <c r="Q1934" s="9">
        <f>dynamic[orderPrice]*dynamic[orderQuantity]</f>
        <v>140</v>
      </c>
      <c r="R1934" s="9">
        <f>dynamic[orderTotal]*(1-dynamic[discountApllied])</f>
        <v>105</v>
      </c>
      <c r="S1934" s="9">
        <f>dynamic[revenue]-(dynamic[productCost]*dynamic[orderQuantity])</f>
        <v>0.5555311583</v>
      </c>
      <c r="T1934" s="25">
        <f>IFERROR(dynamic[profit]/dynamic[revenue], 0)</f>
        <v>0.005290772936</v>
      </c>
    </row>
    <row r="1935" ht="15.75" customHeight="1">
      <c r="A1935" s="6">
        <v>10998.0</v>
      </c>
      <c r="B1935" s="7" t="s">
        <v>78</v>
      </c>
      <c r="C1935" s="24" t="str">
        <f>VLOOKUP(dynamic[customerID],customers[],2,FALSE)</f>
        <v>Wolski  Zajazd</v>
      </c>
      <c r="D1935" s="24">
        <v>45385.0</v>
      </c>
      <c r="E1935" s="6">
        <f>IFERROR(__xludf.DUMMYFUNCTION("COUNTUNIQUEIFS($A$2:$A1935,$B$2:$B1935,B1935)"),6.0)</f>
        <v>6</v>
      </c>
      <c r="F1935" s="6">
        <f t="shared" si="1"/>
        <v>38</v>
      </c>
      <c r="G1935" s="6" t="str">
        <f>IF(MINIFS(dynamic[orderDate], dynamic[customerID], B1935) &gt;= DATE(2024,4,30)-120, 
     "New", 
     IF(MAXIFS(dynamic[orderCount], dynamic[customerID], B1935)&lt;=2, 
        IF((DATE(2024,4,30) - MAXIFS(dynamic[orderDate], dynamic[customerID], B1935)) &gt; 180, "Non-Returning", "Dormant"), 
        IF(AND(MAX(dynamic[sinceLastOrder]) &gt; 365, (DATE(2024,4,30) - MAXIFS(dynamic[orderDate], dynamic[customerID], B1935)) &gt; 180), 
           "Dormant", "Regular")))</f>
        <v>Regular</v>
      </c>
      <c r="H1935" s="6">
        <v>24.0</v>
      </c>
      <c r="I1935" s="9" t="str">
        <f>VLOOKUP(dynamic[productID],products[],2,FALSE)</f>
        <v>Brigadeiros Maravilhosos da Lilian</v>
      </c>
      <c r="J1935" s="9" t="str">
        <f>VLOOKUP(dynamic[productID],products[],12,FALSE)</f>
        <v>Confections</v>
      </c>
      <c r="K1935" s="7" t="str">
        <f>IF(VLOOKUP(dynamic[productID],products[],7,FALSE)=1,"Discontinued","Current")</f>
        <v>Discontinued</v>
      </c>
      <c r="L1935" s="9">
        <f>VLOOKUP(dynamic[productID],products[],IF(YEAR(dynamic[orderDate])=2022,8,IF(YEAR(dynamic[orderDate])=2023,9,IF(YEAR(dynamic[orderDate])=2024,10,NA))),FALSE)</f>
        <v>3.177326315</v>
      </c>
      <c r="M1935" s="9">
        <v>4.5</v>
      </c>
      <c r="N1935" s="25">
        <f>(dynamic[orderPrice]-dynamic[productCost])/dynamic[productCost]</f>
        <v>0.416285126</v>
      </c>
      <c r="O1935" s="10">
        <v>12.0</v>
      </c>
      <c r="P1935" s="25">
        <v>0.0</v>
      </c>
      <c r="Q1935" s="9">
        <f>dynamic[orderPrice]*dynamic[orderQuantity]</f>
        <v>54</v>
      </c>
      <c r="R1935" s="9">
        <f>dynamic[orderTotal]*(1-dynamic[discountApllied])</f>
        <v>54</v>
      </c>
      <c r="S1935" s="9">
        <f>dynamic[revenue]-(dynamic[productCost]*dynamic[orderQuantity])</f>
        <v>15.87208422</v>
      </c>
      <c r="T1935" s="25">
        <f>IFERROR(dynamic[profit]/dynamic[revenue], 0)</f>
        <v>0.2939274856</v>
      </c>
    </row>
    <row r="1936" ht="15.75" customHeight="1">
      <c r="A1936" s="6">
        <v>10998.0</v>
      </c>
      <c r="B1936" s="7" t="s">
        <v>78</v>
      </c>
      <c r="C1936" s="24" t="str">
        <f>VLOOKUP(dynamic[customerID],customers[],2,FALSE)</f>
        <v>Wolski  Zajazd</v>
      </c>
      <c r="D1936" s="24">
        <v>45385.0</v>
      </c>
      <c r="E1936" s="6">
        <f>IFERROR(__xludf.DUMMYFUNCTION("COUNTUNIQUEIFS($A$2:$A1936,$B$2:$B1936,B1936)"),6.0)</f>
        <v>6</v>
      </c>
      <c r="F1936" s="6">
        <f t="shared" si="1"/>
        <v>38</v>
      </c>
      <c r="G1936" s="6" t="str">
        <f>IF(MINIFS(dynamic[orderDate], dynamic[customerID], B1936) &gt;= DATE(2024,4,30)-120, 
     "New", 
     IF(MAXIFS(dynamic[orderCount], dynamic[customerID], B1936)&lt;=2, 
        IF((DATE(2024,4,30) - MAXIFS(dynamic[orderDate], dynamic[customerID], B1936)) &gt; 180, "Non-Returning", "Dormant"), 
        IF(AND(MAX(dynamic[sinceLastOrder]) &gt; 365, (DATE(2024,4,30) - MAXIFS(dynamic[orderDate], dynamic[customerID], B1936)) &gt; 180), 
           "Dormant", "Regular")))</f>
        <v>Regular</v>
      </c>
      <c r="H1936" s="6">
        <v>61.0</v>
      </c>
      <c r="I1936" s="9" t="str">
        <f>VLOOKUP(dynamic[productID],products[],2,FALSE)</f>
        <v>Sirop d'érable</v>
      </c>
      <c r="J1936" s="9" t="str">
        <f>VLOOKUP(dynamic[productID],products[],12,FALSE)</f>
        <v>Condiments</v>
      </c>
      <c r="K1936" s="7" t="str">
        <f>IF(VLOOKUP(dynamic[productID],products[],7,FALSE)=1,"Discontinued","Current")</f>
        <v>Current</v>
      </c>
      <c r="L1936" s="9">
        <f>VLOOKUP(dynamic[productID],products[],IF(YEAR(dynamic[orderDate])=2022,8,IF(YEAR(dynamic[orderDate])=2023,9,IF(YEAR(dynamic[orderDate])=2024,10,NA))),FALSE)</f>
        <v>18.74487379</v>
      </c>
      <c r="M1936" s="9">
        <v>28.5</v>
      </c>
      <c r="N1936" s="25">
        <f>(dynamic[orderPrice]-dynamic[productCost])/dynamic[productCost]</f>
        <v>0.5204156786</v>
      </c>
      <c r="O1936" s="10">
        <v>7.0</v>
      </c>
      <c r="P1936" s="25">
        <v>0.0</v>
      </c>
      <c r="Q1936" s="9">
        <f>dynamic[orderPrice]*dynamic[orderQuantity]</f>
        <v>199.5</v>
      </c>
      <c r="R1936" s="9">
        <f>dynamic[orderTotal]*(1-dynamic[discountApllied])</f>
        <v>199.5</v>
      </c>
      <c r="S1936" s="9">
        <f>dynamic[revenue]-(dynamic[productCost]*dynamic[orderQuantity])</f>
        <v>68.28588349</v>
      </c>
      <c r="T1936" s="25">
        <f>IFERROR(dynamic[profit]/dynamic[revenue], 0)</f>
        <v>0.3422851303</v>
      </c>
    </row>
    <row r="1937" ht="15.75" customHeight="1">
      <c r="A1937" s="6">
        <v>10998.0</v>
      </c>
      <c r="B1937" s="7" t="s">
        <v>78</v>
      </c>
      <c r="C1937" s="24" t="str">
        <f>VLOOKUP(dynamic[customerID],customers[],2,FALSE)</f>
        <v>Wolski  Zajazd</v>
      </c>
      <c r="D1937" s="24">
        <v>45385.0</v>
      </c>
      <c r="E1937" s="6">
        <f>IFERROR(__xludf.DUMMYFUNCTION("COUNTUNIQUEIFS($A$2:$A1937,$B$2:$B1937,B1937)"),6.0)</f>
        <v>6</v>
      </c>
      <c r="F1937" s="6">
        <f t="shared" si="1"/>
        <v>38</v>
      </c>
      <c r="G1937" s="6" t="str">
        <f>IF(MINIFS(dynamic[orderDate], dynamic[customerID], B1937) &gt;= DATE(2024,4,30)-120, 
     "New", 
     IF(MAXIFS(dynamic[orderCount], dynamic[customerID], B1937)&lt;=2, 
        IF((DATE(2024,4,30) - MAXIFS(dynamic[orderDate], dynamic[customerID], B1937)) &gt; 180, "Non-Returning", "Dormant"), 
        IF(AND(MAX(dynamic[sinceLastOrder]) &gt; 365, (DATE(2024,4,30) - MAXIFS(dynamic[orderDate], dynamic[customerID], B1937)) &gt; 180), 
           "Dormant", "Regular")))</f>
        <v>Regular</v>
      </c>
      <c r="H1937" s="6">
        <v>74.0</v>
      </c>
      <c r="I1937" s="9" t="str">
        <f>VLOOKUP(dynamic[productID],products[],2,FALSE)</f>
        <v>Longlife Tofu</v>
      </c>
      <c r="J1937" s="9" t="str">
        <f>VLOOKUP(dynamic[productID],products[],12,FALSE)</f>
        <v>Produce</v>
      </c>
      <c r="K1937" s="7" t="str">
        <f>IF(VLOOKUP(dynamic[productID],products[],7,FALSE)=1,"Discontinued","Current")</f>
        <v>Current</v>
      </c>
      <c r="L1937" s="9">
        <f>VLOOKUP(dynamic[productID],products[],IF(YEAR(dynamic[orderDate])=2022,8,IF(YEAR(dynamic[orderDate])=2023,9,IF(YEAR(dynamic[orderDate])=2024,10,NA))),FALSE)</f>
        <v>7.717719033</v>
      </c>
      <c r="M1937" s="9">
        <v>10.0</v>
      </c>
      <c r="N1937" s="25">
        <f>(dynamic[orderPrice]-dynamic[productCost])/dynamic[productCost]</f>
        <v>0.2957196235</v>
      </c>
      <c r="O1937" s="10">
        <v>20.0</v>
      </c>
      <c r="P1937" s="25">
        <v>0.0</v>
      </c>
      <c r="Q1937" s="9">
        <f>dynamic[orderPrice]*dynamic[orderQuantity]</f>
        <v>200</v>
      </c>
      <c r="R1937" s="9">
        <f>dynamic[orderTotal]*(1-dynamic[discountApllied])</f>
        <v>200</v>
      </c>
      <c r="S1937" s="9">
        <f>dynamic[revenue]-(dynamic[productCost]*dynamic[orderQuantity])</f>
        <v>45.64561934</v>
      </c>
      <c r="T1937" s="25">
        <f>IFERROR(dynamic[profit]/dynamic[revenue], 0)</f>
        <v>0.2282280967</v>
      </c>
    </row>
    <row r="1938" ht="15.75" customHeight="1">
      <c r="A1938" s="6">
        <v>10998.0</v>
      </c>
      <c r="B1938" s="7" t="s">
        <v>78</v>
      </c>
      <c r="C1938" s="24" t="str">
        <f>VLOOKUP(dynamic[customerID],customers[],2,FALSE)</f>
        <v>Wolski  Zajazd</v>
      </c>
      <c r="D1938" s="24">
        <v>45385.0</v>
      </c>
      <c r="E1938" s="6">
        <f>IFERROR(__xludf.DUMMYFUNCTION("COUNTUNIQUEIFS($A$2:$A1938,$B$2:$B1938,B1938)"),6.0)</f>
        <v>6</v>
      </c>
      <c r="F1938" s="6">
        <f t="shared" si="1"/>
        <v>38</v>
      </c>
      <c r="G1938" s="6" t="str">
        <f>IF(MINIFS(dynamic[orderDate], dynamic[customerID], B1938) &gt;= DATE(2024,4,30)-120, 
     "New", 
     IF(MAXIFS(dynamic[orderCount], dynamic[customerID], B1938)&lt;=2, 
        IF((DATE(2024,4,30) - MAXIFS(dynamic[orderDate], dynamic[customerID], B1938)) &gt; 180, "Non-Returning", "Dormant"), 
        IF(AND(MAX(dynamic[sinceLastOrder]) &gt; 365, (DATE(2024,4,30) - MAXIFS(dynamic[orderDate], dynamic[customerID], B1938)) &gt; 180), 
           "Dormant", "Regular")))</f>
        <v>Regular</v>
      </c>
      <c r="H1938" s="6">
        <v>75.0</v>
      </c>
      <c r="I1938" s="9" t="str">
        <f>VLOOKUP(dynamic[productID],products[],2,FALSE)</f>
        <v>Rhönbräu Klosterbier</v>
      </c>
      <c r="J1938" s="9" t="str">
        <f>VLOOKUP(dynamic[productID],products[],12,FALSE)</f>
        <v>Beverages</v>
      </c>
      <c r="K1938" s="7" t="str">
        <f>IF(VLOOKUP(dynamic[productID],products[],7,FALSE)=1,"Discontinued","Current")</f>
        <v>Current</v>
      </c>
      <c r="L1938" s="9">
        <f>VLOOKUP(dynamic[productID],products[],IF(YEAR(dynamic[orderDate])=2022,8,IF(YEAR(dynamic[orderDate])=2023,9,IF(YEAR(dynamic[orderDate])=2024,10,NA))),FALSE)</f>
        <v>5.374051525</v>
      </c>
      <c r="M1938" s="9">
        <v>7.75</v>
      </c>
      <c r="N1938" s="25">
        <f>(dynamic[orderPrice]-dynamic[productCost])/dynamic[productCost]</f>
        <v>0.4421149413</v>
      </c>
      <c r="O1938" s="10">
        <v>30.0</v>
      </c>
      <c r="P1938" s="25">
        <v>0.0</v>
      </c>
      <c r="Q1938" s="9">
        <f>dynamic[orderPrice]*dynamic[orderQuantity]</f>
        <v>232.5</v>
      </c>
      <c r="R1938" s="9">
        <f>dynamic[orderTotal]*(1-dynamic[discountApllied])</f>
        <v>232.5</v>
      </c>
      <c r="S1938" s="9">
        <f>dynamic[revenue]-(dynamic[productCost]*dynamic[orderQuantity])</f>
        <v>71.27845424</v>
      </c>
      <c r="T1938" s="25">
        <f>IFERROR(dynamic[profit]/dynamic[revenue], 0)</f>
        <v>0.3065739967</v>
      </c>
    </row>
    <row r="1939" ht="15.75" customHeight="1">
      <c r="A1939" s="6">
        <v>10999.0</v>
      </c>
      <c r="B1939" s="7" t="s">
        <v>26</v>
      </c>
      <c r="C1939" s="24" t="str">
        <f>VLOOKUP(dynamic[customerID],customers[],2,FALSE)</f>
        <v>Ottilies Käseladen</v>
      </c>
      <c r="D1939" s="24">
        <v>45385.0</v>
      </c>
      <c r="E1939" s="6">
        <f>IFERROR(__xludf.DUMMYFUNCTION("COUNTUNIQUEIFS($A$2:$A1939,$B$2:$B1939,B1939)"),9.0)</f>
        <v>9</v>
      </c>
      <c r="F1939" s="6">
        <f t="shared" si="1"/>
        <v>79</v>
      </c>
      <c r="G1939" s="6" t="str">
        <f>IF(MINIFS(dynamic[orderDate], dynamic[customerID], B1939) &gt;= DATE(2024,4,30)-120, 
     "New", 
     IF(MAXIFS(dynamic[orderCount], dynamic[customerID], B1939)&lt;=2, 
        IF((DATE(2024,4,30) - MAXIFS(dynamic[orderDate], dynamic[customerID], B1939)) &gt; 180, "Non-Returning", "Dormant"), 
        IF(AND(MAX(dynamic[sinceLastOrder]) &gt; 365, (DATE(2024,4,30) - MAXIFS(dynamic[orderDate], dynamic[customerID], B1939)) &gt; 180), 
           "Dormant", "Regular")))</f>
        <v>Regular</v>
      </c>
      <c r="H1939" s="6">
        <v>41.0</v>
      </c>
      <c r="I1939" s="9" t="str">
        <f>VLOOKUP(dynamic[productID],products[],2,FALSE)</f>
        <v>Jack's New England Clam Chowder</v>
      </c>
      <c r="J1939" s="9" t="str">
        <f>VLOOKUP(dynamic[productID],products[],12,FALSE)</f>
        <v>Seafood</v>
      </c>
      <c r="K1939" s="7" t="str">
        <f>IF(VLOOKUP(dynamic[productID],products[],7,FALSE)=1,"Discontinued","Current")</f>
        <v>Current</v>
      </c>
      <c r="L1939" s="9">
        <f>VLOOKUP(dynamic[productID],products[],IF(YEAR(dynamic[orderDate])=2022,8,IF(YEAR(dynamic[orderDate])=2023,9,IF(YEAR(dynamic[orderDate])=2024,10,NA))),FALSE)</f>
        <v>6.611787882</v>
      </c>
      <c r="M1939" s="9">
        <v>9.65</v>
      </c>
      <c r="N1939" s="25">
        <f>(dynamic[orderPrice]-dynamic[productCost])/dynamic[productCost]</f>
        <v>0.459514457</v>
      </c>
      <c r="O1939" s="10">
        <v>20.0</v>
      </c>
      <c r="P1939" s="25">
        <v>0.05</v>
      </c>
      <c r="Q1939" s="9">
        <f>dynamic[orderPrice]*dynamic[orderQuantity]</f>
        <v>193</v>
      </c>
      <c r="R1939" s="9">
        <f>dynamic[orderTotal]*(1-dynamic[discountApllied])</f>
        <v>183.35</v>
      </c>
      <c r="S1939" s="9">
        <f>dynamic[revenue]-(dynamic[productCost]*dynamic[orderQuantity])</f>
        <v>51.11424236</v>
      </c>
      <c r="T1939" s="25">
        <f>IFERROR(dynamic[profit]/dynamic[revenue], 0)</f>
        <v>0.2787796147</v>
      </c>
    </row>
    <row r="1940" ht="15.75" customHeight="1">
      <c r="A1940" s="6">
        <v>10999.0</v>
      </c>
      <c r="B1940" s="7" t="s">
        <v>26</v>
      </c>
      <c r="C1940" s="24" t="str">
        <f>VLOOKUP(dynamic[customerID],customers[],2,FALSE)</f>
        <v>Ottilies Käseladen</v>
      </c>
      <c r="D1940" s="24">
        <v>45385.0</v>
      </c>
      <c r="E1940" s="6">
        <f>IFERROR(__xludf.DUMMYFUNCTION("COUNTUNIQUEIFS($A$2:$A1940,$B$2:$B1940,B1940)"),9.0)</f>
        <v>9</v>
      </c>
      <c r="F1940" s="6">
        <f t="shared" si="1"/>
        <v>79</v>
      </c>
      <c r="G1940" s="6" t="str">
        <f>IF(MINIFS(dynamic[orderDate], dynamic[customerID], B1940) &gt;= DATE(2024,4,30)-120, 
     "New", 
     IF(MAXIFS(dynamic[orderCount], dynamic[customerID], B1940)&lt;=2, 
        IF((DATE(2024,4,30) - MAXIFS(dynamic[orderDate], dynamic[customerID], B1940)) &gt; 180, "Non-Returning", "Dormant"), 
        IF(AND(MAX(dynamic[sinceLastOrder]) &gt; 365, (DATE(2024,4,30) - MAXIFS(dynamic[orderDate], dynamic[customerID], B1940)) &gt; 180), 
           "Dormant", "Regular")))</f>
        <v>Regular</v>
      </c>
      <c r="H1940" s="6">
        <v>51.0</v>
      </c>
      <c r="I1940" s="9" t="str">
        <f>VLOOKUP(dynamic[productID],products[],2,FALSE)</f>
        <v>Manjimup Dried Apples</v>
      </c>
      <c r="J1940" s="9" t="str">
        <f>VLOOKUP(dynamic[productID],products[],12,FALSE)</f>
        <v>Produce</v>
      </c>
      <c r="K1940" s="7" t="str">
        <f>IF(VLOOKUP(dynamic[productID],products[],7,FALSE)=1,"Discontinued","Current")</f>
        <v>Current</v>
      </c>
      <c r="L1940" s="9">
        <f>VLOOKUP(dynamic[productID],products[],IF(YEAR(dynamic[orderDate])=2022,8,IF(YEAR(dynamic[orderDate])=2023,9,IF(YEAR(dynamic[orderDate])=2024,10,NA))),FALSE)</f>
        <v>39.51416462</v>
      </c>
      <c r="M1940" s="9">
        <v>53.0</v>
      </c>
      <c r="N1940" s="25">
        <f>(dynamic[orderPrice]-dynamic[productCost])/dynamic[productCost]</f>
        <v>0.3412911677</v>
      </c>
      <c r="O1940" s="10">
        <v>15.0</v>
      </c>
      <c r="P1940" s="25">
        <v>0.05</v>
      </c>
      <c r="Q1940" s="9">
        <f>dynamic[orderPrice]*dynamic[orderQuantity]</f>
        <v>795</v>
      </c>
      <c r="R1940" s="9">
        <f>dynamic[orderTotal]*(1-dynamic[discountApllied])</f>
        <v>755.25</v>
      </c>
      <c r="S1940" s="9">
        <f>dynamic[revenue]-(dynamic[productCost]*dynamic[orderQuantity])</f>
        <v>162.5375307</v>
      </c>
      <c r="T1940" s="25">
        <f>IFERROR(dynamic[profit]/dynamic[revenue], 0)</f>
        <v>0.215210236</v>
      </c>
    </row>
    <row r="1941" ht="15.75" customHeight="1">
      <c r="A1941" s="6">
        <v>10999.0</v>
      </c>
      <c r="B1941" s="7" t="s">
        <v>26</v>
      </c>
      <c r="C1941" s="24" t="str">
        <f>VLOOKUP(dynamic[customerID],customers[],2,FALSE)</f>
        <v>Ottilies Käseladen</v>
      </c>
      <c r="D1941" s="24">
        <v>45385.0</v>
      </c>
      <c r="E1941" s="6">
        <f>IFERROR(__xludf.DUMMYFUNCTION("COUNTUNIQUEIFS($A$2:$A1941,$B$2:$B1941,B1941)"),9.0)</f>
        <v>9</v>
      </c>
      <c r="F1941" s="6">
        <f t="shared" si="1"/>
        <v>79</v>
      </c>
      <c r="G1941" s="6" t="str">
        <f>IF(MINIFS(dynamic[orderDate], dynamic[customerID], B1941) &gt;= DATE(2024,4,30)-120, 
     "New", 
     IF(MAXIFS(dynamic[orderCount], dynamic[customerID], B1941)&lt;=2, 
        IF((DATE(2024,4,30) - MAXIFS(dynamic[orderDate], dynamic[customerID], B1941)) &gt; 180, "Non-Returning", "Dormant"), 
        IF(AND(MAX(dynamic[sinceLastOrder]) &gt; 365, (DATE(2024,4,30) - MAXIFS(dynamic[orderDate], dynamic[customerID], B1941)) &gt; 180), 
           "Dormant", "Regular")))</f>
        <v>Regular</v>
      </c>
      <c r="H1941" s="6">
        <v>77.0</v>
      </c>
      <c r="I1941" s="9" t="str">
        <f>VLOOKUP(dynamic[productID],products[],2,FALSE)</f>
        <v>Original Frankfurter grüne Soße</v>
      </c>
      <c r="J1941" s="9" t="str">
        <f>VLOOKUP(dynamic[productID],products[],12,FALSE)</f>
        <v>Condiments</v>
      </c>
      <c r="K1941" s="7" t="str">
        <f>IF(VLOOKUP(dynamic[productID],products[],7,FALSE)=1,"Discontinued","Current")</f>
        <v>Current</v>
      </c>
      <c r="L1941" s="9">
        <f>VLOOKUP(dynamic[productID],products[],IF(YEAR(dynamic[orderDate])=2022,8,IF(YEAR(dynamic[orderDate])=2023,9,IF(YEAR(dynamic[orderDate])=2024,10,NA))),FALSE)</f>
        <v>9.299025151</v>
      </c>
      <c r="M1941" s="9">
        <v>13.0</v>
      </c>
      <c r="N1941" s="25">
        <f>(dynamic[orderPrice]-dynamic[productCost])/dynamic[productCost]</f>
        <v>0.3979960037</v>
      </c>
      <c r="O1941" s="10">
        <v>21.0</v>
      </c>
      <c r="P1941" s="25">
        <v>0.05</v>
      </c>
      <c r="Q1941" s="9">
        <f>dynamic[orderPrice]*dynamic[orderQuantity]</f>
        <v>273</v>
      </c>
      <c r="R1941" s="9">
        <f>dynamic[orderTotal]*(1-dynamic[discountApllied])</f>
        <v>259.35</v>
      </c>
      <c r="S1941" s="9">
        <f>dynamic[revenue]-(dynamic[productCost]*dynamic[orderQuantity])</f>
        <v>64.07047182</v>
      </c>
      <c r="T1941" s="25">
        <f>IFERROR(dynamic[profit]/dynamic[revenue], 0)</f>
        <v>0.2470424979</v>
      </c>
    </row>
    <row r="1942" ht="15.75" customHeight="1">
      <c r="A1942" s="6">
        <v>11000.0</v>
      </c>
      <c r="B1942" s="7" t="s">
        <v>28</v>
      </c>
      <c r="C1942" s="24" t="str">
        <f>VLOOKUP(dynamic[customerID],customers[],2,FALSE)</f>
        <v>Rattlesnake Canyon Grocery</v>
      </c>
      <c r="D1942" s="24">
        <v>45388.0</v>
      </c>
      <c r="E1942" s="6">
        <f>IFERROR(__xludf.DUMMYFUNCTION("COUNTUNIQUEIFS($A$2:$A1942,$B$2:$B1942,B1942)"),17.0)</f>
        <v>17</v>
      </c>
      <c r="F1942" s="6">
        <f t="shared" si="1"/>
        <v>6</v>
      </c>
      <c r="G1942" s="6" t="str">
        <f>IF(MINIFS(dynamic[orderDate], dynamic[customerID], B1942) &gt;= DATE(2024,4,30)-120, 
     "New", 
     IF(MAXIFS(dynamic[orderCount], dynamic[customerID], B1942)&lt;=2, 
        IF((DATE(2024,4,30) - MAXIFS(dynamic[orderDate], dynamic[customerID], B1942)) &gt; 180, "Non-Returning", "Dormant"), 
        IF(AND(MAX(dynamic[sinceLastOrder]) &gt; 365, (DATE(2024,4,30) - MAXIFS(dynamic[orderDate], dynamic[customerID], B1942)) &gt; 180), 
           "Dormant", "Regular")))</f>
        <v>Regular</v>
      </c>
      <c r="H1942" s="6">
        <v>4.0</v>
      </c>
      <c r="I1942" s="9" t="str">
        <f>VLOOKUP(dynamic[productID],products[],2,FALSE)</f>
        <v>Chef Anton's Cajun Seasoning</v>
      </c>
      <c r="J1942" s="9" t="str">
        <f>VLOOKUP(dynamic[productID],products[],12,FALSE)</f>
        <v>Condiments</v>
      </c>
      <c r="K1942" s="7" t="str">
        <f>IF(VLOOKUP(dynamic[productID],products[],7,FALSE)=1,"Discontinued","Current")</f>
        <v>Current</v>
      </c>
      <c r="L1942" s="9">
        <f>VLOOKUP(dynamic[productID],products[],IF(YEAR(dynamic[orderDate])=2022,8,IF(YEAR(dynamic[orderDate])=2023,9,IF(YEAR(dynamic[orderDate])=2024,10,NA))),FALSE)</f>
        <v>14.37280157</v>
      </c>
      <c r="M1942" s="9">
        <v>22.0</v>
      </c>
      <c r="N1942" s="25">
        <f>(dynamic[orderPrice]-dynamic[productCost])/dynamic[productCost]</f>
        <v>0.5306688748</v>
      </c>
      <c r="O1942" s="10">
        <v>25.0</v>
      </c>
      <c r="P1942" s="25">
        <v>0.25</v>
      </c>
      <c r="Q1942" s="9">
        <f>dynamic[orderPrice]*dynamic[orderQuantity]</f>
        <v>550</v>
      </c>
      <c r="R1942" s="9">
        <f>dynamic[orderTotal]*(1-dynamic[discountApllied])</f>
        <v>412.5</v>
      </c>
      <c r="S1942" s="9">
        <f>dynamic[revenue]-(dynamic[productCost]*dynamic[orderQuantity])</f>
        <v>53.17996087</v>
      </c>
      <c r="T1942" s="25">
        <f>IFERROR(dynamic[profit]/dynamic[revenue], 0)</f>
        <v>0.1289211173</v>
      </c>
    </row>
    <row r="1943" ht="15.75" customHeight="1">
      <c r="A1943" s="6">
        <v>11000.0</v>
      </c>
      <c r="B1943" s="7" t="s">
        <v>28</v>
      </c>
      <c r="C1943" s="24" t="str">
        <f>VLOOKUP(dynamic[customerID],customers[],2,FALSE)</f>
        <v>Rattlesnake Canyon Grocery</v>
      </c>
      <c r="D1943" s="24">
        <v>45388.0</v>
      </c>
      <c r="E1943" s="6">
        <f>IFERROR(__xludf.DUMMYFUNCTION("COUNTUNIQUEIFS($A$2:$A1943,$B$2:$B1943,B1943)"),17.0)</f>
        <v>17</v>
      </c>
      <c r="F1943" s="6">
        <f t="shared" si="1"/>
        <v>6</v>
      </c>
      <c r="G1943" s="6" t="str">
        <f>IF(MINIFS(dynamic[orderDate], dynamic[customerID], B1943) &gt;= DATE(2024,4,30)-120, 
     "New", 
     IF(MAXIFS(dynamic[orderCount], dynamic[customerID], B1943)&lt;=2, 
        IF((DATE(2024,4,30) - MAXIFS(dynamic[orderDate], dynamic[customerID], B1943)) &gt; 180, "Non-Returning", "Dormant"), 
        IF(AND(MAX(dynamic[sinceLastOrder]) &gt; 365, (DATE(2024,4,30) - MAXIFS(dynamic[orderDate], dynamic[customerID], B1943)) &gt; 180), 
           "Dormant", "Regular")))</f>
        <v>Regular</v>
      </c>
      <c r="H1943" s="6">
        <v>24.0</v>
      </c>
      <c r="I1943" s="9" t="str">
        <f>VLOOKUP(dynamic[productID],products[],2,FALSE)</f>
        <v>Brigadeiros Maravilhosos da Lilian</v>
      </c>
      <c r="J1943" s="9" t="str">
        <f>VLOOKUP(dynamic[productID],products[],12,FALSE)</f>
        <v>Confections</v>
      </c>
      <c r="K1943" s="7" t="str">
        <f>IF(VLOOKUP(dynamic[productID],products[],7,FALSE)=1,"Discontinued","Current")</f>
        <v>Discontinued</v>
      </c>
      <c r="L1943" s="9">
        <f>VLOOKUP(dynamic[productID],products[],IF(YEAR(dynamic[orderDate])=2022,8,IF(YEAR(dynamic[orderDate])=2023,9,IF(YEAR(dynamic[orderDate])=2024,10,NA))),FALSE)</f>
        <v>3.177326315</v>
      </c>
      <c r="M1943" s="9">
        <v>4.5</v>
      </c>
      <c r="N1943" s="25">
        <f>(dynamic[orderPrice]-dynamic[productCost])/dynamic[productCost]</f>
        <v>0.416285126</v>
      </c>
      <c r="O1943" s="10">
        <v>30.0</v>
      </c>
      <c r="P1943" s="25">
        <v>0.25</v>
      </c>
      <c r="Q1943" s="9">
        <f>dynamic[orderPrice]*dynamic[orderQuantity]</f>
        <v>135</v>
      </c>
      <c r="R1943" s="9">
        <f>dynamic[orderTotal]*(1-dynamic[discountApllied])</f>
        <v>101.25</v>
      </c>
      <c r="S1943" s="9">
        <f>dynamic[revenue]-(dynamic[productCost]*dynamic[orderQuantity])</f>
        <v>5.930210559</v>
      </c>
      <c r="T1943" s="25">
        <f>IFERROR(dynamic[profit]/dynamic[revenue], 0)</f>
        <v>0.05856998083</v>
      </c>
    </row>
    <row r="1944" ht="15.75" customHeight="1">
      <c r="A1944" s="6">
        <v>11000.0</v>
      </c>
      <c r="B1944" s="7" t="s">
        <v>28</v>
      </c>
      <c r="C1944" s="24" t="str">
        <f>VLOOKUP(dynamic[customerID],customers[],2,FALSE)</f>
        <v>Rattlesnake Canyon Grocery</v>
      </c>
      <c r="D1944" s="24">
        <v>45388.0</v>
      </c>
      <c r="E1944" s="6">
        <f>IFERROR(__xludf.DUMMYFUNCTION("COUNTUNIQUEIFS($A$2:$A1944,$B$2:$B1944,B1944)"),17.0)</f>
        <v>17</v>
      </c>
      <c r="F1944" s="6">
        <f t="shared" si="1"/>
        <v>6</v>
      </c>
      <c r="G1944" s="6" t="str">
        <f>IF(MINIFS(dynamic[orderDate], dynamic[customerID], B1944) &gt;= DATE(2024,4,30)-120, 
     "New", 
     IF(MAXIFS(dynamic[orderCount], dynamic[customerID], B1944)&lt;=2, 
        IF((DATE(2024,4,30) - MAXIFS(dynamic[orderDate], dynamic[customerID], B1944)) &gt; 180, "Non-Returning", "Dormant"), 
        IF(AND(MAX(dynamic[sinceLastOrder]) &gt; 365, (DATE(2024,4,30) - MAXIFS(dynamic[orderDate], dynamic[customerID], B1944)) &gt; 180), 
           "Dormant", "Regular")))</f>
        <v>Regular</v>
      </c>
      <c r="H1944" s="6">
        <v>77.0</v>
      </c>
      <c r="I1944" s="9" t="str">
        <f>VLOOKUP(dynamic[productID],products[],2,FALSE)</f>
        <v>Original Frankfurter grüne Soße</v>
      </c>
      <c r="J1944" s="9" t="str">
        <f>VLOOKUP(dynamic[productID],products[],12,FALSE)</f>
        <v>Condiments</v>
      </c>
      <c r="K1944" s="7" t="str">
        <f>IF(VLOOKUP(dynamic[productID],products[],7,FALSE)=1,"Discontinued","Current")</f>
        <v>Current</v>
      </c>
      <c r="L1944" s="9">
        <f>VLOOKUP(dynamic[productID],products[],IF(YEAR(dynamic[orderDate])=2022,8,IF(YEAR(dynamic[orderDate])=2023,9,IF(YEAR(dynamic[orderDate])=2024,10,NA))),FALSE)</f>
        <v>9.299025151</v>
      </c>
      <c r="M1944" s="9">
        <v>13.0</v>
      </c>
      <c r="N1944" s="25">
        <f>(dynamic[orderPrice]-dynamic[productCost])/dynamic[productCost]</f>
        <v>0.3979960037</v>
      </c>
      <c r="O1944" s="10">
        <v>30.0</v>
      </c>
      <c r="P1944" s="25">
        <v>0.0</v>
      </c>
      <c r="Q1944" s="9">
        <f>dynamic[orderPrice]*dynamic[orderQuantity]</f>
        <v>390</v>
      </c>
      <c r="R1944" s="9">
        <f>dynamic[orderTotal]*(1-dynamic[discountApllied])</f>
        <v>390</v>
      </c>
      <c r="S1944" s="9">
        <f>dynamic[revenue]-(dynamic[productCost]*dynamic[orderQuantity])</f>
        <v>111.0292455</v>
      </c>
      <c r="T1944" s="25">
        <f>IFERROR(dynamic[profit]/dynamic[revenue], 0)</f>
        <v>0.284690373</v>
      </c>
    </row>
    <row r="1945" ht="15.75" customHeight="1">
      <c r="A1945" s="6">
        <v>11001.0</v>
      </c>
      <c r="B1945" s="7" t="s">
        <v>29</v>
      </c>
      <c r="C1945" s="24" t="str">
        <f>VLOOKUP(dynamic[customerID],customers[],2,FALSE)</f>
        <v>Folk och fä HB</v>
      </c>
      <c r="D1945" s="24">
        <v>45388.0</v>
      </c>
      <c r="E1945" s="6">
        <f>IFERROR(__xludf.DUMMYFUNCTION("COUNTUNIQUEIFS($A$2:$A1945,$B$2:$B1945,B1945)"),18.0)</f>
        <v>18</v>
      </c>
      <c r="F1945" s="6">
        <f t="shared" si="1"/>
        <v>5</v>
      </c>
      <c r="G1945" s="6" t="str">
        <f>IF(MINIFS(dynamic[orderDate], dynamic[customerID], B1945) &gt;= DATE(2024,4,30)-120, 
     "New", 
     IF(MAXIFS(dynamic[orderCount], dynamic[customerID], B1945)&lt;=2, 
        IF((DATE(2024,4,30) - MAXIFS(dynamic[orderDate], dynamic[customerID], B1945)) &gt; 180, "Non-Returning", "Dormant"), 
        IF(AND(MAX(dynamic[sinceLastOrder]) &gt; 365, (DATE(2024,4,30) - MAXIFS(dynamic[orderDate], dynamic[customerID], B1945)) &gt; 180), 
           "Dormant", "Regular")))</f>
        <v>Regular</v>
      </c>
      <c r="H1945" s="6">
        <v>7.0</v>
      </c>
      <c r="I1945" s="9" t="str">
        <f>VLOOKUP(dynamic[productID],products[],2,FALSE)</f>
        <v>Uncle Bob's Organic Dried Pears</v>
      </c>
      <c r="J1945" s="9" t="str">
        <f>VLOOKUP(dynamic[productID],products[],12,FALSE)</f>
        <v>Produce</v>
      </c>
      <c r="K1945" s="7" t="str">
        <f>IF(VLOOKUP(dynamic[productID],products[],7,FALSE)=1,"Discontinued","Current")</f>
        <v>Current</v>
      </c>
      <c r="L1945" s="9">
        <f>VLOOKUP(dynamic[productID],products[],IF(YEAR(dynamic[orderDate])=2022,8,IF(YEAR(dynamic[orderDate])=2023,9,IF(YEAR(dynamic[orderDate])=2024,10,NA))),FALSE)</f>
        <v>23.52222246</v>
      </c>
      <c r="M1945" s="9">
        <v>30.0</v>
      </c>
      <c r="N1945" s="25">
        <f>(dynamic[orderPrice]-dynamic[productCost])/dynamic[productCost]</f>
        <v>0.2753896894</v>
      </c>
      <c r="O1945" s="10">
        <v>60.0</v>
      </c>
      <c r="P1945" s="25">
        <v>0.0</v>
      </c>
      <c r="Q1945" s="9">
        <f>dynamic[orderPrice]*dynamic[orderQuantity]</f>
        <v>1800</v>
      </c>
      <c r="R1945" s="9">
        <f>dynamic[orderTotal]*(1-dynamic[discountApllied])</f>
        <v>1800</v>
      </c>
      <c r="S1945" s="9">
        <f>dynamic[revenue]-(dynamic[productCost]*dynamic[orderQuantity])</f>
        <v>388.6666522</v>
      </c>
      <c r="T1945" s="25">
        <f>IFERROR(dynamic[profit]/dynamic[revenue], 0)</f>
        <v>0.2159259179</v>
      </c>
    </row>
    <row r="1946" ht="15.75" customHeight="1">
      <c r="A1946" s="6">
        <v>11001.0</v>
      </c>
      <c r="B1946" s="7" t="s">
        <v>29</v>
      </c>
      <c r="C1946" s="24" t="str">
        <f>VLOOKUP(dynamic[customerID],customers[],2,FALSE)</f>
        <v>Folk och fä HB</v>
      </c>
      <c r="D1946" s="24">
        <v>45388.0</v>
      </c>
      <c r="E1946" s="6">
        <f>IFERROR(__xludf.DUMMYFUNCTION("COUNTUNIQUEIFS($A$2:$A1946,$B$2:$B1946,B1946)"),18.0)</f>
        <v>18</v>
      </c>
      <c r="F1946" s="6">
        <f t="shared" si="1"/>
        <v>5</v>
      </c>
      <c r="G1946" s="6" t="str">
        <f>IF(MINIFS(dynamic[orderDate], dynamic[customerID], B1946) &gt;= DATE(2024,4,30)-120, 
     "New", 
     IF(MAXIFS(dynamic[orderCount], dynamic[customerID], B1946)&lt;=2, 
        IF((DATE(2024,4,30) - MAXIFS(dynamic[orderDate], dynamic[customerID], B1946)) &gt; 180, "Non-Returning", "Dormant"), 
        IF(AND(MAX(dynamic[sinceLastOrder]) &gt; 365, (DATE(2024,4,30) - MAXIFS(dynamic[orderDate], dynamic[customerID], B1946)) &gt; 180), 
           "Dormant", "Regular")))</f>
        <v>Regular</v>
      </c>
      <c r="H1946" s="6">
        <v>22.0</v>
      </c>
      <c r="I1946" s="9" t="str">
        <f>VLOOKUP(dynamic[productID],products[],2,FALSE)</f>
        <v>Gustaf's Knäckebröd</v>
      </c>
      <c r="J1946" s="9" t="str">
        <f>VLOOKUP(dynamic[productID],products[],12,FALSE)</f>
        <v>Grains/Cereals</v>
      </c>
      <c r="K1946" s="7" t="str">
        <f>IF(VLOOKUP(dynamic[productID],products[],7,FALSE)=1,"Discontinued","Current")</f>
        <v>Current</v>
      </c>
      <c r="L1946" s="9">
        <f>VLOOKUP(dynamic[productID],products[],IF(YEAR(dynamic[orderDate])=2022,8,IF(YEAR(dynamic[orderDate])=2023,9,IF(YEAR(dynamic[orderDate])=2024,10,NA))),FALSE)</f>
        <v>16.3916268</v>
      </c>
      <c r="M1946" s="9">
        <v>21.0</v>
      </c>
      <c r="N1946" s="25">
        <f>(dynamic[orderPrice]-dynamic[productCost])/dynamic[productCost]</f>
        <v>0.2811419062</v>
      </c>
      <c r="O1946" s="10">
        <v>25.0</v>
      </c>
      <c r="P1946" s="25">
        <v>0.0</v>
      </c>
      <c r="Q1946" s="9">
        <f>dynamic[orderPrice]*dynamic[orderQuantity]</f>
        <v>525</v>
      </c>
      <c r="R1946" s="9">
        <f>dynamic[orderTotal]*(1-dynamic[discountApllied])</f>
        <v>525</v>
      </c>
      <c r="S1946" s="9">
        <f>dynamic[revenue]-(dynamic[productCost]*dynamic[orderQuantity])</f>
        <v>115.2093301</v>
      </c>
      <c r="T1946" s="25">
        <f>IFERROR(dynamic[profit]/dynamic[revenue], 0)</f>
        <v>0.219446343</v>
      </c>
    </row>
    <row r="1947" ht="15.75" customHeight="1">
      <c r="A1947" s="6">
        <v>11001.0</v>
      </c>
      <c r="B1947" s="7" t="s">
        <v>29</v>
      </c>
      <c r="C1947" s="24" t="str">
        <f>VLOOKUP(dynamic[customerID],customers[],2,FALSE)</f>
        <v>Folk och fä HB</v>
      </c>
      <c r="D1947" s="24">
        <v>45388.0</v>
      </c>
      <c r="E1947" s="6">
        <f>IFERROR(__xludf.DUMMYFUNCTION("COUNTUNIQUEIFS($A$2:$A1947,$B$2:$B1947,B1947)"),18.0)</f>
        <v>18</v>
      </c>
      <c r="F1947" s="6">
        <f t="shared" si="1"/>
        <v>5</v>
      </c>
      <c r="G1947" s="6" t="str">
        <f>IF(MINIFS(dynamic[orderDate], dynamic[customerID], B1947) &gt;= DATE(2024,4,30)-120, 
     "New", 
     IF(MAXIFS(dynamic[orderCount], dynamic[customerID], B1947)&lt;=2, 
        IF((DATE(2024,4,30) - MAXIFS(dynamic[orderDate], dynamic[customerID], B1947)) &gt; 180, "Non-Returning", "Dormant"), 
        IF(AND(MAX(dynamic[sinceLastOrder]) &gt; 365, (DATE(2024,4,30) - MAXIFS(dynamic[orderDate], dynamic[customerID], B1947)) &gt; 180), 
           "Dormant", "Regular")))</f>
        <v>Regular</v>
      </c>
      <c r="H1947" s="6">
        <v>46.0</v>
      </c>
      <c r="I1947" s="9" t="str">
        <f>VLOOKUP(dynamic[productID],products[],2,FALSE)</f>
        <v>Spegesild</v>
      </c>
      <c r="J1947" s="9" t="str">
        <f>VLOOKUP(dynamic[productID],products[],12,FALSE)</f>
        <v>Seafood</v>
      </c>
      <c r="K1947" s="7" t="str">
        <f>IF(VLOOKUP(dynamic[productID],products[],7,FALSE)=1,"Discontinued","Current")</f>
        <v>Current</v>
      </c>
      <c r="L1947" s="9">
        <f>VLOOKUP(dynamic[productID],products[],IF(YEAR(dynamic[orderDate])=2022,8,IF(YEAR(dynamic[orderDate])=2023,9,IF(YEAR(dynamic[orderDate])=2024,10,NA))),FALSE)</f>
        <v>8.247981557</v>
      </c>
      <c r="M1947" s="9">
        <v>12.0</v>
      </c>
      <c r="N1947" s="25">
        <f>(dynamic[orderPrice]-dynamic[productCost])/dynamic[productCost]</f>
        <v>0.4549014105</v>
      </c>
      <c r="O1947" s="10">
        <v>25.0</v>
      </c>
      <c r="P1947" s="25">
        <v>0.0</v>
      </c>
      <c r="Q1947" s="9">
        <f>dynamic[orderPrice]*dynamic[orderQuantity]</f>
        <v>300</v>
      </c>
      <c r="R1947" s="9">
        <f>dynamic[orderTotal]*(1-dynamic[discountApllied])</f>
        <v>300</v>
      </c>
      <c r="S1947" s="9">
        <f>dynamic[revenue]-(dynamic[productCost]*dynamic[orderQuantity])</f>
        <v>93.80046109</v>
      </c>
      <c r="T1947" s="25">
        <f>IFERROR(dynamic[profit]/dynamic[revenue], 0)</f>
        <v>0.3126682036</v>
      </c>
    </row>
    <row r="1948" ht="15.75" customHeight="1">
      <c r="A1948" s="6">
        <v>11001.0</v>
      </c>
      <c r="B1948" s="7" t="s">
        <v>29</v>
      </c>
      <c r="C1948" s="24" t="str">
        <f>VLOOKUP(dynamic[customerID],customers[],2,FALSE)</f>
        <v>Folk och fä HB</v>
      </c>
      <c r="D1948" s="24">
        <v>45388.0</v>
      </c>
      <c r="E1948" s="6">
        <f>IFERROR(__xludf.DUMMYFUNCTION("COUNTUNIQUEIFS($A$2:$A1948,$B$2:$B1948,B1948)"),18.0)</f>
        <v>18</v>
      </c>
      <c r="F1948" s="6">
        <f t="shared" si="1"/>
        <v>5</v>
      </c>
      <c r="G1948" s="6" t="str">
        <f>IF(MINIFS(dynamic[orderDate], dynamic[customerID], B1948) &gt;= DATE(2024,4,30)-120, 
     "New", 
     IF(MAXIFS(dynamic[orderCount], dynamic[customerID], B1948)&lt;=2, 
        IF((DATE(2024,4,30) - MAXIFS(dynamic[orderDate], dynamic[customerID], B1948)) &gt; 180, "Non-Returning", "Dormant"), 
        IF(AND(MAX(dynamic[sinceLastOrder]) &gt; 365, (DATE(2024,4,30) - MAXIFS(dynamic[orderDate], dynamic[customerID], B1948)) &gt; 180), 
           "Dormant", "Regular")))</f>
        <v>Regular</v>
      </c>
      <c r="H1948" s="6">
        <v>55.0</v>
      </c>
      <c r="I1948" s="9" t="str">
        <f>VLOOKUP(dynamic[productID],products[],2,FALSE)</f>
        <v>Pâté chinois</v>
      </c>
      <c r="J1948" s="9" t="str">
        <f>VLOOKUP(dynamic[productID],products[],12,FALSE)</f>
        <v>Meat/Poultry</v>
      </c>
      <c r="K1948" s="7" t="str">
        <f>IF(VLOOKUP(dynamic[productID],products[],7,FALSE)=1,"Discontinued","Current")</f>
        <v>Current</v>
      </c>
      <c r="L1948" s="9">
        <f>VLOOKUP(dynamic[productID],products[],IF(YEAR(dynamic[orderDate])=2022,8,IF(YEAR(dynamic[orderDate])=2023,9,IF(YEAR(dynamic[orderDate])=2024,10,NA))),FALSE)</f>
        <v>16.95998522</v>
      </c>
      <c r="M1948" s="9">
        <v>24.0</v>
      </c>
      <c r="N1948" s="25">
        <f>(dynamic[orderPrice]-dynamic[productCost])/dynamic[productCost]</f>
        <v>0.4150955727</v>
      </c>
      <c r="O1948" s="10">
        <v>6.0</v>
      </c>
      <c r="P1948" s="25">
        <v>0.0</v>
      </c>
      <c r="Q1948" s="9">
        <f>dynamic[orderPrice]*dynamic[orderQuantity]</f>
        <v>144</v>
      </c>
      <c r="R1948" s="9">
        <f>dynamic[orderTotal]*(1-dynamic[discountApllied])</f>
        <v>144</v>
      </c>
      <c r="S1948" s="9">
        <f>dynamic[revenue]-(dynamic[productCost]*dynamic[orderQuantity])</f>
        <v>42.24008867</v>
      </c>
      <c r="T1948" s="25">
        <f>IFERROR(dynamic[profit]/dynamic[revenue], 0)</f>
        <v>0.2933339491</v>
      </c>
    </row>
    <row r="1949" ht="15.75" customHeight="1">
      <c r="A1949" s="6">
        <v>11002.0</v>
      </c>
      <c r="B1949" s="7" t="s">
        <v>60</v>
      </c>
      <c r="C1949" s="24" t="str">
        <f>VLOOKUP(dynamic[customerID],customers[],2,FALSE)</f>
        <v>Save-a-lot Markets</v>
      </c>
      <c r="D1949" s="24">
        <v>45388.0</v>
      </c>
      <c r="E1949" s="6">
        <f>IFERROR(__xludf.DUMMYFUNCTION("COUNTUNIQUEIFS($A$2:$A1949,$B$2:$B1949,B1949)"),28.0)</f>
        <v>28</v>
      </c>
      <c r="F1949" s="6">
        <f t="shared" si="1"/>
        <v>7</v>
      </c>
      <c r="G1949" s="6" t="str">
        <f>IF(MINIFS(dynamic[orderDate], dynamic[customerID], B1949) &gt;= DATE(2024,4,30)-120, 
     "New", 
     IF(MAXIFS(dynamic[orderCount], dynamic[customerID], B1949)&lt;=2, 
        IF((DATE(2024,4,30) - MAXIFS(dynamic[orderDate], dynamic[customerID], B1949)) &gt; 180, "Non-Returning", "Dormant"), 
        IF(AND(MAX(dynamic[sinceLastOrder]) &gt; 365, (DATE(2024,4,30) - MAXIFS(dynamic[orderDate], dynamic[customerID], B1949)) &gt; 180), 
           "Dormant", "Regular")))</f>
        <v>Regular</v>
      </c>
      <c r="H1949" s="6">
        <v>13.0</v>
      </c>
      <c r="I1949" s="9" t="str">
        <f>VLOOKUP(dynamic[productID],products[],2,FALSE)</f>
        <v>Konbu</v>
      </c>
      <c r="J1949" s="9" t="str">
        <f>VLOOKUP(dynamic[productID],products[],12,FALSE)</f>
        <v>Seafood</v>
      </c>
      <c r="K1949" s="7" t="str">
        <f>IF(VLOOKUP(dynamic[productID],products[],7,FALSE)=1,"Discontinued","Current")</f>
        <v>Current</v>
      </c>
      <c r="L1949" s="9">
        <f>VLOOKUP(dynamic[productID],products[],IF(YEAR(dynamic[orderDate])=2022,8,IF(YEAR(dynamic[orderDate])=2023,9,IF(YEAR(dynamic[orderDate])=2024,10,NA))),FALSE)</f>
        <v>3.966387047</v>
      </c>
      <c r="M1949" s="9">
        <v>6.0</v>
      </c>
      <c r="N1949" s="25">
        <f>(dynamic[orderPrice]-dynamic[productCost])/dynamic[productCost]</f>
        <v>0.5127116768</v>
      </c>
      <c r="O1949" s="10">
        <v>56.0</v>
      </c>
      <c r="P1949" s="25">
        <v>0.0</v>
      </c>
      <c r="Q1949" s="9">
        <f>dynamic[orderPrice]*dynamic[orderQuantity]</f>
        <v>336</v>
      </c>
      <c r="R1949" s="9">
        <f>dynamic[orderTotal]*(1-dynamic[discountApllied])</f>
        <v>336</v>
      </c>
      <c r="S1949" s="9">
        <f>dynamic[revenue]-(dynamic[productCost]*dynamic[orderQuantity])</f>
        <v>113.8823254</v>
      </c>
      <c r="T1949" s="25">
        <f>IFERROR(dynamic[profit]/dynamic[revenue], 0)</f>
        <v>0.3389354922</v>
      </c>
    </row>
    <row r="1950" ht="15.75" customHeight="1">
      <c r="A1950" s="6">
        <v>11002.0</v>
      </c>
      <c r="B1950" s="7" t="s">
        <v>60</v>
      </c>
      <c r="C1950" s="24" t="str">
        <f>VLOOKUP(dynamic[customerID],customers[],2,FALSE)</f>
        <v>Save-a-lot Markets</v>
      </c>
      <c r="D1950" s="24">
        <v>45388.0</v>
      </c>
      <c r="E1950" s="6">
        <f>IFERROR(__xludf.DUMMYFUNCTION("COUNTUNIQUEIFS($A$2:$A1950,$B$2:$B1950,B1950)"),28.0)</f>
        <v>28</v>
      </c>
      <c r="F1950" s="6">
        <f t="shared" si="1"/>
        <v>7</v>
      </c>
      <c r="G1950" s="6" t="str">
        <f>IF(MINIFS(dynamic[orderDate], dynamic[customerID], B1950) &gt;= DATE(2024,4,30)-120, 
     "New", 
     IF(MAXIFS(dynamic[orderCount], dynamic[customerID], B1950)&lt;=2, 
        IF((DATE(2024,4,30) - MAXIFS(dynamic[orderDate], dynamic[customerID], B1950)) &gt; 180, "Non-Returning", "Dormant"), 
        IF(AND(MAX(dynamic[sinceLastOrder]) &gt; 365, (DATE(2024,4,30) - MAXIFS(dynamic[orderDate], dynamic[customerID], B1950)) &gt; 180), 
           "Dormant", "Regular")))</f>
        <v>Regular</v>
      </c>
      <c r="H1950" s="6">
        <v>35.0</v>
      </c>
      <c r="I1950" s="9" t="str">
        <f>VLOOKUP(dynamic[productID],products[],2,FALSE)</f>
        <v>Cold Brew Nitro</v>
      </c>
      <c r="J1950" s="9" t="str">
        <f>VLOOKUP(dynamic[productID],products[],12,FALSE)</f>
        <v>Beverages</v>
      </c>
      <c r="K1950" s="7" t="str">
        <f>IF(VLOOKUP(dynamic[productID],products[],7,FALSE)=1,"Discontinued","Current")</f>
        <v>Current</v>
      </c>
      <c r="L1950" s="9">
        <f>VLOOKUP(dynamic[productID],products[],IF(YEAR(dynamic[orderDate])=2022,8,IF(YEAR(dynamic[orderDate])=2023,9,IF(YEAR(dynamic[orderDate])=2024,10,NA))),FALSE)</f>
        <v>12.9261692</v>
      </c>
      <c r="M1950" s="9">
        <v>18.0</v>
      </c>
      <c r="N1950" s="25">
        <f>(dynamic[orderPrice]-dynamic[productCost])/dynamic[productCost]</f>
        <v>0.3925239355</v>
      </c>
      <c r="O1950" s="10">
        <v>15.0</v>
      </c>
      <c r="P1950" s="25">
        <v>0.15</v>
      </c>
      <c r="Q1950" s="9">
        <f>dynamic[orderPrice]*dynamic[orderQuantity]</f>
        <v>270</v>
      </c>
      <c r="R1950" s="9">
        <f>dynamic[orderTotal]*(1-dynamic[discountApllied])</f>
        <v>229.5</v>
      </c>
      <c r="S1950" s="9">
        <f>dynamic[revenue]-(dynamic[productCost]*dynamic[orderQuantity])</f>
        <v>35.60746206</v>
      </c>
      <c r="T1950" s="25">
        <f>IFERROR(dynamic[profit]/dynamic[revenue], 0)</f>
        <v>0.1551523401</v>
      </c>
    </row>
    <row r="1951" ht="15.75" customHeight="1">
      <c r="A1951" s="6">
        <v>11002.0</v>
      </c>
      <c r="B1951" s="7" t="s">
        <v>60</v>
      </c>
      <c r="C1951" s="24" t="str">
        <f>VLOOKUP(dynamic[customerID],customers[],2,FALSE)</f>
        <v>Save-a-lot Markets</v>
      </c>
      <c r="D1951" s="24">
        <v>45388.0</v>
      </c>
      <c r="E1951" s="6">
        <f>IFERROR(__xludf.DUMMYFUNCTION("COUNTUNIQUEIFS($A$2:$A1951,$B$2:$B1951,B1951)"),28.0)</f>
        <v>28</v>
      </c>
      <c r="F1951" s="6">
        <f t="shared" si="1"/>
        <v>7</v>
      </c>
      <c r="G1951" s="6" t="str">
        <f>IF(MINIFS(dynamic[orderDate], dynamic[customerID], B1951) &gt;= DATE(2024,4,30)-120, 
     "New", 
     IF(MAXIFS(dynamic[orderCount], dynamic[customerID], B1951)&lt;=2, 
        IF((DATE(2024,4,30) - MAXIFS(dynamic[orderDate], dynamic[customerID], B1951)) &gt; 180, "Non-Returning", "Dormant"), 
        IF(AND(MAX(dynamic[sinceLastOrder]) &gt; 365, (DATE(2024,4,30) - MAXIFS(dynamic[orderDate], dynamic[customerID], B1951)) &gt; 180), 
           "Dormant", "Regular")))</f>
        <v>Regular</v>
      </c>
      <c r="H1951" s="6">
        <v>42.0</v>
      </c>
      <c r="I1951" s="9" t="str">
        <f>VLOOKUP(dynamic[productID],products[],2,FALSE)</f>
        <v>Singaporean Hokkien Fried Mee</v>
      </c>
      <c r="J1951" s="9" t="str">
        <f>VLOOKUP(dynamic[productID],products[],12,FALSE)</f>
        <v>Grains/Cereals</v>
      </c>
      <c r="K1951" s="7" t="str">
        <f>IF(VLOOKUP(dynamic[productID],products[],7,FALSE)=1,"Discontinued","Current")</f>
        <v>Discontinued</v>
      </c>
      <c r="L1951" s="9">
        <f>VLOOKUP(dynamic[productID],products[],IF(YEAR(dynamic[orderDate])=2022,8,IF(YEAR(dynamic[orderDate])=2023,9,IF(YEAR(dynamic[orderDate])=2024,10,NA))),FALSE)</f>
        <v>9.64736714</v>
      </c>
      <c r="M1951" s="9">
        <v>14.0</v>
      </c>
      <c r="N1951" s="25">
        <f>(dynamic[orderPrice]-dynamic[productCost])/dynamic[productCost]</f>
        <v>0.4511731333</v>
      </c>
      <c r="O1951" s="10">
        <v>24.0</v>
      </c>
      <c r="P1951" s="25">
        <v>0.15</v>
      </c>
      <c r="Q1951" s="9">
        <f>dynamic[orderPrice]*dynamic[orderQuantity]</f>
        <v>336</v>
      </c>
      <c r="R1951" s="9">
        <f>dynamic[orderTotal]*(1-dynamic[discountApllied])</f>
        <v>285.6</v>
      </c>
      <c r="S1951" s="9">
        <f>dynamic[revenue]-(dynamic[productCost]*dynamic[orderQuantity])</f>
        <v>54.06318865</v>
      </c>
      <c r="T1951" s="25">
        <f>IFERROR(dynamic[profit]/dynamic[revenue], 0)</f>
        <v>0.189296879</v>
      </c>
    </row>
    <row r="1952" ht="15.75" customHeight="1">
      <c r="A1952" s="6">
        <v>11002.0</v>
      </c>
      <c r="B1952" s="7" t="s">
        <v>60</v>
      </c>
      <c r="C1952" s="24" t="str">
        <f>VLOOKUP(dynamic[customerID],customers[],2,FALSE)</f>
        <v>Save-a-lot Markets</v>
      </c>
      <c r="D1952" s="24">
        <v>45388.0</v>
      </c>
      <c r="E1952" s="6">
        <f>IFERROR(__xludf.DUMMYFUNCTION("COUNTUNIQUEIFS($A$2:$A1952,$B$2:$B1952,B1952)"),28.0)</f>
        <v>28</v>
      </c>
      <c r="F1952" s="6">
        <f t="shared" si="1"/>
        <v>7</v>
      </c>
      <c r="G1952" s="6" t="str">
        <f>IF(MINIFS(dynamic[orderDate], dynamic[customerID], B1952) &gt;= DATE(2024,4,30)-120, 
     "New", 
     IF(MAXIFS(dynamic[orderCount], dynamic[customerID], B1952)&lt;=2, 
        IF((DATE(2024,4,30) - MAXIFS(dynamic[orderDate], dynamic[customerID], B1952)) &gt; 180, "Non-Returning", "Dormant"), 
        IF(AND(MAX(dynamic[sinceLastOrder]) &gt; 365, (DATE(2024,4,30) - MAXIFS(dynamic[orderDate], dynamic[customerID], B1952)) &gt; 180), 
           "Dormant", "Regular")))</f>
        <v>Regular</v>
      </c>
      <c r="H1952" s="6">
        <v>55.0</v>
      </c>
      <c r="I1952" s="9" t="str">
        <f>VLOOKUP(dynamic[productID],products[],2,FALSE)</f>
        <v>Pâté chinois</v>
      </c>
      <c r="J1952" s="9" t="str">
        <f>VLOOKUP(dynamic[productID],products[],12,FALSE)</f>
        <v>Meat/Poultry</v>
      </c>
      <c r="K1952" s="7" t="str">
        <f>IF(VLOOKUP(dynamic[productID],products[],7,FALSE)=1,"Discontinued","Current")</f>
        <v>Current</v>
      </c>
      <c r="L1952" s="9">
        <f>VLOOKUP(dynamic[productID],products[],IF(YEAR(dynamic[orderDate])=2022,8,IF(YEAR(dynamic[orderDate])=2023,9,IF(YEAR(dynamic[orderDate])=2024,10,NA))),FALSE)</f>
        <v>16.95998522</v>
      </c>
      <c r="M1952" s="9">
        <v>24.0</v>
      </c>
      <c r="N1952" s="25">
        <f>(dynamic[orderPrice]-dynamic[productCost])/dynamic[productCost]</f>
        <v>0.4150955727</v>
      </c>
      <c r="O1952" s="10">
        <v>40.0</v>
      </c>
      <c r="P1952" s="25">
        <v>0.0</v>
      </c>
      <c r="Q1952" s="9">
        <f>dynamic[orderPrice]*dynamic[orderQuantity]</f>
        <v>960</v>
      </c>
      <c r="R1952" s="9">
        <f>dynamic[orderTotal]*(1-dynamic[discountApllied])</f>
        <v>960</v>
      </c>
      <c r="S1952" s="9">
        <f>dynamic[revenue]-(dynamic[productCost]*dynamic[orderQuantity])</f>
        <v>281.6005912</v>
      </c>
      <c r="T1952" s="25">
        <f>IFERROR(dynamic[profit]/dynamic[revenue], 0)</f>
        <v>0.2933339491</v>
      </c>
    </row>
    <row r="1953" ht="15.75" customHeight="1">
      <c r="A1953" s="6">
        <v>11003.0</v>
      </c>
      <c r="B1953" s="7" t="s">
        <v>99</v>
      </c>
      <c r="C1953" s="24" t="str">
        <f>VLOOKUP(dynamic[customerID],customers[],2,FALSE)</f>
        <v>The Cracker Box</v>
      </c>
      <c r="D1953" s="24">
        <v>45388.0</v>
      </c>
      <c r="E1953" s="6">
        <f>IFERROR(__xludf.DUMMYFUNCTION("COUNTUNIQUEIFS($A$2:$A1953,$B$2:$B1953,B1953)"),3.0)</f>
        <v>3</v>
      </c>
      <c r="F1953" s="6">
        <f t="shared" si="1"/>
        <v>116</v>
      </c>
      <c r="G1953" s="6" t="str">
        <f>IF(MINIFS(dynamic[orderDate], dynamic[customerID], B1953) &gt;= DATE(2024,4,30)-120, 
     "New", 
     IF(MAXIFS(dynamic[orderCount], dynamic[customerID], B1953)&lt;=2, 
        IF((DATE(2024,4,30) - MAXIFS(dynamic[orderDate], dynamic[customerID], B1953)) &gt; 180, "Non-Returning", "Dormant"), 
        IF(AND(MAX(dynamic[sinceLastOrder]) &gt; 365, (DATE(2024,4,30) - MAXIFS(dynamic[orderDate], dynamic[customerID], B1953)) &gt; 180), 
           "Dormant", "Regular")))</f>
        <v>Regular</v>
      </c>
      <c r="H1953" s="6">
        <v>1.0</v>
      </c>
      <c r="I1953" s="9" t="str">
        <f>VLOOKUP(dynamic[productID],products[],2,FALSE)</f>
        <v>Chai</v>
      </c>
      <c r="J1953" s="9" t="str">
        <f>VLOOKUP(dynamic[productID],products[],12,FALSE)</f>
        <v>Beverages</v>
      </c>
      <c r="K1953" s="7" t="str">
        <f>IF(VLOOKUP(dynamic[productID],products[],7,FALSE)=1,"Discontinued","Current")</f>
        <v>Current</v>
      </c>
      <c r="L1953" s="9">
        <f>VLOOKUP(dynamic[productID],products[],IF(YEAR(dynamic[orderDate])=2022,8,IF(YEAR(dynamic[orderDate])=2023,9,IF(YEAR(dynamic[orderDate])=2024,10,NA))),FALSE)</f>
        <v>12.17757454</v>
      </c>
      <c r="M1953" s="9">
        <v>18.0</v>
      </c>
      <c r="N1953" s="25">
        <f>(dynamic[orderPrice]-dynamic[productCost])/dynamic[productCost]</f>
        <v>0.4781268584</v>
      </c>
      <c r="O1953" s="10">
        <v>4.0</v>
      </c>
      <c r="P1953" s="25">
        <v>0.0</v>
      </c>
      <c r="Q1953" s="9">
        <f>dynamic[orderPrice]*dynamic[orderQuantity]</f>
        <v>72</v>
      </c>
      <c r="R1953" s="9">
        <f>dynamic[orderTotal]*(1-dynamic[discountApllied])</f>
        <v>72</v>
      </c>
      <c r="S1953" s="9">
        <f>dynamic[revenue]-(dynamic[productCost]*dynamic[orderQuantity])</f>
        <v>23.28970183</v>
      </c>
      <c r="T1953" s="25">
        <f>IFERROR(dynamic[profit]/dynamic[revenue], 0)</f>
        <v>0.323468081</v>
      </c>
    </row>
    <row r="1954" ht="15.75" customHeight="1">
      <c r="A1954" s="6">
        <v>11003.0</v>
      </c>
      <c r="B1954" s="7" t="s">
        <v>99</v>
      </c>
      <c r="C1954" s="24" t="str">
        <f>VLOOKUP(dynamic[customerID],customers[],2,FALSE)</f>
        <v>The Cracker Box</v>
      </c>
      <c r="D1954" s="24">
        <v>45388.0</v>
      </c>
      <c r="E1954" s="6">
        <f>IFERROR(__xludf.DUMMYFUNCTION("COUNTUNIQUEIFS($A$2:$A1954,$B$2:$B1954,B1954)"),3.0)</f>
        <v>3</v>
      </c>
      <c r="F1954" s="6">
        <f t="shared" si="1"/>
        <v>116</v>
      </c>
      <c r="G1954" s="6" t="str">
        <f>IF(MINIFS(dynamic[orderDate], dynamic[customerID], B1954) &gt;= DATE(2024,4,30)-120, 
     "New", 
     IF(MAXIFS(dynamic[orderCount], dynamic[customerID], B1954)&lt;=2, 
        IF((DATE(2024,4,30) - MAXIFS(dynamic[orderDate], dynamic[customerID], B1954)) &gt; 180, "Non-Returning", "Dormant"), 
        IF(AND(MAX(dynamic[sinceLastOrder]) &gt; 365, (DATE(2024,4,30) - MAXIFS(dynamic[orderDate], dynamic[customerID], B1954)) &gt; 180), 
           "Dormant", "Regular")))</f>
        <v>Regular</v>
      </c>
      <c r="H1954" s="6">
        <v>40.0</v>
      </c>
      <c r="I1954" s="9" t="str">
        <f>VLOOKUP(dynamic[productID],products[],2,FALSE)</f>
        <v>Boston Crab Meat</v>
      </c>
      <c r="J1954" s="9" t="str">
        <f>VLOOKUP(dynamic[productID],products[],12,FALSE)</f>
        <v>Seafood</v>
      </c>
      <c r="K1954" s="7" t="str">
        <f>IF(VLOOKUP(dynamic[productID],products[],7,FALSE)=1,"Discontinued","Current")</f>
        <v>Current</v>
      </c>
      <c r="L1954" s="9">
        <f>VLOOKUP(dynamic[productID],products[],IF(YEAR(dynamic[orderDate])=2022,8,IF(YEAR(dynamic[orderDate])=2023,9,IF(YEAR(dynamic[orderDate])=2024,10,NA))),FALSE)</f>
        <v>12.44307</v>
      </c>
      <c r="M1954" s="9">
        <v>18.4</v>
      </c>
      <c r="N1954" s="25">
        <f>(dynamic[orderPrice]-dynamic[productCost])/dynamic[productCost]</f>
        <v>0.4787347499</v>
      </c>
      <c r="O1954" s="10">
        <v>10.0</v>
      </c>
      <c r="P1954" s="25">
        <v>0.0</v>
      </c>
      <c r="Q1954" s="9">
        <f>dynamic[orderPrice]*dynamic[orderQuantity]</f>
        <v>184</v>
      </c>
      <c r="R1954" s="9">
        <f>dynamic[orderTotal]*(1-dynamic[discountApllied])</f>
        <v>184</v>
      </c>
      <c r="S1954" s="9">
        <f>dynamic[revenue]-(dynamic[productCost]*dynamic[orderQuantity])</f>
        <v>59.56930003</v>
      </c>
      <c r="T1954" s="25">
        <f>IFERROR(dynamic[profit]/dynamic[revenue], 0)</f>
        <v>0.3237461958</v>
      </c>
    </row>
    <row r="1955" ht="15.75" customHeight="1">
      <c r="A1955" s="6">
        <v>11003.0</v>
      </c>
      <c r="B1955" s="7" t="s">
        <v>99</v>
      </c>
      <c r="C1955" s="24" t="str">
        <f>VLOOKUP(dynamic[customerID],customers[],2,FALSE)</f>
        <v>The Cracker Box</v>
      </c>
      <c r="D1955" s="24">
        <v>45388.0</v>
      </c>
      <c r="E1955" s="6">
        <f>IFERROR(__xludf.DUMMYFUNCTION("COUNTUNIQUEIFS($A$2:$A1955,$B$2:$B1955,B1955)"),3.0)</f>
        <v>3</v>
      </c>
      <c r="F1955" s="6">
        <f t="shared" si="1"/>
        <v>116</v>
      </c>
      <c r="G1955" s="6" t="str">
        <f>IF(MINIFS(dynamic[orderDate], dynamic[customerID], B1955) &gt;= DATE(2024,4,30)-120, 
     "New", 
     IF(MAXIFS(dynamic[orderCount], dynamic[customerID], B1955)&lt;=2, 
        IF((DATE(2024,4,30) - MAXIFS(dynamic[orderDate], dynamic[customerID], B1955)) &gt; 180, "Non-Returning", "Dormant"), 
        IF(AND(MAX(dynamic[sinceLastOrder]) &gt; 365, (DATE(2024,4,30) - MAXIFS(dynamic[orderDate], dynamic[customerID], B1955)) &gt; 180), 
           "Dormant", "Regular")))</f>
        <v>Regular</v>
      </c>
      <c r="H1955" s="6">
        <v>52.0</v>
      </c>
      <c r="I1955" s="9" t="str">
        <f>VLOOKUP(dynamic[productID],products[],2,FALSE)</f>
        <v>Filo Mix</v>
      </c>
      <c r="J1955" s="9" t="str">
        <f>VLOOKUP(dynamic[productID],products[],12,FALSE)</f>
        <v>Grains/Cereals</v>
      </c>
      <c r="K1955" s="7" t="str">
        <f>IF(VLOOKUP(dynamic[productID],products[],7,FALSE)=1,"Discontinued","Current")</f>
        <v>Current</v>
      </c>
      <c r="L1955" s="9">
        <f>VLOOKUP(dynamic[productID],products[],IF(YEAR(dynamic[orderDate])=2022,8,IF(YEAR(dynamic[orderDate])=2023,9,IF(YEAR(dynamic[orderDate])=2024,10,NA))),FALSE)</f>
        <v>5.222223442</v>
      </c>
      <c r="M1955" s="9">
        <v>7.0</v>
      </c>
      <c r="N1955" s="25">
        <f>(dynamic[orderPrice]-dynamic[productCost])/dynamic[productCost]</f>
        <v>0.3404252188</v>
      </c>
      <c r="O1955" s="10">
        <v>10.0</v>
      </c>
      <c r="P1955" s="25">
        <v>0.0</v>
      </c>
      <c r="Q1955" s="9">
        <f>dynamic[orderPrice]*dynamic[orderQuantity]</f>
        <v>70</v>
      </c>
      <c r="R1955" s="9">
        <f>dynamic[orderTotal]*(1-dynamic[discountApllied])</f>
        <v>70</v>
      </c>
      <c r="S1955" s="9">
        <f>dynamic[revenue]-(dynamic[productCost]*dynamic[orderQuantity])</f>
        <v>17.77776558</v>
      </c>
      <c r="T1955" s="25">
        <f>IFERROR(dynamic[profit]/dynamic[revenue], 0)</f>
        <v>0.2539680797</v>
      </c>
    </row>
    <row r="1956" ht="15.75" customHeight="1">
      <c r="A1956" s="6">
        <v>11004.0</v>
      </c>
      <c r="B1956" s="7" t="s">
        <v>95</v>
      </c>
      <c r="C1956" s="24" t="str">
        <f>VLOOKUP(dynamic[customerID],customers[],2,FALSE)</f>
        <v>Maison Dewey</v>
      </c>
      <c r="D1956" s="24">
        <v>45389.0</v>
      </c>
      <c r="E1956" s="6">
        <f>IFERROR(__xludf.DUMMYFUNCTION("COUNTUNIQUEIFS($A$2:$A1956,$B$2:$B1956,B1956)"),7.0)</f>
        <v>7</v>
      </c>
      <c r="F1956" s="6">
        <f t="shared" si="1"/>
        <v>12</v>
      </c>
      <c r="G1956" s="6" t="str">
        <f>IF(MINIFS(dynamic[orderDate], dynamic[customerID], B1956) &gt;= DATE(2024,4,30)-120, 
     "New", 
     IF(MAXIFS(dynamic[orderCount], dynamic[customerID], B1956)&lt;=2, 
        IF((DATE(2024,4,30) - MAXIFS(dynamic[orderDate], dynamic[customerID], B1956)) &gt; 180, "Non-Returning", "Dormant"), 
        IF(AND(MAX(dynamic[sinceLastOrder]) &gt; 365, (DATE(2024,4,30) - MAXIFS(dynamic[orderDate], dynamic[customerID], B1956)) &gt; 180), 
           "Dormant", "Regular")))</f>
        <v>Regular</v>
      </c>
      <c r="H1956" s="6">
        <v>26.0</v>
      </c>
      <c r="I1956" s="9" t="str">
        <f>VLOOKUP(dynamic[productID],products[],2,FALSE)</f>
        <v>NuNuCa Nuß-Nougat-Creme</v>
      </c>
      <c r="J1956" s="9" t="str">
        <f>VLOOKUP(dynamic[productID],products[],12,FALSE)</f>
        <v>Confections</v>
      </c>
      <c r="K1956" s="7" t="str">
        <f>IF(VLOOKUP(dynamic[productID],products[],7,FALSE)=1,"Discontinued","Current")</f>
        <v>Current</v>
      </c>
      <c r="L1956" s="9">
        <f>VLOOKUP(dynamic[productID],products[],IF(YEAR(dynamic[orderDate])=2022,8,IF(YEAR(dynamic[orderDate])=2023,9,IF(YEAR(dynamic[orderDate])=2024,10,NA))),FALSE)</f>
        <v>22.79977195</v>
      </c>
      <c r="M1956" s="9">
        <v>31.23</v>
      </c>
      <c r="N1956" s="25">
        <f>(dynamic[orderPrice]-dynamic[productCost])/dynamic[productCost]</f>
        <v>0.3697505427</v>
      </c>
      <c r="O1956" s="10">
        <v>6.0</v>
      </c>
      <c r="P1956" s="25">
        <v>0.0</v>
      </c>
      <c r="Q1956" s="9">
        <f>dynamic[orderPrice]*dynamic[orderQuantity]</f>
        <v>187.38</v>
      </c>
      <c r="R1956" s="9">
        <f>dynamic[orderTotal]*(1-dynamic[discountApllied])</f>
        <v>187.38</v>
      </c>
      <c r="S1956" s="9">
        <f>dynamic[revenue]-(dynamic[productCost]*dynamic[orderQuantity])</f>
        <v>50.58136831</v>
      </c>
      <c r="T1956" s="25">
        <f>IFERROR(dynamic[profit]/dynamic[revenue], 0)</f>
        <v>0.2699400593</v>
      </c>
    </row>
    <row r="1957" ht="15.75" customHeight="1">
      <c r="A1957" s="6">
        <v>11004.0</v>
      </c>
      <c r="B1957" s="7" t="s">
        <v>95</v>
      </c>
      <c r="C1957" s="24" t="str">
        <f>VLOOKUP(dynamic[customerID],customers[],2,FALSE)</f>
        <v>Maison Dewey</v>
      </c>
      <c r="D1957" s="24">
        <v>45389.0</v>
      </c>
      <c r="E1957" s="6">
        <f>IFERROR(__xludf.DUMMYFUNCTION("COUNTUNIQUEIFS($A$2:$A1957,$B$2:$B1957,B1957)"),7.0)</f>
        <v>7</v>
      </c>
      <c r="F1957" s="6">
        <f t="shared" si="1"/>
        <v>12</v>
      </c>
      <c r="G1957" s="6" t="str">
        <f>IF(MINIFS(dynamic[orderDate], dynamic[customerID], B1957) &gt;= DATE(2024,4,30)-120, 
     "New", 
     IF(MAXIFS(dynamic[orderCount], dynamic[customerID], B1957)&lt;=2, 
        IF((DATE(2024,4,30) - MAXIFS(dynamic[orderDate], dynamic[customerID], B1957)) &gt; 180, "Non-Returning", "Dormant"), 
        IF(AND(MAX(dynamic[sinceLastOrder]) &gt; 365, (DATE(2024,4,30) - MAXIFS(dynamic[orderDate], dynamic[customerID], B1957)) &gt; 180), 
           "Dormant", "Regular")))</f>
        <v>Regular</v>
      </c>
      <c r="H1957" s="6">
        <v>76.0</v>
      </c>
      <c r="I1957" s="9" t="str">
        <f>VLOOKUP(dynamic[productID],products[],2,FALSE)</f>
        <v>Lakkalikööri</v>
      </c>
      <c r="J1957" s="9" t="str">
        <f>VLOOKUP(dynamic[productID],products[],12,FALSE)</f>
        <v>Beverages</v>
      </c>
      <c r="K1957" s="7" t="str">
        <f>IF(VLOOKUP(dynamic[productID],products[],7,FALSE)=1,"Discontinued","Current")</f>
        <v>Current</v>
      </c>
      <c r="L1957" s="9">
        <f>VLOOKUP(dynamic[productID],products[],IF(YEAR(dynamic[orderDate])=2022,8,IF(YEAR(dynamic[orderDate])=2023,9,IF(YEAR(dynamic[orderDate])=2024,10,NA))),FALSE)</f>
        <v>12.15832249</v>
      </c>
      <c r="M1957" s="9">
        <v>18.0</v>
      </c>
      <c r="N1957" s="25">
        <f>(dynamic[orderPrice]-dynamic[productCost])/dynamic[productCost]</f>
        <v>0.4804673928</v>
      </c>
      <c r="O1957" s="10">
        <v>6.0</v>
      </c>
      <c r="P1957" s="25">
        <v>0.0</v>
      </c>
      <c r="Q1957" s="9">
        <f>dynamic[orderPrice]*dynamic[orderQuantity]</f>
        <v>108</v>
      </c>
      <c r="R1957" s="9">
        <f>dynamic[orderTotal]*(1-dynamic[discountApllied])</f>
        <v>108</v>
      </c>
      <c r="S1957" s="9">
        <f>dynamic[revenue]-(dynamic[productCost]*dynamic[orderQuantity])</f>
        <v>35.05006505</v>
      </c>
      <c r="T1957" s="25">
        <f>IFERROR(dynamic[profit]/dynamic[revenue], 0)</f>
        <v>0.3245376394</v>
      </c>
    </row>
    <row r="1958" ht="15.75" customHeight="1">
      <c r="A1958" s="6">
        <v>11005.0</v>
      </c>
      <c r="B1958" s="7" t="s">
        <v>98</v>
      </c>
      <c r="C1958" s="24" t="str">
        <f>VLOOKUP(dynamic[customerID],customers[],2,FALSE)</f>
        <v>Wilman Kala</v>
      </c>
      <c r="D1958" s="24">
        <v>45389.0</v>
      </c>
      <c r="E1958" s="6">
        <f>IFERROR(__xludf.DUMMYFUNCTION("COUNTUNIQUEIFS($A$2:$A1958,$B$2:$B1958,B1958)"),7.0)</f>
        <v>7</v>
      </c>
      <c r="F1958" s="6">
        <f t="shared" si="1"/>
        <v>41</v>
      </c>
      <c r="G1958" s="6" t="str">
        <f>IF(MINIFS(dynamic[orderDate], dynamic[customerID], B1958) &gt;= DATE(2024,4,30)-120, 
     "New", 
     IF(MAXIFS(dynamic[orderCount], dynamic[customerID], B1958)&lt;=2, 
        IF((DATE(2024,4,30) - MAXIFS(dynamic[orderDate], dynamic[customerID], B1958)) &gt; 180, "Non-Returning", "Dormant"), 
        IF(AND(MAX(dynamic[sinceLastOrder]) &gt; 365, (DATE(2024,4,30) - MAXIFS(dynamic[orderDate], dynamic[customerID], B1958)) &gt; 180), 
           "Dormant", "Regular")))</f>
        <v>Regular</v>
      </c>
      <c r="H1958" s="6">
        <v>1.0</v>
      </c>
      <c r="I1958" s="9" t="str">
        <f>VLOOKUP(dynamic[productID],products[],2,FALSE)</f>
        <v>Chai</v>
      </c>
      <c r="J1958" s="9" t="str">
        <f>VLOOKUP(dynamic[productID],products[],12,FALSE)</f>
        <v>Beverages</v>
      </c>
      <c r="K1958" s="7" t="str">
        <f>IF(VLOOKUP(dynamic[productID],products[],7,FALSE)=1,"Discontinued","Current")</f>
        <v>Current</v>
      </c>
      <c r="L1958" s="9">
        <f>VLOOKUP(dynamic[productID],products[],IF(YEAR(dynamic[orderDate])=2022,8,IF(YEAR(dynamic[orderDate])=2023,9,IF(YEAR(dynamic[orderDate])=2024,10,NA))),FALSE)</f>
        <v>12.17757454</v>
      </c>
      <c r="M1958" s="9">
        <v>18.0</v>
      </c>
      <c r="N1958" s="25">
        <f>(dynamic[orderPrice]-dynamic[productCost])/dynamic[productCost]</f>
        <v>0.4781268584</v>
      </c>
      <c r="O1958" s="10">
        <v>2.0</v>
      </c>
      <c r="P1958" s="25">
        <v>0.0</v>
      </c>
      <c r="Q1958" s="9">
        <f>dynamic[orderPrice]*dynamic[orderQuantity]</f>
        <v>36</v>
      </c>
      <c r="R1958" s="9">
        <f>dynamic[orderTotal]*(1-dynamic[discountApllied])</f>
        <v>36</v>
      </c>
      <c r="S1958" s="9">
        <f>dynamic[revenue]-(dynamic[productCost]*dynamic[orderQuantity])</f>
        <v>11.64485092</v>
      </c>
      <c r="T1958" s="25">
        <f>IFERROR(dynamic[profit]/dynamic[revenue], 0)</f>
        <v>0.323468081</v>
      </c>
    </row>
    <row r="1959" ht="15.75" customHeight="1">
      <c r="A1959" s="6">
        <v>11005.0</v>
      </c>
      <c r="B1959" s="7" t="s">
        <v>98</v>
      </c>
      <c r="C1959" s="24" t="str">
        <f>VLOOKUP(dynamic[customerID],customers[],2,FALSE)</f>
        <v>Wilman Kala</v>
      </c>
      <c r="D1959" s="24">
        <v>45389.0</v>
      </c>
      <c r="E1959" s="6">
        <f>IFERROR(__xludf.DUMMYFUNCTION("COUNTUNIQUEIFS($A$2:$A1959,$B$2:$B1959,B1959)"),7.0)</f>
        <v>7</v>
      </c>
      <c r="F1959" s="6">
        <f t="shared" si="1"/>
        <v>41</v>
      </c>
      <c r="G1959" s="6" t="str">
        <f>IF(MINIFS(dynamic[orderDate], dynamic[customerID], B1959) &gt;= DATE(2024,4,30)-120, 
     "New", 
     IF(MAXIFS(dynamic[orderCount], dynamic[customerID], B1959)&lt;=2, 
        IF((DATE(2024,4,30) - MAXIFS(dynamic[orderDate], dynamic[customerID], B1959)) &gt; 180, "Non-Returning", "Dormant"), 
        IF(AND(MAX(dynamic[sinceLastOrder]) &gt; 365, (DATE(2024,4,30) - MAXIFS(dynamic[orderDate], dynamic[customerID], B1959)) &gt; 180), 
           "Dormant", "Regular")))</f>
        <v>Regular</v>
      </c>
      <c r="H1959" s="6">
        <v>59.0</v>
      </c>
      <c r="I1959" s="9" t="str">
        <f>VLOOKUP(dynamic[productID],products[],2,FALSE)</f>
        <v>Raclette Courdavault</v>
      </c>
      <c r="J1959" s="9" t="str">
        <f>VLOOKUP(dynamic[productID],products[],12,FALSE)</f>
        <v>Dairy Products</v>
      </c>
      <c r="K1959" s="7" t="str">
        <f>IF(VLOOKUP(dynamic[productID],products[],7,FALSE)=1,"Discontinued","Current")</f>
        <v>Current</v>
      </c>
      <c r="L1959" s="9">
        <f>VLOOKUP(dynamic[productID],products[],IF(YEAR(dynamic[orderDate])=2022,8,IF(YEAR(dynamic[orderDate])=2023,9,IF(YEAR(dynamic[orderDate])=2024,10,NA))),FALSE)</f>
        <v>36.74863711</v>
      </c>
      <c r="M1959" s="9">
        <v>55.0</v>
      </c>
      <c r="N1959" s="25">
        <f>(dynamic[orderPrice]-dynamic[productCost])/dynamic[productCost]</f>
        <v>0.4966541435</v>
      </c>
      <c r="O1959" s="10">
        <v>10.0</v>
      </c>
      <c r="P1959" s="25">
        <v>0.0</v>
      </c>
      <c r="Q1959" s="9">
        <f>dynamic[orderPrice]*dynamic[orderQuantity]</f>
        <v>550</v>
      </c>
      <c r="R1959" s="9">
        <f>dynamic[orderTotal]*(1-dynamic[discountApllied])</f>
        <v>550</v>
      </c>
      <c r="S1959" s="9">
        <f>dynamic[revenue]-(dynamic[productCost]*dynamic[orderQuantity])</f>
        <v>182.5136289</v>
      </c>
      <c r="T1959" s="25">
        <f>IFERROR(dynamic[profit]/dynamic[revenue], 0)</f>
        <v>0.3318429616</v>
      </c>
    </row>
    <row r="1960" ht="15.75" customHeight="1">
      <c r="A1960" s="6">
        <v>11006.0</v>
      </c>
      <c r="B1960" s="7" t="s">
        <v>94</v>
      </c>
      <c r="C1960" s="24" t="str">
        <f>VLOOKUP(dynamic[customerID],customers[],2,FALSE)</f>
        <v>Great Lakes Food Market</v>
      </c>
      <c r="D1960" s="24">
        <v>45389.0</v>
      </c>
      <c r="E1960" s="6">
        <f>IFERROR(__xludf.DUMMYFUNCTION("COUNTUNIQUEIFS($A$2:$A1960,$B$2:$B1960,B1960)"),9.0)</f>
        <v>9</v>
      </c>
      <c r="F1960" s="6">
        <f t="shared" si="1"/>
        <v>29</v>
      </c>
      <c r="G1960" s="6" t="str">
        <f>IF(MINIFS(dynamic[orderDate], dynamic[customerID], B1960) &gt;= DATE(2024,4,30)-120, 
     "New", 
     IF(MAXIFS(dynamic[orderCount], dynamic[customerID], B1960)&lt;=2, 
        IF((DATE(2024,4,30) - MAXIFS(dynamic[orderDate], dynamic[customerID], B1960)) &gt; 180, "Non-Returning", "Dormant"), 
        IF(AND(MAX(dynamic[sinceLastOrder]) &gt; 365, (DATE(2024,4,30) - MAXIFS(dynamic[orderDate], dynamic[customerID], B1960)) &gt; 180), 
           "Dormant", "Regular")))</f>
        <v>Regular</v>
      </c>
      <c r="H1960" s="6">
        <v>1.0</v>
      </c>
      <c r="I1960" s="9" t="str">
        <f>VLOOKUP(dynamic[productID],products[],2,FALSE)</f>
        <v>Chai</v>
      </c>
      <c r="J1960" s="9" t="str">
        <f>VLOOKUP(dynamic[productID],products[],12,FALSE)</f>
        <v>Beverages</v>
      </c>
      <c r="K1960" s="7" t="str">
        <f>IF(VLOOKUP(dynamic[productID],products[],7,FALSE)=1,"Discontinued","Current")</f>
        <v>Current</v>
      </c>
      <c r="L1960" s="9">
        <f>VLOOKUP(dynamic[productID],products[],IF(YEAR(dynamic[orderDate])=2022,8,IF(YEAR(dynamic[orderDate])=2023,9,IF(YEAR(dynamic[orderDate])=2024,10,NA))),FALSE)</f>
        <v>12.17757454</v>
      </c>
      <c r="M1960" s="9">
        <v>18.0</v>
      </c>
      <c r="N1960" s="25">
        <f>(dynamic[orderPrice]-dynamic[productCost])/dynamic[productCost]</f>
        <v>0.4781268584</v>
      </c>
      <c r="O1960" s="10">
        <v>8.0</v>
      </c>
      <c r="P1960" s="25">
        <v>0.0</v>
      </c>
      <c r="Q1960" s="9">
        <f>dynamic[orderPrice]*dynamic[orderQuantity]</f>
        <v>144</v>
      </c>
      <c r="R1960" s="9">
        <f>dynamic[orderTotal]*(1-dynamic[discountApllied])</f>
        <v>144</v>
      </c>
      <c r="S1960" s="9">
        <f>dynamic[revenue]-(dynamic[productCost]*dynamic[orderQuantity])</f>
        <v>46.57940367</v>
      </c>
      <c r="T1960" s="25">
        <f>IFERROR(dynamic[profit]/dynamic[revenue], 0)</f>
        <v>0.323468081</v>
      </c>
    </row>
    <row r="1961" ht="15.75" customHeight="1">
      <c r="A1961" s="6">
        <v>11006.0</v>
      </c>
      <c r="B1961" s="7" t="s">
        <v>94</v>
      </c>
      <c r="C1961" s="24" t="str">
        <f>VLOOKUP(dynamic[customerID],customers[],2,FALSE)</f>
        <v>Great Lakes Food Market</v>
      </c>
      <c r="D1961" s="24">
        <v>45389.0</v>
      </c>
      <c r="E1961" s="6">
        <f>IFERROR(__xludf.DUMMYFUNCTION("COUNTUNIQUEIFS($A$2:$A1961,$B$2:$B1961,B1961)"),9.0)</f>
        <v>9</v>
      </c>
      <c r="F1961" s="6">
        <f t="shared" si="1"/>
        <v>29</v>
      </c>
      <c r="G1961" s="6" t="str">
        <f>IF(MINIFS(dynamic[orderDate], dynamic[customerID], B1961) &gt;= DATE(2024,4,30)-120, 
     "New", 
     IF(MAXIFS(dynamic[orderCount], dynamic[customerID], B1961)&lt;=2, 
        IF((DATE(2024,4,30) - MAXIFS(dynamic[orderDate], dynamic[customerID], B1961)) &gt; 180, "Non-Returning", "Dormant"), 
        IF(AND(MAX(dynamic[sinceLastOrder]) &gt; 365, (DATE(2024,4,30) - MAXIFS(dynamic[orderDate], dynamic[customerID], B1961)) &gt; 180), 
           "Dormant", "Regular")))</f>
        <v>Regular</v>
      </c>
      <c r="H1961" s="6">
        <v>29.0</v>
      </c>
      <c r="I1961" s="9" t="str">
        <f>VLOOKUP(dynamic[productID],products[],2,FALSE)</f>
        <v>Thüringer Rostbratwurst</v>
      </c>
      <c r="J1961" s="9" t="str">
        <f>VLOOKUP(dynamic[productID],products[],12,FALSE)</f>
        <v>Meat/Poultry</v>
      </c>
      <c r="K1961" s="7" t="str">
        <f>IF(VLOOKUP(dynamic[productID],products[],7,FALSE)=1,"Discontinued","Current")</f>
        <v>Discontinued</v>
      </c>
      <c r="L1961" s="9">
        <f>VLOOKUP(dynamic[productID],products[],IF(YEAR(dynamic[orderDate])=2022,8,IF(YEAR(dynamic[orderDate])=2023,9,IF(YEAR(dynamic[orderDate])=2024,10,NA))),FALSE)</f>
        <v>80.14595973</v>
      </c>
      <c r="M1961" s="9">
        <v>123.79</v>
      </c>
      <c r="N1961" s="25">
        <f>(dynamic[orderPrice]-dynamic[productCost])/dynamic[productCost]</f>
        <v>0.544556961</v>
      </c>
      <c r="O1961" s="10">
        <v>2.0</v>
      </c>
      <c r="P1961" s="25">
        <v>0.25</v>
      </c>
      <c r="Q1961" s="9">
        <f>dynamic[orderPrice]*dynamic[orderQuantity]</f>
        <v>247.58</v>
      </c>
      <c r="R1961" s="9">
        <f>dynamic[orderTotal]*(1-dynamic[discountApllied])</f>
        <v>185.685</v>
      </c>
      <c r="S1961" s="9">
        <f>dynamic[revenue]-(dynamic[productCost]*dynamic[orderQuantity])</f>
        <v>25.39308053</v>
      </c>
      <c r="T1961" s="25">
        <f>IFERROR(dynamic[profit]/dynamic[revenue], 0)</f>
        <v>0.1367535371</v>
      </c>
    </row>
    <row r="1962" ht="15.75" customHeight="1">
      <c r="A1962" s="6">
        <v>11007.0</v>
      </c>
      <c r="B1962" s="7" t="s">
        <v>65</v>
      </c>
      <c r="C1962" s="24" t="str">
        <f>VLOOKUP(dynamic[customerID],customers[],2,FALSE)</f>
        <v>Princesa Isabel Vinhos</v>
      </c>
      <c r="D1962" s="24">
        <v>45390.0</v>
      </c>
      <c r="E1962" s="6">
        <f>IFERROR(__xludf.DUMMYFUNCTION("COUNTUNIQUEIFS($A$2:$A1962,$B$2:$B1962,B1962)"),5.0)</f>
        <v>5</v>
      </c>
      <c r="F1962" s="6">
        <f t="shared" si="1"/>
        <v>388</v>
      </c>
      <c r="G1962" s="6" t="str">
        <f>IF(MINIFS(dynamic[orderDate], dynamic[customerID], B1962) &gt;= DATE(2024,4,30)-120, 
     "New", 
     IF(MAXIFS(dynamic[orderCount], dynamic[customerID], B1962)&lt;=2, 
        IF((DATE(2024,4,30) - MAXIFS(dynamic[orderDate], dynamic[customerID], B1962)) &gt; 180, "Non-Returning", "Dormant"), 
        IF(AND(MAX(dynamic[sinceLastOrder]) &gt; 365, (DATE(2024,4,30) - MAXIFS(dynamic[orderDate], dynamic[customerID], B1962)) &gt; 180), 
           "Dormant", "Regular")))</f>
        <v>Regular</v>
      </c>
      <c r="H1962" s="6">
        <v>8.0</v>
      </c>
      <c r="I1962" s="9" t="str">
        <f>VLOOKUP(dynamic[productID],products[],2,FALSE)</f>
        <v>Northwoods Cranberry Sauce</v>
      </c>
      <c r="J1962" s="9" t="str">
        <f>VLOOKUP(dynamic[productID],products[],12,FALSE)</f>
        <v>Condiments</v>
      </c>
      <c r="K1962" s="7" t="str">
        <f>IF(VLOOKUP(dynamic[productID],products[],7,FALSE)=1,"Discontinued","Current")</f>
        <v>Current</v>
      </c>
      <c r="L1962" s="9">
        <f>VLOOKUP(dynamic[productID],products[],IF(YEAR(dynamic[orderDate])=2022,8,IF(YEAR(dynamic[orderDate])=2023,9,IF(YEAR(dynamic[orderDate])=2024,10,NA))),FALSE)</f>
        <v>27.41770867</v>
      </c>
      <c r="M1962" s="9">
        <v>40.0</v>
      </c>
      <c r="N1962" s="25">
        <f>(dynamic[orderPrice]-dynamic[productCost])/dynamic[productCost]</f>
        <v>0.4589111179</v>
      </c>
      <c r="O1962" s="10">
        <v>30.0</v>
      </c>
      <c r="P1962" s="25">
        <v>0.0</v>
      </c>
      <c r="Q1962" s="9">
        <f>dynamic[orderPrice]*dynamic[orderQuantity]</f>
        <v>1200</v>
      </c>
      <c r="R1962" s="9">
        <f>dynamic[orderTotal]*(1-dynamic[discountApllied])</f>
        <v>1200</v>
      </c>
      <c r="S1962" s="9">
        <f>dynamic[revenue]-(dynamic[productCost]*dynamic[orderQuantity])</f>
        <v>377.46874</v>
      </c>
      <c r="T1962" s="25">
        <f>IFERROR(dynamic[profit]/dynamic[revenue], 0)</f>
        <v>0.3145572833</v>
      </c>
    </row>
    <row r="1963" ht="15.75" customHeight="1">
      <c r="A1963" s="6">
        <v>11007.0</v>
      </c>
      <c r="B1963" s="7" t="s">
        <v>65</v>
      </c>
      <c r="C1963" s="24" t="str">
        <f>VLOOKUP(dynamic[customerID],customers[],2,FALSE)</f>
        <v>Princesa Isabel Vinhos</v>
      </c>
      <c r="D1963" s="24">
        <v>45390.0</v>
      </c>
      <c r="E1963" s="6">
        <f>IFERROR(__xludf.DUMMYFUNCTION("COUNTUNIQUEIFS($A$2:$A1963,$B$2:$B1963,B1963)"),5.0)</f>
        <v>5</v>
      </c>
      <c r="F1963" s="6">
        <f t="shared" si="1"/>
        <v>388</v>
      </c>
      <c r="G1963" s="6" t="str">
        <f>IF(MINIFS(dynamic[orderDate], dynamic[customerID], B1963) &gt;= DATE(2024,4,30)-120, 
     "New", 
     IF(MAXIFS(dynamic[orderCount], dynamic[customerID], B1963)&lt;=2, 
        IF((DATE(2024,4,30) - MAXIFS(dynamic[orderDate], dynamic[customerID], B1963)) &gt; 180, "Non-Returning", "Dormant"), 
        IF(AND(MAX(dynamic[sinceLastOrder]) &gt; 365, (DATE(2024,4,30) - MAXIFS(dynamic[orderDate], dynamic[customerID], B1963)) &gt; 180), 
           "Dormant", "Regular")))</f>
        <v>Regular</v>
      </c>
      <c r="H1963" s="6">
        <v>29.0</v>
      </c>
      <c r="I1963" s="9" t="str">
        <f>VLOOKUP(dynamic[productID],products[],2,FALSE)</f>
        <v>Thüringer Rostbratwurst</v>
      </c>
      <c r="J1963" s="9" t="str">
        <f>VLOOKUP(dynamic[productID],products[],12,FALSE)</f>
        <v>Meat/Poultry</v>
      </c>
      <c r="K1963" s="7" t="str">
        <f>IF(VLOOKUP(dynamic[productID],products[],7,FALSE)=1,"Discontinued","Current")</f>
        <v>Discontinued</v>
      </c>
      <c r="L1963" s="9">
        <f>VLOOKUP(dynamic[productID],products[],IF(YEAR(dynamic[orderDate])=2022,8,IF(YEAR(dynamic[orderDate])=2023,9,IF(YEAR(dynamic[orderDate])=2024,10,NA))),FALSE)</f>
        <v>80.14595973</v>
      </c>
      <c r="M1963" s="9">
        <v>123.79</v>
      </c>
      <c r="N1963" s="25">
        <f>(dynamic[orderPrice]-dynamic[productCost])/dynamic[productCost]</f>
        <v>0.544556961</v>
      </c>
      <c r="O1963" s="10">
        <v>10.0</v>
      </c>
      <c r="P1963" s="25">
        <v>0.0</v>
      </c>
      <c r="Q1963" s="9">
        <f>dynamic[orderPrice]*dynamic[orderQuantity]</f>
        <v>1237.9</v>
      </c>
      <c r="R1963" s="9">
        <f>dynamic[orderTotal]*(1-dynamic[discountApllied])</f>
        <v>1237.9</v>
      </c>
      <c r="S1963" s="9">
        <f>dynamic[revenue]-(dynamic[productCost]*dynamic[orderQuantity])</f>
        <v>436.4404027</v>
      </c>
      <c r="T1963" s="25">
        <f>IFERROR(dynamic[profit]/dynamic[revenue], 0)</f>
        <v>0.3525651528</v>
      </c>
    </row>
    <row r="1964" ht="15.75" customHeight="1">
      <c r="A1964" s="6">
        <v>11007.0</v>
      </c>
      <c r="B1964" s="7" t="s">
        <v>65</v>
      </c>
      <c r="C1964" s="24" t="str">
        <f>VLOOKUP(dynamic[customerID],customers[],2,FALSE)</f>
        <v>Princesa Isabel Vinhos</v>
      </c>
      <c r="D1964" s="24">
        <v>45390.0</v>
      </c>
      <c r="E1964" s="6">
        <f>IFERROR(__xludf.DUMMYFUNCTION("COUNTUNIQUEIFS($A$2:$A1964,$B$2:$B1964,B1964)"),5.0)</f>
        <v>5</v>
      </c>
      <c r="F1964" s="6">
        <f t="shared" si="1"/>
        <v>388</v>
      </c>
      <c r="G1964" s="6" t="str">
        <f>IF(MINIFS(dynamic[orderDate], dynamic[customerID], B1964) &gt;= DATE(2024,4,30)-120, 
     "New", 
     IF(MAXIFS(dynamic[orderCount], dynamic[customerID], B1964)&lt;=2, 
        IF((DATE(2024,4,30) - MAXIFS(dynamic[orderDate], dynamic[customerID], B1964)) &gt; 180, "Non-Returning", "Dormant"), 
        IF(AND(MAX(dynamic[sinceLastOrder]) &gt; 365, (DATE(2024,4,30) - MAXIFS(dynamic[orderDate], dynamic[customerID], B1964)) &gt; 180), 
           "Dormant", "Regular")))</f>
        <v>Regular</v>
      </c>
      <c r="H1964" s="6">
        <v>42.0</v>
      </c>
      <c r="I1964" s="9" t="str">
        <f>VLOOKUP(dynamic[productID],products[],2,FALSE)</f>
        <v>Singaporean Hokkien Fried Mee</v>
      </c>
      <c r="J1964" s="9" t="str">
        <f>VLOOKUP(dynamic[productID],products[],12,FALSE)</f>
        <v>Grains/Cereals</v>
      </c>
      <c r="K1964" s="7" t="str">
        <f>IF(VLOOKUP(dynamic[productID],products[],7,FALSE)=1,"Discontinued","Current")</f>
        <v>Discontinued</v>
      </c>
      <c r="L1964" s="9">
        <f>VLOOKUP(dynamic[productID],products[],IF(YEAR(dynamic[orderDate])=2022,8,IF(YEAR(dynamic[orderDate])=2023,9,IF(YEAR(dynamic[orderDate])=2024,10,NA))),FALSE)</f>
        <v>9.64736714</v>
      </c>
      <c r="M1964" s="9">
        <v>14.0</v>
      </c>
      <c r="N1964" s="25">
        <f>(dynamic[orderPrice]-dynamic[productCost])/dynamic[productCost]</f>
        <v>0.4511731333</v>
      </c>
      <c r="O1964" s="10">
        <v>14.0</v>
      </c>
      <c r="P1964" s="25">
        <v>0.0</v>
      </c>
      <c r="Q1964" s="9">
        <f>dynamic[orderPrice]*dynamic[orderQuantity]</f>
        <v>196</v>
      </c>
      <c r="R1964" s="9">
        <f>dynamic[orderTotal]*(1-dynamic[discountApllied])</f>
        <v>196</v>
      </c>
      <c r="S1964" s="9">
        <f>dynamic[revenue]-(dynamic[productCost]*dynamic[orderQuantity])</f>
        <v>60.93686004</v>
      </c>
      <c r="T1964" s="25">
        <f>IFERROR(dynamic[profit]/dynamic[revenue], 0)</f>
        <v>0.3109023472</v>
      </c>
    </row>
    <row r="1965" ht="15.75" customHeight="1">
      <c r="A1965" s="6">
        <v>11008.0</v>
      </c>
      <c r="B1965" s="7" t="s">
        <v>24</v>
      </c>
      <c r="C1965" s="24" t="str">
        <f>VLOOKUP(dynamic[customerID],customers[],2,FALSE)</f>
        <v>Ernst Handel</v>
      </c>
      <c r="D1965" s="24">
        <v>45390.0</v>
      </c>
      <c r="E1965" s="6">
        <f>IFERROR(__xludf.DUMMYFUNCTION("COUNTUNIQUEIFS($A$2:$A1965,$B$2:$B1965,B1965)"),28.0)</f>
        <v>28</v>
      </c>
      <c r="F1965" s="6">
        <f t="shared" si="1"/>
        <v>7</v>
      </c>
      <c r="G1965" s="6" t="str">
        <f>IF(MINIFS(dynamic[orderDate], dynamic[customerID], B1965) &gt;= DATE(2024,4,30)-120, 
     "New", 
     IF(MAXIFS(dynamic[orderCount], dynamic[customerID], B1965)&lt;=2, 
        IF((DATE(2024,4,30) - MAXIFS(dynamic[orderDate], dynamic[customerID], B1965)) &gt; 180, "Non-Returning", "Dormant"), 
        IF(AND(MAX(dynamic[sinceLastOrder]) &gt; 365, (DATE(2024,4,30) - MAXIFS(dynamic[orderDate], dynamic[customerID], B1965)) &gt; 180), 
           "Dormant", "Regular")))</f>
        <v>Regular</v>
      </c>
      <c r="H1965" s="6">
        <v>28.0</v>
      </c>
      <c r="I1965" s="9" t="str">
        <f>VLOOKUP(dynamic[productID],products[],2,FALSE)</f>
        <v>Rössle Sauerkraut</v>
      </c>
      <c r="J1965" s="9" t="str">
        <f>VLOOKUP(dynamic[productID],products[],12,FALSE)</f>
        <v>Produce</v>
      </c>
      <c r="K1965" s="7" t="str">
        <f>IF(VLOOKUP(dynamic[productID],products[],7,FALSE)=1,"Discontinued","Current")</f>
        <v>Discontinued</v>
      </c>
      <c r="L1965" s="9">
        <f>VLOOKUP(dynamic[productID],products[],IF(YEAR(dynamic[orderDate])=2022,8,IF(YEAR(dynamic[orderDate])=2023,9,IF(YEAR(dynamic[orderDate])=2024,10,NA))),FALSE)</f>
        <v>34.18502761</v>
      </c>
      <c r="M1965" s="9">
        <v>45.6</v>
      </c>
      <c r="N1965" s="25">
        <f>(dynamic[orderPrice]-dynamic[productCost])/dynamic[productCost]</f>
        <v>0.3339173079</v>
      </c>
      <c r="O1965" s="10">
        <v>70.0</v>
      </c>
      <c r="P1965" s="25">
        <v>0.05</v>
      </c>
      <c r="Q1965" s="9">
        <f>dynamic[orderPrice]*dynamic[orderQuantity]</f>
        <v>3192</v>
      </c>
      <c r="R1965" s="9">
        <f>dynamic[orderTotal]*(1-dynamic[discountApllied])</f>
        <v>3032.4</v>
      </c>
      <c r="S1965" s="9">
        <f>dynamic[revenue]-(dynamic[productCost]*dynamic[orderQuantity])</f>
        <v>639.4480673</v>
      </c>
      <c r="T1965" s="25">
        <f>IFERROR(dynamic[profit]/dynamic[revenue], 0)</f>
        <v>0.2108719388</v>
      </c>
    </row>
    <row r="1966" ht="15.75" customHeight="1">
      <c r="A1966" s="6">
        <v>11008.0</v>
      </c>
      <c r="B1966" s="7" t="s">
        <v>24</v>
      </c>
      <c r="C1966" s="24" t="str">
        <f>VLOOKUP(dynamic[customerID],customers[],2,FALSE)</f>
        <v>Ernst Handel</v>
      </c>
      <c r="D1966" s="24">
        <v>45390.0</v>
      </c>
      <c r="E1966" s="6">
        <f>IFERROR(__xludf.DUMMYFUNCTION("COUNTUNIQUEIFS($A$2:$A1966,$B$2:$B1966,B1966)"),28.0)</f>
        <v>28</v>
      </c>
      <c r="F1966" s="6">
        <f t="shared" si="1"/>
        <v>7</v>
      </c>
      <c r="G1966" s="6" t="str">
        <f>IF(MINIFS(dynamic[orderDate], dynamic[customerID], B1966) &gt;= DATE(2024,4,30)-120, 
     "New", 
     IF(MAXIFS(dynamic[orderCount], dynamic[customerID], B1966)&lt;=2, 
        IF((DATE(2024,4,30) - MAXIFS(dynamic[orderDate], dynamic[customerID], B1966)) &gt; 180, "Non-Returning", "Dormant"), 
        IF(AND(MAX(dynamic[sinceLastOrder]) &gt; 365, (DATE(2024,4,30) - MAXIFS(dynamic[orderDate], dynamic[customerID], B1966)) &gt; 180), 
           "Dormant", "Regular")))</f>
        <v>Regular</v>
      </c>
      <c r="H1966" s="6">
        <v>34.0</v>
      </c>
      <c r="I1966" s="9" t="str">
        <f>VLOOKUP(dynamic[productID],products[],2,FALSE)</f>
        <v>Sasquatch Ale</v>
      </c>
      <c r="J1966" s="9" t="str">
        <f>VLOOKUP(dynamic[productID],products[],12,FALSE)</f>
        <v>Beverages</v>
      </c>
      <c r="K1966" s="7" t="str">
        <f>IF(VLOOKUP(dynamic[productID],products[],7,FALSE)=1,"Discontinued","Current")</f>
        <v>Current</v>
      </c>
      <c r="L1966" s="9">
        <f>VLOOKUP(dynamic[productID],products[],IF(YEAR(dynamic[orderDate])=2022,8,IF(YEAR(dynamic[orderDate])=2023,9,IF(YEAR(dynamic[orderDate])=2024,10,NA))),FALSE)</f>
        <v>10.07231561</v>
      </c>
      <c r="M1966" s="9">
        <v>14.0</v>
      </c>
      <c r="N1966" s="25">
        <f>(dynamic[orderPrice]-dynamic[productCost])/dynamic[productCost]</f>
        <v>0.389948503</v>
      </c>
      <c r="O1966" s="10">
        <v>90.0</v>
      </c>
      <c r="P1966" s="25">
        <v>0.05</v>
      </c>
      <c r="Q1966" s="9">
        <f>dynamic[orderPrice]*dynamic[orderQuantity]</f>
        <v>1260</v>
      </c>
      <c r="R1966" s="9">
        <f>dynamic[orderTotal]*(1-dynamic[discountApllied])</f>
        <v>1197</v>
      </c>
      <c r="S1966" s="9">
        <f>dynamic[revenue]-(dynamic[productCost]*dynamic[orderQuantity])</f>
        <v>290.4915953</v>
      </c>
      <c r="T1966" s="25">
        <f>IFERROR(dynamic[profit]/dynamic[revenue], 0)</f>
        <v>0.242683037</v>
      </c>
    </row>
    <row r="1967" ht="15.75" customHeight="1">
      <c r="A1967" s="6">
        <v>11008.0</v>
      </c>
      <c r="B1967" s="7" t="s">
        <v>24</v>
      </c>
      <c r="C1967" s="24" t="str">
        <f>VLOOKUP(dynamic[customerID],customers[],2,FALSE)</f>
        <v>Ernst Handel</v>
      </c>
      <c r="D1967" s="24">
        <v>45390.0</v>
      </c>
      <c r="E1967" s="6">
        <f>IFERROR(__xludf.DUMMYFUNCTION("COUNTUNIQUEIFS($A$2:$A1967,$B$2:$B1967,B1967)"),28.0)</f>
        <v>28</v>
      </c>
      <c r="F1967" s="6">
        <f t="shared" si="1"/>
        <v>7</v>
      </c>
      <c r="G1967" s="6" t="str">
        <f>IF(MINIFS(dynamic[orderDate], dynamic[customerID], B1967) &gt;= DATE(2024,4,30)-120, 
     "New", 
     IF(MAXIFS(dynamic[orderCount], dynamic[customerID], B1967)&lt;=2, 
        IF((DATE(2024,4,30) - MAXIFS(dynamic[orderDate], dynamic[customerID], B1967)) &gt; 180, "Non-Returning", "Dormant"), 
        IF(AND(MAX(dynamic[sinceLastOrder]) &gt; 365, (DATE(2024,4,30) - MAXIFS(dynamic[orderDate], dynamic[customerID], B1967)) &gt; 180), 
           "Dormant", "Regular")))</f>
        <v>Regular</v>
      </c>
      <c r="H1967" s="6">
        <v>71.0</v>
      </c>
      <c r="I1967" s="9" t="str">
        <f>VLOOKUP(dynamic[productID],products[],2,FALSE)</f>
        <v>Flotemysost</v>
      </c>
      <c r="J1967" s="9" t="str">
        <f>VLOOKUP(dynamic[productID],products[],12,FALSE)</f>
        <v>Dairy Products</v>
      </c>
      <c r="K1967" s="7" t="str">
        <f>IF(VLOOKUP(dynamic[productID],products[],7,FALSE)=1,"Discontinued","Current")</f>
        <v>Current</v>
      </c>
      <c r="L1967" s="9">
        <f>VLOOKUP(dynamic[productID],products[],IF(YEAR(dynamic[orderDate])=2022,8,IF(YEAR(dynamic[orderDate])=2023,9,IF(YEAR(dynamic[orderDate])=2024,10,NA))),FALSE)</f>
        <v>14.20977576</v>
      </c>
      <c r="M1967" s="9">
        <v>21.5</v>
      </c>
      <c r="N1967" s="25">
        <f>(dynamic[orderPrice]-dynamic[productCost])/dynamic[productCost]</f>
        <v>0.5130428769</v>
      </c>
      <c r="O1967" s="10">
        <v>21.0</v>
      </c>
      <c r="P1967" s="25">
        <v>0.0</v>
      </c>
      <c r="Q1967" s="9">
        <f>dynamic[orderPrice]*dynamic[orderQuantity]</f>
        <v>451.5</v>
      </c>
      <c r="R1967" s="9">
        <f>dynamic[orderTotal]*(1-dynamic[discountApllied])</f>
        <v>451.5</v>
      </c>
      <c r="S1967" s="9">
        <f>dynamic[revenue]-(dynamic[productCost]*dynamic[orderQuantity])</f>
        <v>153.094709</v>
      </c>
      <c r="T1967" s="25">
        <f>IFERROR(dynamic[profit]/dynamic[revenue], 0)</f>
        <v>0.3390801971</v>
      </c>
    </row>
    <row r="1968" ht="15.75" customHeight="1">
      <c r="A1968" s="6">
        <v>11009.0</v>
      </c>
      <c r="B1968" s="7" t="s">
        <v>51</v>
      </c>
      <c r="C1968" s="24" t="str">
        <f>VLOOKUP(dynamic[customerID],customers[],2,FALSE)</f>
        <v>Godos Cocina Típica</v>
      </c>
      <c r="D1968" s="24">
        <v>45390.0</v>
      </c>
      <c r="E1968" s="6">
        <f>IFERROR(__xludf.DUMMYFUNCTION("COUNTUNIQUEIFS($A$2:$A1968,$B$2:$B1968,B1968)"),9.0)</f>
        <v>9</v>
      </c>
      <c r="F1968" s="6">
        <f t="shared" si="1"/>
        <v>26</v>
      </c>
      <c r="G1968" s="6" t="str">
        <f>IF(MINIFS(dynamic[orderDate], dynamic[customerID], B1968) &gt;= DATE(2024,4,30)-120, 
     "New", 
     IF(MAXIFS(dynamic[orderCount], dynamic[customerID], B1968)&lt;=2, 
        IF((DATE(2024,4,30) - MAXIFS(dynamic[orderDate], dynamic[customerID], B1968)) &gt; 180, "Non-Returning", "Dormant"), 
        IF(AND(MAX(dynamic[sinceLastOrder]) &gt; 365, (DATE(2024,4,30) - MAXIFS(dynamic[orderDate], dynamic[customerID], B1968)) &gt; 180), 
           "Dormant", "Regular")))</f>
        <v>Regular</v>
      </c>
      <c r="H1968" s="6">
        <v>24.0</v>
      </c>
      <c r="I1968" s="9" t="str">
        <f>VLOOKUP(dynamic[productID],products[],2,FALSE)</f>
        <v>Brigadeiros Maravilhosos da Lilian</v>
      </c>
      <c r="J1968" s="9" t="str">
        <f>VLOOKUP(dynamic[productID],products[],12,FALSE)</f>
        <v>Confections</v>
      </c>
      <c r="K1968" s="7" t="str">
        <f>IF(VLOOKUP(dynamic[productID],products[],7,FALSE)=1,"Discontinued","Current")</f>
        <v>Discontinued</v>
      </c>
      <c r="L1968" s="9">
        <f>VLOOKUP(dynamic[productID],products[],IF(YEAR(dynamic[orderDate])=2022,8,IF(YEAR(dynamic[orderDate])=2023,9,IF(YEAR(dynamic[orderDate])=2024,10,NA))),FALSE)</f>
        <v>3.177326315</v>
      </c>
      <c r="M1968" s="9">
        <v>4.5</v>
      </c>
      <c r="N1968" s="25">
        <f>(dynamic[orderPrice]-dynamic[productCost])/dynamic[productCost]</f>
        <v>0.416285126</v>
      </c>
      <c r="O1968" s="10">
        <v>12.0</v>
      </c>
      <c r="P1968" s="25">
        <v>0.0</v>
      </c>
      <c r="Q1968" s="9">
        <f>dynamic[orderPrice]*dynamic[orderQuantity]</f>
        <v>54</v>
      </c>
      <c r="R1968" s="9">
        <f>dynamic[orderTotal]*(1-dynamic[discountApllied])</f>
        <v>54</v>
      </c>
      <c r="S1968" s="9">
        <f>dynamic[revenue]-(dynamic[productCost]*dynamic[orderQuantity])</f>
        <v>15.87208422</v>
      </c>
      <c r="T1968" s="25">
        <f>IFERROR(dynamic[profit]/dynamic[revenue], 0)</f>
        <v>0.2939274856</v>
      </c>
    </row>
    <row r="1969" ht="15.75" customHeight="1">
      <c r="A1969" s="6">
        <v>11009.0</v>
      </c>
      <c r="B1969" s="7" t="s">
        <v>51</v>
      </c>
      <c r="C1969" s="24" t="str">
        <f>VLOOKUP(dynamic[customerID],customers[],2,FALSE)</f>
        <v>Godos Cocina Típica</v>
      </c>
      <c r="D1969" s="24">
        <v>45390.0</v>
      </c>
      <c r="E1969" s="6">
        <f>IFERROR(__xludf.DUMMYFUNCTION("COUNTUNIQUEIFS($A$2:$A1969,$B$2:$B1969,B1969)"),9.0)</f>
        <v>9</v>
      </c>
      <c r="F1969" s="6">
        <f t="shared" si="1"/>
        <v>26</v>
      </c>
      <c r="G1969" s="6" t="str">
        <f>IF(MINIFS(dynamic[orderDate], dynamic[customerID], B1969) &gt;= DATE(2024,4,30)-120, 
     "New", 
     IF(MAXIFS(dynamic[orderCount], dynamic[customerID], B1969)&lt;=2, 
        IF((DATE(2024,4,30) - MAXIFS(dynamic[orderDate], dynamic[customerID], B1969)) &gt; 180, "Non-Returning", "Dormant"), 
        IF(AND(MAX(dynamic[sinceLastOrder]) &gt; 365, (DATE(2024,4,30) - MAXIFS(dynamic[orderDate], dynamic[customerID], B1969)) &gt; 180), 
           "Dormant", "Regular")))</f>
        <v>Regular</v>
      </c>
      <c r="H1969" s="6">
        <v>36.0</v>
      </c>
      <c r="I1969" s="9" t="str">
        <f>VLOOKUP(dynamic[productID],products[],2,FALSE)</f>
        <v>Inlagd Sill</v>
      </c>
      <c r="J1969" s="9" t="str">
        <f>VLOOKUP(dynamic[productID],products[],12,FALSE)</f>
        <v>Seafood</v>
      </c>
      <c r="K1969" s="7" t="str">
        <f>IF(VLOOKUP(dynamic[productID],products[],7,FALSE)=1,"Discontinued","Current")</f>
        <v>Current</v>
      </c>
      <c r="L1969" s="9">
        <f>VLOOKUP(dynamic[productID],products[],IF(YEAR(dynamic[orderDate])=2022,8,IF(YEAR(dynamic[orderDate])=2023,9,IF(YEAR(dynamic[orderDate])=2024,10,NA))),FALSE)</f>
        <v>11.68525366</v>
      </c>
      <c r="M1969" s="9">
        <v>19.0</v>
      </c>
      <c r="N1969" s="25">
        <f>(dynamic[orderPrice]-dynamic[productCost])/dynamic[productCost]</f>
        <v>0.6259809637</v>
      </c>
      <c r="O1969" s="10">
        <v>18.0</v>
      </c>
      <c r="P1969" s="25">
        <v>0.25</v>
      </c>
      <c r="Q1969" s="9">
        <f>dynamic[orderPrice]*dynamic[orderQuantity]</f>
        <v>342</v>
      </c>
      <c r="R1969" s="9">
        <f>dynamic[orderTotal]*(1-dynamic[discountApllied])</f>
        <v>256.5</v>
      </c>
      <c r="S1969" s="9">
        <f>dynamic[revenue]-(dynamic[productCost]*dynamic[orderQuantity])</f>
        <v>46.1654342</v>
      </c>
      <c r="T1969" s="25">
        <f>IFERROR(dynamic[profit]/dynamic[revenue], 0)</f>
        <v>0.1799821996</v>
      </c>
    </row>
    <row r="1970" ht="15.75" customHeight="1">
      <c r="A1970" s="6">
        <v>11009.0</v>
      </c>
      <c r="B1970" s="7" t="s">
        <v>51</v>
      </c>
      <c r="C1970" s="24" t="str">
        <f>VLOOKUP(dynamic[customerID],customers[],2,FALSE)</f>
        <v>Godos Cocina Típica</v>
      </c>
      <c r="D1970" s="24">
        <v>45390.0</v>
      </c>
      <c r="E1970" s="6">
        <f>IFERROR(__xludf.DUMMYFUNCTION("COUNTUNIQUEIFS($A$2:$A1970,$B$2:$B1970,B1970)"),9.0)</f>
        <v>9</v>
      </c>
      <c r="F1970" s="6">
        <f t="shared" si="1"/>
        <v>26</v>
      </c>
      <c r="G1970" s="6" t="str">
        <f>IF(MINIFS(dynamic[orderDate], dynamic[customerID], B1970) &gt;= DATE(2024,4,30)-120, 
     "New", 
     IF(MAXIFS(dynamic[orderCount], dynamic[customerID], B1970)&lt;=2, 
        IF((DATE(2024,4,30) - MAXIFS(dynamic[orderDate], dynamic[customerID], B1970)) &gt; 180, "Non-Returning", "Dormant"), 
        IF(AND(MAX(dynamic[sinceLastOrder]) &gt; 365, (DATE(2024,4,30) - MAXIFS(dynamic[orderDate], dynamic[customerID], B1970)) &gt; 180), 
           "Dormant", "Regular")))</f>
        <v>Regular</v>
      </c>
      <c r="H1970" s="6">
        <v>60.0</v>
      </c>
      <c r="I1970" s="9" t="str">
        <f>VLOOKUP(dynamic[productID],products[],2,FALSE)</f>
        <v>Camembert Pierrot</v>
      </c>
      <c r="J1970" s="9" t="str">
        <f>VLOOKUP(dynamic[productID],products[],12,FALSE)</f>
        <v>Dairy Products</v>
      </c>
      <c r="K1970" s="7" t="str">
        <f>IF(VLOOKUP(dynamic[productID],products[],7,FALSE)=1,"Discontinued","Current")</f>
        <v>Current</v>
      </c>
      <c r="L1970" s="9">
        <f>VLOOKUP(dynamic[productID],products[],IF(YEAR(dynamic[orderDate])=2022,8,IF(YEAR(dynamic[orderDate])=2023,9,IF(YEAR(dynamic[orderDate])=2024,10,NA))),FALSE)</f>
        <v>22.49091154</v>
      </c>
      <c r="M1970" s="9">
        <v>34.0</v>
      </c>
      <c r="N1970" s="25">
        <f>(dynamic[orderPrice]-dynamic[productCost])/dynamic[productCost]</f>
        <v>0.5117217431</v>
      </c>
      <c r="O1970" s="10">
        <v>9.0</v>
      </c>
      <c r="P1970" s="25">
        <v>0.0</v>
      </c>
      <c r="Q1970" s="9">
        <f>dynamic[orderPrice]*dynamic[orderQuantity]</f>
        <v>306</v>
      </c>
      <c r="R1970" s="9">
        <f>dynamic[orderTotal]*(1-dynamic[discountApllied])</f>
        <v>306</v>
      </c>
      <c r="S1970" s="9">
        <f>dynamic[revenue]-(dynamic[productCost]*dynamic[orderQuantity])</f>
        <v>103.5817961</v>
      </c>
      <c r="T1970" s="25">
        <f>IFERROR(dynamic[profit]/dynamic[revenue], 0)</f>
        <v>0.3385026017</v>
      </c>
    </row>
    <row r="1971" ht="15.75" customHeight="1">
      <c r="A1971" s="6">
        <v>11010.0</v>
      </c>
      <c r="B1971" s="7" t="s">
        <v>45</v>
      </c>
      <c r="C1971" s="24" t="str">
        <f>VLOOKUP(dynamic[customerID],customers[],2,FALSE)</f>
        <v>Reggiani Caseifici</v>
      </c>
      <c r="D1971" s="24">
        <v>45391.0</v>
      </c>
      <c r="E1971" s="6">
        <f>IFERROR(__xludf.DUMMYFUNCTION("COUNTUNIQUEIFS($A$2:$A1971,$B$2:$B1971,B1971)"),11.0)</f>
        <v>11</v>
      </c>
      <c r="F1971" s="6">
        <f t="shared" si="1"/>
        <v>29</v>
      </c>
      <c r="G1971" s="6" t="str">
        <f>IF(MINIFS(dynamic[orderDate], dynamic[customerID], B1971) &gt;= DATE(2024,4,30)-120, 
     "New", 
     IF(MAXIFS(dynamic[orderCount], dynamic[customerID], B1971)&lt;=2, 
        IF((DATE(2024,4,30) - MAXIFS(dynamic[orderDate], dynamic[customerID], B1971)) &gt; 180, "Non-Returning", "Dormant"), 
        IF(AND(MAX(dynamic[sinceLastOrder]) &gt; 365, (DATE(2024,4,30) - MAXIFS(dynamic[orderDate], dynamic[customerID], B1971)) &gt; 180), 
           "Dormant", "Regular")))</f>
        <v>Regular</v>
      </c>
      <c r="H1971" s="6">
        <v>7.0</v>
      </c>
      <c r="I1971" s="9" t="str">
        <f>VLOOKUP(dynamic[productID],products[],2,FALSE)</f>
        <v>Uncle Bob's Organic Dried Pears</v>
      </c>
      <c r="J1971" s="9" t="str">
        <f>VLOOKUP(dynamic[productID],products[],12,FALSE)</f>
        <v>Produce</v>
      </c>
      <c r="K1971" s="7" t="str">
        <f>IF(VLOOKUP(dynamic[productID],products[],7,FALSE)=1,"Discontinued","Current")</f>
        <v>Current</v>
      </c>
      <c r="L1971" s="9">
        <f>VLOOKUP(dynamic[productID],products[],IF(YEAR(dynamic[orderDate])=2022,8,IF(YEAR(dynamic[orderDate])=2023,9,IF(YEAR(dynamic[orderDate])=2024,10,NA))),FALSE)</f>
        <v>23.52222246</v>
      </c>
      <c r="M1971" s="9">
        <v>30.0</v>
      </c>
      <c r="N1971" s="25">
        <f>(dynamic[orderPrice]-dynamic[productCost])/dynamic[productCost]</f>
        <v>0.2753896894</v>
      </c>
      <c r="O1971" s="10">
        <v>20.0</v>
      </c>
      <c r="P1971" s="25">
        <v>0.0</v>
      </c>
      <c r="Q1971" s="9">
        <f>dynamic[orderPrice]*dynamic[orderQuantity]</f>
        <v>600</v>
      </c>
      <c r="R1971" s="9">
        <f>dynamic[orderTotal]*(1-dynamic[discountApllied])</f>
        <v>600</v>
      </c>
      <c r="S1971" s="9">
        <f>dynamic[revenue]-(dynamic[productCost]*dynamic[orderQuantity])</f>
        <v>129.5555507</v>
      </c>
      <c r="T1971" s="25">
        <f>IFERROR(dynamic[profit]/dynamic[revenue], 0)</f>
        <v>0.2159259179</v>
      </c>
    </row>
    <row r="1972" ht="15.75" customHeight="1">
      <c r="A1972" s="6">
        <v>11010.0</v>
      </c>
      <c r="B1972" s="7" t="s">
        <v>45</v>
      </c>
      <c r="C1972" s="24" t="str">
        <f>VLOOKUP(dynamic[customerID],customers[],2,FALSE)</f>
        <v>Reggiani Caseifici</v>
      </c>
      <c r="D1972" s="24">
        <v>45391.0</v>
      </c>
      <c r="E1972" s="6">
        <f>IFERROR(__xludf.DUMMYFUNCTION("COUNTUNIQUEIFS($A$2:$A1972,$B$2:$B1972,B1972)"),11.0)</f>
        <v>11</v>
      </c>
      <c r="F1972" s="6">
        <f t="shared" si="1"/>
        <v>29</v>
      </c>
      <c r="G1972" s="6" t="str">
        <f>IF(MINIFS(dynamic[orderDate], dynamic[customerID], B1972) &gt;= DATE(2024,4,30)-120, 
     "New", 
     IF(MAXIFS(dynamic[orderCount], dynamic[customerID], B1972)&lt;=2, 
        IF((DATE(2024,4,30) - MAXIFS(dynamic[orderDate], dynamic[customerID], B1972)) &gt; 180, "Non-Returning", "Dormant"), 
        IF(AND(MAX(dynamic[sinceLastOrder]) &gt; 365, (DATE(2024,4,30) - MAXIFS(dynamic[orderDate], dynamic[customerID], B1972)) &gt; 180), 
           "Dormant", "Regular")))</f>
        <v>Regular</v>
      </c>
      <c r="H1972" s="6">
        <v>24.0</v>
      </c>
      <c r="I1972" s="9" t="str">
        <f>VLOOKUP(dynamic[productID],products[],2,FALSE)</f>
        <v>Brigadeiros Maravilhosos da Lilian</v>
      </c>
      <c r="J1972" s="9" t="str">
        <f>VLOOKUP(dynamic[productID],products[],12,FALSE)</f>
        <v>Confections</v>
      </c>
      <c r="K1972" s="7" t="str">
        <f>IF(VLOOKUP(dynamic[productID],products[],7,FALSE)=1,"Discontinued","Current")</f>
        <v>Discontinued</v>
      </c>
      <c r="L1972" s="9">
        <f>VLOOKUP(dynamic[productID],products[],IF(YEAR(dynamic[orderDate])=2022,8,IF(YEAR(dynamic[orderDate])=2023,9,IF(YEAR(dynamic[orderDate])=2024,10,NA))),FALSE)</f>
        <v>3.177326315</v>
      </c>
      <c r="M1972" s="9">
        <v>4.5</v>
      </c>
      <c r="N1972" s="25">
        <f>(dynamic[orderPrice]-dynamic[productCost])/dynamic[productCost]</f>
        <v>0.416285126</v>
      </c>
      <c r="O1972" s="10">
        <v>10.0</v>
      </c>
      <c r="P1972" s="25">
        <v>0.0</v>
      </c>
      <c r="Q1972" s="9">
        <f>dynamic[orderPrice]*dynamic[orderQuantity]</f>
        <v>45</v>
      </c>
      <c r="R1972" s="9">
        <f>dynamic[orderTotal]*(1-dynamic[discountApllied])</f>
        <v>45</v>
      </c>
      <c r="S1972" s="9">
        <f>dynamic[revenue]-(dynamic[productCost]*dynamic[orderQuantity])</f>
        <v>13.22673685</v>
      </c>
      <c r="T1972" s="25">
        <f>IFERROR(dynamic[profit]/dynamic[revenue], 0)</f>
        <v>0.2939274856</v>
      </c>
    </row>
    <row r="1973" ht="15.75" customHeight="1">
      <c r="A1973" s="6">
        <v>11011.0</v>
      </c>
      <c r="B1973" s="7" t="s">
        <v>100</v>
      </c>
      <c r="C1973" s="24" t="str">
        <f>VLOOKUP(dynamic[customerID],customers[],2,FALSE)</f>
        <v>Alfreds Futterkiste</v>
      </c>
      <c r="D1973" s="24">
        <v>45391.0</v>
      </c>
      <c r="E1973" s="6">
        <f>IFERROR(__xludf.DUMMYFUNCTION("COUNTUNIQUEIFS($A$2:$A1973,$B$2:$B1973,B1973)"),6.0)</f>
        <v>6</v>
      </c>
      <c r="F1973" s="6">
        <f t="shared" si="1"/>
        <v>24</v>
      </c>
      <c r="G1973" s="6" t="str">
        <f>IF(MINIFS(dynamic[orderDate], dynamic[customerID], B1973) &gt;= DATE(2024,4,30)-120, 
     "New", 
     IF(MAXIFS(dynamic[orderCount], dynamic[customerID], B1973)&lt;=2, 
        IF((DATE(2024,4,30) - MAXIFS(dynamic[orderDate], dynamic[customerID], B1973)) &gt; 180, "Non-Returning", "Dormant"), 
        IF(AND(MAX(dynamic[sinceLastOrder]) &gt; 365, (DATE(2024,4,30) - MAXIFS(dynamic[orderDate], dynamic[customerID], B1973)) &gt; 180), 
           "Dormant", "Regular")))</f>
        <v>Regular</v>
      </c>
      <c r="H1973" s="6">
        <v>58.0</v>
      </c>
      <c r="I1973" s="9" t="str">
        <f>VLOOKUP(dynamic[productID],products[],2,FALSE)</f>
        <v>Escargots de Bourgogne</v>
      </c>
      <c r="J1973" s="9" t="str">
        <f>VLOOKUP(dynamic[productID],products[],12,FALSE)</f>
        <v>Seafood</v>
      </c>
      <c r="K1973" s="7" t="str">
        <f>IF(VLOOKUP(dynamic[productID],products[],7,FALSE)=1,"Discontinued","Current")</f>
        <v>Current</v>
      </c>
      <c r="L1973" s="9">
        <f>VLOOKUP(dynamic[productID],products[],IF(YEAR(dynamic[orderDate])=2022,8,IF(YEAR(dynamic[orderDate])=2023,9,IF(YEAR(dynamic[orderDate])=2024,10,NA))),FALSE)</f>
        <v>8.683102193</v>
      </c>
      <c r="M1973" s="9">
        <v>13.25</v>
      </c>
      <c r="N1973" s="25">
        <f>(dynamic[orderPrice]-dynamic[productCost])/dynamic[productCost]</f>
        <v>0.5259523274</v>
      </c>
      <c r="O1973" s="10">
        <v>40.0</v>
      </c>
      <c r="P1973" s="25">
        <v>0.05</v>
      </c>
      <c r="Q1973" s="9">
        <f>dynamic[orderPrice]*dynamic[orderQuantity]</f>
        <v>530</v>
      </c>
      <c r="R1973" s="9">
        <f>dynamic[orderTotal]*(1-dynamic[discountApllied])</f>
        <v>503.5</v>
      </c>
      <c r="S1973" s="9">
        <f>dynamic[revenue]-(dynamic[productCost]*dynamic[orderQuantity])</f>
        <v>156.1759123</v>
      </c>
      <c r="T1973" s="25">
        <f>IFERROR(dynamic[profit]/dynamic[revenue], 0)</f>
        <v>0.3101805607</v>
      </c>
    </row>
    <row r="1974" ht="15.75" customHeight="1">
      <c r="A1974" s="6">
        <v>11011.0</v>
      </c>
      <c r="B1974" s="7" t="s">
        <v>100</v>
      </c>
      <c r="C1974" s="24" t="str">
        <f>VLOOKUP(dynamic[customerID],customers[],2,FALSE)</f>
        <v>Alfreds Futterkiste</v>
      </c>
      <c r="D1974" s="24">
        <v>45391.0</v>
      </c>
      <c r="E1974" s="6">
        <f>IFERROR(__xludf.DUMMYFUNCTION("COUNTUNIQUEIFS($A$2:$A1974,$B$2:$B1974,B1974)"),6.0)</f>
        <v>6</v>
      </c>
      <c r="F1974" s="6">
        <f t="shared" si="1"/>
        <v>24</v>
      </c>
      <c r="G1974" s="6" t="str">
        <f>IF(MINIFS(dynamic[orderDate], dynamic[customerID], B1974) &gt;= DATE(2024,4,30)-120, 
     "New", 
     IF(MAXIFS(dynamic[orderCount], dynamic[customerID], B1974)&lt;=2, 
        IF((DATE(2024,4,30) - MAXIFS(dynamic[orderDate], dynamic[customerID], B1974)) &gt; 180, "Non-Returning", "Dormant"), 
        IF(AND(MAX(dynamic[sinceLastOrder]) &gt; 365, (DATE(2024,4,30) - MAXIFS(dynamic[orderDate], dynamic[customerID], B1974)) &gt; 180), 
           "Dormant", "Regular")))</f>
        <v>Regular</v>
      </c>
      <c r="H1974" s="6">
        <v>71.0</v>
      </c>
      <c r="I1974" s="9" t="str">
        <f>VLOOKUP(dynamic[productID],products[],2,FALSE)</f>
        <v>Flotemysost</v>
      </c>
      <c r="J1974" s="9" t="str">
        <f>VLOOKUP(dynamic[productID],products[],12,FALSE)</f>
        <v>Dairy Products</v>
      </c>
      <c r="K1974" s="7" t="str">
        <f>IF(VLOOKUP(dynamic[productID],products[],7,FALSE)=1,"Discontinued","Current")</f>
        <v>Current</v>
      </c>
      <c r="L1974" s="9">
        <f>VLOOKUP(dynamic[productID],products[],IF(YEAR(dynamic[orderDate])=2022,8,IF(YEAR(dynamic[orderDate])=2023,9,IF(YEAR(dynamic[orderDate])=2024,10,NA))),FALSE)</f>
        <v>14.20977576</v>
      </c>
      <c r="M1974" s="9">
        <v>21.5</v>
      </c>
      <c r="N1974" s="25">
        <f>(dynamic[orderPrice]-dynamic[productCost])/dynamic[productCost]</f>
        <v>0.5130428769</v>
      </c>
      <c r="O1974" s="10">
        <v>20.0</v>
      </c>
      <c r="P1974" s="25">
        <v>0.0</v>
      </c>
      <c r="Q1974" s="9">
        <f>dynamic[orderPrice]*dynamic[orderQuantity]</f>
        <v>430</v>
      </c>
      <c r="R1974" s="9">
        <f>dynamic[orderTotal]*(1-dynamic[discountApllied])</f>
        <v>430</v>
      </c>
      <c r="S1974" s="9">
        <f>dynamic[revenue]-(dynamic[productCost]*dynamic[orderQuantity])</f>
        <v>145.8044848</v>
      </c>
      <c r="T1974" s="25">
        <f>IFERROR(dynamic[profit]/dynamic[revenue], 0)</f>
        <v>0.3390801971</v>
      </c>
    </row>
    <row r="1975" ht="15.75" customHeight="1">
      <c r="A1975" s="6">
        <v>11012.0</v>
      </c>
      <c r="B1975" s="7" t="s">
        <v>32</v>
      </c>
      <c r="C1975" s="24" t="str">
        <f>VLOOKUP(dynamic[customerID],customers[],2,FALSE)</f>
        <v>Frankenversand</v>
      </c>
      <c r="D1975" s="24">
        <v>45391.0</v>
      </c>
      <c r="E1975" s="6">
        <f>IFERROR(__xludf.DUMMYFUNCTION("COUNTUNIQUEIFS($A$2:$A1975,$B$2:$B1975,B1975)"),15.0)</f>
        <v>15</v>
      </c>
      <c r="F1975" s="6">
        <f t="shared" si="1"/>
        <v>35</v>
      </c>
      <c r="G1975" s="6" t="str">
        <f>IF(MINIFS(dynamic[orderDate], dynamic[customerID], B1975) &gt;= DATE(2024,4,30)-120, 
     "New", 
     IF(MAXIFS(dynamic[orderCount], dynamic[customerID], B1975)&lt;=2, 
        IF((DATE(2024,4,30) - MAXIFS(dynamic[orderDate], dynamic[customerID], B1975)) &gt; 180, "Non-Returning", "Dormant"), 
        IF(AND(MAX(dynamic[sinceLastOrder]) &gt; 365, (DATE(2024,4,30) - MAXIFS(dynamic[orderDate], dynamic[customerID], B1975)) &gt; 180), 
           "Dormant", "Regular")))</f>
        <v>Regular</v>
      </c>
      <c r="H1975" s="6">
        <v>19.0</v>
      </c>
      <c r="I1975" s="9" t="str">
        <f>VLOOKUP(dynamic[productID],products[],2,FALSE)</f>
        <v>Teatime Chocolate Biscuits</v>
      </c>
      <c r="J1975" s="9" t="str">
        <f>VLOOKUP(dynamic[productID],products[],12,FALSE)</f>
        <v>Confections</v>
      </c>
      <c r="K1975" s="7" t="str">
        <f>IF(VLOOKUP(dynamic[productID],products[],7,FALSE)=1,"Discontinued","Current")</f>
        <v>Current</v>
      </c>
      <c r="L1975" s="9">
        <f>VLOOKUP(dynamic[productID],products[],IF(YEAR(dynamic[orderDate])=2022,8,IF(YEAR(dynamic[orderDate])=2023,9,IF(YEAR(dynamic[orderDate])=2024,10,NA))),FALSE)</f>
        <v>6.769656984</v>
      </c>
      <c r="M1975" s="9">
        <v>9.2</v>
      </c>
      <c r="N1975" s="25">
        <f>(dynamic[orderPrice]-dynamic[productCost])/dynamic[productCost]</f>
        <v>0.3590053413</v>
      </c>
      <c r="O1975" s="10">
        <v>50.0</v>
      </c>
      <c r="P1975" s="25">
        <v>0.05</v>
      </c>
      <c r="Q1975" s="9">
        <f>dynamic[orderPrice]*dynamic[orderQuantity]</f>
        <v>460</v>
      </c>
      <c r="R1975" s="9">
        <f>dynamic[orderTotal]*(1-dynamic[discountApllied])</f>
        <v>437</v>
      </c>
      <c r="S1975" s="9">
        <f>dynamic[revenue]-(dynamic[productCost]*dynamic[orderQuantity])</f>
        <v>98.5171508</v>
      </c>
      <c r="T1975" s="25">
        <f>IFERROR(dynamic[profit]/dynamic[revenue], 0)</f>
        <v>0.2254397043</v>
      </c>
    </row>
    <row r="1976" ht="15.75" customHeight="1">
      <c r="A1976" s="6">
        <v>11012.0</v>
      </c>
      <c r="B1976" s="7" t="s">
        <v>32</v>
      </c>
      <c r="C1976" s="24" t="str">
        <f>VLOOKUP(dynamic[customerID],customers[],2,FALSE)</f>
        <v>Frankenversand</v>
      </c>
      <c r="D1976" s="24">
        <v>45391.0</v>
      </c>
      <c r="E1976" s="6">
        <f>IFERROR(__xludf.DUMMYFUNCTION("COUNTUNIQUEIFS($A$2:$A1976,$B$2:$B1976,B1976)"),15.0)</f>
        <v>15</v>
      </c>
      <c r="F1976" s="6">
        <f t="shared" si="1"/>
        <v>35</v>
      </c>
      <c r="G1976" s="6" t="str">
        <f>IF(MINIFS(dynamic[orderDate], dynamic[customerID], B1976) &gt;= DATE(2024,4,30)-120, 
     "New", 
     IF(MAXIFS(dynamic[orderCount], dynamic[customerID], B1976)&lt;=2, 
        IF((DATE(2024,4,30) - MAXIFS(dynamic[orderDate], dynamic[customerID], B1976)) &gt; 180, "Non-Returning", "Dormant"), 
        IF(AND(MAX(dynamic[sinceLastOrder]) &gt; 365, (DATE(2024,4,30) - MAXIFS(dynamic[orderDate], dynamic[customerID], B1976)) &gt; 180), 
           "Dormant", "Regular")))</f>
        <v>Regular</v>
      </c>
      <c r="H1976" s="6">
        <v>60.0</v>
      </c>
      <c r="I1976" s="9" t="str">
        <f>VLOOKUP(dynamic[productID],products[],2,FALSE)</f>
        <v>Camembert Pierrot</v>
      </c>
      <c r="J1976" s="9" t="str">
        <f>VLOOKUP(dynamic[productID],products[],12,FALSE)</f>
        <v>Dairy Products</v>
      </c>
      <c r="K1976" s="7" t="str">
        <f>IF(VLOOKUP(dynamic[productID],products[],7,FALSE)=1,"Discontinued","Current")</f>
        <v>Current</v>
      </c>
      <c r="L1976" s="9">
        <f>VLOOKUP(dynamic[productID],products[],IF(YEAR(dynamic[orderDate])=2022,8,IF(YEAR(dynamic[orderDate])=2023,9,IF(YEAR(dynamic[orderDate])=2024,10,NA))),FALSE)</f>
        <v>22.49091154</v>
      </c>
      <c r="M1976" s="9">
        <v>34.0</v>
      </c>
      <c r="N1976" s="25">
        <f>(dynamic[orderPrice]-dynamic[productCost])/dynamic[productCost]</f>
        <v>0.5117217431</v>
      </c>
      <c r="O1976" s="10">
        <v>36.0</v>
      </c>
      <c r="P1976" s="25">
        <v>0.05</v>
      </c>
      <c r="Q1976" s="9">
        <f>dynamic[orderPrice]*dynamic[orderQuantity]</f>
        <v>1224</v>
      </c>
      <c r="R1976" s="9">
        <f>dynamic[orderTotal]*(1-dynamic[discountApllied])</f>
        <v>1162.8</v>
      </c>
      <c r="S1976" s="9">
        <f>dynamic[revenue]-(dynamic[productCost]*dynamic[orderQuantity])</f>
        <v>353.1271845</v>
      </c>
      <c r="T1976" s="25">
        <f>IFERROR(dynamic[profit]/dynamic[revenue], 0)</f>
        <v>0.3036869492</v>
      </c>
    </row>
    <row r="1977" ht="15.75" customHeight="1">
      <c r="A1977" s="6">
        <v>11012.0</v>
      </c>
      <c r="B1977" s="7" t="s">
        <v>32</v>
      </c>
      <c r="C1977" s="24" t="str">
        <f>VLOOKUP(dynamic[customerID],customers[],2,FALSE)</f>
        <v>Frankenversand</v>
      </c>
      <c r="D1977" s="24">
        <v>45391.0</v>
      </c>
      <c r="E1977" s="6">
        <f>IFERROR(__xludf.DUMMYFUNCTION("COUNTUNIQUEIFS($A$2:$A1977,$B$2:$B1977,B1977)"),15.0)</f>
        <v>15</v>
      </c>
      <c r="F1977" s="6">
        <f t="shared" si="1"/>
        <v>35</v>
      </c>
      <c r="G1977" s="6" t="str">
        <f>IF(MINIFS(dynamic[orderDate], dynamic[customerID], B1977) &gt;= DATE(2024,4,30)-120, 
     "New", 
     IF(MAXIFS(dynamic[orderCount], dynamic[customerID], B1977)&lt;=2, 
        IF((DATE(2024,4,30) - MAXIFS(dynamic[orderDate], dynamic[customerID], B1977)) &gt; 180, "Non-Returning", "Dormant"), 
        IF(AND(MAX(dynamic[sinceLastOrder]) &gt; 365, (DATE(2024,4,30) - MAXIFS(dynamic[orderDate], dynamic[customerID], B1977)) &gt; 180), 
           "Dormant", "Regular")))</f>
        <v>Regular</v>
      </c>
      <c r="H1977" s="6">
        <v>71.0</v>
      </c>
      <c r="I1977" s="9" t="str">
        <f>VLOOKUP(dynamic[productID],products[],2,FALSE)</f>
        <v>Flotemysost</v>
      </c>
      <c r="J1977" s="9" t="str">
        <f>VLOOKUP(dynamic[productID],products[],12,FALSE)</f>
        <v>Dairy Products</v>
      </c>
      <c r="K1977" s="7" t="str">
        <f>IF(VLOOKUP(dynamic[productID],products[],7,FALSE)=1,"Discontinued","Current")</f>
        <v>Current</v>
      </c>
      <c r="L1977" s="9">
        <f>VLOOKUP(dynamic[productID],products[],IF(YEAR(dynamic[orderDate])=2022,8,IF(YEAR(dynamic[orderDate])=2023,9,IF(YEAR(dynamic[orderDate])=2024,10,NA))),FALSE)</f>
        <v>14.20977576</v>
      </c>
      <c r="M1977" s="9">
        <v>21.5</v>
      </c>
      <c r="N1977" s="25">
        <f>(dynamic[orderPrice]-dynamic[productCost])/dynamic[productCost]</f>
        <v>0.5130428769</v>
      </c>
      <c r="O1977" s="10">
        <v>60.0</v>
      </c>
      <c r="P1977" s="25">
        <v>0.05</v>
      </c>
      <c r="Q1977" s="9">
        <f>dynamic[orderPrice]*dynamic[orderQuantity]</f>
        <v>1290</v>
      </c>
      <c r="R1977" s="9">
        <f>dynamic[orderTotal]*(1-dynamic[discountApllied])</f>
        <v>1225.5</v>
      </c>
      <c r="S1977" s="9">
        <f>dynamic[revenue]-(dynamic[productCost]*dynamic[orderQuantity])</f>
        <v>372.9134543</v>
      </c>
      <c r="T1977" s="25">
        <f>IFERROR(dynamic[profit]/dynamic[revenue], 0)</f>
        <v>0.3042949443</v>
      </c>
    </row>
    <row r="1978" ht="15.75" customHeight="1">
      <c r="A1978" s="6">
        <v>11013.0</v>
      </c>
      <c r="B1978" s="7" t="s">
        <v>42</v>
      </c>
      <c r="C1978" s="24" t="str">
        <f>VLOOKUP(dynamic[customerID],customers[],2,FALSE)</f>
        <v>Romero y tomillo</v>
      </c>
      <c r="D1978" s="24">
        <v>45391.0</v>
      </c>
      <c r="E1978" s="6">
        <f>IFERROR(__xludf.DUMMYFUNCTION("COUNTUNIQUEIFS($A$2:$A1978,$B$2:$B1978,B1978)"),5.0)</f>
        <v>5</v>
      </c>
      <c r="F1978" s="6">
        <f t="shared" si="1"/>
        <v>38</v>
      </c>
      <c r="G1978" s="6" t="str">
        <f>IF(MINIFS(dynamic[orderDate], dynamic[customerID], B1978) &gt;= DATE(2024,4,30)-120, 
     "New", 
     IF(MAXIFS(dynamic[orderCount], dynamic[customerID], B1978)&lt;=2, 
        IF((DATE(2024,4,30) - MAXIFS(dynamic[orderDate], dynamic[customerID], B1978)) &gt; 180, "Non-Returning", "Dormant"), 
        IF(AND(MAX(dynamic[sinceLastOrder]) &gt; 365, (DATE(2024,4,30) - MAXIFS(dynamic[orderDate], dynamic[customerID], B1978)) &gt; 180), 
           "Dormant", "Regular")))</f>
        <v>Regular</v>
      </c>
      <c r="H1978" s="6">
        <v>23.0</v>
      </c>
      <c r="I1978" s="9" t="str">
        <f>VLOOKUP(dynamic[productID],products[],2,FALSE)</f>
        <v>Tunnbröd</v>
      </c>
      <c r="J1978" s="9" t="str">
        <f>VLOOKUP(dynamic[productID],products[],12,FALSE)</f>
        <v>Grains/Cereals</v>
      </c>
      <c r="K1978" s="7" t="str">
        <f>IF(VLOOKUP(dynamic[productID],products[],7,FALSE)=1,"Discontinued","Current")</f>
        <v>Current</v>
      </c>
      <c r="L1978" s="9">
        <f>VLOOKUP(dynamic[productID],products[],IF(YEAR(dynamic[orderDate])=2022,8,IF(YEAR(dynamic[orderDate])=2023,9,IF(YEAR(dynamic[orderDate])=2024,10,NA))),FALSE)</f>
        <v>6.224885622</v>
      </c>
      <c r="M1978" s="9">
        <v>9.0</v>
      </c>
      <c r="N1978" s="25">
        <f>(dynamic[orderPrice]-dynamic[productCost])/dynamic[productCost]</f>
        <v>0.4458096979</v>
      </c>
      <c r="O1978" s="10">
        <v>10.0</v>
      </c>
      <c r="P1978" s="25">
        <v>0.0</v>
      </c>
      <c r="Q1978" s="9">
        <f>dynamic[orderPrice]*dynamic[orderQuantity]</f>
        <v>90</v>
      </c>
      <c r="R1978" s="9">
        <f>dynamic[orderTotal]*(1-dynamic[discountApllied])</f>
        <v>90</v>
      </c>
      <c r="S1978" s="9">
        <f>dynamic[revenue]-(dynamic[productCost]*dynamic[orderQuantity])</f>
        <v>27.75114378</v>
      </c>
      <c r="T1978" s="25">
        <f>IFERROR(dynamic[profit]/dynamic[revenue], 0)</f>
        <v>0.308346042</v>
      </c>
    </row>
    <row r="1979" ht="15.75" customHeight="1">
      <c r="A1979" s="6">
        <v>11013.0</v>
      </c>
      <c r="B1979" s="7" t="s">
        <v>42</v>
      </c>
      <c r="C1979" s="24" t="str">
        <f>VLOOKUP(dynamic[customerID],customers[],2,FALSE)</f>
        <v>Romero y tomillo</v>
      </c>
      <c r="D1979" s="24">
        <v>45391.0</v>
      </c>
      <c r="E1979" s="6">
        <f>IFERROR(__xludf.DUMMYFUNCTION("COUNTUNIQUEIFS($A$2:$A1979,$B$2:$B1979,B1979)"),5.0)</f>
        <v>5</v>
      </c>
      <c r="F1979" s="6">
        <f t="shared" si="1"/>
        <v>38</v>
      </c>
      <c r="G1979" s="6" t="str">
        <f>IF(MINIFS(dynamic[orderDate], dynamic[customerID], B1979) &gt;= DATE(2024,4,30)-120, 
     "New", 
     IF(MAXIFS(dynamic[orderCount], dynamic[customerID], B1979)&lt;=2, 
        IF((DATE(2024,4,30) - MAXIFS(dynamic[orderDate], dynamic[customerID], B1979)) &gt; 180, "Non-Returning", "Dormant"), 
        IF(AND(MAX(dynamic[sinceLastOrder]) &gt; 365, (DATE(2024,4,30) - MAXIFS(dynamic[orderDate], dynamic[customerID], B1979)) &gt; 180), 
           "Dormant", "Regular")))</f>
        <v>Regular</v>
      </c>
      <c r="H1979" s="6">
        <v>42.0</v>
      </c>
      <c r="I1979" s="9" t="str">
        <f>VLOOKUP(dynamic[productID],products[],2,FALSE)</f>
        <v>Singaporean Hokkien Fried Mee</v>
      </c>
      <c r="J1979" s="9" t="str">
        <f>VLOOKUP(dynamic[productID],products[],12,FALSE)</f>
        <v>Grains/Cereals</v>
      </c>
      <c r="K1979" s="7" t="str">
        <f>IF(VLOOKUP(dynamic[productID],products[],7,FALSE)=1,"Discontinued","Current")</f>
        <v>Discontinued</v>
      </c>
      <c r="L1979" s="9">
        <f>VLOOKUP(dynamic[productID],products[],IF(YEAR(dynamic[orderDate])=2022,8,IF(YEAR(dynamic[orderDate])=2023,9,IF(YEAR(dynamic[orderDate])=2024,10,NA))),FALSE)</f>
        <v>9.64736714</v>
      </c>
      <c r="M1979" s="9">
        <v>14.0</v>
      </c>
      <c r="N1979" s="25">
        <f>(dynamic[orderPrice]-dynamic[productCost])/dynamic[productCost]</f>
        <v>0.4511731333</v>
      </c>
      <c r="O1979" s="10">
        <v>4.0</v>
      </c>
      <c r="P1979" s="25">
        <v>0.0</v>
      </c>
      <c r="Q1979" s="9">
        <f>dynamic[orderPrice]*dynamic[orderQuantity]</f>
        <v>56</v>
      </c>
      <c r="R1979" s="9">
        <f>dynamic[orderTotal]*(1-dynamic[discountApllied])</f>
        <v>56</v>
      </c>
      <c r="S1979" s="9">
        <f>dynamic[revenue]-(dynamic[productCost]*dynamic[orderQuantity])</f>
        <v>17.41053144</v>
      </c>
      <c r="T1979" s="25">
        <f>IFERROR(dynamic[profit]/dynamic[revenue], 0)</f>
        <v>0.3109023472</v>
      </c>
    </row>
    <row r="1980" ht="15.75" customHeight="1">
      <c r="A1980" s="6">
        <v>11013.0</v>
      </c>
      <c r="B1980" s="7" t="s">
        <v>42</v>
      </c>
      <c r="C1980" s="24" t="str">
        <f>VLOOKUP(dynamic[customerID],customers[],2,FALSE)</f>
        <v>Romero y tomillo</v>
      </c>
      <c r="D1980" s="24">
        <v>45391.0</v>
      </c>
      <c r="E1980" s="6">
        <f>IFERROR(__xludf.DUMMYFUNCTION("COUNTUNIQUEIFS($A$2:$A1980,$B$2:$B1980,B1980)"),5.0)</f>
        <v>5</v>
      </c>
      <c r="F1980" s="6">
        <f t="shared" si="1"/>
        <v>38</v>
      </c>
      <c r="G1980" s="6" t="str">
        <f>IF(MINIFS(dynamic[orderDate], dynamic[customerID], B1980) &gt;= DATE(2024,4,30)-120, 
     "New", 
     IF(MAXIFS(dynamic[orderCount], dynamic[customerID], B1980)&lt;=2, 
        IF((DATE(2024,4,30) - MAXIFS(dynamic[orderDate], dynamic[customerID], B1980)) &gt; 180, "Non-Returning", "Dormant"), 
        IF(AND(MAX(dynamic[sinceLastOrder]) &gt; 365, (DATE(2024,4,30) - MAXIFS(dynamic[orderDate], dynamic[customerID], B1980)) &gt; 180), 
           "Dormant", "Regular")))</f>
        <v>Regular</v>
      </c>
      <c r="H1980" s="6">
        <v>45.0</v>
      </c>
      <c r="I1980" s="9" t="str">
        <f>VLOOKUP(dynamic[productID],products[],2,FALSE)</f>
        <v>Rogede sild</v>
      </c>
      <c r="J1980" s="9" t="str">
        <f>VLOOKUP(dynamic[productID],products[],12,FALSE)</f>
        <v>Seafood</v>
      </c>
      <c r="K1980" s="7" t="str">
        <f>IF(VLOOKUP(dynamic[productID],products[],7,FALSE)=1,"Discontinued","Current")</f>
        <v>Current</v>
      </c>
      <c r="L1980" s="9">
        <f>VLOOKUP(dynamic[productID],products[],IF(YEAR(dynamic[orderDate])=2022,8,IF(YEAR(dynamic[orderDate])=2023,9,IF(YEAR(dynamic[orderDate])=2024,10,NA))),FALSE)</f>
        <v>6.510592171</v>
      </c>
      <c r="M1980" s="9">
        <v>9.5</v>
      </c>
      <c r="N1980" s="25">
        <f>(dynamic[orderPrice]-dynamic[productCost])/dynamic[productCost]</f>
        <v>0.4591606648</v>
      </c>
      <c r="O1980" s="10">
        <v>20.0</v>
      </c>
      <c r="P1980" s="25">
        <v>0.0</v>
      </c>
      <c r="Q1980" s="9">
        <f>dynamic[orderPrice]*dynamic[orderQuantity]</f>
        <v>190</v>
      </c>
      <c r="R1980" s="9">
        <f>dynamic[orderTotal]*(1-dynamic[discountApllied])</f>
        <v>190</v>
      </c>
      <c r="S1980" s="9">
        <f>dynamic[revenue]-(dynamic[productCost]*dynamic[orderQuantity])</f>
        <v>59.78815659</v>
      </c>
      <c r="T1980" s="25">
        <f>IFERROR(dynamic[profit]/dynamic[revenue], 0)</f>
        <v>0.3146745083</v>
      </c>
    </row>
    <row r="1981" ht="15.75" customHeight="1">
      <c r="A1981" s="6">
        <v>11013.0</v>
      </c>
      <c r="B1981" s="7" t="s">
        <v>42</v>
      </c>
      <c r="C1981" s="24" t="str">
        <f>VLOOKUP(dynamic[customerID],customers[],2,FALSE)</f>
        <v>Romero y tomillo</v>
      </c>
      <c r="D1981" s="24">
        <v>45391.0</v>
      </c>
      <c r="E1981" s="6">
        <f>IFERROR(__xludf.DUMMYFUNCTION("COUNTUNIQUEIFS($A$2:$A1981,$B$2:$B1981,B1981)"),5.0)</f>
        <v>5</v>
      </c>
      <c r="F1981" s="6">
        <f t="shared" si="1"/>
        <v>38</v>
      </c>
      <c r="G1981" s="6" t="str">
        <f>IF(MINIFS(dynamic[orderDate], dynamic[customerID], B1981) &gt;= DATE(2024,4,30)-120, 
     "New", 
     IF(MAXIFS(dynamic[orderCount], dynamic[customerID], B1981)&lt;=2, 
        IF((DATE(2024,4,30) - MAXIFS(dynamic[orderDate], dynamic[customerID], B1981)) &gt; 180, "Non-Returning", "Dormant"), 
        IF(AND(MAX(dynamic[sinceLastOrder]) &gt; 365, (DATE(2024,4,30) - MAXIFS(dynamic[orderDate], dynamic[customerID], B1981)) &gt; 180), 
           "Dormant", "Regular")))</f>
        <v>Regular</v>
      </c>
      <c r="H1981" s="6">
        <v>68.0</v>
      </c>
      <c r="I1981" s="9" t="str">
        <f>VLOOKUP(dynamic[productID],products[],2,FALSE)</f>
        <v>Scottish Longbreads</v>
      </c>
      <c r="J1981" s="9" t="str">
        <f>VLOOKUP(dynamic[productID],products[],12,FALSE)</f>
        <v>Confections</v>
      </c>
      <c r="K1981" s="7" t="str">
        <f>IF(VLOOKUP(dynamic[productID],products[],7,FALSE)=1,"Discontinued","Current")</f>
        <v>Current</v>
      </c>
      <c r="L1981" s="9">
        <f>VLOOKUP(dynamic[productID],products[],IF(YEAR(dynamic[orderDate])=2022,8,IF(YEAR(dynamic[orderDate])=2023,9,IF(YEAR(dynamic[orderDate])=2024,10,NA))),FALSE)</f>
        <v>9.555031708</v>
      </c>
      <c r="M1981" s="9">
        <v>12.5</v>
      </c>
      <c r="N1981" s="25">
        <f>(dynamic[orderPrice]-dynamic[productCost])/dynamic[productCost]</f>
        <v>0.3082112527</v>
      </c>
      <c r="O1981" s="10">
        <v>2.0</v>
      </c>
      <c r="P1981" s="25">
        <v>0.0</v>
      </c>
      <c r="Q1981" s="9">
        <f>dynamic[orderPrice]*dynamic[orderQuantity]</f>
        <v>25</v>
      </c>
      <c r="R1981" s="9">
        <f>dynamic[orderTotal]*(1-dynamic[discountApllied])</f>
        <v>25</v>
      </c>
      <c r="S1981" s="9">
        <f>dynamic[revenue]-(dynamic[productCost]*dynamic[orderQuantity])</f>
        <v>5.889936585</v>
      </c>
      <c r="T1981" s="25">
        <f>IFERROR(dynamic[profit]/dynamic[revenue], 0)</f>
        <v>0.2355974634</v>
      </c>
    </row>
    <row r="1982" ht="15.75" customHeight="1">
      <c r="A1982" s="6">
        <v>11014.0</v>
      </c>
      <c r="B1982" s="7" t="s">
        <v>82</v>
      </c>
      <c r="C1982" s="24" t="str">
        <f>VLOOKUP(dynamic[customerID],customers[],2,FALSE)</f>
        <v>LINO-Delicateses</v>
      </c>
      <c r="D1982" s="24">
        <v>45392.0</v>
      </c>
      <c r="E1982" s="6">
        <f>IFERROR(__xludf.DUMMYFUNCTION("COUNTUNIQUEIFS($A$2:$A1982,$B$2:$B1982,B1982)"),11.0)</f>
        <v>11</v>
      </c>
      <c r="F1982" s="6">
        <f t="shared" si="1"/>
        <v>24</v>
      </c>
      <c r="G1982" s="6" t="str">
        <f>IF(MINIFS(dynamic[orderDate], dynamic[customerID], B1982) &gt;= DATE(2024,4,30)-120, 
     "New", 
     IF(MAXIFS(dynamic[orderCount], dynamic[customerID], B1982)&lt;=2, 
        IF((DATE(2024,4,30) - MAXIFS(dynamic[orderDate], dynamic[customerID], B1982)) &gt; 180, "Non-Returning", "Dormant"), 
        IF(AND(MAX(dynamic[sinceLastOrder]) &gt; 365, (DATE(2024,4,30) - MAXIFS(dynamic[orderDate], dynamic[customerID], B1982)) &gt; 180), 
           "Dormant", "Regular")))</f>
        <v>Regular</v>
      </c>
      <c r="H1982" s="6">
        <v>41.0</v>
      </c>
      <c r="I1982" s="9" t="str">
        <f>VLOOKUP(dynamic[productID],products[],2,FALSE)</f>
        <v>Jack's New England Clam Chowder</v>
      </c>
      <c r="J1982" s="9" t="str">
        <f>VLOOKUP(dynamic[productID],products[],12,FALSE)</f>
        <v>Seafood</v>
      </c>
      <c r="K1982" s="7" t="str">
        <f>IF(VLOOKUP(dynamic[productID],products[],7,FALSE)=1,"Discontinued","Current")</f>
        <v>Current</v>
      </c>
      <c r="L1982" s="9">
        <f>VLOOKUP(dynamic[productID],products[],IF(YEAR(dynamic[orderDate])=2022,8,IF(YEAR(dynamic[orderDate])=2023,9,IF(YEAR(dynamic[orderDate])=2024,10,NA))),FALSE)</f>
        <v>6.611787882</v>
      </c>
      <c r="M1982" s="9">
        <v>9.65</v>
      </c>
      <c r="N1982" s="25">
        <f>(dynamic[orderPrice]-dynamic[productCost])/dynamic[productCost]</f>
        <v>0.459514457</v>
      </c>
      <c r="O1982" s="10">
        <v>28.0</v>
      </c>
      <c r="P1982" s="25">
        <v>0.1</v>
      </c>
      <c r="Q1982" s="9">
        <f>dynamic[orderPrice]*dynamic[orderQuantity]</f>
        <v>270.2</v>
      </c>
      <c r="R1982" s="9">
        <f>dynamic[orderTotal]*(1-dynamic[discountApllied])</f>
        <v>243.18</v>
      </c>
      <c r="S1982" s="9">
        <f>dynamic[revenue]-(dynamic[productCost]*dynamic[orderQuantity])</f>
        <v>58.04993931</v>
      </c>
      <c r="T1982" s="25">
        <f>IFERROR(dynamic[profit]/dynamic[revenue], 0)</f>
        <v>0.2387118156</v>
      </c>
    </row>
    <row r="1983" ht="15.75" customHeight="1">
      <c r="A1983" s="6">
        <v>11015.0</v>
      </c>
      <c r="B1983" s="7" t="s">
        <v>80</v>
      </c>
      <c r="C1983" s="24" t="str">
        <f>VLOOKUP(dynamic[customerID],customers[],2,FALSE)</f>
        <v>Santé Gourmet</v>
      </c>
      <c r="D1983" s="24">
        <v>45392.0</v>
      </c>
      <c r="E1983" s="6">
        <f>IFERROR(__xludf.DUMMYFUNCTION("COUNTUNIQUEIFS($A$2:$A1983,$B$2:$B1983,B1983)"),6.0)</f>
        <v>6</v>
      </c>
      <c r="F1983" s="6">
        <f t="shared" si="1"/>
        <v>44</v>
      </c>
      <c r="G1983" s="6" t="str">
        <f>IF(MINIFS(dynamic[orderDate], dynamic[customerID], B1983) &gt;= DATE(2024,4,30)-120, 
     "New", 
     IF(MAXIFS(dynamic[orderCount], dynamic[customerID], B1983)&lt;=2, 
        IF((DATE(2024,4,30) - MAXIFS(dynamic[orderDate], dynamic[customerID], B1983)) &gt; 180, "Non-Returning", "Dormant"), 
        IF(AND(MAX(dynamic[sinceLastOrder]) &gt; 365, (DATE(2024,4,30) - MAXIFS(dynamic[orderDate], dynamic[customerID], B1983)) &gt; 180), 
           "Dormant", "Regular")))</f>
        <v>Regular</v>
      </c>
      <c r="H1983" s="6">
        <v>30.0</v>
      </c>
      <c r="I1983" s="9" t="str">
        <f>VLOOKUP(dynamic[productID],products[],2,FALSE)</f>
        <v>Nord-Ost Matjeshering</v>
      </c>
      <c r="J1983" s="9" t="str">
        <f>VLOOKUP(dynamic[productID],products[],12,FALSE)</f>
        <v>Seafood</v>
      </c>
      <c r="K1983" s="7" t="str">
        <f>IF(VLOOKUP(dynamic[productID],products[],7,FALSE)=1,"Discontinued","Current")</f>
        <v>Current</v>
      </c>
      <c r="L1983" s="9">
        <f>VLOOKUP(dynamic[productID],products[],IF(YEAR(dynamic[orderDate])=2022,8,IF(YEAR(dynamic[orderDate])=2023,9,IF(YEAR(dynamic[orderDate])=2024,10,NA))),FALSE)</f>
        <v>17.0327851</v>
      </c>
      <c r="M1983" s="9">
        <v>25.89</v>
      </c>
      <c r="N1983" s="25">
        <f>(dynamic[orderPrice]-dynamic[productCost])/dynamic[productCost]</f>
        <v>0.5200097842</v>
      </c>
      <c r="O1983" s="10">
        <v>15.0</v>
      </c>
      <c r="P1983" s="25">
        <v>0.0</v>
      </c>
      <c r="Q1983" s="9">
        <f>dynamic[orderPrice]*dynamic[orderQuantity]</f>
        <v>388.35</v>
      </c>
      <c r="R1983" s="9">
        <f>dynamic[orderTotal]*(1-dynamic[discountApllied])</f>
        <v>388.35</v>
      </c>
      <c r="S1983" s="9">
        <f>dynamic[revenue]-(dynamic[productCost]*dynamic[orderQuantity])</f>
        <v>132.8582235</v>
      </c>
      <c r="T1983" s="25">
        <f>IFERROR(dynamic[profit]/dynamic[revenue], 0)</f>
        <v>0.342109498</v>
      </c>
    </row>
    <row r="1984" ht="15.75" customHeight="1">
      <c r="A1984" s="6">
        <v>11015.0</v>
      </c>
      <c r="B1984" s="7" t="s">
        <v>80</v>
      </c>
      <c r="C1984" s="24" t="str">
        <f>VLOOKUP(dynamic[customerID],customers[],2,FALSE)</f>
        <v>Santé Gourmet</v>
      </c>
      <c r="D1984" s="24">
        <v>45392.0</v>
      </c>
      <c r="E1984" s="6">
        <f>IFERROR(__xludf.DUMMYFUNCTION("COUNTUNIQUEIFS($A$2:$A1984,$B$2:$B1984,B1984)"),6.0)</f>
        <v>6</v>
      </c>
      <c r="F1984" s="6">
        <f t="shared" si="1"/>
        <v>44</v>
      </c>
      <c r="G1984" s="6" t="str">
        <f>IF(MINIFS(dynamic[orderDate], dynamic[customerID], B1984) &gt;= DATE(2024,4,30)-120, 
     "New", 
     IF(MAXIFS(dynamic[orderCount], dynamic[customerID], B1984)&lt;=2, 
        IF((DATE(2024,4,30) - MAXIFS(dynamic[orderDate], dynamic[customerID], B1984)) &gt; 180, "Non-Returning", "Dormant"), 
        IF(AND(MAX(dynamic[sinceLastOrder]) &gt; 365, (DATE(2024,4,30) - MAXIFS(dynamic[orderDate], dynamic[customerID], B1984)) &gt; 180), 
           "Dormant", "Regular")))</f>
        <v>Regular</v>
      </c>
      <c r="H1984" s="6">
        <v>77.0</v>
      </c>
      <c r="I1984" s="9" t="str">
        <f>VLOOKUP(dynamic[productID],products[],2,FALSE)</f>
        <v>Original Frankfurter grüne Soße</v>
      </c>
      <c r="J1984" s="9" t="str">
        <f>VLOOKUP(dynamic[productID],products[],12,FALSE)</f>
        <v>Condiments</v>
      </c>
      <c r="K1984" s="7" t="str">
        <f>IF(VLOOKUP(dynamic[productID],products[],7,FALSE)=1,"Discontinued","Current")</f>
        <v>Current</v>
      </c>
      <c r="L1984" s="9">
        <f>VLOOKUP(dynamic[productID],products[],IF(YEAR(dynamic[orderDate])=2022,8,IF(YEAR(dynamic[orderDate])=2023,9,IF(YEAR(dynamic[orderDate])=2024,10,NA))),FALSE)</f>
        <v>9.299025151</v>
      </c>
      <c r="M1984" s="9">
        <v>13.0</v>
      </c>
      <c r="N1984" s="25">
        <f>(dynamic[orderPrice]-dynamic[productCost])/dynamic[productCost]</f>
        <v>0.3979960037</v>
      </c>
      <c r="O1984" s="10">
        <v>18.0</v>
      </c>
      <c r="P1984" s="25">
        <v>0.0</v>
      </c>
      <c r="Q1984" s="9">
        <f>dynamic[orderPrice]*dynamic[orderQuantity]</f>
        <v>234</v>
      </c>
      <c r="R1984" s="9">
        <f>dynamic[orderTotal]*(1-dynamic[discountApllied])</f>
        <v>234</v>
      </c>
      <c r="S1984" s="9">
        <f>dynamic[revenue]-(dynamic[productCost]*dynamic[orderQuantity])</f>
        <v>66.61754728</v>
      </c>
      <c r="T1984" s="25">
        <f>IFERROR(dynamic[profit]/dynamic[revenue], 0)</f>
        <v>0.284690373</v>
      </c>
    </row>
    <row r="1985" ht="15.75" customHeight="1">
      <c r="A1985" s="6">
        <v>11016.0</v>
      </c>
      <c r="B1985" s="7" t="s">
        <v>70</v>
      </c>
      <c r="C1985" s="24" t="str">
        <f>VLOOKUP(dynamic[customerID],customers[],2,FALSE)</f>
        <v>Around the Horn</v>
      </c>
      <c r="D1985" s="24">
        <v>45392.0</v>
      </c>
      <c r="E1985" s="6">
        <f>IFERROR(__xludf.DUMMYFUNCTION("COUNTUNIQUEIFS($A$2:$A1985,$B$2:$B1985,B1985)"),13.0)</f>
        <v>13</v>
      </c>
      <c r="F1985" s="6">
        <f t="shared" si="1"/>
        <v>25</v>
      </c>
      <c r="G1985" s="6" t="str">
        <f>IF(MINIFS(dynamic[orderDate], dynamic[customerID], B1985) &gt;= DATE(2024,4,30)-120, 
     "New", 
     IF(MAXIFS(dynamic[orderCount], dynamic[customerID], B1985)&lt;=2, 
        IF((DATE(2024,4,30) - MAXIFS(dynamic[orderDate], dynamic[customerID], B1985)) &gt; 180, "Non-Returning", "Dormant"), 
        IF(AND(MAX(dynamic[sinceLastOrder]) &gt; 365, (DATE(2024,4,30) - MAXIFS(dynamic[orderDate], dynamic[customerID], B1985)) &gt; 180), 
           "Dormant", "Regular")))</f>
        <v>Regular</v>
      </c>
      <c r="H1985" s="6">
        <v>31.0</v>
      </c>
      <c r="I1985" s="9" t="str">
        <f>VLOOKUP(dynamic[productID],products[],2,FALSE)</f>
        <v>Gorgonzola Telino</v>
      </c>
      <c r="J1985" s="9" t="str">
        <f>VLOOKUP(dynamic[productID],products[],12,FALSE)</f>
        <v>Dairy Products</v>
      </c>
      <c r="K1985" s="7" t="str">
        <f>IF(VLOOKUP(dynamic[productID],products[],7,FALSE)=1,"Discontinued","Current")</f>
        <v>Current</v>
      </c>
      <c r="L1985" s="9">
        <f>VLOOKUP(dynamic[productID],products[],IF(YEAR(dynamic[orderDate])=2022,8,IF(YEAR(dynamic[orderDate])=2023,9,IF(YEAR(dynamic[orderDate])=2024,10,NA))),FALSE)</f>
        <v>8.203054392</v>
      </c>
      <c r="M1985" s="9">
        <v>12.5</v>
      </c>
      <c r="N1985" s="25">
        <f>(dynamic[orderPrice]-dynamic[productCost])/dynamic[productCost]</f>
        <v>0.52382264</v>
      </c>
      <c r="O1985" s="10">
        <v>15.0</v>
      </c>
      <c r="P1985" s="25">
        <v>0.0</v>
      </c>
      <c r="Q1985" s="9">
        <f>dynamic[orderPrice]*dynamic[orderQuantity]</f>
        <v>187.5</v>
      </c>
      <c r="R1985" s="9">
        <f>dynamic[orderTotal]*(1-dynamic[discountApllied])</f>
        <v>187.5</v>
      </c>
      <c r="S1985" s="9">
        <f>dynamic[revenue]-(dynamic[productCost]*dynamic[orderQuantity])</f>
        <v>64.45418412</v>
      </c>
      <c r="T1985" s="25">
        <f>IFERROR(dynamic[profit]/dynamic[revenue], 0)</f>
        <v>0.3437556486</v>
      </c>
    </row>
    <row r="1986" ht="15.75" customHeight="1">
      <c r="A1986" s="6">
        <v>11016.0</v>
      </c>
      <c r="B1986" s="7" t="s">
        <v>70</v>
      </c>
      <c r="C1986" s="24" t="str">
        <f>VLOOKUP(dynamic[customerID],customers[],2,FALSE)</f>
        <v>Around the Horn</v>
      </c>
      <c r="D1986" s="24">
        <v>45392.0</v>
      </c>
      <c r="E1986" s="6">
        <f>IFERROR(__xludf.DUMMYFUNCTION("COUNTUNIQUEIFS($A$2:$A1986,$B$2:$B1986,B1986)"),13.0)</f>
        <v>13</v>
      </c>
      <c r="F1986" s="6">
        <f t="shared" si="1"/>
        <v>25</v>
      </c>
      <c r="G1986" s="6" t="str">
        <f>IF(MINIFS(dynamic[orderDate], dynamic[customerID], B1986) &gt;= DATE(2024,4,30)-120, 
     "New", 
     IF(MAXIFS(dynamic[orderCount], dynamic[customerID], B1986)&lt;=2, 
        IF((DATE(2024,4,30) - MAXIFS(dynamic[orderDate], dynamic[customerID], B1986)) &gt; 180, "Non-Returning", "Dormant"), 
        IF(AND(MAX(dynamic[sinceLastOrder]) &gt; 365, (DATE(2024,4,30) - MAXIFS(dynamic[orderDate], dynamic[customerID], B1986)) &gt; 180), 
           "Dormant", "Regular")))</f>
        <v>Regular</v>
      </c>
      <c r="H1986" s="6">
        <v>36.0</v>
      </c>
      <c r="I1986" s="9" t="str">
        <f>VLOOKUP(dynamic[productID],products[],2,FALSE)</f>
        <v>Inlagd Sill</v>
      </c>
      <c r="J1986" s="9" t="str">
        <f>VLOOKUP(dynamic[productID],products[],12,FALSE)</f>
        <v>Seafood</v>
      </c>
      <c r="K1986" s="7" t="str">
        <f>IF(VLOOKUP(dynamic[productID],products[],7,FALSE)=1,"Discontinued","Current")</f>
        <v>Current</v>
      </c>
      <c r="L1986" s="9">
        <f>VLOOKUP(dynamic[productID],products[],IF(YEAR(dynamic[orderDate])=2022,8,IF(YEAR(dynamic[orderDate])=2023,9,IF(YEAR(dynamic[orderDate])=2024,10,NA))),FALSE)</f>
        <v>11.68525366</v>
      </c>
      <c r="M1986" s="9">
        <v>19.0</v>
      </c>
      <c r="N1986" s="25">
        <f>(dynamic[orderPrice]-dynamic[productCost])/dynamic[productCost]</f>
        <v>0.6259809637</v>
      </c>
      <c r="O1986" s="10">
        <v>16.0</v>
      </c>
      <c r="P1986" s="25">
        <v>0.0</v>
      </c>
      <c r="Q1986" s="9">
        <f>dynamic[orderPrice]*dynamic[orderQuantity]</f>
        <v>304</v>
      </c>
      <c r="R1986" s="9">
        <f>dynamic[orderTotal]*(1-dynamic[discountApllied])</f>
        <v>304</v>
      </c>
      <c r="S1986" s="9">
        <f>dynamic[revenue]-(dynamic[productCost]*dynamic[orderQuantity])</f>
        <v>117.0359415</v>
      </c>
      <c r="T1986" s="25">
        <f>IFERROR(dynamic[profit]/dynamic[revenue], 0)</f>
        <v>0.3849866497</v>
      </c>
    </row>
    <row r="1987" ht="15.75" customHeight="1">
      <c r="A1987" s="6">
        <v>11017.0</v>
      </c>
      <c r="B1987" s="7" t="s">
        <v>24</v>
      </c>
      <c r="C1987" s="24" t="str">
        <f>VLOOKUP(dynamic[customerID],customers[],2,FALSE)</f>
        <v>Ernst Handel</v>
      </c>
      <c r="D1987" s="24">
        <v>45395.0</v>
      </c>
      <c r="E1987" s="6">
        <f>IFERROR(__xludf.DUMMYFUNCTION("COUNTUNIQUEIFS($A$2:$A1987,$B$2:$B1987,B1987)"),29.0)</f>
        <v>29</v>
      </c>
      <c r="F1987" s="6">
        <f t="shared" si="1"/>
        <v>5</v>
      </c>
      <c r="G1987" s="6" t="str">
        <f>IF(MINIFS(dynamic[orderDate], dynamic[customerID], B1987) &gt;= DATE(2024,4,30)-120, 
     "New", 
     IF(MAXIFS(dynamic[orderCount], dynamic[customerID], B1987)&lt;=2, 
        IF((DATE(2024,4,30) - MAXIFS(dynamic[orderDate], dynamic[customerID], B1987)) &gt; 180, "Non-Returning", "Dormant"), 
        IF(AND(MAX(dynamic[sinceLastOrder]) &gt; 365, (DATE(2024,4,30) - MAXIFS(dynamic[orderDate], dynamic[customerID], B1987)) &gt; 180), 
           "Dormant", "Regular")))</f>
        <v>Regular</v>
      </c>
      <c r="H1987" s="6">
        <v>3.0</v>
      </c>
      <c r="I1987" s="9" t="str">
        <f>VLOOKUP(dynamic[productID],products[],2,FALSE)</f>
        <v>Aniseed Syrup</v>
      </c>
      <c r="J1987" s="9" t="str">
        <f>VLOOKUP(dynamic[productID],products[],12,FALSE)</f>
        <v>Condiments</v>
      </c>
      <c r="K1987" s="7" t="str">
        <f>IF(VLOOKUP(dynamic[productID],products[],7,FALSE)=1,"Discontinued","Current")</f>
        <v>Current</v>
      </c>
      <c r="L1987" s="9">
        <f>VLOOKUP(dynamic[productID],products[],IF(YEAR(dynamic[orderDate])=2022,8,IF(YEAR(dynamic[orderDate])=2023,9,IF(YEAR(dynamic[orderDate])=2024,10,NA))),FALSE)</f>
        <v>7.205917693</v>
      </c>
      <c r="M1987" s="9">
        <v>10.0</v>
      </c>
      <c r="N1987" s="25">
        <f>(dynamic[orderPrice]-dynamic[productCost])/dynamic[productCost]</f>
        <v>0.3877482961</v>
      </c>
      <c r="O1987" s="10">
        <v>25.0</v>
      </c>
      <c r="P1987" s="25">
        <v>0.0</v>
      </c>
      <c r="Q1987" s="9">
        <f>dynamic[orderPrice]*dynamic[orderQuantity]</f>
        <v>250</v>
      </c>
      <c r="R1987" s="9">
        <f>dynamic[orderTotal]*(1-dynamic[discountApllied])</f>
        <v>250</v>
      </c>
      <c r="S1987" s="9">
        <f>dynamic[revenue]-(dynamic[productCost]*dynamic[orderQuantity])</f>
        <v>69.85205768</v>
      </c>
      <c r="T1987" s="25">
        <f>IFERROR(dynamic[profit]/dynamic[revenue], 0)</f>
        <v>0.2794082307</v>
      </c>
    </row>
    <row r="1988" ht="15.75" customHeight="1">
      <c r="A1988" s="6">
        <v>11017.0</v>
      </c>
      <c r="B1988" s="7" t="s">
        <v>24</v>
      </c>
      <c r="C1988" s="24" t="str">
        <f>VLOOKUP(dynamic[customerID],customers[],2,FALSE)</f>
        <v>Ernst Handel</v>
      </c>
      <c r="D1988" s="24">
        <v>45395.0</v>
      </c>
      <c r="E1988" s="6">
        <f>IFERROR(__xludf.DUMMYFUNCTION("COUNTUNIQUEIFS($A$2:$A1988,$B$2:$B1988,B1988)"),29.0)</f>
        <v>29</v>
      </c>
      <c r="F1988" s="6">
        <f t="shared" si="1"/>
        <v>5</v>
      </c>
      <c r="G1988" s="6" t="str">
        <f>IF(MINIFS(dynamic[orderDate], dynamic[customerID], B1988) &gt;= DATE(2024,4,30)-120, 
     "New", 
     IF(MAXIFS(dynamic[orderCount], dynamic[customerID], B1988)&lt;=2, 
        IF((DATE(2024,4,30) - MAXIFS(dynamic[orderDate], dynamic[customerID], B1988)) &gt; 180, "Non-Returning", "Dormant"), 
        IF(AND(MAX(dynamic[sinceLastOrder]) &gt; 365, (DATE(2024,4,30) - MAXIFS(dynamic[orderDate], dynamic[customerID], B1988)) &gt; 180), 
           "Dormant", "Regular")))</f>
        <v>Regular</v>
      </c>
      <c r="H1988" s="6">
        <v>59.0</v>
      </c>
      <c r="I1988" s="9" t="str">
        <f>VLOOKUP(dynamic[productID],products[],2,FALSE)</f>
        <v>Raclette Courdavault</v>
      </c>
      <c r="J1988" s="9" t="str">
        <f>VLOOKUP(dynamic[productID],products[],12,FALSE)</f>
        <v>Dairy Products</v>
      </c>
      <c r="K1988" s="7" t="str">
        <f>IF(VLOOKUP(dynamic[productID],products[],7,FALSE)=1,"Discontinued","Current")</f>
        <v>Current</v>
      </c>
      <c r="L1988" s="9">
        <f>VLOOKUP(dynamic[productID],products[],IF(YEAR(dynamic[orderDate])=2022,8,IF(YEAR(dynamic[orderDate])=2023,9,IF(YEAR(dynamic[orderDate])=2024,10,NA))),FALSE)</f>
        <v>36.74863711</v>
      </c>
      <c r="M1988" s="9">
        <v>55.0</v>
      </c>
      <c r="N1988" s="25">
        <f>(dynamic[orderPrice]-dynamic[productCost])/dynamic[productCost]</f>
        <v>0.4966541435</v>
      </c>
      <c r="O1988" s="10">
        <v>110.0</v>
      </c>
      <c r="P1988" s="25">
        <v>0.0</v>
      </c>
      <c r="Q1988" s="9">
        <f>dynamic[orderPrice]*dynamic[orderQuantity]</f>
        <v>6050</v>
      </c>
      <c r="R1988" s="9">
        <f>dynamic[orderTotal]*(1-dynamic[discountApllied])</f>
        <v>6050</v>
      </c>
      <c r="S1988" s="9">
        <f>dynamic[revenue]-(dynamic[productCost]*dynamic[orderQuantity])</f>
        <v>2007.649918</v>
      </c>
      <c r="T1988" s="25">
        <f>IFERROR(dynamic[profit]/dynamic[revenue], 0)</f>
        <v>0.3318429616</v>
      </c>
    </row>
    <row r="1989" ht="15.75" customHeight="1">
      <c r="A1989" s="6">
        <v>11017.0</v>
      </c>
      <c r="B1989" s="7" t="s">
        <v>24</v>
      </c>
      <c r="C1989" s="24" t="str">
        <f>VLOOKUP(dynamic[customerID],customers[],2,FALSE)</f>
        <v>Ernst Handel</v>
      </c>
      <c r="D1989" s="24">
        <v>45395.0</v>
      </c>
      <c r="E1989" s="6">
        <f>IFERROR(__xludf.DUMMYFUNCTION("COUNTUNIQUEIFS($A$2:$A1989,$B$2:$B1989,B1989)"),29.0)</f>
        <v>29</v>
      </c>
      <c r="F1989" s="6">
        <f t="shared" si="1"/>
        <v>5</v>
      </c>
      <c r="G1989" s="6" t="str">
        <f>IF(MINIFS(dynamic[orderDate], dynamic[customerID], B1989) &gt;= DATE(2024,4,30)-120, 
     "New", 
     IF(MAXIFS(dynamic[orderCount], dynamic[customerID], B1989)&lt;=2, 
        IF((DATE(2024,4,30) - MAXIFS(dynamic[orderDate], dynamic[customerID], B1989)) &gt; 180, "Non-Returning", "Dormant"), 
        IF(AND(MAX(dynamic[sinceLastOrder]) &gt; 365, (DATE(2024,4,30) - MAXIFS(dynamic[orderDate], dynamic[customerID], B1989)) &gt; 180), 
           "Dormant", "Regular")))</f>
        <v>Regular</v>
      </c>
      <c r="H1989" s="6">
        <v>70.0</v>
      </c>
      <c r="I1989" s="9" t="str">
        <f>VLOOKUP(dynamic[productID],products[],2,FALSE)</f>
        <v>Outback Lager</v>
      </c>
      <c r="J1989" s="9" t="str">
        <f>VLOOKUP(dynamic[productID],products[],12,FALSE)</f>
        <v>Beverages</v>
      </c>
      <c r="K1989" s="7" t="str">
        <f>IF(VLOOKUP(dynamic[productID],products[],7,FALSE)=1,"Discontinued","Current")</f>
        <v>Current</v>
      </c>
      <c r="L1989" s="9">
        <f>VLOOKUP(dynamic[productID],products[],IF(YEAR(dynamic[orderDate])=2022,8,IF(YEAR(dynamic[orderDate])=2023,9,IF(YEAR(dynamic[orderDate])=2024,10,NA))),FALSE)</f>
        <v>10.03280812</v>
      </c>
      <c r="M1989" s="9">
        <v>15.0</v>
      </c>
      <c r="N1989" s="25">
        <f>(dynamic[orderPrice]-dynamic[productCost])/dynamic[productCost]</f>
        <v>0.4950948747</v>
      </c>
      <c r="O1989" s="10">
        <v>30.0</v>
      </c>
      <c r="P1989" s="25">
        <v>0.0</v>
      </c>
      <c r="Q1989" s="9">
        <f>dynamic[orderPrice]*dynamic[orderQuantity]</f>
        <v>450</v>
      </c>
      <c r="R1989" s="9">
        <f>dynamic[orderTotal]*(1-dynamic[discountApllied])</f>
        <v>450</v>
      </c>
      <c r="S1989" s="9">
        <f>dynamic[revenue]-(dynamic[productCost]*dynamic[orderQuantity])</f>
        <v>149.0157564</v>
      </c>
      <c r="T1989" s="25">
        <f>IFERROR(dynamic[profit]/dynamic[revenue], 0)</f>
        <v>0.3311461253</v>
      </c>
    </row>
    <row r="1990" ht="15.75" customHeight="1">
      <c r="A1990" s="6">
        <v>11018.0</v>
      </c>
      <c r="B1990" s="7" t="s">
        <v>53</v>
      </c>
      <c r="C1990" s="24" t="str">
        <f>VLOOKUP(dynamic[customerID],customers[],2,FALSE)</f>
        <v>Lonesome Pine Restaurant</v>
      </c>
      <c r="D1990" s="24">
        <v>45395.0</v>
      </c>
      <c r="E1990" s="6">
        <f>IFERROR(__xludf.DUMMYFUNCTION("COUNTUNIQUEIFS($A$2:$A1990,$B$2:$B1990,B1990)"),8.0)</f>
        <v>8</v>
      </c>
      <c r="F1990" s="6">
        <f t="shared" si="1"/>
        <v>61</v>
      </c>
      <c r="G1990" s="6" t="str">
        <f>IF(MINIFS(dynamic[orderDate], dynamic[customerID], B1990) &gt;= DATE(2024,4,30)-120, 
     "New", 
     IF(MAXIFS(dynamic[orderCount], dynamic[customerID], B1990)&lt;=2, 
        IF((DATE(2024,4,30) - MAXIFS(dynamic[orderDate], dynamic[customerID], B1990)) &gt; 180, "Non-Returning", "Dormant"), 
        IF(AND(MAX(dynamic[sinceLastOrder]) &gt; 365, (DATE(2024,4,30) - MAXIFS(dynamic[orderDate], dynamic[customerID], B1990)) &gt; 180), 
           "Dormant", "Regular")))</f>
        <v>Regular</v>
      </c>
      <c r="H1990" s="6">
        <v>12.0</v>
      </c>
      <c r="I1990" s="9" t="str">
        <f>VLOOKUP(dynamic[productID],products[],2,FALSE)</f>
        <v>Queso Manchego La Pastora</v>
      </c>
      <c r="J1990" s="9" t="str">
        <f>VLOOKUP(dynamic[productID],products[],12,FALSE)</f>
        <v>Dairy Products</v>
      </c>
      <c r="K1990" s="7" t="str">
        <f>IF(VLOOKUP(dynamic[productID],products[],7,FALSE)=1,"Discontinued","Current")</f>
        <v>Current</v>
      </c>
      <c r="L1990" s="9">
        <f>VLOOKUP(dynamic[productID],products[],IF(YEAR(dynamic[orderDate])=2022,8,IF(YEAR(dynamic[orderDate])=2023,9,IF(YEAR(dynamic[orderDate])=2024,10,NA))),FALSE)</f>
        <v>25.02510955</v>
      </c>
      <c r="M1990" s="9">
        <v>38.0</v>
      </c>
      <c r="N1990" s="25">
        <f>(dynamic[orderPrice]-dynamic[productCost])/dynamic[productCost]</f>
        <v>0.518474871</v>
      </c>
      <c r="O1990" s="10">
        <v>20.0</v>
      </c>
      <c r="P1990" s="25">
        <v>0.0</v>
      </c>
      <c r="Q1990" s="9">
        <f>dynamic[orderPrice]*dynamic[orderQuantity]</f>
        <v>760</v>
      </c>
      <c r="R1990" s="9">
        <f>dynamic[orderTotal]*(1-dynamic[discountApllied])</f>
        <v>760</v>
      </c>
      <c r="S1990" s="9">
        <f>dynamic[revenue]-(dynamic[productCost]*dynamic[orderQuantity])</f>
        <v>259.4978089</v>
      </c>
      <c r="T1990" s="25">
        <f>IFERROR(dynamic[profit]/dynamic[revenue], 0)</f>
        <v>0.3414444854</v>
      </c>
    </row>
    <row r="1991" ht="15.75" customHeight="1">
      <c r="A1991" s="6">
        <v>11018.0</v>
      </c>
      <c r="B1991" s="7" t="s">
        <v>53</v>
      </c>
      <c r="C1991" s="24" t="str">
        <f>VLOOKUP(dynamic[customerID],customers[],2,FALSE)</f>
        <v>Lonesome Pine Restaurant</v>
      </c>
      <c r="D1991" s="24">
        <v>45395.0</v>
      </c>
      <c r="E1991" s="6">
        <f>IFERROR(__xludf.DUMMYFUNCTION("COUNTUNIQUEIFS($A$2:$A1991,$B$2:$B1991,B1991)"),8.0)</f>
        <v>8</v>
      </c>
      <c r="F1991" s="6">
        <f t="shared" si="1"/>
        <v>61</v>
      </c>
      <c r="G1991" s="6" t="str">
        <f>IF(MINIFS(dynamic[orderDate], dynamic[customerID], B1991) &gt;= DATE(2024,4,30)-120, 
     "New", 
     IF(MAXIFS(dynamic[orderCount], dynamic[customerID], B1991)&lt;=2, 
        IF((DATE(2024,4,30) - MAXIFS(dynamic[orderDate], dynamic[customerID], B1991)) &gt; 180, "Non-Returning", "Dormant"), 
        IF(AND(MAX(dynamic[sinceLastOrder]) &gt; 365, (DATE(2024,4,30) - MAXIFS(dynamic[orderDate], dynamic[customerID], B1991)) &gt; 180), 
           "Dormant", "Regular")))</f>
        <v>Regular</v>
      </c>
      <c r="H1991" s="6">
        <v>18.0</v>
      </c>
      <c r="I1991" s="9" t="str">
        <f>VLOOKUP(dynamic[productID],products[],2,FALSE)</f>
        <v>Carnarvon Tigers</v>
      </c>
      <c r="J1991" s="9" t="str">
        <f>VLOOKUP(dynamic[productID],products[],12,FALSE)</f>
        <v>Seafood</v>
      </c>
      <c r="K1991" s="7" t="str">
        <f>IF(VLOOKUP(dynamic[productID],products[],7,FALSE)=1,"Discontinued","Current")</f>
        <v>Current</v>
      </c>
      <c r="L1991" s="9">
        <f>VLOOKUP(dynamic[productID],products[],IF(YEAR(dynamic[orderDate])=2022,8,IF(YEAR(dynamic[orderDate])=2023,9,IF(YEAR(dynamic[orderDate])=2024,10,NA))),FALSE)</f>
        <v>41.27004985</v>
      </c>
      <c r="M1991" s="9">
        <v>62.5</v>
      </c>
      <c r="N1991" s="25">
        <f>(dynamic[orderPrice]-dynamic[productCost])/dynamic[productCost]</f>
        <v>0.5144154231</v>
      </c>
      <c r="O1991" s="10">
        <v>10.0</v>
      </c>
      <c r="P1991" s="25">
        <v>0.0</v>
      </c>
      <c r="Q1991" s="9">
        <f>dynamic[orderPrice]*dynamic[orderQuantity]</f>
        <v>625</v>
      </c>
      <c r="R1991" s="9">
        <f>dynamic[orderTotal]*(1-dynamic[discountApllied])</f>
        <v>625</v>
      </c>
      <c r="S1991" s="9">
        <f>dynamic[revenue]-(dynamic[productCost]*dynamic[orderQuantity])</f>
        <v>212.2995015</v>
      </c>
      <c r="T1991" s="25">
        <f>IFERROR(dynamic[profit]/dynamic[revenue], 0)</f>
        <v>0.3396792025</v>
      </c>
    </row>
    <row r="1992" ht="15.75" customHeight="1">
      <c r="A1992" s="6">
        <v>11018.0</v>
      </c>
      <c r="B1992" s="7" t="s">
        <v>53</v>
      </c>
      <c r="C1992" s="24" t="str">
        <f>VLOOKUP(dynamic[customerID],customers[],2,FALSE)</f>
        <v>Lonesome Pine Restaurant</v>
      </c>
      <c r="D1992" s="24">
        <v>45395.0</v>
      </c>
      <c r="E1992" s="6">
        <f>IFERROR(__xludf.DUMMYFUNCTION("COUNTUNIQUEIFS($A$2:$A1992,$B$2:$B1992,B1992)"),8.0)</f>
        <v>8</v>
      </c>
      <c r="F1992" s="6">
        <f t="shared" si="1"/>
        <v>61</v>
      </c>
      <c r="G1992" s="6" t="str">
        <f>IF(MINIFS(dynamic[orderDate], dynamic[customerID], B1992) &gt;= DATE(2024,4,30)-120, 
     "New", 
     IF(MAXIFS(dynamic[orderCount], dynamic[customerID], B1992)&lt;=2, 
        IF((DATE(2024,4,30) - MAXIFS(dynamic[orderDate], dynamic[customerID], B1992)) &gt; 180, "Non-Returning", "Dormant"), 
        IF(AND(MAX(dynamic[sinceLastOrder]) &gt; 365, (DATE(2024,4,30) - MAXIFS(dynamic[orderDate], dynamic[customerID], B1992)) &gt; 180), 
           "Dormant", "Regular")))</f>
        <v>Regular</v>
      </c>
      <c r="H1992" s="6">
        <v>56.0</v>
      </c>
      <c r="I1992" s="9" t="str">
        <f>VLOOKUP(dynamic[productID],products[],2,FALSE)</f>
        <v>Gnocchi di nonna Alice</v>
      </c>
      <c r="J1992" s="9" t="str">
        <f>VLOOKUP(dynamic[productID],products[],12,FALSE)</f>
        <v>Grains/Cereals</v>
      </c>
      <c r="K1992" s="7" t="str">
        <f>IF(VLOOKUP(dynamic[productID],products[],7,FALSE)=1,"Discontinued","Current")</f>
        <v>Current</v>
      </c>
      <c r="L1992" s="9">
        <f>VLOOKUP(dynamic[productID],products[],IF(YEAR(dynamic[orderDate])=2022,8,IF(YEAR(dynamic[orderDate])=2023,9,IF(YEAR(dynamic[orderDate])=2024,10,NA))),FALSE)</f>
        <v>27.53915851</v>
      </c>
      <c r="M1992" s="9">
        <v>38.0</v>
      </c>
      <c r="N1992" s="25">
        <f>(dynamic[orderPrice]-dynamic[productCost])/dynamic[productCost]</f>
        <v>0.3798533452</v>
      </c>
      <c r="O1992" s="10">
        <v>5.0</v>
      </c>
      <c r="P1992" s="25">
        <v>0.0</v>
      </c>
      <c r="Q1992" s="9">
        <f>dynamic[orderPrice]*dynamic[orderQuantity]</f>
        <v>190</v>
      </c>
      <c r="R1992" s="9">
        <f>dynamic[orderTotal]*(1-dynamic[discountApllied])</f>
        <v>190</v>
      </c>
      <c r="S1992" s="9">
        <f>dynamic[revenue]-(dynamic[productCost]*dynamic[orderQuantity])</f>
        <v>52.30420743</v>
      </c>
      <c r="T1992" s="25">
        <f>IFERROR(dynamic[profit]/dynamic[revenue], 0)</f>
        <v>0.2752853023</v>
      </c>
    </row>
    <row r="1993" ht="15.75" customHeight="1">
      <c r="A1993" s="6">
        <v>11019.0</v>
      </c>
      <c r="B1993" s="7" t="s">
        <v>88</v>
      </c>
      <c r="C1993" s="24" t="str">
        <f>VLOOKUP(dynamic[customerID],customers[],2,FALSE)</f>
        <v>Rancho grande</v>
      </c>
      <c r="D1993" s="24">
        <v>45395.0</v>
      </c>
      <c r="E1993" s="6">
        <f>IFERROR(__xludf.DUMMYFUNCTION("COUNTUNIQUEIFS($A$2:$A1993,$B$2:$B1993,B1993)"),5.0)</f>
        <v>5</v>
      </c>
      <c r="F1993" s="6">
        <f t="shared" si="1"/>
        <v>46</v>
      </c>
      <c r="G1993" s="6" t="str">
        <f>IF(MINIFS(dynamic[orderDate], dynamic[customerID], B1993) &gt;= DATE(2024,4,30)-120, 
     "New", 
     IF(MAXIFS(dynamic[orderCount], dynamic[customerID], B1993)&lt;=2, 
        IF((DATE(2024,4,30) - MAXIFS(dynamic[orderDate], dynamic[customerID], B1993)) &gt; 180, "Non-Returning", "Dormant"), 
        IF(AND(MAX(dynamic[sinceLastOrder]) &gt; 365, (DATE(2024,4,30) - MAXIFS(dynamic[orderDate], dynamic[customerID], B1993)) &gt; 180), 
           "Dormant", "Regular")))</f>
        <v>Regular</v>
      </c>
      <c r="H1993" s="6">
        <v>46.0</v>
      </c>
      <c r="I1993" s="9" t="str">
        <f>VLOOKUP(dynamic[productID],products[],2,FALSE)</f>
        <v>Spegesild</v>
      </c>
      <c r="J1993" s="9" t="str">
        <f>VLOOKUP(dynamic[productID],products[],12,FALSE)</f>
        <v>Seafood</v>
      </c>
      <c r="K1993" s="7" t="str">
        <f>IF(VLOOKUP(dynamic[productID],products[],7,FALSE)=1,"Discontinued","Current")</f>
        <v>Current</v>
      </c>
      <c r="L1993" s="9">
        <f>VLOOKUP(dynamic[productID],products[],IF(YEAR(dynamic[orderDate])=2022,8,IF(YEAR(dynamic[orderDate])=2023,9,IF(YEAR(dynamic[orderDate])=2024,10,NA))),FALSE)</f>
        <v>8.247981557</v>
      </c>
      <c r="M1993" s="9">
        <v>12.0</v>
      </c>
      <c r="N1993" s="25">
        <f>(dynamic[orderPrice]-dynamic[productCost])/dynamic[productCost]</f>
        <v>0.4549014105</v>
      </c>
      <c r="O1993" s="10">
        <v>3.0</v>
      </c>
      <c r="P1993" s="25">
        <v>0.0</v>
      </c>
      <c r="Q1993" s="9">
        <f>dynamic[orderPrice]*dynamic[orderQuantity]</f>
        <v>36</v>
      </c>
      <c r="R1993" s="9">
        <f>dynamic[orderTotal]*(1-dynamic[discountApllied])</f>
        <v>36</v>
      </c>
      <c r="S1993" s="9">
        <f>dynamic[revenue]-(dynamic[productCost]*dynamic[orderQuantity])</f>
        <v>11.25605533</v>
      </c>
      <c r="T1993" s="25">
        <f>IFERROR(dynamic[profit]/dynamic[revenue], 0)</f>
        <v>0.3126682036</v>
      </c>
    </row>
    <row r="1994" ht="15.75" customHeight="1">
      <c r="A1994" s="6">
        <v>11019.0</v>
      </c>
      <c r="B1994" s="7" t="s">
        <v>88</v>
      </c>
      <c r="C1994" s="24" t="str">
        <f>VLOOKUP(dynamic[customerID],customers[],2,FALSE)</f>
        <v>Rancho grande</v>
      </c>
      <c r="D1994" s="24">
        <v>45395.0</v>
      </c>
      <c r="E1994" s="6">
        <f>IFERROR(__xludf.DUMMYFUNCTION("COUNTUNIQUEIFS($A$2:$A1994,$B$2:$B1994,B1994)"),5.0)</f>
        <v>5</v>
      </c>
      <c r="F1994" s="6">
        <f t="shared" si="1"/>
        <v>46</v>
      </c>
      <c r="G1994" s="6" t="str">
        <f>IF(MINIFS(dynamic[orderDate], dynamic[customerID], B1994) &gt;= DATE(2024,4,30)-120, 
     "New", 
     IF(MAXIFS(dynamic[orderCount], dynamic[customerID], B1994)&lt;=2, 
        IF((DATE(2024,4,30) - MAXIFS(dynamic[orderDate], dynamic[customerID], B1994)) &gt; 180, "Non-Returning", "Dormant"), 
        IF(AND(MAX(dynamic[sinceLastOrder]) &gt; 365, (DATE(2024,4,30) - MAXIFS(dynamic[orderDate], dynamic[customerID], B1994)) &gt; 180), 
           "Dormant", "Regular")))</f>
        <v>Regular</v>
      </c>
      <c r="H1994" s="6">
        <v>49.0</v>
      </c>
      <c r="I1994" s="9" t="str">
        <f>VLOOKUP(dynamic[productID],products[],2,FALSE)</f>
        <v>Maxilaku</v>
      </c>
      <c r="J1994" s="9" t="str">
        <f>VLOOKUP(dynamic[productID],products[],12,FALSE)</f>
        <v>Confections</v>
      </c>
      <c r="K1994" s="7" t="str">
        <f>IF(VLOOKUP(dynamic[productID],products[],7,FALSE)=1,"Discontinued","Current")</f>
        <v>Current</v>
      </c>
      <c r="L1994" s="9">
        <f>VLOOKUP(dynamic[productID],products[],IF(YEAR(dynamic[orderDate])=2022,8,IF(YEAR(dynamic[orderDate])=2023,9,IF(YEAR(dynamic[orderDate])=2024,10,NA))),FALSE)</f>
        <v>15.07459899</v>
      </c>
      <c r="M1994" s="9">
        <v>20.0</v>
      </c>
      <c r="N1994" s="25">
        <f>(dynamic[orderPrice]-dynamic[productCost])/dynamic[productCost]</f>
        <v>0.3267351269</v>
      </c>
      <c r="O1994" s="10">
        <v>2.0</v>
      </c>
      <c r="P1994" s="25">
        <v>0.0</v>
      </c>
      <c r="Q1994" s="9">
        <f>dynamic[orderPrice]*dynamic[orderQuantity]</f>
        <v>40</v>
      </c>
      <c r="R1994" s="9">
        <f>dynamic[orderTotal]*(1-dynamic[discountApllied])</f>
        <v>40</v>
      </c>
      <c r="S1994" s="9">
        <f>dynamic[revenue]-(dynamic[productCost]*dynamic[orderQuantity])</f>
        <v>9.850802027</v>
      </c>
      <c r="T1994" s="25">
        <f>IFERROR(dynamic[profit]/dynamic[revenue], 0)</f>
        <v>0.2462700507</v>
      </c>
    </row>
    <row r="1995" ht="15.75" customHeight="1">
      <c r="A1995" s="6">
        <v>11020.0</v>
      </c>
      <c r="B1995" s="7" t="s">
        <v>26</v>
      </c>
      <c r="C1995" s="24" t="str">
        <f>VLOOKUP(dynamic[customerID],customers[],2,FALSE)</f>
        <v>Ottilies Käseladen</v>
      </c>
      <c r="D1995" s="24">
        <v>45396.0</v>
      </c>
      <c r="E1995" s="6">
        <f>IFERROR(__xludf.DUMMYFUNCTION("COUNTUNIQUEIFS($A$2:$A1995,$B$2:$B1995,B1995)"),10.0)</f>
        <v>10</v>
      </c>
      <c r="F1995" s="6">
        <f t="shared" si="1"/>
        <v>11</v>
      </c>
      <c r="G1995" s="6" t="str">
        <f>IF(MINIFS(dynamic[orderDate], dynamic[customerID], B1995) &gt;= DATE(2024,4,30)-120, 
     "New", 
     IF(MAXIFS(dynamic[orderCount], dynamic[customerID], B1995)&lt;=2, 
        IF((DATE(2024,4,30) - MAXIFS(dynamic[orderDate], dynamic[customerID], B1995)) &gt; 180, "Non-Returning", "Dormant"), 
        IF(AND(MAX(dynamic[sinceLastOrder]) &gt; 365, (DATE(2024,4,30) - MAXIFS(dynamic[orderDate], dynamic[customerID], B1995)) &gt; 180), 
           "Dormant", "Regular")))</f>
        <v>Regular</v>
      </c>
      <c r="H1995" s="6">
        <v>10.0</v>
      </c>
      <c r="I1995" s="9" t="str">
        <f>VLOOKUP(dynamic[productID],products[],2,FALSE)</f>
        <v>Ikura</v>
      </c>
      <c r="J1995" s="9" t="str">
        <f>VLOOKUP(dynamic[productID],products[],12,FALSE)</f>
        <v>Seafood</v>
      </c>
      <c r="K1995" s="7" t="str">
        <f>IF(VLOOKUP(dynamic[productID],products[],7,FALSE)=1,"Discontinued","Current")</f>
        <v>Current</v>
      </c>
      <c r="L1995" s="9">
        <f>VLOOKUP(dynamic[productID],products[],IF(YEAR(dynamic[orderDate])=2022,8,IF(YEAR(dynamic[orderDate])=2023,9,IF(YEAR(dynamic[orderDate])=2024,10,NA))),FALSE)</f>
        <v>20.90394627</v>
      </c>
      <c r="M1995" s="9">
        <v>31.0</v>
      </c>
      <c r="N1995" s="25">
        <f>(dynamic[orderPrice]-dynamic[productCost])/dynamic[productCost]</f>
        <v>0.4829735786</v>
      </c>
      <c r="O1995" s="10">
        <v>24.0</v>
      </c>
      <c r="P1995" s="25">
        <v>0.15</v>
      </c>
      <c r="Q1995" s="9">
        <f>dynamic[orderPrice]*dynamic[orderQuantity]</f>
        <v>744</v>
      </c>
      <c r="R1995" s="9">
        <f>dynamic[orderTotal]*(1-dynamic[discountApllied])</f>
        <v>632.4</v>
      </c>
      <c r="S1995" s="9">
        <f>dynamic[revenue]-(dynamic[productCost]*dynamic[orderQuantity])</f>
        <v>130.7052896</v>
      </c>
      <c r="T1995" s="25">
        <f>IFERROR(dynamic[profit]/dynamic[revenue], 0)</f>
        <v>0.2066813561</v>
      </c>
    </row>
    <row r="1996" ht="15.75" customHeight="1">
      <c r="A1996" s="6">
        <v>11021.0</v>
      </c>
      <c r="B1996" s="7" t="s">
        <v>36</v>
      </c>
      <c r="C1996" s="24" t="str">
        <f>VLOOKUP(dynamic[customerID],customers[],2,FALSE)</f>
        <v>QUICK-Stop</v>
      </c>
      <c r="D1996" s="24">
        <v>45396.0</v>
      </c>
      <c r="E1996" s="6">
        <f>IFERROR(__xludf.DUMMYFUNCTION("COUNTUNIQUEIFS($A$2:$A1996,$B$2:$B1996,B1996)"),28.0)</f>
        <v>28</v>
      </c>
      <c r="F1996" s="6">
        <f t="shared" si="1"/>
        <v>12</v>
      </c>
      <c r="G1996" s="6" t="str">
        <f>IF(MINIFS(dynamic[orderDate], dynamic[customerID], B1996) &gt;= DATE(2024,4,30)-120, 
     "New", 
     IF(MAXIFS(dynamic[orderCount], dynamic[customerID], B1996)&lt;=2, 
        IF((DATE(2024,4,30) - MAXIFS(dynamic[orderDate], dynamic[customerID], B1996)) &gt; 180, "Non-Returning", "Dormant"), 
        IF(AND(MAX(dynamic[sinceLastOrder]) &gt; 365, (DATE(2024,4,30) - MAXIFS(dynamic[orderDate], dynamic[customerID], B1996)) &gt; 180), 
           "Dormant", "Regular")))</f>
        <v>Regular</v>
      </c>
      <c r="H1996" s="6">
        <v>2.0</v>
      </c>
      <c r="I1996" s="9" t="str">
        <f>VLOOKUP(dynamic[productID],products[],2,FALSE)</f>
        <v>Chang</v>
      </c>
      <c r="J1996" s="9" t="str">
        <f>VLOOKUP(dynamic[productID],products[],12,FALSE)</f>
        <v>Beverages</v>
      </c>
      <c r="K1996" s="7" t="str">
        <f>IF(VLOOKUP(dynamic[productID],products[],7,FALSE)=1,"Discontinued","Current")</f>
        <v>Current</v>
      </c>
      <c r="L1996" s="9">
        <f>VLOOKUP(dynamic[productID],products[],IF(YEAR(dynamic[orderDate])=2022,8,IF(YEAR(dynamic[orderDate])=2023,9,IF(YEAR(dynamic[orderDate])=2024,10,NA))),FALSE)</f>
        <v>11.93843713</v>
      </c>
      <c r="M1996" s="9">
        <v>19.0</v>
      </c>
      <c r="N1996" s="25">
        <f>(dynamic[orderPrice]-dynamic[productCost])/dynamic[productCost]</f>
        <v>0.591498099</v>
      </c>
      <c r="O1996" s="10">
        <v>11.0</v>
      </c>
      <c r="P1996" s="25">
        <v>0.25</v>
      </c>
      <c r="Q1996" s="9">
        <f>dynamic[orderPrice]*dynamic[orderQuantity]</f>
        <v>209</v>
      </c>
      <c r="R1996" s="9">
        <f>dynamic[orderTotal]*(1-dynamic[discountApllied])</f>
        <v>156.75</v>
      </c>
      <c r="S1996" s="9">
        <f>dynamic[revenue]-(dynamic[productCost]*dynamic[orderQuantity])</f>
        <v>25.42719155</v>
      </c>
      <c r="T1996" s="25">
        <f>IFERROR(dynamic[profit]/dynamic[revenue], 0)</f>
        <v>0.1622149381</v>
      </c>
    </row>
    <row r="1997" ht="15.75" customHeight="1">
      <c r="A1997" s="6">
        <v>11021.0</v>
      </c>
      <c r="B1997" s="7" t="s">
        <v>36</v>
      </c>
      <c r="C1997" s="24" t="str">
        <f>VLOOKUP(dynamic[customerID],customers[],2,FALSE)</f>
        <v>QUICK-Stop</v>
      </c>
      <c r="D1997" s="24">
        <v>45396.0</v>
      </c>
      <c r="E1997" s="6">
        <f>IFERROR(__xludf.DUMMYFUNCTION("COUNTUNIQUEIFS($A$2:$A1997,$B$2:$B1997,B1997)"),28.0)</f>
        <v>28</v>
      </c>
      <c r="F1997" s="6">
        <f t="shared" si="1"/>
        <v>12</v>
      </c>
      <c r="G1997" s="6" t="str">
        <f>IF(MINIFS(dynamic[orderDate], dynamic[customerID], B1997) &gt;= DATE(2024,4,30)-120, 
     "New", 
     IF(MAXIFS(dynamic[orderCount], dynamic[customerID], B1997)&lt;=2, 
        IF((DATE(2024,4,30) - MAXIFS(dynamic[orderDate], dynamic[customerID], B1997)) &gt; 180, "Non-Returning", "Dormant"), 
        IF(AND(MAX(dynamic[sinceLastOrder]) &gt; 365, (DATE(2024,4,30) - MAXIFS(dynamic[orderDate], dynamic[customerID], B1997)) &gt; 180), 
           "Dormant", "Regular")))</f>
        <v>Regular</v>
      </c>
      <c r="H1997" s="6">
        <v>20.0</v>
      </c>
      <c r="I1997" s="9" t="str">
        <f>VLOOKUP(dynamic[productID],products[],2,FALSE)</f>
        <v>Sir Rodney's Marmalade</v>
      </c>
      <c r="J1997" s="9" t="str">
        <f>VLOOKUP(dynamic[productID],products[],12,FALSE)</f>
        <v>Confections</v>
      </c>
      <c r="K1997" s="7" t="str">
        <f>IF(VLOOKUP(dynamic[productID],products[],7,FALSE)=1,"Discontinued","Current")</f>
        <v>Current</v>
      </c>
      <c r="L1997" s="9">
        <f>VLOOKUP(dynamic[productID],products[],IF(YEAR(dynamic[orderDate])=2022,8,IF(YEAR(dynamic[orderDate])=2023,9,IF(YEAR(dynamic[orderDate])=2024,10,NA))),FALSE)</f>
        <v>62.82537598</v>
      </c>
      <c r="M1997" s="9">
        <v>81.0</v>
      </c>
      <c r="N1997" s="25">
        <f>(dynamic[orderPrice]-dynamic[productCost])/dynamic[productCost]</f>
        <v>0.2892879468</v>
      </c>
      <c r="O1997" s="10">
        <v>15.0</v>
      </c>
      <c r="P1997" s="25">
        <v>0.0</v>
      </c>
      <c r="Q1997" s="9">
        <f>dynamic[orderPrice]*dynamic[orderQuantity]</f>
        <v>1215</v>
      </c>
      <c r="R1997" s="9">
        <f>dynamic[orderTotal]*(1-dynamic[discountApllied])</f>
        <v>1215</v>
      </c>
      <c r="S1997" s="9">
        <f>dynamic[revenue]-(dynamic[productCost]*dynamic[orderQuantity])</f>
        <v>272.6193604</v>
      </c>
      <c r="T1997" s="25">
        <f>IFERROR(dynamic[profit]/dynamic[revenue], 0)</f>
        <v>0.2243780744</v>
      </c>
    </row>
    <row r="1998" ht="15.75" customHeight="1">
      <c r="A1998" s="6">
        <v>11021.0</v>
      </c>
      <c r="B1998" s="7" t="s">
        <v>36</v>
      </c>
      <c r="C1998" s="24" t="str">
        <f>VLOOKUP(dynamic[customerID],customers[],2,FALSE)</f>
        <v>QUICK-Stop</v>
      </c>
      <c r="D1998" s="24">
        <v>45396.0</v>
      </c>
      <c r="E1998" s="6">
        <f>IFERROR(__xludf.DUMMYFUNCTION("COUNTUNIQUEIFS($A$2:$A1998,$B$2:$B1998,B1998)"),28.0)</f>
        <v>28</v>
      </c>
      <c r="F1998" s="6">
        <f t="shared" si="1"/>
        <v>12</v>
      </c>
      <c r="G1998" s="6" t="str">
        <f>IF(MINIFS(dynamic[orderDate], dynamic[customerID], B1998) &gt;= DATE(2024,4,30)-120, 
     "New", 
     IF(MAXIFS(dynamic[orderCount], dynamic[customerID], B1998)&lt;=2, 
        IF((DATE(2024,4,30) - MAXIFS(dynamic[orderDate], dynamic[customerID], B1998)) &gt; 180, "Non-Returning", "Dormant"), 
        IF(AND(MAX(dynamic[sinceLastOrder]) &gt; 365, (DATE(2024,4,30) - MAXIFS(dynamic[orderDate], dynamic[customerID], B1998)) &gt; 180), 
           "Dormant", "Regular")))</f>
        <v>Regular</v>
      </c>
      <c r="H1998" s="6">
        <v>26.0</v>
      </c>
      <c r="I1998" s="9" t="str">
        <f>VLOOKUP(dynamic[productID],products[],2,FALSE)</f>
        <v>NuNuCa Nuß-Nougat-Creme</v>
      </c>
      <c r="J1998" s="9" t="str">
        <f>VLOOKUP(dynamic[productID],products[],12,FALSE)</f>
        <v>Confections</v>
      </c>
      <c r="K1998" s="7" t="str">
        <f>IF(VLOOKUP(dynamic[productID],products[],7,FALSE)=1,"Discontinued","Current")</f>
        <v>Current</v>
      </c>
      <c r="L1998" s="9">
        <f>VLOOKUP(dynamic[productID],products[],IF(YEAR(dynamic[orderDate])=2022,8,IF(YEAR(dynamic[orderDate])=2023,9,IF(YEAR(dynamic[orderDate])=2024,10,NA))),FALSE)</f>
        <v>22.79977195</v>
      </c>
      <c r="M1998" s="9">
        <v>31.23</v>
      </c>
      <c r="N1998" s="25">
        <f>(dynamic[orderPrice]-dynamic[productCost])/dynamic[productCost]</f>
        <v>0.3697505427</v>
      </c>
      <c r="O1998" s="10">
        <v>63.0</v>
      </c>
      <c r="P1998" s="25">
        <v>0.0</v>
      </c>
      <c r="Q1998" s="9">
        <f>dynamic[orderPrice]*dynamic[orderQuantity]</f>
        <v>1967.49</v>
      </c>
      <c r="R1998" s="9">
        <f>dynamic[orderTotal]*(1-dynamic[discountApllied])</f>
        <v>1967.49</v>
      </c>
      <c r="S1998" s="9">
        <f>dynamic[revenue]-(dynamic[productCost]*dynamic[orderQuantity])</f>
        <v>531.1043673</v>
      </c>
      <c r="T1998" s="25">
        <f>IFERROR(dynamic[profit]/dynamic[revenue], 0)</f>
        <v>0.2699400593</v>
      </c>
    </row>
    <row r="1999" ht="15.75" customHeight="1">
      <c r="A1999" s="6">
        <v>11021.0</v>
      </c>
      <c r="B1999" s="7" t="s">
        <v>36</v>
      </c>
      <c r="C1999" s="24" t="str">
        <f>VLOOKUP(dynamic[customerID],customers[],2,FALSE)</f>
        <v>QUICK-Stop</v>
      </c>
      <c r="D1999" s="24">
        <v>45396.0</v>
      </c>
      <c r="E1999" s="6">
        <f>IFERROR(__xludf.DUMMYFUNCTION("COUNTUNIQUEIFS($A$2:$A1999,$B$2:$B1999,B1999)"),28.0)</f>
        <v>28</v>
      </c>
      <c r="F1999" s="6">
        <f t="shared" si="1"/>
        <v>12</v>
      </c>
      <c r="G1999" s="6" t="str">
        <f>IF(MINIFS(dynamic[orderDate], dynamic[customerID], B1999) &gt;= DATE(2024,4,30)-120, 
     "New", 
     IF(MAXIFS(dynamic[orderCount], dynamic[customerID], B1999)&lt;=2, 
        IF((DATE(2024,4,30) - MAXIFS(dynamic[orderDate], dynamic[customerID], B1999)) &gt; 180, "Non-Returning", "Dormant"), 
        IF(AND(MAX(dynamic[sinceLastOrder]) &gt; 365, (DATE(2024,4,30) - MAXIFS(dynamic[orderDate], dynamic[customerID], B1999)) &gt; 180), 
           "Dormant", "Regular")))</f>
        <v>Regular</v>
      </c>
      <c r="H1999" s="6">
        <v>51.0</v>
      </c>
      <c r="I1999" s="9" t="str">
        <f>VLOOKUP(dynamic[productID],products[],2,FALSE)</f>
        <v>Manjimup Dried Apples</v>
      </c>
      <c r="J1999" s="9" t="str">
        <f>VLOOKUP(dynamic[productID],products[],12,FALSE)</f>
        <v>Produce</v>
      </c>
      <c r="K1999" s="7" t="str">
        <f>IF(VLOOKUP(dynamic[productID],products[],7,FALSE)=1,"Discontinued","Current")</f>
        <v>Current</v>
      </c>
      <c r="L1999" s="9">
        <f>VLOOKUP(dynamic[productID],products[],IF(YEAR(dynamic[orderDate])=2022,8,IF(YEAR(dynamic[orderDate])=2023,9,IF(YEAR(dynamic[orderDate])=2024,10,NA))),FALSE)</f>
        <v>39.51416462</v>
      </c>
      <c r="M1999" s="9">
        <v>53.0</v>
      </c>
      <c r="N1999" s="25">
        <f>(dynamic[orderPrice]-dynamic[productCost])/dynamic[productCost]</f>
        <v>0.3412911677</v>
      </c>
      <c r="O1999" s="10">
        <v>44.0</v>
      </c>
      <c r="P1999" s="25">
        <v>0.25</v>
      </c>
      <c r="Q1999" s="9">
        <f>dynamic[orderPrice]*dynamic[orderQuantity]</f>
        <v>2332</v>
      </c>
      <c r="R1999" s="9">
        <f>dynamic[orderTotal]*(1-dynamic[discountApllied])</f>
        <v>1749</v>
      </c>
      <c r="S1999" s="9">
        <f>dynamic[revenue]-(dynamic[productCost]*dynamic[orderQuantity])</f>
        <v>10.37675679</v>
      </c>
      <c r="T1999" s="25">
        <f>IFERROR(dynamic[profit]/dynamic[revenue], 0)</f>
        <v>0.005932965575</v>
      </c>
    </row>
    <row r="2000" ht="15.75" customHeight="1">
      <c r="A2000" s="6">
        <v>11021.0</v>
      </c>
      <c r="B2000" s="7" t="s">
        <v>36</v>
      </c>
      <c r="C2000" s="24" t="str">
        <f>VLOOKUP(dynamic[customerID],customers[],2,FALSE)</f>
        <v>QUICK-Stop</v>
      </c>
      <c r="D2000" s="24">
        <v>45396.0</v>
      </c>
      <c r="E2000" s="6">
        <f>IFERROR(__xludf.DUMMYFUNCTION("COUNTUNIQUEIFS($A$2:$A2000,$B$2:$B2000,B2000)"),28.0)</f>
        <v>28</v>
      </c>
      <c r="F2000" s="6">
        <f t="shared" si="1"/>
        <v>12</v>
      </c>
      <c r="G2000" s="6" t="str">
        <f>IF(MINIFS(dynamic[orderDate], dynamic[customerID], B2000) &gt;= DATE(2024,4,30)-120, 
     "New", 
     IF(MAXIFS(dynamic[orderCount], dynamic[customerID], B2000)&lt;=2, 
        IF((DATE(2024,4,30) - MAXIFS(dynamic[orderDate], dynamic[customerID], B2000)) &gt; 180, "Non-Returning", "Dormant"), 
        IF(AND(MAX(dynamic[sinceLastOrder]) &gt; 365, (DATE(2024,4,30) - MAXIFS(dynamic[orderDate], dynamic[customerID], B2000)) &gt; 180), 
           "Dormant", "Regular")))</f>
        <v>Regular</v>
      </c>
      <c r="H2000" s="6">
        <v>72.0</v>
      </c>
      <c r="I2000" s="9" t="str">
        <f>VLOOKUP(dynamic[productID],products[],2,FALSE)</f>
        <v>Mozzarella di Giovanni</v>
      </c>
      <c r="J2000" s="9" t="str">
        <f>VLOOKUP(dynamic[productID],products[],12,FALSE)</f>
        <v>Dairy Products</v>
      </c>
      <c r="K2000" s="7" t="str">
        <f>IF(VLOOKUP(dynamic[productID],products[],7,FALSE)=1,"Discontinued","Current")</f>
        <v>Current</v>
      </c>
      <c r="L2000" s="9">
        <f>VLOOKUP(dynamic[productID],products[],IF(YEAR(dynamic[orderDate])=2022,8,IF(YEAR(dynamic[orderDate])=2023,9,IF(YEAR(dynamic[orderDate])=2024,10,NA))),FALSE)</f>
        <v>24.35057898</v>
      </c>
      <c r="M2000" s="9">
        <v>34.8</v>
      </c>
      <c r="N2000" s="25">
        <f>(dynamic[orderPrice]-dynamic[productCost])/dynamic[productCost]</f>
        <v>0.4291241297</v>
      </c>
      <c r="O2000" s="10">
        <v>35.0</v>
      </c>
      <c r="P2000" s="25">
        <v>0.0</v>
      </c>
      <c r="Q2000" s="9">
        <f>dynamic[orderPrice]*dynamic[orderQuantity]</f>
        <v>1218</v>
      </c>
      <c r="R2000" s="9">
        <f>dynamic[orderTotal]*(1-dynamic[discountApllied])</f>
        <v>1218</v>
      </c>
      <c r="S2000" s="9">
        <f>dynamic[revenue]-(dynamic[productCost]*dynamic[orderQuantity])</f>
        <v>365.7297355</v>
      </c>
      <c r="T2000" s="25">
        <f>IFERROR(dynamic[profit]/dynamic[revenue], 0)</f>
        <v>0.3002707188</v>
      </c>
    </row>
    <row r="2001" ht="15.75" customHeight="1">
      <c r="A2001" s="6">
        <v>11022.0</v>
      </c>
      <c r="B2001" s="7" t="s">
        <v>16</v>
      </c>
      <c r="C2001" s="24" t="str">
        <f>VLOOKUP(dynamic[customerID],customers[],2,FALSE)</f>
        <v>Hanari Carnes</v>
      </c>
      <c r="D2001" s="24">
        <v>45396.0</v>
      </c>
      <c r="E2001" s="6">
        <f>IFERROR(__xludf.DUMMYFUNCTION("COUNTUNIQUEIFS($A$2:$A2001,$B$2:$B2001,B2001)"),13.0)</f>
        <v>13</v>
      </c>
      <c r="F2001" s="6">
        <f t="shared" si="1"/>
        <v>18</v>
      </c>
      <c r="G2001" s="6" t="str">
        <f>IF(MINIFS(dynamic[orderDate], dynamic[customerID], B2001) &gt;= DATE(2024,4,30)-120, 
     "New", 
     IF(MAXIFS(dynamic[orderCount], dynamic[customerID], B2001)&lt;=2, 
        IF((DATE(2024,4,30) - MAXIFS(dynamic[orderDate], dynamic[customerID], B2001)) &gt; 180, "Non-Returning", "Dormant"), 
        IF(AND(MAX(dynamic[sinceLastOrder]) &gt; 365, (DATE(2024,4,30) - MAXIFS(dynamic[orderDate], dynamic[customerID], B2001)) &gt; 180), 
           "Dormant", "Regular")))</f>
        <v>Regular</v>
      </c>
      <c r="H2001" s="6">
        <v>19.0</v>
      </c>
      <c r="I2001" s="9" t="str">
        <f>VLOOKUP(dynamic[productID],products[],2,FALSE)</f>
        <v>Teatime Chocolate Biscuits</v>
      </c>
      <c r="J2001" s="9" t="str">
        <f>VLOOKUP(dynamic[productID],products[],12,FALSE)</f>
        <v>Confections</v>
      </c>
      <c r="K2001" s="7" t="str">
        <f>IF(VLOOKUP(dynamic[productID],products[],7,FALSE)=1,"Discontinued","Current")</f>
        <v>Current</v>
      </c>
      <c r="L2001" s="9">
        <f>VLOOKUP(dynamic[productID],products[],IF(YEAR(dynamic[orderDate])=2022,8,IF(YEAR(dynamic[orderDate])=2023,9,IF(YEAR(dynamic[orderDate])=2024,10,NA))),FALSE)</f>
        <v>6.769656984</v>
      </c>
      <c r="M2001" s="9">
        <v>9.2</v>
      </c>
      <c r="N2001" s="25">
        <f>(dynamic[orderPrice]-dynamic[productCost])/dynamic[productCost]</f>
        <v>0.3590053413</v>
      </c>
      <c r="O2001" s="10">
        <v>35.0</v>
      </c>
      <c r="P2001" s="25">
        <v>0.0</v>
      </c>
      <c r="Q2001" s="9">
        <f>dynamic[orderPrice]*dynamic[orderQuantity]</f>
        <v>322</v>
      </c>
      <c r="R2001" s="9">
        <f>dynamic[orderTotal]*(1-dynamic[discountApllied])</f>
        <v>322</v>
      </c>
      <c r="S2001" s="9">
        <f>dynamic[revenue]-(dynamic[productCost]*dynamic[orderQuantity])</f>
        <v>85.06200556</v>
      </c>
      <c r="T2001" s="25">
        <f>IFERROR(dynamic[profit]/dynamic[revenue], 0)</f>
        <v>0.2641677191</v>
      </c>
    </row>
    <row r="2002" ht="15.75" customHeight="1">
      <c r="A2002" s="6">
        <v>11022.0</v>
      </c>
      <c r="B2002" s="7" t="s">
        <v>16</v>
      </c>
      <c r="C2002" s="24" t="str">
        <f>VLOOKUP(dynamic[customerID],customers[],2,FALSE)</f>
        <v>Hanari Carnes</v>
      </c>
      <c r="D2002" s="24">
        <v>45396.0</v>
      </c>
      <c r="E2002" s="6">
        <f>IFERROR(__xludf.DUMMYFUNCTION("COUNTUNIQUEIFS($A$2:$A2002,$B$2:$B2002,B2002)"),13.0)</f>
        <v>13</v>
      </c>
      <c r="F2002" s="6">
        <f t="shared" si="1"/>
        <v>18</v>
      </c>
      <c r="G2002" s="6" t="str">
        <f>IF(MINIFS(dynamic[orderDate], dynamic[customerID], B2002) &gt;= DATE(2024,4,30)-120, 
     "New", 
     IF(MAXIFS(dynamic[orderCount], dynamic[customerID], B2002)&lt;=2, 
        IF((DATE(2024,4,30) - MAXIFS(dynamic[orderDate], dynamic[customerID], B2002)) &gt; 180, "Non-Returning", "Dormant"), 
        IF(AND(MAX(dynamic[sinceLastOrder]) &gt; 365, (DATE(2024,4,30) - MAXIFS(dynamic[orderDate], dynamic[customerID], B2002)) &gt; 180), 
           "Dormant", "Regular")))</f>
        <v>Regular</v>
      </c>
      <c r="H2002" s="6">
        <v>69.0</v>
      </c>
      <c r="I2002" s="9" t="str">
        <f>VLOOKUP(dynamic[productID],products[],2,FALSE)</f>
        <v>Gudbrandsdalsost</v>
      </c>
      <c r="J2002" s="9" t="str">
        <f>VLOOKUP(dynamic[productID],products[],12,FALSE)</f>
        <v>Dairy Products</v>
      </c>
      <c r="K2002" s="7" t="str">
        <f>IF(VLOOKUP(dynamic[productID],products[],7,FALSE)=1,"Discontinued","Current")</f>
        <v>Current</v>
      </c>
      <c r="L2002" s="9">
        <f>VLOOKUP(dynamic[productID],products[],IF(YEAR(dynamic[orderDate])=2022,8,IF(YEAR(dynamic[orderDate])=2023,9,IF(YEAR(dynamic[orderDate])=2024,10,NA))),FALSE)</f>
        <v>24.68292146</v>
      </c>
      <c r="M2002" s="9">
        <v>36.0</v>
      </c>
      <c r="N2002" s="25">
        <f>(dynamic[orderPrice]-dynamic[productCost])/dynamic[productCost]</f>
        <v>0.4584983412</v>
      </c>
      <c r="O2002" s="10">
        <v>30.0</v>
      </c>
      <c r="P2002" s="25">
        <v>0.0</v>
      </c>
      <c r="Q2002" s="9">
        <f>dynamic[orderPrice]*dynamic[orderQuantity]</f>
        <v>1080</v>
      </c>
      <c r="R2002" s="9">
        <f>dynamic[orderTotal]*(1-dynamic[discountApllied])</f>
        <v>1080</v>
      </c>
      <c r="S2002" s="9">
        <f>dynamic[revenue]-(dynamic[productCost]*dynamic[orderQuantity])</f>
        <v>339.5123563</v>
      </c>
      <c r="T2002" s="25">
        <f>IFERROR(dynamic[profit]/dynamic[revenue], 0)</f>
        <v>0.3143632929</v>
      </c>
    </row>
    <row r="2003" ht="15.75" customHeight="1">
      <c r="A2003" s="6">
        <v>11023.0</v>
      </c>
      <c r="B2003" s="7" t="s">
        <v>46</v>
      </c>
      <c r="C2003" s="24" t="str">
        <f>VLOOKUP(dynamic[customerID],customers[],2,FALSE)</f>
        <v>B's Beverages</v>
      </c>
      <c r="D2003" s="24">
        <v>45396.0</v>
      </c>
      <c r="E2003" s="6">
        <f>IFERROR(__xludf.DUMMYFUNCTION("COUNTUNIQUEIFS($A$2:$A2003,$B$2:$B2003,B2003)"),10.0)</f>
        <v>10</v>
      </c>
      <c r="F2003" s="6">
        <f t="shared" si="1"/>
        <v>32</v>
      </c>
      <c r="G2003" s="6" t="str">
        <f>IF(MINIFS(dynamic[orderDate], dynamic[customerID], B2003) &gt;= DATE(2024,4,30)-120, 
     "New", 
     IF(MAXIFS(dynamic[orderCount], dynamic[customerID], B2003)&lt;=2, 
        IF((DATE(2024,4,30) - MAXIFS(dynamic[orderDate], dynamic[customerID], B2003)) &gt; 180, "Non-Returning", "Dormant"), 
        IF(AND(MAX(dynamic[sinceLastOrder]) &gt; 365, (DATE(2024,4,30) - MAXIFS(dynamic[orderDate], dynamic[customerID], B2003)) &gt; 180), 
           "Dormant", "Regular")))</f>
        <v>Regular</v>
      </c>
      <c r="H2003" s="6">
        <v>7.0</v>
      </c>
      <c r="I2003" s="9" t="str">
        <f>VLOOKUP(dynamic[productID],products[],2,FALSE)</f>
        <v>Uncle Bob's Organic Dried Pears</v>
      </c>
      <c r="J2003" s="9" t="str">
        <f>VLOOKUP(dynamic[productID],products[],12,FALSE)</f>
        <v>Produce</v>
      </c>
      <c r="K2003" s="7" t="str">
        <f>IF(VLOOKUP(dynamic[productID],products[],7,FALSE)=1,"Discontinued","Current")</f>
        <v>Current</v>
      </c>
      <c r="L2003" s="9">
        <f>VLOOKUP(dynamic[productID],products[],IF(YEAR(dynamic[orderDate])=2022,8,IF(YEAR(dynamic[orderDate])=2023,9,IF(YEAR(dynamic[orderDate])=2024,10,NA))),FALSE)</f>
        <v>23.52222246</v>
      </c>
      <c r="M2003" s="9">
        <v>30.0</v>
      </c>
      <c r="N2003" s="25">
        <f>(dynamic[orderPrice]-dynamic[productCost])/dynamic[productCost]</f>
        <v>0.2753896894</v>
      </c>
      <c r="O2003" s="10">
        <v>4.0</v>
      </c>
      <c r="P2003" s="25">
        <v>0.0</v>
      </c>
      <c r="Q2003" s="9">
        <f>dynamic[orderPrice]*dynamic[orderQuantity]</f>
        <v>120</v>
      </c>
      <c r="R2003" s="9">
        <f>dynamic[orderTotal]*(1-dynamic[discountApllied])</f>
        <v>120</v>
      </c>
      <c r="S2003" s="9">
        <f>dynamic[revenue]-(dynamic[productCost]*dynamic[orderQuantity])</f>
        <v>25.91111015</v>
      </c>
      <c r="T2003" s="25">
        <f>IFERROR(dynamic[profit]/dynamic[revenue], 0)</f>
        <v>0.2159259179</v>
      </c>
    </row>
    <row r="2004" ht="15.75" customHeight="1">
      <c r="A2004" s="6">
        <v>11023.0</v>
      </c>
      <c r="B2004" s="7" t="s">
        <v>46</v>
      </c>
      <c r="C2004" s="24" t="str">
        <f>VLOOKUP(dynamic[customerID],customers[],2,FALSE)</f>
        <v>B's Beverages</v>
      </c>
      <c r="D2004" s="24">
        <v>45396.0</v>
      </c>
      <c r="E2004" s="6">
        <f>IFERROR(__xludf.DUMMYFUNCTION("COUNTUNIQUEIFS($A$2:$A2004,$B$2:$B2004,B2004)"),10.0)</f>
        <v>10</v>
      </c>
      <c r="F2004" s="6">
        <f t="shared" si="1"/>
        <v>32</v>
      </c>
      <c r="G2004" s="6" t="str">
        <f>IF(MINIFS(dynamic[orderDate], dynamic[customerID], B2004) &gt;= DATE(2024,4,30)-120, 
     "New", 
     IF(MAXIFS(dynamic[orderCount], dynamic[customerID], B2004)&lt;=2, 
        IF((DATE(2024,4,30) - MAXIFS(dynamic[orderDate], dynamic[customerID], B2004)) &gt; 180, "Non-Returning", "Dormant"), 
        IF(AND(MAX(dynamic[sinceLastOrder]) &gt; 365, (DATE(2024,4,30) - MAXIFS(dynamic[orderDate], dynamic[customerID], B2004)) &gt; 180), 
           "Dormant", "Regular")))</f>
        <v>Regular</v>
      </c>
      <c r="H2004" s="6">
        <v>43.0</v>
      </c>
      <c r="I2004" s="9" t="str">
        <f>VLOOKUP(dynamic[productID],products[],2,FALSE)</f>
        <v>Ipoh Coffee</v>
      </c>
      <c r="J2004" s="9" t="str">
        <f>VLOOKUP(dynamic[productID],products[],12,FALSE)</f>
        <v>Beverages</v>
      </c>
      <c r="K2004" s="7" t="str">
        <f>IF(VLOOKUP(dynamic[productID],products[],7,FALSE)=1,"Discontinued","Current")</f>
        <v>Current</v>
      </c>
      <c r="L2004" s="9">
        <f>VLOOKUP(dynamic[productID],products[],IF(YEAR(dynamic[orderDate])=2022,8,IF(YEAR(dynamic[orderDate])=2023,9,IF(YEAR(dynamic[orderDate])=2024,10,NA))),FALSE)</f>
        <v>30.97984738</v>
      </c>
      <c r="M2004" s="9">
        <v>46.0</v>
      </c>
      <c r="N2004" s="25">
        <f>(dynamic[orderPrice]-dynamic[productCost])/dynamic[productCost]</f>
        <v>0.484836237</v>
      </c>
      <c r="O2004" s="10">
        <v>30.0</v>
      </c>
      <c r="P2004" s="25">
        <v>0.0</v>
      </c>
      <c r="Q2004" s="9">
        <f>dynamic[orderPrice]*dynamic[orderQuantity]</f>
        <v>1380</v>
      </c>
      <c r="R2004" s="9">
        <f>dynamic[orderTotal]*(1-dynamic[discountApllied])</f>
        <v>1380</v>
      </c>
      <c r="S2004" s="9">
        <f>dynamic[revenue]-(dynamic[productCost]*dynamic[orderQuantity])</f>
        <v>450.6045787</v>
      </c>
      <c r="T2004" s="25">
        <f>IFERROR(dynamic[profit]/dynamic[revenue], 0)</f>
        <v>0.3265250571</v>
      </c>
    </row>
    <row r="2005" ht="15.75" customHeight="1">
      <c r="A2005" s="6">
        <v>11024.0</v>
      </c>
      <c r="B2005" s="7" t="s">
        <v>73</v>
      </c>
      <c r="C2005" s="24" t="str">
        <f>VLOOKUP(dynamic[customerID],customers[],2,FALSE)</f>
        <v>Eastern Connection</v>
      </c>
      <c r="D2005" s="24">
        <v>45397.0</v>
      </c>
      <c r="E2005" s="6">
        <f>IFERROR(__xludf.DUMMYFUNCTION("COUNTUNIQUEIFS($A$2:$A2005,$B$2:$B2005,B2005)"),6.0)</f>
        <v>6</v>
      </c>
      <c r="F2005" s="6">
        <f t="shared" si="1"/>
        <v>15</v>
      </c>
      <c r="G2005" s="6" t="str">
        <f>IF(MINIFS(dynamic[orderDate], dynamic[customerID], B2005) &gt;= DATE(2024,4,30)-120, 
     "New", 
     IF(MAXIFS(dynamic[orderCount], dynamic[customerID], B2005)&lt;=2, 
        IF((DATE(2024,4,30) - MAXIFS(dynamic[orderDate], dynamic[customerID], B2005)) &gt; 180, "Non-Returning", "Dormant"), 
        IF(AND(MAX(dynamic[sinceLastOrder]) &gt; 365, (DATE(2024,4,30) - MAXIFS(dynamic[orderDate], dynamic[customerID], B2005)) &gt; 180), 
           "Dormant", "Regular")))</f>
        <v>Regular</v>
      </c>
      <c r="H2005" s="6">
        <v>26.0</v>
      </c>
      <c r="I2005" s="9" t="str">
        <f>VLOOKUP(dynamic[productID],products[],2,FALSE)</f>
        <v>NuNuCa Nuß-Nougat-Creme</v>
      </c>
      <c r="J2005" s="9" t="str">
        <f>VLOOKUP(dynamic[productID],products[],12,FALSE)</f>
        <v>Confections</v>
      </c>
      <c r="K2005" s="7" t="str">
        <f>IF(VLOOKUP(dynamic[productID],products[],7,FALSE)=1,"Discontinued","Current")</f>
        <v>Current</v>
      </c>
      <c r="L2005" s="9">
        <f>VLOOKUP(dynamic[productID],products[],IF(YEAR(dynamic[orderDate])=2022,8,IF(YEAR(dynamic[orderDate])=2023,9,IF(YEAR(dynamic[orderDate])=2024,10,NA))),FALSE)</f>
        <v>22.79977195</v>
      </c>
      <c r="M2005" s="9">
        <v>31.23</v>
      </c>
      <c r="N2005" s="25">
        <f>(dynamic[orderPrice]-dynamic[productCost])/dynamic[productCost]</f>
        <v>0.3697505427</v>
      </c>
      <c r="O2005" s="10">
        <v>12.0</v>
      </c>
      <c r="P2005" s="25">
        <v>0.0</v>
      </c>
      <c r="Q2005" s="9">
        <f>dynamic[orderPrice]*dynamic[orderQuantity]</f>
        <v>374.76</v>
      </c>
      <c r="R2005" s="9">
        <f>dynamic[orderTotal]*(1-dynamic[discountApllied])</f>
        <v>374.76</v>
      </c>
      <c r="S2005" s="9">
        <f>dynamic[revenue]-(dynamic[productCost]*dynamic[orderQuantity])</f>
        <v>101.1627366</v>
      </c>
      <c r="T2005" s="25">
        <f>IFERROR(dynamic[profit]/dynamic[revenue], 0)</f>
        <v>0.2699400593</v>
      </c>
    </row>
    <row r="2006" ht="15.75" customHeight="1">
      <c r="A2006" s="6">
        <v>11024.0</v>
      </c>
      <c r="B2006" s="7" t="s">
        <v>73</v>
      </c>
      <c r="C2006" s="24" t="str">
        <f>VLOOKUP(dynamic[customerID],customers[],2,FALSE)</f>
        <v>Eastern Connection</v>
      </c>
      <c r="D2006" s="24">
        <v>45397.0</v>
      </c>
      <c r="E2006" s="6">
        <f>IFERROR(__xludf.DUMMYFUNCTION("COUNTUNIQUEIFS($A$2:$A2006,$B$2:$B2006,B2006)"),6.0)</f>
        <v>6</v>
      </c>
      <c r="F2006" s="6">
        <f t="shared" si="1"/>
        <v>15</v>
      </c>
      <c r="G2006" s="6" t="str">
        <f>IF(MINIFS(dynamic[orderDate], dynamic[customerID], B2006) &gt;= DATE(2024,4,30)-120, 
     "New", 
     IF(MAXIFS(dynamic[orderCount], dynamic[customerID], B2006)&lt;=2, 
        IF((DATE(2024,4,30) - MAXIFS(dynamic[orderDate], dynamic[customerID], B2006)) &gt; 180, "Non-Returning", "Dormant"), 
        IF(AND(MAX(dynamic[sinceLastOrder]) &gt; 365, (DATE(2024,4,30) - MAXIFS(dynamic[orderDate], dynamic[customerID], B2006)) &gt; 180), 
           "Dormant", "Regular")))</f>
        <v>Regular</v>
      </c>
      <c r="H2006" s="6">
        <v>33.0</v>
      </c>
      <c r="I2006" s="9" t="str">
        <f>VLOOKUP(dynamic[productID],products[],2,FALSE)</f>
        <v>Geitost</v>
      </c>
      <c r="J2006" s="9" t="str">
        <f>VLOOKUP(dynamic[productID],products[],12,FALSE)</f>
        <v>Dairy Products</v>
      </c>
      <c r="K2006" s="7" t="str">
        <f>IF(VLOOKUP(dynamic[productID],products[],7,FALSE)=1,"Discontinued","Current")</f>
        <v>Current</v>
      </c>
      <c r="L2006" s="9">
        <f>VLOOKUP(dynamic[productID],products[],IF(YEAR(dynamic[orderDate])=2022,8,IF(YEAR(dynamic[orderDate])=2023,9,IF(YEAR(dynamic[orderDate])=2024,10,NA))),FALSE)</f>
        <v>1.670163437</v>
      </c>
      <c r="M2006" s="9">
        <v>2.5</v>
      </c>
      <c r="N2006" s="25">
        <f>(dynamic[orderPrice]-dynamic[productCost])/dynamic[productCost]</f>
        <v>0.4968594957</v>
      </c>
      <c r="O2006" s="10">
        <v>30.0</v>
      </c>
      <c r="P2006" s="25">
        <v>0.0</v>
      </c>
      <c r="Q2006" s="9">
        <f>dynamic[orderPrice]*dynamic[orderQuantity]</f>
        <v>75</v>
      </c>
      <c r="R2006" s="9">
        <f>dynamic[orderTotal]*(1-dynamic[discountApllied])</f>
        <v>75</v>
      </c>
      <c r="S2006" s="9">
        <f>dynamic[revenue]-(dynamic[productCost]*dynamic[orderQuantity])</f>
        <v>24.89509689</v>
      </c>
      <c r="T2006" s="25">
        <f>IFERROR(dynamic[profit]/dynamic[revenue], 0)</f>
        <v>0.3319346252</v>
      </c>
    </row>
    <row r="2007" ht="15.75" customHeight="1">
      <c r="A2007" s="6">
        <v>11024.0</v>
      </c>
      <c r="B2007" s="7" t="s">
        <v>73</v>
      </c>
      <c r="C2007" s="24" t="str">
        <f>VLOOKUP(dynamic[customerID],customers[],2,FALSE)</f>
        <v>Eastern Connection</v>
      </c>
      <c r="D2007" s="24">
        <v>45397.0</v>
      </c>
      <c r="E2007" s="6">
        <f>IFERROR(__xludf.DUMMYFUNCTION("COUNTUNIQUEIFS($A$2:$A2007,$B$2:$B2007,B2007)"),6.0)</f>
        <v>6</v>
      </c>
      <c r="F2007" s="6">
        <f t="shared" si="1"/>
        <v>15</v>
      </c>
      <c r="G2007" s="6" t="str">
        <f>IF(MINIFS(dynamic[orderDate], dynamic[customerID], B2007) &gt;= DATE(2024,4,30)-120, 
     "New", 
     IF(MAXIFS(dynamic[orderCount], dynamic[customerID], B2007)&lt;=2, 
        IF((DATE(2024,4,30) - MAXIFS(dynamic[orderDate], dynamic[customerID], B2007)) &gt; 180, "Non-Returning", "Dormant"), 
        IF(AND(MAX(dynamic[sinceLastOrder]) &gt; 365, (DATE(2024,4,30) - MAXIFS(dynamic[orderDate], dynamic[customerID], B2007)) &gt; 180), 
           "Dormant", "Regular")))</f>
        <v>Regular</v>
      </c>
      <c r="H2007" s="6">
        <v>65.0</v>
      </c>
      <c r="I2007" s="9" t="str">
        <f>VLOOKUP(dynamic[productID],products[],2,FALSE)</f>
        <v>Louisiana Fiery Hot Pepper Sauce</v>
      </c>
      <c r="J2007" s="9" t="str">
        <f>VLOOKUP(dynamic[productID],products[],12,FALSE)</f>
        <v>Condiments</v>
      </c>
      <c r="K2007" s="7" t="str">
        <f>IF(VLOOKUP(dynamic[productID],products[],7,FALSE)=1,"Discontinued","Current")</f>
        <v>Current</v>
      </c>
      <c r="L2007" s="9">
        <f>VLOOKUP(dynamic[productID],products[],IF(YEAR(dynamic[orderDate])=2022,8,IF(YEAR(dynamic[orderDate])=2023,9,IF(YEAR(dynamic[orderDate])=2024,10,NA))),FALSE)</f>
        <v>14.50738168</v>
      </c>
      <c r="M2007" s="9">
        <v>21.05</v>
      </c>
      <c r="N2007" s="25">
        <f>(dynamic[orderPrice]-dynamic[productCost])/dynamic[productCost]</f>
        <v>0.4509854685</v>
      </c>
      <c r="O2007" s="10">
        <v>21.0</v>
      </c>
      <c r="P2007" s="25">
        <v>0.0</v>
      </c>
      <c r="Q2007" s="9">
        <f>dynamic[orderPrice]*dynamic[orderQuantity]</f>
        <v>442.05</v>
      </c>
      <c r="R2007" s="9">
        <f>dynamic[orderTotal]*(1-dynamic[discountApllied])</f>
        <v>442.05</v>
      </c>
      <c r="S2007" s="9">
        <f>dynamic[revenue]-(dynamic[productCost]*dynamic[orderQuantity])</f>
        <v>137.3949848</v>
      </c>
      <c r="T2007" s="25">
        <f>IFERROR(dynamic[profit]/dynamic[revenue], 0)</f>
        <v>0.310813222</v>
      </c>
    </row>
    <row r="2008" ht="15.75" customHeight="1">
      <c r="A2008" s="6">
        <v>11024.0</v>
      </c>
      <c r="B2008" s="7" t="s">
        <v>73</v>
      </c>
      <c r="C2008" s="24" t="str">
        <f>VLOOKUP(dynamic[customerID],customers[],2,FALSE)</f>
        <v>Eastern Connection</v>
      </c>
      <c r="D2008" s="24">
        <v>45397.0</v>
      </c>
      <c r="E2008" s="6">
        <f>IFERROR(__xludf.DUMMYFUNCTION("COUNTUNIQUEIFS($A$2:$A2008,$B$2:$B2008,B2008)"),6.0)</f>
        <v>6</v>
      </c>
      <c r="F2008" s="6">
        <f t="shared" si="1"/>
        <v>15</v>
      </c>
      <c r="G2008" s="6" t="str">
        <f>IF(MINIFS(dynamic[orderDate], dynamic[customerID], B2008) &gt;= DATE(2024,4,30)-120, 
     "New", 
     IF(MAXIFS(dynamic[orderCount], dynamic[customerID], B2008)&lt;=2, 
        IF((DATE(2024,4,30) - MAXIFS(dynamic[orderDate], dynamic[customerID], B2008)) &gt; 180, "Non-Returning", "Dormant"), 
        IF(AND(MAX(dynamic[sinceLastOrder]) &gt; 365, (DATE(2024,4,30) - MAXIFS(dynamic[orderDate], dynamic[customerID], B2008)) &gt; 180), 
           "Dormant", "Regular")))</f>
        <v>Regular</v>
      </c>
      <c r="H2008" s="6">
        <v>71.0</v>
      </c>
      <c r="I2008" s="9" t="str">
        <f>VLOOKUP(dynamic[productID],products[],2,FALSE)</f>
        <v>Flotemysost</v>
      </c>
      <c r="J2008" s="9" t="str">
        <f>VLOOKUP(dynamic[productID],products[],12,FALSE)</f>
        <v>Dairy Products</v>
      </c>
      <c r="K2008" s="7" t="str">
        <f>IF(VLOOKUP(dynamic[productID],products[],7,FALSE)=1,"Discontinued","Current")</f>
        <v>Current</v>
      </c>
      <c r="L2008" s="9">
        <f>VLOOKUP(dynamic[productID],products[],IF(YEAR(dynamic[orderDate])=2022,8,IF(YEAR(dynamic[orderDate])=2023,9,IF(YEAR(dynamic[orderDate])=2024,10,NA))),FALSE)</f>
        <v>14.20977576</v>
      </c>
      <c r="M2008" s="9">
        <v>21.5</v>
      </c>
      <c r="N2008" s="25">
        <f>(dynamic[orderPrice]-dynamic[productCost])/dynamic[productCost]</f>
        <v>0.5130428769</v>
      </c>
      <c r="O2008" s="10">
        <v>50.0</v>
      </c>
      <c r="P2008" s="25">
        <v>0.0</v>
      </c>
      <c r="Q2008" s="9">
        <f>dynamic[orderPrice]*dynamic[orderQuantity]</f>
        <v>1075</v>
      </c>
      <c r="R2008" s="9">
        <f>dynamic[orderTotal]*(1-dynamic[discountApllied])</f>
        <v>1075</v>
      </c>
      <c r="S2008" s="9">
        <f>dynamic[revenue]-(dynamic[productCost]*dynamic[orderQuantity])</f>
        <v>364.5112119</v>
      </c>
      <c r="T2008" s="25">
        <f>IFERROR(dynamic[profit]/dynamic[revenue], 0)</f>
        <v>0.3390801971</v>
      </c>
    </row>
    <row r="2009" ht="15.75" customHeight="1">
      <c r="A2009" s="6">
        <v>11025.0</v>
      </c>
      <c r="B2009" s="7" t="s">
        <v>31</v>
      </c>
      <c r="C2009" s="24" t="str">
        <f>VLOOKUP(dynamic[customerID],customers[],2,FALSE)</f>
        <v>Wartian Herkku</v>
      </c>
      <c r="D2009" s="24">
        <v>45397.0</v>
      </c>
      <c r="E2009" s="6">
        <f>IFERROR(__xludf.DUMMYFUNCTION("COUNTUNIQUEIFS($A$2:$A2009,$B$2:$B2009,B2009)"),15.0)</f>
        <v>15</v>
      </c>
      <c r="F2009" s="6">
        <f t="shared" si="1"/>
        <v>120</v>
      </c>
      <c r="G2009" s="6" t="str">
        <f>IF(MINIFS(dynamic[orderDate], dynamic[customerID], B2009) &gt;= DATE(2024,4,30)-120, 
     "New", 
     IF(MAXIFS(dynamic[orderCount], dynamic[customerID], B2009)&lt;=2, 
        IF((DATE(2024,4,30) - MAXIFS(dynamic[orderDate], dynamic[customerID], B2009)) &gt; 180, "Non-Returning", "Dormant"), 
        IF(AND(MAX(dynamic[sinceLastOrder]) &gt; 365, (DATE(2024,4,30) - MAXIFS(dynamic[orderDate], dynamic[customerID], B2009)) &gt; 180), 
           "Dormant", "Regular")))</f>
        <v>Regular</v>
      </c>
      <c r="H2009" s="6">
        <v>1.0</v>
      </c>
      <c r="I2009" s="9" t="str">
        <f>VLOOKUP(dynamic[productID],products[],2,FALSE)</f>
        <v>Chai</v>
      </c>
      <c r="J2009" s="9" t="str">
        <f>VLOOKUP(dynamic[productID],products[],12,FALSE)</f>
        <v>Beverages</v>
      </c>
      <c r="K2009" s="7" t="str">
        <f>IF(VLOOKUP(dynamic[productID],products[],7,FALSE)=1,"Discontinued","Current")</f>
        <v>Current</v>
      </c>
      <c r="L2009" s="9">
        <f>VLOOKUP(dynamic[productID],products[],IF(YEAR(dynamic[orderDate])=2022,8,IF(YEAR(dynamic[orderDate])=2023,9,IF(YEAR(dynamic[orderDate])=2024,10,NA))),FALSE)</f>
        <v>12.17757454</v>
      </c>
      <c r="M2009" s="9">
        <v>18.0</v>
      </c>
      <c r="N2009" s="25">
        <f>(dynamic[orderPrice]-dynamic[productCost])/dynamic[productCost]</f>
        <v>0.4781268584</v>
      </c>
      <c r="O2009" s="10">
        <v>10.0</v>
      </c>
      <c r="P2009" s="25">
        <v>0.1</v>
      </c>
      <c r="Q2009" s="9">
        <f>dynamic[orderPrice]*dynamic[orderQuantity]</f>
        <v>180</v>
      </c>
      <c r="R2009" s="9">
        <f>dynamic[orderTotal]*(1-dynamic[discountApllied])</f>
        <v>162</v>
      </c>
      <c r="S2009" s="9">
        <f>dynamic[revenue]-(dynamic[productCost]*dynamic[orderQuantity])</f>
        <v>40.22425458</v>
      </c>
      <c r="T2009" s="25">
        <f>IFERROR(dynamic[profit]/dynamic[revenue], 0)</f>
        <v>0.2482978678</v>
      </c>
    </row>
    <row r="2010" ht="15.75" customHeight="1">
      <c r="A2010" s="6">
        <v>11025.0</v>
      </c>
      <c r="B2010" s="7" t="s">
        <v>31</v>
      </c>
      <c r="C2010" s="24" t="str">
        <f>VLOOKUP(dynamic[customerID],customers[],2,FALSE)</f>
        <v>Wartian Herkku</v>
      </c>
      <c r="D2010" s="24">
        <v>45397.0</v>
      </c>
      <c r="E2010" s="6">
        <f>IFERROR(__xludf.DUMMYFUNCTION("COUNTUNIQUEIFS($A$2:$A2010,$B$2:$B2010,B2010)"),15.0)</f>
        <v>15</v>
      </c>
      <c r="F2010" s="6">
        <f t="shared" si="1"/>
        <v>120</v>
      </c>
      <c r="G2010" s="6" t="str">
        <f>IF(MINIFS(dynamic[orderDate], dynamic[customerID], B2010) &gt;= DATE(2024,4,30)-120, 
     "New", 
     IF(MAXIFS(dynamic[orderCount], dynamic[customerID], B2010)&lt;=2, 
        IF((DATE(2024,4,30) - MAXIFS(dynamic[orderDate], dynamic[customerID], B2010)) &gt; 180, "Non-Returning", "Dormant"), 
        IF(AND(MAX(dynamic[sinceLastOrder]) &gt; 365, (DATE(2024,4,30) - MAXIFS(dynamic[orderDate], dynamic[customerID], B2010)) &gt; 180), 
           "Dormant", "Regular")))</f>
        <v>Regular</v>
      </c>
      <c r="H2010" s="6">
        <v>13.0</v>
      </c>
      <c r="I2010" s="9" t="str">
        <f>VLOOKUP(dynamic[productID],products[],2,FALSE)</f>
        <v>Konbu</v>
      </c>
      <c r="J2010" s="9" t="str">
        <f>VLOOKUP(dynamic[productID],products[],12,FALSE)</f>
        <v>Seafood</v>
      </c>
      <c r="K2010" s="7" t="str">
        <f>IF(VLOOKUP(dynamic[productID],products[],7,FALSE)=1,"Discontinued","Current")</f>
        <v>Current</v>
      </c>
      <c r="L2010" s="9">
        <f>VLOOKUP(dynamic[productID],products[],IF(YEAR(dynamic[orderDate])=2022,8,IF(YEAR(dynamic[orderDate])=2023,9,IF(YEAR(dynamic[orderDate])=2024,10,NA))),FALSE)</f>
        <v>3.966387047</v>
      </c>
      <c r="M2010" s="9">
        <v>6.0</v>
      </c>
      <c r="N2010" s="25">
        <f>(dynamic[orderPrice]-dynamic[productCost])/dynamic[productCost]</f>
        <v>0.5127116768</v>
      </c>
      <c r="O2010" s="10">
        <v>20.0</v>
      </c>
      <c r="P2010" s="25">
        <v>0.1</v>
      </c>
      <c r="Q2010" s="9">
        <f>dynamic[orderPrice]*dynamic[orderQuantity]</f>
        <v>120</v>
      </c>
      <c r="R2010" s="9">
        <f>dynamic[orderTotal]*(1-dynamic[discountApllied])</f>
        <v>108</v>
      </c>
      <c r="S2010" s="9">
        <f>dynamic[revenue]-(dynamic[productCost]*dynamic[orderQuantity])</f>
        <v>28.67225907</v>
      </c>
      <c r="T2010" s="25">
        <f>IFERROR(dynamic[profit]/dynamic[revenue], 0)</f>
        <v>0.2654838803</v>
      </c>
    </row>
    <row r="2011" ht="15.75" customHeight="1">
      <c r="A2011" s="6">
        <v>11026.0</v>
      </c>
      <c r="B2011" s="7" t="s">
        <v>85</v>
      </c>
      <c r="C2011" s="24" t="str">
        <f>VLOOKUP(dynamic[customerID],customers[],2,FALSE)</f>
        <v>Franchi S.p.A.</v>
      </c>
      <c r="D2011" s="24">
        <v>45397.0</v>
      </c>
      <c r="E2011" s="6">
        <f>IFERROR(__xludf.DUMMYFUNCTION("COUNTUNIQUEIFS($A$2:$A2011,$B$2:$B2011,B2011)"),5.0)</f>
        <v>5</v>
      </c>
      <c r="F2011" s="6">
        <f t="shared" si="1"/>
        <v>106</v>
      </c>
      <c r="G2011" s="6" t="str">
        <f>IF(MINIFS(dynamic[orderDate], dynamic[customerID], B2011) &gt;= DATE(2024,4,30)-120, 
     "New", 
     IF(MAXIFS(dynamic[orderCount], dynamic[customerID], B2011)&lt;=2, 
        IF((DATE(2024,4,30) - MAXIFS(dynamic[orderDate], dynamic[customerID], B2011)) &gt; 180, "Non-Returning", "Dormant"), 
        IF(AND(MAX(dynamic[sinceLastOrder]) &gt; 365, (DATE(2024,4,30) - MAXIFS(dynamic[orderDate], dynamic[customerID], B2011)) &gt; 180), 
           "Dormant", "Regular")))</f>
        <v>Regular</v>
      </c>
      <c r="H2011" s="6">
        <v>18.0</v>
      </c>
      <c r="I2011" s="9" t="str">
        <f>VLOOKUP(dynamic[productID],products[],2,FALSE)</f>
        <v>Carnarvon Tigers</v>
      </c>
      <c r="J2011" s="9" t="str">
        <f>VLOOKUP(dynamic[productID],products[],12,FALSE)</f>
        <v>Seafood</v>
      </c>
      <c r="K2011" s="7" t="str">
        <f>IF(VLOOKUP(dynamic[productID],products[],7,FALSE)=1,"Discontinued","Current")</f>
        <v>Current</v>
      </c>
      <c r="L2011" s="9">
        <f>VLOOKUP(dynamic[productID],products[],IF(YEAR(dynamic[orderDate])=2022,8,IF(YEAR(dynamic[orderDate])=2023,9,IF(YEAR(dynamic[orderDate])=2024,10,NA))),FALSE)</f>
        <v>41.27004985</v>
      </c>
      <c r="M2011" s="9">
        <v>62.5</v>
      </c>
      <c r="N2011" s="25">
        <f>(dynamic[orderPrice]-dynamic[productCost])/dynamic[productCost]</f>
        <v>0.5144154231</v>
      </c>
      <c r="O2011" s="10">
        <v>8.0</v>
      </c>
      <c r="P2011" s="25">
        <v>0.0</v>
      </c>
      <c r="Q2011" s="9">
        <f>dynamic[orderPrice]*dynamic[orderQuantity]</f>
        <v>500</v>
      </c>
      <c r="R2011" s="9">
        <f>dynamic[orderTotal]*(1-dynamic[discountApllied])</f>
        <v>500</v>
      </c>
      <c r="S2011" s="9">
        <f>dynamic[revenue]-(dynamic[productCost]*dynamic[orderQuantity])</f>
        <v>169.8396012</v>
      </c>
      <c r="T2011" s="25">
        <f>IFERROR(dynamic[profit]/dynamic[revenue], 0)</f>
        <v>0.3396792025</v>
      </c>
    </row>
    <row r="2012" ht="15.75" customHeight="1">
      <c r="A2012" s="6">
        <v>11026.0</v>
      </c>
      <c r="B2012" s="7" t="s">
        <v>85</v>
      </c>
      <c r="C2012" s="24" t="str">
        <f>VLOOKUP(dynamic[customerID],customers[],2,FALSE)</f>
        <v>Franchi S.p.A.</v>
      </c>
      <c r="D2012" s="24">
        <v>45397.0</v>
      </c>
      <c r="E2012" s="6">
        <f>IFERROR(__xludf.DUMMYFUNCTION("COUNTUNIQUEIFS($A$2:$A2012,$B$2:$B2012,B2012)"),5.0)</f>
        <v>5</v>
      </c>
      <c r="F2012" s="6">
        <f t="shared" si="1"/>
        <v>106</v>
      </c>
      <c r="G2012" s="6" t="str">
        <f>IF(MINIFS(dynamic[orderDate], dynamic[customerID], B2012) &gt;= DATE(2024,4,30)-120, 
     "New", 
     IF(MAXIFS(dynamic[orderCount], dynamic[customerID], B2012)&lt;=2, 
        IF((DATE(2024,4,30) - MAXIFS(dynamic[orderDate], dynamic[customerID], B2012)) &gt; 180, "Non-Returning", "Dormant"), 
        IF(AND(MAX(dynamic[sinceLastOrder]) &gt; 365, (DATE(2024,4,30) - MAXIFS(dynamic[orderDate], dynamic[customerID], B2012)) &gt; 180), 
           "Dormant", "Regular")))</f>
        <v>Regular</v>
      </c>
      <c r="H2012" s="6">
        <v>51.0</v>
      </c>
      <c r="I2012" s="9" t="str">
        <f>VLOOKUP(dynamic[productID],products[],2,FALSE)</f>
        <v>Manjimup Dried Apples</v>
      </c>
      <c r="J2012" s="9" t="str">
        <f>VLOOKUP(dynamic[productID],products[],12,FALSE)</f>
        <v>Produce</v>
      </c>
      <c r="K2012" s="7" t="str">
        <f>IF(VLOOKUP(dynamic[productID],products[],7,FALSE)=1,"Discontinued","Current")</f>
        <v>Current</v>
      </c>
      <c r="L2012" s="9">
        <f>VLOOKUP(dynamic[productID],products[],IF(YEAR(dynamic[orderDate])=2022,8,IF(YEAR(dynamic[orderDate])=2023,9,IF(YEAR(dynamic[orderDate])=2024,10,NA))),FALSE)</f>
        <v>39.51416462</v>
      </c>
      <c r="M2012" s="9">
        <v>53.0</v>
      </c>
      <c r="N2012" s="25">
        <f>(dynamic[orderPrice]-dynamic[productCost])/dynamic[productCost]</f>
        <v>0.3412911677</v>
      </c>
      <c r="O2012" s="10">
        <v>10.0</v>
      </c>
      <c r="P2012" s="25">
        <v>0.0</v>
      </c>
      <c r="Q2012" s="9">
        <f>dynamic[orderPrice]*dynamic[orderQuantity]</f>
        <v>530</v>
      </c>
      <c r="R2012" s="9">
        <f>dynamic[orderTotal]*(1-dynamic[discountApllied])</f>
        <v>530</v>
      </c>
      <c r="S2012" s="9">
        <f>dynamic[revenue]-(dynamic[productCost]*dynamic[orderQuantity])</f>
        <v>134.8583538</v>
      </c>
      <c r="T2012" s="25">
        <f>IFERROR(dynamic[profit]/dynamic[revenue], 0)</f>
        <v>0.2544497242</v>
      </c>
    </row>
    <row r="2013" ht="15.75" customHeight="1">
      <c r="A2013" s="6">
        <v>11027.0</v>
      </c>
      <c r="B2013" s="7" t="s">
        <v>81</v>
      </c>
      <c r="C2013" s="24" t="str">
        <f>VLOOKUP(dynamic[customerID],customers[],2,FALSE)</f>
        <v>Bottom-Dollar Markets</v>
      </c>
      <c r="D2013" s="24">
        <v>45398.0</v>
      </c>
      <c r="E2013" s="6">
        <f>IFERROR(__xludf.DUMMYFUNCTION("COUNTUNIQUEIFS($A$2:$A2013,$B$2:$B2013,B2013)"),12.0)</f>
        <v>12</v>
      </c>
      <c r="F2013" s="6">
        <f t="shared" si="1"/>
        <v>20</v>
      </c>
      <c r="G2013" s="6" t="str">
        <f>IF(MINIFS(dynamic[orderDate], dynamic[customerID], B2013) &gt;= DATE(2024,4,30)-120, 
     "New", 
     IF(MAXIFS(dynamic[orderCount], dynamic[customerID], B2013)&lt;=2, 
        IF((DATE(2024,4,30) - MAXIFS(dynamic[orderDate], dynamic[customerID], B2013)) &gt; 180, "Non-Returning", "Dormant"), 
        IF(AND(MAX(dynamic[sinceLastOrder]) &gt; 365, (DATE(2024,4,30) - MAXIFS(dynamic[orderDate], dynamic[customerID], B2013)) &gt; 180), 
           "Dormant", "Regular")))</f>
        <v>Regular</v>
      </c>
      <c r="H2013" s="6">
        <v>24.0</v>
      </c>
      <c r="I2013" s="9" t="str">
        <f>VLOOKUP(dynamic[productID],products[],2,FALSE)</f>
        <v>Brigadeiros Maravilhosos da Lilian</v>
      </c>
      <c r="J2013" s="9" t="str">
        <f>VLOOKUP(dynamic[productID],products[],12,FALSE)</f>
        <v>Confections</v>
      </c>
      <c r="K2013" s="7" t="str">
        <f>IF(VLOOKUP(dynamic[productID],products[],7,FALSE)=1,"Discontinued","Current")</f>
        <v>Discontinued</v>
      </c>
      <c r="L2013" s="9">
        <f>VLOOKUP(dynamic[productID],products[],IF(YEAR(dynamic[orderDate])=2022,8,IF(YEAR(dynamic[orderDate])=2023,9,IF(YEAR(dynamic[orderDate])=2024,10,NA))),FALSE)</f>
        <v>3.177326315</v>
      </c>
      <c r="M2013" s="9">
        <v>4.5</v>
      </c>
      <c r="N2013" s="25">
        <f>(dynamic[orderPrice]-dynamic[productCost])/dynamic[productCost]</f>
        <v>0.416285126</v>
      </c>
      <c r="O2013" s="10">
        <v>30.0</v>
      </c>
      <c r="P2013" s="25">
        <v>0.25</v>
      </c>
      <c r="Q2013" s="9">
        <f>dynamic[orderPrice]*dynamic[orderQuantity]</f>
        <v>135</v>
      </c>
      <c r="R2013" s="9">
        <f>dynamic[orderTotal]*(1-dynamic[discountApllied])</f>
        <v>101.25</v>
      </c>
      <c r="S2013" s="9">
        <f>dynamic[revenue]-(dynamic[productCost]*dynamic[orderQuantity])</f>
        <v>5.930210559</v>
      </c>
      <c r="T2013" s="25">
        <f>IFERROR(dynamic[profit]/dynamic[revenue], 0)</f>
        <v>0.05856998083</v>
      </c>
    </row>
    <row r="2014" ht="15.75" customHeight="1">
      <c r="A2014" s="6">
        <v>11027.0</v>
      </c>
      <c r="B2014" s="7" t="s">
        <v>81</v>
      </c>
      <c r="C2014" s="24" t="str">
        <f>VLOOKUP(dynamic[customerID],customers[],2,FALSE)</f>
        <v>Bottom-Dollar Markets</v>
      </c>
      <c r="D2014" s="24">
        <v>45398.0</v>
      </c>
      <c r="E2014" s="6">
        <f>IFERROR(__xludf.DUMMYFUNCTION("COUNTUNIQUEIFS($A$2:$A2014,$B$2:$B2014,B2014)"),12.0)</f>
        <v>12</v>
      </c>
      <c r="F2014" s="6">
        <f t="shared" si="1"/>
        <v>20</v>
      </c>
      <c r="G2014" s="6" t="str">
        <f>IF(MINIFS(dynamic[orderDate], dynamic[customerID], B2014) &gt;= DATE(2024,4,30)-120, 
     "New", 
     IF(MAXIFS(dynamic[orderCount], dynamic[customerID], B2014)&lt;=2, 
        IF((DATE(2024,4,30) - MAXIFS(dynamic[orderDate], dynamic[customerID], B2014)) &gt; 180, "Non-Returning", "Dormant"), 
        IF(AND(MAX(dynamic[sinceLastOrder]) &gt; 365, (DATE(2024,4,30) - MAXIFS(dynamic[orderDate], dynamic[customerID], B2014)) &gt; 180), 
           "Dormant", "Regular")))</f>
        <v>Regular</v>
      </c>
      <c r="H2014" s="6">
        <v>62.0</v>
      </c>
      <c r="I2014" s="9" t="str">
        <f>VLOOKUP(dynamic[productID],products[],2,FALSE)</f>
        <v>Tarte au sucre</v>
      </c>
      <c r="J2014" s="9" t="str">
        <f>VLOOKUP(dynamic[productID],products[],12,FALSE)</f>
        <v>Confections</v>
      </c>
      <c r="K2014" s="7" t="str">
        <f>IF(VLOOKUP(dynamic[productID],products[],7,FALSE)=1,"Discontinued","Current")</f>
        <v>Current</v>
      </c>
      <c r="L2014" s="9">
        <f>VLOOKUP(dynamic[productID],products[],IF(YEAR(dynamic[orderDate])=2022,8,IF(YEAR(dynamic[orderDate])=2023,9,IF(YEAR(dynamic[orderDate])=2024,10,NA))),FALSE)</f>
        <v>34.88145014</v>
      </c>
      <c r="M2014" s="9">
        <v>49.3</v>
      </c>
      <c r="N2014" s="25">
        <f>(dynamic[orderPrice]-dynamic[productCost])/dynamic[productCost]</f>
        <v>0.4133586705</v>
      </c>
      <c r="O2014" s="10">
        <v>21.0</v>
      </c>
      <c r="P2014" s="25">
        <v>0.25</v>
      </c>
      <c r="Q2014" s="9">
        <f>dynamic[orderPrice]*dynamic[orderQuantity]</f>
        <v>1035.3</v>
      </c>
      <c r="R2014" s="9">
        <f>dynamic[orderTotal]*(1-dynamic[discountApllied])</f>
        <v>776.475</v>
      </c>
      <c r="S2014" s="9">
        <f>dynamic[revenue]-(dynamic[productCost]*dynamic[orderQuantity])</f>
        <v>43.96454699</v>
      </c>
      <c r="T2014" s="25">
        <f>IFERROR(dynamic[profit]/dynamic[revenue], 0)</f>
        <v>0.05662068578</v>
      </c>
    </row>
    <row r="2015" ht="15.75" customHeight="1">
      <c r="A2015" s="6">
        <v>11028.0</v>
      </c>
      <c r="B2015" s="7" t="s">
        <v>59</v>
      </c>
      <c r="C2015" s="24" t="str">
        <f>VLOOKUP(dynamic[customerID],customers[],2,FALSE)</f>
        <v>Königlich Essen</v>
      </c>
      <c r="D2015" s="24">
        <v>45398.0</v>
      </c>
      <c r="E2015" s="6">
        <f>IFERROR(__xludf.DUMMYFUNCTION("COUNTUNIQUEIFS($A$2:$A2015,$B$2:$B2015,B2015)"),14.0)</f>
        <v>14</v>
      </c>
      <c r="F2015" s="6">
        <f t="shared" si="1"/>
        <v>58</v>
      </c>
      <c r="G2015" s="6" t="str">
        <f>IF(MINIFS(dynamic[orderDate], dynamic[customerID], B2015) &gt;= DATE(2024,4,30)-120, 
     "New", 
     IF(MAXIFS(dynamic[orderCount], dynamic[customerID], B2015)&lt;=2, 
        IF((DATE(2024,4,30) - MAXIFS(dynamic[orderDate], dynamic[customerID], B2015)) &gt; 180, "Non-Returning", "Dormant"), 
        IF(AND(MAX(dynamic[sinceLastOrder]) &gt; 365, (DATE(2024,4,30) - MAXIFS(dynamic[orderDate], dynamic[customerID], B2015)) &gt; 180), 
           "Dormant", "Regular")))</f>
        <v>Regular</v>
      </c>
      <c r="H2015" s="6">
        <v>55.0</v>
      </c>
      <c r="I2015" s="9" t="str">
        <f>VLOOKUP(dynamic[productID],products[],2,FALSE)</f>
        <v>Pâté chinois</v>
      </c>
      <c r="J2015" s="9" t="str">
        <f>VLOOKUP(dynamic[productID],products[],12,FALSE)</f>
        <v>Meat/Poultry</v>
      </c>
      <c r="K2015" s="7" t="str">
        <f>IF(VLOOKUP(dynamic[productID],products[],7,FALSE)=1,"Discontinued","Current")</f>
        <v>Current</v>
      </c>
      <c r="L2015" s="9">
        <f>VLOOKUP(dynamic[productID],products[],IF(YEAR(dynamic[orderDate])=2022,8,IF(YEAR(dynamic[orderDate])=2023,9,IF(YEAR(dynamic[orderDate])=2024,10,NA))),FALSE)</f>
        <v>16.95998522</v>
      </c>
      <c r="M2015" s="9">
        <v>24.0</v>
      </c>
      <c r="N2015" s="25">
        <f>(dynamic[orderPrice]-dynamic[productCost])/dynamic[productCost]</f>
        <v>0.4150955727</v>
      </c>
      <c r="O2015" s="10">
        <v>35.0</v>
      </c>
      <c r="P2015" s="25">
        <v>0.0</v>
      </c>
      <c r="Q2015" s="9">
        <f>dynamic[orderPrice]*dynamic[orderQuantity]</f>
        <v>840</v>
      </c>
      <c r="R2015" s="9">
        <f>dynamic[orderTotal]*(1-dynamic[discountApllied])</f>
        <v>840</v>
      </c>
      <c r="S2015" s="9">
        <f>dynamic[revenue]-(dynamic[productCost]*dynamic[orderQuantity])</f>
        <v>246.4005173</v>
      </c>
      <c r="T2015" s="25">
        <f>IFERROR(dynamic[profit]/dynamic[revenue], 0)</f>
        <v>0.2933339491</v>
      </c>
    </row>
    <row r="2016" ht="15.75" customHeight="1">
      <c r="A2016" s="6">
        <v>11028.0</v>
      </c>
      <c r="B2016" s="7" t="s">
        <v>59</v>
      </c>
      <c r="C2016" s="24" t="str">
        <f>VLOOKUP(dynamic[customerID],customers[],2,FALSE)</f>
        <v>Königlich Essen</v>
      </c>
      <c r="D2016" s="24">
        <v>45398.0</v>
      </c>
      <c r="E2016" s="6">
        <f>IFERROR(__xludf.DUMMYFUNCTION("COUNTUNIQUEIFS($A$2:$A2016,$B$2:$B2016,B2016)"),14.0)</f>
        <v>14</v>
      </c>
      <c r="F2016" s="6">
        <f t="shared" si="1"/>
        <v>58</v>
      </c>
      <c r="G2016" s="6" t="str">
        <f>IF(MINIFS(dynamic[orderDate], dynamic[customerID], B2016) &gt;= DATE(2024,4,30)-120, 
     "New", 
     IF(MAXIFS(dynamic[orderCount], dynamic[customerID], B2016)&lt;=2, 
        IF((DATE(2024,4,30) - MAXIFS(dynamic[orderDate], dynamic[customerID], B2016)) &gt; 180, "Non-Returning", "Dormant"), 
        IF(AND(MAX(dynamic[sinceLastOrder]) &gt; 365, (DATE(2024,4,30) - MAXIFS(dynamic[orderDate], dynamic[customerID], B2016)) &gt; 180), 
           "Dormant", "Regular")))</f>
        <v>Regular</v>
      </c>
      <c r="H2016" s="6">
        <v>59.0</v>
      </c>
      <c r="I2016" s="9" t="str">
        <f>VLOOKUP(dynamic[productID],products[],2,FALSE)</f>
        <v>Raclette Courdavault</v>
      </c>
      <c r="J2016" s="9" t="str">
        <f>VLOOKUP(dynamic[productID],products[],12,FALSE)</f>
        <v>Dairy Products</v>
      </c>
      <c r="K2016" s="7" t="str">
        <f>IF(VLOOKUP(dynamic[productID],products[],7,FALSE)=1,"Discontinued","Current")</f>
        <v>Current</v>
      </c>
      <c r="L2016" s="9">
        <f>VLOOKUP(dynamic[productID],products[],IF(YEAR(dynamic[orderDate])=2022,8,IF(YEAR(dynamic[orderDate])=2023,9,IF(YEAR(dynamic[orderDate])=2024,10,NA))),FALSE)</f>
        <v>36.74863711</v>
      </c>
      <c r="M2016" s="9">
        <v>55.0</v>
      </c>
      <c r="N2016" s="25">
        <f>(dynamic[orderPrice]-dynamic[productCost])/dynamic[productCost]</f>
        <v>0.4966541435</v>
      </c>
      <c r="O2016" s="10">
        <v>24.0</v>
      </c>
      <c r="P2016" s="25">
        <v>0.0</v>
      </c>
      <c r="Q2016" s="9">
        <f>dynamic[orderPrice]*dynamic[orderQuantity]</f>
        <v>1320</v>
      </c>
      <c r="R2016" s="9">
        <f>dynamic[orderTotal]*(1-dynamic[discountApllied])</f>
        <v>1320</v>
      </c>
      <c r="S2016" s="9">
        <f>dynamic[revenue]-(dynamic[productCost]*dynamic[orderQuantity])</f>
        <v>438.0327094</v>
      </c>
      <c r="T2016" s="25">
        <f>IFERROR(dynamic[profit]/dynamic[revenue], 0)</f>
        <v>0.3318429616</v>
      </c>
    </row>
    <row r="2017" ht="15.75" customHeight="1">
      <c r="A2017" s="6">
        <v>11029.0</v>
      </c>
      <c r="B2017" s="7" t="s">
        <v>20</v>
      </c>
      <c r="C2017" s="24" t="str">
        <f>VLOOKUP(dynamic[customerID],customers[],2,FALSE)</f>
        <v>Chop-suey Chinese</v>
      </c>
      <c r="D2017" s="24">
        <v>45398.0</v>
      </c>
      <c r="E2017" s="6">
        <f>IFERROR(__xludf.DUMMYFUNCTION("COUNTUNIQUEIFS($A$2:$A2017,$B$2:$B2017,B2017)"),7.0)</f>
        <v>7</v>
      </c>
      <c r="F2017" s="6">
        <f t="shared" si="1"/>
        <v>27</v>
      </c>
      <c r="G2017" s="6" t="str">
        <f>IF(MINIFS(dynamic[orderDate], dynamic[customerID], B2017) &gt;= DATE(2024,4,30)-120, 
     "New", 
     IF(MAXIFS(dynamic[orderCount], dynamic[customerID], B2017)&lt;=2, 
        IF((DATE(2024,4,30) - MAXIFS(dynamic[orderDate], dynamic[customerID], B2017)) &gt; 180, "Non-Returning", "Dormant"), 
        IF(AND(MAX(dynamic[sinceLastOrder]) &gt; 365, (DATE(2024,4,30) - MAXIFS(dynamic[orderDate], dynamic[customerID], B2017)) &gt; 180), 
           "Dormant", "Regular")))</f>
        <v>Regular</v>
      </c>
      <c r="H2017" s="6">
        <v>56.0</v>
      </c>
      <c r="I2017" s="9" t="str">
        <f>VLOOKUP(dynamic[productID],products[],2,FALSE)</f>
        <v>Gnocchi di nonna Alice</v>
      </c>
      <c r="J2017" s="9" t="str">
        <f>VLOOKUP(dynamic[productID],products[],12,FALSE)</f>
        <v>Grains/Cereals</v>
      </c>
      <c r="K2017" s="7" t="str">
        <f>IF(VLOOKUP(dynamic[productID],products[],7,FALSE)=1,"Discontinued","Current")</f>
        <v>Current</v>
      </c>
      <c r="L2017" s="9">
        <f>VLOOKUP(dynamic[productID],products[],IF(YEAR(dynamic[orderDate])=2022,8,IF(YEAR(dynamic[orderDate])=2023,9,IF(YEAR(dynamic[orderDate])=2024,10,NA))),FALSE)</f>
        <v>27.53915851</v>
      </c>
      <c r="M2017" s="9">
        <v>38.0</v>
      </c>
      <c r="N2017" s="25">
        <f>(dynamic[orderPrice]-dynamic[productCost])/dynamic[productCost]</f>
        <v>0.3798533452</v>
      </c>
      <c r="O2017" s="10">
        <v>20.0</v>
      </c>
      <c r="P2017" s="25">
        <v>0.0</v>
      </c>
      <c r="Q2017" s="9">
        <f>dynamic[orderPrice]*dynamic[orderQuantity]</f>
        <v>760</v>
      </c>
      <c r="R2017" s="9">
        <f>dynamic[orderTotal]*(1-dynamic[discountApllied])</f>
        <v>760</v>
      </c>
      <c r="S2017" s="9">
        <f>dynamic[revenue]-(dynamic[productCost]*dynamic[orderQuantity])</f>
        <v>209.2168297</v>
      </c>
      <c r="T2017" s="25">
        <f>IFERROR(dynamic[profit]/dynamic[revenue], 0)</f>
        <v>0.2752853023</v>
      </c>
    </row>
    <row r="2018" ht="15.75" customHeight="1">
      <c r="A2018" s="6">
        <v>11029.0</v>
      </c>
      <c r="B2018" s="7" t="s">
        <v>20</v>
      </c>
      <c r="C2018" s="24" t="str">
        <f>VLOOKUP(dynamic[customerID],customers[],2,FALSE)</f>
        <v>Chop-suey Chinese</v>
      </c>
      <c r="D2018" s="24">
        <v>45398.0</v>
      </c>
      <c r="E2018" s="6">
        <f>IFERROR(__xludf.DUMMYFUNCTION("COUNTUNIQUEIFS($A$2:$A2018,$B$2:$B2018,B2018)"),7.0)</f>
        <v>7</v>
      </c>
      <c r="F2018" s="6">
        <f t="shared" si="1"/>
        <v>27</v>
      </c>
      <c r="G2018" s="6" t="str">
        <f>IF(MINIFS(dynamic[orderDate], dynamic[customerID], B2018) &gt;= DATE(2024,4,30)-120, 
     "New", 
     IF(MAXIFS(dynamic[orderCount], dynamic[customerID], B2018)&lt;=2, 
        IF((DATE(2024,4,30) - MAXIFS(dynamic[orderDate], dynamic[customerID], B2018)) &gt; 180, "Non-Returning", "Dormant"), 
        IF(AND(MAX(dynamic[sinceLastOrder]) &gt; 365, (DATE(2024,4,30) - MAXIFS(dynamic[orderDate], dynamic[customerID], B2018)) &gt; 180), 
           "Dormant", "Regular")))</f>
        <v>Regular</v>
      </c>
      <c r="H2018" s="6">
        <v>63.0</v>
      </c>
      <c r="I2018" s="9" t="str">
        <f>VLOOKUP(dynamic[productID],products[],2,FALSE)</f>
        <v>Vegie-spread</v>
      </c>
      <c r="J2018" s="9" t="str">
        <f>VLOOKUP(dynamic[productID],products[],12,FALSE)</f>
        <v>Condiments</v>
      </c>
      <c r="K2018" s="7" t="str">
        <f>IF(VLOOKUP(dynamic[productID],products[],7,FALSE)=1,"Discontinued","Current")</f>
        <v>Current</v>
      </c>
      <c r="L2018" s="9">
        <f>VLOOKUP(dynamic[productID],products[],IF(YEAR(dynamic[orderDate])=2022,8,IF(YEAR(dynamic[orderDate])=2023,9,IF(YEAR(dynamic[orderDate])=2024,10,NA))),FALSE)</f>
        <v>32.59198577</v>
      </c>
      <c r="M2018" s="9">
        <v>43.9</v>
      </c>
      <c r="N2018" s="25">
        <f>(dynamic[orderPrice]-dynamic[productCost])/dynamic[productCost]</f>
        <v>0.3469568963</v>
      </c>
      <c r="O2018" s="10">
        <v>12.0</v>
      </c>
      <c r="P2018" s="25">
        <v>0.0</v>
      </c>
      <c r="Q2018" s="9">
        <f>dynamic[orderPrice]*dynamic[orderQuantity]</f>
        <v>526.8</v>
      </c>
      <c r="R2018" s="9">
        <f>dynamic[orderTotal]*(1-dynamic[discountApllied])</f>
        <v>526.8</v>
      </c>
      <c r="S2018" s="9">
        <f>dynamic[revenue]-(dynamic[productCost]*dynamic[orderQuantity])</f>
        <v>135.6961707</v>
      </c>
      <c r="T2018" s="25">
        <f>IFERROR(dynamic[profit]/dynamic[revenue], 0)</f>
        <v>0.2575857455</v>
      </c>
    </row>
    <row r="2019" ht="15.75" customHeight="1">
      <c r="A2019" s="6">
        <v>11030.0</v>
      </c>
      <c r="B2019" s="7" t="s">
        <v>60</v>
      </c>
      <c r="C2019" s="24" t="str">
        <f>VLOOKUP(dynamic[customerID],customers[],2,FALSE)</f>
        <v>Save-a-lot Markets</v>
      </c>
      <c r="D2019" s="24">
        <v>45399.0</v>
      </c>
      <c r="E2019" s="6">
        <f>IFERROR(__xludf.DUMMYFUNCTION("COUNTUNIQUEIFS($A$2:$A2019,$B$2:$B2019,B2019)"),29.0)</f>
        <v>29</v>
      </c>
      <c r="F2019" s="6">
        <f t="shared" si="1"/>
        <v>11</v>
      </c>
      <c r="G2019" s="6" t="str">
        <f>IF(MINIFS(dynamic[orderDate], dynamic[customerID], B2019) &gt;= DATE(2024,4,30)-120, 
     "New", 
     IF(MAXIFS(dynamic[orderCount], dynamic[customerID], B2019)&lt;=2, 
        IF((DATE(2024,4,30) - MAXIFS(dynamic[orderDate], dynamic[customerID], B2019)) &gt; 180, "Non-Returning", "Dormant"), 
        IF(AND(MAX(dynamic[sinceLastOrder]) &gt; 365, (DATE(2024,4,30) - MAXIFS(dynamic[orderDate], dynamic[customerID], B2019)) &gt; 180), 
           "Dormant", "Regular")))</f>
        <v>Regular</v>
      </c>
      <c r="H2019" s="6">
        <v>2.0</v>
      </c>
      <c r="I2019" s="9" t="str">
        <f>VLOOKUP(dynamic[productID],products[],2,FALSE)</f>
        <v>Chang</v>
      </c>
      <c r="J2019" s="9" t="str">
        <f>VLOOKUP(dynamic[productID],products[],12,FALSE)</f>
        <v>Beverages</v>
      </c>
      <c r="K2019" s="7" t="str">
        <f>IF(VLOOKUP(dynamic[productID],products[],7,FALSE)=1,"Discontinued","Current")</f>
        <v>Current</v>
      </c>
      <c r="L2019" s="9">
        <f>VLOOKUP(dynamic[productID],products[],IF(YEAR(dynamic[orderDate])=2022,8,IF(YEAR(dynamic[orderDate])=2023,9,IF(YEAR(dynamic[orderDate])=2024,10,NA))),FALSE)</f>
        <v>11.93843713</v>
      </c>
      <c r="M2019" s="9">
        <v>19.0</v>
      </c>
      <c r="N2019" s="25">
        <f>(dynamic[orderPrice]-dynamic[productCost])/dynamic[productCost]</f>
        <v>0.591498099</v>
      </c>
      <c r="O2019" s="10">
        <v>100.0</v>
      </c>
      <c r="P2019" s="25">
        <v>0.25</v>
      </c>
      <c r="Q2019" s="9">
        <f>dynamic[orderPrice]*dynamic[orderQuantity]</f>
        <v>1900</v>
      </c>
      <c r="R2019" s="9">
        <f>dynamic[orderTotal]*(1-dynamic[discountApllied])</f>
        <v>1425</v>
      </c>
      <c r="S2019" s="9">
        <f>dynamic[revenue]-(dynamic[productCost]*dynamic[orderQuantity])</f>
        <v>231.1562868</v>
      </c>
      <c r="T2019" s="25">
        <f>IFERROR(dynamic[profit]/dynamic[revenue], 0)</f>
        <v>0.1622149381</v>
      </c>
    </row>
    <row r="2020" ht="15.75" customHeight="1">
      <c r="A2020" s="6">
        <v>11030.0</v>
      </c>
      <c r="B2020" s="7" t="s">
        <v>60</v>
      </c>
      <c r="C2020" s="24" t="str">
        <f>VLOOKUP(dynamic[customerID],customers[],2,FALSE)</f>
        <v>Save-a-lot Markets</v>
      </c>
      <c r="D2020" s="24">
        <v>45399.0</v>
      </c>
      <c r="E2020" s="6">
        <f>IFERROR(__xludf.DUMMYFUNCTION("COUNTUNIQUEIFS($A$2:$A2020,$B$2:$B2020,B2020)"),29.0)</f>
        <v>29</v>
      </c>
      <c r="F2020" s="6">
        <f t="shared" si="1"/>
        <v>11</v>
      </c>
      <c r="G2020" s="6" t="str">
        <f>IF(MINIFS(dynamic[orderDate], dynamic[customerID], B2020) &gt;= DATE(2024,4,30)-120, 
     "New", 
     IF(MAXIFS(dynamic[orderCount], dynamic[customerID], B2020)&lt;=2, 
        IF((DATE(2024,4,30) - MAXIFS(dynamic[orderDate], dynamic[customerID], B2020)) &gt; 180, "Non-Returning", "Dormant"), 
        IF(AND(MAX(dynamic[sinceLastOrder]) &gt; 365, (DATE(2024,4,30) - MAXIFS(dynamic[orderDate], dynamic[customerID], B2020)) &gt; 180), 
           "Dormant", "Regular")))</f>
        <v>Regular</v>
      </c>
      <c r="H2020" s="6">
        <v>5.0</v>
      </c>
      <c r="I2020" s="9" t="str">
        <f>VLOOKUP(dynamic[productID],products[],2,FALSE)</f>
        <v>Chef Anton's Gumbo Mix</v>
      </c>
      <c r="J2020" s="9" t="str">
        <f>VLOOKUP(dynamic[productID],products[],12,FALSE)</f>
        <v>Condiments</v>
      </c>
      <c r="K2020" s="7" t="str">
        <f>IF(VLOOKUP(dynamic[productID],products[],7,FALSE)=1,"Discontinued","Current")</f>
        <v>Discontinued</v>
      </c>
      <c r="L2020" s="9">
        <f>VLOOKUP(dynamic[productID],products[],IF(YEAR(dynamic[orderDate])=2022,8,IF(YEAR(dynamic[orderDate])=2023,9,IF(YEAR(dynamic[orderDate])=2024,10,NA))),FALSE)</f>
        <v>13.96337378</v>
      </c>
      <c r="M2020" s="9">
        <v>21.35</v>
      </c>
      <c r="N2020" s="25">
        <f>(dynamic[orderPrice]-dynamic[productCost])/dynamic[productCost]</f>
        <v>0.5290001069</v>
      </c>
      <c r="O2020" s="10">
        <v>70.0</v>
      </c>
      <c r="P2020" s="25">
        <v>0.0</v>
      </c>
      <c r="Q2020" s="9">
        <f>dynamic[orderPrice]*dynamic[orderQuantity]</f>
        <v>1494.5</v>
      </c>
      <c r="R2020" s="9">
        <f>dynamic[orderTotal]*(1-dynamic[discountApllied])</f>
        <v>1494.5</v>
      </c>
      <c r="S2020" s="9">
        <f>dynamic[revenue]-(dynamic[productCost]*dynamic[orderQuantity])</f>
        <v>517.0638355</v>
      </c>
      <c r="T2020" s="25">
        <f>IFERROR(dynamic[profit]/dynamic[revenue], 0)</f>
        <v>0.345977809</v>
      </c>
    </row>
    <row r="2021" ht="15.75" customHeight="1">
      <c r="A2021" s="6">
        <v>11030.0</v>
      </c>
      <c r="B2021" s="7" t="s">
        <v>60</v>
      </c>
      <c r="C2021" s="24" t="str">
        <f>VLOOKUP(dynamic[customerID],customers[],2,FALSE)</f>
        <v>Save-a-lot Markets</v>
      </c>
      <c r="D2021" s="24">
        <v>45399.0</v>
      </c>
      <c r="E2021" s="6">
        <f>IFERROR(__xludf.DUMMYFUNCTION("COUNTUNIQUEIFS($A$2:$A2021,$B$2:$B2021,B2021)"),29.0)</f>
        <v>29</v>
      </c>
      <c r="F2021" s="6">
        <f t="shared" si="1"/>
        <v>11</v>
      </c>
      <c r="G2021" s="6" t="str">
        <f>IF(MINIFS(dynamic[orderDate], dynamic[customerID], B2021) &gt;= DATE(2024,4,30)-120, 
     "New", 
     IF(MAXIFS(dynamic[orderCount], dynamic[customerID], B2021)&lt;=2, 
        IF((DATE(2024,4,30) - MAXIFS(dynamic[orderDate], dynamic[customerID], B2021)) &gt; 180, "Non-Returning", "Dormant"), 
        IF(AND(MAX(dynamic[sinceLastOrder]) &gt; 365, (DATE(2024,4,30) - MAXIFS(dynamic[orderDate], dynamic[customerID], B2021)) &gt; 180), 
           "Dormant", "Regular")))</f>
        <v>Regular</v>
      </c>
      <c r="H2021" s="6">
        <v>29.0</v>
      </c>
      <c r="I2021" s="9" t="str">
        <f>VLOOKUP(dynamic[productID],products[],2,FALSE)</f>
        <v>Thüringer Rostbratwurst</v>
      </c>
      <c r="J2021" s="9" t="str">
        <f>VLOOKUP(dynamic[productID],products[],12,FALSE)</f>
        <v>Meat/Poultry</v>
      </c>
      <c r="K2021" s="7" t="str">
        <f>IF(VLOOKUP(dynamic[productID],products[],7,FALSE)=1,"Discontinued","Current")</f>
        <v>Discontinued</v>
      </c>
      <c r="L2021" s="9">
        <f>VLOOKUP(dynamic[productID],products[],IF(YEAR(dynamic[orderDate])=2022,8,IF(YEAR(dynamic[orderDate])=2023,9,IF(YEAR(dynamic[orderDate])=2024,10,NA))),FALSE)</f>
        <v>80.14595973</v>
      </c>
      <c r="M2021" s="9">
        <v>123.79</v>
      </c>
      <c r="N2021" s="25">
        <f>(dynamic[orderPrice]-dynamic[productCost])/dynamic[productCost]</f>
        <v>0.544556961</v>
      </c>
      <c r="O2021" s="10">
        <v>60.0</v>
      </c>
      <c r="P2021" s="25">
        <v>0.25</v>
      </c>
      <c r="Q2021" s="9">
        <f>dynamic[orderPrice]*dynamic[orderQuantity]</f>
        <v>7427.4</v>
      </c>
      <c r="R2021" s="9">
        <f>dynamic[orderTotal]*(1-dynamic[discountApllied])</f>
        <v>5570.55</v>
      </c>
      <c r="S2021" s="9">
        <f>dynamic[revenue]-(dynamic[productCost]*dynamic[orderQuantity])</f>
        <v>761.7924159</v>
      </c>
      <c r="T2021" s="25">
        <f>IFERROR(dynamic[profit]/dynamic[revenue], 0)</f>
        <v>0.1367535371</v>
      </c>
    </row>
    <row r="2022" ht="15.75" customHeight="1">
      <c r="A2022" s="6">
        <v>11030.0</v>
      </c>
      <c r="B2022" s="7" t="s">
        <v>60</v>
      </c>
      <c r="C2022" s="24" t="str">
        <f>VLOOKUP(dynamic[customerID],customers[],2,FALSE)</f>
        <v>Save-a-lot Markets</v>
      </c>
      <c r="D2022" s="24">
        <v>45399.0</v>
      </c>
      <c r="E2022" s="6">
        <f>IFERROR(__xludf.DUMMYFUNCTION("COUNTUNIQUEIFS($A$2:$A2022,$B$2:$B2022,B2022)"),29.0)</f>
        <v>29</v>
      </c>
      <c r="F2022" s="6">
        <f t="shared" si="1"/>
        <v>11</v>
      </c>
      <c r="G2022" s="6" t="str">
        <f>IF(MINIFS(dynamic[orderDate], dynamic[customerID], B2022) &gt;= DATE(2024,4,30)-120, 
     "New", 
     IF(MAXIFS(dynamic[orderCount], dynamic[customerID], B2022)&lt;=2, 
        IF((DATE(2024,4,30) - MAXIFS(dynamic[orderDate], dynamic[customerID], B2022)) &gt; 180, "Non-Returning", "Dormant"), 
        IF(AND(MAX(dynamic[sinceLastOrder]) &gt; 365, (DATE(2024,4,30) - MAXIFS(dynamic[orderDate], dynamic[customerID], B2022)) &gt; 180), 
           "Dormant", "Regular")))</f>
        <v>Regular</v>
      </c>
      <c r="H2022" s="6">
        <v>59.0</v>
      </c>
      <c r="I2022" s="9" t="str">
        <f>VLOOKUP(dynamic[productID],products[],2,FALSE)</f>
        <v>Raclette Courdavault</v>
      </c>
      <c r="J2022" s="9" t="str">
        <f>VLOOKUP(dynamic[productID],products[],12,FALSE)</f>
        <v>Dairy Products</v>
      </c>
      <c r="K2022" s="7" t="str">
        <f>IF(VLOOKUP(dynamic[productID],products[],7,FALSE)=1,"Discontinued","Current")</f>
        <v>Current</v>
      </c>
      <c r="L2022" s="9">
        <f>VLOOKUP(dynamic[productID],products[],IF(YEAR(dynamic[orderDate])=2022,8,IF(YEAR(dynamic[orderDate])=2023,9,IF(YEAR(dynamic[orderDate])=2024,10,NA))),FALSE)</f>
        <v>36.74863711</v>
      </c>
      <c r="M2022" s="9">
        <v>55.0</v>
      </c>
      <c r="N2022" s="25">
        <f>(dynamic[orderPrice]-dynamic[productCost])/dynamic[productCost]</f>
        <v>0.4966541435</v>
      </c>
      <c r="O2022" s="10">
        <v>100.0</v>
      </c>
      <c r="P2022" s="25">
        <v>0.25</v>
      </c>
      <c r="Q2022" s="9">
        <f>dynamic[orderPrice]*dynamic[orderQuantity]</f>
        <v>5500</v>
      </c>
      <c r="R2022" s="9">
        <f>dynamic[orderTotal]*(1-dynamic[discountApllied])</f>
        <v>4125</v>
      </c>
      <c r="S2022" s="9">
        <f>dynamic[revenue]-(dynamic[productCost]*dynamic[orderQuantity])</f>
        <v>450.136289</v>
      </c>
      <c r="T2022" s="25">
        <f>IFERROR(dynamic[profit]/dynamic[revenue], 0)</f>
        <v>0.1091239488</v>
      </c>
    </row>
    <row r="2023" ht="15.75" customHeight="1">
      <c r="A2023" s="6">
        <v>11031.0</v>
      </c>
      <c r="B2023" s="7" t="s">
        <v>60</v>
      </c>
      <c r="C2023" s="24" t="str">
        <f>VLOOKUP(dynamic[customerID],customers[],2,FALSE)</f>
        <v>Save-a-lot Markets</v>
      </c>
      <c r="D2023" s="24">
        <v>45399.0</v>
      </c>
      <c r="E2023" s="6">
        <f>IFERROR(__xludf.DUMMYFUNCTION("COUNTUNIQUEIFS($A$2:$A2023,$B$2:$B2023,B2023)"),30.0)</f>
        <v>30</v>
      </c>
      <c r="F2023" s="6">
        <f t="shared" si="1"/>
        <v>0</v>
      </c>
      <c r="G2023" s="6" t="str">
        <f>IF(MINIFS(dynamic[orderDate], dynamic[customerID], B2023) &gt;= DATE(2024,4,30)-120, 
     "New", 
     IF(MAXIFS(dynamic[orderCount], dynamic[customerID], B2023)&lt;=2, 
        IF((DATE(2024,4,30) - MAXIFS(dynamic[orderDate], dynamic[customerID], B2023)) &gt; 180, "Non-Returning", "Dormant"), 
        IF(AND(MAX(dynamic[sinceLastOrder]) &gt; 365, (DATE(2024,4,30) - MAXIFS(dynamic[orderDate], dynamic[customerID], B2023)) &gt; 180), 
           "Dormant", "Regular")))</f>
        <v>Regular</v>
      </c>
      <c r="H2023" s="6">
        <v>1.0</v>
      </c>
      <c r="I2023" s="9" t="str">
        <f>VLOOKUP(dynamic[productID],products[],2,FALSE)</f>
        <v>Chai</v>
      </c>
      <c r="J2023" s="9" t="str">
        <f>VLOOKUP(dynamic[productID],products[],12,FALSE)</f>
        <v>Beverages</v>
      </c>
      <c r="K2023" s="7" t="str">
        <f>IF(VLOOKUP(dynamic[productID],products[],7,FALSE)=1,"Discontinued","Current")</f>
        <v>Current</v>
      </c>
      <c r="L2023" s="9">
        <f>VLOOKUP(dynamic[productID],products[],IF(YEAR(dynamic[orderDate])=2022,8,IF(YEAR(dynamic[orderDate])=2023,9,IF(YEAR(dynamic[orderDate])=2024,10,NA))),FALSE)</f>
        <v>12.17757454</v>
      </c>
      <c r="M2023" s="9">
        <v>18.0</v>
      </c>
      <c r="N2023" s="25">
        <f>(dynamic[orderPrice]-dynamic[productCost])/dynamic[productCost]</f>
        <v>0.4781268584</v>
      </c>
      <c r="O2023" s="10">
        <v>45.0</v>
      </c>
      <c r="P2023" s="25">
        <v>0.0</v>
      </c>
      <c r="Q2023" s="9">
        <f>dynamic[orderPrice]*dynamic[orderQuantity]</f>
        <v>810</v>
      </c>
      <c r="R2023" s="9">
        <f>dynamic[orderTotal]*(1-dynamic[discountApllied])</f>
        <v>810</v>
      </c>
      <c r="S2023" s="9">
        <f>dynamic[revenue]-(dynamic[productCost]*dynamic[orderQuantity])</f>
        <v>262.0091456</v>
      </c>
      <c r="T2023" s="25">
        <f>IFERROR(dynamic[profit]/dynamic[revenue], 0)</f>
        <v>0.323468081</v>
      </c>
    </row>
    <row r="2024" ht="15.75" customHeight="1">
      <c r="A2024" s="6">
        <v>11031.0</v>
      </c>
      <c r="B2024" s="7" t="s">
        <v>60</v>
      </c>
      <c r="C2024" s="24" t="str">
        <f>VLOOKUP(dynamic[customerID],customers[],2,FALSE)</f>
        <v>Save-a-lot Markets</v>
      </c>
      <c r="D2024" s="24">
        <v>45399.0</v>
      </c>
      <c r="E2024" s="6">
        <f>IFERROR(__xludf.DUMMYFUNCTION("COUNTUNIQUEIFS($A$2:$A2024,$B$2:$B2024,B2024)"),30.0)</f>
        <v>30</v>
      </c>
      <c r="F2024" s="6">
        <f t="shared" si="1"/>
        <v>0</v>
      </c>
      <c r="G2024" s="6" t="str">
        <f>IF(MINIFS(dynamic[orderDate], dynamic[customerID], B2024) &gt;= DATE(2024,4,30)-120, 
     "New", 
     IF(MAXIFS(dynamic[orderCount], dynamic[customerID], B2024)&lt;=2, 
        IF((DATE(2024,4,30) - MAXIFS(dynamic[orderDate], dynamic[customerID], B2024)) &gt; 180, "Non-Returning", "Dormant"), 
        IF(AND(MAX(dynamic[sinceLastOrder]) &gt; 365, (DATE(2024,4,30) - MAXIFS(dynamic[orderDate], dynamic[customerID], B2024)) &gt; 180), 
           "Dormant", "Regular")))</f>
        <v>Regular</v>
      </c>
      <c r="H2024" s="6">
        <v>13.0</v>
      </c>
      <c r="I2024" s="9" t="str">
        <f>VLOOKUP(dynamic[productID],products[],2,FALSE)</f>
        <v>Konbu</v>
      </c>
      <c r="J2024" s="9" t="str">
        <f>VLOOKUP(dynamic[productID],products[],12,FALSE)</f>
        <v>Seafood</v>
      </c>
      <c r="K2024" s="7" t="str">
        <f>IF(VLOOKUP(dynamic[productID],products[],7,FALSE)=1,"Discontinued","Current")</f>
        <v>Current</v>
      </c>
      <c r="L2024" s="9">
        <f>VLOOKUP(dynamic[productID],products[],IF(YEAR(dynamic[orderDate])=2022,8,IF(YEAR(dynamic[orderDate])=2023,9,IF(YEAR(dynamic[orderDate])=2024,10,NA))),FALSE)</f>
        <v>3.966387047</v>
      </c>
      <c r="M2024" s="9">
        <v>6.0</v>
      </c>
      <c r="N2024" s="25">
        <f>(dynamic[orderPrice]-dynamic[productCost])/dynamic[productCost]</f>
        <v>0.5127116768</v>
      </c>
      <c r="O2024" s="10">
        <v>80.0</v>
      </c>
      <c r="P2024" s="25">
        <v>0.0</v>
      </c>
      <c r="Q2024" s="9">
        <f>dynamic[orderPrice]*dynamic[orderQuantity]</f>
        <v>480</v>
      </c>
      <c r="R2024" s="9">
        <f>dynamic[orderTotal]*(1-dynamic[discountApllied])</f>
        <v>480</v>
      </c>
      <c r="S2024" s="9">
        <f>dynamic[revenue]-(dynamic[productCost]*dynamic[orderQuantity])</f>
        <v>162.6890363</v>
      </c>
      <c r="T2024" s="25">
        <f>IFERROR(dynamic[profit]/dynamic[revenue], 0)</f>
        <v>0.3389354922</v>
      </c>
    </row>
    <row r="2025" ht="15.75" customHeight="1">
      <c r="A2025" s="6">
        <v>11031.0</v>
      </c>
      <c r="B2025" s="7" t="s">
        <v>60</v>
      </c>
      <c r="C2025" s="24" t="str">
        <f>VLOOKUP(dynamic[customerID],customers[],2,FALSE)</f>
        <v>Save-a-lot Markets</v>
      </c>
      <c r="D2025" s="24">
        <v>45399.0</v>
      </c>
      <c r="E2025" s="6">
        <f>IFERROR(__xludf.DUMMYFUNCTION("COUNTUNIQUEIFS($A$2:$A2025,$B$2:$B2025,B2025)"),30.0)</f>
        <v>30</v>
      </c>
      <c r="F2025" s="6">
        <f t="shared" si="1"/>
        <v>0</v>
      </c>
      <c r="G2025" s="6" t="str">
        <f>IF(MINIFS(dynamic[orderDate], dynamic[customerID], B2025) &gt;= DATE(2024,4,30)-120, 
     "New", 
     IF(MAXIFS(dynamic[orderCount], dynamic[customerID], B2025)&lt;=2, 
        IF((DATE(2024,4,30) - MAXIFS(dynamic[orderDate], dynamic[customerID], B2025)) &gt; 180, "Non-Returning", "Dormant"), 
        IF(AND(MAX(dynamic[sinceLastOrder]) &gt; 365, (DATE(2024,4,30) - MAXIFS(dynamic[orderDate], dynamic[customerID], B2025)) &gt; 180), 
           "Dormant", "Regular")))</f>
        <v>Regular</v>
      </c>
      <c r="H2025" s="6">
        <v>24.0</v>
      </c>
      <c r="I2025" s="9" t="str">
        <f>VLOOKUP(dynamic[productID],products[],2,FALSE)</f>
        <v>Brigadeiros Maravilhosos da Lilian</v>
      </c>
      <c r="J2025" s="9" t="str">
        <f>VLOOKUP(dynamic[productID],products[],12,FALSE)</f>
        <v>Confections</v>
      </c>
      <c r="K2025" s="7" t="str">
        <f>IF(VLOOKUP(dynamic[productID],products[],7,FALSE)=1,"Discontinued","Current")</f>
        <v>Discontinued</v>
      </c>
      <c r="L2025" s="9">
        <f>VLOOKUP(dynamic[productID],products[],IF(YEAR(dynamic[orderDate])=2022,8,IF(YEAR(dynamic[orderDate])=2023,9,IF(YEAR(dynamic[orderDate])=2024,10,NA))),FALSE)</f>
        <v>3.177326315</v>
      </c>
      <c r="M2025" s="9">
        <v>4.5</v>
      </c>
      <c r="N2025" s="25">
        <f>(dynamic[orderPrice]-dynamic[productCost])/dynamic[productCost]</f>
        <v>0.416285126</v>
      </c>
      <c r="O2025" s="10">
        <v>21.0</v>
      </c>
      <c r="P2025" s="25">
        <v>0.0</v>
      </c>
      <c r="Q2025" s="9">
        <f>dynamic[orderPrice]*dynamic[orderQuantity]</f>
        <v>94.5</v>
      </c>
      <c r="R2025" s="9">
        <f>dynamic[orderTotal]*(1-dynamic[discountApllied])</f>
        <v>94.5</v>
      </c>
      <c r="S2025" s="9">
        <f>dynamic[revenue]-(dynamic[productCost]*dynamic[orderQuantity])</f>
        <v>27.77614739</v>
      </c>
      <c r="T2025" s="25">
        <f>IFERROR(dynamic[profit]/dynamic[revenue], 0)</f>
        <v>0.2939274856</v>
      </c>
    </row>
    <row r="2026" ht="15.75" customHeight="1">
      <c r="A2026" s="6">
        <v>11031.0</v>
      </c>
      <c r="B2026" s="7" t="s">
        <v>60</v>
      </c>
      <c r="C2026" s="24" t="str">
        <f>VLOOKUP(dynamic[customerID],customers[],2,FALSE)</f>
        <v>Save-a-lot Markets</v>
      </c>
      <c r="D2026" s="24">
        <v>45399.0</v>
      </c>
      <c r="E2026" s="6">
        <f>IFERROR(__xludf.DUMMYFUNCTION("COUNTUNIQUEIFS($A$2:$A2026,$B$2:$B2026,B2026)"),30.0)</f>
        <v>30</v>
      </c>
      <c r="F2026" s="6">
        <f t="shared" si="1"/>
        <v>0</v>
      </c>
      <c r="G2026" s="6" t="str">
        <f>IF(MINIFS(dynamic[orderDate], dynamic[customerID], B2026) &gt;= DATE(2024,4,30)-120, 
     "New", 
     IF(MAXIFS(dynamic[orderCount], dynamic[customerID], B2026)&lt;=2, 
        IF((DATE(2024,4,30) - MAXIFS(dynamic[orderDate], dynamic[customerID], B2026)) &gt; 180, "Non-Returning", "Dormant"), 
        IF(AND(MAX(dynamic[sinceLastOrder]) &gt; 365, (DATE(2024,4,30) - MAXIFS(dynamic[orderDate], dynamic[customerID], B2026)) &gt; 180), 
           "Dormant", "Regular")))</f>
        <v>Regular</v>
      </c>
      <c r="H2026" s="6">
        <v>64.0</v>
      </c>
      <c r="I2026" s="9" t="str">
        <f>VLOOKUP(dynamic[productID],products[],2,FALSE)</f>
        <v>Lukas' leckere Sauerteigweggla</v>
      </c>
      <c r="J2026" s="9" t="str">
        <f>VLOOKUP(dynamic[productID],products[],12,FALSE)</f>
        <v>Grains/Cereals</v>
      </c>
      <c r="K2026" s="7" t="str">
        <f>IF(VLOOKUP(dynamic[productID],products[],7,FALSE)=1,"Discontinued","Current")</f>
        <v>Current</v>
      </c>
      <c r="L2026" s="9">
        <f>VLOOKUP(dynamic[productID],products[],IF(YEAR(dynamic[orderDate])=2022,8,IF(YEAR(dynamic[orderDate])=2023,9,IF(YEAR(dynamic[orderDate])=2024,10,NA))),FALSE)</f>
        <v>22.72434276</v>
      </c>
      <c r="M2026" s="9">
        <v>33.25</v>
      </c>
      <c r="N2026" s="25">
        <f>(dynamic[orderPrice]-dynamic[productCost])/dynamic[productCost]</f>
        <v>0.4631886324</v>
      </c>
      <c r="O2026" s="10">
        <v>20.0</v>
      </c>
      <c r="P2026" s="25">
        <v>0.0</v>
      </c>
      <c r="Q2026" s="9">
        <f>dynamic[orderPrice]*dynamic[orderQuantity]</f>
        <v>665</v>
      </c>
      <c r="R2026" s="9">
        <f>dynamic[orderTotal]*(1-dynamic[discountApllied])</f>
        <v>665</v>
      </c>
      <c r="S2026" s="9">
        <f>dynamic[revenue]-(dynamic[productCost]*dynamic[orderQuantity])</f>
        <v>210.5131449</v>
      </c>
      <c r="T2026" s="25">
        <f>IFERROR(dynamic[profit]/dynamic[revenue], 0)</f>
        <v>0.3165611201</v>
      </c>
    </row>
    <row r="2027" ht="15.75" customHeight="1">
      <c r="A2027" s="6">
        <v>11031.0</v>
      </c>
      <c r="B2027" s="7" t="s">
        <v>60</v>
      </c>
      <c r="C2027" s="24" t="str">
        <f>VLOOKUP(dynamic[customerID],customers[],2,FALSE)</f>
        <v>Save-a-lot Markets</v>
      </c>
      <c r="D2027" s="24">
        <v>45399.0</v>
      </c>
      <c r="E2027" s="6">
        <f>IFERROR(__xludf.DUMMYFUNCTION("COUNTUNIQUEIFS($A$2:$A2027,$B$2:$B2027,B2027)"),30.0)</f>
        <v>30</v>
      </c>
      <c r="F2027" s="6">
        <f t="shared" si="1"/>
        <v>0</v>
      </c>
      <c r="G2027" s="6" t="str">
        <f>IF(MINIFS(dynamic[orderDate], dynamic[customerID], B2027) &gt;= DATE(2024,4,30)-120, 
     "New", 
     IF(MAXIFS(dynamic[orderCount], dynamic[customerID], B2027)&lt;=2, 
        IF((DATE(2024,4,30) - MAXIFS(dynamic[orderDate], dynamic[customerID], B2027)) &gt; 180, "Non-Returning", "Dormant"), 
        IF(AND(MAX(dynamic[sinceLastOrder]) &gt; 365, (DATE(2024,4,30) - MAXIFS(dynamic[orderDate], dynamic[customerID], B2027)) &gt; 180), 
           "Dormant", "Regular")))</f>
        <v>Regular</v>
      </c>
      <c r="H2027" s="6">
        <v>71.0</v>
      </c>
      <c r="I2027" s="9" t="str">
        <f>VLOOKUP(dynamic[productID],products[],2,FALSE)</f>
        <v>Flotemysost</v>
      </c>
      <c r="J2027" s="9" t="str">
        <f>VLOOKUP(dynamic[productID],products[],12,FALSE)</f>
        <v>Dairy Products</v>
      </c>
      <c r="K2027" s="7" t="str">
        <f>IF(VLOOKUP(dynamic[productID],products[],7,FALSE)=1,"Discontinued","Current")</f>
        <v>Current</v>
      </c>
      <c r="L2027" s="9">
        <f>VLOOKUP(dynamic[productID],products[],IF(YEAR(dynamic[orderDate])=2022,8,IF(YEAR(dynamic[orderDate])=2023,9,IF(YEAR(dynamic[orderDate])=2024,10,NA))),FALSE)</f>
        <v>14.20977576</v>
      </c>
      <c r="M2027" s="9">
        <v>21.5</v>
      </c>
      <c r="N2027" s="25">
        <f>(dynamic[orderPrice]-dynamic[productCost])/dynamic[productCost]</f>
        <v>0.5130428769</v>
      </c>
      <c r="O2027" s="10">
        <v>16.0</v>
      </c>
      <c r="P2027" s="25">
        <v>0.0</v>
      </c>
      <c r="Q2027" s="9">
        <f>dynamic[orderPrice]*dynamic[orderQuantity]</f>
        <v>344</v>
      </c>
      <c r="R2027" s="9">
        <f>dynamic[orderTotal]*(1-dynamic[discountApllied])</f>
        <v>344</v>
      </c>
      <c r="S2027" s="9">
        <f>dynamic[revenue]-(dynamic[productCost]*dynamic[orderQuantity])</f>
        <v>116.6435878</v>
      </c>
      <c r="T2027" s="25">
        <f>IFERROR(dynamic[profit]/dynamic[revenue], 0)</f>
        <v>0.3390801971</v>
      </c>
    </row>
    <row r="2028" ht="15.75" customHeight="1">
      <c r="A2028" s="6">
        <v>11032.0</v>
      </c>
      <c r="B2028" s="7" t="s">
        <v>34</v>
      </c>
      <c r="C2028" s="24" t="str">
        <f>VLOOKUP(dynamic[customerID],customers[],2,FALSE)</f>
        <v>White Clover Markets</v>
      </c>
      <c r="D2028" s="24">
        <v>45399.0</v>
      </c>
      <c r="E2028" s="6">
        <f>IFERROR(__xludf.DUMMYFUNCTION("COUNTUNIQUEIFS($A$2:$A2028,$B$2:$B2028,B2028)"),13.0)</f>
        <v>13</v>
      </c>
      <c r="F2028" s="6">
        <f t="shared" si="1"/>
        <v>53</v>
      </c>
      <c r="G2028" s="6" t="str">
        <f>IF(MINIFS(dynamic[orderDate], dynamic[customerID], B2028) &gt;= DATE(2024,4,30)-120, 
     "New", 
     IF(MAXIFS(dynamic[orderCount], dynamic[customerID], B2028)&lt;=2, 
        IF((DATE(2024,4,30) - MAXIFS(dynamic[orderDate], dynamic[customerID], B2028)) &gt; 180, "Non-Returning", "Dormant"), 
        IF(AND(MAX(dynamic[sinceLastOrder]) &gt; 365, (DATE(2024,4,30) - MAXIFS(dynamic[orderDate], dynamic[customerID], B2028)) &gt; 180), 
           "Dormant", "Regular")))</f>
        <v>Regular</v>
      </c>
      <c r="H2028" s="6">
        <v>36.0</v>
      </c>
      <c r="I2028" s="9" t="str">
        <f>VLOOKUP(dynamic[productID],products[],2,FALSE)</f>
        <v>Inlagd Sill</v>
      </c>
      <c r="J2028" s="9" t="str">
        <f>VLOOKUP(dynamic[productID],products[],12,FALSE)</f>
        <v>Seafood</v>
      </c>
      <c r="K2028" s="7" t="str">
        <f>IF(VLOOKUP(dynamic[productID],products[],7,FALSE)=1,"Discontinued","Current")</f>
        <v>Current</v>
      </c>
      <c r="L2028" s="9">
        <f>VLOOKUP(dynamic[productID],products[],IF(YEAR(dynamic[orderDate])=2022,8,IF(YEAR(dynamic[orderDate])=2023,9,IF(YEAR(dynamic[orderDate])=2024,10,NA))),FALSE)</f>
        <v>11.68525366</v>
      </c>
      <c r="M2028" s="9">
        <v>19.0</v>
      </c>
      <c r="N2028" s="25">
        <f>(dynamic[orderPrice]-dynamic[productCost])/dynamic[productCost]</f>
        <v>0.6259809637</v>
      </c>
      <c r="O2028" s="10">
        <v>35.0</v>
      </c>
      <c r="P2028" s="25">
        <v>0.0</v>
      </c>
      <c r="Q2028" s="9">
        <f>dynamic[orderPrice]*dynamic[orderQuantity]</f>
        <v>665</v>
      </c>
      <c r="R2028" s="9">
        <f>dynamic[orderTotal]*(1-dynamic[discountApllied])</f>
        <v>665</v>
      </c>
      <c r="S2028" s="9">
        <f>dynamic[revenue]-(dynamic[productCost]*dynamic[orderQuantity])</f>
        <v>256.0161221</v>
      </c>
      <c r="T2028" s="25">
        <f>IFERROR(dynamic[profit]/dynamic[revenue], 0)</f>
        <v>0.3849866497</v>
      </c>
    </row>
    <row r="2029" ht="15.75" customHeight="1">
      <c r="A2029" s="6">
        <v>11032.0</v>
      </c>
      <c r="B2029" s="7" t="s">
        <v>34</v>
      </c>
      <c r="C2029" s="24" t="str">
        <f>VLOOKUP(dynamic[customerID],customers[],2,FALSE)</f>
        <v>White Clover Markets</v>
      </c>
      <c r="D2029" s="24">
        <v>45399.0</v>
      </c>
      <c r="E2029" s="6">
        <f>IFERROR(__xludf.DUMMYFUNCTION("COUNTUNIQUEIFS($A$2:$A2029,$B$2:$B2029,B2029)"),13.0)</f>
        <v>13</v>
      </c>
      <c r="F2029" s="6">
        <f t="shared" si="1"/>
        <v>53</v>
      </c>
      <c r="G2029" s="6" t="str">
        <f>IF(MINIFS(dynamic[orderDate], dynamic[customerID], B2029) &gt;= DATE(2024,4,30)-120, 
     "New", 
     IF(MAXIFS(dynamic[orderCount], dynamic[customerID], B2029)&lt;=2, 
        IF((DATE(2024,4,30) - MAXIFS(dynamic[orderDate], dynamic[customerID], B2029)) &gt; 180, "Non-Returning", "Dormant"), 
        IF(AND(MAX(dynamic[sinceLastOrder]) &gt; 365, (DATE(2024,4,30) - MAXIFS(dynamic[orderDate], dynamic[customerID], B2029)) &gt; 180), 
           "Dormant", "Regular")))</f>
        <v>Regular</v>
      </c>
      <c r="H2029" s="6">
        <v>38.0</v>
      </c>
      <c r="I2029" s="9" t="str">
        <f>VLOOKUP(dynamic[productID],products[],2,FALSE)</f>
        <v>Côte de Blaye</v>
      </c>
      <c r="J2029" s="9" t="str">
        <f>VLOOKUP(dynamic[productID],products[],12,FALSE)</f>
        <v>Beverages</v>
      </c>
      <c r="K2029" s="7" t="str">
        <f>IF(VLOOKUP(dynamic[productID],products[],7,FALSE)=1,"Discontinued","Current")</f>
        <v>Current</v>
      </c>
      <c r="L2029" s="9">
        <f>VLOOKUP(dynamic[productID],products[],IF(YEAR(dynamic[orderDate])=2022,8,IF(YEAR(dynamic[orderDate])=2023,9,IF(YEAR(dynamic[orderDate])=2024,10,NA))),FALSE)</f>
        <v>192.1798413</v>
      </c>
      <c r="M2029" s="9">
        <v>263.5</v>
      </c>
      <c r="N2029" s="25">
        <f>(dynamic[orderPrice]-dynamic[productCost])/dynamic[productCost]</f>
        <v>0.3711115493</v>
      </c>
      <c r="O2029" s="10">
        <v>25.0</v>
      </c>
      <c r="P2029" s="25">
        <v>0.0</v>
      </c>
      <c r="Q2029" s="9">
        <f>dynamic[orderPrice]*dynamic[orderQuantity]</f>
        <v>6587.5</v>
      </c>
      <c r="R2029" s="9">
        <f>dynamic[orderTotal]*(1-dynamic[discountApllied])</f>
        <v>6587.5</v>
      </c>
      <c r="S2029" s="9">
        <f>dynamic[revenue]-(dynamic[productCost]*dynamic[orderQuantity])</f>
        <v>1783.003967</v>
      </c>
      <c r="T2029" s="25">
        <f>IFERROR(dynamic[profit]/dynamic[revenue], 0)</f>
        <v>0.2706647388</v>
      </c>
    </row>
    <row r="2030" ht="15.75" customHeight="1">
      <c r="A2030" s="6">
        <v>11032.0</v>
      </c>
      <c r="B2030" s="7" t="s">
        <v>34</v>
      </c>
      <c r="C2030" s="24" t="str">
        <f>VLOOKUP(dynamic[customerID],customers[],2,FALSE)</f>
        <v>White Clover Markets</v>
      </c>
      <c r="D2030" s="24">
        <v>45399.0</v>
      </c>
      <c r="E2030" s="6">
        <f>IFERROR(__xludf.DUMMYFUNCTION("COUNTUNIQUEIFS($A$2:$A2030,$B$2:$B2030,B2030)"),13.0)</f>
        <v>13</v>
      </c>
      <c r="F2030" s="6">
        <f t="shared" si="1"/>
        <v>53</v>
      </c>
      <c r="G2030" s="6" t="str">
        <f>IF(MINIFS(dynamic[orderDate], dynamic[customerID], B2030) &gt;= DATE(2024,4,30)-120, 
     "New", 
     IF(MAXIFS(dynamic[orderCount], dynamic[customerID], B2030)&lt;=2, 
        IF((DATE(2024,4,30) - MAXIFS(dynamic[orderDate], dynamic[customerID], B2030)) &gt; 180, "Non-Returning", "Dormant"), 
        IF(AND(MAX(dynamic[sinceLastOrder]) &gt; 365, (DATE(2024,4,30) - MAXIFS(dynamic[orderDate], dynamic[customerID], B2030)) &gt; 180), 
           "Dormant", "Regular")))</f>
        <v>Regular</v>
      </c>
      <c r="H2030" s="6">
        <v>59.0</v>
      </c>
      <c r="I2030" s="9" t="str">
        <f>VLOOKUP(dynamic[productID],products[],2,FALSE)</f>
        <v>Raclette Courdavault</v>
      </c>
      <c r="J2030" s="9" t="str">
        <f>VLOOKUP(dynamic[productID],products[],12,FALSE)</f>
        <v>Dairy Products</v>
      </c>
      <c r="K2030" s="7" t="str">
        <f>IF(VLOOKUP(dynamic[productID],products[],7,FALSE)=1,"Discontinued","Current")</f>
        <v>Current</v>
      </c>
      <c r="L2030" s="9">
        <f>VLOOKUP(dynamic[productID],products[],IF(YEAR(dynamic[orderDate])=2022,8,IF(YEAR(dynamic[orderDate])=2023,9,IF(YEAR(dynamic[orderDate])=2024,10,NA))),FALSE)</f>
        <v>36.74863711</v>
      </c>
      <c r="M2030" s="9">
        <v>55.0</v>
      </c>
      <c r="N2030" s="25">
        <f>(dynamic[orderPrice]-dynamic[productCost])/dynamic[productCost]</f>
        <v>0.4966541435</v>
      </c>
      <c r="O2030" s="10">
        <v>30.0</v>
      </c>
      <c r="P2030" s="25">
        <v>0.0</v>
      </c>
      <c r="Q2030" s="9">
        <f>dynamic[orderPrice]*dynamic[orderQuantity]</f>
        <v>1650</v>
      </c>
      <c r="R2030" s="9">
        <f>dynamic[orderTotal]*(1-dynamic[discountApllied])</f>
        <v>1650</v>
      </c>
      <c r="S2030" s="9">
        <f>dynamic[revenue]-(dynamic[productCost]*dynamic[orderQuantity])</f>
        <v>547.5408867</v>
      </c>
      <c r="T2030" s="25">
        <f>IFERROR(dynamic[profit]/dynamic[revenue], 0)</f>
        <v>0.3318429616</v>
      </c>
    </row>
    <row r="2031" ht="15.75" customHeight="1">
      <c r="A2031" s="6">
        <v>11033.0</v>
      </c>
      <c r="B2031" s="7" t="s">
        <v>21</v>
      </c>
      <c r="C2031" s="24" t="str">
        <f>VLOOKUP(dynamic[customerID],customers[],2,FALSE)</f>
        <v>Richter Supermarkt</v>
      </c>
      <c r="D2031" s="24">
        <v>45399.0</v>
      </c>
      <c r="E2031" s="6">
        <f>IFERROR(__xludf.DUMMYFUNCTION("COUNTUNIQUEIFS($A$2:$A2031,$B$2:$B2031,B2031)"),9.0)</f>
        <v>9</v>
      </c>
      <c r="F2031" s="6">
        <f t="shared" si="1"/>
        <v>32</v>
      </c>
      <c r="G2031" s="6" t="str">
        <f>IF(MINIFS(dynamic[orderDate], dynamic[customerID], B2031) &gt;= DATE(2024,4,30)-120, 
     "New", 
     IF(MAXIFS(dynamic[orderCount], dynamic[customerID], B2031)&lt;=2, 
        IF((DATE(2024,4,30) - MAXIFS(dynamic[orderDate], dynamic[customerID], B2031)) &gt; 180, "Non-Returning", "Dormant"), 
        IF(AND(MAX(dynamic[sinceLastOrder]) &gt; 365, (DATE(2024,4,30) - MAXIFS(dynamic[orderDate], dynamic[customerID], B2031)) &gt; 180), 
           "Dormant", "Regular")))</f>
        <v>Regular</v>
      </c>
      <c r="H2031" s="6">
        <v>53.0</v>
      </c>
      <c r="I2031" s="9" t="str">
        <f>VLOOKUP(dynamic[productID],products[],2,FALSE)</f>
        <v>Perth Pasties</v>
      </c>
      <c r="J2031" s="9" t="str">
        <f>VLOOKUP(dynamic[productID],products[],12,FALSE)</f>
        <v>Meat/Poultry</v>
      </c>
      <c r="K2031" s="7" t="str">
        <f>IF(VLOOKUP(dynamic[productID],products[],7,FALSE)=1,"Discontinued","Current")</f>
        <v>Discontinued</v>
      </c>
      <c r="L2031" s="9">
        <f>VLOOKUP(dynamic[productID],products[],IF(YEAR(dynamic[orderDate])=2022,8,IF(YEAR(dynamic[orderDate])=2023,9,IF(YEAR(dynamic[orderDate])=2024,10,NA))),FALSE)</f>
        <v>22.92637057</v>
      </c>
      <c r="M2031" s="9">
        <v>32.8</v>
      </c>
      <c r="N2031" s="25">
        <f>(dynamic[orderPrice]-dynamic[productCost])/dynamic[productCost]</f>
        <v>0.4306669216</v>
      </c>
      <c r="O2031" s="10">
        <v>70.0</v>
      </c>
      <c r="P2031" s="25">
        <v>0.1</v>
      </c>
      <c r="Q2031" s="9">
        <f>dynamic[orderPrice]*dynamic[orderQuantity]</f>
        <v>2296</v>
      </c>
      <c r="R2031" s="9">
        <f>dynamic[orderTotal]*(1-dynamic[discountApllied])</f>
        <v>2066.4</v>
      </c>
      <c r="S2031" s="9">
        <f>dynamic[revenue]-(dynamic[productCost]*dynamic[orderQuantity])</f>
        <v>461.5540604</v>
      </c>
      <c r="T2031" s="25">
        <f>IFERROR(dynamic[profit]/dynamic[revenue], 0)</f>
        <v>0.2233614307</v>
      </c>
    </row>
    <row r="2032" ht="15.75" customHeight="1">
      <c r="A2032" s="6">
        <v>11033.0</v>
      </c>
      <c r="B2032" s="7" t="s">
        <v>21</v>
      </c>
      <c r="C2032" s="24" t="str">
        <f>VLOOKUP(dynamic[customerID],customers[],2,FALSE)</f>
        <v>Richter Supermarkt</v>
      </c>
      <c r="D2032" s="24">
        <v>45399.0</v>
      </c>
      <c r="E2032" s="6">
        <f>IFERROR(__xludf.DUMMYFUNCTION("COUNTUNIQUEIFS($A$2:$A2032,$B$2:$B2032,B2032)"),9.0)</f>
        <v>9</v>
      </c>
      <c r="F2032" s="6">
        <f t="shared" si="1"/>
        <v>32</v>
      </c>
      <c r="G2032" s="6" t="str">
        <f>IF(MINIFS(dynamic[orderDate], dynamic[customerID], B2032) &gt;= DATE(2024,4,30)-120, 
     "New", 
     IF(MAXIFS(dynamic[orderCount], dynamic[customerID], B2032)&lt;=2, 
        IF((DATE(2024,4,30) - MAXIFS(dynamic[orderDate], dynamic[customerID], B2032)) &gt; 180, "Non-Returning", "Dormant"), 
        IF(AND(MAX(dynamic[sinceLastOrder]) &gt; 365, (DATE(2024,4,30) - MAXIFS(dynamic[orderDate], dynamic[customerID], B2032)) &gt; 180), 
           "Dormant", "Regular")))</f>
        <v>Regular</v>
      </c>
      <c r="H2032" s="6">
        <v>69.0</v>
      </c>
      <c r="I2032" s="9" t="str">
        <f>VLOOKUP(dynamic[productID],products[],2,FALSE)</f>
        <v>Gudbrandsdalsost</v>
      </c>
      <c r="J2032" s="9" t="str">
        <f>VLOOKUP(dynamic[productID],products[],12,FALSE)</f>
        <v>Dairy Products</v>
      </c>
      <c r="K2032" s="7" t="str">
        <f>IF(VLOOKUP(dynamic[productID],products[],7,FALSE)=1,"Discontinued","Current")</f>
        <v>Current</v>
      </c>
      <c r="L2032" s="9">
        <f>VLOOKUP(dynamic[productID],products[],IF(YEAR(dynamic[orderDate])=2022,8,IF(YEAR(dynamic[orderDate])=2023,9,IF(YEAR(dynamic[orderDate])=2024,10,NA))),FALSE)</f>
        <v>24.68292146</v>
      </c>
      <c r="M2032" s="9">
        <v>36.0</v>
      </c>
      <c r="N2032" s="25">
        <f>(dynamic[orderPrice]-dynamic[productCost])/dynamic[productCost]</f>
        <v>0.4584983412</v>
      </c>
      <c r="O2032" s="10">
        <v>36.0</v>
      </c>
      <c r="P2032" s="25">
        <v>0.1</v>
      </c>
      <c r="Q2032" s="9">
        <f>dynamic[orderPrice]*dynamic[orderQuantity]</f>
        <v>1296</v>
      </c>
      <c r="R2032" s="9">
        <f>dynamic[orderTotal]*(1-dynamic[discountApllied])</f>
        <v>1166.4</v>
      </c>
      <c r="S2032" s="9">
        <f>dynamic[revenue]-(dynamic[productCost]*dynamic[orderQuantity])</f>
        <v>277.8148276</v>
      </c>
      <c r="T2032" s="25">
        <f>IFERROR(dynamic[profit]/dynamic[revenue], 0)</f>
        <v>0.2381814365</v>
      </c>
    </row>
    <row r="2033" ht="15.75" customHeight="1">
      <c r="A2033" s="6">
        <v>11034.0</v>
      </c>
      <c r="B2033" s="7" t="s">
        <v>52</v>
      </c>
      <c r="C2033" s="24" t="str">
        <f>VLOOKUP(dynamic[customerID],customers[],2,FALSE)</f>
        <v>Old World Delicatessen</v>
      </c>
      <c r="D2033" s="24">
        <v>45402.0</v>
      </c>
      <c r="E2033" s="6">
        <f>IFERROR(__xludf.DUMMYFUNCTION("COUNTUNIQUEIFS($A$2:$A2033,$B$2:$B2033,B2033)"),10.0)</f>
        <v>10</v>
      </c>
      <c r="F2033" s="6">
        <f t="shared" si="1"/>
        <v>31</v>
      </c>
      <c r="G2033" s="6" t="str">
        <f>IF(MINIFS(dynamic[orderDate], dynamic[customerID], B2033) &gt;= DATE(2024,4,30)-120, 
     "New", 
     IF(MAXIFS(dynamic[orderCount], dynamic[customerID], B2033)&lt;=2, 
        IF((DATE(2024,4,30) - MAXIFS(dynamic[orderDate], dynamic[customerID], B2033)) &gt; 180, "Non-Returning", "Dormant"), 
        IF(AND(MAX(dynamic[sinceLastOrder]) &gt; 365, (DATE(2024,4,30) - MAXIFS(dynamic[orderDate], dynamic[customerID], B2033)) &gt; 180), 
           "Dormant", "Regular")))</f>
        <v>Regular</v>
      </c>
      <c r="H2033" s="6">
        <v>21.0</v>
      </c>
      <c r="I2033" s="9" t="str">
        <f>VLOOKUP(dynamic[productID],products[],2,FALSE)</f>
        <v>Sir Rodney's Scones</v>
      </c>
      <c r="J2033" s="9" t="str">
        <f>VLOOKUP(dynamic[productID],products[],12,FALSE)</f>
        <v>Confections</v>
      </c>
      <c r="K2033" s="7" t="str">
        <f>IF(VLOOKUP(dynamic[productID],products[],7,FALSE)=1,"Discontinued","Current")</f>
        <v>Current</v>
      </c>
      <c r="L2033" s="9">
        <f>VLOOKUP(dynamic[productID],products[],IF(YEAR(dynamic[orderDate])=2022,8,IF(YEAR(dynamic[orderDate])=2023,9,IF(YEAR(dynamic[orderDate])=2024,10,NA))),FALSE)</f>
        <v>7.459897593</v>
      </c>
      <c r="M2033" s="9">
        <v>10.0</v>
      </c>
      <c r="N2033" s="25">
        <f>(dynamic[orderPrice]-dynamic[productCost])/dynamic[productCost]</f>
        <v>0.3405009753</v>
      </c>
      <c r="O2033" s="10">
        <v>15.0</v>
      </c>
      <c r="P2033" s="25">
        <v>0.1</v>
      </c>
      <c r="Q2033" s="9">
        <f>dynamic[orderPrice]*dynamic[orderQuantity]</f>
        <v>150</v>
      </c>
      <c r="R2033" s="9">
        <f>dynamic[orderTotal]*(1-dynamic[discountApllied])</f>
        <v>135</v>
      </c>
      <c r="S2033" s="9">
        <f>dynamic[revenue]-(dynamic[productCost]*dynamic[orderQuantity])</f>
        <v>23.1015361</v>
      </c>
      <c r="T2033" s="25">
        <f>IFERROR(dynamic[profit]/dynamic[revenue], 0)</f>
        <v>0.1711224896</v>
      </c>
    </row>
    <row r="2034" ht="15.75" customHeight="1">
      <c r="A2034" s="6">
        <v>11034.0</v>
      </c>
      <c r="B2034" s="7" t="s">
        <v>52</v>
      </c>
      <c r="C2034" s="24" t="str">
        <f>VLOOKUP(dynamic[customerID],customers[],2,FALSE)</f>
        <v>Old World Delicatessen</v>
      </c>
      <c r="D2034" s="24">
        <v>45402.0</v>
      </c>
      <c r="E2034" s="6">
        <f>IFERROR(__xludf.DUMMYFUNCTION("COUNTUNIQUEIFS($A$2:$A2034,$B$2:$B2034,B2034)"),10.0)</f>
        <v>10</v>
      </c>
      <c r="F2034" s="6">
        <f t="shared" si="1"/>
        <v>31</v>
      </c>
      <c r="G2034" s="6" t="str">
        <f>IF(MINIFS(dynamic[orderDate], dynamic[customerID], B2034) &gt;= DATE(2024,4,30)-120, 
     "New", 
     IF(MAXIFS(dynamic[orderCount], dynamic[customerID], B2034)&lt;=2, 
        IF((DATE(2024,4,30) - MAXIFS(dynamic[orderDate], dynamic[customerID], B2034)) &gt; 180, "Non-Returning", "Dormant"), 
        IF(AND(MAX(dynamic[sinceLastOrder]) &gt; 365, (DATE(2024,4,30) - MAXIFS(dynamic[orderDate], dynamic[customerID], B2034)) &gt; 180), 
           "Dormant", "Regular")))</f>
        <v>Regular</v>
      </c>
      <c r="H2034" s="6">
        <v>44.0</v>
      </c>
      <c r="I2034" s="9" t="str">
        <f>VLOOKUP(dynamic[productID],products[],2,FALSE)</f>
        <v>Gula Malacca</v>
      </c>
      <c r="J2034" s="9" t="str">
        <f>VLOOKUP(dynamic[productID],products[],12,FALSE)</f>
        <v>Condiments</v>
      </c>
      <c r="K2034" s="7" t="str">
        <f>IF(VLOOKUP(dynamic[productID],products[],7,FALSE)=1,"Discontinued","Current")</f>
        <v>Current</v>
      </c>
      <c r="L2034" s="9">
        <f>VLOOKUP(dynamic[productID],products[],IF(YEAR(dynamic[orderDate])=2022,8,IF(YEAR(dynamic[orderDate])=2023,9,IF(YEAR(dynamic[orderDate])=2024,10,NA))),FALSE)</f>
        <v>12.27831512</v>
      </c>
      <c r="M2034" s="9">
        <v>19.45</v>
      </c>
      <c r="N2034" s="25">
        <f>(dynamic[orderPrice]-dynamic[productCost])/dynamic[productCost]</f>
        <v>0.5840935672</v>
      </c>
      <c r="O2034" s="10">
        <v>12.0</v>
      </c>
      <c r="P2034" s="25">
        <v>0.0</v>
      </c>
      <c r="Q2034" s="9">
        <f>dynamic[orderPrice]*dynamic[orderQuantity]</f>
        <v>233.4</v>
      </c>
      <c r="R2034" s="9">
        <f>dynamic[orderTotal]*(1-dynamic[discountApllied])</f>
        <v>233.4</v>
      </c>
      <c r="S2034" s="9">
        <f>dynamic[revenue]-(dynamic[productCost]*dynamic[orderQuantity])</f>
        <v>86.06021854</v>
      </c>
      <c r="T2034" s="25">
        <f>IFERROR(dynamic[profit]/dynamic[revenue], 0)</f>
        <v>0.3687241583</v>
      </c>
    </row>
    <row r="2035" ht="15.75" customHeight="1">
      <c r="A2035" s="6">
        <v>11034.0</v>
      </c>
      <c r="B2035" s="7" t="s">
        <v>52</v>
      </c>
      <c r="C2035" s="24" t="str">
        <f>VLOOKUP(dynamic[customerID],customers[],2,FALSE)</f>
        <v>Old World Delicatessen</v>
      </c>
      <c r="D2035" s="24">
        <v>45402.0</v>
      </c>
      <c r="E2035" s="6">
        <f>IFERROR(__xludf.DUMMYFUNCTION("COUNTUNIQUEIFS($A$2:$A2035,$B$2:$B2035,B2035)"),10.0)</f>
        <v>10</v>
      </c>
      <c r="F2035" s="6">
        <f t="shared" si="1"/>
        <v>31</v>
      </c>
      <c r="G2035" s="6" t="str">
        <f>IF(MINIFS(dynamic[orderDate], dynamic[customerID], B2035) &gt;= DATE(2024,4,30)-120, 
     "New", 
     IF(MAXIFS(dynamic[orderCount], dynamic[customerID], B2035)&lt;=2, 
        IF((DATE(2024,4,30) - MAXIFS(dynamic[orderDate], dynamic[customerID], B2035)) &gt; 180, "Non-Returning", "Dormant"), 
        IF(AND(MAX(dynamic[sinceLastOrder]) &gt; 365, (DATE(2024,4,30) - MAXIFS(dynamic[orderDate], dynamic[customerID], B2035)) &gt; 180), 
           "Dormant", "Regular")))</f>
        <v>Regular</v>
      </c>
      <c r="H2035" s="6">
        <v>61.0</v>
      </c>
      <c r="I2035" s="9" t="str">
        <f>VLOOKUP(dynamic[productID],products[],2,FALSE)</f>
        <v>Sirop d'érable</v>
      </c>
      <c r="J2035" s="9" t="str">
        <f>VLOOKUP(dynamic[productID],products[],12,FALSE)</f>
        <v>Condiments</v>
      </c>
      <c r="K2035" s="7" t="str">
        <f>IF(VLOOKUP(dynamic[productID],products[],7,FALSE)=1,"Discontinued","Current")</f>
        <v>Current</v>
      </c>
      <c r="L2035" s="9">
        <f>VLOOKUP(dynamic[productID],products[],IF(YEAR(dynamic[orderDate])=2022,8,IF(YEAR(dynamic[orderDate])=2023,9,IF(YEAR(dynamic[orderDate])=2024,10,NA))),FALSE)</f>
        <v>18.74487379</v>
      </c>
      <c r="M2035" s="9">
        <v>28.5</v>
      </c>
      <c r="N2035" s="25">
        <f>(dynamic[orderPrice]-dynamic[productCost])/dynamic[productCost]</f>
        <v>0.5204156786</v>
      </c>
      <c r="O2035" s="10">
        <v>6.0</v>
      </c>
      <c r="P2035" s="25">
        <v>0.0</v>
      </c>
      <c r="Q2035" s="9">
        <f>dynamic[orderPrice]*dynamic[orderQuantity]</f>
        <v>171</v>
      </c>
      <c r="R2035" s="9">
        <f>dynamic[orderTotal]*(1-dynamic[discountApllied])</f>
        <v>171</v>
      </c>
      <c r="S2035" s="9">
        <f>dynamic[revenue]-(dynamic[productCost]*dynamic[orderQuantity])</f>
        <v>58.53075727</v>
      </c>
      <c r="T2035" s="25">
        <f>IFERROR(dynamic[profit]/dynamic[revenue], 0)</f>
        <v>0.3422851303</v>
      </c>
    </row>
    <row r="2036" ht="15.75" customHeight="1">
      <c r="A2036" s="6">
        <v>11035.0</v>
      </c>
      <c r="B2036" s="7" t="s">
        <v>19</v>
      </c>
      <c r="C2036" s="24" t="str">
        <f>VLOOKUP(dynamic[customerID],customers[],2,FALSE)</f>
        <v>Suprêmes délices</v>
      </c>
      <c r="D2036" s="24">
        <v>45402.0</v>
      </c>
      <c r="E2036" s="6">
        <f>IFERROR(__xludf.DUMMYFUNCTION("COUNTUNIQUEIFS($A$2:$A2036,$B$2:$B2036,B2036)"),11.0)</f>
        <v>11</v>
      </c>
      <c r="F2036" s="6">
        <f t="shared" si="1"/>
        <v>45</v>
      </c>
      <c r="G2036" s="6" t="str">
        <f>IF(MINIFS(dynamic[orderDate], dynamic[customerID], B2036) &gt;= DATE(2024,4,30)-120, 
     "New", 
     IF(MAXIFS(dynamic[orderCount], dynamic[customerID], B2036)&lt;=2, 
        IF((DATE(2024,4,30) - MAXIFS(dynamic[orderDate], dynamic[customerID], B2036)) &gt; 180, "Non-Returning", "Dormant"), 
        IF(AND(MAX(dynamic[sinceLastOrder]) &gt; 365, (DATE(2024,4,30) - MAXIFS(dynamic[orderDate], dynamic[customerID], B2036)) &gt; 180), 
           "Dormant", "Regular")))</f>
        <v>Regular</v>
      </c>
      <c r="H2036" s="6">
        <v>1.0</v>
      </c>
      <c r="I2036" s="9" t="str">
        <f>VLOOKUP(dynamic[productID],products[],2,FALSE)</f>
        <v>Chai</v>
      </c>
      <c r="J2036" s="9" t="str">
        <f>VLOOKUP(dynamic[productID],products[],12,FALSE)</f>
        <v>Beverages</v>
      </c>
      <c r="K2036" s="7" t="str">
        <f>IF(VLOOKUP(dynamic[productID],products[],7,FALSE)=1,"Discontinued","Current")</f>
        <v>Current</v>
      </c>
      <c r="L2036" s="9">
        <f>VLOOKUP(dynamic[productID],products[],IF(YEAR(dynamic[orderDate])=2022,8,IF(YEAR(dynamic[orderDate])=2023,9,IF(YEAR(dynamic[orderDate])=2024,10,NA))),FALSE)</f>
        <v>12.17757454</v>
      </c>
      <c r="M2036" s="9">
        <v>18.0</v>
      </c>
      <c r="N2036" s="25">
        <f>(dynamic[orderPrice]-dynamic[productCost])/dynamic[productCost]</f>
        <v>0.4781268584</v>
      </c>
      <c r="O2036" s="10">
        <v>10.0</v>
      </c>
      <c r="P2036" s="25">
        <v>0.0</v>
      </c>
      <c r="Q2036" s="9">
        <f>dynamic[orderPrice]*dynamic[orderQuantity]</f>
        <v>180</v>
      </c>
      <c r="R2036" s="9">
        <f>dynamic[orderTotal]*(1-dynamic[discountApllied])</f>
        <v>180</v>
      </c>
      <c r="S2036" s="9">
        <f>dynamic[revenue]-(dynamic[productCost]*dynamic[orderQuantity])</f>
        <v>58.22425458</v>
      </c>
      <c r="T2036" s="25">
        <f>IFERROR(dynamic[profit]/dynamic[revenue], 0)</f>
        <v>0.323468081</v>
      </c>
    </row>
    <row r="2037" ht="15.75" customHeight="1">
      <c r="A2037" s="6">
        <v>11035.0</v>
      </c>
      <c r="B2037" s="7" t="s">
        <v>19</v>
      </c>
      <c r="C2037" s="24" t="str">
        <f>VLOOKUP(dynamic[customerID],customers[],2,FALSE)</f>
        <v>Suprêmes délices</v>
      </c>
      <c r="D2037" s="24">
        <v>45402.0</v>
      </c>
      <c r="E2037" s="6">
        <f>IFERROR(__xludf.DUMMYFUNCTION("COUNTUNIQUEIFS($A$2:$A2037,$B$2:$B2037,B2037)"),11.0)</f>
        <v>11</v>
      </c>
      <c r="F2037" s="6">
        <f t="shared" si="1"/>
        <v>45</v>
      </c>
      <c r="G2037" s="6" t="str">
        <f>IF(MINIFS(dynamic[orderDate], dynamic[customerID], B2037) &gt;= DATE(2024,4,30)-120, 
     "New", 
     IF(MAXIFS(dynamic[orderCount], dynamic[customerID], B2037)&lt;=2, 
        IF((DATE(2024,4,30) - MAXIFS(dynamic[orderDate], dynamic[customerID], B2037)) &gt; 180, "Non-Returning", "Dormant"), 
        IF(AND(MAX(dynamic[sinceLastOrder]) &gt; 365, (DATE(2024,4,30) - MAXIFS(dynamic[orderDate], dynamic[customerID], B2037)) &gt; 180), 
           "Dormant", "Regular")))</f>
        <v>Regular</v>
      </c>
      <c r="H2037" s="6">
        <v>35.0</v>
      </c>
      <c r="I2037" s="9" t="str">
        <f>VLOOKUP(dynamic[productID],products[],2,FALSE)</f>
        <v>Cold Brew Nitro</v>
      </c>
      <c r="J2037" s="9" t="str">
        <f>VLOOKUP(dynamic[productID],products[],12,FALSE)</f>
        <v>Beverages</v>
      </c>
      <c r="K2037" s="7" t="str">
        <f>IF(VLOOKUP(dynamic[productID],products[],7,FALSE)=1,"Discontinued","Current")</f>
        <v>Current</v>
      </c>
      <c r="L2037" s="9">
        <f>VLOOKUP(dynamic[productID],products[],IF(YEAR(dynamic[orderDate])=2022,8,IF(YEAR(dynamic[orderDate])=2023,9,IF(YEAR(dynamic[orderDate])=2024,10,NA))),FALSE)</f>
        <v>12.9261692</v>
      </c>
      <c r="M2037" s="9">
        <v>18.0</v>
      </c>
      <c r="N2037" s="25">
        <f>(dynamic[orderPrice]-dynamic[productCost])/dynamic[productCost]</f>
        <v>0.3925239355</v>
      </c>
      <c r="O2037" s="10">
        <v>60.0</v>
      </c>
      <c r="P2037" s="25">
        <v>0.0</v>
      </c>
      <c r="Q2037" s="9">
        <f>dynamic[orderPrice]*dynamic[orderQuantity]</f>
        <v>1080</v>
      </c>
      <c r="R2037" s="9">
        <f>dynamic[orderTotal]*(1-dynamic[discountApllied])</f>
        <v>1080</v>
      </c>
      <c r="S2037" s="9">
        <f>dynamic[revenue]-(dynamic[productCost]*dynamic[orderQuantity])</f>
        <v>304.4298482</v>
      </c>
      <c r="T2037" s="25">
        <f>IFERROR(dynamic[profit]/dynamic[revenue], 0)</f>
        <v>0.2818794891</v>
      </c>
    </row>
    <row r="2038" ht="15.75" customHeight="1">
      <c r="A2038" s="6">
        <v>11035.0</v>
      </c>
      <c r="B2038" s="7" t="s">
        <v>19</v>
      </c>
      <c r="C2038" s="24" t="str">
        <f>VLOOKUP(dynamic[customerID],customers[],2,FALSE)</f>
        <v>Suprêmes délices</v>
      </c>
      <c r="D2038" s="24">
        <v>45402.0</v>
      </c>
      <c r="E2038" s="6">
        <f>IFERROR(__xludf.DUMMYFUNCTION("COUNTUNIQUEIFS($A$2:$A2038,$B$2:$B2038,B2038)"),11.0)</f>
        <v>11</v>
      </c>
      <c r="F2038" s="6">
        <f t="shared" si="1"/>
        <v>45</v>
      </c>
      <c r="G2038" s="6" t="str">
        <f>IF(MINIFS(dynamic[orderDate], dynamic[customerID], B2038) &gt;= DATE(2024,4,30)-120, 
     "New", 
     IF(MAXIFS(dynamic[orderCount], dynamic[customerID], B2038)&lt;=2, 
        IF((DATE(2024,4,30) - MAXIFS(dynamic[orderDate], dynamic[customerID], B2038)) &gt; 180, "Non-Returning", "Dormant"), 
        IF(AND(MAX(dynamic[sinceLastOrder]) &gt; 365, (DATE(2024,4,30) - MAXIFS(dynamic[orderDate], dynamic[customerID], B2038)) &gt; 180), 
           "Dormant", "Regular")))</f>
        <v>Regular</v>
      </c>
      <c r="H2038" s="6">
        <v>42.0</v>
      </c>
      <c r="I2038" s="9" t="str">
        <f>VLOOKUP(dynamic[productID],products[],2,FALSE)</f>
        <v>Singaporean Hokkien Fried Mee</v>
      </c>
      <c r="J2038" s="9" t="str">
        <f>VLOOKUP(dynamic[productID],products[],12,FALSE)</f>
        <v>Grains/Cereals</v>
      </c>
      <c r="K2038" s="7" t="str">
        <f>IF(VLOOKUP(dynamic[productID],products[],7,FALSE)=1,"Discontinued","Current")</f>
        <v>Discontinued</v>
      </c>
      <c r="L2038" s="9">
        <f>VLOOKUP(dynamic[productID],products[],IF(YEAR(dynamic[orderDate])=2022,8,IF(YEAR(dynamic[orderDate])=2023,9,IF(YEAR(dynamic[orderDate])=2024,10,NA))),FALSE)</f>
        <v>9.64736714</v>
      </c>
      <c r="M2038" s="9">
        <v>14.0</v>
      </c>
      <c r="N2038" s="25">
        <f>(dynamic[orderPrice]-dynamic[productCost])/dynamic[productCost]</f>
        <v>0.4511731333</v>
      </c>
      <c r="O2038" s="10">
        <v>30.0</v>
      </c>
      <c r="P2038" s="25">
        <v>0.0</v>
      </c>
      <c r="Q2038" s="9">
        <f>dynamic[orderPrice]*dynamic[orderQuantity]</f>
        <v>420</v>
      </c>
      <c r="R2038" s="9">
        <f>dynamic[orderTotal]*(1-dynamic[discountApllied])</f>
        <v>420</v>
      </c>
      <c r="S2038" s="9">
        <f>dynamic[revenue]-(dynamic[productCost]*dynamic[orderQuantity])</f>
        <v>130.5789858</v>
      </c>
      <c r="T2038" s="25">
        <f>IFERROR(dynamic[profit]/dynamic[revenue], 0)</f>
        <v>0.3109023472</v>
      </c>
    </row>
    <row r="2039" ht="15.75" customHeight="1">
      <c r="A2039" s="6">
        <v>11035.0</v>
      </c>
      <c r="B2039" s="7" t="s">
        <v>19</v>
      </c>
      <c r="C2039" s="24" t="str">
        <f>VLOOKUP(dynamic[customerID],customers[],2,FALSE)</f>
        <v>Suprêmes délices</v>
      </c>
      <c r="D2039" s="24">
        <v>45402.0</v>
      </c>
      <c r="E2039" s="6">
        <f>IFERROR(__xludf.DUMMYFUNCTION("COUNTUNIQUEIFS($A$2:$A2039,$B$2:$B2039,B2039)"),11.0)</f>
        <v>11</v>
      </c>
      <c r="F2039" s="6">
        <f t="shared" si="1"/>
        <v>45</v>
      </c>
      <c r="G2039" s="6" t="str">
        <f>IF(MINIFS(dynamic[orderDate], dynamic[customerID], B2039) &gt;= DATE(2024,4,30)-120, 
     "New", 
     IF(MAXIFS(dynamic[orderCount], dynamic[customerID], B2039)&lt;=2, 
        IF((DATE(2024,4,30) - MAXIFS(dynamic[orderDate], dynamic[customerID], B2039)) &gt; 180, "Non-Returning", "Dormant"), 
        IF(AND(MAX(dynamic[sinceLastOrder]) &gt; 365, (DATE(2024,4,30) - MAXIFS(dynamic[orderDate], dynamic[customerID], B2039)) &gt; 180), 
           "Dormant", "Regular")))</f>
        <v>Regular</v>
      </c>
      <c r="H2039" s="6">
        <v>54.0</v>
      </c>
      <c r="I2039" s="9" t="str">
        <f>VLOOKUP(dynamic[productID],products[],2,FALSE)</f>
        <v>Tourtière</v>
      </c>
      <c r="J2039" s="9" t="str">
        <f>VLOOKUP(dynamic[productID],products[],12,FALSE)</f>
        <v>Meat/Poultry</v>
      </c>
      <c r="K2039" s="7" t="str">
        <f>IF(VLOOKUP(dynamic[productID],products[],7,FALSE)=1,"Discontinued","Current")</f>
        <v>Current</v>
      </c>
      <c r="L2039" s="9">
        <f>VLOOKUP(dynamic[productID],products[],IF(YEAR(dynamic[orderDate])=2022,8,IF(YEAR(dynamic[orderDate])=2023,9,IF(YEAR(dynamic[orderDate])=2024,10,NA))),FALSE)</f>
        <v>4.884716455</v>
      </c>
      <c r="M2039" s="9">
        <v>7.45</v>
      </c>
      <c r="N2039" s="25">
        <f>(dynamic[orderPrice]-dynamic[productCost])/dynamic[productCost]</f>
        <v>0.5251652923</v>
      </c>
      <c r="O2039" s="10">
        <v>10.0</v>
      </c>
      <c r="P2039" s="25">
        <v>0.0</v>
      </c>
      <c r="Q2039" s="9">
        <f>dynamic[orderPrice]*dynamic[orderQuantity]</f>
        <v>74.5</v>
      </c>
      <c r="R2039" s="9">
        <f>dynamic[orderTotal]*(1-dynamic[discountApllied])</f>
        <v>74.5</v>
      </c>
      <c r="S2039" s="9">
        <f>dynamic[revenue]-(dynamic[productCost]*dynamic[orderQuantity])</f>
        <v>25.65283545</v>
      </c>
      <c r="T2039" s="25">
        <f>IFERROR(dynamic[profit]/dynamic[revenue], 0)</f>
        <v>0.3443333618</v>
      </c>
    </row>
    <row r="2040" ht="15.75" customHeight="1">
      <c r="A2040" s="6">
        <v>11036.0</v>
      </c>
      <c r="B2040" s="7" t="s">
        <v>72</v>
      </c>
      <c r="C2040" s="24" t="str">
        <f>VLOOKUP(dynamic[customerID],customers[],2,FALSE)</f>
        <v>Drachenblut Delikatessen</v>
      </c>
      <c r="D2040" s="24">
        <v>45402.0</v>
      </c>
      <c r="E2040" s="6">
        <f>IFERROR(__xludf.DUMMYFUNCTION("COUNTUNIQUEIFS($A$2:$A2040,$B$2:$B2040,B2040)"),5.0)</f>
        <v>5</v>
      </c>
      <c r="F2040" s="6">
        <f t="shared" si="1"/>
        <v>102</v>
      </c>
      <c r="G2040" s="6" t="str">
        <f>IF(MINIFS(dynamic[orderDate], dynamic[customerID], B2040) &gt;= DATE(2024,4,30)-120, 
     "New", 
     IF(MAXIFS(dynamic[orderCount], dynamic[customerID], B2040)&lt;=2, 
        IF((DATE(2024,4,30) - MAXIFS(dynamic[orderDate], dynamic[customerID], B2040)) &gt; 180, "Non-Returning", "Dormant"), 
        IF(AND(MAX(dynamic[sinceLastOrder]) &gt; 365, (DATE(2024,4,30) - MAXIFS(dynamic[orderDate], dynamic[customerID], B2040)) &gt; 180), 
           "Dormant", "Regular")))</f>
        <v>Regular</v>
      </c>
      <c r="H2040" s="6">
        <v>13.0</v>
      </c>
      <c r="I2040" s="9" t="str">
        <f>VLOOKUP(dynamic[productID],products[],2,FALSE)</f>
        <v>Konbu</v>
      </c>
      <c r="J2040" s="9" t="str">
        <f>VLOOKUP(dynamic[productID],products[],12,FALSE)</f>
        <v>Seafood</v>
      </c>
      <c r="K2040" s="7" t="str">
        <f>IF(VLOOKUP(dynamic[productID],products[],7,FALSE)=1,"Discontinued","Current")</f>
        <v>Current</v>
      </c>
      <c r="L2040" s="9">
        <f>VLOOKUP(dynamic[productID],products[],IF(YEAR(dynamic[orderDate])=2022,8,IF(YEAR(dynamic[orderDate])=2023,9,IF(YEAR(dynamic[orderDate])=2024,10,NA))),FALSE)</f>
        <v>3.966387047</v>
      </c>
      <c r="M2040" s="9">
        <v>6.0</v>
      </c>
      <c r="N2040" s="25">
        <f>(dynamic[orderPrice]-dynamic[productCost])/dynamic[productCost]</f>
        <v>0.5127116768</v>
      </c>
      <c r="O2040" s="10">
        <v>7.0</v>
      </c>
      <c r="P2040" s="25">
        <v>0.0</v>
      </c>
      <c r="Q2040" s="9">
        <f>dynamic[orderPrice]*dynamic[orderQuantity]</f>
        <v>42</v>
      </c>
      <c r="R2040" s="9">
        <f>dynamic[orderTotal]*(1-dynamic[discountApllied])</f>
        <v>42</v>
      </c>
      <c r="S2040" s="9">
        <f>dynamic[revenue]-(dynamic[productCost]*dynamic[orderQuantity])</f>
        <v>14.23529067</v>
      </c>
      <c r="T2040" s="25">
        <f>IFERROR(dynamic[profit]/dynamic[revenue], 0)</f>
        <v>0.3389354922</v>
      </c>
    </row>
    <row r="2041" ht="15.75" customHeight="1">
      <c r="A2041" s="6">
        <v>11036.0</v>
      </c>
      <c r="B2041" s="7" t="s">
        <v>72</v>
      </c>
      <c r="C2041" s="24" t="str">
        <f>VLOOKUP(dynamic[customerID],customers[],2,FALSE)</f>
        <v>Drachenblut Delikatessen</v>
      </c>
      <c r="D2041" s="24">
        <v>45402.0</v>
      </c>
      <c r="E2041" s="6">
        <f>IFERROR(__xludf.DUMMYFUNCTION("COUNTUNIQUEIFS($A$2:$A2041,$B$2:$B2041,B2041)"),5.0)</f>
        <v>5</v>
      </c>
      <c r="F2041" s="6">
        <f t="shared" si="1"/>
        <v>102</v>
      </c>
      <c r="G2041" s="6" t="str">
        <f>IF(MINIFS(dynamic[orderDate], dynamic[customerID], B2041) &gt;= DATE(2024,4,30)-120, 
     "New", 
     IF(MAXIFS(dynamic[orderCount], dynamic[customerID], B2041)&lt;=2, 
        IF((DATE(2024,4,30) - MAXIFS(dynamic[orderDate], dynamic[customerID], B2041)) &gt; 180, "Non-Returning", "Dormant"), 
        IF(AND(MAX(dynamic[sinceLastOrder]) &gt; 365, (DATE(2024,4,30) - MAXIFS(dynamic[orderDate], dynamic[customerID], B2041)) &gt; 180), 
           "Dormant", "Regular")))</f>
        <v>Regular</v>
      </c>
      <c r="H2041" s="6">
        <v>59.0</v>
      </c>
      <c r="I2041" s="9" t="str">
        <f>VLOOKUP(dynamic[productID],products[],2,FALSE)</f>
        <v>Raclette Courdavault</v>
      </c>
      <c r="J2041" s="9" t="str">
        <f>VLOOKUP(dynamic[productID],products[],12,FALSE)</f>
        <v>Dairy Products</v>
      </c>
      <c r="K2041" s="7" t="str">
        <f>IF(VLOOKUP(dynamic[productID],products[],7,FALSE)=1,"Discontinued","Current")</f>
        <v>Current</v>
      </c>
      <c r="L2041" s="9">
        <f>VLOOKUP(dynamic[productID],products[],IF(YEAR(dynamic[orderDate])=2022,8,IF(YEAR(dynamic[orderDate])=2023,9,IF(YEAR(dynamic[orderDate])=2024,10,NA))),FALSE)</f>
        <v>36.74863711</v>
      </c>
      <c r="M2041" s="9">
        <v>55.0</v>
      </c>
      <c r="N2041" s="25">
        <f>(dynamic[orderPrice]-dynamic[productCost])/dynamic[productCost]</f>
        <v>0.4966541435</v>
      </c>
      <c r="O2041" s="10">
        <v>30.0</v>
      </c>
      <c r="P2041" s="25">
        <v>0.0</v>
      </c>
      <c r="Q2041" s="9">
        <f>dynamic[orderPrice]*dynamic[orderQuantity]</f>
        <v>1650</v>
      </c>
      <c r="R2041" s="9">
        <f>dynamic[orderTotal]*(1-dynamic[discountApllied])</f>
        <v>1650</v>
      </c>
      <c r="S2041" s="9">
        <f>dynamic[revenue]-(dynamic[productCost]*dynamic[orderQuantity])</f>
        <v>547.5408867</v>
      </c>
      <c r="T2041" s="25">
        <f>IFERROR(dynamic[profit]/dynamic[revenue], 0)</f>
        <v>0.3318429616</v>
      </c>
    </row>
    <row r="2042" ht="15.75" customHeight="1">
      <c r="A2042" s="6">
        <v>11037.0</v>
      </c>
      <c r="B2042" s="7" t="s">
        <v>51</v>
      </c>
      <c r="C2042" s="24" t="str">
        <f>VLOOKUP(dynamic[customerID],customers[],2,FALSE)</f>
        <v>Godos Cocina Típica</v>
      </c>
      <c r="D2042" s="24">
        <v>45403.0</v>
      </c>
      <c r="E2042" s="6">
        <f>IFERROR(__xludf.DUMMYFUNCTION("COUNTUNIQUEIFS($A$2:$A2042,$B$2:$B2042,B2042)"),10.0)</f>
        <v>10</v>
      </c>
      <c r="F2042" s="6">
        <f t="shared" si="1"/>
        <v>13</v>
      </c>
      <c r="G2042" s="6" t="str">
        <f>IF(MINIFS(dynamic[orderDate], dynamic[customerID], B2042) &gt;= DATE(2024,4,30)-120, 
     "New", 
     IF(MAXIFS(dynamic[orderCount], dynamic[customerID], B2042)&lt;=2, 
        IF((DATE(2024,4,30) - MAXIFS(dynamic[orderDate], dynamic[customerID], B2042)) &gt; 180, "Non-Returning", "Dormant"), 
        IF(AND(MAX(dynamic[sinceLastOrder]) &gt; 365, (DATE(2024,4,30) - MAXIFS(dynamic[orderDate], dynamic[customerID], B2042)) &gt; 180), 
           "Dormant", "Regular")))</f>
        <v>Regular</v>
      </c>
      <c r="H2042" s="6">
        <v>70.0</v>
      </c>
      <c r="I2042" s="9" t="str">
        <f>VLOOKUP(dynamic[productID],products[],2,FALSE)</f>
        <v>Outback Lager</v>
      </c>
      <c r="J2042" s="9" t="str">
        <f>VLOOKUP(dynamic[productID],products[],12,FALSE)</f>
        <v>Beverages</v>
      </c>
      <c r="K2042" s="7" t="str">
        <f>IF(VLOOKUP(dynamic[productID],products[],7,FALSE)=1,"Discontinued","Current")</f>
        <v>Current</v>
      </c>
      <c r="L2042" s="9">
        <f>VLOOKUP(dynamic[productID],products[],IF(YEAR(dynamic[orderDate])=2022,8,IF(YEAR(dynamic[orderDate])=2023,9,IF(YEAR(dynamic[orderDate])=2024,10,NA))),FALSE)</f>
        <v>10.03280812</v>
      </c>
      <c r="M2042" s="9">
        <v>15.0</v>
      </c>
      <c r="N2042" s="25">
        <f>(dynamic[orderPrice]-dynamic[productCost])/dynamic[productCost]</f>
        <v>0.4950948747</v>
      </c>
      <c r="O2042" s="10">
        <v>4.0</v>
      </c>
      <c r="P2042" s="25">
        <v>0.0</v>
      </c>
      <c r="Q2042" s="9">
        <f>dynamic[orderPrice]*dynamic[orderQuantity]</f>
        <v>60</v>
      </c>
      <c r="R2042" s="9">
        <f>dynamic[orderTotal]*(1-dynamic[discountApllied])</f>
        <v>60</v>
      </c>
      <c r="S2042" s="9">
        <f>dynamic[revenue]-(dynamic[productCost]*dynamic[orderQuantity])</f>
        <v>19.86876752</v>
      </c>
      <c r="T2042" s="25">
        <f>IFERROR(dynamic[profit]/dynamic[revenue], 0)</f>
        <v>0.3311461253</v>
      </c>
    </row>
    <row r="2043" ht="15.75" customHeight="1">
      <c r="A2043" s="6">
        <v>11038.0</v>
      </c>
      <c r="B2043" s="7" t="s">
        <v>19</v>
      </c>
      <c r="C2043" s="24" t="str">
        <f>VLOOKUP(dynamic[customerID],customers[],2,FALSE)</f>
        <v>Suprêmes délices</v>
      </c>
      <c r="D2043" s="24">
        <v>45403.0</v>
      </c>
      <c r="E2043" s="6">
        <f>IFERROR(__xludf.DUMMYFUNCTION("COUNTUNIQUEIFS($A$2:$A2043,$B$2:$B2043,B2043)"),12.0)</f>
        <v>12</v>
      </c>
      <c r="F2043" s="6">
        <f t="shared" si="1"/>
        <v>1</v>
      </c>
      <c r="G2043" s="6" t="str">
        <f>IF(MINIFS(dynamic[orderDate], dynamic[customerID], B2043) &gt;= DATE(2024,4,30)-120, 
     "New", 
     IF(MAXIFS(dynamic[orderCount], dynamic[customerID], B2043)&lt;=2, 
        IF((DATE(2024,4,30) - MAXIFS(dynamic[orderDate], dynamic[customerID], B2043)) &gt; 180, "Non-Returning", "Dormant"), 
        IF(AND(MAX(dynamic[sinceLastOrder]) &gt; 365, (DATE(2024,4,30) - MAXIFS(dynamic[orderDate], dynamic[customerID], B2043)) &gt; 180), 
           "Dormant", "Regular")))</f>
        <v>Regular</v>
      </c>
      <c r="H2043" s="6">
        <v>40.0</v>
      </c>
      <c r="I2043" s="9" t="str">
        <f>VLOOKUP(dynamic[productID],products[],2,FALSE)</f>
        <v>Boston Crab Meat</v>
      </c>
      <c r="J2043" s="9" t="str">
        <f>VLOOKUP(dynamic[productID],products[],12,FALSE)</f>
        <v>Seafood</v>
      </c>
      <c r="K2043" s="7" t="str">
        <f>IF(VLOOKUP(dynamic[productID],products[],7,FALSE)=1,"Discontinued","Current")</f>
        <v>Current</v>
      </c>
      <c r="L2043" s="9">
        <f>VLOOKUP(dynamic[productID],products[],IF(YEAR(dynamic[orderDate])=2022,8,IF(YEAR(dynamic[orderDate])=2023,9,IF(YEAR(dynamic[orderDate])=2024,10,NA))),FALSE)</f>
        <v>12.44307</v>
      </c>
      <c r="M2043" s="9">
        <v>18.4</v>
      </c>
      <c r="N2043" s="25">
        <f>(dynamic[orderPrice]-dynamic[productCost])/dynamic[productCost]</f>
        <v>0.4787347499</v>
      </c>
      <c r="O2043" s="10">
        <v>5.0</v>
      </c>
      <c r="P2043" s="25">
        <v>0.2</v>
      </c>
      <c r="Q2043" s="9">
        <f>dynamic[orderPrice]*dynamic[orderQuantity]</f>
        <v>92</v>
      </c>
      <c r="R2043" s="9">
        <f>dynamic[orderTotal]*(1-dynamic[discountApllied])</f>
        <v>73.6</v>
      </c>
      <c r="S2043" s="9">
        <f>dynamic[revenue]-(dynamic[productCost]*dynamic[orderQuantity])</f>
        <v>11.38465001</v>
      </c>
      <c r="T2043" s="25">
        <f>IFERROR(dynamic[profit]/dynamic[revenue], 0)</f>
        <v>0.1546827447</v>
      </c>
    </row>
    <row r="2044" ht="15.75" customHeight="1">
      <c r="A2044" s="6">
        <v>11038.0</v>
      </c>
      <c r="B2044" s="7" t="s">
        <v>19</v>
      </c>
      <c r="C2044" s="24" t="str">
        <f>VLOOKUP(dynamic[customerID],customers[],2,FALSE)</f>
        <v>Suprêmes délices</v>
      </c>
      <c r="D2044" s="24">
        <v>45403.0</v>
      </c>
      <c r="E2044" s="6">
        <f>IFERROR(__xludf.DUMMYFUNCTION("COUNTUNIQUEIFS($A$2:$A2044,$B$2:$B2044,B2044)"),12.0)</f>
        <v>12</v>
      </c>
      <c r="F2044" s="6">
        <f t="shared" si="1"/>
        <v>1</v>
      </c>
      <c r="G2044" s="6" t="str">
        <f>IF(MINIFS(dynamic[orderDate], dynamic[customerID], B2044) &gt;= DATE(2024,4,30)-120, 
     "New", 
     IF(MAXIFS(dynamic[orderCount], dynamic[customerID], B2044)&lt;=2, 
        IF((DATE(2024,4,30) - MAXIFS(dynamic[orderDate], dynamic[customerID], B2044)) &gt; 180, "Non-Returning", "Dormant"), 
        IF(AND(MAX(dynamic[sinceLastOrder]) &gt; 365, (DATE(2024,4,30) - MAXIFS(dynamic[orderDate], dynamic[customerID], B2044)) &gt; 180), 
           "Dormant", "Regular")))</f>
        <v>Regular</v>
      </c>
      <c r="H2044" s="6">
        <v>52.0</v>
      </c>
      <c r="I2044" s="9" t="str">
        <f>VLOOKUP(dynamic[productID],products[],2,FALSE)</f>
        <v>Filo Mix</v>
      </c>
      <c r="J2044" s="9" t="str">
        <f>VLOOKUP(dynamic[productID],products[],12,FALSE)</f>
        <v>Grains/Cereals</v>
      </c>
      <c r="K2044" s="7" t="str">
        <f>IF(VLOOKUP(dynamic[productID],products[],7,FALSE)=1,"Discontinued","Current")</f>
        <v>Current</v>
      </c>
      <c r="L2044" s="9">
        <f>VLOOKUP(dynamic[productID],products[],IF(YEAR(dynamic[orderDate])=2022,8,IF(YEAR(dynamic[orderDate])=2023,9,IF(YEAR(dynamic[orderDate])=2024,10,NA))),FALSE)</f>
        <v>5.222223442</v>
      </c>
      <c r="M2044" s="9">
        <v>7.0</v>
      </c>
      <c r="N2044" s="25">
        <f>(dynamic[orderPrice]-dynamic[productCost])/dynamic[productCost]</f>
        <v>0.3404252188</v>
      </c>
      <c r="O2044" s="10">
        <v>2.0</v>
      </c>
      <c r="P2044" s="25">
        <v>0.0</v>
      </c>
      <c r="Q2044" s="9">
        <f>dynamic[orderPrice]*dynamic[orderQuantity]</f>
        <v>14</v>
      </c>
      <c r="R2044" s="9">
        <f>dynamic[orderTotal]*(1-dynamic[discountApllied])</f>
        <v>14</v>
      </c>
      <c r="S2044" s="9">
        <f>dynamic[revenue]-(dynamic[productCost]*dynamic[orderQuantity])</f>
        <v>3.555553116</v>
      </c>
      <c r="T2044" s="25">
        <f>IFERROR(dynamic[profit]/dynamic[revenue], 0)</f>
        <v>0.2539680797</v>
      </c>
    </row>
    <row r="2045" ht="15.75" customHeight="1">
      <c r="A2045" s="6">
        <v>11038.0</v>
      </c>
      <c r="B2045" s="7" t="s">
        <v>19</v>
      </c>
      <c r="C2045" s="24" t="str">
        <f>VLOOKUP(dynamic[customerID],customers[],2,FALSE)</f>
        <v>Suprêmes délices</v>
      </c>
      <c r="D2045" s="24">
        <v>45403.0</v>
      </c>
      <c r="E2045" s="6">
        <f>IFERROR(__xludf.DUMMYFUNCTION("COUNTUNIQUEIFS($A$2:$A2045,$B$2:$B2045,B2045)"),12.0)</f>
        <v>12</v>
      </c>
      <c r="F2045" s="6">
        <f t="shared" si="1"/>
        <v>1</v>
      </c>
      <c r="G2045" s="6" t="str">
        <f>IF(MINIFS(dynamic[orderDate], dynamic[customerID], B2045) &gt;= DATE(2024,4,30)-120, 
     "New", 
     IF(MAXIFS(dynamic[orderCount], dynamic[customerID], B2045)&lt;=2, 
        IF((DATE(2024,4,30) - MAXIFS(dynamic[orderDate], dynamic[customerID], B2045)) &gt; 180, "Non-Returning", "Dormant"), 
        IF(AND(MAX(dynamic[sinceLastOrder]) &gt; 365, (DATE(2024,4,30) - MAXIFS(dynamic[orderDate], dynamic[customerID], B2045)) &gt; 180), 
           "Dormant", "Regular")))</f>
        <v>Regular</v>
      </c>
      <c r="H2045" s="6">
        <v>71.0</v>
      </c>
      <c r="I2045" s="9" t="str">
        <f>VLOOKUP(dynamic[productID],products[],2,FALSE)</f>
        <v>Flotemysost</v>
      </c>
      <c r="J2045" s="9" t="str">
        <f>VLOOKUP(dynamic[productID],products[],12,FALSE)</f>
        <v>Dairy Products</v>
      </c>
      <c r="K2045" s="7" t="str">
        <f>IF(VLOOKUP(dynamic[productID],products[],7,FALSE)=1,"Discontinued","Current")</f>
        <v>Current</v>
      </c>
      <c r="L2045" s="9">
        <f>VLOOKUP(dynamic[productID],products[],IF(YEAR(dynamic[orderDate])=2022,8,IF(YEAR(dynamic[orderDate])=2023,9,IF(YEAR(dynamic[orderDate])=2024,10,NA))),FALSE)</f>
        <v>14.20977576</v>
      </c>
      <c r="M2045" s="9">
        <v>21.5</v>
      </c>
      <c r="N2045" s="25">
        <f>(dynamic[orderPrice]-dynamic[productCost])/dynamic[productCost]</f>
        <v>0.5130428769</v>
      </c>
      <c r="O2045" s="10">
        <v>30.0</v>
      </c>
      <c r="P2045" s="25">
        <v>0.0</v>
      </c>
      <c r="Q2045" s="9">
        <f>dynamic[orderPrice]*dynamic[orderQuantity]</f>
        <v>645</v>
      </c>
      <c r="R2045" s="9">
        <f>dynamic[orderTotal]*(1-dynamic[discountApllied])</f>
        <v>645</v>
      </c>
      <c r="S2045" s="9">
        <f>dynamic[revenue]-(dynamic[productCost]*dynamic[orderQuantity])</f>
        <v>218.7067271</v>
      </c>
      <c r="T2045" s="25">
        <f>IFERROR(dynamic[profit]/dynamic[revenue], 0)</f>
        <v>0.3390801971</v>
      </c>
    </row>
    <row r="2046" ht="15.75" customHeight="1">
      <c r="A2046" s="6">
        <v>11039.0</v>
      </c>
      <c r="B2046" s="7" t="s">
        <v>82</v>
      </c>
      <c r="C2046" s="24" t="str">
        <f>VLOOKUP(dynamic[customerID],customers[],2,FALSE)</f>
        <v>LINO-Delicateses</v>
      </c>
      <c r="D2046" s="24">
        <v>45403.0</v>
      </c>
      <c r="E2046" s="6">
        <f>IFERROR(__xludf.DUMMYFUNCTION("COUNTUNIQUEIFS($A$2:$A2046,$B$2:$B2046,B2046)"),12.0)</f>
        <v>12</v>
      </c>
      <c r="F2046" s="6">
        <f t="shared" si="1"/>
        <v>11</v>
      </c>
      <c r="G2046" s="6" t="str">
        <f>IF(MINIFS(dynamic[orderDate], dynamic[customerID], B2046) &gt;= DATE(2024,4,30)-120, 
     "New", 
     IF(MAXIFS(dynamic[orderCount], dynamic[customerID], B2046)&lt;=2, 
        IF((DATE(2024,4,30) - MAXIFS(dynamic[orderDate], dynamic[customerID], B2046)) &gt; 180, "Non-Returning", "Dormant"), 
        IF(AND(MAX(dynamic[sinceLastOrder]) &gt; 365, (DATE(2024,4,30) - MAXIFS(dynamic[orderDate], dynamic[customerID], B2046)) &gt; 180), 
           "Dormant", "Regular")))</f>
        <v>Regular</v>
      </c>
      <c r="H2046" s="6">
        <v>28.0</v>
      </c>
      <c r="I2046" s="9" t="str">
        <f>VLOOKUP(dynamic[productID],products[],2,FALSE)</f>
        <v>Rössle Sauerkraut</v>
      </c>
      <c r="J2046" s="9" t="str">
        <f>VLOOKUP(dynamic[productID],products[],12,FALSE)</f>
        <v>Produce</v>
      </c>
      <c r="K2046" s="7" t="str">
        <f>IF(VLOOKUP(dynamic[productID],products[],7,FALSE)=1,"Discontinued","Current")</f>
        <v>Discontinued</v>
      </c>
      <c r="L2046" s="9">
        <f>VLOOKUP(dynamic[productID],products[],IF(YEAR(dynamic[orderDate])=2022,8,IF(YEAR(dynamic[orderDate])=2023,9,IF(YEAR(dynamic[orderDate])=2024,10,NA))),FALSE)</f>
        <v>34.18502761</v>
      </c>
      <c r="M2046" s="9">
        <v>45.6</v>
      </c>
      <c r="N2046" s="25">
        <f>(dynamic[orderPrice]-dynamic[productCost])/dynamic[productCost]</f>
        <v>0.3339173079</v>
      </c>
      <c r="O2046" s="10">
        <v>20.0</v>
      </c>
      <c r="P2046" s="25">
        <v>0.0</v>
      </c>
      <c r="Q2046" s="9">
        <f>dynamic[orderPrice]*dynamic[orderQuantity]</f>
        <v>912</v>
      </c>
      <c r="R2046" s="9">
        <f>dynamic[orderTotal]*(1-dynamic[discountApllied])</f>
        <v>912</v>
      </c>
      <c r="S2046" s="9">
        <f>dynamic[revenue]-(dynamic[productCost]*dynamic[orderQuantity])</f>
        <v>228.2994478</v>
      </c>
      <c r="T2046" s="25">
        <f>IFERROR(dynamic[profit]/dynamic[revenue], 0)</f>
        <v>0.2503283419</v>
      </c>
    </row>
    <row r="2047" ht="15.75" customHeight="1">
      <c r="A2047" s="6">
        <v>11039.0</v>
      </c>
      <c r="B2047" s="7" t="s">
        <v>82</v>
      </c>
      <c r="C2047" s="24" t="str">
        <f>VLOOKUP(dynamic[customerID],customers[],2,FALSE)</f>
        <v>LINO-Delicateses</v>
      </c>
      <c r="D2047" s="24">
        <v>45403.0</v>
      </c>
      <c r="E2047" s="6">
        <f>IFERROR(__xludf.DUMMYFUNCTION("COUNTUNIQUEIFS($A$2:$A2047,$B$2:$B2047,B2047)"),12.0)</f>
        <v>12</v>
      </c>
      <c r="F2047" s="6">
        <f t="shared" si="1"/>
        <v>11</v>
      </c>
      <c r="G2047" s="6" t="str">
        <f>IF(MINIFS(dynamic[orderDate], dynamic[customerID], B2047) &gt;= DATE(2024,4,30)-120, 
     "New", 
     IF(MAXIFS(dynamic[orderCount], dynamic[customerID], B2047)&lt;=2, 
        IF((DATE(2024,4,30) - MAXIFS(dynamic[orderDate], dynamic[customerID], B2047)) &gt; 180, "Non-Returning", "Dormant"), 
        IF(AND(MAX(dynamic[sinceLastOrder]) &gt; 365, (DATE(2024,4,30) - MAXIFS(dynamic[orderDate], dynamic[customerID], B2047)) &gt; 180), 
           "Dormant", "Regular")))</f>
        <v>Regular</v>
      </c>
      <c r="H2047" s="6">
        <v>35.0</v>
      </c>
      <c r="I2047" s="9" t="str">
        <f>VLOOKUP(dynamic[productID],products[],2,FALSE)</f>
        <v>Cold Brew Nitro</v>
      </c>
      <c r="J2047" s="9" t="str">
        <f>VLOOKUP(dynamic[productID],products[],12,FALSE)</f>
        <v>Beverages</v>
      </c>
      <c r="K2047" s="7" t="str">
        <f>IF(VLOOKUP(dynamic[productID],products[],7,FALSE)=1,"Discontinued","Current")</f>
        <v>Current</v>
      </c>
      <c r="L2047" s="9">
        <f>VLOOKUP(dynamic[productID],products[],IF(YEAR(dynamic[orderDate])=2022,8,IF(YEAR(dynamic[orderDate])=2023,9,IF(YEAR(dynamic[orderDate])=2024,10,NA))),FALSE)</f>
        <v>12.9261692</v>
      </c>
      <c r="M2047" s="9">
        <v>18.0</v>
      </c>
      <c r="N2047" s="25">
        <f>(dynamic[orderPrice]-dynamic[productCost])/dynamic[productCost]</f>
        <v>0.3925239355</v>
      </c>
      <c r="O2047" s="10">
        <v>24.0</v>
      </c>
      <c r="P2047" s="25">
        <v>0.0</v>
      </c>
      <c r="Q2047" s="9">
        <f>dynamic[orderPrice]*dynamic[orderQuantity]</f>
        <v>432</v>
      </c>
      <c r="R2047" s="9">
        <f>dynamic[orderTotal]*(1-dynamic[discountApllied])</f>
        <v>432</v>
      </c>
      <c r="S2047" s="9">
        <f>dynamic[revenue]-(dynamic[productCost]*dynamic[orderQuantity])</f>
        <v>121.7719393</v>
      </c>
      <c r="T2047" s="25">
        <f>IFERROR(dynamic[profit]/dynamic[revenue], 0)</f>
        <v>0.2818794891</v>
      </c>
    </row>
    <row r="2048" ht="15.75" customHeight="1">
      <c r="A2048" s="6">
        <v>11039.0</v>
      </c>
      <c r="B2048" s="7" t="s">
        <v>82</v>
      </c>
      <c r="C2048" s="24" t="str">
        <f>VLOOKUP(dynamic[customerID],customers[],2,FALSE)</f>
        <v>LINO-Delicateses</v>
      </c>
      <c r="D2048" s="24">
        <v>45403.0</v>
      </c>
      <c r="E2048" s="6">
        <f>IFERROR(__xludf.DUMMYFUNCTION("COUNTUNIQUEIFS($A$2:$A2048,$B$2:$B2048,B2048)"),12.0)</f>
        <v>12</v>
      </c>
      <c r="F2048" s="6">
        <f t="shared" si="1"/>
        <v>11</v>
      </c>
      <c r="G2048" s="6" t="str">
        <f>IF(MINIFS(dynamic[orderDate], dynamic[customerID], B2048) &gt;= DATE(2024,4,30)-120, 
     "New", 
     IF(MAXIFS(dynamic[orderCount], dynamic[customerID], B2048)&lt;=2, 
        IF((DATE(2024,4,30) - MAXIFS(dynamic[orderDate], dynamic[customerID], B2048)) &gt; 180, "Non-Returning", "Dormant"), 
        IF(AND(MAX(dynamic[sinceLastOrder]) &gt; 365, (DATE(2024,4,30) - MAXIFS(dynamic[orderDate], dynamic[customerID], B2048)) &gt; 180), 
           "Dormant", "Regular")))</f>
        <v>Regular</v>
      </c>
      <c r="H2048" s="6">
        <v>49.0</v>
      </c>
      <c r="I2048" s="9" t="str">
        <f>VLOOKUP(dynamic[productID],products[],2,FALSE)</f>
        <v>Maxilaku</v>
      </c>
      <c r="J2048" s="9" t="str">
        <f>VLOOKUP(dynamic[productID],products[],12,FALSE)</f>
        <v>Confections</v>
      </c>
      <c r="K2048" s="7" t="str">
        <f>IF(VLOOKUP(dynamic[productID],products[],7,FALSE)=1,"Discontinued","Current")</f>
        <v>Current</v>
      </c>
      <c r="L2048" s="9">
        <f>VLOOKUP(dynamic[productID],products[],IF(YEAR(dynamic[orderDate])=2022,8,IF(YEAR(dynamic[orderDate])=2023,9,IF(YEAR(dynamic[orderDate])=2024,10,NA))),FALSE)</f>
        <v>15.07459899</v>
      </c>
      <c r="M2048" s="9">
        <v>20.0</v>
      </c>
      <c r="N2048" s="25">
        <f>(dynamic[orderPrice]-dynamic[productCost])/dynamic[productCost]</f>
        <v>0.3267351269</v>
      </c>
      <c r="O2048" s="10">
        <v>60.0</v>
      </c>
      <c r="P2048" s="25">
        <v>0.0</v>
      </c>
      <c r="Q2048" s="9">
        <f>dynamic[orderPrice]*dynamic[orderQuantity]</f>
        <v>1200</v>
      </c>
      <c r="R2048" s="9">
        <f>dynamic[orderTotal]*(1-dynamic[discountApllied])</f>
        <v>1200</v>
      </c>
      <c r="S2048" s="9">
        <f>dynamic[revenue]-(dynamic[productCost]*dynamic[orderQuantity])</f>
        <v>295.5240608</v>
      </c>
      <c r="T2048" s="25">
        <f>IFERROR(dynamic[profit]/dynamic[revenue], 0)</f>
        <v>0.2462700507</v>
      </c>
    </row>
    <row r="2049" ht="15.75" customHeight="1">
      <c r="A2049" s="6">
        <v>11039.0</v>
      </c>
      <c r="B2049" s="7" t="s">
        <v>82</v>
      </c>
      <c r="C2049" s="24" t="str">
        <f>VLOOKUP(dynamic[customerID],customers[],2,FALSE)</f>
        <v>LINO-Delicateses</v>
      </c>
      <c r="D2049" s="24">
        <v>45403.0</v>
      </c>
      <c r="E2049" s="6">
        <f>IFERROR(__xludf.DUMMYFUNCTION("COUNTUNIQUEIFS($A$2:$A2049,$B$2:$B2049,B2049)"),12.0)</f>
        <v>12</v>
      </c>
      <c r="F2049" s="6">
        <f t="shared" si="1"/>
        <v>11</v>
      </c>
      <c r="G2049" s="6" t="str">
        <f>IF(MINIFS(dynamic[orderDate], dynamic[customerID], B2049) &gt;= DATE(2024,4,30)-120, 
     "New", 
     IF(MAXIFS(dynamic[orderCount], dynamic[customerID], B2049)&lt;=2, 
        IF((DATE(2024,4,30) - MAXIFS(dynamic[orderDate], dynamic[customerID], B2049)) &gt; 180, "Non-Returning", "Dormant"), 
        IF(AND(MAX(dynamic[sinceLastOrder]) &gt; 365, (DATE(2024,4,30) - MAXIFS(dynamic[orderDate], dynamic[customerID], B2049)) &gt; 180), 
           "Dormant", "Regular")))</f>
        <v>Regular</v>
      </c>
      <c r="H2049" s="6">
        <v>57.0</v>
      </c>
      <c r="I2049" s="9" t="str">
        <f>VLOOKUP(dynamic[productID],products[],2,FALSE)</f>
        <v>Ravioli Angelo</v>
      </c>
      <c r="J2049" s="9" t="str">
        <f>VLOOKUP(dynamic[productID],products[],12,FALSE)</f>
        <v>Grains/Cereals</v>
      </c>
      <c r="K2049" s="7" t="str">
        <f>IF(VLOOKUP(dynamic[productID],products[],7,FALSE)=1,"Discontinued","Current")</f>
        <v>Current</v>
      </c>
      <c r="L2049" s="9">
        <f>VLOOKUP(dynamic[productID],products[],IF(YEAR(dynamic[orderDate])=2022,8,IF(YEAR(dynamic[orderDate])=2023,9,IF(YEAR(dynamic[orderDate])=2024,10,NA))),FALSE)</f>
        <v>14.29534762</v>
      </c>
      <c r="M2049" s="9">
        <v>19.5</v>
      </c>
      <c r="N2049" s="25">
        <f>(dynamic[orderPrice]-dynamic[productCost])/dynamic[productCost]</f>
        <v>0.3640801552</v>
      </c>
      <c r="O2049" s="10">
        <v>28.0</v>
      </c>
      <c r="P2049" s="25">
        <v>0.0</v>
      </c>
      <c r="Q2049" s="9">
        <f>dynamic[orderPrice]*dynamic[orderQuantity]</f>
        <v>546</v>
      </c>
      <c r="R2049" s="9">
        <f>dynamic[orderTotal]*(1-dynamic[discountApllied])</f>
        <v>546</v>
      </c>
      <c r="S2049" s="9">
        <f>dynamic[revenue]-(dynamic[productCost]*dynamic[orderQuantity])</f>
        <v>145.7302667</v>
      </c>
      <c r="T2049" s="25">
        <f>IFERROR(dynamic[profit]/dynamic[revenue], 0)</f>
        <v>0.2669052503</v>
      </c>
    </row>
    <row r="2050" ht="15.75" customHeight="1">
      <c r="A2050" s="6">
        <v>11040.0</v>
      </c>
      <c r="B2050" s="7" t="s">
        <v>94</v>
      </c>
      <c r="C2050" s="24" t="str">
        <f>VLOOKUP(dynamic[customerID],customers[],2,FALSE)</f>
        <v>Great Lakes Food Market</v>
      </c>
      <c r="D2050" s="24">
        <v>45404.0</v>
      </c>
      <c r="E2050" s="6">
        <f>IFERROR(__xludf.DUMMYFUNCTION("COUNTUNIQUEIFS($A$2:$A2050,$B$2:$B2050,B2050)"),10.0)</f>
        <v>10</v>
      </c>
      <c r="F2050" s="6">
        <f t="shared" si="1"/>
        <v>15</v>
      </c>
      <c r="G2050" s="6" t="str">
        <f>IF(MINIFS(dynamic[orderDate], dynamic[customerID], B2050) &gt;= DATE(2024,4,30)-120, 
     "New", 
     IF(MAXIFS(dynamic[orderCount], dynamic[customerID], B2050)&lt;=2, 
        IF((DATE(2024,4,30) - MAXIFS(dynamic[orderDate], dynamic[customerID], B2050)) &gt; 180, "Non-Returning", "Dormant"), 
        IF(AND(MAX(dynamic[sinceLastOrder]) &gt; 365, (DATE(2024,4,30) - MAXIFS(dynamic[orderDate], dynamic[customerID], B2050)) &gt; 180), 
           "Dormant", "Regular")))</f>
        <v>Regular</v>
      </c>
      <c r="H2050" s="6">
        <v>21.0</v>
      </c>
      <c r="I2050" s="9" t="str">
        <f>VLOOKUP(dynamic[productID],products[],2,FALSE)</f>
        <v>Sir Rodney's Scones</v>
      </c>
      <c r="J2050" s="9" t="str">
        <f>VLOOKUP(dynamic[productID],products[],12,FALSE)</f>
        <v>Confections</v>
      </c>
      <c r="K2050" s="7" t="str">
        <f>IF(VLOOKUP(dynamic[productID],products[],7,FALSE)=1,"Discontinued","Current")</f>
        <v>Current</v>
      </c>
      <c r="L2050" s="9">
        <f>VLOOKUP(dynamic[productID],products[],IF(YEAR(dynamic[orderDate])=2022,8,IF(YEAR(dynamic[orderDate])=2023,9,IF(YEAR(dynamic[orderDate])=2024,10,NA))),FALSE)</f>
        <v>7.459897593</v>
      </c>
      <c r="M2050" s="9">
        <v>10.0</v>
      </c>
      <c r="N2050" s="25">
        <f>(dynamic[orderPrice]-dynamic[productCost])/dynamic[productCost]</f>
        <v>0.3405009753</v>
      </c>
      <c r="O2050" s="10">
        <v>20.0</v>
      </c>
      <c r="P2050" s="25">
        <v>0.0</v>
      </c>
      <c r="Q2050" s="9">
        <f>dynamic[orderPrice]*dynamic[orderQuantity]</f>
        <v>200</v>
      </c>
      <c r="R2050" s="9">
        <f>dynamic[orderTotal]*(1-dynamic[discountApllied])</f>
        <v>200</v>
      </c>
      <c r="S2050" s="9">
        <f>dynamic[revenue]-(dynamic[productCost]*dynamic[orderQuantity])</f>
        <v>50.80204813</v>
      </c>
      <c r="T2050" s="25">
        <f>IFERROR(dynamic[profit]/dynamic[revenue], 0)</f>
        <v>0.2540102407</v>
      </c>
    </row>
    <row r="2051" ht="15.75" customHeight="1">
      <c r="A2051" s="6">
        <v>11041.0</v>
      </c>
      <c r="B2051" s="7" t="s">
        <v>20</v>
      </c>
      <c r="C2051" s="24" t="str">
        <f>VLOOKUP(dynamic[customerID],customers[],2,FALSE)</f>
        <v>Chop-suey Chinese</v>
      </c>
      <c r="D2051" s="24">
        <v>45404.0</v>
      </c>
      <c r="E2051" s="6">
        <f>IFERROR(__xludf.DUMMYFUNCTION("COUNTUNIQUEIFS($A$2:$A2051,$B$2:$B2051,B2051)"),8.0)</f>
        <v>8</v>
      </c>
      <c r="F2051" s="6">
        <f t="shared" si="1"/>
        <v>6</v>
      </c>
      <c r="G2051" s="6" t="str">
        <f>IF(MINIFS(dynamic[orderDate], dynamic[customerID], B2051) &gt;= DATE(2024,4,30)-120, 
     "New", 
     IF(MAXIFS(dynamic[orderCount], dynamic[customerID], B2051)&lt;=2, 
        IF((DATE(2024,4,30) - MAXIFS(dynamic[orderDate], dynamic[customerID], B2051)) &gt; 180, "Non-Returning", "Dormant"), 
        IF(AND(MAX(dynamic[sinceLastOrder]) &gt; 365, (DATE(2024,4,30) - MAXIFS(dynamic[orderDate], dynamic[customerID], B2051)) &gt; 180), 
           "Dormant", "Regular")))</f>
        <v>Regular</v>
      </c>
      <c r="H2051" s="6">
        <v>2.0</v>
      </c>
      <c r="I2051" s="9" t="str">
        <f>VLOOKUP(dynamic[productID],products[],2,FALSE)</f>
        <v>Chang</v>
      </c>
      <c r="J2051" s="9" t="str">
        <f>VLOOKUP(dynamic[productID],products[],12,FALSE)</f>
        <v>Beverages</v>
      </c>
      <c r="K2051" s="7" t="str">
        <f>IF(VLOOKUP(dynamic[productID],products[],7,FALSE)=1,"Discontinued","Current")</f>
        <v>Current</v>
      </c>
      <c r="L2051" s="9">
        <f>VLOOKUP(dynamic[productID],products[],IF(YEAR(dynamic[orderDate])=2022,8,IF(YEAR(dynamic[orderDate])=2023,9,IF(YEAR(dynamic[orderDate])=2024,10,NA))),FALSE)</f>
        <v>11.93843713</v>
      </c>
      <c r="M2051" s="9">
        <v>19.0</v>
      </c>
      <c r="N2051" s="25">
        <f>(dynamic[orderPrice]-dynamic[productCost])/dynamic[productCost]</f>
        <v>0.591498099</v>
      </c>
      <c r="O2051" s="10">
        <v>30.0</v>
      </c>
      <c r="P2051" s="25">
        <v>0.2</v>
      </c>
      <c r="Q2051" s="9">
        <f>dynamic[orderPrice]*dynamic[orderQuantity]</f>
        <v>570</v>
      </c>
      <c r="R2051" s="9">
        <f>dynamic[orderTotal]*(1-dynamic[discountApllied])</f>
        <v>456</v>
      </c>
      <c r="S2051" s="9">
        <f>dynamic[revenue]-(dynamic[productCost]*dynamic[orderQuantity])</f>
        <v>97.84688605</v>
      </c>
      <c r="T2051" s="25">
        <f>IFERROR(dynamic[profit]/dynamic[revenue], 0)</f>
        <v>0.2145765045</v>
      </c>
    </row>
    <row r="2052" ht="15.75" customHeight="1">
      <c r="A2052" s="6">
        <v>11041.0</v>
      </c>
      <c r="B2052" s="7" t="s">
        <v>20</v>
      </c>
      <c r="C2052" s="24" t="str">
        <f>VLOOKUP(dynamic[customerID],customers[],2,FALSE)</f>
        <v>Chop-suey Chinese</v>
      </c>
      <c r="D2052" s="24">
        <v>45404.0</v>
      </c>
      <c r="E2052" s="6">
        <f>IFERROR(__xludf.DUMMYFUNCTION("COUNTUNIQUEIFS($A$2:$A2052,$B$2:$B2052,B2052)"),8.0)</f>
        <v>8</v>
      </c>
      <c r="F2052" s="6">
        <f t="shared" si="1"/>
        <v>6</v>
      </c>
      <c r="G2052" s="6" t="str">
        <f>IF(MINIFS(dynamic[orderDate], dynamic[customerID], B2052) &gt;= DATE(2024,4,30)-120, 
     "New", 
     IF(MAXIFS(dynamic[orderCount], dynamic[customerID], B2052)&lt;=2, 
        IF((DATE(2024,4,30) - MAXIFS(dynamic[orderDate], dynamic[customerID], B2052)) &gt; 180, "Non-Returning", "Dormant"), 
        IF(AND(MAX(dynamic[sinceLastOrder]) &gt; 365, (DATE(2024,4,30) - MAXIFS(dynamic[orderDate], dynamic[customerID], B2052)) &gt; 180), 
           "Dormant", "Regular")))</f>
        <v>Regular</v>
      </c>
      <c r="H2052" s="6">
        <v>63.0</v>
      </c>
      <c r="I2052" s="9" t="str">
        <f>VLOOKUP(dynamic[productID],products[],2,FALSE)</f>
        <v>Vegie-spread</v>
      </c>
      <c r="J2052" s="9" t="str">
        <f>VLOOKUP(dynamic[productID],products[],12,FALSE)</f>
        <v>Condiments</v>
      </c>
      <c r="K2052" s="7" t="str">
        <f>IF(VLOOKUP(dynamic[productID],products[],7,FALSE)=1,"Discontinued","Current")</f>
        <v>Current</v>
      </c>
      <c r="L2052" s="9">
        <f>VLOOKUP(dynamic[productID],products[],IF(YEAR(dynamic[orderDate])=2022,8,IF(YEAR(dynamic[orderDate])=2023,9,IF(YEAR(dynamic[orderDate])=2024,10,NA))),FALSE)</f>
        <v>32.59198577</v>
      </c>
      <c r="M2052" s="9">
        <v>43.9</v>
      </c>
      <c r="N2052" s="25">
        <f>(dynamic[orderPrice]-dynamic[productCost])/dynamic[productCost]</f>
        <v>0.3469568963</v>
      </c>
      <c r="O2052" s="10">
        <v>30.0</v>
      </c>
      <c r="P2052" s="25">
        <v>0.0</v>
      </c>
      <c r="Q2052" s="9">
        <f>dynamic[orderPrice]*dynamic[orderQuantity]</f>
        <v>1317</v>
      </c>
      <c r="R2052" s="9">
        <f>dynamic[orderTotal]*(1-dynamic[discountApllied])</f>
        <v>1317</v>
      </c>
      <c r="S2052" s="9">
        <f>dynamic[revenue]-(dynamic[productCost]*dynamic[orderQuantity])</f>
        <v>339.2404268</v>
      </c>
      <c r="T2052" s="25">
        <f>IFERROR(dynamic[profit]/dynamic[revenue], 0)</f>
        <v>0.2575857455</v>
      </c>
    </row>
    <row r="2053" ht="15.75" customHeight="1">
      <c r="A2053" s="6">
        <v>11042.0</v>
      </c>
      <c r="B2053" s="7" t="s">
        <v>47</v>
      </c>
      <c r="C2053" s="24" t="str">
        <f>VLOOKUP(dynamic[customerID],customers[],2,FALSE)</f>
        <v>Comércio Mineiro</v>
      </c>
      <c r="D2053" s="24">
        <v>45404.0</v>
      </c>
      <c r="E2053" s="6">
        <f>IFERROR(__xludf.DUMMYFUNCTION("COUNTUNIQUEIFS($A$2:$A2053,$B$2:$B2053,B2053)"),5.0)</f>
        <v>5</v>
      </c>
      <c r="F2053" s="6">
        <f t="shared" si="1"/>
        <v>30</v>
      </c>
      <c r="G2053" s="6" t="str">
        <f>IF(MINIFS(dynamic[orderDate], dynamic[customerID], B2053) &gt;= DATE(2024,4,30)-120, 
     "New", 
     IF(MAXIFS(dynamic[orderCount], dynamic[customerID], B2053)&lt;=2, 
        IF((DATE(2024,4,30) - MAXIFS(dynamic[orderDate], dynamic[customerID], B2053)) &gt; 180, "Non-Returning", "Dormant"), 
        IF(AND(MAX(dynamic[sinceLastOrder]) &gt; 365, (DATE(2024,4,30) - MAXIFS(dynamic[orderDate], dynamic[customerID], B2053)) &gt; 180), 
           "Dormant", "Regular")))</f>
        <v>Regular</v>
      </c>
      <c r="H2053" s="6">
        <v>44.0</v>
      </c>
      <c r="I2053" s="9" t="str">
        <f>VLOOKUP(dynamic[productID],products[],2,FALSE)</f>
        <v>Gula Malacca</v>
      </c>
      <c r="J2053" s="9" t="str">
        <f>VLOOKUP(dynamic[productID],products[],12,FALSE)</f>
        <v>Condiments</v>
      </c>
      <c r="K2053" s="7" t="str">
        <f>IF(VLOOKUP(dynamic[productID],products[],7,FALSE)=1,"Discontinued","Current")</f>
        <v>Current</v>
      </c>
      <c r="L2053" s="9">
        <f>VLOOKUP(dynamic[productID],products[],IF(YEAR(dynamic[orderDate])=2022,8,IF(YEAR(dynamic[orderDate])=2023,9,IF(YEAR(dynamic[orderDate])=2024,10,NA))),FALSE)</f>
        <v>12.27831512</v>
      </c>
      <c r="M2053" s="9">
        <v>19.45</v>
      </c>
      <c r="N2053" s="25">
        <f>(dynamic[orderPrice]-dynamic[productCost])/dynamic[productCost]</f>
        <v>0.5840935672</v>
      </c>
      <c r="O2053" s="10">
        <v>15.0</v>
      </c>
      <c r="P2053" s="25">
        <v>0.0</v>
      </c>
      <c r="Q2053" s="9">
        <f>dynamic[orderPrice]*dynamic[orderQuantity]</f>
        <v>291.75</v>
      </c>
      <c r="R2053" s="9">
        <f>dynamic[orderTotal]*(1-dynamic[discountApllied])</f>
        <v>291.75</v>
      </c>
      <c r="S2053" s="9">
        <f>dynamic[revenue]-(dynamic[productCost]*dynamic[orderQuantity])</f>
        <v>107.5752732</v>
      </c>
      <c r="T2053" s="25">
        <f>IFERROR(dynamic[profit]/dynamic[revenue], 0)</f>
        <v>0.3687241583</v>
      </c>
    </row>
    <row r="2054" ht="15.75" customHeight="1">
      <c r="A2054" s="6">
        <v>11042.0</v>
      </c>
      <c r="B2054" s="7" t="s">
        <v>47</v>
      </c>
      <c r="C2054" s="24" t="str">
        <f>VLOOKUP(dynamic[customerID],customers[],2,FALSE)</f>
        <v>Comércio Mineiro</v>
      </c>
      <c r="D2054" s="24">
        <v>45404.0</v>
      </c>
      <c r="E2054" s="6">
        <f>IFERROR(__xludf.DUMMYFUNCTION("COUNTUNIQUEIFS($A$2:$A2054,$B$2:$B2054,B2054)"),5.0)</f>
        <v>5</v>
      </c>
      <c r="F2054" s="6">
        <f t="shared" si="1"/>
        <v>30</v>
      </c>
      <c r="G2054" s="6" t="str">
        <f>IF(MINIFS(dynamic[orderDate], dynamic[customerID], B2054) &gt;= DATE(2024,4,30)-120, 
     "New", 
     IF(MAXIFS(dynamic[orderCount], dynamic[customerID], B2054)&lt;=2, 
        IF((DATE(2024,4,30) - MAXIFS(dynamic[orderDate], dynamic[customerID], B2054)) &gt; 180, "Non-Returning", "Dormant"), 
        IF(AND(MAX(dynamic[sinceLastOrder]) &gt; 365, (DATE(2024,4,30) - MAXIFS(dynamic[orderDate], dynamic[customerID], B2054)) &gt; 180), 
           "Dormant", "Regular")))</f>
        <v>Regular</v>
      </c>
      <c r="H2054" s="6">
        <v>61.0</v>
      </c>
      <c r="I2054" s="9" t="str">
        <f>VLOOKUP(dynamic[productID],products[],2,FALSE)</f>
        <v>Sirop d'érable</v>
      </c>
      <c r="J2054" s="9" t="str">
        <f>VLOOKUP(dynamic[productID],products[],12,FALSE)</f>
        <v>Condiments</v>
      </c>
      <c r="K2054" s="7" t="str">
        <f>IF(VLOOKUP(dynamic[productID],products[],7,FALSE)=1,"Discontinued","Current")</f>
        <v>Current</v>
      </c>
      <c r="L2054" s="9">
        <f>VLOOKUP(dynamic[productID],products[],IF(YEAR(dynamic[orderDate])=2022,8,IF(YEAR(dynamic[orderDate])=2023,9,IF(YEAR(dynamic[orderDate])=2024,10,NA))),FALSE)</f>
        <v>18.74487379</v>
      </c>
      <c r="M2054" s="9">
        <v>28.5</v>
      </c>
      <c r="N2054" s="25">
        <f>(dynamic[orderPrice]-dynamic[productCost])/dynamic[productCost]</f>
        <v>0.5204156786</v>
      </c>
      <c r="O2054" s="10">
        <v>4.0</v>
      </c>
      <c r="P2054" s="25">
        <v>0.0</v>
      </c>
      <c r="Q2054" s="9">
        <f>dynamic[orderPrice]*dynamic[orderQuantity]</f>
        <v>114</v>
      </c>
      <c r="R2054" s="9">
        <f>dynamic[orderTotal]*(1-dynamic[discountApllied])</f>
        <v>114</v>
      </c>
      <c r="S2054" s="9">
        <f>dynamic[revenue]-(dynamic[productCost]*dynamic[orderQuantity])</f>
        <v>39.02050485</v>
      </c>
      <c r="T2054" s="25">
        <f>IFERROR(dynamic[profit]/dynamic[revenue], 0)</f>
        <v>0.3422851303</v>
      </c>
    </row>
    <row r="2055" ht="15.75" customHeight="1">
      <c r="A2055" s="6">
        <v>11043.0</v>
      </c>
      <c r="B2055" s="7" t="s">
        <v>102</v>
      </c>
      <c r="C2055" s="24" t="str">
        <f>VLOOKUP(dynamic[customerID],customers[],2,FALSE)</f>
        <v>Spécialités du monde</v>
      </c>
      <c r="D2055" s="24">
        <v>45404.0</v>
      </c>
      <c r="E2055" s="6">
        <f>IFERROR(__xludf.DUMMYFUNCTION("COUNTUNIQUEIFS($A$2:$A2055,$B$2:$B2055,B2055)"),4.0)</f>
        <v>4</v>
      </c>
      <c r="F2055" s="6">
        <f t="shared" si="1"/>
        <v>33</v>
      </c>
      <c r="G2055" s="6" t="str">
        <f>IF(MINIFS(dynamic[orderDate], dynamic[customerID], B2055) &gt;= DATE(2024,4,30)-120, 
     "New", 
     IF(MAXIFS(dynamic[orderCount], dynamic[customerID], B2055)&lt;=2, 
        IF((DATE(2024,4,30) - MAXIFS(dynamic[orderDate], dynamic[customerID], B2055)) &gt; 180, "Non-Returning", "Dormant"), 
        IF(AND(MAX(dynamic[sinceLastOrder]) &gt; 365, (DATE(2024,4,30) - MAXIFS(dynamic[orderDate], dynamic[customerID], B2055)) &gt; 180), 
           "Dormant", "Regular")))</f>
        <v>Regular</v>
      </c>
      <c r="H2055" s="6">
        <v>11.0</v>
      </c>
      <c r="I2055" s="9" t="str">
        <f>VLOOKUP(dynamic[productID],products[],2,FALSE)</f>
        <v>Queso Cabrales</v>
      </c>
      <c r="J2055" s="9" t="str">
        <f>VLOOKUP(dynamic[productID],products[],12,FALSE)</f>
        <v>Dairy Products</v>
      </c>
      <c r="K2055" s="7" t="str">
        <f>IF(VLOOKUP(dynamic[productID],products[],7,FALSE)=1,"Discontinued","Current")</f>
        <v>Current</v>
      </c>
      <c r="L2055" s="9">
        <f>VLOOKUP(dynamic[productID],products[],IF(YEAR(dynamic[orderDate])=2022,8,IF(YEAR(dynamic[orderDate])=2023,9,IF(YEAR(dynamic[orderDate])=2024,10,NA))),FALSE)</f>
        <v>13.86836261</v>
      </c>
      <c r="M2055" s="9">
        <v>21.0</v>
      </c>
      <c r="N2055" s="25">
        <f>(dynamic[orderPrice]-dynamic[productCost])/dynamic[productCost]</f>
        <v>0.51423788</v>
      </c>
      <c r="O2055" s="10">
        <v>10.0</v>
      </c>
      <c r="P2055" s="25">
        <v>0.0</v>
      </c>
      <c r="Q2055" s="9">
        <f>dynamic[orderPrice]*dynamic[orderQuantity]</f>
        <v>210</v>
      </c>
      <c r="R2055" s="9">
        <f>dynamic[orderTotal]*(1-dynamic[discountApllied])</f>
        <v>210</v>
      </c>
      <c r="S2055" s="9">
        <f>dynamic[revenue]-(dynamic[productCost]*dynamic[orderQuantity])</f>
        <v>71.31637389</v>
      </c>
      <c r="T2055" s="25">
        <f>IFERROR(dynamic[profit]/dynamic[revenue], 0)</f>
        <v>0.3396017804</v>
      </c>
    </row>
    <row r="2056" ht="15.75" customHeight="1">
      <c r="A2056" s="6">
        <v>11044.0</v>
      </c>
      <c r="B2056" s="7" t="s">
        <v>78</v>
      </c>
      <c r="C2056" s="24" t="str">
        <f>VLOOKUP(dynamic[customerID],customers[],2,FALSE)</f>
        <v>Wolski  Zajazd</v>
      </c>
      <c r="D2056" s="24">
        <v>45405.0</v>
      </c>
      <c r="E2056" s="6">
        <f>IFERROR(__xludf.DUMMYFUNCTION("COUNTUNIQUEIFS($A$2:$A2056,$B$2:$B2056,B2056)"),7.0)</f>
        <v>7</v>
      </c>
      <c r="F2056" s="6">
        <f t="shared" si="1"/>
        <v>20</v>
      </c>
      <c r="G2056" s="6" t="str">
        <f>IF(MINIFS(dynamic[orderDate], dynamic[customerID], B2056) &gt;= DATE(2024,4,30)-120, 
     "New", 
     IF(MAXIFS(dynamic[orderCount], dynamic[customerID], B2056)&lt;=2, 
        IF((DATE(2024,4,30) - MAXIFS(dynamic[orderDate], dynamic[customerID], B2056)) &gt; 180, "Non-Returning", "Dormant"), 
        IF(AND(MAX(dynamic[sinceLastOrder]) &gt; 365, (DATE(2024,4,30) - MAXIFS(dynamic[orderDate], dynamic[customerID], B2056)) &gt; 180), 
           "Dormant", "Regular")))</f>
        <v>Regular</v>
      </c>
      <c r="H2056" s="6">
        <v>62.0</v>
      </c>
      <c r="I2056" s="9" t="str">
        <f>VLOOKUP(dynamic[productID],products[],2,FALSE)</f>
        <v>Tarte au sucre</v>
      </c>
      <c r="J2056" s="9" t="str">
        <f>VLOOKUP(dynamic[productID],products[],12,FALSE)</f>
        <v>Confections</v>
      </c>
      <c r="K2056" s="7" t="str">
        <f>IF(VLOOKUP(dynamic[productID],products[],7,FALSE)=1,"Discontinued","Current")</f>
        <v>Current</v>
      </c>
      <c r="L2056" s="9">
        <f>VLOOKUP(dynamic[productID],products[],IF(YEAR(dynamic[orderDate])=2022,8,IF(YEAR(dynamic[orderDate])=2023,9,IF(YEAR(dynamic[orderDate])=2024,10,NA))),FALSE)</f>
        <v>34.88145014</v>
      </c>
      <c r="M2056" s="9">
        <v>49.3</v>
      </c>
      <c r="N2056" s="25">
        <f>(dynamic[orderPrice]-dynamic[productCost])/dynamic[productCost]</f>
        <v>0.4133586705</v>
      </c>
      <c r="O2056" s="10">
        <v>12.0</v>
      </c>
      <c r="P2056" s="25">
        <v>0.0</v>
      </c>
      <c r="Q2056" s="9">
        <f>dynamic[orderPrice]*dynamic[orderQuantity]</f>
        <v>591.6</v>
      </c>
      <c r="R2056" s="9">
        <f>dynamic[orderTotal]*(1-dynamic[discountApllied])</f>
        <v>591.6</v>
      </c>
      <c r="S2056" s="9">
        <f>dynamic[revenue]-(dynamic[productCost]*dynamic[orderQuantity])</f>
        <v>173.0225983</v>
      </c>
      <c r="T2056" s="25">
        <f>IFERROR(dynamic[profit]/dynamic[revenue], 0)</f>
        <v>0.2924655143</v>
      </c>
    </row>
    <row r="2057" ht="15.75" customHeight="1">
      <c r="A2057" s="6">
        <v>11045.0</v>
      </c>
      <c r="B2057" s="7" t="s">
        <v>81</v>
      </c>
      <c r="C2057" s="24" t="str">
        <f>VLOOKUP(dynamic[customerID],customers[],2,FALSE)</f>
        <v>Bottom-Dollar Markets</v>
      </c>
      <c r="D2057" s="24">
        <v>45405.0</v>
      </c>
      <c r="E2057" s="6">
        <f>IFERROR(__xludf.DUMMYFUNCTION("COUNTUNIQUEIFS($A$2:$A2057,$B$2:$B2057,B2057)"),13.0)</f>
        <v>13</v>
      </c>
      <c r="F2057" s="6">
        <f t="shared" si="1"/>
        <v>7</v>
      </c>
      <c r="G2057" s="6" t="str">
        <f>IF(MINIFS(dynamic[orderDate], dynamic[customerID], B2057) &gt;= DATE(2024,4,30)-120, 
     "New", 
     IF(MAXIFS(dynamic[orderCount], dynamic[customerID], B2057)&lt;=2, 
        IF((DATE(2024,4,30) - MAXIFS(dynamic[orderDate], dynamic[customerID], B2057)) &gt; 180, "Non-Returning", "Dormant"), 
        IF(AND(MAX(dynamic[sinceLastOrder]) &gt; 365, (DATE(2024,4,30) - MAXIFS(dynamic[orderDate], dynamic[customerID], B2057)) &gt; 180), 
           "Dormant", "Regular")))</f>
        <v>Regular</v>
      </c>
      <c r="H2057" s="6">
        <v>33.0</v>
      </c>
      <c r="I2057" s="9" t="str">
        <f>VLOOKUP(dynamic[productID],products[],2,FALSE)</f>
        <v>Geitost</v>
      </c>
      <c r="J2057" s="9" t="str">
        <f>VLOOKUP(dynamic[productID],products[],12,FALSE)</f>
        <v>Dairy Products</v>
      </c>
      <c r="K2057" s="7" t="str">
        <f>IF(VLOOKUP(dynamic[productID],products[],7,FALSE)=1,"Discontinued","Current")</f>
        <v>Current</v>
      </c>
      <c r="L2057" s="9">
        <f>VLOOKUP(dynamic[productID],products[],IF(YEAR(dynamic[orderDate])=2022,8,IF(YEAR(dynamic[orderDate])=2023,9,IF(YEAR(dynamic[orderDate])=2024,10,NA))),FALSE)</f>
        <v>1.670163437</v>
      </c>
      <c r="M2057" s="9">
        <v>2.5</v>
      </c>
      <c r="N2057" s="25">
        <f>(dynamic[orderPrice]-dynamic[productCost])/dynamic[productCost]</f>
        <v>0.4968594957</v>
      </c>
      <c r="O2057" s="10">
        <v>15.0</v>
      </c>
      <c r="P2057" s="25">
        <v>0.0</v>
      </c>
      <c r="Q2057" s="9">
        <f>dynamic[orderPrice]*dynamic[orderQuantity]</f>
        <v>37.5</v>
      </c>
      <c r="R2057" s="9">
        <f>dynamic[orderTotal]*(1-dynamic[discountApllied])</f>
        <v>37.5</v>
      </c>
      <c r="S2057" s="9">
        <f>dynamic[revenue]-(dynamic[productCost]*dynamic[orderQuantity])</f>
        <v>12.44754844</v>
      </c>
      <c r="T2057" s="25">
        <f>IFERROR(dynamic[profit]/dynamic[revenue], 0)</f>
        <v>0.3319346252</v>
      </c>
    </row>
    <row r="2058" ht="15.75" customHeight="1">
      <c r="A2058" s="6">
        <v>11045.0</v>
      </c>
      <c r="B2058" s="7" t="s">
        <v>81</v>
      </c>
      <c r="C2058" s="24" t="str">
        <f>VLOOKUP(dynamic[customerID],customers[],2,FALSE)</f>
        <v>Bottom-Dollar Markets</v>
      </c>
      <c r="D2058" s="24">
        <v>45405.0</v>
      </c>
      <c r="E2058" s="6">
        <f>IFERROR(__xludf.DUMMYFUNCTION("COUNTUNIQUEIFS($A$2:$A2058,$B$2:$B2058,B2058)"),13.0)</f>
        <v>13</v>
      </c>
      <c r="F2058" s="6">
        <f t="shared" si="1"/>
        <v>7</v>
      </c>
      <c r="G2058" s="6" t="str">
        <f>IF(MINIFS(dynamic[orderDate], dynamic[customerID], B2058) &gt;= DATE(2024,4,30)-120, 
     "New", 
     IF(MAXIFS(dynamic[orderCount], dynamic[customerID], B2058)&lt;=2, 
        IF((DATE(2024,4,30) - MAXIFS(dynamic[orderDate], dynamic[customerID], B2058)) &gt; 180, "Non-Returning", "Dormant"), 
        IF(AND(MAX(dynamic[sinceLastOrder]) &gt; 365, (DATE(2024,4,30) - MAXIFS(dynamic[orderDate], dynamic[customerID], B2058)) &gt; 180), 
           "Dormant", "Regular")))</f>
        <v>Regular</v>
      </c>
      <c r="H2058" s="6">
        <v>51.0</v>
      </c>
      <c r="I2058" s="9" t="str">
        <f>VLOOKUP(dynamic[productID],products[],2,FALSE)</f>
        <v>Manjimup Dried Apples</v>
      </c>
      <c r="J2058" s="9" t="str">
        <f>VLOOKUP(dynamic[productID],products[],12,FALSE)</f>
        <v>Produce</v>
      </c>
      <c r="K2058" s="7" t="str">
        <f>IF(VLOOKUP(dynamic[productID],products[],7,FALSE)=1,"Discontinued","Current")</f>
        <v>Current</v>
      </c>
      <c r="L2058" s="9">
        <f>VLOOKUP(dynamic[productID],products[],IF(YEAR(dynamic[orderDate])=2022,8,IF(YEAR(dynamic[orderDate])=2023,9,IF(YEAR(dynamic[orderDate])=2024,10,NA))),FALSE)</f>
        <v>39.51416462</v>
      </c>
      <c r="M2058" s="9">
        <v>53.0</v>
      </c>
      <c r="N2058" s="25">
        <f>(dynamic[orderPrice]-dynamic[productCost])/dynamic[productCost]</f>
        <v>0.3412911677</v>
      </c>
      <c r="O2058" s="10">
        <v>24.0</v>
      </c>
      <c r="P2058" s="25">
        <v>0.0</v>
      </c>
      <c r="Q2058" s="9">
        <f>dynamic[orderPrice]*dynamic[orderQuantity]</f>
        <v>1272</v>
      </c>
      <c r="R2058" s="9">
        <f>dynamic[orderTotal]*(1-dynamic[discountApllied])</f>
        <v>1272</v>
      </c>
      <c r="S2058" s="9">
        <f>dynamic[revenue]-(dynamic[productCost]*dynamic[orderQuantity])</f>
        <v>323.6600492</v>
      </c>
      <c r="T2058" s="25">
        <f>IFERROR(dynamic[profit]/dynamic[revenue], 0)</f>
        <v>0.2544497242</v>
      </c>
    </row>
    <row r="2059" ht="15.75" customHeight="1">
      <c r="A2059" s="6">
        <v>11046.0</v>
      </c>
      <c r="B2059" s="7" t="s">
        <v>50</v>
      </c>
      <c r="C2059" s="24" t="str">
        <f>VLOOKUP(dynamic[customerID],customers[],2,FALSE)</f>
        <v>Die Wandernde Kuh</v>
      </c>
      <c r="D2059" s="24">
        <v>45405.0</v>
      </c>
      <c r="E2059" s="6">
        <f>IFERROR(__xludf.DUMMYFUNCTION("COUNTUNIQUEIFS($A$2:$A2059,$B$2:$B2059,B2059)"),10.0)</f>
        <v>10</v>
      </c>
      <c r="F2059" s="6">
        <f t="shared" si="1"/>
        <v>221</v>
      </c>
      <c r="G2059" s="6" t="str">
        <f>IF(MINIFS(dynamic[orderDate], dynamic[customerID], B2059) &gt;= DATE(2024,4,30)-120, 
     "New", 
     IF(MAXIFS(dynamic[orderCount], dynamic[customerID], B2059)&lt;=2, 
        IF((DATE(2024,4,30) - MAXIFS(dynamic[orderDate], dynamic[customerID], B2059)) &gt; 180, "Non-Returning", "Dormant"), 
        IF(AND(MAX(dynamic[sinceLastOrder]) &gt; 365, (DATE(2024,4,30) - MAXIFS(dynamic[orderDate], dynamic[customerID], B2059)) &gt; 180), 
           "Dormant", "Regular")))</f>
        <v>Regular</v>
      </c>
      <c r="H2059" s="6">
        <v>12.0</v>
      </c>
      <c r="I2059" s="9" t="str">
        <f>VLOOKUP(dynamic[productID],products[],2,FALSE)</f>
        <v>Queso Manchego La Pastora</v>
      </c>
      <c r="J2059" s="9" t="str">
        <f>VLOOKUP(dynamic[productID],products[],12,FALSE)</f>
        <v>Dairy Products</v>
      </c>
      <c r="K2059" s="7" t="str">
        <f>IF(VLOOKUP(dynamic[productID],products[],7,FALSE)=1,"Discontinued","Current")</f>
        <v>Current</v>
      </c>
      <c r="L2059" s="9">
        <f>VLOOKUP(dynamic[productID],products[],IF(YEAR(dynamic[orderDate])=2022,8,IF(YEAR(dynamic[orderDate])=2023,9,IF(YEAR(dynamic[orderDate])=2024,10,NA))),FALSE)</f>
        <v>25.02510955</v>
      </c>
      <c r="M2059" s="9">
        <v>38.0</v>
      </c>
      <c r="N2059" s="25">
        <f>(dynamic[orderPrice]-dynamic[productCost])/dynamic[productCost]</f>
        <v>0.518474871</v>
      </c>
      <c r="O2059" s="10">
        <v>20.0</v>
      </c>
      <c r="P2059" s="25">
        <v>0.05</v>
      </c>
      <c r="Q2059" s="9">
        <f>dynamic[orderPrice]*dynamic[orderQuantity]</f>
        <v>760</v>
      </c>
      <c r="R2059" s="9">
        <f>dynamic[orderTotal]*(1-dynamic[discountApllied])</f>
        <v>722</v>
      </c>
      <c r="S2059" s="9">
        <f>dynamic[revenue]-(dynamic[productCost]*dynamic[orderQuantity])</f>
        <v>221.4978089</v>
      </c>
      <c r="T2059" s="25">
        <f>IFERROR(dynamic[profit]/dynamic[revenue], 0)</f>
        <v>0.3067836689</v>
      </c>
    </row>
    <row r="2060" ht="15.75" customHeight="1">
      <c r="A2060" s="6">
        <v>11046.0</v>
      </c>
      <c r="B2060" s="7" t="s">
        <v>50</v>
      </c>
      <c r="C2060" s="24" t="str">
        <f>VLOOKUP(dynamic[customerID],customers[],2,FALSE)</f>
        <v>Die Wandernde Kuh</v>
      </c>
      <c r="D2060" s="24">
        <v>45405.0</v>
      </c>
      <c r="E2060" s="6">
        <f>IFERROR(__xludf.DUMMYFUNCTION("COUNTUNIQUEIFS($A$2:$A2060,$B$2:$B2060,B2060)"),10.0)</f>
        <v>10</v>
      </c>
      <c r="F2060" s="6">
        <f t="shared" si="1"/>
        <v>221</v>
      </c>
      <c r="G2060" s="6" t="str">
        <f>IF(MINIFS(dynamic[orderDate], dynamic[customerID], B2060) &gt;= DATE(2024,4,30)-120, 
     "New", 
     IF(MAXIFS(dynamic[orderCount], dynamic[customerID], B2060)&lt;=2, 
        IF((DATE(2024,4,30) - MAXIFS(dynamic[orderDate], dynamic[customerID], B2060)) &gt; 180, "Non-Returning", "Dormant"), 
        IF(AND(MAX(dynamic[sinceLastOrder]) &gt; 365, (DATE(2024,4,30) - MAXIFS(dynamic[orderDate], dynamic[customerID], B2060)) &gt; 180), 
           "Dormant", "Regular")))</f>
        <v>Regular</v>
      </c>
      <c r="H2060" s="6">
        <v>32.0</v>
      </c>
      <c r="I2060" s="9" t="str">
        <f>VLOOKUP(dynamic[productID],products[],2,FALSE)</f>
        <v>Mascarpone Fabioli</v>
      </c>
      <c r="J2060" s="9" t="str">
        <f>VLOOKUP(dynamic[productID],products[],12,FALSE)</f>
        <v>Dairy Products</v>
      </c>
      <c r="K2060" s="7" t="str">
        <f>IF(VLOOKUP(dynamic[productID],products[],7,FALSE)=1,"Discontinued","Current")</f>
        <v>Current</v>
      </c>
      <c r="L2060" s="9">
        <f>VLOOKUP(dynamic[productID],products[],IF(YEAR(dynamic[orderDate])=2022,8,IF(YEAR(dynamic[orderDate])=2023,9,IF(YEAR(dynamic[orderDate])=2024,10,NA))),FALSE)</f>
        <v>21.42783354</v>
      </c>
      <c r="M2060" s="9">
        <v>32.0</v>
      </c>
      <c r="N2060" s="25">
        <f>(dynamic[orderPrice]-dynamic[productCost])/dynamic[productCost]</f>
        <v>0.4933847575</v>
      </c>
      <c r="O2060" s="10">
        <v>15.0</v>
      </c>
      <c r="P2060" s="25">
        <v>0.05</v>
      </c>
      <c r="Q2060" s="9">
        <f>dynamic[orderPrice]*dynamic[orderQuantity]</f>
        <v>480</v>
      </c>
      <c r="R2060" s="9">
        <f>dynamic[orderTotal]*(1-dynamic[discountApllied])</f>
        <v>456</v>
      </c>
      <c r="S2060" s="9">
        <f>dynamic[revenue]-(dynamic[productCost]*dynamic[orderQuantity])</f>
        <v>134.5824969</v>
      </c>
      <c r="T2060" s="25">
        <f>IFERROR(dynamic[profit]/dynamic[revenue], 0)</f>
        <v>0.2951370545</v>
      </c>
    </row>
    <row r="2061" ht="15.75" customHeight="1">
      <c r="A2061" s="6">
        <v>11046.0</v>
      </c>
      <c r="B2061" s="7" t="s">
        <v>50</v>
      </c>
      <c r="C2061" s="24" t="str">
        <f>VLOOKUP(dynamic[customerID],customers[],2,FALSE)</f>
        <v>Die Wandernde Kuh</v>
      </c>
      <c r="D2061" s="24">
        <v>45405.0</v>
      </c>
      <c r="E2061" s="6">
        <f>IFERROR(__xludf.DUMMYFUNCTION("COUNTUNIQUEIFS($A$2:$A2061,$B$2:$B2061,B2061)"),10.0)</f>
        <v>10</v>
      </c>
      <c r="F2061" s="6">
        <f t="shared" si="1"/>
        <v>221</v>
      </c>
      <c r="G2061" s="6" t="str">
        <f>IF(MINIFS(dynamic[orderDate], dynamic[customerID], B2061) &gt;= DATE(2024,4,30)-120, 
     "New", 
     IF(MAXIFS(dynamic[orderCount], dynamic[customerID], B2061)&lt;=2, 
        IF((DATE(2024,4,30) - MAXIFS(dynamic[orderDate], dynamic[customerID], B2061)) &gt; 180, "Non-Returning", "Dormant"), 
        IF(AND(MAX(dynamic[sinceLastOrder]) &gt; 365, (DATE(2024,4,30) - MAXIFS(dynamic[orderDate], dynamic[customerID], B2061)) &gt; 180), 
           "Dormant", "Regular")))</f>
        <v>Regular</v>
      </c>
      <c r="H2061" s="6">
        <v>35.0</v>
      </c>
      <c r="I2061" s="9" t="str">
        <f>VLOOKUP(dynamic[productID],products[],2,FALSE)</f>
        <v>Cold Brew Nitro</v>
      </c>
      <c r="J2061" s="9" t="str">
        <f>VLOOKUP(dynamic[productID],products[],12,FALSE)</f>
        <v>Beverages</v>
      </c>
      <c r="K2061" s="7" t="str">
        <f>IF(VLOOKUP(dynamic[productID],products[],7,FALSE)=1,"Discontinued","Current")</f>
        <v>Current</v>
      </c>
      <c r="L2061" s="9">
        <f>VLOOKUP(dynamic[productID],products[],IF(YEAR(dynamic[orderDate])=2022,8,IF(YEAR(dynamic[orderDate])=2023,9,IF(YEAR(dynamic[orderDate])=2024,10,NA))),FALSE)</f>
        <v>12.9261692</v>
      </c>
      <c r="M2061" s="9">
        <v>18.0</v>
      </c>
      <c r="N2061" s="25">
        <f>(dynamic[orderPrice]-dynamic[productCost])/dynamic[productCost]</f>
        <v>0.3925239355</v>
      </c>
      <c r="O2061" s="10">
        <v>18.0</v>
      </c>
      <c r="P2061" s="25">
        <v>0.05</v>
      </c>
      <c r="Q2061" s="9">
        <f>dynamic[orderPrice]*dynamic[orderQuantity]</f>
        <v>324</v>
      </c>
      <c r="R2061" s="9">
        <f>dynamic[orderTotal]*(1-dynamic[discountApllied])</f>
        <v>307.8</v>
      </c>
      <c r="S2061" s="9">
        <f>dynamic[revenue]-(dynamic[productCost]*dynamic[orderQuantity])</f>
        <v>75.12895447</v>
      </c>
      <c r="T2061" s="25">
        <f>IFERROR(dynamic[profit]/dynamic[revenue], 0)</f>
        <v>0.2440836727</v>
      </c>
    </row>
    <row r="2062" ht="15.75" customHeight="1">
      <c r="A2062" s="6">
        <v>11047.0</v>
      </c>
      <c r="B2062" s="7" t="s">
        <v>73</v>
      </c>
      <c r="C2062" s="24" t="str">
        <f>VLOOKUP(dynamic[customerID],customers[],2,FALSE)</f>
        <v>Eastern Connection</v>
      </c>
      <c r="D2062" s="24">
        <v>45406.0</v>
      </c>
      <c r="E2062" s="6">
        <f>IFERROR(__xludf.DUMMYFUNCTION("COUNTUNIQUEIFS($A$2:$A2062,$B$2:$B2062,B2062)"),7.0)</f>
        <v>7</v>
      </c>
      <c r="F2062" s="6">
        <f t="shared" si="1"/>
        <v>9</v>
      </c>
      <c r="G2062" s="6" t="str">
        <f>IF(MINIFS(dynamic[orderDate], dynamic[customerID], B2062) &gt;= DATE(2024,4,30)-120, 
     "New", 
     IF(MAXIFS(dynamic[orderCount], dynamic[customerID], B2062)&lt;=2, 
        IF((DATE(2024,4,30) - MAXIFS(dynamic[orderDate], dynamic[customerID], B2062)) &gt; 180, "Non-Returning", "Dormant"), 
        IF(AND(MAX(dynamic[sinceLastOrder]) &gt; 365, (DATE(2024,4,30) - MAXIFS(dynamic[orderDate], dynamic[customerID], B2062)) &gt; 180), 
           "Dormant", "Regular")))</f>
        <v>Regular</v>
      </c>
      <c r="H2062" s="6">
        <v>1.0</v>
      </c>
      <c r="I2062" s="9" t="str">
        <f>VLOOKUP(dynamic[productID],products[],2,FALSE)</f>
        <v>Chai</v>
      </c>
      <c r="J2062" s="9" t="str">
        <f>VLOOKUP(dynamic[productID],products[],12,FALSE)</f>
        <v>Beverages</v>
      </c>
      <c r="K2062" s="7" t="str">
        <f>IF(VLOOKUP(dynamic[productID],products[],7,FALSE)=1,"Discontinued","Current")</f>
        <v>Current</v>
      </c>
      <c r="L2062" s="9">
        <f>VLOOKUP(dynamic[productID],products[],IF(YEAR(dynamic[orderDate])=2022,8,IF(YEAR(dynamic[orderDate])=2023,9,IF(YEAR(dynamic[orderDate])=2024,10,NA))),FALSE)</f>
        <v>12.17757454</v>
      </c>
      <c r="M2062" s="9">
        <v>18.0</v>
      </c>
      <c r="N2062" s="25">
        <f>(dynamic[orderPrice]-dynamic[productCost])/dynamic[productCost]</f>
        <v>0.4781268584</v>
      </c>
      <c r="O2062" s="10">
        <v>25.0</v>
      </c>
      <c r="P2062" s="25">
        <v>0.25</v>
      </c>
      <c r="Q2062" s="9">
        <f>dynamic[orderPrice]*dynamic[orderQuantity]</f>
        <v>450</v>
      </c>
      <c r="R2062" s="9">
        <f>dynamic[orderTotal]*(1-dynamic[discountApllied])</f>
        <v>337.5</v>
      </c>
      <c r="S2062" s="9">
        <f>dynamic[revenue]-(dynamic[productCost]*dynamic[orderQuantity])</f>
        <v>33.06063645</v>
      </c>
      <c r="T2062" s="25">
        <f>IFERROR(dynamic[profit]/dynamic[revenue], 0)</f>
        <v>0.09795744134</v>
      </c>
    </row>
    <row r="2063" ht="15.75" customHeight="1">
      <c r="A2063" s="6">
        <v>11047.0</v>
      </c>
      <c r="B2063" s="7" t="s">
        <v>73</v>
      </c>
      <c r="C2063" s="24" t="str">
        <f>VLOOKUP(dynamic[customerID],customers[],2,FALSE)</f>
        <v>Eastern Connection</v>
      </c>
      <c r="D2063" s="24">
        <v>45406.0</v>
      </c>
      <c r="E2063" s="6">
        <f>IFERROR(__xludf.DUMMYFUNCTION("COUNTUNIQUEIFS($A$2:$A2063,$B$2:$B2063,B2063)"),7.0)</f>
        <v>7</v>
      </c>
      <c r="F2063" s="6">
        <f t="shared" si="1"/>
        <v>9</v>
      </c>
      <c r="G2063" s="6" t="str">
        <f>IF(MINIFS(dynamic[orderDate], dynamic[customerID], B2063) &gt;= DATE(2024,4,30)-120, 
     "New", 
     IF(MAXIFS(dynamic[orderCount], dynamic[customerID], B2063)&lt;=2, 
        IF((DATE(2024,4,30) - MAXIFS(dynamic[orderDate], dynamic[customerID], B2063)) &gt; 180, "Non-Returning", "Dormant"), 
        IF(AND(MAX(dynamic[sinceLastOrder]) &gt; 365, (DATE(2024,4,30) - MAXIFS(dynamic[orderDate], dynamic[customerID], B2063)) &gt; 180), 
           "Dormant", "Regular")))</f>
        <v>Regular</v>
      </c>
      <c r="H2063" s="6">
        <v>5.0</v>
      </c>
      <c r="I2063" s="9" t="str">
        <f>VLOOKUP(dynamic[productID],products[],2,FALSE)</f>
        <v>Chef Anton's Gumbo Mix</v>
      </c>
      <c r="J2063" s="9" t="str">
        <f>VLOOKUP(dynamic[productID],products[],12,FALSE)</f>
        <v>Condiments</v>
      </c>
      <c r="K2063" s="7" t="str">
        <f>IF(VLOOKUP(dynamic[productID],products[],7,FALSE)=1,"Discontinued","Current")</f>
        <v>Discontinued</v>
      </c>
      <c r="L2063" s="9">
        <f>VLOOKUP(dynamic[productID],products[],IF(YEAR(dynamic[orderDate])=2022,8,IF(YEAR(dynamic[orderDate])=2023,9,IF(YEAR(dynamic[orderDate])=2024,10,NA))),FALSE)</f>
        <v>13.96337378</v>
      </c>
      <c r="M2063" s="9">
        <v>21.35</v>
      </c>
      <c r="N2063" s="25">
        <f>(dynamic[orderPrice]-dynamic[productCost])/dynamic[productCost]</f>
        <v>0.5290001069</v>
      </c>
      <c r="O2063" s="10">
        <v>30.0</v>
      </c>
      <c r="P2063" s="25">
        <v>0.25</v>
      </c>
      <c r="Q2063" s="9">
        <f>dynamic[orderPrice]*dynamic[orderQuantity]</f>
        <v>640.5</v>
      </c>
      <c r="R2063" s="9">
        <f>dynamic[orderTotal]*(1-dynamic[discountApllied])</f>
        <v>480.375</v>
      </c>
      <c r="S2063" s="9">
        <f>dynamic[revenue]-(dynamic[productCost]*dynamic[orderQuantity])</f>
        <v>61.47378666</v>
      </c>
      <c r="T2063" s="25">
        <f>IFERROR(dynamic[profit]/dynamic[revenue], 0)</f>
        <v>0.127970412</v>
      </c>
    </row>
    <row r="2064" ht="15.75" customHeight="1">
      <c r="A2064" s="6">
        <v>11048.0</v>
      </c>
      <c r="B2064" s="7" t="s">
        <v>81</v>
      </c>
      <c r="C2064" s="24" t="str">
        <f>VLOOKUP(dynamic[customerID],customers[],2,FALSE)</f>
        <v>Bottom-Dollar Markets</v>
      </c>
      <c r="D2064" s="24">
        <v>45406.0</v>
      </c>
      <c r="E2064" s="6">
        <f>IFERROR(__xludf.DUMMYFUNCTION("COUNTUNIQUEIFS($A$2:$A2064,$B$2:$B2064,B2064)"),14.0)</f>
        <v>14</v>
      </c>
      <c r="F2064" s="6">
        <f t="shared" si="1"/>
        <v>1</v>
      </c>
      <c r="G2064" s="6" t="str">
        <f>IF(MINIFS(dynamic[orderDate], dynamic[customerID], B2064) &gt;= DATE(2024,4,30)-120, 
     "New", 
     IF(MAXIFS(dynamic[orderCount], dynamic[customerID], B2064)&lt;=2, 
        IF((DATE(2024,4,30) - MAXIFS(dynamic[orderDate], dynamic[customerID], B2064)) &gt; 180, "Non-Returning", "Dormant"), 
        IF(AND(MAX(dynamic[sinceLastOrder]) &gt; 365, (DATE(2024,4,30) - MAXIFS(dynamic[orderDate], dynamic[customerID], B2064)) &gt; 180), 
           "Dormant", "Regular")))</f>
        <v>Regular</v>
      </c>
      <c r="H2064" s="6">
        <v>68.0</v>
      </c>
      <c r="I2064" s="9" t="str">
        <f>VLOOKUP(dynamic[productID],products[],2,FALSE)</f>
        <v>Scottish Longbreads</v>
      </c>
      <c r="J2064" s="9" t="str">
        <f>VLOOKUP(dynamic[productID],products[],12,FALSE)</f>
        <v>Confections</v>
      </c>
      <c r="K2064" s="7" t="str">
        <f>IF(VLOOKUP(dynamic[productID],products[],7,FALSE)=1,"Discontinued","Current")</f>
        <v>Current</v>
      </c>
      <c r="L2064" s="9">
        <f>VLOOKUP(dynamic[productID],products[],IF(YEAR(dynamic[orderDate])=2022,8,IF(YEAR(dynamic[orderDate])=2023,9,IF(YEAR(dynamic[orderDate])=2024,10,NA))),FALSE)</f>
        <v>9.555031708</v>
      </c>
      <c r="M2064" s="9">
        <v>12.5</v>
      </c>
      <c r="N2064" s="25">
        <f>(dynamic[orderPrice]-dynamic[productCost])/dynamic[productCost]</f>
        <v>0.3082112527</v>
      </c>
      <c r="O2064" s="10">
        <v>42.0</v>
      </c>
      <c r="P2064" s="25">
        <v>0.0</v>
      </c>
      <c r="Q2064" s="9">
        <f>dynamic[orderPrice]*dynamic[orderQuantity]</f>
        <v>525</v>
      </c>
      <c r="R2064" s="9">
        <f>dynamic[orderTotal]*(1-dynamic[discountApllied])</f>
        <v>525</v>
      </c>
      <c r="S2064" s="9">
        <f>dynamic[revenue]-(dynamic[productCost]*dynamic[orderQuantity])</f>
        <v>123.6886683</v>
      </c>
      <c r="T2064" s="25">
        <f>IFERROR(dynamic[profit]/dynamic[revenue], 0)</f>
        <v>0.2355974634</v>
      </c>
    </row>
    <row r="2065" ht="15.75" customHeight="1">
      <c r="A2065" s="6">
        <v>11049.0</v>
      </c>
      <c r="B2065" s="7" t="s">
        <v>86</v>
      </c>
      <c r="C2065" s="24" t="str">
        <f>VLOOKUP(dynamic[customerID],customers[],2,FALSE)</f>
        <v>Gourmet Lanchonetes</v>
      </c>
      <c r="D2065" s="24">
        <v>45406.0</v>
      </c>
      <c r="E2065" s="6">
        <f>IFERROR(__xludf.DUMMYFUNCTION("COUNTUNIQUEIFS($A$2:$A2065,$B$2:$B2065,B2065)"),9.0)</f>
        <v>9</v>
      </c>
      <c r="F2065" s="6">
        <f t="shared" si="1"/>
        <v>37</v>
      </c>
      <c r="G2065" s="6" t="str">
        <f>IF(MINIFS(dynamic[orderDate], dynamic[customerID], B2065) &gt;= DATE(2024,4,30)-120, 
     "New", 
     IF(MAXIFS(dynamic[orderCount], dynamic[customerID], B2065)&lt;=2, 
        IF((DATE(2024,4,30) - MAXIFS(dynamic[orderDate], dynamic[customerID], B2065)) &gt; 180, "Non-Returning", "Dormant"), 
        IF(AND(MAX(dynamic[sinceLastOrder]) &gt; 365, (DATE(2024,4,30) - MAXIFS(dynamic[orderDate], dynamic[customerID], B2065)) &gt; 180), 
           "Dormant", "Regular")))</f>
        <v>Regular</v>
      </c>
      <c r="H2065" s="6">
        <v>2.0</v>
      </c>
      <c r="I2065" s="9" t="str">
        <f>VLOOKUP(dynamic[productID],products[],2,FALSE)</f>
        <v>Chang</v>
      </c>
      <c r="J2065" s="9" t="str">
        <f>VLOOKUP(dynamic[productID],products[],12,FALSE)</f>
        <v>Beverages</v>
      </c>
      <c r="K2065" s="7" t="str">
        <f>IF(VLOOKUP(dynamic[productID],products[],7,FALSE)=1,"Discontinued","Current")</f>
        <v>Current</v>
      </c>
      <c r="L2065" s="9">
        <f>VLOOKUP(dynamic[productID],products[],IF(YEAR(dynamic[orderDate])=2022,8,IF(YEAR(dynamic[orderDate])=2023,9,IF(YEAR(dynamic[orderDate])=2024,10,NA))),FALSE)</f>
        <v>11.93843713</v>
      </c>
      <c r="M2065" s="9">
        <v>19.0</v>
      </c>
      <c r="N2065" s="25">
        <f>(dynamic[orderPrice]-dynamic[productCost])/dynamic[productCost]</f>
        <v>0.591498099</v>
      </c>
      <c r="O2065" s="10">
        <v>10.0</v>
      </c>
      <c r="P2065" s="25">
        <v>0.2</v>
      </c>
      <c r="Q2065" s="9">
        <f>dynamic[orderPrice]*dynamic[orderQuantity]</f>
        <v>190</v>
      </c>
      <c r="R2065" s="9">
        <f>dynamic[orderTotal]*(1-dynamic[discountApllied])</f>
        <v>152</v>
      </c>
      <c r="S2065" s="9">
        <f>dynamic[revenue]-(dynamic[productCost]*dynamic[orderQuantity])</f>
        <v>32.61562868</v>
      </c>
      <c r="T2065" s="25">
        <f>IFERROR(dynamic[profit]/dynamic[revenue], 0)</f>
        <v>0.2145765045</v>
      </c>
    </row>
    <row r="2066" ht="15.75" customHeight="1">
      <c r="A2066" s="6">
        <v>11049.0</v>
      </c>
      <c r="B2066" s="7" t="s">
        <v>86</v>
      </c>
      <c r="C2066" s="24" t="str">
        <f>VLOOKUP(dynamic[customerID],customers[],2,FALSE)</f>
        <v>Gourmet Lanchonetes</v>
      </c>
      <c r="D2066" s="24">
        <v>45406.0</v>
      </c>
      <c r="E2066" s="6">
        <f>IFERROR(__xludf.DUMMYFUNCTION("COUNTUNIQUEIFS($A$2:$A2066,$B$2:$B2066,B2066)"),9.0)</f>
        <v>9</v>
      </c>
      <c r="F2066" s="6">
        <f t="shared" si="1"/>
        <v>37</v>
      </c>
      <c r="G2066" s="6" t="str">
        <f>IF(MINIFS(dynamic[orderDate], dynamic[customerID], B2066) &gt;= DATE(2024,4,30)-120, 
     "New", 
     IF(MAXIFS(dynamic[orderCount], dynamic[customerID], B2066)&lt;=2, 
        IF((DATE(2024,4,30) - MAXIFS(dynamic[orderDate], dynamic[customerID], B2066)) &gt; 180, "Non-Returning", "Dormant"), 
        IF(AND(MAX(dynamic[sinceLastOrder]) &gt; 365, (DATE(2024,4,30) - MAXIFS(dynamic[orderDate], dynamic[customerID], B2066)) &gt; 180), 
           "Dormant", "Regular")))</f>
        <v>Regular</v>
      </c>
      <c r="H2066" s="6">
        <v>12.0</v>
      </c>
      <c r="I2066" s="9" t="str">
        <f>VLOOKUP(dynamic[productID],products[],2,FALSE)</f>
        <v>Queso Manchego La Pastora</v>
      </c>
      <c r="J2066" s="9" t="str">
        <f>VLOOKUP(dynamic[productID],products[],12,FALSE)</f>
        <v>Dairy Products</v>
      </c>
      <c r="K2066" s="7" t="str">
        <f>IF(VLOOKUP(dynamic[productID],products[],7,FALSE)=1,"Discontinued","Current")</f>
        <v>Current</v>
      </c>
      <c r="L2066" s="9">
        <f>VLOOKUP(dynamic[productID],products[],IF(YEAR(dynamic[orderDate])=2022,8,IF(YEAR(dynamic[orderDate])=2023,9,IF(YEAR(dynamic[orderDate])=2024,10,NA))),FALSE)</f>
        <v>25.02510955</v>
      </c>
      <c r="M2066" s="9">
        <v>38.0</v>
      </c>
      <c r="N2066" s="25">
        <f>(dynamic[orderPrice]-dynamic[productCost])/dynamic[productCost]</f>
        <v>0.518474871</v>
      </c>
      <c r="O2066" s="10">
        <v>4.0</v>
      </c>
      <c r="P2066" s="25">
        <v>0.2</v>
      </c>
      <c r="Q2066" s="9">
        <f>dynamic[orderPrice]*dynamic[orderQuantity]</f>
        <v>152</v>
      </c>
      <c r="R2066" s="9">
        <f>dynamic[orderTotal]*(1-dynamic[discountApllied])</f>
        <v>121.6</v>
      </c>
      <c r="S2066" s="9">
        <f>dynamic[revenue]-(dynamic[productCost]*dynamic[orderQuantity])</f>
        <v>21.49956179</v>
      </c>
      <c r="T2066" s="25">
        <f>IFERROR(dynamic[profit]/dynamic[revenue], 0)</f>
        <v>0.1768056068</v>
      </c>
    </row>
    <row r="2067" ht="15.75" customHeight="1">
      <c r="A2067" s="6">
        <v>11050.0</v>
      </c>
      <c r="B2067" s="7" t="s">
        <v>29</v>
      </c>
      <c r="C2067" s="24" t="str">
        <f>VLOOKUP(dynamic[customerID],customers[],2,FALSE)</f>
        <v>Folk och fä HB</v>
      </c>
      <c r="D2067" s="24">
        <v>45409.0</v>
      </c>
      <c r="E2067" s="6">
        <f>IFERROR(__xludf.DUMMYFUNCTION("COUNTUNIQUEIFS($A$2:$A2067,$B$2:$B2067,B2067)"),19.0)</f>
        <v>19</v>
      </c>
      <c r="F2067" s="6">
        <f t="shared" si="1"/>
        <v>21</v>
      </c>
      <c r="G2067" s="6" t="str">
        <f>IF(MINIFS(dynamic[orderDate], dynamic[customerID], B2067) &gt;= DATE(2024,4,30)-120, 
     "New", 
     IF(MAXIFS(dynamic[orderCount], dynamic[customerID], B2067)&lt;=2, 
        IF((DATE(2024,4,30) - MAXIFS(dynamic[orderDate], dynamic[customerID], B2067)) &gt; 180, "Non-Returning", "Dormant"), 
        IF(AND(MAX(dynamic[sinceLastOrder]) &gt; 365, (DATE(2024,4,30) - MAXIFS(dynamic[orderDate], dynamic[customerID], B2067)) &gt; 180), 
           "Dormant", "Regular")))</f>
        <v>Regular</v>
      </c>
      <c r="H2067" s="6">
        <v>76.0</v>
      </c>
      <c r="I2067" s="9" t="str">
        <f>VLOOKUP(dynamic[productID],products[],2,FALSE)</f>
        <v>Lakkalikööri</v>
      </c>
      <c r="J2067" s="9" t="str">
        <f>VLOOKUP(dynamic[productID],products[],12,FALSE)</f>
        <v>Beverages</v>
      </c>
      <c r="K2067" s="7" t="str">
        <f>IF(VLOOKUP(dynamic[productID],products[],7,FALSE)=1,"Discontinued","Current")</f>
        <v>Current</v>
      </c>
      <c r="L2067" s="9">
        <f>VLOOKUP(dynamic[productID],products[],IF(YEAR(dynamic[orderDate])=2022,8,IF(YEAR(dynamic[orderDate])=2023,9,IF(YEAR(dynamic[orderDate])=2024,10,NA))),FALSE)</f>
        <v>12.15832249</v>
      </c>
      <c r="M2067" s="9">
        <v>18.0</v>
      </c>
      <c r="N2067" s="25">
        <f>(dynamic[orderPrice]-dynamic[productCost])/dynamic[productCost]</f>
        <v>0.4804673928</v>
      </c>
      <c r="O2067" s="10">
        <v>50.0</v>
      </c>
      <c r="P2067" s="25">
        <v>0.1</v>
      </c>
      <c r="Q2067" s="9">
        <f>dynamic[orderPrice]*dynamic[orderQuantity]</f>
        <v>900</v>
      </c>
      <c r="R2067" s="9">
        <f>dynamic[orderTotal]*(1-dynamic[discountApllied])</f>
        <v>810</v>
      </c>
      <c r="S2067" s="9">
        <f>dynamic[revenue]-(dynamic[productCost]*dynamic[orderQuantity])</f>
        <v>202.0838754</v>
      </c>
      <c r="T2067" s="25">
        <f>IFERROR(dynamic[profit]/dynamic[revenue], 0)</f>
        <v>0.249486266</v>
      </c>
    </row>
    <row r="2068" ht="15.75" customHeight="1">
      <c r="A2068" s="6">
        <v>11051.0</v>
      </c>
      <c r="B2068" s="7" t="s">
        <v>68</v>
      </c>
      <c r="C2068" s="24" t="str">
        <f>VLOOKUP(dynamic[customerID],customers[],2,FALSE)</f>
        <v>La maison d'Asie</v>
      </c>
      <c r="D2068" s="24">
        <v>45409.0</v>
      </c>
      <c r="E2068" s="6">
        <f>IFERROR(__xludf.DUMMYFUNCTION("COUNTUNIQUEIFS($A$2:$A2068,$B$2:$B2068,B2068)"),14.0)</f>
        <v>14</v>
      </c>
      <c r="F2068" s="6">
        <f t="shared" si="1"/>
        <v>55</v>
      </c>
      <c r="G2068" s="6" t="str">
        <f>IF(MINIFS(dynamic[orderDate], dynamic[customerID], B2068) &gt;= DATE(2024,4,30)-120, 
     "New", 
     IF(MAXIFS(dynamic[orderCount], dynamic[customerID], B2068)&lt;=2, 
        IF((DATE(2024,4,30) - MAXIFS(dynamic[orderDate], dynamic[customerID], B2068)) &gt; 180, "Non-Returning", "Dormant"), 
        IF(AND(MAX(dynamic[sinceLastOrder]) &gt; 365, (DATE(2024,4,30) - MAXIFS(dynamic[orderDate], dynamic[customerID], B2068)) &gt; 180), 
           "Dormant", "Regular")))</f>
        <v>Regular</v>
      </c>
      <c r="H2068" s="6">
        <v>24.0</v>
      </c>
      <c r="I2068" s="9" t="str">
        <f>VLOOKUP(dynamic[productID],products[],2,FALSE)</f>
        <v>Brigadeiros Maravilhosos da Lilian</v>
      </c>
      <c r="J2068" s="9" t="str">
        <f>VLOOKUP(dynamic[productID],products[],12,FALSE)</f>
        <v>Confections</v>
      </c>
      <c r="K2068" s="7" t="str">
        <f>IF(VLOOKUP(dynamic[productID],products[],7,FALSE)=1,"Discontinued","Current")</f>
        <v>Discontinued</v>
      </c>
      <c r="L2068" s="9">
        <f>VLOOKUP(dynamic[productID],products[],IF(YEAR(dynamic[orderDate])=2022,8,IF(YEAR(dynamic[orderDate])=2023,9,IF(YEAR(dynamic[orderDate])=2024,10,NA))),FALSE)</f>
        <v>3.177326315</v>
      </c>
      <c r="M2068" s="9">
        <v>4.5</v>
      </c>
      <c r="N2068" s="25">
        <f>(dynamic[orderPrice]-dynamic[productCost])/dynamic[productCost]</f>
        <v>0.416285126</v>
      </c>
      <c r="O2068" s="10">
        <v>10.0</v>
      </c>
      <c r="P2068" s="25">
        <v>0.2</v>
      </c>
      <c r="Q2068" s="9">
        <f>dynamic[orderPrice]*dynamic[orderQuantity]</f>
        <v>45</v>
      </c>
      <c r="R2068" s="9">
        <f>dynamic[orderTotal]*(1-dynamic[discountApllied])</f>
        <v>36</v>
      </c>
      <c r="S2068" s="9">
        <f>dynamic[revenue]-(dynamic[productCost]*dynamic[orderQuantity])</f>
        <v>4.226736853</v>
      </c>
      <c r="T2068" s="25">
        <f>IFERROR(dynamic[profit]/dynamic[revenue], 0)</f>
        <v>0.117409357</v>
      </c>
    </row>
    <row r="2069" ht="15.75" customHeight="1">
      <c r="A2069" s="6">
        <v>11052.0</v>
      </c>
      <c r="B2069" s="7" t="s">
        <v>16</v>
      </c>
      <c r="C2069" s="24" t="str">
        <f>VLOOKUP(dynamic[customerID],customers[],2,FALSE)</f>
        <v>Hanari Carnes</v>
      </c>
      <c r="D2069" s="24">
        <v>45409.0</v>
      </c>
      <c r="E2069" s="6">
        <f>IFERROR(__xludf.DUMMYFUNCTION("COUNTUNIQUEIFS($A$2:$A2069,$B$2:$B2069,B2069)"),14.0)</f>
        <v>14</v>
      </c>
      <c r="F2069" s="6">
        <f t="shared" si="1"/>
        <v>13</v>
      </c>
      <c r="G2069" s="6" t="str">
        <f>IF(MINIFS(dynamic[orderDate], dynamic[customerID], B2069) &gt;= DATE(2024,4,30)-120, 
     "New", 
     IF(MAXIFS(dynamic[orderCount], dynamic[customerID], B2069)&lt;=2, 
        IF((DATE(2024,4,30) - MAXIFS(dynamic[orderDate], dynamic[customerID], B2069)) &gt; 180, "Non-Returning", "Dormant"), 
        IF(AND(MAX(dynamic[sinceLastOrder]) &gt; 365, (DATE(2024,4,30) - MAXIFS(dynamic[orderDate], dynamic[customerID], B2069)) &gt; 180), 
           "Dormant", "Regular")))</f>
        <v>Regular</v>
      </c>
      <c r="H2069" s="6">
        <v>43.0</v>
      </c>
      <c r="I2069" s="9" t="str">
        <f>VLOOKUP(dynamic[productID],products[],2,FALSE)</f>
        <v>Ipoh Coffee</v>
      </c>
      <c r="J2069" s="9" t="str">
        <f>VLOOKUP(dynamic[productID],products[],12,FALSE)</f>
        <v>Beverages</v>
      </c>
      <c r="K2069" s="7" t="str">
        <f>IF(VLOOKUP(dynamic[productID],products[],7,FALSE)=1,"Discontinued","Current")</f>
        <v>Current</v>
      </c>
      <c r="L2069" s="9">
        <f>VLOOKUP(dynamic[productID],products[],IF(YEAR(dynamic[orderDate])=2022,8,IF(YEAR(dynamic[orderDate])=2023,9,IF(YEAR(dynamic[orderDate])=2024,10,NA))),FALSE)</f>
        <v>30.97984738</v>
      </c>
      <c r="M2069" s="9">
        <v>46.0</v>
      </c>
      <c r="N2069" s="25">
        <f>(dynamic[orderPrice]-dynamic[productCost])/dynamic[productCost]</f>
        <v>0.484836237</v>
      </c>
      <c r="O2069" s="10">
        <v>30.0</v>
      </c>
      <c r="P2069" s="25">
        <v>0.2</v>
      </c>
      <c r="Q2069" s="9">
        <f>dynamic[orderPrice]*dynamic[orderQuantity]</f>
        <v>1380</v>
      </c>
      <c r="R2069" s="9">
        <f>dynamic[orderTotal]*(1-dynamic[discountApllied])</f>
        <v>1104</v>
      </c>
      <c r="S2069" s="9">
        <f>dynamic[revenue]-(dynamic[productCost]*dynamic[orderQuantity])</f>
        <v>174.6045787</v>
      </c>
      <c r="T2069" s="25">
        <f>IFERROR(dynamic[profit]/dynamic[revenue], 0)</f>
        <v>0.1581563213</v>
      </c>
    </row>
    <row r="2070" ht="15.75" customHeight="1">
      <c r="A2070" s="6">
        <v>11052.0</v>
      </c>
      <c r="B2070" s="7" t="s">
        <v>16</v>
      </c>
      <c r="C2070" s="24" t="str">
        <f>VLOOKUP(dynamic[customerID],customers[],2,FALSE)</f>
        <v>Hanari Carnes</v>
      </c>
      <c r="D2070" s="24">
        <v>45409.0</v>
      </c>
      <c r="E2070" s="6">
        <f>IFERROR(__xludf.DUMMYFUNCTION("COUNTUNIQUEIFS($A$2:$A2070,$B$2:$B2070,B2070)"),14.0)</f>
        <v>14</v>
      </c>
      <c r="F2070" s="6">
        <f t="shared" si="1"/>
        <v>13</v>
      </c>
      <c r="G2070" s="6" t="str">
        <f>IF(MINIFS(dynamic[orderDate], dynamic[customerID], B2070) &gt;= DATE(2024,4,30)-120, 
     "New", 
     IF(MAXIFS(dynamic[orderCount], dynamic[customerID], B2070)&lt;=2, 
        IF((DATE(2024,4,30) - MAXIFS(dynamic[orderDate], dynamic[customerID], B2070)) &gt; 180, "Non-Returning", "Dormant"), 
        IF(AND(MAX(dynamic[sinceLastOrder]) &gt; 365, (DATE(2024,4,30) - MAXIFS(dynamic[orderDate], dynamic[customerID], B2070)) &gt; 180), 
           "Dormant", "Regular")))</f>
        <v>Regular</v>
      </c>
      <c r="H2070" s="6">
        <v>61.0</v>
      </c>
      <c r="I2070" s="9" t="str">
        <f>VLOOKUP(dynamic[productID],products[],2,FALSE)</f>
        <v>Sirop d'érable</v>
      </c>
      <c r="J2070" s="9" t="str">
        <f>VLOOKUP(dynamic[productID],products[],12,FALSE)</f>
        <v>Condiments</v>
      </c>
      <c r="K2070" s="7" t="str">
        <f>IF(VLOOKUP(dynamic[productID],products[],7,FALSE)=1,"Discontinued","Current")</f>
        <v>Current</v>
      </c>
      <c r="L2070" s="9">
        <f>VLOOKUP(dynamic[productID],products[],IF(YEAR(dynamic[orderDate])=2022,8,IF(YEAR(dynamic[orderDate])=2023,9,IF(YEAR(dynamic[orderDate])=2024,10,NA))),FALSE)</f>
        <v>18.74487379</v>
      </c>
      <c r="M2070" s="9">
        <v>28.5</v>
      </c>
      <c r="N2070" s="25">
        <f>(dynamic[orderPrice]-dynamic[productCost])/dynamic[productCost]</f>
        <v>0.5204156786</v>
      </c>
      <c r="O2070" s="10">
        <v>10.0</v>
      </c>
      <c r="P2070" s="25">
        <v>0.2</v>
      </c>
      <c r="Q2070" s="9">
        <f>dynamic[orderPrice]*dynamic[orderQuantity]</f>
        <v>285</v>
      </c>
      <c r="R2070" s="9">
        <f>dynamic[orderTotal]*(1-dynamic[discountApllied])</f>
        <v>228</v>
      </c>
      <c r="S2070" s="9">
        <f>dynamic[revenue]-(dynamic[productCost]*dynamic[orderQuantity])</f>
        <v>40.55126212</v>
      </c>
      <c r="T2070" s="25">
        <f>IFERROR(dynamic[profit]/dynamic[revenue], 0)</f>
        <v>0.1778564128</v>
      </c>
    </row>
    <row r="2071" ht="15.75" customHeight="1">
      <c r="A2071" s="6">
        <v>11053.0</v>
      </c>
      <c r="B2071" s="7" t="s">
        <v>69</v>
      </c>
      <c r="C2071" s="24" t="str">
        <f>VLOOKUP(dynamic[customerID],customers[],2,FALSE)</f>
        <v>Piccolo und mehr</v>
      </c>
      <c r="D2071" s="24">
        <v>45409.0</v>
      </c>
      <c r="E2071" s="6">
        <f>IFERROR(__xludf.DUMMYFUNCTION("COUNTUNIQUEIFS($A$2:$A2071,$B$2:$B2071,B2071)"),10.0)</f>
        <v>10</v>
      </c>
      <c r="F2071" s="6">
        <f t="shared" si="1"/>
        <v>97</v>
      </c>
      <c r="G2071" s="6" t="str">
        <f>IF(MINIFS(dynamic[orderDate], dynamic[customerID], B2071) &gt;= DATE(2024,4,30)-120, 
     "New", 
     IF(MAXIFS(dynamic[orderCount], dynamic[customerID], B2071)&lt;=2, 
        IF((DATE(2024,4,30) - MAXIFS(dynamic[orderDate], dynamic[customerID], B2071)) &gt; 180, "Non-Returning", "Dormant"), 
        IF(AND(MAX(dynamic[sinceLastOrder]) &gt; 365, (DATE(2024,4,30) - MAXIFS(dynamic[orderDate], dynamic[customerID], B2071)) &gt; 180), 
           "Dormant", "Regular")))</f>
        <v>Regular</v>
      </c>
      <c r="H2071" s="6">
        <v>18.0</v>
      </c>
      <c r="I2071" s="9" t="str">
        <f>VLOOKUP(dynamic[productID],products[],2,FALSE)</f>
        <v>Carnarvon Tigers</v>
      </c>
      <c r="J2071" s="9" t="str">
        <f>VLOOKUP(dynamic[productID],products[],12,FALSE)</f>
        <v>Seafood</v>
      </c>
      <c r="K2071" s="7" t="str">
        <f>IF(VLOOKUP(dynamic[productID],products[],7,FALSE)=1,"Discontinued","Current")</f>
        <v>Current</v>
      </c>
      <c r="L2071" s="9">
        <f>VLOOKUP(dynamic[productID],products[],IF(YEAR(dynamic[orderDate])=2022,8,IF(YEAR(dynamic[orderDate])=2023,9,IF(YEAR(dynamic[orderDate])=2024,10,NA))),FALSE)</f>
        <v>41.27004985</v>
      </c>
      <c r="M2071" s="9">
        <v>62.5</v>
      </c>
      <c r="N2071" s="25">
        <f>(dynamic[orderPrice]-dynamic[productCost])/dynamic[productCost]</f>
        <v>0.5144154231</v>
      </c>
      <c r="O2071" s="10">
        <v>35.0</v>
      </c>
      <c r="P2071" s="25">
        <v>0.2</v>
      </c>
      <c r="Q2071" s="9">
        <f>dynamic[orderPrice]*dynamic[orderQuantity]</f>
        <v>2187.5</v>
      </c>
      <c r="R2071" s="9">
        <f>dynamic[orderTotal]*(1-dynamic[discountApllied])</f>
        <v>1750</v>
      </c>
      <c r="S2071" s="9">
        <f>dynamic[revenue]-(dynamic[productCost]*dynamic[orderQuantity])</f>
        <v>305.5482554</v>
      </c>
      <c r="T2071" s="25">
        <f>IFERROR(dynamic[profit]/dynamic[revenue], 0)</f>
        <v>0.1745990031</v>
      </c>
    </row>
    <row r="2072" ht="15.75" customHeight="1">
      <c r="A2072" s="6">
        <v>11053.0</v>
      </c>
      <c r="B2072" s="7" t="s">
        <v>69</v>
      </c>
      <c r="C2072" s="24" t="str">
        <f>VLOOKUP(dynamic[customerID],customers[],2,FALSE)</f>
        <v>Piccolo und mehr</v>
      </c>
      <c r="D2072" s="24">
        <v>45409.0</v>
      </c>
      <c r="E2072" s="6">
        <f>IFERROR(__xludf.DUMMYFUNCTION("COUNTUNIQUEIFS($A$2:$A2072,$B$2:$B2072,B2072)"),10.0)</f>
        <v>10</v>
      </c>
      <c r="F2072" s="6">
        <f t="shared" si="1"/>
        <v>97</v>
      </c>
      <c r="G2072" s="6" t="str">
        <f>IF(MINIFS(dynamic[orderDate], dynamic[customerID], B2072) &gt;= DATE(2024,4,30)-120, 
     "New", 
     IF(MAXIFS(dynamic[orderCount], dynamic[customerID], B2072)&lt;=2, 
        IF((DATE(2024,4,30) - MAXIFS(dynamic[orderDate], dynamic[customerID], B2072)) &gt; 180, "Non-Returning", "Dormant"), 
        IF(AND(MAX(dynamic[sinceLastOrder]) &gt; 365, (DATE(2024,4,30) - MAXIFS(dynamic[orderDate], dynamic[customerID], B2072)) &gt; 180), 
           "Dormant", "Regular")))</f>
        <v>Regular</v>
      </c>
      <c r="H2072" s="6">
        <v>32.0</v>
      </c>
      <c r="I2072" s="9" t="str">
        <f>VLOOKUP(dynamic[productID],products[],2,FALSE)</f>
        <v>Mascarpone Fabioli</v>
      </c>
      <c r="J2072" s="9" t="str">
        <f>VLOOKUP(dynamic[productID],products[],12,FALSE)</f>
        <v>Dairy Products</v>
      </c>
      <c r="K2072" s="7" t="str">
        <f>IF(VLOOKUP(dynamic[productID],products[],7,FALSE)=1,"Discontinued","Current")</f>
        <v>Current</v>
      </c>
      <c r="L2072" s="9">
        <f>VLOOKUP(dynamic[productID],products[],IF(YEAR(dynamic[orderDate])=2022,8,IF(YEAR(dynamic[orderDate])=2023,9,IF(YEAR(dynamic[orderDate])=2024,10,NA))),FALSE)</f>
        <v>21.42783354</v>
      </c>
      <c r="M2072" s="9">
        <v>32.0</v>
      </c>
      <c r="N2072" s="25">
        <f>(dynamic[orderPrice]-dynamic[productCost])/dynamic[productCost]</f>
        <v>0.4933847575</v>
      </c>
      <c r="O2072" s="10">
        <v>20.0</v>
      </c>
      <c r="P2072" s="25">
        <v>0.0</v>
      </c>
      <c r="Q2072" s="9">
        <f>dynamic[orderPrice]*dynamic[orderQuantity]</f>
        <v>640</v>
      </c>
      <c r="R2072" s="9">
        <f>dynamic[orderTotal]*(1-dynamic[discountApllied])</f>
        <v>640</v>
      </c>
      <c r="S2072" s="9">
        <f>dynamic[revenue]-(dynamic[productCost]*dynamic[orderQuantity])</f>
        <v>211.4433291</v>
      </c>
      <c r="T2072" s="25">
        <f>IFERROR(dynamic[profit]/dynamic[revenue], 0)</f>
        <v>0.3303802018</v>
      </c>
    </row>
    <row r="2073" ht="15.75" customHeight="1">
      <c r="A2073" s="6">
        <v>11053.0</v>
      </c>
      <c r="B2073" s="7" t="s">
        <v>69</v>
      </c>
      <c r="C2073" s="24" t="str">
        <f>VLOOKUP(dynamic[customerID],customers[],2,FALSE)</f>
        <v>Piccolo und mehr</v>
      </c>
      <c r="D2073" s="24">
        <v>45409.0</v>
      </c>
      <c r="E2073" s="6">
        <f>IFERROR(__xludf.DUMMYFUNCTION("COUNTUNIQUEIFS($A$2:$A2073,$B$2:$B2073,B2073)"),10.0)</f>
        <v>10</v>
      </c>
      <c r="F2073" s="6">
        <f t="shared" si="1"/>
        <v>97</v>
      </c>
      <c r="G2073" s="6" t="str">
        <f>IF(MINIFS(dynamic[orderDate], dynamic[customerID], B2073) &gt;= DATE(2024,4,30)-120, 
     "New", 
     IF(MAXIFS(dynamic[orderCount], dynamic[customerID], B2073)&lt;=2, 
        IF((DATE(2024,4,30) - MAXIFS(dynamic[orderDate], dynamic[customerID], B2073)) &gt; 180, "Non-Returning", "Dormant"), 
        IF(AND(MAX(dynamic[sinceLastOrder]) &gt; 365, (DATE(2024,4,30) - MAXIFS(dynamic[orderDate], dynamic[customerID], B2073)) &gt; 180), 
           "Dormant", "Regular")))</f>
        <v>Regular</v>
      </c>
      <c r="H2073" s="6">
        <v>64.0</v>
      </c>
      <c r="I2073" s="9" t="str">
        <f>VLOOKUP(dynamic[productID],products[],2,FALSE)</f>
        <v>Lukas' leckere Sauerteigweggla</v>
      </c>
      <c r="J2073" s="9" t="str">
        <f>VLOOKUP(dynamic[productID],products[],12,FALSE)</f>
        <v>Grains/Cereals</v>
      </c>
      <c r="K2073" s="7" t="str">
        <f>IF(VLOOKUP(dynamic[productID],products[],7,FALSE)=1,"Discontinued","Current")</f>
        <v>Current</v>
      </c>
      <c r="L2073" s="9">
        <f>VLOOKUP(dynamic[productID],products[],IF(YEAR(dynamic[orderDate])=2022,8,IF(YEAR(dynamic[orderDate])=2023,9,IF(YEAR(dynamic[orderDate])=2024,10,NA))),FALSE)</f>
        <v>22.72434276</v>
      </c>
      <c r="M2073" s="9">
        <v>33.25</v>
      </c>
      <c r="N2073" s="25">
        <f>(dynamic[orderPrice]-dynamic[productCost])/dynamic[productCost]</f>
        <v>0.4631886324</v>
      </c>
      <c r="O2073" s="10">
        <v>25.0</v>
      </c>
      <c r="P2073" s="25">
        <v>0.2</v>
      </c>
      <c r="Q2073" s="9">
        <f>dynamic[orderPrice]*dynamic[orderQuantity]</f>
        <v>831.25</v>
      </c>
      <c r="R2073" s="9">
        <f>dynamic[orderTotal]*(1-dynamic[discountApllied])</f>
        <v>665</v>
      </c>
      <c r="S2073" s="9">
        <f>dynamic[revenue]-(dynamic[productCost]*dynamic[orderQuantity])</f>
        <v>96.8914311</v>
      </c>
      <c r="T2073" s="25">
        <f>IFERROR(dynamic[profit]/dynamic[revenue], 0)</f>
        <v>0.1457014001</v>
      </c>
    </row>
    <row r="2074" ht="15.75" customHeight="1">
      <c r="A2074" s="6">
        <v>11054.0</v>
      </c>
      <c r="B2074" s="7" t="s">
        <v>93</v>
      </c>
      <c r="C2074" s="24" t="str">
        <f>VLOOKUP(dynamic[customerID],customers[],2,FALSE)</f>
        <v>Cactus Comidas para llevar</v>
      </c>
      <c r="D2074" s="24">
        <v>45410.0</v>
      </c>
      <c r="E2074" s="6">
        <f>IFERROR(__xludf.DUMMYFUNCTION("COUNTUNIQUEIFS($A$2:$A2074,$B$2:$B2074,B2074)"),6.0)</f>
        <v>6</v>
      </c>
      <c r="F2074" s="6">
        <f t="shared" si="1"/>
        <v>49</v>
      </c>
      <c r="G2074" s="6" t="str">
        <f>IF(MINIFS(dynamic[orderDate], dynamic[customerID], B2074) &gt;= DATE(2024,4,30)-120, 
     "New", 
     IF(MAXIFS(dynamic[orderCount], dynamic[customerID], B2074)&lt;=2, 
        IF((DATE(2024,4,30) - MAXIFS(dynamic[orderDate], dynamic[customerID], B2074)) &gt; 180, "Non-Returning", "Dormant"), 
        IF(AND(MAX(dynamic[sinceLastOrder]) &gt; 365, (DATE(2024,4,30) - MAXIFS(dynamic[orderDate], dynamic[customerID], B2074)) &gt; 180), 
           "Dormant", "Regular")))</f>
        <v>Regular</v>
      </c>
      <c r="H2074" s="6">
        <v>33.0</v>
      </c>
      <c r="I2074" s="9" t="str">
        <f>VLOOKUP(dynamic[productID],products[],2,FALSE)</f>
        <v>Geitost</v>
      </c>
      <c r="J2074" s="9" t="str">
        <f>VLOOKUP(dynamic[productID],products[],12,FALSE)</f>
        <v>Dairy Products</v>
      </c>
      <c r="K2074" s="7" t="str">
        <f>IF(VLOOKUP(dynamic[productID],products[],7,FALSE)=1,"Discontinued","Current")</f>
        <v>Current</v>
      </c>
      <c r="L2074" s="9">
        <f>VLOOKUP(dynamic[productID],products[],IF(YEAR(dynamic[orderDate])=2022,8,IF(YEAR(dynamic[orderDate])=2023,9,IF(YEAR(dynamic[orderDate])=2024,10,NA))),FALSE)</f>
        <v>1.670163437</v>
      </c>
      <c r="M2074" s="9">
        <v>2.5</v>
      </c>
      <c r="N2074" s="25">
        <f>(dynamic[orderPrice]-dynamic[productCost])/dynamic[productCost]</f>
        <v>0.4968594957</v>
      </c>
      <c r="O2074" s="10">
        <v>10.0</v>
      </c>
      <c r="P2074" s="25">
        <v>0.0</v>
      </c>
      <c r="Q2074" s="9">
        <f>dynamic[orderPrice]*dynamic[orderQuantity]</f>
        <v>25</v>
      </c>
      <c r="R2074" s="9">
        <f>dynamic[orderTotal]*(1-dynamic[discountApllied])</f>
        <v>25</v>
      </c>
      <c r="S2074" s="9">
        <f>dynamic[revenue]-(dynamic[productCost]*dynamic[orderQuantity])</f>
        <v>8.29836563</v>
      </c>
      <c r="T2074" s="25">
        <f>IFERROR(dynamic[profit]/dynamic[revenue], 0)</f>
        <v>0.3319346252</v>
      </c>
    </row>
    <row r="2075" ht="15.75" customHeight="1">
      <c r="A2075" s="6">
        <v>11054.0</v>
      </c>
      <c r="B2075" s="7" t="s">
        <v>93</v>
      </c>
      <c r="C2075" s="24" t="str">
        <f>VLOOKUP(dynamic[customerID],customers[],2,FALSE)</f>
        <v>Cactus Comidas para llevar</v>
      </c>
      <c r="D2075" s="24">
        <v>45410.0</v>
      </c>
      <c r="E2075" s="6">
        <f>IFERROR(__xludf.DUMMYFUNCTION("COUNTUNIQUEIFS($A$2:$A2075,$B$2:$B2075,B2075)"),6.0)</f>
        <v>6</v>
      </c>
      <c r="F2075" s="6">
        <f t="shared" si="1"/>
        <v>49</v>
      </c>
      <c r="G2075" s="6" t="str">
        <f>IF(MINIFS(dynamic[orderDate], dynamic[customerID], B2075) &gt;= DATE(2024,4,30)-120, 
     "New", 
     IF(MAXIFS(dynamic[orderCount], dynamic[customerID], B2075)&lt;=2, 
        IF((DATE(2024,4,30) - MAXIFS(dynamic[orderDate], dynamic[customerID], B2075)) &gt; 180, "Non-Returning", "Dormant"), 
        IF(AND(MAX(dynamic[sinceLastOrder]) &gt; 365, (DATE(2024,4,30) - MAXIFS(dynamic[orderDate], dynamic[customerID], B2075)) &gt; 180), 
           "Dormant", "Regular")))</f>
        <v>Regular</v>
      </c>
      <c r="H2075" s="6">
        <v>67.0</v>
      </c>
      <c r="I2075" s="9" t="str">
        <f>VLOOKUP(dynamic[productID],products[],2,FALSE)</f>
        <v>Laughing Lumberjack Lager</v>
      </c>
      <c r="J2075" s="9" t="str">
        <f>VLOOKUP(dynamic[productID],products[],12,FALSE)</f>
        <v>Beverages</v>
      </c>
      <c r="K2075" s="7" t="str">
        <f>IF(VLOOKUP(dynamic[productID],products[],7,FALSE)=1,"Discontinued","Current")</f>
        <v>Current</v>
      </c>
      <c r="L2075" s="9">
        <f>VLOOKUP(dynamic[productID],products[],IF(YEAR(dynamic[orderDate])=2022,8,IF(YEAR(dynamic[orderDate])=2023,9,IF(YEAR(dynamic[orderDate])=2024,10,NA))),FALSE)</f>
        <v>9.443192754</v>
      </c>
      <c r="M2075" s="9">
        <v>14.0</v>
      </c>
      <c r="N2075" s="25">
        <f>(dynamic[orderPrice]-dynamic[productCost])/dynamic[productCost]</f>
        <v>0.4825494263</v>
      </c>
      <c r="O2075" s="10">
        <v>20.0</v>
      </c>
      <c r="P2075" s="25">
        <v>0.0</v>
      </c>
      <c r="Q2075" s="9">
        <f>dynamic[orderPrice]*dynamic[orderQuantity]</f>
        <v>280</v>
      </c>
      <c r="R2075" s="9">
        <f>dynamic[orderTotal]*(1-dynamic[discountApllied])</f>
        <v>280</v>
      </c>
      <c r="S2075" s="9">
        <f>dynamic[revenue]-(dynamic[productCost]*dynamic[orderQuantity])</f>
        <v>91.13614492</v>
      </c>
      <c r="T2075" s="25">
        <f>IFERROR(dynamic[profit]/dynamic[revenue], 0)</f>
        <v>0.3254862318</v>
      </c>
    </row>
    <row r="2076" ht="15.75" customHeight="1">
      <c r="A2076" s="6">
        <v>11055.0</v>
      </c>
      <c r="B2076" s="7" t="s">
        <v>23</v>
      </c>
      <c r="C2076" s="24" t="str">
        <f>VLOOKUP(dynamic[customerID],customers[],2,FALSE)</f>
        <v>HILARION-Abastos</v>
      </c>
      <c r="D2076" s="24">
        <v>45410.0</v>
      </c>
      <c r="E2076" s="6">
        <f>IFERROR(__xludf.DUMMYFUNCTION("COUNTUNIQUEIFS($A$2:$A2076,$B$2:$B2076,B2076)"),18.0)</f>
        <v>18</v>
      </c>
      <c r="F2076" s="6">
        <f t="shared" si="1"/>
        <v>34</v>
      </c>
      <c r="G2076" s="6" t="str">
        <f>IF(MINIFS(dynamic[orderDate], dynamic[customerID], B2076) &gt;= DATE(2024,4,30)-120, 
     "New", 
     IF(MAXIFS(dynamic[orderCount], dynamic[customerID], B2076)&lt;=2, 
        IF((DATE(2024,4,30) - MAXIFS(dynamic[orderDate], dynamic[customerID], B2076)) &gt; 180, "Non-Returning", "Dormant"), 
        IF(AND(MAX(dynamic[sinceLastOrder]) &gt; 365, (DATE(2024,4,30) - MAXIFS(dynamic[orderDate], dynamic[customerID], B2076)) &gt; 180), 
           "Dormant", "Regular")))</f>
        <v>Regular</v>
      </c>
      <c r="H2076" s="6">
        <v>24.0</v>
      </c>
      <c r="I2076" s="9" t="str">
        <f>VLOOKUP(dynamic[productID],products[],2,FALSE)</f>
        <v>Brigadeiros Maravilhosos da Lilian</v>
      </c>
      <c r="J2076" s="9" t="str">
        <f>VLOOKUP(dynamic[productID],products[],12,FALSE)</f>
        <v>Confections</v>
      </c>
      <c r="K2076" s="7" t="str">
        <f>IF(VLOOKUP(dynamic[productID],products[],7,FALSE)=1,"Discontinued","Current")</f>
        <v>Discontinued</v>
      </c>
      <c r="L2076" s="9">
        <f>VLOOKUP(dynamic[productID],products[],IF(YEAR(dynamic[orderDate])=2022,8,IF(YEAR(dynamic[orderDate])=2023,9,IF(YEAR(dynamic[orderDate])=2024,10,NA))),FALSE)</f>
        <v>3.177326315</v>
      </c>
      <c r="M2076" s="9">
        <v>4.5</v>
      </c>
      <c r="N2076" s="25">
        <f>(dynamic[orderPrice]-dynamic[productCost])/dynamic[productCost]</f>
        <v>0.416285126</v>
      </c>
      <c r="O2076" s="10">
        <v>15.0</v>
      </c>
      <c r="P2076" s="25">
        <v>0.0</v>
      </c>
      <c r="Q2076" s="9">
        <f>dynamic[orderPrice]*dynamic[orderQuantity]</f>
        <v>67.5</v>
      </c>
      <c r="R2076" s="9">
        <f>dynamic[orderTotal]*(1-dynamic[discountApllied])</f>
        <v>67.5</v>
      </c>
      <c r="S2076" s="9">
        <f>dynamic[revenue]-(dynamic[productCost]*dynamic[orderQuantity])</f>
        <v>19.84010528</v>
      </c>
      <c r="T2076" s="25">
        <f>IFERROR(dynamic[profit]/dynamic[revenue], 0)</f>
        <v>0.2939274856</v>
      </c>
    </row>
    <row r="2077" ht="15.75" customHeight="1">
      <c r="A2077" s="6">
        <v>11055.0</v>
      </c>
      <c r="B2077" s="7" t="s">
        <v>23</v>
      </c>
      <c r="C2077" s="24" t="str">
        <f>VLOOKUP(dynamic[customerID],customers[],2,FALSE)</f>
        <v>HILARION-Abastos</v>
      </c>
      <c r="D2077" s="24">
        <v>45410.0</v>
      </c>
      <c r="E2077" s="6">
        <f>IFERROR(__xludf.DUMMYFUNCTION("COUNTUNIQUEIFS($A$2:$A2077,$B$2:$B2077,B2077)"),18.0)</f>
        <v>18</v>
      </c>
      <c r="F2077" s="6">
        <f t="shared" si="1"/>
        <v>34</v>
      </c>
      <c r="G2077" s="6" t="str">
        <f>IF(MINIFS(dynamic[orderDate], dynamic[customerID], B2077) &gt;= DATE(2024,4,30)-120, 
     "New", 
     IF(MAXIFS(dynamic[orderCount], dynamic[customerID], B2077)&lt;=2, 
        IF((DATE(2024,4,30) - MAXIFS(dynamic[orderDate], dynamic[customerID], B2077)) &gt; 180, "Non-Returning", "Dormant"), 
        IF(AND(MAX(dynamic[sinceLastOrder]) &gt; 365, (DATE(2024,4,30) - MAXIFS(dynamic[orderDate], dynamic[customerID], B2077)) &gt; 180), 
           "Dormant", "Regular")))</f>
        <v>Regular</v>
      </c>
      <c r="H2077" s="6">
        <v>25.0</v>
      </c>
      <c r="I2077" s="9" t="str">
        <f>VLOOKUP(dynamic[productID],products[],2,FALSE)</f>
        <v>HM Köstliche Kaiserschmarrn Knödelchen</v>
      </c>
      <c r="J2077" s="9" t="str">
        <f>VLOOKUP(dynamic[productID],products[],12,FALSE)</f>
        <v>Confections</v>
      </c>
      <c r="K2077" s="7" t="str">
        <f>IF(VLOOKUP(dynamic[productID],products[],7,FALSE)=1,"Discontinued","Current")</f>
        <v>Current</v>
      </c>
      <c r="L2077" s="9">
        <f>VLOOKUP(dynamic[productID],products[],IF(YEAR(dynamic[orderDate])=2022,8,IF(YEAR(dynamic[orderDate])=2023,9,IF(YEAR(dynamic[orderDate])=2024,10,NA))),FALSE)</f>
        <v>8.782270815</v>
      </c>
      <c r="M2077" s="9">
        <v>14.0</v>
      </c>
      <c r="N2077" s="25">
        <f>(dynamic[orderPrice]-dynamic[productCost])/dynamic[productCost]</f>
        <v>0.5941207342</v>
      </c>
      <c r="O2077" s="10">
        <v>15.0</v>
      </c>
      <c r="P2077" s="25">
        <v>0.0</v>
      </c>
      <c r="Q2077" s="9">
        <f>dynamic[orderPrice]*dynamic[orderQuantity]</f>
        <v>210</v>
      </c>
      <c r="R2077" s="9">
        <f>dynamic[orderTotal]*(1-dynamic[discountApllied])</f>
        <v>210</v>
      </c>
      <c r="S2077" s="9">
        <f>dynamic[revenue]-(dynamic[productCost]*dynamic[orderQuantity])</f>
        <v>78.26593777</v>
      </c>
      <c r="T2077" s="25">
        <f>IFERROR(dynamic[profit]/dynamic[revenue], 0)</f>
        <v>0.3726949418</v>
      </c>
    </row>
    <row r="2078" ht="15.75" customHeight="1">
      <c r="A2078" s="6">
        <v>11055.0</v>
      </c>
      <c r="B2078" s="7" t="s">
        <v>23</v>
      </c>
      <c r="C2078" s="24" t="str">
        <f>VLOOKUP(dynamic[customerID],customers[],2,FALSE)</f>
        <v>HILARION-Abastos</v>
      </c>
      <c r="D2078" s="24">
        <v>45410.0</v>
      </c>
      <c r="E2078" s="6">
        <f>IFERROR(__xludf.DUMMYFUNCTION("COUNTUNIQUEIFS($A$2:$A2078,$B$2:$B2078,B2078)"),18.0)</f>
        <v>18</v>
      </c>
      <c r="F2078" s="6">
        <f t="shared" si="1"/>
        <v>34</v>
      </c>
      <c r="G2078" s="6" t="str">
        <f>IF(MINIFS(dynamic[orderDate], dynamic[customerID], B2078) &gt;= DATE(2024,4,30)-120, 
     "New", 
     IF(MAXIFS(dynamic[orderCount], dynamic[customerID], B2078)&lt;=2, 
        IF((DATE(2024,4,30) - MAXIFS(dynamic[orderDate], dynamic[customerID], B2078)) &gt; 180, "Non-Returning", "Dormant"), 
        IF(AND(MAX(dynamic[sinceLastOrder]) &gt; 365, (DATE(2024,4,30) - MAXIFS(dynamic[orderDate], dynamic[customerID], B2078)) &gt; 180), 
           "Dormant", "Regular")))</f>
        <v>Regular</v>
      </c>
      <c r="H2078" s="6">
        <v>51.0</v>
      </c>
      <c r="I2078" s="9" t="str">
        <f>VLOOKUP(dynamic[productID],products[],2,FALSE)</f>
        <v>Manjimup Dried Apples</v>
      </c>
      <c r="J2078" s="9" t="str">
        <f>VLOOKUP(dynamic[productID],products[],12,FALSE)</f>
        <v>Produce</v>
      </c>
      <c r="K2078" s="7" t="str">
        <f>IF(VLOOKUP(dynamic[productID],products[],7,FALSE)=1,"Discontinued","Current")</f>
        <v>Current</v>
      </c>
      <c r="L2078" s="9">
        <f>VLOOKUP(dynamic[productID],products[],IF(YEAR(dynamic[orderDate])=2022,8,IF(YEAR(dynamic[orderDate])=2023,9,IF(YEAR(dynamic[orderDate])=2024,10,NA))),FALSE)</f>
        <v>39.51416462</v>
      </c>
      <c r="M2078" s="9">
        <v>53.0</v>
      </c>
      <c r="N2078" s="25">
        <f>(dynamic[orderPrice]-dynamic[productCost])/dynamic[productCost]</f>
        <v>0.3412911677</v>
      </c>
      <c r="O2078" s="10">
        <v>20.0</v>
      </c>
      <c r="P2078" s="25">
        <v>0.0</v>
      </c>
      <c r="Q2078" s="9">
        <f>dynamic[orderPrice]*dynamic[orderQuantity]</f>
        <v>1060</v>
      </c>
      <c r="R2078" s="9">
        <f>dynamic[orderTotal]*(1-dynamic[discountApllied])</f>
        <v>1060</v>
      </c>
      <c r="S2078" s="9">
        <f>dynamic[revenue]-(dynamic[productCost]*dynamic[orderQuantity])</f>
        <v>269.7167076</v>
      </c>
      <c r="T2078" s="25">
        <f>IFERROR(dynamic[profit]/dynamic[revenue], 0)</f>
        <v>0.2544497242</v>
      </c>
    </row>
    <row r="2079" ht="15.75" customHeight="1">
      <c r="A2079" s="6">
        <v>11055.0</v>
      </c>
      <c r="B2079" s="7" t="s">
        <v>23</v>
      </c>
      <c r="C2079" s="24" t="str">
        <f>VLOOKUP(dynamic[customerID],customers[],2,FALSE)</f>
        <v>HILARION-Abastos</v>
      </c>
      <c r="D2079" s="24">
        <v>45410.0</v>
      </c>
      <c r="E2079" s="6">
        <f>IFERROR(__xludf.DUMMYFUNCTION("COUNTUNIQUEIFS($A$2:$A2079,$B$2:$B2079,B2079)"),18.0)</f>
        <v>18</v>
      </c>
      <c r="F2079" s="6">
        <f t="shared" si="1"/>
        <v>34</v>
      </c>
      <c r="G2079" s="6" t="str">
        <f>IF(MINIFS(dynamic[orderDate], dynamic[customerID], B2079) &gt;= DATE(2024,4,30)-120, 
     "New", 
     IF(MAXIFS(dynamic[orderCount], dynamic[customerID], B2079)&lt;=2, 
        IF((DATE(2024,4,30) - MAXIFS(dynamic[orderDate], dynamic[customerID], B2079)) &gt; 180, "Non-Returning", "Dormant"), 
        IF(AND(MAX(dynamic[sinceLastOrder]) &gt; 365, (DATE(2024,4,30) - MAXIFS(dynamic[orderDate], dynamic[customerID], B2079)) &gt; 180), 
           "Dormant", "Regular")))</f>
        <v>Regular</v>
      </c>
      <c r="H2079" s="6">
        <v>57.0</v>
      </c>
      <c r="I2079" s="9" t="str">
        <f>VLOOKUP(dynamic[productID],products[],2,FALSE)</f>
        <v>Ravioli Angelo</v>
      </c>
      <c r="J2079" s="9" t="str">
        <f>VLOOKUP(dynamic[productID],products[],12,FALSE)</f>
        <v>Grains/Cereals</v>
      </c>
      <c r="K2079" s="7" t="str">
        <f>IF(VLOOKUP(dynamic[productID],products[],7,FALSE)=1,"Discontinued","Current")</f>
        <v>Current</v>
      </c>
      <c r="L2079" s="9">
        <f>VLOOKUP(dynamic[productID],products[],IF(YEAR(dynamic[orderDate])=2022,8,IF(YEAR(dynamic[orderDate])=2023,9,IF(YEAR(dynamic[orderDate])=2024,10,NA))),FALSE)</f>
        <v>14.29534762</v>
      </c>
      <c r="M2079" s="9">
        <v>19.5</v>
      </c>
      <c r="N2079" s="25">
        <f>(dynamic[orderPrice]-dynamic[productCost])/dynamic[productCost]</f>
        <v>0.3640801552</v>
      </c>
      <c r="O2079" s="10">
        <v>20.0</v>
      </c>
      <c r="P2079" s="25">
        <v>0.0</v>
      </c>
      <c r="Q2079" s="9">
        <f>dynamic[orderPrice]*dynamic[orderQuantity]</f>
        <v>390</v>
      </c>
      <c r="R2079" s="9">
        <f>dynamic[orderTotal]*(1-dynamic[discountApllied])</f>
        <v>390</v>
      </c>
      <c r="S2079" s="9">
        <f>dynamic[revenue]-(dynamic[productCost]*dynamic[orderQuantity])</f>
        <v>104.0930476</v>
      </c>
      <c r="T2079" s="25">
        <f>IFERROR(dynamic[profit]/dynamic[revenue], 0)</f>
        <v>0.2669052503</v>
      </c>
    </row>
    <row r="2080" ht="15.75" customHeight="1">
      <c r="A2080" s="6">
        <v>11056.0</v>
      </c>
      <c r="B2080" s="7" t="s">
        <v>73</v>
      </c>
      <c r="C2080" s="24" t="str">
        <f>VLOOKUP(dynamic[customerID],customers[],2,FALSE)</f>
        <v>Eastern Connection</v>
      </c>
      <c r="D2080" s="24">
        <v>45410.0</v>
      </c>
      <c r="E2080" s="6">
        <f>IFERROR(__xludf.DUMMYFUNCTION("COUNTUNIQUEIFS($A$2:$A2080,$B$2:$B2080,B2080)"),8.0)</f>
        <v>8</v>
      </c>
      <c r="F2080" s="6">
        <f t="shared" si="1"/>
        <v>4</v>
      </c>
      <c r="G2080" s="6" t="str">
        <f>IF(MINIFS(dynamic[orderDate], dynamic[customerID], B2080) &gt;= DATE(2024,4,30)-120, 
     "New", 
     IF(MAXIFS(dynamic[orderCount], dynamic[customerID], B2080)&lt;=2, 
        IF((DATE(2024,4,30) - MAXIFS(dynamic[orderDate], dynamic[customerID], B2080)) &gt; 180, "Non-Returning", "Dormant"), 
        IF(AND(MAX(dynamic[sinceLastOrder]) &gt; 365, (DATE(2024,4,30) - MAXIFS(dynamic[orderDate], dynamic[customerID], B2080)) &gt; 180), 
           "Dormant", "Regular")))</f>
        <v>Regular</v>
      </c>
      <c r="H2080" s="6">
        <v>7.0</v>
      </c>
      <c r="I2080" s="9" t="str">
        <f>VLOOKUP(dynamic[productID],products[],2,FALSE)</f>
        <v>Uncle Bob's Organic Dried Pears</v>
      </c>
      <c r="J2080" s="9" t="str">
        <f>VLOOKUP(dynamic[productID],products[],12,FALSE)</f>
        <v>Produce</v>
      </c>
      <c r="K2080" s="7" t="str">
        <f>IF(VLOOKUP(dynamic[productID],products[],7,FALSE)=1,"Discontinued","Current")</f>
        <v>Current</v>
      </c>
      <c r="L2080" s="9">
        <f>VLOOKUP(dynamic[productID],products[],IF(YEAR(dynamic[orderDate])=2022,8,IF(YEAR(dynamic[orderDate])=2023,9,IF(YEAR(dynamic[orderDate])=2024,10,NA))),FALSE)</f>
        <v>23.52222246</v>
      </c>
      <c r="M2080" s="9">
        <v>30.0</v>
      </c>
      <c r="N2080" s="25">
        <f>(dynamic[orderPrice]-dynamic[productCost])/dynamic[productCost]</f>
        <v>0.2753896894</v>
      </c>
      <c r="O2080" s="10">
        <v>40.0</v>
      </c>
      <c r="P2080" s="25">
        <v>0.0</v>
      </c>
      <c r="Q2080" s="9">
        <f>dynamic[orderPrice]*dynamic[orderQuantity]</f>
        <v>1200</v>
      </c>
      <c r="R2080" s="9">
        <f>dynamic[orderTotal]*(1-dynamic[discountApllied])</f>
        <v>1200</v>
      </c>
      <c r="S2080" s="9">
        <f>dynamic[revenue]-(dynamic[productCost]*dynamic[orderQuantity])</f>
        <v>259.1111015</v>
      </c>
      <c r="T2080" s="25">
        <f>IFERROR(dynamic[profit]/dynamic[revenue], 0)</f>
        <v>0.2159259179</v>
      </c>
    </row>
    <row r="2081" ht="15.75" customHeight="1">
      <c r="A2081" s="6">
        <v>11056.0</v>
      </c>
      <c r="B2081" s="7" t="s">
        <v>73</v>
      </c>
      <c r="C2081" s="24" t="str">
        <f>VLOOKUP(dynamic[customerID],customers[],2,FALSE)</f>
        <v>Eastern Connection</v>
      </c>
      <c r="D2081" s="24">
        <v>45410.0</v>
      </c>
      <c r="E2081" s="6">
        <f>IFERROR(__xludf.DUMMYFUNCTION("COUNTUNIQUEIFS($A$2:$A2081,$B$2:$B2081,B2081)"),8.0)</f>
        <v>8</v>
      </c>
      <c r="F2081" s="6">
        <f t="shared" si="1"/>
        <v>4</v>
      </c>
      <c r="G2081" s="6" t="str">
        <f>IF(MINIFS(dynamic[orderDate], dynamic[customerID], B2081) &gt;= DATE(2024,4,30)-120, 
     "New", 
     IF(MAXIFS(dynamic[orderCount], dynamic[customerID], B2081)&lt;=2, 
        IF((DATE(2024,4,30) - MAXIFS(dynamic[orderDate], dynamic[customerID], B2081)) &gt; 180, "Non-Returning", "Dormant"), 
        IF(AND(MAX(dynamic[sinceLastOrder]) &gt; 365, (DATE(2024,4,30) - MAXIFS(dynamic[orderDate], dynamic[customerID], B2081)) &gt; 180), 
           "Dormant", "Regular")))</f>
        <v>Regular</v>
      </c>
      <c r="H2081" s="6">
        <v>55.0</v>
      </c>
      <c r="I2081" s="9" t="str">
        <f>VLOOKUP(dynamic[productID],products[],2,FALSE)</f>
        <v>Pâté chinois</v>
      </c>
      <c r="J2081" s="9" t="str">
        <f>VLOOKUP(dynamic[productID],products[],12,FALSE)</f>
        <v>Meat/Poultry</v>
      </c>
      <c r="K2081" s="7" t="str">
        <f>IF(VLOOKUP(dynamic[productID],products[],7,FALSE)=1,"Discontinued","Current")</f>
        <v>Current</v>
      </c>
      <c r="L2081" s="9">
        <f>VLOOKUP(dynamic[productID],products[],IF(YEAR(dynamic[orderDate])=2022,8,IF(YEAR(dynamic[orderDate])=2023,9,IF(YEAR(dynamic[orderDate])=2024,10,NA))),FALSE)</f>
        <v>16.95998522</v>
      </c>
      <c r="M2081" s="9">
        <v>24.0</v>
      </c>
      <c r="N2081" s="25">
        <f>(dynamic[orderPrice]-dynamic[productCost])/dynamic[productCost]</f>
        <v>0.4150955727</v>
      </c>
      <c r="O2081" s="10">
        <v>35.0</v>
      </c>
      <c r="P2081" s="25">
        <v>0.0</v>
      </c>
      <c r="Q2081" s="9">
        <f>dynamic[orderPrice]*dynamic[orderQuantity]</f>
        <v>840</v>
      </c>
      <c r="R2081" s="9">
        <f>dynamic[orderTotal]*(1-dynamic[discountApllied])</f>
        <v>840</v>
      </c>
      <c r="S2081" s="9">
        <f>dynamic[revenue]-(dynamic[productCost]*dynamic[orderQuantity])</f>
        <v>246.4005173</v>
      </c>
      <c r="T2081" s="25">
        <f>IFERROR(dynamic[profit]/dynamic[revenue], 0)</f>
        <v>0.2933339491</v>
      </c>
    </row>
    <row r="2082" ht="15.75" customHeight="1">
      <c r="A2082" s="6">
        <v>11056.0</v>
      </c>
      <c r="B2082" s="7" t="s">
        <v>73</v>
      </c>
      <c r="C2082" s="24" t="str">
        <f>VLOOKUP(dynamic[customerID],customers[],2,FALSE)</f>
        <v>Eastern Connection</v>
      </c>
      <c r="D2082" s="24">
        <v>45410.0</v>
      </c>
      <c r="E2082" s="6">
        <f>IFERROR(__xludf.DUMMYFUNCTION("COUNTUNIQUEIFS($A$2:$A2082,$B$2:$B2082,B2082)"),8.0)</f>
        <v>8</v>
      </c>
      <c r="F2082" s="6">
        <f t="shared" si="1"/>
        <v>4</v>
      </c>
      <c r="G2082" s="6" t="str">
        <f>IF(MINIFS(dynamic[orderDate], dynamic[customerID], B2082) &gt;= DATE(2024,4,30)-120, 
     "New", 
     IF(MAXIFS(dynamic[orderCount], dynamic[customerID], B2082)&lt;=2, 
        IF((DATE(2024,4,30) - MAXIFS(dynamic[orderDate], dynamic[customerID], B2082)) &gt; 180, "Non-Returning", "Dormant"), 
        IF(AND(MAX(dynamic[sinceLastOrder]) &gt; 365, (DATE(2024,4,30) - MAXIFS(dynamic[orderDate], dynamic[customerID], B2082)) &gt; 180), 
           "Dormant", "Regular")))</f>
        <v>Regular</v>
      </c>
      <c r="H2082" s="6">
        <v>60.0</v>
      </c>
      <c r="I2082" s="9" t="str">
        <f>VLOOKUP(dynamic[productID],products[],2,FALSE)</f>
        <v>Camembert Pierrot</v>
      </c>
      <c r="J2082" s="9" t="str">
        <f>VLOOKUP(dynamic[productID],products[],12,FALSE)</f>
        <v>Dairy Products</v>
      </c>
      <c r="K2082" s="7" t="str">
        <f>IF(VLOOKUP(dynamic[productID],products[],7,FALSE)=1,"Discontinued","Current")</f>
        <v>Current</v>
      </c>
      <c r="L2082" s="9">
        <f>VLOOKUP(dynamic[productID],products[],IF(YEAR(dynamic[orderDate])=2022,8,IF(YEAR(dynamic[orderDate])=2023,9,IF(YEAR(dynamic[orderDate])=2024,10,NA))),FALSE)</f>
        <v>22.49091154</v>
      </c>
      <c r="M2082" s="9">
        <v>34.0</v>
      </c>
      <c r="N2082" s="25">
        <f>(dynamic[orderPrice]-dynamic[productCost])/dynamic[productCost]</f>
        <v>0.5117217431</v>
      </c>
      <c r="O2082" s="10">
        <v>50.0</v>
      </c>
      <c r="P2082" s="25">
        <v>0.0</v>
      </c>
      <c r="Q2082" s="9">
        <f>dynamic[orderPrice]*dynamic[orderQuantity]</f>
        <v>1700</v>
      </c>
      <c r="R2082" s="9">
        <f>dynamic[orderTotal]*(1-dynamic[discountApllied])</f>
        <v>1700</v>
      </c>
      <c r="S2082" s="9">
        <f>dynamic[revenue]-(dynamic[productCost]*dynamic[orderQuantity])</f>
        <v>575.4544229</v>
      </c>
      <c r="T2082" s="25">
        <f>IFERROR(dynamic[profit]/dynamic[revenue], 0)</f>
        <v>0.3385026017</v>
      </c>
    </row>
    <row r="2083" ht="15.75" customHeight="1">
      <c r="A2083" s="6">
        <v>11057.0</v>
      </c>
      <c r="B2083" s="7" t="s">
        <v>92</v>
      </c>
      <c r="C2083" s="24" t="str">
        <f>VLOOKUP(dynamic[customerID],customers[],2,FALSE)</f>
        <v>North/South</v>
      </c>
      <c r="D2083" s="24">
        <v>45411.0</v>
      </c>
      <c r="E2083" s="6">
        <f>IFERROR(__xludf.DUMMYFUNCTION("COUNTUNIQUEIFS($A$2:$A2083,$B$2:$B2083,B2083)"),3.0)</f>
        <v>3</v>
      </c>
      <c r="F2083" s="6">
        <f t="shared" si="1"/>
        <v>157</v>
      </c>
      <c r="G2083" s="6" t="str">
        <f>IF(MINIFS(dynamic[orderDate], dynamic[customerID], B2083) &gt;= DATE(2024,4,30)-120, 
     "New", 
     IF(MAXIFS(dynamic[orderCount], dynamic[customerID], B2083)&lt;=2, 
        IF((DATE(2024,4,30) - MAXIFS(dynamic[orderDate], dynamic[customerID], B2083)) &gt; 180, "Non-Returning", "Dormant"), 
        IF(AND(MAX(dynamic[sinceLastOrder]) &gt; 365, (DATE(2024,4,30) - MAXIFS(dynamic[orderDate], dynamic[customerID], B2083)) &gt; 180), 
           "Dormant", "Regular")))</f>
        <v>Regular</v>
      </c>
      <c r="H2083" s="6">
        <v>70.0</v>
      </c>
      <c r="I2083" s="9" t="str">
        <f>VLOOKUP(dynamic[productID],products[],2,FALSE)</f>
        <v>Outback Lager</v>
      </c>
      <c r="J2083" s="9" t="str">
        <f>VLOOKUP(dynamic[productID],products[],12,FALSE)</f>
        <v>Beverages</v>
      </c>
      <c r="K2083" s="7" t="str">
        <f>IF(VLOOKUP(dynamic[productID],products[],7,FALSE)=1,"Discontinued","Current")</f>
        <v>Current</v>
      </c>
      <c r="L2083" s="9">
        <f>VLOOKUP(dynamic[productID],products[],IF(YEAR(dynamic[orderDate])=2022,8,IF(YEAR(dynamic[orderDate])=2023,9,IF(YEAR(dynamic[orderDate])=2024,10,NA))),FALSE)</f>
        <v>10.03280812</v>
      </c>
      <c r="M2083" s="9">
        <v>15.0</v>
      </c>
      <c r="N2083" s="25">
        <f>(dynamic[orderPrice]-dynamic[productCost])/dynamic[productCost]</f>
        <v>0.4950948747</v>
      </c>
      <c r="O2083" s="10">
        <v>3.0</v>
      </c>
      <c r="P2083" s="25">
        <v>0.0</v>
      </c>
      <c r="Q2083" s="9">
        <f>dynamic[orderPrice]*dynamic[orderQuantity]</f>
        <v>45</v>
      </c>
      <c r="R2083" s="9">
        <f>dynamic[orderTotal]*(1-dynamic[discountApllied])</f>
        <v>45</v>
      </c>
      <c r="S2083" s="9">
        <f>dynamic[revenue]-(dynamic[productCost]*dynamic[orderQuantity])</f>
        <v>14.90157564</v>
      </c>
      <c r="T2083" s="25">
        <f>IFERROR(dynamic[profit]/dynamic[revenue], 0)</f>
        <v>0.3311461253</v>
      </c>
    </row>
    <row r="2084" ht="15.75" customHeight="1">
      <c r="A2084" s="6">
        <v>11058.0</v>
      </c>
      <c r="B2084" s="7" t="s">
        <v>91</v>
      </c>
      <c r="C2084" s="24" t="str">
        <f>VLOOKUP(dynamic[customerID],customers[],2,FALSE)</f>
        <v>Blauer See Delikatessen</v>
      </c>
      <c r="D2084" s="24">
        <v>45411.0</v>
      </c>
      <c r="E2084" s="6">
        <f>IFERROR(__xludf.DUMMYFUNCTION("COUNTUNIQUEIFS($A$2:$A2084,$B$2:$B2084,B2084)"),7.0)</f>
        <v>7</v>
      </c>
      <c r="F2084" s="6">
        <f t="shared" si="1"/>
        <v>43</v>
      </c>
      <c r="G2084" s="6" t="str">
        <f>IF(MINIFS(dynamic[orderDate], dynamic[customerID], B2084) &gt;= DATE(2024,4,30)-120, 
     "New", 
     IF(MAXIFS(dynamic[orderCount], dynamic[customerID], B2084)&lt;=2, 
        IF((DATE(2024,4,30) - MAXIFS(dynamic[orderDate], dynamic[customerID], B2084)) &gt; 180, "Non-Returning", "Dormant"), 
        IF(AND(MAX(dynamic[sinceLastOrder]) &gt; 365, (DATE(2024,4,30) - MAXIFS(dynamic[orderDate], dynamic[customerID], B2084)) &gt; 180), 
           "Dormant", "Regular")))</f>
        <v>Regular</v>
      </c>
      <c r="H2084" s="6">
        <v>21.0</v>
      </c>
      <c r="I2084" s="9" t="str">
        <f>VLOOKUP(dynamic[productID],products[],2,FALSE)</f>
        <v>Sir Rodney's Scones</v>
      </c>
      <c r="J2084" s="9" t="str">
        <f>VLOOKUP(dynamic[productID],products[],12,FALSE)</f>
        <v>Confections</v>
      </c>
      <c r="K2084" s="7" t="str">
        <f>IF(VLOOKUP(dynamic[productID],products[],7,FALSE)=1,"Discontinued","Current")</f>
        <v>Current</v>
      </c>
      <c r="L2084" s="9">
        <f>VLOOKUP(dynamic[productID],products[],IF(YEAR(dynamic[orderDate])=2022,8,IF(YEAR(dynamic[orderDate])=2023,9,IF(YEAR(dynamic[orderDate])=2024,10,NA))),FALSE)</f>
        <v>7.459897593</v>
      </c>
      <c r="M2084" s="9">
        <v>10.0</v>
      </c>
      <c r="N2084" s="25">
        <f>(dynamic[orderPrice]-dynamic[productCost])/dynamic[productCost]</f>
        <v>0.3405009753</v>
      </c>
      <c r="O2084" s="10">
        <v>3.0</v>
      </c>
      <c r="P2084" s="25">
        <v>0.0</v>
      </c>
      <c r="Q2084" s="9">
        <f>dynamic[orderPrice]*dynamic[orderQuantity]</f>
        <v>30</v>
      </c>
      <c r="R2084" s="9">
        <f>dynamic[orderTotal]*(1-dynamic[discountApllied])</f>
        <v>30</v>
      </c>
      <c r="S2084" s="9">
        <f>dynamic[revenue]-(dynamic[productCost]*dynamic[orderQuantity])</f>
        <v>7.62030722</v>
      </c>
      <c r="T2084" s="25">
        <f>IFERROR(dynamic[profit]/dynamic[revenue], 0)</f>
        <v>0.2540102407</v>
      </c>
    </row>
    <row r="2085" ht="15.75" customHeight="1">
      <c r="A2085" s="6">
        <v>11058.0</v>
      </c>
      <c r="B2085" s="7" t="s">
        <v>91</v>
      </c>
      <c r="C2085" s="24" t="str">
        <f>VLOOKUP(dynamic[customerID],customers[],2,FALSE)</f>
        <v>Blauer See Delikatessen</v>
      </c>
      <c r="D2085" s="24">
        <v>45411.0</v>
      </c>
      <c r="E2085" s="6">
        <f>IFERROR(__xludf.DUMMYFUNCTION("COUNTUNIQUEIFS($A$2:$A2085,$B$2:$B2085,B2085)"),7.0)</f>
        <v>7</v>
      </c>
      <c r="F2085" s="6">
        <f t="shared" si="1"/>
        <v>43</v>
      </c>
      <c r="G2085" s="6" t="str">
        <f>IF(MINIFS(dynamic[orderDate], dynamic[customerID], B2085) &gt;= DATE(2024,4,30)-120, 
     "New", 
     IF(MAXIFS(dynamic[orderCount], dynamic[customerID], B2085)&lt;=2, 
        IF((DATE(2024,4,30) - MAXIFS(dynamic[orderDate], dynamic[customerID], B2085)) &gt; 180, "Non-Returning", "Dormant"), 
        IF(AND(MAX(dynamic[sinceLastOrder]) &gt; 365, (DATE(2024,4,30) - MAXIFS(dynamic[orderDate], dynamic[customerID], B2085)) &gt; 180), 
           "Dormant", "Regular")))</f>
        <v>Regular</v>
      </c>
      <c r="H2085" s="6">
        <v>60.0</v>
      </c>
      <c r="I2085" s="9" t="str">
        <f>VLOOKUP(dynamic[productID],products[],2,FALSE)</f>
        <v>Camembert Pierrot</v>
      </c>
      <c r="J2085" s="9" t="str">
        <f>VLOOKUP(dynamic[productID],products[],12,FALSE)</f>
        <v>Dairy Products</v>
      </c>
      <c r="K2085" s="7" t="str">
        <f>IF(VLOOKUP(dynamic[productID],products[],7,FALSE)=1,"Discontinued","Current")</f>
        <v>Current</v>
      </c>
      <c r="L2085" s="9">
        <f>VLOOKUP(dynamic[productID],products[],IF(YEAR(dynamic[orderDate])=2022,8,IF(YEAR(dynamic[orderDate])=2023,9,IF(YEAR(dynamic[orderDate])=2024,10,NA))),FALSE)</f>
        <v>22.49091154</v>
      </c>
      <c r="M2085" s="9">
        <v>34.0</v>
      </c>
      <c r="N2085" s="25">
        <f>(dynamic[orderPrice]-dynamic[productCost])/dynamic[productCost]</f>
        <v>0.5117217431</v>
      </c>
      <c r="O2085" s="10">
        <v>21.0</v>
      </c>
      <c r="P2085" s="25">
        <v>0.0</v>
      </c>
      <c r="Q2085" s="9">
        <f>dynamic[orderPrice]*dynamic[orderQuantity]</f>
        <v>714</v>
      </c>
      <c r="R2085" s="9">
        <f>dynamic[orderTotal]*(1-dynamic[discountApllied])</f>
        <v>714</v>
      </c>
      <c r="S2085" s="9">
        <f>dynamic[revenue]-(dynamic[productCost]*dynamic[orderQuantity])</f>
        <v>241.6908576</v>
      </c>
      <c r="T2085" s="25">
        <f>IFERROR(dynamic[profit]/dynamic[revenue], 0)</f>
        <v>0.3385026017</v>
      </c>
    </row>
    <row r="2086" ht="15.75" customHeight="1">
      <c r="A2086" s="6">
        <v>11058.0</v>
      </c>
      <c r="B2086" s="7" t="s">
        <v>91</v>
      </c>
      <c r="C2086" s="24" t="str">
        <f>VLOOKUP(dynamic[customerID],customers[],2,FALSE)</f>
        <v>Blauer See Delikatessen</v>
      </c>
      <c r="D2086" s="24">
        <v>45411.0</v>
      </c>
      <c r="E2086" s="6">
        <f>IFERROR(__xludf.DUMMYFUNCTION("COUNTUNIQUEIFS($A$2:$A2086,$B$2:$B2086,B2086)"),7.0)</f>
        <v>7</v>
      </c>
      <c r="F2086" s="6">
        <f t="shared" si="1"/>
        <v>43</v>
      </c>
      <c r="G2086" s="6" t="str">
        <f>IF(MINIFS(dynamic[orderDate], dynamic[customerID], B2086) &gt;= DATE(2024,4,30)-120, 
     "New", 
     IF(MAXIFS(dynamic[orderCount], dynamic[customerID], B2086)&lt;=2, 
        IF((DATE(2024,4,30) - MAXIFS(dynamic[orderDate], dynamic[customerID], B2086)) &gt; 180, "Non-Returning", "Dormant"), 
        IF(AND(MAX(dynamic[sinceLastOrder]) &gt; 365, (DATE(2024,4,30) - MAXIFS(dynamic[orderDate], dynamic[customerID], B2086)) &gt; 180), 
           "Dormant", "Regular")))</f>
        <v>Regular</v>
      </c>
      <c r="H2086" s="6">
        <v>61.0</v>
      </c>
      <c r="I2086" s="9" t="str">
        <f>VLOOKUP(dynamic[productID],products[],2,FALSE)</f>
        <v>Sirop d'érable</v>
      </c>
      <c r="J2086" s="9" t="str">
        <f>VLOOKUP(dynamic[productID],products[],12,FALSE)</f>
        <v>Condiments</v>
      </c>
      <c r="K2086" s="7" t="str">
        <f>IF(VLOOKUP(dynamic[productID],products[],7,FALSE)=1,"Discontinued","Current")</f>
        <v>Current</v>
      </c>
      <c r="L2086" s="9">
        <f>VLOOKUP(dynamic[productID],products[],IF(YEAR(dynamic[orderDate])=2022,8,IF(YEAR(dynamic[orderDate])=2023,9,IF(YEAR(dynamic[orderDate])=2024,10,NA))),FALSE)</f>
        <v>18.74487379</v>
      </c>
      <c r="M2086" s="9">
        <v>28.5</v>
      </c>
      <c r="N2086" s="25">
        <f>(dynamic[orderPrice]-dynamic[productCost])/dynamic[productCost]</f>
        <v>0.5204156786</v>
      </c>
      <c r="O2086" s="10">
        <v>4.0</v>
      </c>
      <c r="P2086" s="25">
        <v>0.0</v>
      </c>
      <c r="Q2086" s="9">
        <f>dynamic[orderPrice]*dynamic[orderQuantity]</f>
        <v>114</v>
      </c>
      <c r="R2086" s="9">
        <f>dynamic[orderTotal]*(1-dynamic[discountApllied])</f>
        <v>114</v>
      </c>
      <c r="S2086" s="9">
        <f>dynamic[revenue]-(dynamic[productCost]*dynamic[orderQuantity])</f>
        <v>39.02050485</v>
      </c>
      <c r="T2086" s="25">
        <f>IFERROR(dynamic[profit]/dynamic[revenue], 0)</f>
        <v>0.3422851303</v>
      </c>
    </row>
    <row r="2087" ht="15.75" customHeight="1">
      <c r="A2087" s="6">
        <v>11059.0</v>
      </c>
      <c r="B2087" s="7" t="s">
        <v>44</v>
      </c>
      <c r="C2087" s="24" t="str">
        <f>VLOOKUP(dynamic[customerID],customers[],2,FALSE)</f>
        <v>Ricardo Adocicados</v>
      </c>
      <c r="D2087" s="24">
        <v>45411.0</v>
      </c>
      <c r="E2087" s="6">
        <f>IFERROR(__xludf.DUMMYFUNCTION("COUNTUNIQUEIFS($A$2:$A2087,$B$2:$B2087,B2087)"),11.0)</f>
        <v>11</v>
      </c>
      <c r="F2087" s="6">
        <f t="shared" si="1"/>
        <v>80</v>
      </c>
      <c r="G2087" s="6" t="str">
        <f>IF(MINIFS(dynamic[orderDate], dynamic[customerID], B2087) &gt;= DATE(2024,4,30)-120, 
     "New", 
     IF(MAXIFS(dynamic[orderCount], dynamic[customerID], B2087)&lt;=2, 
        IF((DATE(2024,4,30) - MAXIFS(dynamic[orderDate], dynamic[customerID], B2087)) &gt; 180, "Non-Returning", "Dormant"), 
        IF(AND(MAX(dynamic[sinceLastOrder]) &gt; 365, (DATE(2024,4,30) - MAXIFS(dynamic[orderDate], dynamic[customerID], B2087)) &gt; 180), 
           "Dormant", "Regular")))</f>
        <v>Regular</v>
      </c>
      <c r="H2087" s="6">
        <v>13.0</v>
      </c>
      <c r="I2087" s="9" t="str">
        <f>VLOOKUP(dynamic[productID],products[],2,FALSE)</f>
        <v>Konbu</v>
      </c>
      <c r="J2087" s="9" t="str">
        <f>VLOOKUP(dynamic[productID],products[],12,FALSE)</f>
        <v>Seafood</v>
      </c>
      <c r="K2087" s="7" t="str">
        <f>IF(VLOOKUP(dynamic[productID],products[],7,FALSE)=1,"Discontinued","Current")</f>
        <v>Current</v>
      </c>
      <c r="L2087" s="9">
        <f>VLOOKUP(dynamic[productID],products[],IF(YEAR(dynamic[orderDate])=2022,8,IF(YEAR(dynamic[orderDate])=2023,9,IF(YEAR(dynamic[orderDate])=2024,10,NA))),FALSE)</f>
        <v>3.966387047</v>
      </c>
      <c r="M2087" s="9">
        <v>6.0</v>
      </c>
      <c r="N2087" s="25">
        <f>(dynamic[orderPrice]-dynamic[productCost])/dynamic[productCost]</f>
        <v>0.5127116768</v>
      </c>
      <c r="O2087" s="10">
        <v>30.0</v>
      </c>
      <c r="P2087" s="25">
        <v>0.0</v>
      </c>
      <c r="Q2087" s="9">
        <f>dynamic[orderPrice]*dynamic[orderQuantity]</f>
        <v>180</v>
      </c>
      <c r="R2087" s="9">
        <f>dynamic[orderTotal]*(1-dynamic[discountApllied])</f>
        <v>180</v>
      </c>
      <c r="S2087" s="9">
        <f>dynamic[revenue]-(dynamic[productCost]*dynamic[orderQuantity])</f>
        <v>61.0083886</v>
      </c>
      <c r="T2087" s="25">
        <f>IFERROR(dynamic[profit]/dynamic[revenue], 0)</f>
        <v>0.3389354922</v>
      </c>
    </row>
    <row r="2088" ht="15.75" customHeight="1">
      <c r="A2088" s="6">
        <v>11059.0</v>
      </c>
      <c r="B2088" s="7" t="s">
        <v>44</v>
      </c>
      <c r="C2088" s="24" t="str">
        <f>VLOOKUP(dynamic[customerID],customers[],2,FALSE)</f>
        <v>Ricardo Adocicados</v>
      </c>
      <c r="D2088" s="24">
        <v>45411.0</v>
      </c>
      <c r="E2088" s="6">
        <f>IFERROR(__xludf.DUMMYFUNCTION("COUNTUNIQUEIFS($A$2:$A2088,$B$2:$B2088,B2088)"),11.0)</f>
        <v>11</v>
      </c>
      <c r="F2088" s="6">
        <f t="shared" si="1"/>
        <v>80</v>
      </c>
      <c r="G2088" s="6" t="str">
        <f>IF(MINIFS(dynamic[orderDate], dynamic[customerID], B2088) &gt;= DATE(2024,4,30)-120, 
     "New", 
     IF(MAXIFS(dynamic[orderCount], dynamic[customerID], B2088)&lt;=2, 
        IF((DATE(2024,4,30) - MAXIFS(dynamic[orderDate], dynamic[customerID], B2088)) &gt; 180, "Non-Returning", "Dormant"), 
        IF(AND(MAX(dynamic[sinceLastOrder]) &gt; 365, (DATE(2024,4,30) - MAXIFS(dynamic[orderDate], dynamic[customerID], B2088)) &gt; 180), 
           "Dormant", "Regular")))</f>
        <v>Regular</v>
      </c>
      <c r="H2088" s="6">
        <v>17.0</v>
      </c>
      <c r="I2088" s="9" t="str">
        <f>VLOOKUP(dynamic[productID],products[],2,FALSE)</f>
        <v>Alice Mutton</v>
      </c>
      <c r="J2088" s="9" t="str">
        <f>VLOOKUP(dynamic[productID],products[],12,FALSE)</f>
        <v>Meat/Poultry</v>
      </c>
      <c r="K2088" s="7" t="str">
        <f>IF(VLOOKUP(dynamic[productID],products[],7,FALSE)=1,"Discontinued","Current")</f>
        <v>Discontinued</v>
      </c>
      <c r="L2088" s="9">
        <f>VLOOKUP(dynamic[productID],products[],IF(YEAR(dynamic[orderDate])=2022,8,IF(YEAR(dynamic[orderDate])=2023,9,IF(YEAR(dynamic[orderDate])=2024,10,NA))),FALSE)</f>
        <v>28.51916263</v>
      </c>
      <c r="M2088" s="9">
        <v>39.0</v>
      </c>
      <c r="N2088" s="25">
        <f>(dynamic[orderPrice]-dynamic[productCost])/dynamic[productCost]</f>
        <v>0.3675015816</v>
      </c>
      <c r="O2088" s="10">
        <v>12.0</v>
      </c>
      <c r="P2088" s="25">
        <v>0.0</v>
      </c>
      <c r="Q2088" s="9">
        <f>dynamic[orderPrice]*dynamic[orderQuantity]</f>
        <v>468</v>
      </c>
      <c r="R2088" s="9">
        <f>dynamic[orderTotal]*(1-dynamic[discountApllied])</f>
        <v>468</v>
      </c>
      <c r="S2088" s="9">
        <f>dynamic[revenue]-(dynamic[productCost]*dynamic[orderQuantity])</f>
        <v>125.7700485</v>
      </c>
      <c r="T2088" s="25">
        <f>IFERROR(dynamic[profit]/dynamic[revenue], 0)</f>
        <v>0.2687394198</v>
      </c>
    </row>
    <row r="2089" ht="15.75" customHeight="1">
      <c r="A2089" s="6">
        <v>11059.0</v>
      </c>
      <c r="B2089" s="7" t="s">
        <v>44</v>
      </c>
      <c r="C2089" s="24" t="str">
        <f>VLOOKUP(dynamic[customerID],customers[],2,FALSE)</f>
        <v>Ricardo Adocicados</v>
      </c>
      <c r="D2089" s="24">
        <v>45411.0</v>
      </c>
      <c r="E2089" s="6">
        <f>IFERROR(__xludf.DUMMYFUNCTION("COUNTUNIQUEIFS($A$2:$A2089,$B$2:$B2089,B2089)"),11.0)</f>
        <v>11</v>
      </c>
      <c r="F2089" s="6">
        <f t="shared" si="1"/>
        <v>80</v>
      </c>
      <c r="G2089" s="6" t="str">
        <f>IF(MINIFS(dynamic[orderDate], dynamic[customerID], B2089) &gt;= DATE(2024,4,30)-120, 
     "New", 
     IF(MAXIFS(dynamic[orderCount], dynamic[customerID], B2089)&lt;=2, 
        IF((DATE(2024,4,30) - MAXIFS(dynamic[orderDate], dynamic[customerID], B2089)) &gt; 180, "Non-Returning", "Dormant"), 
        IF(AND(MAX(dynamic[sinceLastOrder]) &gt; 365, (DATE(2024,4,30) - MAXIFS(dynamic[orderDate], dynamic[customerID], B2089)) &gt; 180), 
           "Dormant", "Regular")))</f>
        <v>Regular</v>
      </c>
      <c r="H2089" s="6">
        <v>60.0</v>
      </c>
      <c r="I2089" s="9" t="str">
        <f>VLOOKUP(dynamic[productID],products[],2,FALSE)</f>
        <v>Camembert Pierrot</v>
      </c>
      <c r="J2089" s="9" t="str">
        <f>VLOOKUP(dynamic[productID],products[],12,FALSE)</f>
        <v>Dairy Products</v>
      </c>
      <c r="K2089" s="7" t="str">
        <f>IF(VLOOKUP(dynamic[productID],products[],7,FALSE)=1,"Discontinued","Current")</f>
        <v>Current</v>
      </c>
      <c r="L2089" s="9">
        <f>VLOOKUP(dynamic[productID],products[],IF(YEAR(dynamic[orderDate])=2022,8,IF(YEAR(dynamic[orderDate])=2023,9,IF(YEAR(dynamic[orderDate])=2024,10,NA))),FALSE)</f>
        <v>22.49091154</v>
      </c>
      <c r="M2089" s="9">
        <v>34.0</v>
      </c>
      <c r="N2089" s="25">
        <f>(dynamic[orderPrice]-dynamic[productCost])/dynamic[productCost]</f>
        <v>0.5117217431</v>
      </c>
      <c r="O2089" s="10">
        <v>35.0</v>
      </c>
      <c r="P2089" s="25">
        <v>0.0</v>
      </c>
      <c r="Q2089" s="9">
        <f>dynamic[orderPrice]*dynamic[orderQuantity]</f>
        <v>1190</v>
      </c>
      <c r="R2089" s="9">
        <f>dynamic[orderTotal]*(1-dynamic[discountApllied])</f>
        <v>1190</v>
      </c>
      <c r="S2089" s="9">
        <f>dynamic[revenue]-(dynamic[productCost]*dynamic[orderQuantity])</f>
        <v>402.818096</v>
      </c>
      <c r="T2089" s="25">
        <f>IFERROR(dynamic[profit]/dynamic[revenue], 0)</f>
        <v>0.3385026017</v>
      </c>
    </row>
    <row r="2090" ht="15.75" customHeight="1">
      <c r="A2090" s="6">
        <v>11060.0</v>
      </c>
      <c r="B2090" s="7" t="s">
        <v>85</v>
      </c>
      <c r="C2090" s="24" t="str">
        <f>VLOOKUP(dynamic[customerID],customers[],2,FALSE)</f>
        <v>Franchi S.p.A.</v>
      </c>
      <c r="D2090" s="24">
        <v>45412.0</v>
      </c>
      <c r="E2090" s="6">
        <f>IFERROR(__xludf.DUMMYFUNCTION("COUNTUNIQUEIFS($A$2:$A2090,$B$2:$B2090,B2090)"),6.0)</f>
        <v>6</v>
      </c>
      <c r="F2090" s="6">
        <f t="shared" si="1"/>
        <v>15</v>
      </c>
      <c r="G2090" s="6" t="str">
        <f>IF(MINIFS(dynamic[orderDate], dynamic[customerID], B2090) &gt;= DATE(2024,4,30)-120, 
     "New", 
     IF(MAXIFS(dynamic[orderCount], dynamic[customerID], B2090)&lt;=2, 
        IF((DATE(2024,4,30) - MAXIFS(dynamic[orderDate], dynamic[customerID], B2090)) &gt; 180, "Non-Returning", "Dormant"), 
        IF(AND(MAX(dynamic[sinceLastOrder]) &gt; 365, (DATE(2024,4,30) - MAXIFS(dynamic[orderDate], dynamic[customerID], B2090)) &gt; 180), 
           "Dormant", "Regular")))</f>
        <v>Regular</v>
      </c>
      <c r="H2090" s="6">
        <v>60.0</v>
      </c>
      <c r="I2090" s="9" t="str">
        <f>VLOOKUP(dynamic[productID],products[],2,FALSE)</f>
        <v>Camembert Pierrot</v>
      </c>
      <c r="J2090" s="9" t="str">
        <f>VLOOKUP(dynamic[productID],products[],12,FALSE)</f>
        <v>Dairy Products</v>
      </c>
      <c r="K2090" s="7" t="str">
        <f>IF(VLOOKUP(dynamic[productID],products[],7,FALSE)=1,"Discontinued","Current")</f>
        <v>Current</v>
      </c>
      <c r="L2090" s="9">
        <f>VLOOKUP(dynamic[productID],products[],IF(YEAR(dynamic[orderDate])=2022,8,IF(YEAR(dynamic[orderDate])=2023,9,IF(YEAR(dynamic[orderDate])=2024,10,NA))),FALSE)</f>
        <v>22.49091154</v>
      </c>
      <c r="M2090" s="9">
        <v>34.0</v>
      </c>
      <c r="N2090" s="25">
        <f>(dynamic[orderPrice]-dynamic[productCost])/dynamic[productCost]</f>
        <v>0.5117217431</v>
      </c>
      <c r="O2090" s="10">
        <v>4.0</v>
      </c>
      <c r="P2090" s="25">
        <v>0.0</v>
      </c>
      <c r="Q2090" s="9">
        <f>dynamic[orderPrice]*dynamic[orderQuantity]</f>
        <v>136</v>
      </c>
      <c r="R2090" s="9">
        <f>dynamic[orderTotal]*(1-dynamic[discountApllied])</f>
        <v>136</v>
      </c>
      <c r="S2090" s="9">
        <f>dynamic[revenue]-(dynamic[productCost]*dynamic[orderQuantity])</f>
        <v>46.03635383</v>
      </c>
      <c r="T2090" s="25">
        <f>IFERROR(dynamic[profit]/dynamic[revenue], 0)</f>
        <v>0.3385026017</v>
      </c>
    </row>
    <row r="2091" ht="15.75" customHeight="1">
      <c r="A2091" s="6">
        <v>11060.0</v>
      </c>
      <c r="B2091" s="7" t="s">
        <v>85</v>
      </c>
      <c r="C2091" s="24" t="str">
        <f>VLOOKUP(dynamic[customerID],customers[],2,FALSE)</f>
        <v>Franchi S.p.A.</v>
      </c>
      <c r="D2091" s="24">
        <v>45412.0</v>
      </c>
      <c r="E2091" s="6">
        <f>IFERROR(__xludf.DUMMYFUNCTION("COUNTUNIQUEIFS($A$2:$A2091,$B$2:$B2091,B2091)"),6.0)</f>
        <v>6</v>
      </c>
      <c r="F2091" s="6">
        <f t="shared" si="1"/>
        <v>15</v>
      </c>
      <c r="G2091" s="6" t="str">
        <f>IF(MINIFS(dynamic[orderDate], dynamic[customerID], B2091) &gt;= DATE(2024,4,30)-120, 
     "New", 
     IF(MAXIFS(dynamic[orderCount], dynamic[customerID], B2091)&lt;=2, 
        IF((DATE(2024,4,30) - MAXIFS(dynamic[orderDate], dynamic[customerID], B2091)) &gt; 180, "Non-Returning", "Dormant"), 
        IF(AND(MAX(dynamic[sinceLastOrder]) &gt; 365, (DATE(2024,4,30) - MAXIFS(dynamic[orderDate], dynamic[customerID], B2091)) &gt; 180), 
           "Dormant", "Regular")))</f>
        <v>Regular</v>
      </c>
      <c r="H2091" s="6">
        <v>77.0</v>
      </c>
      <c r="I2091" s="9" t="str">
        <f>VLOOKUP(dynamic[productID],products[],2,FALSE)</f>
        <v>Original Frankfurter grüne Soße</v>
      </c>
      <c r="J2091" s="9" t="str">
        <f>VLOOKUP(dynamic[productID],products[],12,FALSE)</f>
        <v>Condiments</v>
      </c>
      <c r="K2091" s="7" t="str">
        <f>IF(VLOOKUP(dynamic[productID],products[],7,FALSE)=1,"Discontinued","Current")</f>
        <v>Current</v>
      </c>
      <c r="L2091" s="9">
        <f>VLOOKUP(dynamic[productID],products[],IF(YEAR(dynamic[orderDate])=2022,8,IF(YEAR(dynamic[orderDate])=2023,9,IF(YEAR(dynamic[orderDate])=2024,10,NA))),FALSE)</f>
        <v>9.299025151</v>
      </c>
      <c r="M2091" s="9">
        <v>13.0</v>
      </c>
      <c r="N2091" s="25">
        <f>(dynamic[orderPrice]-dynamic[productCost])/dynamic[productCost]</f>
        <v>0.3979960037</v>
      </c>
      <c r="O2091" s="10">
        <v>10.0</v>
      </c>
      <c r="P2091" s="25">
        <v>0.0</v>
      </c>
      <c r="Q2091" s="9">
        <f>dynamic[orderPrice]*dynamic[orderQuantity]</f>
        <v>130</v>
      </c>
      <c r="R2091" s="9">
        <f>dynamic[orderTotal]*(1-dynamic[discountApllied])</f>
        <v>130</v>
      </c>
      <c r="S2091" s="9">
        <f>dynamic[revenue]-(dynamic[productCost]*dynamic[orderQuantity])</f>
        <v>37.00974849</v>
      </c>
      <c r="T2091" s="25">
        <f>IFERROR(dynamic[profit]/dynamic[revenue], 0)</f>
        <v>0.284690373</v>
      </c>
    </row>
    <row r="2092" ht="15.75" customHeight="1">
      <c r="A2092" s="6">
        <v>11061.0</v>
      </c>
      <c r="B2092" s="7" t="s">
        <v>94</v>
      </c>
      <c r="C2092" s="24" t="str">
        <f>VLOOKUP(dynamic[customerID],customers[],2,FALSE)</f>
        <v>Great Lakes Food Market</v>
      </c>
      <c r="D2092" s="24">
        <v>45412.0</v>
      </c>
      <c r="E2092" s="6">
        <f>IFERROR(__xludf.DUMMYFUNCTION("COUNTUNIQUEIFS($A$2:$A2092,$B$2:$B2092,B2092)"),11.0)</f>
        <v>11</v>
      </c>
      <c r="F2092" s="6">
        <f t="shared" si="1"/>
        <v>8</v>
      </c>
      <c r="G2092" s="6" t="str">
        <f>IF(MINIFS(dynamic[orderDate], dynamic[customerID], B2092) &gt;= DATE(2024,4,30)-120, 
     "New", 
     IF(MAXIFS(dynamic[orderCount], dynamic[customerID], B2092)&lt;=2, 
        IF((DATE(2024,4,30) - MAXIFS(dynamic[orderDate], dynamic[customerID], B2092)) &gt; 180, "Non-Returning", "Dormant"), 
        IF(AND(MAX(dynamic[sinceLastOrder]) &gt; 365, (DATE(2024,4,30) - MAXIFS(dynamic[orderDate], dynamic[customerID], B2092)) &gt; 180), 
           "Dormant", "Regular")))</f>
        <v>Regular</v>
      </c>
      <c r="H2092" s="6">
        <v>60.0</v>
      </c>
      <c r="I2092" s="9" t="str">
        <f>VLOOKUP(dynamic[productID],products[],2,FALSE)</f>
        <v>Camembert Pierrot</v>
      </c>
      <c r="J2092" s="9" t="str">
        <f>VLOOKUP(dynamic[productID],products[],12,FALSE)</f>
        <v>Dairy Products</v>
      </c>
      <c r="K2092" s="7" t="str">
        <f>IF(VLOOKUP(dynamic[productID],products[],7,FALSE)=1,"Discontinued","Current")</f>
        <v>Current</v>
      </c>
      <c r="L2092" s="9">
        <f>VLOOKUP(dynamic[productID],products[],IF(YEAR(dynamic[orderDate])=2022,8,IF(YEAR(dynamic[orderDate])=2023,9,IF(YEAR(dynamic[orderDate])=2024,10,NA))),FALSE)</f>
        <v>22.49091154</v>
      </c>
      <c r="M2092" s="9">
        <v>34.0</v>
      </c>
      <c r="N2092" s="25">
        <f>(dynamic[orderPrice]-dynamic[productCost])/dynamic[productCost]</f>
        <v>0.5117217431</v>
      </c>
      <c r="O2092" s="10">
        <v>15.0</v>
      </c>
      <c r="P2092" s="25">
        <v>0.0</v>
      </c>
      <c r="Q2092" s="9">
        <f>dynamic[orderPrice]*dynamic[orderQuantity]</f>
        <v>510</v>
      </c>
      <c r="R2092" s="9">
        <f>dynamic[orderTotal]*(1-dynamic[discountApllied])</f>
        <v>510</v>
      </c>
      <c r="S2092" s="9">
        <f>dynamic[revenue]-(dynamic[productCost]*dynamic[orderQuantity])</f>
        <v>172.6363269</v>
      </c>
      <c r="T2092" s="25">
        <f>IFERROR(dynamic[profit]/dynamic[revenue], 0)</f>
        <v>0.3385026017</v>
      </c>
    </row>
    <row r="2093" ht="15.75" customHeight="1">
      <c r="A2093" s="6">
        <v>11062.0</v>
      </c>
      <c r="B2093" s="7" t="s">
        <v>45</v>
      </c>
      <c r="C2093" s="24" t="str">
        <f>VLOOKUP(dynamic[customerID],customers[],2,FALSE)</f>
        <v>Reggiani Caseifici</v>
      </c>
      <c r="D2093" s="24">
        <v>45412.0</v>
      </c>
      <c r="E2093" s="6">
        <f>IFERROR(__xludf.DUMMYFUNCTION("COUNTUNIQUEIFS($A$2:$A2093,$B$2:$B2093,B2093)"),12.0)</f>
        <v>12</v>
      </c>
      <c r="F2093" s="6">
        <f t="shared" si="1"/>
        <v>21</v>
      </c>
      <c r="G2093" s="6" t="str">
        <f>IF(MINIFS(dynamic[orderDate], dynamic[customerID], B2093) &gt;= DATE(2024,4,30)-120, 
     "New", 
     IF(MAXIFS(dynamic[orderCount], dynamic[customerID], B2093)&lt;=2, 
        IF((DATE(2024,4,30) - MAXIFS(dynamic[orderDate], dynamic[customerID], B2093)) &gt; 180, "Non-Returning", "Dormant"), 
        IF(AND(MAX(dynamic[sinceLastOrder]) &gt; 365, (DATE(2024,4,30) - MAXIFS(dynamic[orderDate], dynamic[customerID], B2093)) &gt; 180), 
           "Dormant", "Regular")))</f>
        <v>Regular</v>
      </c>
      <c r="H2093" s="6">
        <v>53.0</v>
      </c>
      <c r="I2093" s="9" t="str">
        <f>VLOOKUP(dynamic[productID],products[],2,FALSE)</f>
        <v>Perth Pasties</v>
      </c>
      <c r="J2093" s="9" t="str">
        <f>VLOOKUP(dynamic[productID],products[],12,FALSE)</f>
        <v>Meat/Poultry</v>
      </c>
      <c r="K2093" s="7" t="str">
        <f>IF(VLOOKUP(dynamic[productID],products[],7,FALSE)=1,"Discontinued","Current")</f>
        <v>Discontinued</v>
      </c>
      <c r="L2093" s="9">
        <f>VLOOKUP(dynamic[productID],products[],IF(YEAR(dynamic[orderDate])=2022,8,IF(YEAR(dynamic[orderDate])=2023,9,IF(YEAR(dynamic[orderDate])=2024,10,NA))),FALSE)</f>
        <v>22.92637057</v>
      </c>
      <c r="M2093" s="9">
        <v>32.8</v>
      </c>
      <c r="N2093" s="25">
        <f>(dynamic[orderPrice]-dynamic[productCost])/dynamic[productCost]</f>
        <v>0.4306669216</v>
      </c>
      <c r="O2093" s="10">
        <v>10.0</v>
      </c>
      <c r="P2093" s="25">
        <v>0.2</v>
      </c>
      <c r="Q2093" s="9">
        <f>dynamic[orderPrice]*dynamic[orderQuantity]</f>
        <v>328</v>
      </c>
      <c r="R2093" s="9">
        <f>dynamic[orderTotal]*(1-dynamic[discountApllied])</f>
        <v>262.4</v>
      </c>
      <c r="S2093" s="9">
        <f>dynamic[revenue]-(dynamic[productCost]*dynamic[orderQuantity])</f>
        <v>33.13629435</v>
      </c>
      <c r="T2093" s="25">
        <f>IFERROR(dynamic[profit]/dynamic[revenue], 0)</f>
        <v>0.1262816096</v>
      </c>
    </row>
    <row r="2094" ht="15.75" customHeight="1">
      <c r="A2094" s="6">
        <v>11062.0</v>
      </c>
      <c r="B2094" s="7" t="s">
        <v>45</v>
      </c>
      <c r="C2094" s="24" t="str">
        <f>VLOOKUP(dynamic[customerID],customers[],2,FALSE)</f>
        <v>Reggiani Caseifici</v>
      </c>
      <c r="D2094" s="24">
        <v>45412.0</v>
      </c>
      <c r="E2094" s="6">
        <f>IFERROR(__xludf.DUMMYFUNCTION("COUNTUNIQUEIFS($A$2:$A2094,$B$2:$B2094,B2094)"),12.0)</f>
        <v>12</v>
      </c>
      <c r="F2094" s="6">
        <f t="shared" si="1"/>
        <v>21</v>
      </c>
      <c r="G2094" s="6" t="str">
        <f>IF(MINIFS(dynamic[orderDate], dynamic[customerID], B2094) &gt;= DATE(2024,4,30)-120, 
     "New", 
     IF(MAXIFS(dynamic[orderCount], dynamic[customerID], B2094)&lt;=2, 
        IF((DATE(2024,4,30) - MAXIFS(dynamic[orderDate], dynamic[customerID], B2094)) &gt; 180, "Non-Returning", "Dormant"), 
        IF(AND(MAX(dynamic[sinceLastOrder]) &gt; 365, (DATE(2024,4,30) - MAXIFS(dynamic[orderDate], dynamic[customerID], B2094)) &gt; 180), 
           "Dormant", "Regular")))</f>
        <v>Regular</v>
      </c>
      <c r="H2094" s="6">
        <v>70.0</v>
      </c>
      <c r="I2094" s="9" t="str">
        <f>VLOOKUP(dynamic[productID],products[],2,FALSE)</f>
        <v>Outback Lager</v>
      </c>
      <c r="J2094" s="9" t="str">
        <f>VLOOKUP(dynamic[productID],products[],12,FALSE)</f>
        <v>Beverages</v>
      </c>
      <c r="K2094" s="7" t="str">
        <f>IF(VLOOKUP(dynamic[productID],products[],7,FALSE)=1,"Discontinued","Current")</f>
        <v>Current</v>
      </c>
      <c r="L2094" s="9">
        <f>VLOOKUP(dynamic[productID],products[],IF(YEAR(dynamic[orderDate])=2022,8,IF(YEAR(dynamic[orderDate])=2023,9,IF(YEAR(dynamic[orderDate])=2024,10,NA))),FALSE)</f>
        <v>10.03280812</v>
      </c>
      <c r="M2094" s="9">
        <v>15.0</v>
      </c>
      <c r="N2094" s="25">
        <f>(dynamic[orderPrice]-dynamic[productCost])/dynamic[productCost]</f>
        <v>0.4950948747</v>
      </c>
      <c r="O2094" s="10">
        <v>12.0</v>
      </c>
      <c r="P2094" s="25">
        <v>0.2</v>
      </c>
      <c r="Q2094" s="9">
        <f>dynamic[orderPrice]*dynamic[orderQuantity]</f>
        <v>180</v>
      </c>
      <c r="R2094" s="9">
        <f>dynamic[orderTotal]*(1-dynamic[discountApllied])</f>
        <v>144</v>
      </c>
      <c r="S2094" s="9">
        <f>dynamic[revenue]-(dynamic[productCost]*dynamic[orderQuantity])</f>
        <v>23.60630255</v>
      </c>
      <c r="T2094" s="25">
        <f>IFERROR(dynamic[profit]/dynamic[revenue], 0)</f>
        <v>0.1639326566</v>
      </c>
    </row>
    <row r="2095" ht="15.75" customHeight="1">
      <c r="A2095" s="6">
        <v>11063.0</v>
      </c>
      <c r="B2095" s="7" t="s">
        <v>49</v>
      </c>
      <c r="C2095" s="24" t="str">
        <f>VLOOKUP(dynamic[customerID],customers[],2,FALSE)</f>
        <v>Hungry Owl All-Night Grocers</v>
      </c>
      <c r="D2095" s="24">
        <v>45412.0</v>
      </c>
      <c r="E2095" s="6">
        <f>IFERROR(__xludf.DUMMYFUNCTION("COUNTUNIQUEIFS($A$2:$A2095,$B$2:$B2095,B2095)"),19.0)</f>
        <v>19</v>
      </c>
      <c r="F2095" s="6">
        <f t="shared" si="1"/>
        <v>31</v>
      </c>
      <c r="G2095" s="6" t="str">
        <f>IF(MINIFS(dynamic[orderDate], dynamic[customerID], B2095) &gt;= DATE(2024,4,30)-120, 
     "New", 
     IF(MAXIFS(dynamic[orderCount], dynamic[customerID], B2095)&lt;=2, 
        IF((DATE(2024,4,30) - MAXIFS(dynamic[orderDate], dynamic[customerID], B2095)) &gt; 180, "Non-Returning", "Dormant"), 
        IF(AND(MAX(dynamic[sinceLastOrder]) &gt; 365, (DATE(2024,4,30) - MAXIFS(dynamic[orderDate], dynamic[customerID], B2095)) &gt; 180), 
           "Dormant", "Regular")))</f>
        <v>Regular</v>
      </c>
      <c r="H2095" s="6">
        <v>34.0</v>
      </c>
      <c r="I2095" s="9" t="str">
        <f>VLOOKUP(dynamic[productID],products[],2,FALSE)</f>
        <v>Sasquatch Ale</v>
      </c>
      <c r="J2095" s="9" t="str">
        <f>VLOOKUP(dynamic[productID],products[],12,FALSE)</f>
        <v>Beverages</v>
      </c>
      <c r="K2095" s="7" t="str">
        <f>IF(VLOOKUP(dynamic[productID],products[],7,FALSE)=1,"Discontinued","Current")</f>
        <v>Current</v>
      </c>
      <c r="L2095" s="9">
        <f>VLOOKUP(dynamic[productID],products[],IF(YEAR(dynamic[orderDate])=2022,8,IF(YEAR(dynamic[orderDate])=2023,9,IF(YEAR(dynamic[orderDate])=2024,10,NA))),FALSE)</f>
        <v>10.07231561</v>
      </c>
      <c r="M2095" s="9">
        <v>14.0</v>
      </c>
      <c r="N2095" s="25">
        <f>(dynamic[orderPrice]-dynamic[productCost])/dynamic[productCost]</f>
        <v>0.389948503</v>
      </c>
      <c r="O2095" s="10">
        <v>30.0</v>
      </c>
      <c r="P2095" s="25">
        <v>0.0</v>
      </c>
      <c r="Q2095" s="9">
        <f>dynamic[orderPrice]*dynamic[orderQuantity]</f>
        <v>420</v>
      </c>
      <c r="R2095" s="9">
        <f>dynamic[orderTotal]*(1-dynamic[discountApllied])</f>
        <v>420</v>
      </c>
      <c r="S2095" s="9">
        <f>dynamic[revenue]-(dynamic[productCost]*dynamic[orderQuantity])</f>
        <v>117.8305318</v>
      </c>
      <c r="T2095" s="25">
        <f>IFERROR(dynamic[profit]/dynamic[revenue], 0)</f>
        <v>0.2805488852</v>
      </c>
    </row>
    <row r="2096" ht="15.75" customHeight="1">
      <c r="A2096" s="6">
        <v>11063.0</v>
      </c>
      <c r="B2096" s="7" t="s">
        <v>49</v>
      </c>
      <c r="C2096" s="24" t="str">
        <f>VLOOKUP(dynamic[customerID],customers[],2,FALSE)</f>
        <v>Hungry Owl All-Night Grocers</v>
      </c>
      <c r="D2096" s="24">
        <v>45412.0</v>
      </c>
      <c r="E2096" s="6">
        <f>IFERROR(__xludf.DUMMYFUNCTION("COUNTUNIQUEIFS($A$2:$A2096,$B$2:$B2096,B2096)"),19.0)</f>
        <v>19</v>
      </c>
      <c r="F2096" s="6">
        <f t="shared" si="1"/>
        <v>31</v>
      </c>
      <c r="G2096" s="6" t="str">
        <f>IF(MINIFS(dynamic[orderDate], dynamic[customerID], B2096) &gt;= DATE(2024,4,30)-120, 
     "New", 
     IF(MAXIFS(dynamic[orderCount], dynamic[customerID], B2096)&lt;=2, 
        IF((DATE(2024,4,30) - MAXIFS(dynamic[orderDate], dynamic[customerID], B2096)) &gt; 180, "Non-Returning", "Dormant"), 
        IF(AND(MAX(dynamic[sinceLastOrder]) &gt; 365, (DATE(2024,4,30) - MAXIFS(dynamic[orderDate], dynamic[customerID], B2096)) &gt; 180), 
           "Dormant", "Regular")))</f>
        <v>Regular</v>
      </c>
      <c r="H2096" s="6">
        <v>40.0</v>
      </c>
      <c r="I2096" s="9" t="str">
        <f>VLOOKUP(dynamic[productID],products[],2,FALSE)</f>
        <v>Boston Crab Meat</v>
      </c>
      <c r="J2096" s="9" t="str">
        <f>VLOOKUP(dynamic[productID],products[],12,FALSE)</f>
        <v>Seafood</v>
      </c>
      <c r="K2096" s="7" t="str">
        <f>IF(VLOOKUP(dynamic[productID],products[],7,FALSE)=1,"Discontinued","Current")</f>
        <v>Current</v>
      </c>
      <c r="L2096" s="9">
        <f>VLOOKUP(dynamic[productID],products[],IF(YEAR(dynamic[orderDate])=2022,8,IF(YEAR(dynamic[orderDate])=2023,9,IF(YEAR(dynamic[orderDate])=2024,10,NA))),FALSE)</f>
        <v>12.44307</v>
      </c>
      <c r="M2096" s="9">
        <v>18.4</v>
      </c>
      <c r="N2096" s="25">
        <f>(dynamic[orderPrice]-dynamic[productCost])/dynamic[productCost]</f>
        <v>0.4787347499</v>
      </c>
      <c r="O2096" s="10">
        <v>40.0</v>
      </c>
      <c r="P2096" s="25">
        <v>0.1</v>
      </c>
      <c r="Q2096" s="9">
        <f>dynamic[orderPrice]*dynamic[orderQuantity]</f>
        <v>736</v>
      </c>
      <c r="R2096" s="9">
        <f>dynamic[orderTotal]*(1-dynamic[discountApllied])</f>
        <v>662.4</v>
      </c>
      <c r="S2096" s="9">
        <f>dynamic[revenue]-(dynamic[productCost]*dynamic[orderQuantity])</f>
        <v>164.6772001</v>
      </c>
      <c r="T2096" s="25">
        <f>IFERROR(dynamic[profit]/dynamic[revenue], 0)</f>
        <v>0.2486068842</v>
      </c>
    </row>
    <row r="2097" ht="15.75" customHeight="1">
      <c r="A2097" s="6">
        <v>11063.0</v>
      </c>
      <c r="B2097" s="7" t="s">
        <v>49</v>
      </c>
      <c r="C2097" s="24" t="str">
        <f>VLOOKUP(dynamic[customerID],customers[],2,FALSE)</f>
        <v>Hungry Owl All-Night Grocers</v>
      </c>
      <c r="D2097" s="24">
        <v>45412.0</v>
      </c>
      <c r="E2097" s="6">
        <f>IFERROR(__xludf.DUMMYFUNCTION("COUNTUNIQUEIFS($A$2:$A2097,$B$2:$B2097,B2097)"),19.0)</f>
        <v>19</v>
      </c>
      <c r="F2097" s="6">
        <f t="shared" si="1"/>
        <v>31</v>
      </c>
      <c r="G2097" s="6" t="str">
        <f>IF(MINIFS(dynamic[orderDate], dynamic[customerID], B2097) &gt;= DATE(2024,4,30)-120, 
     "New", 
     IF(MAXIFS(dynamic[orderCount], dynamic[customerID], B2097)&lt;=2, 
        IF((DATE(2024,4,30) - MAXIFS(dynamic[orderDate], dynamic[customerID], B2097)) &gt; 180, "Non-Returning", "Dormant"), 
        IF(AND(MAX(dynamic[sinceLastOrder]) &gt; 365, (DATE(2024,4,30) - MAXIFS(dynamic[orderDate], dynamic[customerID], B2097)) &gt; 180), 
           "Dormant", "Regular")))</f>
        <v>Regular</v>
      </c>
      <c r="H2097" s="6">
        <v>41.0</v>
      </c>
      <c r="I2097" s="9" t="str">
        <f>VLOOKUP(dynamic[productID],products[],2,FALSE)</f>
        <v>Jack's New England Clam Chowder</v>
      </c>
      <c r="J2097" s="9" t="str">
        <f>VLOOKUP(dynamic[productID],products[],12,FALSE)</f>
        <v>Seafood</v>
      </c>
      <c r="K2097" s="7" t="str">
        <f>IF(VLOOKUP(dynamic[productID],products[],7,FALSE)=1,"Discontinued","Current")</f>
        <v>Current</v>
      </c>
      <c r="L2097" s="9">
        <f>VLOOKUP(dynamic[productID],products[],IF(YEAR(dynamic[orderDate])=2022,8,IF(YEAR(dynamic[orderDate])=2023,9,IF(YEAR(dynamic[orderDate])=2024,10,NA))),FALSE)</f>
        <v>6.611787882</v>
      </c>
      <c r="M2097" s="9">
        <v>9.65</v>
      </c>
      <c r="N2097" s="25">
        <f>(dynamic[orderPrice]-dynamic[productCost])/dynamic[productCost]</f>
        <v>0.459514457</v>
      </c>
      <c r="O2097" s="10">
        <v>30.0</v>
      </c>
      <c r="P2097" s="25">
        <v>0.1</v>
      </c>
      <c r="Q2097" s="9">
        <f>dynamic[orderPrice]*dynamic[orderQuantity]</f>
        <v>289.5</v>
      </c>
      <c r="R2097" s="9">
        <f>dynamic[orderTotal]*(1-dynamic[discountApllied])</f>
        <v>260.55</v>
      </c>
      <c r="S2097" s="9">
        <f>dynamic[revenue]-(dynamic[productCost]*dynamic[orderQuantity])</f>
        <v>62.19636354</v>
      </c>
      <c r="T2097" s="25">
        <f>IFERROR(dynamic[profit]/dynamic[revenue], 0)</f>
        <v>0.2387118156</v>
      </c>
    </row>
  </sheetData>
  <dataValidations>
    <dataValidation type="custom" allowBlank="1" showDropDown="1" sqref="D2:D2097">
      <formula1>OR(NOT(ISERROR(DATEVALUE(D2))), AND(ISNUMBER(D2), LEFT(CELL("format", D2))="D"))</formula1>
    </dataValidation>
    <dataValidation type="custom" allowBlank="1" showDropDown="1" sqref="A2:A2097 H2:H2097 M2:N2097 P2:P2097 T2:T2097">
      <formula1>AND(ISNUMBER(A2),(NOT(OR(NOT(ISERROR(DATEVALUE(A2))), AND(ISNUMBER(A2), LEFT(CELL("format", A2))="D")))))</formula1>
    </dataValidation>
    <dataValidation allowBlank="1" showDropDown="1" sqref="B2:B2097 K2:K2097"/>
  </dataValidations>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4.67"/>
    <col customWidth="1" min="3" max="3" width="16.78"/>
    <col customWidth="1" min="4" max="5" width="16.33"/>
    <col customWidth="1" min="6" max="6" width="15.56"/>
    <col customWidth="1" min="7" max="7" width="35.33"/>
    <col customWidth="1" min="8" max="11" width="14.89"/>
    <col customWidth="1" min="12" max="12" width="14.56"/>
    <col customWidth="1" min="13" max="14" width="15.22"/>
    <col customWidth="1" min="15" max="15" width="18.44"/>
    <col customWidth="1" min="16" max="16" width="15.22"/>
    <col customWidth="1" min="17" max="17" width="18.0"/>
    <col customWidth="1" min="18" max="18" width="15.11"/>
  </cols>
  <sheetData>
    <row r="1" ht="22.5" customHeight="1">
      <c r="A1" s="1" t="s">
        <v>0</v>
      </c>
      <c r="B1" s="3" t="s">
        <v>2</v>
      </c>
      <c r="C1" s="3" t="s">
        <v>3</v>
      </c>
      <c r="D1" s="3" t="s">
        <v>4</v>
      </c>
      <c r="E1" s="4" t="s">
        <v>5</v>
      </c>
      <c r="F1" s="2" t="s">
        <v>6</v>
      </c>
      <c r="G1" s="4" t="s">
        <v>104</v>
      </c>
      <c r="H1" s="4" t="s">
        <v>926</v>
      </c>
      <c r="I1" s="4" t="s">
        <v>933</v>
      </c>
      <c r="J1" s="4" t="s">
        <v>934</v>
      </c>
      <c r="K1" s="4" t="s">
        <v>108</v>
      </c>
      <c r="L1" s="2" t="s">
        <v>8</v>
      </c>
      <c r="M1" s="4" t="s">
        <v>922</v>
      </c>
      <c r="N1" s="4" t="s">
        <v>923</v>
      </c>
      <c r="O1" s="4" t="s">
        <v>935</v>
      </c>
      <c r="P1" s="5" t="s">
        <v>10</v>
      </c>
      <c r="Q1" s="2" t="s">
        <v>11</v>
      </c>
      <c r="R1" s="2" t="s">
        <v>936</v>
      </c>
    </row>
    <row r="2" ht="22.5" customHeight="1">
      <c r="A2" s="6">
        <v>10248.0</v>
      </c>
      <c r="B2" s="24">
        <v>44746.0</v>
      </c>
      <c r="C2" s="24">
        <v>44774.0</v>
      </c>
      <c r="D2" s="24">
        <v>44758.0</v>
      </c>
      <c r="E2" s="24">
        <v>44766.0</v>
      </c>
      <c r="F2" s="6">
        <v>11.0</v>
      </c>
      <c r="G2" s="9" t="str">
        <f>VLOOKUP(operations[productID],products[],2,FALSE)</f>
        <v>Queso Cabrales</v>
      </c>
      <c r="H2" s="9" t="str">
        <f>IF(VLOOKUP(operations[productID],products[],7,FALSE)=1,"Discontinued","Current")</f>
        <v>Current</v>
      </c>
      <c r="I2" s="6">
        <f>VLOOKUP(operations[productID],products[],4,FALSE)</f>
        <v>22</v>
      </c>
      <c r="J2" s="6">
        <f>VLOOKUP(operations[productID],products[],5,FALSE)</f>
        <v>30</v>
      </c>
      <c r="K2" s="6">
        <f>VLOOKUP(operations[productID],products[],6,FALSE)</f>
        <v>30</v>
      </c>
      <c r="L2" s="10">
        <f t="array" ref="L2">INDEX('1 orders'!I2:I2156, MATCH(1, ('1 orders'!A2:A2156=A2)*('1 orders'!G2:G2156=F2), 0))
</f>
        <v>12</v>
      </c>
      <c r="M2" s="10">
        <f>IFERROR(__xludf.DUMMYFUNCTION("COUNTUNIQUEIFS($A$2:$A2,$F$2:$F2,F2)"),1.0)</f>
        <v>1</v>
      </c>
      <c r="N2" s="10">
        <f t="shared" ref="N2:N2156" si="1">IF(M2=1, 0, B2 - INDEX($B$2:$B2,MATCH(1, ($F$2:$F2=F2)*($M$2:$M2=M2-1), 0)))</f>
        <v>0</v>
      </c>
      <c r="O2" s="26">
        <f>IF(operations[sinceLastOrder]=0,0,operations[orderQuantity] / operations[sinceLastOrder])</f>
        <v>0</v>
      </c>
      <c r="P2" s="9">
        <v>32.38</v>
      </c>
      <c r="Q2" s="7" t="s">
        <v>13</v>
      </c>
      <c r="R2" s="10">
        <f>operations[arrivedDate]-operations[shippedDate]</f>
        <v>8</v>
      </c>
    </row>
    <row r="3" ht="22.5" customHeight="1">
      <c r="A3" s="6">
        <v>10248.0</v>
      </c>
      <c r="B3" s="24">
        <v>44746.0</v>
      </c>
      <c r="C3" s="24">
        <v>44774.0</v>
      </c>
      <c r="D3" s="24">
        <v>44758.0</v>
      </c>
      <c r="E3" s="24">
        <v>44766.0</v>
      </c>
      <c r="F3" s="6">
        <v>42.0</v>
      </c>
      <c r="G3" s="9" t="str">
        <f>VLOOKUP(operations[productID],products[],2,FALSE)</f>
        <v>Singaporean Hokkien Fried Mee</v>
      </c>
      <c r="H3" s="9" t="str">
        <f>IF(VLOOKUP(operations[productID],products[],7,FALSE)=1,"Discontinued","Current")</f>
        <v>Discontinued</v>
      </c>
      <c r="I3" s="6">
        <f>VLOOKUP(operations[productID],products[],4,FALSE)</f>
        <v>26</v>
      </c>
      <c r="J3" s="6">
        <f>VLOOKUP(operations[productID],products[],5,FALSE)</f>
        <v>0</v>
      </c>
      <c r="K3" s="6">
        <f>VLOOKUP(operations[productID],products[],6,FALSE)</f>
        <v>0</v>
      </c>
      <c r="L3" s="10">
        <f t="array" ref="L3">INDEX('1 orders'!I3:I2156, MATCH(1, ('1 orders'!A3:A2156=A3)*('1 orders'!G3:G2156=F3), 0))
</f>
        <v>10</v>
      </c>
      <c r="M3" s="10">
        <f>IFERROR(__xludf.DUMMYFUNCTION("COUNTUNIQUEIFS($A$2:$A3,$F$2:$F3,F3)"),1.0)</f>
        <v>1</v>
      </c>
      <c r="N3" s="10">
        <f t="shared" si="1"/>
        <v>0</v>
      </c>
      <c r="O3" s="26">
        <f>IF(operations[sinceLastOrder]=0,0,operations[orderQuantity] / operations[sinceLastOrder])</f>
        <v>0</v>
      </c>
      <c r="P3" s="9">
        <v>32.38</v>
      </c>
      <c r="Q3" s="7" t="s">
        <v>13</v>
      </c>
      <c r="R3" s="10">
        <f>operations[arrivedDate]-operations[shippedDate]</f>
        <v>8</v>
      </c>
    </row>
    <row r="4" ht="22.5" customHeight="1">
      <c r="A4" s="6">
        <v>10248.0</v>
      </c>
      <c r="B4" s="24">
        <v>44746.0</v>
      </c>
      <c r="C4" s="24">
        <v>44774.0</v>
      </c>
      <c r="D4" s="24">
        <v>44758.0</v>
      </c>
      <c r="E4" s="24">
        <v>44766.0</v>
      </c>
      <c r="F4" s="6">
        <v>72.0</v>
      </c>
      <c r="G4" s="9" t="str">
        <f>VLOOKUP(operations[productID],products[],2,FALSE)</f>
        <v>Mozzarella di Giovanni</v>
      </c>
      <c r="H4" s="9" t="str">
        <f>IF(VLOOKUP(operations[productID],products[],7,FALSE)=1,"Discontinued","Current")</f>
        <v>Current</v>
      </c>
      <c r="I4" s="6">
        <f>VLOOKUP(operations[productID],products[],4,FALSE)</f>
        <v>14</v>
      </c>
      <c r="J4" s="6">
        <f>VLOOKUP(operations[productID],products[],5,FALSE)</f>
        <v>0</v>
      </c>
      <c r="K4" s="6">
        <f>VLOOKUP(operations[productID],products[],6,FALSE)</f>
        <v>0</v>
      </c>
      <c r="L4" s="10">
        <f t="array" ref="L4">INDEX('1 orders'!I4:I2156, MATCH(1, ('1 orders'!A4:A2156=A4)*('1 orders'!G4:G2156=F4), 0))
</f>
        <v>5</v>
      </c>
      <c r="M4" s="10">
        <f>IFERROR(__xludf.DUMMYFUNCTION("COUNTUNIQUEIFS($A$2:$A4,$F$2:$F4,F4)"),1.0)</f>
        <v>1</v>
      </c>
      <c r="N4" s="10">
        <f t="shared" si="1"/>
        <v>0</v>
      </c>
      <c r="O4" s="26">
        <f>IF(operations[sinceLastOrder]=0,0,operations[orderQuantity] / operations[sinceLastOrder])</f>
        <v>0</v>
      </c>
      <c r="P4" s="9">
        <v>32.38</v>
      </c>
      <c r="Q4" s="7" t="s">
        <v>13</v>
      </c>
      <c r="R4" s="10">
        <f>operations[arrivedDate]-operations[shippedDate]</f>
        <v>8</v>
      </c>
    </row>
    <row r="5" ht="22.5" customHeight="1">
      <c r="A5" s="6">
        <v>10249.0</v>
      </c>
      <c r="B5" s="24">
        <v>44747.0</v>
      </c>
      <c r="C5" s="24">
        <v>44789.0</v>
      </c>
      <c r="D5" s="24">
        <v>44752.0</v>
      </c>
      <c r="E5" s="24">
        <v>44756.0</v>
      </c>
      <c r="F5" s="6">
        <v>14.0</v>
      </c>
      <c r="G5" s="9" t="str">
        <f>VLOOKUP(operations[productID],products[],2,FALSE)</f>
        <v>Tofu</v>
      </c>
      <c r="H5" s="9" t="str">
        <f>IF(VLOOKUP(operations[productID],products[],7,FALSE)=1,"Discontinued","Current")</f>
        <v>Current</v>
      </c>
      <c r="I5" s="6">
        <f>VLOOKUP(operations[productID],products[],4,FALSE)</f>
        <v>35</v>
      </c>
      <c r="J5" s="6">
        <f>VLOOKUP(operations[productID],products[],5,FALSE)</f>
        <v>0</v>
      </c>
      <c r="K5" s="6">
        <f>VLOOKUP(operations[productID],products[],6,FALSE)</f>
        <v>0</v>
      </c>
      <c r="L5" s="10">
        <f t="array" ref="L5">INDEX('1 orders'!I5:I2156, MATCH(1, ('1 orders'!A5:A2156=A5)*('1 orders'!G5:G2156=F5), 0))
</f>
        <v>9</v>
      </c>
      <c r="M5" s="10">
        <f>IFERROR(__xludf.DUMMYFUNCTION("COUNTUNIQUEIFS($A$2:$A5,$F$2:$F5,F5)"),1.0)</f>
        <v>1</v>
      </c>
      <c r="N5" s="10">
        <f t="shared" si="1"/>
        <v>0</v>
      </c>
      <c r="O5" s="26">
        <f>IF(operations[sinceLastOrder]=0,0,operations[orderQuantity] / operations[sinceLastOrder])</f>
        <v>0</v>
      </c>
      <c r="P5" s="9">
        <v>11.61</v>
      </c>
      <c r="Q5" s="7" t="s">
        <v>15</v>
      </c>
      <c r="R5" s="10">
        <f>operations[arrivedDate]-operations[shippedDate]</f>
        <v>4</v>
      </c>
    </row>
    <row r="6" ht="22.5" customHeight="1">
      <c r="A6" s="6">
        <v>10249.0</v>
      </c>
      <c r="B6" s="24">
        <v>44747.0</v>
      </c>
      <c r="C6" s="24">
        <v>44789.0</v>
      </c>
      <c r="D6" s="24">
        <v>44752.0</v>
      </c>
      <c r="E6" s="24">
        <v>44756.0</v>
      </c>
      <c r="F6" s="6">
        <v>51.0</v>
      </c>
      <c r="G6" s="9" t="str">
        <f>VLOOKUP(operations[productID],products[],2,FALSE)</f>
        <v>Manjimup Dried Apples</v>
      </c>
      <c r="H6" s="9" t="str">
        <f>IF(VLOOKUP(operations[productID],products[],7,FALSE)=1,"Discontinued","Current")</f>
        <v>Current</v>
      </c>
      <c r="I6" s="6">
        <f>VLOOKUP(operations[productID],products[],4,FALSE)</f>
        <v>20</v>
      </c>
      <c r="J6" s="6">
        <f>VLOOKUP(operations[productID],products[],5,FALSE)</f>
        <v>0</v>
      </c>
      <c r="K6" s="6">
        <f>VLOOKUP(operations[productID],products[],6,FALSE)</f>
        <v>10</v>
      </c>
      <c r="L6" s="10">
        <f t="array" ref="L6">INDEX('1 orders'!I6:I2156, MATCH(1, ('1 orders'!A6:A2156=A6)*('1 orders'!G6:G2156=F6), 0))
</f>
        <v>40</v>
      </c>
      <c r="M6" s="10">
        <f>IFERROR(__xludf.DUMMYFUNCTION("COUNTUNIQUEIFS($A$2:$A6,$F$2:$F6,F6)"),1.0)</f>
        <v>1</v>
      </c>
      <c r="N6" s="10">
        <f t="shared" si="1"/>
        <v>0</v>
      </c>
      <c r="O6" s="26">
        <f>IF(operations[sinceLastOrder]=0,0,operations[orderQuantity] / operations[sinceLastOrder])</f>
        <v>0</v>
      </c>
      <c r="P6" s="9">
        <v>11.61</v>
      </c>
      <c r="Q6" s="7" t="s">
        <v>15</v>
      </c>
      <c r="R6" s="10">
        <f>operations[arrivedDate]-operations[shippedDate]</f>
        <v>4</v>
      </c>
    </row>
    <row r="7" ht="22.5" customHeight="1">
      <c r="A7" s="6">
        <v>10250.0</v>
      </c>
      <c r="B7" s="24">
        <v>44750.0</v>
      </c>
      <c r="C7" s="24">
        <v>44778.0</v>
      </c>
      <c r="D7" s="24">
        <v>44754.0</v>
      </c>
      <c r="E7" s="24">
        <v>44771.0</v>
      </c>
      <c r="F7" s="6">
        <v>41.0</v>
      </c>
      <c r="G7" s="9" t="str">
        <f>VLOOKUP(operations[productID],products[],2,FALSE)</f>
        <v>Jack's New England Clam Chowder</v>
      </c>
      <c r="H7" s="9" t="str">
        <f>IF(VLOOKUP(operations[productID],products[],7,FALSE)=1,"Discontinued","Current")</f>
        <v>Current</v>
      </c>
      <c r="I7" s="6">
        <f>VLOOKUP(operations[productID],products[],4,FALSE)</f>
        <v>85</v>
      </c>
      <c r="J7" s="6">
        <f>VLOOKUP(operations[productID],products[],5,FALSE)</f>
        <v>0</v>
      </c>
      <c r="K7" s="6">
        <f>VLOOKUP(operations[productID],products[],6,FALSE)</f>
        <v>10</v>
      </c>
      <c r="L7" s="10">
        <f t="array" ref="L7">INDEX('1 orders'!I7:I2156, MATCH(1, ('1 orders'!A7:A2156=A7)*('1 orders'!G7:G2156=F7), 0))
</f>
        <v>10</v>
      </c>
      <c r="M7" s="10">
        <f>IFERROR(__xludf.DUMMYFUNCTION("COUNTUNIQUEIFS($A$2:$A7,$F$2:$F7,F7)"),1.0)</f>
        <v>1</v>
      </c>
      <c r="N7" s="10">
        <f t="shared" si="1"/>
        <v>0</v>
      </c>
      <c r="O7" s="26">
        <f>IF(operations[sinceLastOrder]=0,0,operations[orderQuantity] / operations[sinceLastOrder])</f>
        <v>0</v>
      </c>
      <c r="P7" s="9">
        <v>65.83</v>
      </c>
      <c r="Q7" s="7" t="s">
        <v>17</v>
      </c>
      <c r="R7" s="10">
        <f>operations[arrivedDate]-operations[shippedDate]</f>
        <v>17</v>
      </c>
    </row>
    <row r="8" ht="22.5" customHeight="1">
      <c r="A8" s="6">
        <v>10250.0</v>
      </c>
      <c r="B8" s="24">
        <v>44750.0</v>
      </c>
      <c r="C8" s="24">
        <v>44778.0</v>
      </c>
      <c r="D8" s="24">
        <v>44754.0</v>
      </c>
      <c r="E8" s="24">
        <v>44771.0</v>
      </c>
      <c r="F8" s="6">
        <v>51.0</v>
      </c>
      <c r="G8" s="9" t="str">
        <f>VLOOKUP(operations[productID],products[],2,FALSE)</f>
        <v>Manjimup Dried Apples</v>
      </c>
      <c r="H8" s="9" t="str">
        <f>IF(VLOOKUP(operations[productID],products[],7,FALSE)=1,"Discontinued","Current")</f>
        <v>Current</v>
      </c>
      <c r="I8" s="6">
        <f>VLOOKUP(operations[productID],products[],4,FALSE)</f>
        <v>20</v>
      </c>
      <c r="J8" s="6">
        <f>VLOOKUP(operations[productID],products[],5,FALSE)</f>
        <v>0</v>
      </c>
      <c r="K8" s="6">
        <f>VLOOKUP(operations[productID],products[],6,FALSE)</f>
        <v>10</v>
      </c>
      <c r="L8" s="10">
        <f t="array" ref="L8">INDEX('1 orders'!I8:I2156, MATCH(1, ('1 orders'!A8:A2156=A8)*('1 orders'!G8:G2156=F8), 0))
</f>
        <v>35</v>
      </c>
      <c r="M8" s="10">
        <f>IFERROR(__xludf.DUMMYFUNCTION("COUNTUNIQUEIFS($A$2:$A8,$F$2:$F8,F8)"),2.0)</f>
        <v>2</v>
      </c>
      <c r="N8" s="10">
        <f t="shared" si="1"/>
        <v>3</v>
      </c>
      <c r="O8" s="26">
        <f>IF(operations[sinceLastOrder]=0,0,operations[orderQuantity] / operations[sinceLastOrder])</f>
        <v>11.66666667</v>
      </c>
      <c r="P8" s="9">
        <v>65.83</v>
      </c>
      <c r="Q8" s="7" t="s">
        <v>17</v>
      </c>
      <c r="R8" s="10">
        <f>operations[arrivedDate]-operations[shippedDate]</f>
        <v>17</v>
      </c>
    </row>
    <row r="9" ht="22.5" customHeight="1">
      <c r="A9" s="6">
        <v>10250.0</v>
      </c>
      <c r="B9" s="24">
        <v>44750.0</v>
      </c>
      <c r="C9" s="24">
        <v>44778.0</v>
      </c>
      <c r="D9" s="24">
        <v>44754.0</v>
      </c>
      <c r="E9" s="24">
        <v>44771.0</v>
      </c>
      <c r="F9" s="6">
        <v>65.0</v>
      </c>
      <c r="G9" s="9" t="str">
        <f>VLOOKUP(operations[productID],products[],2,FALSE)</f>
        <v>Louisiana Fiery Hot Pepper Sauce</v>
      </c>
      <c r="H9" s="9" t="str">
        <f>IF(VLOOKUP(operations[productID],products[],7,FALSE)=1,"Discontinued","Current")</f>
        <v>Current</v>
      </c>
      <c r="I9" s="6">
        <f>VLOOKUP(operations[productID],products[],4,FALSE)</f>
        <v>76</v>
      </c>
      <c r="J9" s="6">
        <f>VLOOKUP(operations[productID],products[],5,FALSE)</f>
        <v>0</v>
      </c>
      <c r="K9" s="6">
        <f>VLOOKUP(operations[productID],products[],6,FALSE)</f>
        <v>0</v>
      </c>
      <c r="L9" s="10">
        <f t="array" ref="L9">INDEX('1 orders'!I9:I2156, MATCH(1, ('1 orders'!A9:A2156=A9)*('1 orders'!G9:G2156=F9), 0))
</f>
        <v>15</v>
      </c>
      <c r="M9" s="10">
        <f>IFERROR(__xludf.DUMMYFUNCTION("COUNTUNIQUEIFS($A$2:$A9,$F$2:$F9,F9)"),1.0)</f>
        <v>1</v>
      </c>
      <c r="N9" s="10">
        <f t="shared" si="1"/>
        <v>0</v>
      </c>
      <c r="O9" s="26">
        <f>IF(operations[sinceLastOrder]=0,0,operations[orderQuantity] / operations[sinceLastOrder])</f>
        <v>0</v>
      </c>
      <c r="P9" s="9">
        <v>65.83</v>
      </c>
      <c r="Q9" s="7" t="s">
        <v>17</v>
      </c>
      <c r="R9" s="10">
        <f>operations[arrivedDate]-operations[shippedDate]</f>
        <v>17</v>
      </c>
    </row>
    <row r="10" ht="22.5" customHeight="1">
      <c r="A10" s="6">
        <v>10251.0</v>
      </c>
      <c r="B10" s="24">
        <v>44750.0</v>
      </c>
      <c r="C10" s="24">
        <v>44778.0</v>
      </c>
      <c r="D10" s="24">
        <v>44757.0</v>
      </c>
      <c r="E10" s="24">
        <v>44761.0</v>
      </c>
      <c r="F10" s="6">
        <v>22.0</v>
      </c>
      <c r="G10" s="9" t="str">
        <f>VLOOKUP(operations[productID],products[],2,FALSE)</f>
        <v>Gustaf's Knäckebröd</v>
      </c>
      <c r="H10" s="9" t="str">
        <f>IF(VLOOKUP(operations[productID],products[],7,FALSE)=1,"Discontinued","Current")</f>
        <v>Current</v>
      </c>
      <c r="I10" s="6">
        <f>VLOOKUP(operations[productID],products[],4,FALSE)</f>
        <v>104</v>
      </c>
      <c r="J10" s="6">
        <f>VLOOKUP(operations[productID],products[],5,FALSE)</f>
        <v>0</v>
      </c>
      <c r="K10" s="6">
        <f>VLOOKUP(operations[productID],products[],6,FALSE)</f>
        <v>25</v>
      </c>
      <c r="L10" s="10">
        <f t="array" ref="L10">INDEX('1 orders'!I10:I2156, MATCH(1, ('1 orders'!A10:A2156=A10)*('1 orders'!G10:G2156=F10), 0))
</f>
        <v>6</v>
      </c>
      <c r="M10" s="10">
        <f>IFERROR(__xludf.DUMMYFUNCTION("COUNTUNIQUEIFS($A$2:$A10,$F$2:$F10,F10)"),1.0)</f>
        <v>1</v>
      </c>
      <c r="N10" s="10">
        <f t="shared" si="1"/>
        <v>0</v>
      </c>
      <c r="O10" s="26">
        <f>IF(operations[sinceLastOrder]=0,0,operations[orderQuantity] / operations[sinceLastOrder])</f>
        <v>0</v>
      </c>
      <c r="P10" s="9">
        <v>41.34</v>
      </c>
      <c r="Q10" s="7" t="s">
        <v>15</v>
      </c>
      <c r="R10" s="10">
        <f>operations[arrivedDate]-operations[shippedDate]</f>
        <v>4</v>
      </c>
    </row>
    <row r="11" ht="22.5" customHeight="1">
      <c r="A11" s="6">
        <v>10251.0</v>
      </c>
      <c r="B11" s="24">
        <v>44750.0</v>
      </c>
      <c r="C11" s="24">
        <v>44778.0</v>
      </c>
      <c r="D11" s="24">
        <v>44757.0</v>
      </c>
      <c r="E11" s="24">
        <v>44761.0</v>
      </c>
      <c r="F11" s="6">
        <v>57.0</v>
      </c>
      <c r="G11" s="9" t="str">
        <f>VLOOKUP(operations[productID],products[],2,FALSE)</f>
        <v>Ravioli Angelo</v>
      </c>
      <c r="H11" s="9" t="str">
        <f>IF(VLOOKUP(operations[productID],products[],7,FALSE)=1,"Discontinued","Current")</f>
        <v>Current</v>
      </c>
      <c r="I11" s="6">
        <f>VLOOKUP(operations[productID],products[],4,FALSE)</f>
        <v>36</v>
      </c>
      <c r="J11" s="6">
        <f>VLOOKUP(operations[productID],products[],5,FALSE)</f>
        <v>0</v>
      </c>
      <c r="K11" s="6">
        <f>VLOOKUP(operations[productID],products[],6,FALSE)</f>
        <v>20</v>
      </c>
      <c r="L11" s="10">
        <f t="array" ref="L11">INDEX('1 orders'!I11:I2156, MATCH(1, ('1 orders'!A11:A2156=A11)*('1 orders'!G11:G2156=F11), 0))
</f>
        <v>15</v>
      </c>
      <c r="M11" s="10">
        <f>IFERROR(__xludf.DUMMYFUNCTION("COUNTUNIQUEIFS($A$2:$A11,$F$2:$F11,F11)"),1.0)</f>
        <v>1</v>
      </c>
      <c r="N11" s="10">
        <f t="shared" si="1"/>
        <v>0</v>
      </c>
      <c r="O11" s="26">
        <f>IF(operations[sinceLastOrder]=0,0,operations[orderQuantity] / operations[sinceLastOrder])</f>
        <v>0</v>
      </c>
      <c r="P11" s="9">
        <v>41.34</v>
      </c>
      <c r="Q11" s="7" t="s">
        <v>15</v>
      </c>
      <c r="R11" s="10">
        <f>operations[arrivedDate]-operations[shippedDate]</f>
        <v>4</v>
      </c>
    </row>
    <row r="12" ht="22.5" customHeight="1">
      <c r="A12" s="6">
        <v>10251.0</v>
      </c>
      <c r="B12" s="24">
        <v>44750.0</v>
      </c>
      <c r="C12" s="24">
        <v>44778.0</v>
      </c>
      <c r="D12" s="24">
        <v>44757.0</v>
      </c>
      <c r="E12" s="24">
        <v>44761.0</v>
      </c>
      <c r="F12" s="6">
        <v>65.0</v>
      </c>
      <c r="G12" s="9" t="str">
        <f>VLOOKUP(operations[productID],products[],2,FALSE)</f>
        <v>Louisiana Fiery Hot Pepper Sauce</v>
      </c>
      <c r="H12" s="9" t="str">
        <f>IF(VLOOKUP(operations[productID],products[],7,FALSE)=1,"Discontinued","Current")</f>
        <v>Current</v>
      </c>
      <c r="I12" s="6">
        <f>VLOOKUP(operations[productID],products[],4,FALSE)</f>
        <v>76</v>
      </c>
      <c r="J12" s="6">
        <f>VLOOKUP(operations[productID],products[],5,FALSE)</f>
        <v>0</v>
      </c>
      <c r="K12" s="6">
        <f>VLOOKUP(operations[productID],products[],6,FALSE)</f>
        <v>0</v>
      </c>
      <c r="L12" s="10">
        <f t="array" ref="L12">INDEX('1 orders'!I12:I2156, MATCH(1, ('1 orders'!A12:A2156=A12)*('1 orders'!G12:G2156=F12), 0))
</f>
        <v>20</v>
      </c>
      <c r="M12" s="10">
        <f>IFERROR(__xludf.DUMMYFUNCTION("COUNTUNIQUEIFS($A$2:$A12,$F$2:$F12,F12)"),2.0)</f>
        <v>2</v>
      </c>
      <c r="N12" s="10">
        <f t="shared" si="1"/>
        <v>0</v>
      </c>
      <c r="O12" s="26">
        <f>IF(operations[sinceLastOrder]=0,0,operations[orderQuantity] / operations[sinceLastOrder])</f>
        <v>0</v>
      </c>
      <c r="P12" s="9">
        <v>41.34</v>
      </c>
      <c r="Q12" s="7" t="s">
        <v>15</v>
      </c>
      <c r="R12" s="10">
        <f>operations[arrivedDate]-operations[shippedDate]</f>
        <v>4</v>
      </c>
    </row>
    <row r="13" ht="22.5" customHeight="1">
      <c r="A13" s="6">
        <v>10252.0</v>
      </c>
      <c r="B13" s="24">
        <v>44751.0</v>
      </c>
      <c r="C13" s="24">
        <v>44779.0</v>
      </c>
      <c r="D13" s="24">
        <v>44753.0</v>
      </c>
      <c r="E13" s="24">
        <v>44766.0</v>
      </c>
      <c r="F13" s="6">
        <v>20.0</v>
      </c>
      <c r="G13" s="9" t="str">
        <f>VLOOKUP(operations[productID],products[],2,FALSE)</f>
        <v>Sir Rodney's Marmalade</v>
      </c>
      <c r="H13" s="9" t="str">
        <f>IF(VLOOKUP(operations[productID],products[],7,FALSE)=1,"Discontinued","Current")</f>
        <v>Current</v>
      </c>
      <c r="I13" s="6">
        <f>VLOOKUP(operations[productID],products[],4,FALSE)</f>
        <v>40</v>
      </c>
      <c r="J13" s="6">
        <f>VLOOKUP(operations[productID],products[],5,FALSE)</f>
        <v>0</v>
      </c>
      <c r="K13" s="6">
        <f>VLOOKUP(operations[productID],products[],6,FALSE)</f>
        <v>0</v>
      </c>
      <c r="L13" s="10">
        <f t="array" ref="L13">INDEX('1 orders'!I13:I2156, MATCH(1, ('1 orders'!A13:A2156=A13)*('1 orders'!G13:G2156=F13), 0))
</f>
        <v>40</v>
      </c>
      <c r="M13" s="10">
        <f>IFERROR(__xludf.DUMMYFUNCTION("COUNTUNIQUEIFS($A$2:$A13,$F$2:$F13,F13)"),1.0)</f>
        <v>1</v>
      </c>
      <c r="N13" s="10">
        <f t="shared" si="1"/>
        <v>0</v>
      </c>
      <c r="O13" s="26">
        <f>IF(operations[sinceLastOrder]=0,0,operations[orderQuantity] / operations[sinceLastOrder])</f>
        <v>0</v>
      </c>
      <c r="P13" s="9">
        <v>51.3</v>
      </c>
      <c r="Q13" s="7" t="s">
        <v>17</v>
      </c>
      <c r="R13" s="10">
        <f>operations[arrivedDate]-operations[shippedDate]</f>
        <v>13</v>
      </c>
    </row>
    <row r="14" ht="22.5" customHeight="1">
      <c r="A14" s="6">
        <v>10252.0</v>
      </c>
      <c r="B14" s="24">
        <v>44751.0</v>
      </c>
      <c r="C14" s="24">
        <v>44779.0</v>
      </c>
      <c r="D14" s="24">
        <v>44753.0</v>
      </c>
      <c r="E14" s="24">
        <v>44766.0</v>
      </c>
      <c r="F14" s="6">
        <v>33.0</v>
      </c>
      <c r="G14" s="9" t="str">
        <f>VLOOKUP(operations[productID],products[],2,FALSE)</f>
        <v>Geitost</v>
      </c>
      <c r="H14" s="9" t="str">
        <f>IF(VLOOKUP(operations[productID],products[],7,FALSE)=1,"Discontinued","Current")</f>
        <v>Current</v>
      </c>
      <c r="I14" s="6">
        <f>VLOOKUP(operations[productID],products[],4,FALSE)</f>
        <v>112</v>
      </c>
      <c r="J14" s="6">
        <f>VLOOKUP(operations[productID],products[],5,FALSE)</f>
        <v>0</v>
      </c>
      <c r="K14" s="6">
        <f>VLOOKUP(operations[productID],products[],6,FALSE)</f>
        <v>20</v>
      </c>
      <c r="L14" s="10">
        <f t="array" ref="L14">INDEX('1 orders'!I14:I2156, MATCH(1, ('1 orders'!A14:A2156=A14)*('1 orders'!G14:G2156=F14), 0))
</f>
        <v>25</v>
      </c>
      <c r="M14" s="10">
        <f>IFERROR(__xludf.DUMMYFUNCTION("COUNTUNIQUEIFS($A$2:$A14,$F$2:$F14,F14)"),1.0)</f>
        <v>1</v>
      </c>
      <c r="N14" s="10">
        <f t="shared" si="1"/>
        <v>0</v>
      </c>
      <c r="O14" s="26">
        <f>IF(operations[sinceLastOrder]=0,0,operations[orderQuantity] / operations[sinceLastOrder])</f>
        <v>0</v>
      </c>
      <c r="P14" s="9">
        <v>51.3</v>
      </c>
      <c r="Q14" s="7" t="s">
        <v>17</v>
      </c>
      <c r="R14" s="10">
        <f>operations[arrivedDate]-operations[shippedDate]</f>
        <v>13</v>
      </c>
    </row>
    <row r="15" ht="22.5" customHeight="1">
      <c r="A15" s="6">
        <v>10252.0</v>
      </c>
      <c r="B15" s="24">
        <v>44751.0</v>
      </c>
      <c r="C15" s="24">
        <v>44779.0</v>
      </c>
      <c r="D15" s="24">
        <v>44753.0</v>
      </c>
      <c r="E15" s="24">
        <v>44766.0</v>
      </c>
      <c r="F15" s="6">
        <v>60.0</v>
      </c>
      <c r="G15" s="9" t="str">
        <f>VLOOKUP(operations[productID],products[],2,FALSE)</f>
        <v>Camembert Pierrot</v>
      </c>
      <c r="H15" s="9" t="str">
        <f>IF(VLOOKUP(operations[productID],products[],7,FALSE)=1,"Discontinued","Current")</f>
        <v>Current</v>
      </c>
      <c r="I15" s="6">
        <f>VLOOKUP(operations[productID],products[],4,FALSE)</f>
        <v>19</v>
      </c>
      <c r="J15" s="6">
        <f>VLOOKUP(operations[productID],products[],5,FALSE)</f>
        <v>0</v>
      </c>
      <c r="K15" s="6">
        <f>VLOOKUP(operations[productID],products[],6,FALSE)</f>
        <v>0</v>
      </c>
      <c r="L15" s="10">
        <f t="array" ref="L15">INDEX('1 orders'!I15:I2156, MATCH(1, ('1 orders'!A15:A2156=A15)*('1 orders'!G15:G2156=F15), 0))
</f>
        <v>40</v>
      </c>
      <c r="M15" s="10">
        <f>IFERROR(__xludf.DUMMYFUNCTION("COUNTUNIQUEIFS($A$2:$A15,$F$2:$F15,F15)"),1.0)</f>
        <v>1</v>
      </c>
      <c r="N15" s="10">
        <f t="shared" si="1"/>
        <v>0</v>
      </c>
      <c r="O15" s="26">
        <f>IF(operations[sinceLastOrder]=0,0,operations[orderQuantity] / operations[sinceLastOrder])</f>
        <v>0</v>
      </c>
      <c r="P15" s="9">
        <v>51.3</v>
      </c>
      <c r="Q15" s="7" t="s">
        <v>17</v>
      </c>
      <c r="R15" s="10">
        <f>operations[arrivedDate]-operations[shippedDate]</f>
        <v>13</v>
      </c>
    </row>
    <row r="16" ht="22.5" customHeight="1">
      <c r="A16" s="6">
        <v>10253.0</v>
      </c>
      <c r="B16" s="24">
        <v>44752.0</v>
      </c>
      <c r="C16" s="24">
        <v>44766.0</v>
      </c>
      <c r="D16" s="24">
        <v>44758.0</v>
      </c>
      <c r="E16" s="24">
        <v>44775.0</v>
      </c>
      <c r="F16" s="6">
        <v>31.0</v>
      </c>
      <c r="G16" s="9" t="str">
        <f>VLOOKUP(operations[productID],products[],2,FALSE)</f>
        <v>Gorgonzola Telino</v>
      </c>
      <c r="H16" s="9" t="str">
        <f>IF(VLOOKUP(operations[productID],products[],7,FALSE)=1,"Discontinued","Current")</f>
        <v>Current</v>
      </c>
      <c r="I16" s="6">
        <f>VLOOKUP(operations[productID],products[],4,FALSE)</f>
        <v>0</v>
      </c>
      <c r="J16" s="6">
        <f>VLOOKUP(operations[productID],products[],5,FALSE)</f>
        <v>70</v>
      </c>
      <c r="K16" s="6">
        <f>VLOOKUP(operations[productID],products[],6,FALSE)</f>
        <v>20</v>
      </c>
      <c r="L16" s="10">
        <f t="array" ref="L16">INDEX('1 orders'!I16:I2156, MATCH(1, ('1 orders'!A16:A2156=A16)*('1 orders'!G16:G2156=F16), 0))
</f>
        <v>20</v>
      </c>
      <c r="M16" s="10">
        <f>IFERROR(__xludf.DUMMYFUNCTION("COUNTUNIQUEIFS($A$2:$A16,$F$2:$F16,F16)"),1.0)</f>
        <v>1</v>
      </c>
      <c r="N16" s="10">
        <f t="shared" si="1"/>
        <v>0</v>
      </c>
      <c r="O16" s="26">
        <f>IF(operations[sinceLastOrder]=0,0,operations[orderQuantity] / operations[sinceLastOrder])</f>
        <v>0</v>
      </c>
      <c r="P16" s="9">
        <v>58.17</v>
      </c>
      <c r="Q16" s="7" t="s">
        <v>17</v>
      </c>
      <c r="R16" s="10">
        <f>operations[arrivedDate]-operations[shippedDate]</f>
        <v>17</v>
      </c>
    </row>
    <row r="17" ht="22.5" customHeight="1">
      <c r="A17" s="6">
        <v>10253.0</v>
      </c>
      <c r="B17" s="24">
        <v>44752.0</v>
      </c>
      <c r="C17" s="24">
        <v>44766.0</v>
      </c>
      <c r="D17" s="24">
        <v>44758.0</v>
      </c>
      <c r="E17" s="24">
        <v>44775.0</v>
      </c>
      <c r="F17" s="6">
        <v>39.0</v>
      </c>
      <c r="G17" s="9" t="str">
        <f>VLOOKUP(operations[productID],products[],2,FALSE)</f>
        <v>Chartreuse verte</v>
      </c>
      <c r="H17" s="9" t="str">
        <f>IF(VLOOKUP(operations[productID],products[],7,FALSE)=1,"Discontinued","Current")</f>
        <v>Current</v>
      </c>
      <c r="I17" s="6">
        <f>VLOOKUP(operations[productID],products[],4,FALSE)</f>
        <v>69</v>
      </c>
      <c r="J17" s="6">
        <f>VLOOKUP(operations[productID],products[],5,FALSE)</f>
        <v>0</v>
      </c>
      <c r="K17" s="6">
        <f>VLOOKUP(operations[productID],products[],6,FALSE)</f>
        <v>5</v>
      </c>
      <c r="L17" s="10">
        <f t="array" ref="L17">INDEX('1 orders'!I17:I2156, MATCH(1, ('1 orders'!A17:A2156=A17)*('1 orders'!G17:G2156=F17), 0))
</f>
        <v>42</v>
      </c>
      <c r="M17" s="10">
        <f>IFERROR(__xludf.DUMMYFUNCTION("COUNTUNIQUEIFS($A$2:$A17,$F$2:$F17,F17)"),1.0)</f>
        <v>1</v>
      </c>
      <c r="N17" s="10">
        <f t="shared" si="1"/>
        <v>0</v>
      </c>
      <c r="O17" s="26">
        <f>IF(operations[sinceLastOrder]=0,0,operations[orderQuantity] / operations[sinceLastOrder])</f>
        <v>0</v>
      </c>
      <c r="P17" s="9">
        <v>58.17</v>
      </c>
      <c r="Q17" s="7" t="s">
        <v>17</v>
      </c>
      <c r="R17" s="10">
        <f>operations[arrivedDate]-operations[shippedDate]</f>
        <v>17</v>
      </c>
    </row>
    <row r="18" ht="22.5" customHeight="1">
      <c r="A18" s="6">
        <v>10253.0</v>
      </c>
      <c r="B18" s="24">
        <v>44752.0</v>
      </c>
      <c r="C18" s="24">
        <v>44766.0</v>
      </c>
      <c r="D18" s="24">
        <v>44758.0</v>
      </c>
      <c r="E18" s="24">
        <v>44775.0</v>
      </c>
      <c r="F18" s="6">
        <v>49.0</v>
      </c>
      <c r="G18" s="9" t="str">
        <f>VLOOKUP(operations[productID],products[],2,FALSE)</f>
        <v>Maxilaku</v>
      </c>
      <c r="H18" s="9" t="str">
        <f>IF(VLOOKUP(operations[productID],products[],7,FALSE)=1,"Discontinued","Current")</f>
        <v>Current</v>
      </c>
      <c r="I18" s="6">
        <f>VLOOKUP(operations[productID],products[],4,FALSE)</f>
        <v>10</v>
      </c>
      <c r="J18" s="6">
        <f>VLOOKUP(operations[productID],products[],5,FALSE)</f>
        <v>60</v>
      </c>
      <c r="K18" s="6">
        <f>VLOOKUP(operations[productID],products[],6,FALSE)</f>
        <v>15</v>
      </c>
      <c r="L18" s="10">
        <f t="array" ref="L18">INDEX('1 orders'!I18:I2156, MATCH(1, ('1 orders'!A18:A2156=A18)*('1 orders'!G18:G2156=F18), 0))
</f>
        <v>40</v>
      </c>
      <c r="M18" s="10">
        <f>IFERROR(__xludf.DUMMYFUNCTION("COUNTUNIQUEIFS($A$2:$A18,$F$2:$F18,F18)"),1.0)</f>
        <v>1</v>
      </c>
      <c r="N18" s="10">
        <f t="shared" si="1"/>
        <v>0</v>
      </c>
      <c r="O18" s="26">
        <f>IF(operations[sinceLastOrder]=0,0,operations[orderQuantity] / operations[sinceLastOrder])</f>
        <v>0</v>
      </c>
      <c r="P18" s="9">
        <v>58.17</v>
      </c>
      <c r="Q18" s="7" t="s">
        <v>17</v>
      </c>
      <c r="R18" s="10">
        <f>operations[arrivedDate]-operations[shippedDate]</f>
        <v>17</v>
      </c>
    </row>
    <row r="19" ht="22.5" customHeight="1">
      <c r="A19" s="6">
        <v>10254.0</v>
      </c>
      <c r="B19" s="24">
        <v>44753.0</v>
      </c>
      <c r="C19" s="24">
        <v>44781.0</v>
      </c>
      <c r="D19" s="24">
        <v>44765.0</v>
      </c>
      <c r="E19" s="24">
        <v>44778.0</v>
      </c>
      <c r="F19" s="6">
        <v>24.0</v>
      </c>
      <c r="G19" s="9" t="str">
        <f>VLOOKUP(operations[productID],products[],2,FALSE)</f>
        <v>Brigadeiros Maravilhosos da Lilian</v>
      </c>
      <c r="H19" s="9" t="str">
        <f>IF(VLOOKUP(operations[productID],products[],7,FALSE)=1,"Discontinued","Current")</f>
        <v>Discontinued</v>
      </c>
      <c r="I19" s="6">
        <f>VLOOKUP(operations[productID],products[],4,FALSE)</f>
        <v>20</v>
      </c>
      <c r="J19" s="6">
        <f>VLOOKUP(operations[productID],products[],5,FALSE)</f>
        <v>0</v>
      </c>
      <c r="K19" s="6">
        <f>VLOOKUP(operations[productID],products[],6,FALSE)</f>
        <v>0</v>
      </c>
      <c r="L19" s="10">
        <f t="array" ref="L19">INDEX('1 orders'!I19:I2156, MATCH(1, ('1 orders'!A19:A2156=A19)*('1 orders'!G19:G2156=F19), 0))
</f>
        <v>15</v>
      </c>
      <c r="M19" s="10">
        <f>IFERROR(__xludf.DUMMYFUNCTION("COUNTUNIQUEIFS($A$2:$A19,$F$2:$F19,F19)"),1.0)</f>
        <v>1</v>
      </c>
      <c r="N19" s="10">
        <f t="shared" si="1"/>
        <v>0</v>
      </c>
      <c r="O19" s="26">
        <f>IF(operations[sinceLastOrder]=0,0,operations[orderQuantity] / operations[sinceLastOrder])</f>
        <v>0</v>
      </c>
      <c r="P19" s="9">
        <v>22.98</v>
      </c>
      <c r="Q19" s="7" t="s">
        <v>17</v>
      </c>
      <c r="R19" s="10">
        <f>operations[arrivedDate]-operations[shippedDate]</f>
        <v>13</v>
      </c>
    </row>
    <row r="20" ht="22.5" customHeight="1">
      <c r="A20" s="6">
        <v>10254.0</v>
      </c>
      <c r="B20" s="24">
        <v>44753.0</v>
      </c>
      <c r="C20" s="24">
        <v>44781.0</v>
      </c>
      <c r="D20" s="24">
        <v>44765.0</v>
      </c>
      <c r="E20" s="24">
        <v>44778.0</v>
      </c>
      <c r="F20" s="6">
        <v>55.0</v>
      </c>
      <c r="G20" s="9" t="str">
        <f>VLOOKUP(operations[productID],products[],2,FALSE)</f>
        <v>Pâté chinois</v>
      </c>
      <c r="H20" s="9" t="str">
        <f>IF(VLOOKUP(operations[productID],products[],7,FALSE)=1,"Discontinued","Current")</f>
        <v>Current</v>
      </c>
      <c r="I20" s="6">
        <f>VLOOKUP(operations[productID],products[],4,FALSE)</f>
        <v>115</v>
      </c>
      <c r="J20" s="6">
        <f>VLOOKUP(operations[productID],products[],5,FALSE)</f>
        <v>0</v>
      </c>
      <c r="K20" s="6">
        <f>VLOOKUP(operations[productID],products[],6,FALSE)</f>
        <v>20</v>
      </c>
      <c r="L20" s="10">
        <f t="array" ref="L20">INDEX('1 orders'!I20:I2156, MATCH(1, ('1 orders'!A20:A2156=A20)*('1 orders'!G20:G2156=F20), 0))
</f>
        <v>21</v>
      </c>
      <c r="M20" s="10">
        <f>IFERROR(__xludf.DUMMYFUNCTION("COUNTUNIQUEIFS($A$2:$A20,$F$2:$F20,F20)"),1.0)</f>
        <v>1</v>
      </c>
      <c r="N20" s="10">
        <f t="shared" si="1"/>
        <v>0</v>
      </c>
      <c r="O20" s="26">
        <f>IF(operations[sinceLastOrder]=0,0,operations[orderQuantity] / operations[sinceLastOrder])</f>
        <v>0</v>
      </c>
      <c r="P20" s="9">
        <v>22.98</v>
      </c>
      <c r="Q20" s="7" t="s">
        <v>17</v>
      </c>
      <c r="R20" s="10">
        <f>operations[arrivedDate]-operations[shippedDate]</f>
        <v>13</v>
      </c>
    </row>
    <row r="21" ht="15.75" customHeight="1">
      <c r="A21" s="6">
        <v>10254.0</v>
      </c>
      <c r="B21" s="24">
        <v>44753.0</v>
      </c>
      <c r="C21" s="24">
        <v>44781.0</v>
      </c>
      <c r="D21" s="24">
        <v>44765.0</v>
      </c>
      <c r="E21" s="24">
        <v>44778.0</v>
      </c>
      <c r="F21" s="6">
        <v>74.0</v>
      </c>
      <c r="G21" s="9" t="str">
        <f>VLOOKUP(operations[productID],products[],2,FALSE)</f>
        <v>Longlife Tofu</v>
      </c>
      <c r="H21" s="9" t="str">
        <f>IF(VLOOKUP(operations[productID],products[],7,FALSE)=1,"Discontinued","Current")</f>
        <v>Current</v>
      </c>
      <c r="I21" s="6">
        <f>VLOOKUP(operations[productID],products[],4,FALSE)</f>
        <v>4</v>
      </c>
      <c r="J21" s="6">
        <f>VLOOKUP(operations[productID],products[],5,FALSE)</f>
        <v>20</v>
      </c>
      <c r="K21" s="6">
        <f>VLOOKUP(operations[productID],products[],6,FALSE)</f>
        <v>5</v>
      </c>
      <c r="L21" s="10">
        <f t="array" ref="L21">INDEX('1 orders'!I21:I2156, MATCH(1, ('1 orders'!A21:A2156=A21)*('1 orders'!G21:G2156=F21), 0))
</f>
        <v>21</v>
      </c>
      <c r="M21" s="10">
        <f>IFERROR(__xludf.DUMMYFUNCTION("COUNTUNIQUEIFS($A$2:$A21,$F$2:$F21,F21)"),1.0)</f>
        <v>1</v>
      </c>
      <c r="N21" s="10">
        <f t="shared" si="1"/>
        <v>0</v>
      </c>
      <c r="O21" s="26">
        <f>IF(operations[sinceLastOrder]=0,0,operations[orderQuantity] / operations[sinceLastOrder])</f>
        <v>0</v>
      </c>
      <c r="P21" s="9">
        <v>22.98</v>
      </c>
      <c r="Q21" s="7" t="s">
        <v>17</v>
      </c>
      <c r="R21" s="10">
        <f>operations[arrivedDate]-operations[shippedDate]</f>
        <v>13</v>
      </c>
    </row>
    <row r="22" ht="15.75" customHeight="1">
      <c r="A22" s="6">
        <v>10255.0</v>
      </c>
      <c r="B22" s="24">
        <v>44754.0</v>
      </c>
      <c r="C22" s="24">
        <v>44782.0</v>
      </c>
      <c r="D22" s="24">
        <v>44757.0</v>
      </c>
      <c r="E22" s="24">
        <v>44768.0</v>
      </c>
      <c r="F22" s="6">
        <v>2.0</v>
      </c>
      <c r="G22" s="9" t="str">
        <f>VLOOKUP(operations[productID],products[],2,FALSE)</f>
        <v>Chang</v>
      </c>
      <c r="H22" s="9" t="str">
        <f>IF(VLOOKUP(operations[productID],products[],7,FALSE)=1,"Discontinued","Current")</f>
        <v>Current</v>
      </c>
      <c r="I22" s="6">
        <f>VLOOKUP(operations[productID],products[],4,FALSE)</f>
        <v>17</v>
      </c>
      <c r="J22" s="6">
        <f>VLOOKUP(operations[productID],products[],5,FALSE)</f>
        <v>40</v>
      </c>
      <c r="K22" s="6">
        <f>VLOOKUP(operations[productID],products[],6,FALSE)</f>
        <v>25</v>
      </c>
      <c r="L22" s="10">
        <f t="array" ref="L22">INDEX('1 orders'!I22:I2156, MATCH(1, ('1 orders'!A22:A2156=A22)*('1 orders'!G22:G2156=F22), 0))
</f>
        <v>20</v>
      </c>
      <c r="M22" s="10">
        <f>IFERROR(__xludf.DUMMYFUNCTION("COUNTUNIQUEIFS($A$2:$A22,$F$2:$F22,F22)"),1.0)</f>
        <v>1</v>
      </c>
      <c r="N22" s="10">
        <f t="shared" si="1"/>
        <v>0</v>
      </c>
      <c r="O22" s="26">
        <f>IF(operations[sinceLastOrder]=0,0,operations[orderQuantity] / operations[sinceLastOrder])</f>
        <v>0</v>
      </c>
      <c r="P22" s="9">
        <v>148.33</v>
      </c>
      <c r="Q22" s="7" t="s">
        <v>13</v>
      </c>
      <c r="R22" s="10">
        <f>operations[arrivedDate]-operations[shippedDate]</f>
        <v>11</v>
      </c>
    </row>
    <row r="23" ht="15.75" customHeight="1">
      <c r="A23" s="6">
        <v>10255.0</v>
      </c>
      <c r="B23" s="24">
        <v>44754.0</v>
      </c>
      <c r="C23" s="24">
        <v>44782.0</v>
      </c>
      <c r="D23" s="24">
        <v>44757.0</v>
      </c>
      <c r="E23" s="24">
        <v>44768.0</v>
      </c>
      <c r="F23" s="6">
        <v>16.0</v>
      </c>
      <c r="G23" s="9" t="str">
        <f>VLOOKUP(operations[productID],products[],2,FALSE)</f>
        <v>Pavlova</v>
      </c>
      <c r="H23" s="9" t="str">
        <f>IF(VLOOKUP(operations[productID],products[],7,FALSE)=1,"Discontinued","Current")</f>
        <v>Current</v>
      </c>
      <c r="I23" s="6">
        <f>VLOOKUP(operations[productID],products[],4,FALSE)</f>
        <v>29</v>
      </c>
      <c r="J23" s="6">
        <f>VLOOKUP(operations[productID],products[],5,FALSE)</f>
        <v>0</v>
      </c>
      <c r="K23" s="6">
        <f>VLOOKUP(operations[productID],products[],6,FALSE)</f>
        <v>10</v>
      </c>
      <c r="L23" s="10">
        <f t="array" ref="L23">INDEX('1 orders'!I23:I2156, MATCH(1, ('1 orders'!A23:A2156=A23)*('1 orders'!G23:G2156=F23), 0))
</f>
        <v>35</v>
      </c>
      <c r="M23" s="10">
        <f>IFERROR(__xludf.DUMMYFUNCTION("COUNTUNIQUEIFS($A$2:$A23,$F$2:$F23,F23)"),1.0)</f>
        <v>1</v>
      </c>
      <c r="N23" s="10">
        <f t="shared" si="1"/>
        <v>0</v>
      </c>
      <c r="O23" s="26">
        <f>IF(operations[sinceLastOrder]=0,0,operations[orderQuantity] / operations[sinceLastOrder])</f>
        <v>0</v>
      </c>
      <c r="P23" s="9">
        <v>148.33</v>
      </c>
      <c r="Q23" s="7" t="s">
        <v>13</v>
      </c>
      <c r="R23" s="10">
        <f>operations[arrivedDate]-operations[shippedDate]</f>
        <v>11</v>
      </c>
    </row>
    <row r="24" ht="15.75" customHeight="1">
      <c r="A24" s="6">
        <v>10255.0</v>
      </c>
      <c r="B24" s="24">
        <v>44754.0</v>
      </c>
      <c r="C24" s="24">
        <v>44782.0</v>
      </c>
      <c r="D24" s="24">
        <v>44757.0</v>
      </c>
      <c r="E24" s="24">
        <v>44768.0</v>
      </c>
      <c r="F24" s="6">
        <v>36.0</v>
      </c>
      <c r="G24" s="9" t="str">
        <f>VLOOKUP(operations[productID],products[],2,FALSE)</f>
        <v>Inlagd Sill</v>
      </c>
      <c r="H24" s="9" t="str">
        <f>IF(VLOOKUP(operations[productID],products[],7,FALSE)=1,"Discontinued","Current")</f>
        <v>Current</v>
      </c>
      <c r="I24" s="6">
        <f>VLOOKUP(operations[productID],products[],4,FALSE)</f>
        <v>112</v>
      </c>
      <c r="J24" s="6">
        <f>VLOOKUP(operations[productID],products[],5,FALSE)</f>
        <v>0</v>
      </c>
      <c r="K24" s="6">
        <f>VLOOKUP(operations[productID],products[],6,FALSE)</f>
        <v>20</v>
      </c>
      <c r="L24" s="10">
        <f t="array" ref="L24">INDEX('1 orders'!I24:I2156, MATCH(1, ('1 orders'!A24:A2156=A24)*('1 orders'!G24:G2156=F24), 0))
</f>
        <v>25</v>
      </c>
      <c r="M24" s="10">
        <f>IFERROR(__xludf.DUMMYFUNCTION("COUNTUNIQUEIFS($A$2:$A24,$F$2:$F24,F24)"),1.0)</f>
        <v>1</v>
      </c>
      <c r="N24" s="10">
        <f t="shared" si="1"/>
        <v>0</v>
      </c>
      <c r="O24" s="26">
        <f>IF(operations[sinceLastOrder]=0,0,operations[orderQuantity] / operations[sinceLastOrder])</f>
        <v>0</v>
      </c>
      <c r="P24" s="9">
        <v>148.33</v>
      </c>
      <c r="Q24" s="7" t="s">
        <v>13</v>
      </c>
      <c r="R24" s="10">
        <f>operations[arrivedDate]-operations[shippedDate]</f>
        <v>11</v>
      </c>
    </row>
    <row r="25" ht="15.75" customHeight="1">
      <c r="A25" s="6">
        <v>10255.0</v>
      </c>
      <c r="B25" s="24">
        <v>44754.0</v>
      </c>
      <c r="C25" s="24">
        <v>44782.0</v>
      </c>
      <c r="D25" s="24">
        <v>44757.0</v>
      </c>
      <c r="E25" s="24">
        <v>44768.0</v>
      </c>
      <c r="F25" s="6">
        <v>59.0</v>
      </c>
      <c r="G25" s="9" t="str">
        <f>VLOOKUP(operations[productID],products[],2,FALSE)</f>
        <v>Raclette Courdavault</v>
      </c>
      <c r="H25" s="9" t="str">
        <f>IF(VLOOKUP(operations[productID],products[],7,FALSE)=1,"Discontinued","Current")</f>
        <v>Current</v>
      </c>
      <c r="I25" s="6">
        <f>VLOOKUP(operations[productID],products[],4,FALSE)</f>
        <v>79</v>
      </c>
      <c r="J25" s="6">
        <f>VLOOKUP(operations[productID],products[],5,FALSE)</f>
        <v>0</v>
      </c>
      <c r="K25" s="6">
        <f>VLOOKUP(operations[productID],products[],6,FALSE)</f>
        <v>0</v>
      </c>
      <c r="L25" s="10">
        <f t="array" ref="L25">INDEX('1 orders'!I25:I2156, MATCH(1, ('1 orders'!A25:A2156=A25)*('1 orders'!G25:G2156=F25), 0))
</f>
        <v>30</v>
      </c>
      <c r="M25" s="10">
        <f>IFERROR(__xludf.DUMMYFUNCTION("COUNTUNIQUEIFS($A$2:$A25,$F$2:$F25,F25)"),1.0)</f>
        <v>1</v>
      </c>
      <c r="N25" s="10">
        <f t="shared" si="1"/>
        <v>0</v>
      </c>
      <c r="O25" s="26">
        <f>IF(operations[sinceLastOrder]=0,0,operations[orderQuantity] / operations[sinceLastOrder])</f>
        <v>0</v>
      </c>
      <c r="P25" s="9">
        <v>148.33</v>
      </c>
      <c r="Q25" s="7" t="s">
        <v>13</v>
      </c>
      <c r="R25" s="10">
        <f>operations[arrivedDate]-operations[shippedDate]</f>
        <v>11</v>
      </c>
    </row>
    <row r="26" ht="15.75" customHeight="1">
      <c r="A26" s="6">
        <v>10256.0</v>
      </c>
      <c r="B26" s="24">
        <v>44757.0</v>
      </c>
      <c r="C26" s="24">
        <v>44785.0</v>
      </c>
      <c r="D26" s="24">
        <v>44759.0</v>
      </c>
      <c r="E26" s="24">
        <v>44780.0</v>
      </c>
      <c r="F26" s="6">
        <v>53.0</v>
      </c>
      <c r="G26" s="9" t="str">
        <f>VLOOKUP(operations[productID],products[],2,FALSE)</f>
        <v>Perth Pasties</v>
      </c>
      <c r="H26" s="9" t="str">
        <f>IF(VLOOKUP(operations[productID],products[],7,FALSE)=1,"Discontinued","Current")</f>
        <v>Discontinued</v>
      </c>
      <c r="I26" s="6">
        <f>VLOOKUP(operations[productID],products[],4,FALSE)</f>
        <v>0</v>
      </c>
      <c r="J26" s="6">
        <f>VLOOKUP(operations[productID],products[],5,FALSE)</f>
        <v>0</v>
      </c>
      <c r="K26" s="6">
        <f>VLOOKUP(operations[productID],products[],6,FALSE)</f>
        <v>0</v>
      </c>
      <c r="L26" s="10">
        <f t="array" ref="L26">INDEX('1 orders'!I26:I2156, MATCH(1, ('1 orders'!A26:A2156=A26)*('1 orders'!G26:G2156=F26), 0))
</f>
        <v>15</v>
      </c>
      <c r="M26" s="10">
        <f>IFERROR(__xludf.DUMMYFUNCTION("COUNTUNIQUEIFS($A$2:$A26,$F$2:$F26,F26)"),1.0)</f>
        <v>1</v>
      </c>
      <c r="N26" s="10">
        <f t="shared" si="1"/>
        <v>0</v>
      </c>
      <c r="O26" s="26">
        <f>IF(operations[sinceLastOrder]=0,0,operations[orderQuantity] / operations[sinceLastOrder])</f>
        <v>0</v>
      </c>
      <c r="P26" s="9">
        <v>13.97</v>
      </c>
      <c r="Q26" s="7" t="s">
        <v>17</v>
      </c>
      <c r="R26" s="10">
        <f>operations[arrivedDate]-operations[shippedDate]</f>
        <v>21</v>
      </c>
    </row>
    <row r="27" ht="15.75" customHeight="1">
      <c r="A27" s="6">
        <v>10256.0</v>
      </c>
      <c r="B27" s="24">
        <v>44757.0</v>
      </c>
      <c r="C27" s="24">
        <v>44785.0</v>
      </c>
      <c r="D27" s="24">
        <v>44759.0</v>
      </c>
      <c r="E27" s="24">
        <v>44780.0</v>
      </c>
      <c r="F27" s="6">
        <v>77.0</v>
      </c>
      <c r="G27" s="9" t="str">
        <f>VLOOKUP(operations[productID],products[],2,FALSE)</f>
        <v>Original Frankfurter grüne Soße</v>
      </c>
      <c r="H27" s="9" t="str">
        <f>IF(VLOOKUP(operations[productID],products[],7,FALSE)=1,"Discontinued","Current")</f>
        <v>Current</v>
      </c>
      <c r="I27" s="6">
        <f>VLOOKUP(operations[productID],products[],4,FALSE)</f>
        <v>32</v>
      </c>
      <c r="J27" s="6">
        <f>VLOOKUP(operations[productID],products[],5,FALSE)</f>
        <v>0</v>
      </c>
      <c r="K27" s="6">
        <f>VLOOKUP(operations[productID],products[],6,FALSE)</f>
        <v>15</v>
      </c>
      <c r="L27" s="10">
        <f t="array" ref="L27">INDEX('1 orders'!I27:I2156, MATCH(1, ('1 orders'!A27:A2156=A27)*('1 orders'!G27:G2156=F27), 0))
</f>
        <v>12</v>
      </c>
      <c r="M27" s="10">
        <f>IFERROR(__xludf.DUMMYFUNCTION("COUNTUNIQUEIFS($A$2:$A27,$F$2:$F27,F27)"),1.0)</f>
        <v>1</v>
      </c>
      <c r="N27" s="10">
        <f t="shared" si="1"/>
        <v>0</v>
      </c>
      <c r="O27" s="26">
        <f>IF(operations[sinceLastOrder]=0,0,operations[orderQuantity] / operations[sinceLastOrder])</f>
        <v>0</v>
      </c>
      <c r="P27" s="9">
        <v>13.97</v>
      </c>
      <c r="Q27" s="7" t="s">
        <v>17</v>
      </c>
      <c r="R27" s="10">
        <f>operations[arrivedDate]-operations[shippedDate]</f>
        <v>21</v>
      </c>
    </row>
    <row r="28" ht="15.75" customHeight="1">
      <c r="A28" s="6">
        <v>10257.0</v>
      </c>
      <c r="B28" s="24">
        <v>44758.0</v>
      </c>
      <c r="C28" s="24">
        <v>44786.0</v>
      </c>
      <c r="D28" s="24">
        <v>44764.0</v>
      </c>
      <c r="E28" s="24">
        <v>44778.0</v>
      </c>
      <c r="F28" s="6">
        <v>27.0</v>
      </c>
      <c r="G28" s="9" t="str">
        <f>VLOOKUP(operations[productID],products[],2,FALSE)</f>
        <v>Schoggi Schokolade</v>
      </c>
      <c r="H28" s="9" t="str">
        <f>IF(VLOOKUP(operations[productID],products[],7,FALSE)=1,"Discontinued","Current")</f>
        <v>Current</v>
      </c>
      <c r="I28" s="6">
        <f>VLOOKUP(operations[productID],products[],4,FALSE)</f>
        <v>49</v>
      </c>
      <c r="J28" s="6">
        <f>VLOOKUP(operations[productID],products[],5,FALSE)</f>
        <v>0</v>
      </c>
      <c r="K28" s="6">
        <f>VLOOKUP(operations[productID],products[],6,FALSE)</f>
        <v>30</v>
      </c>
      <c r="L28" s="10">
        <f t="array" ref="L28">INDEX('1 orders'!I28:I2156, MATCH(1, ('1 orders'!A28:A2156=A28)*('1 orders'!G28:G2156=F28), 0))
</f>
        <v>25</v>
      </c>
      <c r="M28" s="10">
        <f>IFERROR(__xludf.DUMMYFUNCTION("COUNTUNIQUEIFS($A$2:$A28,$F$2:$F28,F28)"),1.0)</f>
        <v>1</v>
      </c>
      <c r="N28" s="10">
        <f t="shared" si="1"/>
        <v>0</v>
      </c>
      <c r="O28" s="26">
        <f>IF(operations[sinceLastOrder]=0,0,operations[orderQuantity] / operations[sinceLastOrder])</f>
        <v>0</v>
      </c>
      <c r="P28" s="9">
        <v>81.91</v>
      </c>
      <c r="Q28" s="7" t="s">
        <v>13</v>
      </c>
      <c r="R28" s="10">
        <f>operations[arrivedDate]-operations[shippedDate]</f>
        <v>14</v>
      </c>
    </row>
    <row r="29" ht="15.75" customHeight="1">
      <c r="A29" s="6">
        <v>10257.0</v>
      </c>
      <c r="B29" s="24">
        <v>44758.0</v>
      </c>
      <c r="C29" s="24">
        <v>44786.0</v>
      </c>
      <c r="D29" s="24">
        <v>44764.0</v>
      </c>
      <c r="E29" s="24">
        <v>44778.0</v>
      </c>
      <c r="F29" s="6">
        <v>39.0</v>
      </c>
      <c r="G29" s="9" t="str">
        <f>VLOOKUP(operations[productID],products[],2,FALSE)</f>
        <v>Chartreuse verte</v>
      </c>
      <c r="H29" s="9" t="str">
        <f>IF(VLOOKUP(operations[productID],products[],7,FALSE)=1,"Discontinued","Current")</f>
        <v>Current</v>
      </c>
      <c r="I29" s="6">
        <f>VLOOKUP(operations[productID],products[],4,FALSE)</f>
        <v>69</v>
      </c>
      <c r="J29" s="6">
        <f>VLOOKUP(operations[productID],products[],5,FALSE)</f>
        <v>0</v>
      </c>
      <c r="K29" s="6">
        <f>VLOOKUP(operations[productID],products[],6,FALSE)</f>
        <v>5</v>
      </c>
      <c r="L29" s="10">
        <f t="array" ref="L29">INDEX('1 orders'!I29:I2156, MATCH(1, ('1 orders'!A29:A2156=A29)*('1 orders'!G29:G2156=F29), 0))
</f>
        <v>6</v>
      </c>
      <c r="M29" s="10">
        <f>IFERROR(__xludf.DUMMYFUNCTION("COUNTUNIQUEIFS($A$2:$A29,$F$2:$F29,F29)"),2.0)</f>
        <v>2</v>
      </c>
      <c r="N29" s="10">
        <f t="shared" si="1"/>
        <v>6</v>
      </c>
      <c r="O29" s="26">
        <f>IF(operations[sinceLastOrder]=0,0,operations[orderQuantity] / operations[sinceLastOrder])</f>
        <v>1</v>
      </c>
      <c r="P29" s="9">
        <v>81.91</v>
      </c>
      <c r="Q29" s="7" t="s">
        <v>13</v>
      </c>
      <c r="R29" s="10">
        <f>operations[arrivedDate]-operations[shippedDate]</f>
        <v>14</v>
      </c>
    </row>
    <row r="30" ht="15.75" customHeight="1">
      <c r="A30" s="6">
        <v>10257.0</v>
      </c>
      <c r="B30" s="24">
        <v>44758.0</v>
      </c>
      <c r="C30" s="24">
        <v>44786.0</v>
      </c>
      <c r="D30" s="24">
        <v>44764.0</v>
      </c>
      <c r="E30" s="24">
        <v>44778.0</v>
      </c>
      <c r="F30" s="6">
        <v>77.0</v>
      </c>
      <c r="G30" s="9" t="str">
        <f>VLOOKUP(operations[productID],products[],2,FALSE)</f>
        <v>Original Frankfurter grüne Soße</v>
      </c>
      <c r="H30" s="9" t="str">
        <f>IF(VLOOKUP(operations[productID],products[],7,FALSE)=1,"Discontinued","Current")</f>
        <v>Current</v>
      </c>
      <c r="I30" s="6">
        <f>VLOOKUP(operations[productID],products[],4,FALSE)</f>
        <v>32</v>
      </c>
      <c r="J30" s="6">
        <f>VLOOKUP(operations[productID],products[],5,FALSE)</f>
        <v>0</v>
      </c>
      <c r="K30" s="6">
        <f>VLOOKUP(operations[productID],products[],6,FALSE)</f>
        <v>15</v>
      </c>
      <c r="L30" s="10">
        <f t="array" ref="L30">INDEX('1 orders'!I30:I2156, MATCH(1, ('1 orders'!A30:A2156=A30)*('1 orders'!G30:G2156=F30), 0))
</f>
        <v>15</v>
      </c>
      <c r="M30" s="10">
        <f>IFERROR(__xludf.DUMMYFUNCTION("COUNTUNIQUEIFS($A$2:$A30,$F$2:$F30,F30)"),2.0)</f>
        <v>2</v>
      </c>
      <c r="N30" s="10">
        <f t="shared" si="1"/>
        <v>1</v>
      </c>
      <c r="O30" s="26">
        <f>IF(operations[sinceLastOrder]=0,0,operations[orderQuantity] / operations[sinceLastOrder])</f>
        <v>15</v>
      </c>
      <c r="P30" s="9">
        <v>81.91</v>
      </c>
      <c r="Q30" s="7" t="s">
        <v>13</v>
      </c>
      <c r="R30" s="10">
        <f>operations[arrivedDate]-operations[shippedDate]</f>
        <v>14</v>
      </c>
    </row>
    <row r="31" ht="15.75" customHeight="1">
      <c r="A31" s="6">
        <v>10258.0</v>
      </c>
      <c r="B31" s="24">
        <v>44759.0</v>
      </c>
      <c r="C31" s="24">
        <v>44787.0</v>
      </c>
      <c r="D31" s="24">
        <v>44765.0</v>
      </c>
      <c r="E31" s="24">
        <v>44774.0</v>
      </c>
      <c r="F31" s="6">
        <v>2.0</v>
      </c>
      <c r="G31" s="9" t="str">
        <f>VLOOKUP(operations[productID],products[],2,FALSE)</f>
        <v>Chang</v>
      </c>
      <c r="H31" s="9" t="str">
        <f>IF(VLOOKUP(operations[productID],products[],7,FALSE)=1,"Discontinued","Current")</f>
        <v>Current</v>
      </c>
      <c r="I31" s="6">
        <f>VLOOKUP(operations[productID],products[],4,FALSE)</f>
        <v>17</v>
      </c>
      <c r="J31" s="6">
        <f>VLOOKUP(operations[productID],products[],5,FALSE)</f>
        <v>40</v>
      </c>
      <c r="K31" s="6">
        <f>VLOOKUP(operations[productID],products[],6,FALSE)</f>
        <v>25</v>
      </c>
      <c r="L31" s="10">
        <f t="array" ref="L31">INDEX('1 orders'!I31:I2156, MATCH(1, ('1 orders'!A31:A2156=A31)*('1 orders'!G31:G2156=F31), 0))
</f>
        <v>50</v>
      </c>
      <c r="M31" s="10">
        <f>IFERROR(__xludf.DUMMYFUNCTION("COUNTUNIQUEIFS($A$2:$A31,$F$2:$F31,F31)"),2.0)</f>
        <v>2</v>
      </c>
      <c r="N31" s="10">
        <f t="shared" si="1"/>
        <v>5</v>
      </c>
      <c r="O31" s="26">
        <f>IF(operations[sinceLastOrder]=0,0,operations[orderQuantity] / operations[sinceLastOrder])</f>
        <v>10</v>
      </c>
      <c r="P31" s="9">
        <v>140.51</v>
      </c>
      <c r="Q31" s="7" t="s">
        <v>15</v>
      </c>
      <c r="R31" s="10">
        <f>operations[arrivedDate]-operations[shippedDate]</f>
        <v>9</v>
      </c>
    </row>
    <row r="32" ht="15.75" customHeight="1">
      <c r="A32" s="6">
        <v>10258.0</v>
      </c>
      <c r="B32" s="24">
        <v>44759.0</v>
      </c>
      <c r="C32" s="24">
        <v>44787.0</v>
      </c>
      <c r="D32" s="24">
        <v>44765.0</v>
      </c>
      <c r="E32" s="24">
        <v>44774.0</v>
      </c>
      <c r="F32" s="6">
        <v>5.0</v>
      </c>
      <c r="G32" s="9" t="str">
        <f>VLOOKUP(operations[productID],products[],2,FALSE)</f>
        <v>Chef Anton's Gumbo Mix</v>
      </c>
      <c r="H32" s="9" t="str">
        <f>IF(VLOOKUP(operations[productID],products[],7,FALSE)=1,"Discontinued","Current")</f>
        <v>Discontinued</v>
      </c>
      <c r="I32" s="6">
        <f>VLOOKUP(operations[productID],products[],4,FALSE)</f>
        <v>0</v>
      </c>
      <c r="J32" s="6">
        <f>VLOOKUP(operations[productID],products[],5,FALSE)</f>
        <v>0</v>
      </c>
      <c r="K32" s="6">
        <f>VLOOKUP(operations[productID],products[],6,FALSE)</f>
        <v>0</v>
      </c>
      <c r="L32" s="10">
        <f t="array" ref="L32">INDEX('1 orders'!I32:I2156, MATCH(1, ('1 orders'!A32:A2156=A32)*('1 orders'!G32:G2156=F32), 0))
</f>
        <v>65</v>
      </c>
      <c r="M32" s="10">
        <f>IFERROR(__xludf.DUMMYFUNCTION("COUNTUNIQUEIFS($A$2:$A32,$F$2:$F32,F32)"),1.0)</f>
        <v>1</v>
      </c>
      <c r="N32" s="10">
        <f t="shared" si="1"/>
        <v>0</v>
      </c>
      <c r="O32" s="26">
        <f>IF(operations[sinceLastOrder]=0,0,operations[orderQuantity] / operations[sinceLastOrder])</f>
        <v>0</v>
      </c>
      <c r="P32" s="9">
        <v>140.51</v>
      </c>
      <c r="Q32" s="7" t="s">
        <v>15</v>
      </c>
      <c r="R32" s="10">
        <f>operations[arrivedDate]-operations[shippedDate]</f>
        <v>9</v>
      </c>
    </row>
    <row r="33" ht="15.75" customHeight="1">
      <c r="A33" s="6">
        <v>10258.0</v>
      </c>
      <c r="B33" s="24">
        <v>44759.0</v>
      </c>
      <c r="C33" s="24">
        <v>44787.0</v>
      </c>
      <c r="D33" s="24">
        <v>44765.0</v>
      </c>
      <c r="E33" s="24">
        <v>44774.0</v>
      </c>
      <c r="F33" s="6">
        <v>32.0</v>
      </c>
      <c r="G33" s="9" t="str">
        <f>VLOOKUP(operations[productID],products[],2,FALSE)</f>
        <v>Mascarpone Fabioli</v>
      </c>
      <c r="H33" s="9" t="str">
        <f>IF(VLOOKUP(operations[productID],products[],7,FALSE)=1,"Discontinued","Current")</f>
        <v>Current</v>
      </c>
      <c r="I33" s="6">
        <f>VLOOKUP(operations[productID],products[],4,FALSE)</f>
        <v>9</v>
      </c>
      <c r="J33" s="6">
        <f>VLOOKUP(operations[productID],products[],5,FALSE)</f>
        <v>40</v>
      </c>
      <c r="K33" s="6">
        <f>VLOOKUP(operations[productID],products[],6,FALSE)</f>
        <v>25</v>
      </c>
      <c r="L33" s="10">
        <f t="array" ref="L33">INDEX('1 orders'!I33:I2156, MATCH(1, ('1 orders'!A33:A2156=A33)*('1 orders'!G33:G2156=F33), 0))
</f>
        <v>6</v>
      </c>
      <c r="M33" s="10">
        <f>IFERROR(__xludf.DUMMYFUNCTION("COUNTUNIQUEIFS($A$2:$A33,$F$2:$F33,F33)"),1.0)</f>
        <v>1</v>
      </c>
      <c r="N33" s="10">
        <f t="shared" si="1"/>
        <v>0</v>
      </c>
      <c r="O33" s="26">
        <f>IF(operations[sinceLastOrder]=0,0,operations[orderQuantity] / operations[sinceLastOrder])</f>
        <v>0</v>
      </c>
      <c r="P33" s="9">
        <v>140.51</v>
      </c>
      <c r="Q33" s="7" t="s">
        <v>15</v>
      </c>
      <c r="R33" s="10">
        <f>operations[arrivedDate]-operations[shippedDate]</f>
        <v>9</v>
      </c>
    </row>
    <row r="34" ht="15.75" customHeight="1">
      <c r="A34" s="6">
        <v>10259.0</v>
      </c>
      <c r="B34" s="24">
        <v>44760.0</v>
      </c>
      <c r="C34" s="24">
        <v>44788.0</v>
      </c>
      <c r="D34" s="24">
        <v>44767.0</v>
      </c>
      <c r="E34" s="24">
        <v>44781.0</v>
      </c>
      <c r="F34" s="6">
        <v>21.0</v>
      </c>
      <c r="G34" s="9" t="str">
        <f>VLOOKUP(operations[productID],products[],2,FALSE)</f>
        <v>Sir Rodney's Scones</v>
      </c>
      <c r="H34" s="9" t="str">
        <f>IF(VLOOKUP(operations[productID],products[],7,FALSE)=1,"Discontinued","Current")</f>
        <v>Current</v>
      </c>
      <c r="I34" s="6">
        <f>VLOOKUP(operations[productID],products[],4,FALSE)</f>
        <v>3</v>
      </c>
      <c r="J34" s="6">
        <f>VLOOKUP(operations[productID],products[],5,FALSE)</f>
        <v>40</v>
      </c>
      <c r="K34" s="6">
        <f>VLOOKUP(operations[productID],products[],6,FALSE)</f>
        <v>5</v>
      </c>
      <c r="L34" s="10">
        <f t="array" ref="L34">INDEX('1 orders'!I34:I2156, MATCH(1, ('1 orders'!A34:A2156=A34)*('1 orders'!G34:G2156=F34), 0))
</f>
        <v>10</v>
      </c>
      <c r="M34" s="10">
        <f>IFERROR(__xludf.DUMMYFUNCTION("COUNTUNIQUEIFS($A$2:$A34,$F$2:$F34,F34)"),1.0)</f>
        <v>1</v>
      </c>
      <c r="N34" s="10">
        <f t="shared" si="1"/>
        <v>0</v>
      </c>
      <c r="O34" s="26">
        <f>IF(operations[sinceLastOrder]=0,0,operations[orderQuantity] / operations[sinceLastOrder])</f>
        <v>0</v>
      </c>
      <c r="P34" s="9">
        <v>3.25</v>
      </c>
      <c r="Q34" s="7" t="s">
        <v>13</v>
      </c>
      <c r="R34" s="10">
        <f>operations[arrivedDate]-operations[shippedDate]</f>
        <v>14</v>
      </c>
    </row>
    <row r="35" ht="15.75" customHeight="1">
      <c r="A35" s="6">
        <v>10259.0</v>
      </c>
      <c r="B35" s="24">
        <v>44760.0</v>
      </c>
      <c r="C35" s="24">
        <v>44788.0</v>
      </c>
      <c r="D35" s="24">
        <v>44767.0</v>
      </c>
      <c r="E35" s="24">
        <v>44781.0</v>
      </c>
      <c r="F35" s="6">
        <v>37.0</v>
      </c>
      <c r="G35" s="9" t="str">
        <f>VLOOKUP(operations[productID],products[],2,FALSE)</f>
        <v>Gravad lax</v>
      </c>
      <c r="H35" s="9" t="str">
        <f>IF(VLOOKUP(operations[productID],products[],7,FALSE)=1,"Discontinued","Current")</f>
        <v>Current</v>
      </c>
      <c r="I35" s="6">
        <f>VLOOKUP(operations[productID],products[],4,FALSE)</f>
        <v>11</v>
      </c>
      <c r="J35" s="6">
        <f>VLOOKUP(operations[productID],products[],5,FALSE)</f>
        <v>50</v>
      </c>
      <c r="K35" s="6">
        <f>VLOOKUP(operations[productID],products[],6,FALSE)</f>
        <v>25</v>
      </c>
      <c r="L35" s="10">
        <f t="array" ref="L35">INDEX('1 orders'!I35:I2156, MATCH(1, ('1 orders'!A35:A2156=A35)*('1 orders'!G35:G2156=F35), 0))
</f>
        <v>1</v>
      </c>
      <c r="M35" s="10">
        <f>IFERROR(__xludf.DUMMYFUNCTION("COUNTUNIQUEIFS($A$2:$A35,$F$2:$F35,F35)"),1.0)</f>
        <v>1</v>
      </c>
      <c r="N35" s="10">
        <f t="shared" si="1"/>
        <v>0</v>
      </c>
      <c r="O35" s="26">
        <f>IF(operations[sinceLastOrder]=0,0,operations[orderQuantity] / operations[sinceLastOrder])</f>
        <v>0</v>
      </c>
      <c r="P35" s="9">
        <v>3.25</v>
      </c>
      <c r="Q35" s="7" t="s">
        <v>13</v>
      </c>
      <c r="R35" s="10">
        <f>operations[arrivedDate]-operations[shippedDate]</f>
        <v>14</v>
      </c>
    </row>
    <row r="36" ht="15.75" customHeight="1">
      <c r="A36" s="6">
        <v>10260.0</v>
      </c>
      <c r="B36" s="24">
        <v>44761.0</v>
      </c>
      <c r="C36" s="24">
        <v>44789.0</v>
      </c>
      <c r="D36" s="24">
        <v>44771.0</v>
      </c>
      <c r="E36" s="24">
        <v>44776.0</v>
      </c>
      <c r="F36" s="6">
        <v>41.0</v>
      </c>
      <c r="G36" s="9" t="str">
        <f>VLOOKUP(operations[productID],products[],2,FALSE)</f>
        <v>Jack's New England Clam Chowder</v>
      </c>
      <c r="H36" s="9" t="str">
        <f>IF(VLOOKUP(operations[productID],products[],7,FALSE)=1,"Discontinued","Current")</f>
        <v>Current</v>
      </c>
      <c r="I36" s="6">
        <f>VLOOKUP(operations[productID],products[],4,FALSE)</f>
        <v>85</v>
      </c>
      <c r="J36" s="6">
        <f>VLOOKUP(operations[productID],products[],5,FALSE)</f>
        <v>0</v>
      </c>
      <c r="K36" s="6">
        <f>VLOOKUP(operations[productID],products[],6,FALSE)</f>
        <v>10</v>
      </c>
      <c r="L36" s="10">
        <f t="array" ref="L36">INDEX('1 orders'!I36:I2156, MATCH(1, ('1 orders'!A36:A2156=A36)*('1 orders'!G36:G2156=F36), 0))
</f>
        <v>16</v>
      </c>
      <c r="M36" s="10">
        <f>IFERROR(__xludf.DUMMYFUNCTION("COUNTUNIQUEIFS($A$2:$A36,$F$2:$F36,F36)"),2.0)</f>
        <v>2</v>
      </c>
      <c r="N36" s="10">
        <f t="shared" si="1"/>
        <v>11</v>
      </c>
      <c r="O36" s="26">
        <f>IF(operations[sinceLastOrder]=0,0,operations[orderQuantity] / operations[sinceLastOrder])</f>
        <v>1.454545455</v>
      </c>
      <c r="P36" s="9">
        <v>55.09</v>
      </c>
      <c r="Q36" s="7" t="s">
        <v>15</v>
      </c>
      <c r="R36" s="10">
        <f>operations[arrivedDate]-operations[shippedDate]</f>
        <v>5</v>
      </c>
    </row>
    <row r="37" ht="15.75" customHeight="1">
      <c r="A37" s="6">
        <v>10260.0</v>
      </c>
      <c r="B37" s="24">
        <v>44761.0</v>
      </c>
      <c r="C37" s="24">
        <v>44789.0</v>
      </c>
      <c r="D37" s="24">
        <v>44771.0</v>
      </c>
      <c r="E37" s="24">
        <v>44776.0</v>
      </c>
      <c r="F37" s="6">
        <v>57.0</v>
      </c>
      <c r="G37" s="9" t="str">
        <f>VLOOKUP(operations[productID],products[],2,FALSE)</f>
        <v>Ravioli Angelo</v>
      </c>
      <c r="H37" s="9" t="str">
        <f>IF(VLOOKUP(operations[productID],products[],7,FALSE)=1,"Discontinued","Current")</f>
        <v>Current</v>
      </c>
      <c r="I37" s="6">
        <f>VLOOKUP(operations[productID],products[],4,FALSE)</f>
        <v>36</v>
      </c>
      <c r="J37" s="6">
        <f>VLOOKUP(operations[productID],products[],5,FALSE)</f>
        <v>0</v>
      </c>
      <c r="K37" s="6">
        <f>VLOOKUP(operations[productID],products[],6,FALSE)</f>
        <v>20</v>
      </c>
      <c r="L37" s="10">
        <f t="array" ref="L37">INDEX('1 orders'!I37:I2156, MATCH(1, ('1 orders'!A37:A2156=A37)*('1 orders'!G37:G2156=F37), 0))
</f>
        <v>50</v>
      </c>
      <c r="M37" s="10">
        <f>IFERROR(__xludf.DUMMYFUNCTION("COUNTUNIQUEIFS($A$2:$A37,$F$2:$F37,F37)"),2.0)</f>
        <v>2</v>
      </c>
      <c r="N37" s="10">
        <f t="shared" si="1"/>
        <v>11</v>
      </c>
      <c r="O37" s="26">
        <f>IF(operations[sinceLastOrder]=0,0,operations[orderQuantity] / operations[sinceLastOrder])</f>
        <v>4.545454545</v>
      </c>
      <c r="P37" s="9">
        <v>55.09</v>
      </c>
      <c r="Q37" s="7" t="s">
        <v>15</v>
      </c>
      <c r="R37" s="10">
        <f>operations[arrivedDate]-operations[shippedDate]</f>
        <v>5</v>
      </c>
    </row>
    <row r="38" ht="15.75" customHeight="1">
      <c r="A38" s="6">
        <v>10260.0</v>
      </c>
      <c r="B38" s="24">
        <v>44761.0</v>
      </c>
      <c r="C38" s="24">
        <v>44789.0</v>
      </c>
      <c r="D38" s="24">
        <v>44771.0</v>
      </c>
      <c r="E38" s="24">
        <v>44776.0</v>
      </c>
      <c r="F38" s="6">
        <v>62.0</v>
      </c>
      <c r="G38" s="9" t="str">
        <f>VLOOKUP(operations[productID],products[],2,FALSE)</f>
        <v>Tarte au sucre</v>
      </c>
      <c r="H38" s="9" t="str">
        <f>IF(VLOOKUP(operations[productID],products[],7,FALSE)=1,"Discontinued","Current")</f>
        <v>Current</v>
      </c>
      <c r="I38" s="6">
        <f>VLOOKUP(operations[productID],products[],4,FALSE)</f>
        <v>17</v>
      </c>
      <c r="J38" s="6">
        <f>VLOOKUP(operations[productID],products[],5,FALSE)</f>
        <v>0</v>
      </c>
      <c r="K38" s="6">
        <f>VLOOKUP(operations[productID],products[],6,FALSE)</f>
        <v>0</v>
      </c>
      <c r="L38" s="10">
        <f t="array" ref="L38">INDEX('1 orders'!I38:I2156, MATCH(1, ('1 orders'!A38:A2156=A38)*('1 orders'!G38:G2156=F38), 0))
</f>
        <v>15</v>
      </c>
      <c r="M38" s="10">
        <f>IFERROR(__xludf.DUMMYFUNCTION("COUNTUNIQUEIFS($A$2:$A38,$F$2:$F38,F38)"),1.0)</f>
        <v>1</v>
      </c>
      <c r="N38" s="10">
        <f t="shared" si="1"/>
        <v>0</v>
      </c>
      <c r="O38" s="26">
        <f>IF(operations[sinceLastOrder]=0,0,operations[orderQuantity] / operations[sinceLastOrder])</f>
        <v>0</v>
      </c>
      <c r="P38" s="9">
        <v>55.09</v>
      </c>
      <c r="Q38" s="7" t="s">
        <v>15</v>
      </c>
      <c r="R38" s="10">
        <f>operations[arrivedDate]-operations[shippedDate]</f>
        <v>5</v>
      </c>
    </row>
    <row r="39" ht="15.75" customHeight="1">
      <c r="A39" s="6">
        <v>10260.0</v>
      </c>
      <c r="B39" s="24">
        <v>44761.0</v>
      </c>
      <c r="C39" s="24">
        <v>44789.0</v>
      </c>
      <c r="D39" s="24">
        <v>44771.0</v>
      </c>
      <c r="E39" s="24">
        <v>44776.0</v>
      </c>
      <c r="F39" s="6">
        <v>70.0</v>
      </c>
      <c r="G39" s="9" t="str">
        <f>VLOOKUP(operations[productID],products[],2,FALSE)</f>
        <v>Outback Lager</v>
      </c>
      <c r="H39" s="9" t="str">
        <f>IF(VLOOKUP(operations[productID],products[],7,FALSE)=1,"Discontinued","Current")</f>
        <v>Current</v>
      </c>
      <c r="I39" s="6">
        <f>VLOOKUP(operations[productID],products[],4,FALSE)</f>
        <v>15</v>
      </c>
      <c r="J39" s="6">
        <f>VLOOKUP(operations[productID],products[],5,FALSE)</f>
        <v>10</v>
      </c>
      <c r="K39" s="6">
        <f>VLOOKUP(operations[productID],products[],6,FALSE)</f>
        <v>30</v>
      </c>
      <c r="L39" s="10">
        <f t="array" ref="L39">INDEX('1 orders'!I39:I2156, MATCH(1, ('1 orders'!A39:A2156=A39)*('1 orders'!G39:G2156=F39), 0))
</f>
        <v>21</v>
      </c>
      <c r="M39" s="10">
        <f>IFERROR(__xludf.DUMMYFUNCTION("COUNTUNIQUEIFS($A$2:$A39,$F$2:$F39,F39)"),1.0)</f>
        <v>1</v>
      </c>
      <c r="N39" s="10">
        <f t="shared" si="1"/>
        <v>0</v>
      </c>
      <c r="O39" s="26">
        <f>IF(operations[sinceLastOrder]=0,0,operations[orderQuantity] / operations[sinceLastOrder])</f>
        <v>0</v>
      </c>
      <c r="P39" s="9">
        <v>55.09</v>
      </c>
      <c r="Q39" s="7" t="s">
        <v>15</v>
      </c>
      <c r="R39" s="10">
        <f>operations[arrivedDate]-operations[shippedDate]</f>
        <v>5</v>
      </c>
    </row>
    <row r="40" ht="15.75" customHeight="1">
      <c r="A40" s="6">
        <v>10261.0</v>
      </c>
      <c r="B40" s="24">
        <v>44761.0</v>
      </c>
      <c r="C40" s="24">
        <v>44789.0</v>
      </c>
      <c r="D40" s="24">
        <v>44772.0</v>
      </c>
      <c r="E40" s="24">
        <v>44789.0</v>
      </c>
      <c r="F40" s="6">
        <v>21.0</v>
      </c>
      <c r="G40" s="9" t="str">
        <f>VLOOKUP(operations[productID],products[],2,FALSE)</f>
        <v>Sir Rodney's Scones</v>
      </c>
      <c r="H40" s="9" t="str">
        <f>IF(VLOOKUP(operations[productID],products[],7,FALSE)=1,"Discontinued","Current")</f>
        <v>Current</v>
      </c>
      <c r="I40" s="6">
        <f>VLOOKUP(operations[productID],products[],4,FALSE)</f>
        <v>3</v>
      </c>
      <c r="J40" s="6">
        <f>VLOOKUP(operations[productID],products[],5,FALSE)</f>
        <v>40</v>
      </c>
      <c r="K40" s="6">
        <f>VLOOKUP(operations[productID],products[],6,FALSE)</f>
        <v>5</v>
      </c>
      <c r="L40" s="10">
        <f t="array" ref="L40">INDEX('1 orders'!I40:I2156, MATCH(1, ('1 orders'!A40:A2156=A40)*('1 orders'!G40:G2156=F40), 0))
</f>
        <v>20</v>
      </c>
      <c r="M40" s="10">
        <f>IFERROR(__xludf.DUMMYFUNCTION("COUNTUNIQUEIFS($A$2:$A40,$F$2:$F40,F40)"),2.0)</f>
        <v>2</v>
      </c>
      <c r="N40" s="10">
        <f t="shared" si="1"/>
        <v>1</v>
      </c>
      <c r="O40" s="26">
        <f>IF(operations[sinceLastOrder]=0,0,operations[orderQuantity] / operations[sinceLastOrder])</f>
        <v>20</v>
      </c>
      <c r="P40" s="9">
        <v>3.05</v>
      </c>
      <c r="Q40" s="7" t="s">
        <v>17</v>
      </c>
      <c r="R40" s="10">
        <f>operations[arrivedDate]-operations[shippedDate]</f>
        <v>17</v>
      </c>
    </row>
    <row r="41" ht="15.75" customHeight="1">
      <c r="A41" s="6">
        <v>10261.0</v>
      </c>
      <c r="B41" s="24">
        <v>44761.0</v>
      </c>
      <c r="C41" s="24">
        <v>44789.0</v>
      </c>
      <c r="D41" s="24">
        <v>44772.0</v>
      </c>
      <c r="E41" s="24">
        <v>44789.0</v>
      </c>
      <c r="F41" s="6">
        <v>35.0</v>
      </c>
      <c r="G41" s="9" t="str">
        <f>VLOOKUP(operations[productID],products[],2,FALSE)</f>
        <v>Cold Brew Nitro</v>
      </c>
      <c r="H41" s="9" t="str">
        <f>IF(VLOOKUP(operations[productID],products[],7,FALSE)=1,"Discontinued","Current")</f>
        <v>Current</v>
      </c>
      <c r="I41" s="6">
        <f>VLOOKUP(operations[productID],products[],4,FALSE)</f>
        <v>20</v>
      </c>
      <c r="J41" s="6">
        <f>VLOOKUP(operations[productID],products[],5,FALSE)</f>
        <v>0</v>
      </c>
      <c r="K41" s="6">
        <f>VLOOKUP(operations[productID],products[],6,FALSE)</f>
        <v>15</v>
      </c>
      <c r="L41" s="10">
        <f t="array" ref="L41">INDEX('1 orders'!I41:I2156, MATCH(1, ('1 orders'!A41:A2156=A41)*('1 orders'!G41:G2156=F41), 0))
</f>
        <v>20</v>
      </c>
      <c r="M41" s="10">
        <f>IFERROR(__xludf.DUMMYFUNCTION("COUNTUNIQUEIFS($A$2:$A41,$F$2:$F41,F41)"),1.0)</f>
        <v>1</v>
      </c>
      <c r="N41" s="10">
        <f t="shared" si="1"/>
        <v>0</v>
      </c>
      <c r="O41" s="26">
        <f>IF(operations[sinceLastOrder]=0,0,operations[orderQuantity] / operations[sinceLastOrder])</f>
        <v>0</v>
      </c>
      <c r="P41" s="9">
        <v>3.05</v>
      </c>
      <c r="Q41" s="7" t="s">
        <v>17</v>
      </c>
      <c r="R41" s="10">
        <f>operations[arrivedDate]-operations[shippedDate]</f>
        <v>17</v>
      </c>
    </row>
    <row r="42" ht="15.75" customHeight="1">
      <c r="A42" s="6">
        <v>10262.0</v>
      </c>
      <c r="B42" s="24">
        <v>44764.0</v>
      </c>
      <c r="C42" s="24">
        <v>44792.0</v>
      </c>
      <c r="D42" s="24">
        <v>44767.0</v>
      </c>
      <c r="E42" s="24">
        <v>44784.0</v>
      </c>
      <c r="F42" s="6">
        <v>5.0</v>
      </c>
      <c r="G42" s="9" t="str">
        <f>VLOOKUP(operations[productID],products[],2,FALSE)</f>
        <v>Chef Anton's Gumbo Mix</v>
      </c>
      <c r="H42" s="9" t="str">
        <f>IF(VLOOKUP(operations[productID],products[],7,FALSE)=1,"Discontinued","Current")</f>
        <v>Discontinued</v>
      </c>
      <c r="I42" s="6">
        <f>VLOOKUP(operations[productID],products[],4,FALSE)</f>
        <v>0</v>
      </c>
      <c r="J42" s="6">
        <f>VLOOKUP(operations[productID],products[],5,FALSE)</f>
        <v>0</v>
      </c>
      <c r="K42" s="6">
        <f>VLOOKUP(operations[productID],products[],6,FALSE)</f>
        <v>0</v>
      </c>
      <c r="L42" s="10">
        <f t="array" ref="L42">INDEX('1 orders'!I42:I2156, MATCH(1, ('1 orders'!A42:A2156=A42)*('1 orders'!G42:G2156=F42), 0))
</f>
        <v>12</v>
      </c>
      <c r="M42" s="10">
        <f>IFERROR(__xludf.DUMMYFUNCTION("COUNTUNIQUEIFS($A$2:$A42,$F$2:$F42,F42)"),2.0)</f>
        <v>2</v>
      </c>
      <c r="N42" s="10">
        <f t="shared" si="1"/>
        <v>5</v>
      </c>
      <c r="O42" s="26">
        <f>IF(operations[sinceLastOrder]=0,0,operations[orderQuantity] / operations[sinceLastOrder])</f>
        <v>2.4</v>
      </c>
      <c r="P42" s="9">
        <v>48.29</v>
      </c>
      <c r="Q42" s="7" t="s">
        <v>13</v>
      </c>
      <c r="R42" s="10">
        <f>operations[arrivedDate]-operations[shippedDate]</f>
        <v>17</v>
      </c>
    </row>
    <row r="43" ht="15.75" customHeight="1">
      <c r="A43" s="6">
        <v>10262.0</v>
      </c>
      <c r="B43" s="24">
        <v>44764.0</v>
      </c>
      <c r="C43" s="24">
        <v>44792.0</v>
      </c>
      <c r="D43" s="24">
        <v>44767.0</v>
      </c>
      <c r="E43" s="24">
        <v>44784.0</v>
      </c>
      <c r="F43" s="6">
        <v>7.0</v>
      </c>
      <c r="G43" s="9" t="str">
        <f>VLOOKUP(operations[productID],products[],2,FALSE)</f>
        <v>Uncle Bob's Organic Dried Pears</v>
      </c>
      <c r="H43" s="9" t="str">
        <f>IF(VLOOKUP(operations[productID],products[],7,FALSE)=1,"Discontinued","Current")</f>
        <v>Current</v>
      </c>
      <c r="I43" s="6">
        <f>VLOOKUP(operations[productID],products[],4,FALSE)</f>
        <v>15</v>
      </c>
      <c r="J43" s="6">
        <f>VLOOKUP(operations[productID],products[],5,FALSE)</f>
        <v>0</v>
      </c>
      <c r="K43" s="6">
        <f>VLOOKUP(operations[productID],products[],6,FALSE)</f>
        <v>10</v>
      </c>
      <c r="L43" s="10">
        <f t="array" ref="L43">INDEX('1 orders'!I43:I2156, MATCH(1, ('1 orders'!A43:A2156=A43)*('1 orders'!G43:G2156=F43), 0))
</f>
        <v>15</v>
      </c>
      <c r="M43" s="10">
        <f>IFERROR(__xludf.DUMMYFUNCTION("COUNTUNIQUEIFS($A$2:$A43,$F$2:$F43,F43)"),1.0)</f>
        <v>1</v>
      </c>
      <c r="N43" s="10">
        <f t="shared" si="1"/>
        <v>0</v>
      </c>
      <c r="O43" s="26">
        <f>IF(operations[sinceLastOrder]=0,0,operations[orderQuantity] / operations[sinceLastOrder])</f>
        <v>0</v>
      </c>
      <c r="P43" s="9">
        <v>48.29</v>
      </c>
      <c r="Q43" s="7" t="s">
        <v>13</v>
      </c>
      <c r="R43" s="10">
        <f>operations[arrivedDate]-operations[shippedDate]</f>
        <v>17</v>
      </c>
    </row>
    <row r="44" ht="15.75" customHeight="1">
      <c r="A44" s="6">
        <v>10262.0</v>
      </c>
      <c r="B44" s="24">
        <v>44764.0</v>
      </c>
      <c r="C44" s="24">
        <v>44792.0</v>
      </c>
      <c r="D44" s="24">
        <v>44767.0</v>
      </c>
      <c r="E44" s="24">
        <v>44784.0</v>
      </c>
      <c r="F44" s="6">
        <v>56.0</v>
      </c>
      <c r="G44" s="9" t="str">
        <f>VLOOKUP(operations[productID],products[],2,FALSE)</f>
        <v>Gnocchi di nonna Alice</v>
      </c>
      <c r="H44" s="9" t="str">
        <f>IF(VLOOKUP(operations[productID],products[],7,FALSE)=1,"Discontinued","Current")</f>
        <v>Current</v>
      </c>
      <c r="I44" s="6">
        <f>VLOOKUP(operations[productID],products[],4,FALSE)</f>
        <v>21</v>
      </c>
      <c r="J44" s="6">
        <f>VLOOKUP(operations[productID],products[],5,FALSE)</f>
        <v>10</v>
      </c>
      <c r="K44" s="6">
        <f>VLOOKUP(operations[productID],products[],6,FALSE)</f>
        <v>30</v>
      </c>
      <c r="L44" s="10">
        <f t="array" ref="L44">INDEX('1 orders'!I44:I2156, MATCH(1, ('1 orders'!A44:A2156=A44)*('1 orders'!G44:G2156=F44), 0))
</f>
        <v>2</v>
      </c>
      <c r="M44" s="10">
        <f>IFERROR(__xludf.DUMMYFUNCTION("COUNTUNIQUEIFS($A$2:$A44,$F$2:$F44,F44)"),1.0)</f>
        <v>1</v>
      </c>
      <c r="N44" s="10">
        <f t="shared" si="1"/>
        <v>0</v>
      </c>
      <c r="O44" s="26">
        <f>IF(operations[sinceLastOrder]=0,0,operations[orderQuantity] / operations[sinceLastOrder])</f>
        <v>0</v>
      </c>
      <c r="P44" s="9">
        <v>48.29</v>
      </c>
      <c r="Q44" s="7" t="s">
        <v>13</v>
      </c>
      <c r="R44" s="10">
        <f>operations[arrivedDate]-operations[shippedDate]</f>
        <v>17</v>
      </c>
    </row>
    <row r="45" ht="15.75" customHeight="1">
      <c r="A45" s="6">
        <v>10263.0</v>
      </c>
      <c r="B45" s="24">
        <v>44765.0</v>
      </c>
      <c r="C45" s="24">
        <v>44793.0</v>
      </c>
      <c r="D45" s="24">
        <v>44773.0</v>
      </c>
      <c r="E45" s="24">
        <v>44784.0</v>
      </c>
      <c r="F45" s="6">
        <v>16.0</v>
      </c>
      <c r="G45" s="9" t="str">
        <f>VLOOKUP(operations[productID],products[],2,FALSE)</f>
        <v>Pavlova</v>
      </c>
      <c r="H45" s="9" t="str">
        <f>IF(VLOOKUP(operations[productID],products[],7,FALSE)=1,"Discontinued","Current")</f>
        <v>Current</v>
      </c>
      <c r="I45" s="6">
        <f>VLOOKUP(operations[productID],products[],4,FALSE)</f>
        <v>29</v>
      </c>
      <c r="J45" s="6">
        <f>VLOOKUP(operations[productID],products[],5,FALSE)</f>
        <v>0</v>
      </c>
      <c r="K45" s="6">
        <f>VLOOKUP(operations[productID],products[],6,FALSE)</f>
        <v>10</v>
      </c>
      <c r="L45" s="10">
        <f t="array" ref="L45">INDEX('1 orders'!I45:I2156, MATCH(1, ('1 orders'!A45:A2156=A45)*('1 orders'!G45:G2156=F45), 0))
</f>
        <v>60</v>
      </c>
      <c r="M45" s="10">
        <f>IFERROR(__xludf.DUMMYFUNCTION("COUNTUNIQUEIFS($A$2:$A45,$F$2:$F45,F45)"),2.0)</f>
        <v>2</v>
      </c>
      <c r="N45" s="10">
        <f t="shared" si="1"/>
        <v>11</v>
      </c>
      <c r="O45" s="26">
        <f>IF(operations[sinceLastOrder]=0,0,operations[orderQuantity] / operations[sinceLastOrder])</f>
        <v>5.454545455</v>
      </c>
      <c r="P45" s="9">
        <v>146.06</v>
      </c>
      <c r="Q45" s="7" t="s">
        <v>13</v>
      </c>
      <c r="R45" s="10">
        <f>operations[arrivedDate]-operations[shippedDate]</f>
        <v>11</v>
      </c>
    </row>
    <row r="46" ht="15.75" customHeight="1">
      <c r="A46" s="6">
        <v>10263.0</v>
      </c>
      <c r="B46" s="24">
        <v>44765.0</v>
      </c>
      <c r="C46" s="24">
        <v>44793.0</v>
      </c>
      <c r="D46" s="24">
        <v>44773.0</v>
      </c>
      <c r="E46" s="24">
        <v>44784.0</v>
      </c>
      <c r="F46" s="6">
        <v>24.0</v>
      </c>
      <c r="G46" s="9" t="str">
        <f>VLOOKUP(operations[productID],products[],2,FALSE)</f>
        <v>Brigadeiros Maravilhosos da Lilian</v>
      </c>
      <c r="H46" s="9" t="str">
        <f>IF(VLOOKUP(operations[productID],products[],7,FALSE)=1,"Discontinued","Current")</f>
        <v>Discontinued</v>
      </c>
      <c r="I46" s="6">
        <f>VLOOKUP(operations[productID],products[],4,FALSE)</f>
        <v>20</v>
      </c>
      <c r="J46" s="6">
        <f>VLOOKUP(operations[productID],products[],5,FALSE)</f>
        <v>0</v>
      </c>
      <c r="K46" s="6">
        <f>VLOOKUP(operations[productID],products[],6,FALSE)</f>
        <v>0</v>
      </c>
      <c r="L46" s="10">
        <f t="array" ref="L46">INDEX('1 orders'!I46:I2156, MATCH(1, ('1 orders'!A46:A2156=A46)*('1 orders'!G46:G2156=F46), 0))
</f>
        <v>28</v>
      </c>
      <c r="M46" s="10">
        <f>IFERROR(__xludf.DUMMYFUNCTION("COUNTUNIQUEIFS($A$2:$A46,$F$2:$F46,F46)"),2.0)</f>
        <v>2</v>
      </c>
      <c r="N46" s="10">
        <f t="shared" si="1"/>
        <v>12</v>
      </c>
      <c r="O46" s="26">
        <f>IF(operations[sinceLastOrder]=0,0,operations[orderQuantity] / operations[sinceLastOrder])</f>
        <v>2.333333333</v>
      </c>
      <c r="P46" s="9">
        <v>146.06</v>
      </c>
      <c r="Q46" s="7" t="s">
        <v>13</v>
      </c>
      <c r="R46" s="10">
        <f>operations[arrivedDate]-operations[shippedDate]</f>
        <v>11</v>
      </c>
    </row>
    <row r="47" ht="15.75" customHeight="1">
      <c r="A47" s="6">
        <v>10263.0</v>
      </c>
      <c r="B47" s="24">
        <v>44765.0</v>
      </c>
      <c r="C47" s="24">
        <v>44793.0</v>
      </c>
      <c r="D47" s="24">
        <v>44773.0</v>
      </c>
      <c r="E47" s="24">
        <v>44784.0</v>
      </c>
      <c r="F47" s="6">
        <v>30.0</v>
      </c>
      <c r="G47" s="9" t="str">
        <f>VLOOKUP(operations[productID],products[],2,FALSE)</f>
        <v>Nord-Ost Matjeshering</v>
      </c>
      <c r="H47" s="9" t="str">
        <f>IF(VLOOKUP(operations[productID],products[],7,FALSE)=1,"Discontinued","Current")</f>
        <v>Current</v>
      </c>
      <c r="I47" s="6">
        <f>VLOOKUP(operations[productID],products[],4,FALSE)</f>
        <v>10</v>
      </c>
      <c r="J47" s="6">
        <f>VLOOKUP(operations[productID],products[],5,FALSE)</f>
        <v>0</v>
      </c>
      <c r="K47" s="6">
        <f>VLOOKUP(operations[productID],products[],6,FALSE)</f>
        <v>15</v>
      </c>
      <c r="L47" s="10">
        <f t="array" ref="L47">INDEX('1 orders'!I47:I2156, MATCH(1, ('1 orders'!A47:A2156=A47)*('1 orders'!G47:G2156=F47), 0))
</f>
        <v>60</v>
      </c>
      <c r="M47" s="10">
        <f>IFERROR(__xludf.DUMMYFUNCTION("COUNTUNIQUEIFS($A$2:$A47,$F$2:$F47,F47)"),1.0)</f>
        <v>1</v>
      </c>
      <c r="N47" s="10">
        <f t="shared" si="1"/>
        <v>0</v>
      </c>
      <c r="O47" s="26">
        <f>IF(operations[sinceLastOrder]=0,0,operations[orderQuantity] / operations[sinceLastOrder])</f>
        <v>0</v>
      </c>
      <c r="P47" s="9">
        <v>146.06</v>
      </c>
      <c r="Q47" s="7" t="s">
        <v>13</v>
      </c>
      <c r="R47" s="10">
        <f>operations[arrivedDate]-operations[shippedDate]</f>
        <v>11</v>
      </c>
    </row>
    <row r="48" ht="15.75" customHeight="1">
      <c r="A48" s="6">
        <v>10263.0</v>
      </c>
      <c r="B48" s="24">
        <v>44765.0</v>
      </c>
      <c r="C48" s="24">
        <v>44793.0</v>
      </c>
      <c r="D48" s="24">
        <v>44773.0</v>
      </c>
      <c r="E48" s="24">
        <v>44784.0</v>
      </c>
      <c r="F48" s="6">
        <v>74.0</v>
      </c>
      <c r="G48" s="9" t="str">
        <f>VLOOKUP(operations[productID],products[],2,FALSE)</f>
        <v>Longlife Tofu</v>
      </c>
      <c r="H48" s="9" t="str">
        <f>IF(VLOOKUP(operations[productID],products[],7,FALSE)=1,"Discontinued","Current")</f>
        <v>Current</v>
      </c>
      <c r="I48" s="6">
        <f>VLOOKUP(operations[productID],products[],4,FALSE)</f>
        <v>4</v>
      </c>
      <c r="J48" s="6">
        <f>VLOOKUP(operations[productID],products[],5,FALSE)</f>
        <v>20</v>
      </c>
      <c r="K48" s="6">
        <f>VLOOKUP(operations[productID],products[],6,FALSE)</f>
        <v>5</v>
      </c>
      <c r="L48" s="10">
        <f t="array" ref="L48">INDEX('1 orders'!I48:I2156, MATCH(1, ('1 orders'!A48:A2156=A48)*('1 orders'!G48:G2156=F48), 0))
</f>
        <v>36</v>
      </c>
      <c r="M48" s="10">
        <f>IFERROR(__xludf.DUMMYFUNCTION("COUNTUNIQUEIFS($A$2:$A48,$F$2:$F48,F48)"),2.0)</f>
        <v>2</v>
      </c>
      <c r="N48" s="10">
        <f t="shared" si="1"/>
        <v>12</v>
      </c>
      <c r="O48" s="26">
        <f>IF(operations[sinceLastOrder]=0,0,operations[orderQuantity] / operations[sinceLastOrder])</f>
        <v>3</v>
      </c>
      <c r="P48" s="9">
        <v>146.06</v>
      </c>
      <c r="Q48" s="7" t="s">
        <v>13</v>
      </c>
      <c r="R48" s="10">
        <f>operations[arrivedDate]-operations[shippedDate]</f>
        <v>11</v>
      </c>
    </row>
    <row r="49" ht="15.75" customHeight="1">
      <c r="A49" s="6">
        <v>10264.0</v>
      </c>
      <c r="B49" s="24">
        <v>44766.0</v>
      </c>
      <c r="C49" s="24">
        <v>44794.0</v>
      </c>
      <c r="D49" s="24">
        <v>44796.0</v>
      </c>
      <c r="E49" s="24">
        <v>44808.0</v>
      </c>
      <c r="F49" s="6">
        <v>2.0</v>
      </c>
      <c r="G49" s="9" t="str">
        <f>VLOOKUP(operations[productID],products[],2,FALSE)</f>
        <v>Chang</v>
      </c>
      <c r="H49" s="9" t="str">
        <f>IF(VLOOKUP(operations[productID],products[],7,FALSE)=1,"Discontinued","Current")</f>
        <v>Current</v>
      </c>
      <c r="I49" s="6">
        <f>VLOOKUP(operations[productID],products[],4,FALSE)</f>
        <v>17</v>
      </c>
      <c r="J49" s="6">
        <f>VLOOKUP(operations[productID],products[],5,FALSE)</f>
        <v>40</v>
      </c>
      <c r="K49" s="6">
        <f>VLOOKUP(operations[productID],products[],6,FALSE)</f>
        <v>25</v>
      </c>
      <c r="L49" s="10">
        <f t="array" ref="L49">INDEX('1 orders'!I49:I2156, MATCH(1, ('1 orders'!A49:A2156=A49)*('1 orders'!G49:G2156=F49), 0))
</f>
        <v>35</v>
      </c>
      <c r="M49" s="10">
        <f>IFERROR(__xludf.DUMMYFUNCTION("COUNTUNIQUEIFS($A$2:$A49,$F$2:$F49,F49)"),3.0)</f>
        <v>3</v>
      </c>
      <c r="N49" s="10">
        <f t="shared" si="1"/>
        <v>7</v>
      </c>
      <c r="O49" s="26">
        <f>IF(operations[sinceLastOrder]=0,0,operations[orderQuantity] / operations[sinceLastOrder])</f>
        <v>5</v>
      </c>
      <c r="P49" s="9">
        <v>3.67</v>
      </c>
      <c r="Q49" s="7" t="s">
        <v>13</v>
      </c>
      <c r="R49" s="10">
        <f>operations[arrivedDate]-operations[shippedDate]</f>
        <v>12</v>
      </c>
    </row>
    <row r="50" ht="15.75" customHeight="1">
      <c r="A50" s="6">
        <v>10264.0</v>
      </c>
      <c r="B50" s="24">
        <v>44766.0</v>
      </c>
      <c r="C50" s="24">
        <v>44794.0</v>
      </c>
      <c r="D50" s="24">
        <v>44796.0</v>
      </c>
      <c r="E50" s="24">
        <v>44808.0</v>
      </c>
      <c r="F50" s="6">
        <v>41.0</v>
      </c>
      <c r="G50" s="9" t="str">
        <f>VLOOKUP(operations[productID],products[],2,FALSE)</f>
        <v>Jack's New England Clam Chowder</v>
      </c>
      <c r="H50" s="9" t="str">
        <f>IF(VLOOKUP(operations[productID],products[],7,FALSE)=1,"Discontinued","Current")</f>
        <v>Current</v>
      </c>
      <c r="I50" s="6">
        <f>VLOOKUP(operations[productID],products[],4,FALSE)</f>
        <v>85</v>
      </c>
      <c r="J50" s="6">
        <f>VLOOKUP(operations[productID],products[],5,FALSE)</f>
        <v>0</v>
      </c>
      <c r="K50" s="6">
        <f>VLOOKUP(operations[productID],products[],6,FALSE)</f>
        <v>10</v>
      </c>
      <c r="L50" s="10">
        <f t="array" ref="L50">INDEX('1 orders'!I50:I2156, MATCH(1, ('1 orders'!A50:A2156=A50)*('1 orders'!G50:G2156=F50), 0))
</f>
        <v>25</v>
      </c>
      <c r="M50" s="10">
        <f>IFERROR(__xludf.DUMMYFUNCTION("COUNTUNIQUEIFS($A$2:$A50,$F$2:$F50,F50)"),3.0)</f>
        <v>3</v>
      </c>
      <c r="N50" s="10">
        <f t="shared" si="1"/>
        <v>5</v>
      </c>
      <c r="O50" s="26">
        <f>IF(operations[sinceLastOrder]=0,0,operations[orderQuantity] / operations[sinceLastOrder])</f>
        <v>5</v>
      </c>
      <c r="P50" s="9">
        <v>3.67</v>
      </c>
      <c r="Q50" s="7" t="s">
        <v>13</v>
      </c>
      <c r="R50" s="10">
        <f>operations[arrivedDate]-operations[shippedDate]</f>
        <v>12</v>
      </c>
    </row>
    <row r="51" ht="15.75" customHeight="1">
      <c r="A51" s="6">
        <v>10265.0</v>
      </c>
      <c r="B51" s="24">
        <v>44767.0</v>
      </c>
      <c r="C51" s="24">
        <v>44795.0</v>
      </c>
      <c r="D51" s="24">
        <v>44785.0</v>
      </c>
      <c r="E51" s="24">
        <v>44792.0</v>
      </c>
      <c r="F51" s="6">
        <v>17.0</v>
      </c>
      <c r="G51" s="9" t="str">
        <f>VLOOKUP(operations[productID],products[],2,FALSE)</f>
        <v>Alice Mutton</v>
      </c>
      <c r="H51" s="9" t="str">
        <f>IF(VLOOKUP(operations[productID],products[],7,FALSE)=1,"Discontinued","Current")</f>
        <v>Discontinued</v>
      </c>
      <c r="I51" s="6">
        <f>VLOOKUP(operations[productID],products[],4,FALSE)</f>
        <v>0</v>
      </c>
      <c r="J51" s="6">
        <f>VLOOKUP(operations[productID],products[],5,FALSE)</f>
        <v>0</v>
      </c>
      <c r="K51" s="6">
        <f>VLOOKUP(operations[productID],products[],6,FALSE)</f>
        <v>0</v>
      </c>
      <c r="L51" s="10">
        <f t="array" ref="L51">INDEX('1 orders'!I51:I2156, MATCH(1, ('1 orders'!A51:A2156=A51)*('1 orders'!G51:G2156=F51), 0))
</f>
        <v>30</v>
      </c>
      <c r="M51" s="10">
        <f>IFERROR(__xludf.DUMMYFUNCTION("COUNTUNIQUEIFS($A$2:$A51,$F$2:$F51,F51)"),1.0)</f>
        <v>1</v>
      </c>
      <c r="N51" s="10">
        <f t="shared" si="1"/>
        <v>0</v>
      </c>
      <c r="O51" s="26">
        <f>IF(operations[sinceLastOrder]=0,0,operations[orderQuantity] / operations[sinceLastOrder])</f>
        <v>0</v>
      </c>
      <c r="P51" s="9">
        <v>55.28</v>
      </c>
      <c r="Q51" s="7" t="s">
        <v>15</v>
      </c>
      <c r="R51" s="10">
        <f>operations[arrivedDate]-operations[shippedDate]</f>
        <v>7</v>
      </c>
    </row>
    <row r="52" ht="15.75" customHeight="1">
      <c r="A52" s="6">
        <v>10265.0</v>
      </c>
      <c r="B52" s="24">
        <v>44767.0</v>
      </c>
      <c r="C52" s="24">
        <v>44795.0</v>
      </c>
      <c r="D52" s="24">
        <v>44785.0</v>
      </c>
      <c r="E52" s="24">
        <v>44792.0</v>
      </c>
      <c r="F52" s="6">
        <v>70.0</v>
      </c>
      <c r="G52" s="9" t="str">
        <f>VLOOKUP(operations[productID],products[],2,FALSE)</f>
        <v>Outback Lager</v>
      </c>
      <c r="H52" s="9" t="str">
        <f>IF(VLOOKUP(operations[productID],products[],7,FALSE)=1,"Discontinued","Current")</f>
        <v>Current</v>
      </c>
      <c r="I52" s="6">
        <f>VLOOKUP(operations[productID],products[],4,FALSE)</f>
        <v>15</v>
      </c>
      <c r="J52" s="6">
        <f>VLOOKUP(operations[productID],products[],5,FALSE)</f>
        <v>10</v>
      </c>
      <c r="K52" s="6">
        <f>VLOOKUP(operations[productID],products[],6,FALSE)</f>
        <v>30</v>
      </c>
      <c r="L52" s="10">
        <f t="array" ref="L52">INDEX('1 orders'!I52:I2156, MATCH(1, ('1 orders'!A52:A2156=A52)*('1 orders'!G52:G2156=F52), 0))
</f>
        <v>20</v>
      </c>
      <c r="M52" s="10">
        <f>IFERROR(__xludf.DUMMYFUNCTION("COUNTUNIQUEIFS($A$2:$A52,$F$2:$F52,F52)"),2.0)</f>
        <v>2</v>
      </c>
      <c r="N52" s="10">
        <f t="shared" si="1"/>
        <v>6</v>
      </c>
      <c r="O52" s="26">
        <f>IF(operations[sinceLastOrder]=0,0,operations[orderQuantity] / operations[sinceLastOrder])</f>
        <v>3.333333333</v>
      </c>
      <c r="P52" s="9">
        <v>55.28</v>
      </c>
      <c r="Q52" s="7" t="s">
        <v>15</v>
      </c>
      <c r="R52" s="10">
        <f>operations[arrivedDate]-operations[shippedDate]</f>
        <v>7</v>
      </c>
    </row>
    <row r="53" ht="15.75" customHeight="1">
      <c r="A53" s="6">
        <v>10266.0</v>
      </c>
      <c r="B53" s="24">
        <v>44768.0</v>
      </c>
      <c r="C53" s="24">
        <v>44810.0</v>
      </c>
      <c r="D53" s="24">
        <v>44773.0</v>
      </c>
      <c r="E53" s="24">
        <v>44786.0</v>
      </c>
      <c r="F53" s="6">
        <v>12.0</v>
      </c>
      <c r="G53" s="9" t="str">
        <f>VLOOKUP(operations[productID],products[],2,FALSE)</f>
        <v>Queso Manchego La Pastora</v>
      </c>
      <c r="H53" s="9" t="str">
        <f>IF(VLOOKUP(operations[productID],products[],7,FALSE)=1,"Discontinued","Current")</f>
        <v>Current</v>
      </c>
      <c r="I53" s="6">
        <f>VLOOKUP(operations[productID],products[],4,FALSE)</f>
        <v>86</v>
      </c>
      <c r="J53" s="6">
        <f>VLOOKUP(operations[productID],products[],5,FALSE)</f>
        <v>0</v>
      </c>
      <c r="K53" s="6">
        <f>VLOOKUP(operations[productID],products[],6,FALSE)</f>
        <v>0</v>
      </c>
      <c r="L53" s="10">
        <f t="array" ref="L53">INDEX('1 orders'!I53:I2156, MATCH(1, ('1 orders'!A53:A2156=A53)*('1 orders'!G53:G2156=F53), 0))
</f>
        <v>12</v>
      </c>
      <c r="M53" s="10">
        <f>IFERROR(__xludf.DUMMYFUNCTION("COUNTUNIQUEIFS($A$2:$A53,$F$2:$F53,F53)"),1.0)</f>
        <v>1</v>
      </c>
      <c r="N53" s="10">
        <f t="shared" si="1"/>
        <v>0</v>
      </c>
      <c r="O53" s="26">
        <f>IF(operations[sinceLastOrder]=0,0,operations[orderQuantity] / operations[sinceLastOrder])</f>
        <v>0</v>
      </c>
      <c r="P53" s="9">
        <v>25.73</v>
      </c>
      <c r="Q53" s="7" t="s">
        <v>13</v>
      </c>
      <c r="R53" s="10">
        <f>operations[arrivedDate]-operations[shippedDate]</f>
        <v>13</v>
      </c>
    </row>
    <row r="54" ht="15.75" customHeight="1">
      <c r="A54" s="6">
        <v>10267.0</v>
      </c>
      <c r="B54" s="24">
        <v>44771.0</v>
      </c>
      <c r="C54" s="24">
        <v>44799.0</v>
      </c>
      <c r="D54" s="24">
        <v>44779.0</v>
      </c>
      <c r="E54" s="24">
        <v>44783.0</v>
      </c>
      <c r="F54" s="6">
        <v>40.0</v>
      </c>
      <c r="G54" s="9" t="str">
        <f>VLOOKUP(operations[productID],products[],2,FALSE)</f>
        <v>Boston Crab Meat</v>
      </c>
      <c r="H54" s="9" t="str">
        <f>IF(VLOOKUP(operations[productID],products[],7,FALSE)=1,"Discontinued","Current")</f>
        <v>Current</v>
      </c>
      <c r="I54" s="6">
        <f>VLOOKUP(operations[productID],products[],4,FALSE)</f>
        <v>123</v>
      </c>
      <c r="J54" s="6">
        <f>VLOOKUP(operations[productID],products[],5,FALSE)</f>
        <v>0</v>
      </c>
      <c r="K54" s="6">
        <f>VLOOKUP(operations[productID],products[],6,FALSE)</f>
        <v>30</v>
      </c>
      <c r="L54" s="10">
        <f t="array" ref="L54">INDEX('1 orders'!I54:I2156, MATCH(1, ('1 orders'!A54:A2156=A54)*('1 orders'!G54:G2156=F54), 0))
</f>
        <v>50</v>
      </c>
      <c r="M54" s="10">
        <f>IFERROR(__xludf.DUMMYFUNCTION("COUNTUNIQUEIFS($A$2:$A54,$F$2:$F54,F54)"),1.0)</f>
        <v>1</v>
      </c>
      <c r="N54" s="10">
        <f t="shared" si="1"/>
        <v>0</v>
      </c>
      <c r="O54" s="26">
        <f>IF(operations[sinceLastOrder]=0,0,operations[orderQuantity] / operations[sinceLastOrder])</f>
        <v>0</v>
      </c>
      <c r="P54" s="9">
        <v>208.58</v>
      </c>
      <c r="Q54" s="7" t="s">
        <v>15</v>
      </c>
      <c r="R54" s="10">
        <f>operations[arrivedDate]-operations[shippedDate]</f>
        <v>4</v>
      </c>
    </row>
    <row r="55" ht="15.75" customHeight="1">
      <c r="A55" s="6">
        <v>10267.0</v>
      </c>
      <c r="B55" s="24">
        <v>44771.0</v>
      </c>
      <c r="C55" s="24">
        <v>44799.0</v>
      </c>
      <c r="D55" s="24">
        <v>44779.0</v>
      </c>
      <c r="E55" s="24">
        <v>44783.0</v>
      </c>
      <c r="F55" s="6">
        <v>59.0</v>
      </c>
      <c r="G55" s="9" t="str">
        <f>VLOOKUP(operations[productID],products[],2,FALSE)</f>
        <v>Raclette Courdavault</v>
      </c>
      <c r="H55" s="9" t="str">
        <f>IF(VLOOKUP(operations[productID],products[],7,FALSE)=1,"Discontinued","Current")</f>
        <v>Current</v>
      </c>
      <c r="I55" s="6">
        <f>VLOOKUP(operations[productID],products[],4,FALSE)</f>
        <v>79</v>
      </c>
      <c r="J55" s="6">
        <f>VLOOKUP(operations[productID],products[],5,FALSE)</f>
        <v>0</v>
      </c>
      <c r="K55" s="6">
        <f>VLOOKUP(operations[productID],products[],6,FALSE)</f>
        <v>0</v>
      </c>
      <c r="L55" s="10">
        <f t="array" ref="L55">INDEX('1 orders'!I55:I2156, MATCH(1, ('1 orders'!A55:A2156=A55)*('1 orders'!G55:G2156=F55), 0))
</f>
        <v>70</v>
      </c>
      <c r="M55" s="10">
        <f>IFERROR(__xludf.DUMMYFUNCTION("COUNTUNIQUEIFS($A$2:$A55,$F$2:$F55,F55)"),2.0)</f>
        <v>2</v>
      </c>
      <c r="N55" s="10">
        <f t="shared" si="1"/>
        <v>17</v>
      </c>
      <c r="O55" s="26">
        <f>IF(operations[sinceLastOrder]=0,0,operations[orderQuantity] / operations[sinceLastOrder])</f>
        <v>4.117647059</v>
      </c>
      <c r="P55" s="9">
        <v>208.58</v>
      </c>
      <c r="Q55" s="7" t="s">
        <v>15</v>
      </c>
      <c r="R55" s="10">
        <f>operations[arrivedDate]-operations[shippedDate]</f>
        <v>4</v>
      </c>
    </row>
    <row r="56" ht="15.75" customHeight="1">
      <c r="A56" s="6">
        <v>10267.0</v>
      </c>
      <c r="B56" s="24">
        <v>44771.0</v>
      </c>
      <c r="C56" s="24">
        <v>44799.0</v>
      </c>
      <c r="D56" s="24">
        <v>44779.0</v>
      </c>
      <c r="E56" s="24">
        <v>44783.0</v>
      </c>
      <c r="F56" s="6">
        <v>76.0</v>
      </c>
      <c r="G56" s="9" t="str">
        <f>VLOOKUP(operations[productID],products[],2,FALSE)</f>
        <v>Lakkalikööri</v>
      </c>
      <c r="H56" s="9" t="str">
        <f>IF(VLOOKUP(operations[productID],products[],7,FALSE)=1,"Discontinued","Current")</f>
        <v>Current</v>
      </c>
      <c r="I56" s="6">
        <f>VLOOKUP(operations[productID],products[],4,FALSE)</f>
        <v>57</v>
      </c>
      <c r="J56" s="6">
        <f>VLOOKUP(operations[productID],products[],5,FALSE)</f>
        <v>0</v>
      </c>
      <c r="K56" s="6">
        <f>VLOOKUP(operations[productID],products[],6,FALSE)</f>
        <v>20</v>
      </c>
      <c r="L56" s="10">
        <f t="array" ref="L56">INDEX('1 orders'!I56:I2156, MATCH(1, ('1 orders'!A56:A2156=A56)*('1 orders'!G56:G2156=F56), 0))
</f>
        <v>15</v>
      </c>
      <c r="M56" s="10">
        <f>IFERROR(__xludf.DUMMYFUNCTION("COUNTUNIQUEIFS($A$2:$A56,$F$2:$F56,F56)"),1.0)</f>
        <v>1</v>
      </c>
      <c r="N56" s="10">
        <f t="shared" si="1"/>
        <v>0</v>
      </c>
      <c r="O56" s="26">
        <f>IF(operations[sinceLastOrder]=0,0,operations[orderQuantity] / operations[sinceLastOrder])</f>
        <v>0</v>
      </c>
      <c r="P56" s="9">
        <v>208.58</v>
      </c>
      <c r="Q56" s="7" t="s">
        <v>15</v>
      </c>
      <c r="R56" s="10">
        <f>operations[arrivedDate]-operations[shippedDate]</f>
        <v>4</v>
      </c>
    </row>
    <row r="57" ht="15.75" customHeight="1">
      <c r="A57" s="6">
        <v>10268.0</v>
      </c>
      <c r="B57" s="24">
        <v>44772.0</v>
      </c>
      <c r="C57" s="24">
        <v>44800.0</v>
      </c>
      <c r="D57" s="24">
        <v>44775.0</v>
      </c>
      <c r="E57" s="24">
        <v>44786.0</v>
      </c>
      <c r="F57" s="6">
        <v>29.0</v>
      </c>
      <c r="G57" s="9" t="str">
        <f>VLOOKUP(operations[productID],products[],2,FALSE)</f>
        <v>Thüringer Rostbratwurst</v>
      </c>
      <c r="H57" s="9" t="str">
        <f>IF(VLOOKUP(operations[productID],products[],7,FALSE)=1,"Discontinued","Current")</f>
        <v>Discontinued</v>
      </c>
      <c r="I57" s="6">
        <f>VLOOKUP(operations[productID],products[],4,FALSE)</f>
        <v>0</v>
      </c>
      <c r="J57" s="6">
        <f>VLOOKUP(operations[productID],products[],5,FALSE)</f>
        <v>0</v>
      </c>
      <c r="K57" s="6">
        <f>VLOOKUP(operations[productID],products[],6,FALSE)</f>
        <v>0</v>
      </c>
      <c r="L57" s="10">
        <f t="array" ref="L57">INDEX('1 orders'!I57:I2156, MATCH(1, ('1 orders'!A57:A2156=A57)*('1 orders'!G57:G2156=F57), 0))
</f>
        <v>10</v>
      </c>
      <c r="M57" s="10">
        <f>IFERROR(__xludf.DUMMYFUNCTION("COUNTUNIQUEIFS($A$2:$A57,$F$2:$F57,F57)"),1.0)</f>
        <v>1</v>
      </c>
      <c r="N57" s="10">
        <f t="shared" si="1"/>
        <v>0</v>
      </c>
      <c r="O57" s="26">
        <f>IF(operations[sinceLastOrder]=0,0,operations[orderQuantity] / operations[sinceLastOrder])</f>
        <v>0</v>
      </c>
      <c r="P57" s="9">
        <v>66.29</v>
      </c>
      <c r="Q57" s="7" t="s">
        <v>13</v>
      </c>
      <c r="R57" s="10">
        <f>operations[arrivedDate]-operations[shippedDate]</f>
        <v>11</v>
      </c>
    </row>
    <row r="58" ht="15.75" customHeight="1">
      <c r="A58" s="6">
        <v>10268.0</v>
      </c>
      <c r="B58" s="24">
        <v>44772.0</v>
      </c>
      <c r="C58" s="24">
        <v>44800.0</v>
      </c>
      <c r="D58" s="24">
        <v>44775.0</v>
      </c>
      <c r="E58" s="24">
        <v>44786.0</v>
      </c>
      <c r="F58" s="6">
        <v>72.0</v>
      </c>
      <c r="G58" s="9" t="str">
        <f>VLOOKUP(operations[productID],products[],2,FALSE)</f>
        <v>Mozzarella di Giovanni</v>
      </c>
      <c r="H58" s="9" t="str">
        <f>IF(VLOOKUP(operations[productID],products[],7,FALSE)=1,"Discontinued","Current")</f>
        <v>Current</v>
      </c>
      <c r="I58" s="6">
        <f>VLOOKUP(operations[productID],products[],4,FALSE)</f>
        <v>14</v>
      </c>
      <c r="J58" s="6">
        <f>VLOOKUP(operations[productID],products[],5,FALSE)</f>
        <v>0</v>
      </c>
      <c r="K58" s="6">
        <f>VLOOKUP(operations[productID],products[],6,FALSE)</f>
        <v>0</v>
      </c>
      <c r="L58" s="10">
        <f t="array" ref="L58">INDEX('1 orders'!I58:I2156, MATCH(1, ('1 orders'!A58:A2156=A58)*('1 orders'!G58:G2156=F58), 0))
</f>
        <v>4</v>
      </c>
      <c r="M58" s="10">
        <f>IFERROR(__xludf.DUMMYFUNCTION("COUNTUNIQUEIFS($A$2:$A58,$F$2:$F58,F58)"),2.0)</f>
        <v>2</v>
      </c>
      <c r="N58" s="10">
        <f t="shared" si="1"/>
        <v>26</v>
      </c>
      <c r="O58" s="26">
        <f>IF(operations[sinceLastOrder]=0,0,operations[orderQuantity] / operations[sinceLastOrder])</f>
        <v>0.1538461538</v>
      </c>
      <c r="P58" s="9">
        <v>66.29</v>
      </c>
      <c r="Q58" s="7" t="s">
        <v>13</v>
      </c>
      <c r="R58" s="10">
        <f>operations[arrivedDate]-operations[shippedDate]</f>
        <v>11</v>
      </c>
    </row>
    <row r="59" ht="15.75" customHeight="1">
      <c r="A59" s="6">
        <v>10269.0</v>
      </c>
      <c r="B59" s="24">
        <v>44773.0</v>
      </c>
      <c r="C59" s="24">
        <v>44787.0</v>
      </c>
      <c r="D59" s="24">
        <v>44782.0</v>
      </c>
      <c r="E59" s="24">
        <v>44794.0</v>
      </c>
      <c r="F59" s="6">
        <v>33.0</v>
      </c>
      <c r="G59" s="9" t="str">
        <f>VLOOKUP(operations[productID],products[],2,FALSE)</f>
        <v>Geitost</v>
      </c>
      <c r="H59" s="9" t="str">
        <f>IF(VLOOKUP(operations[productID],products[],7,FALSE)=1,"Discontinued","Current")</f>
        <v>Current</v>
      </c>
      <c r="I59" s="6">
        <f>VLOOKUP(operations[productID],products[],4,FALSE)</f>
        <v>112</v>
      </c>
      <c r="J59" s="6">
        <f>VLOOKUP(operations[productID],products[],5,FALSE)</f>
        <v>0</v>
      </c>
      <c r="K59" s="6">
        <f>VLOOKUP(operations[productID],products[],6,FALSE)</f>
        <v>20</v>
      </c>
      <c r="L59" s="10">
        <f t="array" ref="L59">INDEX('1 orders'!I59:I2156, MATCH(1, ('1 orders'!A59:A2156=A59)*('1 orders'!G59:G2156=F59), 0))
</f>
        <v>60</v>
      </c>
      <c r="M59" s="10">
        <f>IFERROR(__xludf.DUMMYFUNCTION("COUNTUNIQUEIFS($A$2:$A59,$F$2:$F59,F59)"),2.0)</f>
        <v>2</v>
      </c>
      <c r="N59" s="10">
        <f t="shared" si="1"/>
        <v>22</v>
      </c>
      <c r="O59" s="26">
        <f>IF(operations[sinceLastOrder]=0,0,operations[orderQuantity] / operations[sinceLastOrder])</f>
        <v>2.727272727</v>
      </c>
      <c r="P59" s="9">
        <v>4.56</v>
      </c>
      <c r="Q59" s="7" t="s">
        <v>15</v>
      </c>
      <c r="R59" s="10">
        <f>operations[arrivedDate]-operations[shippedDate]</f>
        <v>12</v>
      </c>
    </row>
    <row r="60" ht="15.75" customHeight="1">
      <c r="A60" s="6">
        <v>10269.0</v>
      </c>
      <c r="B60" s="24">
        <v>44773.0</v>
      </c>
      <c r="C60" s="24">
        <v>44787.0</v>
      </c>
      <c r="D60" s="24">
        <v>44782.0</v>
      </c>
      <c r="E60" s="24">
        <v>44794.0</v>
      </c>
      <c r="F60" s="6">
        <v>72.0</v>
      </c>
      <c r="G60" s="9" t="str">
        <f>VLOOKUP(operations[productID],products[],2,FALSE)</f>
        <v>Mozzarella di Giovanni</v>
      </c>
      <c r="H60" s="9" t="str">
        <f>IF(VLOOKUP(operations[productID],products[],7,FALSE)=1,"Discontinued","Current")</f>
        <v>Current</v>
      </c>
      <c r="I60" s="6">
        <f>VLOOKUP(operations[productID],products[],4,FALSE)</f>
        <v>14</v>
      </c>
      <c r="J60" s="6">
        <f>VLOOKUP(operations[productID],products[],5,FALSE)</f>
        <v>0</v>
      </c>
      <c r="K60" s="6">
        <f>VLOOKUP(operations[productID],products[],6,FALSE)</f>
        <v>0</v>
      </c>
      <c r="L60" s="10">
        <f t="array" ref="L60">INDEX('1 orders'!I60:I2156, MATCH(1, ('1 orders'!A60:A2156=A60)*('1 orders'!G60:G2156=F60), 0))
</f>
        <v>20</v>
      </c>
      <c r="M60" s="10">
        <f>IFERROR(__xludf.DUMMYFUNCTION("COUNTUNIQUEIFS($A$2:$A60,$F$2:$F60,F60)"),3.0)</f>
        <v>3</v>
      </c>
      <c r="N60" s="10">
        <f t="shared" si="1"/>
        <v>1</v>
      </c>
      <c r="O60" s="26">
        <f>IF(operations[sinceLastOrder]=0,0,operations[orderQuantity] / operations[sinceLastOrder])</f>
        <v>20</v>
      </c>
      <c r="P60" s="9">
        <v>4.56</v>
      </c>
      <c r="Q60" s="7" t="s">
        <v>15</v>
      </c>
      <c r="R60" s="10">
        <f>operations[arrivedDate]-operations[shippedDate]</f>
        <v>12</v>
      </c>
    </row>
    <row r="61" ht="15.75" customHeight="1">
      <c r="A61" s="6">
        <v>10270.0</v>
      </c>
      <c r="B61" s="24">
        <v>44774.0</v>
      </c>
      <c r="C61" s="24">
        <v>44802.0</v>
      </c>
      <c r="D61" s="24">
        <v>44775.0</v>
      </c>
      <c r="E61" s="24">
        <v>44787.0</v>
      </c>
      <c r="F61" s="6">
        <v>36.0</v>
      </c>
      <c r="G61" s="9" t="str">
        <f>VLOOKUP(operations[productID],products[],2,FALSE)</f>
        <v>Inlagd Sill</v>
      </c>
      <c r="H61" s="9" t="str">
        <f>IF(VLOOKUP(operations[productID],products[],7,FALSE)=1,"Discontinued","Current")</f>
        <v>Current</v>
      </c>
      <c r="I61" s="6">
        <f>VLOOKUP(operations[productID],products[],4,FALSE)</f>
        <v>112</v>
      </c>
      <c r="J61" s="6">
        <f>VLOOKUP(operations[productID],products[],5,FALSE)</f>
        <v>0</v>
      </c>
      <c r="K61" s="6">
        <f>VLOOKUP(operations[productID],products[],6,FALSE)</f>
        <v>20</v>
      </c>
      <c r="L61" s="10">
        <f t="array" ref="L61">INDEX('1 orders'!I61:I2156, MATCH(1, ('1 orders'!A61:A2156=A61)*('1 orders'!G61:G2156=F61), 0))
</f>
        <v>30</v>
      </c>
      <c r="M61" s="10">
        <f>IFERROR(__xludf.DUMMYFUNCTION("COUNTUNIQUEIFS($A$2:$A61,$F$2:$F61,F61)"),2.0)</f>
        <v>2</v>
      </c>
      <c r="N61" s="10">
        <f t="shared" si="1"/>
        <v>20</v>
      </c>
      <c r="O61" s="26">
        <f>IF(operations[sinceLastOrder]=0,0,operations[orderQuantity] / operations[sinceLastOrder])</f>
        <v>1.5</v>
      </c>
      <c r="P61" s="9">
        <v>136.54</v>
      </c>
      <c r="Q61" s="7" t="s">
        <v>15</v>
      </c>
      <c r="R61" s="10">
        <f>operations[arrivedDate]-operations[shippedDate]</f>
        <v>12</v>
      </c>
    </row>
    <row r="62" ht="15.75" customHeight="1">
      <c r="A62" s="6">
        <v>10270.0</v>
      </c>
      <c r="B62" s="24">
        <v>44774.0</v>
      </c>
      <c r="C62" s="24">
        <v>44802.0</v>
      </c>
      <c r="D62" s="24">
        <v>44775.0</v>
      </c>
      <c r="E62" s="24">
        <v>44787.0</v>
      </c>
      <c r="F62" s="6">
        <v>43.0</v>
      </c>
      <c r="G62" s="9" t="str">
        <f>VLOOKUP(operations[productID],products[],2,FALSE)</f>
        <v>Ipoh Coffee</v>
      </c>
      <c r="H62" s="9" t="str">
        <f>IF(VLOOKUP(operations[productID],products[],7,FALSE)=1,"Discontinued","Current")</f>
        <v>Current</v>
      </c>
      <c r="I62" s="6">
        <f>VLOOKUP(operations[productID],products[],4,FALSE)</f>
        <v>17</v>
      </c>
      <c r="J62" s="6">
        <f>VLOOKUP(operations[productID],products[],5,FALSE)</f>
        <v>10</v>
      </c>
      <c r="K62" s="6">
        <f>VLOOKUP(operations[productID],products[],6,FALSE)</f>
        <v>25</v>
      </c>
      <c r="L62" s="10">
        <f t="array" ref="L62">INDEX('1 orders'!I62:I2156, MATCH(1, ('1 orders'!A62:A2156=A62)*('1 orders'!G62:G2156=F62), 0))
</f>
        <v>25</v>
      </c>
      <c r="M62" s="10">
        <f>IFERROR(__xludf.DUMMYFUNCTION("COUNTUNIQUEIFS($A$2:$A62,$F$2:$F62,F62)"),1.0)</f>
        <v>1</v>
      </c>
      <c r="N62" s="10">
        <f t="shared" si="1"/>
        <v>0</v>
      </c>
      <c r="O62" s="26">
        <f>IF(operations[sinceLastOrder]=0,0,operations[orderQuantity] / operations[sinceLastOrder])</f>
        <v>0</v>
      </c>
      <c r="P62" s="9">
        <v>136.54</v>
      </c>
      <c r="Q62" s="7" t="s">
        <v>15</v>
      </c>
      <c r="R62" s="10">
        <f>operations[arrivedDate]-operations[shippedDate]</f>
        <v>12</v>
      </c>
    </row>
    <row r="63" ht="15.75" customHeight="1">
      <c r="A63" s="6">
        <v>10271.0</v>
      </c>
      <c r="B63" s="24">
        <v>44774.0</v>
      </c>
      <c r="C63" s="24">
        <v>44802.0</v>
      </c>
      <c r="D63" s="24">
        <v>44803.0</v>
      </c>
      <c r="E63" s="24">
        <v>44821.0</v>
      </c>
      <c r="F63" s="6">
        <v>33.0</v>
      </c>
      <c r="G63" s="9" t="str">
        <f>VLOOKUP(operations[productID],products[],2,FALSE)</f>
        <v>Geitost</v>
      </c>
      <c r="H63" s="9" t="str">
        <f>IF(VLOOKUP(operations[productID],products[],7,FALSE)=1,"Discontinued","Current")</f>
        <v>Current</v>
      </c>
      <c r="I63" s="6">
        <f>VLOOKUP(operations[productID],products[],4,FALSE)</f>
        <v>112</v>
      </c>
      <c r="J63" s="6">
        <f>VLOOKUP(operations[productID],products[],5,FALSE)</f>
        <v>0</v>
      </c>
      <c r="K63" s="6">
        <f>VLOOKUP(operations[productID],products[],6,FALSE)</f>
        <v>20</v>
      </c>
      <c r="L63" s="10">
        <f t="array" ref="L63">INDEX('1 orders'!I63:I2156, MATCH(1, ('1 orders'!A63:A2156=A63)*('1 orders'!G63:G2156=F63), 0))
</f>
        <v>24</v>
      </c>
      <c r="M63" s="10">
        <f>IFERROR(__xludf.DUMMYFUNCTION("COUNTUNIQUEIFS($A$2:$A63,$F$2:$F63,F63)"),3.0)</f>
        <v>3</v>
      </c>
      <c r="N63" s="10">
        <f t="shared" si="1"/>
        <v>1</v>
      </c>
      <c r="O63" s="26">
        <f>IF(operations[sinceLastOrder]=0,0,operations[orderQuantity] / operations[sinceLastOrder])</f>
        <v>24</v>
      </c>
      <c r="P63" s="9">
        <v>4.54</v>
      </c>
      <c r="Q63" s="7" t="s">
        <v>17</v>
      </c>
      <c r="R63" s="10">
        <f>operations[arrivedDate]-operations[shippedDate]</f>
        <v>18</v>
      </c>
    </row>
    <row r="64" ht="15.75" customHeight="1">
      <c r="A64" s="6">
        <v>10272.0</v>
      </c>
      <c r="B64" s="24">
        <v>44775.0</v>
      </c>
      <c r="C64" s="24">
        <v>44803.0</v>
      </c>
      <c r="D64" s="24">
        <v>44779.0</v>
      </c>
      <c r="E64" s="24">
        <v>44797.0</v>
      </c>
      <c r="F64" s="6">
        <v>20.0</v>
      </c>
      <c r="G64" s="9" t="str">
        <f>VLOOKUP(operations[productID],products[],2,FALSE)</f>
        <v>Sir Rodney's Marmalade</v>
      </c>
      <c r="H64" s="9" t="str">
        <f>IF(VLOOKUP(operations[productID],products[],7,FALSE)=1,"Discontinued","Current")</f>
        <v>Current</v>
      </c>
      <c r="I64" s="6">
        <f>VLOOKUP(operations[productID],products[],4,FALSE)</f>
        <v>40</v>
      </c>
      <c r="J64" s="6">
        <f>VLOOKUP(operations[productID],products[],5,FALSE)</f>
        <v>0</v>
      </c>
      <c r="K64" s="6">
        <f>VLOOKUP(operations[productID],products[],6,FALSE)</f>
        <v>0</v>
      </c>
      <c r="L64" s="10">
        <f t="array" ref="L64">INDEX('1 orders'!I64:I2156, MATCH(1, ('1 orders'!A64:A2156=A64)*('1 orders'!G64:G2156=F64), 0))
</f>
        <v>6</v>
      </c>
      <c r="M64" s="10">
        <f>IFERROR(__xludf.DUMMYFUNCTION("COUNTUNIQUEIFS($A$2:$A64,$F$2:$F64,F64)"),2.0)</f>
        <v>2</v>
      </c>
      <c r="N64" s="10">
        <f t="shared" si="1"/>
        <v>24</v>
      </c>
      <c r="O64" s="26">
        <f>IF(operations[sinceLastOrder]=0,0,operations[orderQuantity] / operations[sinceLastOrder])</f>
        <v>0.25</v>
      </c>
      <c r="P64" s="9">
        <v>98.03</v>
      </c>
      <c r="Q64" s="7" t="s">
        <v>17</v>
      </c>
      <c r="R64" s="10">
        <f>operations[arrivedDate]-operations[shippedDate]</f>
        <v>18</v>
      </c>
    </row>
    <row r="65" ht="15.75" customHeight="1">
      <c r="A65" s="6">
        <v>10272.0</v>
      </c>
      <c r="B65" s="24">
        <v>44775.0</v>
      </c>
      <c r="C65" s="24">
        <v>44803.0</v>
      </c>
      <c r="D65" s="24">
        <v>44779.0</v>
      </c>
      <c r="E65" s="24">
        <v>44797.0</v>
      </c>
      <c r="F65" s="6">
        <v>31.0</v>
      </c>
      <c r="G65" s="9" t="str">
        <f>VLOOKUP(operations[productID],products[],2,FALSE)</f>
        <v>Gorgonzola Telino</v>
      </c>
      <c r="H65" s="9" t="str">
        <f>IF(VLOOKUP(operations[productID],products[],7,FALSE)=1,"Discontinued","Current")</f>
        <v>Current</v>
      </c>
      <c r="I65" s="6">
        <f>VLOOKUP(operations[productID],products[],4,FALSE)</f>
        <v>0</v>
      </c>
      <c r="J65" s="6">
        <f>VLOOKUP(operations[productID],products[],5,FALSE)</f>
        <v>70</v>
      </c>
      <c r="K65" s="6">
        <f>VLOOKUP(operations[productID],products[],6,FALSE)</f>
        <v>20</v>
      </c>
      <c r="L65" s="10">
        <f t="array" ref="L65">INDEX('1 orders'!I65:I2156, MATCH(1, ('1 orders'!A65:A2156=A65)*('1 orders'!G65:G2156=F65), 0))
</f>
        <v>40</v>
      </c>
      <c r="M65" s="10">
        <f>IFERROR(__xludf.DUMMYFUNCTION("COUNTUNIQUEIFS($A$2:$A65,$F$2:$F65,F65)"),2.0)</f>
        <v>2</v>
      </c>
      <c r="N65" s="10">
        <f t="shared" si="1"/>
        <v>23</v>
      </c>
      <c r="O65" s="26">
        <f>IF(operations[sinceLastOrder]=0,0,operations[orderQuantity] / operations[sinceLastOrder])</f>
        <v>1.739130435</v>
      </c>
      <c r="P65" s="9">
        <v>98.03</v>
      </c>
      <c r="Q65" s="7" t="s">
        <v>17</v>
      </c>
      <c r="R65" s="10">
        <f>operations[arrivedDate]-operations[shippedDate]</f>
        <v>18</v>
      </c>
    </row>
    <row r="66" ht="15.75" customHeight="1">
      <c r="A66" s="6">
        <v>10272.0</v>
      </c>
      <c r="B66" s="24">
        <v>44775.0</v>
      </c>
      <c r="C66" s="24">
        <v>44803.0</v>
      </c>
      <c r="D66" s="24">
        <v>44779.0</v>
      </c>
      <c r="E66" s="24">
        <v>44797.0</v>
      </c>
      <c r="F66" s="6">
        <v>72.0</v>
      </c>
      <c r="G66" s="9" t="str">
        <f>VLOOKUP(operations[productID],products[],2,FALSE)</f>
        <v>Mozzarella di Giovanni</v>
      </c>
      <c r="H66" s="9" t="str">
        <f>IF(VLOOKUP(operations[productID],products[],7,FALSE)=1,"Discontinued","Current")</f>
        <v>Current</v>
      </c>
      <c r="I66" s="6">
        <f>VLOOKUP(operations[productID],products[],4,FALSE)</f>
        <v>14</v>
      </c>
      <c r="J66" s="6">
        <f>VLOOKUP(operations[productID],products[],5,FALSE)</f>
        <v>0</v>
      </c>
      <c r="K66" s="6">
        <f>VLOOKUP(operations[productID],products[],6,FALSE)</f>
        <v>0</v>
      </c>
      <c r="L66" s="10">
        <f t="array" ref="L66">INDEX('1 orders'!I66:I2156, MATCH(1, ('1 orders'!A66:A2156=A66)*('1 orders'!G66:G2156=F66), 0))
</f>
        <v>24</v>
      </c>
      <c r="M66" s="10">
        <f>IFERROR(__xludf.DUMMYFUNCTION("COUNTUNIQUEIFS($A$2:$A66,$F$2:$F66,F66)"),4.0)</f>
        <v>4</v>
      </c>
      <c r="N66" s="10">
        <f t="shared" si="1"/>
        <v>2</v>
      </c>
      <c r="O66" s="26">
        <f>IF(operations[sinceLastOrder]=0,0,operations[orderQuantity] / operations[sinceLastOrder])</f>
        <v>12</v>
      </c>
      <c r="P66" s="9">
        <v>98.03</v>
      </c>
      <c r="Q66" s="7" t="s">
        <v>17</v>
      </c>
      <c r="R66" s="10">
        <f>operations[arrivedDate]-operations[shippedDate]</f>
        <v>18</v>
      </c>
    </row>
    <row r="67" ht="15.75" customHeight="1">
      <c r="A67" s="6">
        <v>10273.0</v>
      </c>
      <c r="B67" s="24">
        <v>44778.0</v>
      </c>
      <c r="C67" s="24">
        <v>44806.0</v>
      </c>
      <c r="D67" s="24">
        <v>44785.0</v>
      </c>
      <c r="E67" s="24">
        <v>44791.0</v>
      </c>
      <c r="F67" s="6">
        <v>10.0</v>
      </c>
      <c r="G67" s="9" t="str">
        <f>VLOOKUP(operations[productID],products[],2,FALSE)</f>
        <v>Ikura</v>
      </c>
      <c r="H67" s="9" t="str">
        <f>IF(VLOOKUP(operations[productID],products[],7,FALSE)=1,"Discontinued","Current")</f>
        <v>Current</v>
      </c>
      <c r="I67" s="6">
        <f>VLOOKUP(operations[productID],products[],4,FALSE)</f>
        <v>31</v>
      </c>
      <c r="J67" s="6">
        <f>VLOOKUP(operations[productID],products[],5,FALSE)</f>
        <v>0</v>
      </c>
      <c r="K67" s="6">
        <f>VLOOKUP(operations[productID],products[],6,FALSE)</f>
        <v>0</v>
      </c>
      <c r="L67" s="10">
        <f t="array" ref="L67">INDEX('1 orders'!I67:I2156, MATCH(1, ('1 orders'!A67:A2156=A67)*('1 orders'!G67:G2156=F67), 0))
</f>
        <v>24</v>
      </c>
      <c r="M67" s="10">
        <f>IFERROR(__xludf.DUMMYFUNCTION("COUNTUNIQUEIFS($A$2:$A67,$F$2:$F67,F67)"),1.0)</f>
        <v>1</v>
      </c>
      <c r="N67" s="10">
        <f t="shared" si="1"/>
        <v>0</v>
      </c>
      <c r="O67" s="26">
        <f>IF(operations[sinceLastOrder]=0,0,operations[orderQuantity] / operations[sinceLastOrder])</f>
        <v>0</v>
      </c>
      <c r="P67" s="9">
        <v>76.07</v>
      </c>
      <c r="Q67" s="7" t="s">
        <v>13</v>
      </c>
      <c r="R67" s="10">
        <f>operations[arrivedDate]-operations[shippedDate]</f>
        <v>6</v>
      </c>
    </row>
    <row r="68" ht="15.75" customHeight="1">
      <c r="A68" s="6">
        <v>10273.0</v>
      </c>
      <c r="B68" s="24">
        <v>44778.0</v>
      </c>
      <c r="C68" s="24">
        <v>44806.0</v>
      </c>
      <c r="D68" s="24">
        <v>44785.0</v>
      </c>
      <c r="E68" s="24">
        <v>44791.0</v>
      </c>
      <c r="F68" s="6">
        <v>31.0</v>
      </c>
      <c r="G68" s="9" t="str">
        <f>VLOOKUP(operations[productID],products[],2,FALSE)</f>
        <v>Gorgonzola Telino</v>
      </c>
      <c r="H68" s="9" t="str">
        <f>IF(VLOOKUP(operations[productID],products[],7,FALSE)=1,"Discontinued","Current")</f>
        <v>Current</v>
      </c>
      <c r="I68" s="6">
        <f>VLOOKUP(operations[productID],products[],4,FALSE)</f>
        <v>0</v>
      </c>
      <c r="J68" s="6">
        <f>VLOOKUP(operations[productID],products[],5,FALSE)</f>
        <v>70</v>
      </c>
      <c r="K68" s="6">
        <f>VLOOKUP(operations[productID],products[],6,FALSE)</f>
        <v>20</v>
      </c>
      <c r="L68" s="10">
        <f t="array" ref="L68">INDEX('1 orders'!I68:I2156, MATCH(1, ('1 orders'!A68:A2156=A68)*('1 orders'!G68:G2156=F68), 0))
</f>
        <v>15</v>
      </c>
      <c r="M68" s="10">
        <f>IFERROR(__xludf.DUMMYFUNCTION("COUNTUNIQUEIFS($A$2:$A68,$F$2:$F68,F68)"),3.0)</f>
        <v>3</v>
      </c>
      <c r="N68" s="10">
        <f t="shared" si="1"/>
        <v>3</v>
      </c>
      <c r="O68" s="26">
        <f>IF(operations[sinceLastOrder]=0,0,operations[orderQuantity] / operations[sinceLastOrder])</f>
        <v>5</v>
      </c>
      <c r="P68" s="9">
        <v>76.07</v>
      </c>
      <c r="Q68" s="7" t="s">
        <v>13</v>
      </c>
      <c r="R68" s="10">
        <f>operations[arrivedDate]-operations[shippedDate]</f>
        <v>6</v>
      </c>
    </row>
    <row r="69" ht="15.75" customHeight="1">
      <c r="A69" s="6">
        <v>10273.0</v>
      </c>
      <c r="B69" s="24">
        <v>44778.0</v>
      </c>
      <c r="C69" s="24">
        <v>44806.0</v>
      </c>
      <c r="D69" s="24">
        <v>44785.0</v>
      </c>
      <c r="E69" s="24">
        <v>44791.0</v>
      </c>
      <c r="F69" s="6">
        <v>33.0</v>
      </c>
      <c r="G69" s="9" t="str">
        <f>VLOOKUP(operations[productID],products[],2,FALSE)</f>
        <v>Geitost</v>
      </c>
      <c r="H69" s="9" t="str">
        <f>IF(VLOOKUP(operations[productID],products[],7,FALSE)=1,"Discontinued","Current")</f>
        <v>Current</v>
      </c>
      <c r="I69" s="6">
        <f>VLOOKUP(operations[productID],products[],4,FALSE)</f>
        <v>112</v>
      </c>
      <c r="J69" s="6">
        <f>VLOOKUP(operations[productID],products[],5,FALSE)</f>
        <v>0</v>
      </c>
      <c r="K69" s="6">
        <f>VLOOKUP(operations[productID],products[],6,FALSE)</f>
        <v>20</v>
      </c>
      <c r="L69" s="10">
        <f t="array" ref="L69">INDEX('1 orders'!I69:I2156, MATCH(1, ('1 orders'!A69:A2156=A69)*('1 orders'!G69:G2156=F69), 0))
</f>
        <v>20</v>
      </c>
      <c r="M69" s="10">
        <f>IFERROR(__xludf.DUMMYFUNCTION("COUNTUNIQUEIFS($A$2:$A69,$F$2:$F69,F69)"),4.0)</f>
        <v>4</v>
      </c>
      <c r="N69" s="10">
        <f t="shared" si="1"/>
        <v>4</v>
      </c>
      <c r="O69" s="26">
        <f>IF(operations[sinceLastOrder]=0,0,operations[orderQuantity] / operations[sinceLastOrder])</f>
        <v>5</v>
      </c>
      <c r="P69" s="9">
        <v>76.07</v>
      </c>
      <c r="Q69" s="7" t="s">
        <v>13</v>
      </c>
      <c r="R69" s="10">
        <f>operations[arrivedDate]-operations[shippedDate]</f>
        <v>6</v>
      </c>
    </row>
    <row r="70" ht="15.75" customHeight="1">
      <c r="A70" s="6">
        <v>10273.0</v>
      </c>
      <c r="B70" s="24">
        <v>44778.0</v>
      </c>
      <c r="C70" s="24">
        <v>44806.0</v>
      </c>
      <c r="D70" s="24">
        <v>44785.0</v>
      </c>
      <c r="E70" s="24">
        <v>44791.0</v>
      </c>
      <c r="F70" s="6">
        <v>40.0</v>
      </c>
      <c r="G70" s="9" t="str">
        <f>VLOOKUP(operations[productID],products[],2,FALSE)</f>
        <v>Boston Crab Meat</v>
      </c>
      <c r="H70" s="9" t="str">
        <f>IF(VLOOKUP(operations[productID],products[],7,FALSE)=1,"Discontinued","Current")</f>
        <v>Current</v>
      </c>
      <c r="I70" s="6">
        <f>VLOOKUP(operations[productID],products[],4,FALSE)</f>
        <v>123</v>
      </c>
      <c r="J70" s="6">
        <f>VLOOKUP(operations[productID],products[],5,FALSE)</f>
        <v>0</v>
      </c>
      <c r="K70" s="6">
        <f>VLOOKUP(operations[productID],products[],6,FALSE)</f>
        <v>30</v>
      </c>
      <c r="L70" s="10">
        <f t="array" ref="L70">INDEX('1 orders'!I70:I2156, MATCH(1, ('1 orders'!A70:A2156=A70)*('1 orders'!G70:G2156=F70), 0))
</f>
        <v>60</v>
      </c>
      <c r="M70" s="10">
        <f>IFERROR(__xludf.DUMMYFUNCTION("COUNTUNIQUEIFS($A$2:$A70,$F$2:$F70,F70)"),2.0)</f>
        <v>2</v>
      </c>
      <c r="N70" s="10">
        <f t="shared" si="1"/>
        <v>7</v>
      </c>
      <c r="O70" s="26">
        <f>IF(operations[sinceLastOrder]=0,0,operations[orderQuantity] / operations[sinceLastOrder])</f>
        <v>8.571428571</v>
      </c>
      <c r="P70" s="9">
        <v>76.07</v>
      </c>
      <c r="Q70" s="7" t="s">
        <v>13</v>
      </c>
      <c r="R70" s="10">
        <f>operations[arrivedDate]-operations[shippedDate]</f>
        <v>6</v>
      </c>
    </row>
    <row r="71" ht="15.75" customHeight="1">
      <c r="A71" s="6">
        <v>10273.0</v>
      </c>
      <c r="B71" s="24">
        <v>44778.0</v>
      </c>
      <c r="C71" s="24">
        <v>44806.0</v>
      </c>
      <c r="D71" s="24">
        <v>44785.0</v>
      </c>
      <c r="E71" s="24">
        <v>44791.0</v>
      </c>
      <c r="F71" s="6">
        <v>76.0</v>
      </c>
      <c r="G71" s="9" t="str">
        <f>VLOOKUP(operations[productID],products[],2,FALSE)</f>
        <v>Lakkalikööri</v>
      </c>
      <c r="H71" s="9" t="str">
        <f>IF(VLOOKUP(operations[productID],products[],7,FALSE)=1,"Discontinued","Current")</f>
        <v>Current</v>
      </c>
      <c r="I71" s="6">
        <f>VLOOKUP(operations[productID],products[],4,FALSE)</f>
        <v>57</v>
      </c>
      <c r="J71" s="6">
        <f>VLOOKUP(operations[productID],products[],5,FALSE)</f>
        <v>0</v>
      </c>
      <c r="K71" s="6">
        <f>VLOOKUP(operations[productID],products[],6,FALSE)</f>
        <v>20</v>
      </c>
      <c r="L71" s="10">
        <f t="array" ref="L71">INDEX('1 orders'!I71:I2156, MATCH(1, ('1 orders'!A71:A2156=A71)*('1 orders'!G71:G2156=F71), 0))
</f>
        <v>33</v>
      </c>
      <c r="M71" s="10">
        <f>IFERROR(__xludf.DUMMYFUNCTION("COUNTUNIQUEIFS($A$2:$A71,$F$2:$F71,F71)"),2.0)</f>
        <v>2</v>
      </c>
      <c r="N71" s="10">
        <f t="shared" si="1"/>
        <v>7</v>
      </c>
      <c r="O71" s="26">
        <f>IF(operations[sinceLastOrder]=0,0,operations[orderQuantity] / operations[sinceLastOrder])</f>
        <v>4.714285714</v>
      </c>
      <c r="P71" s="9">
        <v>76.07</v>
      </c>
      <c r="Q71" s="7" t="s">
        <v>13</v>
      </c>
      <c r="R71" s="10">
        <f>operations[arrivedDate]-operations[shippedDate]</f>
        <v>6</v>
      </c>
    </row>
    <row r="72" ht="15.75" customHeight="1">
      <c r="A72" s="6">
        <v>10274.0</v>
      </c>
      <c r="B72" s="24">
        <v>44779.0</v>
      </c>
      <c r="C72" s="24">
        <v>44807.0</v>
      </c>
      <c r="D72" s="24">
        <v>44789.0</v>
      </c>
      <c r="E72" s="24">
        <v>44795.0</v>
      </c>
      <c r="F72" s="6">
        <v>71.0</v>
      </c>
      <c r="G72" s="9" t="str">
        <f>VLOOKUP(operations[productID],products[],2,FALSE)</f>
        <v>Flotemysost</v>
      </c>
      <c r="H72" s="9" t="str">
        <f>IF(VLOOKUP(operations[productID],products[],7,FALSE)=1,"Discontinued","Current")</f>
        <v>Current</v>
      </c>
      <c r="I72" s="6">
        <f>VLOOKUP(operations[productID],products[],4,FALSE)</f>
        <v>26</v>
      </c>
      <c r="J72" s="6">
        <f>VLOOKUP(operations[productID],products[],5,FALSE)</f>
        <v>0</v>
      </c>
      <c r="K72" s="6">
        <f>VLOOKUP(operations[productID],products[],6,FALSE)</f>
        <v>0</v>
      </c>
      <c r="L72" s="10">
        <f t="array" ref="L72">INDEX('1 orders'!I72:I2156, MATCH(1, ('1 orders'!A72:A2156=A72)*('1 orders'!G72:G2156=F72), 0))
</f>
        <v>20</v>
      </c>
      <c r="M72" s="10">
        <f>IFERROR(__xludf.DUMMYFUNCTION("COUNTUNIQUEIFS($A$2:$A72,$F$2:$F72,F72)"),1.0)</f>
        <v>1</v>
      </c>
      <c r="N72" s="10">
        <f t="shared" si="1"/>
        <v>0</v>
      </c>
      <c r="O72" s="26">
        <f>IF(operations[sinceLastOrder]=0,0,operations[orderQuantity] / operations[sinceLastOrder])</f>
        <v>0</v>
      </c>
      <c r="P72" s="9">
        <v>6.01</v>
      </c>
      <c r="Q72" s="7" t="s">
        <v>15</v>
      </c>
      <c r="R72" s="10">
        <f>operations[arrivedDate]-operations[shippedDate]</f>
        <v>6</v>
      </c>
    </row>
    <row r="73" ht="15.75" customHeight="1">
      <c r="A73" s="6">
        <v>10274.0</v>
      </c>
      <c r="B73" s="24">
        <v>44779.0</v>
      </c>
      <c r="C73" s="24">
        <v>44807.0</v>
      </c>
      <c r="D73" s="24">
        <v>44789.0</v>
      </c>
      <c r="E73" s="24">
        <v>44795.0</v>
      </c>
      <c r="F73" s="6">
        <v>72.0</v>
      </c>
      <c r="G73" s="9" t="str">
        <f>VLOOKUP(operations[productID],products[],2,FALSE)</f>
        <v>Mozzarella di Giovanni</v>
      </c>
      <c r="H73" s="9" t="str">
        <f>IF(VLOOKUP(operations[productID],products[],7,FALSE)=1,"Discontinued","Current")</f>
        <v>Current</v>
      </c>
      <c r="I73" s="6">
        <f>VLOOKUP(operations[productID],products[],4,FALSE)</f>
        <v>14</v>
      </c>
      <c r="J73" s="6">
        <f>VLOOKUP(operations[productID],products[],5,FALSE)</f>
        <v>0</v>
      </c>
      <c r="K73" s="6">
        <f>VLOOKUP(operations[productID],products[],6,FALSE)</f>
        <v>0</v>
      </c>
      <c r="L73" s="10">
        <f t="array" ref="L73">INDEX('1 orders'!I73:I2156, MATCH(1, ('1 orders'!A73:A2156=A73)*('1 orders'!G73:G2156=F73), 0))
</f>
        <v>7</v>
      </c>
      <c r="M73" s="10">
        <f>IFERROR(__xludf.DUMMYFUNCTION("COUNTUNIQUEIFS($A$2:$A73,$F$2:$F73,F73)"),5.0)</f>
        <v>5</v>
      </c>
      <c r="N73" s="10">
        <f t="shared" si="1"/>
        <v>4</v>
      </c>
      <c r="O73" s="26">
        <f>IF(operations[sinceLastOrder]=0,0,operations[orderQuantity] / operations[sinceLastOrder])</f>
        <v>1.75</v>
      </c>
      <c r="P73" s="9">
        <v>6.01</v>
      </c>
      <c r="Q73" s="7" t="s">
        <v>15</v>
      </c>
      <c r="R73" s="10">
        <f>operations[arrivedDate]-operations[shippedDate]</f>
        <v>6</v>
      </c>
    </row>
    <row r="74" ht="15.75" customHeight="1">
      <c r="A74" s="6">
        <v>10275.0</v>
      </c>
      <c r="B74" s="24">
        <v>44780.0</v>
      </c>
      <c r="C74" s="24">
        <v>44808.0</v>
      </c>
      <c r="D74" s="24">
        <v>44782.0</v>
      </c>
      <c r="E74" s="24">
        <v>44790.0</v>
      </c>
      <c r="F74" s="6">
        <v>24.0</v>
      </c>
      <c r="G74" s="9" t="str">
        <f>VLOOKUP(operations[productID],products[],2,FALSE)</f>
        <v>Brigadeiros Maravilhosos da Lilian</v>
      </c>
      <c r="H74" s="9" t="str">
        <f>IF(VLOOKUP(operations[productID],products[],7,FALSE)=1,"Discontinued","Current")</f>
        <v>Discontinued</v>
      </c>
      <c r="I74" s="6">
        <f>VLOOKUP(operations[productID],products[],4,FALSE)</f>
        <v>20</v>
      </c>
      <c r="J74" s="6">
        <f>VLOOKUP(operations[productID],products[],5,FALSE)</f>
        <v>0</v>
      </c>
      <c r="K74" s="6">
        <f>VLOOKUP(operations[productID],products[],6,FALSE)</f>
        <v>0</v>
      </c>
      <c r="L74" s="10">
        <f t="array" ref="L74">INDEX('1 orders'!I74:I2156, MATCH(1, ('1 orders'!A74:A2156=A74)*('1 orders'!G74:G2156=F74), 0))
</f>
        <v>12</v>
      </c>
      <c r="M74" s="10">
        <f>IFERROR(__xludf.DUMMYFUNCTION("COUNTUNIQUEIFS($A$2:$A74,$F$2:$F74,F74)"),3.0)</f>
        <v>3</v>
      </c>
      <c r="N74" s="10">
        <f t="shared" si="1"/>
        <v>15</v>
      </c>
      <c r="O74" s="26">
        <f>IF(operations[sinceLastOrder]=0,0,operations[orderQuantity] / operations[sinceLastOrder])</f>
        <v>0.8</v>
      </c>
      <c r="P74" s="9">
        <v>26.93</v>
      </c>
      <c r="Q74" s="7" t="s">
        <v>15</v>
      </c>
      <c r="R74" s="10">
        <f>operations[arrivedDate]-operations[shippedDate]</f>
        <v>8</v>
      </c>
    </row>
    <row r="75" ht="15.75" customHeight="1">
      <c r="A75" s="6">
        <v>10275.0</v>
      </c>
      <c r="B75" s="24">
        <v>44780.0</v>
      </c>
      <c r="C75" s="24">
        <v>44808.0</v>
      </c>
      <c r="D75" s="24">
        <v>44782.0</v>
      </c>
      <c r="E75" s="24">
        <v>44790.0</v>
      </c>
      <c r="F75" s="6">
        <v>59.0</v>
      </c>
      <c r="G75" s="9" t="str">
        <f>VLOOKUP(operations[productID],products[],2,FALSE)</f>
        <v>Raclette Courdavault</v>
      </c>
      <c r="H75" s="9" t="str">
        <f>IF(VLOOKUP(operations[productID],products[],7,FALSE)=1,"Discontinued","Current")</f>
        <v>Current</v>
      </c>
      <c r="I75" s="6">
        <f>VLOOKUP(operations[productID],products[],4,FALSE)</f>
        <v>79</v>
      </c>
      <c r="J75" s="6">
        <f>VLOOKUP(operations[productID],products[],5,FALSE)</f>
        <v>0</v>
      </c>
      <c r="K75" s="6">
        <f>VLOOKUP(operations[productID],products[],6,FALSE)</f>
        <v>0</v>
      </c>
      <c r="L75" s="10">
        <f t="array" ref="L75">INDEX('1 orders'!I75:I2156, MATCH(1, ('1 orders'!A75:A2156=A75)*('1 orders'!G75:G2156=F75), 0))
</f>
        <v>6</v>
      </c>
      <c r="M75" s="10">
        <f>IFERROR(__xludf.DUMMYFUNCTION("COUNTUNIQUEIFS($A$2:$A75,$F$2:$F75,F75)"),3.0)</f>
        <v>3</v>
      </c>
      <c r="N75" s="10">
        <f t="shared" si="1"/>
        <v>9</v>
      </c>
      <c r="O75" s="26">
        <f>IF(operations[sinceLastOrder]=0,0,operations[orderQuantity] / operations[sinceLastOrder])</f>
        <v>0.6666666667</v>
      </c>
      <c r="P75" s="9">
        <v>26.93</v>
      </c>
      <c r="Q75" s="7" t="s">
        <v>15</v>
      </c>
      <c r="R75" s="10">
        <f>operations[arrivedDate]-operations[shippedDate]</f>
        <v>8</v>
      </c>
    </row>
    <row r="76" ht="15.75" customHeight="1">
      <c r="A76" s="6">
        <v>10276.0</v>
      </c>
      <c r="B76" s="24">
        <v>44781.0</v>
      </c>
      <c r="C76" s="24">
        <v>44795.0</v>
      </c>
      <c r="D76" s="24">
        <v>44787.0</v>
      </c>
      <c r="E76" s="24">
        <v>44801.0</v>
      </c>
      <c r="F76" s="6">
        <v>10.0</v>
      </c>
      <c r="G76" s="9" t="str">
        <f>VLOOKUP(operations[productID],products[],2,FALSE)</f>
        <v>Ikura</v>
      </c>
      <c r="H76" s="9" t="str">
        <f>IF(VLOOKUP(operations[productID],products[],7,FALSE)=1,"Discontinued","Current")</f>
        <v>Current</v>
      </c>
      <c r="I76" s="6">
        <f>VLOOKUP(operations[productID],products[],4,FALSE)</f>
        <v>31</v>
      </c>
      <c r="J76" s="6">
        <f>VLOOKUP(operations[productID],products[],5,FALSE)</f>
        <v>0</v>
      </c>
      <c r="K76" s="6">
        <f>VLOOKUP(operations[productID],products[],6,FALSE)</f>
        <v>0</v>
      </c>
      <c r="L76" s="10">
        <f t="array" ref="L76">INDEX('1 orders'!I76:I2156, MATCH(1, ('1 orders'!A76:A2156=A76)*('1 orders'!G76:G2156=F76), 0))
</f>
        <v>15</v>
      </c>
      <c r="M76" s="10">
        <f>IFERROR(__xludf.DUMMYFUNCTION("COUNTUNIQUEIFS($A$2:$A76,$F$2:$F76,F76)"),2.0)</f>
        <v>2</v>
      </c>
      <c r="N76" s="10">
        <f t="shared" si="1"/>
        <v>3</v>
      </c>
      <c r="O76" s="26">
        <f>IF(operations[sinceLastOrder]=0,0,operations[orderQuantity] / operations[sinceLastOrder])</f>
        <v>5</v>
      </c>
      <c r="P76" s="9">
        <v>13.84</v>
      </c>
      <c r="Q76" s="7" t="s">
        <v>13</v>
      </c>
      <c r="R76" s="10">
        <f>operations[arrivedDate]-operations[shippedDate]</f>
        <v>14</v>
      </c>
    </row>
    <row r="77" ht="15.75" customHeight="1">
      <c r="A77" s="6">
        <v>10276.0</v>
      </c>
      <c r="B77" s="24">
        <v>44781.0</v>
      </c>
      <c r="C77" s="24">
        <v>44795.0</v>
      </c>
      <c r="D77" s="24">
        <v>44787.0</v>
      </c>
      <c r="E77" s="24">
        <v>44801.0</v>
      </c>
      <c r="F77" s="6">
        <v>13.0</v>
      </c>
      <c r="G77" s="9" t="str">
        <f>VLOOKUP(operations[productID],products[],2,FALSE)</f>
        <v>Konbu</v>
      </c>
      <c r="H77" s="9" t="str">
        <f>IF(VLOOKUP(operations[productID],products[],7,FALSE)=1,"Discontinued","Current")</f>
        <v>Current</v>
      </c>
      <c r="I77" s="6">
        <f>VLOOKUP(operations[productID],products[],4,FALSE)</f>
        <v>24</v>
      </c>
      <c r="J77" s="6">
        <f>VLOOKUP(operations[productID],products[],5,FALSE)</f>
        <v>0</v>
      </c>
      <c r="K77" s="6">
        <f>VLOOKUP(operations[productID],products[],6,FALSE)</f>
        <v>5</v>
      </c>
      <c r="L77" s="10">
        <f t="array" ref="L77">INDEX('1 orders'!I77:I2156, MATCH(1, ('1 orders'!A77:A2156=A77)*('1 orders'!G77:G2156=F77), 0))
</f>
        <v>10</v>
      </c>
      <c r="M77" s="10">
        <f>IFERROR(__xludf.DUMMYFUNCTION("COUNTUNIQUEIFS($A$2:$A77,$F$2:$F77,F77)"),1.0)</f>
        <v>1</v>
      </c>
      <c r="N77" s="10">
        <f t="shared" si="1"/>
        <v>0</v>
      </c>
      <c r="O77" s="26">
        <f>IF(operations[sinceLastOrder]=0,0,operations[orderQuantity] / operations[sinceLastOrder])</f>
        <v>0</v>
      </c>
      <c r="P77" s="9">
        <v>13.84</v>
      </c>
      <c r="Q77" s="7" t="s">
        <v>13</v>
      </c>
      <c r="R77" s="10">
        <f>operations[arrivedDate]-operations[shippedDate]</f>
        <v>14</v>
      </c>
    </row>
    <row r="78" ht="15.75" customHeight="1">
      <c r="A78" s="6">
        <v>10277.0</v>
      </c>
      <c r="B78" s="24">
        <v>44782.0</v>
      </c>
      <c r="C78" s="24">
        <v>44810.0</v>
      </c>
      <c r="D78" s="24">
        <v>44786.0</v>
      </c>
      <c r="E78" s="24">
        <v>44793.0</v>
      </c>
      <c r="F78" s="6">
        <v>28.0</v>
      </c>
      <c r="G78" s="9" t="str">
        <f>VLOOKUP(operations[productID],products[],2,FALSE)</f>
        <v>Rössle Sauerkraut</v>
      </c>
      <c r="H78" s="9" t="str">
        <f>IF(VLOOKUP(operations[productID],products[],7,FALSE)=1,"Discontinued","Current")</f>
        <v>Discontinued</v>
      </c>
      <c r="I78" s="6">
        <f>VLOOKUP(operations[productID],products[],4,FALSE)</f>
        <v>26</v>
      </c>
      <c r="J78" s="6">
        <f>VLOOKUP(operations[productID],products[],5,FALSE)</f>
        <v>0</v>
      </c>
      <c r="K78" s="6">
        <f>VLOOKUP(operations[productID],products[],6,FALSE)</f>
        <v>0</v>
      </c>
      <c r="L78" s="10">
        <f t="array" ref="L78">INDEX('1 orders'!I78:I2156, MATCH(1, ('1 orders'!A78:A2156=A78)*('1 orders'!G78:G2156=F78), 0))
</f>
        <v>20</v>
      </c>
      <c r="M78" s="10">
        <f>IFERROR(__xludf.DUMMYFUNCTION("COUNTUNIQUEIFS($A$2:$A78,$F$2:$F78,F78)"),1.0)</f>
        <v>1</v>
      </c>
      <c r="N78" s="10">
        <f t="shared" si="1"/>
        <v>0</v>
      </c>
      <c r="O78" s="26">
        <f>IF(operations[sinceLastOrder]=0,0,operations[orderQuantity] / operations[sinceLastOrder])</f>
        <v>0</v>
      </c>
      <c r="P78" s="9">
        <v>125.77</v>
      </c>
      <c r="Q78" s="7" t="s">
        <v>13</v>
      </c>
      <c r="R78" s="10">
        <f>operations[arrivedDate]-operations[shippedDate]</f>
        <v>7</v>
      </c>
    </row>
    <row r="79" ht="15.75" customHeight="1">
      <c r="A79" s="6">
        <v>10277.0</v>
      </c>
      <c r="B79" s="24">
        <v>44782.0</v>
      </c>
      <c r="C79" s="24">
        <v>44810.0</v>
      </c>
      <c r="D79" s="24">
        <v>44786.0</v>
      </c>
      <c r="E79" s="24">
        <v>44793.0</v>
      </c>
      <c r="F79" s="6">
        <v>62.0</v>
      </c>
      <c r="G79" s="9" t="str">
        <f>VLOOKUP(operations[productID],products[],2,FALSE)</f>
        <v>Tarte au sucre</v>
      </c>
      <c r="H79" s="9" t="str">
        <f>IF(VLOOKUP(operations[productID],products[],7,FALSE)=1,"Discontinued","Current")</f>
        <v>Current</v>
      </c>
      <c r="I79" s="6">
        <f>VLOOKUP(operations[productID],products[],4,FALSE)</f>
        <v>17</v>
      </c>
      <c r="J79" s="6">
        <f>VLOOKUP(operations[productID],products[],5,FALSE)</f>
        <v>0</v>
      </c>
      <c r="K79" s="6">
        <f>VLOOKUP(operations[productID],products[],6,FALSE)</f>
        <v>0</v>
      </c>
      <c r="L79" s="10">
        <f t="array" ref="L79">INDEX('1 orders'!I79:I2156, MATCH(1, ('1 orders'!A79:A2156=A79)*('1 orders'!G79:G2156=F79), 0))
</f>
        <v>12</v>
      </c>
      <c r="M79" s="10">
        <f>IFERROR(__xludf.DUMMYFUNCTION("COUNTUNIQUEIFS($A$2:$A79,$F$2:$F79,F79)"),2.0)</f>
        <v>2</v>
      </c>
      <c r="N79" s="10">
        <f t="shared" si="1"/>
        <v>21</v>
      </c>
      <c r="O79" s="26">
        <f>IF(operations[sinceLastOrder]=0,0,operations[orderQuantity] / operations[sinceLastOrder])</f>
        <v>0.5714285714</v>
      </c>
      <c r="P79" s="9">
        <v>125.77</v>
      </c>
      <c r="Q79" s="7" t="s">
        <v>13</v>
      </c>
      <c r="R79" s="10">
        <f>operations[arrivedDate]-operations[shippedDate]</f>
        <v>7</v>
      </c>
    </row>
    <row r="80" ht="15.75" customHeight="1">
      <c r="A80" s="6">
        <v>10278.0</v>
      </c>
      <c r="B80" s="24">
        <v>44785.0</v>
      </c>
      <c r="C80" s="24">
        <v>44813.0</v>
      </c>
      <c r="D80" s="24">
        <v>44789.0</v>
      </c>
      <c r="E80" s="24">
        <v>44799.0</v>
      </c>
      <c r="F80" s="6">
        <v>44.0</v>
      </c>
      <c r="G80" s="9" t="str">
        <f>VLOOKUP(operations[productID],products[],2,FALSE)</f>
        <v>Gula Malacca</v>
      </c>
      <c r="H80" s="9" t="str">
        <f>IF(VLOOKUP(operations[productID],products[],7,FALSE)=1,"Discontinued","Current")</f>
        <v>Current</v>
      </c>
      <c r="I80" s="6">
        <f>VLOOKUP(operations[productID],products[],4,FALSE)</f>
        <v>27</v>
      </c>
      <c r="J80" s="6">
        <f>VLOOKUP(operations[productID],products[],5,FALSE)</f>
        <v>0</v>
      </c>
      <c r="K80" s="6">
        <f>VLOOKUP(operations[productID],products[],6,FALSE)</f>
        <v>15</v>
      </c>
      <c r="L80" s="10">
        <f t="array" ref="L80">INDEX('1 orders'!I80:I2156, MATCH(1, ('1 orders'!A80:A2156=A80)*('1 orders'!G80:G2156=F80), 0))
</f>
        <v>16</v>
      </c>
      <c r="M80" s="10">
        <f>IFERROR(__xludf.DUMMYFUNCTION("COUNTUNIQUEIFS($A$2:$A80,$F$2:$F80,F80)"),1.0)</f>
        <v>1</v>
      </c>
      <c r="N80" s="10">
        <f t="shared" si="1"/>
        <v>0</v>
      </c>
      <c r="O80" s="26">
        <f>IF(operations[sinceLastOrder]=0,0,operations[orderQuantity] / operations[sinceLastOrder])</f>
        <v>0</v>
      </c>
      <c r="P80" s="9">
        <v>92.69</v>
      </c>
      <c r="Q80" s="7" t="s">
        <v>17</v>
      </c>
      <c r="R80" s="10">
        <f>operations[arrivedDate]-operations[shippedDate]</f>
        <v>10</v>
      </c>
    </row>
    <row r="81" ht="15.75" customHeight="1">
      <c r="A81" s="6">
        <v>10278.0</v>
      </c>
      <c r="B81" s="24">
        <v>44785.0</v>
      </c>
      <c r="C81" s="24">
        <v>44813.0</v>
      </c>
      <c r="D81" s="24">
        <v>44789.0</v>
      </c>
      <c r="E81" s="24">
        <v>44799.0</v>
      </c>
      <c r="F81" s="6">
        <v>59.0</v>
      </c>
      <c r="G81" s="9" t="str">
        <f>VLOOKUP(operations[productID],products[],2,FALSE)</f>
        <v>Raclette Courdavault</v>
      </c>
      <c r="H81" s="9" t="str">
        <f>IF(VLOOKUP(operations[productID],products[],7,FALSE)=1,"Discontinued","Current")</f>
        <v>Current</v>
      </c>
      <c r="I81" s="6">
        <f>VLOOKUP(operations[productID],products[],4,FALSE)</f>
        <v>79</v>
      </c>
      <c r="J81" s="6">
        <f>VLOOKUP(operations[productID],products[],5,FALSE)</f>
        <v>0</v>
      </c>
      <c r="K81" s="6">
        <f>VLOOKUP(operations[productID],products[],6,FALSE)</f>
        <v>0</v>
      </c>
      <c r="L81" s="10">
        <f t="array" ref="L81">INDEX('1 orders'!I81:I2156, MATCH(1, ('1 orders'!A81:A2156=A81)*('1 orders'!G81:G2156=F81), 0))
</f>
        <v>15</v>
      </c>
      <c r="M81" s="10">
        <f>IFERROR(__xludf.DUMMYFUNCTION("COUNTUNIQUEIFS($A$2:$A81,$F$2:$F81,F81)"),4.0)</f>
        <v>4</v>
      </c>
      <c r="N81" s="10">
        <f t="shared" si="1"/>
        <v>5</v>
      </c>
      <c r="O81" s="26">
        <f>IF(operations[sinceLastOrder]=0,0,operations[orderQuantity] / operations[sinceLastOrder])</f>
        <v>3</v>
      </c>
      <c r="P81" s="9">
        <v>92.69</v>
      </c>
      <c r="Q81" s="7" t="s">
        <v>17</v>
      </c>
      <c r="R81" s="10">
        <f>operations[arrivedDate]-operations[shippedDate]</f>
        <v>10</v>
      </c>
    </row>
    <row r="82" ht="15.75" customHeight="1">
      <c r="A82" s="6">
        <v>10278.0</v>
      </c>
      <c r="B82" s="24">
        <v>44785.0</v>
      </c>
      <c r="C82" s="24">
        <v>44813.0</v>
      </c>
      <c r="D82" s="24">
        <v>44789.0</v>
      </c>
      <c r="E82" s="24">
        <v>44799.0</v>
      </c>
      <c r="F82" s="6">
        <v>63.0</v>
      </c>
      <c r="G82" s="9" t="str">
        <f>VLOOKUP(operations[productID],products[],2,FALSE)</f>
        <v>Vegie-spread</v>
      </c>
      <c r="H82" s="9" t="str">
        <f>IF(VLOOKUP(operations[productID],products[],7,FALSE)=1,"Discontinued","Current")</f>
        <v>Current</v>
      </c>
      <c r="I82" s="6">
        <f>VLOOKUP(operations[productID],products[],4,FALSE)</f>
        <v>24</v>
      </c>
      <c r="J82" s="6">
        <f>VLOOKUP(operations[productID],products[],5,FALSE)</f>
        <v>0</v>
      </c>
      <c r="K82" s="6">
        <f>VLOOKUP(operations[productID],products[],6,FALSE)</f>
        <v>5</v>
      </c>
      <c r="L82" s="10">
        <f t="array" ref="L82">INDEX('1 orders'!I82:I2156, MATCH(1, ('1 orders'!A82:A2156=A82)*('1 orders'!G82:G2156=F82), 0))
</f>
        <v>8</v>
      </c>
      <c r="M82" s="10">
        <f>IFERROR(__xludf.DUMMYFUNCTION("COUNTUNIQUEIFS($A$2:$A82,$F$2:$F82,F82)"),1.0)</f>
        <v>1</v>
      </c>
      <c r="N82" s="10">
        <f t="shared" si="1"/>
        <v>0</v>
      </c>
      <c r="O82" s="26">
        <f>IF(operations[sinceLastOrder]=0,0,operations[orderQuantity] / operations[sinceLastOrder])</f>
        <v>0</v>
      </c>
      <c r="P82" s="9">
        <v>92.69</v>
      </c>
      <c r="Q82" s="7" t="s">
        <v>17</v>
      </c>
      <c r="R82" s="10">
        <f>operations[arrivedDate]-operations[shippedDate]</f>
        <v>10</v>
      </c>
    </row>
    <row r="83" ht="15.75" customHeight="1">
      <c r="A83" s="6">
        <v>10278.0</v>
      </c>
      <c r="B83" s="24">
        <v>44785.0</v>
      </c>
      <c r="C83" s="24">
        <v>44813.0</v>
      </c>
      <c r="D83" s="24">
        <v>44789.0</v>
      </c>
      <c r="E83" s="24">
        <v>44799.0</v>
      </c>
      <c r="F83" s="6">
        <v>73.0</v>
      </c>
      <c r="G83" s="9" t="str">
        <f>VLOOKUP(operations[productID],products[],2,FALSE)</f>
        <v>Röd Kaviar</v>
      </c>
      <c r="H83" s="9" t="str">
        <f>IF(VLOOKUP(operations[productID],products[],7,FALSE)=1,"Discontinued","Current")</f>
        <v>Current</v>
      </c>
      <c r="I83" s="6">
        <f>VLOOKUP(operations[productID],products[],4,FALSE)</f>
        <v>101</v>
      </c>
      <c r="J83" s="6">
        <f>VLOOKUP(operations[productID],products[],5,FALSE)</f>
        <v>0</v>
      </c>
      <c r="K83" s="6">
        <f>VLOOKUP(operations[productID],products[],6,FALSE)</f>
        <v>5</v>
      </c>
      <c r="L83" s="10">
        <f t="array" ref="L83">INDEX('1 orders'!I83:I2156, MATCH(1, ('1 orders'!A83:A2156=A83)*('1 orders'!G83:G2156=F83), 0))
</f>
        <v>25</v>
      </c>
      <c r="M83" s="10">
        <f>IFERROR(__xludf.DUMMYFUNCTION("COUNTUNIQUEIFS($A$2:$A83,$F$2:$F83,F83)"),1.0)</f>
        <v>1</v>
      </c>
      <c r="N83" s="10">
        <f t="shared" si="1"/>
        <v>0</v>
      </c>
      <c r="O83" s="26">
        <f>IF(operations[sinceLastOrder]=0,0,operations[orderQuantity] / operations[sinceLastOrder])</f>
        <v>0</v>
      </c>
      <c r="P83" s="9">
        <v>92.69</v>
      </c>
      <c r="Q83" s="7" t="s">
        <v>17</v>
      </c>
      <c r="R83" s="10">
        <f>operations[arrivedDate]-operations[shippedDate]</f>
        <v>10</v>
      </c>
    </row>
    <row r="84" ht="15.75" customHeight="1">
      <c r="A84" s="6">
        <v>10279.0</v>
      </c>
      <c r="B84" s="24">
        <v>44786.0</v>
      </c>
      <c r="C84" s="24">
        <v>44814.0</v>
      </c>
      <c r="D84" s="24">
        <v>44789.0</v>
      </c>
      <c r="E84" s="24">
        <v>44796.0</v>
      </c>
      <c r="F84" s="6">
        <v>17.0</v>
      </c>
      <c r="G84" s="9" t="str">
        <f>VLOOKUP(operations[productID],products[],2,FALSE)</f>
        <v>Alice Mutton</v>
      </c>
      <c r="H84" s="9" t="str">
        <f>IF(VLOOKUP(operations[productID],products[],7,FALSE)=1,"Discontinued","Current")</f>
        <v>Discontinued</v>
      </c>
      <c r="I84" s="6">
        <f>VLOOKUP(operations[productID],products[],4,FALSE)</f>
        <v>0</v>
      </c>
      <c r="J84" s="6">
        <f>VLOOKUP(operations[productID],products[],5,FALSE)</f>
        <v>0</v>
      </c>
      <c r="K84" s="6">
        <f>VLOOKUP(operations[productID],products[],6,FALSE)</f>
        <v>0</v>
      </c>
      <c r="L84" s="10">
        <f t="array" ref="L84">INDEX('1 orders'!I84:I2156, MATCH(1, ('1 orders'!A84:A2156=A84)*('1 orders'!G84:G2156=F84), 0))
</f>
        <v>15</v>
      </c>
      <c r="M84" s="10">
        <f>IFERROR(__xludf.DUMMYFUNCTION("COUNTUNIQUEIFS($A$2:$A84,$F$2:$F84,F84)"),2.0)</f>
        <v>2</v>
      </c>
      <c r="N84" s="10">
        <f t="shared" si="1"/>
        <v>19</v>
      </c>
      <c r="O84" s="26">
        <f>IF(operations[sinceLastOrder]=0,0,operations[orderQuantity] / operations[sinceLastOrder])</f>
        <v>0.7894736842</v>
      </c>
      <c r="P84" s="9">
        <v>25.83</v>
      </c>
      <c r="Q84" s="7" t="s">
        <v>17</v>
      </c>
      <c r="R84" s="10">
        <f>operations[arrivedDate]-operations[shippedDate]</f>
        <v>7</v>
      </c>
    </row>
    <row r="85" ht="15.75" customHeight="1">
      <c r="A85" s="6">
        <v>10280.0</v>
      </c>
      <c r="B85" s="24">
        <v>44787.0</v>
      </c>
      <c r="C85" s="24">
        <v>44815.0</v>
      </c>
      <c r="D85" s="24">
        <v>44816.0</v>
      </c>
      <c r="E85" s="24">
        <v>44826.0</v>
      </c>
      <c r="F85" s="6">
        <v>24.0</v>
      </c>
      <c r="G85" s="9" t="str">
        <f>VLOOKUP(operations[productID],products[],2,FALSE)</f>
        <v>Brigadeiros Maravilhosos da Lilian</v>
      </c>
      <c r="H85" s="9" t="str">
        <f>IF(VLOOKUP(operations[productID],products[],7,FALSE)=1,"Discontinued","Current")</f>
        <v>Discontinued</v>
      </c>
      <c r="I85" s="6">
        <f>VLOOKUP(operations[productID],products[],4,FALSE)</f>
        <v>20</v>
      </c>
      <c r="J85" s="6">
        <f>VLOOKUP(operations[productID],products[],5,FALSE)</f>
        <v>0</v>
      </c>
      <c r="K85" s="6">
        <f>VLOOKUP(operations[productID],products[],6,FALSE)</f>
        <v>0</v>
      </c>
      <c r="L85" s="10">
        <f t="array" ref="L85">INDEX('1 orders'!I85:I2156, MATCH(1, ('1 orders'!A85:A2156=A85)*('1 orders'!G85:G2156=F85), 0))
</f>
        <v>12</v>
      </c>
      <c r="M85" s="10">
        <f>IFERROR(__xludf.DUMMYFUNCTION("COUNTUNIQUEIFS($A$2:$A85,$F$2:$F85,F85)"),4.0)</f>
        <v>4</v>
      </c>
      <c r="N85" s="10">
        <f t="shared" si="1"/>
        <v>7</v>
      </c>
      <c r="O85" s="26">
        <f>IF(operations[sinceLastOrder]=0,0,operations[orderQuantity] / operations[sinceLastOrder])</f>
        <v>1.714285714</v>
      </c>
      <c r="P85" s="9">
        <v>8.98</v>
      </c>
      <c r="Q85" s="7" t="s">
        <v>15</v>
      </c>
      <c r="R85" s="10">
        <f>operations[arrivedDate]-operations[shippedDate]</f>
        <v>10</v>
      </c>
    </row>
    <row r="86" ht="15.75" customHeight="1">
      <c r="A86" s="6">
        <v>10280.0</v>
      </c>
      <c r="B86" s="24">
        <v>44787.0</v>
      </c>
      <c r="C86" s="24">
        <v>44815.0</v>
      </c>
      <c r="D86" s="24">
        <v>44816.0</v>
      </c>
      <c r="E86" s="24">
        <v>44826.0</v>
      </c>
      <c r="F86" s="6">
        <v>55.0</v>
      </c>
      <c r="G86" s="9" t="str">
        <f>VLOOKUP(operations[productID],products[],2,FALSE)</f>
        <v>Pâté chinois</v>
      </c>
      <c r="H86" s="9" t="str">
        <f>IF(VLOOKUP(operations[productID],products[],7,FALSE)=1,"Discontinued","Current")</f>
        <v>Current</v>
      </c>
      <c r="I86" s="6">
        <f>VLOOKUP(operations[productID],products[],4,FALSE)</f>
        <v>115</v>
      </c>
      <c r="J86" s="6">
        <f>VLOOKUP(operations[productID],products[],5,FALSE)</f>
        <v>0</v>
      </c>
      <c r="K86" s="6">
        <f>VLOOKUP(operations[productID],products[],6,FALSE)</f>
        <v>20</v>
      </c>
      <c r="L86" s="10">
        <f t="array" ref="L86">INDEX('1 orders'!I86:I2156, MATCH(1, ('1 orders'!A86:A2156=A86)*('1 orders'!G86:G2156=F86), 0))
</f>
        <v>20</v>
      </c>
      <c r="M86" s="10">
        <f>IFERROR(__xludf.DUMMYFUNCTION("COUNTUNIQUEIFS($A$2:$A86,$F$2:$F86,F86)"),2.0)</f>
        <v>2</v>
      </c>
      <c r="N86" s="10">
        <f t="shared" si="1"/>
        <v>34</v>
      </c>
      <c r="O86" s="26">
        <f>IF(operations[sinceLastOrder]=0,0,operations[orderQuantity] / operations[sinceLastOrder])</f>
        <v>0.5882352941</v>
      </c>
      <c r="P86" s="9">
        <v>8.98</v>
      </c>
      <c r="Q86" s="7" t="s">
        <v>15</v>
      </c>
      <c r="R86" s="10">
        <f>operations[arrivedDate]-operations[shippedDate]</f>
        <v>10</v>
      </c>
    </row>
    <row r="87" ht="15.75" customHeight="1">
      <c r="A87" s="6">
        <v>10280.0</v>
      </c>
      <c r="B87" s="24">
        <v>44787.0</v>
      </c>
      <c r="C87" s="24">
        <v>44815.0</v>
      </c>
      <c r="D87" s="24">
        <v>44816.0</v>
      </c>
      <c r="E87" s="24">
        <v>44826.0</v>
      </c>
      <c r="F87" s="6">
        <v>75.0</v>
      </c>
      <c r="G87" s="9" t="str">
        <f>VLOOKUP(operations[productID],products[],2,FALSE)</f>
        <v>Rhönbräu Klosterbier</v>
      </c>
      <c r="H87" s="9" t="str">
        <f>IF(VLOOKUP(operations[productID],products[],7,FALSE)=1,"Discontinued","Current")</f>
        <v>Current</v>
      </c>
      <c r="I87" s="6">
        <f>VLOOKUP(operations[productID],products[],4,FALSE)</f>
        <v>125</v>
      </c>
      <c r="J87" s="6">
        <f>VLOOKUP(operations[productID],products[],5,FALSE)</f>
        <v>0</v>
      </c>
      <c r="K87" s="6">
        <f>VLOOKUP(operations[productID],products[],6,FALSE)</f>
        <v>25</v>
      </c>
      <c r="L87" s="10">
        <f t="array" ref="L87">INDEX('1 orders'!I87:I2156, MATCH(1, ('1 orders'!A87:A2156=A87)*('1 orders'!G87:G2156=F87), 0))
</f>
        <v>30</v>
      </c>
      <c r="M87" s="10">
        <f>IFERROR(__xludf.DUMMYFUNCTION("COUNTUNIQUEIFS($A$2:$A87,$F$2:$F87,F87)"),1.0)</f>
        <v>1</v>
      </c>
      <c r="N87" s="10">
        <f t="shared" si="1"/>
        <v>0</v>
      </c>
      <c r="O87" s="26">
        <f>IF(operations[sinceLastOrder]=0,0,operations[orderQuantity] / operations[sinceLastOrder])</f>
        <v>0</v>
      </c>
      <c r="P87" s="9">
        <v>8.98</v>
      </c>
      <c r="Q87" s="7" t="s">
        <v>15</v>
      </c>
      <c r="R87" s="10">
        <f>operations[arrivedDate]-operations[shippedDate]</f>
        <v>10</v>
      </c>
    </row>
    <row r="88" ht="15.75" customHeight="1">
      <c r="A88" s="6">
        <v>10281.0</v>
      </c>
      <c r="B88" s="24">
        <v>44787.0</v>
      </c>
      <c r="C88" s="24">
        <v>44801.0</v>
      </c>
      <c r="D88" s="24">
        <v>44794.0</v>
      </c>
      <c r="E88" s="24">
        <v>44803.0</v>
      </c>
      <c r="F88" s="6">
        <v>19.0</v>
      </c>
      <c r="G88" s="9" t="str">
        <f>VLOOKUP(operations[productID],products[],2,FALSE)</f>
        <v>Teatime Chocolate Biscuits</v>
      </c>
      <c r="H88" s="9" t="str">
        <f>IF(VLOOKUP(operations[productID],products[],7,FALSE)=1,"Discontinued","Current")</f>
        <v>Current</v>
      </c>
      <c r="I88" s="6">
        <f>VLOOKUP(operations[productID],products[],4,FALSE)</f>
        <v>25</v>
      </c>
      <c r="J88" s="6">
        <f>VLOOKUP(operations[productID],products[],5,FALSE)</f>
        <v>0</v>
      </c>
      <c r="K88" s="6">
        <f>VLOOKUP(operations[productID],products[],6,FALSE)</f>
        <v>5</v>
      </c>
      <c r="L88" s="10">
        <f t="array" ref="L88">INDEX('1 orders'!I88:I2156, MATCH(1, ('1 orders'!A88:A2156=A88)*('1 orders'!G88:G2156=F88), 0))
</f>
        <v>1</v>
      </c>
      <c r="M88" s="10">
        <f>IFERROR(__xludf.DUMMYFUNCTION("COUNTUNIQUEIFS($A$2:$A88,$F$2:$F88,F88)"),1.0)</f>
        <v>1</v>
      </c>
      <c r="N88" s="10">
        <f t="shared" si="1"/>
        <v>0</v>
      </c>
      <c r="O88" s="26">
        <f>IF(operations[sinceLastOrder]=0,0,operations[orderQuantity] / operations[sinceLastOrder])</f>
        <v>0</v>
      </c>
      <c r="P88" s="9">
        <v>2.94</v>
      </c>
      <c r="Q88" s="7" t="s">
        <v>15</v>
      </c>
      <c r="R88" s="10">
        <f>operations[arrivedDate]-operations[shippedDate]</f>
        <v>9</v>
      </c>
    </row>
    <row r="89" ht="15.75" customHeight="1">
      <c r="A89" s="6">
        <v>10281.0</v>
      </c>
      <c r="B89" s="24">
        <v>44787.0</v>
      </c>
      <c r="C89" s="24">
        <v>44801.0</v>
      </c>
      <c r="D89" s="24">
        <v>44794.0</v>
      </c>
      <c r="E89" s="24">
        <v>44803.0</v>
      </c>
      <c r="F89" s="6">
        <v>24.0</v>
      </c>
      <c r="G89" s="9" t="str">
        <f>VLOOKUP(operations[productID],products[],2,FALSE)</f>
        <v>Brigadeiros Maravilhosos da Lilian</v>
      </c>
      <c r="H89" s="9" t="str">
        <f>IF(VLOOKUP(operations[productID],products[],7,FALSE)=1,"Discontinued","Current")</f>
        <v>Discontinued</v>
      </c>
      <c r="I89" s="6">
        <f>VLOOKUP(operations[productID],products[],4,FALSE)</f>
        <v>20</v>
      </c>
      <c r="J89" s="6">
        <f>VLOOKUP(operations[productID],products[],5,FALSE)</f>
        <v>0</v>
      </c>
      <c r="K89" s="6">
        <f>VLOOKUP(operations[productID],products[],6,FALSE)</f>
        <v>0</v>
      </c>
      <c r="L89" s="10">
        <f t="array" ref="L89">INDEX('1 orders'!I89:I2156, MATCH(1, ('1 orders'!A89:A2156=A89)*('1 orders'!G89:G2156=F89), 0))
</f>
        <v>6</v>
      </c>
      <c r="M89" s="10">
        <f>IFERROR(__xludf.DUMMYFUNCTION("COUNTUNIQUEIFS($A$2:$A89,$F$2:$F89,F89)"),5.0)</f>
        <v>5</v>
      </c>
      <c r="N89" s="10">
        <f t="shared" si="1"/>
        <v>0</v>
      </c>
      <c r="O89" s="26">
        <f>IF(operations[sinceLastOrder]=0,0,operations[orderQuantity] / operations[sinceLastOrder])</f>
        <v>0</v>
      </c>
      <c r="P89" s="9">
        <v>2.94</v>
      </c>
      <c r="Q89" s="7" t="s">
        <v>15</v>
      </c>
      <c r="R89" s="10">
        <f>operations[arrivedDate]-operations[shippedDate]</f>
        <v>9</v>
      </c>
    </row>
    <row r="90" ht="15.75" customHeight="1">
      <c r="A90" s="6">
        <v>10281.0</v>
      </c>
      <c r="B90" s="24">
        <v>44787.0</v>
      </c>
      <c r="C90" s="24">
        <v>44801.0</v>
      </c>
      <c r="D90" s="24">
        <v>44794.0</v>
      </c>
      <c r="E90" s="24">
        <v>44803.0</v>
      </c>
      <c r="F90" s="6">
        <v>35.0</v>
      </c>
      <c r="G90" s="9" t="str">
        <f>VLOOKUP(operations[productID],products[],2,FALSE)</f>
        <v>Cold Brew Nitro</v>
      </c>
      <c r="H90" s="9" t="str">
        <f>IF(VLOOKUP(operations[productID],products[],7,FALSE)=1,"Discontinued","Current")</f>
        <v>Current</v>
      </c>
      <c r="I90" s="6">
        <f>VLOOKUP(operations[productID],products[],4,FALSE)</f>
        <v>20</v>
      </c>
      <c r="J90" s="6">
        <f>VLOOKUP(operations[productID],products[],5,FALSE)</f>
        <v>0</v>
      </c>
      <c r="K90" s="6">
        <f>VLOOKUP(operations[productID],products[],6,FALSE)</f>
        <v>15</v>
      </c>
      <c r="L90" s="10">
        <f t="array" ref="L90">INDEX('1 orders'!I90:I2156, MATCH(1, ('1 orders'!A90:A2156=A90)*('1 orders'!G90:G2156=F90), 0))
</f>
        <v>4</v>
      </c>
      <c r="M90" s="10">
        <f>IFERROR(__xludf.DUMMYFUNCTION("COUNTUNIQUEIFS($A$2:$A90,$F$2:$F90,F90)"),2.0)</f>
        <v>2</v>
      </c>
      <c r="N90" s="10">
        <f t="shared" si="1"/>
        <v>26</v>
      </c>
      <c r="O90" s="26">
        <f>IF(operations[sinceLastOrder]=0,0,operations[orderQuantity] / operations[sinceLastOrder])</f>
        <v>0.1538461538</v>
      </c>
      <c r="P90" s="9">
        <v>2.94</v>
      </c>
      <c r="Q90" s="7" t="s">
        <v>15</v>
      </c>
      <c r="R90" s="10">
        <f>operations[arrivedDate]-operations[shippedDate]</f>
        <v>9</v>
      </c>
    </row>
    <row r="91" ht="15.75" customHeight="1">
      <c r="A91" s="6">
        <v>10282.0</v>
      </c>
      <c r="B91" s="24">
        <v>44788.0</v>
      </c>
      <c r="C91" s="24">
        <v>44816.0</v>
      </c>
      <c r="D91" s="24">
        <v>44794.0</v>
      </c>
      <c r="E91" s="24">
        <v>44800.0</v>
      </c>
      <c r="F91" s="6">
        <v>30.0</v>
      </c>
      <c r="G91" s="9" t="str">
        <f>VLOOKUP(operations[productID],products[],2,FALSE)</f>
        <v>Nord-Ost Matjeshering</v>
      </c>
      <c r="H91" s="9" t="str">
        <f>IF(VLOOKUP(operations[productID],products[],7,FALSE)=1,"Discontinued","Current")</f>
        <v>Current</v>
      </c>
      <c r="I91" s="6">
        <f>VLOOKUP(operations[productID],products[],4,FALSE)</f>
        <v>10</v>
      </c>
      <c r="J91" s="6">
        <f>VLOOKUP(operations[productID],products[],5,FALSE)</f>
        <v>0</v>
      </c>
      <c r="K91" s="6">
        <f>VLOOKUP(operations[productID],products[],6,FALSE)</f>
        <v>15</v>
      </c>
      <c r="L91" s="10">
        <f t="array" ref="L91">INDEX('1 orders'!I91:I2156, MATCH(1, ('1 orders'!A91:A2156=A91)*('1 orders'!G91:G2156=F91), 0))
</f>
        <v>6</v>
      </c>
      <c r="M91" s="10">
        <f>IFERROR(__xludf.DUMMYFUNCTION("COUNTUNIQUEIFS($A$2:$A91,$F$2:$F91,F91)"),2.0)</f>
        <v>2</v>
      </c>
      <c r="N91" s="10">
        <f t="shared" si="1"/>
        <v>23</v>
      </c>
      <c r="O91" s="26">
        <f>IF(operations[sinceLastOrder]=0,0,operations[orderQuantity] / operations[sinceLastOrder])</f>
        <v>0.2608695652</v>
      </c>
      <c r="P91" s="9">
        <v>12.69</v>
      </c>
      <c r="Q91" s="7" t="s">
        <v>15</v>
      </c>
      <c r="R91" s="10">
        <f>operations[arrivedDate]-operations[shippedDate]</f>
        <v>6</v>
      </c>
    </row>
    <row r="92" ht="15.75" customHeight="1">
      <c r="A92" s="6">
        <v>10282.0</v>
      </c>
      <c r="B92" s="24">
        <v>44788.0</v>
      </c>
      <c r="C92" s="24">
        <v>44816.0</v>
      </c>
      <c r="D92" s="24">
        <v>44794.0</v>
      </c>
      <c r="E92" s="24">
        <v>44800.0</v>
      </c>
      <c r="F92" s="6">
        <v>57.0</v>
      </c>
      <c r="G92" s="9" t="str">
        <f>VLOOKUP(operations[productID],products[],2,FALSE)</f>
        <v>Ravioli Angelo</v>
      </c>
      <c r="H92" s="9" t="str">
        <f>IF(VLOOKUP(operations[productID],products[],7,FALSE)=1,"Discontinued","Current")</f>
        <v>Current</v>
      </c>
      <c r="I92" s="6">
        <f>VLOOKUP(operations[productID],products[],4,FALSE)</f>
        <v>36</v>
      </c>
      <c r="J92" s="6">
        <f>VLOOKUP(operations[productID],products[],5,FALSE)</f>
        <v>0</v>
      </c>
      <c r="K92" s="6">
        <f>VLOOKUP(operations[productID],products[],6,FALSE)</f>
        <v>20</v>
      </c>
      <c r="L92" s="10">
        <f t="array" ref="L92">INDEX('1 orders'!I92:I2156, MATCH(1, ('1 orders'!A92:A2156=A92)*('1 orders'!G92:G2156=F92), 0))
</f>
        <v>2</v>
      </c>
      <c r="M92" s="10">
        <f>IFERROR(__xludf.DUMMYFUNCTION("COUNTUNIQUEIFS($A$2:$A92,$F$2:$F92,F92)"),3.0)</f>
        <v>3</v>
      </c>
      <c r="N92" s="10">
        <f t="shared" si="1"/>
        <v>27</v>
      </c>
      <c r="O92" s="26">
        <f>IF(operations[sinceLastOrder]=0,0,operations[orderQuantity] / operations[sinceLastOrder])</f>
        <v>0.07407407407</v>
      </c>
      <c r="P92" s="9">
        <v>12.69</v>
      </c>
      <c r="Q92" s="7" t="s">
        <v>15</v>
      </c>
      <c r="R92" s="10">
        <f>operations[arrivedDate]-operations[shippedDate]</f>
        <v>6</v>
      </c>
    </row>
    <row r="93" ht="15.75" customHeight="1">
      <c r="A93" s="6">
        <v>10283.0</v>
      </c>
      <c r="B93" s="24">
        <v>44789.0</v>
      </c>
      <c r="C93" s="24">
        <v>44817.0</v>
      </c>
      <c r="D93" s="24">
        <v>44796.0</v>
      </c>
      <c r="E93" s="24">
        <v>44808.0</v>
      </c>
      <c r="F93" s="6">
        <v>15.0</v>
      </c>
      <c r="G93" s="9" t="str">
        <f>VLOOKUP(operations[productID],products[],2,FALSE)</f>
        <v>Genen Shouyu</v>
      </c>
      <c r="H93" s="9" t="str">
        <f>IF(VLOOKUP(operations[productID],products[],7,FALSE)=1,"Discontinued","Current")</f>
        <v>Current</v>
      </c>
      <c r="I93" s="6">
        <f>VLOOKUP(operations[productID],products[],4,FALSE)</f>
        <v>39</v>
      </c>
      <c r="J93" s="6">
        <f>VLOOKUP(operations[productID],products[],5,FALSE)</f>
        <v>0</v>
      </c>
      <c r="K93" s="6">
        <f>VLOOKUP(operations[productID],products[],6,FALSE)</f>
        <v>5</v>
      </c>
      <c r="L93" s="10">
        <f t="array" ref="L93">INDEX('1 orders'!I93:I2156, MATCH(1, ('1 orders'!A93:A2156=A93)*('1 orders'!G93:G2156=F93), 0))
</f>
        <v>20</v>
      </c>
      <c r="M93" s="10">
        <f>IFERROR(__xludf.DUMMYFUNCTION("COUNTUNIQUEIFS($A$2:$A93,$F$2:$F93,F93)"),1.0)</f>
        <v>1</v>
      </c>
      <c r="N93" s="10">
        <f t="shared" si="1"/>
        <v>0</v>
      </c>
      <c r="O93" s="26">
        <f>IF(operations[sinceLastOrder]=0,0,operations[orderQuantity] / operations[sinceLastOrder])</f>
        <v>0</v>
      </c>
      <c r="P93" s="9">
        <v>84.81</v>
      </c>
      <c r="Q93" s="7" t="s">
        <v>13</v>
      </c>
      <c r="R93" s="10">
        <f>operations[arrivedDate]-operations[shippedDate]</f>
        <v>12</v>
      </c>
    </row>
    <row r="94" ht="15.75" customHeight="1">
      <c r="A94" s="6">
        <v>10283.0</v>
      </c>
      <c r="B94" s="24">
        <v>44789.0</v>
      </c>
      <c r="C94" s="24">
        <v>44817.0</v>
      </c>
      <c r="D94" s="24">
        <v>44796.0</v>
      </c>
      <c r="E94" s="24">
        <v>44808.0</v>
      </c>
      <c r="F94" s="6">
        <v>19.0</v>
      </c>
      <c r="G94" s="9" t="str">
        <f>VLOOKUP(operations[productID],products[],2,FALSE)</f>
        <v>Teatime Chocolate Biscuits</v>
      </c>
      <c r="H94" s="9" t="str">
        <f>IF(VLOOKUP(operations[productID],products[],7,FALSE)=1,"Discontinued","Current")</f>
        <v>Current</v>
      </c>
      <c r="I94" s="6">
        <f>VLOOKUP(operations[productID],products[],4,FALSE)</f>
        <v>25</v>
      </c>
      <c r="J94" s="6">
        <f>VLOOKUP(operations[productID],products[],5,FALSE)</f>
        <v>0</v>
      </c>
      <c r="K94" s="6">
        <f>VLOOKUP(operations[productID],products[],6,FALSE)</f>
        <v>5</v>
      </c>
      <c r="L94" s="10">
        <f t="array" ref="L94">INDEX('1 orders'!I94:I2156, MATCH(1, ('1 orders'!A94:A2156=A94)*('1 orders'!G94:G2156=F94), 0))
</f>
        <v>18</v>
      </c>
      <c r="M94" s="10">
        <f>IFERROR(__xludf.DUMMYFUNCTION("COUNTUNIQUEIFS($A$2:$A94,$F$2:$F94,F94)"),2.0)</f>
        <v>2</v>
      </c>
      <c r="N94" s="10">
        <f t="shared" si="1"/>
        <v>2</v>
      </c>
      <c r="O94" s="26">
        <f>IF(operations[sinceLastOrder]=0,0,operations[orderQuantity] / operations[sinceLastOrder])</f>
        <v>9</v>
      </c>
      <c r="P94" s="9">
        <v>84.81</v>
      </c>
      <c r="Q94" s="7" t="s">
        <v>13</v>
      </c>
      <c r="R94" s="10">
        <f>operations[arrivedDate]-operations[shippedDate]</f>
        <v>12</v>
      </c>
    </row>
    <row r="95" ht="15.75" customHeight="1">
      <c r="A95" s="6">
        <v>10283.0</v>
      </c>
      <c r="B95" s="24">
        <v>44789.0</v>
      </c>
      <c r="C95" s="24">
        <v>44817.0</v>
      </c>
      <c r="D95" s="24">
        <v>44796.0</v>
      </c>
      <c r="E95" s="24">
        <v>44808.0</v>
      </c>
      <c r="F95" s="6">
        <v>60.0</v>
      </c>
      <c r="G95" s="9" t="str">
        <f>VLOOKUP(operations[productID],products[],2,FALSE)</f>
        <v>Camembert Pierrot</v>
      </c>
      <c r="H95" s="9" t="str">
        <f>IF(VLOOKUP(operations[productID],products[],7,FALSE)=1,"Discontinued","Current")</f>
        <v>Current</v>
      </c>
      <c r="I95" s="6">
        <f>VLOOKUP(operations[productID],products[],4,FALSE)</f>
        <v>19</v>
      </c>
      <c r="J95" s="6">
        <f>VLOOKUP(operations[productID],products[],5,FALSE)</f>
        <v>0</v>
      </c>
      <c r="K95" s="6">
        <f>VLOOKUP(operations[productID],products[],6,FALSE)</f>
        <v>0</v>
      </c>
      <c r="L95" s="10">
        <f t="array" ref="L95">INDEX('1 orders'!I95:I2156, MATCH(1, ('1 orders'!A95:A2156=A95)*('1 orders'!G95:G2156=F95), 0))
</f>
        <v>35</v>
      </c>
      <c r="M95" s="10">
        <f>IFERROR(__xludf.DUMMYFUNCTION("COUNTUNIQUEIFS($A$2:$A95,$F$2:$F95,F95)"),2.0)</f>
        <v>2</v>
      </c>
      <c r="N95" s="10">
        <f t="shared" si="1"/>
        <v>38</v>
      </c>
      <c r="O95" s="26">
        <f>IF(operations[sinceLastOrder]=0,0,operations[orderQuantity] / operations[sinceLastOrder])</f>
        <v>0.9210526316</v>
      </c>
      <c r="P95" s="9">
        <v>84.81</v>
      </c>
      <c r="Q95" s="7" t="s">
        <v>13</v>
      </c>
      <c r="R95" s="10">
        <f>operations[arrivedDate]-operations[shippedDate]</f>
        <v>12</v>
      </c>
    </row>
    <row r="96" ht="15.75" customHeight="1">
      <c r="A96" s="6">
        <v>10283.0</v>
      </c>
      <c r="B96" s="24">
        <v>44789.0</v>
      </c>
      <c r="C96" s="24">
        <v>44817.0</v>
      </c>
      <c r="D96" s="24">
        <v>44796.0</v>
      </c>
      <c r="E96" s="24">
        <v>44808.0</v>
      </c>
      <c r="F96" s="6">
        <v>72.0</v>
      </c>
      <c r="G96" s="9" t="str">
        <f>VLOOKUP(operations[productID],products[],2,FALSE)</f>
        <v>Mozzarella di Giovanni</v>
      </c>
      <c r="H96" s="9" t="str">
        <f>IF(VLOOKUP(operations[productID],products[],7,FALSE)=1,"Discontinued","Current")</f>
        <v>Current</v>
      </c>
      <c r="I96" s="6">
        <f>VLOOKUP(operations[productID],products[],4,FALSE)</f>
        <v>14</v>
      </c>
      <c r="J96" s="6">
        <f>VLOOKUP(operations[productID],products[],5,FALSE)</f>
        <v>0</v>
      </c>
      <c r="K96" s="6">
        <f>VLOOKUP(operations[productID],products[],6,FALSE)</f>
        <v>0</v>
      </c>
      <c r="L96" s="10">
        <f t="array" ref="L96">INDEX('1 orders'!I96:I2156, MATCH(1, ('1 orders'!A96:A2156=A96)*('1 orders'!G96:G2156=F96), 0))
</f>
        <v>3</v>
      </c>
      <c r="M96" s="10">
        <f>IFERROR(__xludf.DUMMYFUNCTION("COUNTUNIQUEIFS($A$2:$A96,$F$2:$F96,F96)"),6.0)</f>
        <v>6</v>
      </c>
      <c r="N96" s="10">
        <f t="shared" si="1"/>
        <v>10</v>
      </c>
      <c r="O96" s="26">
        <f>IF(operations[sinceLastOrder]=0,0,operations[orderQuantity] / operations[sinceLastOrder])</f>
        <v>0.3</v>
      </c>
      <c r="P96" s="9">
        <v>84.81</v>
      </c>
      <c r="Q96" s="7" t="s">
        <v>13</v>
      </c>
      <c r="R96" s="10">
        <f>operations[arrivedDate]-operations[shippedDate]</f>
        <v>12</v>
      </c>
    </row>
    <row r="97" ht="15.75" customHeight="1">
      <c r="A97" s="6">
        <v>10284.0</v>
      </c>
      <c r="B97" s="24">
        <v>44792.0</v>
      </c>
      <c r="C97" s="24">
        <v>44820.0</v>
      </c>
      <c r="D97" s="24">
        <v>44800.0</v>
      </c>
      <c r="E97" s="24">
        <v>44802.0</v>
      </c>
      <c r="F97" s="6">
        <v>27.0</v>
      </c>
      <c r="G97" s="9" t="str">
        <f>VLOOKUP(operations[productID],products[],2,FALSE)</f>
        <v>Schoggi Schokolade</v>
      </c>
      <c r="H97" s="9" t="str">
        <f>IF(VLOOKUP(operations[productID],products[],7,FALSE)=1,"Discontinued","Current")</f>
        <v>Current</v>
      </c>
      <c r="I97" s="6">
        <f>VLOOKUP(operations[productID],products[],4,FALSE)</f>
        <v>49</v>
      </c>
      <c r="J97" s="6">
        <f>VLOOKUP(operations[productID],products[],5,FALSE)</f>
        <v>0</v>
      </c>
      <c r="K97" s="6">
        <f>VLOOKUP(operations[productID],products[],6,FALSE)</f>
        <v>30</v>
      </c>
      <c r="L97" s="10">
        <f t="array" ref="L97">INDEX('1 orders'!I97:I2156, MATCH(1, ('1 orders'!A97:A2156=A97)*('1 orders'!G97:G2156=F97), 0))
</f>
        <v>15</v>
      </c>
      <c r="M97" s="10">
        <f>IFERROR(__xludf.DUMMYFUNCTION("COUNTUNIQUEIFS($A$2:$A97,$F$2:$F97,F97)"),2.0)</f>
        <v>2</v>
      </c>
      <c r="N97" s="10">
        <f t="shared" si="1"/>
        <v>34</v>
      </c>
      <c r="O97" s="26">
        <f>IF(operations[sinceLastOrder]=0,0,operations[orderQuantity] / operations[sinceLastOrder])</f>
        <v>0.4411764706</v>
      </c>
      <c r="P97" s="9">
        <v>76.56</v>
      </c>
      <c r="Q97" s="7" t="s">
        <v>15</v>
      </c>
      <c r="R97" s="10">
        <f>operations[arrivedDate]-operations[shippedDate]</f>
        <v>2</v>
      </c>
    </row>
    <row r="98" ht="15.75" customHeight="1">
      <c r="A98" s="6">
        <v>10284.0</v>
      </c>
      <c r="B98" s="24">
        <v>44792.0</v>
      </c>
      <c r="C98" s="24">
        <v>44820.0</v>
      </c>
      <c r="D98" s="24">
        <v>44800.0</v>
      </c>
      <c r="E98" s="24">
        <v>44802.0</v>
      </c>
      <c r="F98" s="6">
        <v>44.0</v>
      </c>
      <c r="G98" s="9" t="str">
        <f>VLOOKUP(operations[productID],products[],2,FALSE)</f>
        <v>Gula Malacca</v>
      </c>
      <c r="H98" s="9" t="str">
        <f>IF(VLOOKUP(operations[productID],products[],7,FALSE)=1,"Discontinued","Current")</f>
        <v>Current</v>
      </c>
      <c r="I98" s="6">
        <f>VLOOKUP(operations[productID],products[],4,FALSE)</f>
        <v>27</v>
      </c>
      <c r="J98" s="6">
        <f>VLOOKUP(operations[productID],products[],5,FALSE)</f>
        <v>0</v>
      </c>
      <c r="K98" s="6">
        <f>VLOOKUP(operations[productID],products[],6,FALSE)</f>
        <v>15</v>
      </c>
      <c r="L98" s="10">
        <f t="array" ref="L98">INDEX('1 orders'!I98:I2156, MATCH(1, ('1 orders'!A98:A2156=A98)*('1 orders'!G98:G2156=F98), 0))
</f>
        <v>21</v>
      </c>
      <c r="M98" s="10">
        <f>IFERROR(__xludf.DUMMYFUNCTION("COUNTUNIQUEIFS($A$2:$A98,$F$2:$F98,F98)"),2.0)</f>
        <v>2</v>
      </c>
      <c r="N98" s="10">
        <f t="shared" si="1"/>
        <v>7</v>
      </c>
      <c r="O98" s="26">
        <f>IF(operations[sinceLastOrder]=0,0,operations[orderQuantity] / operations[sinceLastOrder])</f>
        <v>3</v>
      </c>
      <c r="P98" s="9">
        <v>76.56</v>
      </c>
      <c r="Q98" s="7" t="s">
        <v>15</v>
      </c>
      <c r="R98" s="10">
        <f>operations[arrivedDate]-operations[shippedDate]</f>
        <v>2</v>
      </c>
    </row>
    <row r="99" ht="15.75" customHeight="1">
      <c r="A99" s="6">
        <v>10284.0</v>
      </c>
      <c r="B99" s="24">
        <v>44792.0</v>
      </c>
      <c r="C99" s="24">
        <v>44820.0</v>
      </c>
      <c r="D99" s="24">
        <v>44800.0</v>
      </c>
      <c r="E99" s="24">
        <v>44802.0</v>
      </c>
      <c r="F99" s="6">
        <v>60.0</v>
      </c>
      <c r="G99" s="9" t="str">
        <f>VLOOKUP(operations[productID],products[],2,FALSE)</f>
        <v>Camembert Pierrot</v>
      </c>
      <c r="H99" s="9" t="str">
        <f>IF(VLOOKUP(operations[productID],products[],7,FALSE)=1,"Discontinued","Current")</f>
        <v>Current</v>
      </c>
      <c r="I99" s="6">
        <f>VLOOKUP(operations[productID],products[],4,FALSE)</f>
        <v>19</v>
      </c>
      <c r="J99" s="6">
        <f>VLOOKUP(operations[productID],products[],5,FALSE)</f>
        <v>0</v>
      </c>
      <c r="K99" s="6">
        <f>VLOOKUP(operations[productID],products[],6,FALSE)</f>
        <v>0</v>
      </c>
      <c r="L99" s="10">
        <f t="array" ref="L99">INDEX('1 orders'!I99:I2156, MATCH(1, ('1 orders'!A99:A2156=A99)*('1 orders'!G99:G2156=F99), 0))
</f>
        <v>20</v>
      </c>
      <c r="M99" s="10">
        <f>IFERROR(__xludf.DUMMYFUNCTION("COUNTUNIQUEIFS($A$2:$A99,$F$2:$F99,F99)"),3.0)</f>
        <v>3</v>
      </c>
      <c r="N99" s="10">
        <f t="shared" si="1"/>
        <v>3</v>
      </c>
      <c r="O99" s="26">
        <f>IF(operations[sinceLastOrder]=0,0,operations[orderQuantity] / operations[sinceLastOrder])</f>
        <v>6.666666667</v>
      </c>
      <c r="P99" s="9">
        <v>76.56</v>
      </c>
      <c r="Q99" s="7" t="s">
        <v>15</v>
      </c>
      <c r="R99" s="10">
        <f>operations[arrivedDate]-operations[shippedDate]</f>
        <v>2</v>
      </c>
    </row>
    <row r="100" ht="15.75" customHeight="1">
      <c r="A100" s="6">
        <v>10284.0</v>
      </c>
      <c r="B100" s="24">
        <v>44792.0</v>
      </c>
      <c r="C100" s="24">
        <v>44820.0</v>
      </c>
      <c r="D100" s="24">
        <v>44800.0</v>
      </c>
      <c r="E100" s="24">
        <v>44802.0</v>
      </c>
      <c r="F100" s="6">
        <v>67.0</v>
      </c>
      <c r="G100" s="9" t="str">
        <f>VLOOKUP(operations[productID],products[],2,FALSE)</f>
        <v>Laughing Lumberjack Lager</v>
      </c>
      <c r="H100" s="9" t="str">
        <f>IF(VLOOKUP(operations[productID],products[],7,FALSE)=1,"Discontinued","Current")</f>
        <v>Current</v>
      </c>
      <c r="I100" s="6">
        <f>VLOOKUP(operations[productID],products[],4,FALSE)</f>
        <v>52</v>
      </c>
      <c r="J100" s="6">
        <f>VLOOKUP(operations[productID],products[],5,FALSE)</f>
        <v>0</v>
      </c>
      <c r="K100" s="6">
        <f>VLOOKUP(operations[productID],products[],6,FALSE)</f>
        <v>10</v>
      </c>
      <c r="L100" s="10">
        <f t="array" ref="L100">INDEX('1 orders'!I100:I2156, MATCH(1, ('1 orders'!A100:A2156=A100)*('1 orders'!G100:G2156=F100), 0))
</f>
        <v>5</v>
      </c>
      <c r="M100" s="10">
        <f>IFERROR(__xludf.DUMMYFUNCTION("COUNTUNIQUEIFS($A$2:$A100,$F$2:$F100,F100)"),1.0)</f>
        <v>1</v>
      </c>
      <c r="N100" s="10">
        <f t="shared" si="1"/>
        <v>0</v>
      </c>
      <c r="O100" s="26">
        <f>IF(operations[sinceLastOrder]=0,0,operations[orderQuantity] / operations[sinceLastOrder])</f>
        <v>0</v>
      </c>
      <c r="P100" s="9">
        <v>76.56</v>
      </c>
      <c r="Q100" s="7" t="s">
        <v>15</v>
      </c>
      <c r="R100" s="10">
        <f>operations[arrivedDate]-operations[shippedDate]</f>
        <v>2</v>
      </c>
    </row>
    <row r="101" ht="15.75" customHeight="1">
      <c r="A101" s="6">
        <v>10285.0</v>
      </c>
      <c r="B101" s="24">
        <v>44793.0</v>
      </c>
      <c r="C101" s="24">
        <v>44821.0</v>
      </c>
      <c r="D101" s="24">
        <v>44799.0</v>
      </c>
      <c r="E101" s="24">
        <v>44806.0</v>
      </c>
      <c r="F101" s="6">
        <v>1.0</v>
      </c>
      <c r="G101" s="9" t="str">
        <f>VLOOKUP(operations[productID],products[],2,FALSE)</f>
        <v>Chai</v>
      </c>
      <c r="H101" s="9" t="str">
        <f>IF(VLOOKUP(operations[productID],products[],7,FALSE)=1,"Discontinued","Current")</f>
        <v>Current</v>
      </c>
      <c r="I101" s="6">
        <f>VLOOKUP(operations[productID],products[],4,FALSE)</f>
        <v>39</v>
      </c>
      <c r="J101" s="6">
        <f>VLOOKUP(operations[productID],products[],5,FALSE)</f>
        <v>0</v>
      </c>
      <c r="K101" s="6">
        <f>VLOOKUP(operations[productID],products[],6,FALSE)</f>
        <v>10</v>
      </c>
      <c r="L101" s="10">
        <f t="array" ref="L101">INDEX('1 orders'!I101:I2156, MATCH(1, ('1 orders'!A101:A2156=A101)*('1 orders'!G101:G2156=F101), 0))
</f>
        <v>45</v>
      </c>
      <c r="M101" s="10">
        <f>IFERROR(__xludf.DUMMYFUNCTION("COUNTUNIQUEIFS($A$2:$A101,$F$2:$F101,F101)"),1.0)</f>
        <v>1</v>
      </c>
      <c r="N101" s="10">
        <f t="shared" si="1"/>
        <v>0</v>
      </c>
      <c r="O101" s="26">
        <f>IF(operations[sinceLastOrder]=0,0,operations[orderQuantity] / operations[sinceLastOrder])</f>
        <v>0</v>
      </c>
      <c r="P101" s="9">
        <v>76.83</v>
      </c>
      <c r="Q101" s="7" t="s">
        <v>17</v>
      </c>
      <c r="R101" s="10">
        <f>operations[arrivedDate]-operations[shippedDate]</f>
        <v>7</v>
      </c>
    </row>
    <row r="102" ht="15.75" customHeight="1">
      <c r="A102" s="6">
        <v>10285.0</v>
      </c>
      <c r="B102" s="24">
        <v>44793.0</v>
      </c>
      <c r="C102" s="24">
        <v>44821.0</v>
      </c>
      <c r="D102" s="24">
        <v>44799.0</v>
      </c>
      <c r="E102" s="24">
        <v>44806.0</v>
      </c>
      <c r="F102" s="6">
        <v>40.0</v>
      </c>
      <c r="G102" s="9" t="str">
        <f>VLOOKUP(operations[productID],products[],2,FALSE)</f>
        <v>Boston Crab Meat</v>
      </c>
      <c r="H102" s="9" t="str">
        <f>IF(VLOOKUP(operations[productID],products[],7,FALSE)=1,"Discontinued","Current")</f>
        <v>Current</v>
      </c>
      <c r="I102" s="6">
        <f>VLOOKUP(operations[productID],products[],4,FALSE)</f>
        <v>123</v>
      </c>
      <c r="J102" s="6">
        <f>VLOOKUP(operations[productID],products[],5,FALSE)</f>
        <v>0</v>
      </c>
      <c r="K102" s="6">
        <f>VLOOKUP(operations[productID],products[],6,FALSE)</f>
        <v>30</v>
      </c>
      <c r="L102" s="10">
        <f t="array" ref="L102">INDEX('1 orders'!I102:I2156, MATCH(1, ('1 orders'!A102:A2156=A102)*('1 orders'!G102:G2156=F102), 0))
</f>
        <v>40</v>
      </c>
      <c r="M102" s="10">
        <f>IFERROR(__xludf.DUMMYFUNCTION("COUNTUNIQUEIFS($A$2:$A102,$F$2:$F102,F102)"),3.0)</f>
        <v>3</v>
      </c>
      <c r="N102" s="10">
        <f t="shared" si="1"/>
        <v>15</v>
      </c>
      <c r="O102" s="26">
        <f>IF(operations[sinceLastOrder]=0,0,operations[orderQuantity] / operations[sinceLastOrder])</f>
        <v>2.666666667</v>
      </c>
      <c r="P102" s="9">
        <v>76.83</v>
      </c>
      <c r="Q102" s="7" t="s">
        <v>17</v>
      </c>
      <c r="R102" s="10">
        <f>operations[arrivedDate]-operations[shippedDate]</f>
        <v>7</v>
      </c>
    </row>
    <row r="103" ht="15.75" customHeight="1">
      <c r="A103" s="6">
        <v>10285.0</v>
      </c>
      <c r="B103" s="24">
        <v>44793.0</v>
      </c>
      <c r="C103" s="24">
        <v>44821.0</v>
      </c>
      <c r="D103" s="24">
        <v>44799.0</v>
      </c>
      <c r="E103" s="24">
        <v>44806.0</v>
      </c>
      <c r="F103" s="6">
        <v>53.0</v>
      </c>
      <c r="G103" s="9" t="str">
        <f>VLOOKUP(operations[productID],products[],2,FALSE)</f>
        <v>Perth Pasties</v>
      </c>
      <c r="H103" s="9" t="str">
        <f>IF(VLOOKUP(operations[productID],products[],7,FALSE)=1,"Discontinued","Current")</f>
        <v>Discontinued</v>
      </c>
      <c r="I103" s="6">
        <f>VLOOKUP(operations[productID],products[],4,FALSE)</f>
        <v>0</v>
      </c>
      <c r="J103" s="6">
        <f>VLOOKUP(operations[productID],products[],5,FALSE)</f>
        <v>0</v>
      </c>
      <c r="K103" s="6">
        <f>VLOOKUP(operations[productID],products[],6,FALSE)</f>
        <v>0</v>
      </c>
      <c r="L103" s="10">
        <f t="array" ref="L103">INDEX('1 orders'!I103:I2156, MATCH(1, ('1 orders'!A103:A2156=A103)*('1 orders'!G103:G2156=F103), 0))
</f>
        <v>36</v>
      </c>
      <c r="M103" s="10">
        <f>IFERROR(__xludf.DUMMYFUNCTION("COUNTUNIQUEIFS($A$2:$A103,$F$2:$F103,F103)"),2.0)</f>
        <v>2</v>
      </c>
      <c r="N103" s="10">
        <f t="shared" si="1"/>
        <v>36</v>
      </c>
      <c r="O103" s="26">
        <f>IF(operations[sinceLastOrder]=0,0,operations[orderQuantity] / operations[sinceLastOrder])</f>
        <v>1</v>
      </c>
      <c r="P103" s="9">
        <v>76.83</v>
      </c>
      <c r="Q103" s="7" t="s">
        <v>17</v>
      </c>
      <c r="R103" s="10">
        <f>operations[arrivedDate]-operations[shippedDate]</f>
        <v>7</v>
      </c>
    </row>
    <row r="104" ht="15.75" customHeight="1">
      <c r="A104" s="6">
        <v>10286.0</v>
      </c>
      <c r="B104" s="24">
        <v>44794.0</v>
      </c>
      <c r="C104" s="24">
        <v>44822.0</v>
      </c>
      <c r="D104" s="24">
        <v>44803.0</v>
      </c>
      <c r="E104" s="24">
        <v>44807.0</v>
      </c>
      <c r="F104" s="6">
        <v>35.0</v>
      </c>
      <c r="G104" s="9" t="str">
        <f>VLOOKUP(operations[productID],products[],2,FALSE)</f>
        <v>Cold Brew Nitro</v>
      </c>
      <c r="H104" s="9" t="str">
        <f>IF(VLOOKUP(operations[productID],products[],7,FALSE)=1,"Discontinued","Current")</f>
        <v>Current</v>
      </c>
      <c r="I104" s="6">
        <f>VLOOKUP(operations[productID],products[],4,FALSE)</f>
        <v>20</v>
      </c>
      <c r="J104" s="6">
        <f>VLOOKUP(operations[productID],products[],5,FALSE)</f>
        <v>0</v>
      </c>
      <c r="K104" s="6">
        <f>VLOOKUP(operations[productID],products[],6,FALSE)</f>
        <v>15</v>
      </c>
      <c r="L104" s="10">
        <f t="array" ref="L104">INDEX('1 orders'!I104:I2156, MATCH(1, ('1 orders'!A104:A2156=A104)*('1 orders'!G104:G2156=F104), 0))
</f>
        <v>100</v>
      </c>
      <c r="M104" s="10">
        <f>IFERROR(__xludf.DUMMYFUNCTION("COUNTUNIQUEIFS($A$2:$A104,$F$2:$F104,F104)"),3.0)</f>
        <v>3</v>
      </c>
      <c r="N104" s="10">
        <f t="shared" si="1"/>
        <v>7</v>
      </c>
      <c r="O104" s="26">
        <f>IF(operations[sinceLastOrder]=0,0,operations[orderQuantity] / operations[sinceLastOrder])</f>
        <v>14.28571429</v>
      </c>
      <c r="P104" s="9">
        <v>229.24</v>
      </c>
      <c r="Q104" s="7" t="s">
        <v>13</v>
      </c>
      <c r="R104" s="10">
        <f>operations[arrivedDate]-operations[shippedDate]</f>
        <v>4</v>
      </c>
    </row>
    <row r="105" ht="15.75" customHeight="1">
      <c r="A105" s="6">
        <v>10286.0</v>
      </c>
      <c r="B105" s="24">
        <v>44794.0</v>
      </c>
      <c r="C105" s="24">
        <v>44822.0</v>
      </c>
      <c r="D105" s="24">
        <v>44803.0</v>
      </c>
      <c r="E105" s="24">
        <v>44807.0</v>
      </c>
      <c r="F105" s="6">
        <v>62.0</v>
      </c>
      <c r="G105" s="9" t="str">
        <f>VLOOKUP(operations[productID],products[],2,FALSE)</f>
        <v>Tarte au sucre</v>
      </c>
      <c r="H105" s="9" t="str">
        <f>IF(VLOOKUP(operations[productID],products[],7,FALSE)=1,"Discontinued","Current")</f>
        <v>Current</v>
      </c>
      <c r="I105" s="6">
        <f>VLOOKUP(operations[productID],products[],4,FALSE)</f>
        <v>17</v>
      </c>
      <c r="J105" s="6">
        <f>VLOOKUP(operations[productID],products[],5,FALSE)</f>
        <v>0</v>
      </c>
      <c r="K105" s="6">
        <f>VLOOKUP(operations[productID],products[],6,FALSE)</f>
        <v>0</v>
      </c>
      <c r="L105" s="10">
        <f t="array" ref="L105">INDEX('1 orders'!I105:I2156, MATCH(1, ('1 orders'!A105:A2156=A105)*('1 orders'!G105:G2156=F105), 0))
</f>
        <v>40</v>
      </c>
      <c r="M105" s="10">
        <f>IFERROR(__xludf.DUMMYFUNCTION("COUNTUNIQUEIFS($A$2:$A105,$F$2:$F105,F105)"),3.0)</f>
        <v>3</v>
      </c>
      <c r="N105" s="10">
        <f t="shared" si="1"/>
        <v>12</v>
      </c>
      <c r="O105" s="26">
        <f>IF(operations[sinceLastOrder]=0,0,operations[orderQuantity] / operations[sinceLastOrder])</f>
        <v>3.333333333</v>
      </c>
      <c r="P105" s="9">
        <v>229.24</v>
      </c>
      <c r="Q105" s="7" t="s">
        <v>13</v>
      </c>
      <c r="R105" s="10">
        <f>operations[arrivedDate]-operations[shippedDate]</f>
        <v>4</v>
      </c>
    </row>
    <row r="106" ht="15.75" customHeight="1">
      <c r="A106" s="6">
        <v>10287.0</v>
      </c>
      <c r="B106" s="24">
        <v>44795.0</v>
      </c>
      <c r="C106" s="24">
        <v>44823.0</v>
      </c>
      <c r="D106" s="24">
        <v>44801.0</v>
      </c>
      <c r="E106" s="24">
        <v>44818.0</v>
      </c>
      <c r="F106" s="6">
        <v>16.0</v>
      </c>
      <c r="G106" s="9" t="str">
        <f>VLOOKUP(operations[productID],products[],2,FALSE)</f>
        <v>Pavlova</v>
      </c>
      <c r="H106" s="9" t="str">
        <f>IF(VLOOKUP(operations[productID],products[],7,FALSE)=1,"Discontinued","Current")</f>
        <v>Current</v>
      </c>
      <c r="I106" s="6">
        <f>VLOOKUP(operations[productID],products[],4,FALSE)</f>
        <v>29</v>
      </c>
      <c r="J106" s="6">
        <f>VLOOKUP(operations[productID],products[],5,FALSE)</f>
        <v>0</v>
      </c>
      <c r="K106" s="6">
        <f>VLOOKUP(operations[productID],products[],6,FALSE)</f>
        <v>10</v>
      </c>
      <c r="L106" s="10">
        <f t="array" ref="L106">INDEX('1 orders'!I106:I2156, MATCH(1, ('1 orders'!A106:A2156=A106)*('1 orders'!G106:G2156=F106), 0))
</f>
        <v>40</v>
      </c>
      <c r="M106" s="10">
        <f>IFERROR(__xludf.DUMMYFUNCTION("COUNTUNIQUEIFS($A$2:$A106,$F$2:$F106,F106)"),3.0)</f>
        <v>3</v>
      </c>
      <c r="N106" s="10">
        <f t="shared" si="1"/>
        <v>30</v>
      </c>
      <c r="O106" s="26">
        <f>IF(operations[sinceLastOrder]=0,0,operations[orderQuantity] / operations[sinceLastOrder])</f>
        <v>1.333333333</v>
      </c>
      <c r="P106" s="9">
        <v>12.76</v>
      </c>
      <c r="Q106" s="7" t="s">
        <v>13</v>
      </c>
      <c r="R106" s="10">
        <f>operations[arrivedDate]-operations[shippedDate]</f>
        <v>17</v>
      </c>
    </row>
    <row r="107" ht="15.75" customHeight="1">
      <c r="A107" s="6">
        <v>10287.0</v>
      </c>
      <c r="B107" s="24">
        <v>44795.0</v>
      </c>
      <c r="C107" s="24">
        <v>44823.0</v>
      </c>
      <c r="D107" s="24">
        <v>44801.0</v>
      </c>
      <c r="E107" s="24">
        <v>44818.0</v>
      </c>
      <c r="F107" s="6">
        <v>34.0</v>
      </c>
      <c r="G107" s="9" t="str">
        <f>VLOOKUP(operations[productID],products[],2,FALSE)</f>
        <v>Sasquatch Ale</v>
      </c>
      <c r="H107" s="9" t="str">
        <f>IF(VLOOKUP(operations[productID],products[],7,FALSE)=1,"Discontinued","Current")</f>
        <v>Current</v>
      </c>
      <c r="I107" s="6">
        <f>VLOOKUP(operations[productID],products[],4,FALSE)</f>
        <v>111</v>
      </c>
      <c r="J107" s="6">
        <f>VLOOKUP(operations[productID],products[],5,FALSE)</f>
        <v>0</v>
      </c>
      <c r="K107" s="6">
        <f>VLOOKUP(operations[productID],products[],6,FALSE)</f>
        <v>15</v>
      </c>
      <c r="L107" s="10">
        <f t="array" ref="L107">INDEX('1 orders'!I107:I2156, MATCH(1, ('1 orders'!A107:A2156=A107)*('1 orders'!G107:G2156=F107), 0))
</f>
        <v>20</v>
      </c>
      <c r="M107" s="10">
        <f>IFERROR(__xludf.DUMMYFUNCTION("COUNTUNIQUEIFS($A$2:$A107,$F$2:$F107,F107)"),1.0)</f>
        <v>1</v>
      </c>
      <c r="N107" s="10">
        <f t="shared" si="1"/>
        <v>0</v>
      </c>
      <c r="O107" s="26">
        <f>IF(operations[sinceLastOrder]=0,0,operations[orderQuantity] / operations[sinceLastOrder])</f>
        <v>0</v>
      </c>
      <c r="P107" s="9">
        <v>12.76</v>
      </c>
      <c r="Q107" s="7" t="s">
        <v>13</v>
      </c>
      <c r="R107" s="10">
        <f>operations[arrivedDate]-operations[shippedDate]</f>
        <v>17</v>
      </c>
    </row>
    <row r="108" ht="15.75" customHeight="1">
      <c r="A108" s="6">
        <v>10287.0</v>
      </c>
      <c r="B108" s="24">
        <v>44795.0</v>
      </c>
      <c r="C108" s="24">
        <v>44823.0</v>
      </c>
      <c r="D108" s="24">
        <v>44801.0</v>
      </c>
      <c r="E108" s="24">
        <v>44818.0</v>
      </c>
      <c r="F108" s="6">
        <v>46.0</v>
      </c>
      <c r="G108" s="9" t="str">
        <f>VLOOKUP(operations[productID],products[],2,FALSE)</f>
        <v>Spegesild</v>
      </c>
      <c r="H108" s="9" t="str">
        <f>IF(VLOOKUP(operations[productID],products[],7,FALSE)=1,"Discontinued","Current")</f>
        <v>Current</v>
      </c>
      <c r="I108" s="6">
        <f>VLOOKUP(operations[productID],products[],4,FALSE)</f>
        <v>95</v>
      </c>
      <c r="J108" s="6">
        <f>VLOOKUP(operations[productID],products[],5,FALSE)</f>
        <v>0</v>
      </c>
      <c r="K108" s="6">
        <f>VLOOKUP(operations[productID],products[],6,FALSE)</f>
        <v>0</v>
      </c>
      <c r="L108" s="10">
        <f t="array" ref="L108">INDEX('1 orders'!I108:I2156, MATCH(1, ('1 orders'!A108:A2156=A108)*('1 orders'!G108:G2156=F108), 0))
</f>
        <v>15</v>
      </c>
      <c r="M108" s="10">
        <f>IFERROR(__xludf.DUMMYFUNCTION("COUNTUNIQUEIFS($A$2:$A108,$F$2:$F108,F108)"),1.0)</f>
        <v>1</v>
      </c>
      <c r="N108" s="10">
        <f t="shared" si="1"/>
        <v>0</v>
      </c>
      <c r="O108" s="26">
        <f>IF(operations[sinceLastOrder]=0,0,operations[orderQuantity] / operations[sinceLastOrder])</f>
        <v>0</v>
      </c>
      <c r="P108" s="9">
        <v>12.76</v>
      </c>
      <c r="Q108" s="7" t="s">
        <v>13</v>
      </c>
      <c r="R108" s="10">
        <f>operations[arrivedDate]-operations[shippedDate]</f>
        <v>17</v>
      </c>
    </row>
    <row r="109" ht="15.75" customHeight="1">
      <c r="A109" s="6">
        <v>10288.0</v>
      </c>
      <c r="B109" s="24">
        <v>44796.0</v>
      </c>
      <c r="C109" s="24">
        <v>44824.0</v>
      </c>
      <c r="D109" s="24">
        <v>44807.0</v>
      </c>
      <c r="E109" s="24">
        <v>44815.0</v>
      </c>
      <c r="F109" s="6">
        <v>54.0</v>
      </c>
      <c r="G109" s="9" t="str">
        <f>VLOOKUP(operations[productID],products[],2,FALSE)</f>
        <v>Tourtière</v>
      </c>
      <c r="H109" s="9" t="str">
        <f>IF(VLOOKUP(operations[productID],products[],7,FALSE)=1,"Discontinued","Current")</f>
        <v>Current</v>
      </c>
      <c r="I109" s="6">
        <f>VLOOKUP(operations[productID],products[],4,FALSE)</f>
        <v>21</v>
      </c>
      <c r="J109" s="6">
        <f>VLOOKUP(operations[productID],products[],5,FALSE)</f>
        <v>0</v>
      </c>
      <c r="K109" s="6">
        <f>VLOOKUP(operations[productID],products[],6,FALSE)</f>
        <v>10</v>
      </c>
      <c r="L109" s="10">
        <f t="array" ref="L109">INDEX('1 orders'!I109:I2156, MATCH(1, ('1 orders'!A109:A2156=A109)*('1 orders'!G109:G2156=F109), 0))
</f>
        <v>10</v>
      </c>
      <c r="M109" s="10">
        <f>IFERROR(__xludf.DUMMYFUNCTION("COUNTUNIQUEIFS($A$2:$A109,$F$2:$F109,F109)"),1.0)</f>
        <v>1</v>
      </c>
      <c r="N109" s="10">
        <f t="shared" si="1"/>
        <v>0</v>
      </c>
      <c r="O109" s="26">
        <f>IF(operations[sinceLastOrder]=0,0,operations[orderQuantity] / operations[sinceLastOrder])</f>
        <v>0</v>
      </c>
      <c r="P109" s="9">
        <v>7.45</v>
      </c>
      <c r="Q109" s="7" t="s">
        <v>15</v>
      </c>
      <c r="R109" s="10">
        <f>operations[arrivedDate]-operations[shippedDate]</f>
        <v>8</v>
      </c>
    </row>
    <row r="110" ht="15.75" customHeight="1">
      <c r="A110" s="6">
        <v>10288.0</v>
      </c>
      <c r="B110" s="24">
        <v>44796.0</v>
      </c>
      <c r="C110" s="24">
        <v>44824.0</v>
      </c>
      <c r="D110" s="24">
        <v>44807.0</v>
      </c>
      <c r="E110" s="24">
        <v>44815.0</v>
      </c>
      <c r="F110" s="6">
        <v>68.0</v>
      </c>
      <c r="G110" s="9" t="str">
        <f>VLOOKUP(operations[productID],products[],2,FALSE)</f>
        <v>Scottish Longbreads</v>
      </c>
      <c r="H110" s="9" t="str">
        <f>IF(VLOOKUP(operations[productID],products[],7,FALSE)=1,"Discontinued","Current")</f>
        <v>Current</v>
      </c>
      <c r="I110" s="6">
        <f>VLOOKUP(operations[productID],products[],4,FALSE)</f>
        <v>6</v>
      </c>
      <c r="J110" s="6">
        <f>VLOOKUP(operations[productID],products[],5,FALSE)</f>
        <v>10</v>
      </c>
      <c r="K110" s="6">
        <f>VLOOKUP(operations[productID],products[],6,FALSE)</f>
        <v>15</v>
      </c>
      <c r="L110" s="10">
        <f t="array" ref="L110">INDEX('1 orders'!I110:I2156, MATCH(1, ('1 orders'!A110:A2156=A110)*('1 orders'!G110:G2156=F110), 0))
</f>
        <v>3</v>
      </c>
      <c r="M110" s="10">
        <f>IFERROR(__xludf.DUMMYFUNCTION("COUNTUNIQUEIFS($A$2:$A110,$F$2:$F110,F110)"),1.0)</f>
        <v>1</v>
      </c>
      <c r="N110" s="10">
        <f t="shared" si="1"/>
        <v>0</v>
      </c>
      <c r="O110" s="26">
        <f>IF(operations[sinceLastOrder]=0,0,operations[orderQuantity] / operations[sinceLastOrder])</f>
        <v>0</v>
      </c>
      <c r="P110" s="9">
        <v>7.45</v>
      </c>
      <c r="Q110" s="7" t="s">
        <v>15</v>
      </c>
      <c r="R110" s="10">
        <f>operations[arrivedDate]-operations[shippedDate]</f>
        <v>8</v>
      </c>
    </row>
    <row r="111" ht="15.75" customHeight="1">
      <c r="A111" s="6">
        <v>10289.0</v>
      </c>
      <c r="B111" s="24">
        <v>44799.0</v>
      </c>
      <c r="C111" s="24">
        <v>44827.0</v>
      </c>
      <c r="D111" s="24">
        <v>44801.0</v>
      </c>
      <c r="E111" s="24">
        <v>44806.0</v>
      </c>
      <c r="F111" s="6">
        <v>3.0</v>
      </c>
      <c r="G111" s="9" t="str">
        <f>VLOOKUP(operations[productID],products[],2,FALSE)</f>
        <v>Aniseed Syrup</v>
      </c>
      <c r="H111" s="9" t="str">
        <f>IF(VLOOKUP(operations[productID],products[],7,FALSE)=1,"Discontinued","Current")</f>
        <v>Current</v>
      </c>
      <c r="I111" s="6">
        <f>VLOOKUP(operations[productID],products[],4,FALSE)</f>
        <v>13</v>
      </c>
      <c r="J111" s="6">
        <f>VLOOKUP(operations[productID],products[],5,FALSE)</f>
        <v>70</v>
      </c>
      <c r="K111" s="6">
        <f>VLOOKUP(operations[productID],products[],6,FALSE)</f>
        <v>25</v>
      </c>
      <c r="L111" s="10">
        <f t="array" ref="L111">INDEX('1 orders'!I111:I2156, MATCH(1, ('1 orders'!A111:A2156=A111)*('1 orders'!G111:G2156=F111), 0))
</f>
        <v>30</v>
      </c>
      <c r="M111" s="10">
        <f>IFERROR(__xludf.DUMMYFUNCTION("COUNTUNIQUEIFS($A$2:$A111,$F$2:$F111,F111)"),1.0)</f>
        <v>1</v>
      </c>
      <c r="N111" s="10">
        <f t="shared" si="1"/>
        <v>0</v>
      </c>
      <c r="O111" s="26">
        <f>IF(operations[sinceLastOrder]=0,0,operations[orderQuantity] / operations[sinceLastOrder])</f>
        <v>0</v>
      </c>
      <c r="P111" s="9">
        <v>22.77</v>
      </c>
      <c r="Q111" s="7" t="s">
        <v>13</v>
      </c>
      <c r="R111" s="10">
        <f>operations[arrivedDate]-operations[shippedDate]</f>
        <v>5</v>
      </c>
    </row>
    <row r="112" ht="15.75" customHeight="1">
      <c r="A112" s="6">
        <v>10289.0</v>
      </c>
      <c r="B112" s="24">
        <v>44799.0</v>
      </c>
      <c r="C112" s="24">
        <v>44827.0</v>
      </c>
      <c r="D112" s="24">
        <v>44801.0</v>
      </c>
      <c r="E112" s="24">
        <v>44806.0</v>
      </c>
      <c r="F112" s="6">
        <v>64.0</v>
      </c>
      <c r="G112" s="9" t="str">
        <f>VLOOKUP(operations[productID],products[],2,FALSE)</f>
        <v>Lukas' leckere Sauerteigweggla</v>
      </c>
      <c r="H112" s="9" t="str">
        <f>IF(VLOOKUP(operations[productID],products[],7,FALSE)=1,"Discontinued","Current")</f>
        <v>Current</v>
      </c>
      <c r="I112" s="6">
        <f>VLOOKUP(operations[productID],products[],4,FALSE)</f>
        <v>22</v>
      </c>
      <c r="J112" s="6">
        <f>VLOOKUP(operations[productID],products[],5,FALSE)</f>
        <v>80</v>
      </c>
      <c r="K112" s="6">
        <f>VLOOKUP(operations[productID],products[],6,FALSE)</f>
        <v>30</v>
      </c>
      <c r="L112" s="10">
        <f t="array" ref="L112">INDEX('1 orders'!I112:I2156, MATCH(1, ('1 orders'!A112:A2156=A112)*('1 orders'!G112:G2156=F112), 0))
</f>
        <v>9</v>
      </c>
      <c r="M112" s="10">
        <f>IFERROR(__xludf.DUMMYFUNCTION("COUNTUNIQUEIFS($A$2:$A112,$F$2:$F112,F112)"),1.0)</f>
        <v>1</v>
      </c>
      <c r="N112" s="10">
        <f t="shared" si="1"/>
        <v>0</v>
      </c>
      <c r="O112" s="26">
        <f>IF(operations[sinceLastOrder]=0,0,operations[orderQuantity] / operations[sinceLastOrder])</f>
        <v>0</v>
      </c>
      <c r="P112" s="9">
        <v>22.77</v>
      </c>
      <c r="Q112" s="7" t="s">
        <v>13</v>
      </c>
      <c r="R112" s="10">
        <f>operations[arrivedDate]-operations[shippedDate]</f>
        <v>5</v>
      </c>
    </row>
    <row r="113" ht="15.75" customHeight="1">
      <c r="A113" s="6">
        <v>10290.0</v>
      </c>
      <c r="B113" s="24">
        <v>44800.0</v>
      </c>
      <c r="C113" s="24">
        <v>44828.0</v>
      </c>
      <c r="D113" s="24">
        <v>44807.0</v>
      </c>
      <c r="E113" s="24">
        <v>44821.0</v>
      </c>
      <c r="F113" s="6">
        <v>5.0</v>
      </c>
      <c r="G113" s="9" t="str">
        <f>VLOOKUP(operations[productID],products[],2,FALSE)</f>
        <v>Chef Anton's Gumbo Mix</v>
      </c>
      <c r="H113" s="9" t="str">
        <f>IF(VLOOKUP(operations[productID],products[],7,FALSE)=1,"Discontinued","Current")</f>
        <v>Discontinued</v>
      </c>
      <c r="I113" s="6">
        <f>VLOOKUP(operations[productID],products[],4,FALSE)</f>
        <v>0</v>
      </c>
      <c r="J113" s="6">
        <f>VLOOKUP(operations[productID],products[],5,FALSE)</f>
        <v>0</v>
      </c>
      <c r="K113" s="6">
        <f>VLOOKUP(operations[productID],products[],6,FALSE)</f>
        <v>0</v>
      </c>
      <c r="L113" s="10">
        <f t="array" ref="L113">INDEX('1 orders'!I113:I2156, MATCH(1, ('1 orders'!A113:A2156=A113)*('1 orders'!G113:G2156=F113), 0))
</f>
        <v>20</v>
      </c>
      <c r="M113" s="10">
        <f>IFERROR(__xludf.DUMMYFUNCTION("COUNTUNIQUEIFS($A$2:$A113,$F$2:$F113,F113)"),3.0)</f>
        <v>3</v>
      </c>
      <c r="N113" s="10">
        <f t="shared" si="1"/>
        <v>36</v>
      </c>
      <c r="O113" s="26">
        <f>IF(operations[sinceLastOrder]=0,0,operations[orderQuantity] / operations[sinceLastOrder])</f>
        <v>0.5555555556</v>
      </c>
      <c r="P113" s="9">
        <v>79.7</v>
      </c>
      <c r="Q113" s="7" t="s">
        <v>15</v>
      </c>
      <c r="R113" s="10">
        <f>operations[arrivedDate]-operations[shippedDate]</f>
        <v>14</v>
      </c>
    </row>
    <row r="114" ht="15.75" customHeight="1">
      <c r="A114" s="6">
        <v>10290.0</v>
      </c>
      <c r="B114" s="24">
        <v>44800.0</v>
      </c>
      <c r="C114" s="24">
        <v>44828.0</v>
      </c>
      <c r="D114" s="24">
        <v>44807.0</v>
      </c>
      <c r="E114" s="24">
        <v>44821.0</v>
      </c>
      <c r="F114" s="6">
        <v>29.0</v>
      </c>
      <c r="G114" s="9" t="str">
        <f>VLOOKUP(operations[productID],products[],2,FALSE)</f>
        <v>Thüringer Rostbratwurst</v>
      </c>
      <c r="H114" s="9" t="str">
        <f>IF(VLOOKUP(operations[productID],products[],7,FALSE)=1,"Discontinued","Current")</f>
        <v>Discontinued</v>
      </c>
      <c r="I114" s="6">
        <f>VLOOKUP(operations[productID],products[],4,FALSE)</f>
        <v>0</v>
      </c>
      <c r="J114" s="6">
        <f>VLOOKUP(operations[productID],products[],5,FALSE)</f>
        <v>0</v>
      </c>
      <c r="K114" s="6">
        <f>VLOOKUP(operations[productID],products[],6,FALSE)</f>
        <v>0</v>
      </c>
      <c r="L114" s="10">
        <f t="array" ref="L114">INDEX('1 orders'!I114:I2156, MATCH(1, ('1 orders'!A114:A2156=A114)*('1 orders'!G114:G2156=F114), 0))
</f>
        <v>15</v>
      </c>
      <c r="M114" s="10">
        <f>IFERROR(__xludf.DUMMYFUNCTION("COUNTUNIQUEIFS($A$2:$A114,$F$2:$F114,F114)"),2.0)</f>
        <v>2</v>
      </c>
      <c r="N114" s="10">
        <f t="shared" si="1"/>
        <v>28</v>
      </c>
      <c r="O114" s="26">
        <f>IF(operations[sinceLastOrder]=0,0,operations[orderQuantity] / operations[sinceLastOrder])</f>
        <v>0.5357142857</v>
      </c>
      <c r="P114" s="9">
        <v>79.7</v>
      </c>
      <c r="Q114" s="7" t="s">
        <v>15</v>
      </c>
      <c r="R114" s="10">
        <f>operations[arrivedDate]-operations[shippedDate]</f>
        <v>14</v>
      </c>
    </row>
    <row r="115" ht="15.75" customHeight="1">
      <c r="A115" s="6">
        <v>10290.0</v>
      </c>
      <c r="B115" s="24">
        <v>44800.0</v>
      </c>
      <c r="C115" s="24">
        <v>44828.0</v>
      </c>
      <c r="D115" s="24">
        <v>44807.0</v>
      </c>
      <c r="E115" s="24">
        <v>44821.0</v>
      </c>
      <c r="F115" s="6">
        <v>49.0</v>
      </c>
      <c r="G115" s="9" t="str">
        <f>VLOOKUP(operations[productID],products[],2,FALSE)</f>
        <v>Maxilaku</v>
      </c>
      <c r="H115" s="9" t="str">
        <f>IF(VLOOKUP(operations[productID],products[],7,FALSE)=1,"Discontinued","Current")</f>
        <v>Current</v>
      </c>
      <c r="I115" s="6">
        <f>VLOOKUP(operations[productID],products[],4,FALSE)</f>
        <v>10</v>
      </c>
      <c r="J115" s="6">
        <f>VLOOKUP(operations[productID],products[],5,FALSE)</f>
        <v>60</v>
      </c>
      <c r="K115" s="6">
        <f>VLOOKUP(operations[productID],products[],6,FALSE)</f>
        <v>15</v>
      </c>
      <c r="L115" s="10">
        <f t="array" ref="L115">INDEX('1 orders'!I115:I2156, MATCH(1, ('1 orders'!A115:A2156=A115)*('1 orders'!G115:G2156=F115), 0))
</f>
        <v>15</v>
      </c>
      <c r="M115" s="10">
        <f>IFERROR(__xludf.DUMMYFUNCTION("COUNTUNIQUEIFS($A$2:$A115,$F$2:$F115,F115)"),2.0)</f>
        <v>2</v>
      </c>
      <c r="N115" s="10">
        <f t="shared" si="1"/>
        <v>48</v>
      </c>
      <c r="O115" s="26">
        <f>IF(operations[sinceLastOrder]=0,0,operations[orderQuantity] / operations[sinceLastOrder])</f>
        <v>0.3125</v>
      </c>
      <c r="P115" s="9">
        <v>79.7</v>
      </c>
      <c r="Q115" s="7" t="s">
        <v>15</v>
      </c>
      <c r="R115" s="10">
        <f>operations[arrivedDate]-operations[shippedDate]</f>
        <v>14</v>
      </c>
    </row>
    <row r="116" ht="15.75" customHeight="1">
      <c r="A116" s="6">
        <v>10290.0</v>
      </c>
      <c r="B116" s="24">
        <v>44800.0</v>
      </c>
      <c r="C116" s="24">
        <v>44828.0</v>
      </c>
      <c r="D116" s="24">
        <v>44807.0</v>
      </c>
      <c r="E116" s="24">
        <v>44821.0</v>
      </c>
      <c r="F116" s="6">
        <v>77.0</v>
      </c>
      <c r="G116" s="9" t="str">
        <f>VLOOKUP(operations[productID],products[],2,FALSE)</f>
        <v>Original Frankfurter grüne Soße</v>
      </c>
      <c r="H116" s="9" t="str">
        <f>IF(VLOOKUP(operations[productID],products[],7,FALSE)=1,"Discontinued","Current")</f>
        <v>Current</v>
      </c>
      <c r="I116" s="6">
        <f>VLOOKUP(operations[productID],products[],4,FALSE)</f>
        <v>32</v>
      </c>
      <c r="J116" s="6">
        <f>VLOOKUP(operations[productID],products[],5,FALSE)</f>
        <v>0</v>
      </c>
      <c r="K116" s="6">
        <f>VLOOKUP(operations[productID],products[],6,FALSE)</f>
        <v>15</v>
      </c>
      <c r="L116" s="10">
        <f t="array" ref="L116">INDEX('1 orders'!I116:I2156, MATCH(1, ('1 orders'!A116:A2156=A116)*('1 orders'!G116:G2156=F116), 0))
</f>
        <v>10</v>
      </c>
      <c r="M116" s="10">
        <f>IFERROR(__xludf.DUMMYFUNCTION("COUNTUNIQUEIFS($A$2:$A116,$F$2:$F116,F116)"),3.0)</f>
        <v>3</v>
      </c>
      <c r="N116" s="10">
        <f t="shared" si="1"/>
        <v>42</v>
      </c>
      <c r="O116" s="26">
        <f>IF(operations[sinceLastOrder]=0,0,operations[orderQuantity] / operations[sinceLastOrder])</f>
        <v>0.2380952381</v>
      </c>
      <c r="P116" s="9">
        <v>79.7</v>
      </c>
      <c r="Q116" s="7" t="s">
        <v>15</v>
      </c>
      <c r="R116" s="10">
        <f>operations[arrivedDate]-operations[shippedDate]</f>
        <v>14</v>
      </c>
    </row>
    <row r="117" ht="15.75" customHeight="1">
      <c r="A117" s="6">
        <v>10291.0</v>
      </c>
      <c r="B117" s="24">
        <v>44800.0</v>
      </c>
      <c r="C117" s="24">
        <v>44828.0</v>
      </c>
      <c r="D117" s="24">
        <v>44808.0</v>
      </c>
      <c r="E117" s="24">
        <v>44825.0</v>
      </c>
      <c r="F117" s="6">
        <v>13.0</v>
      </c>
      <c r="G117" s="9" t="str">
        <f>VLOOKUP(operations[productID],products[],2,FALSE)</f>
        <v>Konbu</v>
      </c>
      <c r="H117" s="9" t="str">
        <f>IF(VLOOKUP(operations[productID],products[],7,FALSE)=1,"Discontinued","Current")</f>
        <v>Current</v>
      </c>
      <c r="I117" s="6">
        <f>VLOOKUP(operations[productID],products[],4,FALSE)</f>
        <v>24</v>
      </c>
      <c r="J117" s="6">
        <f>VLOOKUP(operations[productID],products[],5,FALSE)</f>
        <v>0</v>
      </c>
      <c r="K117" s="6">
        <f>VLOOKUP(operations[productID],products[],6,FALSE)</f>
        <v>5</v>
      </c>
      <c r="L117" s="10">
        <f t="array" ref="L117">INDEX('1 orders'!I117:I2156, MATCH(1, ('1 orders'!A117:A2156=A117)*('1 orders'!G117:G2156=F117), 0))
</f>
        <v>20</v>
      </c>
      <c r="M117" s="10">
        <f>IFERROR(__xludf.DUMMYFUNCTION("COUNTUNIQUEIFS($A$2:$A117,$F$2:$F117,F117)"),2.0)</f>
        <v>2</v>
      </c>
      <c r="N117" s="10">
        <f t="shared" si="1"/>
        <v>19</v>
      </c>
      <c r="O117" s="26">
        <f>IF(operations[sinceLastOrder]=0,0,operations[orderQuantity] / operations[sinceLastOrder])</f>
        <v>1.052631579</v>
      </c>
      <c r="P117" s="9">
        <v>6.4</v>
      </c>
      <c r="Q117" s="7" t="s">
        <v>17</v>
      </c>
      <c r="R117" s="10">
        <f>operations[arrivedDate]-operations[shippedDate]</f>
        <v>17</v>
      </c>
    </row>
    <row r="118" ht="15.75" customHeight="1">
      <c r="A118" s="6">
        <v>10291.0</v>
      </c>
      <c r="B118" s="24">
        <v>44800.0</v>
      </c>
      <c r="C118" s="24">
        <v>44828.0</v>
      </c>
      <c r="D118" s="24">
        <v>44808.0</v>
      </c>
      <c r="E118" s="24">
        <v>44825.0</v>
      </c>
      <c r="F118" s="6">
        <v>44.0</v>
      </c>
      <c r="G118" s="9" t="str">
        <f>VLOOKUP(operations[productID],products[],2,FALSE)</f>
        <v>Gula Malacca</v>
      </c>
      <c r="H118" s="9" t="str">
        <f>IF(VLOOKUP(operations[productID],products[],7,FALSE)=1,"Discontinued","Current")</f>
        <v>Current</v>
      </c>
      <c r="I118" s="6">
        <f>VLOOKUP(operations[productID],products[],4,FALSE)</f>
        <v>27</v>
      </c>
      <c r="J118" s="6">
        <f>VLOOKUP(operations[productID],products[],5,FALSE)</f>
        <v>0</v>
      </c>
      <c r="K118" s="6">
        <f>VLOOKUP(operations[productID],products[],6,FALSE)</f>
        <v>15</v>
      </c>
      <c r="L118" s="10">
        <f t="array" ref="L118">INDEX('1 orders'!I118:I2156, MATCH(1, ('1 orders'!A118:A2156=A118)*('1 orders'!G118:G2156=F118), 0))
</f>
        <v>24</v>
      </c>
      <c r="M118" s="10">
        <f>IFERROR(__xludf.DUMMYFUNCTION("COUNTUNIQUEIFS($A$2:$A118,$F$2:$F118,F118)"),3.0)</f>
        <v>3</v>
      </c>
      <c r="N118" s="10">
        <f t="shared" si="1"/>
        <v>8</v>
      </c>
      <c r="O118" s="26">
        <f>IF(operations[sinceLastOrder]=0,0,operations[orderQuantity] / operations[sinceLastOrder])</f>
        <v>3</v>
      </c>
      <c r="P118" s="9">
        <v>6.4</v>
      </c>
      <c r="Q118" s="7" t="s">
        <v>17</v>
      </c>
      <c r="R118" s="10">
        <f>operations[arrivedDate]-operations[shippedDate]</f>
        <v>17</v>
      </c>
    </row>
    <row r="119" ht="15.75" customHeight="1">
      <c r="A119" s="6">
        <v>10291.0</v>
      </c>
      <c r="B119" s="24">
        <v>44800.0</v>
      </c>
      <c r="C119" s="24">
        <v>44828.0</v>
      </c>
      <c r="D119" s="24">
        <v>44808.0</v>
      </c>
      <c r="E119" s="24">
        <v>44825.0</v>
      </c>
      <c r="F119" s="6">
        <v>51.0</v>
      </c>
      <c r="G119" s="9" t="str">
        <f>VLOOKUP(operations[productID],products[],2,FALSE)</f>
        <v>Manjimup Dried Apples</v>
      </c>
      <c r="H119" s="9" t="str">
        <f>IF(VLOOKUP(operations[productID],products[],7,FALSE)=1,"Discontinued","Current")</f>
        <v>Current</v>
      </c>
      <c r="I119" s="6">
        <f>VLOOKUP(operations[productID],products[],4,FALSE)</f>
        <v>20</v>
      </c>
      <c r="J119" s="6">
        <f>VLOOKUP(operations[productID],products[],5,FALSE)</f>
        <v>0</v>
      </c>
      <c r="K119" s="6">
        <f>VLOOKUP(operations[productID],products[],6,FALSE)</f>
        <v>10</v>
      </c>
      <c r="L119" s="10">
        <f t="array" ref="L119">INDEX('1 orders'!I119:I2156, MATCH(1, ('1 orders'!A119:A2156=A119)*('1 orders'!G119:G2156=F119), 0))
</f>
        <v>2</v>
      </c>
      <c r="M119" s="10">
        <f>IFERROR(__xludf.DUMMYFUNCTION("COUNTUNIQUEIFS($A$2:$A119,$F$2:$F119,F119)"),3.0)</f>
        <v>3</v>
      </c>
      <c r="N119" s="10">
        <f t="shared" si="1"/>
        <v>50</v>
      </c>
      <c r="O119" s="26">
        <f>IF(operations[sinceLastOrder]=0,0,operations[orderQuantity] / operations[sinceLastOrder])</f>
        <v>0.04</v>
      </c>
      <c r="P119" s="9">
        <v>6.4</v>
      </c>
      <c r="Q119" s="7" t="s">
        <v>17</v>
      </c>
      <c r="R119" s="10">
        <f>operations[arrivedDate]-operations[shippedDate]</f>
        <v>17</v>
      </c>
    </row>
    <row r="120" ht="15.75" customHeight="1">
      <c r="A120" s="6">
        <v>10292.0</v>
      </c>
      <c r="B120" s="24">
        <v>44801.0</v>
      </c>
      <c r="C120" s="24">
        <v>44829.0</v>
      </c>
      <c r="D120" s="24">
        <v>44806.0</v>
      </c>
      <c r="E120" s="24">
        <v>44823.0</v>
      </c>
      <c r="F120" s="6">
        <v>20.0</v>
      </c>
      <c r="G120" s="9" t="str">
        <f>VLOOKUP(operations[productID],products[],2,FALSE)</f>
        <v>Sir Rodney's Marmalade</v>
      </c>
      <c r="H120" s="9" t="str">
        <f>IF(VLOOKUP(operations[productID],products[],7,FALSE)=1,"Discontinued","Current")</f>
        <v>Current</v>
      </c>
      <c r="I120" s="6">
        <f>VLOOKUP(operations[productID],products[],4,FALSE)</f>
        <v>40</v>
      </c>
      <c r="J120" s="6">
        <f>VLOOKUP(operations[productID],products[],5,FALSE)</f>
        <v>0</v>
      </c>
      <c r="K120" s="6">
        <f>VLOOKUP(operations[productID],products[],6,FALSE)</f>
        <v>0</v>
      </c>
      <c r="L120" s="10">
        <f t="array" ref="L120">INDEX('1 orders'!I120:I2156, MATCH(1, ('1 orders'!A120:A2156=A120)*('1 orders'!G120:G2156=F120), 0))
</f>
        <v>20</v>
      </c>
      <c r="M120" s="10">
        <f>IFERROR(__xludf.DUMMYFUNCTION("COUNTUNIQUEIFS($A$2:$A120,$F$2:$F120,F120)"),3.0)</f>
        <v>3</v>
      </c>
      <c r="N120" s="10">
        <f t="shared" si="1"/>
        <v>26</v>
      </c>
      <c r="O120" s="26">
        <f>IF(operations[sinceLastOrder]=0,0,operations[orderQuantity] / operations[sinceLastOrder])</f>
        <v>0.7692307692</v>
      </c>
      <c r="P120" s="9">
        <v>1.35</v>
      </c>
      <c r="Q120" s="7" t="s">
        <v>17</v>
      </c>
      <c r="R120" s="10">
        <f>operations[arrivedDate]-operations[shippedDate]</f>
        <v>17</v>
      </c>
    </row>
    <row r="121" ht="15.75" customHeight="1">
      <c r="A121" s="6">
        <v>10293.0</v>
      </c>
      <c r="B121" s="24">
        <v>44802.0</v>
      </c>
      <c r="C121" s="24">
        <v>44830.0</v>
      </c>
      <c r="D121" s="24">
        <v>44815.0</v>
      </c>
      <c r="E121" s="24">
        <v>44827.0</v>
      </c>
      <c r="F121" s="6">
        <v>18.0</v>
      </c>
      <c r="G121" s="9" t="str">
        <f>VLOOKUP(operations[productID],products[],2,FALSE)</f>
        <v>Carnarvon Tigers</v>
      </c>
      <c r="H121" s="9" t="str">
        <f>IF(VLOOKUP(operations[productID],products[],7,FALSE)=1,"Discontinued","Current")</f>
        <v>Current</v>
      </c>
      <c r="I121" s="6">
        <f>VLOOKUP(operations[productID],products[],4,FALSE)</f>
        <v>42</v>
      </c>
      <c r="J121" s="6">
        <f>VLOOKUP(operations[productID],products[],5,FALSE)</f>
        <v>0</v>
      </c>
      <c r="K121" s="6">
        <f>VLOOKUP(operations[productID],products[],6,FALSE)</f>
        <v>0</v>
      </c>
      <c r="L121" s="10">
        <f t="array" ref="L121">INDEX('1 orders'!I121:I2156, MATCH(1, ('1 orders'!A121:A2156=A121)*('1 orders'!G121:G2156=F121), 0))
</f>
        <v>12</v>
      </c>
      <c r="M121" s="10">
        <f>IFERROR(__xludf.DUMMYFUNCTION("COUNTUNIQUEIFS($A$2:$A121,$F$2:$F121,F121)"),1.0)</f>
        <v>1</v>
      </c>
      <c r="N121" s="10">
        <f t="shared" si="1"/>
        <v>0</v>
      </c>
      <c r="O121" s="26">
        <f>IF(operations[sinceLastOrder]=0,0,operations[orderQuantity] / operations[sinceLastOrder])</f>
        <v>0</v>
      </c>
      <c r="P121" s="9">
        <v>21.18</v>
      </c>
      <c r="Q121" s="7" t="s">
        <v>13</v>
      </c>
      <c r="R121" s="10">
        <f>operations[arrivedDate]-operations[shippedDate]</f>
        <v>12</v>
      </c>
    </row>
    <row r="122" ht="15.75" customHeight="1">
      <c r="A122" s="6">
        <v>10293.0</v>
      </c>
      <c r="B122" s="24">
        <v>44802.0</v>
      </c>
      <c r="C122" s="24">
        <v>44830.0</v>
      </c>
      <c r="D122" s="24">
        <v>44815.0</v>
      </c>
      <c r="E122" s="24">
        <v>44827.0</v>
      </c>
      <c r="F122" s="6">
        <v>24.0</v>
      </c>
      <c r="G122" s="9" t="str">
        <f>VLOOKUP(operations[productID],products[],2,FALSE)</f>
        <v>Brigadeiros Maravilhosos da Lilian</v>
      </c>
      <c r="H122" s="9" t="str">
        <f>IF(VLOOKUP(operations[productID],products[],7,FALSE)=1,"Discontinued","Current")</f>
        <v>Discontinued</v>
      </c>
      <c r="I122" s="6">
        <f>VLOOKUP(operations[productID],products[],4,FALSE)</f>
        <v>20</v>
      </c>
      <c r="J122" s="6">
        <f>VLOOKUP(operations[productID],products[],5,FALSE)</f>
        <v>0</v>
      </c>
      <c r="K122" s="6">
        <f>VLOOKUP(operations[productID],products[],6,FALSE)</f>
        <v>0</v>
      </c>
      <c r="L122" s="10">
        <f t="array" ref="L122">INDEX('1 orders'!I122:I2156, MATCH(1, ('1 orders'!A122:A2156=A122)*('1 orders'!G122:G2156=F122), 0))
</f>
        <v>10</v>
      </c>
      <c r="M122" s="10">
        <f>IFERROR(__xludf.DUMMYFUNCTION("COUNTUNIQUEIFS($A$2:$A122,$F$2:$F122,F122)"),6.0)</f>
        <v>6</v>
      </c>
      <c r="N122" s="10">
        <f t="shared" si="1"/>
        <v>15</v>
      </c>
      <c r="O122" s="26">
        <f>IF(operations[sinceLastOrder]=0,0,operations[orderQuantity] / operations[sinceLastOrder])</f>
        <v>0.6666666667</v>
      </c>
      <c r="P122" s="9">
        <v>21.18</v>
      </c>
      <c r="Q122" s="7" t="s">
        <v>13</v>
      </c>
      <c r="R122" s="10">
        <f>operations[arrivedDate]-operations[shippedDate]</f>
        <v>12</v>
      </c>
    </row>
    <row r="123" ht="15.75" customHeight="1">
      <c r="A123" s="6">
        <v>10293.0</v>
      </c>
      <c r="B123" s="24">
        <v>44802.0</v>
      </c>
      <c r="C123" s="24">
        <v>44830.0</v>
      </c>
      <c r="D123" s="24">
        <v>44815.0</v>
      </c>
      <c r="E123" s="24">
        <v>44827.0</v>
      </c>
      <c r="F123" s="6">
        <v>63.0</v>
      </c>
      <c r="G123" s="9" t="str">
        <f>VLOOKUP(operations[productID],products[],2,FALSE)</f>
        <v>Vegie-spread</v>
      </c>
      <c r="H123" s="9" t="str">
        <f>IF(VLOOKUP(operations[productID],products[],7,FALSE)=1,"Discontinued","Current")</f>
        <v>Current</v>
      </c>
      <c r="I123" s="6">
        <f>VLOOKUP(operations[productID],products[],4,FALSE)</f>
        <v>24</v>
      </c>
      <c r="J123" s="6">
        <f>VLOOKUP(operations[productID],products[],5,FALSE)</f>
        <v>0</v>
      </c>
      <c r="K123" s="6">
        <f>VLOOKUP(operations[productID],products[],6,FALSE)</f>
        <v>5</v>
      </c>
      <c r="L123" s="10">
        <f t="array" ref="L123">INDEX('1 orders'!I123:I2156, MATCH(1, ('1 orders'!A123:A2156=A123)*('1 orders'!G123:G2156=F123), 0))
</f>
        <v>5</v>
      </c>
      <c r="M123" s="10">
        <f>IFERROR(__xludf.DUMMYFUNCTION("COUNTUNIQUEIFS($A$2:$A123,$F$2:$F123,F123)"),2.0)</f>
        <v>2</v>
      </c>
      <c r="N123" s="10">
        <f t="shared" si="1"/>
        <v>17</v>
      </c>
      <c r="O123" s="26">
        <f>IF(operations[sinceLastOrder]=0,0,operations[orderQuantity] / operations[sinceLastOrder])</f>
        <v>0.2941176471</v>
      </c>
      <c r="P123" s="9">
        <v>21.18</v>
      </c>
      <c r="Q123" s="7" t="s">
        <v>13</v>
      </c>
      <c r="R123" s="10">
        <f>operations[arrivedDate]-operations[shippedDate]</f>
        <v>12</v>
      </c>
    </row>
    <row r="124" ht="15.75" customHeight="1">
      <c r="A124" s="6">
        <v>10293.0</v>
      </c>
      <c r="B124" s="24">
        <v>44802.0</v>
      </c>
      <c r="C124" s="24">
        <v>44830.0</v>
      </c>
      <c r="D124" s="24">
        <v>44815.0</v>
      </c>
      <c r="E124" s="24">
        <v>44827.0</v>
      </c>
      <c r="F124" s="6">
        <v>75.0</v>
      </c>
      <c r="G124" s="9" t="str">
        <f>VLOOKUP(operations[productID],products[],2,FALSE)</f>
        <v>Rhönbräu Klosterbier</v>
      </c>
      <c r="H124" s="9" t="str">
        <f>IF(VLOOKUP(operations[productID],products[],7,FALSE)=1,"Discontinued","Current")</f>
        <v>Current</v>
      </c>
      <c r="I124" s="6">
        <f>VLOOKUP(operations[productID],products[],4,FALSE)</f>
        <v>125</v>
      </c>
      <c r="J124" s="6">
        <f>VLOOKUP(operations[productID],products[],5,FALSE)</f>
        <v>0</v>
      </c>
      <c r="K124" s="6">
        <f>VLOOKUP(operations[productID],products[],6,FALSE)</f>
        <v>25</v>
      </c>
      <c r="L124" s="10">
        <f t="array" ref="L124">INDEX('1 orders'!I124:I2156, MATCH(1, ('1 orders'!A124:A2156=A124)*('1 orders'!G124:G2156=F124), 0))
</f>
        <v>6</v>
      </c>
      <c r="M124" s="10">
        <f>IFERROR(__xludf.DUMMYFUNCTION("COUNTUNIQUEIFS($A$2:$A124,$F$2:$F124,F124)"),2.0)</f>
        <v>2</v>
      </c>
      <c r="N124" s="10">
        <f t="shared" si="1"/>
        <v>15</v>
      </c>
      <c r="O124" s="26">
        <f>IF(operations[sinceLastOrder]=0,0,operations[orderQuantity] / operations[sinceLastOrder])</f>
        <v>0.4</v>
      </c>
      <c r="P124" s="9">
        <v>21.18</v>
      </c>
      <c r="Q124" s="7" t="s">
        <v>13</v>
      </c>
      <c r="R124" s="10">
        <f>operations[arrivedDate]-operations[shippedDate]</f>
        <v>12</v>
      </c>
    </row>
    <row r="125" ht="15.75" customHeight="1">
      <c r="A125" s="6">
        <v>10294.0</v>
      </c>
      <c r="B125" s="24">
        <v>44803.0</v>
      </c>
      <c r="C125" s="24">
        <v>44831.0</v>
      </c>
      <c r="D125" s="24">
        <v>44809.0</v>
      </c>
      <c r="E125" s="24">
        <v>44828.0</v>
      </c>
      <c r="F125" s="6">
        <v>1.0</v>
      </c>
      <c r="G125" s="9" t="str">
        <f>VLOOKUP(operations[productID],products[],2,FALSE)</f>
        <v>Chai</v>
      </c>
      <c r="H125" s="9" t="str">
        <f>IF(VLOOKUP(operations[productID],products[],7,FALSE)=1,"Discontinued","Current")</f>
        <v>Current</v>
      </c>
      <c r="I125" s="6">
        <f>VLOOKUP(operations[productID],products[],4,FALSE)</f>
        <v>39</v>
      </c>
      <c r="J125" s="6">
        <f>VLOOKUP(operations[productID],products[],5,FALSE)</f>
        <v>0</v>
      </c>
      <c r="K125" s="6">
        <f>VLOOKUP(operations[productID],products[],6,FALSE)</f>
        <v>10</v>
      </c>
      <c r="L125" s="10">
        <f t="array" ref="L125">INDEX('1 orders'!I125:I2156, MATCH(1, ('1 orders'!A125:A2156=A125)*('1 orders'!G125:G2156=F125), 0))
</f>
        <v>18</v>
      </c>
      <c r="M125" s="10">
        <f>IFERROR(__xludf.DUMMYFUNCTION("COUNTUNIQUEIFS($A$2:$A125,$F$2:$F125,F125)"),2.0)</f>
        <v>2</v>
      </c>
      <c r="N125" s="10">
        <f t="shared" si="1"/>
        <v>10</v>
      </c>
      <c r="O125" s="26">
        <f>IF(operations[sinceLastOrder]=0,0,operations[orderQuantity] / operations[sinceLastOrder])</f>
        <v>1.8</v>
      </c>
      <c r="P125" s="9">
        <v>147.26</v>
      </c>
      <c r="Q125" s="7" t="s">
        <v>17</v>
      </c>
      <c r="R125" s="10">
        <f>operations[arrivedDate]-operations[shippedDate]</f>
        <v>19</v>
      </c>
    </row>
    <row r="126" ht="15.75" customHeight="1">
      <c r="A126" s="6">
        <v>10294.0</v>
      </c>
      <c r="B126" s="24">
        <v>44803.0</v>
      </c>
      <c r="C126" s="24">
        <v>44831.0</v>
      </c>
      <c r="D126" s="24">
        <v>44809.0</v>
      </c>
      <c r="E126" s="24">
        <v>44828.0</v>
      </c>
      <c r="F126" s="6">
        <v>17.0</v>
      </c>
      <c r="G126" s="9" t="str">
        <f>VLOOKUP(operations[productID],products[],2,FALSE)</f>
        <v>Alice Mutton</v>
      </c>
      <c r="H126" s="9" t="str">
        <f>IF(VLOOKUP(operations[productID],products[],7,FALSE)=1,"Discontinued","Current")</f>
        <v>Discontinued</v>
      </c>
      <c r="I126" s="6">
        <f>VLOOKUP(operations[productID],products[],4,FALSE)</f>
        <v>0</v>
      </c>
      <c r="J126" s="6">
        <f>VLOOKUP(operations[productID],products[],5,FALSE)</f>
        <v>0</v>
      </c>
      <c r="K126" s="6">
        <f>VLOOKUP(operations[productID],products[],6,FALSE)</f>
        <v>0</v>
      </c>
      <c r="L126" s="10">
        <f t="array" ref="L126">INDEX('1 orders'!I126:I2156, MATCH(1, ('1 orders'!A126:A2156=A126)*('1 orders'!G126:G2156=F126), 0))
</f>
        <v>15</v>
      </c>
      <c r="M126" s="10">
        <f>IFERROR(__xludf.DUMMYFUNCTION("COUNTUNIQUEIFS($A$2:$A126,$F$2:$F126,F126)"),3.0)</f>
        <v>3</v>
      </c>
      <c r="N126" s="10">
        <f t="shared" si="1"/>
        <v>17</v>
      </c>
      <c r="O126" s="26">
        <f>IF(operations[sinceLastOrder]=0,0,operations[orderQuantity] / operations[sinceLastOrder])</f>
        <v>0.8823529412</v>
      </c>
      <c r="P126" s="9">
        <v>147.26</v>
      </c>
      <c r="Q126" s="7" t="s">
        <v>17</v>
      </c>
      <c r="R126" s="10">
        <f>operations[arrivedDate]-operations[shippedDate]</f>
        <v>19</v>
      </c>
    </row>
    <row r="127" ht="15.75" customHeight="1">
      <c r="A127" s="6">
        <v>10294.0</v>
      </c>
      <c r="B127" s="24">
        <v>44803.0</v>
      </c>
      <c r="C127" s="24">
        <v>44831.0</v>
      </c>
      <c r="D127" s="24">
        <v>44809.0</v>
      </c>
      <c r="E127" s="24">
        <v>44828.0</v>
      </c>
      <c r="F127" s="6">
        <v>43.0</v>
      </c>
      <c r="G127" s="9" t="str">
        <f>VLOOKUP(operations[productID],products[],2,FALSE)</f>
        <v>Ipoh Coffee</v>
      </c>
      <c r="H127" s="9" t="str">
        <f>IF(VLOOKUP(operations[productID],products[],7,FALSE)=1,"Discontinued","Current")</f>
        <v>Current</v>
      </c>
      <c r="I127" s="6">
        <f>VLOOKUP(operations[productID],products[],4,FALSE)</f>
        <v>17</v>
      </c>
      <c r="J127" s="6">
        <f>VLOOKUP(operations[productID],products[],5,FALSE)</f>
        <v>10</v>
      </c>
      <c r="K127" s="6">
        <f>VLOOKUP(operations[productID],products[],6,FALSE)</f>
        <v>25</v>
      </c>
      <c r="L127" s="10">
        <f t="array" ref="L127">INDEX('1 orders'!I127:I2156, MATCH(1, ('1 orders'!A127:A2156=A127)*('1 orders'!G127:G2156=F127), 0))
</f>
        <v>15</v>
      </c>
      <c r="M127" s="10">
        <f>IFERROR(__xludf.DUMMYFUNCTION("COUNTUNIQUEIFS($A$2:$A127,$F$2:$F127,F127)"),2.0)</f>
        <v>2</v>
      </c>
      <c r="N127" s="10">
        <f t="shared" si="1"/>
        <v>29</v>
      </c>
      <c r="O127" s="26">
        <f>IF(operations[sinceLastOrder]=0,0,operations[orderQuantity] / operations[sinceLastOrder])</f>
        <v>0.5172413793</v>
      </c>
      <c r="P127" s="9">
        <v>147.26</v>
      </c>
      <c r="Q127" s="7" t="s">
        <v>17</v>
      </c>
      <c r="R127" s="10">
        <f>operations[arrivedDate]-operations[shippedDate]</f>
        <v>19</v>
      </c>
    </row>
    <row r="128" ht="15.75" customHeight="1">
      <c r="A128" s="6">
        <v>10294.0</v>
      </c>
      <c r="B128" s="24">
        <v>44803.0</v>
      </c>
      <c r="C128" s="24">
        <v>44831.0</v>
      </c>
      <c r="D128" s="24">
        <v>44809.0</v>
      </c>
      <c r="E128" s="24">
        <v>44828.0</v>
      </c>
      <c r="F128" s="6">
        <v>60.0</v>
      </c>
      <c r="G128" s="9" t="str">
        <f>VLOOKUP(operations[productID],products[],2,FALSE)</f>
        <v>Camembert Pierrot</v>
      </c>
      <c r="H128" s="9" t="str">
        <f>IF(VLOOKUP(operations[productID],products[],7,FALSE)=1,"Discontinued","Current")</f>
        <v>Current</v>
      </c>
      <c r="I128" s="6">
        <f>VLOOKUP(operations[productID],products[],4,FALSE)</f>
        <v>19</v>
      </c>
      <c r="J128" s="6">
        <f>VLOOKUP(operations[productID],products[],5,FALSE)</f>
        <v>0</v>
      </c>
      <c r="K128" s="6">
        <f>VLOOKUP(operations[productID],products[],6,FALSE)</f>
        <v>0</v>
      </c>
      <c r="L128" s="10">
        <f t="array" ref="L128">INDEX('1 orders'!I128:I2156, MATCH(1, ('1 orders'!A128:A2156=A128)*('1 orders'!G128:G2156=F128), 0))
</f>
        <v>21</v>
      </c>
      <c r="M128" s="10">
        <f>IFERROR(__xludf.DUMMYFUNCTION("COUNTUNIQUEIFS($A$2:$A128,$F$2:$F128,F128)"),4.0)</f>
        <v>4</v>
      </c>
      <c r="N128" s="10">
        <f t="shared" si="1"/>
        <v>11</v>
      </c>
      <c r="O128" s="26">
        <f>IF(operations[sinceLastOrder]=0,0,operations[orderQuantity] / operations[sinceLastOrder])</f>
        <v>1.909090909</v>
      </c>
      <c r="P128" s="9">
        <v>147.26</v>
      </c>
      <c r="Q128" s="7" t="s">
        <v>17</v>
      </c>
      <c r="R128" s="10">
        <f>operations[arrivedDate]-operations[shippedDate]</f>
        <v>19</v>
      </c>
    </row>
    <row r="129" ht="15.75" customHeight="1">
      <c r="A129" s="6">
        <v>10294.0</v>
      </c>
      <c r="B129" s="24">
        <v>44803.0</v>
      </c>
      <c r="C129" s="24">
        <v>44831.0</v>
      </c>
      <c r="D129" s="24">
        <v>44809.0</v>
      </c>
      <c r="E129" s="24">
        <v>44828.0</v>
      </c>
      <c r="F129" s="6">
        <v>75.0</v>
      </c>
      <c r="G129" s="9" t="str">
        <f>VLOOKUP(operations[productID],products[],2,FALSE)</f>
        <v>Rhönbräu Klosterbier</v>
      </c>
      <c r="H129" s="9" t="str">
        <f>IF(VLOOKUP(operations[productID],products[],7,FALSE)=1,"Discontinued","Current")</f>
        <v>Current</v>
      </c>
      <c r="I129" s="6">
        <f>VLOOKUP(operations[productID],products[],4,FALSE)</f>
        <v>125</v>
      </c>
      <c r="J129" s="6">
        <f>VLOOKUP(operations[productID],products[],5,FALSE)</f>
        <v>0</v>
      </c>
      <c r="K129" s="6">
        <f>VLOOKUP(operations[productID],products[],6,FALSE)</f>
        <v>25</v>
      </c>
      <c r="L129" s="10">
        <f t="array" ref="L129">INDEX('1 orders'!I129:I2156, MATCH(1, ('1 orders'!A129:A2156=A129)*('1 orders'!G129:G2156=F129), 0))
</f>
        <v>6</v>
      </c>
      <c r="M129" s="10">
        <f>IFERROR(__xludf.DUMMYFUNCTION("COUNTUNIQUEIFS($A$2:$A129,$F$2:$F129,F129)"),3.0)</f>
        <v>3</v>
      </c>
      <c r="N129" s="10">
        <f t="shared" si="1"/>
        <v>1</v>
      </c>
      <c r="O129" s="26">
        <f>IF(operations[sinceLastOrder]=0,0,operations[orderQuantity] / operations[sinceLastOrder])</f>
        <v>6</v>
      </c>
      <c r="P129" s="9">
        <v>147.26</v>
      </c>
      <c r="Q129" s="7" t="s">
        <v>17</v>
      </c>
      <c r="R129" s="10">
        <f>operations[arrivedDate]-operations[shippedDate]</f>
        <v>19</v>
      </c>
    </row>
    <row r="130" ht="15.75" customHeight="1">
      <c r="A130" s="6">
        <v>10295.0</v>
      </c>
      <c r="B130" s="24">
        <v>44806.0</v>
      </c>
      <c r="C130" s="24">
        <v>44834.0</v>
      </c>
      <c r="D130" s="24">
        <v>44814.0</v>
      </c>
      <c r="E130" s="24">
        <v>44823.0</v>
      </c>
      <c r="F130" s="6">
        <v>56.0</v>
      </c>
      <c r="G130" s="9" t="str">
        <f>VLOOKUP(operations[productID],products[],2,FALSE)</f>
        <v>Gnocchi di nonna Alice</v>
      </c>
      <c r="H130" s="9" t="str">
        <f>IF(VLOOKUP(operations[productID],products[],7,FALSE)=1,"Discontinued","Current")</f>
        <v>Current</v>
      </c>
      <c r="I130" s="6">
        <f>VLOOKUP(operations[productID],products[],4,FALSE)</f>
        <v>21</v>
      </c>
      <c r="J130" s="6">
        <f>VLOOKUP(operations[productID],products[],5,FALSE)</f>
        <v>10</v>
      </c>
      <c r="K130" s="6">
        <f>VLOOKUP(operations[productID],products[],6,FALSE)</f>
        <v>30</v>
      </c>
      <c r="L130" s="10">
        <f t="array" ref="L130">INDEX('1 orders'!I130:I2156, MATCH(1, ('1 orders'!A130:A2156=A130)*('1 orders'!G130:G2156=F130), 0))
</f>
        <v>4</v>
      </c>
      <c r="M130" s="10">
        <f>IFERROR(__xludf.DUMMYFUNCTION("COUNTUNIQUEIFS($A$2:$A130,$F$2:$F130,F130)"),2.0)</f>
        <v>2</v>
      </c>
      <c r="N130" s="10">
        <f t="shared" si="1"/>
        <v>42</v>
      </c>
      <c r="O130" s="26">
        <f>IF(operations[sinceLastOrder]=0,0,operations[orderQuantity] / operations[sinceLastOrder])</f>
        <v>0.09523809524</v>
      </c>
      <c r="P130" s="9">
        <v>1.15</v>
      </c>
      <c r="Q130" s="7" t="s">
        <v>17</v>
      </c>
      <c r="R130" s="10">
        <f>operations[arrivedDate]-operations[shippedDate]</f>
        <v>9</v>
      </c>
    </row>
    <row r="131" ht="15.75" customHeight="1">
      <c r="A131" s="6">
        <v>10296.0</v>
      </c>
      <c r="B131" s="24">
        <v>44807.0</v>
      </c>
      <c r="C131" s="24">
        <v>44835.0</v>
      </c>
      <c r="D131" s="24">
        <v>44815.0</v>
      </c>
      <c r="E131" s="24">
        <v>44823.0</v>
      </c>
      <c r="F131" s="6">
        <v>11.0</v>
      </c>
      <c r="G131" s="9" t="str">
        <f>VLOOKUP(operations[productID],products[],2,FALSE)</f>
        <v>Queso Cabrales</v>
      </c>
      <c r="H131" s="9" t="str">
        <f>IF(VLOOKUP(operations[productID],products[],7,FALSE)=1,"Discontinued","Current")</f>
        <v>Current</v>
      </c>
      <c r="I131" s="6">
        <f>VLOOKUP(operations[productID],products[],4,FALSE)</f>
        <v>22</v>
      </c>
      <c r="J131" s="6">
        <f>VLOOKUP(operations[productID],products[],5,FALSE)</f>
        <v>30</v>
      </c>
      <c r="K131" s="6">
        <f>VLOOKUP(operations[productID],products[],6,FALSE)</f>
        <v>30</v>
      </c>
      <c r="L131" s="10">
        <f t="array" ref="L131">INDEX('1 orders'!I131:I2156, MATCH(1, ('1 orders'!A131:A2156=A131)*('1 orders'!G131:G2156=F131), 0))
</f>
        <v>12</v>
      </c>
      <c r="M131" s="10">
        <f>IFERROR(__xludf.DUMMYFUNCTION("COUNTUNIQUEIFS($A$2:$A131,$F$2:$F131,F131)"),2.0)</f>
        <v>2</v>
      </c>
      <c r="N131" s="10">
        <f t="shared" si="1"/>
        <v>61</v>
      </c>
      <c r="O131" s="26">
        <f>IF(operations[sinceLastOrder]=0,0,operations[orderQuantity] / operations[sinceLastOrder])</f>
        <v>0.1967213115</v>
      </c>
      <c r="P131" s="9">
        <v>0.12</v>
      </c>
      <c r="Q131" s="7" t="s">
        <v>15</v>
      </c>
      <c r="R131" s="10">
        <f>operations[arrivedDate]-operations[shippedDate]</f>
        <v>8</v>
      </c>
    </row>
    <row r="132" ht="15.75" customHeight="1">
      <c r="A132" s="6">
        <v>10296.0</v>
      </c>
      <c r="B132" s="24">
        <v>44807.0</v>
      </c>
      <c r="C132" s="24">
        <v>44835.0</v>
      </c>
      <c r="D132" s="24">
        <v>44815.0</v>
      </c>
      <c r="E132" s="24">
        <v>44823.0</v>
      </c>
      <c r="F132" s="6">
        <v>16.0</v>
      </c>
      <c r="G132" s="9" t="str">
        <f>VLOOKUP(operations[productID],products[],2,FALSE)</f>
        <v>Pavlova</v>
      </c>
      <c r="H132" s="9" t="str">
        <f>IF(VLOOKUP(operations[productID],products[],7,FALSE)=1,"Discontinued","Current")</f>
        <v>Current</v>
      </c>
      <c r="I132" s="6">
        <f>VLOOKUP(operations[productID],products[],4,FALSE)</f>
        <v>29</v>
      </c>
      <c r="J132" s="6">
        <f>VLOOKUP(operations[productID],products[],5,FALSE)</f>
        <v>0</v>
      </c>
      <c r="K132" s="6">
        <f>VLOOKUP(operations[productID],products[],6,FALSE)</f>
        <v>10</v>
      </c>
      <c r="L132" s="10">
        <f t="array" ref="L132">INDEX('1 orders'!I132:I2156, MATCH(1, ('1 orders'!A132:A2156=A132)*('1 orders'!G132:G2156=F132), 0))
</f>
        <v>30</v>
      </c>
      <c r="M132" s="10">
        <f>IFERROR(__xludf.DUMMYFUNCTION("COUNTUNIQUEIFS($A$2:$A132,$F$2:$F132,F132)"),4.0)</f>
        <v>4</v>
      </c>
      <c r="N132" s="10">
        <f t="shared" si="1"/>
        <v>12</v>
      </c>
      <c r="O132" s="26">
        <f>IF(operations[sinceLastOrder]=0,0,operations[orderQuantity] / operations[sinceLastOrder])</f>
        <v>2.5</v>
      </c>
      <c r="P132" s="9">
        <v>0.12</v>
      </c>
      <c r="Q132" s="7" t="s">
        <v>15</v>
      </c>
      <c r="R132" s="10">
        <f>operations[arrivedDate]-operations[shippedDate]</f>
        <v>8</v>
      </c>
    </row>
    <row r="133" ht="15.75" customHeight="1">
      <c r="A133" s="6">
        <v>10296.0</v>
      </c>
      <c r="B133" s="24">
        <v>44807.0</v>
      </c>
      <c r="C133" s="24">
        <v>44835.0</v>
      </c>
      <c r="D133" s="24">
        <v>44815.0</v>
      </c>
      <c r="E133" s="24">
        <v>44823.0</v>
      </c>
      <c r="F133" s="6">
        <v>69.0</v>
      </c>
      <c r="G133" s="9" t="str">
        <f>VLOOKUP(operations[productID],products[],2,FALSE)</f>
        <v>Gudbrandsdalsost</v>
      </c>
      <c r="H133" s="9" t="str">
        <f>IF(VLOOKUP(operations[productID],products[],7,FALSE)=1,"Discontinued","Current")</f>
        <v>Current</v>
      </c>
      <c r="I133" s="6">
        <f>VLOOKUP(operations[productID],products[],4,FALSE)</f>
        <v>26</v>
      </c>
      <c r="J133" s="6">
        <f>VLOOKUP(operations[productID],products[],5,FALSE)</f>
        <v>0</v>
      </c>
      <c r="K133" s="6">
        <f>VLOOKUP(operations[productID],products[],6,FALSE)</f>
        <v>15</v>
      </c>
      <c r="L133" s="10">
        <f t="array" ref="L133">INDEX('1 orders'!I133:I2156, MATCH(1, ('1 orders'!A133:A2156=A133)*('1 orders'!G133:G2156=F133), 0))
</f>
        <v>15</v>
      </c>
      <c r="M133" s="10">
        <f>IFERROR(__xludf.DUMMYFUNCTION("COUNTUNIQUEIFS($A$2:$A133,$F$2:$F133,F133)"),1.0)</f>
        <v>1</v>
      </c>
      <c r="N133" s="10">
        <f t="shared" si="1"/>
        <v>0</v>
      </c>
      <c r="O133" s="26">
        <f>IF(operations[sinceLastOrder]=0,0,operations[orderQuantity] / operations[sinceLastOrder])</f>
        <v>0</v>
      </c>
      <c r="P133" s="9">
        <v>0.12</v>
      </c>
      <c r="Q133" s="7" t="s">
        <v>15</v>
      </c>
      <c r="R133" s="10">
        <f>operations[arrivedDate]-operations[shippedDate]</f>
        <v>8</v>
      </c>
    </row>
    <row r="134" ht="15.75" customHeight="1">
      <c r="A134" s="6">
        <v>10297.0</v>
      </c>
      <c r="B134" s="24">
        <v>44808.0</v>
      </c>
      <c r="C134" s="24">
        <v>44850.0</v>
      </c>
      <c r="D134" s="24">
        <v>44814.0</v>
      </c>
      <c r="E134" s="24">
        <v>44824.0</v>
      </c>
      <c r="F134" s="6">
        <v>39.0</v>
      </c>
      <c r="G134" s="9" t="str">
        <f>VLOOKUP(operations[productID],products[],2,FALSE)</f>
        <v>Chartreuse verte</v>
      </c>
      <c r="H134" s="9" t="str">
        <f>IF(VLOOKUP(operations[productID],products[],7,FALSE)=1,"Discontinued","Current")</f>
        <v>Current</v>
      </c>
      <c r="I134" s="6">
        <f>VLOOKUP(operations[productID],products[],4,FALSE)</f>
        <v>69</v>
      </c>
      <c r="J134" s="6">
        <f>VLOOKUP(operations[productID],products[],5,FALSE)</f>
        <v>0</v>
      </c>
      <c r="K134" s="6">
        <f>VLOOKUP(operations[productID],products[],6,FALSE)</f>
        <v>5</v>
      </c>
      <c r="L134" s="10">
        <f t="array" ref="L134">INDEX('1 orders'!I134:I2156, MATCH(1, ('1 orders'!A134:A2156=A134)*('1 orders'!G134:G2156=F134), 0))
</f>
        <v>60</v>
      </c>
      <c r="M134" s="10">
        <f>IFERROR(__xludf.DUMMYFUNCTION("COUNTUNIQUEIFS($A$2:$A134,$F$2:$F134,F134)"),3.0)</f>
        <v>3</v>
      </c>
      <c r="N134" s="10">
        <f t="shared" si="1"/>
        <v>50</v>
      </c>
      <c r="O134" s="26">
        <f>IF(operations[sinceLastOrder]=0,0,operations[orderQuantity] / operations[sinceLastOrder])</f>
        <v>1.2</v>
      </c>
      <c r="P134" s="9">
        <v>5.74</v>
      </c>
      <c r="Q134" s="7" t="s">
        <v>17</v>
      </c>
      <c r="R134" s="10">
        <f>operations[arrivedDate]-operations[shippedDate]</f>
        <v>10</v>
      </c>
    </row>
    <row r="135" ht="15.75" customHeight="1">
      <c r="A135" s="6">
        <v>10297.0</v>
      </c>
      <c r="B135" s="24">
        <v>44808.0</v>
      </c>
      <c r="C135" s="24">
        <v>44850.0</v>
      </c>
      <c r="D135" s="24">
        <v>44814.0</v>
      </c>
      <c r="E135" s="24">
        <v>44824.0</v>
      </c>
      <c r="F135" s="6">
        <v>72.0</v>
      </c>
      <c r="G135" s="9" t="str">
        <f>VLOOKUP(operations[productID],products[],2,FALSE)</f>
        <v>Mozzarella di Giovanni</v>
      </c>
      <c r="H135" s="9" t="str">
        <f>IF(VLOOKUP(operations[productID],products[],7,FALSE)=1,"Discontinued","Current")</f>
        <v>Current</v>
      </c>
      <c r="I135" s="6">
        <f>VLOOKUP(operations[productID],products[],4,FALSE)</f>
        <v>14</v>
      </c>
      <c r="J135" s="6">
        <f>VLOOKUP(operations[productID],products[],5,FALSE)</f>
        <v>0</v>
      </c>
      <c r="K135" s="6">
        <f>VLOOKUP(operations[productID],products[],6,FALSE)</f>
        <v>0</v>
      </c>
      <c r="L135" s="10">
        <f t="array" ref="L135">INDEX('1 orders'!I135:I2156, MATCH(1, ('1 orders'!A135:A2156=A135)*('1 orders'!G135:G2156=F135), 0))
</f>
        <v>20</v>
      </c>
      <c r="M135" s="10">
        <f>IFERROR(__xludf.DUMMYFUNCTION("COUNTUNIQUEIFS($A$2:$A135,$F$2:$F135,F135)"),7.0)</f>
        <v>7</v>
      </c>
      <c r="N135" s="10">
        <f t="shared" si="1"/>
        <v>19</v>
      </c>
      <c r="O135" s="26">
        <f>IF(operations[sinceLastOrder]=0,0,operations[orderQuantity] / operations[sinceLastOrder])</f>
        <v>1.052631579</v>
      </c>
      <c r="P135" s="9">
        <v>5.74</v>
      </c>
      <c r="Q135" s="7" t="s">
        <v>17</v>
      </c>
      <c r="R135" s="10">
        <f>operations[arrivedDate]-operations[shippedDate]</f>
        <v>10</v>
      </c>
    </row>
    <row r="136" ht="15.75" customHeight="1">
      <c r="A136" s="6">
        <v>10298.0</v>
      </c>
      <c r="B136" s="24">
        <v>44809.0</v>
      </c>
      <c r="C136" s="24">
        <v>44837.0</v>
      </c>
      <c r="D136" s="24">
        <v>44815.0</v>
      </c>
      <c r="E136" s="24">
        <v>44831.0</v>
      </c>
      <c r="F136" s="6">
        <v>2.0</v>
      </c>
      <c r="G136" s="9" t="str">
        <f>VLOOKUP(operations[productID],products[],2,FALSE)</f>
        <v>Chang</v>
      </c>
      <c r="H136" s="9" t="str">
        <f>IF(VLOOKUP(operations[productID],products[],7,FALSE)=1,"Discontinued","Current")</f>
        <v>Current</v>
      </c>
      <c r="I136" s="6">
        <f>VLOOKUP(operations[productID],products[],4,FALSE)</f>
        <v>17</v>
      </c>
      <c r="J136" s="6">
        <f>VLOOKUP(operations[productID],products[],5,FALSE)</f>
        <v>40</v>
      </c>
      <c r="K136" s="6">
        <f>VLOOKUP(operations[productID],products[],6,FALSE)</f>
        <v>25</v>
      </c>
      <c r="L136" s="10">
        <f t="array" ref="L136">INDEX('1 orders'!I136:I2156, MATCH(1, ('1 orders'!A136:A2156=A136)*('1 orders'!G136:G2156=F136), 0))
</f>
        <v>40</v>
      </c>
      <c r="M136" s="10">
        <f>IFERROR(__xludf.DUMMYFUNCTION("COUNTUNIQUEIFS($A$2:$A136,$F$2:$F136,F136)"),4.0)</f>
        <v>4</v>
      </c>
      <c r="N136" s="10">
        <f t="shared" si="1"/>
        <v>43</v>
      </c>
      <c r="O136" s="26">
        <f>IF(operations[sinceLastOrder]=0,0,operations[orderQuantity] / operations[sinceLastOrder])</f>
        <v>0.9302325581</v>
      </c>
      <c r="P136" s="9">
        <v>168.22</v>
      </c>
      <c r="Q136" s="7" t="s">
        <v>17</v>
      </c>
      <c r="R136" s="10">
        <f>operations[arrivedDate]-operations[shippedDate]</f>
        <v>16</v>
      </c>
    </row>
    <row r="137" ht="15.75" customHeight="1">
      <c r="A137" s="6">
        <v>10298.0</v>
      </c>
      <c r="B137" s="24">
        <v>44809.0</v>
      </c>
      <c r="C137" s="24">
        <v>44837.0</v>
      </c>
      <c r="D137" s="24">
        <v>44815.0</v>
      </c>
      <c r="E137" s="24">
        <v>44831.0</v>
      </c>
      <c r="F137" s="6">
        <v>36.0</v>
      </c>
      <c r="G137" s="9" t="str">
        <f>VLOOKUP(operations[productID],products[],2,FALSE)</f>
        <v>Inlagd Sill</v>
      </c>
      <c r="H137" s="9" t="str">
        <f>IF(VLOOKUP(operations[productID],products[],7,FALSE)=1,"Discontinued","Current")</f>
        <v>Current</v>
      </c>
      <c r="I137" s="6">
        <f>VLOOKUP(operations[productID],products[],4,FALSE)</f>
        <v>112</v>
      </c>
      <c r="J137" s="6">
        <f>VLOOKUP(operations[productID],products[],5,FALSE)</f>
        <v>0</v>
      </c>
      <c r="K137" s="6">
        <f>VLOOKUP(operations[productID],products[],6,FALSE)</f>
        <v>20</v>
      </c>
      <c r="L137" s="10">
        <f t="array" ref="L137">INDEX('1 orders'!I137:I2156, MATCH(1, ('1 orders'!A137:A2156=A137)*('1 orders'!G137:G2156=F137), 0))
</f>
        <v>40</v>
      </c>
      <c r="M137" s="10">
        <f>IFERROR(__xludf.DUMMYFUNCTION("COUNTUNIQUEIFS($A$2:$A137,$F$2:$F137,F137)"),3.0)</f>
        <v>3</v>
      </c>
      <c r="N137" s="10">
        <f t="shared" si="1"/>
        <v>35</v>
      </c>
      <c r="O137" s="26">
        <f>IF(operations[sinceLastOrder]=0,0,operations[orderQuantity] / operations[sinceLastOrder])</f>
        <v>1.142857143</v>
      </c>
      <c r="P137" s="9">
        <v>168.22</v>
      </c>
      <c r="Q137" s="7" t="s">
        <v>17</v>
      </c>
      <c r="R137" s="10">
        <f>operations[arrivedDate]-operations[shippedDate]</f>
        <v>16</v>
      </c>
    </row>
    <row r="138" ht="15.75" customHeight="1">
      <c r="A138" s="6">
        <v>10298.0</v>
      </c>
      <c r="B138" s="24">
        <v>44809.0</v>
      </c>
      <c r="C138" s="24">
        <v>44837.0</v>
      </c>
      <c r="D138" s="24">
        <v>44815.0</v>
      </c>
      <c r="E138" s="24">
        <v>44831.0</v>
      </c>
      <c r="F138" s="6">
        <v>59.0</v>
      </c>
      <c r="G138" s="9" t="str">
        <f>VLOOKUP(operations[productID],products[],2,FALSE)</f>
        <v>Raclette Courdavault</v>
      </c>
      <c r="H138" s="9" t="str">
        <f>IF(VLOOKUP(operations[productID],products[],7,FALSE)=1,"Discontinued","Current")</f>
        <v>Current</v>
      </c>
      <c r="I138" s="6">
        <f>VLOOKUP(operations[productID],products[],4,FALSE)</f>
        <v>79</v>
      </c>
      <c r="J138" s="6">
        <f>VLOOKUP(operations[productID],products[],5,FALSE)</f>
        <v>0</v>
      </c>
      <c r="K138" s="6">
        <f>VLOOKUP(operations[productID],products[],6,FALSE)</f>
        <v>0</v>
      </c>
      <c r="L138" s="10">
        <f t="array" ref="L138">INDEX('1 orders'!I138:I2156, MATCH(1, ('1 orders'!A138:A2156=A138)*('1 orders'!G138:G2156=F138), 0))
</f>
        <v>30</v>
      </c>
      <c r="M138" s="10">
        <f>IFERROR(__xludf.DUMMYFUNCTION("COUNTUNIQUEIFS($A$2:$A138,$F$2:$F138,F138)"),5.0)</f>
        <v>5</v>
      </c>
      <c r="N138" s="10">
        <f t="shared" si="1"/>
        <v>24</v>
      </c>
      <c r="O138" s="26">
        <f>IF(operations[sinceLastOrder]=0,0,operations[orderQuantity] / operations[sinceLastOrder])</f>
        <v>1.25</v>
      </c>
      <c r="P138" s="9">
        <v>168.22</v>
      </c>
      <c r="Q138" s="7" t="s">
        <v>17</v>
      </c>
      <c r="R138" s="10">
        <f>operations[arrivedDate]-operations[shippedDate]</f>
        <v>16</v>
      </c>
    </row>
    <row r="139" ht="15.75" customHeight="1">
      <c r="A139" s="6">
        <v>10298.0</v>
      </c>
      <c r="B139" s="24">
        <v>44809.0</v>
      </c>
      <c r="C139" s="24">
        <v>44837.0</v>
      </c>
      <c r="D139" s="24">
        <v>44815.0</v>
      </c>
      <c r="E139" s="24">
        <v>44831.0</v>
      </c>
      <c r="F139" s="6">
        <v>62.0</v>
      </c>
      <c r="G139" s="9" t="str">
        <f>VLOOKUP(operations[productID],products[],2,FALSE)</f>
        <v>Tarte au sucre</v>
      </c>
      <c r="H139" s="9" t="str">
        <f>IF(VLOOKUP(operations[productID],products[],7,FALSE)=1,"Discontinued","Current")</f>
        <v>Current</v>
      </c>
      <c r="I139" s="6">
        <f>VLOOKUP(operations[productID],products[],4,FALSE)</f>
        <v>17</v>
      </c>
      <c r="J139" s="6">
        <f>VLOOKUP(operations[productID],products[],5,FALSE)</f>
        <v>0</v>
      </c>
      <c r="K139" s="6">
        <f>VLOOKUP(operations[productID],products[],6,FALSE)</f>
        <v>0</v>
      </c>
      <c r="L139" s="10">
        <f t="array" ref="L139">INDEX('1 orders'!I139:I2156, MATCH(1, ('1 orders'!A139:A2156=A139)*('1 orders'!G139:G2156=F139), 0))
</f>
        <v>15</v>
      </c>
      <c r="M139" s="10">
        <f>IFERROR(__xludf.DUMMYFUNCTION("COUNTUNIQUEIFS($A$2:$A139,$F$2:$F139,F139)"),4.0)</f>
        <v>4</v>
      </c>
      <c r="N139" s="10">
        <f t="shared" si="1"/>
        <v>15</v>
      </c>
      <c r="O139" s="26">
        <f>IF(operations[sinceLastOrder]=0,0,operations[orderQuantity] / operations[sinceLastOrder])</f>
        <v>1</v>
      </c>
      <c r="P139" s="9">
        <v>168.22</v>
      </c>
      <c r="Q139" s="7" t="s">
        <v>17</v>
      </c>
      <c r="R139" s="10">
        <f>operations[arrivedDate]-operations[shippedDate]</f>
        <v>16</v>
      </c>
    </row>
    <row r="140" ht="15.75" customHeight="1">
      <c r="A140" s="6">
        <v>10299.0</v>
      </c>
      <c r="B140" s="24">
        <v>44810.0</v>
      </c>
      <c r="C140" s="24">
        <v>44838.0</v>
      </c>
      <c r="D140" s="24">
        <v>44817.0</v>
      </c>
      <c r="E140" s="24">
        <v>44837.0</v>
      </c>
      <c r="F140" s="6">
        <v>19.0</v>
      </c>
      <c r="G140" s="9" t="str">
        <f>VLOOKUP(operations[productID],products[],2,FALSE)</f>
        <v>Teatime Chocolate Biscuits</v>
      </c>
      <c r="H140" s="9" t="str">
        <f>IF(VLOOKUP(operations[productID],products[],7,FALSE)=1,"Discontinued","Current")</f>
        <v>Current</v>
      </c>
      <c r="I140" s="6">
        <f>VLOOKUP(operations[productID],products[],4,FALSE)</f>
        <v>25</v>
      </c>
      <c r="J140" s="6">
        <f>VLOOKUP(operations[productID],products[],5,FALSE)</f>
        <v>0</v>
      </c>
      <c r="K140" s="6">
        <f>VLOOKUP(operations[productID],products[],6,FALSE)</f>
        <v>5</v>
      </c>
      <c r="L140" s="10">
        <f t="array" ref="L140">INDEX('1 orders'!I140:I2156, MATCH(1, ('1 orders'!A140:A2156=A140)*('1 orders'!G140:G2156=F140), 0))
</f>
        <v>15</v>
      </c>
      <c r="M140" s="10">
        <f>IFERROR(__xludf.DUMMYFUNCTION("COUNTUNIQUEIFS($A$2:$A140,$F$2:$F140,F140)"),3.0)</f>
        <v>3</v>
      </c>
      <c r="N140" s="10">
        <f t="shared" si="1"/>
        <v>21</v>
      </c>
      <c r="O140" s="26">
        <f>IF(operations[sinceLastOrder]=0,0,operations[orderQuantity] / operations[sinceLastOrder])</f>
        <v>0.7142857143</v>
      </c>
      <c r="P140" s="9">
        <v>29.76</v>
      </c>
      <c r="Q140" s="7" t="s">
        <v>17</v>
      </c>
      <c r="R140" s="10">
        <f>operations[arrivedDate]-operations[shippedDate]</f>
        <v>20</v>
      </c>
    </row>
    <row r="141" ht="15.75" customHeight="1">
      <c r="A141" s="6">
        <v>10299.0</v>
      </c>
      <c r="B141" s="24">
        <v>44810.0</v>
      </c>
      <c r="C141" s="24">
        <v>44838.0</v>
      </c>
      <c r="D141" s="24">
        <v>44817.0</v>
      </c>
      <c r="E141" s="24">
        <v>44837.0</v>
      </c>
      <c r="F141" s="6">
        <v>70.0</v>
      </c>
      <c r="G141" s="9" t="str">
        <f>VLOOKUP(operations[productID],products[],2,FALSE)</f>
        <v>Outback Lager</v>
      </c>
      <c r="H141" s="9" t="str">
        <f>IF(VLOOKUP(operations[productID],products[],7,FALSE)=1,"Discontinued","Current")</f>
        <v>Current</v>
      </c>
      <c r="I141" s="6">
        <f>VLOOKUP(operations[productID],products[],4,FALSE)</f>
        <v>15</v>
      </c>
      <c r="J141" s="6">
        <f>VLOOKUP(operations[productID],products[],5,FALSE)</f>
        <v>10</v>
      </c>
      <c r="K141" s="6">
        <f>VLOOKUP(operations[productID],products[],6,FALSE)</f>
        <v>30</v>
      </c>
      <c r="L141" s="10">
        <f t="array" ref="L141">INDEX('1 orders'!I141:I2156, MATCH(1, ('1 orders'!A141:A2156=A141)*('1 orders'!G141:G2156=F141), 0))
</f>
        <v>20</v>
      </c>
      <c r="M141" s="10">
        <f>IFERROR(__xludf.DUMMYFUNCTION("COUNTUNIQUEIFS($A$2:$A141,$F$2:$F141,F141)"),3.0)</f>
        <v>3</v>
      </c>
      <c r="N141" s="10">
        <f t="shared" si="1"/>
        <v>43</v>
      </c>
      <c r="O141" s="26">
        <f>IF(operations[sinceLastOrder]=0,0,operations[orderQuantity] / operations[sinceLastOrder])</f>
        <v>0.4651162791</v>
      </c>
      <c r="P141" s="9">
        <v>29.76</v>
      </c>
      <c r="Q141" s="7" t="s">
        <v>17</v>
      </c>
      <c r="R141" s="10">
        <f>operations[arrivedDate]-operations[shippedDate]</f>
        <v>20</v>
      </c>
    </row>
    <row r="142" ht="15.75" customHeight="1">
      <c r="A142" s="6">
        <v>10300.0</v>
      </c>
      <c r="B142" s="24">
        <v>44813.0</v>
      </c>
      <c r="C142" s="24">
        <v>44841.0</v>
      </c>
      <c r="D142" s="24">
        <v>44822.0</v>
      </c>
      <c r="E142" s="24">
        <v>44834.0</v>
      </c>
      <c r="F142" s="6">
        <v>66.0</v>
      </c>
      <c r="G142" s="9" t="str">
        <f>VLOOKUP(operations[productID],products[],2,FALSE)</f>
        <v>Louisiana Hot Spiced Okra</v>
      </c>
      <c r="H142" s="9" t="str">
        <f>IF(VLOOKUP(operations[productID],products[],7,FALSE)=1,"Discontinued","Current")</f>
        <v>Current</v>
      </c>
      <c r="I142" s="6">
        <f>VLOOKUP(operations[productID],products[],4,FALSE)</f>
        <v>4</v>
      </c>
      <c r="J142" s="6">
        <f>VLOOKUP(operations[productID],products[],5,FALSE)</f>
        <v>100</v>
      </c>
      <c r="K142" s="6">
        <f>VLOOKUP(operations[productID],products[],6,FALSE)</f>
        <v>20</v>
      </c>
      <c r="L142" s="10">
        <f t="array" ref="L142">INDEX('1 orders'!I142:I2156, MATCH(1, ('1 orders'!A142:A2156=A142)*('1 orders'!G142:G2156=F142), 0))
</f>
        <v>30</v>
      </c>
      <c r="M142" s="10">
        <f>IFERROR(__xludf.DUMMYFUNCTION("COUNTUNIQUEIFS($A$2:$A142,$F$2:$F142,F142)"),1.0)</f>
        <v>1</v>
      </c>
      <c r="N142" s="10">
        <f t="shared" si="1"/>
        <v>0</v>
      </c>
      <c r="O142" s="26">
        <f>IF(operations[sinceLastOrder]=0,0,operations[orderQuantity] / operations[sinceLastOrder])</f>
        <v>0</v>
      </c>
      <c r="P142" s="9">
        <v>17.68</v>
      </c>
      <c r="Q142" s="7" t="s">
        <v>17</v>
      </c>
      <c r="R142" s="10">
        <f>operations[arrivedDate]-operations[shippedDate]</f>
        <v>12</v>
      </c>
    </row>
    <row r="143" ht="15.75" customHeight="1">
      <c r="A143" s="6">
        <v>10300.0</v>
      </c>
      <c r="B143" s="24">
        <v>44813.0</v>
      </c>
      <c r="C143" s="24">
        <v>44841.0</v>
      </c>
      <c r="D143" s="24">
        <v>44822.0</v>
      </c>
      <c r="E143" s="24">
        <v>44834.0</v>
      </c>
      <c r="F143" s="6">
        <v>68.0</v>
      </c>
      <c r="G143" s="9" t="str">
        <f>VLOOKUP(operations[productID],products[],2,FALSE)</f>
        <v>Scottish Longbreads</v>
      </c>
      <c r="H143" s="9" t="str">
        <f>IF(VLOOKUP(operations[productID],products[],7,FALSE)=1,"Discontinued","Current")</f>
        <v>Current</v>
      </c>
      <c r="I143" s="6">
        <f>VLOOKUP(operations[productID],products[],4,FALSE)</f>
        <v>6</v>
      </c>
      <c r="J143" s="6">
        <f>VLOOKUP(operations[productID],products[],5,FALSE)</f>
        <v>10</v>
      </c>
      <c r="K143" s="6">
        <f>VLOOKUP(operations[productID],products[],6,FALSE)</f>
        <v>15</v>
      </c>
      <c r="L143" s="10">
        <f t="array" ref="L143">INDEX('1 orders'!I143:I2156, MATCH(1, ('1 orders'!A143:A2156=A143)*('1 orders'!G143:G2156=F143), 0))
</f>
        <v>20</v>
      </c>
      <c r="M143" s="10">
        <f>IFERROR(__xludf.DUMMYFUNCTION("COUNTUNIQUEIFS($A$2:$A143,$F$2:$F143,F143)"),2.0)</f>
        <v>2</v>
      </c>
      <c r="N143" s="10">
        <f t="shared" si="1"/>
        <v>17</v>
      </c>
      <c r="O143" s="26">
        <f>IF(operations[sinceLastOrder]=0,0,operations[orderQuantity] / operations[sinceLastOrder])</f>
        <v>1.176470588</v>
      </c>
      <c r="P143" s="9">
        <v>17.68</v>
      </c>
      <c r="Q143" s="7" t="s">
        <v>17</v>
      </c>
      <c r="R143" s="10">
        <f>operations[arrivedDate]-operations[shippedDate]</f>
        <v>12</v>
      </c>
    </row>
    <row r="144" ht="15.75" customHeight="1">
      <c r="A144" s="6">
        <v>10301.0</v>
      </c>
      <c r="B144" s="24">
        <v>44813.0</v>
      </c>
      <c r="C144" s="24">
        <v>44841.0</v>
      </c>
      <c r="D144" s="24">
        <v>44821.0</v>
      </c>
      <c r="E144" s="24">
        <v>44828.0</v>
      </c>
      <c r="F144" s="6">
        <v>40.0</v>
      </c>
      <c r="G144" s="9" t="str">
        <f>VLOOKUP(operations[productID],products[],2,FALSE)</f>
        <v>Boston Crab Meat</v>
      </c>
      <c r="H144" s="9" t="str">
        <f>IF(VLOOKUP(operations[productID],products[],7,FALSE)=1,"Discontinued","Current")</f>
        <v>Current</v>
      </c>
      <c r="I144" s="6">
        <f>VLOOKUP(operations[productID],products[],4,FALSE)</f>
        <v>123</v>
      </c>
      <c r="J144" s="6">
        <f>VLOOKUP(operations[productID],products[],5,FALSE)</f>
        <v>0</v>
      </c>
      <c r="K144" s="6">
        <f>VLOOKUP(operations[productID],products[],6,FALSE)</f>
        <v>30</v>
      </c>
      <c r="L144" s="10">
        <f t="array" ref="L144">INDEX('1 orders'!I144:I2156, MATCH(1, ('1 orders'!A144:A2156=A144)*('1 orders'!G144:G2156=F144), 0))
</f>
        <v>10</v>
      </c>
      <c r="M144" s="10">
        <f>IFERROR(__xludf.DUMMYFUNCTION("COUNTUNIQUEIFS($A$2:$A144,$F$2:$F144,F144)"),4.0)</f>
        <v>4</v>
      </c>
      <c r="N144" s="10">
        <f t="shared" si="1"/>
        <v>20</v>
      </c>
      <c r="O144" s="26">
        <f>IF(operations[sinceLastOrder]=0,0,operations[orderQuantity] / operations[sinceLastOrder])</f>
        <v>0.5</v>
      </c>
      <c r="P144" s="9">
        <v>45.08</v>
      </c>
      <c r="Q144" s="7" t="s">
        <v>17</v>
      </c>
      <c r="R144" s="10">
        <f>operations[arrivedDate]-operations[shippedDate]</f>
        <v>7</v>
      </c>
    </row>
    <row r="145" ht="15.75" customHeight="1">
      <c r="A145" s="6">
        <v>10301.0</v>
      </c>
      <c r="B145" s="24">
        <v>44813.0</v>
      </c>
      <c r="C145" s="24">
        <v>44841.0</v>
      </c>
      <c r="D145" s="24">
        <v>44821.0</v>
      </c>
      <c r="E145" s="24">
        <v>44828.0</v>
      </c>
      <c r="F145" s="6">
        <v>56.0</v>
      </c>
      <c r="G145" s="9" t="str">
        <f>VLOOKUP(operations[productID],products[],2,FALSE)</f>
        <v>Gnocchi di nonna Alice</v>
      </c>
      <c r="H145" s="9" t="str">
        <f>IF(VLOOKUP(operations[productID],products[],7,FALSE)=1,"Discontinued","Current")</f>
        <v>Current</v>
      </c>
      <c r="I145" s="6">
        <f>VLOOKUP(operations[productID],products[],4,FALSE)</f>
        <v>21</v>
      </c>
      <c r="J145" s="6">
        <f>VLOOKUP(operations[productID],products[],5,FALSE)</f>
        <v>10</v>
      </c>
      <c r="K145" s="6">
        <f>VLOOKUP(operations[productID],products[],6,FALSE)</f>
        <v>30</v>
      </c>
      <c r="L145" s="10">
        <f t="array" ref="L145">INDEX('1 orders'!I145:I2156, MATCH(1, ('1 orders'!A145:A2156=A145)*('1 orders'!G145:G2156=F145), 0))
</f>
        <v>20</v>
      </c>
      <c r="M145" s="10">
        <f>IFERROR(__xludf.DUMMYFUNCTION("COUNTUNIQUEIFS($A$2:$A145,$F$2:$F145,F145)"),3.0)</f>
        <v>3</v>
      </c>
      <c r="N145" s="10">
        <f t="shared" si="1"/>
        <v>7</v>
      </c>
      <c r="O145" s="26">
        <f>IF(operations[sinceLastOrder]=0,0,operations[orderQuantity] / operations[sinceLastOrder])</f>
        <v>2.857142857</v>
      </c>
      <c r="P145" s="9">
        <v>45.08</v>
      </c>
      <c r="Q145" s="7" t="s">
        <v>17</v>
      </c>
      <c r="R145" s="10">
        <f>operations[arrivedDate]-operations[shippedDate]</f>
        <v>7</v>
      </c>
    </row>
    <row r="146" ht="15.75" customHeight="1">
      <c r="A146" s="6">
        <v>10302.0</v>
      </c>
      <c r="B146" s="24">
        <v>44814.0</v>
      </c>
      <c r="C146" s="24">
        <v>44842.0</v>
      </c>
      <c r="D146" s="24">
        <v>44843.0</v>
      </c>
      <c r="E146" s="24">
        <v>44858.0</v>
      </c>
      <c r="F146" s="6">
        <v>17.0</v>
      </c>
      <c r="G146" s="9" t="str">
        <f>VLOOKUP(operations[productID],products[],2,FALSE)</f>
        <v>Alice Mutton</v>
      </c>
      <c r="H146" s="9" t="str">
        <f>IF(VLOOKUP(operations[productID],products[],7,FALSE)=1,"Discontinued","Current")</f>
        <v>Discontinued</v>
      </c>
      <c r="I146" s="6">
        <f>VLOOKUP(operations[productID],products[],4,FALSE)</f>
        <v>0</v>
      </c>
      <c r="J146" s="6">
        <f>VLOOKUP(operations[productID],products[],5,FALSE)</f>
        <v>0</v>
      </c>
      <c r="K146" s="6">
        <f>VLOOKUP(operations[productID],products[],6,FALSE)</f>
        <v>0</v>
      </c>
      <c r="L146" s="10">
        <f t="array" ref="L146">INDEX('1 orders'!I146:I2156, MATCH(1, ('1 orders'!A146:A2156=A146)*('1 orders'!G146:G2156=F146), 0))
</f>
        <v>40</v>
      </c>
      <c r="M146" s="10">
        <f>IFERROR(__xludf.DUMMYFUNCTION("COUNTUNIQUEIFS($A$2:$A146,$F$2:$F146,F146)"),4.0)</f>
        <v>4</v>
      </c>
      <c r="N146" s="10">
        <f t="shared" si="1"/>
        <v>11</v>
      </c>
      <c r="O146" s="26">
        <f>IF(operations[sinceLastOrder]=0,0,operations[orderQuantity] / operations[sinceLastOrder])</f>
        <v>3.636363636</v>
      </c>
      <c r="P146" s="9">
        <v>6.27</v>
      </c>
      <c r="Q146" s="7" t="s">
        <v>17</v>
      </c>
      <c r="R146" s="10">
        <f>operations[arrivedDate]-operations[shippedDate]</f>
        <v>15</v>
      </c>
    </row>
    <row r="147" ht="15.75" customHeight="1">
      <c r="A147" s="6">
        <v>10302.0</v>
      </c>
      <c r="B147" s="24">
        <v>44814.0</v>
      </c>
      <c r="C147" s="24">
        <v>44842.0</v>
      </c>
      <c r="D147" s="24">
        <v>44843.0</v>
      </c>
      <c r="E147" s="24">
        <v>44858.0</v>
      </c>
      <c r="F147" s="6">
        <v>28.0</v>
      </c>
      <c r="G147" s="9" t="str">
        <f>VLOOKUP(operations[productID],products[],2,FALSE)</f>
        <v>Rössle Sauerkraut</v>
      </c>
      <c r="H147" s="9" t="str">
        <f>IF(VLOOKUP(operations[productID],products[],7,FALSE)=1,"Discontinued","Current")</f>
        <v>Discontinued</v>
      </c>
      <c r="I147" s="6">
        <f>VLOOKUP(operations[productID],products[],4,FALSE)</f>
        <v>26</v>
      </c>
      <c r="J147" s="6">
        <f>VLOOKUP(operations[productID],products[],5,FALSE)</f>
        <v>0</v>
      </c>
      <c r="K147" s="6">
        <f>VLOOKUP(operations[productID],products[],6,FALSE)</f>
        <v>0</v>
      </c>
      <c r="L147" s="10">
        <f t="array" ref="L147">INDEX('1 orders'!I147:I2156, MATCH(1, ('1 orders'!A147:A2156=A147)*('1 orders'!G147:G2156=F147), 0))
</f>
        <v>28</v>
      </c>
      <c r="M147" s="10">
        <f>IFERROR(__xludf.DUMMYFUNCTION("COUNTUNIQUEIFS($A$2:$A147,$F$2:$F147,F147)"),2.0)</f>
        <v>2</v>
      </c>
      <c r="N147" s="10">
        <f t="shared" si="1"/>
        <v>32</v>
      </c>
      <c r="O147" s="26">
        <f>IF(operations[sinceLastOrder]=0,0,operations[orderQuantity] / operations[sinceLastOrder])</f>
        <v>0.875</v>
      </c>
      <c r="P147" s="9">
        <v>6.27</v>
      </c>
      <c r="Q147" s="7" t="s">
        <v>17</v>
      </c>
      <c r="R147" s="10">
        <f>operations[arrivedDate]-operations[shippedDate]</f>
        <v>15</v>
      </c>
    </row>
    <row r="148" ht="15.75" customHeight="1">
      <c r="A148" s="6">
        <v>10302.0</v>
      </c>
      <c r="B148" s="24">
        <v>44814.0</v>
      </c>
      <c r="C148" s="24">
        <v>44842.0</v>
      </c>
      <c r="D148" s="24">
        <v>44843.0</v>
      </c>
      <c r="E148" s="24">
        <v>44858.0</v>
      </c>
      <c r="F148" s="6">
        <v>43.0</v>
      </c>
      <c r="G148" s="9" t="str">
        <f>VLOOKUP(operations[productID],products[],2,FALSE)</f>
        <v>Ipoh Coffee</v>
      </c>
      <c r="H148" s="9" t="str">
        <f>IF(VLOOKUP(operations[productID],products[],7,FALSE)=1,"Discontinued","Current")</f>
        <v>Current</v>
      </c>
      <c r="I148" s="6">
        <f>VLOOKUP(operations[productID],products[],4,FALSE)</f>
        <v>17</v>
      </c>
      <c r="J148" s="6">
        <f>VLOOKUP(operations[productID],products[],5,FALSE)</f>
        <v>10</v>
      </c>
      <c r="K148" s="6">
        <f>VLOOKUP(operations[productID],products[],6,FALSE)</f>
        <v>25</v>
      </c>
      <c r="L148" s="10">
        <f t="array" ref="L148">INDEX('1 orders'!I148:I2156, MATCH(1, ('1 orders'!A148:A2156=A148)*('1 orders'!G148:G2156=F148), 0))
</f>
        <v>12</v>
      </c>
      <c r="M148" s="10">
        <f>IFERROR(__xludf.DUMMYFUNCTION("COUNTUNIQUEIFS($A$2:$A148,$F$2:$F148,F148)"),3.0)</f>
        <v>3</v>
      </c>
      <c r="N148" s="10">
        <f t="shared" si="1"/>
        <v>11</v>
      </c>
      <c r="O148" s="26">
        <f>IF(operations[sinceLastOrder]=0,0,operations[orderQuantity] / operations[sinceLastOrder])</f>
        <v>1.090909091</v>
      </c>
      <c r="P148" s="9">
        <v>6.27</v>
      </c>
      <c r="Q148" s="7" t="s">
        <v>17</v>
      </c>
      <c r="R148" s="10">
        <f>operations[arrivedDate]-operations[shippedDate]</f>
        <v>15</v>
      </c>
    </row>
    <row r="149" ht="15.75" customHeight="1">
      <c r="A149" s="6">
        <v>10303.0</v>
      </c>
      <c r="B149" s="24">
        <v>44815.0</v>
      </c>
      <c r="C149" s="24">
        <v>44843.0</v>
      </c>
      <c r="D149" s="24">
        <v>44822.0</v>
      </c>
      <c r="E149" s="24">
        <v>44833.0</v>
      </c>
      <c r="F149" s="6">
        <v>40.0</v>
      </c>
      <c r="G149" s="9" t="str">
        <f>VLOOKUP(operations[productID],products[],2,FALSE)</f>
        <v>Boston Crab Meat</v>
      </c>
      <c r="H149" s="9" t="str">
        <f>IF(VLOOKUP(operations[productID],products[],7,FALSE)=1,"Discontinued","Current")</f>
        <v>Current</v>
      </c>
      <c r="I149" s="6">
        <f>VLOOKUP(operations[productID],products[],4,FALSE)</f>
        <v>123</v>
      </c>
      <c r="J149" s="6">
        <f>VLOOKUP(operations[productID],products[],5,FALSE)</f>
        <v>0</v>
      </c>
      <c r="K149" s="6">
        <f>VLOOKUP(operations[productID],products[],6,FALSE)</f>
        <v>30</v>
      </c>
      <c r="L149" s="10">
        <f t="array" ref="L149">INDEX('1 orders'!I149:I2156, MATCH(1, ('1 orders'!A149:A2156=A149)*('1 orders'!G149:G2156=F149), 0))
</f>
        <v>40</v>
      </c>
      <c r="M149" s="10">
        <f>IFERROR(__xludf.DUMMYFUNCTION("COUNTUNIQUEIFS($A$2:$A149,$F$2:$F149,F149)"),5.0)</f>
        <v>5</v>
      </c>
      <c r="N149" s="10">
        <f t="shared" si="1"/>
        <v>2</v>
      </c>
      <c r="O149" s="26">
        <f>IF(operations[sinceLastOrder]=0,0,operations[orderQuantity] / operations[sinceLastOrder])</f>
        <v>20</v>
      </c>
      <c r="P149" s="9">
        <v>107.83</v>
      </c>
      <c r="Q149" s="7" t="s">
        <v>17</v>
      </c>
      <c r="R149" s="10">
        <f>operations[arrivedDate]-operations[shippedDate]</f>
        <v>11</v>
      </c>
    </row>
    <row r="150" ht="15.75" customHeight="1">
      <c r="A150" s="6">
        <v>10303.0</v>
      </c>
      <c r="B150" s="24">
        <v>44815.0</v>
      </c>
      <c r="C150" s="24">
        <v>44843.0</v>
      </c>
      <c r="D150" s="24">
        <v>44822.0</v>
      </c>
      <c r="E150" s="24">
        <v>44833.0</v>
      </c>
      <c r="F150" s="6">
        <v>65.0</v>
      </c>
      <c r="G150" s="9" t="str">
        <f>VLOOKUP(operations[productID],products[],2,FALSE)</f>
        <v>Louisiana Fiery Hot Pepper Sauce</v>
      </c>
      <c r="H150" s="9" t="str">
        <f>IF(VLOOKUP(operations[productID],products[],7,FALSE)=1,"Discontinued","Current")</f>
        <v>Current</v>
      </c>
      <c r="I150" s="6">
        <f>VLOOKUP(operations[productID],products[],4,FALSE)</f>
        <v>76</v>
      </c>
      <c r="J150" s="6">
        <f>VLOOKUP(operations[productID],products[],5,FALSE)</f>
        <v>0</v>
      </c>
      <c r="K150" s="6">
        <f>VLOOKUP(operations[productID],products[],6,FALSE)</f>
        <v>0</v>
      </c>
      <c r="L150" s="10">
        <f t="array" ref="L150">INDEX('1 orders'!I150:I2156, MATCH(1, ('1 orders'!A150:A2156=A150)*('1 orders'!G150:G2156=F150), 0))
</f>
        <v>30</v>
      </c>
      <c r="M150" s="10">
        <f>IFERROR(__xludf.DUMMYFUNCTION("COUNTUNIQUEIFS($A$2:$A150,$F$2:$F150,F150)"),3.0)</f>
        <v>3</v>
      </c>
      <c r="N150" s="10">
        <f t="shared" si="1"/>
        <v>65</v>
      </c>
      <c r="O150" s="26">
        <f>IF(operations[sinceLastOrder]=0,0,operations[orderQuantity] / operations[sinceLastOrder])</f>
        <v>0.4615384615</v>
      </c>
      <c r="P150" s="9">
        <v>107.83</v>
      </c>
      <c r="Q150" s="7" t="s">
        <v>17</v>
      </c>
      <c r="R150" s="10">
        <f>operations[arrivedDate]-operations[shippedDate]</f>
        <v>11</v>
      </c>
    </row>
    <row r="151" ht="15.75" customHeight="1">
      <c r="A151" s="6">
        <v>10303.0</v>
      </c>
      <c r="B151" s="24">
        <v>44815.0</v>
      </c>
      <c r="C151" s="24">
        <v>44843.0</v>
      </c>
      <c r="D151" s="24">
        <v>44822.0</v>
      </c>
      <c r="E151" s="24">
        <v>44833.0</v>
      </c>
      <c r="F151" s="6">
        <v>68.0</v>
      </c>
      <c r="G151" s="9" t="str">
        <f>VLOOKUP(operations[productID],products[],2,FALSE)</f>
        <v>Scottish Longbreads</v>
      </c>
      <c r="H151" s="9" t="str">
        <f>IF(VLOOKUP(operations[productID],products[],7,FALSE)=1,"Discontinued","Current")</f>
        <v>Current</v>
      </c>
      <c r="I151" s="6">
        <f>VLOOKUP(operations[productID],products[],4,FALSE)</f>
        <v>6</v>
      </c>
      <c r="J151" s="6">
        <f>VLOOKUP(operations[productID],products[],5,FALSE)</f>
        <v>10</v>
      </c>
      <c r="K151" s="6">
        <f>VLOOKUP(operations[productID],products[],6,FALSE)</f>
        <v>15</v>
      </c>
      <c r="L151" s="10">
        <f t="array" ref="L151">INDEX('1 orders'!I151:I2156, MATCH(1, ('1 orders'!A151:A2156=A151)*('1 orders'!G151:G2156=F151), 0))
</f>
        <v>15</v>
      </c>
      <c r="M151" s="10">
        <f>IFERROR(__xludf.DUMMYFUNCTION("COUNTUNIQUEIFS($A$2:$A151,$F$2:$F151,F151)"),3.0)</f>
        <v>3</v>
      </c>
      <c r="N151" s="10">
        <f t="shared" si="1"/>
        <v>2</v>
      </c>
      <c r="O151" s="26">
        <f>IF(operations[sinceLastOrder]=0,0,operations[orderQuantity] / operations[sinceLastOrder])</f>
        <v>7.5</v>
      </c>
      <c r="P151" s="9">
        <v>107.83</v>
      </c>
      <c r="Q151" s="7" t="s">
        <v>17</v>
      </c>
      <c r="R151" s="10">
        <f>operations[arrivedDate]-operations[shippedDate]</f>
        <v>11</v>
      </c>
    </row>
    <row r="152" ht="15.75" customHeight="1">
      <c r="A152" s="6">
        <v>10304.0</v>
      </c>
      <c r="B152" s="24">
        <v>44816.0</v>
      </c>
      <c r="C152" s="24">
        <v>44844.0</v>
      </c>
      <c r="D152" s="24">
        <v>44821.0</v>
      </c>
      <c r="E152" s="24">
        <v>44838.0</v>
      </c>
      <c r="F152" s="6">
        <v>49.0</v>
      </c>
      <c r="G152" s="9" t="str">
        <f>VLOOKUP(operations[productID],products[],2,FALSE)</f>
        <v>Maxilaku</v>
      </c>
      <c r="H152" s="9" t="str">
        <f>IF(VLOOKUP(operations[productID],products[],7,FALSE)=1,"Discontinued","Current")</f>
        <v>Current</v>
      </c>
      <c r="I152" s="6">
        <f>VLOOKUP(operations[productID],products[],4,FALSE)</f>
        <v>10</v>
      </c>
      <c r="J152" s="6">
        <f>VLOOKUP(operations[productID],products[],5,FALSE)</f>
        <v>60</v>
      </c>
      <c r="K152" s="6">
        <f>VLOOKUP(operations[productID],products[],6,FALSE)</f>
        <v>15</v>
      </c>
      <c r="L152" s="10">
        <f t="array" ref="L152">INDEX('1 orders'!I152:I2156, MATCH(1, ('1 orders'!A152:A2156=A152)*('1 orders'!G152:G2156=F152), 0))
</f>
        <v>30</v>
      </c>
      <c r="M152" s="10">
        <f>IFERROR(__xludf.DUMMYFUNCTION("COUNTUNIQUEIFS($A$2:$A152,$F$2:$F152,F152)"),3.0)</f>
        <v>3</v>
      </c>
      <c r="N152" s="10">
        <f t="shared" si="1"/>
        <v>16</v>
      </c>
      <c r="O152" s="26">
        <f>IF(operations[sinceLastOrder]=0,0,operations[orderQuantity] / operations[sinceLastOrder])</f>
        <v>1.875</v>
      </c>
      <c r="P152" s="9">
        <v>63.79</v>
      </c>
      <c r="Q152" s="7" t="s">
        <v>17</v>
      </c>
      <c r="R152" s="10">
        <f>operations[arrivedDate]-operations[shippedDate]</f>
        <v>17</v>
      </c>
    </row>
    <row r="153" ht="15.75" customHeight="1">
      <c r="A153" s="6">
        <v>10304.0</v>
      </c>
      <c r="B153" s="24">
        <v>44816.0</v>
      </c>
      <c r="C153" s="24">
        <v>44844.0</v>
      </c>
      <c r="D153" s="24">
        <v>44821.0</v>
      </c>
      <c r="E153" s="24">
        <v>44838.0</v>
      </c>
      <c r="F153" s="6">
        <v>59.0</v>
      </c>
      <c r="G153" s="9" t="str">
        <f>VLOOKUP(operations[productID],products[],2,FALSE)</f>
        <v>Raclette Courdavault</v>
      </c>
      <c r="H153" s="9" t="str">
        <f>IF(VLOOKUP(operations[productID],products[],7,FALSE)=1,"Discontinued","Current")</f>
        <v>Current</v>
      </c>
      <c r="I153" s="6">
        <f>VLOOKUP(operations[productID],products[],4,FALSE)</f>
        <v>79</v>
      </c>
      <c r="J153" s="6">
        <f>VLOOKUP(operations[productID],products[],5,FALSE)</f>
        <v>0</v>
      </c>
      <c r="K153" s="6">
        <f>VLOOKUP(operations[productID],products[],6,FALSE)</f>
        <v>0</v>
      </c>
      <c r="L153" s="10">
        <f t="array" ref="L153">INDEX('1 orders'!I153:I2156, MATCH(1, ('1 orders'!A153:A2156=A153)*('1 orders'!G153:G2156=F153), 0))
</f>
        <v>10</v>
      </c>
      <c r="M153" s="10">
        <f>IFERROR(__xludf.DUMMYFUNCTION("COUNTUNIQUEIFS($A$2:$A153,$F$2:$F153,F153)"),6.0)</f>
        <v>6</v>
      </c>
      <c r="N153" s="10">
        <f t="shared" si="1"/>
        <v>7</v>
      </c>
      <c r="O153" s="26">
        <f>IF(operations[sinceLastOrder]=0,0,operations[orderQuantity] / operations[sinceLastOrder])</f>
        <v>1.428571429</v>
      </c>
      <c r="P153" s="9">
        <v>63.79</v>
      </c>
      <c r="Q153" s="7" t="s">
        <v>17</v>
      </c>
      <c r="R153" s="10">
        <f>operations[arrivedDate]-operations[shippedDate]</f>
        <v>17</v>
      </c>
    </row>
    <row r="154" ht="15.75" customHeight="1">
      <c r="A154" s="6">
        <v>10304.0</v>
      </c>
      <c r="B154" s="24">
        <v>44816.0</v>
      </c>
      <c r="C154" s="24">
        <v>44844.0</v>
      </c>
      <c r="D154" s="24">
        <v>44821.0</v>
      </c>
      <c r="E154" s="24">
        <v>44838.0</v>
      </c>
      <c r="F154" s="6">
        <v>71.0</v>
      </c>
      <c r="G154" s="9" t="str">
        <f>VLOOKUP(operations[productID],products[],2,FALSE)</f>
        <v>Flotemysost</v>
      </c>
      <c r="H154" s="9" t="str">
        <f>IF(VLOOKUP(operations[productID],products[],7,FALSE)=1,"Discontinued","Current")</f>
        <v>Current</v>
      </c>
      <c r="I154" s="6">
        <f>VLOOKUP(operations[productID],products[],4,FALSE)</f>
        <v>26</v>
      </c>
      <c r="J154" s="6">
        <f>VLOOKUP(operations[productID],products[],5,FALSE)</f>
        <v>0</v>
      </c>
      <c r="K154" s="6">
        <f>VLOOKUP(operations[productID],products[],6,FALSE)</f>
        <v>0</v>
      </c>
      <c r="L154" s="10">
        <f t="array" ref="L154">INDEX('1 orders'!I154:I2156, MATCH(1, ('1 orders'!A154:A2156=A154)*('1 orders'!G154:G2156=F154), 0))
</f>
        <v>2</v>
      </c>
      <c r="M154" s="10">
        <f>IFERROR(__xludf.DUMMYFUNCTION("COUNTUNIQUEIFS($A$2:$A154,$F$2:$F154,F154)"),2.0)</f>
        <v>2</v>
      </c>
      <c r="N154" s="10">
        <f t="shared" si="1"/>
        <v>37</v>
      </c>
      <c r="O154" s="26">
        <f>IF(operations[sinceLastOrder]=0,0,operations[orderQuantity] / operations[sinceLastOrder])</f>
        <v>0.05405405405</v>
      </c>
      <c r="P154" s="9">
        <v>63.79</v>
      </c>
      <c r="Q154" s="7" t="s">
        <v>17</v>
      </c>
      <c r="R154" s="10">
        <f>operations[arrivedDate]-operations[shippedDate]</f>
        <v>17</v>
      </c>
    </row>
    <row r="155" ht="15.75" customHeight="1">
      <c r="A155" s="6">
        <v>10305.0</v>
      </c>
      <c r="B155" s="24">
        <v>44817.0</v>
      </c>
      <c r="C155" s="24">
        <v>44845.0</v>
      </c>
      <c r="D155" s="24">
        <v>44843.0</v>
      </c>
      <c r="E155" s="24">
        <v>44858.0</v>
      </c>
      <c r="F155" s="6">
        <v>18.0</v>
      </c>
      <c r="G155" s="9" t="str">
        <f>VLOOKUP(operations[productID],products[],2,FALSE)</f>
        <v>Carnarvon Tigers</v>
      </c>
      <c r="H155" s="9" t="str">
        <f>IF(VLOOKUP(operations[productID],products[],7,FALSE)=1,"Discontinued","Current")</f>
        <v>Current</v>
      </c>
      <c r="I155" s="6">
        <f>VLOOKUP(operations[productID],products[],4,FALSE)</f>
        <v>42</v>
      </c>
      <c r="J155" s="6">
        <f>VLOOKUP(operations[productID],products[],5,FALSE)</f>
        <v>0</v>
      </c>
      <c r="K155" s="6">
        <f>VLOOKUP(operations[productID],products[],6,FALSE)</f>
        <v>0</v>
      </c>
      <c r="L155" s="10">
        <f t="array" ref="L155">INDEX('1 orders'!I155:I2156, MATCH(1, ('1 orders'!A155:A2156=A155)*('1 orders'!G155:G2156=F155), 0))
</f>
        <v>25</v>
      </c>
      <c r="M155" s="10">
        <f>IFERROR(__xludf.DUMMYFUNCTION("COUNTUNIQUEIFS($A$2:$A155,$F$2:$F155,F155)"),2.0)</f>
        <v>2</v>
      </c>
      <c r="N155" s="10">
        <f t="shared" si="1"/>
        <v>15</v>
      </c>
      <c r="O155" s="26">
        <f>IF(operations[sinceLastOrder]=0,0,operations[orderQuantity] / operations[sinceLastOrder])</f>
        <v>1.666666667</v>
      </c>
      <c r="P155" s="9">
        <v>257.62</v>
      </c>
      <c r="Q155" s="7" t="s">
        <v>13</v>
      </c>
      <c r="R155" s="10">
        <f>operations[arrivedDate]-operations[shippedDate]</f>
        <v>15</v>
      </c>
    </row>
    <row r="156" ht="15.75" customHeight="1">
      <c r="A156" s="6">
        <v>10305.0</v>
      </c>
      <c r="B156" s="24">
        <v>44817.0</v>
      </c>
      <c r="C156" s="24">
        <v>44845.0</v>
      </c>
      <c r="D156" s="24">
        <v>44843.0</v>
      </c>
      <c r="E156" s="24">
        <v>44858.0</v>
      </c>
      <c r="F156" s="6">
        <v>29.0</v>
      </c>
      <c r="G156" s="9" t="str">
        <f>VLOOKUP(operations[productID],products[],2,FALSE)</f>
        <v>Thüringer Rostbratwurst</v>
      </c>
      <c r="H156" s="9" t="str">
        <f>IF(VLOOKUP(operations[productID],products[],7,FALSE)=1,"Discontinued","Current")</f>
        <v>Discontinued</v>
      </c>
      <c r="I156" s="6">
        <f>VLOOKUP(operations[productID],products[],4,FALSE)</f>
        <v>0</v>
      </c>
      <c r="J156" s="6">
        <f>VLOOKUP(operations[productID],products[],5,FALSE)</f>
        <v>0</v>
      </c>
      <c r="K156" s="6">
        <f>VLOOKUP(operations[productID],products[],6,FALSE)</f>
        <v>0</v>
      </c>
      <c r="L156" s="10">
        <f t="array" ref="L156">INDEX('1 orders'!I156:I2156, MATCH(1, ('1 orders'!A156:A2156=A156)*('1 orders'!G156:G2156=F156), 0))
</f>
        <v>25</v>
      </c>
      <c r="M156" s="10">
        <f>IFERROR(__xludf.DUMMYFUNCTION("COUNTUNIQUEIFS($A$2:$A156,$F$2:$F156,F156)"),3.0)</f>
        <v>3</v>
      </c>
      <c r="N156" s="10">
        <f t="shared" si="1"/>
        <v>17</v>
      </c>
      <c r="O156" s="26">
        <f>IF(operations[sinceLastOrder]=0,0,operations[orderQuantity] / operations[sinceLastOrder])</f>
        <v>1.470588235</v>
      </c>
      <c r="P156" s="9">
        <v>257.62</v>
      </c>
      <c r="Q156" s="7" t="s">
        <v>13</v>
      </c>
      <c r="R156" s="10">
        <f>operations[arrivedDate]-operations[shippedDate]</f>
        <v>15</v>
      </c>
    </row>
    <row r="157" ht="15.75" customHeight="1">
      <c r="A157" s="6">
        <v>10305.0</v>
      </c>
      <c r="B157" s="24">
        <v>44817.0</v>
      </c>
      <c r="C157" s="24">
        <v>44845.0</v>
      </c>
      <c r="D157" s="24">
        <v>44843.0</v>
      </c>
      <c r="E157" s="24">
        <v>44858.0</v>
      </c>
      <c r="F157" s="6">
        <v>39.0</v>
      </c>
      <c r="G157" s="9" t="str">
        <f>VLOOKUP(operations[productID],products[],2,FALSE)</f>
        <v>Chartreuse verte</v>
      </c>
      <c r="H157" s="9" t="str">
        <f>IF(VLOOKUP(operations[productID],products[],7,FALSE)=1,"Discontinued","Current")</f>
        <v>Current</v>
      </c>
      <c r="I157" s="6">
        <f>VLOOKUP(operations[productID],products[],4,FALSE)</f>
        <v>69</v>
      </c>
      <c r="J157" s="6">
        <f>VLOOKUP(operations[productID],products[],5,FALSE)</f>
        <v>0</v>
      </c>
      <c r="K157" s="6">
        <f>VLOOKUP(operations[productID],products[],6,FALSE)</f>
        <v>5</v>
      </c>
      <c r="L157" s="10">
        <f t="array" ref="L157">INDEX('1 orders'!I157:I2156, MATCH(1, ('1 orders'!A157:A2156=A157)*('1 orders'!G157:G2156=F157), 0))
</f>
        <v>30</v>
      </c>
      <c r="M157" s="10">
        <f>IFERROR(__xludf.DUMMYFUNCTION("COUNTUNIQUEIFS($A$2:$A157,$F$2:$F157,F157)"),4.0)</f>
        <v>4</v>
      </c>
      <c r="N157" s="10">
        <f t="shared" si="1"/>
        <v>9</v>
      </c>
      <c r="O157" s="26">
        <f>IF(operations[sinceLastOrder]=0,0,operations[orderQuantity] / operations[sinceLastOrder])</f>
        <v>3.333333333</v>
      </c>
      <c r="P157" s="9">
        <v>257.62</v>
      </c>
      <c r="Q157" s="7" t="s">
        <v>13</v>
      </c>
      <c r="R157" s="10">
        <f>operations[arrivedDate]-operations[shippedDate]</f>
        <v>15</v>
      </c>
    </row>
    <row r="158" ht="15.75" customHeight="1">
      <c r="A158" s="6">
        <v>10306.0</v>
      </c>
      <c r="B158" s="24">
        <v>44820.0</v>
      </c>
      <c r="C158" s="24">
        <v>44848.0</v>
      </c>
      <c r="D158" s="24">
        <v>44827.0</v>
      </c>
      <c r="E158" s="24">
        <v>44838.0</v>
      </c>
      <c r="F158" s="6">
        <v>30.0</v>
      </c>
      <c r="G158" s="9" t="str">
        <f>VLOOKUP(operations[productID],products[],2,FALSE)</f>
        <v>Nord-Ost Matjeshering</v>
      </c>
      <c r="H158" s="9" t="str">
        <f>IF(VLOOKUP(operations[productID],products[],7,FALSE)=1,"Discontinued","Current")</f>
        <v>Current</v>
      </c>
      <c r="I158" s="6">
        <f>VLOOKUP(operations[productID],products[],4,FALSE)</f>
        <v>10</v>
      </c>
      <c r="J158" s="6">
        <f>VLOOKUP(operations[productID],products[],5,FALSE)</f>
        <v>0</v>
      </c>
      <c r="K158" s="6">
        <f>VLOOKUP(operations[productID],products[],6,FALSE)</f>
        <v>15</v>
      </c>
      <c r="L158" s="10">
        <f t="array" ref="L158">INDEX('1 orders'!I158:I2156, MATCH(1, ('1 orders'!A158:A2156=A158)*('1 orders'!G158:G2156=F158), 0))
</f>
        <v>10</v>
      </c>
      <c r="M158" s="10">
        <f>IFERROR(__xludf.DUMMYFUNCTION("COUNTUNIQUEIFS($A$2:$A158,$F$2:$F158,F158)"),3.0)</f>
        <v>3</v>
      </c>
      <c r="N158" s="10">
        <f t="shared" si="1"/>
        <v>32</v>
      </c>
      <c r="O158" s="26">
        <f>IF(operations[sinceLastOrder]=0,0,operations[orderQuantity] / operations[sinceLastOrder])</f>
        <v>0.3125</v>
      </c>
      <c r="P158" s="9">
        <v>7.56</v>
      </c>
      <c r="Q158" s="7" t="s">
        <v>13</v>
      </c>
      <c r="R158" s="10">
        <f>operations[arrivedDate]-operations[shippedDate]</f>
        <v>11</v>
      </c>
    </row>
    <row r="159" ht="15.75" customHeight="1">
      <c r="A159" s="6">
        <v>10306.0</v>
      </c>
      <c r="B159" s="24">
        <v>44820.0</v>
      </c>
      <c r="C159" s="24">
        <v>44848.0</v>
      </c>
      <c r="D159" s="24">
        <v>44827.0</v>
      </c>
      <c r="E159" s="24">
        <v>44838.0</v>
      </c>
      <c r="F159" s="6">
        <v>53.0</v>
      </c>
      <c r="G159" s="9" t="str">
        <f>VLOOKUP(operations[productID],products[],2,FALSE)</f>
        <v>Perth Pasties</v>
      </c>
      <c r="H159" s="9" t="str">
        <f>IF(VLOOKUP(operations[productID],products[],7,FALSE)=1,"Discontinued","Current")</f>
        <v>Discontinued</v>
      </c>
      <c r="I159" s="6">
        <f>VLOOKUP(operations[productID],products[],4,FALSE)</f>
        <v>0</v>
      </c>
      <c r="J159" s="6">
        <f>VLOOKUP(operations[productID],products[],5,FALSE)</f>
        <v>0</v>
      </c>
      <c r="K159" s="6">
        <f>VLOOKUP(operations[productID],products[],6,FALSE)</f>
        <v>0</v>
      </c>
      <c r="L159" s="10">
        <f t="array" ref="L159">INDEX('1 orders'!I159:I2156, MATCH(1, ('1 orders'!A159:A2156=A159)*('1 orders'!G159:G2156=F159), 0))
</f>
        <v>10</v>
      </c>
      <c r="M159" s="10">
        <f>IFERROR(__xludf.DUMMYFUNCTION("COUNTUNIQUEIFS($A$2:$A159,$F$2:$F159,F159)"),3.0)</f>
        <v>3</v>
      </c>
      <c r="N159" s="10">
        <f t="shared" si="1"/>
        <v>27</v>
      </c>
      <c r="O159" s="26">
        <f>IF(operations[sinceLastOrder]=0,0,operations[orderQuantity] / operations[sinceLastOrder])</f>
        <v>0.3703703704</v>
      </c>
      <c r="P159" s="9">
        <v>7.56</v>
      </c>
      <c r="Q159" s="7" t="s">
        <v>13</v>
      </c>
      <c r="R159" s="10">
        <f>operations[arrivedDate]-operations[shippedDate]</f>
        <v>11</v>
      </c>
    </row>
    <row r="160" ht="15.75" customHeight="1">
      <c r="A160" s="6">
        <v>10306.0</v>
      </c>
      <c r="B160" s="24">
        <v>44820.0</v>
      </c>
      <c r="C160" s="24">
        <v>44848.0</v>
      </c>
      <c r="D160" s="24">
        <v>44827.0</v>
      </c>
      <c r="E160" s="24">
        <v>44838.0</v>
      </c>
      <c r="F160" s="6">
        <v>54.0</v>
      </c>
      <c r="G160" s="9" t="str">
        <f>VLOOKUP(operations[productID],products[],2,FALSE)</f>
        <v>Tourtière</v>
      </c>
      <c r="H160" s="9" t="str">
        <f>IF(VLOOKUP(operations[productID],products[],7,FALSE)=1,"Discontinued","Current")</f>
        <v>Current</v>
      </c>
      <c r="I160" s="6">
        <f>VLOOKUP(operations[productID],products[],4,FALSE)</f>
        <v>21</v>
      </c>
      <c r="J160" s="6">
        <f>VLOOKUP(operations[productID],products[],5,FALSE)</f>
        <v>0</v>
      </c>
      <c r="K160" s="6">
        <f>VLOOKUP(operations[productID],products[],6,FALSE)</f>
        <v>10</v>
      </c>
      <c r="L160" s="10">
        <f t="array" ref="L160">INDEX('1 orders'!I160:I2156, MATCH(1, ('1 orders'!A160:A2156=A160)*('1 orders'!G160:G2156=F160), 0))
</f>
        <v>5</v>
      </c>
      <c r="M160" s="10">
        <f>IFERROR(__xludf.DUMMYFUNCTION("COUNTUNIQUEIFS($A$2:$A160,$F$2:$F160,F160)"),2.0)</f>
        <v>2</v>
      </c>
      <c r="N160" s="10">
        <f t="shared" si="1"/>
        <v>24</v>
      </c>
      <c r="O160" s="26">
        <f>IF(operations[sinceLastOrder]=0,0,operations[orderQuantity] / operations[sinceLastOrder])</f>
        <v>0.2083333333</v>
      </c>
      <c r="P160" s="9">
        <v>7.56</v>
      </c>
      <c r="Q160" s="7" t="s">
        <v>13</v>
      </c>
      <c r="R160" s="10">
        <f>operations[arrivedDate]-operations[shippedDate]</f>
        <v>11</v>
      </c>
    </row>
    <row r="161" ht="15.75" customHeight="1">
      <c r="A161" s="6">
        <v>10307.0</v>
      </c>
      <c r="B161" s="24">
        <v>44821.0</v>
      </c>
      <c r="C161" s="24">
        <v>44849.0</v>
      </c>
      <c r="D161" s="24">
        <v>44829.0</v>
      </c>
      <c r="E161" s="24">
        <v>44844.0</v>
      </c>
      <c r="F161" s="6">
        <v>62.0</v>
      </c>
      <c r="G161" s="9" t="str">
        <f>VLOOKUP(operations[productID],products[],2,FALSE)</f>
        <v>Tarte au sucre</v>
      </c>
      <c r="H161" s="9" t="str">
        <f>IF(VLOOKUP(operations[productID],products[],7,FALSE)=1,"Discontinued","Current")</f>
        <v>Current</v>
      </c>
      <c r="I161" s="6">
        <f>VLOOKUP(operations[productID],products[],4,FALSE)</f>
        <v>17</v>
      </c>
      <c r="J161" s="6">
        <f>VLOOKUP(operations[productID],products[],5,FALSE)</f>
        <v>0</v>
      </c>
      <c r="K161" s="6">
        <f>VLOOKUP(operations[productID],products[],6,FALSE)</f>
        <v>0</v>
      </c>
      <c r="L161" s="10">
        <f t="array" ref="L161">INDEX('1 orders'!I161:I2156, MATCH(1, ('1 orders'!A161:A2156=A161)*('1 orders'!G161:G2156=F161), 0))
</f>
        <v>10</v>
      </c>
      <c r="M161" s="10">
        <f>IFERROR(__xludf.DUMMYFUNCTION("COUNTUNIQUEIFS($A$2:$A161,$F$2:$F161,F161)"),5.0)</f>
        <v>5</v>
      </c>
      <c r="N161" s="10">
        <f t="shared" si="1"/>
        <v>12</v>
      </c>
      <c r="O161" s="26">
        <f>IF(operations[sinceLastOrder]=0,0,operations[orderQuantity] / operations[sinceLastOrder])</f>
        <v>0.8333333333</v>
      </c>
      <c r="P161" s="9">
        <v>0.56</v>
      </c>
      <c r="Q161" s="7" t="s">
        <v>17</v>
      </c>
      <c r="R161" s="10">
        <f>operations[arrivedDate]-operations[shippedDate]</f>
        <v>15</v>
      </c>
    </row>
    <row r="162" ht="15.75" customHeight="1">
      <c r="A162" s="6">
        <v>10307.0</v>
      </c>
      <c r="B162" s="24">
        <v>44821.0</v>
      </c>
      <c r="C162" s="24">
        <v>44849.0</v>
      </c>
      <c r="D162" s="24">
        <v>44829.0</v>
      </c>
      <c r="E162" s="24">
        <v>44844.0</v>
      </c>
      <c r="F162" s="6">
        <v>68.0</v>
      </c>
      <c r="G162" s="9" t="str">
        <f>VLOOKUP(operations[productID],products[],2,FALSE)</f>
        <v>Scottish Longbreads</v>
      </c>
      <c r="H162" s="9" t="str">
        <f>IF(VLOOKUP(operations[productID],products[],7,FALSE)=1,"Discontinued","Current")</f>
        <v>Current</v>
      </c>
      <c r="I162" s="6">
        <f>VLOOKUP(operations[productID],products[],4,FALSE)</f>
        <v>6</v>
      </c>
      <c r="J162" s="6">
        <f>VLOOKUP(operations[productID],products[],5,FALSE)</f>
        <v>10</v>
      </c>
      <c r="K162" s="6">
        <f>VLOOKUP(operations[productID],products[],6,FALSE)</f>
        <v>15</v>
      </c>
      <c r="L162" s="10">
        <f t="array" ref="L162">INDEX('1 orders'!I162:I2156, MATCH(1, ('1 orders'!A162:A2156=A162)*('1 orders'!G162:G2156=F162), 0))
</f>
        <v>3</v>
      </c>
      <c r="M162" s="10">
        <f>IFERROR(__xludf.DUMMYFUNCTION("COUNTUNIQUEIFS($A$2:$A162,$F$2:$F162,F162)"),4.0)</f>
        <v>4</v>
      </c>
      <c r="N162" s="10">
        <f t="shared" si="1"/>
        <v>6</v>
      </c>
      <c r="O162" s="26">
        <f>IF(operations[sinceLastOrder]=0,0,operations[orderQuantity] / operations[sinceLastOrder])</f>
        <v>0.5</v>
      </c>
      <c r="P162" s="9">
        <v>0.56</v>
      </c>
      <c r="Q162" s="7" t="s">
        <v>17</v>
      </c>
      <c r="R162" s="10">
        <f>operations[arrivedDate]-operations[shippedDate]</f>
        <v>15</v>
      </c>
    </row>
    <row r="163" ht="15.75" customHeight="1">
      <c r="A163" s="6">
        <v>10308.0</v>
      </c>
      <c r="B163" s="24">
        <v>44822.0</v>
      </c>
      <c r="C163" s="24">
        <v>44850.0</v>
      </c>
      <c r="D163" s="24">
        <v>44828.0</v>
      </c>
      <c r="E163" s="24">
        <v>44841.0</v>
      </c>
      <c r="F163" s="6">
        <v>69.0</v>
      </c>
      <c r="G163" s="9" t="str">
        <f>VLOOKUP(operations[productID],products[],2,FALSE)</f>
        <v>Gudbrandsdalsost</v>
      </c>
      <c r="H163" s="9" t="str">
        <f>IF(VLOOKUP(operations[productID],products[],7,FALSE)=1,"Discontinued","Current")</f>
        <v>Current</v>
      </c>
      <c r="I163" s="6">
        <f>VLOOKUP(operations[productID],products[],4,FALSE)</f>
        <v>26</v>
      </c>
      <c r="J163" s="6">
        <f>VLOOKUP(operations[productID],products[],5,FALSE)</f>
        <v>0</v>
      </c>
      <c r="K163" s="6">
        <f>VLOOKUP(operations[productID],products[],6,FALSE)</f>
        <v>15</v>
      </c>
      <c r="L163" s="10">
        <f t="array" ref="L163">INDEX('1 orders'!I163:I2156, MATCH(1, ('1 orders'!A163:A2156=A163)*('1 orders'!G163:G2156=F163), 0))
</f>
        <v>1</v>
      </c>
      <c r="M163" s="10">
        <f>IFERROR(__xludf.DUMMYFUNCTION("COUNTUNIQUEIFS($A$2:$A163,$F$2:$F163,F163)"),2.0)</f>
        <v>2</v>
      </c>
      <c r="N163" s="10">
        <f t="shared" si="1"/>
        <v>15</v>
      </c>
      <c r="O163" s="26">
        <f>IF(operations[sinceLastOrder]=0,0,operations[orderQuantity] / operations[sinceLastOrder])</f>
        <v>0.06666666667</v>
      </c>
      <c r="P163" s="9">
        <v>1.61</v>
      </c>
      <c r="Q163" s="7" t="s">
        <v>13</v>
      </c>
      <c r="R163" s="10">
        <f>operations[arrivedDate]-operations[shippedDate]</f>
        <v>13</v>
      </c>
    </row>
    <row r="164" ht="15.75" customHeight="1">
      <c r="A164" s="6">
        <v>10308.0</v>
      </c>
      <c r="B164" s="24">
        <v>44822.0</v>
      </c>
      <c r="C164" s="24">
        <v>44850.0</v>
      </c>
      <c r="D164" s="24">
        <v>44828.0</v>
      </c>
      <c r="E164" s="24">
        <v>44841.0</v>
      </c>
      <c r="F164" s="6">
        <v>70.0</v>
      </c>
      <c r="G164" s="9" t="str">
        <f>VLOOKUP(operations[productID],products[],2,FALSE)</f>
        <v>Outback Lager</v>
      </c>
      <c r="H164" s="9" t="str">
        <f>IF(VLOOKUP(operations[productID],products[],7,FALSE)=1,"Discontinued","Current")</f>
        <v>Current</v>
      </c>
      <c r="I164" s="6">
        <f>VLOOKUP(operations[productID],products[],4,FALSE)</f>
        <v>15</v>
      </c>
      <c r="J164" s="6">
        <f>VLOOKUP(operations[productID],products[],5,FALSE)</f>
        <v>10</v>
      </c>
      <c r="K164" s="6">
        <f>VLOOKUP(operations[productID],products[],6,FALSE)</f>
        <v>30</v>
      </c>
      <c r="L164" s="10">
        <f t="array" ref="L164">INDEX('1 orders'!I164:I2156, MATCH(1, ('1 orders'!A164:A2156=A164)*('1 orders'!G164:G2156=F164), 0))
</f>
        <v>5</v>
      </c>
      <c r="M164" s="10">
        <f>IFERROR(__xludf.DUMMYFUNCTION("COUNTUNIQUEIFS($A$2:$A164,$F$2:$F164,F164)"),4.0)</f>
        <v>4</v>
      </c>
      <c r="N164" s="10">
        <f t="shared" si="1"/>
        <v>12</v>
      </c>
      <c r="O164" s="26">
        <f>IF(operations[sinceLastOrder]=0,0,operations[orderQuantity] / operations[sinceLastOrder])</f>
        <v>0.4166666667</v>
      </c>
      <c r="P164" s="9">
        <v>1.61</v>
      </c>
      <c r="Q164" s="7" t="s">
        <v>13</v>
      </c>
      <c r="R164" s="10">
        <f>operations[arrivedDate]-operations[shippedDate]</f>
        <v>13</v>
      </c>
    </row>
    <row r="165" ht="15.75" customHeight="1">
      <c r="A165" s="6">
        <v>10309.0</v>
      </c>
      <c r="B165" s="24">
        <v>44823.0</v>
      </c>
      <c r="C165" s="24">
        <v>44851.0</v>
      </c>
      <c r="D165" s="24">
        <v>44857.0</v>
      </c>
      <c r="E165" s="24">
        <v>44867.0</v>
      </c>
      <c r="F165" s="6">
        <v>4.0</v>
      </c>
      <c r="G165" s="9" t="str">
        <f>VLOOKUP(operations[productID],products[],2,FALSE)</f>
        <v>Chef Anton's Cajun Seasoning</v>
      </c>
      <c r="H165" s="9" t="str">
        <f>IF(VLOOKUP(operations[productID],products[],7,FALSE)=1,"Discontinued","Current")</f>
        <v>Current</v>
      </c>
      <c r="I165" s="6">
        <f>VLOOKUP(operations[productID],products[],4,FALSE)</f>
        <v>53</v>
      </c>
      <c r="J165" s="6">
        <f>VLOOKUP(operations[productID],products[],5,FALSE)</f>
        <v>0</v>
      </c>
      <c r="K165" s="6">
        <f>VLOOKUP(operations[productID],products[],6,FALSE)</f>
        <v>0</v>
      </c>
      <c r="L165" s="10">
        <f t="array" ref="L165">INDEX('1 orders'!I165:I2156, MATCH(1, ('1 orders'!A165:A2156=A165)*('1 orders'!G165:G2156=F165), 0))
</f>
        <v>20</v>
      </c>
      <c r="M165" s="10">
        <f>IFERROR(__xludf.DUMMYFUNCTION("COUNTUNIQUEIFS($A$2:$A165,$F$2:$F165,F165)"),1.0)</f>
        <v>1</v>
      </c>
      <c r="N165" s="10">
        <f t="shared" si="1"/>
        <v>0</v>
      </c>
      <c r="O165" s="26">
        <f>IF(operations[sinceLastOrder]=0,0,operations[orderQuantity] / operations[sinceLastOrder])</f>
        <v>0</v>
      </c>
      <c r="P165" s="9">
        <v>47.3</v>
      </c>
      <c r="Q165" s="7" t="s">
        <v>15</v>
      </c>
      <c r="R165" s="10">
        <f>operations[arrivedDate]-operations[shippedDate]</f>
        <v>10</v>
      </c>
    </row>
    <row r="166" ht="15.75" customHeight="1">
      <c r="A166" s="6">
        <v>10309.0</v>
      </c>
      <c r="B166" s="24">
        <v>44823.0</v>
      </c>
      <c r="C166" s="24">
        <v>44851.0</v>
      </c>
      <c r="D166" s="24">
        <v>44857.0</v>
      </c>
      <c r="E166" s="24">
        <v>44867.0</v>
      </c>
      <c r="F166" s="6">
        <v>6.0</v>
      </c>
      <c r="G166" s="9" t="str">
        <f>VLOOKUP(operations[productID],products[],2,FALSE)</f>
        <v>Grandma's Boysenberry Spread</v>
      </c>
      <c r="H166" s="9" t="str">
        <f>IF(VLOOKUP(operations[productID],products[],7,FALSE)=1,"Discontinued","Current")</f>
        <v>Current</v>
      </c>
      <c r="I166" s="6">
        <f>VLOOKUP(operations[productID],products[],4,FALSE)</f>
        <v>120</v>
      </c>
      <c r="J166" s="6">
        <f>VLOOKUP(operations[productID],products[],5,FALSE)</f>
        <v>0</v>
      </c>
      <c r="K166" s="6">
        <f>VLOOKUP(operations[productID],products[],6,FALSE)</f>
        <v>25</v>
      </c>
      <c r="L166" s="10">
        <f t="array" ref="L166">INDEX('1 orders'!I166:I2156, MATCH(1, ('1 orders'!A166:A2156=A166)*('1 orders'!G166:G2156=F166), 0))
</f>
        <v>30</v>
      </c>
      <c r="M166" s="10">
        <f>IFERROR(__xludf.DUMMYFUNCTION("COUNTUNIQUEIFS($A$2:$A166,$F$2:$F166,F166)"),1.0)</f>
        <v>1</v>
      </c>
      <c r="N166" s="10">
        <f t="shared" si="1"/>
        <v>0</v>
      </c>
      <c r="O166" s="26">
        <f>IF(operations[sinceLastOrder]=0,0,operations[orderQuantity] / operations[sinceLastOrder])</f>
        <v>0</v>
      </c>
      <c r="P166" s="9">
        <v>47.3</v>
      </c>
      <c r="Q166" s="7" t="s">
        <v>15</v>
      </c>
      <c r="R166" s="10">
        <f>operations[arrivedDate]-operations[shippedDate]</f>
        <v>10</v>
      </c>
    </row>
    <row r="167" ht="15.75" customHeight="1">
      <c r="A167" s="6">
        <v>10309.0</v>
      </c>
      <c r="B167" s="24">
        <v>44823.0</v>
      </c>
      <c r="C167" s="24">
        <v>44851.0</v>
      </c>
      <c r="D167" s="24">
        <v>44857.0</v>
      </c>
      <c r="E167" s="24">
        <v>44867.0</v>
      </c>
      <c r="F167" s="6">
        <v>42.0</v>
      </c>
      <c r="G167" s="9" t="str">
        <f>VLOOKUP(operations[productID],products[],2,FALSE)</f>
        <v>Singaporean Hokkien Fried Mee</v>
      </c>
      <c r="H167" s="9" t="str">
        <f>IF(VLOOKUP(operations[productID],products[],7,FALSE)=1,"Discontinued","Current")</f>
        <v>Discontinued</v>
      </c>
      <c r="I167" s="6">
        <f>VLOOKUP(operations[productID],products[],4,FALSE)</f>
        <v>26</v>
      </c>
      <c r="J167" s="6">
        <f>VLOOKUP(operations[productID],products[],5,FALSE)</f>
        <v>0</v>
      </c>
      <c r="K167" s="6">
        <f>VLOOKUP(operations[productID],products[],6,FALSE)</f>
        <v>0</v>
      </c>
      <c r="L167" s="10">
        <f t="array" ref="L167">INDEX('1 orders'!I167:I2156, MATCH(1, ('1 orders'!A167:A2156=A167)*('1 orders'!G167:G2156=F167), 0))
</f>
        <v>2</v>
      </c>
      <c r="M167" s="10">
        <f>IFERROR(__xludf.DUMMYFUNCTION("COUNTUNIQUEIFS($A$2:$A167,$F$2:$F167,F167)"),2.0)</f>
        <v>2</v>
      </c>
      <c r="N167" s="10">
        <f t="shared" si="1"/>
        <v>77</v>
      </c>
      <c r="O167" s="26">
        <f>IF(operations[sinceLastOrder]=0,0,operations[orderQuantity] / operations[sinceLastOrder])</f>
        <v>0.02597402597</v>
      </c>
      <c r="P167" s="9">
        <v>47.3</v>
      </c>
      <c r="Q167" s="7" t="s">
        <v>15</v>
      </c>
      <c r="R167" s="10">
        <f>operations[arrivedDate]-operations[shippedDate]</f>
        <v>10</v>
      </c>
    </row>
    <row r="168" ht="15.75" customHeight="1">
      <c r="A168" s="6">
        <v>10309.0</v>
      </c>
      <c r="B168" s="24">
        <v>44823.0</v>
      </c>
      <c r="C168" s="24">
        <v>44851.0</v>
      </c>
      <c r="D168" s="24">
        <v>44857.0</v>
      </c>
      <c r="E168" s="24">
        <v>44867.0</v>
      </c>
      <c r="F168" s="6">
        <v>43.0</v>
      </c>
      <c r="G168" s="9" t="str">
        <f>VLOOKUP(operations[productID],products[],2,FALSE)</f>
        <v>Ipoh Coffee</v>
      </c>
      <c r="H168" s="9" t="str">
        <f>IF(VLOOKUP(operations[productID],products[],7,FALSE)=1,"Discontinued","Current")</f>
        <v>Current</v>
      </c>
      <c r="I168" s="6">
        <f>VLOOKUP(operations[productID],products[],4,FALSE)</f>
        <v>17</v>
      </c>
      <c r="J168" s="6">
        <f>VLOOKUP(operations[productID],products[],5,FALSE)</f>
        <v>10</v>
      </c>
      <c r="K168" s="6">
        <f>VLOOKUP(operations[productID],products[],6,FALSE)</f>
        <v>25</v>
      </c>
      <c r="L168" s="10">
        <f t="array" ref="L168">INDEX('1 orders'!I168:I2156, MATCH(1, ('1 orders'!A168:A2156=A168)*('1 orders'!G168:G2156=F168), 0))
</f>
        <v>20</v>
      </c>
      <c r="M168" s="10">
        <f>IFERROR(__xludf.DUMMYFUNCTION("COUNTUNIQUEIFS($A$2:$A168,$F$2:$F168,F168)"),4.0)</f>
        <v>4</v>
      </c>
      <c r="N168" s="10">
        <f t="shared" si="1"/>
        <v>9</v>
      </c>
      <c r="O168" s="26">
        <f>IF(operations[sinceLastOrder]=0,0,operations[orderQuantity] / operations[sinceLastOrder])</f>
        <v>2.222222222</v>
      </c>
      <c r="P168" s="9">
        <v>47.3</v>
      </c>
      <c r="Q168" s="7" t="s">
        <v>15</v>
      </c>
      <c r="R168" s="10">
        <f>operations[arrivedDate]-operations[shippedDate]</f>
        <v>10</v>
      </c>
    </row>
    <row r="169" ht="15.75" customHeight="1">
      <c r="A169" s="6">
        <v>10309.0</v>
      </c>
      <c r="B169" s="24">
        <v>44823.0</v>
      </c>
      <c r="C169" s="24">
        <v>44851.0</v>
      </c>
      <c r="D169" s="24">
        <v>44857.0</v>
      </c>
      <c r="E169" s="24">
        <v>44867.0</v>
      </c>
      <c r="F169" s="6">
        <v>71.0</v>
      </c>
      <c r="G169" s="9" t="str">
        <f>VLOOKUP(operations[productID],products[],2,FALSE)</f>
        <v>Flotemysost</v>
      </c>
      <c r="H169" s="9" t="str">
        <f>IF(VLOOKUP(operations[productID],products[],7,FALSE)=1,"Discontinued","Current")</f>
        <v>Current</v>
      </c>
      <c r="I169" s="6">
        <f>VLOOKUP(operations[productID],products[],4,FALSE)</f>
        <v>26</v>
      </c>
      <c r="J169" s="6">
        <f>VLOOKUP(operations[productID],products[],5,FALSE)</f>
        <v>0</v>
      </c>
      <c r="K169" s="6">
        <f>VLOOKUP(operations[productID],products[],6,FALSE)</f>
        <v>0</v>
      </c>
      <c r="L169" s="10">
        <f t="array" ref="L169">INDEX('1 orders'!I169:I2156, MATCH(1, ('1 orders'!A169:A2156=A169)*('1 orders'!G169:G2156=F169), 0))
</f>
        <v>3</v>
      </c>
      <c r="M169" s="10">
        <f>IFERROR(__xludf.DUMMYFUNCTION("COUNTUNIQUEIFS($A$2:$A169,$F$2:$F169,F169)"),3.0)</f>
        <v>3</v>
      </c>
      <c r="N169" s="10">
        <f t="shared" si="1"/>
        <v>7</v>
      </c>
      <c r="O169" s="26">
        <f>IF(operations[sinceLastOrder]=0,0,operations[orderQuantity] / operations[sinceLastOrder])</f>
        <v>0.4285714286</v>
      </c>
      <c r="P169" s="9">
        <v>47.3</v>
      </c>
      <c r="Q169" s="7" t="s">
        <v>15</v>
      </c>
      <c r="R169" s="10">
        <f>operations[arrivedDate]-operations[shippedDate]</f>
        <v>10</v>
      </c>
    </row>
    <row r="170" ht="15.75" customHeight="1">
      <c r="A170" s="6">
        <v>10310.0</v>
      </c>
      <c r="B170" s="24">
        <v>44824.0</v>
      </c>
      <c r="C170" s="24">
        <v>44852.0</v>
      </c>
      <c r="D170" s="24">
        <v>44831.0</v>
      </c>
      <c r="E170" s="24">
        <v>44848.0</v>
      </c>
      <c r="F170" s="6">
        <v>16.0</v>
      </c>
      <c r="G170" s="9" t="str">
        <f>VLOOKUP(operations[productID],products[],2,FALSE)</f>
        <v>Pavlova</v>
      </c>
      <c r="H170" s="9" t="str">
        <f>IF(VLOOKUP(operations[productID],products[],7,FALSE)=1,"Discontinued","Current")</f>
        <v>Current</v>
      </c>
      <c r="I170" s="6">
        <f>VLOOKUP(operations[productID],products[],4,FALSE)</f>
        <v>29</v>
      </c>
      <c r="J170" s="6">
        <f>VLOOKUP(operations[productID],products[],5,FALSE)</f>
        <v>0</v>
      </c>
      <c r="K170" s="6">
        <f>VLOOKUP(operations[productID],products[],6,FALSE)</f>
        <v>10</v>
      </c>
      <c r="L170" s="10">
        <f t="array" ref="L170">INDEX('1 orders'!I170:I2156, MATCH(1, ('1 orders'!A170:A2156=A170)*('1 orders'!G170:G2156=F170), 0))
</f>
        <v>10</v>
      </c>
      <c r="M170" s="10">
        <f>IFERROR(__xludf.DUMMYFUNCTION("COUNTUNIQUEIFS($A$2:$A170,$F$2:$F170,F170)"),5.0)</f>
        <v>5</v>
      </c>
      <c r="N170" s="10">
        <f t="shared" si="1"/>
        <v>17</v>
      </c>
      <c r="O170" s="26">
        <f>IF(operations[sinceLastOrder]=0,0,operations[orderQuantity] / operations[sinceLastOrder])</f>
        <v>0.5882352941</v>
      </c>
      <c r="P170" s="9">
        <v>17.52</v>
      </c>
      <c r="Q170" s="7" t="s">
        <v>17</v>
      </c>
      <c r="R170" s="10">
        <f>operations[arrivedDate]-operations[shippedDate]</f>
        <v>17</v>
      </c>
    </row>
    <row r="171" ht="15.75" customHeight="1">
      <c r="A171" s="6">
        <v>10310.0</v>
      </c>
      <c r="B171" s="24">
        <v>44824.0</v>
      </c>
      <c r="C171" s="24">
        <v>44852.0</v>
      </c>
      <c r="D171" s="24">
        <v>44831.0</v>
      </c>
      <c r="E171" s="24">
        <v>44848.0</v>
      </c>
      <c r="F171" s="6">
        <v>62.0</v>
      </c>
      <c r="G171" s="9" t="str">
        <f>VLOOKUP(operations[productID],products[],2,FALSE)</f>
        <v>Tarte au sucre</v>
      </c>
      <c r="H171" s="9" t="str">
        <f>IF(VLOOKUP(operations[productID],products[],7,FALSE)=1,"Discontinued","Current")</f>
        <v>Current</v>
      </c>
      <c r="I171" s="6">
        <f>VLOOKUP(operations[productID],products[],4,FALSE)</f>
        <v>17</v>
      </c>
      <c r="J171" s="6">
        <f>VLOOKUP(operations[productID],products[],5,FALSE)</f>
        <v>0</v>
      </c>
      <c r="K171" s="6">
        <f>VLOOKUP(operations[productID],products[],6,FALSE)</f>
        <v>0</v>
      </c>
      <c r="L171" s="10">
        <f t="array" ref="L171">INDEX('1 orders'!I171:I2156, MATCH(1, ('1 orders'!A171:A2156=A171)*('1 orders'!G171:G2156=F171), 0))
</f>
        <v>5</v>
      </c>
      <c r="M171" s="10">
        <f>IFERROR(__xludf.DUMMYFUNCTION("COUNTUNIQUEIFS($A$2:$A171,$F$2:$F171,F171)"),6.0)</f>
        <v>6</v>
      </c>
      <c r="N171" s="10">
        <f t="shared" si="1"/>
        <v>3</v>
      </c>
      <c r="O171" s="26">
        <f>IF(operations[sinceLastOrder]=0,0,operations[orderQuantity] / operations[sinceLastOrder])</f>
        <v>1.666666667</v>
      </c>
      <c r="P171" s="9">
        <v>17.52</v>
      </c>
      <c r="Q171" s="7" t="s">
        <v>17</v>
      </c>
      <c r="R171" s="10">
        <f>operations[arrivedDate]-operations[shippedDate]</f>
        <v>17</v>
      </c>
    </row>
    <row r="172" ht="15.75" customHeight="1">
      <c r="A172" s="6">
        <v>10311.0</v>
      </c>
      <c r="B172" s="24">
        <v>44824.0</v>
      </c>
      <c r="C172" s="24">
        <v>44838.0</v>
      </c>
      <c r="D172" s="24">
        <v>44830.0</v>
      </c>
      <c r="E172" s="24">
        <v>44836.0</v>
      </c>
      <c r="F172" s="6">
        <v>42.0</v>
      </c>
      <c r="G172" s="9" t="str">
        <f>VLOOKUP(operations[productID],products[],2,FALSE)</f>
        <v>Singaporean Hokkien Fried Mee</v>
      </c>
      <c r="H172" s="9" t="str">
        <f>IF(VLOOKUP(operations[productID],products[],7,FALSE)=1,"Discontinued","Current")</f>
        <v>Discontinued</v>
      </c>
      <c r="I172" s="6">
        <f>VLOOKUP(operations[productID],products[],4,FALSE)</f>
        <v>26</v>
      </c>
      <c r="J172" s="6">
        <f>VLOOKUP(operations[productID],products[],5,FALSE)</f>
        <v>0</v>
      </c>
      <c r="K172" s="6">
        <f>VLOOKUP(operations[productID],products[],6,FALSE)</f>
        <v>0</v>
      </c>
      <c r="L172" s="10">
        <f t="array" ref="L172">INDEX('1 orders'!I172:I2156, MATCH(1, ('1 orders'!A172:A2156=A172)*('1 orders'!G172:G2156=F172), 0))
</f>
        <v>6</v>
      </c>
      <c r="M172" s="10">
        <f>IFERROR(__xludf.DUMMYFUNCTION("COUNTUNIQUEIFS($A$2:$A172,$F$2:$F172,F172)"),3.0)</f>
        <v>3</v>
      </c>
      <c r="N172" s="10">
        <f t="shared" si="1"/>
        <v>1</v>
      </c>
      <c r="O172" s="26">
        <f>IF(operations[sinceLastOrder]=0,0,operations[orderQuantity] / operations[sinceLastOrder])</f>
        <v>6</v>
      </c>
      <c r="P172" s="9">
        <v>24.69</v>
      </c>
      <c r="Q172" s="7" t="s">
        <v>13</v>
      </c>
      <c r="R172" s="10">
        <f>operations[arrivedDate]-operations[shippedDate]</f>
        <v>6</v>
      </c>
    </row>
    <row r="173" ht="15.75" customHeight="1">
      <c r="A173" s="6">
        <v>10311.0</v>
      </c>
      <c r="B173" s="24">
        <v>44824.0</v>
      </c>
      <c r="C173" s="24">
        <v>44838.0</v>
      </c>
      <c r="D173" s="24">
        <v>44830.0</v>
      </c>
      <c r="E173" s="24">
        <v>44836.0</v>
      </c>
      <c r="F173" s="6">
        <v>69.0</v>
      </c>
      <c r="G173" s="9" t="str">
        <f>VLOOKUP(operations[productID],products[],2,FALSE)</f>
        <v>Gudbrandsdalsost</v>
      </c>
      <c r="H173" s="9" t="str">
        <f>IF(VLOOKUP(operations[productID],products[],7,FALSE)=1,"Discontinued","Current")</f>
        <v>Current</v>
      </c>
      <c r="I173" s="6">
        <f>VLOOKUP(operations[productID],products[],4,FALSE)</f>
        <v>26</v>
      </c>
      <c r="J173" s="6">
        <f>VLOOKUP(operations[productID],products[],5,FALSE)</f>
        <v>0</v>
      </c>
      <c r="K173" s="6">
        <f>VLOOKUP(operations[productID],products[],6,FALSE)</f>
        <v>15</v>
      </c>
      <c r="L173" s="10">
        <f t="array" ref="L173">INDEX('1 orders'!I173:I2156, MATCH(1, ('1 orders'!A173:A2156=A173)*('1 orders'!G173:G2156=F173), 0))
</f>
        <v>7</v>
      </c>
      <c r="M173" s="10">
        <f>IFERROR(__xludf.DUMMYFUNCTION("COUNTUNIQUEIFS($A$2:$A173,$F$2:$F173,F173)"),3.0)</f>
        <v>3</v>
      </c>
      <c r="N173" s="10">
        <f t="shared" si="1"/>
        <v>2</v>
      </c>
      <c r="O173" s="26">
        <f>IF(operations[sinceLastOrder]=0,0,operations[orderQuantity] / operations[sinceLastOrder])</f>
        <v>3.5</v>
      </c>
      <c r="P173" s="9">
        <v>24.69</v>
      </c>
      <c r="Q173" s="7" t="s">
        <v>13</v>
      </c>
      <c r="R173" s="10">
        <f>operations[arrivedDate]-operations[shippedDate]</f>
        <v>6</v>
      </c>
    </row>
    <row r="174" ht="15.75" customHeight="1">
      <c r="A174" s="6">
        <v>10312.0</v>
      </c>
      <c r="B174" s="24">
        <v>44827.0</v>
      </c>
      <c r="C174" s="24">
        <v>44855.0</v>
      </c>
      <c r="D174" s="24">
        <v>44837.0</v>
      </c>
      <c r="E174" s="24">
        <v>44843.0</v>
      </c>
      <c r="F174" s="6">
        <v>28.0</v>
      </c>
      <c r="G174" s="9" t="str">
        <f>VLOOKUP(operations[productID],products[],2,FALSE)</f>
        <v>Rössle Sauerkraut</v>
      </c>
      <c r="H174" s="9" t="str">
        <f>IF(VLOOKUP(operations[productID],products[],7,FALSE)=1,"Discontinued","Current")</f>
        <v>Discontinued</v>
      </c>
      <c r="I174" s="6">
        <f>VLOOKUP(operations[productID],products[],4,FALSE)</f>
        <v>26</v>
      </c>
      <c r="J174" s="6">
        <f>VLOOKUP(operations[productID],products[],5,FALSE)</f>
        <v>0</v>
      </c>
      <c r="K174" s="6">
        <f>VLOOKUP(operations[productID],products[],6,FALSE)</f>
        <v>0</v>
      </c>
      <c r="L174" s="10">
        <f t="array" ref="L174">INDEX('1 orders'!I174:I2156, MATCH(1, ('1 orders'!A174:A2156=A174)*('1 orders'!G174:G2156=F174), 0))
</f>
        <v>4</v>
      </c>
      <c r="M174" s="10">
        <f>IFERROR(__xludf.DUMMYFUNCTION("COUNTUNIQUEIFS($A$2:$A174,$F$2:$F174,F174)"),3.0)</f>
        <v>3</v>
      </c>
      <c r="N174" s="10">
        <f t="shared" si="1"/>
        <v>13</v>
      </c>
      <c r="O174" s="26">
        <f>IF(operations[sinceLastOrder]=0,0,operations[orderQuantity] / operations[sinceLastOrder])</f>
        <v>0.3076923077</v>
      </c>
      <c r="P174" s="9">
        <v>40.26</v>
      </c>
      <c r="Q174" s="7" t="s">
        <v>17</v>
      </c>
      <c r="R174" s="10">
        <f>operations[arrivedDate]-operations[shippedDate]</f>
        <v>6</v>
      </c>
    </row>
    <row r="175" ht="15.75" customHeight="1">
      <c r="A175" s="6">
        <v>10312.0</v>
      </c>
      <c r="B175" s="24">
        <v>44827.0</v>
      </c>
      <c r="C175" s="24">
        <v>44855.0</v>
      </c>
      <c r="D175" s="24">
        <v>44837.0</v>
      </c>
      <c r="E175" s="24">
        <v>44843.0</v>
      </c>
      <c r="F175" s="6">
        <v>43.0</v>
      </c>
      <c r="G175" s="9" t="str">
        <f>VLOOKUP(operations[productID],products[],2,FALSE)</f>
        <v>Ipoh Coffee</v>
      </c>
      <c r="H175" s="9" t="str">
        <f>IF(VLOOKUP(operations[productID],products[],7,FALSE)=1,"Discontinued","Current")</f>
        <v>Current</v>
      </c>
      <c r="I175" s="6">
        <f>VLOOKUP(operations[productID],products[],4,FALSE)</f>
        <v>17</v>
      </c>
      <c r="J175" s="6">
        <f>VLOOKUP(operations[productID],products[],5,FALSE)</f>
        <v>10</v>
      </c>
      <c r="K175" s="6">
        <f>VLOOKUP(operations[productID],products[],6,FALSE)</f>
        <v>25</v>
      </c>
      <c r="L175" s="10">
        <f t="array" ref="L175">INDEX('1 orders'!I175:I2156, MATCH(1, ('1 orders'!A175:A2156=A175)*('1 orders'!G175:G2156=F175), 0))
</f>
        <v>24</v>
      </c>
      <c r="M175" s="10">
        <f>IFERROR(__xludf.DUMMYFUNCTION("COUNTUNIQUEIFS($A$2:$A175,$F$2:$F175,F175)"),5.0)</f>
        <v>5</v>
      </c>
      <c r="N175" s="10">
        <f t="shared" si="1"/>
        <v>4</v>
      </c>
      <c r="O175" s="26">
        <f>IF(operations[sinceLastOrder]=0,0,operations[orderQuantity] / operations[sinceLastOrder])</f>
        <v>6</v>
      </c>
      <c r="P175" s="9">
        <v>40.26</v>
      </c>
      <c r="Q175" s="7" t="s">
        <v>17</v>
      </c>
      <c r="R175" s="10">
        <f>operations[arrivedDate]-operations[shippedDate]</f>
        <v>6</v>
      </c>
    </row>
    <row r="176" ht="15.75" customHeight="1">
      <c r="A176" s="6">
        <v>10312.0</v>
      </c>
      <c r="B176" s="24">
        <v>44827.0</v>
      </c>
      <c r="C176" s="24">
        <v>44855.0</v>
      </c>
      <c r="D176" s="24">
        <v>44837.0</v>
      </c>
      <c r="E176" s="24">
        <v>44843.0</v>
      </c>
      <c r="F176" s="6">
        <v>53.0</v>
      </c>
      <c r="G176" s="9" t="str">
        <f>VLOOKUP(operations[productID],products[],2,FALSE)</f>
        <v>Perth Pasties</v>
      </c>
      <c r="H176" s="9" t="str">
        <f>IF(VLOOKUP(operations[productID],products[],7,FALSE)=1,"Discontinued","Current")</f>
        <v>Discontinued</v>
      </c>
      <c r="I176" s="6">
        <f>VLOOKUP(operations[productID],products[],4,FALSE)</f>
        <v>0</v>
      </c>
      <c r="J176" s="6">
        <f>VLOOKUP(operations[productID],products[],5,FALSE)</f>
        <v>0</v>
      </c>
      <c r="K176" s="6">
        <f>VLOOKUP(operations[productID],products[],6,FALSE)</f>
        <v>0</v>
      </c>
      <c r="L176" s="10">
        <f t="array" ref="L176">INDEX('1 orders'!I176:I2156, MATCH(1, ('1 orders'!A176:A2156=A176)*('1 orders'!G176:G2156=F176), 0))
</f>
        <v>20</v>
      </c>
      <c r="M176" s="10">
        <f>IFERROR(__xludf.DUMMYFUNCTION("COUNTUNIQUEIFS($A$2:$A176,$F$2:$F176,F176)"),4.0)</f>
        <v>4</v>
      </c>
      <c r="N176" s="10">
        <f t="shared" si="1"/>
        <v>7</v>
      </c>
      <c r="O176" s="26">
        <f>IF(operations[sinceLastOrder]=0,0,operations[orderQuantity] / operations[sinceLastOrder])</f>
        <v>2.857142857</v>
      </c>
      <c r="P176" s="9">
        <v>40.26</v>
      </c>
      <c r="Q176" s="7" t="s">
        <v>17</v>
      </c>
      <c r="R176" s="10">
        <f>operations[arrivedDate]-operations[shippedDate]</f>
        <v>6</v>
      </c>
    </row>
    <row r="177" ht="15.75" customHeight="1">
      <c r="A177" s="6">
        <v>10312.0</v>
      </c>
      <c r="B177" s="24">
        <v>44827.0</v>
      </c>
      <c r="C177" s="24">
        <v>44855.0</v>
      </c>
      <c r="D177" s="24">
        <v>44837.0</v>
      </c>
      <c r="E177" s="24">
        <v>44843.0</v>
      </c>
      <c r="F177" s="6">
        <v>75.0</v>
      </c>
      <c r="G177" s="9" t="str">
        <f>VLOOKUP(operations[productID],products[],2,FALSE)</f>
        <v>Rhönbräu Klosterbier</v>
      </c>
      <c r="H177" s="9" t="str">
        <f>IF(VLOOKUP(operations[productID],products[],7,FALSE)=1,"Discontinued","Current")</f>
        <v>Current</v>
      </c>
      <c r="I177" s="6">
        <f>VLOOKUP(operations[productID],products[],4,FALSE)</f>
        <v>125</v>
      </c>
      <c r="J177" s="6">
        <f>VLOOKUP(operations[productID],products[],5,FALSE)</f>
        <v>0</v>
      </c>
      <c r="K177" s="6">
        <f>VLOOKUP(operations[productID],products[],6,FALSE)</f>
        <v>25</v>
      </c>
      <c r="L177" s="10">
        <f t="array" ref="L177">INDEX('1 orders'!I177:I2156, MATCH(1, ('1 orders'!A177:A2156=A177)*('1 orders'!G177:G2156=F177), 0))
</f>
        <v>10</v>
      </c>
      <c r="M177" s="10">
        <f>IFERROR(__xludf.DUMMYFUNCTION("COUNTUNIQUEIFS($A$2:$A177,$F$2:$F177,F177)"),4.0)</f>
        <v>4</v>
      </c>
      <c r="N177" s="10">
        <f t="shared" si="1"/>
        <v>24</v>
      </c>
      <c r="O177" s="26">
        <f>IF(operations[sinceLastOrder]=0,0,operations[orderQuantity] / operations[sinceLastOrder])</f>
        <v>0.4166666667</v>
      </c>
      <c r="P177" s="9">
        <v>40.26</v>
      </c>
      <c r="Q177" s="7" t="s">
        <v>17</v>
      </c>
      <c r="R177" s="10">
        <f>operations[arrivedDate]-operations[shippedDate]</f>
        <v>6</v>
      </c>
    </row>
    <row r="178" ht="15.75" customHeight="1">
      <c r="A178" s="6">
        <v>10313.0</v>
      </c>
      <c r="B178" s="24">
        <v>44828.0</v>
      </c>
      <c r="C178" s="24">
        <v>44856.0</v>
      </c>
      <c r="D178" s="24">
        <v>44838.0</v>
      </c>
      <c r="E178" s="24">
        <v>44843.0</v>
      </c>
      <c r="F178" s="6">
        <v>36.0</v>
      </c>
      <c r="G178" s="9" t="str">
        <f>VLOOKUP(operations[productID],products[],2,FALSE)</f>
        <v>Inlagd Sill</v>
      </c>
      <c r="H178" s="9" t="str">
        <f>IF(VLOOKUP(operations[productID],products[],7,FALSE)=1,"Discontinued","Current")</f>
        <v>Current</v>
      </c>
      <c r="I178" s="6">
        <f>VLOOKUP(operations[productID],products[],4,FALSE)</f>
        <v>112</v>
      </c>
      <c r="J178" s="6">
        <f>VLOOKUP(operations[productID],products[],5,FALSE)</f>
        <v>0</v>
      </c>
      <c r="K178" s="6">
        <f>VLOOKUP(operations[productID],products[],6,FALSE)</f>
        <v>20</v>
      </c>
      <c r="L178" s="10">
        <f t="array" ref="L178">INDEX('1 orders'!I178:I2156, MATCH(1, ('1 orders'!A178:A2156=A178)*('1 orders'!G178:G2156=F178), 0))
</f>
        <v>12</v>
      </c>
      <c r="M178" s="10">
        <f>IFERROR(__xludf.DUMMYFUNCTION("COUNTUNIQUEIFS($A$2:$A178,$F$2:$F178,F178)"),4.0)</f>
        <v>4</v>
      </c>
      <c r="N178" s="10">
        <f t="shared" si="1"/>
        <v>19</v>
      </c>
      <c r="O178" s="26">
        <f>IF(operations[sinceLastOrder]=0,0,operations[orderQuantity] / operations[sinceLastOrder])</f>
        <v>0.6315789474</v>
      </c>
      <c r="P178" s="9">
        <v>1.96</v>
      </c>
      <c r="Q178" s="7" t="s">
        <v>17</v>
      </c>
      <c r="R178" s="10">
        <f>operations[arrivedDate]-operations[shippedDate]</f>
        <v>5</v>
      </c>
    </row>
    <row r="179" ht="15.75" customHeight="1">
      <c r="A179" s="6">
        <v>10314.0</v>
      </c>
      <c r="B179" s="24">
        <v>44829.0</v>
      </c>
      <c r="C179" s="24">
        <v>44857.0</v>
      </c>
      <c r="D179" s="24">
        <v>44838.0</v>
      </c>
      <c r="E179" s="24">
        <v>44854.0</v>
      </c>
      <c r="F179" s="6">
        <v>32.0</v>
      </c>
      <c r="G179" s="9" t="str">
        <f>VLOOKUP(operations[productID],products[],2,FALSE)</f>
        <v>Mascarpone Fabioli</v>
      </c>
      <c r="H179" s="9" t="str">
        <f>IF(VLOOKUP(operations[productID],products[],7,FALSE)=1,"Discontinued","Current")</f>
        <v>Current</v>
      </c>
      <c r="I179" s="6">
        <f>VLOOKUP(operations[productID],products[],4,FALSE)</f>
        <v>9</v>
      </c>
      <c r="J179" s="6">
        <f>VLOOKUP(operations[productID],products[],5,FALSE)</f>
        <v>40</v>
      </c>
      <c r="K179" s="6">
        <f>VLOOKUP(operations[productID],products[],6,FALSE)</f>
        <v>25</v>
      </c>
      <c r="L179" s="10">
        <f t="array" ref="L179">INDEX('1 orders'!I179:I2156, MATCH(1, ('1 orders'!A179:A2156=A179)*('1 orders'!G179:G2156=F179), 0))
</f>
        <v>40</v>
      </c>
      <c r="M179" s="10">
        <f>IFERROR(__xludf.DUMMYFUNCTION("COUNTUNIQUEIFS($A$2:$A179,$F$2:$F179,F179)"),2.0)</f>
        <v>2</v>
      </c>
      <c r="N179" s="10">
        <f t="shared" si="1"/>
        <v>70</v>
      </c>
      <c r="O179" s="26">
        <f>IF(operations[sinceLastOrder]=0,0,operations[orderQuantity] / operations[sinceLastOrder])</f>
        <v>0.5714285714</v>
      </c>
      <c r="P179" s="9">
        <v>74.16</v>
      </c>
      <c r="Q179" s="7" t="s">
        <v>17</v>
      </c>
      <c r="R179" s="10">
        <f>operations[arrivedDate]-operations[shippedDate]</f>
        <v>16</v>
      </c>
    </row>
    <row r="180" ht="15.75" customHeight="1">
      <c r="A180" s="6">
        <v>10314.0</v>
      </c>
      <c r="B180" s="24">
        <v>44829.0</v>
      </c>
      <c r="C180" s="24">
        <v>44857.0</v>
      </c>
      <c r="D180" s="24">
        <v>44838.0</v>
      </c>
      <c r="E180" s="24">
        <v>44854.0</v>
      </c>
      <c r="F180" s="6">
        <v>58.0</v>
      </c>
      <c r="G180" s="9" t="str">
        <f>VLOOKUP(operations[productID],products[],2,FALSE)</f>
        <v>Escargots de Bourgogne</v>
      </c>
      <c r="H180" s="9" t="str">
        <f>IF(VLOOKUP(operations[productID],products[],7,FALSE)=1,"Discontinued","Current")</f>
        <v>Current</v>
      </c>
      <c r="I180" s="6">
        <f>VLOOKUP(operations[productID],products[],4,FALSE)</f>
        <v>62</v>
      </c>
      <c r="J180" s="6">
        <f>VLOOKUP(operations[productID],products[],5,FALSE)</f>
        <v>0</v>
      </c>
      <c r="K180" s="6">
        <f>VLOOKUP(operations[productID],products[],6,FALSE)</f>
        <v>20</v>
      </c>
      <c r="L180" s="10">
        <f t="array" ref="L180">INDEX('1 orders'!I180:I2156, MATCH(1, ('1 orders'!A180:A2156=A180)*('1 orders'!G180:G2156=F180), 0))
</f>
        <v>30</v>
      </c>
      <c r="M180" s="10">
        <f>IFERROR(__xludf.DUMMYFUNCTION("COUNTUNIQUEIFS($A$2:$A180,$F$2:$F180,F180)"),1.0)</f>
        <v>1</v>
      </c>
      <c r="N180" s="10">
        <f t="shared" si="1"/>
        <v>0</v>
      </c>
      <c r="O180" s="26">
        <f>IF(operations[sinceLastOrder]=0,0,operations[orderQuantity] / operations[sinceLastOrder])</f>
        <v>0</v>
      </c>
      <c r="P180" s="9">
        <v>74.16</v>
      </c>
      <c r="Q180" s="7" t="s">
        <v>17</v>
      </c>
      <c r="R180" s="10">
        <f>operations[arrivedDate]-operations[shippedDate]</f>
        <v>16</v>
      </c>
    </row>
    <row r="181" ht="15.75" customHeight="1">
      <c r="A181" s="6">
        <v>10314.0</v>
      </c>
      <c r="B181" s="24">
        <v>44829.0</v>
      </c>
      <c r="C181" s="24">
        <v>44857.0</v>
      </c>
      <c r="D181" s="24">
        <v>44838.0</v>
      </c>
      <c r="E181" s="24">
        <v>44854.0</v>
      </c>
      <c r="F181" s="6">
        <v>62.0</v>
      </c>
      <c r="G181" s="9" t="str">
        <f>VLOOKUP(operations[productID],products[],2,FALSE)</f>
        <v>Tarte au sucre</v>
      </c>
      <c r="H181" s="9" t="str">
        <f>IF(VLOOKUP(operations[productID],products[],7,FALSE)=1,"Discontinued","Current")</f>
        <v>Current</v>
      </c>
      <c r="I181" s="6">
        <f>VLOOKUP(operations[productID],products[],4,FALSE)</f>
        <v>17</v>
      </c>
      <c r="J181" s="6">
        <f>VLOOKUP(operations[productID],products[],5,FALSE)</f>
        <v>0</v>
      </c>
      <c r="K181" s="6">
        <f>VLOOKUP(operations[productID],products[],6,FALSE)</f>
        <v>0</v>
      </c>
      <c r="L181" s="10">
        <f t="array" ref="L181">INDEX('1 orders'!I181:I2156, MATCH(1, ('1 orders'!A181:A2156=A181)*('1 orders'!G181:G2156=F181), 0))
</f>
        <v>25</v>
      </c>
      <c r="M181" s="10">
        <f>IFERROR(__xludf.DUMMYFUNCTION("COUNTUNIQUEIFS($A$2:$A181,$F$2:$F181,F181)"),7.0)</f>
        <v>7</v>
      </c>
      <c r="N181" s="10">
        <f t="shared" si="1"/>
        <v>5</v>
      </c>
      <c r="O181" s="26">
        <f>IF(operations[sinceLastOrder]=0,0,operations[orderQuantity] / operations[sinceLastOrder])</f>
        <v>5</v>
      </c>
      <c r="P181" s="9">
        <v>74.16</v>
      </c>
      <c r="Q181" s="7" t="s">
        <v>17</v>
      </c>
      <c r="R181" s="10">
        <f>operations[arrivedDate]-operations[shippedDate]</f>
        <v>16</v>
      </c>
    </row>
    <row r="182" ht="15.75" customHeight="1">
      <c r="A182" s="6">
        <v>10315.0</v>
      </c>
      <c r="B182" s="24">
        <v>44830.0</v>
      </c>
      <c r="C182" s="24">
        <v>44858.0</v>
      </c>
      <c r="D182" s="24">
        <v>44837.0</v>
      </c>
      <c r="E182" s="24">
        <v>44845.0</v>
      </c>
      <c r="F182" s="6">
        <v>34.0</v>
      </c>
      <c r="G182" s="9" t="str">
        <f>VLOOKUP(operations[productID],products[],2,FALSE)</f>
        <v>Sasquatch Ale</v>
      </c>
      <c r="H182" s="9" t="str">
        <f>IF(VLOOKUP(operations[productID],products[],7,FALSE)=1,"Discontinued","Current")</f>
        <v>Current</v>
      </c>
      <c r="I182" s="6">
        <f>VLOOKUP(operations[productID],products[],4,FALSE)</f>
        <v>111</v>
      </c>
      <c r="J182" s="6">
        <f>VLOOKUP(operations[productID],products[],5,FALSE)</f>
        <v>0</v>
      </c>
      <c r="K182" s="6">
        <f>VLOOKUP(operations[productID],products[],6,FALSE)</f>
        <v>15</v>
      </c>
      <c r="L182" s="10">
        <f t="array" ref="L182">INDEX('1 orders'!I182:I2156, MATCH(1, ('1 orders'!A182:A2156=A182)*('1 orders'!G182:G2156=F182), 0))
</f>
        <v>14</v>
      </c>
      <c r="M182" s="10">
        <f>IFERROR(__xludf.DUMMYFUNCTION("COUNTUNIQUEIFS($A$2:$A182,$F$2:$F182,F182)"),2.0)</f>
        <v>2</v>
      </c>
      <c r="N182" s="10">
        <f t="shared" si="1"/>
        <v>35</v>
      </c>
      <c r="O182" s="26">
        <f>IF(operations[sinceLastOrder]=0,0,operations[orderQuantity] / operations[sinceLastOrder])</f>
        <v>0.4</v>
      </c>
      <c r="P182" s="9">
        <v>41.76</v>
      </c>
      <c r="Q182" s="7" t="s">
        <v>17</v>
      </c>
      <c r="R182" s="10">
        <f>operations[arrivedDate]-operations[shippedDate]</f>
        <v>8</v>
      </c>
    </row>
    <row r="183" ht="15.75" customHeight="1">
      <c r="A183" s="6">
        <v>10315.0</v>
      </c>
      <c r="B183" s="24">
        <v>44830.0</v>
      </c>
      <c r="C183" s="24">
        <v>44858.0</v>
      </c>
      <c r="D183" s="24">
        <v>44837.0</v>
      </c>
      <c r="E183" s="24">
        <v>44845.0</v>
      </c>
      <c r="F183" s="6">
        <v>70.0</v>
      </c>
      <c r="G183" s="9" t="str">
        <f>VLOOKUP(operations[productID],products[],2,FALSE)</f>
        <v>Outback Lager</v>
      </c>
      <c r="H183" s="9" t="str">
        <f>IF(VLOOKUP(operations[productID],products[],7,FALSE)=1,"Discontinued","Current")</f>
        <v>Current</v>
      </c>
      <c r="I183" s="6">
        <f>VLOOKUP(operations[productID],products[],4,FALSE)</f>
        <v>15</v>
      </c>
      <c r="J183" s="6">
        <f>VLOOKUP(operations[productID],products[],5,FALSE)</f>
        <v>10</v>
      </c>
      <c r="K183" s="6">
        <f>VLOOKUP(operations[productID],products[],6,FALSE)</f>
        <v>30</v>
      </c>
      <c r="L183" s="10">
        <f t="array" ref="L183">INDEX('1 orders'!I183:I2156, MATCH(1, ('1 orders'!A183:A2156=A183)*('1 orders'!G183:G2156=F183), 0))
</f>
        <v>30</v>
      </c>
      <c r="M183" s="10">
        <f>IFERROR(__xludf.DUMMYFUNCTION("COUNTUNIQUEIFS($A$2:$A183,$F$2:$F183,F183)"),5.0)</f>
        <v>5</v>
      </c>
      <c r="N183" s="10">
        <f t="shared" si="1"/>
        <v>8</v>
      </c>
      <c r="O183" s="26">
        <f>IF(operations[sinceLastOrder]=0,0,operations[orderQuantity] / operations[sinceLastOrder])</f>
        <v>3.75</v>
      </c>
      <c r="P183" s="9">
        <v>41.76</v>
      </c>
      <c r="Q183" s="7" t="s">
        <v>17</v>
      </c>
      <c r="R183" s="10">
        <f>operations[arrivedDate]-operations[shippedDate]</f>
        <v>8</v>
      </c>
    </row>
    <row r="184" ht="15.75" customHeight="1">
      <c r="A184" s="6">
        <v>10316.0</v>
      </c>
      <c r="B184" s="24">
        <v>44831.0</v>
      </c>
      <c r="C184" s="24">
        <v>44859.0</v>
      </c>
      <c r="D184" s="24">
        <v>44842.0</v>
      </c>
      <c r="E184" s="24">
        <v>44856.0</v>
      </c>
      <c r="F184" s="6">
        <v>41.0</v>
      </c>
      <c r="G184" s="9" t="str">
        <f>VLOOKUP(operations[productID],products[],2,FALSE)</f>
        <v>Jack's New England Clam Chowder</v>
      </c>
      <c r="H184" s="9" t="str">
        <f>IF(VLOOKUP(operations[productID],products[],7,FALSE)=1,"Discontinued","Current")</f>
        <v>Current</v>
      </c>
      <c r="I184" s="6">
        <f>VLOOKUP(operations[productID],products[],4,FALSE)</f>
        <v>85</v>
      </c>
      <c r="J184" s="6">
        <f>VLOOKUP(operations[productID],products[],5,FALSE)</f>
        <v>0</v>
      </c>
      <c r="K184" s="6">
        <f>VLOOKUP(operations[productID],products[],6,FALSE)</f>
        <v>10</v>
      </c>
      <c r="L184" s="10">
        <f t="array" ref="L184">INDEX('1 orders'!I184:I2156, MATCH(1, ('1 orders'!A184:A2156=A184)*('1 orders'!G184:G2156=F184), 0))
</f>
        <v>10</v>
      </c>
      <c r="M184" s="10">
        <f>IFERROR(__xludf.DUMMYFUNCTION("COUNTUNIQUEIFS($A$2:$A184,$F$2:$F184,F184)"),4.0)</f>
        <v>4</v>
      </c>
      <c r="N184" s="10">
        <f t="shared" si="1"/>
        <v>65</v>
      </c>
      <c r="O184" s="26">
        <f>IF(operations[sinceLastOrder]=0,0,operations[orderQuantity] / operations[sinceLastOrder])</f>
        <v>0.1538461538</v>
      </c>
      <c r="P184" s="9">
        <v>150.15</v>
      </c>
      <c r="Q184" s="7" t="s">
        <v>13</v>
      </c>
      <c r="R184" s="10">
        <f>operations[arrivedDate]-operations[shippedDate]</f>
        <v>14</v>
      </c>
    </row>
    <row r="185" ht="15.75" customHeight="1">
      <c r="A185" s="6">
        <v>10316.0</v>
      </c>
      <c r="B185" s="24">
        <v>44831.0</v>
      </c>
      <c r="C185" s="24">
        <v>44859.0</v>
      </c>
      <c r="D185" s="24">
        <v>44842.0</v>
      </c>
      <c r="E185" s="24">
        <v>44856.0</v>
      </c>
      <c r="F185" s="6">
        <v>62.0</v>
      </c>
      <c r="G185" s="9" t="str">
        <f>VLOOKUP(operations[productID],products[],2,FALSE)</f>
        <v>Tarte au sucre</v>
      </c>
      <c r="H185" s="9" t="str">
        <f>IF(VLOOKUP(operations[productID],products[],7,FALSE)=1,"Discontinued","Current")</f>
        <v>Current</v>
      </c>
      <c r="I185" s="6">
        <f>VLOOKUP(operations[productID],products[],4,FALSE)</f>
        <v>17</v>
      </c>
      <c r="J185" s="6">
        <f>VLOOKUP(operations[productID],products[],5,FALSE)</f>
        <v>0</v>
      </c>
      <c r="K185" s="6">
        <f>VLOOKUP(operations[productID],products[],6,FALSE)</f>
        <v>0</v>
      </c>
      <c r="L185" s="10">
        <f t="array" ref="L185">INDEX('1 orders'!I185:I2156, MATCH(1, ('1 orders'!A185:A2156=A185)*('1 orders'!G185:G2156=F185), 0))
</f>
        <v>70</v>
      </c>
      <c r="M185" s="10">
        <f>IFERROR(__xludf.DUMMYFUNCTION("COUNTUNIQUEIFS($A$2:$A185,$F$2:$F185,F185)"),8.0)</f>
        <v>8</v>
      </c>
      <c r="N185" s="10">
        <f t="shared" si="1"/>
        <v>2</v>
      </c>
      <c r="O185" s="26">
        <f>IF(operations[sinceLastOrder]=0,0,operations[orderQuantity] / operations[sinceLastOrder])</f>
        <v>35</v>
      </c>
      <c r="P185" s="9">
        <v>150.15</v>
      </c>
      <c r="Q185" s="7" t="s">
        <v>13</v>
      </c>
      <c r="R185" s="10">
        <f>operations[arrivedDate]-operations[shippedDate]</f>
        <v>14</v>
      </c>
    </row>
    <row r="186" ht="15.75" customHeight="1">
      <c r="A186" s="6">
        <v>10317.0</v>
      </c>
      <c r="B186" s="24">
        <v>44834.0</v>
      </c>
      <c r="C186" s="24">
        <v>44862.0</v>
      </c>
      <c r="D186" s="24">
        <v>44844.0</v>
      </c>
      <c r="E186" s="24">
        <v>44856.0</v>
      </c>
      <c r="F186" s="6">
        <v>1.0</v>
      </c>
      <c r="G186" s="9" t="str">
        <f>VLOOKUP(operations[productID],products[],2,FALSE)</f>
        <v>Chai</v>
      </c>
      <c r="H186" s="9" t="str">
        <f>IF(VLOOKUP(operations[productID],products[],7,FALSE)=1,"Discontinued","Current")</f>
        <v>Current</v>
      </c>
      <c r="I186" s="6">
        <f>VLOOKUP(operations[productID],products[],4,FALSE)</f>
        <v>39</v>
      </c>
      <c r="J186" s="6">
        <f>VLOOKUP(operations[productID],products[],5,FALSE)</f>
        <v>0</v>
      </c>
      <c r="K186" s="6">
        <f>VLOOKUP(operations[productID],products[],6,FALSE)</f>
        <v>10</v>
      </c>
      <c r="L186" s="10">
        <f t="array" ref="L186">INDEX('1 orders'!I186:I2156, MATCH(1, ('1 orders'!A186:A2156=A186)*('1 orders'!G186:G2156=F186), 0))
</f>
        <v>20</v>
      </c>
      <c r="M186" s="10">
        <f>IFERROR(__xludf.DUMMYFUNCTION("COUNTUNIQUEIFS($A$2:$A186,$F$2:$F186,F186)"),3.0)</f>
        <v>3</v>
      </c>
      <c r="N186" s="10">
        <f t="shared" si="1"/>
        <v>31</v>
      </c>
      <c r="O186" s="26">
        <f>IF(operations[sinceLastOrder]=0,0,operations[orderQuantity] / operations[sinceLastOrder])</f>
        <v>0.6451612903</v>
      </c>
      <c r="P186" s="9">
        <v>12.69</v>
      </c>
      <c r="Q186" s="7" t="s">
        <v>15</v>
      </c>
      <c r="R186" s="10">
        <f>operations[arrivedDate]-operations[shippedDate]</f>
        <v>12</v>
      </c>
    </row>
    <row r="187" ht="15.75" customHeight="1">
      <c r="A187" s="6">
        <v>10318.0</v>
      </c>
      <c r="B187" s="24">
        <v>44835.0</v>
      </c>
      <c r="C187" s="24">
        <v>44863.0</v>
      </c>
      <c r="D187" s="24">
        <v>44838.0</v>
      </c>
      <c r="E187" s="24">
        <v>44849.0</v>
      </c>
      <c r="F187" s="6">
        <v>41.0</v>
      </c>
      <c r="G187" s="9" t="str">
        <f>VLOOKUP(operations[productID],products[],2,FALSE)</f>
        <v>Jack's New England Clam Chowder</v>
      </c>
      <c r="H187" s="9" t="str">
        <f>IF(VLOOKUP(operations[productID],products[],7,FALSE)=1,"Discontinued","Current")</f>
        <v>Current</v>
      </c>
      <c r="I187" s="6">
        <f>VLOOKUP(operations[productID],products[],4,FALSE)</f>
        <v>85</v>
      </c>
      <c r="J187" s="6">
        <f>VLOOKUP(operations[productID],products[],5,FALSE)</f>
        <v>0</v>
      </c>
      <c r="K187" s="6">
        <f>VLOOKUP(operations[productID],products[],6,FALSE)</f>
        <v>10</v>
      </c>
      <c r="L187" s="10">
        <f t="array" ref="L187">INDEX('1 orders'!I187:I2156, MATCH(1, ('1 orders'!A187:A2156=A187)*('1 orders'!G187:G2156=F187), 0))
</f>
        <v>20</v>
      </c>
      <c r="M187" s="10">
        <f>IFERROR(__xludf.DUMMYFUNCTION("COUNTUNIQUEIFS($A$2:$A187,$F$2:$F187,F187)"),5.0)</f>
        <v>5</v>
      </c>
      <c r="N187" s="10">
        <f t="shared" si="1"/>
        <v>4</v>
      </c>
      <c r="O187" s="26">
        <f>IF(operations[sinceLastOrder]=0,0,operations[orderQuantity] / operations[sinceLastOrder])</f>
        <v>5</v>
      </c>
      <c r="P187" s="9">
        <v>4.73</v>
      </c>
      <c r="Q187" s="7" t="s">
        <v>17</v>
      </c>
      <c r="R187" s="10">
        <f>operations[arrivedDate]-operations[shippedDate]</f>
        <v>11</v>
      </c>
    </row>
    <row r="188" ht="15.75" customHeight="1">
      <c r="A188" s="6">
        <v>10318.0</v>
      </c>
      <c r="B188" s="24">
        <v>44835.0</v>
      </c>
      <c r="C188" s="24">
        <v>44863.0</v>
      </c>
      <c r="D188" s="24">
        <v>44838.0</v>
      </c>
      <c r="E188" s="24">
        <v>44849.0</v>
      </c>
      <c r="F188" s="6">
        <v>76.0</v>
      </c>
      <c r="G188" s="9" t="str">
        <f>VLOOKUP(operations[productID],products[],2,FALSE)</f>
        <v>Lakkalikööri</v>
      </c>
      <c r="H188" s="9" t="str">
        <f>IF(VLOOKUP(operations[productID],products[],7,FALSE)=1,"Discontinued","Current")</f>
        <v>Current</v>
      </c>
      <c r="I188" s="6">
        <f>VLOOKUP(operations[productID],products[],4,FALSE)</f>
        <v>57</v>
      </c>
      <c r="J188" s="6">
        <f>VLOOKUP(operations[productID],products[],5,FALSE)</f>
        <v>0</v>
      </c>
      <c r="K188" s="6">
        <f>VLOOKUP(operations[productID],products[],6,FALSE)</f>
        <v>20</v>
      </c>
      <c r="L188" s="10">
        <f t="array" ref="L188">INDEX('1 orders'!I188:I2156, MATCH(1, ('1 orders'!A188:A2156=A188)*('1 orders'!G188:G2156=F188), 0))
</f>
        <v>6</v>
      </c>
      <c r="M188" s="10">
        <f>IFERROR(__xludf.DUMMYFUNCTION("COUNTUNIQUEIFS($A$2:$A188,$F$2:$F188,F188)"),3.0)</f>
        <v>3</v>
      </c>
      <c r="N188" s="10">
        <f t="shared" si="1"/>
        <v>57</v>
      </c>
      <c r="O188" s="26">
        <f>IF(operations[sinceLastOrder]=0,0,operations[orderQuantity] / operations[sinceLastOrder])</f>
        <v>0.1052631579</v>
      </c>
      <c r="P188" s="9">
        <v>4.73</v>
      </c>
      <c r="Q188" s="7" t="s">
        <v>17</v>
      </c>
      <c r="R188" s="10">
        <f>operations[arrivedDate]-operations[shippedDate]</f>
        <v>11</v>
      </c>
    </row>
    <row r="189" ht="15.75" customHeight="1">
      <c r="A189" s="6">
        <v>10319.0</v>
      </c>
      <c r="B189" s="24">
        <v>44836.0</v>
      </c>
      <c r="C189" s="24">
        <v>44864.0</v>
      </c>
      <c r="D189" s="24">
        <v>44845.0</v>
      </c>
      <c r="E189" s="24">
        <v>44859.0</v>
      </c>
      <c r="F189" s="6">
        <v>17.0</v>
      </c>
      <c r="G189" s="9" t="str">
        <f>VLOOKUP(operations[productID],products[],2,FALSE)</f>
        <v>Alice Mutton</v>
      </c>
      <c r="H189" s="9" t="str">
        <f>IF(VLOOKUP(operations[productID],products[],7,FALSE)=1,"Discontinued","Current")</f>
        <v>Discontinued</v>
      </c>
      <c r="I189" s="6">
        <f>VLOOKUP(operations[productID],products[],4,FALSE)</f>
        <v>0</v>
      </c>
      <c r="J189" s="6">
        <f>VLOOKUP(operations[productID],products[],5,FALSE)</f>
        <v>0</v>
      </c>
      <c r="K189" s="6">
        <f>VLOOKUP(operations[productID],products[],6,FALSE)</f>
        <v>0</v>
      </c>
      <c r="L189" s="10">
        <f t="array" ref="L189">INDEX('1 orders'!I189:I2156, MATCH(1, ('1 orders'!A189:A2156=A189)*('1 orders'!G189:G2156=F189), 0))
</f>
        <v>8</v>
      </c>
      <c r="M189" s="10">
        <f>IFERROR(__xludf.DUMMYFUNCTION("COUNTUNIQUEIFS($A$2:$A189,$F$2:$F189,F189)"),5.0)</f>
        <v>5</v>
      </c>
      <c r="N189" s="10">
        <f t="shared" si="1"/>
        <v>22</v>
      </c>
      <c r="O189" s="26">
        <f>IF(operations[sinceLastOrder]=0,0,operations[orderQuantity] / operations[sinceLastOrder])</f>
        <v>0.3636363636</v>
      </c>
      <c r="P189" s="9">
        <v>64.5</v>
      </c>
      <c r="Q189" s="7" t="s">
        <v>13</v>
      </c>
      <c r="R189" s="10">
        <f>operations[arrivedDate]-operations[shippedDate]</f>
        <v>14</v>
      </c>
    </row>
    <row r="190" ht="15.75" customHeight="1">
      <c r="A190" s="6">
        <v>10319.0</v>
      </c>
      <c r="B190" s="24">
        <v>44836.0</v>
      </c>
      <c r="C190" s="24">
        <v>44864.0</v>
      </c>
      <c r="D190" s="24">
        <v>44845.0</v>
      </c>
      <c r="E190" s="24">
        <v>44859.0</v>
      </c>
      <c r="F190" s="6">
        <v>28.0</v>
      </c>
      <c r="G190" s="9" t="str">
        <f>VLOOKUP(operations[productID],products[],2,FALSE)</f>
        <v>Rössle Sauerkraut</v>
      </c>
      <c r="H190" s="9" t="str">
        <f>IF(VLOOKUP(operations[productID],products[],7,FALSE)=1,"Discontinued","Current")</f>
        <v>Discontinued</v>
      </c>
      <c r="I190" s="6">
        <f>VLOOKUP(operations[productID],products[],4,FALSE)</f>
        <v>26</v>
      </c>
      <c r="J190" s="6">
        <f>VLOOKUP(operations[productID],products[],5,FALSE)</f>
        <v>0</v>
      </c>
      <c r="K190" s="6">
        <f>VLOOKUP(operations[productID],products[],6,FALSE)</f>
        <v>0</v>
      </c>
      <c r="L190" s="10">
        <f t="array" ref="L190">INDEX('1 orders'!I190:I2156, MATCH(1, ('1 orders'!A190:A2156=A190)*('1 orders'!G190:G2156=F190), 0))
</f>
        <v>14</v>
      </c>
      <c r="M190" s="10">
        <f>IFERROR(__xludf.DUMMYFUNCTION("COUNTUNIQUEIFS($A$2:$A190,$F$2:$F190,F190)"),4.0)</f>
        <v>4</v>
      </c>
      <c r="N190" s="10">
        <f t="shared" si="1"/>
        <v>9</v>
      </c>
      <c r="O190" s="26">
        <f>IF(operations[sinceLastOrder]=0,0,operations[orderQuantity] / operations[sinceLastOrder])</f>
        <v>1.555555556</v>
      </c>
      <c r="P190" s="9">
        <v>64.5</v>
      </c>
      <c r="Q190" s="7" t="s">
        <v>13</v>
      </c>
      <c r="R190" s="10">
        <f>operations[arrivedDate]-operations[shippedDate]</f>
        <v>14</v>
      </c>
    </row>
    <row r="191" ht="15.75" customHeight="1">
      <c r="A191" s="6">
        <v>10319.0</v>
      </c>
      <c r="B191" s="24">
        <v>44836.0</v>
      </c>
      <c r="C191" s="24">
        <v>44864.0</v>
      </c>
      <c r="D191" s="24">
        <v>44845.0</v>
      </c>
      <c r="E191" s="24">
        <v>44859.0</v>
      </c>
      <c r="F191" s="6">
        <v>76.0</v>
      </c>
      <c r="G191" s="9" t="str">
        <f>VLOOKUP(operations[productID],products[],2,FALSE)</f>
        <v>Lakkalikööri</v>
      </c>
      <c r="H191" s="9" t="str">
        <f>IF(VLOOKUP(operations[productID],products[],7,FALSE)=1,"Discontinued","Current")</f>
        <v>Current</v>
      </c>
      <c r="I191" s="6">
        <f>VLOOKUP(operations[productID],products[],4,FALSE)</f>
        <v>57</v>
      </c>
      <c r="J191" s="6">
        <f>VLOOKUP(operations[productID],products[],5,FALSE)</f>
        <v>0</v>
      </c>
      <c r="K191" s="6">
        <f>VLOOKUP(operations[productID],products[],6,FALSE)</f>
        <v>20</v>
      </c>
      <c r="L191" s="10">
        <f t="array" ref="L191">INDEX('1 orders'!I191:I2156, MATCH(1, ('1 orders'!A191:A2156=A191)*('1 orders'!G191:G2156=F191), 0))
</f>
        <v>30</v>
      </c>
      <c r="M191" s="10">
        <f>IFERROR(__xludf.DUMMYFUNCTION("COUNTUNIQUEIFS($A$2:$A191,$F$2:$F191,F191)"),4.0)</f>
        <v>4</v>
      </c>
      <c r="N191" s="10">
        <f t="shared" si="1"/>
        <v>1</v>
      </c>
      <c r="O191" s="26">
        <f>IF(operations[sinceLastOrder]=0,0,operations[orderQuantity] / operations[sinceLastOrder])</f>
        <v>30</v>
      </c>
      <c r="P191" s="9">
        <v>64.5</v>
      </c>
      <c r="Q191" s="7" t="s">
        <v>13</v>
      </c>
      <c r="R191" s="10">
        <f>operations[arrivedDate]-operations[shippedDate]</f>
        <v>14</v>
      </c>
    </row>
    <row r="192" ht="15.75" customHeight="1">
      <c r="A192" s="6">
        <v>10320.0</v>
      </c>
      <c r="B192" s="24">
        <v>44837.0</v>
      </c>
      <c r="C192" s="24">
        <v>44851.0</v>
      </c>
      <c r="D192" s="24">
        <v>44852.0</v>
      </c>
      <c r="E192" s="24">
        <v>44862.0</v>
      </c>
      <c r="F192" s="6">
        <v>71.0</v>
      </c>
      <c r="G192" s="9" t="str">
        <f>VLOOKUP(operations[productID],products[],2,FALSE)</f>
        <v>Flotemysost</v>
      </c>
      <c r="H192" s="9" t="str">
        <f>IF(VLOOKUP(operations[productID],products[],7,FALSE)=1,"Discontinued","Current")</f>
        <v>Current</v>
      </c>
      <c r="I192" s="6">
        <f>VLOOKUP(operations[productID],products[],4,FALSE)</f>
        <v>26</v>
      </c>
      <c r="J192" s="6">
        <f>VLOOKUP(operations[productID],products[],5,FALSE)</f>
        <v>0</v>
      </c>
      <c r="K192" s="6">
        <f>VLOOKUP(operations[productID],products[],6,FALSE)</f>
        <v>0</v>
      </c>
      <c r="L192" s="10">
        <f t="array" ref="L192">INDEX('1 orders'!I192:I2156, MATCH(1, ('1 orders'!A192:A2156=A192)*('1 orders'!G192:G2156=F192), 0))
</f>
        <v>30</v>
      </c>
      <c r="M192" s="10">
        <f>IFERROR(__xludf.DUMMYFUNCTION("COUNTUNIQUEIFS($A$2:$A192,$F$2:$F192,F192)"),4.0)</f>
        <v>4</v>
      </c>
      <c r="N192" s="10">
        <f t="shared" si="1"/>
        <v>14</v>
      </c>
      <c r="O192" s="26">
        <f>IF(operations[sinceLastOrder]=0,0,operations[orderQuantity] / operations[sinceLastOrder])</f>
        <v>2.142857143</v>
      </c>
      <c r="P192" s="9">
        <v>34.57</v>
      </c>
      <c r="Q192" s="7" t="s">
        <v>13</v>
      </c>
      <c r="R192" s="10">
        <f>operations[arrivedDate]-operations[shippedDate]</f>
        <v>10</v>
      </c>
    </row>
    <row r="193" ht="15.75" customHeight="1">
      <c r="A193" s="6">
        <v>10321.0</v>
      </c>
      <c r="B193" s="24">
        <v>44837.0</v>
      </c>
      <c r="C193" s="24">
        <v>44865.0</v>
      </c>
      <c r="D193" s="24">
        <v>44845.0</v>
      </c>
      <c r="E193" s="24">
        <v>44855.0</v>
      </c>
      <c r="F193" s="6">
        <v>35.0</v>
      </c>
      <c r="G193" s="9" t="str">
        <f>VLOOKUP(operations[productID],products[],2,FALSE)</f>
        <v>Cold Brew Nitro</v>
      </c>
      <c r="H193" s="9" t="str">
        <f>IF(VLOOKUP(operations[productID],products[],7,FALSE)=1,"Discontinued","Current")</f>
        <v>Current</v>
      </c>
      <c r="I193" s="6">
        <f>VLOOKUP(operations[productID],products[],4,FALSE)</f>
        <v>20</v>
      </c>
      <c r="J193" s="6">
        <f>VLOOKUP(operations[productID],products[],5,FALSE)</f>
        <v>0</v>
      </c>
      <c r="K193" s="6">
        <f>VLOOKUP(operations[productID],products[],6,FALSE)</f>
        <v>15</v>
      </c>
      <c r="L193" s="10">
        <f t="array" ref="L193">INDEX('1 orders'!I193:I2156, MATCH(1, ('1 orders'!A193:A2156=A193)*('1 orders'!G193:G2156=F193), 0))
</f>
        <v>10</v>
      </c>
      <c r="M193" s="10">
        <f>IFERROR(__xludf.DUMMYFUNCTION("COUNTUNIQUEIFS($A$2:$A193,$F$2:$F193,F193)"),4.0)</f>
        <v>4</v>
      </c>
      <c r="N193" s="10">
        <f t="shared" si="1"/>
        <v>43</v>
      </c>
      <c r="O193" s="26">
        <f>IF(operations[sinceLastOrder]=0,0,operations[orderQuantity] / operations[sinceLastOrder])</f>
        <v>0.2325581395</v>
      </c>
      <c r="P193" s="9">
        <v>3.43</v>
      </c>
      <c r="Q193" s="7" t="s">
        <v>17</v>
      </c>
      <c r="R193" s="10">
        <f>operations[arrivedDate]-operations[shippedDate]</f>
        <v>10</v>
      </c>
    </row>
    <row r="194" ht="15.75" customHeight="1">
      <c r="A194" s="6">
        <v>10322.0</v>
      </c>
      <c r="B194" s="24">
        <v>44838.0</v>
      </c>
      <c r="C194" s="24">
        <v>44866.0</v>
      </c>
      <c r="D194" s="24">
        <v>44857.0</v>
      </c>
      <c r="E194" s="24">
        <v>44869.0</v>
      </c>
      <c r="F194" s="6">
        <v>52.0</v>
      </c>
      <c r="G194" s="9" t="str">
        <f>VLOOKUP(operations[productID],products[],2,FALSE)</f>
        <v>Filo Mix</v>
      </c>
      <c r="H194" s="9" t="str">
        <f>IF(VLOOKUP(operations[productID],products[],7,FALSE)=1,"Discontinued","Current")</f>
        <v>Current</v>
      </c>
      <c r="I194" s="6">
        <f>VLOOKUP(operations[productID],products[],4,FALSE)</f>
        <v>38</v>
      </c>
      <c r="J194" s="6">
        <f>VLOOKUP(operations[productID],products[],5,FALSE)</f>
        <v>0</v>
      </c>
      <c r="K194" s="6">
        <f>VLOOKUP(operations[productID],products[],6,FALSE)</f>
        <v>25</v>
      </c>
      <c r="L194" s="10">
        <f t="array" ref="L194">INDEX('1 orders'!I194:I2156, MATCH(1, ('1 orders'!A194:A2156=A194)*('1 orders'!G194:G2156=F194), 0))
</f>
        <v>20</v>
      </c>
      <c r="M194" s="10">
        <f>IFERROR(__xludf.DUMMYFUNCTION("COUNTUNIQUEIFS($A$2:$A194,$F$2:$F194,F194)"),1.0)</f>
        <v>1</v>
      </c>
      <c r="N194" s="10">
        <f t="shared" si="1"/>
        <v>0</v>
      </c>
      <c r="O194" s="26">
        <f>IF(operations[sinceLastOrder]=0,0,operations[orderQuantity] / operations[sinceLastOrder])</f>
        <v>0</v>
      </c>
      <c r="P194" s="9">
        <v>0.4</v>
      </c>
      <c r="Q194" s="7" t="s">
        <v>13</v>
      </c>
      <c r="R194" s="10">
        <f>operations[arrivedDate]-operations[shippedDate]</f>
        <v>12</v>
      </c>
    </row>
    <row r="195" ht="15.75" customHeight="1">
      <c r="A195" s="6">
        <v>10323.0</v>
      </c>
      <c r="B195" s="24">
        <v>44841.0</v>
      </c>
      <c r="C195" s="24">
        <v>44869.0</v>
      </c>
      <c r="D195" s="24">
        <v>44848.0</v>
      </c>
      <c r="E195" s="24">
        <v>44852.0</v>
      </c>
      <c r="F195" s="6">
        <v>15.0</v>
      </c>
      <c r="G195" s="9" t="str">
        <f>VLOOKUP(operations[productID],products[],2,FALSE)</f>
        <v>Genen Shouyu</v>
      </c>
      <c r="H195" s="9" t="str">
        <f>IF(VLOOKUP(operations[productID],products[],7,FALSE)=1,"Discontinued","Current")</f>
        <v>Current</v>
      </c>
      <c r="I195" s="6">
        <f>VLOOKUP(operations[productID],products[],4,FALSE)</f>
        <v>39</v>
      </c>
      <c r="J195" s="6">
        <f>VLOOKUP(operations[productID],products[],5,FALSE)</f>
        <v>0</v>
      </c>
      <c r="K195" s="6">
        <f>VLOOKUP(operations[productID],products[],6,FALSE)</f>
        <v>5</v>
      </c>
      <c r="L195" s="10">
        <f t="array" ref="L195">INDEX('1 orders'!I195:I2156, MATCH(1, ('1 orders'!A195:A2156=A195)*('1 orders'!G195:G2156=F195), 0))
</f>
        <v>5</v>
      </c>
      <c r="M195" s="10">
        <f>IFERROR(__xludf.DUMMYFUNCTION("COUNTUNIQUEIFS($A$2:$A195,$F$2:$F195,F195)"),2.0)</f>
        <v>2</v>
      </c>
      <c r="N195" s="10">
        <f t="shared" si="1"/>
        <v>52</v>
      </c>
      <c r="O195" s="26">
        <f>IF(operations[sinceLastOrder]=0,0,operations[orderQuantity] / operations[sinceLastOrder])</f>
        <v>0.09615384615</v>
      </c>
      <c r="P195" s="9">
        <v>4.88</v>
      </c>
      <c r="Q195" s="7" t="s">
        <v>15</v>
      </c>
      <c r="R195" s="10">
        <f>operations[arrivedDate]-operations[shippedDate]</f>
        <v>4</v>
      </c>
    </row>
    <row r="196" ht="15.75" customHeight="1">
      <c r="A196" s="6">
        <v>10323.0</v>
      </c>
      <c r="B196" s="24">
        <v>44841.0</v>
      </c>
      <c r="C196" s="24">
        <v>44869.0</v>
      </c>
      <c r="D196" s="24">
        <v>44848.0</v>
      </c>
      <c r="E196" s="24">
        <v>44852.0</v>
      </c>
      <c r="F196" s="6">
        <v>25.0</v>
      </c>
      <c r="G196" s="9" t="str">
        <f>VLOOKUP(operations[productID],products[],2,FALSE)</f>
        <v>HM Köstliche Kaiserschmarrn Knödelchen</v>
      </c>
      <c r="H196" s="9" t="str">
        <f>IF(VLOOKUP(operations[productID],products[],7,FALSE)=1,"Discontinued","Current")</f>
        <v>Current</v>
      </c>
      <c r="I196" s="6">
        <f>VLOOKUP(operations[productID],products[],4,FALSE)</f>
        <v>76</v>
      </c>
      <c r="J196" s="6">
        <f>VLOOKUP(operations[productID],products[],5,FALSE)</f>
        <v>0</v>
      </c>
      <c r="K196" s="6">
        <f>VLOOKUP(operations[productID],products[],6,FALSE)</f>
        <v>30</v>
      </c>
      <c r="L196" s="10">
        <f t="array" ref="L196">INDEX('1 orders'!I196:I2156, MATCH(1, ('1 orders'!A196:A2156=A196)*('1 orders'!G196:G2156=F196), 0))
</f>
        <v>4</v>
      </c>
      <c r="M196" s="10">
        <f>IFERROR(__xludf.DUMMYFUNCTION("COUNTUNIQUEIFS($A$2:$A196,$F$2:$F196,F196)"),1.0)</f>
        <v>1</v>
      </c>
      <c r="N196" s="10">
        <f t="shared" si="1"/>
        <v>0</v>
      </c>
      <c r="O196" s="26">
        <f>IF(operations[sinceLastOrder]=0,0,operations[orderQuantity] / operations[sinceLastOrder])</f>
        <v>0</v>
      </c>
      <c r="P196" s="9">
        <v>4.88</v>
      </c>
      <c r="Q196" s="7" t="s">
        <v>15</v>
      </c>
      <c r="R196" s="10">
        <f>operations[arrivedDate]-operations[shippedDate]</f>
        <v>4</v>
      </c>
    </row>
    <row r="197" ht="15.75" customHeight="1">
      <c r="A197" s="6">
        <v>10323.0</v>
      </c>
      <c r="B197" s="24">
        <v>44841.0</v>
      </c>
      <c r="C197" s="24">
        <v>44869.0</v>
      </c>
      <c r="D197" s="24">
        <v>44848.0</v>
      </c>
      <c r="E197" s="24">
        <v>44852.0</v>
      </c>
      <c r="F197" s="6">
        <v>39.0</v>
      </c>
      <c r="G197" s="9" t="str">
        <f>VLOOKUP(operations[productID],products[],2,FALSE)</f>
        <v>Chartreuse verte</v>
      </c>
      <c r="H197" s="9" t="str">
        <f>IF(VLOOKUP(operations[productID],products[],7,FALSE)=1,"Discontinued","Current")</f>
        <v>Current</v>
      </c>
      <c r="I197" s="6">
        <f>VLOOKUP(operations[productID],products[],4,FALSE)</f>
        <v>69</v>
      </c>
      <c r="J197" s="6">
        <f>VLOOKUP(operations[productID],products[],5,FALSE)</f>
        <v>0</v>
      </c>
      <c r="K197" s="6">
        <f>VLOOKUP(operations[productID],products[],6,FALSE)</f>
        <v>5</v>
      </c>
      <c r="L197" s="10">
        <f t="array" ref="L197">INDEX('1 orders'!I197:I2156, MATCH(1, ('1 orders'!A197:A2156=A197)*('1 orders'!G197:G2156=F197), 0))
</f>
        <v>4</v>
      </c>
      <c r="M197" s="10">
        <f>IFERROR(__xludf.DUMMYFUNCTION("COUNTUNIQUEIFS($A$2:$A197,$F$2:$F197,F197)"),5.0)</f>
        <v>5</v>
      </c>
      <c r="N197" s="10">
        <f t="shared" si="1"/>
        <v>24</v>
      </c>
      <c r="O197" s="26">
        <f>IF(operations[sinceLastOrder]=0,0,operations[orderQuantity] / operations[sinceLastOrder])</f>
        <v>0.1666666667</v>
      </c>
      <c r="P197" s="9">
        <v>4.88</v>
      </c>
      <c r="Q197" s="7" t="s">
        <v>15</v>
      </c>
      <c r="R197" s="10">
        <f>operations[arrivedDate]-operations[shippedDate]</f>
        <v>4</v>
      </c>
    </row>
    <row r="198" ht="15.75" customHeight="1">
      <c r="A198" s="6">
        <v>10324.0</v>
      </c>
      <c r="B198" s="24">
        <v>44842.0</v>
      </c>
      <c r="C198" s="24">
        <v>44870.0</v>
      </c>
      <c r="D198" s="24">
        <v>44844.0</v>
      </c>
      <c r="E198" s="24">
        <v>44859.0</v>
      </c>
      <c r="F198" s="6">
        <v>16.0</v>
      </c>
      <c r="G198" s="9" t="str">
        <f>VLOOKUP(operations[productID],products[],2,FALSE)</f>
        <v>Pavlova</v>
      </c>
      <c r="H198" s="9" t="str">
        <f>IF(VLOOKUP(operations[productID],products[],7,FALSE)=1,"Discontinued","Current")</f>
        <v>Current</v>
      </c>
      <c r="I198" s="6">
        <f>VLOOKUP(operations[productID],products[],4,FALSE)</f>
        <v>29</v>
      </c>
      <c r="J198" s="6">
        <f>VLOOKUP(operations[productID],products[],5,FALSE)</f>
        <v>0</v>
      </c>
      <c r="K198" s="6">
        <f>VLOOKUP(operations[productID],products[],6,FALSE)</f>
        <v>10</v>
      </c>
      <c r="L198" s="10">
        <f t="array" ref="L198">INDEX('1 orders'!I198:I2156, MATCH(1, ('1 orders'!A198:A2156=A198)*('1 orders'!G198:G2156=F198), 0))
</f>
        <v>21</v>
      </c>
      <c r="M198" s="10">
        <f>IFERROR(__xludf.DUMMYFUNCTION("COUNTUNIQUEIFS($A$2:$A198,$F$2:$F198,F198)"),6.0)</f>
        <v>6</v>
      </c>
      <c r="N198" s="10">
        <f t="shared" si="1"/>
        <v>18</v>
      </c>
      <c r="O198" s="26">
        <f>IF(operations[sinceLastOrder]=0,0,operations[orderQuantity] / operations[sinceLastOrder])</f>
        <v>1.166666667</v>
      </c>
      <c r="P198" s="9">
        <v>214.27</v>
      </c>
      <c r="Q198" s="7" t="s">
        <v>15</v>
      </c>
      <c r="R198" s="10">
        <f>operations[arrivedDate]-operations[shippedDate]</f>
        <v>15</v>
      </c>
    </row>
    <row r="199" ht="15.75" customHeight="1">
      <c r="A199" s="6">
        <v>10324.0</v>
      </c>
      <c r="B199" s="24">
        <v>44842.0</v>
      </c>
      <c r="C199" s="24">
        <v>44870.0</v>
      </c>
      <c r="D199" s="24">
        <v>44844.0</v>
      </c>
      <c r="E199" s="24">
        <v>44859.0</v>
      </c>
      <c r="F199" s="6">
        <v>35.0</v>
      </c>
      <c r="G199" s="9" t="str">
        <f>VLOOKUP(operations[productID],products[],2,FALSE)</f>
        <v>Cold Brew Nitro</v>
      </c>
      <c r="H199" s="9" t="str">
        <f>IF(VLOOKUP(operations[productID],products[],7,FALSE)=1,"Discontinued","Current")</f>
        <v>Current</v>
      </c>
      <c r="I199" s="6">
        <f>VLOOKUP(operations[productID],products[],4,FALSE)</f>
        <v>20</v>
      </c>
      <c r="J199" s="6">
        <f>VLOOKUP(operations[productID],products[],5,FALSE)</f>
        <v>0</v>
      </c>
      <c r="K199" s="6">
        <f>VLOOKUP(operations[productID],products[],6,FALSE)</f>
        <v>15</v>
      </c>
      <c r="L199" s="10">
        <f t="array" ref="L199">INDEX('1 orders'!I199:I2156, MATCH(1, ('1 orders'!A199:A2156=A199)*('1 orders'!G199:G2156=F199), 0))
</f>
        <v>70</v>
      </c>
      <c r="M199" s="10">
        <f>IFERROR(__xludf.DUMMYFUNCTION("COUNTUNIQUEIFS($A$2:$A199,$F$2:$F199,F199)"),5.0)</f>
        <v>5</v>
      </c>
      <c r="N199" s="10">
        <f t="shared" si="1"/>
        <v>5</v>
      </c>
      <c r="O199" s="26">
        <f>IF(operations[sinceLastOrder]=0,0,operations[orderQuantity] / operations[sinceLastOrder])</f>
        <v>14</v>
      </c>
      <c r="P199" s="9">
        <v>214.27</v>
      </c>
      <c r="Q199" s="7" t="s">
        <v>15</v>
      </c>
      <c r="R199" s="10">
        <f>operations[arrivedDate]-operations[shippedDate]</f>
        <v>15</v>
      </c>
    </row>
    <row r="200" ht="15.75" customHeight="1">
      <c r="A200" s="6">
        <v>10324.0</v>
      </c>
      <c r="B200" s="24">
        <v>44842.0</v>
      </c>
      <c r="C200" s="24">
        <v>44870.0</v>
      </c>
      <c r="D200" s="24">
        <v>44844.0</v>
      </c>
      <c r="E200" s="24">
        <v>44859.0</v>
      </c>
      <c r="F200" s="6">
        <v>46.0</v>
      </c>
      <c r="G200" s="9" t="str">
        <f>VLOOKUP(operations[productID],products[],2,FALSE)</f>
        <v>Spegesild</v>
      </c>
      <c r="H200" s="9" t="str">
        <f>IF(VLOOKUP(operations[productID],products[],7,FALSE)=1,"Discontinued","Current")</f>
        <v>Current</v>
      </c>
      <c r="I200" s="6">
        <f>VLOOKUP(operations[productID],products[],4,FALSE)</f>
        <v>95</v>
      </c>
      <c r="J200" s="6">
        <f>VLOOKUP(operations[productID],products[],5,FALSE)</f>
        <v>0</v>
      </c>
      <c r="K200" s="6">
        <f>VLOOKUP(operations[productID],products[],6,FALSE)</f>
        <v>0</v>
      </c>
      <c r="L200" s="10">
        <f t="array" ref="L200">INDEX('1 orders'!I200:I2156, MATCH(1, ('1 orders'!A200:A2156=A200)*('1 orders'!G200:G2156=F200), 0))
</f>
        <v>30</v>
      </c>
      <c r="M200" s="10">
        <f>IFERROR(__xludf.DUMMYFUNCTION("COUNTUNIQUEIFS($A$2:$A200,$F$2:$F200,F200)"),2.0)</f>
        <v>2</v>
      </c>
      <c r="N200" s="10">
        <f t="shared" si="1"/>
        <v>47</v>
      </c>
      <c r="O200" s="26">
        <f>IF(operations[sinceLastOrder]=0,0,operations[orderQuantity] / operations[sinceLastOrder])</f>
        <v>0.6382978723</v>
      </c>
      <c r="P200" s="9">
        <v>214.27</v>
      </c>
      <c r="Q200" s="7" t="s">
        <v>15</v>
      </c>
      <c r="R200" s="10">
        <f>operations[arrivedDate]-operations[shippedDate]</f>
        <v>15</v>
      </c>
    </row>
    <row r="201" ht="15.75" customHeight="1">
      <c r="A201" s="6">
        <v>10324.0</v>
      </c>
      <c r="B201" s="24">
        <v>44842.0</v>
      </c>
      <c r="C201" s="24">
        <v>44870.0</v>
      </c>
      <c r="D201" s="24">
        <v>44844.0</v>
      </c>
      <c r="E201" s="24">
        <v>44859.0</v>
      </c>
      <c r="F201" s="6">
        <v>59.0</v>
      </c>
      <c r="G201" s="9" t="str">
        <f>VLOOKUP(operations[productID],products[],2,FALSE)</f>
        <v>Raclette Courdavault</v>
      </c>
      <c r="H201" s="9" t="str">
        <f>IF(VLOOKUP(operations[productID],products[],7,FALSE)=1,"Discontinued","Current")</f>
        <v>Current</v>
      </c>
      <c r="I201" s="6">
        <f>VLOOKUP(operations[productID],products[],4,FALSE)</f>
        <v>79</v>
      </c>
      <c r="J201" s="6">
        <f>VLOOKUP(operations[productID],products[],5,FALSE)</f>
        <v>0</v>
      </c>
      <c r="K201" s="6">
        <f>VLOOKUP(operations[productID],products[],6,FALSE)</f>
        <v>0</v>
      </c>
      <c r="L201" s="10">
        <f t="array" ref="L201">INDEX('1 orders'!I201:I2156, MATCH(1, ('1 orders'!A201:A2156=A201)*('1 orders'!G201:G2156=F201), 0))
</f>
        <v>40</v>
      </c>
      <c r="M201" s="10">
        <f>IFERROR(__xludf.DUMMYFUNCTION("COUNTUNIQUEIFS($A$2:$A201,$F$2:$F201,F201)"),7.0)</f>
        <v>7</v>
      </c>
      <c r="N201" s="10">
        <f t="shared" si="1"/>
        <v>26</v>
      </c>
      <c r="O201" s="26">
        <f>IF(operations[sinceLastOrder]=0,0,operations[orderQuantity] / operations[sinceLastOrder])</f>
        <v>1.538461538</v>
      </c>
      <c r="P201" s="9">
        <v>214.27</v>
      </c>
      <c r="Q201" s="7" t="s">
        <v>15</v>
      </c>
      <c r="R201" s="10">
        <f>operations[arrivedDate]-operations[shippedDate]</f>
        <v>15</v>
      </c>
    </row>
    <row r="202" ht="15.75" customHeight="1">
      <c r="A202" s="6">
        <v>10324.0</v>
      </c>
      <c r="B202" s="24">
        <v>44842.0</v>
      </c>
      <c r="C202" s="24">
        <v>44870.0</v>
      </c>
      <c r="D202" s="24">
        <v>44844.0</v>
      </c>
      <c r="E202" s="24">
        <v>44859.0</v>
      </c>
      <c r="F202" s="6">
        <v>63.0</v>
      </c>
      <c r="G202" s="9" t="str">
        <f>VLOOKUP(operations[productID],products[],2,FALSE)</f>
        <v>Vegie-spread</v>
      </c>
      <c r="H202" s="9" t="str">
        <f>IF(VLOOKUP(operations[productID],products[],7,FALSE)=1,"Discontinued","Current")</f>
        <v>Current</v>
      </c>
      <c r="I202" s="6">
        <f>VLOOKUP(operations[productID],products[],4,FALSE)</f>
        <v>24</v>
      </c>
      <c r="J202" s="6">
        <f>VLOOKUP(operations[productID],products[],5,FALSE)</f>
        <v>0</v>
      </c>
      <c r="K202" s="6">
        <f>VLOOKUP(operations[productID],products[],6,FALSE)</f>
        <v>5</v>
      </c>
      <c r="L202" s="10">
        <f t="array" ref="L202">INDEX('1 orders'!I202:I2156, MATCH(1, ('1 orders'!A202:A2156=A202)*('1 orders'!G202:G2156=F202), 0))
</f>
        <v>80</v>
      </c>
      <c r="M202" s="10">
        <f>IFERROR(__xludf.DUMMYFUNCTION("COUNTUNIQUEIFS($A$2:$A202,$F$2:$F202,F202)"),3.0)</f>
        <v>3</v>
      </c>
      <c r="N202" s="10">
        <f t="shared" si="1"/>
        <v>40</v>
      </c>
      <c r="O202" s="26">
        <f>IF(operations[sinceLastOrder]=0,0,operations[orderQuantity] / operations[sinceLastOrder])</f>
        <v>2</v>
      </c>
      <c r="P202" s="9">
        <v>214.27</v>
      </c>
      <c r="Q202" s="7" t="s">
        <v>15</v>
      </c>
      <c r="R202" s="10">
        <f>operations[arrivedDate]-operations[shippedDate]</f>
        <v>15</v>
      </c>
    </row>
    <row r="203" ht="15.75" customHeight="1">
      <c r="A203" s="6">
        <v>10325.0</v>
      </c>
      <c r="B203" s="24">
        <v>44843.0</v>
      </c>
      <c r="C203" s="24">
        <v>44857.0</v>
      </c>
      <c r="D203" s="24">
        <v>44848.0</v>
      </c>
      <c r="E203" s="24">
        <v>44852.0</v>
      </c>
      <c r="F203" s="6">
        <v>6.0</v>
      </c>
      <c r="G203" s="9" t="str">
        <f>VLOOKUP(operations[productID],products[],2,FALSE)</f>
        <v>Grandma's Boysenberry Spread</v>
      </c>
      <c r="H203" s="9" t="str">
        <f>IF(VLOOKUP(operations[productID],products[],7,FALSE)=1,"Discontinued","Current")</f>
        <v>Current</v>
      </c>
      <c r="I203" s="6">
        <f>VLOOKUP(operations[productID],products[],4,FALSE)</f>
        <v>120</v>
      </c>
      <c r="J203" s="6">
        <f>VLOOKUP(operations[productID],products[],5,FALSE)</f>
        <v>0</v>
      </c>
      <c r="K203" s="6">
        <f>VLOOKUP(operations[productID],products[],6,FALSE)</f>
        <v>25</v>
      </c>
      <c r="L203" s="10">
        <f t="array" ref="L203">INDEX('1 orders'!I203:I2156, MATCH(1, ('1 orders'!A203:A2156=A203)*('1 orders'!G203:G2156=F203), 0))
</f>
        <v>6</v>
      </c>
      <c r="M203" s="10">
        <f>IFERROR(__xludf.DUMMYFUNCTION("COUNTUNIQUEIFS($A$2:$A203,$F$2:$F203,F203)"),2.0)</f>
        <v>2</v>
      </c>
      <c r="N203" s="10">
        <f t="shared" si="1"/>
        <v>20</v>
      </c>
      <c r="O203" s="26">
        <f>IF(operations[sinceLastOrder]=0,0,operations[orderQuantity] / operations[sinceLastOrder])</f>
        <v>0.3</v>
      </c>
      <c r="P203" s="9">
        <v>64.86</v>
      </c>
      <c r="Q203" s="7" t="s">
        <v>13</v>
      </c>
      <c r="R203" s="10">
        <f>operations[arrivedDate]-operations[shippedDate]</f>
        <v>4</v>
      </c>
    </row>
    <row r="204" ht="15.75" customHeight="1">
      <c r="A204" s="6">
        <v>10325.0</v>
      </c>
      <c r="B204" s="24">
        <v>44843.0</v>
      </c>
      <c r="C204" s="24">
        <v>44857.0</v>
      </c>
      <c r="D204" s="24">
        <v>44848.0</v>
      </c>
      <c r="E204" s="24">
        <v>44852.0</v>
      </c>
      <c r="F204" s="6">
        <v>13.0</v>
      </c>
      <c r="G204" s="9" t="str">
        <f>VLOOKUP(operations[productID],products[],2,FALSE)</f>
        <v>Konbu</v>
      </c>
      <c r="H204" s="9" t="str">
        <f>IF(VLOOKUP(operations[productID],products[],7,FALSE)=1,"Discontinued","Current")</f>
        <v>Current</v>
      </c>
      <c r="I204" s="6">
        <f>VLOOKUP(operations[productID],products[],4,FALSE)</f>
        <v>24</v>
      </c>
      <c r="J204" s="6">
        <f>VLOOKUP(operations[productID],products[],5,FALSE)</f>
        <v>0</v>
      </c>
      <c r="K204" s="6">
        <f>VLOOKUP(operations[productID],products[],6,FALSE)</f>
        <v>5</v>
      </c>
      <c r="L204" s="10">
        <f t="array" ref="L204">INDEX('1 orders'!I204:I2156, MATCH(1, ('1 orders'!A204:A2156=A204)*('1 orders'!G204:G2156=F204), 0))
</f>
        <v>12</v>
      </c>
      <c r="M204" s="10">
        <f>IFERROR(__xludf.DUMMYFUNCTION("COUNTUNIQUEIFS($A$2:$A204,$F$2:$F204,F204)"),3.0)</f>
        <v>3</v>
      </c>
      <c r="N204" s="10">
        <f t="shared" si="1"/>
        <v>43</v>
      </c>
      <c r="O204" s="26">
        <f>IF(operations[sinceLastOrder]=0,0,operations[orderQuantity] / operations[sinceLastOrder])</f>
        <v>0.2790697674</v>
      </c>
      <c r="P204" s="9">
        <v>64.86</v>
      </c>
      <c r="Q204" s="7" t="s">
        <v>13</v>
      </c>
      <c r="R204" s="10">
        <f>operations[arrivedDate]-operations[shippedDate]</f>
        <v>4</v>
      </c>
    </row>
    <row r="205" ht="15.75" customHeight="1">
      <c r="A205" s="6">
        <v>10325.0</v>
      </c>
      <c r="B205" s="24">
        <v>44843.0</v>
      </c>
      <c r="C205" s="24">
        <v>44857.0</v>
      </c>
      <c r="D205" s="24">
        <v>44848.0</v>
      </c>
      <c r="E205" s="24">
        <v>44852.0</v>
      </c>
      <c r="F205" s="6">
        <v>14.0</v>
      </c>
      <c r="G205" s="9" t="str">
        <f>VLOOKUP(operations[productID],products[],2,FALSE)</f>
        <v>Tofu</v>
      </c>
      <c r="H205" s="9" t="str">
        <f>IF(VLOOKUP(operations[productID],products[],7,FALSE)=1,"Discontinued","Current")</f>
        <v>Current</v>
      </c>
      <c r="I205" s="6">
        <f>VLOOKUP(operations[productID],products[],4,FALSE)</f>
        <v>35</v>
      </c>
      <c r="J205" s="6">
        <f>VLOOKUP(operations[productID],products[],5,FALSE)</f>
        <v>0</v>
      </c>
      <c r="K205" s="6">
        <f>VLOOKUP(operations[productID],products[],6,FALSE)</f>
        <v>0</v>
      </c>
      <c r="L205" s="10">
        <f t="array" ref="L205">INDEX('1 orders'!I205:I2156, MATCH(1, ('1 orders'!A205:A2156=A205)*('1 orders'!G205:G2156=F205), 0))
</f>
        <v>9</v>
      </c>
      <c r="M205" s="10">
        <f>IFERROR(__xludf.DUMMYFUNCTION("COUNTUNIQUEIFS($A$2:$A205,$F$2:$F205,F205)"),2.0)</f>
        <v>2</v>
      </c>
      <c r="N205" s="10">
        <f t="shared" si="1"/>
        <v>96</v>
      </c>
      <c r="O205" s="26">
        <f>IF(operations[sinceLastOrder]=0,0,operations[orderQuantity] / operations[sinceLastOrder])</f>
        <v>0.09375</v>
      </c>
      <c r="P205" s="9">
        <v>64.86</v>
      </c>
      <c r="Q205" s="7" t="s">
        <v>13</v>
      </c>
      <c r="R205" s="10">
        <f>operations[arrivedDate]-operations[shippedDate]</f>
        <v>4</v>
      </c>
    </row>
    <row r="206" ht="15.75" customHeight="1">
      <c r="A206" s="6">
        <v>10325.0</v>
      </c>
      <c r="B206" s="24">
        <v>44843.0</v>
      </c>
      <c r="C206" s="24">
        <v>44857.0</v>
      </c>
      <c r="D206" s="24">
        <v>44848.0</v>
      </c>
      <c r="E206" s="24">
        <v>44852.0</v>
      </c>
      <c r="F206" s="6">
        <v>31.0</v>
      </c>
      <c r="G206" s="9" t="str">
        <f>VLOOKUP(operations[productID],products[],2,FALSE)</f>
        <v>Gorgonzola Telino</v>
      </c>
      <c r="H206" s="9" t="str">
        <f>IF(VLOOKUP(operations[productID],products[],7,FALSE)=1,"Discontinued","Current")</f>
        <v>Current</v>
      </c>
      <c r="I206" s="6">
        <f>VLOOKUP(operations[productID],products[],4,FALSE)</f>
        <v>0</v>
      </c>
      <c r="J206" s="6">
        <f>VLOOKUP(operations[productID],products[],5,FALSE)</f>
        <v>70</v>
      </c>
      <c r="K206" s="6">
        <f>VLOOKUP(operations[productID],products[],6,FALSE)</f>
        <v>20</v>
      </c>
      <c r="L206" s="10">
        <f t="array" ref="L206">INDEX('1 orders'!I206:I2156, MATCH(1, ('1 orders'!A206:A2156=A206)*('1 orders'!G206:G2156=F206), 0))
</f>
        <v>4</v>
      </c>
      <c r="M206" s="10">
        <f>IFERROR(__xludf.DUMMYFUNCTION("COUNTUNIQUEIFS($A$2:$A206,$F$2:$F206,F206)"),4.0)</f>
        <v>4</v>
      </c>
      <c r="N206" s="10">
        <f t="shared" si="1"/>
        <v>65</v>
      </c>
      <c r="O206" s="26">
        <f>IF(operations[sinceLastOrder]=0,0,operations[orderQuantity] / operations[sinceLastOrder])</f>
        <v>0.06153846154</v>
      </c>
      <c r="P206" s="9">
        <v>64.86</v>
      </c>
      <c r="Q206" s="7" t="s">
        <v>13</v>
      </c>
      <c r="R206" s="10">
        <f>operations[arrivedDate]-operations[shippedDate]</f>
        <v>4</v>
      </c>
    </row>
    <row r="207" ht="15.75" customHeight="1">
      <c r="A207" s="6">
        <v>10325.0</v>
      </c>
      <c r="B207" s="24">
        <v>44843.0</v>
      </c>
      <c r="C207" s="24">
        <v>44857.0</v>
      </c>
      <c r="D207" s="24">
        <v>44848.0</v>
      </c>
      <c r="E207" s="24">
        <v>44852.0</v>
      </c>
      <c r="F207" s="6">
        <v>72.0</v>
      </c>
      <c r="G207" s="9" t="str">
        <f>VLOOKUP(operations[productID],products[],2,FALSE)</f>
        <v>Mozzarella di Giovanni</v>
      </c>
      <c r="H207" s="9" t="str">
        <f>IF(VLOOKUP(operations[productID],products[],7,FALSE)=1,"Discontinued","Current")</f>
        <v>Current</v>
      </c>
      <c r="I207" s="6">
        <f>VLOOKUP(operations[productID],products[],4,FALSE)</f>
        <v>14</v>
      </c>
      <c r="J207" s="6">
        <f>VLOOKUP(operations[productID],products[],5,FALSE)</f>
        <v>0</v>
      </c>
      <c r="K207" s="6">
        <f>VLOOKUP(operations[productID],products[],6,FALSE)</f>
        <v>0</v>
      </c>
      <c r="L207" s="10">
        <f t="array" ref="L207">INDEX('1 orders'!I207:I2156, MATCH(1, ('1 orders'!A207:A2156=A207)*('1 orders'!G207:G2156=F207), 0))
</f>
        <v>40</v>
      </c>
      <c r="M207" s="10">
        <f>IFERROR(__xludf.DUMMYFUNCTION("COUNTUNIQUEIFS($A$2:$A207,$F$2:$F207,F207)"),8.0)</f>
        <v>8</v>
      </c>
      <c r="N207" s="10">
        <f t="shared" si="1"/>
        <v>35</v>
      </c>
      <c r="O207" s="26">
        <f>IF(operations[sinceLastOrder]=0,0,operations[orderQuantity] / operations[sinceLastOrder])</f>
        <v>1.142857143</v>
      </c>
      <c r="P207" s="9">
        <v>64.86</v>
      </c>
      <c r="Q207" s="7" t="s">
        <v>13</v>
      </c>
      <c r="R207" s="10">
        <f>operations[arrivedDate]-operations[shippedDate]</f>
        <v>4</v>
      </c>
    </row>
    <row r="208" ht="15.75" customHeight="1">
      <c r="A208" s="6">
        <v>10326.0</v>
      </c>
      <c r="B208" s="24">
        <v>44844.0</v>
      </c>
      <c r="C208" s="24">
        <v>44872.0</v>
      </c>
      <c r="D208" s="24">
        <v>44848.0</v>
      </c>
      <c r="E208" s="24">
        <v>44861.0</v>
      </c>
      <c r="F208" s="6">
        <v>4.0</v>
      </c>
      <c r="G208" s="9" t="str">
        <f>VLOOKUP(operations[productID],products[],2,FALSE)</f>
        <v>Chef Anton's Cajun Seasoning</v>
      </c>
      <c r="H208" s="9" t="str">
        <f>IF(VLOOKUP(operations[productID],products[],7,FALSE)=1,"Discontinued","Current")</f>
        <v>Current</v>
      </c>
      <c r="I208" s="6">
        <f>VLOOKUP(operations[productID],products[],4,FALSE)</f>
        <v>53</v>
      </c>
      <c r="J208" s="6">
        <f>VLOOKUP(operations[productID],products[],5,FALSE)</f>
        <v>0</v>
      </c>
      <c r="K208" s="6">
        <f>VLOOKUP(operations[productID],products[],6,FALSE)</f>
        <v>0</v>
      </c>
      <c r="L208" s="10">
        <f t="array" ref="L208">INDEX('1 orders'!I208:I2156, MATCH(1, ('1 orders'!A208:A2156=A208)*('1 orders'!G208:G2156=F208), 0))
</f>
        <v>24</v>
      </c>
      <c r="M208" s="10">
        <f>IFERROR(__xludf.DUMMYFUNCTION("COUNTUNIQUEIFS($A$2:$A208,$F$2:$F208,F208)"),2.0)</f>
        <v>2</v>
      </c>
      <c r="N208" s="10">
        <f t="shared" si="1"/>
        <v>21</v>
      </c>
      <c r="O208" s="26">
        <f>IF(operations[sinceLastOrder]=0,0,operations[orderQuantity] / operations[sinceLastOrder])</f>
        <v>1.142857143</v>
      </c>
      <c r="P208" s="9">
        <v>77.92</v>
      </c>
      <c r="Q208" s="7" t="s">
        <v>17</v>
      </c>
      <c r="R208" s="10">
        <f>operations[arrivedDate]-operations[shippedDate]</f>
        <v>13</v>
      </c>
    </row>
    <row r="209" ht="15.75" customHeight="1">
      <c r="A209" s="6">
        <v>10326.0</v>
      </c>
      <c r="B209" s="24">
        <v>44844.0</v>
      </c>
      <c r="C209" s="24">
        <v>44872.0</v>
      </c>
      <c r="D209" s="24">
        <v>44848.0</v>
      </c>
      <c r="E209" s="24">
        <v>44861.0</v>
      </c>
      <c r="F209" s="6">
        <v>57.0</v>
      </c>
      <c r="G209" s="9" t="str">
        <f>VLOOKUP(operations[productID],products[],2,FALSE)</f>
        <v>Ravioli Angelo</v>
      </c>
      <c r="H209" s="9" t="str">
        <f>IF(VLOOKUP(operations[productID],products[],7,FALSE)=1,"Discontinued","Current")</f>
        <v>Current</v>
      </c>
      <c r="I209" s="6">
        <f>VLOOKUP(operations[productID],products[],4,FALSE)</f>
        <v>36</v>
      </c>
      <c r="J209" s="6">
        <f>VLOOKUP(operations[productID],products[],5,FALSE)</f>
        <v>0</v>
      </c>
      <c r="K209" s="6">
        <f>VLOOKUP(operations[productID],products[],6,FALSE)</f>
        <v>20</v>
      </c>
      <c r="L209" s="10">
        <f t="array" ref="L209">INDEX('1 orders'!I209:I2156, MATCH(1, ('1 orders'!A209:A2156=A209)*('1 orders'!G209:G2156=F209), 0))
</f>
        <v>16</v>
      </c>
      <c r="M209" s="10">
        <f>IFERROR(__xludf.DUMMYFUNCTION("COUNTUNIQUEIFS($A$2:$A209,$F$2:$F209,F209)"),4.0)</f>
        <v>4</v>
      </c>
      <c r="N209" s="10">
        <f t="shared" si="1"/>
        <v>56</v>
      </c>
      <c r="O209" s="26">
        <f>IF(operations[sinceLastOrder]=0,0,operations[orderQuantity] / operations[sinceLastOrder])</f>
        <v>0.2857142857</v>
      </c>
      <c r="P209" s="9">
        <v>77.92</v>
      </c>
      <c r="Q209" s="7" t="s">
        <v>17</v>
      </c>
      <c r="R209" s="10">
        <f>operations[arrivedDate]-operations[shippedDate]</f>
        <v>13</v>
      </c>
    </row>
    <row r="210" ht="15.75" customHeight="1">
      <c r="A210" s="6">
        <v>10326.0</v>
      </c>
      <c r="B210" s="24">
        <v>44844.0</v>
      </c>
      <c r="C210" s="24">
        <v>44872.0</v>
      </c>
      <c r="D210" s="24">
        <v>44848.0</v>
      </c>
      <c r="E210" s="24">
        <v>44861.0</v>
      </c>
      <c r="F210" s="6">
        <v>75.0</v>
      </c>
      <c r="G210" s="9" t="str">
        <f>VLOOKUP(operations[productID],products[],2,FALSE)</f>
        <v>Rhönbräu Klosterbier</v>
      </c>
      <c r="H210" s="9" t="str">
        <f>IF(VLOOKUP(operations[productID],products[],7,FALSE)=1,"Discontinued","Current")</f>
        <v>Current</v>
      </c>
      <c r="I210" s="6">
        <f>VLOOKUP(operations[productID],products[],4,FALSE)</f>
        <v>125</v>
      </c>
      <c r="J210" s="6">
        <f>VLOOKUP(operations[productID],products[],5,FALSE)</f>
        <v>0</v>
      </c>
      <c r="K210" s="6">
        <f>VLOOKUP(operations[productID],products[],6,FALSE)</f>
        <v>25</v>
      </c>
      <c r="L210" s="10">
        <f t="array" ref="L210">INDEX('1 orders'!I210:I2156, MATCH(1, ('1 orders'!A210:A2156=A210)*('1 orders'!G210:G2156=F210), 0))
</f>
        <v>50</v>
      </c>
      <c r="M210" s="10">
        <f>IFERROR(__xludf.DUMMYFUNCTION("COUNTUNIQUEIFS($A$2:$A210,$F$2:$F210,F210)"),5.0)</f>
        <v>5</v>
      </c>
      <c r="N210" s="10">
        <f t="shared" si="1"/>
        <v>17</v>
      </c>
      <c r="O210" s="26">
        <f>IF(operations[sinceLastOrder]=0,0,operations[orderQuantity] / operations[sinceLastOrder])</f>
        <v>2.941176471</v>
      </c>
      <c r="P210" s="9">
        <v>77.92</v>
      </c>
      <c r="Q210" s="7" t="s">
        <v>17</v>
      </c>
      <c r="R210" s="10">
        <f>operations[arrivedDate]-operations[shippedDate]</f>
        <v>13</v>
      </c>
    </row>
    <row r="211" ht="15.75" customHeight="1">
      <c r="A211" s="6">
        <v>10327.0</v>
      </c>
      <c r="B211" s="24">
        <v>44845.0</v>
      </c>
      <c r="C211" s="24">
        <v>44873.0</v>
      </c>
      <c r="D211" s="24">
        <v>44848.0</v>
      </c>
      <c r="E211" s="24">
        <v>44857.0</v>
      </c>
      <c r="F211" s="6">
        <v>2.0</v>
      </c>
      <c r="G211" s="9" t="str">
        <f>VLOOKUP(operations[productID],products[],2,FALSE)</f>
        <v>Chang</v>
      </c>
      <c r="H211" s="9" t="str">
        <f>IF(VLOOKUP(operations[productID],products[],7,FALSE)=1,"Discontinued","Current")</f>
        <v>Current</v>
      </c>
      <c r="I211" s="6">
        <f>VLOOKUP(operations[productID],products[],4,FALSE)</f>
        <v>17</v>
      </c>
      <c r="J211" s="6">
        <f>VLOOKUP(operations[productID],products[],5,FALSE)</f>
        <v>40</v>
      </c>
      <c r="K211" s="6">
        <f>VLOOKUP(operations[productID],products[],6,FALSE)</f>
        <v>25</v>
      </c>
      <c r="L211" s="10">
        <f t="array" ref="L211">INDEX('1 orders'!I211:I2156, MATCH(1, ('1 orders'!A211:A2156=A211)*('1 orders'!G211:G2156=F211), 0))
</f>
        <v>25</v>
      </c>
      <c r="M211" s="10">
        <f>IFERROR(__xludf.DUMMYFUNCTION("COUNTUNIQUEIFS($A$2:$A211,$F$2:$F211,F211)"),5.0)</f>
        <v>5</v>
      </c>
      <c r="N211" s="10">
        <f t="shared" si="1"/>
        <v>36</v>
      </c>
      <c r="O211" s="26">
        <f>IF(operations[sinceLastOrder]=0,0,operations[orderQuantity] / operations[sinceLastOrder])</f>
        <v>0.6944444444</v>
      </c>
      <c r="P211" s="9">
        <v>63.36</v>
      </c>
      <c r="Q211" s="7" t="s">
        <v>15</v>
      </c>
      <c r="R211" s="10">
        <f>operations[arrivedDate]-operations[shippedDate]</f>
        <v>9</v>
      </c>
    </row>
    <row r="212" ht="15.75" customHeight="1">
      <c r="A212" s="6">
        <v>10327.0</v>
      </c>
      <c r="B212" s="24">
        <v>44845.0</v>
      </c>
      <c r="C212" s="24">
        <v>44873.0</v>
      </c>
      <c r="D212" s="24">
        <v>44848.0</v>
      </c>
      <c r="E212" s="24">
        <v>44857.0</v>
      </c>
      <c r="F212" s="6">
        <v>11.0</v>
      </c>
      <c r="G212" s="9" t="str">
        <f>VLOOKUP(operations[productID],products[],2,FALSE)</f>
        <v>Queso Cabrales</v>
      </c>
      <c r="H212" s="9" t="str">
        <f>IF(VLOOKUP(operations[productID],products[],7,FALSE)=1,"Discontinued","Current")</f>
        <v>Current</v>
      </c>
      <c r="I212" s="6">
        <f>VLOOKUP(operations[productID],products[],4,FALSE)</f>
        <v>22</v>
      </c>
      <c r="J212" s="6">
        <f>VLOOKUP(operations[productID],products[],5,FALSE)</f>
        <v>30</v>
      </c>
      <c r="K212" s="6">
        <f>VLOOKUP(operations[productID],products[],6,FALSE)</f>
        <v>30</v>
      </c>
      <c r="L212" s="10">
        <f t="array" ref="L212">INDEX('1 orders'!I212:I2156, MATCH(1, ('1 orders'!A212:A2156=A212)*('1 orders'!G212:G2156=F212), 0))
</f>
        <v>50</v>
      </c>
      <c r="M212" s="10">
        <f>IFERROR(__xludf.DUMMYFUNCTION("COUNTUNIQUEIFS($A$2:$A212,$F$2:$F212,F212)"),3.0)</f>
        <v>3</v>
      </c>
      <c r="N212" s="10">
        <f t="shared" si="1"/>
        <v>38</v>
      </c>
      <c r="O212" s="26">
        <f>IF(operations[sinceLastOrder]=0,0,operations[orderQuantity] / operations[sinceLastOrder])</f>
        <v>1.315789474</v>
      </c>
      <c r="P212" s="9">
        <v>63.36</v>
      </c>
      <c r="Q212" s="7" t="s">
        <v>15</v>
      </c>
      <c r="R212" s="10">
        <f>operations[arrivedDate]-operations[shippedDate]</f>
        <v>9</v>
      </c>
    </row>
    <row r="213" ht="15.75" customHeight="1">
      <c r="A213" s="6">
        <v>10327.0</v>
      </c>
      <c r="B213" s="24">
        <v>44845.0</v>
      </c>
      <c r="C213" s="24">
        <v>44873.0</v>
      </c>
      <c r="D213" s="24">
        <v>44848.0</v>
      </c>
      <c r="E213" s="24">
        <v>44857.0</v>
      </c>
      <c r="F213" s="6">
        <v>30.0</v>
      </c>
      <c r="G213" s="9" t="str">
        <f>VLOOKUP(operations[productID],products[],2,FALSE)</f>
        <v>Nord-Ost Matjeshering</v>
      </c>
      <c r="H213" s="9" t="str">
        <f>IF(VLOOKUP(operations[productID],products[],7,FALSE)=1,"Discontinued","Current")</f>
        <v>Current</v>
      </c>
      <c r="I213" s="6">
        <f>VLOOKUP(operations[productID],products[],4,FALSE)</f>
        <v>10</v>
      </c>
      <c r="J213" s="6">
        <f>VLOOKUP(operations[productID],products[],5,FALSE)</f>
        <v>0</v>
      </c>
      <c r="K213" s="6">
        <f>VLOOKUP(operations[productID],products[],6,FALSE)</f>
        <v>15</v>
      </c>
      <c r="L213" s="10">
        <f t="array" ref="L213">INDEX('1 orders'!I213:I2156, MATCH(1, ('1 orders'!A213:A2156=A213)*('1 orders'!G213:G2156=F213), 0))
</f>
        <v>35</v>
      </c>
      <c r="M213" s="10">
        <f>IFERROR(__xludf.DUMMYFUNCTION("COUNTUNIQUEIFS($A$2:$A213,$F$2:$F213,F213)"),4.0)</f>
        <v>4</v>
      </c>
      <c r="N213" s="10">
        <f t="shared" si="1"/>
        <v>25</v>
      </c>
      <c r="O213" s="26">
        <f>IF(operations[sinceLastOrder]=0,0,operations[orderQuantity] / operations[sinceLastOrder])</f>
        <v>1.4</v>
      </c>
      <c r="P213" s="9">
        <v>63.36</v>
      </c>
      <c r="Q213" s="7" t="s">
        <v>15</v>
      </c>
      <c r="R213" s="10">
        <f>operations[arrivedDate]-operations[shippedDate]</f>
        <v>9</v>
      </c>
    </row>
    <row r="214" ht="15.75" customHeight="1">
      <c r="A214" s="6">
        <v>10327.0</v>
      </c>
      <c r="B214" s="24">
        <v>44845.0</v>
      </c>
      <c r="C214" s="24">
        <v>44873.0</v>
      </c>
      <c r="D214" s="24">
        <v>44848.0</v>
      </c>
      <c r="E214" s="24">
        <v>44857.0</v>
      </c>
      <c r="F214" s="6">
        <v>58.0</v>
      </c>
      <c r="G214" s="9" t="str">
        <f>VLOOKUP(operations[productID],products[],2,FALSE)</f>
        <v>Escargots de Bourgogne</v>
      </c>
      <c r="H214" s="9" t="str">
        <f>IF(VLOOKUP(operations[productID],products[],7,FALSE)=1,"Discontinued","Current")</f>
        <v>Current</v>
      </c>
      <c r="I214" s="6">
        <f>VLOOKUP(operations[productID],products[],4,FALSE)</f>
        <v>62</v>
      </c>
      <c r="J214" s="6">
        <f>VLOOKUP(operations[productID],products[],5,FALSE)</f>
        <v>0</v>
      </c>
      <c r="K214" s="6">
        <f>VLOOKUP(operations[productID],products[],6,FALSE)</f>
        <v>20</v>
      </c>
      <c r="L214" s="10">
        <f t="array" ref="L214">INDEX('1 orders'!I214:I2156, MATCH(1, ('1 orders'!A214:A2156=A214)*('1 orders'!G214:G2156=F214), 0))
</f>
        <v>30</v>
      </c>
      <c r="M214" s="10">
        <f>IFERROR(__xludf.DUMMYFUNCTION("COUNTUNIQUEIFS($A$2:$A214,$F$2:$F214,F214)"),2.0)</f>
        <v>2</v>
      </c>
      <c r="N214" s="10">
        <f t="shared" si="1"/>
        <v>16</v>
      </c>
      <c r="O214" s="26">
        <f>IF(operations[sinceLastOrder]=0,0,operations[orderQuantity] / operations[sinceLastOrder])</f>
        <v>1.875</v>
      </c>
      <c r="P214" s="9">
        <v>63.36</v>
      </c>
      <c r="Q214" s="7" t="s">
        <v>15</v>
      </c>
      <c r="R214" s="10">
        <f>operations[arrivedDate]-operations[shippedDate]</f>
        <v>9</v>
      </c>
    </row>
    <row r="215" ht="15.75" customHeight="1">
      <c r="A215" s="6">
        <v>10328.0</v>
      </c>
      <c r="B215" s="24">
        <v>44848.0</v>
      </c>
      <c r="C215" s="24">
        <v>44876.0</v>
      </c>
      <c r="D215" s="24">
        <v>44851.0</v>
      </c>
      <c r="E215" s="24">
        <v>44861.0</v>
      </c>
      <c r="F215" s="6">
        <v>59.0</v>
      </c>
      <c r="G215" s="9" t="str">
        <f>VLOOKUP(operations[productID],products[],2,FALSE)</f>
        <v>Raclette Courdavault</v>
      </c>
      <c r="H215" s="9" t="str">
        <f>IF(VLOOKUP(operations[productID],products[],7,FALSE)=1,"Discontinued","Current")</f>
        <v>Current</v>
      </c>
      <c r="I215" s="6">
        <f>VLOOKUP(operations[productID],products[],4,FALSE)</f>
        <v>79</v>
      </c>
      <c r="J215" s="6">
        <f>VLOOKUP(operations[productID],products[],5,FALSE)</f>
        <v>0</v>
      </c>
      <c r="K215" s="6">
        <f>VLOOKUP(operations[productID],products[],6,FALSE)</f>
        <v>0</v>
      </c>
      <c r="L215" s="10">
        <f t="array" ref="L215">INDEX('1 orders'!I215:I2156, MATCH(1, ('1 orders'!A215:A2156=A215)*('1 orders'!G215:G2156=F215), 0))
</f>
        <v>9</v>
      </c>
      <c r="M215" s="10">
        <f>IFERROR(__xludf.DUMMYFUNCTION("COUNTUNIQUEIFS($A$2:$A215,$F$2:$F215,F215)"),8.0)</f>
        <v>8</v>
      </c>
      <c r="N215" s="10">
        <f t="shared" si="1"/>
        <v>6</v>
      </c>
      <c r="O215" s="26">
        <f>IF(operations[sinceLastOrder]=0,0,operations[orderQuantity] / operations[sinceLastOrder])</f>
        <v>1.5</v>
      </c>
      <c r="P215" s="9">
        <v>87.03</v>
      </c>
      <c r="Q215" s="7" t="s">
        <v>13</v>
      </c>
      <c r="R215" s="10">
        <f>operations[arrivedDate]-operations[shippedDate]</f>
        <v>10</v>
      </c>
    </row>
    <row r="216" ht="15.75" customHeight="1">
      <c r="A216" s="6">
        <v>10328.0</v>
      </c>
      <c r="B216" s="24">
        <v>44848.0</v>
      </c>
      <c r="C216" s="24">
        <v>44876.0</v>
      </c>
      <c r="D216" s="24">
        <v>44851.0</v>
      </c>
      <c r="E216" s="24">
        <v>44861.0</v>
      </c>
      <c r="F216" s="6">
        <v>65.0</v>
      </c>
      <c r="G216" s="9" t="str">
        <f>VLOOKUP(operations[productID],products[],2,FALSE)</f>
        <v>Louisiana Fiery Hot Pepper Sauce</v>
      </c>
      <c r="H216" s="9" t="str">
        <f>IF(VLOOKUP(operations[productID],products[],7,FALSE)=1,"Discontinued","Current")</f>
        <v>Current</v>
      </c>
      <c r="I216" s="6">
        <f>VLOOKUP(operations[productID],products[],4,FALSE)</f>
        <v>76</v>
      </c>
      <c r="J216" s="6">
        <f>VLOOKUP(operations[productID],products[],5,FALSE)</f>
        <v>0</v>
      </c>
      <c r="K216" s="6">
        <f>VLOOKUP(operations[productID],products[],6,FALSE)</f>
        <v>0</v>
      </c>
      <c r="L216" s="10">
        <f t="array" ref="L216">INDEX('1 orders'!I216:I2156, MATCH(1, ('1 orders'!A216:A2156=A216)*('1 orders'!G216:G2156=F216), 0))
</f>
        <v>40</v>
      </c>
      <c r="M216" s="10">
        <f>IFERROR(__xludf.DUMMYFUNCTION("COUNTUNIQUEIFS($A$2:$A216,$F$2:$F216,F216)"),4.0)</f>
        <v>4</v>
      </c>
      <c r="N216" s="10">
        <f t="shared" si="1"/>
        <v>33</v>
      </c>
      <c r="O216" s="26">
        <f>IF(operations[sinceLastOrder]=0,0,operations[orderQuantity] / operations[sinceLastOrder])</f>
        <v>1.212121212</v>
      </c>
      <c r="P216" s="9">
        <v>87.03</v>
      </c>
      <c r="Q216" s="7" t="s">
        <v>13</v>
      </c>
      <c r="R216" s="10">
        <f>operations[arrivedDate]-operations[shippedDate]</f>
        <v>10</v>
      </c>
    </row>
    <row r="217" ht="15.75" customHeight="1">
      <c r="A217" s="6">
        <v>10328.0</v>
      </c>
      <c r="B217" s="24">
        <v>44848.0</v>
      </c>
      <c r="C217" s="24">
        <v>44876.0</v>
      </c>
      <c r="D217" s="24">
        <v>44851.0</v>
      </c>
      <c r="E217" s="24">
        <v>44861.0</v>
      </c>
      <c r="F217" s="6">
        <v>68.0</v>
      </c>
      <c r="G217" s="9" t="str">
        <f>VLOOKUP(operations[productID],products[],2,FALSE)</f>
        <v>Scottish Longbreads</v>
      </c>
      <c r="H217" s="9" t="str">
        <f>IF(VLOOKUP(operations[productID],products[],7,FALSE)=1,"Discontinued","Current")</f>
        <v>Current</v>
      </c>
      <c r="I217" s="6">
        <f>VLOOKUP(operations[productID],products[],4,FALSE)</f>
        <v>6</v>
      </c>
      <c r="J217" s="6">
        <f>VLOOKUP(operations[productID],products[],5,FALSE)</f>
        <v>10</v>
      </c>
      <c r="K217" s="6">
        <f>VLOOKUP(operations[productID],products[],6,FALSE)</f>
        <v>15</v>
      </c>
      <c r="L217" s="10">
        <f t="array" ref="L217">INDEX('1 orders'!I217:I2156, MATCH(1, ('1 orders'!A217:A2156=A217)*('1 orders'!G217:G2156=F217), 0))
</f>
        <v>10</v>
      </c>
      <c r="M217" s="10">
        <f>IFERROR(__xludf.DUMMYFUNCTION("COUNTUNIQUEIFS($A$2:$A217,$F$2:$F217,F217)"),5.0)</f>
        <v>5</v>
      </c>
      <c r="N217" s="10">
        <f t="shared" si="1"/>
        <v>27</v>
      </c>
      <c r="O217" s="26">
        <f>IF(operations[sinceLastOrder]=0,0,operations[orderQuantity] / operations[sinceLastOrder])</f>
        <v>0.3703703704</v>
      </c>
      <c r="P217" s="9">
        <v>87.03</v>
      </c>
      <c r="Q217" s="7" t="s">
        <v>13</v>
      </c>
      <c r="R217" s="10">
        <f>operations[arrivedDate]-operations[shippedDate]</f>
        <v>10</v>
      </c>
    </row>
    <row r="218" ht="15.75" customHeight="1">
      <c r="A218" s="6">
        <v>10329.0</v>
      </c>
      <c r="B218" s="24">
        <v>44849.0</v>
      </c>
      <c r="C218" s="24">
        <v>44891.0</v>
      </c>
      <c r="D218" s="24">
        <v>44857.0</v>
      </c>
      <c r="E218" s="24">
        <v>44875.0</v>
      </c>
      <c r="F218" s="6">
        <v>19.0</v>
      </c>
      <c r="G218" s="9" t="str">
        <f>VLOOKUP(operations[productID],products[],2,FALSE)</f>
        <v>Teatime Chocolate Biscuits</v>
      </c>
      <c r="H218" s="9" t="str">
        <f>IF(VLOOKUP(operations[productID],products[],7,FALSE)=1,"Discontinued","Current")</f>
        <v>Current</v>
      </c>
      <c r="I218" s="6">
        <f>VLOOKUP(operations[productID],products[],4,FALSE)</f>
        <v>25</v>
      </c>
      <c r="J218" s="6">
        <f>VLOOKUP(operations[productID],products[],5,FALSE)</f>
        <v>0</v>
      </c>
      <c r="K218" s="6">
        <f>VLOOKUP(operations[productID],products[],6,FALSE)</f>
        <v>5</v>
      </c>
      <c r="L218" s="10">
        <f t="array" ref="L218">INDEX('1 orders'!I218:I2156, MATCH(1, ('1 orders'!A218:A2156=A218)*('1 orders'!G218:G2156=F218), 0))
</f>
        <v>10</v>
      </c>
      <c r="M218" s="10">
        <f>IFERROR(__xludf.DUMMYFUNCTION("COUNTUNIQUEIFS($A$2:$A218,$F$2:$F218,F218)"),4.0)</f>
        <v>4</v>
      </c>
      <c r="N218" s="10">
        <f t="shared" si="1"/>
        <v>39</v>
      </c>
      <c r="O218" s="26">
        <f>IF(operations[sinceLastOrder]=0,0,operations[orderQuantity] / operations[sinceLastOrder])</f>
        <v>0.2564102564</v>
      </c>
      <c r="P218" s="9">
        <v>191.67</v>
      </c>
      <c r="Q218" s="7" t="s">
        <v>17</v>
      </c>
      <c r="R218" s="10">
        <f>operations[arrivedDate]-operations[shippedDate]</f>
        <v>18</v>
      </c>
    </row>
    <row r="219" ht="15.75" customHeight="1">
      <c r="A219" s="6">
        <v>10329.0</v>
      </c>
      <c r="B219" s="24">
        <v>44849.0</v>
      </c>
      <c r="C219" s="24">
        <v>44891.0</v>
      </c>
      <c r="D219" s="24">
        <v>44857.0</v>
      </c>
      <c r="E219" s="24">
        <v>44875.0</v>
      </c>
      <c r="F219" s="6">
        <v>30.0</v>
      </c>
      <c r="G219" s="9" t="str">
        <f>VLOOKUP(operations[productID],products[],2,FALSE)</f>
        <v>Nord-Ost Matjeshering</v>
      </c>
      <c r="H219" s="9" t="str">
        <f>IF(VLOOKUP(operations[productID],products[],7,FALSE)=1,"Discontinued","Current")</f>
        <v>Current</v>
      </c>
      <c r="I219" s="6">
        <f>VLOOKUP(operations[productID],products[],4,FALSE)</f>
        <v>10</v>
      </c>
      <c r="J219" s="6">
        <f>VLOOKUP(operations[productID],products[],5,FALSE)</f>
        <v>0</v>
      </c>
      <c r="K219" s="6">
        <f>VLOOKUP(operations[productID],products[],6,FALSE)</f>
        <v>15</v>
      </c>
      <c r="L219" s="10">
        <f t="array" ref="L219">INDEX('1 orders'!I219:I2156, MATCH(1, ('1 orders'!A219:A2156=A219)*('1 orders'!G219:G2156=F219), 0))
</f>
        <v>8</v>
      </c>
      <c r="M219" s="10">
        <f>IFERROR(__xludf.DUMMYFUNCTION("COUNTUNIQUEIFS($A$2:$A219,$F$2:$F219,F219)"),5.0)</f>
        <v>5</v>
      </c>
      <c r="N219" s="10">
        <f t="shared" si="1"/>
        <v>4</v>
      </c>
      <c r="O219" s="26">
        <f>IF(operations[sinceLastOrder]=0,0,operations[orderQuantity] / operations[sinceLastOrder])</f>
        <v>2</v>
      </c>
      <c r="P219" s="9">
        <v>191.67</v>
      </c>
      <c r="Q219" s="7" t="s">
        <v>17</v>
      </c>
      <c r="R219" s="10">
        <f>operations[arrivedDate]-operations[shippedDate]</f>
        <v>18</v>
      </c>
    </row>
    <row r="220" ht="15.75" customHeight="1">
      <c r="A220" s="6">
        <v>10329.0</v>
      </c>
      <c r="B220" s="24">
        <v>44849.0</v>
      </c>
      <c r="C220" s="24">
        <v>44891.0</v>
      </c>
      <c r="D220" s="24">
        <v>44857.0</v>
      </c>
      <c r="E220" s="24">
        <v>44875.0</v>
      </c>
      <c r="F220" s="6">
        <v>38.0</v>
      </c>
      <c r="G220" s="9" t="str">
        <f>VLOOKUP(operations[productID],products[],2,FALSE)</f>
        <v>Côte de Blaye</v>
      </c>
      <c r="H220" s="9" t="str">
        <f>IF(VLOOKUP(operations[productID],products[],7,FALSE)=1,"Discontinued","Current")</f>
        <v>Current</v>
      </c>
      <c r="I220" s="6">
        <f>VLOOKUP(operations[productID],products[],4,FALSE)</f>
        <v>17</v>
      </c>
      <c r="J220" s="6">
        <f>VLOOKUP(operations[productID],products[],5,FALSE)</f>
        <v>0</v>
      </c>
      <c r="K220" s="6">
        <f>VLOOKUP(operations[productID],products[],6,FALSE)</f>
        <v>15</v>
      </c>
      <c r="L220" s="10">
        <f t="array" ref="L220">INDEX('1 orders'!I220:I2156, MATCH(1, ('1 orders'!A220:A2156=A220)*('1 orders'!G220:G2156=F220), 0))
</f>
        <v>20</v>
      </c>
      <c r="M220" s="10">
        <f>IFERROR(__xludf.DUMMYFUNCTION("COUNTUNIQUEIFS($A$2:$A220,$F$2:$F220,F220)"),1.0)</f>
        <v>1</v>
      </c>
      <c r="N220" s="10">
        <f t="shared" si="1"/>
        <v>0</v>
      </c>
      <c r="O220" s="26">
        <f>IF(operations[sinceLastOrder]=0,0,operations[orderQuantity] / operations[sinceLastOrder])</f>
        <v>0</v>
      </c>
      <c r="P220" s="9">
        <v>191.67</v>
      </c>
      <c r="Q220" s="7" t="s">
        <v>17</v>
      </c>
      <c r="R220" s="10">
        <f>operations[arrivedDate]-operations[shippedDate]</f>
        <v>18</v>
      </c>
    </row>
    <row r="221" ht="15.75" customHeight="1">
      <c r="A221" s="6">
        <v>10329.0</v>
      </c>
      <c r="B221" s="24">
        <v>44849.0</v>
      </c>
      <c r="C221" s="24">
        <v>44891.0</v>
      </c>
      <c r="D221" s="24">
        <v>44857.0</v>
      </c>
      <c r="E221" s="24">
        <v>44875.0</v>
      </c>
      <c r="F221" s="6">
        <v>56.0</v>
      </c>
      <c r="G221" s="9" t="str">
        <f>VLOOKUP(operations[productID],products[],2,FALSE)</f>
        <v>Gnocchi di nonna Alice</v>
      </c>
      <c r="H221" s="9" t="str">
        <f>IF(VLOOKUP(operations[productID],products[],7,FALSE)=1,"Discontinued","Current")</f>
        <v>Current</v>
      </c>
      <c r="I221" s="6">
        <f>VLOOKUP(operations[productID],products[],4,FALSE)</f>
        <v>21</v>
      </c>
      <c r="J221" s="6">
        <f>VLOOKUP(operations[productID],products[],5,FALSE)</f>
        <v>10</v>
      </c>
      <c r="K221" s="6">
        <f>VLOOKUP(operations[productID],products[],6,FALSE)</f>
        <v>30</v>
      </c>
      <c r="L221" s="10">
        <f t="array" ref="L221">INDEX('1 orders'!I221:I2156, MATCH(1, ('1 orders'!A221:A2156=A221)*('1 orders'!G221:G2156=F221), 0))
</f>
        <v>12</v>
      </c>
      <c r="M221" s="10">
        <f>IFERROR(__xludf.DUMMYFUNCTION("COUNTUNIQUEIFS($A$2:$A221,$F$2:$F221,F221)"),4.0)</f>
        <v>4</v>
      </c>
      <c r="N221" s="10">
        <f t="shared" si="1"/>
        <v>36</v>
      </c>
      <c r="O221" s="26">
        <f>IF(operations[sinceLastOrder]=0,0,operations[orderQuantity] / operations[sinceLastOrder])</f>
        <v>0.3333333333</v>
      </c>
      <c r="P221" s="9">
        <v>191.67</v>
      </c>
      <c r="Q221" s="7" t="s">
        <v>17</v>
      </c>
      <c r="R221" s="10">
        <f>operations[arrivedDate]-operations[shippedDate]</f>
        <v>18</v>
      </c>
    </row>
    <row r="222" ht="15.75" customHeight="1">
      <c r="A222" s="6">
        <v>10330.0</v>
      </c>
      <c r="B222" s="24">
        <v>44850.0</v>
      </c>
      <c r="C222" s="24">
        <v>44878.0</v>
      </c>
      <c r="D222" s="24">
        <v>44862.0</v>
      </c>
      <c r="E222" s="24">
        <v>44873.0</v>
      </c>
      <c r="F222" s="6">
        <v>26.0</v>
      </c>
      <c r="G222" s="9" t="str">
        <f>VLOOKUP(operations[productID],products[],2,FALSE)</f>
        <v>NuNuCa Nuß-Nougat-Creme</v>
      </c>
      <c r="H222" s="9" t="str">
        <f>IF(VLOOKUP(operations[productID],products[],7,FALSE)=1,"Discontinued","Current")</f>
        <v>Current</v>
      </c>
      <c r="I222" s="6">
        <f>VLOOKUP(operations[productID],products[],4,FALSE)</f>
        <v>15</v>
      </c>
      <c r="J222" s="6">
        <f>VLOOKUP(operations[productID],products[],5,FALSE)</f>
        <v>0</v>
      </c>
      <c r="K222" s="6">
        <f>VLOOKUP(operations[productID],products[],6,FALSE)</f>
        <v>0</v>
      </c>
      <c r="L222" s="10">
        <f t="array" ref="L222">INDEX('1 orders'!I222:I2156, MATCH(1, ('1 orders'!A222:A2156=A222)*('1 orders'!G222:G2156=F222), 0))
</f>
        <v>50</v>
      </c>
      <c r="M222" s="10">
        <f>IFERROR(__xludf.DUMMYFUNCTION("COUNTUNIQUEIFS($A$2:$A222,$F$2:$F222,F222)"),1.0)</f>
        <v>1</v>
      </c>
      <c r="N222" s="10">
        <f t="shared" si="1"/>
        <v>0</v>
      </c>
      <c r="O222" s="26">
        <f>IF(operations[sinceLastOrder]=0,0,operations[orderQuantity] / operations[sinceLastOrder])</f>
        <v>0</v>
      </c>
      <c r="P222" s="9">
        <v>12.75</v>
      </c>
      <c r="Q222" s="7" t="s">
        <v>15</v>
      </c>
      <c r="R222" s="10">
        <f>operations[arrivedDate]-operations[shippedDate]</f>
        <v>11</v>
      </c>
    </row>
    <row r="223" ht="15.75" customHeight="1">
      <c r="A223" s="6">
        <v>10330.0</v>
      </c>
      <c r="B223" s="24">
        <v>44850.0</v>
      </c>
      <c r="C223" s="24">
        <v>44878.0</v>
      </c>
      <c r="D223" s="24">
        <v>44862.0</v>
      </c>
      <c r="E223" s="24">
        <v>44873.0</v>
      </c>
      <c r="F223" s="6">
        <v>72.0</v>
      </c>
      <c r="G223" s="9" t="str">
        <f>VLOOKUP(operations[productID],products[],2,FALSE)</f>
        <v>Mozzarella di Giovanni</v>
      </c>
      <c r="H223" s="9" t="str">
        <f>IF(VLOOKUP(operations[productID],products[],7,FALSE)=1,"Discontinued","Current")</f>
        <v>Current</v>
      </c>
      <c r="I223" s="6">
        <f>VLOOKUP(operations[productID],products[],4,FALSE)</f>
        <v>14</v>
      </c>
      <c r="J223" s="6">
        <f>VLOOKUP(operations[productID],products[],5,FALSE)</f>
        <v>0</v>
      </c>
      <c r="K223" s="6">
        <f>VLOOKUP(operations[productID],products[],6,FALSE)</f>
        <v>0</v>
      </c>
      <c r="L223" s="10">
        <f t="array" ref="L223">INDEX('1 orders'!I223:I2156, MATCH(1, ('1 orders'!A223:A2156=A223)*('1 orders'!G223:G2156=F223), 0))
</f>
        <v>25</v>
      </c>
      <c r="M223" s="10">
        <f>IFERROR(__xludf.DUMMYFUNCTION("COUNTUNIQUEIFS($A$2:$A223,$F$2:$F223,F223)"),9.0)</f>
        <v>9</v>
      </c>
      <c r="N223" s="10">
        <f t="shared" si="1"/>
        <v>7</v>
      </c>
      <c r="O223" s="26">
        <f>IF(operations[sinceLastOrder]=0,0,operations[orderQuantity] / operations[sinceLastOrder])</f>
        <v>3.571428571</v>
      </c>
      <c r="P223" s="9">
        <v>12.75</v>
      </c>
      <c r="Q223" s="7" t="s">
        <v>15</v>
      </c>
      <c r="R223" s="10">
        <f>operations[arrivedDate]-operations[shippedDate]</f>
        <v>11</v>
      </c>
    </row>
    <row r="224" ht="15.75" customHeight="1">
      <c r="A224" s="6">
        <v>10331.0</v>
      </c>
      <c r="B224" s="24">
        <v>44850.0</v>
      </c>
      <c r="C224" s="24">
        <v>44892.0</v>
      </c>
      <c r="D224" s="24">
        <v>44855.0</v>
      </c>
      <c r="E224" s="24">
        <v>44858.0</v>
      </c>
      <c r="F224" s="6">
        <v>54.0</v>
      </c>
      <c r="G224" s="9" t="str">
        <f>VLOOKUP(operations[productID],products[],2,FALSE)</f>
        <v>Tourtière</v>
      </c>
      <c r="H224" s="9" t="str">
        <f>IF(VLOOKUP(operations[productID],products[],7,FALSE)=1,"Discontinued","Current")</f>
        <v>Current</v>
      </c>
      <c r="I224" s="6">
        <f>VLOOKUP(operations[productID],products[],4,FALSE)</f>
        <v>21</v>
      </c>
      <c r="J224" s="6">
        <f>VLOOKUP(operations[productID],products[],5,FALSE)</f>
        <v>0</v>
      </c>
      <c r="K224" s="6">
        <f>VLOOKUP(operations[productID],products[],6,FALSE)</f>
        <v>10</v>
      </c>
      <c r="L224" s="10">
        <f t="array" ref="L224">INDEX('1 orders'!I224:I2156, MATCH(1, ('1 orders'!A224:A2156=A224)*('1 orders'!G224:G2156=F224), 0))
</f>
        <v>15</v>
      </c>
      <c r="M224" s="10">
        <f>IFERROR(__xludf.DUMMYFUNCTION("COUNTUNIQUEIFS($A$2:$A224,$F$2:$F224,F224)"),3.0)</f>
        <v>3</v>
      </c>
      <c r="N224" s="10">
        <f t="shared" si="1"/>
        <v>30</v>
      </c>
      <c r="O224" s="26">
        <f>IF(operations[sinceLastOrder]=0,0,operations[orderQuantity] / operations[sinceLastOrder])</f>
        <v>0.5</v>
      </c>
      <c r="P224" s="9">
        <v>10.19</v>
      </c>
      <c r="Q224" s="7" t="s">
        <v>15</v>
      </c>
      <c r="R224" s="10">
        <f>operations[arrivedDate]-operations[shippedDate]</f>
        <v>3</v>
      </c>
    </row>
    <row r="225" ht="15.75" customHeight="1">
      <c r="A225" s="6">
        <v>10332.0</v>
      </c>
      <c r="B225" s="24">
        <v>44851.0</v>
      </c>
      <c r="C225" s="24">
        <v>44893.0</v>
      </c>
      <c r="D225" s="24">
        <v>44855.0</v>
      </c>
      <c r="E225" s="24">
        <v>44872.0</v>
      </c>
      <c r="F225" s="6">
        <v>18.0</v>
      </c>
      <c r="G225" s="9" t="str">
        <f>VLOOKUP(operations[productID],products[],2,FALSE)</f>
        <v>Carnarvon Tigers</v>
      </c>
      <c r="H225" s="9" t="str">
        <f>IF(VLOOKUP(operations[productID],products[],7,FALSE)=1,"Discontinued","Current")</f>
        <v>Current</v>
      </c>
      <c r="I225" s="6">
        <f>VLOOKUP(operations[productID],products[],4,FALSE)</f>
        <v>42</v>
      </c>
      <c r="J225" s="6">
        <f>VLOOKUP(operations[productID],products[],5,FALSE)</f>
        <v>0</v>
      </c>
      <c r="K225" s="6">
        <f>VLOOKUP(operations[productID],products[],6,FALSE)</f>
        <v>0</v>
      </c>
      <c r="L225" s="10">
        <f t="array" ref="L225">INDEX('1 orders'!I225:I2156, MATCH(1, ('1 orders'!A225:A2156=A225)*('1 orders'!G225:G2156=F225), 0))
</f>
        <v>40</v>
      </c>
      <c r="M225" s="10">
        <f>IFERROR(__xludf.DUMMYFUNCTION("COUNTUNIQUEIFS($A$2:$A225,$F$2:$F225,F225)"),3.0)</f>
        <v>3</v>
      </c>
      <c r="N225" s="10">
        <f t="shared" si="1"/>
        <v>34</v>
      </c>
      <c r="O225" s="26">
        <f>IF(operations[sinceLastOrder]=0,0,operations[orderQuantity] / operations[sinceLastOrder])</f>
        <v>1.176470588</v>
      </c>
      <c r="P225" s="9">
        <v>52.84</v>
      </c>
      <c r="Q225" s="7" t="s">
        <v>17</v>
      </c>
      <c r="R225" s="10">
        <f>operations[arrivedDate]-operations[shippedDate]</f>
        <v>17</v>
      </c>
    </row>
    <row r="226" ht="15.75" customHeight="1">
      <c r="A226" s="6">
        <v>10332.0</v>
      </c>
      <c r="B226" s="24">
        <v>44851.0</v>
      </c>
      <c r="C226" s="24">
        <v>44893.0</v>
      </c>
      <c r="D226" s="24">
        <v>44855.0</v>
      </c>
      <c r="E226" s="24">
        <v>44872.0</v>
      </c>
      <c r="F226" s="6">
        <v>42.0</v>
      </c>
      <c r="G226" s="9" t="str">
        <f>VLOOKUP(operations[productID],products[],2,FALSE)</f>
        <v>Singaporean Hokkien Fried Mee</v>
      </c>
      <c r="H226" s="9" t="str">
        <f>IF(VLOOKUP(operations[productID],products[],7,FALSE)=1,"Discontinued","Current")</f>
        <v>Discontinued</v>
      </c>
      <c r="I226" s="6">
        <f>VLOOKUP(operations[productID],products[],4,FALSE)</f>
        <v>26</v>
      </c>
      <c r="J226" s="6">
        <f>VLOOKUP(operations[productID],products[],5,FALSE)</f>
        <v>0</v>
      </c>
      <c r="K226" s="6">
        <f>VLOOKUP(operations[productID],products[],6,FALSE)</f>
        <v>0</v>
      </c>
      <c r="L226" s="10">
        <f t="array" ref="L226">INDEX('1 orders'!I226:I2156, MATCH(1, ('1 orders'!A226:A2156=A226)*('1 orders'!G226:G2156=F226), 0))
</f>
        <v>10</v>
      </c>
      <c r="M226" s="10">
        <f>IFERROR(__xludf.DUMMYFUNCTION("COUNTUNIQUEIFS($A$2:$A226,$F$2:$F226,F226)"),4.0)</f>
        <v>4</v>
      </c>
      <c r="N226" s="10">
        <f t="shared" si="1"/>
        <v>27</v>
      </c>
      <c r="O226" s="26">
        <f>IF(operations[sinceLastOrder]=0,0,operations[orderQuantity] / operations[sinceLastOrder])</f>
        <v>0.3703703704</v>
      </c>
      <c r="P226" s="9">
        <v>52.84</v>
      </c>
      <c r="Q226" s="7" t="s">
        <v>17</v>
      </c>
      <c r="R226" s="10">
        <f>operations[arrivedDate]-operations[shippedDate]</f>
        <v>17</v>
      </c>
    </row>
    <row r="227" ht="15.75" customHeight="1">
      <c r="A227" s="6">
        <v>10332.0</v>
      </c>
      <c r="B227" s="24">
        <v>44851.0</v>
      </c>
      <c r="C227" s="24">
        <v>44893.0</v>
      </c>
      <c r="D227" s="24">
        <v>44855.0</v>
      </c>
      <c r="E227" s="24">
        <v>44872.0</v>
      </c>
      <c r="F227" s="6">
        <v>47.0</v>
      </c>
      <c r="G227" s="9" t="str">
        <f>VLOOKUP(operations[productID],products[],2,FALSE)</f>
        <v>Zaanse koeken</v>
      </c>
      <c r="H227" s="9" t="str">
        <f>IF(VLOOKUP(operations[productID],products[],7,FALSE)=1,"Discontinued","Current")</f>
        <v>Current</v>
      </c>
      <c r="I227" s="6">
        <f>VLOOKUP(operations[productID],products[],4,FALSE)</f>
        <v>36</v>
      </c>
      <c r="J227" s="6">
        <f>VLOOKUP(operations[productID],products[],5,FALSE)</f>
        <v>0</v>
      </c>
      <c r="K227" s="6">
        <f>VLOOKUP(operations[productID],products[],6,FALSE)</f>
        <v>0</v>
      </c>
      <c r="L227" s="10">
        <f t="array" ref="L227">INDEX('1 orders'!I227:I2156, MATCH(1, ('1 orders'!A227:A2156=A227)*('1 orders'!G227:G2156=F227), 0))
</f>
        <v>16</v>
      </c>
      <c r="M227" s="10">
        <f>IFERROR(__xludf.DUMMYFUNCTION("COUNTUNIQUEIFS($A$2:$A227,$F$2:$F227,F227)"),1.0)</f>
        <v>1</v>
      </c>
      <c r="N227" s="10">
        <f t="shared" si="1"/>
        <v>0</v>
      </c>
      <c r="O227" s="26">
        <f>IF(operations[sinceLastOrder]=0,0,operations[orderQuantity] / operations[sinceLastOrder])</f>
        <v>0</v>
      </c>
      <c r="P227" s="9">
        <v>52.84</v>
      </c>
      <c r="Q227" s="7" t="s">
        <v>17</v>
      </c>
      <c r="R227" s="10">
        <f>operations[arrivedDate]-operations[shippedDate]</f>
        <v>17</v>
      </c>
    </row>
    <row r="228" ht="15.75" customHeight="1">
      <c r="A228" s="6">
        <v>10333.0</v>
      </c>
      <c r="B228" s="24">
        <v>44852.0</v>
      </c>
      <c r="C228" s="24">
        <v>44880.0</v>
      </c>
      <c r="D228" s="24">
        <v>44859.0</v>
      </c>
      <c r="E228" s="24">
        <v>44873.0</v>
      </c>
      <c r="F228" s="6">
        <v>14.0</v>
      </c>
      <c r="G228" s="9" t="str">
        <f>VLOOKUP(operations[productID],products[],2,FALSE)</f>
        <v>Tofu</v>
      </c>
      <c r="H228" s="9" t="str">
        <f>IF(VLOOKUP(operations[productID],products[],7,FALSE)=1,"Discontinued","Current")</f>
        <v>Current</v>
      </c>
      <c r="I228" s="6">
        <f>VLOOKUP(operations[productID],products[],4,FALSE)</f>
        <v>35</v>
      </c>
      <c r="J228" s="6">
        <f>VLOOKUP(operations[productID],products[],5,FALSE)</f>
        <v>0</v>
      </c>
      <c r="K228" s="6">
        <f>VLOOKUP(operations[productID],products[],6,FALSE)</f>
        <v>0</v>
      </c>
      <c r="L228" s="10">
        <f t="array" ref="L228">INDEX('1 orders'!I228:I2156, MATCH(1, ('1 orders'!A228:A2156=A228)*('1 orders'!G228:G2156=F228), 0))
</f>
        <v>10</v>
      </c>
      <c r="M228" s="10">
        <f>IFERROR(__xludf.DUMMYFUNCTION("COUNTUNIQUEIFS($A$2:$A228,$F$2:$F228,F228)"),3.0)</f>
        <v>3</v>
      </c>
      <c r="N228" s="10">
        <f t="shared" si="1"/>
        <v>9</v>
      </c>
      <c r="O228" s="26">
        <f>IF(operations[sinceLastOrder]=0,0,operations[orderQuantity] / operations[sinceLastOrder])</f>
        <v>1.111111111</v>
      </c>
      <c r="P228" s="9">
        <v>0.59</v>
      </c>
      <c r="Q228" s="7" t="s">
        <v>13</v>
      </c>
      <c r="R228" s="10">
        <f>operations[arrivedDate]-operations[shippedDate]</f>
        <v>14</v>
      </c>
    </row>
    <row r="229" ht="15.75" customHeight="1">
      <c r="A229" s="6">
        <v>10333.0</v>
      </c>
      <c r="B229" s="24">
        <v>44852.0</v>
      </c>
      <c r="C229" s="24">
        <v>44880.0</v>
      </c>
      <c r="D229" s="24">
        <v>44859.0</v>
      </c>
      <c r="E229" s="24">
        <v>44873.0</v>
      </c>
      <c r="F229" s="6">
        <v>21.0</v>
      </c>
      <c r="G229" s="9" t="str">
        <f>VLOOKUP(operations[productID],products[],2,FALSE)</f>
        <v>Sir Rodney's Scones</v>
      </c>
      <c r="H229" s="9" t="str">
        <f>IF(VLOOKUP(operations[productID],products[],7,FALSE)=1,"Discontinued","Current")</f>
        <v>Current</v>
      </c>
      <c r="I229" s="6">
        <f>VLOOKUP(operations[productID],products[],4,FALSE)</f>
        <v>3</v>
      </c>
      <c r="J229" s="6">
        <f>VLOOKUP(operations[productID],products[],5,FALSE)</f>
        <v>40</v>
      </c>
      <c r="K229" s="6">
        <f>VLOOKUP(operations[productID],products[],6,FALSE)</f>
        <v>5</v>
      </c>
      <c r="L229" s="10">
        <f t="array" ref="L229">INDEX('1 orders'!I229:I2156, MATCH(1, ('1 orders'!A229:A2156=A229)*('1 orders'!G229:G2156=F229), 0))
</f>
        <v>10</v>
      </c>
      <c r="M229" s="10">
        <f>IFERROR(__xludf.DUMMYFUNCTION("COUNTUNIQUEIFS($A$2:$A229,$F$2:$F229,F229)"),3.0)</f>
        <v>3</v>
      </c>
      <c r="N229" s="10">
        <f t="shared" si="1"/>
        <v>91</v>
      </c>
      <c r="O229" s="26">
        <f>IF(operations[sinceLastOrder]=0,0,operations[orderQuantity] / operations[sinceLastOrder])</f>
        <v>0.1098901099</v>
      </c>
      <c r="P229" s="9">
        <v>0.59</v>
      </c>
      <c r="Q229" s="7" t="s">
        <v>13</v>
      </c>
      <c r="R229" s="10">
        <f>operations[arrivedDate]-operations[shippedDate]</f>
        <v>14</v>
      </c>
    </row>
    <row r="230" ht="15.75" customHeight="1">
      <c r="A230" s="6">
        <v>10333.0</v>
      </c>
      <c r="B230" s="24">
        <v>44852.0</v>
      </c>
      <c r="C230" s="24">
        <v>44880.0</v>
      </c>
      <c r="D230" s="24">
        <v>44859.0</v>
      </c>
      <c r="E230" s="24">
        <v>44873.0</v>
      </c>
      <c r="F230" s="6">
        <v>71.0</v>
      </c>
      <c r="G230" s="9" t="str">
        <f>VLOOKUP(operations[productID],products[],2,FALSE)</f>
        <v>Flotemysost</v>
      </c>
      <c r="H230" s="9" t="str">
        <f>IF(VLOOKUP(operations[productID],products[],7,FALSE)=1,"Discontinued","Current")</f>
        <v>Current</v>
      </c>
      <c r="I230" s="6">
        <f>VLOOKUP(operations[productID],products[],4,FALSE)</f>
        <v>26</v>
      </c>
      <c r="J230" s="6">
        <f>VLOOKUP(operations[productID],products[],5,FALSE)</f>
        <v>0</v>
      </c>
      <c r="K230" s="6">
        <f>VLOOKUP(operations[productID],products[],6,FALSE)</f>
        <v>0</v>
      </c>
      <c r="L230" s="10">
        <f t="array" ref="L230">INDEX('1 orders'!I230:I2156, MATCH(1, ('1 orders'!A230:A2156=A230)*('1 orders'!G230:G2156=F230), 0))
</f>
        <v>40</v>
      </c>
      <c r="M230" s="10">
        <f>IFERROR(__xludf.DUMMYFUNCTION("COUNTUNIQUEIFS($A$2:$A230,$F$2:$F230,F230)"),5.0)</f>
        <v>5</v>
      </c>
      <c r="N230" s="10">
        <f t="shared" si="1"/>
        <v>15</v>
      </c>
      <c r="O230" s="26">
        <f>IF(operations[sinceLastOrder]=0,0,operations[orderQuantity] / operations[sinceLastOrder])</f>
        <v>2.666666667</v>
      </c>
      <c r="P230" s="9">
        <v>0.59</v>
      </c>
      <c r="Q230" s="7" t="s">
        <v>13</v>
      </c>
      <c r="R230" s="10">
        <f>operations[arrivedDate]-operations[shippedDate]</f>
        <v>14</v>
      </c>
    </row>
    <row r="231" ht="15.75" customHeight="1">
      <c r="A231" s="6">
        <v>10334.0</v>
      </c>
      <c r="B231" s="24">
        <v>44855.0</v>
      </c>
      <c r="C231" s="24">
        <v>44883.0</v>
      </c>
      <c r="D231" s="24">
        <v>44862.0</v>
      </c>
      <c r="E231" s="24">
        <v>44873.0</v>
      </c>
      <c r="F231" s="6">
        <v>52.0</v>
      </c>
      <c r="G231" s="9" t="str">
        <f>VLOOKUP(operations[productID],products[],2,FALSE)</f>
        <v>Filo Mix</v>
      </c>
      <c r="H231" s="9" t="str">
        <f>IF(VLOOKUP(operations[productID],products[],7,FALSE)=1,"Discontinued","Current")</f>
        <v>Current</v>
      </c>
      <c r="I231" s="6">
        <f>VLOOKUP(operations[productID],products[],4,FALSE)</f>
        <v>38</v>
      </c>
      <c r="J231" s="6">
        <f>VLOOKUP(operations[productID],products[],5,FALSE)</f>
        <v>0</v>
      </c>
      <c r="K231" s="6">
        <f>VLOOKUP(operations[productID],products[],6,FALSE)</f>
        <v>25</v>
      </c>
      <c r="L231" s="10">
        <f t="array" ref="L231">INDEX('1 orders'!I231:I2156, MATCH(1, ('1 orders'!A231:A2156=A231)*('1 orders'!G231:G2156=F231), 0))
</f>
        <v>8</v>
      </c>
      <c r="M231" s="10">
        <f>IFERROR(__xludf.DUMMYFUNCTION("COUNTUNIQUEIFS($A$2:$A231,$F$2:$F231,F231)"),2.0)</f>
        <v>2</v>
      </c>
      <c r="N231" s="10">
        <f t="shared" si="1"/>
        <v>17</v>
      </c>
      <c r="O231" s="26">
        <f>IF(operations[sinceLastOrder]=0,0,operations[orderQuantity] / operations[sinceLastOrder])</f>
        <v>0.4705882353</v>
      </c>
      <c r="P231" s="9">
        <v>8.56</v>
      </c>
      <c r="Q231" s="7" t="s">
        <v>17</v>
      </c>
      <c r="R231" s="10">
        <f>operations[arrivedDate]-operations[shippedDate]</f>
        <v>11</v>
      </c>
    </row>
    <row r="232" ht="15.75" customHeight="1">
      <c r="A232" s="6">
        <v>10334.0</v>
      </c>
      <c r="B232" s="24">
        <v>44855.0</v>
      </c>
      <c r="C232" s="24">
        <v>44883.0</v>
      </c>
      <c r="D232" s="24">
        <v>44862.0</v>
      </c>
      <c r="E232" s="24">
        <v>44873.0</v>
      </c>
      <c r="F232" s="6">
        <v>68.0</v>
      </c>
      <c r="G232" s="9" t="str">
        <f>VLOOKUP(operations[productID],products[],2,FALSE)</f>
        <v>Scottish Longbreads</v>
      </c>
      <c r="H232" s="9" t="str">
        <f>IF(VLOOKUP(operations[productID],products[],7,FALSE)=1,"Discontinued","Current")</f>
        <v>Current</v>
      </c>
      <c r="I232" s="6">
        <f>VLOOKUP(operations[productID],products[],4,FALSE)</f>
        <v>6</v>
      </c>
      <c r="J232" s="6">
        <f>VLOOKUP(operations[productID],products[],5,FALSE)</f>
        <v>10</v>
      </c>
      <c r="K232" s="6">
        <f>VLOOKUP(operations[productID],products[],6,FALSE)</f>
        <v>15</v>
      </c>
      <c r="L232" s="10">
        <f t="array" ref="L232">INDEX('1 orders'!I232:I2156, MATCH(1, ('1 orders'!A232:A2156=A232)*('1 orders'!G232:G2156=F232), 0))
</f>
        <v>10</v>
      </c>
      <c r="M232" s="10">
        <f>IFERROR(__xludf.DUMMYFUNCTION("COUNTUNIQUEIFS($A$2:$A232,$F$2:$F232,F232)"),6.0)</f>
        <v>6</v>
      </c>
      <c r="N232" s="10">
        <f t="shared" si="1"/>
        <v>7</v>
      </c>
      <c r="O232" s="26">
        <f>IF(operations[sinceLastOrder]=0,0,operations[orderQuantity] / operations[sinceLastOrder])</f>
        <v>1.428571429</v>
      </c>
      <c r="P232" s="9">
        <v>8.56</v>
      </c>
      <c r="Q232" s="7" t="s">
        <v>17</v>
      </c>
      <c r="R232" s="10">
        <f>operations[arrivedDate]-operations[shippedDate]</f>
        <v>11</v>
      </c>
    </row>
    <row r="233" ht="15.75" customHeight="1">
      <c r="A233" s="6">
        <v>10335.0</v>
      </c>
      <c r="B233" s="24">
        <v>44856.0</v>
      </c>
      <c r="C233" s="24">
        <v>44884.0</v>
      </c>
      <c r="D233" s="24">
        <v>44858.0</v>
      </c>
      <c r="E233" s="24">
        <v>44872.0</v>
      </c>
      <c r="F233" s="6">
        <v>2.0</v>
      </c>
      <c r="G233" s="9" t="str">
        <f>VLOOKUP(operations[productID],products[],2,FALSE)</f>
        <v>Chang</v>
      </c>
      <c r="H233" s="9" t="str">
        <f>IF(VLOOKUP(operations[productID],products[],7,FALSE)=1,"Discontinued","Current")</f>
        <v>Current</v>
      </c>
      <c r="I233" s="6">
        <f>VLOOKUP(operations[productID],products[],4,FALSE)</f>
        <v>17</v>
      </c>
      <c r="J233" s="6">
        <f>VLOOKUP(operations[productID],products[],5,FALSE)</f>
        <v>40</v>
      </c>
      <c r="K233" s="6">
        <f>VLOOKUP(operations[productID],products[],6,FALSE)</f>
        <v>25</v>
      </c>
      <c r="L233" s="10">
        <f t="array" ref="L233">INDEX('1 orders'!I233:I2156, MATCH(1, ('1 orders'!A233:A2156=A233)*('1 orders'!G233:G2156=F233), 0))
</f>
        <v>7</v>
      </c>
      <c r="M233" s="10">
        <f>IFERROR(__xludf.DUMMYFUNCTION("COUNTUNIQUEIFS($A$2:$A233,$F$2:$F233,F233)"),6.0)</f>
        <v>6</v>
      </c>
      <c r="N233" s="10">
        <f t="shared" si="1"/>
        <v>11</v>
      </c>
      <c r="O233" s="26">
        <f>IF(operations[sinceLastOrder]=0,0,operations[orderQuantity] / operations[sinceLastOrder])</f>
        <v>0.6363636364</v>
      </c>
      <c r="P233" s="9">
        <v>42.11</v>
      </c>
      <c r="Q233" s="7" t="s">
        <v>17</v>
      </c>
      <c r="R233" s="10">
        <f>operations[arrivedDate]-operations[shippedDate]</f>
        <v>14</v>
      </c>
    </row>
    <row r="234" ht="15.75" customHeight="1">
      <c r="A234" s="6">
        <v>10335.0</v>
      </c>
      <c r="B234" s="24">
        <v>44856.0</v>
      </c>
      <c r="C234" s="24">
        <v>44884.0</v>
      </c>
      <c r="D234" s="24">
        <v>44858.0</v>
      </c>
      <c r="E234" s="24">
        <v>44872.0</v>
      </c>
      <c r="F234" s="6">
        <v>31.0</v>
      </c>
      <c r="G234" s="9" t="str">
        <f>VLOOKUP(operations[productID],products[],2,FALSE)</f>
        <v>Gorgonzola Telino</v>
      </c>
      <c r="H234" s="9" t="str">
        <f>IF(VLOOKUP(operations[productID],products[],7,FALSE)=1,"Discontinued","Current")</f>
        <v>Current</v>
      </c>
      <c r="I234" s="6">
        <f>VLOOKUP(operations[productID],products[],4,FALSE)</f>
        <v>0</v>
      </c>
      <c r="J234" s="6">
        <f>VLOOKUP(operations[productID],products[],5,FALSE)</f>
        <v>70</v>
      </c>
      <c r="K234" s="6">
        <f>VLOOKUP(operations[productID],products[],6,FALSE)</f>
        <v>20</v>
      </c>
      <c r="L234" s="10">
        <f t="array" ref="L234">INDEX('1 orders'!I234:I2156, MATCH(1, ('1 orders'!A234:A2156=A234)*('1 orders'!G234:G2156=F234), 0))
</f>
        <v>25</v>
      </c>
      <c r="M234" s="10">
        <f>IFERROR(__xludf.DUMMYFUNCTION("COUNTUNIQUEIFS($A$2:$A234,$F$2:$F234,F234)"),5.0)</f>
        <v>5</v>
      </c>
      <c r="N234" s="10">
        <f t="shared" si="1"/>
        <v>13</v>
      </c>
      <c r="O234" s="26">
        <f>IF(operations[sinceLastOrder]=0,0,operations[orderQuantity] / operations[sinceLastOrder])</f>
        <v>1.923076923</v>
      </c>
      <c r="P234" s="9">
        <v>42.11</v>
      </c>
      <c r="Q234" s="7" t="s">
        <v>17</v>
      </c>
      <c r="R234" s="10">
        <f>operations[arrivedDate]-operations[shippedDate]</f>
        <v>14</v>
      </c>
    </row>
    <row r="235" ht="15.75" customHeight="1">
      <c r="A235" s="6">
        <v>10335.0</v>
      </c>
      <c r="B235" s="24">
        <v>44856.0</v>
      </c>
      <c r="C235" s="24">
        <v>44884.0</v>
      </c>
      <c r="D235" s="24">
        <v>44858.0</v>
      </c>
      <c r="E235" s="24">
        <v>44872.0</v>
      </c>
      <c r="F235" s="6">
        <v>32.0</v>
      </c>
      <c r="G235" s="9" t="str">
        <f>VLOOKUP(operations[productID],products[],2,FALSE)</f>
        <v>Mascarpone Fabioli</v>
      </c>
      <c r="H235" s="9" t="str">
        <f>IF(VLOOKUP(operations[productID],products[],7,FALSE)=1,"Discontinued","Current")</f>
        <v>Current</v>
      </c>
      <c r="I235" s="6">
        <f>VLOOKUP(operations[productID],products[],4,FALSE)</f>
        <v>9</v>
      </c>
      <c r="J235" s="6">
        <f>VLOOKUP(operations[productID],products[],5,FALSE)</f>
        <v>40</v>
      </c>
      <c r="K235" s="6">
        <f>VLOOKUP(operations[productID],products[],6,FALSE)</f>
        <v>25</v>
      </c>
      <c r="L235" s="10">
        <f t="array" ref="L235">INDEX('1 orders'!I235:I2156, MATCH(1, ('1 orders'!A235:A2156=A235)*('1 orders'!G235:G2156=F235), 0))
</f>
        <v>6</v>
      </c>
      <c r="M235" s="10">
        <f>IFERROR(__xludf.DUMMYFUNCTION("COUNTUNIQUEIFS($A$2:$A235,$F$2:$F235,F235)"),3.0)</f>
        <v>3</v>
      </c>
      <c r="N235" s="10">
        <f t="shared" si="1"/>
        <v>27</v>
      </c>
      <c r="O235" s="26">
        <f>IF(operations[sinceLastOrder]=0,0,operations[orderQuantity] / operations[sinceLastOrder])</f>
        <v>0.2222222222</v>
      </c>
      <c r="P235" s="9">
        <v>42.11</v>
      </c>
      <c r="Q235" s="7" t="s">
        <v>17</v>
      </c>
      <c r="R235" s="10">
        <f>operations[arrivedDate]-operations[shippedDate]</f>
        <v>14</v>
      </c>
    </row>
    <row r="236" ht="15.75" customHeight="1">
      <c r="A236" s="6">
        <v>10335.0</v>
      </c>
      <c r="B236" s="24">
        <v>44856.0</v>
      </c>
      <c r="C236" s="24">
        <v>44884.0</v>
      </c>
      <c r="D236" s="24">
        <v>44858.0</v>
      </c>
      <c r="E236" s="24">
        <v>44872.0</v>
      </c>
      <c r="F236" s="6">
        <v>51.0</v>
      </c>
      <c r="G236" s="9" t="str">
        <f>VLOOKUP(operations[productID],products[],2,FALSE)</f>
        <v>Manjimup Dried Apples</v>
      </c>
      <c r="H236" s="9" t="str">
        <f>IF(VLOOKUP(operations[productID],products[],7,FALSE)=1,"Discontinued","Current")</f>
        <v>Current</v>
      </c>
      <c r="I236" s="6">
        <f>VLOOKUP(operations[productID],products[],4,FALSE)</f>
        <v>20</v>
      </c>
      <c r="J236" s="6">
        <f>VLOOKUP(operations[productID],products[],5,FALSE)</f>
        <v>0</v>
      </c>
      <c r="K236" s="6">
        <f>VLOOKUP(operations[productID],products[],6,FALSE)</f>
        <v>10</v>
      </c>
      <c r="L236" s="10">
        <f t="array" ref="L236">INDEX('1 orders'!I236:I2156, MATCH(1, ('1 orders'!A236:A2156=A236)*('1 orders'!G236:G2156=F236), 0))
</f>
        <v>48</v>
      </c>
      <c r="M236" s="10">
        <f>IFERROR(__xludf.DUMMYFUNCTION("COUNTUNIQUEIFS($A$2:$A236,$F$2:$F236,F236)"),4.0)</f>
        <v>4</v>
      </c>
      <c r="N236" s="10">
        <f t="shared" si="1"/>
        <v>56</v>
      </c>
      <c r="O236" s="26">
        <f>IF(operations[sinceLastOrder]=0,0,operations[orderQuantity] / operations[sinceLastOrder])</f>
        <v>0.8571428571</v>
      </c>
      <c r="P236" s="9">
        <v>42.11</v>
      </c>
      <c r="Q236" s="7" t="s">
        <v>17</v>
      </c>
      <c r="R236" s="10">
        <f>operations[arrivedDate]-operations[shippedDate]</f>
        <v>14</v>
      </c>
    </row>
    <row r="237" ht="15.75" customHeight="1">
      <c r="A237" s="6">
        <v>10336.0</v>
      </c>
      <c r="B237" s="24">
        <v>44857.0</v>
      </c>
      <c r="C237" s="24">
        <v>44885.0</v>
      </c>
      <c r="D237" s="24">
        <v>44859.0</v>
      </c>
      <c r="E237" s="24">
        <v>44874.0</v>
      </c>
      <c r="F237" s="6">
        <v>4.0</v>
      </c>
      <c r="G237" s="9" t="str">
        <f>VLOOKUP(operations[productID],products[],2,FALSE)</f>
        <v>Chef Anton's Cajun Seasoning</v>
      </c>
      <c r="H237" s="9" t="str">
        <f>IF(VLOOKUP(operations[productID],products[],7,FALSE)=1,"Discontinued","Current")</f>
        <v>Current</v>
      </c>
      <c r="I237" s="6">
        <f>VLOOKUP(operations[productID],products[],4,FALSE)</f>
        <v>53</v>
      </c>
      <c r="J237" s="6">
        <f>VLOOKUP(operations[productID],products[],5,FALSE)</f>
        <v>0</v>
      </c>
      <c r="K237" s="6">
        <f>VLOOKUP(operations[productID],products[],6,FALSE)</f>
        <v>0</v>
      </c>
      <c r="L237" s="10">
        <f t="array" ref="L237">INDEX('1 orders'!I237:I2156, MATCH(1, ('1 orders'!A237:A2156=A237)*('1 orders'!G237:G2156=F237), 0))
</f>
        <v>18</v>
      </c>
      <c r="M237" s="10">
        <f>IFERROR(__xludf.DUMMYFUNCTION("COUNTUNIQUEIFS($A$2:$A237,$F$2:$F237,F237)"),3.0)</f>
        <v>3</v>
      </c>
      <c r="N237" s="10">
        <f t="shared" si="1"/>
        <v>13</v>
      </c>
      <c r="O237" s="26">
        <f>IF(operations[sinceLastOrder]=0,0,operations[orderQuantity] / operations[sinceLastOrder])</f>
        <v>1.384615385</v>
      </c>
      <c r="P237" s="9">
        <v>15.51</v>
      </c>
      <c r="Q237" s="7" t="s">
        <v>17</v>
      </c>
      <c r="R237" s="10">
        <f>operations[arrivedDate]-operations[shippedDate]</f>
        <v>15</v>
      </c>
    </row>
    <row r="238" ht="15.75" customHeight="1">
      <c r="A238" s="6">
        <v>10337.0</v>
      </c>
      <c r="B238" s="24">
        <v>44858.0</v>
      </c>
      <c r="C238" s="24">
        <v>44886.0</v>
      </c>
      <c r="D238" s="24">
        <v>44863.0</v>
      </c>
      <c r="E238" s="24">
        <v>44866.0</v>
      </c>
      <c r="F238" s="6">
        <v>23.0</v>
      </c>
      <c r="G238" s="9" t="str">
        <f>VLOOKUP(operations[productID],products[],2,FALSE)</f>
        <v>Tunnbröd</v>
      </c>
      <c r="H238" s="9" t="str">
        <f>IF(VLOOKUP(operations[productID],products[],7,FALSE)=1,"Discontinued","Current")</f>
        <v>Current</v>
      </c>
      <c r="I238" s="6">
        <f>VLOOKUP(operations[productID],products[],4,FALSE)</f>
        <v>61</v>
      </c>
      <c r="J238" s="6">
        <f>VLOOKUP(operations[productID],products[],5,FALSE)</f>
        <v>0</v>
      </c>
      <c r="K238" s="6">
        <f>VLOOKUP(operations[productID],products[],6,FALSE)</f>
        <v>25</v>
      </c>
      <c r="L238" s="10">
        <f t="array" ref="L238">INDEX('1 orders'!I238:I2156, MATCH(1, ('1 orders'!A238:A2156=A238)*('1 orders'!G238:G2156=F238), 0))
</f>
        <v>40</v>
      </c>
      <c r="M238" s="10">
        <f>IFERROR(__xludf.DUMMYFUNCTION("COUNTUNIQUEIFS($A$2:$A238,$F$2:$F238,F238)"),1.0)</f>
        <v>1</v>
      </c>
      <c r="N238" s="10">
        <f t="shared" si="1"/>
        <v>0</v>
      </c>
      <c r="O238" s="26">
        <f>IF(operations[sinceLastOrder]=0,0,operations[orderQuantity] / operations[sinceLastOrder])</f>
        <v>0</v>
      </c>
      <c r="P238" s="9">
        <v>108.26</v>
      </c>
      <c r="Q238" s="7" t="s">
        <v>13</v>
      </c>
      <c r="R238" s="10">
        <f>operations[arrivedDate]-operations[shippedDate]</f>
        <v>3</v>
      </c>
    </row>
    <row r="239" ht="15.75" customHeight="1">
      <c r="A239" s="6">
        <v>10337.0</v>
      </c>
      <c r="B239" s="24">
        <v>44858.0</v>
      </c>
      <c r="C239" s="24">
        <v>44886.0</v>
      </c>
      <c r="D239" s="24">
        <v>44863.0</v>
      </c>
      <c r="E239" s="24">
        <v>44866.0</v>
      </c>
      <c r="F239" s="6">
        <v>26.0</v>
      </c>
      <c r="G239" s="9" t="str">
        <f>VLOOKUP(operations[productID],products[],2,FALSE)</f>
        <v>NuNuCa Nuß-Nougat-Creme</v>
      </c>
      <c r="H239" s="9" t="str">
        <f>IF(VLOOKUP(operations[productID],products[],7,FALSE)=1,"Discontinued","Current")</f>
        <v>Current</v>
      </c>
      <c r="I239" s="6">
        <f>VLOOKUP(operations[productID],products[],4,FALSE)</f>
        <v>15</v>
      </c>
      <c r="J239" s="6">
        <f>VLOOKUP(operations[productID],products[],5,FALSE)</f>
        <v>0</v>
      </c>
      <c r="K239" s="6">
        <f>VLOOKUP(operations[productID],products[],6,FALSE)</f>
        <v>0</v>
      </c>
      <c r="L239" s="10">
        <f t="array" ref="L239">INDEX('1 orders'!I239:I2156, MATCH(1, ('1 orders'!A239:A2156=A239)*('1 orders'!G239:G2156=F239), 0))
</f>
        <v>24</v>
      </c>
      <c r="M239" s="10">
        <f>IFERROR(__xludf.DUMMYFUNCTION("COUNTUNIQUEIFS($A$2:$A239,$F$2:$F239,F239)"),2.0)</f>
        <v>2</v>
      </c>
      <c r="N239" s="10">
        <f t="shared" si="1"/>
        <v>8</v>
      </c>
      <c r="O239" s="26">
        <f>IF(operations[sinceLastOrder]=0,0,operations[orderQuantity] / operations[sinceLastOrder])</f>
        <v>3</v>
      </c>
      <c r="P239" s="9">
        <v>108.26</v>
      </c>
      <c r="Q239" s="7" t="s">
        <v>13</v>
      </c>
      <c r="R239" s="10">
        <f>operations[arrivedDate]-operations[shippedDate]</f>
        <v>3</v>
      </c>
    </row>
    <row r="240" ht="15.75" customHeight="1">
      <c r="A240" s="6">
        <v>10337.0</v>
      </c>
      <c r="B240" s="24">
        <v>44858.0</v>
      </c>
      <c r="C240" s="24">
        <v>44886.0</v>
      </c>
      <c r="D240" s="24">
        <v>44863.0</v>
      </c>
      <c r="E240" s="24">
        <v>44866.0</v>
      </c>
      <c r="F240" s="6">
        <v>36.0</v>
      </c>
      <c r="G240" s="9" t="str">
        <f>VLOOKUP(operations[productID],products[],2,FALSE)</f>
        <v>Inlagd Sill</v>
      </c>
      <c r="H240" s="9" t="str">
        <f>IF(VLOOKUP(operations[productID],products[],7,FALSE)=1,"Discontinued","Current")</f>
        <v>Current</v>
      </c>
      <c r="I240" s="6">
        <f>VLOOKUP(operations[productID],products[],4,FALSE)</f>
        <v>112</v>
      </c>
      <c r="J240" s="6">
        <f>VLOOKUP(operations[productID],products[],5,FALSE)</f>
        <v>0</v>
      </c>
      <c r="K240" s="6">
        <f>VLOOKUP(operations[productID],products[],6,FALSE)</f>
        <v>20</v>
      </c>
      <c r="L240" s="10">
        <f t="array" ref="L240">INDEX('1 orders'!I240:I2156, MATCH(1, ('1 orders'!A240:A2156=A240)*('1 orders'!G240:G2156=F240), 0))
</f>
        <v>20</v>
      </c>
      <c r="M240" s="10">
        <f>IFERROR(__xludf.DUMMYFUNCTION("COUNTUNIQUEIFS($A$2:$A240,$F$2:$F240,F240)"),5.0)</f>
        <v>5</v>
      </c>
      <c r="N240" s="10">
        <f t="shared" si="1"/>
        <v>30</v>
      </c>
      <c r="O240" s="26">
        <f>IF(operations[sinceLastOrder]=0,0,operations[orderQuantity] / operations[sinceLastOrder])</f>
        <v>0.6666666667</v>
      </c>
      <c r="P240" s="9">
        <v>108.26</v>
      </c>
      <c r="Q240" s="7" t="s">
        <v>13</v>
      </c>
      <c r="R240" s="10">
        <f>operations[arrivedDate]-operations[shippedDate]</f>
        <v>3</v>
      </c>
    </row>
    <row r="241" ht="15.75" customHeight="1">
      <c r="A241" s="6">
        <v>10337.0</v>
      </c>
      <c r="B241" s="24">
        <v>44858.0</v>
      </c>
      <c r="C241" s="24">
        <v>44886.0</v>
      </c>
      <c r="D241" s="24">
        <v>44863.0</v>
      </c>
      <c r="E241" s="24">
        <v>44866.0</v>
      </c>
      <c r="F241" s="6">
        <v>37.0</v>
      </c>
      <c r="G241" s="9" t="str">
        <f>VLOOKUP(operations[productID],products[],2,FALSE)</f>
        <v>Gravad lax</v>
      </c>
      <c r="H241" s="9" t="str">
        <f>IF(VLOOKUP(operations[productID],products[],7,FALSE)=1,"Discontinued","Current")</f>
        <v>Current</v>
      </c>
      <c r="I241" s="6">
        <f>VLOOKUP(operations[productID],products[],4,FALSE)</f>
        <v>11</v>
      </c>
      <c r="J241" s="6">
        <f>VLOOKUP(operations[productID],products[],5,FALSE)</f>
        <v>50</v>
      </c>
      <c r="K241" s="6">
        <f>VLOOKUP(operations[productID],products[],6,FALSE)</f>
        <v>25</v>
      </c>
      <c r="L241" s="10">
        <f t="array" ref="L241">INDEX('1 orders'!I241:I2156, MATCH(1, ('1 orders'!A241:A2156=A241)*('1 orders'!G241:G2156=F241), 0))
</f>
        <v>28</v>
      </c>
      <c r="M241" s="10">
        <f>IFERROR(__xludf.DUMMYFUNCTION("COUNTUNIQUEIFS($A$2:$A241,$F$2:$F241,F241)"),2.0)</f>
        <v>2</v>
      </c>
      <c r="N241" s="10">
        <f t="shared" si="1"/>
        <v>98</v>
      </c>
      <c r="O241" s="26">
        <f>IF(operations[sinceLastOrder]=0,0,operations[orderQuantity] / operations[sinceLastOrder])</f>
        <v>0.2857142857</v>
      </c>
      <c r="P241" s="9">
        <v>108.26</v>
      </c>
      <c r="Q241" s="7" t="s">
        <v>13</v>
      </c>
      <c r="R241" s="10">
        <f>operations[arrivedDate]-operations[shippedDate]</f>
        <v>3</v>
      </c>
    </row>
    <row r="242" ht="15.75" customHeight="1">
      <c r="A242" s="6">
        <v>10337.0</v>
      </c>
      <c r="B242" s="24">
        <v>44858.0</v>
      </c>
      <c r="C242" s="24">
        <v>44886.0</v>
      </c>
      <c r="D242" s="24">
        <v>44863.0</v>
      </c>
      <c r="E242" s="24">
        <v>44866.0</v>
      </c>
      <c r="F242" s="6">
        <v>72.0</v>
      </c>
      <c r="G242" s="9" t="str">
        <f>VLOOKUP(operations[productID],products[],2,FALSE)</f>
        <v>Mozzarella di Giovanni</v>
      </c>
      <c r="H242" s="9" t="str">
        <f>IF(VLOOKUP(operations[productID],products[],7,FALSE)=1,"Discontinued","Current")</f>
        <v>Current</v>
      </c>
      <c r="I242" s="6">
        <f>VLOOKUP(operations[productID],products[],4,FALSE)</f>
        <v>14</v>
      </c>
      <c r="J242" s="6">
        <f>VLOOKUP(operations[productID],products[],5,FALSE)</f>
        <v>0</v>
      </c>
      <c r="K242" s="6">
        <f>VLOOKUP(operations[productID],products[],6,FALSE)</f>
        <v>0</v>
      </c>
      <c r="L242" s="10">
        <f t="array" ref="L242">INDEX('1 orders'!I242:I2156, MATCH(1, ('1 orders'!A242:A2156=A242)*('1 orders'!G242:G2156=F242), 0))
</f>
        <v>25</v>
      </c>
      <c r="M242" s="10">
        <f>IFERROR(__xludf.DUMMYFUNCTION("COUNTUNIQUEIFS($A$2:$A242,$F$2:$F242,F242)"),10.0)</f>
        <v>10</v>
      </c>
      <c r="N242" s="10">
        <f t="shared" si="1"/>
        <v>8</v>
      </c>
      <c r="O242" s="26">
        <f>IF(operations[sinceLastOrder]=0,0,operations[orderQuantity] / operations[sinceLastOrder])</f>
        <v>3.125</v>
      </c>
      <c r="P242" s="9">
        <v>108.26</v>
      </c>
      <c r="Q242" s="7" t="s">
        <v>13</v>
      </c>
      <c r="R242" s="10">
        <f>operations[arrivedDate]-operations[shippedDate]</f>
        <v>3</v>
      </c>
    </row>
    <row r="243" ht="15.75" customHeight="1">
      <c r="A243" s="6">
        <v>10338.0</v>
      </c>
      <c r="B243" s="24">
        <v>44859.0</v>
      </c>
      <c r="C243" s="24">
        <v>44887.0</v>
      </c>
      <c r="D243" s="24">
        <v>44863.0</v>
      </c>
      <c r="E243" s="24">
        <v>44876.0</v>
      </c>
      <c r="F243" s="6">
        <v>17.0</v>
      </c>
      <c r="G243" s="9" t="str">
        <f>VLOOKUP(operations[productID],products[],2,FALSE)</f>
        <v>Alice Mutton</v>
      </c>
      <c r="H243" s="9" t="str">
        <f>IF(VLOOKUP(operations[productID],products[],7,FALSE)=1,"Discontinued","Current")</f>
        <v>Discontinued</v>
      </c>
      <c r="I243" s="6">
        <f>VLOOKUP(operations[productID],products[],4,FALSE)</f>
        <v>0</v>
      </c>
      <c r="J243" s="6">
        <f>VLOOKUP(operations[productID],products[],5,FALSE)</f>
        <v>0</v>
      </c>
      <c r="K243" s="6">
        <f>VLOOKUP(operations[productID],products[],6,FALSE)</f>
        <v>0</v>
      </c>
      <c r="L243" s="10">
        <f t="array" ref="L243">INDEX('1 orders'!I243:I2156, MATCH(1, ('1 orders'!A243:A2156=A243)*('1 orders'!G243:G2156=F243), 0))
</f>
        <v>20</v>
      </c>
      <c r="M243" s="10">
        <f>IFERROR(__xludf.DUMMYFUNCTION("COUNTUNIQUEIFS($A$2:$A243,$F$2:$F243,F243)"),6.0)</f>
        <v>6</v>
      </c>
      <c r="N243" s="10">
        <f t="shared" si="1"/>
        <v>23</v>
      </c>
      <c r="O243" s="26">
        <f>IF(operations[sinceLastOrder]=0,0,operations[orderQuantity] / operations[sinceLastOrder])</f>
        <v>0.8695652174</v>
      </c>
      <c r="P243" s="9">
        <v>84.21</v>
      </c>
      <c r="Q243" s="7" t="s">
        <v>13</v>
      </c>
      <c r="R243" s="10">
        <f>operations[arrivedDate]-operations[shippedDate]</f>
        <v>13</v>
      </c>
    </row>
    <row r="244" ht="15.75" customHeight="1">
      <c r="A244" s="6">
        <v>10338.0</v>
      </c>
      <c r="B244" s="24">
        <v>44859.0</v>
      </c>
      <c r="C244" s="24">
        <v>44887.0</v>
      </c>
      <c r="D244" s="24">
        <v>44863.0</v>
      </c>
      <c r="E244" s="24">
        <v>44876.0</v>
      </c>
      <c r="F244" s="6">
        <v>30.0</v>
      </c>
      <c r="G244" s="9" t="str">
        <f>VLOOKUP(operations[productID],products[],2,FALSE)</f>
        <v>Nord-Ost Matjeshering</v>
      </c>
      <c r="H244" s="9" t="str">
        <f>IF(VLOOKUP(operations[productID],products[],7,FALSE)=1,"Discontinued","Current")</f>
        <v>Current</v>
      </c>
      <c r="I244" s="6">
        <f>VLOOKUP(operations[productID],products[],4,FALSE)</f>
        <v>10</v>
      </c>
      <c r="J244" s="6">
        <f>VLOOKUP(operations[productID],products[],5,FALSE)</f>
        <v>0</v>
      </c>
      <c r="K244" s="6">
        <f>VLOOKUP(operations[productID],products[],6,FALSE)</f>
        <v>15</v>
      </c>
      <c r="L244" s="10">
        <f t="array" ref="L244">INDEX('1 orders'!I244:I2156, MATCH(1, ('1 orders'!A244:A2156=A244)*('1 orders'!G244:G2156=F244), 0))
</f>
        <v>15</v>
      </c>
      <c r="M244" s="10">
        <f>IFERROR(__xludf.DUMMYFUNCTION("COUNTUNIQUEIFS($A$2:$A244,$F$2:$F244,F244)"),6.0)</f>
        <v>6</v>
      </c>
      <c r="N244" s="10">
        <f t="shared" si="1"/>
        <v>10</v>
      </c>
      <c r="O244" s="26">
        <f>IF(operations[sinceLastOrder]=0,0,operations[orderQuantity] / operations[sinceLastOrder])</f>
        <v>1.5</v>
      </c>
      <c r="P244" s="9">
        <v>84.21</v>
      </c>
      <c r="Q244" s="7" t="s">
        <v>13</v>
      </c>
      <c r="R244" s="10">
        <f>operations[arrivedDate]-operations[shippedDate]</f>
        <v>13</v>
      </c>
    </row>
    <row r="245" ht="15.75" customHeight="1">
      <c r="A245" s="6">
        <v>10339.0</v>
      </c>
      <c r="B245" s="24">
        <v>44862.0</v>
      </c>
      <c r="C245" s="24">
        <v>44890.0</v>
      </c>
      <c r="D245" s="24">
        <v>44869.0</v>
      </c>
      <c r="E245" s="24">
        <v>44886.0</v>
      </c>
      <c r="F245" s="6">
        <v>4.0</v>
      </c>
      <c r="G245" s="9" t="str">
        <f>VLOOKUP(operations[productID],products[],2,FALSE)</f>
        <v>Chef Anton's Cajun Seasoning</v>
      </c>
      <c r="H245" s="9" t="str">
        <f>IF(VLOOKUP(operations[productID],products[],7,FALSE)=1,"Discontinued","Current")</f>
        <v>Current</v>
      </c>
      <c r="I245" s="6">
        <f>VLOOKUP(operations[productID],products[],4,FALSE)</f>
        <v>53</v>
      </c>
      <c r="J245" s="6">
        <f>VLOOKUP(operations[productID],products[],5,FALSE)</f>
        <v>0</v>
      </c>
      <c r="K245" s="6">
        <f>VLOOKUP(operations[productID],products[],6,FALSE)</f>
        <v>0</v>
      </c>
      <c r="L245" s="10">
        <f t="array" ref="L245">INDEX('1 orders'!I245:I2156, MATCH(1, ('1 orders'!A245:A2156=A245)*('1 orders'!G245:G2156=F245), 0))
</f>
        <v>10</v>
      </c>
      <c r="M245" s="10">
        <f>IFERROR(__xludf.DUMMYFUNCTION("COUNTUNIQUEIFS($A$2:$A245,$F$2:$F245,F245)"),4.0)</f>
        <v>4</v>
      </c>
      <c r="N245" s="10">
        <f t="shared" si="1"/>
        <v>5</v>
      </c>
      <c r="O245" s="26">
        <f>IF(operations[sinceLastOrder]=0,0,operations[orderQuantity] / operations[sinceLastOrder])</f>
        <v>2</v>
      </c>
      <c r="P245" s="9">
        <v>15.66</v>
      </c>
      <c r="Q245" s="7" t="s">
        <v>17</v>
      </c>
      <c r="R245" s="10">
        <f>operations[arrivedDate]-operations[shippedDate]</f>
        <v>17</v>
      </c>
    </row>
    <row r="246" ht="15.75" customHeight="1">
      <c r="A246" s="6">
        <v>10339.0</v>
      </c>
      <c r="B246" s="24">
        <v>44862.0</v>
      </c>
      <c r="C246" s="24">
        <v>44890.0</v>
      </c>
      <c r="D246" s="24">
        <v>44869.0</v>
      </c>
      <c r="E246" s="24">
        <v>44886.0</v>
      </c>
      <c r="F246" s="6">
        <v>17.0</v>
      </c>
      <c r="G246" s="9" t="str">
        <f>VLOOKUP(operations[productID],products[],2,FALSE)</f>
        <v>Alice Mutton</v>
      </c>
      <c r="H246" s="9" t="str">
        <f>IF(VLOOKUP(operations[productID],products[],7,FALSE)=1,"Discontinued","Current")</f>
        <v>Discontinued</v>
      </c>
      <c r="I246" s="6">
        <f>VLOOKUP(operations[productID],products[],4,FALSE)</f>
        <v>0</v>
      </c>
      <c r="J246" s="6">
        <f>VLOOKUP(operations[productID],products[],5,FALSE)</f>
        <v>0</v>
      </c>
      <c r="K246" s="6">
        <f>VLOOKUP(operations[productID],products[],6,FALSE)</f>
        <v>0</v>
      </c>
      <c r="L246" s="10">
        <f t="array" ref="L246">INDEX('1 orders'!I246:I2156, MATCH(1, ('1 orders'!A246:A2156=A246)*('1 orders'!G246:G2156=F246), 0))
</f>
        <v>70</v>
      </c>
      <c r="M246" s="10">
        <f>IFERROR(__xludf.DUMMYFUNCTION("COUNTUNIQUEIFS($A$2:$A246,$F$2:$F246,F246)"),7.0)</f>
        <v>7</v>
      </c>
      <c r="N246" s="10">
        <f t="shared" si="1"/>
        <v>3</v>
      </c>
      <c r="O246" s="26">
        <f>IF(operations[sinceLastOrder]=0,0,operations[orderQuantity] / operations[sinceLastOrder])</f>
        <v>23.33333333</v>
      </c>
      <c r="P246" s="9">
        <v>15.66</v>
      </c>
      <c r="Q246" s="7" t="s">
        <v>17</v>
      </c>
      <c r="R246" s="10">
        <f>operations[arrivedDate]-operations[shippedDate]</f>
        <v>17</v>
      </c>
    </row>
    <row r="247" ht="15.75" customHeight="1">
      <c r="A247" s="6">
        <v>10339.0</v>
      </c>
      <c r="B247" s="24">
        <v>44862.0</v>
      </c>
      <c r="C247" s="24">
        <v>44890.0</v>
      </c>
      <c r="D247" s="24">
        <v>44869.0</v>
      </c>
      <c r="E247" s="24">
        <v>44886.0</v>
      </c>
      <c r="F247" s="6">
        <v>62.0</v>
      </c>
      <c r="G247" s="9" t="str">
        <f>VLOOKUP(operations[productID],products[],2,FALSE)</f>
        <v>Tarte au sucre</v>
      </c>
      <c r="H247" s="9" t="str">
        <f>IF(VLOOKUP(operations[productID],products[],7,FALSE)=1,"Discontinued","Current")</f>
        <v>Current</v>
      </c>
      <c r="I247" s="6">
        <f>VLOOKUP(operations[productID],products[],4,FALSE)</f>
        <v>17</v>
      </c>
      <c r="J247" s="6">
        <f>VLOOKUP(operations[productID],products[],5,FALSE)</f>
        <v>0</v>
      </c>
      <c r="K247" s="6">
        <f>VLOOKUP(operations[productID],products[],6,FALSE)</f>
        <v>0</v>
      </c>
      <c r="L247" s="10">
        <f t="array" ref="L247">INDEX('1 orders'!I247:I2156, MATCH(1, ('1 orders'!A247:A2156=A247)*('1 orders'!G247:G2156=F247), 0))
</f>
        <v>28</v>
      </c>
      <c r="M247" s="10">
        <f>IFERROR(__xludf.DUMMYFUNCTION("COUNTUNIQUEIFS($A$2:$A247,$F$2:$F247,F247)"),9.0)</f>
        <v>9</v>
      </c>
      <c r="N247" s="10">
        <f t="shared" si="1"/>
        <v>31</v>
      </c>
      <c r="O247" s="26">
        <f>IF(operations[sinceLastOrder]=0,0,operations[orderQuantity] / operations[sinceLastOrder])</f>
        <v>0.9032258065</v>
      </c>
      <c r="P247" s="9">
        <v>15.66</v>
      </c>
      <c r="Q247" s="7" t="s">
        <v>17</v>
      </c>
      <c r="R247" s="10">
        <f>operations[arrivedDate]-operations[shippedDate]</f>
        <v>17</v>
      </c>
    </row>
    <row r="248" ht="15.75" customHeight="1">
      <c r="A248" s="6">
        <v>10340.0</v>
      </c>
      <c r="B248" s="24">
        <v>44863.0</v>
      </c>
      <c r="C248" s="24">
        <v>44891.0</v>
      </c>
      <c r="D248" s="24">
        <v>44873.0</v>
      </c>
      <c r="E248" s="24">
        <v>44878.0</v>
      </c>
      <c r="F248" s="6">
        <v>18.0</v>
      </c>
      <c r="G248" s="9" t="str">
        <f>VLOOKUP(operations[productID],products[],2,FALSE)</f>
        <v>Carnarvon Tigers</v>
      </c>
      <c r="H248" s="9" t="str">
        <f>IF(VLOOKUP(operations[productID],products[],7,FALSE)=1,"Discontinued","Current")</f>
        <v>Current</v>
      </c>
      <c r="I248" s="6">
        <f>VLOOKUP(operations[productID],products[],4,FALSE)</f>
        <v>42</v>
      </c>
      <c r="J248" s="6">
        <f>VLOOKUP(operations[productID],products[],5,FALSE)</f>
        <v>0</v>
      </c>
      <c r="K248" s="6">
        <f>VLOOKUP(operations[productID],products[],6,FALSE)</f>
        <v>0</v>
      </c>
      <c r="L248" s="10">
        <f t="array" ref="L248">INDEX('1 orders'!I248:I2156, MATCH(1, ('1 orders'!A248:A2156=A248)*('1 orders'!G248:G2156=F248), 0))
</f>
        <v>20</v>
      </c>
      <c r="M248" s="10">
        <f>IFERROR(__xludf.DUMMYFUNCTION("COUNTUNIQUEIFS($A$2:$A248,$F$2:$F248,F248)"),4.0)</f>
        <v>4</v>
      </c>
      <c r="N248" s="10">
        <f t="shared" si="1"/>
        <v>12</v>
      </c>
      <c r="O248" s="26">
        <f>IF(operations[sinceLastOrder]=0,0,operations[orderQuantity] / operations[sinceLastOrder])</f>
        <v>1.666666667</v>
      </c>
      <c r="P248" s="9">
        <v>166.31</v>
      </c>
      <c r="Q248" s="7" t="s">
        <v>13</v>
      </c>
      <c r="R248" s="10">
        <f>operations[arrivedDate]-operations[shippedDate]</f>
        <v>5</v>
      </c>
    </row>
    <row r="249" ht="15.75" customHeight="1">
      <c r="A249" s="6">
        <v>10340.0</v>
      </c>
      <c r="B249" s="24">
        <v>44863.0</v>
      </c>
      <c r="C249" s="24">
        <v>44891.0</v>
      </c>
      <c r="D249" s="24">
        <v>44873.0</v>
      </c>
      <c r="E249" s="24">
        <v>44878.0</v>
      </c>
      <c r="F249" s="6">
        <v>41.0</v>
      </c>
      <c r="G249" s="9" t="str">
        <f>VLOOKUP(operations[productID],products[],2,FALSE)</f>
        <v>Jack's New England Clam Chowder</v>
      </c>
      <c r="H249" s="9" t="str">
        <f>IF(VLOOKUP(operations[productID],products[],7,FALSE)=1,"Discontinued","Current")</f>
        <v>Current</v>
      </c>
      <c r="I249" s="6">
        <f>VLOOKUP(operations[productID],products[],4,FALSE)</f>
        <v>85</v>
      </c>
      <c r="J249" s="6">
        <f>VLOOKUP(operations[productID],products[],5,FALSE)</f>
        <v>0</v>
      </c>
      <c r="K249" s="6">
        <f>VLOOKUP(operations[productID],products[],6,FALSE)</f>
        <v>10</v>
      </c>
      <c r="L249" s="10">
        <f t="array" ref="L249">INDEX('1 orders'!I249:I2156, MATCH(1, ('1 orders'!A249:A2156=A249)*('1 orders'!G249:G2156=F249), 0))
</f>
        <v>12</v>
      </c>
      <c r="M249" s="10">
        <f>IFERROR(__xludf.DUMMYFUNCTION("COUNTUNIQUEIFS($A$2:$A249,$F$2:$F249,F249)"),6.0)</f>
        <v>6</v>
      </c>
      <c r="N249" s="10">
        <f t="shared" si="1"/>
        <v>28</v>
      </c>
      <c r="O249" s="26">
        <f>IF(operations[sinceLastOrder]=0,0,operations[orderQuantity] / operations[sinceLastOrder])</f>
        <v>0.4285714286</v>
      </c>
      <c r="P249" s="9">
        <v>166.31</v>
      </c>
      <c r="Q249" s="7" t="s">
        <v>13</v>
      </c>
      <c r="R249" s="10">
        <f>operations[arrivedDate]-operations[shippedDate]</f>
        <v>5</v>
      </c>
    </row>
    <row r="250" ht="15.75" customHeight="1">
      <c r="A250" s="6">
        <v>10340.0</v>
      </c>
      <c r="B250" s="24">
        <v>44863.0</v>
      </c>
      <c r="C250" s="24">
        <v>44891.0</v>
      </c>
      <c r="D250" s="24">
        <v>44873.0</v>
      </c>
      <c r="E250" s="24">
        <v>44878.0</v>
      </c>
      <c r="F250" s="6">
        <v>43.0</v>
      </c>
      <c r="G250" s="9" t="str">
        <f>VLOOKUP(operations[productID],products[],2,FALSE)</f>
        <v>Ipoh Coffee</v>
      </c>
      <c r="H250" s="9" t="str">
        <f>IF(VLOOKUP(operations[productID],products[],7,FALSE)=1,"Discontinued","Current")</f>
        <v>Current</v>
      </c>
      <c r="I250" s="6">
        <f>VLOOKUP(operations[productID],products[],4,FALSE)</f>
        <v>17</v>
      </c>
      <c r="J250" s="6">
        <f>VLOOKUP(operations[productID],products[],5,FALSE)</f>
        <v>10</v>
      </c>
      <c r="K250" s="6">
        <f>VLOOKUP(operations[productID],products[],6,FALSE)</f>
        <v>25</v>
      </c>
      <c r="L250" s="10">
        <f t="array" ref="L250">INDEX('1 orders'!I250:I2156, MATCH(1, ('1 orders'!A250:A2156=A250)*('1 orders'!G250:G2156=F250), 0))
</f>
        <v>40</v>
      </c>
      <c r="M250" s="10">
        <f>IFERROR(__xludf.DUMMYFUNCTION("COUNTUNIQUEIFS($A$2:$A250,$F$2:$F250,F250)"),6.0)</f>
        <v>6</v>
      </c>
      <c r="N250" s="10">
        <f t="shared" si="1"/>
        <v>36</v>
      </c>
      <c r="O250" s="26">
        <f>IF(operations[sinceLastOrder]=0,0,operations[orderQuantity] / operations[sinceLastOrder])</f>
        <v>1.111111111</v>
      </c>
      <c r="P250" s="9">
        <v>166.31</v>
      </c>
      <c r="Q250" s="7" t="s">
        <v>13</v>
      </c>
      <c r="R250" s="10">
        <f>operations[arrivedDate]-operations[shippedDate]</f>
        <v>5</v>
      </c>
    </row>
    <row r="251" ht="15.75" customHeight="1">
      <c r="A251" s="6">
        <v>10341.0</v>
      </c>
      <c r="B251" s="24">
        <v>44863.0</v>
      </c>
      <c r="C251" s="24">
        <v>44891.0</v>
      </c>
      <c r="D251" s="24">
        <v>44870.0</v>
      </c>
      <c r="E251" s="24">
        <v>44883.0</v>
      </c>
      <c r="F251" s="6">
        <v>33.0</v>
      </c>
      <c r="G251" s="9" t="str">
        <f>VLOOKUP(operations[productID],products[],2,FALSE)</f>
        <v>Geitost</v>
      </c>
      <c r="H251" s="9" t="str">
        <f>IF(VLOOKUP(operations[productID],products[],7,FALSE)=1,"Discontinued","Current")</f>
        <v>Current</v>
      </c>
      <c r="I251" s="6">
        <f>VLOOKUP(operations[productID],products[],4,FALSE)</f>
        <v>112</v>
      </c>
      <c r="J251" s="6">
        <f>VLOOKUP(operations[productID],products[],5,FALSE)</f>
        <v>0</v>
      </c>
      <c r="K251" s="6">
        <f>VLOOKUP(operations[productID],products[],6,FALSE)</f>
        <v>20</v>
      </c>
      <c r="L251" s="10">
        <f t="array" ref="L251">INDEX('1 orders'!I251:I2156, MATCH(1, ('1 orders'!A251:A2156=A251)*('1 orders'!G251:G2156=F251), 0))
</f>
        <v>8</v>
      </c>
      <c r="M251" s="10">
        <f>IFERROR(__xludf.DUMMYFUNCTION("COUNTUNIQUEIFS($A$2:$A251,$F$2:$F251,F251)"),5.0)</f>
        <v>5</v>
      </c>
      <c r="N251" s="10">
        <f t="shared" si="1"/>
        <v>85</v>
      </c>
      <c r="O251" s="26">
        <f>IF(operations[sinceLastOrder]=0,0,operations[orderQuantity] / operations[sinceLastOrder])</f>
        <v>0.09411764706</v>
      </c>
      <c r="P251" s="9">
        <v>26.78</v>
      </c>
      <c r="Q251" s="7" t="s">
        <v>13</v>
      </c>
      <c r="R251" s="10">
        <f>operations[arrivedDate]-operations[shippedDate]</f>
        <v>13</v>
      </c>
    </row>
    <row r="252" ht="15.75" customHeight="1">
      <c r="A252" s="6">
        <v>10341.0</v>
      </c>
      <c r="B252" s="24">
        <v>44863.0</v>
      </c>
      <c r="C252" s="24">
        <v>44891.0</v>
      </c>
      <c r="D252" s="24">
        <v>44870.0</v>
      </c>
      <c r="E252" s="24">
        <v>44883.0</v>
      </c>
      <c r="F252" s="6">
        <v>59.0</v>
      </c>
      <c r="G252" s="9" t="str">
        <f>VLOOKUP(operations[productID],products[],2,FALSE)</f>
        <v>Raclette Courdavault</v>
      </c>
      <c r="H252" s="9" t="str">
        <f>IF(VLOOKUP(operations[productID],products[],7,FALSE)=1,"Discontinued","Current")</f>
        <v>Current</v>
      </c>
      <c r="I252" s="6">
        <f>VLOOKUP(operations[productID],products[],4,FALSE)</f>
        <v>79</v>
      </c>
      <c r="J252" s="6">
        <f>VLOOKUP(operations[productID],products[],5,FALSE)</f>
        <v>0</v>
      </c>
      <c r="K252" s="6">
        <f>VLOOKUP(operations[productID],products[],6,FALSE)</f>
        <v>0</v>
      </c>
      <c r="L252" s="10">
        <f t="array" ref="L252">INDEX('1 orders'!I252:I2156, MATCH(1, ('1 orders'!A252:A2156=A252)*('1 orders'!G252:G2156=F252), 0))
</f>
        <v>9</v>
      </c>
      <c r="M252" s="10">
        <f>IFERROR(__xludf.DUMMYFUNCTION("COUNTUNIQUEIFS($A$2:$A252,$F$2:$F252,F252)"),9.0)</f>
        <v>9</v>
      </c>
      <c r="N252" s="10">
        <f t="shared" si="1"/>
        <v>15</v>
      </c>
      <c r="O252" s="26">
        <f>IF(operations[sinceLastOrder]=0,0,operations[orderQuantity] / operations[sinceLastOrder])</f>
        <v>0.6</v>
      </c>
      <c r="P252" s="9">
        <v>26.78</v>
      </c>
      <c r="Q252" s="7" t="s">
        <v>13</v>
      </c>
      <c r="R252" s="10">
        <f>operations[arrivedDate]-operations[shippedDate]</f>
        <v>13</v>
      </c>
    </row>
    <row r="253" ht="15.75" customHeight="1">
      <c r="A253" s="6">
        <v>10342.0</v>
      </c>
      <c r="B253" s="24">
        <v>44864.0</v>
      </c>
      <c r="C253" s="24">
        <v>44878.0</v>
      </c>
      <c r="D253" s="24">
        <v>44869.0</v>
      </c>
      <c r="E253" s="24">
        <v>44878.0</v>
      </c>
      <c r="F253" s="6">
        <v>2.0</v>
      </c>
      <c r="G253" s="9" t="str">
        <f>VLOOKUP(operations[productID],products[],2,FALSE)</f>
        <v>Chang</v>
      </c>
      <c r="H253" s="9" t="str">
        <f>IF(VLOOKUP(operations[productID],products[],7,FALSE)=1,"Discontinued","Current")</f>
        <v>Current</v>
      </c>
      <c r="I253" s="6">
        <f>VLOOKUP(operations[productID],products[],4,FALSE)</f>
        <v>17</v>
      </c>
      <c r="J253" s="6">
        <f>VLOOKUP(operations[productID],products[],5,FALSE)</f>
        <v>40</v>
      </c>
      <c r="K253" s="6">
        <f>VLOOKUP(operations[productID],products[],6,FALSE)</f>
        <v>25</v>
      </c>
      <c r="L253" s="10">
        <f t="array" ref="L253">INDEX('1 orders'!I253:I2156, MATCH(1, ('1 orders'!A253:A2156=A253)*('1 orders'!G253:G2156=F253), 0))
</f>
        <v>24</v>
      </c>
      <c r="M253" s="10">
        <f>IFERROR(__xludf.DUMMYFUNCTION("COUNTUNIQUEIFS($A$2:$A253,$F$2:$F253,F253)"),7.0)</f>
        <v>7</v>
      </c>
      <c r="N253" s="10">
        <f t="shared" si="1"/>
        <v>8</v>
      </c>
      <c r="O253" s="26">
        <f>IF(operations[sinceLastOrder]=0,0,operations[orderQuantity] / operations[sinceLastOrder])</f>
        <v>3</v>
      </c>
      <c r="P253" s="9">
        <v>54.83</v>
      </c>
      <c r="Q253" s="7" t="s">
        <v>17</v>
      </c>
      <c r="R253" s="10">
        <f>operations[arrivedDate]-operations[shippedDate]</f>
        <v>9</v>
      </c>
    </row>
    <row r="254" ht="15.75" customHeight="1">
      <c r="A254" s="6">
        <v>10342.0</v>
      </c>
      <c r="B254" s="24">
        <v>44864.0</v>
      </c>
      <c r="C254" s="24">
        <v>44878.0</v>
      </c>
      <c r="D254" s="24">
        <v>44869.0</v>
      </c>
      <c r="E254" s="24">
        <v>44878.0</v>
      </c>
      <c r="F254" s="6">
        <v>31.0</v>
      </c>
      <c r="G254" s="9" t="str">
        <f>VLOOKUP(operations[productID],products[],2,FALSE)</f>
        <v>Gorgonzola Telino</v>
      </c>
      <c r="H254" s="9" t="str">
        <f>IF(VLOOKUP(operations[productID],products[],7,FALSE)=1,"Discontinued","Current")</f>
        <v>Current</v>
      </c>
      <c r="I254" s="6">
        <f>VLOOKUP(operations[productID],products[],4,FALSE)</f>
        <v>0</v>
      </c>
      <c r="J254" s="6">
        <f>VLOOKUP(operations[productID],products[],5,FALSE)</f>
        <v>70</v>
      </c>
      <c r="K254" s="6">
        <f>VLOOKUP(operations[productID],products[],6,FALSE)</f>
        <v>20</v>
      </c>
      <c r="L254" s="10">
        <f t="array" ref="L254">INDEX('1 orders'!I254:I2156, MATCH(1, ('1 orders'!A254:A2156=A254)*('1 orders'!G254:G2156=F254), 0))
</f>
        <v>56</v>
      </c>
      <c r="M254" s="10">
        <f>IFERROR(__xludf.DUMMYFUNCTION("COUNTUNIQUEIFS($A$2:$A254,$F$2:$F254,F254)"),6.0)</f>
        <v>6</v>
      </c>
      <c r="N254" s="10">
        <f t="shared" si="1"/>
        <v>8</v>
      </c>
      <c r="O254" s="26">
        <f>IF(operations[sinceLastOrder]=0,0,operations[orderQuantity] / operations[sinceLastOrder])</f>
        <v>7</v>
      </c>
      <c r="P254" s="9">
        <v>54.83</v>
      </c>
      <c r="Q254" s="7" t="s">
        <v>17</v>
      </c>
      <c r="R254" s="10">
        <f>operations[arrivedDate]-operations[shippedDate]</f>
        <v>9</v>
      </c>
    </row>
    <row r="255" ht="15.75" customHeight="1">
      <c r="A255" s="6">
        <v>10342.0</v>
      </c>
      <c r="B255" s="24">
        <v>44864.0</v>
      </c>
      <c r="C255" s="24">
        <v>44878.0</v>
      </c>
      <c r="D255" s="24">
        <v>44869.0</v>
      </c>
      <c r="E255" s="24">
        <v>44878.0</v>
      </c>
      <c r="F255" s="6">
        <v>36.0</v>
      </c>
      <c r="G255" s="9" t="str">
        <f>VLOOKUP(operations[productID],products[],2,FALSE)</f>
        <v>Inlagd Sill</v>
      </c>
      <c r="H255" s="9" t="str">
        <f>IF(VLOOKUP(operations[productID],products[],7,FALSE)=1,"Discontinued","Current")</f>
        <v>Current</v>
      </c>
      <c r="I255" s="6">
        <f>VLOOKUP(operations[productID],products[],4,FALSE)</f>
        <v>112</v>
      </c>
      <c r="J255" s="6">
        <f>VLOOKUP(operations[productID],products[],5,FALSE)</f>
        <v>0</v>
      </c>
      <c r="K255" s="6">
        <f>VLOOKUP(operations[productID],products[],6,FALSE)</f>
        <v>20</v>
      </c>
      <c r="L255" s="10">
        <f t="array" ref="L255">INDEX('1 orders'!I255:I2156, MATCH(1, ('1 orders'!A255:A2156=A255)*('1 orders'!G255:G2156=F255), 0))
</f>
        <v>40</v>
      </c>
      <c r="M255" s="10">
        <f>IFERROR(__xludf.DUMMYFUNCTION("COUNTUNIQUEIFS($A$2:$A255,$F$2:$F255,F255)"),6.0)</f>
        <v>6</v>
      </c>
      <c r="N255" s="10">
        <f t="shared" si="1"/>
        <v>6</v>
      </c>
      <c r="O255" s="26">
        <f>IF(operations[sinceLastOrder]=0,0,operations[orderQuantity] / operations[sinceLastOrder])</f>
        <v>6.666666667</v>
      </c>
      <c r="P255" s="9">
        <v>54.83</v>
      </c>
      <c r="Q255" s="7" t="s">
        <v>17</v>
      </c>
      <c r="R255" s="10">
        <f>operations[arrivedDate]-operations[shippedDate]</f>
        <v>9</v>
      </c>
    </row>
    <row r="256" ht="15.75" customHeight="1">
      <c r="A256" s="6">
        <v>10342.0</v>
      </c>
      <c r="B256" s="24">
        <v>44864.0</v>
      </c>
      <c r="C256" s="24">
        <v>44878.0</v>
      </c>
      <c r="D256" s="24">
        <v>44869.0</v>
      </c>
      <c r="E256" s="24">
        <v>44878.0</v>
      </c>
      <c r="F256" s="6">
        <v>55.0</v>
      </c>
      <c r="G256" s="9" t="str">
        <f>VLOOKUP(operations[productID],products[],2,FALSE)</f>
        <v>Pâté chinois</v>
      </c>
      <c r="H256" s="9" t="str">
        <f>IF(VLOOKUP(operations[productID],products[],7,FALSE)=1,"Discontinued","Current")</f>
        <v>Current</v>
      </c>
      <c r="I256" s="6">
        <f>VLOOKUP(operations[productID],products[],4,FALSE)</f>
        <v>115</v>
      </c>
      <c r="J256" s="6">
        <f>VLOOKUP(operations[productID],products[],5,FALSE)</f>
        <v>0</v>
      </c>
      <c r="K256" s="6">
        <f>VLOOKUP(operations[productID],products[],6,FALSE)</f>
        <v>20</v>
      </c>
      <c r="L256" s="10">
        <f t="array" ref="L256">INDEX('1 orders'!I256:I2156, MATCH(1, ('1 orders'!A256:A2156=A256)*('1 orders'!G256:G2156=F256), 0))
</f>
        <v>40</v>
      </c>
      <c r="M256" s="10">
        <f>IFERROR(__xludf.DUMMYFUNCTION("COUNTUNIQUEIFS($A$2:$A256,$F$2:$F256,F256)"),3.0)</f>
        <v>3</v>
      </c>
      <c r="N256" s="10">
        <f t="shared" si="1"/>
        <v>77</v>
      </c>
      <c r="O256" s="26">
        <f>IF(operations[sinceLastOrder]=0,0,operations[orderQuantity] / operations[sinceLastOrder])</f>
        <v>0.5194805195</v>
      </c>
      <c r="P256" s="9">
        <v>54.83</v>
      </c>
      <c r="Q256" s="7" t="s">
        <v>17</v>
      </c>
      <c r="R256" s="10">
        <f>operations[arrivedDate]-operations[shippedDate]</f>
        <v>9</v>
      </c>
    </row>
    <row r="257" ht="15.75" customHeight="1">
      <c r="A257" s="6">
        <v>10343.0</v>
      </c>
      <c r="B257" s="24">
        <v>44865.0</v>
      </c>
      <c r="C257" s="24">
        <v>44893.0</v>
      </c>
      <c r="D257" s="24">
        <v>44871.0</v>
      </c>
      <c r="E257" s="24">
        <v>44875.0</v>
      </c>
      <c r="F257" s="6">
        <v>64.0</v>
      </c>
      <c r="G257" s="9" t="str">
        <f>VLOOKUP(operations[productID],products[],2,FALSE)</f>
        <v>Lukas' leckere Sauerteigweggla</v>
      </c>
      <c r="H257" s="9" t="str">
        <f>IF(VLOOKUP(operations[productID],products[],7,FALSE)=1,"Discontinued","Current")</f>
        <v>Current</v>
      </c>
      <c r="I257" s="6">
        <f>VLOOKUP(operations[productID],products[],4,FALSE)</f>
        <v>22</v>
      </c>
      <c r="J257" s="6">
        <f>VLOOKUP(operations[productID],products[],5,FALSE)</f>
        <v>80</v>
      </c>
      <c r="K257" s="6">
        <f>VLOOKUP(operations[productID],products[],6,FALSE)</f>
        <v>30</v>
      </c>
      <c r="L257" s="10">
        <f t="array" ref="L257">INDEX('1 orders'!I257:I2156, MATCH(1, ('1 orders'!A257:A2156=A257)*('1 orders'!G257:G2156=F257), 0))
</f>
        <v>50</v>
      </c>
      <c r="M257" s="10">
        <f>IFERROR(__xludf.DUMMYFUNCTION("COUNTUNIQUEIFS($A$2:$A257,$F$2:$F257,F257)"),2.0)</f>
        <v>2</v>
      </c>
      <c r="N257" s="10">
        <f t="shared" si="1"/>
        <v>66</v>
      </c>
      <c r="O257" s="26">
        <f>IF(operations[sinceLastOrder]=0,0,operations[orderQuantity] / operations[sinceLastOrder])</f>
        <v>0.7575757576</v>
      </c>
      <c r="P257" s="9">
        <v>110.37</v>
      </c>
      <c r="Q257" s="7" t="s">
        <v>15</v>
      </c>
      <c r="R257" s="10">
        <f>operations[arrivedDate]-operations[shippedDate]</f>
        <v>4</v>
      </c>
    </row>
    <row r="258" ht="15.75" customHeight="1">
      <c r="A258" s="6">
        <v>10343.0</v>
      </c>
      <c r="B258" s="24">
        <v>44865.0</v>
      </c>
      <c r="C258" s="24">
        <v>44893.0</v>
      </c>
      <c r="D258" s="24">
        <v>44871.0</v>
      </c>
      <c r="E258" s="24">
        <v>44875.0</v>
      </c>
      <c r="F258" s="6">
        <v>68.0</v>
      </c>
      <c r="G258" s="9" t="str">
        <f>VLOOKUP(operations[productID],products[],2,FALSE)</f>
        <v>Scottish Longbreads</v>
      </c>
      <c r="H258" s="9" t="str">
        <f>IF(VLOOKUP(operations[productID],products[],7,FALSE)=1,"Discontinued","Current")</f>
        <v>Current</v>
      </c>
      <c r="I258" s="6">
        <f>VLOOKUP(operations[productID],products[],4,FALSE)</f>
        <v>6</v>
      </c>
      <c r="J258" s="6">
        <f>VLOOKUP(operations[productID],products[],5,FALSE)</f>
        <v>10</v>
      </c>
      <c r="K258" s="6">
        <f>VLOOKUP(operations[productID],products[],6,FALSE)</f>
        <v>15</v>
      </c>
      <c r="L258" s="10">
        <f t="array" ref="L258">INDEX('1 orders'!I258:I2156, MATCH(1, ('1 orders'!A258:A2156=A258)*('1 orders'!G258:G2156=F258), 0))
</f>
        <v>4</v>
      </c>
      <c r="M258" s="10">
        <f>IFERROR(__xludf.DUMMYFUNCTION("COUNTUNIQUEIFS($A$2:$A258,$F$2:$F258,F258)"),7.0)</f>
        <v>7</v>
      </c>
      <c r="N258" s="10">
        <f t="shared" si="1"/>
        <v>10</v>
      </c>
      <c r="O258" s="26">
        <f>IF(operations[sinceLastOrder]=0,0,operations[orderQuantity] / operations[sinceLastOrder])</f>
        <v>0.4</v>
      </c>
      <c r="P258" s="9">
        <v>110.37</v>
      </c>
      <c r="Q258" s="7" t="s">
        <v>15</v>
      </c>
      <c r="R258" s="10">
        <f>operations[arrivedDate]-operations[shippedDate]</f>
        <v>4</v>
      </c>
    </row>
    <row r="259" ht="15.75" customHeight="1">
      <c r="A259" s="6">
        <v>10343.0</v>
      </c>
      <c r="B259" s="24">
        <v>44865.0</v>
      </c>
      <c r="C259" s="24">
        <v>44893.0</v>
      </c>
      <c r="D259" s="24">
        <v>44871.0</v>
      </c>
      <c r="E259" s="24">
        <v>44875.0</v>
      </c>
      <c r="F259" s="6">
        <v>76.0</v>
      </c>
      <c r="G259" s="9" t="str">
        <f>VLOOKUP(operations[productID],products[],2,FALSE)</f>
        <v>Lakkalikööri</v>
      </c>
      <c r="H259" s="9" t="str">
        <f>IF(VLOOKUP(operations[productID],products[],7,FALSE)=1,"Discontinued","Current")</f>
        <v>Current</v>
      </c>
      <c r="I259" s="6">
        <f>VLOOKUP(operations[productID],products[],4,FALSE)</f>
        <v>57</v>
      </c>
      <c r="J259" s="6">
        <f>VLOOKUP(operations[productID],products[],5,FALSE)</f>
        <v>0</v>
      </c>
      <c r="K259" s="6">
        <f>VLOOKUP(operations[productID],products[],6,FALSE)</f>
        <v>20</v>
      </c>
      <c r="L259" s="10">
        <f t="array" ref="L259">INDEX('1 orders'!I259:I2156, MATCH(1, ('1 orders'!A259:A2156=A259)*('1 orders'!G259:G2156=F259), 0))
</f>
        <v>15</v>
      </c>
      <c r="M259" s="10">
        <f>IFERROR(__xludf.DUMMYFUNCTION("COUNTUNIQUEIFS($A$2:$A259,$F$2:$F259,F259)"),5.0)</f>
        <v>5</v>
      </c>
      <c r="N259" s="10">
        <f t="shared" si="1"/>
        <v>29</v>
      </c>
      <c r="O259" s="26">
        <f>IF(operations[sinceLastOrder]=0,0,operations[orderQuantity] / operations[sinceLastOrder])</f>
        <v>0.5172413793</v>
      </c>
      <c r="P259" s="9">
        <v>110.37</v>
      </c>
      <c r="Q259" s="7" t="s">
        <v>15</v>
      </c>
      <c r="R259" s="10">
        <f>operations[arrivedDate]-operations[shippedDate]</f>
        <v>4</v>
      </c>
    </row>
    <row r="260" ht="15.75" customHeight="1">
      <c r="A260" s="6">
        <v>10344.0</v>
      </c>
      <c r="B260" s="24">
        <v>44866.0</v>
      </c>
      <c r="C260" s="24">
        <v>44894.0</v>
      </c>
      <c r="D260" s="24">
        <v>44870.0</v>
      </c>
      <c r="E260" s="24">
        <v>44888.0</v>
      </c>
      <c r="F260" s="6">
        <v>4.0</v>
      </c>
      <c r="G260" s="9" t="str">
        <f>VLOOKUP(operations[productID],products[],2,FALSE)</f>
        <v>Chef Anton's Cajun Seasoning</v>
      </c>
      <c r="H260" s="9" t="str">
        <f>IF(VLOOKUP(operations[productID],products[],7,FALSE)=1,"Discontinued","Current")</f>
        <v>Current</v>
      </c>
      <c r="I260" s="6">
        <f>VLOOKUP(operations[productID],products[],4,FALSE)</f>
        <v>53</v>
      </c>
      <c r="J260" s="6">
        <f>VLOOKUP(operations[productID],products[],5,FALSE)</f>
        <v>0</v>
      </c>
      <c r="K260" s="6">
        <f>VLOOKUP(operations[productID],products[],6,FALSE)</f>
        <v>0</v>
      </c>
      <c r="L260" s="10">
        <f t="array" ref="L260">INDEX('1 orders'!I260:I2156, MATCH(1, ('1 orders'!A260:A2156=A260)*('1 orders'!G260:G2156=F260), 0))
</f>
        <v>35</v>
      </c>
      <c r="M260" s="10">
        <f>IFERROR(__xludf.DUMMYFUNCTION("COUNTUNIQUEIFS($A$2:$A260,$F$2:$F260,F260)"),5.0)</f>
        <v>5</v>
      </c>
      <c r="N260" s="10">
        <f t="shared" si="1"/>
        <v>4</v>
      </c>
      <c r="O260" s="26">
        <f>IF(operations[sinceLastOrder]=0,0,operations[orderQuantity] / operations[sinceLastOrder])</f>
        <v>8.75</v>
      </c>
      <c r="P260" s="9">
        <v>23.29</v>
      </c>
      <c r="Q260" s="7" t="s">
        <v>17</v>
      </c>
      <c r="R260" s="10">
        <f>operations[arrivedDate]-operations[shippedDate]</f>
        <v>18</v>
      </c>
    </row>
    <row r="261" ht="15.75" customHeight="1">
      <c r="A261" s="6">
        <v>10344.0</v>
      </c>
      <c r="B261" s="24">
        <v>44866.0</v>
      </c>
      <c r="C261" s="24">
        <v>44894.0</v>
      </c>
      <c r="D261" s="24">
        <v>44870.0</v>
      </c>
      <c r="E261" s="24">
        <v>44888.0</v>
      </c>
      <c r="F261" s="6">
        <v>8.0</v>
      </c>
      <c r="G261" s="9" t="str">
        <f>VLOOKUP(operations[productID],products[],2,FALSE)</f>
        <v>Northwoods Cranberry Sauce</v>
      </c>
      <c r="H261" s="9" t="str">
        <f>IF(VLOOKUP(operations[productID],products[],7,FALSE)=1,"Discontinued","Current")</f>
        <v>Current</v>
      </c>
      <c r="I261" s="6">
        <f>VLOOKUP(operations[productID],products[],4,FALSE)</f>
        <v>6</v>
      </c>
      <c r="J261" s="6">
        <f>VLOOKUP(operations[productID],products[],5,FALSE)</f>
        <v>0</v>
      </c>
      <c r="K261" s="6">
        <f>VLOOKUP(operations[productID],products[],6,FALSE)</f>
        <v>0</v>
      </c>
      <c r="L261" s="10">
        <f t="array" ref="L261">INDEX('1 orders'!I261:I2156, MATCH(1, ('1 orders'!A261:A2156=A261)*('1 orders'!G261:G2156=F261), 0))
</f>
        <v>70</v>
      </c>
      <c r="M261" s="10">
        <f>IFERROR(__xludf.DUMMYFUNCTION("COUNTUNIQUEIFS($A$2:$A261,$F$2:$F261,F261)"),1.0)</f>
        <v>1</v>
      </c>
      <c r="N261" s="10">
        <f t="shared" si="1"/>
        <v>0</v>
      </c>
      <c r="O261" s="26">
        <f>IF(operations[sinceLastOrder]=0,0,operations[orderQuantity] / operations[sinceLastOrder])</f>
        <v>0</v>
      </c>
      <c r="P261" s="9">
        <v>23.29</v>
      </c>
      <c r="Q261" s="7" t="s">
        <v>17</v>
      </c>
      <c r="R261" s="10">
        <f>operations[arrivedDate]-operations[shippedDate]</f>
        <v>18</v>
      </c>
    </row>
    <row r="262" ht="15.75" customHeight="1">
      <c r="A262" s="6">
        <v>10345.0</v>
      </c>
      <c r="B262" s="24">
        <v>44869.0</v>
      </c>
      <c r="C262" s="24">
        <v>44897.0</v>
      </c>
      <c r="D262" s="24">
        <v>44876.0</v>
      </c>
      <c r="E262" s="24">
        <v>44884.0</v>
      </c>
      <c r="F262" s="6">
        <v>8.0</v>
      </c>
      <c r="G262" s="9" t="str">
        <f>VLOOKUP(operations[productID],products[],2,FALSE)</f>
        <v>Northwoods Cranberry Sauce</v>
      </c>
      <c r="H262" s="9" t="str">
        <f>IF(VLOOKUP(operations[productID],products[],7,FALSE)=1,"Discontinued","Current")</f>
        <v>Current</v>
      </c>
      <c r="I262" s="6">
        <f>VLOOKUP(operations[productID],products[],4,FALSE)</f>
        <v>6</v>
      </c>
      <c r="J262" s="6">
        <f>VLOOKUP(operations[productID],products[],5,FALSE)</f>
        <v>0</v>
      </c>
      <c r="K262" s="6">
        <f>VLOOKUP(operations[productID],products[],6,FALSE)</f>
        <v>0</v>
      </c>
      <c r="L262" s="10">
        <f t="array" ref="L262">INDEX('1 orders'!I262:I2156, MATCH(1, ('1 orders'!A262:A2156=A262)*('1 orders'!G262:G2156=F262), 0))
</f>
        <v>70</v>
      </c>
      <c r="M262" s="10">
        <f>IFERROR(__xludf.DUMMYFUNCTION("COUNTUNIQUEIFS($A$2:$A262,$F$2:$F262,F262)"),2.0)</f>
        <v>2</v>
      </c>
      <c r="N262" s="10">
        <f t="shared" si="1"/>
        <v>3</v>
      </c>
      <c r="O262" s="26">
        <f>IF(operations[sinceLastOrder]=0,0,operations[orderQuantity] / operations[sinceLastOrder])</f>
        <v>23.33333333</v>
      </c>
      <c r="P262" s="9">
        <v>249.06</v>
      </c>
      <c r="Q262" s="7" t="s">
        <v>17</v>
      </c>
      <c r="R262" s="10">
        <f>operations[arrivedDate]-operations[shippedDate]</f>
        <v>8</v>
      </c>
    </row>
    <row r="263" ht="15.75" customHeight="1">
      <c r="A263" s="6">
        <v>10345.0</v>
      </c>
      <c r="B263" s="24">
        <v>44869.0</v>
      </c>
      <c r="C263" s="24">
        <v>44897.0</v>
      </c>
      <c r="D263" s="24">
        <v>44876.0</v>
      </c>
      <c r="E263" s="24">
        <v>44884.0</v>
      </c>
      <c r="F263" s="6">
        <v>19.0</v>
      </c>
      <c r="G263" s="9" t="str">
        <f>VLOOKUP(operations[productID],products[],2,FALSE)</f>
        <v>Teatime Chocolate Biscuits</v>
      </c>
      <c r="H263" s="9" t="str">
        <f>IF(VLOOKUP(operations[productID],products[],7,FALSE)=1,"Discontinued","Current")</f>
        <v>Current</v>
      </c>
      <c r="I263" s="6">
        <f>VLOOKUP(operations[productID],products[],4,FALSE)</f>
        <v>25</v>
      </c>
      <c r="J263" s="6">
        <f>VLOOKUP(operations[productID],products[],5,FALSE)</f>
        <v>0</v>
      </c>
      <c r="K263" s="6">
        <f>VLOOKUP(operations[productID],products[],6,FALSE)</f>
        <v>5</v>
      </c>
      <c r="L263" s="10">
        <f t="array" ref="L263">INDEX('1 orders'!I263:I2156, MATCH(1, ('1 orders'!A263:A2156=A263)*('1 orders'!G263:G2156=F263), 0))
</f>
        <v>80</v>
      </c>
      <c r="M263" s="10">
        <f>IFERROR(__xludf.DUMMYFUNCTION("COUNTUNIQUEIFS($A$2:$A263,$F$2:$F263,F263)"),5.0)</f>
        <v>5</v>
      </c>
      <c r="N263" s="10">
        <f t="shared" si="1"/>
        <v>20</v>
      </c>
      <c r="O263" s="26">
        <f>IF(operations[sinceLastOrder]=0,0,operations[orderQuantity] / operations[sinceLastOrder])</f>
        <v>4</v>
      </c>
      <c r="P263" s="9">
        <v>249.06</v>
      </c>
      <c r="Q263" s="7" t="s">
        <v>17</v>
      </c>
      <c r="R263" s="10">
        <f>operations[arrivedDate]-operations[shippedDate]</f>
        <v>8</v>
      </c>
    </row>
    <row r="264" ht="15.75" customHeight="1">
      <c r="A264" s="6">
        <v>10345.0</v>
      </c>
      <c r="B264" s="24">
        <v>44869.0</v>
      </c>
      <c r="C264" s="24">
        <v>44897.0</v>
      </c>
      <c r="D264" s="24">
        <v>44876.0</v>
      </c>
      <c r="E264" s="24">
        <v>44884.0</v>
      </c>
      <c r="F264" s="6">
        <v>42.0</v>
      </c>
      <c r="G264" s="9" t="str">
        <f>VLOOKUP(operations[productID],products[],2,FALSE)</f>
        <v>Singaporean Hokkien Fried Mee</v>
      </c>
      <c r="H264" s="9" t="str">
        <f>IF(VLOOKUP(operations[productID],products[],7,FALSE)=1,"Discontinued","Current")</f>
        <v>Discontinued</v>
      </c>
      <c r="I264" s="6">
        <f>VLOOKUP(operations[productID],products[],4,FALSE)</f>
        <v>26</v>
      </c>
      <c r="J264" s="6">
        <f>VLOOKUP(operations[productID],products[],5,FALSE)</f>
        <v>0</v>
      </c>
      <c r="K264" s="6">
        <f>VLOOKUP(operations[productID],products[],6,FALSE)</f>
        <v>0</v>
      </c>
      <c r="L264" s="10">
        <f t="array" ref="L264">INDEX('1 orders'!I264:I2156, MATCH(1, ('1 orders'!A264:A2156=A264)*('1 orders'!G264:G2156=F264), 0))
</f>
        <v>9</v>
      </c>
      <c r="M264" s="10">
        <f>IFERROR(__xludf.DUMMYFUNCTION("COUNTUNIQUEIFS($A$2:$A264,$F$2:$F264,F264)"),5.0)</f>
        <v>5</v>
      </c>
      <c r="N264" s="10">
        <f t="shared" si="1"/>
        <v>18</v>
      </c>
      <c r="O264" s="26">
        <f>IF(operations[sinceLastOrder]=0,0,operations[orderQuantity] / operations[sinceLastOrder])</f>
        <v>0.5</v>
      </c>
      <c r="P264" s="9">
        <v>249.06</v>
      </c>
      <c r="Q264" s="7" t="s">
        <v>17</v>
      </c>
      <c r="R264" s="10">
        <f>operations[arrivedDate]-operations[shippedDate]</f>
        <v>8</v>
      </c>
    </row>
    <row r="265" ht="15.75" customHeight="1">
      <c r="A265" s="6">
        <v>10346.0</v>
      </c>
      <c r="B265" s="24">
        <v>44870.0</v>
      </c>
      <c r="C265" s="24">
        <v>44912.0</v>
      </c>
      <c r="D265" s="24">
        <v>44873.0</v>
      </c>
      <c r="E265" s="24">
        <v>44886.0</v>
      </c>
      <c r="F265" s="6">
        <v>17.0</v>
      </c>
      <c r="G265" s="9" t="str">
        <f>VLOOKUP(operations[productID],products[],2,FALSE)</f>
        <v>Alice Mutton</v>
      </c>
      <c r="H265" s="9" t="str">
        <f>IF(VLOOKUP(operations[productID],products[],7,FALSE)=1,"Discontinued","Current")</f>
        <v>Discontinued</v>
      </c>
      <c r="I265" s="6">
        <f>VLOOKUP(operations[productID],products[],4,FALSE)</f>
        <v>0</v>
      </c>
      <c r="J265" s="6">
        <f>VLOOKUP(operations[productID],products[],5,FALSE)</f>
        <v>0</v>
      </c>
      <c r="K265" s="6">
        <f>VLOOKUP(operations[productID],products[],6,FALSE)</f>
        <v>0</v>
      </c>
      <c r="L265" s="10">
        <f t="array" ref="L265">INDEX('1 orders'!I265:I2156, MATCH(1, ('1 orders'!A265:A2156=A265)*('1 orders'!G265:G2156=F265), 0))
</f>
        <v>36</v>
      </c>
      <c r="M265" s="10">
        <f>IFERROR(__xludf.DUMMYFUNCTION("COUNTUNIQUEIFS($A$2:$A265,$F$2:$F265,F265)"),8.0)</f>
        <v>8</v>
      </c>
      <c r="N265" s="10">
        <f t="shared" si="1"/>
        <v>8</v>
      </c>
      <c r="O265" s="26">
        <f>IF(operations[sinceLastOrder]=0,0,operations[orderQuantity] / operations[sinceLastOrder])</f>
        <v>4.5</v>
      </c>
      <c r="P265" s="9">
        <v>142.08</v>
      </c>
      <c r="Q265" s="7" t="s">
        <v>13</v>
      </c>
      <c r="R265" s="10">
        <f>operations[arrivedDate]-operations[shippedDate]</f>
        <v>13</v>
      </c>
    </row>
    <row r="266" ht="15.75" customHeight="1">
      <c r="A266" s="6">
        <v>10346.0</v>
      </c>
      <c r="B266" s="24">
        <v>44870.0</v>
      </c>
      <c r="C266" s="24">
        <v>44912.0</v>
      </c>
      <c r="D266" s="24">
        <v>44873.0</v>
      </c>
      <c r="E266" s="24">
        <v>44886.0</v>
      </c>
      <c r="F266" s="6">
        <v>56.0</v>
      </c>
      <c r="G266" s="9" t="str">
        <f>VLOOKUP(operations[productID],products[],2,FALSE)</f>
        <v>Gnocchi di nonna Alice</v>
      </c>
      <c r="H266" s="9" t="str">
        <f>IF(VLOOKUP(operations[productID],products[],7,FALSE)=1,"Discontinued","Current")</f>
        <v>Current</v>
      </c>
      <c r="I266" s="6">
        <f>VLOOKUP(operations[productID],products[],4,FALSE)</f>
        <v>21</v>
      </c>
      <c r="J266" s="6">
        <f>VLOOKUP(operations[productID],products[],5,FALSE)</f>
        <v>10</v>
      </c>
      <c r="K266" s="6">
        <f>VLOOKUP(operations[productID],products[],6,FALSE)</f>
        <v>30</v>
      </c>
      <c r="L266" s="10">
        <f t="array" ref="L266">INDEX('1 orders'!I266:I2156, MATCH(1, ('1 orders'!A266:A2156=A266)*('1 orders'!G266:G2156=F266), 0))
</f>
        <v>20</v>
      </c>
      <c r="M266" s="10">
        <f>IFERROR(__xludf.DUMMYFUNCTION("COUNTUNIQUEIFS($A$2:$A266,$F$2:$F266,F266)"),5.0)</f>
        <v>5</v>
      </c>
      <c r="N266" s="10">
        <f t="shared" si="1"/>
        <v>21</v>
      </c>
      <c r="O266" s="26">
        <f>IF(operations[sinceLastOrder]=0,0,operations[orderQuantity] / operations[sinceLastOrder])</f>
        <v>0.9523809524</v>
      </c>
      <c r="P266" s="9">
        <v>142.08</v>
      </c>
      <c r="Q266" s="7" t="s">
        <v>13</v>
      </c>
      <c r="R266" s="10">
        <f>operations[arrivedDate]-operations[shippedDate]</f>
        <v>13</v>
      </c>
    </row>
    <row r="267" ht="15.75" customHeight="1">
      <c r="A267" s="6">
        <v>10347.0</v>
      </c>
      <c r="B267" s="24">
        <v>44871.0</v>
      </c>
      <c r="C267" s="24">
        <v>44899.0</v>
      </c>
      <c r="D267" s="24">
        <v>44873.0</v>
      </c>
      <c r="E267" s="24">
        <v>44888.0</v>
      </c>
      <c r="F267" s="6">
        <v>25.0</v>
      </c>
      <c r="G267" s="9" t="str">
        <f>VLOOKUP(operations[productID],products[],2,FALSE)</f>
        <v>HM Köstliche Kaiserschmarrn Knödelchen</v>
      </c>
      <c r="H267" s="9" t="str">
        <f>IF(VLOOKUP(operations[productID],products[],7,FALSE)=1,"Discontinued","Current")</f>
        <v>Current</v>
      </c>
      <c r="I267" s="6">
        <f>VLOOKUP(operations[productID],products[],4,FALSE)</f>
        <v>76</v>
      </c>
      <c r="J267" s="6">
        <f>VLOOKUP(operations[productID],products[],5,FALSE)</f>
        <v>0</v>
      </c>
      <c r="K267" s="6">
        <f>VLOOKUP(operations[productID],products[],6,FALSE)</f>
        <v>30</v>
      </c>
      <c r="L267" s="10">
        <f t="array" ref="L267">INDEX('1 orders'!I267:I2156, MATCH(1, ('1 orders'!A267:A2156=A267)*('1 orders'!G267:G2156=F267), 0))
</f>
        <v>10</v>
      </c>
      <c r="M267" s="10">
        <f>IFERROR(__xludf.DUMMYFUNCTION("COUNTUNIQUEIFS($A$2:$A267,$F$2:$F267,F267)"),2.0)</f>
        <v>2</v>
      </c>
      <c r="N267" s="10">
        <f t="shared" si="1"/>
        <v>30</v>
      </c>
      <c r="O267" s="26">
        <f>IF(operations[sinceLastOrder]=0,0,operations[orderQuantity] / operations[sinceLastOrder])</f>
        <v>0.3333333333</v>
      </c>
      <c r="P267" s="9">
        <v>3.1</v>
      </c>
      <c r="Q267" s="7" t="s">
        <v>13</v>
      </c>
      <c r="R267" s="10">
        <f>operations[arrivedDate]-operations[shippedDate]</f>
        <v>15</v>
      </c>
    </row>
    <row r="268" ht="15.75" customHeight="1">
      <c r="A268" s="6">
        <v>10347.0</v>
      </c>
      <c r="B268" s="24">
        <v>44871.0</v>
      </c>
      <c r="C268" s="24">
        <v>44899.0</v>
      </c>
      <c r="D268" s="24">
        <v>44873.0</v>
      </c>
      <c r="E268" s="24">
        <v>44888.0</v>
      </c>
      <c r="F268" s="6">
        <v>39.0</v>
      </c>
      <c r="G268" s="9" t="str">
        <f>VLOOKUP(operations[productID],products[],2,FALSE)</f>
        <v>Chartreuse verte</v>
      </c>
      <c r="H268" s="9" t="str">
        <f>IF(VLOOKUP(operations[productID],products[],7,FALSE)=1,"Discontinued","Current")</f>
        <v>Current</v>
      </c>
      <c r="I268" s="6">
        <f>VLOOKUP(operations[productID],products[],4,FALSE)</f>
        <v>69</v>
      </c>
      <c r="J268" s="6">
        <f>VLOOKUP(operations[productID],products[],5,FALSE)</f>
        <v>0</v>
      </c>
      <c r="K268" s="6">
        <f>VLOOKUP(operations[productID],products[],6,FALSE)</f>
        <v>5</v>
      </c>
      <c r="L268" s="10">
        <f t="array" ref="L268">INDEX('1 orders'!I268:I2156, MATCH(1, ('1 orders'!A268:A2156=A268)*('1 orders'!G268:G2156=F268), 0))
</f>
        <v>50</v>
      </c>
      <c r="M268" s="10">
        <f>IFERROR(__xludf.DUMMYFUNCTION("COUNTUNIQUEIFS($A$2:$A268,$F$2:$F268,F268)"),6.0)</f>
        <v>6</v>
      </c>
      <c r="N268" s="10">
        <f t="shared" si="1"/>
        <v>30</v>
      </c>
      <c r="O268" s="26">
        <f>IF(operations[sinceLastOrder]=0,0,operations[orderQuantity] / operations[sinceLastOrder])</f>
        <v>1.666666667</v>
      </c>
      <c r="P268" s="9">
        <v>3.1</v>
      </c>
      <c r="Q268" s="7" t="s">
        <v>13</v>
      </c>
      <c r="R268" s="10">
        <f>operations[arrivedDate]-operations[shippedDate]</f>
        <v>15</v>
      </c>
    </row>
    <row r="269" ht="15.75" customHeight="1">
      <c r="A269" s="6">
        <v>10347.0</v>
      </c>
      <c r="B269" s="24">
        <v>44871.0</v>
      </c>
      <c r="C269" s="24">
        <v>44899.0</v>
      </c>
      <c r="D269" s="24">
        <v>44873.0</v>
      </c>
      <c r="E269" s="24">
        <v>44888.0</v>
      </c>
      <c r="F269" s="6">
        <v>40.0</v>
      </c>
      <c r="G269" s="9" t="str">
        <f>VLOOKUP(operations[productID],products[],2,FALSE)</f>
        <v>Boston Crab Meat</v>
      </c>
      <c r="H269" s="9" t="str">
        <f>IF(VLOOKUP(operations[productID],products[],7,FALSE)=1,"Discontinued","Current")</f>
        <v>Current</v>
      </c>
      <c r="I269" s="6">
        <f>VLOOKUP(operations[productID],products[],4,FALSE)</f>
        <v>123</v>
      </c>
      <c r="J269" s="6">
        <f>VLOOKUP(operations[productID],products[],5,FALSE)</f>
        <v>0</v>
      </c>
      <c r="K269" s="6">
        <f>VLOOKUP(operations[productID],products[],6,FALSE)</f>
        <v>30</v>
      </c>
      <c r="L269" s="10">
        <f t="array" ref="L269">INDEX('1 orders'!I269:I2156, MATCH(1, ('1 orders'!A269:A2156=A269)*('1 orders'!G269:G2156=F269), 0))
</f>
        <v>4</v>
      </c>
      <c r="M269" s="10">
        <f>IFERROR(__xludf.DUMMYFUNCTION("COUNTUNIQUEIFS($A$2:$A269,$F$2:$F269,F269)"),6.0)</f>
        <v>6</v>
      </c>
      <c r="N269" s="10">
        <f t="shared" si="1"/>
        <v>56</v>
      </c>
      <c r="O269" s="26">
        <f>IF(operations[sinceLastOrder]=0,0,operations[orderQuantity] / operations[sinceLastOrder])</f>
        <v>0.07142857143</v>
      </c>
      <c r="P269" s="9">
        <v>3.1</v>
      </c>
      <c r="Q269" s="7" t="s">
        <v>13</v>
      </c>
      <c r="R269" s="10">
        <f>operations[arrivedDate]-operations[shippedDate]</f>
        <v>15</v>
      </c>
    </row>
    <row r="270" ht="15.75" customHeight="1">
      <c r="A270" s="6">
        <v>10347.0</v>
      </c>
      <c r="B270" s="24">
        <v>44871.0</v>
      </c>
      <c r="C270" s="24">
        <v>44899.0</v>
      </c>
      <c r="D270" s="24">
        <v>44873.0</v>
      </c>
      <c r="E270" s="24">
        <v>44888.0</v>
      </c>
      <c r="F270" s="6">
        <v>75.0</v>
      </c>
      <c r="G270" s="9" t="str">
        <f>VLOOKUP(operations[productID],products[],2,FALSE)</f>
        <v>Rhönbräu Klosterbier</v>
      </c>
      <c r="H270" s="9" t="str">
        <f>IF(VLOOKUP(operations[productID],products[],7,FALSE)=1,"Discontinued","Current")</f>
        <v>Current</v>
      </c>
      <c r="I270" s="6">
        <f>VLOOKUP(operations[productID],products[],4,FALSE)</f>
        <v>125</v>
      </c>
      <c r="J270" s="6">
        <f>VLOOKUP(operations[productID],products[],5,FALSE)</f>
        <v>0</v>
      </c>
      <c r="K270" s="6">
        <f>VLOOKUP(operations[productID],products[],6,FALSE)</f>
        <v>25</v>
      </c>
      <c r="L270" s="10">
        <f t="array" ref="L270">INDEX('1 orders'!I270:I2156, MATCH(1, ('1 orders'!A270:A2156=A270)*('1 orders'!G270:G2156=F270), 0))
</f>
        <v>6</v>
      </c>
      <c r="M270" s="10">
        <f>IFERROR(__xludf.DUMMYFUNCTION("COUNTUNIQUEIFS($A$2:$A270,$F$2:$F270,F270)"),6.0)</f>
        <v>6</v>
      </c>
      <c r="N270" s="10">
        <f t="shared" si="1"/>
        <v>27</v>
      </c>
      <c r="O270" s="26">
        <f>IF(operations[sinceLastOrder]=0,0,operations[orderQuantity] / operations[sinceLastOrder])</f>
        <v>0.2222222222</v>
      </c>
      <c r="P270" s="9">
        <v>3.1</v>
      </c>
      <c r="Q270" s="7" t="s">
        <v>13</v>
      </c>
      <c r="R270" s="10">
        <f>operations[arrivedDate]-operations[shippedDate]</f>
        <v>15</v>
      </c>
    </row>
    <row r="271" ht="15.75" customHeight="1">
      <c r="A271" s="6">
        <v>10348.0</v>
      </c>
      <c r="B271" s="24">
        <v>44872.0</v>
      </c>
      <c r="C271" s="24">
        <v>44900.0</v>
      </c>
      <c r="D271" s="24">
        <v>44880.0</v>
      </c>
      <c r="E271" s="24">
        <v>44888.0</v>
      </c>
      <c r="F271" s="6">
        <v>1.0</v>
      </c>
      <c r="G271" s="9" t="str">
        <f>VLOOKUP(operations[productID],products[],2,FALSE)</f>
        <v>Chai</v>
      </c>
      <c r="H271" s="9" t="str">
        <f>IF(VLOOKUP(operations[productID],products[],7,FALSE)=1,"Discontinued","Current")</f>
        <v>Current</v>
      </c>
      <c r="I271" s="6">
        <f>VLOOKUP(operations[productID],products[],4,FALSE)</f>
        <v>39</v>
      </c>
      <c r="J271" s="6">
        <f>VLOOKUP(operations[productID],products[],5,FALSE)</f>
        <v>0</v>
      </c>
      <c r="K271" s="6">
        <f>VLOOKUP(operations[productID],products[],6,FALSE)</f>
        <v>10</v>
      </c>
      <c r="L271" s="10">
        <f t="array" ref="L271">INDEX('1 orders'!I271:I2156, MATCH(1, ('1 orders'!A271:A2156=A271)*('1 orders'!G271:G2156=F271), 0))
</f>
        <v>15</v>
      </c>
      <c r="M271" s="10">
        <f>IFERROR(__xludf.DUMMYFUNCTION("COUNTUNIQUEIFS($A$2:$A271,$F$2:$F271,F271)"),4.0)</f>
        <v>4</v>
      </c>
      <c r="N271" s="10">
        <f t="shared" si="1"/>
        <v>38</v>
      </c>
      <c r="O271" s="26">
        <f>IF(operations[sinceLastOrder]=0,0,operations[orderQuantity] / operations[sinceLastOrder])</f>
        <v>0.3947368421</v>
      </c>
      <c r="P271" s="9">
        <v>0.78</v>
      </c>
      <c r="Q271" s="7" t="s">
        <v>17</v>
      </c>
      <c r="R271" s="10">
        <f>operations[arrivedDate]-operations[shippedDate]</f>
        <v>8</v>
      </c>
    </row>
    <row r="272" ht="15.75" customHeight="1">
      <c r="A272" s="6">
        <v>10348.0</v>
      </c>
      <c r="B272" s="24">
        <v>44872.0</v>
      </c>
      <c r="C272" s="24">
        <v>44900.0</v>
      </c>
      <c r="D272" s="24">
        <v>44880.0</v>
      </c>
      <c r="E272" s="24">
        <v>44888.0</v>
      </c>
      <c r="F272" s="6">
        <v>23.0</v>
      </c>
      <c r="G272" s="9" t="str">
        <f>VLOOKUP(operations[productID],products[],2,FALSE)</f>
        <v>Tunnbröd</v>
      </c>
      <c r="H272" s="9" t="str">
        <f>IF(VLOOKUP(operations[productID],products[],7,FALSE)=1,"Discontinued","Current")</f>
        <v>Current</v>
      </c>
      <c r="I272" s="6">
        <f>VLOOKUP(operations[productID],products[],4,FALSE)</f>
        <v>61</v>
      </c>
      <c r="J272" s="6">
        <f>VLOOKUP(operations[productID],products[],5,FALSE)</f>
        <v>0</v>
      </c>
      <c r="K272" s="6">
        <f>VLOOKUP(operations[productID],products[],6,FALSE)</f>
        <v>25</v>
      </c>
      <c r="L272" s="10">
        <f t="array" ref="L272">INDEX('1 orders'!I272:I2156, MATCH(1, ('1 orders'!A272:A2156=A272)*('1 orders'!G272:G2156=F272), 0))
</f>
        <v>25</v>
      </c>
      <c r="M272" s="10">
        <f>IFERROR(__xludf.DUMMYFUNCTION("COUNTUNIQUEIFS($A$2:$A272,$F$2:$F272,F272)"),2.0)</f>
        <v>2</v>
      </c>
      <c r="N272" s="10">
        <f t="shared" si="1"/>
        <v>14</v>
      </c>
      <c r="O272" s="26">
        <f>IF(operations[sinceLastOrder]=0,0,operations[orderQuantity] / operations[sinceLastOrder])</f>
        <v>1.785714286</v>
      </c>
      <c r="P272" s="9">
        <v>0.78</v>
      </c>
      <c r="Q272" s="7" t="s">
        <v>17</v>
      </c>
      <c r="R272" s="10">
        <f>operations[arrivedDate]-operations[shippedDate]</f>
        <v>8</v>
      </c>
    </row>
    <row r="273" ht="15.75" customHeight="1">
      <c r="A273" s="6">
        <v>10349.0</v>
      </c>
      <c r="B273" s="24">
        <v>44873.0</v>
      </c>
      <c r="C273" s="24">
        <v>44901.0</v>
      </c>
      <c r="D273" s="24">
        <v>44880.0</v>
      </c>
      <c r="E273" s="24">
        <v>44895.0</v>
      </c>
      <c r="F273" s="6">
        <v>54.0</v>
      </c>
      <c r="G273" s="9" t="str">
        <f>VLOOKUP(operations[productID],products[],2,FALSE)</f>
        <v>Tourtière</v>
      </c>
      <c r="H273" s="9" t="str">
        <f>IF(VLOOKUP(operations[productID],products[],7,FALSE)=1,"Discontinued","Current")</f>
        <v>Current</v>
      </c>
      <c r="I273" s="6">
        <f>VLOOKUP(operations[productID],products[],4,FALSE)</f>
        <v>21</v>
      </c>
      <c r="J273" s="6">
        <f>VLOOKUP(operations[productID],products[],5,FALSE)</f>
        <v>0</v>
      </c>
      <c r="K273" s="6">
        <f>VLOOKUP(operations[productID],products[],6,FALSE)</f>
        <v>10</v>
      </c>
      <c r="L273" s="10">
        <f t="array" ref="L273">INDEX('1 orders'!I273:I2156, MATCH(1, ('1 orders'!A273:A2156=A273)*('1 orders'!G273:G2156=F273), 0))
</f>
        <v>24</v>
      </c>
      <c r="M273" s="10">
        <f>IFERROR(__xludf.DUMMYFUNCTION("COUNTUNIQUEIFS($A$2:$A273,$F$2:$F273,F273)"),4.0)</f>
        <v>4</v>
      </c>
      <c r="N273" s="10">
        <f t="shared" si="1"/>
        <v>23</v>
      </c>
      <c r="O273" s="26">
        <f>IF(operations[sinceLastOrder]=0,0,operations[orderQuantity] / operations[sinceLastOrder])</f>
        <v>1.043478261</v>
      </c>
      <c r="P273" s="9">
        <v>8.63</v>
      </c>
      <c r="Q273" s="7" t="s">
        <v>15</v>
      </c>
      <c r="R273" s="10">
        <f>operations[arrivedDate]-operations[shippedDate]</f>
        <v>15</v>
      </c>
    </row>
    <row r="274" ht="15.75" customHeight="1">
      <c r="A274" s="6">
        <v>10350.0</v>
      </c>
      <c r="B274" s="24">
        <v>44876.0</v>
      </c>
      <c r="C274" s="24">
        <v>44904.0</v>
      </c>
      <c r="D274" s="24">
        <v>44898.0</v>
      </c>
      <c r="E274" s="24">
        <v>44908.0</v>
      </c>
      <c r="F274" s="6">
        <v>50.0</v>
      </c>
      <c r="G274" s="9" t="str">
        <f>VLOOKUP(operations[productID],products[],2,FALSE)</f>
        <v>Valkoinen suklaa</v>
      </c>
      <c r="H274" s="9" t="str">
        <f>IF(VLOOKUP(operations[productID],products[],7,FALSE)=1,"Discontinued","Current")</f>
        <v>Current</v>
      </c>
      <c r="I274" s="6">
        <f>VLOOKUP(operations[productID],products[],4,FALSE)</f>
        <v>65</v>
      </c>
      <c r="J274" s="6">
        <f>VLOOKUP(operations[productID],products[],5,FALSE)</f>
        <v>0</v>
      </c>
      <c r="K274" s="6">
        <f>VLOOKUP(operations[productID],products[],6,FALSE)</f>
        <v>30</v>
      </c>
      <c r="L274" s="10">
        <f t="array" ref="L274">INDEX('1 orders'!I274:I2156, MATCH(1, ('1 orders'!A274:A2156=A274)*('1 orders'!G274:G2156=F274), 0))
</f>
        <v>15</v>
      </c>
      <c r="M274" s="10">
        <f>IFERROR(__xludf.DUMMYFUNCTION("COUNTUNIQUEIFS($A$2:$A274,$F$2:$F274,F274)"),1.0)</f>
        <v>1</v>
      </c>
      <c r="N274" s="10">
        <f t="shared" si="1"/>
        <v>0</v>
      </c>
      <c r="O274" s="26">
        <f>IF(operations[sinceLastOrder]=0,0,operations[orderQuantity] / operations[sinceLastOrder])</f>
        <v>0</v>
      </c>
      <c r="P274" s="9">
        <v>64.19</v>
      </c>
      <c r="Q274" s="7" t="s">
        <v>17</v>
      </c>
      <c r="R274" s="10">
        <f>operations[arrivedDate]-operations[shippedDate]</f>
        <v>10</v>
      </c>
    </row>
    <row r="275" ht="15.75" customHeight="1">
      <c r="A275" s="6">
        <v>10350.0</v>
      </c>
      <c r="B275" s="24">
        <v>44876.0</v>
      </c>
      <c r="C275" s="24">
        <v>44904.0</v>
      </c>
      <c r="D275" s="24">
        <v>44898.0</v>
      </c>
      <c r="E275" s="24">
        <v>44908.0</v>
      </c>
      <c r="F275" s="6">
        <v>69.0</v>
      </c>
      <c r="G275" s="9" t="str">
        <f>VLOOKUP(operations[productID],products[],2,FALSE)</f>
        <v>Gudbrandsdalsost</v>
      </c>
      <c r="H275" s="9" t="str">
        <f>IF(VLOOKUP(operations[productID],products[],7,FALSE)=1,"Discontinued","Current")</f>
        <v>Current</v>
      </c>
      <c r="I275" s="6">
        <f>VLOOKUP(operations[productID],products[],4,FALSE)</f>
        <v>26</v>
      </c>
      <c r="J275" s="6">
        <f>VLOOKUP(operations[productID],products[],5,FALSE)</f>
        <v>0</v>
      </c>
      <c r="K275" s="6">
        <f>VLOOKUP(operations[productID],products[],6,FALSE)</f>
        <v>15</v>
      </c>
      <c r="L275" s="10">
        <f t="array" ref="L275">INDEX('1 orders'!I275:I2156, MATCH(1, ('1 orders'!A275:A2156=A275)*('1 orders'!G275:G2156=F275), 0))
</f>
        <v>18</v>
      </c>
      <c r="M275" s="10">
        <f>IFERROR(__xludf.DUMMYFUNCTION("COUNTUNIQUEIFS($A$2:$A275,$F$2:$F275,F275)"),4.0)</f>
        <v>4</v>
      </c>
      <c r="N275" s="10">
        <f t="shared" si="1"/>
        <v>52</v>
      </c>
      <c r="O275" s="26">
        <f>IF(operations[sinceLastOrder]=0,0,operations[orderQuantity] / operations[sinceLastOrder])</f>
        <v>0.3461538462</v>
      </c>
      <c r="P275" s="9">
        <v>64.19</v>
      </c>
      <c r="Q275" s="7" t="s">
        <v>17</v>
      </c>
      <c r="R275" s="10">
        <f>operations[arrivedDate]-operations[shippedDate]</f>
        <v>10</v>
      </c>
    </row>
    <row r="276" ht="15.75" customHeight="1">
      <c r="A276" s="6">
        <v>10351.0</v>
      </c>
      <c r="B276" s="24">
        <v>44876.0</v>
      </c>
      <c r="C276" s="24">
        <v>44904.0</v>
      </c>
      <c r="D276" s="24">
        <v>44885.0</v>
      </c>
      <c r="E276" s="24">
        <v>44897.0</v>
      </c>
      <c r="F276" s="6">
        <v>38.0</v>
      </c>
      <c r="G276" s="9" t="str">
        <f>VLOOKUP(operations[productID],products[],2,FALSE)</f>
        <v>Côte de Blaye</v>
      </c>
      <c r="H276" s="9" t="str">
        <f>IF(VLOOKUP(operations[productID],products[],7,FALSE)=1,"Discontinued","Current")</f>
        <v>Current</v>
      </c>
      <c r="I276" s="6">
        <f>VLOOKUP(operations[productID],products[],4,FALSE)</f>
        <v>17</v>
      </c>
      <c r="J276" s="6">
        <f>VLOOKUP(operations[productID],products[],5,FALSE)</f>
        <v>0</v>
      </c>
      <c r="K276" s="6">
        <f>VLOOKUP(operations[productID],products[],6,FALSE)</f>
        <v>15</v>
      </c>
      <c r="L276" s="10">
        <f t="array" ref="L276">INDEX('1 orders'!I276:I2156, MATCH(1, ('1 orders'!A276:A2156=A276)*('1 orders'!G276:G2156=F276), 0))
</f>
        <v>20</v>
      </c>
      <c r="M276" s="10">
        <f>IFERROR(__xludf.DUMMYFUNCTION("COUNTUNIQUEIFS($A$2:$A276,$F$2:$F276,F276)"),2.0)</f>
        <v>2</v>
      </c>
      <c r="N276" s="10">
        <f t="shared" si="1"/>
        <v>27</v>
      </c>
      <c r="O276" s="26">
        <f>IF(operations[sinceLastOrder]=0,0,operations[orderQuantity] / operations[sinceLastOrder])</f>
        <v>0.7407407407</v>
      </c>
      <c r="P276" s="9">
        <v>162.33</v>
      </c>
      <c r="Q276" s="7" t="s">
        <v>15</v>
      </c>
      <c r="R276" s="10">
        <f>operations[arrivedDate]-operations[shippedDate]</f>
        <v>12</v>
      </c>
    </row>
    <row r="277" ht="15.75" customHeight="1">
      <c r="A277" s="6">
        <v>10351.0</v>
      </c>
      <c r="B277" s="24">
        <v>44876.0</v>
      </c>
      <c r="C277" s="24">
        <v>44904.0</v>
      </c>
      <c r="D277" s="24">
        <v>44885.0</v>
      </c>
      <c r="E277" s="24">
        <v>44897.0</v>
      </c>
      <c r="F277" s="6">
        <v>41.0</v>
      </c>
      <c r="G277" s="9" t="str">
        <f>VLOOKUP(operations[productID],products[],2,FALSE)</f>
        <v>Jack's New England Clam Chowder</v>
      </c>
      <c r="H277" s="9" t="str">
        <f>IF(VLOOKUP(operations[productID],products[],7,FALSE)=1,"Discontinued","Current")</f>
        <v>Current</v>
      </c>
      <c r="I277" s="6">
        <f>VLOOKUP(operations[productID],products[],4,FALSE)</f>
        <v>85</v>
      </c>
      <c r="J277" s="6">
        <f>VLOOKUP(operations[productID],products[],5,FALSE)</f>
        <v>0</v>
      </c>
      <c r="K277" s="6">
        <f>VLOOKUP(operations[productID],products[],6,FALSE)</f>
        <v>10</v>
      </c>
      <c r="L277" s="10">
        <f t="array" ref="L277">INDEX('1 orders'!I277:I2156, MATCH(1, ('1 orders'!A277:A2156=A277)*('1 orders'!G277:G2156=F277), 0))
</f>
        <v>13</v>
      </c>
      <c r="M277" s="10">
        <f>IFERROR(__xludf.DUMMYFUNCTION("COUNTUNIQUEIFS($A$2:$A277,$F$2:$F277,F277)"),7.0)</f>
        <v>7</v>
      </c>
      <c r="N277" s="10">
        <f t="shared" si="1"/>
        <v>13</v>
      </c>
      <c r="O277" s="26">
        <f>IF(operations[sinceLastOrder]=0,0,operations[orderQuantity] / operations[sinceLastOrder])</f>
        <v>1</v>
      </c>
      <c r="P277" s="9">
        <v>162.33</v>
      </c>
      <c r="Q277" s="7" t="s">
        <v>15</v>
      </c>
      <c r="R277" s="10">
        <f>operations[arrivedDate]-operations[shippedDate]</f>
        <v>12</v>
      </c>
    </row>
    <row r="278" ht="15.75" customHeight="1">
      <c r="A278" s="6">
        <v>10351.0</v>
      </c>
      <c r="B278" s="24">
        <v>44876.0</v>
      </c>
      <c r="C278" s="24">
        <v>44904.0</v>
      </c>
      <c r="D278" s="24">
        <v>44885.0</v>
      </c>
      <c r="E278" s="24">
        <v>44897.0</v>
      </c>
      <c r="F278" s="6">
        <v>44.0</v>
      </c>
      <c r="G278" s="9" t="str">
        <f>VLOOKUP(operations[productID],products[],2,FALSE)</f>
        <v>Gula Malacca</v>
      </c>
      <c r="H278" s="9" t="str">
        <f>IF(VLOOKUP(operations[productID],products[],7,FALSE)=1,"Discontinued","Current")</f>
        <v>Current</v>
      </c>
      <c r="I278" s="6">
        <f>VLOOKUP(operations[productID],products[],4,FALSE)</f>
        <v>27</v>
      </c>
      <c r="J278" s="6">
        <f>VLOOKUP(operations[productID],products[],5,FALSE)</f>
        <v>0</v>
      </c>
      <c r="K278" s="6">
        <f>VLOOKUP(operations[productID],products[],6,FALSE)</f>
        <v>15</v>
      </c>
      <c r="L278" s="10">
        <f t="array" ref="L278">INDEX('1 orders'!I278:I2156, MATCH(1, ('1 orders'!A278:A2156=A278)*('1 orders'!G278:G2156=F278), 0))
</f>
        <v>77</v>
      </c>
      <c r="M278" s="10">
        <f>IFERROR(__xludf.DUMMYFUNCTION("COUNTUNIQUEIFS($A$2:$A278,$F$2:$F278,F278)"),4.0)</f>
        <v>4</v>
      </c>
      <c r="N278" s="10">
        <f t="shared" si="1"/>
        <v>76</v>
      </c>
      <c r="O278" s="26">
        <f>IF(operations[sinceLastOrder]=0,0,operations[orderQuantity] / operations[sinceLastOrder])</f>
        <v>1.013157895</v>
      </c>
      <c r="P278" s="9">
        <v>162.33</v>
      </c>
      <c r="Q278" s="7" t="s">
        <v>15</v>
      </c>
      <c r="R278" s="10">
        <f>operations[arrivedDate]-operations[shippedDate]</f>
        <v>12</v>
      </c>
    </row>
    <row r="279" ht="15.75" customHeight="1">
      <c r="A279" s="6">
        <v>10351.0</v>
      </c>
      <c r="B279" s="24">
        <v>44876.0</v>
      </c>
      <c r="C279" s="24">
        <v>44904.0</v>
      </c>
      <c r="D279" s="24">
        <v>44885.0</v>
      </c>
      <c r="E279" s="24">
        <v>44897.0</v>
      </c>
      <c r="F279" s="6">
        <v>65.0</v>
      </c>
      <c r="G279" s="9" t="str">
        <f>VLOOKUP(operations[productID],products[],2,FALSE)</f>
        <v>Louisiana Fiery Hot Pepper Sauce</v>
      </c>
      <c r="H279" s="9" t="str">
        <f>IF(VLOOKUP(operations[productID],products[],7,FALSE)=1,"Discontinued","Current")</f>
        <v>Current</v>
      </c>
      <c r="I279" s="6">
        <f>VLOOKUP(operations[productID],products[],4,FALSE)</f>
        <v>76</v>
      </c>
      <c r="J279" s="6">
        <f>VLOOKUP(operations[productID],products[],5,FALSE)</f>
        <v>0</v>
      </c>
      <c r="K279" s="6">
        <f>VLOOKUP(operations[productID],products[],6,FALSE)</f>
        <v>0</v>
      </c>
      <c r="L279" s="10">
        <f t="array" ref="L279">INDEX('1 orders'!I279:I2156, MATCH(1, ('1 orders'!A279:A2156=A279)*('1 orders'!G279:G2156=F279), 0))
</f>
        <v>10</v>
      </c>
      <c r="M279" s="10">
        <f>IFERROR(__xludf.DUMMYFUNCTION("COUNTUNIQUEIFS($A$2:$A279,$F$2:$F279,F279)"),5.0)</f>
        <v>5</v>
      </c>
      <c r="N279" s="10">
        <f t="shared" si="1"/>
        <v>28</v>
      </c>
      <c r="O279" s="26">
        <f>IF(operations[sinceLastOrder]=0,0,operations[orderQuantity] / operations[sinceLastOrder])</f>
        <v>0.3571428571</v>
      </c>
      <c r="P279" s="9">
        <v>162.33</v>
      </c>
      <c r="Q279" s="7" t="s">
        <v>15</v>
      </c>
      <c r="R279" s="10">
        <f>operations[arrivedDate]-operations[shippedDate]</f>
        <v>12</v>
      </c>
    </row>
    <row r="280" ht="15.75" customHeight="1">
      <c r="A280" s="6">
        <v>10352.0</v>
      </c>
      <c r="B280" s="24">
        <v>44877.0</v>
      </c>
      <c r="C280" s="24">
        <v>44891.0</v>
      </c>
      <c r="D280" s="24">
        <v>44883.0</v>
      </c>
      <c r="E280" s="24">
        <v>44897.0</v>
      </c>
      <c r="F280" s="6">
        <v>24.0</v>
      </c>
      <c r="G280" s="9" t="str">
        <f>VLOOKUP(operations[productID],products[],2,FALSE)</f>
        <v>Brigadeiros Maravilhosos da Lilian</v>
      </c>
      <c r="H280" s="9" t="str">
        <f>IF(VLOOKUP(operations[productID],products[],7,FALSE)=1,"Discontinued","Current")</f>
        <v>Discontinued</v>
      </c>
      <c r="I280" s="6">
        <f>VLOOKUP(operations[productID],products[],4,FALSE)</f>
        <v>20</v>
      </c>
      <c r="J280" s="6">
        <f>VLOOKUP(operations[productID],products[],5,FALSE)</f>
        <v>0</v>
      </c>
      <c r="K280" s="6">
        <f>VLOOKUP(operations[productID],products[],6,FALSE)</f>
        <v>0</v>
      </c>
      <c r="L280" s="10">
        <f t="array" ref="L280">INDEX('1 orders'!I280:I2156, MATCH(1, ('1 orders'!A280:A2156=A280)*('1 orders'!G280:G2156=F280), 0))
</f>
        <v>10</v>
      </c>
      <c r="M280" s="10">
        <f>IFERROR(__xludf.DUMMYFUNCTION("COUNTUNIQUEIFS($A$2:$A280,$F$2:$F280,F280)"),7.0)</f>
        <v>7</v>
      </c>
      <c r="N280" s="10">
        <f t="shared" si="1"/>
        <v>75</v>
      </c>
      <c r="O280" s="26">
        <f>IF(operations[sinceLastOrder]=0,0,operations[orderQuantity] / operations[sinceLastOrder])</f>
        <v>0.1333333333</v>
      </c>
      <c r="P280" s="9">
        <v>1.3</v>
      </c>
      <c r="Q280" s="7" t="s">
        <v>13</v>
      </c>
      <c r="R280" s="10">
        <f>operations[arrivedDate]-operations[shippedDate]</f>
        <v>14</v>
      </c>
    </row>
    <row r="281" ht="15.75" customHeight="1">
      <c r="A281" s="6">
        <v>10352.0</v>
      </c>
      <c r="B281" s="24">
        <v>44877.0</v>
      </c>
      <c r="C281" s="24">
        <v>44891.0</v>
      </c>
      <c r="D281" s="24">
        <v>44883.0</v>
      </c>
      <c r="E281" s="24">
        <v>44897.0</v>
      </c>
      <c r="F281" s="6">
        <v>54.0</v>
      </c>
      <c r="G281" s="9" t="str">
        <f>VLOOKUP(operations[productID],products[],2,FALSE)</f>
        <v>Tourtière</v>
      </c>
      <c r="H281" s="9" t="str">
        <f>IF(VLOOKUP(operations[productID],products[],7,FALSE)=1,"Discontinued","Current")</f>
        <v>Current</v>
      </c>
      <c r="I281" s="6">
        <f>VLOOKUP(operations[productID],products[],4,FALSE)</f>
        <v>21</v>
      </c>
      <c r="J281" s="6">
        <f>VLOOKUP(operations[productID],products[],5,FALSE)</f>
        <v>0</v>
      </c>
      <c r="K281" s="6">
        <f>VLOOKUP(operations[productID],products[],6,FALSE)</f>
        <v>10</v>
      </c>
      <c r="L281" s="10">
        <f t="array" ref="L281">INDEX('1 orders'!I281:I2156, MATCH(1, ('1 orders'!A281:A2156=A281)*('1 orders'!G281:G2156=F281), 0))
</f>
        <v>20</v>
      </c>
      <c r="M281" s="10">
        <f>IFERROR(__xludf.DUMMYFUNCTION("COUNTUNIQUEIFS($A$2:$A281,$F$2:$F281,F281)"),5.0)</f>
        <v>5</v>
      </c>
      <c r="N281" s="10">
        <f t="shared" si="1"/>
        <v>4</v>
      </c>
      <c r="O281" s="26">
        <f>IF(operations[sinceLastOrder]=0,0,operations[orderQuantity] / operations[sinceLastOrder])</f>
        <v>5</v>
      </c>
      <c r="P281" s="9">
        <v>1.3</v>
      </c>
      <c r="Q281" s="7" t="s">
        <v>13</v>
      </c>
      <c r="R281" s="10">
        <f>operations[arrivedDate]-operations[shippedDate]</f>
        <v>14</v>
      </c>
    </row>
    <row r="282" ht="15.75" customHeight="1">
      <c r="A282" s="6">
        <v>10353.0</v>
      </c>
      <c r="B282" s="24">
        <v>44878.0</v>
      </c>
      <c r="C282" s="24">
        <v>44906.0</v>
      </c>
      <c r="D282" s="24">
        <v>44890.0</v>
      </c>
      <c r="E282" s="24">
        <v>44900.0</v>
      </c>
      <c r="F282" s="6">
        <v>11.0</v>
      </c>
      <c r="G282" s="9" t="str">
        <f>VLOOKUP(operations[productID],products[],2,FALSE)</f>
        <v>Queso Cabrales</v>
      </c>
      <c r="H282" s="9" t="str">
        <f>IF(VLOOKUP(operations[productID],products[],7,FALSE)=1,"Discontinued","Current")</f>
        <v>Current</v>
      </c>
      <c r="I282" s="6">
        <f>VLOOKUP(operations[productID],products[],4,FALSE)</f>
        <v>22</v>
      </c>
      <c r="J282" s="6">
        <f>VLOOKUP(operations[productID],products[],5,FALSE)</f>
        <v>30</v>
      </c>
      <c r="K282" s="6">
        <f>VLOOKUP(operations[productID],products[],6,FALSE)</f>
        <v>30</v>
      </c>
      <c r="L282" s="10">
        <f t="array" ref="L282">INDEX('1 orders'!I282:I2156, MATCH(1, ('1 orders'!A282:A2156=A282)*('1 orders'!G282:G2156=F282), 0))
</f>
        <v>12</v>
      </c>
      <c r="M282" s="10">
        <f>IFERROR(__xludf.DUMMYFUNCTION("COUNTUNIQUEIFS($A$2:$A282,$F$2:$F282,F282)"),4.0)</f>
        <v>4</v>
      </c>
      <c r="N282" s="10">
        <f t="shared" si="1"/>
        <v>33</v>
      </c>
      <c r="O282" s="26">
        <f>IF(operations[sinceLastOrder]=0,0,operations[orderQuantity] / operations[sinceLastOrder])</f>
        <v>0.3636363636</v>
      </c>
      <c r="P282" s="9">
        <v>360.63</v>
      </c>
      <c r="Q282" s="7" t="s">
        <v>13</v>
      </c>
      <c r="R282" s="10">
        <f>operations[arrivedDate]-operations[shippedDate]</f>
        <v>10</v>
      </c>
    </row>
    <row r="283" ht="15.75" customHeight="1">
      <c r="A283" s="6">
        <v>10353.0</v>
      </c>
      <c r="B283" s="24">
        <v>44878.0</v>
      </c>
      <c r="C283" s="24">
        <v>44906.0</v>
      </c>
      <c r="D283" s="24">
        <v>44890.0</v>
      </c>
      <c r="E283" s="24">
        <v>44900.0</v>
      </c>
      <c r="F283" s="6">
        <v>38.0</v>
      </c>
      <c r="G283" s="9" t="str">
        <f>VLOOKUP(operations[productID],products[],2,FALSE)</f>
        <v>Côte de Blaye</v>
      </c>
      <c r="H283" s="9" t="str">
        <f>IF(VLOOKUP(operations[productID],products[],7,FALSE)=1,"Discontinued","Current")</f>
        <v>Current</v>
      </c>
      <c r="I283" s="6">
        <f>VLOOKUP(operations[productID],products[],4,FALSE)</f>
        <v>17</v>
      </c>
      <c r="J283" s="6">
        <f>VLOOKUP(operations[productID],products[],5,FALSE)</f>
        <v>0</v>
      </c>
      <c r="K283" s="6">
        <f>VLOOKUP(operations[productID],products[],6,FALSE)</f>
        <v>15</v>
      </c>
      <c r="L283" s="10">
        <f t="array" ref="L283">INDEX('1 orders'!I283:I2156, MATCH(1, ('1 orders'!A283:A2156=A283)*('1 orders'!G283:G2156=F283), 0))
</f>
        <v>50</v>
      </c>
      <c r="M283" s="10">
        <f>IFERROR(__xludf.DUMMYFUNCTION("COUNTUNIQUEIFS($A$2:$A283,$F$2:$F283,F283)"),3.0)</f>
        <v>3</v>
      </c>
      <c r="N283" s="10">
        <f t="shared" si="1"/>
        <v>2</v>
      </c>
      <c r="O283" s="26">
        <f>IF(operations[sinceLastOrder]=0,0,operations[orderQuantity] / operations[sinceLastOrder])</f>
        <v>25</v>
      </c>
      <c r="P283" s="9">
        <v>360.63</v>
      </c>
      <c r="Q283" s="7" t="s">
        <v>13</v>
      </c>
      <c r="R283" s="10">
        <f>operations[arrivedDate]-operations[shippedDate]</f>
        <v>10</v>
      </c>
    </row>
    <row r="284" ht="15.75" customHeight="1">
      <c r="A284" s="6">
        <v>10354.0</v>
      </c>
      <c r="B284" s="24">
        <v>44879.0</v>
      </c>
      <c r="C284" s="24">
        <v>44907.0</v>
      </c>
      <c r="D284" s="24">
        <v>44885.0</v>
      </c>
      <c r="E284" s="24">
        <v>44898.0</v>
      </c>
      <c r="F284" s="6">
        <v>1.0</v>
      </c>
      <c r="G284" s="9" t="str">
        <f>VLOOKUP(operations[productID],products[],2,FALSE)</f>
        <v>Chai</v>
      </c>
      <c r="H284" s="9" t="str">
        <f>IF(VLOOKUP(operations[productID],products[],7,FALSE)=1,"Discontinued","Current")</f>
        <v>Current</v>
      </c>
      <c r="I284" s="6">
        <f>VLOOKUP(operations[productID],products[],4,FALSE)</f>
        <v>39</v>
      </c>
      <c r="J284" s="6">
        <f>VLOOKUP(operations[productID],products[],5,FALSE)</f>
        <v>0</v>
      </c>
      <c r="K284" s="6">
        <f>VLOOKUP(operations[productID],products[],6,FALSE)</f>
        <v>10</v>
      </c>
      <c r="L284" s="10">
        <f t="array" ref="L284">INDEX('1 orders'!I284:I2156, MATCH(1, ('1 orders'!A284:A2156=A284)*('1 orders'!G284:G2156=F284), 0))
</f>
        <v>12</v>
      </c>
      <c r="M284" s="10">
        <f>IFERROR(__xludf.DUMMYFUNCTION("COUNTUNIQUEIFS($A$2:$A284,$F$2:$F284,F284)"),5.0)</f>
        <v>5</v>
      </c>
      <c r="N284" s="10">
        <f t="shared" si="1"/>
        <v>7</v>
      </c>
      <c r="O284" s="26">
        <f>IF(operations[sinceLastOrder]=0,0,operations[orderQuantity] / operations[sinceLastOrder])</f>
        <v>1.714285714</v>
      </c>
      <c r="P284" s="9">
        <v>53.8</v>
      </c>
      <c r="Q284" s="7" t="s">
        <v>13</v>
      </c>
      <c r="R284" s="10">
        <f>operations[arrivedDate]-operations[shippedDate]</f>
        <v>13</v>
      </c>
    </row>
    <row r="285" ht="15.75" customHeight="1">
      <c r="A285" s="6">
        <v>10354.0</v>
      </c>
      <c r="B285" s="24">
        <v>44879.0</v>
      </c>
      <c r="C285" s="24">
        <v>44907.0</v>
      </c>
      <c r="D285" s="24">
        <v>44885.0</v>
      </c>
      <c r="E285" s="24">
        <v>44898.0</v>
      </c>
      <c r="F285" s="6">
        <v>29.0</v>
      </c>
      <c r="G285" s="9" t="str">
        <f>VLOOKUP(operations[productID],products[],2,FALSE)</f>
        <v>Thüringer Rostbratwurst</v>
      </c>
      <c r="H285" s="9" t="str">
        <f>IF(VLOOKUP(operations[productID],products[],7,FALSE)=1,"Discontinued","Current")</f>
        <v>Discontinued</v>
      </c>
      <c r="I285" s="6">
        <f>VLOOKUP(operations[productID],products[],4,FALSE)</f>
        <v>0</v>
      </c>
      <c r="J285" s="6">
        <f>VLOOKUP(operations[productID],products[],5,FALSE)</f>
        <v>0</v>
      </c>
      <c r="K285" s="6">
        <f>VLOOKUP(operations[productID],products[],6,FALSE)</f>
        <v>0</v>
      </c>
      <c r="L285" s="10">
        <f t="array" ref="L285">INDEX('1 orders'!I285:I2156, MATCH(1, ('1 orders'!A285:A2156=A285)*('1 orders'!G285:G2156=F285), 0))
</f>
        <v>4</v>
      </c>
      <c r="M285" s="10">
        <f>IFERROR(__xludf.DUMMYFUNCTION("COUNTUNIQUEIFS($A$2:$A285,$F$2:$F285,F285)"),4.0)</f>
        <v>4</v>
      </c>
      <c r="N285" s="10">
        <f t="shared" si="1"/>
        <v>62</v>
      </c>
      <c r="O285" s="26">
        <f>IF(operations[sinceLastOrder]=0,0,operations[orderQuantity] / operations[sinceLastOrder])</f>
        <v>0.06451612903</v>
      </c>
      <c r="P285" s="9">
        <v>53.8</v>
      </c>
      <c r="Q285" s="7" t="s">
        <v>13</v>
      </c>
      <c r="R285" s="10">
        <f>operations[arrivedDate]-operations[shippedDate]</f>
        <v>13</v>
      </c>
    </row>
    <row r="286" ht="15.75" customHeight="1">
      <c r="A286" s="6">
        <v>10355.0</v>
      </c>
      <c r="B286" s="24">
        <v>44880.0</v>
      </c>
      <c r="C286" s="24">
        <v>44908.0</v>
      </c>
      <c r="D286" s="24">
        <v>44885.0</v>
      </c>
      <c r="E286" s="24">
        <v>44892.0</v>
      </c>
      <c r="F286" s="6">
        <v>24.0</v>
      </c>
      <c r="G286" s="9" t="str">
        <f>VLOOKUP(operations[productID],products[],2,FALSE)</f>
        <v>Brigadeiros Maravilhosos da Lilian</v>
      </c>
      <c r="H286" s="9" t="str">
        <f>IF(VLOOKUP(operations[productID],products[],7,FALSE)=1,"Discontinued","Current")</f>
        <v>Discontinued</v>
      </c>
      <c r="I286" s="6">
        <f>VLOOKUP(operations[productID],products[],4,FALSE)</f>
        <v>20</v>
      </c>
      <c r="J286" s="6">
        <f>VLOOKUP(operations[productID],products[],5,FALSE)</f>
        <v>0</v>
      </c>
      <c r="K286" s="6">
        <f>VLOOKUP(operations[productID],products[],6,FALSE)</f>
        <v>0</v>
      </c>
      <c r="L286" s="10">
        <f t="array" ref="L286">INDEX('1 orders'!I286:I2156, MATCH(1, ('1 orders'!A286:A2156=A286)*('1 orders'!G286:G2156=F286), 0))
</f>
        <v>25</v>
      </c>
      <c r="M286" s="10">
        <f>IFERROR(__xludf.DUMMYFUNCTION("COUNTUNIQUEIFS($A$2:$A286,$F$2:$F286,F286)"),8.0)</f>
        <v>8</v>
      </c>
      <c r="N286" s="10">
        <f t="shared" si="1"/>
        <v>3</v>
      </c>
      <c r="O286" s="26">
        <f>IF(operations[sinceLastOrder]=0,0,operations[orderQuantity] / operations[sinceLastOrder])</f>
        <v>8.333333333</v>
      </c>
      <c r="P286" s="9">
        <v>41.95</v>
      </c>
      <c r="Q286" s="7" t="s">
        <v>15</v>
      </c>
      <c r="R286" s="10">
        <f>operations[arrivedDate]-operations[shippedDate]</f>
        <v>7</v>
      </c>
    </row>
    <row r="287" ht="15.75" customHeight="1">
      <c r="A287" s="6">
        <v>10355.0</v>
      </c>
      <c r="B287" s="24">
        <v>44880.0</v>
      </c>
      <c r="C287" s="24">
        <v>44908.0</v>
      </c>
      <c r="D287" s="24">
        <v>44885.0</v>
      </c>
      <c r="E287" s="24">
        <v>44892.0</v>
      </c>
      <c r="F287" s="6">
        <v>57.0</v>
      </c>
      <c r="G287" s="9" t="str">
        <f>VLOOKUP(operations[productID],products[],2,FALSE)</f>
        <v>Ravioli Angelo</v>
      </c>
      <c r="H287" s="9" t="str">
        <f>IF(VLOOKUP(operations[productID],products[],7,FALSE)=1,"Discontinued","Current")</f>
        <v>Current</v>
      </c>
      <c r="I287" s="6">
        <f>VLOOKUP(operations[productID],products[],4,FALSE)</f>
        <v>36</v>
      </c>
      <c r="J287" s="6">
        <f>VLOOKUP(operations[productID],products[],5,FALSE)</f>
        <v>0</v>
      </c>
      <c r="K287" s="6">
        <f>VLOOKUP(operations[productID],products[],6,FALSE)</f>
        <v>20</v>
      </c>
      <c r="L287" s="10">
        <f t="array" ref="L287">INDEX('1 orders'!I287:I2156, MATCH(1, ('1 orders'!A287:A2156=A287)*('1 orders'!G287:G2156=F287), 0))
</f>
        <v>25</v>
      </c>
      <c r="M287" s="10">
        <f>IFERROR(__xludf.DUMMYFUNCTION("COUNTUNIQUEIFS($A$2:$A287,$F$2:$F287,F287)"),5.0)</f>
        <v>5</v>
      </c>
      <c r="N287" s="10">
        <f t="shared" si="1"/>
        <v>36</v>
      </c>
      <c r="O287" s="26">
        <f>IF(operations[sinceLastOrder]=0,0,operations[orderQuantity] / operations[sinceLastOrder])</f>
        <v>0.6944444444</v>
      </c>
      <c r="P287" s="9">
        <v>41.95</v>
      </c>
      <c r="Q287" s="7" t="s">
        <v>15</v>
      </c>
      <c r="R287" s="10">
        <f>operations[arrivedDate]-operations[shippedDate]</f>
        <v>7</v>
      </c>
    </row>
    <row r="288" ht="15.75" customHeight="1">
      <c r="A288" s="6">
        <v>10356.0</v>
      </c>
      <c r="B288" s="24">
        <v>44883.0</v>
      </c>
      <c r="C288" s="24">
        <v>44911.0</v>
      </c>
      <c r="D288" s="24">
        <v>44892.0</v>
      </c>
      <c r="E288" s="24">
        <v>44897.0</v>
      </c>
      <c r="F288" s="6">
        <v>31.0</v>
      </c>
      <c r="G288" s="9" t="str">
        <f>VLOOKUP(operations[productID],products[],2,FALSE)</f>
        <v>Gorgonzola Telino</v>
      </c>
      <c r="H288" s="9" t="str">
        <f>IF(VLOOKUP(operations[productID],products[],7,FALSE)=1,"Discontinued","Current")</f>
        <v>Current</v>
      </c>
      <c r="I288" s="6">
        <f>VLOOKUP(operations[productID],products[],4,FALSE)</f>
        <v>0</v>
      </c>
      <c r="J288" s="6">
        <f>VLOOKUP(operations[productID],products[],5,FALSE)</f>
        <v>70</v>
      </c>
      <c r="K288" s="6">
        <f>VLOOKUP(operations[productID],products[],6,FALSE)</f>
        <v>20</v>
      </c>
      <c r="L288" s="10">
        <f t="array" ref="L288">INDEX('1 orders'!I288:I2156, MATCH(1, ('1 orders'!A288:A2156=A288)*('1 orders'!G288:G2156=F288), 0))
</f>
        <v>30</v>
      </c>
      <c r="M288" s="10">
        <f>IFERROR(__xludf.DUMMYFUNCTION("COUNTUNIQUEIFS($A$2:$A288,$F$2:$F288,F288)"),7.0)</f>
        <v>7</v>
      </c>
      <c r="N288" s="10">
        <f t="shared" si="1"/>
        <v>19</v>
      </c>
      <c r="O288" s="26">
        <f>IF(operations[sinceLastOrder]=0,0,operations[orderQuantity] / operations[sinceLastOrder])</f>
        <v>1.578947368</v>
      </c>
      <c r="P288" s="9">
        <v>36.71</v>
      </c>
      <c r="Q288" s="7" t="s">
        <v>17</v>
      </c>
      <c r="R288" s="10">
        <f>operations[arrivedDate]-operations[shippedDate]</f>
        <v>5</v>
      </c>
    </row>
    <row r="289" ht="15.75" customHeight="1">
      <c r="A289" s="6">
        <v>10356.0</v>
      </c>
      <c r="B289" s="24">
        <v>44883.0</v>
      </c>
      <c r="C289" s="24">
        <v>44911.0</v>
      </c>
      <c r="D289" s="24">
        <v>44892.0</v>
      </c>
      <c r="E289" s="24">
        <v>44897.0</v>
      </c>
      <c r="F289" s="6">
        <v>55.0</v>
      </c>
      <c r="G289" s="9" t="str">
        <f>VLOOKUP(operations[productID],products[],2,FALSE)</f>
        <v>Pâté chinois</v>
      </c>
      <c r="H289" s="9" t="str">
        <f>IF(VLOOKUP(operations[productID],products[],7,FALSE)=1,"Discontinued","Current")</f>
        <v>Current</v>
      </c>
      <c r="I289" s="6">
        <f>VLOOKUP(operations[productID],products[],4,FALSE)</f>
        <v>115</v>
      </c>
      <c r="J289" s="6">
        <f>VLOOKUP(operations[productID],products[],5,FALSE)</f>
        <v>0</v>
      </c>
      <c r="K289" s="6">
        <f>VLOOKUP(operations[productID],products[],6,FALSE)</f>
        <v>20</v>
      </c>
      <c r="L289" s="10">
        <f t="array" ref="L289">INDEX('1 orders'!I289:I2156, MATCH(1, ('1 orders'!A289:A2156=A289)*('1 orders'!G289:G2156=F289), 0))
</f>
        <v>12</v>
      </c>
      <c r="M289" s="10">
        <f>IFERROR(__xludf.DUMMYFUNCTION("COUNTUNIQUEIFS($A$2:$A289,$F$2:$F289,F289)"),4.0)</f>
        <v>4</v>
      </c>
      <c r="N289" s="10">
        <f t="shared" si="1"/>
        <v>19</v>
      </c>
      <c r="O289" s="26">
        <f>IF(operations[sinceLastOrder]=0,0,operations[orderQuantity] / operations[sinceLastOrder])</f>
        <v>0.6315789474</v>
      </c>
      <c r="P289" s="9">
        <v>36.71</v>
      </c>
      <c r="Q289" s="7" t="s">
        <v>17</v>
      </c>
      <c r="R289" s="10">
        <f>operations[arrivedDate]-operations[shippedDate]</f>
        <v>5</v>
      </c>
    </row>
    <row r="290" ht="15.75" customHeight="1">
      <c r="A290" s="6">
        <v>10356.0</v>
      </c>
      <c r="B290" s="24">
        <v>44883.0</v>
      </c>
      <c r="C290" s="24">
        <v>44911.0</v>
      </c>
      <c r="D290" s="24">
        <v>44892.0</v>
      </c>
      <c r="E290" s="24">
        <v>44897.0</v>
      </c>
      <c r="F290" s="6">
        <v>69.0</v>
      </c>
      <c r="G290" s="9" t="str">
        <f>VLOOKUP(operations[productID],products[],2,FALSE)</f>
        <v>Gudbrandsdalsost</v>
      </c>
      <c r="H290" s="9" t="str">
        <f>IF(VLOOKUP(operations[productID],products[],7,FALSE)=1,"Discontinued","Current")</f>
        <v>Current</v>
      </c>
      <c r="I290" s="6">
        <f>VLOOKUP(operations[productID],products[],4,FALSE)</f>
        <v>26</v>
      </c>
      <c r="J290" s="6">
        <f>VLOOKUP(operations[productID],products[],5,FALSE)</f>
        <v>0</v>
      </c>
      <c r="K290" s="6">
        <f>VLOOKUP(operations[productID],products[],6,FALSE)</f>
        <v>15</v>
      </c>
      <c r="L290" s="10">
        <f t="array" ref="L290">INDEX('1 orders'!I290:I2156, MATCH(1, ('1 orders'!A290:A2156=A290)*('1 orders'!G290:G2156=F290), 0))
</f>
        <v>20</v>
      </c>
      <c r="M290" s="10">
        <f>IFERROR(__xludf.DUMMYFUNCTION("COUNTUNIQUEIFS($A$2:$A290,$F$2:$F290,F290)"),5.0)</f>
        <v>5</v>
      </c>
      <c r="N290" s="10">
        <f t="shared" si="1"/>
        <v>7</v>
      </c>
      <c r="O290" s="26">
        <f>IF(operations[sinceLastOrder]=0,0,operations[orderQuantity] / operations[sinceLastOrder])</f>
        <v>2.857142857</v>
      </c>
      <c r="P290" s="9">
        <v>36.71</v>
      </c>
      <c r="Q290" s="7" t="s">
        <v>17</v>
      </c>
      <c r="R290" s="10">
        <f>operations[arrivedDate]-operations[shippedDate]</f>
        <v>5</v>
      </c>
    </row>
    <row r="291" ht="15.75" customHeight="1">
      <c r="A291" s="6">
        <v>10357.0</v>
      </c>
      <c r="B291" s="24">
        <v>44884.0</v>
      </c>
      <c r="C291" s="24">
        <v>44912.0</v>
      </c>
      <c r="D291" s="24">
        <v>44897.0</v>
      </c>
      <c r="E291" s="24">
        <v>44909.0</v>
      </c>
      <c r="F291" s="6">
        <v>10.0</v>
      </c>
      <c r="G291" s="9" t="str">
        <f>VLOOKUP(operations[productID],products[],2,FALSE)</f>
        <v>Ikura</v>
      </c>
      <c r="H291" s="9" t="str">
        <f>IF(VLOOKUP(operations[productID],products[],7,FALSE)=1,"Discontinued","Current")</f>
        <v>Current</v>
      </c>
      <c r="I291" s="6">
        <f>VLOOKUP(operations[productID],products[],4,FALSE)</f>
        <v>31</v>
      </c>
      <c r="J291" s="6">
        <f>VLOOKUP(operations[productID],products[],5,FALSE)</f>
        <v>0</v>
      </c>
      <c r="K291" s="6">
        <f>VLOOKUP(operations[productID],products[],6,FALSE)</f>
        <v>0</v>
      </c>
      <c r="L291" s="10">
        <f t="array" ref="L291">INDEX('1 orders'!I291:I2156, MATCH(1, ('1 orders'!A291:A2156=A291)*('1 orders'!G291:G2156=F291), 0))
</f>
        <v>30</v>
      </c>
      <c r="M291" s="10">
        <f>IFERROR(__xludf.DUMMYFUNCTION("COUNTUNIQUEIFS($A$2:$A291,$F$2:$F291,F291)"),3.0)</f>
        <v>3</v>
      </c>
      <c r="N291" s="10">
        <f t="shared" si="1"/>
        <v>103</v>
      </c>
      <c r="O291" s="26">
        <f>IF(operations[sinceLastOrder]=0,0,operations[orderQuantity] / operations[sinceLastOrder])</f>
        <v>0.2912621359</v>
      </c>
      <c r="P291" s="9">
        <v>34.88</v>
      </c>
      <c r="Q291" s="7" t="s">
        <v>13</v>
      </c>
      <c r="R291" s="10">
        <f>operations[arrivedDate]-operations[shippedDate]</f>
        <v>12</v>
      </c>
    </row>
    <row r="292" ht="15.75" customHeight="1">
      <c r="A292" s="6">
        <v>10357.0</v>
      </c>
      <c r="B292" s="24">
        <v>44884.0</v>
      </c>
      <c r="C292" s="24">
        <v>44912.0</v>
      </c>
      <c r="D292" s="24">
        <v>44897.0</v>
      </c>
      <c r="E292" s="24">
        <v>44909.0</v>
      </c>
      <c r="F292" s="6">
        <v>26.0</v>
      </c>
      <c r="G292" s="9" t="str">
        <f>VLOOKUP(operations[productID],products[],2,FALSE)</f>
        <v>NuNuCa Nuß-Nougat-Creme</v>
      </c>
      <c r="H292" s="9" t="str">
        <f>IF(VLOOKUP(operations[productID],products[],7,FALSE)=1,"Discontinued","Current")</f>
        <v>Current</v>
      </c>
      <c r="I292" s="6">
        <f>VLOOKUP(operations[productID],products[],4,FALSE)</f>
        <v>15</v>
      </c>
      <c r="J292" s="6">
        <f>VLOOKUP(operations[productID],products[],5,FALSE)</f>
        <v>0</v>
      </c>
      <c r="K292" s="6">
        <f>VLOOKUP(operations[productID],products[],6,FALSE)</f>
        <v>0</v>
      </c>
      <c r="L292" s="10">
        <f t="array" ref="L292">INDEX('1 orders'!I292:I2156, MATCH(1, ('1 orders'!A292:A2156=A292)*('1 orders'!G292:G2156=F292), 0))
</f>
        <v>16</v>
      </c>
      <c r="M292" s="10">
        <f>IFERROR(__xludf.DUMMYFUNCTION("COUNTUNIQUEIFS($A$2:$A292,$F$2:$F292,F292)"),3.0)</f>
        <v>3</v>
      </c>
      <c r="N292" s="10">
        <f t="shared" si="1"/>
        <v>26</v>
      </c>
      <c r="O292" s="26">
        <f>IF(operations[sinceLastOrder]=0,0,operations[orderQuantity] / operations[sinceLastOrder])</f>
        <v>0.6153846154</v>
      </c>
      <c r="P292" s="9">
        <v>34.88</v>
      </c>
      <c r="Q292" s="7" t="s">
        <v>13</v>
      </c>
      <c r="R292" s="10">
        <f>operations[arrivedDate]-operations[shippedDate]</f>
        <v>12</v>
      </c>
    </row>
    <row r="293" ht="15.75" customHeight="1">
      <c r="A293" s="6">
        <v>10357.0</v>
      </c>
      <c r="B293" s="24">
        <v>44884.0</v>
      </c>
      <c r="C293" s="24">
        <v>44912.0</v>
      </c>
      <c r="D293" s="24">
        <v>44897.0</v>
      </c>
      <c r="E293" s="24">
        <v>44909.0</v>
      </c>
      <c r="F293" s="6">
        <v>60.0</v>
      </c>
      <c r="G293" s="9" t="str">
        <f>VLOOKUP(operations[productID],products[],2,FALSE)</f>
        <v>Camembert Pierrot</v>
      </c>
      <c r="H293" s="9" t="str">
        <f>IF(VLOOKUP(operations[productID],products[],7,FALSE)=1,"Discontinued","Current")</f>
        <v>Current</v>
      </c>
      <c r="I293" s="6">
        <f>VLOOKUP(operations[productID],products[],4,FALSE)</f>
        <v>19</v>
      </c>
      <c r="J293" s="6">
        <f>VLOOKUP(operations[productID],products[],5,FALSE)</f>
        <v>0</v>
      </c>
      <c r="K293" s="6">
        <f>VLOOKUP(operations[productID],products[],6,FALSE)</f>
        <v>0</v>
      </c>
      <c r="L293" s="10">
        <f t="array" ref="L293">INDEX('1 orders'!I293:I2156, MATCH(1, ('1 orders'!A293:A2156=A293)*('1 orders'!G293:G2156=F293), 0))
</f>
        <v>8</v>
      </c>
      <c r="M293" s="10">
        <f>IFERROR(__xludf.DUMMYFUNCTION("COUNTUNIQUEIFS($A$2:$A293,$F$2:$F293,F293)"),5.0)</f>
        <v>5</v>
      </c>
      <c r="N293" s="10">
        <f t="shared" si="1"/>
        <v>81</v>
      </c>
      <c r="O293" s="26">
        <f>IF(operations[sinceLastOrder]=0,0,operations[orderQuantity] / operations[sinceLastOrder])</f>
        <v>0.0987654321</v>
      </c>
      <c r="P293" s="9">
        <v>34.88</v>
      </c>
      <c r="Q293" s="7" t="s">
        <v>13</v>
      </c>
      <c r="R293" s="10">
        <f>operations[arrivedDate]-operations[shippedDate]</f>
        <v>12</v>
      </c>
    </row>
    <row r="294" ht="15.75" customHeight="1">
      <c r="A294" s="6">
        <v>10358.0</v>
      </c>
      <c r="B294" s="24">
        <v>44885.0</v>
      </c>
      <c r="C294" s="24">
        <v>44913.0</v>
      </c>
      <c r="D294" s="24">
        <v>44892.0</v>
      </c>
      <c r="E294" s="24">
        <v>44895.0</v>
      </c>
      <c r="F294" s="6">
        <v>24.0</v>
      </c>
      <c r="G294" s="9" t="str">
        <f>VLOOKUP(operations[productID],products[],2,FALSE)</f>
        <v>Brigadeiros Maravilhosos da Lilian</v>
      </c>
      <c r="H294" s="9" t="str">
        <f>IF(VLOOKUP(operations[productID],products[],7,FALSE)=1,"Discontinued","Current")</f>
        <v>Discontinued</v>
      </c>
      <c r="I294" s="6">
        <f>VLOOKUP(operations[productID],products[],4,FALSE)</f>
        <v>20</v>
      </c>
      <c r="J294" s="6">
        <f>VLOOKUP(operations[productID],products[],5,FALSE)</f>
        <v>0</v>
      </c>
      <c r="K294" s="6">
        <f>VLOOKUP(operations[productID],products[],6,FALSE)</f>
        <v>0</v>
      </c>
      <c r="L294" s="10">
        <f t="array" ref="L294">INDEX('1 orders'!I294:I2156, MATCH(1, ('1 orders'!A294:A2156=A294)*('1 orders'!G294:G2156=F294), 0))
</f>
        <v>10</v>
      </c>
      <c r="M294" s="10">
        <f>IFERROR(__xludf.DUMMYFUNCTION("COUNTUNIQUEIFS($A$2:$A294,$F$2:$F294,F294)"),9.0)</f>
        <v>9</v>
      </c>
      <c r="N294" s="10">
        <f t="shared" si="1"/>
        <v>5</v>
      </c>
      <c r="O294" s="26">
        <f>IF(operations[sinceLastOrder]=0,0,operations[orderQuantity] / operations[sinceLastOrder])</f>
        <v>2</v>
      </c>
      <c r="P294" s="9">
        <v>19.64</v>
      </c>
      <c r="Q294" s="7" t="s">
        <v>15</v>
      </c>
      <c r="R294" s="10">
        <f>operations[arrivedDate]-operations[shippedDate]</f>
        <v>3</v>
      </c>
    </row>
    <row r="295" ht="15.75" customHeight="1">
      <c r="A295" s="6">
        <v>10358.0</v>
      </c>
      <c r="B295" s="24">
        <v>44885.0</v>
      </c>
      <c r="C295" s="24">
        <v>44913.0</v>
      </c>
      <c r="D295" s="24">
        <v>44892.0</v>
      </c>
      <c r="E295" s="24">
        <v>44895.0</v>
      </c>
      <c r="F295" s="6">
        <v>34.0</v>
      </c>
      <c r="G295" s="9" t="str">
        <f>VLOOKUP(operations[productID],products[],2,FALSE)</f>
        <v>Sasquatch Ale</v>
      </c>
      <c r="H295" s="9" t="str">
        <f>IF(VLOOKUP(operations[productID],products[],7,FALSE)=1,"Discontinued","Current")</f>
        <v>Current</v>
      </c>
      <c r="I295" s="6">
        <f>VLOOKUP(operations[productID],products[],4,FALSE)</f>
        <v>111</v>
      </c>
      <c r="J295" s="6">
        <f>VLOOKUP(operations[productID],products[],5,FALSE)</f>
        <v>0</v>
      </c>
      <c r="K295" s="6">
        <f>VLOOKUP(operations[productID],products[],6,FALSE)</f>
        <v>15</v>
      </c>
      <c r="L295" s="10">
        <f t="array" ref="L295">INDEX('1 orders'!I295:I2156, MATCH(1, ('1 orders'!A295:A2156=A295)*('1 orders'!G295:G2156=F295), 0))
</f>
        <v>10</v>
      </c>
      <c r="M295" s="10">
        <f>IFERROR(__xludf.DUMMYFUNCTION("COUNTUNIQUEIFS($A$2:$A295,$F$2:$F295,F295)"),3.0)</f>
        <v>3</v>
      </c>
      <c r="N295" s="10">
        <f t="shared" si="1"/>
        <v>55</v>
      </c>
      <c r="O295" s="26">
        <f>IF(operations[sinceLastOrder]=0,0,operations[orderQuantity] / operations[sinceLastOrder])</f>
        <v>0.1818181818</v>
      </c>
      <c r="P295" s="9">
        <v>19.64</v>
      </c>
      <c r="Q295" s="7" t="s">
        <v>15</v>
      </c>
      <c r="R295" s="10">
        <f>operations[arrivedDate]-operations[shippedDate]</f>
        <v>3</v>
      </c>
    </row>
    <row r="296" ht="15.75" customHeight="1">
      <c r="A296" s="6">
        <v>10358.0</v>
      </c>
      <c r="B296" s="24">
        <v>44885.0</v>
      </c>
      <c r="C296" s="24">
        <v>44913.0</v>
      </c>
      <c r="D296" s="24">
        <v>44892.0</v>
      </c>
      <c r="E296" s="24">
        <v>44895.0</v>
      </c>
      <c r="F296" s="6">
        <v>36.0</v>
      </c>
      <c r="G296" s="9" t="str">
        <f>VLOOKUP(operations[productID],products[],2,FALSE)</f>
        <v>Inlagd Sill</v>
      </c>
      <c r="H296" s="9" t="str">
        <f>IF(VLOOKUP(operations[productID],products[],7,FALSE)=1,"Discontinued","Current")</f>
        <v>Current</v>
      </c>
      <c r="I296" s="6">
        <f>VLOOKUP(operations[productID],products[],4,FALSE)</f>
        <v>112</v>
      </c>
      <c r="J296" s="6">
        <f>VLOOKUP(operations[productID],products[],5,FALSE)</f>
        <v>0</v>
      </c>
      <c r="K296" s="6">
        <f>VLOOKUP(operations[productID],products[],6,FALSE)</f>
        <v>20</v>
      </c>
      <c r="L296" s="10">
        <f t="array" ref="L296">INDEX('1 orders'!I296:I2156, MATCH(1, ('1 orders'!A296:A2156=A296)*('1 orders'!G296:G2156=F296), 0))
</f>
        <v>20</v>
      </c>
      <c r="M296" s="10">
        <f>IFERROR(__xludf.DUMMYFUNCTION("COUNTUNIQUEIFS($A$2:$A296,$F$2:$F296,F296)"),7.0)</f>
        <v>7</v>
      </c>
      <c r="N296" s="10">
        <f t="shared" si="1"/>
        <v>21</v>
      </c>
      <c r="O296" s="26">
        <f>IF(operations[sinceLastOrder]=0,0,operations[orderQuantity] / operations[sinceLastOrder])</f>
        <v>0.9523809524</v>
      </c>
      <c r="P296" s="9">
        <v>19.64</v>
      </c>
      <c r="Q296" s="7" t="s">
        <v>15</v>
      </c>
      <c r="R296" s="10">
        <f>operations[arrivedDate]-operations[shippedDate]</f>
        <v>3</v>
      </c>
    </row>
    <row r="297" ht="15.75" customHeight="1">
      <c r="A297" s="6">
        <v>10359.0</v>
      </c>
      <c r="B297" s="24">
        <v>44886.0</v>
      </c>
      <c r="C297" s="24">
        <v>44914.0</v>
      </c>
      <c r="D297" s="24">
        <v>44891.0</v>
      </c>
      <c r="E297" s="24">
        <v>44896.0</v>
      </c>
      <c r="F297" s="6">
        <v>16.0</v>
      </c>
      <c r="G297" s="9" t="str">
        <f>VLOOKUP(operations[productID],products[],2,FALSE)</f>
        <v>Pavlova</v>
      </c>
      <c r="H297" s="9" t="str">
        <f>IF(VLOOKUP(operations[productID],products[],7,FALSE)=1,"Discontinued","Current")</f>
        <v>Current</v>
      </c>
      <c r="I297" s="6">
        <f>VLOOKUP(operations[productID],products[],4,FALSE)</f>
        <v>29</v>
      </c>
      <c r="J297" s="6">
        <f>VLOOKUP(operations[productID],products[],5,FALSE)</f>
        <v>0</v>
      </c>
      <c r="K297" s="6">
        <f>VLOOKUP(operations[productID],products[],6,FALSE)</f>
        <v>10</v>
      </c>
      <c r="L297" s="10">
        <f t="array" ref="L297">INDEX('1 orders'!I297:I2156, MATCH(1, ('1 orders'!A297:A2156=A297)*('1 orders'!G297:G2156=F297), 0))
</f>
        <v>56</v>
      </c>
      <c r="M297" s="10">
        <f>IFERROR(__xludf.DUMMYFUNCTION("COUNTUNIQUEIFS($A$2:$A297,$F$2:$F297,F297)"),7.0)</f>
        <v>7</v>
      </c>
      <c r="N297" s="10">
        <f t="shared" si="1"/>
        <v>44</v>
      </c>
      <c r="O297" s="26">
        <f>IF(operations[sinceLastOrder]=0,0,operations[orderQuantity] / operations[sinceLastOrder])</f>
        <v>1.272727273</v>
      </c>
      <c r="P297" s="9">
        <v>288.43</v>
      </c>
      <c r="Q297" s="7" t="s">
        <v>13</v>
      </c>
      <c r="R297" s="10">
        <f>operations[arrivedDate]-operations[shippedDate]</f>
        <v>5</v>
      </c>
    </row>
    <row r="298" ht="15.75" customHeight="1">
      <c r="A298" s="6">
        <v>10359.0</v>
      </c>
      <c r="B298" s="24">
        <v>44886.0</v>
      </c>
      <c r="C298" s="24">
        <v>44914.0</v>
      </c>
      <c r="D298" s="24">
        <v>44891.0</v>
      </c>
      <c r="E298" s="24">
        <v>44896.0</v>
      </c>
      <c r="F298" s="6">
        <v>31.0</v>
      </c>
      <c r="G298" s="9" t="str">
        <f>VLOOKUP(operations[productID],products[],2,FALSE)</f>
        <v>Gorgonzola Telino</v>
      </c>
      <c r="H298" s="9" t="str">
        <f>IF(VLOOKUP(operations[productID],products[],7,FALSE)=1,"Discontinued","Current")</f>
        <v>Current</v>
      </c>
      <c r="I298" s="6">
        <f>VLOOKUP(operations[productID],products[],4,FALSE)</f>
        <v>0</v>
      </c>
      <c r="J298" s="6">
        <f>VLOOKUP(operations[productID],products[],5,FALSE)</f>
        <v>70</v>
      </c>
      <c r="K298" s="6">
        <f>VLOOKUP(operations[productID],products[],6,FALSE)</f>
        <v>20</v>
      </c>
      <c r="L298" s="10">
        <f t="array" ref="L298">INDEX('1 orders'!I298:I2156, MATCH(1, ('1 orders'!A298:A2156=A298)*('1 orders'!G298:G2156=F298), 0))
</f>
        <v>70</v>
      </c>
      <c r="M298" s="10">
        <f>IFERROR(__xludf.DUMMYFUNCTION("COUNTUNIQUEIFS($A$2:$A298,$F$2:$F298,F298)"),8.0)</f>
        <v>8</v>
      </c>
      <c r="N298" s="10">
        <f t="shared" si="1"/>
        <v>3</v>
      </c>
      <c r="O298" s="26">
        <f>IF(operations[sinceLastOrder]=0,0,operations[orderQuantity] / operations[sinceLastOrder])</f>
        <v>23.33333333</v>
      </c>
      <c r="P298" s="9">
        <v>288.43</v>
      </c>
      <c r="Q298" s="7" t="s">
        <v>13</v>
      </c>
      <c r="R298" s="10">
        <f>operations[arrivedDate]-operations[shippedDate]</f>
        <v>5</v>
      </c>
    </row>
    <row r="299" ht="15.75" customHeight="1">
      <c r="A299" s="6">
        <v>10359.0</v>
      </c>
      <c r="B299" s="24">
        <v>44886.0</v>
      </c>
      <c r="C299" s="24">
        <v>44914.0</v>
      </c>
      <c r="D299" s="24">
        <v>44891.0</v>
      </c>
      <c r="E299" s="24">
        <v>44896.0</v>
      </c>
      <c r="F299" s="6">
        <v>60.0</v>
      </c>
      <c r="G299" s="9" t="str">
        <f>VLOOKUP(operations[productID],products[],2,FALSE)</f>
        <v>Camembert Pierrot</v>
      </c>
      <c r="H299" s="9" t="str">
        <f>IF(VLOOKUP(operations[productID],products[],7,FALSE)=1,"Discontinued","Current")</f>
        <v>Current</v>
      </c>
      <c r="I299" s="6">
        <f>VLOOKUP(operations[productID],products[],4,FALSE)</f>
        <v>19</v>
      </c>
      <c r="J299" s="6">
        <f>VLOOKUP(operations[productID],products[],5,FALSE)</f>
        <v>0</v>
      </c>
      <c r="K299" s="6">
        <f>VLOOKUP(operations[productID],products[],6,FALSE)</f>
        <v>0</v>
      </c>
      <c r="L299" s="10">
        <f t="array" ref="L299">INDEX('1 orders'!I299:I2156, MATCH(1, ('1 orders'!A299:A2156=A299)*('1 orders'!G299:G2156=F299), 0))
</f>
        <v>80</v>
      </c>
      <c r="M299" s="10">
        <f>IFERROR(__xludf.DUMMYFUNCTION("COUNTUNIQUEIFS($A$2:$A299,$F$2:$F299,F299)"),6.0)</f>
        <v>6</v>
      </c>
      <c r="N299" s="10">
        <f t="shared" si="1"/>
        <v>2</v>
      </c>
      <c r="O299" s="26">
        <f>IF(operations[sinceLastOrder]=0,0,operations[orderQuantity] / operations[sinceLastOrder])</f>
        <v>40</v>
      </c>
      <c r="P299" s="9">
        <v>288.43</v>
      </c>
      <c r="Q299" s="7" t="s">
        <v>13</v>
      </c>
      <c r="R299" s="10">
        <f>operations[arrivedDate]-operations[shippedDate]</f>
        <v>5</v>
      </c>
    </row>
    <row r="300" ht="15.75" customHeight="1">
      <c r="A300" s="6">
        <v>10360.0</v>
      </c>
      <c r="B300" s="24">
        <v>44887.0</v>
      </c>
      <c r="C300" s="24">
        <v>44915.0</v>
      </c>
      <c r="D300" s="24">
        <v>44897.0</v>
      </c>
      <c r="E300" s="24">
        <v>44902.0</v>
      </c>
      <c r="F300" s="6">
        <v>28.0</v>
      </c>
      <c r="G300" s="9" t="str">
        <f>VLOOKUP(operations[productID],products[],2,FALSE)</f>
        <v>Rössle Sauerkraut</v>
      </c>
      <c r="H300" s="9" t="str">
        <f>IF(VLOOKUP(operations[productID],products[],7,FALSE)=1,"Discontinued","Current")</f>
        <v>Discontinued</v>
      </c>
      <c r="I300" s="6">
        <f>VLOOKUP(operations[productID],products[],4,FALSE)</f>
        <v>26</v>
      </c>
      <c r="J300" s="6">
        <f>VLOOKUP(operations[productID],products[],5,FALSE)</f>
        <v>0</v>
      </c>
      <c r="K300" s="6">
        <f>VLOOKUP(operations[productID],products[],6,FALSE)</f>
        <v>0</v>
      </c>
      <c r="L300" s="10">
        <f t="array" ref="L300">INDEX('1 orders'!I300:I2156, MATCH(1, ('1 orders'!A300:A2156=A300)*('1 orders'!G300:G2156=F300), 0))
</f>
        <v>30</v>
      </c>
      <c r="M300" s="10">
        <f>IFERROR(__xludf.DUMMYFUNCTION("COUNTUNIQUEIFS($A$2:$A300,$F$2:$F300,F300)"),5.0)</f>
        <v>5</v>
      </c>
      <c r="N300" s="10">
        <f t="shared" si="1"/>
        <v>51</v>
      </c>
      <c r="O300" s="26">
        <f>IF(operations[sinceLastOrder]=0,0,operations[orderQuantity] / operations[sinceLastOrder])</f>
        <v>0.5882352941</v>
      </c>
      <c r="P300" s="9">
        <v>131.7</v>
      </c>
      <c r="Q300" s="7" t="s">
        <v>13</v>
      </c>
      <c r="R300" s="10">
        <f>operations[arrivedDate]-operations[shippedDate]</f>
        <v>5</v>
      </c>
    </row>
    <row r="301" ht="15.75" customHeight="1">
      <c r="A301" s="6">
        <v>10360.0</v>
      </c>
      <c r="B301" s="24">
        <v>44887.0</v>
      </c>
      <c r="C301" s="24">
        <v>44915.0</v>
      </c>
      <c r="D301" s="24">
        <v>44897.0</v>
      </c>
      <c r="E301" s="24">
        <v>44902.0</v>
      </c>
      <c r="F301" s="6">
        <v>29.0</v>
      </c>
      <c r="G301" s="9" t="str">
        <f>VLOOKUP(operations[productID],products[],2,FALSE)</f>
        <v>Thüringer Rostbratwurst</v>
      </c>
      <c r="H301" s="9" t="str">
        <f>IF(VLOOKUP(operations[productID],products[],7,FALSE)=1,"Discontinued","Current")</f>
        <v>Discontinued</v>
      </c>
      <c r="I301" s="6">
        <f>VLOOKUP(operations[productID],products[],4,FALSE)</f>
        <v>0</v>
      </c>
      <c r="J301" s="6">
        <f>VLOOKUP(operations[productID],products[],5,FALSE)</f>
        <v>0</v>
      </c>
      <c r="K301" s="6">
        <f>VLOOKUP(operations[productID],products[],6,FALSE)</f>
        <v>0</v>
      </c>
      <c r="L301" s="10">
        <f t="array" ref="L301">INDEX('1 orders'!I301:I2156, MATCH(1, ('1 orders'!A301:A2156=A301)*('1 orders'!G301:G2156=F301), 0))
</f>
        <v>35</v>
      </c>
      <c r="M301" s="10">
        <f>IFERROR(__xludf.DUMMYFUNCTION("COUNTUNIQUEIFS($A$2:$A301,$F$2:$F301,F301)"),5.0)</f>
        <v>5</v>
      </c>
      <c r="N301" s="10">
        <f t="shared" si="1"/>
        <v>8</v>
      </c>
      <c r="O301" s="26">
        <f>IF(operations[sinceLastOrder]=0,0,operations[orderQuantity] / operations[sinceLastOrder])</f>
        <v>4.375</v>
      </c>
      <c r="P301" s="9">
        <v>131.7</v>
      </c>
      <c r="Q301" s="7" t="s">
        <v>13</v>
      </c>
      <c r="R301" s="10">
        <f>operations[arrivedDate]-operations[shippedDate]</f>
        <v>5</v>
      </c>
    </row>
    <row r="302" ht="15.75" customHeight="1">
      <c r="A302" s="6">
        <v>10360.0</v>
      </c>
      <c r="B302" s="24">
        <v>44887.0</v>
      </c>
      <c r="C302" s="24">
        <v>44915.0</v>
      </c>
      <c r="D302" s="24">
        <v>44897.0</v>
      </c>
      <c r="E302" s="24">
        <v>44902.0</v>
      </c>
      <c r="F302" s="6">
        <v>38.0</v>
      </c>
      <c r="G302" s="9" t="str">
        <f>VLOOKUP(operations[productID],products[],2,FALSE)</f>
        <v>Côte de Blaye</v>
      </c>
      <c r="H302" s="9" t="str">
        <f>IF(VLOOKUP(operations[productID],products[],7,FALSE)=1,"Discontinued","Current")</f>
        <v>Current</v>
      </c>
      <c r="I302" s="6">
        <f>VLOOKUP(operations[productID],products[],4,FALSE)</f>
        <v>17</v>
      </c>
      <c r="J302" s="6">
        <f>VLOOKUP(operations[productID],products[],5,FALSE)</f>
        <v>0</v>
      </c>
      <c r="K302" s="6">
        <f>VLOOKUP(operations[productID],products[],6,FALSE)</f>
        <v>15</v>
      </c>
      <c r="L302" s="10">
        <f t="array" ref="L302">INDEX('1 orders'!I302:I2156, MATCH(1, ('1 orders'!A302:A2156=A302)*('1 orders'!G302:G2156=F302), 0))
</f>
        <v>10</v>
      </c>
      <c r="M302" s="10">
        <f>IFERROR(__xludf.DUMMYFUNCTION("COUNTUNIQUEIFS($A$2:$A302,$F$2:$F302,F302)"),4.0)</f>
        <v>4</v>
      </c>
      <c r="N302" s="10">
        <f t="shared" si="1"/>
        <v>9</v>
      </c>
      <c r="O302" s="26">
        <f>IF(operations[sinceLastOrder]=0,0,operations[orderQuantity] / operations[sinceLastOrder])</f>
        <v>1.111111111</v>
      </c>
      <c r="P302" s="9">
        <v>131.7</v>
      </c>
      <c r="Q302" s="7" t="s">
        <v>13</v>
      </c>
      <c r="R302" s="10">
        <f>operations[arrivedDate]-operations[shippedDate]</f>
        <v>5</v>
      </c>
    </row>
    <row r="303" ht="15.75" customHeight="1">
      <c r="A303" s="6">
        <v>10360.0</v>
      </c>
      <c r="B303" s="24">
        <v>44887.0</v>
      </c>
      <c r="C303" s="24">
        <v>44915.0</v>
      </c>
      <c r="D303" s="24">
        <v>44897.0</v>
      </c>
      <c r="E303" s="24">
        <v>44902.0</v>
      </c>
      <c r="F303" s="6">
        <v>49.0</v>
      </c>
      <c r="G303" s="9" t="str">
        <f>VLOOKUP(operations[productID],products[],2,FALSE)</f>
        <v>Maxilaku</v>
      </c>
      <c r="H303" s="9" t="str">
        <f>IF(VLOOKUP(operations[productID],products[],7,FALSE)=1,"Discontinued","Current")</f>
        <v>Current</v>
      </c>
      <c r="I303" s="6">
        <f>VLOOKUP(operations[productID],products[],4,FALSE)</f>
        <v>10</v>
      </c>
      <c r="J303" s="6">
        <f>VLOOKUP(operations[productID],products[],5,FALSE)</f>
        <v>60</v>
      </c>
      <c r="K303" s="6">
        <f>VLOOKUP(operations[productID],products[],6,FALSE)</f>
        <v>15</v>
      </c>
      <c r="L303" s="10">
        <f t="array" ref="L303">INDEX('1 orders'!I303:I2156, MATCH(1, ('1 orders'!A303:A2156=A303)*('1 orders'!G303:G2156=F303), 0))
</f>
        <v>35</v>
      </c>
      <c r="M303" s="10">
        <f>IFERROR(__xludf.DUMMYFUNCTION("COUNTUNIQUEIFS($A$2:$A303,$F$2:$F303,F303)"),4.0)</f>
        <v>4</v>
      </c>
      <c r="N303" s="10">
        <f t="shared" si="1"/>
        <v>71</v>
      </c>
      <c r="O303" s="26">
        <f>IF(operations[sinceLastOrder]=0,0,operations[orderQuantity] / operations[sinceLastOrder])</f>
        <v>0.4929577465</v>
      </c>
      <c r="P303" s="9">
        <v>131.7</v>
      </c>
      <c r="Q303" s="7" t="s">
        <v>13</v>
      </c>
      <c r="R303" s="10">
        <f>operations[arrivedDate]-operations[shippedDate]</f>
        <v>5</v>
      </c>
    </row>
    <row r="304" ht="15.75" customHeight="1">
      <c r="A304" s="6">
        <v>10360.0</v>
      </c>
      <c r="B304" s="24">
        <v>44887.0</v>
      </c>
      <c r="C304" s="24">
        <v>44915.0</v>
      </c>
      <c r="D304" s="24">
        <v>44897.0</v>
      </c>
      <c r="E304" s="24">
        <v>44902.0</v>
      </c>
      <c r="F304" s="6">
        <v>54.0</v>
      </c>
      <c r="G304" s="9" t="str">
        <f>VLOOKUP(operations[productID],products[],2,FALSE)</f>
        <v>Tourtière</v>
      </c>
      <c r="H304" s="9" t="str">
        <f>IF(VLOOKUP(operations[productID],products[],7,FALSE)=1,"Discontinued","Current")</f>
        <v>Current</v>
      </c>
      <c r="I304" s="6">
        <f>VLOOKUP(operations[productID],products[],4,FALSE)</f>
        <v>21</v>
      </c>
      <c r="J304" s="6">
        <f>VLOOKUP(operations[productID],products[],5,FALSE)</f>
        <v>0</v>
      </c>
      <c r="K304" s="6">
        <f>VLOOKUP(operations[productID],products[],6,FALSE)</f>
        <v>10</v>
      </c>
      <c r="L304" s="10">
        <f t="array" ref="L304">INDEX('1 orders'!I304:I2156, MATCH(1, ('1 orders'!A304:A2156=A304)*('1 orders'!G304:G2156=F304), 0))
</f>
        <v>28</v>
      </c>
      <c r="M304" s="10">
        <f>IFERROR(__xludf.DUMMYFUNCTION("COUNTUNIQUEIFS($A$2:$A304,$F$2:$F304,F304)"),6.0)</f>
        <v>6</v>
      </c>
      <c r="N304" s="10">
        <f t="shared" si="1"/>
        <v>10</v>
      </c>
      <c r="O304" s="26">
        <f>IF(operations[sinceLastOrder]=0,0,operations[orderQuantity] / operations[sinceLastOrder])</f>
        <v>2.8</v>
      </c>
      <c r="P304" s="9">
        <v>131.7</v>
      </c>
      <c r="Q304" s="7" t="s">
        <v>13</v>
      </c>
      <c r="R304" s="10">
        <f>operations[arrivedDate]-operations[shippedDate]</f>
        <v>5</v>
      </c>
    </row>
    <row r="305" ht="15.75" customHeight="1">
      <c r="A305" s="6">
        <v>10361.0</v>
      </c>
      <c r="B305" s="24">
        <v>44887.0</v>
      </c>
      <c r="C305" s="24">
        <v>44915.0</v>
      </c>
      <c r="D305" s="24">
        <v>44898.0</v>
      </c>
      <c r="E305" s="24">
        <v>44907.0</v>
      </c>
      <c r="F305" s="6">
        <v>39.0</v>
      </c>
      <c r="G305" s="9" t="str">
        <f>VLOOKUP(operations[productID],products[],2,FALSE)</f>
        <v>Chartreuse verte</v>
      </c>
      <c r="H305" s="9" t="str">
        <f>IF(VLOOKUP(operations[productID],products[],7,FALSE)=1,"Discontinued","Current")</f>
        <v>Current</v>
      </c>
      <c r="I305" s="6">
        <f>VLOOKUP(operations[productID],products[],4,FALSE)</f>
        <v>69</v>
      </c>
      <c r="J305" s="6">
        <f>VLOOKUP(operations[productID],products[],5,FALSE)</f>
        <v>0</v>
      </c>
      <c r="K305" s="6">
        <f>VLOOKUP(operations[productID],products[],6,FALSE)</f>
        <v>5</v>
      </c>
      <c r="L305" s="10">
        <f t="array" ref="L305">INDEX('1 orders'!I305:I2156, MATCH(1, ('1 orders'!A305:A2156=A305)*('1 orders'!G305:G2156=F305), 0))
</f>
        <v>54</v>
      </c>
      <c r="M305" s="10">
        <f>IFERROR(__xludf.DUMMYFUNCTION("COUNTUNIQUEIFS($A$2:$A305,$F$2:$F305,F305)"),7.0)</f>
        <v>7</v>
      </c>
      <c r="N305" s="10">
        <f t="shared" si="1"/>
        <v>16</v>
      </c>
      <c r="O305" s="26">
        <f>IF(operations[sinceLastOrder]=0,0,operations[orderQuantity] / operations[sinceLastOrder])</f>
        <v>3.375</v>
      </c>
      <c r="P305" s="9">
        <v>183.17</v>
      </c>
      <c r="Q305" s="7" t="s">
        <v>17</v>
      </c>
      <c r="R305" s="10">
        <f>operations[arrivedDate]-operations[shippedDate]</f>
        <v>9</v>
      </c>
    </row>
    <row r="306" ht="15.75" customHeight="1">
      <c r="A306" s="6">
        <v>10361.0</v>
      </c>
      <c r="B306" s="24">
        <v>44887.0</v>
      </c>
      <c r="C306" s="24">
        <v>44915.0</v>
      </c>
      <c r="D306" s="24">
        <v>44898.0</v>
      </c>
      <c r="E306" s="24">
        <v>44907.0</v>
      </c>
      <c r="F306" s="6">
        <v>60.0</v>
      </c>
      <c r="G306" s="9" t="str">
        <f>VLOOKUP(operations[productID],products[],2,FALSE)</f>
        <v>Camembert Pierrot</v>
      </c>
      <c r="H306" s="9" t="str">
        <f>IF(VLOOKUP(operations[productID],products[],7,FALSE)=1,"Discontinued","Current")</f>
        <v>Current</v>
      </c>
      <c r="I306" s="6">
        <f>VLOOKUP(operations[productID],products[],4,FALSE)</f>
        <v>19</v>
      </c>
      <c r="J306" s="6">
        <f>VLOOKUP(operations[productID],products[],5,FALSE)</f>
        <v>0</v>
      </c>
      <c r="K306" s="6">
        <f>VLOOKUP(operations[productID],products[],6,FALSE)</f>
        <v>0</v>
      </c>
      <c r="L306" s="10">
        <f t="array" ref="L306">INDEX('1 orders'!I306:I2156, MATCH(1, ('1 orders'!A306:A2156=A306)*('1 orders'!G306:G2156=F306), 0))
</f>
        <v>55</v>
      </c>
      <c r="M306" s="10">
        <f>IFERROR(__xludf.DUMMYFUNCTION("COUNTUNIQUEIFS($A$2:$A306,$F$2:$F306,F306)"),7.0)</f>
        <v>7</v>
      </c>
      <c r="N306" s="10">
        <f t="shared" si="1"/>
        <v>1</v>
      </c>
      <c r="O306" s="26">
        <f>IF(operations[sinceLastOrder]=0,0,operations[orderQuantity] / operations[sinceLastOrder])</f>
        <v>55</v>
      </c>
      <c r="P306" s="9">
        <v>183.17</v>
      </c>
      <c r="Q306" s="7" t="s">
        <v>17</v>
      </c>
      <c r="R306" s="10">
        <f>operations[arrivedDate]-operations[shippedDate]</f>
        <v>9</v>
      </c>
    </row>
    <row r="307" ht="15.75" customHeight="1">
      <c r="A307" s="6">
        <v>10362.0</v>
      </c>
      <c r="B307" s="24">
        <v>44890.0</v>
      </c>
      <c r="C307" s="24">
        <v>44918.0</v>
      </c>
      <c r="D307" s="24">
        <v>44893.0</v>
      </c>
      <c r="E307" s="24">
        <v>44900.0</v>
      </c>
      <c r="F307" s="6">
        <v>25.0</v>
      </c>
      <c r="G307" s="9" t="str">
        <f>VLOOKUP(operations[productID],products[],2,FALSE)</f>
        <v>HM Köstliche Kaiserschmarrn Knödelchen</v>
      </c>
      <c r="H307" s="9" t="str">
        <f>IF(VLOOKUP(operations[productID],products[],7,FALSE)=1,"Discontinued","Current")</f>
        <v>Current</v>
      </c>
      <c r="I307" s="6">
        <f>VLOOKUP(operations[productID],products[],4,FALSE)</f>
        <v>76</v>
      </c>
      <c r="J307" s="6">
        <f>VLOOKUP(operations[productID],products[],5,FALSE)</f>
        <v>0</v>
      </c>
      <c r="K307" s="6">
        <f>VLOOKUP(operations[productID],products[],6,FALSE)</f>
        <v>30</v>
      </c>
      <c r="L307" s="10">
        <f t="array" ref="L307">INDEX('1 orders'!I307:I2156, MATCH(1, ('1 orders'!A307:A2156=A307)*('1 orders'!G307:G2156=F307), 0))
</f>
        <v>50</v>
      </c>
      <c r="M307" s="10">
        <f>IFERROR(__xludf.DUMMYFUNCTION("COUNTUNIQUEIFS($A$2:$A307,$F$2:$F307,F307)"),3.0)</f>
        <v>3</v>
      </c>
      <c r="N307" s="10">
        <f t="shared" si="1"/>
        <v>19</v>
      </c>
      <c r="O307" s="26">
        <f>IF(operations[sinceLastOrder]=0,0,operations[orderQuantity] / operations[sinceLastOrder])</f>
        <v>2.631578947</v>
      </c>
      <c r="P307" s="9">
        <v>96.04</v>
      </c>
      <c r="Q307" s="7" t="s">
        <v>15</v>
      </c>
      <c r="R307" s="10">
        <f>operations[arrivedDate]-operations[shippedDate]</f>
        <v>7</v>
      </c>
    </row>
    <row r="308" ht="15.75" customHeight="1">
      <c r="A308" s="6">
        <v>10362.0</v>
      </c>
      <c r="B308" s="24">
        <v>44890.0</v>
      </c>
      <c r="C308" s="24">
        <v>44918.0</v>
      </c>
      <c r="D308" s="24">
        <v>44893.0</v>
      </c>
      <c r="E308" s="24">
        <v>44900.0</v>
      </c>
      <c r="F308" s="6">
        <v>51.0</v>
      </c>
      <c r="G308" s="9" t="str">
        <f>VLOOKUP(operations[productID],products[],2,FALSE)</f>
        <v>Manjimup Dried Apples</v>
      </c>
      <c r="H308" s="9" t="str">
        <f>IF(VLOOKUP(operations[productID],products[],7,FALSE)=1,"Discontinued","Current")</f>
        <v>Current</v>
      </c>
      <c r="I308" s="6">
        <f>VLOOKUP(operations[productID],products[],4,FALSE)</f>
        <v>20</v>
      </c>
      <c r="J308" s="6">
        <f>VLOOKUP(operations[productID],products[],5,FALSE)</f>
        <v>0</v>
      </c>
      <c r="K308" s="6">
        <f>VLOOKUP(operations[productID],products[],6,FALSE)</f>
        <v>10</v>
      </c>
      <c r="L308" s="10">
        <f t="array" ref="L308">INDEX('1 orders'!I308:I2156, MATCH(1, ('1 orders'!A308:A2156=A308)*('1 orders'!G308:G2156=F308), 0))
</f>
        <v>20</v>
      </c>
      <c r="M308" s="10">
        <f>IFERROR(__xludf.DUMMYFUNCTION("COUNTUNIQUEIFS($A$2:$A308,$F$2:$F308,F308)"),5.0)</f>
        <v>5</v>
      </c>
      <c r="N308" s="10">
        <f t="shared" si="1"/>
        <v>34</v>
      </c>
      <c r="O308" s="26">
        <f>IF(operations[sinceLastOrder]=0,0,operations[orderQuantity] / operations[sinceLastOrder])</f>
        <v>0.5882352941</v>
      </c>
      <c r="P308" s="9">
        <v>96.04</v>
      </c>
      <c r="Q308" s="7" t="s">
        <v>15</v>
      </c>
      <c r="R308" s="10">
        <f>operations[arrivedDate]-operations[shippedDate]</f>
        <v>7</v>
      </c>
    </row>
    <row r="309" ht="15.75" customHeight="1">
      <c r="A309" s="6">
        <v>10362.0</v>
      </c>
      <c r="B309" s="24">
        <v>44890.0</v>
      </c>
      <c r="C309" s="24">
        <v>44918.0</v>
      </c>
      <c r="D309" s="24">
        <v>44893.0</v>
      </c>
      <c r="E309" s="24">
        <v>44900.0</v>
      </c>
      <c r="F309" s="6">
        <v>54.0</v>
      </c>
      <c r="G309" s="9" t="str">
        <f>VLOOKUP(operations[productID],products[],2,FALSE)</f>
        <v>Tourtière</v>
      </c>
      <c r="H309" s="9" t="str">
        <f>IF(VLOOKUP(operations[productID],products[],7,FALSE)=1,"Discontinued","Current")</f>
        <v>Current</v>
      </c>
      <c r="I309" s="6">
        <f>VLOOKUP(operations[productID],products[],4,FALSE)</f>
        <v>21</v>
      </c>
      <c r="J309" s="6">
        <f>VLOOKUP(operations[productID],products[],5,FALSE)</f>
        <v>0</v>
      </c>
      <c r="K309" s="6">
        <f>VLOOKUP(operations[productID],products[],6,FALSE)</f>
        <v>10</v>
      </c>
      <c r="L309" s="10">
        <f t="array" ref="L309">INDEX('1 orders'!I309:I2156, MATCH(1, ('1 orders'!A309:A2156=A309)*('1 orders'!G309:G2156=F309), 0))
</f>
        <v>24</v>
      </c>
      <c r="M309" s="10">
        <f>IFERROR(__xludf.DUMMYFUNCTION("COUNTUNIQUEIFS($A$2:$A309,$F$2:$F309,F309)"),7.0)</f>
        <v>7</v>
      </c>
      <c r="N309" s="10">
        <f t="shared" si="1"/>
        <v>3</v>
      </c>
      <c r="O309" s="26">
        <f>IF(operations[sinceLastOrder]=0,0,operations[orderQuantity] / operations[sinceLastOrder])</f>
        <v>8</v>
      </c>
      <c r="P309" s="9">
        <v>96.04</v>
      </c>
      <c r="Q309" s="7" t="s">
        <v>15</v>
      </c>
      <c r="R309" s="10">
        <f>operations[arrivedDate]-operations[shippedDate]</f>
        <v>7</v>
      </c>
    </row>
    <row r="310" ht="15.75" customHeight="1">
      <c r="A310" s="6">
        <v>10363.0</v>
      </c>
      <c r="B310" s="24">
        <v>44891.0</v>
      </c>
      <c r="C310" s="24">
        <v>44919.0</v>
      </c>
      <c r="D310" s="24">
        <v>44899.0</v>
      </c>
      <c r="E310" s="24">
        <v>44904.0</v>
      </c>
      <c r="F310" s="6">
        <v>31.0</v>
      </c>
      <c r="G310" s="9" t="str">
        <f>VLOOKUP(operations[productID],products[],2,FALSE)</f>
        <v>Gorgonzola Telino</v>
      </c>
      <c r="H310" s="9" t="str">
        <f>IF(VLOOKUP(operations[productID],products[],7,FALSE)=1,"Discontinued","Current")</f>
        <v>Current</v>
      </c>
      <c r="I310" s="6">
        <f>VLOOKUP(operations[productID],products[],4,FALSE)</f>
        <v>0</v>
      </c>
      <c r="J310" s="6">
        <f>VLOOKUP(operations[productID],products[],5,FALSE)</f>
        <v>70</v>
      </c>
      <c r="K310" s="6">
        <f>VLOOKUP(operations[productID],products[],6,FALSE)</f>
        <v>20</v>
      </c>
      <c r="L310" s="10">
        <f t="array" ref="L310">INDEX('1 orders'!I310:I2156, MATCH(1, ('1 orders'!A310:A2156=A310)*('1 orders'!G310:G2156=F310), 0))
</f>
        <v>20</v>
      </c>
      <c r="M310" s="10">
        <f>IFERROR(__xludf.DUMMYFUNCTION("COUNTUNIQUEIFS($A$2:$A310,$F$2:$F310,F310)"),9.0)</f>
        <v>9</v>
      </c>
      <c r="N310" s="10">
        <f t="shared" si="1"/>
        <v>5</v>
      </c>
      <c r="O310" s="26">
        <f>IF(operations[sinceLastOrder]=0,0,operations[orderQuantity] / operations[sinceLastOrder])</f>
        <v>4</v>
      </c>
      <c r="P310" s="9">
        <v>30.54</v>
      </c>
      <c r="Q310" s="7" t="s">
        <v>13</v>
      </c>
      <c r="R310" s="10">
        <f>operations[arrivedDate]-operations[shippedDate]</f>
        <v>5</v>
      </c>
    </row>
    <row r="311" ht="15.75" customHeight="1">
      <c r="A311" s="6">
        <v>10363.0</v>
      </c>
      <c r="B311" s="24">
        <v>44891.0</v>
      </c>
      <c r="C311" s="24">
        <v>44919.0</v>
      </c>
      <c r="D311" s="24">
        <v>44899.0</v>
      </c>
      <c r="E311" s="24">
        <v>44904.0</v>
      </c>
      <c r="F311" s="6">
        <v>75.0</v>
      </c>
      <c r="G311" s="9" t="str">
        <f>VLOOKUP(operations[productID],products[],2,FALSE)</f>
        <v>Rhönbräu Klosterbier</v>
      </c>
      <c r="H311" s="9" t="str">
        <f>IF(VLOOKUP(operations[productID],products[],7,FALSE)=1,"Discontinued","Current")</f>
        <v>Current</v>
      </c>
      <c r="I311" s="6">
        <f>VLOOKUP(operations[productID],products[],4,FALSE)</f>
        <v>125</v>
      </c>
      <c r="J311" s="6">
        <f>VLOOKUP(operations[productID],products[],5,FALSE)</f>
        <v>0</v>
      </c>
      <c r="K311" s="6">
        <f>VLOOKUP(operations[productID],products[],6,FALSE)</f>
        <v>25</v>
      </c>
      <c r="L311" s="10">
        <f t="array" ref="L311">INDEX('1 orders'!I311:I2156, MATCH(1, ('1 orders'!A311:A2156=A311)*('1 orders'!G311:G2156=F311), 0))
</f>
        <v>12</v>
      </c>
      <c r="M311" s="10">
        <f>IFERROR(__xludf.DUMMYFUNCTION("COUNTUNIQUEIFS($A$2:$A311,$F$2:$F311,F311)"),7.0)</f>
        <v>7</v>
      </c>
      <c r="N311" s="10">
        <f t="shared" si="1"/>
        <v>20</v>
      </c>
      <c r="O311" s="26">
        <f>IF(operations[sinceLastOrder]=0,0,operations[orderQuantity] / operations[sinceLastOrder])</f>
        <v>0.6</v>
      </c>
      <c r="P311" s="9">
        <v>30.54</v>
      </c>
      <c r="Q311" s="7" t="s">
        <v>13</v>
      </c>
      <c r="R311" s="10">
        <f>operations[arrivedDate]-operations[shippedDate]</f>
        <v>5</v>
      </c>
    </row>
    <row r="312" ht="15.75" customHeight="1">
      <c r="A312" s="6">
        <v>10363.0</v>
      </c>
      <c r="B312" s="24">
        <v>44891.0</v>
      </c>
      <c r="C312" s="24">
        <v>44919.0</v>
      </c>
      <c r="D312" s="24">
        <v>44899.0</v>
      </c>
      <c r="E312" s="24">
        <v>44904.0</v>
      </c>
      <c r="F312" s="6">
        <v>76.0</v>
      </c>
      <c r="G312" s="9" t="str">
        <f>VLOOKUP(operations[productID],products[],2,FALSE)</f>
        <v>Lakkalikööri</v>
      </c>
      <c r="H312" s="9" t="str">
        <f>IF(VLOOKUP(operations[productID],products[],7,FALSE)=1,"Discontinued","Current")</f>
        <v>Current</v>
      </c>
      <c r="I312" s="6">
        <f>VLOOKUP(operations[productID],products[],4,FALSE)</f>
        <v>57</v>
      </c>
      <c r="J312" s="6">
        <f>VLOOKUP(operations[productID],products[],5,FALSE)</f>
        <v>0</v>
      </c>
      <c r="K312" s="6">
        <f>VLOOKUP(operations[productID],products[],6,FALSE)</f>
        <v>20</v>
      </c>
      <c r="L312" s="10">
        <f t="array" ref="L312">INDEX('1 orders'!I312:I2156, MATCH(1, ('1 orders'!A312:A2156=A312)*('1 orders'!G312:G2156=F312), 0))
</f>
        <v>12</v>
      </c>
      <c r="M312" s="10">
        <f>IFERROR(__xludf.DUMMYFUNCTION("COUNTUNIQUEIFS($A$2:$A312,$F$2:$F312,F312)"),6.0)</f>
        <v>6</v>
      </c>
      <c r="N312" s="10">
        <f t="shared" si="1"/>
        <v>26</v>
      </c>
      <c r="O312" s="26">
        <f>IF(operations[sinceLastOrder]=0,0,operations[orderQuantity] / operations[sinceLastOrder])</f>
        <v>0.4615384615</v>
      </c>
      <c r="P312" s="9">
        <v>30.54</v>
      </c>
      <c r="Q312" s="7" t="s">
        <v>13</v>
      </c>
      <c r="R312" s="10">
        <f>operations[arrivedDate]-operations[shippedDate]</f>
        <v>5</v>
      </c>
    </row>
    <row r="313" ht="15.75" customHeight="1">
      <c r="A313" s="6">
        <v>10364.0</v>
      </c>
      <c r="B313" s="24">
        <v>44891.0</v>
      </c>
      <c r="C313" s="24">
        <v>44933.0</v>
      </c>
      <c r="D313" s="24">
        <v>44899.0</v>
      </c>
      <c r="E313" s="24">
        <v>44906.0</v>
      </c>
      <c r="F313" s="6">
        <v>69.0</v>
      </c>
      <c r="G313" s="9" t="str">
        <f>VLOOKUP(operations[productID],products[],2,FALSE)</f>
        <v>Gudbrandsdalsost</v>
      </c>
      <c r="H313" s="9" t="str">
        <f>IF(VLOOKUP(operations[productID],products[],7,FALSE)=1,"Discontinued","Current")</f>
        <v>Current</v>
      </c>
      <c r="I313" s="6">
        <f>VLOOKUP(operations[productID],products[],4,FALSE)</f>
        <v>26</v>
      </c>
      <c r="J313" s="6">
        <f>VLOOKUP(operations[productID],products[],5,FALSE)</f>
        <v>0</v>
      </c>
      <c r="K313" s="6">
        <f>VLOOKUP(operations[productID],products[],6,FALSE)</f>
        <v>15</v>
      </c>
      <c r="L313" s="10">
        <f t="array" ref="L313">INDEX('1 orders'!I313:I2156, MATCH(1, ('1 orders'!A313:A2156=A313)*('1 orders'!G313:G2156=F313), 0))
</f>
        <v>30</v>
      </c>
      <c r="M313" s="10">
        <f>IFERROR(__xludf.DUMMYFUNCTION("COUNTUNIQUEIFS($A$2:$A313,$F$2:$F313,F313)"),6.0)</f>
        <v>6</v>
      </c>
      <c r="N313" s="10">
        <f t="shared" si="1"/>
        <v>8</v>
      </c>
      <c r="O313" s="26">
        <f>IF(operations[sinceLastOrder]=0,0,operations[orderQuantity] / operations[sinceLastOrder])</f>
        <v>3.75</v>
      </c>
      <c r="P313" s="9">
        <v>71.97</v>
      </c>
      <c r="Q313" s="7" t="s">
        <v>15</v>
      </c>
      <c r="R313" s="10">
        <f>operations[arrivedDate]-operations[shippedDate]</f>
        <v>7</v>
      </c>
    </row>
    <row r="314" ht="15.75" customHeight="1">
      <c r="A314" s="6">
        <v>10364.0</v>
      </c>
      <c r="B314" s="24">
        <v>44891.0</v>
      </c>
      <c r="C314" s="24">
        <v>44933.0</v>
      </c>
      <c r="D314" s="24">
        <v>44899.0</v>
      </c>
      <c r="E314" s="24">
        <v>44906.0</v>
      </c>
      <c r="F314" s="6">
        <v>71.0</v>
      </c>
      <c r="G314" s="9" t="str">
        <f>VLOOKUP(operations[productID],products[],2,FALSE)</f>
        <v>Flotemysost</v>
      </c>
      <c r="H314" s="9" t="str">
        <f>IF(VLOOKUP(operations[productID],products[],7,FALSE)=1,"Discontinued","Current")</f>
        <v>Current</v>
      </c>
      <c r="I314" s="6">
        <f>VLOOKUP(operations[productID],products[],4,FALSE)</f>
        <v>26</v>
      </c>
      <c r="J314" s="6">
        <f>VLOOKUP(operations[productID],products[],5,FALSE)</f>
        <v>0</v>
      </c>
      <c r="K314" s="6">
        <f>VLOOKUP(operations[productID],products[],6,FALSE)</f>
        <v>0</v>
      </c>
      <c r="L314" s="10">
        <f t="array" ref="L314">INDEX('1 orders'!I314:I2156, MATCH(1, ('1 orders'!A314:A2156=A314)*('1 orders'!G314:G2156=F314), 0))
</f>
        <v>5</v>
      </c>
      <c r="M314" s="10">
        <f>IFERROR(__xludf.DUMMYFUNCTION("COUNTUNIQUEIFS($A$2:$A314,$F$2:$F314,F314)"),6.0)</f>
        <v>6</v>
      </c>
      <c r="N314" s="10">
        <f t="shared" si="1"/>
        <v>39</v>
      </c>
      <c r="O314" s="26">
        <f>IF(operations[sinceLastOrder]=0,0,operations[orderQuantity] / operations[sinceLastOrder])</f>
        <v>0.1282051282</v>
      </c>
      <c r="P314" s="9">
        <v>71.97</v>
      </c>
      <c r="Q314" s="7" t="s">
        <v>15</v>
      </c>
      <c r="R314" s="10">
        <f>operations[arrivedDate]-operations[shippedDate]</f>
        <v>7</v>
      </c>
    </row>
    <row r="315" ht="15.75" customHeight="1">
      <c r="A315" s="6">
        <v>10365.0</v>
      </c>
      <c r="B315" s="24">
        <v>44892.0</v>
      </c>
      <c r="C315" s="24">
        <v>44920.0</v>
      </c>
      <c r="D315" s="24">
        <v>44897.0</v>
      </c>
      <c r="E315" s="24">
        <v>44915.0</v>
      </c>
      <c r="F315" s="6">
        <v>11.0</v>
      </c>
      <c r="G315" s="9" t="str">
        <f>VLOOKUP(operations[productID],products[],2,FALSE)</f>
        <v>Queso Cabrales</v>
      </c>
      <c r="H315" s="9" t="str">
        <f>IF(VLOOKUP(operations[productID],products[],7,FALSE)=1,"Discontinued","Current")</f>
        <v>Current</v>
      </c>
      <c r="I315" s="6">
        <f>VLOOKUP(operations[productID],products[],4,FALSE)</f>
        <v>22</v>
      </c>
      <c r="J315" s="6">
        <f>VLOOKUP(operations[productID],products[],5,FALSE)</f>
        <v>30</v>
      </c>
      <c r="K315" s="6">
        <f>VLOOKUP(operations[productID],products[],6,FALSE)</f>
        <v>30</v>
      </c>
      <c r="L315" s="10">
        <f t="array" ref="L315">INDEX('1 orders'!I315:I2156, MATCH(1, ('1 orders'!A315:A2156=A315)*('1 orders'!G315:G2156=F315), 0))
</f>
        <v>24</v>
      </c>
      <c r="M315" s="10">
        <f>IFERROR(__xludf.DUMMYFUNCTION("COUNTUNIQUEIFS($A$2:$A315,$F$2:$F315,F315)"),5.0)</f>
        <v>5</v>
      </c>
      <c r="N315" s="10">
        <f t="shared" si="1"/>
        <v>14</v>
      </c>
      <c r="O315" s="26">
        <f>IF(operations[sinceLastOrder]=0,0,operations[orderQuantity] / operations[sinceLastOrder])</f>
        <v>1.714285714</v>
      </c>
      <c r="P315" s="9">
        <v>22.0</v>
      </c>
      <c r="Q315" s="7" t="s">
        <v>17</v>
      </c>
      <c r="R315" s="10">
        <f>operations[arrivedDate]-operations[shippedDate]</f>
        <v>18</v>
      </c>
    </row>
    <row r="316" ht="15.75" customHeight="1">
      <c r="A316" s="6">
        <v>10366.0</v>
      </c>
      <c r="B316" s="24">
        <v>44893.0</v>
      </c>
      <c r="C316" s="24">
        <v>44935.0</v>
      </c>
      <c r="D316" s="24">
        <v>44925.0</v>
      </c>
      <c r="E316" s="24">
        <v>44935.0</v>
      </c>
      <c r="F316" s="6">
        <v>65.0</v>
      </c>
      <c r="G316" s="9" t="str">
        <f>VLOOKUP(operations[productID],products[],2,FALSE)</f>
        <v>Louisiana Fiery Hot Pepper Sauce</v>
      </c>
      <c r="H316" s="9" t="str">
        <f>IF(VLOOKUP(operations[productID],products[],7,FALSE)=1,"Discontinued","Current")</f>
        <v>Current</v>
      </c>
      <c r="I316" s="6">
        <f>VLOOKUP(operations[productID],products[],4,FALSE)</f>
        <v>76</v>
      </c>
      <c r="J316" s="6">
        <f>VLOOKUP(operations[productID],products[],5,FALSE)</f>
        <v>0</v>
      </c>
      <c r="K316" s="6">
        <f>VLOOKUP(operations[productID],products[],6,FALSE)</f>
        <v>0</v>
      </c>
      <c r="L316" s="10">
        <f t="array" ref="L316">INDEX('1 orders'!I316:I2156, MATCH(1, ('1 orders'!A316:A2156=A316)*('1 orders'!G316:G2156=F316), 0))
</f>
        <v>5</v>
      </c>
      <c r="M316" s="10">
        <f>IFERROR(__xludf.DUMMYFUNCTION("COUNTUNIQUEIFS($A$2:$A316,$F$2:$F316,F316)"),6.0)</f>
        <v>6</v>
      </c>
      <c r="N316" s="10">
        <f t="shared" si="1"/>
        <v>17</v>
      </c>
      <c r="O316" s="26">
        <f>IF(operations[sinceLastOrder]=0,0,operations[orderQuantity] / operations[sinceLastOrder])</f>
        <v>0.2941176471</v>
      </c>
      <c r="P316" s="9">
        <v>10.14</v>
      </c>
      <c r="Q316" s="7" t="s">
        <v>17</v>
      </c>
      <c r="R316" s="10">
        <f>operations[arrivedDate]-operations[shippedDate]</f>
        <v>10</v>
      </c>
    </row>
    <row r="317" ht="15.75" customHeight="1">
      <c r="A317" s="6">
        <v>10366.0</v>
      </c>
      <c r="B317" s="24">
        <v>44893.0</v>
      </c>
      <c r="C317" s="24">
        <v>44935.0</v>
      </c>
      <c r="D317" s="24">
        <v>44925.0</v>
      </c>
      <c r="E317" s="24">
        <v>44935.0</v>
      </c>
      <c r="F317" s="6">
        <v>77.0</v>
      </c>
      <c r="G317" s="9" t="str">
        <f>VLOOKUP(operations[productID],products[],2,FALSE)</f>
        <v>Original Frankfurter grüne Soße</v>
      </c>
      <c r="H317" s="9" t="str">
        <f>IF(VLOOKUP(operations[productID],products[],7,FALSE)=1,"Discontinued","Current")</f>
        <v>Current</v>
      </c>
      <c r="I317" s="6">
        <f>VLOOKUP(operations[productID],products[],4,FALSE)</f>
        <v>32</v>
      </c>
      <c r="J317" s="6">
        <f>VLOOKUP(operations[productID],products[],5,FALSE)</f>
        <v>0</v>
      </c>
      <c r="K317" s="6">
        <f>VLOOKUP(operations[productID],products[],6,FALSE)</f>
        <v>15</v>
      </c>
      <c r="L317" s="10">
        <f t="array" ref="L317">INDEX('1 orders'!I317:I2156, MATCH(1, ('1 orders'!A317:A2156=A317)*('1 orders'!G317:G2156=F317), 0))
</f>
        <v>5</v>
      </c>
      <c r="M317" s="10">
        <f>IFERROR(__xludf.DUMMYFUNCTION("COUNTUNIQUEIFS($A$2:$A317,$F$2:$F317,F317)"),4.0)</f>
        <v>4</v>
      </c>
      <c r="N317" s="10">
        <f t="shared" si="1"/>
        <v>93</v>
      </c>
      <c r="O317" s="26">
        <f>IF(operations[sinceLastOrder]=0,0,operations[orderQuantity] / operations[sinceLastOrder])</f>
        <v>0.05376344086</v>
      </c>
      <c r="P317" s="9">
        <v>10.14</v>
      </c>
      <c r="Q317" s="7" t="s">
        <v>17</v>
      </c>
      <c r="R317" s="10">
        <f>operations[arrivedDate]-operations[shippedDate]</f>
        <v>10</v>
      </c>
    </row>
    <row r="318" ht="15.75" customHeight="1">
      <c r="A318" s="6">
        <v>10367.0</v>
      </c>
      <c r="B318" s="24">
        <v>44893.0</v>
      </c>
      <c r="C318" s="24">
        <v>44921.0</v>
      </c>
      <c r="D318" s="24">
        <v>44897.0</v>
      </c>
      <c r="E318" s="24">
        <v>44909.0</v>
      </c>
      <c r="F318" s="6">
        <v>34.0</v>
      </c>
      <c r="G318" s="9" t="str">
        <f>VLOOKUP(operations[productID],products[],2,FALSE)</f>
        <v>Sasquatch Ale</v>
      </c>
      <c r="H318" s="9" t="str">
        <f>IF(VLOOKUP(operations[productID],products[],7,FALSE)=1,"Discontinued","Current")</f>
        <v>Current</v>
      </c>
      <c r="I318" s="6">
        <f>VLOOKUP(operations[productID],products[],4,FALSE)</f>
        <v>111</v>
      </c>
      <c r="J318" s="6">
        <f>VLOOKUP(operations[productID],products[],5,FALSE)</f>
        <v>0</v>
      </c>
      <c r="K318" s="6">
        <f>VLOOKUP(operations[productID],products[],6,FALSE)</f>
        <v>15</v>
      </c>
      <c r="L318" s="10">
        <f t="array" ref="L318">INDEX('1 orders'!I318:I2156, MATCH(1, ('1 orders'!A318:A2156=A318)*('1 orders'!G318:G2156=F318), 0))
</f>
        <v>36</v>
      </c>
      <c r="M318" s="10">
        <f>IFERROR(__xludf.DUMMYFUNCTION("COUNTUNIQUEIFS($A$2:$A318,$F$2:$F318,F318)"),4.0)</f>
        <v>4</v>
      </c>
      <c r="N318" s="10">
        <f t="shared" si="1"/>
        <v>8</v>
      </c>
      <c r="O318" s="26">
        <f>IF(operations[sinceLastOrder]=0,0,operations[orderQuantity] / operations[sinceLastOrder])</f>
        <v>4.5</v>
      </c>
      <c r="P318" s="9">
        <v>13.55</v>
      </c>
      <c r="Q318" s="7" t="s">
        <v>13</v>
      </c>
      <c r="R318" s="10">
        <f>operations[arrivedDate]-operations[shippedDate]</f>
        <v>12</v>
      </c>
    </row>
    <row r="319" ht="15.75" customHeight="1">
      <c r="A319" s="6">
        <v>10367.0</v>
      </c>
      <c r="B319" s="24">
        <v>44893.0</v>
      </c>
      <c r="C319" s="24">
        <v>44921.0</v>
      </c>
      <c r="D319" s="24">
        <v>44897.0</v>
      </c>
      <c r="E319" s="24">
        <v>44909.0</v>
      </c>
      <c r="F319" s="6">
        <v>54.0</v>
      </c>
      <c r="G319" s="9" t="str">
        <f>VLOOKUP(operations[productID],products[],2,FALSE)</f>
        <v>Tourtière</v>
      </c>
      <c r="H319" s="9" t="str">
        <f>IF(VLOOKUP(operations[productID],products[],7,FALSE)=1,"Discontinued","Current")</f>
        <v>Current</v>
      </c>
      <c r="I319" s="6">
        <f>VLOOKUP(operations[productID],products[],4,FALSE)</f>
        <v>21</v>
      </c>
      <c r="J319" s="6">
        <f>VLOOKUP(operations[productID],products[],5,FALSE)</f>
        <v>0</v>
      </c>
      <c r="K319" s="6">
        <f>VLOOKUP(operations[productID],products[],6,FALSE)</f>
        <v>10</v>
      </c>
      <c r="L319" s="10">
        <f t="array" ref="L319">INDEX('1 orders'!I319:I2156, MATCH(1, ('1 orders'!A319:A2156=A319)*('1 orders'!G319:G2156=F319), 0))
</f>
        <v>18</v>
      </c>
      <c r="M319" s="10">
        <f>IFERROR(__xludf.DUMMYFUNCTION("COUNTUNIQUEIFS($A$2:$A319,$F$2:$F319,F319)"),8.0)</f>
        <v>8</v>
      </c>
      <c r="N319" s="10">
        <f t="shared" si="1"/>
        <v>3</v>
      </c>
      <c r="O319" s="26">
        <f>IF(operations[sinceLastOrder]=0,0,operations[orderQuantity] / operations[sinceLastOrder])</f>
        <v>6</v>
      </c>
      <c r="P319" s="9">
        <v>13.55</v>
      </c>
      <c r="Q319" s="7" t="s">
        <v>13</v>
      </c>
      <c r="R319" s="10">
        <f>operations[arrivedDate]-operations[shippedDate]</f>
        <v>12</v>
      </c>
    </row>
    <row r="320" ht="15.75" customHeight="1">
      <c r="A320" s="6">
        <v>10367.0</v>
      </c>
      <c r="B320" s="24">
        <v>44893.0</v>
      </c>
      <c r="C320" s="24">
        <v>44921.0</v>
      </c>
      <c r="D320" s="24">
        <v>44897.0</v>
      </c>
      <c r="E320" s="24">
        <v>44909.0</v>
      </c>
      <c r="F320" s="6">
        <v>65.0</v>
      </c>
      <c r="G320" s="9" t="str">
        <f>VLOOKUP(operations[productID],products[],2,FALSE)</f>
        <v>Louisiana Fiery Hot Pepper Sauce</v>
      </c>
      <c r="H320" s="9" t="str">
        <f>IF(VLOOKUP(operations[productID],products[],7,FALSE)=1,"Discontinued","Current")</f>
        <v>Current</v>
      </c>
      <c r="I320" s="6">
        <f>VLOOKUP(operations[productID],products[],4,FALSE)</f>
        <v>76</v>
      </c>
      <c r="J320" s="6">
        <f>VLOOKUP(operations[productID],products[],5,FALSE)</f>
        <v>0</v>
      </c>
      <c r="K320" s="6">
        <f>VLOOKUP(operations[productID],products[],6,FALSE)</f>
        <v>0</v>
      </c>
      <c r="L320" s="10">
        <f t="array" ref="L320">INDEX('1 orders'!I320:I2156, MATCH(1, ('1 orders'!A320:A2156=A320)*('1 orders'!G320:G2156=F320), 0))
</f>
        <v>15</v>
      </c>
      <c r="M320" s="10">
        <f>IFERROR(__xludf.DUMMYFUNCTION("COUNTUNIQUEIFS($A$2:$A320,$F$2:$F320,F320)"),7.0)</f>
        <v>7</v>
      </c>
      <c r="N320" s="10">
        <f t="shared" si="1"/>
        <v>0</v>
      </c>
      <c r="O320" s="26">
        <f>IF(operations[sinceLastOrder]=0,0,operations[orderQuantity] / operations[sinceLastOrder])</f>
        <v>0</v>
      </c>
      <c r="P320" s="9">
        <v>13.55</v>
      </c>
      <c r="Q320" s="7" t="s">
        <v>13</v>
      </c>
      <c r="R320" s="10">
        <f>operations[arrivedDate]-operations[shippedDate]</f>
        <v>12</v>
      </c>
    </row>
    <row r="321" ht="15.75" customHeight="1">
      <c r="A321" s="6">
        <v>10367.0</v>
      </c>
      <c r="B321" s="24">
        <v>44893.0</v>
      </c>
      <c r="C321" s="24">
        <v>44921.0</v>
      </c>
      <c r="D321" s="24">
        <v>44897.0</v>
      </c>
      <c r="E321" s="24">
        <v>44909.0</v>
      </c>
      <c r="F321" s="6">
        <v>77.0</v>
      </c>
      <c r="G321" s="9" t="str">
        <f>VLOOKUP(operations[productID],products[],2,FALSE)</f>
        <v>Original Frankfurter grüne Soße</v>
      </c>
      <c r="H321" s="9" t="str">
        <f>IF(VLOOKUP(operations[productID],products[],7,FALSE)=1,"Discontinued","Current")</f>
        <v>Current</v>
      </c>
      <c r="I321" s="6">
        <f>VLOOKUP(operations[productID],products[],4,FALSE)</f>
        <v>32</v>
      </c>
      <c r="J321" s="6">
        <f>VLOOKUP(operations[productID],products[],5,FALSE)</f>
        <v>0</v>
      </c>
      <c r="K321" s="6">
        <f>VLOOKUP(operations[productID],products[],6,FALSE)</f>
        <v>15</v>
      </c>
      <c r="L321" s="10">
        <f t="array" ref="L321">INDEX('1 orders'!I321:I2156, MATCH(1, ('1 orders'!A321:A2156=A321)*('1 orders'!G321:G2156=F321), 0))
</f>
        <v>7</v>
      </c>
      <c r="M321" s="10">
        <f>IFERROR(__xludf.DUMMYFUNCTION("COUNTUNIQUEIFS($A$2:$A321,$F$2:$F321,F321)"),5.0)</f>
        <v>5</v>
      </c>
      <c r="N321" s="10">
        <f t="shared" si="1"/>
        <v>0</v>
      </c>
      <c r="O321" s="26">
        <f>IF(operations[sinceLastOrder]=0,0,operations[orderQuantity] / operations[sinceLastOrder])</f>
        <v>0</v>
      </c>
      <c r="P321" s="9">
        <v>13.55</v>
      </c>
      <c r="Q321" s="7" t="s">
        <v>13</v>
      </c>
      <c r="R321" s="10">
        <f>operations[arrivedDate]-operations[shippedDate]</f>
        <v>12</v>
      </c>
    </row>
    <row r="322" ht="15.75" customHeight="1">
      <c r="A322" s="6">
        <v>10368.0</v>
      </c>
      <c r="B322" s="24">
        <v>44894.0</v>
      </c>
      <c r="C322" s="24">
        <v>44922.0</v>
      </c>
      <c r="D322" s="24">
        <v>44897.0</v>
      </c>
      <c r="E322" s="24">
        <v>44909.0</v>
      </c>
      <c r="F322" s="6">
        <v>21.0</v>
      </c>
      <c r="G322" s="9" t="str">
        <f>VLOOKUP(operations[productID],products[],2,FALSE)</f>
        <v>Sir Rodney's Scones</v>
      </c>
      <c r="H322" s="9" t="str">
        <f>IF(VLOOKUP(operations[productID],products[],7,FALSE)=1,"Discontinued","Current")</f>
        <v>Current</v>
      </c>
      <c r="I322" s="6">
        <f>VLOOKUP(operations[productID],products[],4,FALSE)</f>
        <v>3</v>
      </c>
      <c r="J322" s="6">
        <f>VLOOKUP(operations[productID],products[],5,FALSE)</f>
        <v>40</v>
      </c>
      <c r="K322" s="6">
        <f>VLOOKUP(operations[productID],products[],6,FALSE)</f>
        <v>5</v>
      </c>
      <c r="L322" s="10">
        <f t="array" ref="L322">INDEX('1 orders'!I322:I2156, MATCH(1, ('1 orders'!A322:A2156=A322)*('1 orders'!G322:G2156=F322), 0))
</f>
        <v>5</v>
      </c>
      <c r="M322" s="10">
        <f>IFERROR(__xludf.DUMMYFUNCTION("COUNTUNIQUEIFS($A$2:$A322,$F$2:$F322,F322)"),4.0)</f>
        <v>4</v>
      </c>
      <c r="N322" s="10">
        <f t="shared" si="1"/>
        <v>42</v>
      </c>
      <c r="O322" s="26">
        <f>IF(operations[sinceLastOrder]=0,0,operations[orderQuantity] / operations[sinceLastOrder])</f>
        <v>0.119047619</v>
      </c>
      <c r="P322" s="9">
        <v>101.95</v>
      </c>
      <c r="Q322" s="7" t="s">
        <v>17</v>
      </c>
      <c r="R322" s="10">
        <f>operations[arrivedDate]-operations[shippedDate]</f>
        <v>12</v>
      </c>
    </row>
    <row r="323" ht="15.75" customHeight="1">
      <c r="A323" s="6">
        <v>10368.0</v>
      </c>
      <c r="B323" s="24">
        <v>44894.0</v>
      </c>
      <c r="C323" s="24">
        <v>44922.0</v>
      </c>
      <c r="D323" s="24">
        <v>44897.0</v>
      </c>
      <c r="E323" s="24">
        <v>44909.0</v>
      </c>
      <c r="F323" s="6">
        <v>28.0</v>
      </c>
      <c r="G323" s="9" t="str">
        <f>VLOOKUP(operations[productID],products[],2,FALSE)</f>
        <v>Rössle Sauerkraut</v>
      </c>
      <c r="H323" s="9" t="str">
        <f>IF(VLOOKUP(operations[productID],products[],7,FALSE)=1,"Discontinued","Current")</f>
        <v>Discontinued</v>
      </c>
      <c r="I323" s="6">
        <f>VLOOKUP(operations[productID],products[],4,FALSE)</f>
        <v>26</v>
      </c>
      <c r="J323" s="6">
        <f>VLOOKUP(operations[productID],products[],5,FALSE)</f>
        <v>0</v>
      </c>
      <c r="K323" s="6">
        <f>VLOOKUP(operations[productID],products[],6,FALSE)</f>
        <v>0</v>
      </c>
      <c r="L323" s="10">
        <f t="array" ref="L323">INDEX('1 orders'!I323:I2156, MATCH(1, ('1 orders'!A323:A2156=A323)*('1 orders'!G323:G2156=F323), 0))
</f>
        <v>13</v>
      </c>
      <c r="M323" s="10">
        <f>IFERROR(__xludf.DUMMYFUNCTION("COUNTUNIQUEIFS($A$2:$A323,$F$2:$F323,F323)"),6.0)</f>
        <v>6</v>
      </c>
      <c r="N323" s="10">
        <f t="shared" si="1"/>
        <v>7</v>
      </c>
      <c r="O323" s="26">
        <f>IF(operations[sinceLastOrder]=0,0,operations[orderQuantity] / operations[sinceLastOrder])</f>
        <v>1.857142857</v>
      </c>
      <c r="P323" s="9">
        <v>101.95</v>
      </c>
      <c r="Q323" s="7" t="s">
        <v>17</v>
      </c>
      <c r="R323" s="10">
        <f>operations[arrivedDate]-operations[shippedDate]</f>
        <v>12</v>
      </c>
    </row>
    <row r="324" ht="15.75" customHeight="1">
      <c r="A324" s="6">
        <v>10368.0</v>
      </c>
      <c r="B324" s="24">
        <v>44894.0</v>
      </c>
      <c r="C324" s="24">
        <v>44922.0</v>
      </c>
      <c r="D324" s="24">
        <v>44897.0</v>
      </c>
      <c r="E324" s="24">
        <v>44909.0</v>
      </c>
      <c r="F324" s="6">
        <v>57.0</v>
      </c>
      <c r="G324" s="9" t="str">
        <f>VLOOKUP(operations[productID],products[],2,FALSE)</f>
        <v>Ravioli Angelo</v>
      </c>
      <c r="H324" s="9" t="str">
        <f>IF(VLOOKUP(operations[productID],products[],7,FALSE)=1,"Discontinued","Current")</f>
        <v>Current</v>
      </c>
      <c r="I324" s="6">
        <f>VLOOKUP(operations[productID],products[],4,FALSE)</f>
        <v>36</v>
      </c>
      <c r="J324" s="6">
        <f>VLOOKUP(operations[productID],products[],5,FALSE)</f>
        <v>0</v>
      </c>
      <c r="K324" s="6">
        <f>VLOOKUP(operations[productID],products[],6,FALSE)</f>
        <v>20</v>
      </c>
      <c r="L324" s="10">
        <f t="array" ref="L324">INDEX('1 orders'!I324:I2156, MATCH(1, ('1 orders'!A324:A2156=A324)*('1 orders'!G324:G2156=F324), 0))
</f>
        <v>25</v>
      </c>
      <c r="M324" s="10">
        <f>IFERROR(__xludf.DUMMYFUNCTION("COUNTUNIQUEIFS($A$2:$A324,$F$2:$F324,F324)"),6.0)</f>
        <v>6</v>
      </c>
      <c r="N324" s="10">
        <f t="shared" si="1"/>
        <v>14</v>
      </c>
      <c r="O324" s="26">
        <f>IF(operations[sinceLastOrder]=0,0,operations[orderQuantity] / operations[sinceLastOrder])</f>
        <v>1.785714286</v>
      </c>
      <c r="P324" s="9">
        <v>101.95</v>
      </c>
      <c r="Q324" s="7" t="s">
        <v>17</v>
      </c>
      <c r="R324" s="10">
        <f>operations[arrivedDate]-operations[shippedDate]</f>
        <v>12</v>
      </c>
    </row>
    <row r="325" ht="15.75" customHeight="1">
      <c r="A325" s="6">
        <v>10368.0</v>
      </c>
      <c r="B325" s="24">
        <v>44894.0</v>
      </c>
      <c r="C325" s="24">
        <v>44922.0</v>
      </c>
      <c r="D325" s="24">
        <v>44897.0</v>
      </c>
      <c r="E325" s="24">
        <v>44909.0</v>
      </c>
      <c r="F325" s="6">
        <v>64.0</v>
      </c>
      <c r="G325" s="9" t="str">
        <f>VLOOKUP(operations[productID],products[],2,FALSE)</f>
        <v>Lukas' leckere Sauerteigweggla</v>
      </c>
      <c r="H325" s="9" t="str">
        <f>IF(VLOOKUP(operations[productID],products[],7,FALSE)=1,"Discontinued","Current")</f>
        <v>Current</v>
      </c>
      <c r="I325" s="6">
        <f>VLOOKUP(operations[productID],products[],4,FALSE)</f>
        <v>22</v>
      </c>
      <c r="J325" s="6">
        <f>VLOOKUP(operations[productID],products[],5,FALSE)</f>
        <v>80</v>
      </c>
      <c r="K325" s="6">
        <f>VLOOKUP(operations[productID],products[],6,FALSE)</f>
        <v>30</v>
      </c>
      <c r="L325" s="10">
        <f t="array" ref="L325">INDEX('1 orders'!I325:I2156, MATCH(1, ('1 orders'!A325:A2156=A325)*('1 orders'!G325:G2156=F325), 0))
</f>
        <v>35</v>
      </c>
      <c r="M325" s="10">
        <f>IFERROR(__xludf.DUMMYFUNCTION("COUNTUNIQUEIFS($A$2:$A325,$F$2:$F325,F325)"),3.0)</f>
        <v>3</v>
      </c>
      <c r="N325" s="10">
        <f t="shared" si="1"/>
        <v>29</v>
      </c>
      <c r="O325" s="26">
        <f>IF(operations[sinceLastOrder]=0,0,operations[orderQuantity] / operations[sinceLastOrder])</f>
        <v>1.206896552</v>
      </c>
      <c r="P325" s="9">
        <v>101.95</v>
      </c>
      <c r="Q325" s="7" t="s">
        <v>17</v>
      </c>
      <c r="R325" s="10">
        <f>operations[arrivedDate]-operations[shippedDate]</f>
        <v>12</v>
      </c>
    </row>
    <row r="326" ht="15.75" customHeight="1">
      <c r="A326" s="6">
        <v>10369.0</v>
      </c>
      <c r="B326" s="24">
        <v>44897.0</v>
      </c>
      <c r="C326" s="24">
        <v>44925.0</v>
      </c>
      <c r="D326" s="24">
        <v>44904.0</v>
      </c>
      <c r="E326" s="24">
        <v>44919.0</v>
      </c>
      <c r="F326" s="6">
        <v>29.0</v>
      </c>
      <c r="G326" s="9" t="str">
        <f>VLOOKUP(operations[productID],products[],2,FALSE)</f>
        <v>Thüringer Rostbratwurst</v>
      </c>
      <c r="H326" s="9" t="str">
        <f>IF(VLOOKUP(operations[productID],products[],7,FALSE)=1,"Discontinued","Current")</f>
        <v>Discontinued</v>
      </c>
      <c r="I326" s="6">
        <f>VLOOKUP(operations[productID],products[],4,FALSE)</f>
        <v>0</v>
      </c>
      <c r="J326" s="6">
        <f>VLOOKUP(operations[productID],products[],5,FALSE)</f>
        <v>0</v>
      </c>
      <c r="K326" s="6">
        <f>VLOOKUP(operations[productID],products[],6,FALSE)</f>
        <v>0</v>
      </c>
      <c r="L326" s="10">
        <f t="array" ref="L326">INDEX('1 orders'!I326:I2156, MATCH(1, ('1 orders'!A326:A2156=A326)*('1 orders'!G326:G2156=F326), 0))
</f>
        <v>20</v>
      </c>
      <c r="M326" s="10">
        <f>IFERROR(__xludf.DUMMYFUNCTION("COUNTUNIQUEIFS($A$2:$A326,$F$2:$F326,F326)"),6.0)</f>
        <v>6</v>
      </c>
      <c r="N326" s="10">
        <f t="shared" si="1"/>
        <v>10</v>
      </c>
      <c r="O326" s="26">
        <f>IF(operations[sinceLastOrder]=0,0,operations[orderQuantity] / operations[sinceLastOrder])</f>
        <v>2</v>
      </c>
      <c r="P326" s="9">
        <v>195.68</v>
      </c>
      <c r="Q326" s="7" t="s">
        <v>17</v>
      </c>
      <c r="R326" s="10">
        <f>operations[arrivedDate]-operations[shippedDate]</f>
        <v>15</v>
      </c>
    </row>
    <row r="327" ht="15.75" customHeight="1">
      <c r="A327" s="6">
        <v>10369.0</v>
      </c>
      <c r="B327" s="24">
        <v>44897.0</v>
      </c>
      <c r="C327" s="24">
        <v>44925.0</v>
      </c>
      <c r="D327" s="24">
        <v>44904.0</v>
      </c>
      <c r="E327" s="24">
        <v>44919.0</v>
      </c>
      <c r="F327" s="6">
        <v>56.0</v>
      </c>
      <c r="G327" s="9" t="str">
        <f>VLOOKUP(operations[productID],products[],2,FALSE)</f>
        <v>Gnocchi di nonna Alice</v>
      </c>
      <c r="H327" s="9" t="str">
        <f>IF(VLOOKUP(operations[productID],products[],7,FALSE)=1,"Discontinued","Current")</f>
        <v>Current</v>
      </c>
      <c r="I327" s="6">
        <f>VLOOKUP(operations[productID],products[],4,FALSE)</f>
        <v>21</v>
      </c>
      <c r="J327" s="6">
        <f>VLOOKUP(operations[productID],products[],5,FALSE)</f>
        <v>10</v>
      </c>
      <c r="K327" s="6">
        <f>VLOOKUP(operations[productID],products[],6,FALSE)</f>
        <v>30</v>
      </c>
      <c r="L327" s="10">
        <f t="array" ref="L327">INDEX('1 orders'!I327:I2156, MATCH(1, ('1 orders'!A327:A2156=A327)*('1 orders'!G327:G2156=F327), 0))
</f>
        <v>18</v>
      </c>
      <c r="M327" s="10">
        <f>IFERROR(__xludf.DUMMYFUNCTION("COUNTUNIQUEIFS($A$2:$A327,$F$2:$F327,F327)"),6.0)</f>
        <v>6</v>
      </c>
      <c r="N327" s="10">
        <f t="shared" si="1"/>
        <v>27</v>
      </c>
      <c r="O327" s="26">
        <f>IF(operations[sinceLastOrder]=0,0,operations[orderQuantity] / operations[sinceLastOrder])</f>
        <v>0.6666666667</v>
      </c>
      <c r="P327" s="9">
        <v>195.68</v>
      </c>
      <c r="Q327" s="7" t="s">
        <v>17</v>
      </c>
      <c r="R327" s="10">
        <f>operations[arrivedDate]-operations[shippedDate]</f>
        <v>15</v>
      </c>
    </row>
    <row r="328" ht="15.75" customHeight="1">
      <c r="A328" s="6">
        <v>10370.0</v>
      </c>
      <c r="B328" s="24">
        <v>44898.0</v>
      </c>
      <c r="C328" s="24">
        <v>44926.0</v>
      </c>
      <c r="D328" s="24">
        <v>44922.0</v>
      </c>
      <c r="E328" s="24">
        <v>44937.0</v>
      </c>
      <c r="F328" s="6">
        <v>1.0</v>
      </c>
      <c r="G328" s="9" t="str">
        <f>VLOOKUP(operations[productID],products[],2,FALSE)</f>
        <v>Chai</v>
      </c>
      <c r="H328" s="9" t="str">
        <f>IF(VLOOKUP(operations[productID],products[],7,FALSE)=1,"Discontinued","Current")</f>
        <v>Current</v>
      </c>
      <c r="I328" s="6">
        <f>VLOOKUP(operations[productID],products[],4,FALSE)</f>
        <v>39</v>
      </c>
      <c r="J328" s="6">
        <f>VLOOKUP(operations[productID],products[],5,FALSE)</f>
        <v>0</v>
      </c>
      <c r="K328" s="6">
        <f>VLOOKUP(operations[productID],products[],6,FALSE)</f>
        <v>10</v>
      </c>
      <c r="L328" s="10">
        <f t="array" ref="L328">INDEX('1 orders'!I328:I2156, MATCH(1, ('1 orders'!A328:A2156=A328)*('1 orders'!G328:G2156=F328), 0))
</f>
        <v>15</v>
      </c>
      <c r="M328" s="10">
        <f>IFERROR(__xludf.DUMMYFUNCTION("COUNTUNIQUEIFS($A$2:$A328,$F$2:$F328,F328)"),6.0)</f>
        <v>6</v>
      </c>
      <c r="N328" s="10">
        <f t="shared" si="1"/>
        <v>19</v>
      </c>
      <c r="O328" s="26">
        <f>IF(operations[sinceLastOrder]=0,0,operations[orderQuantity] / operations[sinceLastOrder])</f>
        <v>0.7894736842</v>
      </c>
      <c r="P328" s="9">
        <v>1.17</v>
      </c>
      <c r="Q328" s="7" t="s">
        <v>17</v>
      </c>
      <c r="R328" s="10">
        <f>operations[arrivedDate]-operations[shippedDate]</f>
        <v>15</v>
      </c>
    </row>
    <row r="329" ht="15.75" customHeight="1">
      <c r="A329" s="6">
        <v>10370.0</v>
      </c>
      <c r="B329" s="24">
        <v>44898.0</v>
      </c>
      <c r="C329" s="24">
        <v>44926.0</v>
      </c>
      <c r="D329" s="24">
        <v>44922.0</v>
      </c>
      <c r="E329" s="24">
        <v>44937.0</v>
      </c>
      <c r="F329" s="6">
        <v>64.0</v>
      </c>
      <c r="G329" s="9" t="str">
        <f>VLOOKUP(operations[productID],products[],2,FALSE)</f>
        <v>Lukas' leckere Sauerteigweggla</v>
      </c>
      <c r="H329" s="9" t="str">
        <f>IF(VLOOKUP(operations[productID],products[],7,FALSE)=1,"Discontinued","Current")</f>
        <v>Current</v>
      </c>
      <c r="I329" s="6">
        <f>VLOOKUP(operations[productID],products[],4,FALSE)</f>
        <v>22</v>
      </c>
      <c r="J329" s="6">
        <f>VLOOKUP(operations[productID],products[],5,FALSE)</f>
        <v>80</v>
      </c>
      <c r="K329" s="6">
        <f>VLOOKUP(operations[productID],products[],6,FALSE)</f>
        <v>30</v>
      </c>
      <c r="L329" s="10">
        <f t="array" ref="L329">INDEX('1 orders'!I329:I2156, MATCH(1, ('1 orders'!A329:A2156=A329)*('1 orders'!G329:G2156=F329), 0))
</f>
        <v>30</v>
      </c>
      <c r="M329" s="10">
        <f>IFERROR(__xludf.DUMMYFUNCTION("COUNTUNIQUEIFS($A$2:$A329,$F$2:$F329,F329)"),4.0)</f>
        <v>4</v>
      </c>
      <c r="N329" s="10">
        <f t="shared" si="1"/>
        <v>4</v>
      </c>
      <c r="O329" s="26">
        <f>IF(operations[sinceLastOrder]=0,0,operations[orderQuantity] / operations[sinceLastOrder])</f>
        <v>7.5</v>
      </c>
      <c r="P329" s="9">
        <v>1.17</v>
      </c>
      <c r="Q329" s="7" t="s">
        <v>17</v>
      </c>
      <c r="R329" s="10">
        <f>operations[arrivedDate]-operations[shippedDate]</f>
        <v>15</v>
      </c>
    </row>
    <row r="330" ht="15.75" customHeight="1">
      <c r="A330" s="6">
        <v>10370.0</v>
      </c>
      <c r="B330" s="24">
        <v>44898.0</v>
      </c>
      <c r="C330" s="24">
        <v>44926.0</v>
      </c>
      <c r="D330" s="24">
        <v>44922.0</v>
      </c>
      <c r="E330" s="24">
        <v>44937.0</v>
      </c>
      <c r="F330" s="6">
        <v>74.0</v>
      </c>
      <c r="G330" s="9" t="str">
        <f>VLOOKUP(operations[productID],products[],2,FALSE)</f>
        <v>Longlife Tofu</v>
      </c>
      <c r="H330" s="9" t="str">
        <f>IF(VLOOKUP(operations[productID],products[],7,FALSE)=1,"Discontinued","Current")</f>
        <v>Current</v>
      </c>
      <c r="I330" s="6">
        <f>VLOOKUP(operations[productID],products[],4,FALSE)</f>
        <v>4</v>
      </c>
      <c r="J330" s="6">
        <f>VLOOKUP(operations[productID],products[],5,FALSE)</f>
        <v>20</v>
      </c>
      <c r="K330" s="6">
        <f>VLOOKUP(operations[productID],products[],6,FALSE)</f>
        <v>5</v>
      </c>
      <c r="L330" s="10">
        <f t="array" ref="L330">INDEX('1 orders'!I330:I2156, MATCH(1, ('1 orders'!A330:A2156=A330)*('1 orders'!G330:G2156=F330), 0))
</f>
        <v>20</v>
      </c>
      <c r="M330" s="10">
        <f>IFERROR(__xludf.DUMMYFUNCTION("COUNTUNIQUEIFS($A$2:$A330,$F$2:$F330,F330)"),3.0)</f>
        <v>3</v>
      </c>
      <c r="N330" s="10">
        <f t="shared" si="1"/>
        <v>133</v>
      </c>
      <c r="O330" s="26">
        <f>IF(operations[sinceLastOrder]=0,0,operations[orderQuantity] / operations[sinceLastOrder])</f>
        <v>0.1503759398</v>
      </c>
      <c r="P330" s="9">
        <v>1.17</v>
      </c>
      <c r="Q330" s="7" t="s">
        <v>17</v>
      </c>
      <c r="R330" s="10">
        <f>operations[arrivedDate]-operations[shippedDate]</f>
        <v>15</v>
      </c>
    </row>
    <row r="331" ht="15.75" customHeight="1">
      <c r="A331" s="6">
        <v>10371.0</v>
      </c>
      <c r="B331" s="24">
        <v>44898.0</v>
      </c>
      <c r="C331" s="24">
        <v>44926.0</v>
      </c>
      <c r="D331" s="24">
        <v>44919.0</v>
      </c>
      <c r="E331" s="24">
        <v>44923.0</v>
      </c>
      <c r="F331" s="6">
        <v>36.0</v>
      </c>
      <c r="G331" s="9" t="str">
        <f>VLOOKUP(operations[productID],products[],2,FALSE)</f>
        <v>Inlagd Sill</v>
      </c>
      <c r="H331" s="9" t="str">
        <f>IF(VLOOKUP(operations[productID],products[],7,FALSE)=1,"Discontinued","Current")</f>
        <v>Current</v>
      </c>
      <c r="I331" s="6">
        <f>VLOOKUP(operations[productID],products[],4,FALSE)</f>
        <v>112</v>
      </c>
      <c r="J331" s="6">
        <f>VLOOKUP(operations[productID],products[],5,FALSE)</f>
        <v>0</v>
      </c>
      <c r="K331" s="6">
        <f>VLOOKUP(operations[productID],products[],6,FALSE)</f>
        <v>20</v>
      </c>
      <c r="L331" s="10">
        <f t="array" ref="L331">INDEX('1 orders'!I331:I2156, MATCH(1, ('1 orders'!A331:A2156=A331)*('1 orders'!G331:G2156=F331), 0))
</f>
        <v>6</v>
      </c>
      <c r="M331" s="10">
        <f>IFERROR(__xludf.DUMMYFUNCTION("COUNTUNIQUEIFS($A$2:$A331,$F$2:$F331,F331)"),8.0)</f>
        <v>8</v>
      </c>
      <c r="N331" s="10">
        <f t="shared" si="1"/>
        <v>13</v>
      </c>
      <c r="O331" s="26">
        <f>IF(operations[sinceLastOrder]=0,0,operations[orderQuantity] / operations[sinceLastOrder])</f>
        <v>0.4615384615</v>
      </c>
      <c r="P331" s="9">
        <v>0.45</v>
      </c>
      <c r="Q331" s="7" t="s">
        <v>15</v>
      </c>
      <c r="R331" s="10">
        <f>operations[arrivedDate]-operations[shippedDate]</f>
        <v>4</v>
      </c>
    </row>
    <row r="332" ht="15.75" customHeight="1">
      <c r="A332" s="6">
        <v>10372.0</v>
      </c>
      <c r="B332" s="24">
        <v>44899.0</v>
      </c>
      <c r="C332" s="24">
        <v>44927.0</v>
      </c>
      <c r="D332" s="24">
        <v>44904.0</v>
      </c>
      <c r="E332" s="24">
        <v>44923.0</v>
      </c>
      <c r="F332" s="6">
        <v>20.0</v>
      </c>
      <c r="G332" s="9" t="str">
        <f>VLOOKUP(operations[productID],products[],2,FALSE)</f>
        <v>Sir Rodney's Marmalade</v>
      </c>
      <c r="H332" s="9" t="str">
        <f>IF(VLOOKUP(operations[productID],products[],7,FALSE)=1,"Discontinued","Current")</f>
        <v>Current</v>
      </c>
      <c r="I332" s="6">
        <f>VLOOKUP(operations[productID],products[],4,FALSE)</f>
        <v>40</v>
      </c>
      <c r="J332" s="6">
        <f>VLOOKUP(operations[productID],products[],5,FALSE)</f>
        <v>0</v>
      </c>
      <c r="K332" s="6">
        <f>VLOOKUP(operations[productID],products[],6,FALSE)</f>
        <v>0</v>
      </c>
      <c r="L332" s="10">
        <f t="array" ref="L332">INDEX('1 orders'!I332:I2156, MATCH(1, ('1 orders'!A332:A2156=A332)*('1 orders'!G332:G2156=F332), 0))
</f>
        <v>12</v>
      </c>
      <c r="M332" s="10">
        <f>IFERROR(__xludf.DUMMYFUNCTION("COUNTUNIQUEIFS($A$2:$A332,$F$2:$F332,F332)"),4.0)</f>
        <v>4</v>
      </c>
      <c r="N332" s="10">
        <f t="shared" si="1"/>
        <v>98</v>
      </c>
      <c r="O332" s="26">
        <f>IF(operations[sinceLastOrder]=0,0,operations[orderQuantity] / operations[sinceLastOrder])</f>
        <v>0.1224489796</v>
      </c>
      <c r="P332" s="9">
        <v>890.78</v>
      </c>
      <c r="Q332" s="7" t="s">
        <v>17</v>
      </c>
      <c r="R332" s="10">
        <f>operations[arrivedDate]-operations[shippedDate]</f>
        <v>19</v>
      </c>
    </row>
    <row r="333" ht="15.75" customHeight="1">
      <c r="A333" s="6">
        <v>10372.0</v>
      </c>
      <c r="B333" s="24">
        <v>44899.0</v>
      </c>
      <c r="C333" s="24">
        <v>44927.0</v>
      </c>
      <c r="D333" s="24">
        <v>44904.0</v>
      </c>
      <c r="E333" s="24">
        <v>44923.0</v>
      </c>
      <c r="F333" s="6">
        <v>38.0</v>
      </c>
      <c r="G333" s="9" t="str">
        <f>VLOOKUP(operations[productID],products[],2,FALSE)</f>
        <v>Côte de Blaye</v>
      </c>
      <c r="H333" s="9" t="str">
        <f>IF(VLOOKUP(operations[productID],products[],7,FALSE)=1,"Discontinued","Current")</f>
        <v>Current</v>
      </c>
      <c r="I333" s="6">
        <f>VLOOKUP(operations[productID],products[],4,FALSE)</f>
        <v>17</v>
      </c>
      <c r="J333" s="6">
        <f>VLOOKUP(operations[productID],products[],5,FALSE)</f>
        <v>0</v>
      </c>
      <c r="K333" s="6">
        <f>VLOOKUP(operations[productID],products[],6,FALSE)</f>
        <v>15</v>
      </c>
      <c r="L333" s="10">
        <f t="array" ref="L333">INDEX('1 orders'!I333:I2156, MATCH(1, ('1 orders'!A333:A2156=A333)*('1 orders'!G333:G2156=F333), 0))
</f>
        <v>40</v>
      </c>
      <c r="M333" s="10">
        <f>IFERROR(__xludf.DUMMYFUNCTION("COUNTUNIQUEIFS($A$2:$A333,$F$2:$F333,F333)"),5.0)</f>
        <v>5</v>
      </c>
      <c r="N333" s="10">
        <f t="shared" si="1"/>
        <v>12</v>
      </c>
      <c r="O333" s="26">
        <f>IF(operations[sinceLastOrder]=0,0,operations[orderQuantity] / operations[sinceLastOrder])</f>
        <v>3.333333333</v>
      </c>
      <c r="P333" s="9">
        <v>890.78</v>
      </c>
      <c r="Q333" s="7" t="s">
        <v>17</v>
      </c>
      <c r="R333" s="10">
        <f>operations[arrivedDate]-operations[shippedDate]</f>
        <v>19</v>
      </c>
    </row>
    <row r="334" ht="15.75" customHeight="1">
      <c r="A334" s="6">
        <v>10372.0</v>
      </c>
      <c r="B334" s="24">
        <v>44899.0</v>
      </c>
      <c r="C334" s="24">
        <v>44927.0</v>
      </c>
      <c r="D334" s="24">
        <v>44904.0</v>
      </c>
      <c r="E334" s="24">
        <v>44923.0</v>
      </c>
      <c r="F334" s="6">
        <v>60.0</v>
      </c>
      <c r="G334" s="9" t="str">
        <f>VLOOKUP(operations[productID],products[],2,FALSE)</f>
        <v>Camembert Pierrot</v>
      </c>
      <c r="H334" s="9" t="str">
        <f>IF(VLOOKUP(operations[productID],products[],7,FALSE)=1,"Discontinued","Current")</f>
        <v>Current</v>
      </c>
      <c r="I334" s="6">
        <f>VLOOKUP(operations[productID],products[],4,FALSE)</f>
        <v>19</v>
      </c>
      <c r="J334" s="6">
        <f>VLOOKUP(operations[productID],products[],5,FALSE)</f>
        <v>0</v>
      </c>
      <c r="K334" s="6">
        <f>VLOOKUP(operations[productID],products[],6,FALSE)</f>
        <v>0</v>
      </c>
      <c r="L334" s="10">
        <f t="array" ref="L334">INDEX('1 orders'!I334:I2156, MATCH(1, ('1 orders'!A334:A2156=A334)*('1 orders'!G334:G2156=F334), 0))
</f>
        <v>70</v>
      </c>
      <c r="M334" s="10">
        <f>IFERROR(__xludf.DUMMYFUNCTION("COUNTUNIQUEIFS($A$2:$A334,$F$2:$F334,F334)"),8.0)</f>
        <v>8</v>
      </c>
      <c r="N334" s="10">
        <f t="shared" si="1"/>
        <v>12</v>
      </c>
      <c r="O334" s="26">
        <f>IF(operations[sinceLastOrder]=0,0,operations[orderQuantity] / operations[sinceLastOrder])</f>
        <v>5.833333333</v>
      </c>
      <c r="P334" s="9">
        <v>890.78</v>
      </c>
      <c r="Q334" s="7" t="s">
        <v>17</v>
      </c>
      <c r="R334" s="10">
        <f>operations[arrivedDate]-operations[shippedDate]</f>
        <v>19</v>
      </c>
    </row>
    <row r="335" ht="15.75" customHeight="1">
      <c r="A335" s="6">
        <v>10372.0</v>
      </c>
      <c r="B335" s="24">
        <v>44899.0</v>
      </c>
      <c r="C335" s="24">
        <v>44927.0</v>
      </c>
      <c r="D335" s="24">
        <v>44904.0</v>
      </c>
      <c r="E335" s="24">
        <v>44923.0</v>
      </c>
      <c r="F335" s="6">
        <v>72.0</v>
      </c>
      <c r="G335" s="9" t="str">
        <f>VLOOKUP(operations[productID],products[],2,FALSE)</f>
        <v>Mozzarella di Giovanni</v>
      </c>
      <c r="H335" s="9" t="str">
        <f>IF(VLOOKUP(operations[productID],products[],7,FALSE)=1,"Discontinued","Current")</f>
        <v>Current</v>
      </c>
      <c r="I335" s="6">
        <f>VLOOKUP(operations[productID],products[],4,FALSE)</f>
        <v>14</v>
      </c>
      <c r="J335" s="6">
        <f>VLOOKUP(operations[productID],products[],5,FALSE)</f>
        <v>0</v>
      </c>
      <c r="K335" s="6">
        <f>VLOOKUP(operations[productID],products[],6,FALSE)</f>
        <v>0</v>
      </c>
      <c r="L335" s="10">
        <f t="array" ref="L335">INDEX('1 orders'!I335:I2156, MATCH(1, ('1 orders'!A335:A2156=A335)*('1 orders'!G335:G2156=F335), 0))
</f>
        <v>42</v>
      </c>
      <c r="M335" s="10">
        <f>IFERROR(__xludf.DUMMYFUNCTION("COUNTUNIQUEIFS($A$2:$A335,$F$2:$F335,F335)"),11.0)</f>
        <v>11</v>
      </c>
      <c r="N335" s="10">
        <f t="shared" si="1"/>
        <v>41</v>
      </c>
      <c r="O335" s="26">
        <f>IF(operations[sinceLastOrder]=0,0,operations[orderQuantity] / operations[sinceLastOrder])</f>
        <v>1.024390244</v>
      </c>
      <c r="P335" s="9">
        <v>890.78</v>
      </c>
      <c r="Q335" s="7" t="s">
        <v>17</v>
      </c>
      <c r="R335" s="10">
        <f>operations[arrivedDate]-operations[shippedDate]</f>
        <v>19</v>
      </c>
    </row>
    <row r="336" ht="15.75" customHeight="1">
      <c r="A336" s="6">
        <v>10373.0</v>
      </c>
      <c r="B336" s="24">
        <v>44900.0</v>
      </c>
      <c r="C336" s="24">
        <v>44928.0</v>
      </c>
      <c r="D336" s="24">
        <v>44906.0</v>
      </c>
      <c r="E336" s="24">
        <v>44919.0</v>
      </c>
      <c r="F336" s="6">
        <v>58.0</v>
      </c>
      <c r="G336" s="9" t="str">
        <f>VLOOKUP(operations[productID],products[],2,FALSE)</f>
        <v>Escargots de Bourgogne</v>
      </c>
      <c r="H336" s="9" t="str">
        <f>IF(VLOOKUP(operations[productID],products[],7,FALSE)=1,"Discontinued","Current")</f>
        <v>Current</v>
      </c>
      <c r="I336" s="6">
        <f>VLOOKUP(operations[productID],products[],4,FALSE)</f>
        <v>62</v>
      </c>
      <c r="J336" s="6">
        <f>VLOOKUP(operations[productID],products[],5,FALSE)</f>
        <v>0</v>
      </c>
      <c r="K336" s="6">
        <f>VLOOKUP(operations[productID],products[],6,FALSE)</f>
        <v>20</v>
      </c>
      <c r="L336" s="10">
        <f t="array" ref="L336">INDEX('1 orders'!I336:I2156, MATCH(1, ('1 orders'!A336:A2156=A336)*('1 orders'!G336:G2156=F336), 0))
</f>
        <v>80</v>
      </c>
      <c r="M336" s="10">
        <f>IFERROR(__xludf.DUMMYFUNCTION("COUNTUNIQUEIFS($A$2:$A336,$F$2:$F336,F336)"),3.0)</f>
        <v>3</v>
      </c>
      <c r="N336" s="10">
        <f t="shared" si="1"/>
        <v>55</v>
      </c>
      <c r="O336" s="26">
        <f>IF(operations[sinceLastOrder]=0,0,operations[orderQuantity] / operations[sinceLastOrder])</f>
        <v>1.454545455</v>
      </c>
      <c r="P336" s="9">
        <v>124.12</v>
      </c>
      <c r="Q336" s="7" t="s">
        <v>13</v>
      </c>
      <c r="R336" s="10">
        <f>operations[arrivedDate]-operations[shippedDate]</f>
        <v>13</v>
      </c>
    </row>
    <row r="337" ht="15.75" customHeight="1">
      <c r="A337" s="6">
        <v>10373.0</v>
      </c>
      <c r="B337" s="24">
        <v>44900.0</v>
      </c>
      <c r="C337" s="24">
        <v>44928.0</v>
      </c>
      <c r="D337" s="24">
        <v>44906.0</v>
      </c>
      <c r="E337" s="24">
        <v>44919.0</v>
      </c>
      <c r="F337" s="6">
        <v>71.0</v>
      </c>
      <c r="G337" s="9" t="str">
        <f>VLOOKUP(operations[productID],products[],2,FALSE)</f>
        <v>Flotemysost</v>
      </c>
      <c r="H337" s="9" t="str">
        <f>IF(VLOOKUP(operations[productID],products[],7,FALSE)=1,"Discontinued","Current")</f>
        <v>Current</v>
      </c>
      <c r="I337" s="6">
        <f>VLOOKUP(operations[productID],products[],4,FALSE)</f>
        <v>26</v>
      </c>
      <c r="J337" s="6">
        <f>VLOOKUP(operations[productID],products[],5,FALSE)</f>
        <v>0</v>
      </c>
      <c r="K337" s="6">
        <f>VLOOKUP(operations[productID],products[],6,FALSE)</f>
        <v>0</v>
      </c>
      <c r="L337" s="10">
        <f t="array" ref="L337">INDEX('1 orders'!I337:I2156, MATCH(1, ('1 orders'!A337:A2156=A337)*('1 orders'!G337:G2156=F337), 0))
</f>
        <v>50</v>
      </c>
      <c r="M337" s="10">
        <f>IFERROR(__xludf.DUMMYFUNCTION("COUNTUNIQUEIFS($A$2:$A337,$F$2:$F337,F337)"),7.0)</f>
        <v>7</v>
      </c>
      <c r="N337" s="10">
        <f t="shared" si="1"/>
        <v>9</v>
      </c>
      <c r="O337" s="26">
        <f>IF(operations[sinceLastOrder]=0,0,operations[orderQuantity] / operations[sinceLastOrder])</f>
        <v>5.555555556</v>
      </c>
      <c r="P337" s="9">
        <v>124.12</v>
      </c>
      <c r="Q337" s="7" t="s">
        <v>13</v>
      </c>
      <c r="R337" s="10">
        <f>operations[arrivedDate]-operations[shippedDate]</f>
        <v>13</v>
      </c>
    </row>
    <row r="338" ht="15.75" customHeight="1">
      <c r="A338" s="6">
        <v>10374.0</v>
      </c>
      <c r="B338" s="24">
        <v>44900.0</v>
      </c>
      <c r="C338" s="24">
        <v>44928.0</v>
      </c>
      <c r="D338" s="24">
        <v>44904.0</v>
      </c>
      <c r="E338" s="24">
        <v>44914.0</v>
      </c>
      <c r="F338" s="6">
        <v>31.0</v>
      </c>
      <c r="G338" s="9" t="str">
        <f>VLOOKUP(operations[productID],products[],2,FALSE)</f>
        <v>Gorgonzola Telino</v>
      </c>
      <c r="H338" s="9" t="str">
        <f>IF(VLOOKUP(operations[productID],products[],7,FALSE)=1,"Discontinued","Current")</f>
        <v>Current</v>
      </c>
      <c r="I338" s="6">
        <f>VLOOKUP(operations[productID],products[],4,FALSE)</f>
        <v>0</v>
      </c>
      <c r="J338" s="6">
        <f>VLOOKUP(operations[productID],products[],5,FALSE)</f>
        <v>70</v>
      </c>
      <c r="K338" s="6">
        <f>VLOOKUP(operations[productID],products[],6,FALSE)</f>
        <v>20</v>
      </c>
      <c r="L338" s="10">
        <f t="array" ref="L338">INDEX('1 orders'!I338:I2156, MATCH(1, ('1 orders'!A338:A2156=A338)*('1 orders'!G338:G2156=F338), 0))
</f>
        <v>30</v>
      </c>
      <c r="M338" s="10">
        <f>IFERROR(__xludf.DUMMYFUNCTION("COUNTUNIQUEIFS($A$2:$A338,$F$2:$F338,F338)"),10.0)</f>
        <v>10</v>
      </c>
      <c r="N338" s="10">
        <f t="shared" si="1"/>
        <v>9</v>
      </c>
      <c r="O338" s="26">
        <f>IF(operations[sinceLastOrder]=0,0,operations[orderQuantity] / operations[sinceLastOrder])</f>
        <v>3.333333333</v>
      </c>
      <c r="P338" s="9">
        <v>3.94</v>
      </c>
      <c r="Q338" s="7" t="s">
        <v>13</v>
      </c>
      <c r="R338" s="10">
        <f>operations[arrivedDate]-operations[shippedDate]</f>
        <v>10</v>
      </c>
    </row>
    <row r="339" ht="15.75" customHeight="1">
      <c r="A339" s="6">
        <v>10374.0</v>
      </c>
      <c r="B339" s="24">
        <v>44900.0</v>
      </c>
      <c r="C339" s="24">
        <v>44928.0</v>
      </c>
      <c r="D339" s="24">
        <v>44904.0</v>
      </c>
      <c r="E339" s="24">
        <v>44914.0</v>
      </c>
      <c r="F339" s="6">
        <v>58.0</v>
      </c>
      <c r="G339" s="9" t="str">
        <f>VLOOKUP(operations[productID],products[],2,FALSE)</f>
        <v>Escargots de Bourgogne</v>
      </c>
      <c r="H339" s="9" t="str">
        <f>IF(VLOOKUP(operations[productID],products[],7,FALSE)=1,"Discontinued","Current")</f>
        <v>Current</v>
      </c>
      <c r="I339" s="6">
        <f>VLOOKUP(operations[productID],products[],4,FALSE)</f>
        <v>62</v>
      </c>
      <c r="J339" s="6">
        <f>VLOOKUP(operations[productID],products[],5,FALSE)</f>
        <v>0</v>
      </c>
      <c r="K339" s="6">
        <f>VLOOKUP(operations[productID],products[],6,FALSE)</f>
        <v>20</v>
      </c>
      <c r="L339" s="10">
        <f t="array" ref="L339">INDEX('1 orders'!I339:I2156, MATCH(1, ('1 orders'!A339:A2156=A339)*('1 orders'!G339:G2156=F339), 0))
</f>
        <v>15</v>
      </c>
      <c r="M339" s="10">
        <f>IFERROR(__xludf.DUMMYFUNCTION("COUNTUNIQUEIFS($A$2:$A339,$F$2:$F339,F339)"),4.0)</f>
        <v>4</v>
      </c>
      <c r="N339" s="10">
        <f t="shared" si="1"/>
        <v>0</v>
      </c>
      <c r="O339" s="26">
        <f>IF(operations[sinceLastOrder]=0,0,operations[orderQuantity] / operations[sinceLastOrder])</f>
        <v>0</v>
      </c>
      <c r="P339" s="9">
        <v>3.94</v>
      </c>
      <c r="Q339" s="7" t="s">
        <v>13</v>
      </c>
      <c r="R339" s="10">
        <f>operations[arrivedDate]-operations[shippedDate]</f>
        <v>10</v>
      </c>
    </row>
    <row r="340" ht="15.75" customHeight="1">
      <c r="A340" s="6">
        <v>10375.0</v>
      </c>
      <c r="B340" s="24">
        <v>44901.0</v>
      </c>
      <c r="C340" s="24">
        <v>44929.0</v>
      </c>
      <c r="D340" s="24">
        <v>44904.0</v>
      </c>
      <c r="E340" s="24">
        <v>44921.0</v>
      </c>
      <c r="F340" s="6">
        <v>14.0</v>
      </c>
      <c r="G340" s="9" t="str">
        <f>VLOOKUP(operations[productID],products[],2,FALSE)</f>
        <v>Tofu</v>
      </c>
      <c r="H340" s="9" t="str">
        <f>IF(VLOOKUP(operations[productID],products[],7,FALSE)=1,"Discontinued","Current")</f>
        <v>Current</v>
      </c>
      <c r="I340" s="6">
        <f>VLOOKUP(operations[productID],products[],4,FALSE)</f>
        <v>35</v>
      </c>
      <c r="J340" s="6">
        <f>VLOOKUP(operations[productID],products[],5,FALSE)</f>
        <v>0</v>
      </c>
      <c r="K340" s="6">
        <f>VLOOKUP(operations[productID],products[],6,FALSE)</f>
        <v>0</v>
      </c>
      <c r="L340" s="10">
        <f t="array" ref="L340">INDEX('1 orders'!I340:I2156, MATCH(1, ('1 orders'!A340:A2156=A340)*('1 orders'!G340:G2156=F340), 0))
</f>
        <v>15</v>
      </c>
      <c r="M340" s="10">
        <f>IFERROR(__xludf.DUMMYFUNCTION("COUNTUNIQUEIFS($A$2:$A340,$F$2:$F340,F340)"),4.0)</f>
        <v>4</v>
      </c>
      <c r="N340" s="10">
        <f t="shared" si="1"/>
        <v>49</v>
      </c>
      <c r="O340" s="26">
        <f>IF(operations[sinceLastOrder]=0,0,operations[orderQuantity] / operations[sinceLastOrder])</f>
        <v>0.306122449</v>
      </c>
      <c r="P340" s="9">
        <v>20.12</v>
      </c>
      <c r="Q340" s="7" t="s">
        <v>17</v>
      </c>
      <c r="R340" s="10">
        <f>operations[arrivedDate]-operations[shippedDate]</f>
        <v>17</v>
      </c>
    </row>
    <row r="341" ht="15.75" customHeight="1">
      <c r="A341" s="6">
        <v>10375.0</v>
      </c>
      <c r="B341" s="24">
        <v>44901.0</v>
      </c>
      <c r="C341" s="24">
        <v>44929.0</v>
      </c>
      <c r="D341" s="24">
        <v>44904.0</v>
      </c>
      <c r="E341" s="24">
        <v>44921.0</v>
      </c>
      <c r="F341" s="6">
        <v>54.0</v>
      </c>
      <c r="G341" s="9" t="str">
        <f>VLOOKUP(operations[productID],products[],2,FALSE)</f>
        <v>Tourtière</v>
      </c>
      <c r="H341" s="9" t="str">
        <f>IF(VLOOKUP(operations[productID],products[],7,FALSE)=1,"Discontinued","Current")</f>
        <v>Current</v>
      </c>
      <c r="I341" s="6">
        <f>VLOOKUP(operations[productID],products[],4,FALSE)</f>
        <v>21</v>
      </c>
      <c r="J341" s="6">
        <f>VLOOKUP(operations[productID],products[],5,FALSE)</f>
        <v>0</v>
      </c>
      <c r="K341" s="6">
        <f>VLOOKUP(operations[productID],products[],6,FALSE)</f>
        <v>10</v>
      </c>
      <c r="L341" s="10">
        <f t="array" ref="L341">INDEX('1 orders'!I341:I2156, MATCH(1, ('1 orders'!A341:A2156=A341)*('1 orders'!G341:G2156=F341), 0))
</f>
        <v>10</v>
      </c>
      <c r="M341" s="10">
        <f>IFERROR(__xludf.DUMMYFUNCTION("COUNTUNIQUEIFS($A$2:$A341,$F$2:$F341,F341)"),9.0)</f>
        <v>9</v>
      </c>
      <c r="N341" s="10">
        <f t="shared" si="1"/>
        <v>8</v>
      </c>
      <c r="O341" s="26">
        <f>IF(operations[sinceLastOrder]=0,0,operations[orderQuantity] / operations[sinceLastOrder])</f>
        <v>1.25</v>
      </c>
      <c r="P341" s="9">
        <v>20.12</v>
      </c>
      <c r="Q341" s="7" t="s">
        <v>17</v>
      </c>
      <c r="R341" s="10">
        <f>operations[arrivedDate]-operations[shippedDate]</f>
        <v>17</v>
      </c>
    </row>
    <row r="342" ht="15.75" customHeight="1">
      <c r="A342" s="6">
        <v>10376.0</v>
      </c>
      <c r="B342" s="24">
        <v>44904.0</v>
      </c>
      <c r="C342" s="24">
        <v>44932.0</v>
      </c>
      <c r="D342" s="24">
        <v>44908.0</v>
      </c>
      <c r="E342" s="24">
        <v>44921.0</v>
      </c>
      <c r="F342" s="6">
        <v>31.0</v>
      </c>
      <c r="G342" s="9" t="str">
        <f>VLOOKUP(operations[productID],products[],2,FALSE)</f>
        <v>Gorgonzola Telino</v>
      </c>
      <c r="H342" s="9" t="str">
        <f>IF(VLOOKUP(operations[productID],products[],7,FALSE)=1,"Discontinued","Current")</f>
        <v>Current</v>
      </c>
      <c r="I342" s="6">
        <f>VLOOKUP(operations[productID],products[],4,FALSE)</f>
        <v>0</v>
      </c>
      <c r="J342" s="6">
        <f>VLOOKUP(operations[productID],products[],5,FALSE)</f>
        <v>70</v>
      </c>
      <c r="K342" s="6">
        <f>VLOOKUP(operations[productID],products[],6,FALSE)</f>
        <v>20</v>
      </c>
      <c r="L342" s="10">
        <f t="array" ref="L342">INDEX('1 orders'!I342:I2156, MATCH(1, ('1 orders'!A342:A2156=A342)*('1 orders'!G342:G2156=F342), 0))
</f>
        <v>42</v>
      </c>
      <c r="M342" s="10">
        <f>IFERROR(__xludf.DUMMYFUNCTION("COUNTUNIQUEIFS($A$2:$A342,$F$2:$F342,F342)"),11.0)</f>
        <v>11</v>
      </c>
      <c r="N342" s="10">
        <f t="shared" si="1"/>
        <v>4</v>
      </c>
      <c r="O342" s="26">
        <f>IF(operations[sinceLastOrder]=0,0,operations[orderQuantity] / operations[sinceLastOrder])</f>
        <v>10.5</v>
      </c>
      <c r="P342" s="9">
        <v>20.39</v>
      </c>
      <c r="Q342" s="7" t="s">
        <v>17</v>
      </c>
      <c r="R342" s="10">
        <f>operations[arrivedDate]-operations[shippedDate]</f>
        <v>13</v>
      </c>
    </row>
    <row r="343" ht="15.75" customHeight="1">
      <c r="A343" s="6">
        <v>10377.0</v>
      </c>
      <c r="B343" s="24">
        <v>44904.0</v>
      </c>
      <c r="C343" s="24">
        <v>44932.0</v>
      </c>
      <c r="D343" s="24">
        <v>44908.0</v>
      </c>
      <c r="E343" s="24">
        <v>44917.0</v>
      </c>
      <c r="F343" s="6">
        <v>28.0</v>
      </c>
      <c r="G343" s="9" t="str">
        <f>VLOOKUP(operations[productID],products[],2,FALSE)</f>
        <v>Rössle Sauerkraut</v>
      </c>
      <c r="H343" s="9" t="str">
        <f>IF(VLOOKUP(operations[productID],products[],7,FALSE)=1,"Discontinued","Current")</f>
        <v>Discontinued</v>
      </c>
      <c r="I343" s="6">
        <f>VLOOKUP(operations[productID],products[],4,FALSE)</f>
        <v>26</v>
      </c>
      <c r="J343" s="6">
        <f>VLOOKUP(operations[productID],products[],5,FALSE)</f>
        <v>0</v>
      </c>
      <c r="K343" s="6">
        <f>VLOOKUP(operations[productID],products[],6,FALSE)</f>
        <v>0</v>
      </c>
      <c r="L343" s="10">
        <f t="array" ref="L343">INDEX('1 orders'!I343:I2156, MATCH(1, ('1 orders'!A343:A2156=A343)*('1 orders'!G343:G2156=F343), 0))
</f>
        <v>20</v>
      </c>
      <c r="M343" s="10">
        <f>IFERROR(__xludf.DUMMYFUNCTION("COUNTUNIQUEIFS($A$2:$A343,$F$2:$F343,F343)"),7.0)</f>
        <v>7</v>
      </c>
      <c r="N343" s="10">
        <f t="shared" si="1"/>
        <v>10</v>
      </c>
      <c r="O343" s="26">
        <f>IF(operations[sinceLastOrder]=0,0,operations[orderQuantity] / operations[sinceLastOrder])</f>
        <v>2</v>
      </c>
      <c r="P343" s="9">
        <v>22.21</v>
      </c>
      <c r="Q343" s="7" t="s">
        <v>13</v>
      </c>
      <c r="R343" s="10">
        <f>operations[arrivedDate]-operations[shippedDate]</f>
        <v>9</v>
      </c>
    </row>
    <row r="344" ht="15.75" customHeight="1">
      <c r="A344" s="6">
        <v>10377.0</v>
      </c>
      <c r="B344" s="24">
        <v>44904.0</v>
      </c>
      <c r="C344" s="24">
        <v>44932.0</v>
      </c>
      <c r="D344" s="24">
        <v>44908.0</v>
      </c>
      <c r="E344" s="24">
        <v>44917.0</v>
      </c>
      <c r="F344" s="6">
        <v>39.0</v>
      </c>
      <c r="G344" s="9" t="str">
        <f>VLOOKUP(operations[productID],products[],2,FALSE)</f>
        <v>Chartreuse verte</v>
      </c>
      <c r="H344" s="9" t="str">
        <f>IF(VLOOKUP(operations[productID],products[],7,FALSE)=1,"Discontinued","Current")</f>
        <v>Current</v>
      </c>
      <c r="I344" s="6">
        <f>VLOOKUP(operations[productID],products[],4,FALSE)</f>
        <v>69</v>
      </c>
      <c r="J344" s="6">
        <f>VLOOKUP(operations[productID],products[],5,FALSE)</f>
        <v>0</v>
      </c>
      <c r="K344" s="6">
        <f>VLOOKUP(operations[productID],products[],6,FALSE)</f>
        <v>5</v>
      </c>
      <c r="L344" s="10">
        <f t="array" ref="L344">INDEX('1 orders'!I344:I2156, MATCH(1, ('1 orders'!A344:A2156=A344)*('1 orders'!G344:G2156=F344), 0))
</f>
        <v>20</v>
      </c>
      <c r="M344" s="10">
        <f>IFERROR(__xludf.DUMMYFUNCTION("COUNTUNIQUEIFS($A$2:$A344,$F$2:$F344,F344)"),8.0)</f>
        <v>8</v>
      </c>
      <c r="N344" s="10">
        <f t="shared" si="1"/>
        <v>17</v>
      </c>
      <c r="O344" s="26">
        <f>IF(operations[sinceLastOrder]=0,0,operations[orderQuantity] / operations[sinceLastOrder])</f>
        <v>1.176470588</v>
      </c>
      <c r="P344" s="9">
        <v>22.21</v>
      </c>
      <c r="Q344" s="7" t="s">
        <v>13</v>
      </c>
      <c r="R344" s="10">
        <f>operations[arrivedDate]-operations[shippedDate]</f>
        <v>9</v>
      </c>
    </row>
    <row r="345" ht="15.75" customHeight="1">
      <c r="A345" s="6">
        <v>10378.0</v>
      </c>
      <c r="B345" s="24">
        <v>44905.0</v>
      </c>
      <c r="C345" s="24">
        <v>44933.0</v>
      </c>
      <c r="D345" s="24">
        <v>44914.0</v>
      </c>
      <c r="E345" s="24">
        <v>44926.0</v>
      </c>
      <c r="F345" s="6">
        <v>71.0</v>
      </c>
      <c r="G345" s="9" t="str">
        <f>VLOOKUP(operations[productID],products[],2,FALSE)</f>
        <v>Flotemysost</v>
      </c>
      <c r="H345" s="9" t="str">
        <f>IF(VLOOKUP(operations[productID],products[],7,FALSE)=1,"Discontinued","Current")</f>
        <v>Current</v>
      </c>
      <c r="I345" s="6">
        <f>VLOOKUP(operations[productID],products[],4,FALSE)</f>
        <v>26</v>
      </c>
      <c r="J345" s="6">
        <f>VLOOKUP(operations[productID],products[],5,FALSE)</f>
        <v>0</v>
      </c>
      <c r="K345" s="6">
        <f>VLOOKUP(operations[productID],products[],6,FALSE)</f>
        <v>0</v>
      </c>
      <c r="L345" s="10">
        <f t="array" ref="L345">INDEX('1 orders'!I345:I2156, MATCH(1, ('1 orders'!A345:A2156=A345)*('1 orders'!G345:G2156=F345), 0))
</f>
        <v>6</v>
      </c>
      <c r="M345" s="10">
        <f>IFERROR(__xludf.DUMMYFUNCTION("COUNTUNIQUEIFS($A$2:$A345,$F$2:$F345,F345)"),8.0)</f>
        <v>8</v>
      </c>
      <c r="N345" s="10">
        <f t="shared" si="1"/>
        <v>5</v>
      </c>
      <c r="O345" s="26">
        <f>IF(operations[sinceLastOrder]=0,0,operations[orderQuantity] / operations[sinceLastOrder])</f>
        <v>1.2</v>
      </c>
      <c r="P345" s="9">
        <v>5.44</v>
      </c>
      <c r="Q345" s="7" t="s">
        <v>13</v>
      </c>
      <c r="R345" s="10">
        <f>operations[arrivedDate]-operations[shippedDate]</f>
        <v>12</v>
      </c>
    </row>
    <row r="346" ht="15.75" customHeight="1">
      <c r="A346" s="6">
        <v>10379.0</v>
      </c>
      <c r="B346" s="24">
        <v>44906.0</v>
      </c>
      <c r="C346" s="24">
        <v>44934.0</v>
      </c>
      <c r="D346" s="24">
        <v>44908.0</v>
      </c>
      <c r="E346" s="24">
        <v>44922.0</v>
      </c>
      <c r="F346" s="6">
        <v>41.0</v>
      </c>
      <c r="G346" s="9" t="str">
        <f>VLOOKUP(operations[productID],products[],2,FALSE)</f>
        <v>Jack's New England Clam Chowder</v>
      </c>
      <c r="H346" s="9" t="str">
        <f>IF(VLOOKUP(operations[productID],products[],7,FALSE)=1,"Discontinued","Current")</f>
        <v>Current</v>
      </c>
      <c r="I346" s="6">
        <f>VLOOKUP(operations[productID],products[],4,FALSE)</f>
        <v>85</v>
      </c>
      <c r="J346" s="6">
        <f>VLOOKUP(operations[productID],products[],5,FALSE)</f>
        <v>0</v>
      </c>
      <c r="K346" s="6">
        <f>VLOOKUP(operations[productID],products[],6,FALSE)</f>
        <v>10</v>
      </c>
      <c r="L346" s="10">
        <f t="array" ref="L346">INDEX('1 orders'!I346:I2156, MATCH(1, ('1 orders'!A346:A2156=A346)*('1 orders'!G346:G2156=F346), 0))
</f>
        <v>8</v>
      </c>
      <c r="M346" s="10">
        <f>IFERROR(__xludf.DUMMYFUNCTION("COUNTUNIQUEIFS($A$2:$A346,$F$2:$F346,F346)"),8.0)</f>
        <v>8</v>
      </c>
      <c r="N346" s="10">
        <f t="shared" si="1"/>
        <v>30</v>
      </c>
      <c r="O346" s="26">
        <f>IF(operations[sinceLastOrder]=0,0,operations[orderQuantity] / operations[sinceLastOrder])</f>
        <v>0.2666666667</v>
      </c>
      <c r="P346" s="9">
        <v>45.03</v>
      </c>
      <c r="Q346" s="7" t="s">
        <v>15</v>
      </c>
      <c r="R346" s="10">
        <f>operations[arrivedDate]-operations[shippedDate]</f>
        <v>14</v>
      </c>
    </row>
    <row r="347" ht="15.75" customHeight="1">
      <c r="A347" s="6">
        <v>10379.0</v>
      </c>
      <c r="B347" s="24">
        <v>44906.0</v>
      </c>
      <c r="C347" s="24">
        <v>44934.0</v>
      </c>
      <c r="D347" s="24">
        <v>44908.0</v>
      </c>
      <c r="E347" s="24">
        <v>44922.0</v>
      </c>
      <c r="F347" s="6">
        <v>63.0</v>
      </c>
      <c r="G347" s="9" t="str">
        <f>VLOOKUP(operations[productID],products[],2,FALSE)</f>
        <v>Vegie-spread</v>
      </c>
      <c r="H347" s="9" t="str">
        <f>IF(VLOOKUP(operations[productID],products[],7,FALSE)=1,"Discontinued","Current")</f>
        <v>Current</v>
      </c>
      <c r="I347" s="6">
        <f>VLOOKUP(operations[productID],products[],4,FALSE)</f>
        <v>24</v>
      </c>
      <c r="J347" s="6">
        <f>VLOOKUP(operations[productID],products[],5,FALSE)</f>
        <v>0</v>
      </c>
      <c r="K347" s="6">
        <f>VLOOKUP(operations[productID],products[],6,FALSE)</f>
        <v>5</v>
      </c>
      <c r="L347" s="10">
        <f t="array" ref="L347">INDEX('1 orders'!I347:I2156, MATCH(1, ('1 orders'!A347:A2156=A347)*('1 orders'!G347:G2156=F347), 0))
</f>
        <v>16</v>
      </c>
      <c r="M347" s="10">
        <f>IFERROR(__xludf.DUMMYFUNCTION("COUNTUNIQUEIFS($A$2:$A347,$F$2:$F347,F347)"),4.0)</f>
        <v>4</v>
      </c>
      <c r="N347" s="10">
        <f t="shared" si="1"/>
        <v>64</v>
      </c>
      <c r="O347" s="26">
        <f>IF(operations[sinceLastOrder]=0,0,operations[orderQuantity] / operations[sinceLastOrder])</f>
        <v>0.25</v>
      </c>
      <c r="P347" s="9">
        <v>45.03</v>
      </c>
      <c r="Q347" s="7" t="s">
        <v>15</v>
      </c>
      <c r="R347" s="10">
        <f>operations[arrivedDate]-operations[shippedDate]</f>
        <v>14</v>
      </c>
    </row>
    <row r="348" ht="15.75" customHeight="1">
      <c r="A348" s="6">
        <v>10379.0</v>
      </c>
      <c r="B348" s="24">
        <v>44906.0</v>
      </c>
      <c r="C348" s="24">
        <v>44934.0</v>
      </c>
      <c r="D348" s="24">
        <v>44908.0</v>
      </c>
      <c r="E348" s="24">
        <v>44922.0</v>
      </c>
      <c r="F348" s="6">
        <v>65.0</v>
      </c>
      <c r="G348" s="9" t="str">
        <f>VLOOKUP(operations[productID],products[],2,FALSE)</f>
        <v>Louisiana Fiery Hot Pepper Sauce</v>
      </c>
      <c r="H348" s="9" t="str">
        <f>IF(VLOOKUP(operations[productID],products[],7,FALSE)=1,"Discontinued","Current")</f>
        <v>Current</v>
      </c>
      <c r="I348" s="6">
        <f>VLOOKUP(operations[productID],products[],4,FALSE)</f>
        <v>76</v>
      </c>
      <c r="J348" s="6">
        <f>VLOOKUP(operations[productID],products[],5,FALSE)</f>
        <v>0</v>
      </c>
      <c r="K348" s="6">
        <f>VLOOKUP(operations[productID],products[],6,FALSE)</f>
        <v>0</v>
      </c>
      <c r="L348" s="10">
        <f t="array" ref="L348">INDEX('1 orders'!I348:I2156, MATCH(1, ('1 orders'!A348:A2156=A348)*('1 orders'!G348:G2156=F348), 0))
</f>
        <v>20</v>
      </c>
      <c r="M348" s="10">
        <f>IFERROR(__xludf.DUMMYFUNCTION("COUNTUNIQUEIFS($A$2:$A348,$F$2:$F348,F348)"),8.0)</f>
        <v>8</v>
      </c>
      <c r="N348" s="10">
        <f t="shared" si="1"/>
        <v>13</v>
      </c>
      <c r="O348" s="26">
        <f>IF(operations[sinceLastOrder]=0,0,operations[orderQuantity] / operations[sinceLastOrder])</f>
        <v>1.538461538</v>
      </c>
      <c r="P348" s="9">
        <v>45.03</v>
      </c>
      <c r="Q348" s="7" t="s">
        <v>15</v>
      </c>
      <c r="R348" s="10">
        <f>operations[arrivedDate]-operations[shippedDate]</f>
        <v>14</v>
      </c>
    </row>
    <row r="349" ht="15.75" customHeight="1">
      <c r="A349" s="6">
        <v>10380.0</v>
      </c>
      <c r="B349" s="24">
        <v>44907.0</v>
      </c>
      <c r="C349" s="24">
        <v>44935.0</v>
      </c>
      <c r="D349" s="24">
        <v>44942.0</v>
      </c>
      <c r="E349" s="24">
        <v>44955.0</v>
      </c>
      <c r="F349" s="6">
        <v>30.0</v>
      </c>
      <c r="G349" s="9" t="str">
        <f>VLOOKUP(operations[productID],products[],2,FALSE)</f>
        <v>Nord-Ost Matjeshering</v>
      </c>
      <c r="H349" s="9" t="str">
        <f>IF(VLOOKUP(operations[productID],products[],7,FALSE)=1,"Discontinued","Current")</f>
        <v>Current</v>
      </c>
      <c r="I349" s="6">
        <f>VLOOKUP(operations[productID],products[],4,FALSE)</f>
        <v>10</v>
      </c>
      <c r="J349" s="6">
        <f>VLOOKUP(operations[productID],products[],5,FALSE)</f>
        <v>0</v>
      </c>
      <c r="K349" s="6">
        <f>VLOOKUP(operations[productID],products[],6,FALSE)</f>
        <v>15</v>
      </c>
      <c r="L349" s="10">
        <f t="array" ref="L349">INDEX('1 orders'!I349:I2156, MATCH(1, ('1 orders'!A349:A2156=A349)*('1 orders'!G349:G2156=F349), 0))
</f>
        <v>18</v>
      </c>
      <c r="M349" s="10">
        <f>IFERROR(__xludf.DUMMYFUNCTION("COUNTUNIQUEIFS($A$2:$A349,$F$2:$F349,F349)"),7.0)</f>
        <v>7</v>
      </c>
      <c r="N349" s="10">
        <f t="shared" si="1"/>
        <v>48</v>
      </c>
      <c r="O349" s="26">
        <f>IF(operations[sinceLastOrder]=0,0,operations[orderQuantity] / operations[sinceLastOrder])</f>
        <v>0.375</v>
      </c>
      <c r="P349" s="9">
        <v>35.03</v>
      </c>
      <c r="Q349" s="7" t="s">
        <v>13</v>
      </c>
      <c r="R349" s="10">
        <f>operations[arrivedDate]-operations[shippedDate]</f>
        <v>13</v>
      </c>
    </row>
    <row r="350" ht="15.75" customHeight="1">
      <c r="A350" s="6">
        <v>10380.0</v>
      </c>
      <c r="B350" s="24">
        <v>44907.0</v>
      </c>
      <c r="C350" s="24">
        <v>44935.0</v>
      </c>
      <c r="D350" s="24">
        <v>44942.0</v>
      </c>
      <c r="E350" s="24">
        <v>44955.0</v>
      </c>
      <c r="F350" s="6">
        <v>53.0</v>
      </c>
      <c r="G350" s="9" t="str">
        <f>VLOOKUP(operations[productID],products[],2,FALSE)</f>
        <v>Perth Pasties</v>
      </c>
      <c r="H350" s="9" t="str">
        <f>IF(VLOOKUP(operations[productID],products[],7,FALSE)=1,"Discontinued","Current")</f>
        <v>Discontinued</v>
      </c>
      <c r="I350" s="6">
        <f>VLOOKUP(operations[productID],products[],4,FALSE)</f>
        <v>0</v>
      </c>
      <c r="J350" s="6">
        <f>VLOOKUP(operations[productID],products[],5,FALSE)</f>
        <v>0</v>
      </c>
      <c r="K350" s="6">
        <f>VLOOKUP(operations[productID],products[],6,FALSE)</f>
        <v>0</v>
      </c>
      <c r="L350" s="10">
        <f t="array" ref="L350">INDEX('1 orders'!I350:I2156, MATCH(1, ('1 orders'!A350:A2156=A350)*('1 orders'!G350:G2156=F350), 0))
</f>
        <v>20</v>
      </c>
      <c r="M350" s="10">
        <f>IFERROR(__xludf.DUMMYFUNCTION("COUNTUNIQUEIFS($A$2:$A350,$F$2:$F350,F350)"),5.0)</f>
        <v>5</v>
      </c>
      <c r="N350" s="10">
        <f t="shared" si="1"/>
        <v>80</v>
      </c>
      <c r="O350" s="26">
        <f>IF(operations[sinceLastOrder]=0,0,operations[orderQuantity] / operations[sinceLastOrder])</f>
        <v>0.25</v>
      </c>
      <c r="P350" s="9">
        <v>35.03</v>
      </c>
      <c r="Q350" s="7" t="s">
        <v>13</v>
      </c>
      <c r="R350" s="10">
        <f>operations[arrivedDate]-operations[shippedDate]</f>
        <v>13</v>
      </c>
    </row>
    <row r="351" ht="15.75" customHeight="1">
      <c r="A351" s="6">
        <v>10380.0</v>
      </c>
      <c r="B351" s="24">
        <v>44907.0</v>
      </c>
      <c r="C351" s="24">
        <v>44935.0</v>
      </c>
      <c r="D351" s="24">
        <v>44942.0</v>
      </c>
      <c r="E351" s="24">
        <v>44955.0</v>
      </c>
      <c r="F351" s="6">
        <v>60.0</v>
      </c>
      <c r="G351" s="9" t="str">
        <f>VLOOKUP(operations[productID],products[],2,FALSE)</f>
        <v>Camembert Pierrot</v>
      </c>
      <c r="H351" s="9" t="str">
        <f>IF(VLOOKUP(operations[productID],products[],7,FALSE)=1,"Discontinued","Current")</f>
        <v>Current</v>
      </c>
      <c r="I351" s="6">
        <f>VLOOKUP(operations[productID],products[],4,FALSE)</f>
        <v>19</v>
      </c>
      <c r="J351" s="6">
        <f>VLOOKUP(operations[productID],products[],5,FALSE)</f>
        <v>0</v>
      </c>
      <c r="K351" s="6">
        <f>VLOOKUP(operations[productID],products[],6,FALSE)</f>
        <v>0</v>
      </c>
      <c r="L351" s="10">
        <f t="array" ref="L351">INDEX('1 orders'!I351:I2156, MATCH(1, ('1 orders'!A351:A2156=A351)*('1 orders'!G351:G2156=F351), 0))
</f>
        <v>6</v>
      </c>
      <c r="M351" s="10">
        <f>IFERROR(__xludf.DUMMYFUNCTION("COUNTUNIQUEIFS($A$2:$A351,$F$2:$F351,F351)"),9.0)</f>
        <v>9</v>
      </c>
      <c r="N351" s="10">
        <f t="shared" si="1"/>
        <v>8</v>
      </c>
      <c r="O351" s="26">
        <f>IF(operations[sinceLastOrder]=0,0,operations[orderQuantity] / operations[sinceLastOrder])</f>
        <v>0.75</v>
      </c>
      <c r="P351" s="9">
        <v>35.03</v>
      </c>
      <c r="Q351" s="7" t="s">
        <v>13</v>
      </c>
      <c r="R351" s="10">
        <f>operations[arrivedDate]-operations[shippedDate]</f>
        <v>13</v>
      </c>
    </row>
    <row r="352" ht="15.75" customHeight="1">
      <c r="A352" s="6">
        <v>10380.0</v>
      </c>
      <c r="B352" s="24">
        <v>44907.0</v>
      </c>
      <c r="C352" s="24">
        <v>44935.0</v>
      </c>
      <c r="D352" s="24">
        <v>44942.0</v>
      </c>
      <c r="E352" s="24">
        <v>44955.0</v>
      </c>
      <c r="F352" s="6">
        <v>70.0</v>
      </c>
      <c r="G352" s="9" t="str">
        <f>VLOOKUP(operations[productID],products[],2,FALSE)</f>
        <v>Outback Lager</v>
      </c>
      <c r="H352" s="9" t="str">
        <f>IF(VLOOKUP(operations[productID],products[],7,FALSE)=1,"Discontinued","Current")</f>
        <v>Current</v>
      </c>
      <c r="I352" s="6">
        <f>VLOOKUP(operations[productID],products[],4,FALSE)</f>
        <v>15</v>
      </c>
      <c r="J352" s="6">
        <f>VLOOKUP(operations[productID],products[],5,FALSE)</f>
        <v>10</v>
      </c>
      <c r="K352" s="6">
        <f>VLOOKUP(operations[productID],products[],6,FALSE)</f>
        <v>30</v>
      </c>
      <c r="L352" s="10">
        <f t="array" ref="L352">INDEX('1 orders'!I352:I2156, MATCH(1, ('1 orders'!A352:A2156=A352)*('1 orders'!G352:G2156=F352), 0))
</f>
        <v>30</v>
      </c>
      <c r="M352" s="10">
        <f>IFERROR(__xludf.DUMMYFUNCTION("COUNTUNIQUEIFS($A$2:$A352,$F$2:$F352,F352)"),6.0)</f>
        <v>6</v>
      </c>
      <c r="N352" s="10">
        <f t="shared" si="1"/>
        <v>77</v>
      </c>
      <c r="O352" s="26">
        <f>IF(operations[sinceLastOrder]=0,0,operations[orderQuantity] / operations[sinceLastOrder])</f>
        <v>0.3896103896</v>
      </c>
      <c r="P352" s="9">
        <v>35.03</v>
      </c>
      <c r="Q352" s="7" t="s">
        <v>13</v>
      </c>
      <c r="R352" s="10">
        <f>operations[arrivedDate]-operations[shippedDate]</f>
        <v>13</v>
      </c>
    </row>
    <row r="353" ht="15.75" customHeight="1">
      <c r="A353" s="6">
        <v>10381.0</v>
      </c>
      <c r="B353" s="24">
        <v>44907.0</v>
      </c>
      <c r="C353" s="24">
        <v>44935.0</v>
      </c>
      <c r="D353" s="24">
        <v>44908.0</v>
      </c>
      <c r="E353" s="24">
        <v>44919.0</v>
      </c>
      <c r="F353" s="6">
        <v>74.0</v>
      </c>
      <c r="G353" s="9" t="str">
        <f>VLOOKUP(operations[productID],products[],2,FALSE)</f>
        <v>Longlife Tofu</v>
      </c>
      <c r="H353" s="9" t="str">
        <f>IF(VLOOKUP(operations[productID],products[],7,FALSE)=1,"Discontinued","Current")</f>
        <v>Current</v>
      </c>
      <c r="I353" s="6">
        <f>VLOOKUP(operations[productID],products[],4,FALSE)</f>
        <v>4</v>
      </c>
      <c r="J353" s="6">
        <f>VLOOKUP(operations[productID],products[],5,FALSE)</f>
        <v>20</v>
      </c>
      <c r="K353" s="6">
        <f>VLOOKUP(operations[productID],products[],6,FALSE)</f>
        <v>5</v>
      </c>
      <c r="L353" s="10">
        <f t="array" ref="L353">INDEX('1 orders'!I353:I2156, MATCH(1, ('1 orders'!A353:A2156=A353)*('1 orders'!G353:G2156=F353), 0))
</f>
        <v>14</v>
      </c>
      <c r="M353" s="10">
        <f>IFERROR(__xludf.DUMMYFUNCTION("COUNTUNIQUEIFS($A$2:$A353,$F$2:$F353,F353)"),4.0)</f>
        <v>4</v>
      </c>
      <c r="N353" s="10">
        <f t="shared" si="1"/>
        <v>9</v>
      </c>
      <c r="O353" s="26">
        <f>IF(operations[sinceLastOrder]=0,0,operations[orderQuantity] / operations[sinceLastOrder])</f>
        <v>1.555555556</v>
      </c>
      <c r="P353" s="9">
        <v>7.99</v>
      </c>
      <c r="Q353" s="7" t="s">
        <v>13</v>
      </c>
      <c r="R353" s="10">
        <f>operations[arrivedDate]-operations[shippedDate]</f>
        <v>11</v>
      </c>
    </row>
    <row r="354" ht="15.75" customHeight="1">
      <c r="A354" s="6">
        <v>10382.0</v>
      </c>
      <c r="B354" s="24">
        <v>44908.0</v>
      </c>
      <c r="C354" s="24">
        <v>44936.0</v>
      </c>
      <c r="D354" s="24">
        <v>44911.0</v>
      </c>
      <c r="E354" s="24">
        <v>44920.0</v>
      </c>
      <c r="F354" s="6">
        <v>5.0</v>
      </c>
      <c r="G354" s="9" t="str">
        <f>VLOOKUP(operations[productID],products[],2,FALSE)</f>
        <v>Chef Anton's Gumbo Mix</v>
      </c>
      <c r="H354" s="9" t="str">
        <f>IF(VLOOKUP(operations[productID],products[],7,FALSE)=1,"Discontinued","Current")</f>
        <v>Discontinued</v>
      </c>
      <c r="I354" s="6">
        <f>VLOOKUP(operations[productID],products[],4,FALSE)</f>
        <v>0</v>
      </c>
      <c r="J354" s="6">
        <f>VLOOKUP(operations[productID],products[],5,FALSE)</f>
        <v>0</v>
      </c>
      <c r="K354" s="6">
        <f>VLOOKUP(operations[productID],products[],6,FALSE)</f>
        <v>0</v>
      </c>
      <c r="L354" s="10">
        <f t="array" ref="L354">INDEX('1 orders'!I354:I2156, MATCH(1, ('1 orders'!A354:A2156=A354)*('1 orders'!G354:G2156=F354), 0))
</f>
        <v>32</v>
      </c>
      <c r="M354" s="10">
        <f>IFERROR(__xludf.DUMMYFUNCTION("COUNTUNIQUEIFS($A$2:$A354,$F$2:$F354,F354)"),4.0)</f>
        <v>4</v>
      </c>
      <c r="N354" s="10">
        <f t="shared" si="1"/>
        <v>108</v>
      </c>
      <c r="O354" s="26">
        <f>IF(operations[sinceLastOrder]=0,0,operations[orderQuantity] / operations[sinceLastOrder])</f>
        <v>0.2962962963</v>
      </c>
      <c r="P354" s="9">
        <v>94.77</v>
      </c>
      <c r="Q354" s="7" t="s">
        <v>15</v>
      </c>
      <c r="R354" s="10">
        <f>operations[arrivedDate]-operations[shippedDate]</f>
        <v>9</v>
      </c>
    </row>
    <row r="355" ht="15.75" customHeight="1">
      <c r="A355" s="6">
        <v>10382.0</v>
      </c>
      <c r="B355" s="24">
        <v>44908.0</v>
      </c>
      <c r="C355" s="24">
        <v>44936.0</v>
      </c>
      <c r="D355" s="24">
        <v>44911.0</v>
      </c>
      <c r="E355" s="24">
        <v>44920.0</v>
      </c>
      <c r="F355" s="6">
        <v>18.0</v>
      </c>
      <c r="G355" s="9" t="str">
        <f>VLOOKUP(operations[productID],products[],2,FALSE)</f>
        <v>Carnarvon Tigers</v>
      </c>
      <c r="H355" s="9" t="str">
        <f>IF(VLOOKUP(operations[productID],products[],7,FALSE)=1,"Discontinued","Current")</f>
        <v>Current</v>
      </c>
      <c r="I355" s="6">
        <f>VLOOKUP(operations[productID],products[],4,FALSE)</f>
        <v>42</v>
      </c>
      <c r="J355" s="6">
        <f>VLOOKUP(operations[productID],products[],5,FALSE)</f>
        <v>0</v>
      </c>
      <c r="K355" s="6">
        <f>VLOOKUP(operations[productID],products[],6,FALSE)</f>
        <v>0</v>
      </c>
      <c r="L355" s="10">
        <f t="array" ref="L355">INDEX('1 orders'!I355:I2156, MATCH(1, ('1 orders'!A355:A2156=A355)*('1 orders'!G355:G2156=F355), 0))
</f>
        <v>9</v>
      </c>
      <c r="M355" s="10">
        <f>IFERROR(__xludf.DUMMYFUNCTION("COUNTUNIQUEIFS($A$2:$A355,$F$2:$F355,F355)"),5.0)</f>
        <v>5</v>
      </c>
      <c r="N355" s="10">
        <f t="shared" si="1"/>
        <v>45</v>
      </c>
      <c r="O355" s="26">
        <f>IF(operations[sinceLastOrder]=0,0,operations[orderQuantity] / operations[sinceLastOrder])</f>
        <v>0.2</v>
      </c>
      <c r="P355" s="9">
        <v>94.77</v>
      </c>
      <c r="Q355" s="7" t="s">
        <v>15</v>
      </c>
      <c r="R355" s="10">
        <f>operations[arrivedDate]-operations[shippedDate]</f>
        <v>9</v>
      </c>
    </row>
    <row r="356" ht="15.75" customHeight="1">
      <c r="A356" s="6">
        <v>10382.0</v>
      </c>
      <c r="B356" s="24">
        <v>44908.0</v>
      </c>
      <c r="C356" s="24">
        <v>44936.0</v>
      </c>
      <c r="D356" s="24">
        <v>44911.0</v>
      </c>
      <c r="E356" s="24">
        <v>44920.0</v>
      </c>
      <c r="F356" s="6">
        <v>29.0</v>
      </c>
      <c r="G356" s="9" t="str">
        <f>VLOOKUP(operations[productID],products[],2,FALSE)</f>
        <v>Thüringer Rostbratwurst</v>
      </c>
      <c r="H356" s="9" t="str">
        <f>IF(VLOOKUP(operations[productID],products[],7,FALSE)=1,"Discontinued","Current")</f>
        <v>Discontinued</v>
      </c>
      <c r="I356" s="6">
        <f>VLOOKUP(operations[productID],products[],4,FALSE)</f>
        <v>0</v>
      </c>
      <c r="J356" s="6">
        <f>VLOOKUP(operations[productID],products[],5,FALSE)</f>
        <v>0</v>
      </c>
      <c r="K356" s="6">
        <f>VLOOKUP(operations[productID],products[],6,FALSE)</f>
        <v>0</v>
      </c>
      <c r="L356" s="10">
        <f t="array" ref="L356">INDEX('1 orders'!I356:I2156, MATCH(1, ('1 orders'!A356:A2156=A356)*('1 orders'!G356:G2156=F356), 0))
</f>
        <v>14</v>
      </c>
      <c r="M356" s="10">
        <f>IFERROR(__xludf.DUMMYFUNCTION("COUNTUNIQUEIFS($A$2:$A356,$F$2:$F356,F356)"),7.0)</f>
        <v>7</v>
      </c>
      <c r="N356" s="10">
        <f t="shared" si="1"/>
        <v>11</v>
      </c>
      <c r="O356" s="26">
        <f>IF(operations[sinceLastOrder]=0,0,operations[orderQuantity] / operations[sinceLastOrder])</f>
        <v>1.272727273</v>
      </c>
      <c r="P356" s="9">
        <v>94.77</v>
      </c>
      <c r="Q356" s="7" t="s">
        <v>15</v>
      </c>
      <c r="R356" s="10">
        <f>operations[arrivedDate]-operations[shippedDate]</f>
        <v>9</v>
      </c>
    </row>
    <row r="357" ht="15.75" customHeight="1">
      <c r="A357" s="6">
        <v>10382.0</v>
      </c>
      <c r="B357" s="24">
        <v>44908.0</v>
      </c>
      <c r="C357" s="24">
        <v>44936.0</v>
      </c>
      <c r="D357" s="24">
        <v>44911.0</v>
      </c>
      <c r="E357" s="24">
        <v>44920.0</v>
      </c>
      <c r="F357" s="6">
        <v>33.0</v>
      </c>
      <c r="G357" s="9" t="str">
        <f>VLOOKUP(operations[productID],products[],2,FALSE)</f>
        <v>Geitost</v>
      </c>
      <c r="H357" s="9" t="str">
        <f>IF(VLOOKUP(operations[productID],products[],7,FALSE)=1,"Discontinued","Current")</f>
        <v>Current</v>
      </c>
      <c r="I357" s="6">
        <f>VLOOKUP(operations[productID],products[],4,FALSE)</f>
        <v>112</v>
      </c>
      <c r="J357" s="6">
        <f>VLOOKUP(operations[productID],products[],5,FALSE)</f>
        <v>0</v>
      </c>
      <c r="K357" s="6">
        <f>VLOOKUP(operations[productID],products[],6,FALSE)</f>
        <v>20</v>
      </c>
      <c r="L357" s="10">
        <f t="array" ref="L357">INDEX('1 orders'!I357:I2156, MATCH(1, ('1 orders'!A357:A2156=A357)*('1 orders'!G357:G2156=F357), 0))
</f>
        <v>60</v>
      </c>
      <c r="M357" s="10">
        <f>IFERROR(__xludf.DUMMYFUNCTION("COUNTUNIQUEIFS($A$2:$A357,$F$2:$F357,F357)"),6.0)</f>
        <v>6</v>
      </c>
      <c r="N357" s="10">
        <f t="shared" si="1"/>
        <v>45</v>
      </c>
      <c r="O357" s="26">
        <f>IF(operations[sinceLastOrder]=0,0,operations[orderQuantity] / operations[sinceLastOrder])</f>
        <v>1.333333333</v>
      </c>
      <c r="P357" s="9">
        <v>94.77</v>
      </c>
      <c r="Q357" s="7" t="s">
        <v>15</v>
      </c>
      <c r="R357" s="10">
        <f>operations[arrivedDate]-operations[shippedDate]</f>
        <v>9</v>
      </c>
    </row>
    <row r="358" ht="15.75" customHeight="1">
      <c r="A358" s="6">
        <v>10382.0</v>
      </c>
      <c r="B358" s="24">
        <v>44908.0</v>
      </c>
      <c r="C358" s="24">
        <v>44936.0</v>
      </c>
      <c r="D358" s="24">
        <v>44911.0</v>
      </c>
      <c r="E358" s="24">
        <v>44920.0</v>
      </c>
      <c r="F358" s="6">
        <v>74.0</v>
      </c>
      <c r="G358" s="9" t="str">
        <f>VLOOKUP(operations[productID],products[],2,FALSE)</f>
        <v>Longlife Tofu</v>
      </c>
      <c r="H358" s="9" t="str">
        <f>IF(VLOOKUP(operations[productID],products[],7,FALSE)=1,"Discontinued","Current")</f>
        <v>Current</v>
      </c>
      <c r="I358" s="6">
        <f>VLOOKUP(operations[productID],products[],4,FALSE)</f>
        <v>4</v>
      </c>
      <c r="J358" s="6">
        <f>VLOOKUP(operations[productID],products[],5,FALSE)</f>
        <v>20</v>
      </c>
      <c r="K358" s="6">
        <f>VLOOKUP(operations[productID],products[],6,FALSE)</f>
        <v>5</v>
      </c>
      <c r="L358" s="10">
        <f t="array" ref="L358">INDEX('1 orders'!I358:I2156, MATCH(1, ('1 orders'!A358:A2156=A358)*('1 orders'!G358:G2156=F358), 0))
</f>
        <v>50</v>
      </c>
      <c r="M358" s="10">
        <f>IFERROR(__xludf.DUMMYFUNCTION("COUNTUNIQUEIFS($A$2:$A358,$F$2:$F358,F358)"),5.0)</f>
        <v>5</v>
      </c>
      <c r="N358" s="10">
        <f t="shared" si="1"/>
        <v>1</v>
      </c>
      <c r="O358" s="26">
        <f>IF(operations[sinceLastOrder]=0,0,operations[orderQuantity] / operations[sinceLastOrder])</f>
        <v>50</v>
      </c>
      <c r="P358" s="9">
        <v>94.77</v>
      </c>
      <c r="Q358" s="7" t="s">
        <v>15</v>
      </c>
      <c r="R358" s="10">
        <f>operations[arrivedDate]-operations[shippedDate]</f>
        <v>9</v>
      </c>
    </row>
    <row r="359" ht="15.75" customHeight="1">
      <c r="A359" s="6">
        <v>10383.0</v>
      </c>
      <c r="B359" s="24">
        <v>44911.0</v>
      </c>
      <c r="C359" s="24">
        <v>44939.0</v>
      </c>
      <c r="D359" s="24">
        <v>44913.0</v>
      </c>
      <c r="E359" s="24">
        <v>44921.0</v>
      </c>
      <c r="F359" s="6">
        <v>13.0</v>
      </c>
      <c r="G359" s="9" t="str">
        <f>VLOOKUP(operations[productID],products[],2,FALSE)</f>
        <v>Konbu</v>
      </c>
      <c r="H359" s="9" t="str">
        <f>IF(VLOOKUP(operations[productID],products[],7,FALSE)=1,"Discontinued","Current")</f>
        <v>Current</v>
      </c>
      <c r="I359" s="6">
        <f>VLOOKUP(operations[productID],products[],4,FALSE)</f>
        <v>24</v>
      </c>
      <c r="J359" s="6">
        <f>VLOOKUP(operations[productID],products[],5,FALSE)</f>
        <v>0</v>
      </c>
      <c r="K359" s="6">
        <f>VLOOKUP(operations[productID],products[],6,FALSE)</f>
        <v>5</v>
      </c>
      <c r="L359" s="10">
        <f t="array" ref="L359">INDEX('1 orders'!I359:I2156, MATCH(1, ('1 orders'!A359:A2156=A359)*('1 orders'!G359:G2156=F359), 0))
</f>
        <v>20</v>
      </c>
      <c r="M359" s="10">
        <f>IFERROR(__xludf.DUMMYFUNCTION("COUNTUNIQUEIFS($A$2:$A359,$F$2:$F359,F359)"),4.0)</f>
        <v>4</v>
      </c>
      <c r="N359" s="10">
        <f t="shared" si="1"/>
        <v>68</v>
      </c>
      <c r="O359" s="26">
        <f>IF(operations[sinceLastOrder]=0,0,operations[orderQuantity] / operations[sinceLastOrder])</f>
        <v>0.2941176471</v>
      </c>
      <c r="P359" s="9">
        <v>34.24</v>
      </c>
      <c r="Q359" s="7" t="s">
        <v>13</v>
      </c>
      <c r="R359" s="10">
        <f>operations[arrivedDate]-operations[shippedDate]</f>
        <v>8</v>
      </c>
    </row>
    <row r="360" ht="15.75" customHeight="1">
      <c r="A360" s="6">
        <v>10383.0</v>
      </c>
      <c r="B360" s="24">
        <v>44911.0</v>
      </c>
      <c r="C360" s="24">
        <v>44939.0</v>
      </c>
      <c r="D360" s="24">
        <v>44913.0</v>
      </c>
      <c r="E360" s="24">
        <v>44921.0</v>
      </c>
      <c r="F360" s="6">
        <v>50.0</v>
      </c>
      <c r="G360" s="9" t="str">
        <f>VLOOKUP(operations[productID],products[],2,FALSE)</f>
        <v>Valkoinen suklaa</v>
      </c>
      <c r="H360" s="9" t="str">
        <f>IF(VLOOKUP(operations[productID],products[],7,FALSE)=1,"Discontinued","Current")</f>
        <v>Current</v>
      </c>
      <c r="I360" s="6">
        <f>VLOOKUP(operations[productID],products[],4,FALSE)</f>
        <v>65</v>
      </c>
      <c r="J360" s="6">
        <f>VLOOKUP(operations[productID],products[],5,FALSE)</f>
        <v>0</v>
      </c>
      <c r="K360" s="6">
        <f>VLOOKUP(operations[productID],products[],6,FALSE)</f>
        <v>30</v>
      </c>
      <c r="L360" s="10">
        <f t="array" ref="L360">INDEX('1 orders'!I360:I2156, MATCH(1, ('1 orders'!A360:A2156=A360)*('1 orders'!G360:G2156=F360), 0))
</f>
        <v>15</v>
      </c>
      <c r="M360" s="10">
        <f>IFERROR(__xludf.DUMMYFUNCTION("COUNTUNIQUEIFS($A$2:$A360,$F$2:$F360,F360)"),2.0)</f>
        <v>2</v>
      </c>
      <c r="N360" s="10">
        <f t="shared" si="1"/>
        <v>35</v>
      </c>
      <c r="O360" s="26">
        <f>IF(operations[sinceLastOrder]=0,0,operations[orderQuantity] / operations[sinceLastOrder])</f>
        <v>0.4285714286</v>
      </c>
      <c r="P360" s="9">
        <v>34.24</v>
      </c>
      <c r="Q360" s="7" t="s">
        <v>13</v>
      </c>
      <c r="R360" s="10">
        <f>operations[arrivedDate]-operations[shippedDate]</f>
        <v>8</v>
      </c>
    </row>
    <row r="361" ht="15.75" customHeight="1">
      <c r="A361" s="6">
        <v>10383.0</v>
      </c>
      <c r="B361" s="24">
        <v>44911.0</v>
      </c>
      <c r="C361" s="24">
        <v>44939.0</v>
      </c>
      <c r="D361" s="24">
        <v>44913.0</v>
      </c>
      <c r="E361" s="24">
        <v>44921.0</v>
      </c>
      <c r="F361" s="6">
        <v>56.0</v>
      </c>
      <c r="G361" s="9" t="str">
        <f>VLOOKUP(operations[productID],products[],2,FALSE)</f>
        <v>Gnocchi di nonna Alice</v>
      </c>
      <c r="H361" s="9" t="str">
        <f>IF(VLOOKUP(operations[productID],products[],7,FALSE)=1,"Discontinued","Current")</f>
        <v>Current</v>
      </c>
      <c r="I361" s="6">
        <f>VLOOKUP(operations[productID],products[],4,FALSE)</f>
        <v>21</v>
      </c>
      <c r="J361" s="6">
        <f>VLOOKUP(operations[productID],products[],5,FALSE)</f>
        <v>10</v>
      </c>
      <c r="K361" s="6">
        <f>VLOOKUP(operations[productID],products[],6,FALSE)</f>
        <v>30</v>
      </c>
      <c r="L361" s="10">
        <f t="array" ref="L361">INDEX('1 orders'!I361:I2156, MATCH(1, ('1 orders'!A361:A2156=A361)*('1 orders'!G361:G2156=F361), 0))
</f>
        <v>20</v>
      </c>
      <c r="M361" s="10">
        <f>IFERROR(__xludf.DUMMYFUNCTION("COUNTUNIQUEIFS($A$2:$A361,$F$2:$F361,F361)"),7.0)</f>
        <v>7</v>
      </c>
      <c r="N361" s="10">
        <f t="shared" si="1"/>
        <v>14</v>
      </c>
      <c r="O361" s="26">
        <f>IF(operations[sinceLastOrder]=0,0,operations[orderQuantity] / operations[sinceLastOrder])</f>
        <v>1.428571429</v>
      </c>
      <c r="P361" s="9">
        <v>34.24</v>
      </c>
      <c r="Q361" s="7" t="s">
        <v>13</v>
      </c>
      <c r="R361" s="10">
        <f>operations[arrivedDate]-operations[shippedDate]</f>
        <v>8</v>
      </c>
    </row>
    <row r="362" ht="15.75" customHeight="1">
      <c r="A362" s="6">
        <v>10384.0</v>
      </c>
      <c r="B362" s="24">
        <v>44911.0</v>
      </c>
      <c r="C362" s="24">
        <v>44939.0</v>
      </c>
      <c r="D362" s="24">
        <v>44915.0</v>
      </c>
      <c r="E362" s="24">
        <v>44925.0</v>
      </c>
      <c r="F362" s="6">
        <v>20.0</v>
      </c>
      <c r="G362" s="9" t="str">
        <f>VLOOKUP(operations[productID],products[],2,FALSE)</f>
        <v>Sir Rodney's Marmalade</v>
      </c>
      <c r="H362" s="9" t="str">
        <f>IF(VLOOKUP(operations[productID],products[],7,FALSE)=1,"Discontinued","Current")</f>
        <v>Current</v>
      </c>
      <c r="I362" s="6">
        <f>VLOOKUP(operations[productID],products[],4,FALSE)</f>
        <v>40</v>
      </c>
      <c r="J362" s="6">
        <f>VLOOKUP(operations[productID],products[],5,FALSE)</f>
        <v>0</v>
      </c>
      <c r="K362" s="6">
        <f>VLOOKUP(operations[productID],products[],6,FALSE)</f>
        <v>0</v>
      </c>
      <c r="L362" s="10">
        <f t="array" ref="L362">INDEX('1 orders'!I362:I2156, MATCH(1, ('1 orders'!A362:A2156=A362)*('1 orders'!G362:G2156=F362), 0))
</f>
        <v>28</v>
      </c>
      <c r="M362" s="10">
        <f>IFERROR(__xludf.DUMMYFUNCTION("COUNTUNIQUEIFS($A$2:$A362,$F$2:$F362,F362)"),5.0)</f>
        <v>5</v>
      </c>
      <c r="N362" s="10">
        <f t="shared" si="1"/>
        <v>12</v>
      </c>
      <c r="O362" s="26">
        <f>IF(operations[sinceLastOrder]=0,0,operations[orderQuantity] / operations[sinceLastOrder])</f>
        <v>2.333333333</v>
      </c>
      <c r="P362" s="9">
        <v>168.64</v>
      </c>
      <c r="Q362" s="7" t="s">
        <v>13</v>
      </c>
      <c r="R362" s="10">
        <f>operations[arrivedDate]-operations[shippedDate]</f>
        <v>10</v>
      </c>
    </row>
    <row r="363" ht="15.75" customHeight="1">
      <c r="A363" s="6">
        <v>10384.0</v>
      </c>
      <c r="B363" s="24">
        <v>44911.0</v>
      </c>
      <c r="C363" s="24">
        <v>44939.0</v>
      </c>
      <c r="D363" s="24">
        <v>44915.0</v>
      </c>
      <c r="E363" s="24">
        <v>44925.0</v>
      </c>
      <c r="F363" s="6">
        <v>60.0</v>
      </c>
      <c r="G363" s="9" t="str">
        <f>VLOOKUP(operations[productID],products[],2,FALSE)</f>
        <v>Camembert Pierrot</v>
      </c>
      <c r="H363" s="9" t="str">
        <f>IF(VLOOKUP(operations[productID],products[],7,FALSE)=1,"Discontinued","Current")</f>
        <v>Current</v>
      </c>
      <c r="I363" s="6">
        <f>VLOOKUP(operations[productID],products[],4,FALSE)</f>
        <v>19</v>
      </c>
      <c r="J363" s="6">
        <f>VLOOKUP(operations[productID],products[],5,FALSE)</f>
        <v>0</v>
      </c>
      <c r="K363" s="6">
        <f>VLOOKUP(operations[productID],products[],6,FALSE)</f>
        <v>0</v>
      </c>
      <c r="L363" s="10">
        <f t="array" ref="L363">INDEX('1 orders'!I363:I2156, MATCH(1, ('1 orders'!A363:A2156=A363)*('1 orders'!G363:G2156=F363), 0))
</f>
        <v>15</v>
      </c>
      <c r="M363" s="10">
        <f>IFERROR(__xludf.DUMMYFUNCTION("COUNTUNIQUEIFS($A$2:$A363,$F$2:$F363,F363)"),10.0)</f>
        <v>10</v>
      </c>
      <c r="N363" s="10">
        <f t="shared" si="1"/>
        <v>4</v>
      </c>
      <c r="O363" s="26">
        <f>IF(operations[sinceLastOrder]=0,0,operations[orderQuantity] / operations[sinceLastOrder])</f>
        <v>3.75</v>
      </c>
      <c r="P363" s="9">
        <v>168.64</v>
      </c>
      <c r="Q363" s="7" t="s">
        <v>13</v>
      </c>
      <c r="R363" s="10">
        <f>operations[arrivedDate]-operations[shippedDate]</f>
        <v>10</v>
      </c>
    </row>
    <row r="364" ht="15.75" customHeight="1">
      <c r="A364" s="6">
        <v>10385.0</v>
      </c>
      <c r="B364" s="24">
        <v>44912.0</v>
      </c>
      <c r="C364" s="24">
        <v>44940.0</v>
      </c>
      <c r="D364" s="24">
        <v>44918.0</v>
      </c>
      <c r="E364" s="24">
        <v>44936.0</v>
      </c>
      <c r="F364" s="6">
        <v>7.0</v>
      </c>
      <c r="G364" s="9" t="str">
        <f>VLOOKUP(operations[productID],products[],2,FALSE)</f>
        <v>Uncle Bob's Organic Dried Pears</v>
      </c>
      <c r="H364" s="9" t="str">
        <f>IF(VLOOKUP(operations[productID],products[],7,FALSE)=1,"Discontinued","Current")</f>
        <v>Current</v>
      </c>
      <c r="I364" s="6">
        <f>VLOOKUP(operations[productID],products[],4,FALSE)</f>
        <v>15</v>
      </c>
      <c r="J364" s="6">
        <f>VLOOKUP(operations[productID],products[],5,FALSE)</f>
        <v>0</v>
      </c>
      <c r="K364" s="6">
        <f>VLOOKUP(operations[productID],products[],6,FALSE)</f>
        <v>10</v>
      </c>
      <c r="L364" s="10">
        <f t="array" ref="L364">INDEX('1 orders'!I364:I2156, MATCH(1, ('1 orders'!A364:A2156=A364)*('1 orders'!G364:G2156=F364), 0))
</f>
        <v>10</v>
      </c>
      <c r="M364" s="10">
        <f>IFERROR(__xludf.DUMMYFUNCTION("COUNTUNIQUEIFS($A$2:$A364,$F$2:$F364,F364)"),2.0)</f>
        <v>2</v>
      </c>
      <c r="N364" s="10">
        <f t="shared" si="1"/>
        <v>148</v>
      </c>
      <c r="O364" s="26">
        <f>IF(operations[sinceLastOrder]=0,0,operations[orderQuantity] / operations[sinceLastOrder])</f>
        <v>0.06756756757</v>
      </c>
      <c r="P364" s="9">
        <v>30.96</v>
      </c>
      <c r="Q364" s="7" t="s">
        <v>17</v>
      </c>
      <c r="R364" s="10">
        <f>operations[arrivedDate]-operations[shippedDate]</f>
        <v>18</v>
      </c>
    </row>
    <row r="365" ht="15.75" customHeight="1">
      <c r="A365" s="6">
        <v>10385.0</v>
      </c>
      <c r="B365" s="24">
        <v>44912.0</v>
      </c>
      <c r="C365" s="24">
        <v>44940.0</v>
      </c>
      <c r="D365" s="24">
        <v>44918.0</v>
      </c>
      <c r="E365" s="24">
        <v>44936.0</v>
      </c>
      <c r="F365" s="6">
        <v>60.0</v>
      </c>
      <c r="G365" s="9" t="str">
        <f>VLOOKUP(operations[productID],products[],2,FALSE)</f>
        <v>Camembert Pierrot</v>
      </c>
      <c r="H365" s="9" t="str">
        <f>IF(VLOOKUP(operations[productID],products[],7,FALSE)=1,"Discontinued","Current")</f>
        <v>Current</v>
      </c>
      <c r="I365" s="6">
        <f>VLOOKUP(operations[productID],products[],4,FALSE)</f>
        <v>19</v>
      </c>
      <c r="J365" s="6">
        <f>VLOOKUP(operations[productID],products[],5,FALSE)</f>
        <v>0</v>
      </c>
      <c r="K365" s="6">
        <f>VLOOKUP(operations[productID],products[],6,FALSE)</f>
        <v>0</v>
      </c>
      <c r="L365" s="10">
        <f t="array" ref="L365">INDEX('1 orders'!I365:I2156, MATCH(1, ('1 orders'!A365:A2156=A365)*('1 orders'!G365:G2156=F365), 0))
</f>
        <v>20</v>
      </c>
      <c r="M365" s="10">
        <f>IFERROR(__xludf.DUMMYFUNCTION("COUNTUNIQUEIFS($A$2:$A365,$F$2:$F365,F365)"),11.0)</f>
        <v>11</v>
      </c>
      <c r="N365" s="10">
        <f t="shared" si="1"/>
        <v>1</v>
      </c>
      <c r="O365" s="26">
        <f>IF(operations[sinceLastOrder]=0,0,operations[orderQuantity] / operations[sinceLastOrder])</f>
        <v>20</v>
      </c>
      <c r="P365" s="9">
        <v>30.96</v>
      </c>
      <c r="Q365" s="7" t="s">
        <v>17</v>
      </c>
      <c r="R365" s="10">
        <f>operations[arrivedDate]-operations[shippedDate]</f>
        <v>18</v>
      </c>
    </row>
    <row r="366" ht="15.75" customHeight="1">
      <c r="A366" s="6">
        <v>10385.0</v>
      </c>
      <c r="B366" s="24">
        <v>44912.0</v>
      </c>
      <c r="C366" s="24">
        <v>44940.0</v>
      </c>
      <c r="D366" s="24">
        <v>44918.0</v>
      </c>
      <c r="E366" s="24">
        <v>44936.0</v>
      </c>
      <c r="F366" s="6">
        <v>68.0</v>
      </c>
      <c r="G366" s="9" t="str">
        <f>VLOOKUP(operations[productID],products[],2,FALSE)</f>
        <v>Scottish Longbreads</v>
      </c>
      <c r="H366" s="9" t="str">
        <f>IF(VLOOKUP(operations[productID],products[],7,FALSE)=1,"Discontinued","Current")</f>
        <v>Current</v>
      </c>
      <c r="I366" s="6">
        <f>VLOOKUP(operations[productID],products[],4,FALSE)</f>
        <v>6</v>
      </c>
      <c r="J366" s="6">
        <f>VLOOKUP(operations[productID],products[],5,FALSE)</f>
        <v>10</v>
      </c>
      <c r="K366" s="6">
        <f>VLOOKUP(operations[productID],products[],6,FALSE)</f>
        <v>15</v>
      </c>
      <c r="L366" s="10">
        <f t="array" ref="L366">INDEX('1 orders'!I366:I2156, MATCH(1, ('1 orders'!A366:A2156=A366)*('1 orders'!G366:G2156=F366), 0))
</f>
        <v>8</v>
      </c>
      <c r="M366" s="10">
        <f>IFERROR(__xludf.DUMMYFUNCTION("COUNTUNIQUEIFS($A$2:$A366,$F$2:$F366,F366)"),8.0)</f>
        <v>8</v>
      </c>
      <c r="N366" s="10">
        <f t="shared" si="1"/>
        <v>47</v>
      </c>
      <c r="O366" s="26">
        <f>IF(operations[sinceLastOrder]=0,0,operations[orderQuantity] / operations[sinceLastOrder])</f>
        <v>0.170212766</v>
      </c>
      <c r="P366" s="9">
        <v>30.96</v>
      </c>
      <c r="Q366" s="7" t="s">
        <v>17</v>
      </c>
      <c r="R366" s="10">
        <f>operations[arrivedDate]-operations[shippedDate]</f>
        <v>18</v>
      </c>
    </row>
    <row r="367" ht="15.75" customHeight="1">
      <c r="A367" s="6">
        <v>10386.0</v>
      </c>
      <c r="B367" s="24">
        <v>44913.0</v>
      </c>
      <c r="C367" s="24">
        <v>44927.0</v>
      </c>
      <c r="D367" s="24">
        <v>44920.0</v>
      </c>
      <c r="E367" s="24">
        <v>44936.0</v>
      </c>
      <c r="F367" s="6">
        <v>24.0</v>
      </c>
      <c r="G367" s="9" t="str">
        <f>VLOOKUP(operations[productID],products[],2,FALSE)</f>
        <v>Brigadeiros Maravilhosos da Lilian</v>
      </c>
      <c r="H367" s="9" t="str">
        <f>IF(VLOOKUP(operations[productID],products[],7,FALSE)=1,"Discontinued","Current")</f>
        <v>Discontinued</v>
      </c>
      <c r="I367" s="6">
        <f>VLOOKUP(operations[productID],products[],4,FALSE)</f>
        <v>20</v>
      </c>
      <c r="J367" s="6">
        <f>VLOOKUP(operations[productID],products[],5,FALSE)</f>
        <v>0</v>
      </c>
      <c r="K367" s="6">
        <f>VLOOKUP(operations[productID],products[],6,FALSE)</f>
        <v>0</v>
      </c>
      <c r="L367" s="10">
        <f t="array" ref="L367">INDEX('1 orders'!I367:I2156, MATCH(1, ('1 orders'!A367:A2156=A367)*('1 orders'!G367:G2156=F367), 0))
</f>
        <v>15</v>
      </c>
      <c r="M367" s="10">
        <f>IFERROR(__xludf.DUMMYFUNCTION("COUNTUNIQUEIFS($A$2:$A367,$F$2:$F367,F367)"),10.0)</f>
        <v>10</v>
      </c>
      <c r="N367" s="10">
        <f t="shared" si="1"/>
        <v>28</v>
      </c>
      <c r="O367" s="26">
        <f>IF(operations[sinceLastOrder]=0,0,operations[orderQuantity] / operations[sinceLastOrder])</f>
        <v>0.5357142857</v>
      </c>
      <c r="P367" s="9">
        <v>13.99</v>
      </c>
      <c r="Q367" s="7" t="s">
        <v>13</v>
      </c>
      <c r="R367" s="10">
        <f>operations[arrivedDate]-operations[shippedDate]</f>
        <v>16</v>
      </c>
    </row>
    <row r="368" ht="15.75" customHeight="1">
      <c r="A368" s="6">
        <v>10386.0</v>
      </c>
      <c r="B368" s="24">
        <v>44913.0</v>
      </c>
      <c r="C368" s="24">
        <v>44927.0</v>
      </c>
      <c r="D368" s="24">
        <v>44920.0</v>
      </c>
      <c r="E368" s="24">
        <v>44936.0</v>
      </c>
      <c r="F368" s="6">
        <v>34.0</v>
      </c>
      <c r="G368" s="9" t="str">
        <f>VLOOKUP(operations[productID],products[],2,FALSE)</f>
        <v>Sasquatch Ale</v>
      </c>
      <c r="H368" s="9" t="str">
        <f>IF(VLOOKUP(operations[productID],products[],7,FALSE)=1,"Discontinued","Current")</f>
        <v>Current</v>
      </c>
      <c r="I368" s="6">
        <f>VLOOKUP(operations[productID],products[],4,FALSE)</f>
        <v>111</v>
      </c>
      <c r="J368" s="6">
        <f>VLOOKUP(operations[productID],products[],5,FALSE)</f>
        <v>0</v>
      </c>
      <c r="K368" s="6">
        <f>VLOOKUP(operations[productID],products[],6,FALSE)</f>
        <v>15</v>
      </c>
      <c r="L368" s="10">
        <f t="array" ref="L368">INDEX('1 orders'!I368:I2156, MATCH(1, ('1 orders'!A368:A2156=A368)*('1 orders'!G368:G2156=F368), 0))
</f>
        <v>10</v>
      </c>
      <c r="M368" s="10">
        <f>IFERROR(__xludf.DUMMYFUNCTION("COUNTUNIQUEIFS($A$2:$A368,$F$2:$F368,F368)"),5.0)</f>
        <v>5</v>
      </c>
      <c r="N368" s="10">
        <f t="shared" si="1"/>
        <v>20</v>
      </c>
      <c r="O368" s="26">
        <f>IF(operations[sinceLastOrder]=0,0,operations[orderQuantity] / operations[sinceLastOrder])</f>
        <v>0.5</v>
      </c>
      <c r="P368" s="9">
        <v>13.99</v>
      </c>
      <c r="Q368" s="7" t="s">
        <v>13</v>
      </c>
      <c r="R368" s="10">
        <f>operations[arrivedDate]-operations[shippedDate]</f>
        <v>16</v>
      </c>
    </row>
    <row r="369" ht="15.75" customHeight="1">
      <c r="A369" s="6">
        <v>10387.0</v>
      </c>
      <c r="B369" s="24">
        <v>44913.0</v>
      </c>
      <c r="C369" s="24">
        <v>44941.0</v>
      </c>
      <c r="D369" s="24">
        <v>44915.0</v>
      </c>
      <c r="E369" s="24">
        <v>44929.0</v>
      </c>
      <c r="F369" s="6">
        <v>24.0</v>
      </c>
      <c r="G369" s="9" t="str">
        <f>VLOOKUP(operations[productID],products[],2,FALSE)</f>
        <v>Brigadeiros Maravilhosos da Lilian</v>
      </c>
      <c r="H369" s="9" t="str">
        <f>IF(VLOOKUP(operations[productID],products[],7,FALSE)=1,"Discontinued","Current")</f>
        <v>Discontinued</v>
      </c>
      <c r="I369" s="6">
        <f>VLOOKUP(operations[productID],products[],4,FALSE)</f>
        <v>20</v>
      </c>
      <c r="J369" s="6">
        <f>VLOOKUP(operations[productID],products[],5,FALSE)</f>
        <v>0</v>
      </c>
      <c r="K369" s="6">
        <f>VLOOKUP(operations[productID],products[],6,FALSE)</f>
        <v>0</v>
      </c>
      <c r="L369" s="10">
        <f t="array" ref="L369">INDEX('1 orders'!I369:I2156, MATCH(1, ('1 orders'!A369:A2156=A369)*('1 orders'!G369:G2156=F369), 0))
</f>
        <v>15</v>
      </c>
      <c r="M369" s="10">
        <f>IFERROR(__xludf.DUMMYFUNCTION("COUNTUNIQUEIFS($A$2:$A369,$F$2:$F369,F369)"),11.0)</f>
        <v>11</v>
      </c>
      <c r="N369" s="10">
        <f t="shared" si="1"/>
        <v>0</v>
      </c>
      <c r="O369" s="26">
        <f>IF(operations[sinceLastOrder]=0,0,operations[orderQuantity] / operations[sinceLastOrder])</f>
        <v>0</v>
      </c>
      <c r="P369" s="9">
        <v>93.63</v>
      </c>
      <c r="Q369" s="7" t="s">
        <v>17</v>
      </c>
      <c r="R369" s="10">
        <f>operations[arrivedDate]-operations[shippedDate]</f>
        <v>14</v>
      </c>
    </row>
    <row r="370" ht="15.75" customHeight="1">
      <c r="A370" s="6">
        <v>10387.0</v>
      </c>
      <c r="B370" s="24">
        <v>44913.0</v>
      </c>
      <c r="C370" s="24">
        <v>44941.0</v>
      </c>
      <c r="D370" s="24">
        <v>44915.0</v>
      </c>
      <c r="E370" s="24">
        <v>44929.0</v>
      </c>
      <c r="F370" s="6">
        <v>28.0</v>
      </c>
      <c r="G370" s="9" t="str">
        <f>VLOOKUP(operations[productID],products[],2,FALSE)</f>
        <v>Rössle Sauerkraut</v>
      </c>
      <c r="H370" s="9" t="str">
        <f>IF(VLOOKUP(operations[productID],products[],7,FALSE)=1,"Discontinued","Current")</f>
        <v>Discontinued</v>
      </c>
      <c r="I370" s="6">
        <f>VLOOKUP(operations[productID],products[],4,FALSE)</f>
        <v>26</v>
      </c>
      <c r="J370" s="6">
        <f>VLOOKUP(operations[productID],products[],5,FALSE)</f>
        <v>0</v>
      </c>
      <c r="K370" s="6">
        <f>VLOOKUP(operations[productID],products[],6,FALSE)</f>
        <v>0</v>
      </c>
      <c r="L370" s="10">
        <f t="array" ref="L370">INDEX('1 orders'!I370:I2156, MATCH(1, ('1 orders'!A370:A2156=A370)*('1 orders'!G370:G2156=F370), 0))
</f>
        <v>6</v>
      </c>
      <c r="M370" s="10">
        <f>IFERROR(__xludf.DUMMYFUNCTION("COUNTUNIQUEIFS($A$2:$A370,$F$2:$F370,F370)"),8.0)</f>
        <v>8</v>
      </c>
      <c r="N370" s="10">
        <f t="shared" si="1"/>
        <v>9</v>
      </c>
      <c r="O370" s="26">
        <f>IF(operations[sinceLastOrder]=0,0,operations[orderQuantity] / operations[sinceLastOrder])</f>
        <v>0.6666666667</v>
      </c>
      <c r="P370" s="9">
        <v>93.63</v>
      </c>
      <c r="Q370" s="7" t="s">
        <v>17</v>
      </c>
      <c r="R370" s="10">
        <f>operations[arrivedDate]-operations[shippedDate]</f>
        <v>14</v>
      </c>
    </row>
    <row r="371" ht="15.75" customHeight="1">
      <c r="A371" s="6">
        <v>10387.0</v>
      </c>
      <c r="B371" s="24">
        <v>44913.0</v>
      </c>
      <c r="C371" s="24">
        <v>44941.0</v>
      </c>
      <c r="D371" s="24">
        <v>44915.0</v>
      </c>
      <c r="E371" s="24">
        <v>44929.0</v>
      </c>
      <c r="F371" s="6">
        <v>59.0</v>
      </c>
      <c r="G371" s="9" t="str">
        <f>VLOOKUP(operations[productID],products[],2,FALSE)</f>
        <v>Raclette Courdavault</v>
      </c>
      <c r="H371" s="9" t="str">
        <f>IF(VLOOKUP(operations[productID],products[],7,FALSE)=1,"Discontinued","Current")</f>
        <v>Current</v>
      </c>
      <c r="I371" s="6">
        <f>VLOOKUP(operations[productID],products[],4,FALSE)</f>
        <v>79</v>
      </c>
      <c r="J371" s="6">
        <f>VLOOKUP(operations[productID],products[],5,FALSE)</f>
        <v>0</v>
      </c>
      <c r="K371" s="6">
        <f>VLOOKUP(operations[productID],products[],6,FALSE)</f>
        <v>0</v>
      </c>
      <c r="L371" s="10">
        <f t="array" ref="L371">INDEX('1 orders'!I371:I2156, MATCH(1, ('1 orders'!A371:A2156=A371)*('1 orders'!G371:G2156=F371), 0))
</f>
        <v>12</v>
      </c>
      <c r="M371" s="10">
        <f>IFERROR(__xludf.DUMMYFUNCTION("COUNTUNIQUEIFS($A$2:$A371,$F$2:$F371,F371)"),10.0)</f>
        <v>10</v>
      </c>
      <c r="N371" s="10">
        <f t="shared" si="1"/>
        <v>50</v>
      </c>
      <c r="O371" s="26">
        <f>IF(operations[sinceLastOrder]=0,0,operations[orderQuantity] / operations[sinceLastOrder])</f>
        <v>0.24</v>
      </c>
      <c r="P371" s="9">
        <v>93.63</v>
      </c>
      <c r="Q371" s="7" t="s">
        <v>17</v>
      </c>
      <c r="R371" s="10">
        <f>operations[arrivedDate]-operations[shippedDate]</f>
        <v>14</v>
      </c>
    </row>
    <row r="372" ht="15.75" customHeight="1">
      <c r="A372" s="6">
        <v>10387.0</v>
      </c>
      <c r="B372" s="24">
        <v>44913.0</v>
      </c>
      <c r="C372" s="24">
        <v>44941.0</v>
      </c>
      <c r="D372" s="24">
        <v>44915.0</v>
      </c>
      <c r="E372" s="24">
        <v>44929.0</v>
      </c>
      <c r="F372" s="6">
        <v>71.0</v>
      </c>
      <c r="G372" s="9" t="str">
        <f>VLOOKUP(operations[productID],products[],2,FALSE)</f>
        <v>Flotemysost</v>
      </c>
      <c r="H372" s="9" t="str">
        <f>IF(VLOOKUP(operations[productID],products[],7,FALSE)=1,"Discontinued","Current")</f>
        <v>Current</v>
      </c>
      <c r="I372" s="6">
        <f>VLOOKUP(operations[productID],products[],4,FALSE)</f>
        <v>26</v>
      </c>
      <c r="J372" s="6">
        <f>VLOOKUP(operations[productID],products[],5,FALSE)</f>
        <v>0</v>
      </c>
      <c r="K372" s="6">
        <f>VLOOKUP(operations[productID],products[],6,FALSE)</f>
        <v>0</v>
      </c>
      <c r="L372" s="10">
        <f t="array" ref="L372">INDEX('1 orders'!I372:I2156, MATCH(1, ('1 orders'!A372:A2156=A372)*('1 orders'!G372:G2156=F372), 0))
</f>
        <v>15</v>
      </c>
      <c r="M372" s="10">
        <f>IFERROR(__xludf.DUMMYFUNCTION("COUNTUNIQUEIFS($A$2:$A372,$F$2:$F372,F372)"),9.0)</f>
        <v>9</v>
      </c>
      <c r="N372" s="10">
        <f t="shared" si="1"/>
        <v>8</v>
      </c>
      <c r="O372" s="26">
        <f>IF(operations[sinceLastOrder]=0,0,operations[orderQuantity] / operations[sinceLastOrder])</f>
        <v>1.875</v>
      </c>
      <c r="P372" s="9">
        <v>93.63</v>
      </c>
      <c r="Q372" s="7" t="s">
        <v>17</v>
      </c>
      <c r="R372" s="10">
        <f>operations[arrivedDate]-operations[shippedDate]</f>
        <v>14</v>
      </c>
    </row>
    <row r="373" ht="15.75" customHeight="1">
      <c r="A373" s="6">
        <v>10388.0</v>
      </c>
      <c r="B373" s="24">
        <v>44914.0</v>
      </c>
      <c r="C373" s="24">
        <v>44942.0</v>
      </c>
      <c r="D373" s="24">
        <v>44915.0</v>
      </c>
      <c r="E373" s="24">
        <v>44919.0</v>
      </c>
      <c r="F373" s="6">
        <v>45.0</v>
      </c>
      <c r="G373" s="9" t="str">
        <f>VLOOKUP(operations[productID],products[],2,FALSE)</f>
        <v>Rogede sild</v>
      </c>
      <c r="H373" s="9" t="str">
        <f>IF(VLOOKUP(operations[productID],products[],7,FALSE)=1,"Discontinued","Current")</f>
        <v>Current</v>
      </c>
      <c r="I373" s="6">
        <f>VLOOKUP(operations[productID],products[],4,FALSE)</f>
        <v>5</v>
      </c>
      <c r="J373" s="6">
        <f>VLOOKUP(operations[productID],products[],5,FALSE)</f>
        <v>70</v>
      </c>
      <c r="K373" s="6">
        <f>VLOOKUP(operations[productID],products[],6,FALSE)</f>
        <v>15</v>
      </c>
      <c r="L373" s="10">
        <f t="array" ref="L373">INDEX('1 orders'!I373:I2156, MATCH(1, ('1 orders'!A373:A2156=A373)*('1 orders'!G373:G2156=F373), 0))
</f>
        <v>15</v>
      </c>
      <c r="M373" s="10">
        <f>IFERROR(__xludf.DUMMYFUNCTION("COUNTUNIQUEIFS($A$2:$A373,$F$2:$F373,F373)"),1.0)</f>
        <v>1</v>
      </c>
      <c r="N373" s="10">
        <f t="shared" si="1"/>
        <v>0</v>
      </c>
      <c r="O373" s="26">
        <f>IF(operations[sinceLastOrder]=0,0,operations[orderQuantity] / operations[sinceLastOrder])</f>
        <v>0</v>
      </c>
      <c r="P373" s="9">
        <v>34.86</v>
      </c>
      <c r="Q373" s="7" t="s">
        <v>15</v>
      </c>
      <c r="R373" s="10">
        <f>operations[arrivedDate]-operations[shippedDate]</f>
        <v>4</v>
      </c>
    </row>
    <row r="374" ht="15.75" customHeight="1">
      <c r="A374" s="6">
        <v>10388.0</v>
      </c>
      <c r="B374" s="24">
        <v>44914.0</v>
      </c>
      <c r="C374" s="24">
        <v>44942.0</v>
      </c>
      <c r="D374" s="24">
        <v>44915.0</v>
      </c>
      <c r="E374" s="24">
        <v>44919.0</v>
      </c>
      <c r="F374" s="6">
        <v>52.0</v>
      </c>
      <c r="G374" s="9" t="str">
        <f>VLOOKUP(operations[productID],products[],2,FALSE)</f>
        <v>Filo Mix</v>
      </c>
      <c r="H374" s="9" t="str">
        <f>IF(VLOOKUP(operations[productID],products[],7,FALSE)=1,"Discontinued","Current")</f>
        <v>Current</v>
      </c>
      <c r="I374" s="6">
        <f>VLOOKUP(operations[productID],products[],4,FALSE)</f>
        <v>38</v>
      </c>
      <c r="J374" s="6">
        <f>VLOOKUP(operations[productID],products[],5,FALSE)</f>
        <v>0</v>
      </c>
      <c r="K374" s="6">
        <f>VLOOKUP(operations[productID],products[],6,FALSE)</f>
        <v>25</v>
      </c>
      <c r="L374" s="10">
        <f t="array" ref="L374">INDEX('1 orders'!I374:I2156, MATCH(1, ('1 orders'!A374:A2156=A374)*('1 orders'!G374:G2156=F374), 0))
</f>
        <v>20</v>
      </c>
      <c r="M374" s="10">
        <f>IFERROR(__xludf.DUMMYFUNCTION("COUNTUNIQUEIFS($A$2:$A374,$F$2:$F374,F374)"),3.0)</f>
        <v>3</v>
      </c>
      <c r="N374" s="10">
        <f t="shared" si="1"/>
        <v>59</v>
      </c>
      <c r="O374" s="26">
        <f>IF(operations[sinceLastOrder]=0,0,operations[orderQuantity] / operations[sinceLastOrder])</f>
        <v>0.3389830508</v>
      </c>
      <c r="P374" s="9">
        <v>34.86</v>
      </c>
      <c r="Q374" s="7" t="s">
        <v>15</v>
      </c>
      <c r="R374" s="10">
        <f>operations[arrivedDate]-operations[shippedDate]</f>
        <v>4</v>
      </c>
    </row>
    <row r="375" ht="15.75" customHeight="1">
      <c r="A375" s="6">
        <v>10388.0</v>
      </c>
      <c r="B375" s="24">
        <v>44914.0</v>
      </c>
      <c r="C375" s="24">
        <v>44942.0</v>
      </c>
      <c r="D375" s="24">
        <v>44915.0</v>
      </c>
      <c r="E375" s="24">
        <v>44919.0</v>
      </c>
      <c r="F375" s="6">
        <v>53.0</v>
      </c>
      <c r="G375" s="9" t="str">
        <f>VLOOKUP(operations[productID],products[],2,FALSE)</f>
        <v>Perth Pasties</v>
      </c>
      <c r="H375" s="9" t="str">
        <f>IF(VLOOKUP(operations[productID],products[],7,FALSE)=1,"Discontinued","Current")</f>
        <v>Discontinued</v>
      </c>
      <c r="I375" s="6">
        <f>VLOOKUP(operations[productID],products[],4,FALSE)</f>
        <v>0</v>
      </c>
      <c r="J375" s="6">
        <f>VLOOKUP(operations[productID],products[],5,FALSE)</f>
        <v>0</v>
      </c>
      <c r="K375" s="6">
        <f>VLOOKUP(operations[productID],products[],6,FALSE)</f>
        <v>0</v>
      </c>
      <c r="L375" s="10">
        <f t="array" ref="L375">INDEX('1 orders'!I375:I2156, MATCH(1, ('1 orders'!A375:A2156=A375)*('1 orders'!G375:G2156=F375), 0))
</f>
        <v>40</v>
      </c>
      <c r="M375" s="10">
        <f>IFERROR(__xludf.DUMMYFUNCTION("COUNTUNIQUEIFS($A$2:$A375,$F$2:$F375,F375)"),6.0)</f>
        <v>6</v>
      </c>
      <c r="N375" s="10">
        <f t="shared" si="1"/>
        <v>7</v>
      </c>
      <c r="O375" s="26">
        <f>IF(operations[sinceLastOrder]=0,0,operations[orderQuantity] / operations[sinceLastOrder])</f>
        <v>5.714285714</v>
      </c>
      <c r="P375" s="9">
        <v>34.86</v>
      </c>
      <c r="Q375" s="7" t="s">
        <v>15</v>
      </c>
      <c r="R375" s="10">
        <f>operations[arrivedDate]-operations[shippedDate]</f>
        <v>4</v>
      </c>
    </row>
    <row r="376" ht="15.75" customHeight="1">
      <c r="A376" s="6">
        <v>10389.0</v>
      </c>
      <c r="B376" s="24">
        <v>44915.0</v>
      </c>
      <c r="C376" s="24">
        <v>44943.0</v>
      </c>
      <c r="D376" s="24">
        <v>44919.0</v>
      </c>
      <c r="E376" s="24">
        <v>44934.0</v>
      </c>
      <c r="F376" s="6">
        <v>10.0</v>
      </c>
      <c r="G376" s="9" t="str">
        <f>VLOOKUP(operations[productID],products[],2,FALSE)</f>
        <v>Ikura</v>
      </c>
      <c r="H376" s="9" t="str">
        <f>IF(VLOOKUP(operations[productID],products[],7,FALSE)=1,"Discontinued","Current")</f>
        <v>Current</v>
      </c>
      <c r="I376" s="6">
        <f>VLOOKUP(operations[productID],products[],4,FALSE)</f>
        <v>31</v>
      </c>
      <c r="J376" s="6">
        <f>VLOOKUP(operations[productID],products[],5,FALSE)</f>
        <v>0</v>
      </c>
      <c r="K376" s="6">
        <f>VLOOKUP(operations[productID],products[],6,FALSE)</f>
        <v>0</v>
      </c>
      <c r="L376" s="10">
        <f t="array" ref="L376">INDEX('1 orders'!I376:I2156, MATCH(1, ('1 orders'!A376:A2156=A376)*('1 orders'!G376:G2156=F376), 0))
</f>
        <v>16</v>
      </c>
      <c r="M376" s="10">
        <f>IFERROR(__xludf.DUMMYFUNCTION("COUNTUNIQUEIFS($A$2:$A376,$F$2:$F376,F376)"),4.0)</f>
        <v>4</v>
      </c>
      <c r="N376" s="10">
        <f t="shared" si="1"/>
        <v>31</v>
      </c>
      <c r="O376" s="26">
        <f>IF(operations[sinceLastOrder]=0,0,operations[orderQuantity] / operations[sinceLastOrder])</f>
        <v>0.5161290323</v>
      </c>
      <c r="P376" s="9">
        <v>47.42</v>
      </c>
      <c r="Q376" s="7" t="s">
        <v>17</v>
      </c>
      <c r="R376" s="10">
        <f>operations[arrivedDate]-operations[shippedDate]</f>
        <v>15</v>
      </c>
    </row>
    <row r="377" ht="15.75" customHeight="1">
      <c r="A377" s="6">
        <v>10389.0</v>
      </c>
      <c r="B377" s="24">
        <v>44915.0</v>
      </c>
      <c r="C377" s="24">
        <v>44943.0</v>
      </c>
      <c r="D377" s="24">
        <v>44919.0</v>
      </c>
      <c r="E377" s="24">
        <v>44934.0</v>
      </c>
      <c r="F377" s="6">
        <v>55.0</v>
      </c>
      <c r="G377" s="9" t="str">
        <f>VLOOKUP(operations[productID],products[],2,FALSE)</f>
        <v>Pâté chinois</v>
      </c>
      <c r="H377" s="9" t="str">
        <f>IF(VLOOKUP(operations[productID],products[],7,FALSE)=1,"Discontinued","Current")</f>
        <v>Current</v>
      </c>
      <c r="I377" s="6">
        <f>VLOOKUP(operations[productID],products[],4,FALSE)</f>
        <v>115</v>
      </c>
      <c r="J377" s="6">
        <f>VLOOKUP(operations[productID],products[],5,FALSE)</f>
        <v>0</v>
      </c>
      <c r="K377" s="6">
        <f>VLOOKUP(operations[productID],products[],6,FALSE)</f>
        <v>20</v>
      </c>
      <c r="L377" s="10">
        <f t="array" ref="L377">INDEX('1 orders'!I377:I2156, MATCH(1, ('1 orders'!A377:A2156=A377)*('1 orders'!G377:G2156=F377), 0))
</f>
        <v>15</v>
      </c>
      <c r="M377" s="10">
        <f>IFERROR(__xludf.DUMMYFUNCTION("COUNTUNIQUEIFS($A$2:$A377,$F$2:$F377,F377)"),5.0)</f>
        <v>5</v>
      </c>
      <c r="N377" s="10">
        <f t="shared" si="1"/>
        <v>32</v>
      </c>
      <c r="O377" s="26">
        <f>IF(operations[sinceLastOrder]=0,0,operations[orderQuantity] / operations[sinceLastOrder])</f>
        <v>0.46875</v>
      </c>
      <c r="P377" s="9">
        <v>47.42</v>
      </c>
      <c r="Q377" s="7" t="s">
        <v>17</v>
      </c>
      <c r="R377" s="10">
        <f>operations[arrivedDate]-operations[shippedDate]</f>
        <v>15</v>
      </c>
    </row>
    <row r="378" ht="15.75" customHeight="1">
      <c r="A378" s="6">
        <v>10389.0</v>
      </c>
      <c r="B378" s="24">
        <v>44915.0</v>
      </c>
      <c r="C378" s="24">
        <v>44943.0</v>
      </c>
      <c r="D378" s="24">
        <v>44919.0</v>
      </c>
      <c r="E378" s="24">
        <v>44934.0</v>
      </c>
      <c r="F378" s="6">
        <v>62.0</v>
      </c>
      <c r="G378" s="9" t="str">
        <f>VLOOKUP(operations[productID],products[],2,FALSE)</f>
        <v>Tarte au sucre</v>
      </c>
      <c r="H378" s="9" t="str">
        <f>IF(VLOOKUP(operations[productID],products[],7,FALSE)=1,"Discontinued","Current")</f>
        <v>Current</v>
      </c>
      <c r="I378" s="6">
        <f>VLOOKUP(operations[productID],products[],4,FALSE)</f>
        <v>17</v>
      </c>
      <c r="J378" s="6">
        <f>VLOOKUP(operations[productID],products[],5,FALSE)</f>
        <v>0</v>
      </c>
      <c r="K378" s="6">
        <f>VLOOKUP(operations[productID],products[],6,FALSE)</f>
        <v>0</v>
      </c>
      <c r="L378" s="10">
        <f t="array" ref="L378">INDEX('1 orders'!I378:I2156, MATCH(1, ('1 orders'!A378:A2156=A378)*('1 orders'!G378:G2156=F378), 0))
</f>
        <v>20</v>
      </c>
      <c r="M378" s="10">
        <f>IFERROR(__xludf.DUMMYFUNCTION("COUNTUNIQUEIFS($A$2:$A378,$F$2:$F378,F378)"),10.0)</f>
        <v>10</v>
      </c>
      <c r="N378" s="10">
        <f t="shared" si="1"/>
        <v>53</v>
      </c>
      <c r="O378" s="26">
        <f>IF(operations[sinceLastOrder]=0,0,operations[orderQuantity] / operations[sinceLastOrder])</f>
        <v>0.3773584906</v>
      </c>
      <c r="P378" s="9">
        <v>47.42</v>
      </c>
      <c r="Q378" s="7" t="s">
        <v>17</v>
      </c>
      <c r="R378" s="10">
        <f>operations[arrivedDate]-operations[shippedDate]</f>
        <v>15</v>
      </c>
    </row>
    <row r="379" ht="15.75" customHeight="1">
      <c r="A379" s="6">
        <v>10389.0</v>
      </c>
      <c r="B379" s="24">
        <v>44915.0</v>
      </c>
      <c r="C379" s="24">
        <v>44943.0</v>
      </c>
      <c r="D379" s="24">
        <v>44919.0</v>
      </c>
      <c r="E379" s="24">
        <v>44934.0</v>
      </c>
      <c r="F379" s="6">
        <v>70.0</v>
      </c>
      <c r="G379" s="9" t="str">
        <f>VLOOKUP(operations[productID],products[],2,FALSE)</f>
        <v>Outback Lager</v>
      </c>
      <c r="H379" s="9" t="str">
        <f>IF(VLOOKUP(operations[productID],products[],7,FALSE)=1,"Discontinued","Current")</f>
        <v>Current</v>
      </c>
      <c r="I379" s="6">
        <f>VLOOKUP(operations[productID],products[],4,FALSE)</f>
        <v>15</v>
      </c>
      <c r="J379" s="6">
        <f>VLOOKUP(operations[productID],products[],5,FALSE)</f>
        <v>10</v>
      </c>
      <c r="K379" s="6">
        <f>VLOOKUP(operations[productID],products[],6,FALSE)</f>
        <v>30</v>
      </c>
      <c r="L379" s="10">
        <f t="array" ref="L379">INDEX('1 orders'!I379:I2156, MATCH(1, ('1 orders'!A379:A2156=A379)*('1 orders'!G379:G2156=F379), 0))
</f>
        <v>30</v>
      </c>
      <c r="M379" s="10">
        <f>IFERROR(__xludf.DUMMYFUNCTION("COUNTUNIQUEIFS($A$2:$A379,$F$2:$F379,F379)"),7.0)</f>
        <v>7</v>
      </c>
      <c r="N379" s="10">
        <f t="shared" si="1"/>
        <v>8</v>
      </c>
      <c r="O379" s="26">
        <f>IF(operations[sinceLastOrder]=0,0,operations[orderQuantity] / operations[sinceLastOrder])</f>
        <v>3.75</v>
      </c>
      <c r="P379" s="9">
        <v>47.42</v>
      </c>
      <c r="Q379" s="7" t="s">
        <v>17</v>
      </c>
      <c r="R379" s="10">
        <f>operations[arrivedDate]-operations[shippedDate]</f>
        <v>15</v>
      </c>
    </row>
    <row r="380" ht="15.75" customHeight="1">
      <c r="A380" s="6">
        <v>10390.0</v>
      </c>
      <c r="B380" s="24">
        <v>44918.0</v>
      </c>
      <c r="C380" s="24">
        <v>44946.0</v>
      </c>
      <c r="D380" s="24">
        <v>44921.0</v>
      </c>
      <c r="E380" s="24">
        <v>44929.0</v>
      </c>
      <c r="F380" s="6">
        <v>31.0</v>
      </c>
      <c r="G380" s="9" t="str">
        <f>VLOOKUP(operations[productID],products[],2,FALSE)</f>
        <v>Gorgonzola Telino</v>
      </c>
      <c r="H380" s="9" t="str">
        <f>IF(VLOOKUP(operations[productID],products[],7,FALSE)=1,"Discontinued","Current")</f>
        <v>Current</v>
      </c>
      <c r="I380" s="6">
        <f>VLOOKUP(operations[productID],products[],4,FALSE)</f>
        <v>0</v>
      </c>
      <c r="J380" s="6">
        <f>VLOOKUP(operations[productID],products[],5,FALSE)</f>
        <v>70</v>
      </c>
      <c r="K380" s="6">
        <f>VLOOKUP(operations[productID],products[],6,FALSE)</f>
        <v>20</v>
      </c>
      <c r="L380" s="10">
        <f t="array" ref="L380">INDEX('1 orders'!I380:I2156, MATCH(1, ('1 orders'!A380:A2156=A380)*('1 orders'!G380:G2156=F380), 0))
</f>
        <v>60</v>
      </c>
      <c r="M380" s="10">
        <f>IFERROR(__xludf.DUMMYFUNCTION("COUNTUNIQUEIFS($A$2:$A380,$F$2:$F380,F380)"),12.0)</f>
        <v>12</v>
      </c>
      <c r="N380" s="10">
        <f t="shared" si="1"/>
        <v>14</v>
      </c>
      <c r="O380" s="26">
        <f>IF(operations[sinceLastOrder]=0,0,operations[orderQuantity] / operations[sinceLastOrder])</f>
        <v>4.285714286</v>
      </c>
      <c r="P380" s="9">
        <v>126.38</v>
      </c>
      <c r="Q380" s="7" t="s">
        <v>15</v>
      </c>
      <c r="R380" s="10">
        <f>operations[arrivedDate]-operations[shippedDate]</f>
        <v>8</v>
      </c>
    </row>
    <row r="381" ht="15.75" customHeight="1">
      <c r="A381" s="6">
        <v>10390.0</v>
      </c>
      <c r="B381" s="24">
        <v>44918.0</v>
      </c>
      <c r="C381" s="24">
        <v>44946.0</v>
      </c>
      <c r="D381" s="24">
        <v>44921.0</v>
      </c>
      <c r="E381" s="24">
        <v>44929.0</v>
      </c>
      <c r="F381" s="6">
        <v>35.0</v>
      </c>
      <c r="G381" s="9" t="str">
        <f>VLOOKUP(operations[productID],products[],2,FALSE)</f>
        <v>Cold Brew Nitro</v>
      </c>
      <c r="H381" s="9" t="str">
        <f>IF(VLOOKUP(operations[productID],products[],7,FALSE)=1,"Discontinued","Current")</f>
        <v>Current</v>
      </c>
      <c r="I381" s="6">
        <f>VLOOKUP(operations[productID],products[],4,FALSE)</f>
        <v>20</v>
      </c>
      <c r="J381" s="6">
        <f>VLOOKUP(operations[productID],products[],5,FALSE)</f>
        <v>0</v>
      </c>
      <c r="K381" s="6">
        <f>VLOOKUP(operations[productID],products[],6,FALSE)</f>
        <v>15</v>
      </c>
      <c r="L381" s="10">
        <f t="array" ref="L381">INDEX('1 orders'!I381:I2156, MATCH(1, ('1 orders'!A381:A2156=A381)*('1 orders'!G381:G2156=F381), 0))
</f>
        <v>40</v>
      </c>
      <c r="M381" s="10">
        <f>IFERROR(__xludf.DUMMYFUNCTION("COUNTUNIQUEIFS($A$2:$A381,$F$2:$F381,F381)"),6.0)</f>
        <v>6</v>
      </c>
      <c r="N381" s="10">
        <f t="shared" si="1"/>
        <v>76</v>
      </c>
      <c r="O381" s="26">
        <f>IF(operations[sinceLastOrder]=0,0,operations[orderQuantity] / operations[sinceLastOrder])</f>
        <v>0.5263157895</v>
      </c>
      <c r="P381" s="9">
        <v>126.38</v>
      </c>
      <c r="Q381" s="7" t="s">
        <v>15</v>
      </c>
      <c r="R381" s="10">
        <f>operations[arrivedDate]-operations[shippedDate]</f>
        <v>8</v>
      </c>
    </row>
    <row r="382" ht="15.75" customHeight="1">
      <c r="A382" s="6">
        <v>10390.0</v>
      </c>
      <c r="B382" s="24">
        <v>44918.0</v>
      </c>
      <c r="C382" s="24">
        <v>44946.0</v>
      </c>
      <c r="D382" s="24">
        <v>44921.0</v>
      </c>
      <c r="E382" s="24">
        <v>44929.0</v>
      </c>
      <c r="F382" s="6">
        <v>46.0</v>
      </c>
      <c r="G382" s="9" t="str">
        <f>VLOOKUP(operations[productID],products[],2,FALSE)</f>
        <v>Spegesild</v>
      </c>
      <c r="H382" s="9" t="str">
        <f>IF(VLOOKUP(operations[productID],products[],7,FALSE)=1,"Discontinued","Current")</f>
        <v>Current</v>
      </c>
      <c r="I382" s="6">
        <f>VLOOKUP(operations[productID],products[],4,FALSE)</f>
        <v>95</v>
      </c>
      <c r="J382" s="6">
        <f>VLOOKUP(operations[productID],products[],5,FALSE)</f>
        <v>0</v>
      </c>
      <c r="K382" s="6">
        <f>VLOOKUP(operations[productID],products[],6,FALSE)</f>
        <v>0</v>
      </c>
      <c r="L382" s="10">
        <f t="array" ref="L382">INDEX('1 orders'!I382:I2156, MATCH(1, ('1 orders'!A382:A2156=A382)*('1 orders'!G382:G2156=F382), 0))
</f>
        <v>45</v>
      </c>
      <c r="M382" s="10">
        <f>IFERROR(__xludf.DUMMYFUNCTION("COUNTUNIQUEIFS($A$2:$A382,$F$2:$F382,F382)"),3.0)</f>
        <v>3</v>
      </c>
      <c r="N382" s="10">
        <f t="shared" si="1"/>
        <v>76</v>
      </c>
      <c r="O382" s="26">
        <f>IF(operations[sinceLastOrder]=0,0,operations[orderQuantity] / operations[sinceLastOrder])</f>
        <v>0.5921052632</v>
      </c>
      <c r="P382" s="9">
        <v>126.38</v>
      </c>
      <c r="Q382" s="7" t="s">
        <v>15</v>
      </c>
      <c r="R382" s="10">
        <f>operations[arrivedDate]-operations[shippedDate]</f>
        <v>8</v>
      </c>
    </row>
    <row r="383" ht="15.75" customHeight="1">
      <c r="A383" s="6">
        <v>10390.0</v>
      </c>
      <c r="B383" s="24">
        <v>44918.0</v>
      </c>
      <c r="C383" s="24">
        <v>44946.0</v>
      </c>
      <c r="D383" s="24">
        <v>44921.0</v>
      </c>
      <c r="E383" s="24">
        <v>44929.0</v>
      </c>
      <c r="F383" s="6">
        <v>72.0</v>
      </c>
      <c r="G383" s="9" t="str">
        <f>VLOOKUP(operations[productID],products[],2,FALSE)</f>
        <v>Mozzarella di Giovanni</v>
      </c>
      <c r="H383" s="9" t="str">
        <f>IF(VLOOKUP(operations[productID],products[],7,FALSE)=1,"Discontinued","Current")</f>
        <v>Current</v>
      </c>
      <c r="I383" s="6">
        <f>VLOOKUP(operations[productID],products[],4,FALSE)</f>
        <v>14</v>
      </c>
      <c r="J383" s="6">
        <f>VLOOKUP(operations[productID],products[],5,FALSE)</f>
        <v>0</v>
      </c>
      <c r="K383" s="6">
        <f>VLOOKUP(operations[productID],products[],6,FALSE)</f>
        <v>0</v>
      </c>
      <c r="L383" s="10">
        <f t="array" ref="L383">INDEX('1 orders'!I383:I2156, MATCH(1, ('1 orders'!A383:A2156=A383)*('1 orders'!G383:G2156=F383), 0))
</f>
        <v>24</v>
      </c>
      <c r="M383" s="10">
        <f>IFERROR(__xludf.DUMMYFUNCTION("COUNTUNIQUEIFS($A$2:$A383,$F$2:$F383,F383)"),12.0)</f>
        <v>12</v>
      </c>
      <c r="N383" s="10">
        <f t="shared" si="1"/>
        <v>19</v>
      </c>
      <c r="O383" s="26">
        <f>IF(operations[sinceLastOrder]=0,0,operations[orderQuantity] / operations[sinceLastOrder])</f>
        <v>1.263157895</v>
      </c>
      <c r="P383" s="9">
        <v>126.38</v>
      </c>
      <c r="Q383" s="7" t="s">
        <v>15</v>
      </c>
      <c r="R383" s="10">
        <f>operations[arrivedDate]-operations[shippedDate]</f>
        <v>8</v>
      </c>
    </row>
    <row r="384" ht="15.75" customHeight="1">
      <c r="A384" s="6">
        <v>10391.0</v>
      </c>
      <c r="B384" s="24">
        <v>44918.0</v>
      </c>
      <c r="C384" s="24">
        <v>44946.0</v>
      </c>
      <c r="D384" s="24">
        <v>44926.0</v>
      </c>
      <c r="E384" s="24">
        <v>44932.0</v>
      </c>
      <c r="F384" s="6">
        <v>13.0</v>
      </c>
      <c r="G384" s="9" t="str">
        <f>VLOOKUP(operations[productID],products[],2,FALSE)</f>
        <v>Konbu</v>
      </c>
      <c r="H384" s="9" t="str">
        <f>IF(VLOOKUP(operations[productID],products[],7,FALSE)=1,"Discontinued","Current")</f>
        <v>Current</v>
      </c>
      <c r="I384" s="6">
        <f>VLOOKUP(operations[productID],products[],4,FALSE)</f>
        <v>24</v>
      </c>
      <c r="J384" s="6">
        <f>VLOOKUP(operations[productID],products[],5,FALSE)</f>
        <v>0</v>
      </c>
      <c r="K384" s="6">
        <f>VLOOKUP(operations[productID],products[],6,FALSE)</f>
        <v>5</v>
      </c>
      <c r="L384" s="10">
        <f t="array" ref="L384">INDEX('1 orders'!I384:I2156, MATCH(1, ('1 orders'!A384:A2156=A384)*('1 orders'!G384:G2156=F384), 0))
</f>
        <v>18</v>
      </c>
      <c r="M384" s="10">
        <f>IFERROR(__xludf.DUMMYFUNCTION("COUNTUNIQUEIFS($A$2:$A384,$F$2:$F384,F384)"),5.0)</f>
        <v>5</v>
      </c>
      <c r="N384" s="10">
        <f t="shared" si="1"/>
        <v>7</v>
      </c>
      <c r="O384" s="26">
        <f>IF(operations[sinceLastOrder]=0,0,operations[orderQuantity] / operations[sinceLastOrder])</f>
        <v>2.571428571</v>
      </c>
      <c r="P384" s="9">
        <v>5.45</v>
      </c>
      <c r="Q384" s="7" t="s">
        <v>13</v>
      </c>
      <c r="R384" s="10">
        <f>operations[arrivedDate]-operations[shippedDate]</f>
        <v>6</v>
      </c>
    </row>
    <row r="385" ht="15.75" customHeight="1">
      <c r="A385" s="6">
        <v>10392.0</v>
      </c>
      <c r="B385" s="24">
        <v>44919.0</v>
      </c>
      <c r="C385" s="24">
        <v>44947.0</v>
      </c>
      <c r="D385" s="24">
        <v>44927.0</v>
      </c>
      <c r="E385" s="24">
        <v>44940.0</v>
      </c>
      <c r="F385" s="6">
        <v>69.0</v>
      </c>
      <c r="G385" s="9" t="str">
        <f>VLOOKUP(operations[productID],products[],2,FALSE)</f>
        <v>Gudbrandsdalsost</v>
      </c>
      <c r="H385" s="9" t="str">
        <f>IF(VLOOKUP(operations[productID],products[],7,FALSE)=1,"Discontinued","Current")</f>
        <v>Current</v>
      </c>
      <c r="I385" s="6">
        <f>VLOOKUP(operations[productID],products[],4,FALSE)</f>
        <v>26</v>
      </c>
      <c r="J385" s="6">
        <f>VLOOKUP(operations[productID],products[],5,FALSE)</f>
        <v>0</v>
      </c>
      <c r="K385" s="6">
        <f>VLOOKUP(operations[productID],products[],6,FALSE)</f>
        <v>15</v>
      </c>
      <c r="L385" s="10">
        <f t="array" ref="L385">INDEX('1 orders'!I385:I2156, MATCH(1, ('1 orders'!A385:A2156=A385)*('1 orders'!G385:G2156=F385), 0))
</f>
        <v>50</v>
      </c>
      <c r="M385" s="10">
        <f>IFERROR(__xludf.DUMMYFUNCTION("COUNTUNIQUEIFS($A$2:$A385,$F$2:$F385,F385)"),7.0)</f>
        <v>7</v>
      </c>
      <c r="N385" s="10">
        <f t="shared" si="1"/>
        <v>28</v>
      </c>
      <c r="O385" s="26">
        <f>IF(operations[sinceLastOrder]=0,0,operations[orderQuantity] / operations[sinceLastOrder])</f>
        <v>1.785714286</v>
      </c>
      <c r="P385" s="9">
        <v>122.46</v>
      </c>
      <c r="Q385" s="7" t="s">
        <v>13</v>
      </c>
      <c r="R385" s="10">
        <f>operations[arrivedDate]-operations[shippedDate]</f>
        <v>13</v>
      </c>
    </row>
    <row r="386" ht="15.75" customHeight="1">
      <c r="A386" s="6">
        <v>10393.0</v>
      </c>
      <c r="B386" s="24">
        <v>44920.0</v>
      </c>
      <c r="C386" s="24">
        <v>44948.0</v>
      </c>
      <c r="D386" s="24">
        <v>44929.0</v>
      </c>
      <c r="E386" s="24">
        <v>44946.0</v>
      </c>
      <c r="F386" s="6">
        <v>2.0</v>
      </c>
      <c r="G386" s="9" t="str">
        <f>VLOOKUP(operations[productID],products[],2,FALSE)</f>
        <v>Chang</v>
      </c>
      <c r="H386" s="9" t="str">
        <f>IF(VLOOKUP(operations[productID],products[],7,FALSE)=1,"Discontinued","Current")</f>
        <v>Current</v>
      </c>
      <c r="I386" s="6">
        <f>VLOOKUP(operations[productID],products[],4,FALSE)</f>
        <v>17</v>
      </c>
      <c r="J386" s="6">
        <f>VLOOKUP(operations[productID],products[],5,FALSE)</f>
        <v>40</v>
      </c>
      <c r="K386" s="6">
        <f>VLOOKUP(operations[productID],products[],6,FALSE)</f>
        <v>25</v>
      </c>
      <c r="L386" s="10">
        <f t="array" ref="L386">INDEX('1 orders'!I386:I2156, MATCH(1, ('1 orders'!A386:A2156=A386)*('1 orders'!G386:G2156=F386), 0))
</f>
        <v>25</v>
      </c>
      <c r="M386" s="10">
        <f>IFERROR(__xludf.DUMMYFUNCTION("COUNTUNIQUEIFS($A$2:$A386,$F$2:$F386,F386)"),8.0)</f>
        <v>8</v>
      </c>
      <c r="N386" s="10">
        <f t="shared" si="1"/>
        <v>56</v>
      </c>
      <c r="O386" s="26">
        <f>IF(operations[sinceLastOrder]=0,0,operations[orderQuantity] / operations[sinceLastOrder])</f>
        <v>0.4464285714</v>
      </c>
      <c r="P386" s="9">
        <v>126.56</v>
      </c>
      <c r="Q386" s="7" t="s">
        <v>13</v>
      </c>
      <c r="R386" s="10">
        <f>operations[arrivedDate]-operations[shippedDate]</f>
        <v>17</v>
      </c>
    </row>
    <row r="387" ht="15.75" customHeight="1">
      <c r="A387" s="6">
        <v>10393.0</v>
      </c>
      <c r="B387" s="24">
        <v>44920.0</v>
      </c>
      <c r="C387" s="24">
        <v>44948.0</v>
      </c>
      <c r="D387" s="24">
        <v>44929.0</v>
      </c>
      <c r="E387" s="24">
        <v>44946.0</v>
      </c>
      <c r="F387" s="6">
        <v>14.0</v>
      </c>
      <c r="G387" s="9" t="str">
        <f>VLOOKUP(operations[productID],products[],2,FALSE)</f>
        <v>Tofu</v>
      </c>
      <c r="H387" s="9" t="str">
        <f>IF(VLOOKUP(operations[productID],products[],7,FALSE)=1,"Discontinued","Current")</f>
        <v>Current</v>
      </c>
      <c r="I387" s="6">
        <f>VLOOKUP(operations[productID],products[],4,FALSE)</f>
        <v>35</v>
      </c>
      <c r="J387" s="6">
        <f>VLOOKUP(operations[productID],products[],5,FALSE)</f>
        <v>0</v>
      </c>
      <c r="K387" s="6">
        <f>VLOOKUP(operations[productID],products[],6,FALSE)</f>
        <v>0</v>
      </c>
      <c r="L387" s="10">
        <f t="array" ref="L387">INDEX('1 orders'!I387:I2156, MATCH(1, ('1 orders'!A387:A2156=A387)*('1 orders'!G387:G2156=F387), 0))
</f>
        <v>42</v>
      </c>
      <c r="M387" s="10">
        <f>IFERROR(__xludf.DUMMYFUNCTION("COUNTUNIQUEIFS($A$2:$A387,$F$2:$F387,F387)"),5.0)</f>
        <v>5</v>
      </c>
      <c r="N387" s="10">
        <f t="shared" si="1"/>
        <v>19</v>
      </c>
      <c r="O387" s="26">
        <f>IF(operations[sinceLastOrder]=0,0,operations[orderQuantity] / operations[sinceLastOrder])</f>
        <v>2.210526316</v>
      </c>
      <c r="P387" s="9">
        <v>126.56</v>
      </c>
      <c r="Q387" s="7" t="s">
        <v>13</v>
      </c>
      <c r="R387" s="10">
        <f>operations[arrivedDate]-operations[shippedDate]</f>
        <v>17</v>
      </c>
    </row>
    <row r="388" ht="15.75" customHeight="1">
      <c r="A388" s="6">
        <v>10393.0</v>
      </c>
      <c r="B388" s="24">
        <v>44920.0</v>
      </c>
      <c r="C388" s="24">
        <v>44948.0</v>
      </c>
      <c r="D388" s="24">
        <v>44929.0</v>
      </c>
      <c r="E388" s="24">
        <v>44946.0</v>
      </c>
      <c r="F388" s="6">
        <v>25.0</v>
      </c>
      <c r="G388" s="9" t="str">
        <f>VLOOKUP(operations[productID],products[],2,FALSE)</f>
        <v>HM Köstliche Kaiserschmarrn Knödelchen</v>
      </c>
      <c r="H388" s="9" t="str">
        <f>IF(VLOOKUP(operations[productID],products[],7,FALSE)=1,"Discontinued","Current")</f>
        <v>Current</v>
      </c>
      <c r="I388" s="6">
        <f>VLOOKUP(operations[productID],products[],4,FALSE)</f>
        <v>76</v>
      </c>
      <c r="J388" s="6">
        <f>VLOOKUP(operations[productID],products[],5,FALSE)</f>
        <v>0</v>
      </c>
      <c r="K388" s="6">
        <f>VLOOKUP(operations[productID],products[],6,FALSE)</f>
        <v>30</v>
      </c>
      <c r="L388" s="10">
        <f t="array" ref="L388">INDEX('1 orders'!I388:I2156, MATCH(1, ('1 orders'!A388:A2156=A388)*('1 orders'!G388:G2156=F388), 0))
</f>
        <v>7</v>
      </c>
      <c r="M388" s="10">
        <f>IFERROR(__xludf.DUMMYFUNCTION("COUNTUNIQUEIFS($A$2:$A388,$F$2:$F388,F388)"),4.0)</f>
        <v>4</v>
      </c>
      <c r="N388" s="10">
        <f t="shared" si="1"/>
        <v>30</v>
      </c>
      <c r="O388" s="26">
        <f>IF(operations[sinceLastOrder]=0,0,operations[orderQuantity] / operations[sinceLastOrder])</f>
        <v>0.2333333333</v>
      </c>
      <c r="P388" s="9">
        <v>126.56</v>
      </c>
      <c r="Q388" s="7" t="s">
        <v>13</v>
      </c>
      <c r="R388" s="10">
        <f>operations[arrivedDate]-operations[shippedDate]</f>
        <v>17</v>
      </c>
    </row>
    <row r="389" ht="15.75" customHeight="1">
      <c r="A389" s="6">
        <v>10393.0</v>
      </c>
      <c r="B389" s="24">
        <v>44920.0</v>
      </c>
      <c r="C389" s="24">
        <v>44948.0</v>
      </c>
      <c r="D389" s="24">
        <v>44929.0</v>
      </c>
      <c r="E389" s="24">
        <v>44946.0</v>
      </c>
      <c r="F389" s="6">
        <v>26.0</v>
      </c>
      <c r="G389" s="9" t="str">
        <f>VLOOKUP(operations[productID],products[],2,FALSE)</f>
        <v>NuNuCa Nuß-Nougat-Creme</v>
      </c>
      <c r="H389" s="9" t="str">
        <f>IF(VLOOKUP(operations[productID],products[],7,FALSE)=1,"Discontinued","Current")</f>
        <v>Current</v>
      </c>
      <c r="I389" s="6">
        <f>VLOOKUP(operations[productID],products[],4,FALSE)</f>
        <v>15</v>
      </c>
      <c r="J389" s="6">
        <f>VLOOKUP(operations[productID],products[],5,FALSE)</f>
        <v>0</v>
      </c>
      <c r="K389" s="6">
        <f>VLOOKUP(operations[productID],products[],6,FALSE)</f>
        <v>0</v>
      </c>
      <c r="L389" s="10">
        <f t="array" ref="L389">INDEX('1 orders'!I389:I2156, MATCH(1, ('1 orders'!A389:A2156=A389)*('1 orders'!G389:G2156=F389), 0))
</f>
        <v>70</v>
      </c>
      <c r="M389" s="10">
        <f>IFERROR(__xludf.DUMMYFUNCTION("COUNTUNIQUEIFS($A$2:$A389,$F$2:$F389,F389)"),4.0)</f>
        <v>4</v>
      </c>
      <c r="N389" s="10">
        <f t="shared" si="1"/>
        <v>36</v>
      </c>
      <c r="O389" s="26">
        <f>IF(operations[sinceLastOrder]=0,0,operations[orderQuantity] / operations[sinceLastOrder])</f>
        <v>1.944444444</v>
      </c>
      <c r="P389" s="9">
        <v>126.56</v>
      </c>
      <c r="Q389" s="7" t="s">
        <v>13</v>
      </c>
      <c r="R389" s="10">
        <f>operations[arrivedDate]-operations[shippedDate]</f>
        <v>17</v>
      </c>
    </row>
    <row r="390" ht="15.75" customHeight="1">
      <c r="A390" s="6">
        <v>10393.0</v>
      </c>
      <c r="B390" s="24">
        <v>44920.0</v>
      </c>
      <c r="C390" s="24">
        <v>44948.0</v>
      </c>
      <c r="D390" s="24">
        <v>44929.0</v>
      </c>
      <c r="E390" s="24">
        <v>44946.0</v>
      </c>
      <c r="F390" s="6">
        <v>31.0</v>
      </c>
      <c r="G390" s="9" t="str">
        <f>VLOOKUP(operations[productID],products[],2,FALSE)</f>
        <v>Gorgonzola Telino</v>
      </c>
      <c r="H390" s="9" t="str">
        <f>IF(VLOOKUP(operations[productID],products[],7,FALSE)=1,"Discontinued","Current")</f>
        <v>Current</v>
      </c>
      <c r="I390" s="6">
        <f>VLOOKUP(operations[productID],products[],4,FALSE)</f>
        <v>0</v>
      </c>
      <c r="J390" s="6">
        <f>VLOOKUP(operations[productID],products[],5,FALSE)</f>
        <v>70</v>
      </c>
      <c r="K390" s="6">
        <f>VLOOKUP(operations[productID],products[],6,FALSE)</f>
        <v>20</v>
      </c>
      <c r="L390" s="10">
        <f t="array" ref="L390">INDEX('1 orders'!I390:I2156, MATCH(1, ('1 orders'!A390:A2156=A390)*('1 orders'!G390:G2156=F390), 0))
</f>
        <v>32</v>
      </c>
      <c r="M390" s="10">
        <f>IFERROR(__xludf.DUMMYFUNCTION("COUNTUNIQUEIFS($A$2:$A390,$F$2:$F390,F390)"),13.0)</f>
        <v>13</v>
      </c>
      <c r="N390" s="10">
        <f t="shared" si="1"/>
        <v>2</v>
      </c>
      <c r="O390" s="26">
        <f>IF(operations[sinceLastOrder]=0,0,operations[orderQuantity] / operations[sinceLastOrder])</f>
        <v>16</v>
      </c>
      <c r="P390" s="9">
        <v>126.56</v>
      </c>
      <c r="Q390" s="7" t="s">
        <v>13</v>
      </c>
      <c r="R390" s="10">
        <f>operations[arrivedDate]-operations[shippedDate]</f>
        <v>17</v>
      </c>
    </row>
    <row r="391" ht="15.75" customHeight="1">
      <c r="A391" s="6">
        <v>10394.0</v>
      </c>
      <c r="B391" s="24">
        <v>44920.0</v>
      </c>
      <c r="C391" s="24">
        <v>44948.0</v>
      </c>
      <c r="D391" s="24">
        <v>44929.0</v>
      </c>
      <c r="E391" s="24">
        <v>44943.0</v>
      </c>
      <c r="F391" s="6">
        <v>13.0</v>
      </c>
      <c r="G391" s="9" t="str">
        <f>VLOOKUP(operations[productID],products[],2,FALSE)</f>
        <v>Konbu</v>
      </c>
      <c r="H391" s="9" t="str">
        <f>IF(VLOOKUP(operations[productID],products[],7,FALSE)=1,"Discontinued","Current")</f>
        <v>Current</v>
      </c>
      <c r="I391" s="6">
        <f>VLOOKUP(operations[productID],products[],4,FALSE)</f>
        <v>24</v>
      </c>
      <c r="J391" s="6">
        <f>VLOOKUP(operations[productID],products[],5,FALSE)</f>
        <v>0</v>
      </c>
      <c r="K391" s="6">
        <f>VLOOKUP(operations[productID],products[],6,FALSE)</f>
        <v>5</v>
      </c>
      <c r="L391" s="10">
        <f t="array" ref="L391">INDEX('1 orders'!I391:I2156, MATCH(1, ('1 orders'!A391:A2156=A391)*('1 orders'!G391:G2156=F391), 0))
</f>
        <v>10</v>
      </c>
      <c r="M391" s="10">
        <f>IFERROR(__xludf.DUMMYFUNCTION("COUNTUNIQUEIFS($A$2:$A391,$F$2:$F391,F391)"),6.0)</f>
        <v>6</v>
      </c>
      <c r="N391" s="10">
        <f t="shared" si="1"/>
        <v>2</v>
      </c>
      <c r="O391" s="26">
        <f>IF(operations[sinceLastOrder]=0,0,operations[orderQuantity] / operations[sinceLastOrder])</f>
        <v>5</v>
      </c>
      <c r="P391" s="9">
        <v>30.34</v>
      </c>
      <c r="Q391" s="7" t="s">
        <v>13</v>
      </c>
      <c r="R391" s="10">
        <f>operations[arrivedDate]-operations[shippedDate]</f>
        <v>14</v>
      </c>
    </row>
    <row r="392" ht="15.75" customHeight="1">
      <c r="A392" s="6">
        <v>10394.0</v>
      </c>
      <c r="B392" s="24">
        <v>44920.0</v>
      </c>
      <c r="C392" s="24">
        <v>44948.0</v>
      </c>
      <c r="D392" s="24">
        <v>44929.0</v>
      </c>
      <c r="E392" s="24">
        <v>44943.0</v>
      </c>
      <c r="F392" s="6">
        <v>62.0</v>
      </c>
      <c r="G392" s="9" t="str">
        <f>VLOOKUP(operations[productID],products[],2,FALSE)</f>
        <v>Tarte au sucre</v>
      </c>
      <c r="H392" s="9" t="str">
        <f>IF(VLOOKUP(operations[productID],products[],7,FALSE)=1,"Discontinued","Current")</f>
        <v>Current</v>
      </c>
      <c r="I392" s="6">
        <f>VLOOKUP(operations[productID],products[],4,FALSE)</f>
        <v>17</v>
      </c>
      <c r="J392" s="6">
        <f>VLOOKUP(operations[productID],products[],5,FALSE)</f>
        <v>0</v>
      </c>
      <c r="K392" s="6">
        <f>VLOOKUP(operations[productID],products[],6,FALSE)</f>
        <v>0</v>
      </c>
      <c r="L392" s="10">
        <f t="array" ref="L392">INDEX('1 orders'!I392:I2156, MATCH(1, ('1 orders'!A392:A2156=A392)*('1 orders'!G392:G2156=F392), 0))
</f>
        <v>10</v>
      </c>
      <c r="M392" s="10">
        <f>IFERROR(__xludf.DUMMYFUNCTION("COUNTUNIQUEIFS($A$2:$A392,$F$2:$F392,F392)"),11.0)</f>
        <v>11</v>
      </c>
      <c r="N392" s="10">
        <f t="shared" si="1"/>
        <v>5</v>
      </c>
      <c r="O392" s="26">
        <f>IF(operations[sinceLastOrder]=0,0,operations[orderQuantity] / operations[sinceLastOrder])</f>
        <v>2</v>
      </c>
      <c r="P392" s="9">
        <v>30.34</v>
      </c>
      <c r="Q392" s="7" t="s">
        <v>13</v>
      </c>
      <c r="R392" s="10">
        <f>operations[arrivedDate]-operations[shippedDate]</f>
        <v>14</v>
      </c>
    </row>
    <row r="393" ht="15.75" customHeight="1">
      <c r="A393" s="6">
        <v>10395.0</v>
      </c>
      <c r="B393" s="24">
        <v>44921.0</v>
      </c>
      <c r="C393" s="24">
        <v>44949.0</v>
      </c>
      <c r="D393" s="24">
        <v>44929.0</v>
      </c>
      <c r="E393" s="24">
        <v>44938.0</v>
      </c>
      <c r="F393" s="6">
        <v>46.0</v>
      </c>
      <c r="G393" s="9" t="str">
        <f>VLOOKUP(operations[productID],products[],2,FALSE)</f>
        <v>Spegesild</v>
      </c>
      <c r="H393" s="9" t="str">
        <f>IF(VLOOKUP(operations[productID],products[],7,FALSE)=1,"Discontinued","Current")</f>
        <v>Current</v>
      </c>
      <c r="I393" s="6">
        <f>VLOOKUP(operations[productID],products[],4,FALSE)</f>
        <v>95</v>
      </c>
      <c r="J393" s="6">
        <f>VLOOKUP(operations[productID],products[],5,FALSE)</f>
        <v>0</v>
      </c>
      <c r="K393" s="6">
        <f>VLOOKUP(operations[productID],products[],6,FALSE)</f>
        <v>0</v>
      </c>
      <c r="L393" s="10">
        <f t="array" ref="L393">INDEX('1 orders'!I393:I2156, MATCH(1, ('1 orders'!A393:A2156=A393)*('1 orders'!G393:G2156=F393), 0))
</f>
        <v>28</v>
      </c>
      <c r="M393" s="10">
        <f>IFERROR(__xludf.DUMMYFUNCTION("COUNTUNIQUEIFS($A$2:$A393,$F$2:$F393,F393)"),4.0)</f>
        <v>4</v>
      </c>
      <c r="N393" s="10">
        <f t="shared" si="1"/>
        <v>3</v>
      </c>
      <c r="O393" s="26">
        <f>IF(operations[sinceLastOrder]=0,0,operations[orderQuantity] / operations[sinceLastOrder])</f>
        <v>9.333333333</v>
      </c>
      <c r="P393" s="9">
        <v>184.41</v>
      </c>
      <c r="Q393" s="7" t="s">
        <v>15</v>
      </c>
      <c r="R393" s="10">
        <f>operations[arrivedDate]-operations[shippedDate]</f>
        <v>9</v>
      </c>
    </row>
    <row r="394" ht="15.75" customHeight="1">
      <c r="A394" s="6">
        <v>10395.0</v>
      </c>
      <c r="B394" s="24">
        <v>44921.0</v>
      </c>
      <c r="C394" s="24">
        <v>44949.0</v>
      </c>
      <c r="D394" s="24">
        <v>44929.0</v>
      </c>
      <c r="E394" s="24">
        <v>44938.0</v>
      </c>
      <c r="F394" s="6">
        <v>53.0</v>
      </c>
      <c r="G394" s="9" t="str">
        <f>VLOOKUP(operations[productID],products[],2,FALSE)</f>
        <v>Perth Pasties</v>
      </c>
      <c r="H394" s="9" t="str">
        <f>IF(VLOOKUP(operations[productID],products[],7,FALSE)=1,"Discontinued","Current")</f>
        <v>Discontinued</v>
      </c>
      <c r="I394" s="6">
        <f>VLOOKUP(operations[productID],products[],4,FALSE)</f>
        <v>0</v>
      </c>
      <c r="J394" s="6">
        <f>VLOOKUP(operations[productID],products[],5,FALSE)</f>
        <v>0</v>
      </c>
      <c r="K394" s="6">
        <f>VLOOKUP(operations[productID],products[],6,FALSE)</f>
        <v>0</v>
      </c>
      <c r="L394" s="10">
        <f t="array" ref="L394">INDEX('1 orders'!I394:I2156, MATCH(1, ('1 orders'!A394:A2156=A394)*('1 orders'!G394:G2156=F394), 0))
</f>
        <v>70</v>
      </c>
      <c r="M394" s="10">
        <f>IFERROR(__xludf.DUMMYFUNCTION("COUNTUNIQUEIFS($A$2:$A394,$F$2:$F394,F394)"),7.0)</f>
        <v>7</v>
      </c>
      <c r="N394" s="10">
        <f t="shared" si="1"/>
        <v>7</v>
      </c>
      <c r="O394" s="26">
        <f>IF(operations[sinceLastOrder]=0,0,operations[orderQuantity] / operations[sinceLastOrder])</f>
        <v>10</v>
      </c>
      <c r="P394" s="9">
        <v>184.41</v>
      </c>
      <c r="Q394" s="7" t="s">
        <v>15</v>
      </c>
      <c r="R394" s="10">
        <f>operations[arrivedDate]-operations[shippedDate]</f>
        <v>9</v>
      </c>
    </row>
    <row r="395" ht="15.75" customHeight="1">
      <c r="A395" s="6">
        <v>10395.0</v>
      </c>
      <c r="B395" s="24">
        <v>44921.0</v>
      </c>
      <c r="C395" s="24">
        <v>44949.0</v>
      </c>
      <c r="D395" s="24">
        <v>44929.0</v>
      </c>
      <c r="E395" s="24">
        <v>44938.0</v>
      </c>
      <c r="F395" s="6">
        <v>69.0</v>
      </c>
      <c r="G395" s="9" t="str">
        <f>VLOOKUP(operations[productID],products[],2,FALSE)</f>
        <v>Gudbrandsdalsost</v>
      </c>
      <c r="H395" s="9" t="str">
        <f>IF(VLOOKUP(operations[productID],products[],7,FALSE)=1,"Discontinued","Current")</f>
        <v>Current</v>
      </c>
      <c r="I395" s="6">
        <f>VLOOKUP(operations[productID],products[],4,FALSE)</f>
        <v>26</v>
      </c>
      <c r="J395" s="6">
        <f>VLOOKUP(operations[productID],products[],5,FALSE)</f>
        <v>0</v>
      </c>
      <c r="K395" s="6">
        <f>VLOOKUP(operations[productID],products[],6,FALSE)</f>
        <v>15</v>
      </c>
      <c r="L395" s="10">
        <f t="array" ref="L395">INDEX('1 orders'!I395:I2156, MATCH(1, ('1 orders'!A395:A2156=A395)*('1 orders'!G395:G2156=F395), 0))
</f>
        <v>8</v>
      </c>
      <c r="M395" s="10">
        <f>IFERROR(__xludf.DUMMYFUNCTION("COUNTUNIQUEIFS($A$2:$A395,$F$2:$F395,F395)"),8.0)</f>
        <v>8</v>
      </c>
      <c r="N395" s="10">
        <f t="shared" si="1"/>
        <v>2</v>
      </c>
      <c r="O395" s="26">
        <f>IF(operations[sinceLastOrder]=0,0,operations[orderQuantity] / operations[sinceLastOrder])</f>
        <v>4</v>
      </c>
      <c r="P395" s="9">
        <v>184.41</v>
      </c>
      <c r="Q395" s="7" t="s">
        <v>15</v>
      </c>
      <c r="R395" s="10">
        <f>operations[arrivedDate]-operations[shippedDate]</f>
        <v>9</v>
      </c>
    </row>
    <row r="396" ht="15.75" customHeight="1">
      <c r="A396" s="6">
        <v>10396.0</v>
      </c>
      <c r="B396" s="24">
        <v>44922.0</v>
      </c>
      <c r="C396" s="24">
        <v>44936.0</v>
      </c>
      <c r="D396" s="24">
        <v>44932.0</v>
      </c>
      <c r="E396" s="24">
        <v>44936.0</v>
      </c>
      <c r="F396" s="6">
        <v>23.0</v>
      </c>
      <c r="G396" s="9" t="str">
        <f>VLOOKUP(operations[productID],products[],2,FALSE)</f>
        <v>Tunnbröd</v>
      </c>
      <c r="H396" s="9" t="str">
        <f>IF(VLOOKUP(operations[productID],products[],7,FALSE)=1,"Discontinued","Current")</f>
        <v>Current</v>
      </c>
      <c r="I396" s="6">
        <f>VLOOKUP(operations[productID],products[],4,FALSE)</f>
        <v>61</v>
      </c>
      <c r="J396" s="6">
        <f>VLOOKUP(operations[productID],products[],5,FALSE)</f>
        <v>0</v>
      </c>
      <c r="K396" s="6">
        <f>VLOOKUP(operations[productID],products[],6,FALSE)</f>
        <v>25</v>
      </c>
      <c r="L396" s="10">
        <f t="array" ref="L396">INDEX('1 orders'!I396:I2156, MATCH(1, ('1 orders'!A396:A2156=A396)*('1 orders'!G396:G2156=F396), 0))
</f>
        <v>40</v>
      </c>
      <c r="M396" s="10">
        <f>IFERROR(__xludf.DUMMYFUNCTION("COUNTUNIQUEIFS($A$2:$A396,$F$2:$F396,F396)"),3.0)</f>
        <v>3</v>
      </c>
      <c r="N396" s="10">
        <f t="shared" si="1"/>
        <v>50</v>
      </c>
      <c r="O396" s="26">
        <f>IF(operations[sinceLastOrder]=0,0,operations[orderQuantity] / operations[sinceLastOrder])</f>
        <v>0.8</v>
      </c>
      <c r="P396" s="9">
        <v>135.35</v>
      </c>
      <c r="Q396" s="7" t="s">
        <v>13</v>
      </c>
      <c r="R396" s="10">
        <f>operations[arrivedDate]-operations[shippedDate]</f>
        <v>4</v>
      </c>
    </row>
    <row r="397" ht="15.75" customHeight="1">
      <c r="A397" s="6">
        <v>10396.0</v>
      </c>
      <c r="B397" s="24">
        <v>44922.0</v>
      </c>
      <c r="C397" s="24">
        <v>44936.0</v>
      </c>
      <c r="D397" s="24">
        <v>44932.0</v>
      </c>
      <c r="E397" s="24">
        <v>44936.0</v>
      </c>
      <c r="F397" s="6">
        <v>71.0</v>
      </c>
      <c r="G397" s="9" t="str">
        <f>VLOOKUP(operations[productID],products[],2,FALSE)</f>
        <v>Flotemysost</v>
      </c>
      <c r="H397" s="9" t="str">
        <f>IF(VLOOKUP(operations[productID],products[],7,FALSE)=1,"Discontinued","Current")</f>
        <v>Current</v>
      </c>
      <c r="I397" s="6">
        <f>VLOOKUP(operations[productID],products[],4,FALSE)</f>
        <v>26</v>
      </c>
      <c r="J397" s="6">
        <f>VLOOKUP(operations[productID],products[],5,FALSE)</f>
        <v>0</v>
      </c>
      <c r="K397" s="6">
        <f>VLOOKUP(operations[productID],products[],6,FALSE)</f>
        <v>0</v>
      </c>
      <c r="L397" s="10">
        <f t="array" ref="L397">INDEX('1 orders'!I397:I2156, MATCH(1, ('1 orders'!A397:A2156=A397)*('1 orders'!G397:G2156=F397), 0))
</f>
        <v>60</v>
      </c>
      <c r="M397" s="10">
        <f>IFERROR(__xludf.DUMMYFUNCTION("COUNTUNIQUEIFS($A$2:$A397,$F$2:$F397,F397)"),10.0)</f>
        <v>10</v>
      </c>
      <c r="N397" s="10">
        <f t="shared" si="1"/>
        <v>9</v>
      </c>
      <c r="O397" s="26">
        <f>IF(operations[sinceLastOrder]=0,0,operations[orderQuantity] / operations[sinceLastOrder])</f>
        <v>6.666666667</v>
      </c>
      <c r="P397" s="9">
        <v>135.35</v>
      </c>
      <c r="Q397" s="7" t="s">
        <v>13</v>
      </c>
      <c r="R397" s="10">
        <f>operations[arrivedDate]-operations[shippedDate]</f>
        <v>4</v>
      </c>
    </row>
    <row r="398" ht="15.75" customHeight="1">
      <c r="A398" s="6">
        <v>10396.0</v>
      </c>
      <c r="B398" s="24">
        <v>44922.0</v>
      </c>
      <c r="C398" s="24">
        <v>44936.0</v>
      </c>
      <c r="D398" s="24">
        <v>44932.0</v>
      </c>
      <c r="E398" s="24">
        <v>44936.0</v>
      </c>
      <c r="F398" s="6">
        <v>72.0</v>
      </c>
      <c r="G398" s="9" t="str">
        <f>VLOOKUP(operations[productID],products[],2,FALSE)</f>
        <v>Mozzarella di Giovanni</v>
      </c>
      <c r="H398" s="9" t="str">
        <f>IF(VLOOKUP(operations[productID],products[],7,FALSE)=1,"Discontinued","Current")</f>
        <v>Current</v>
      </c>
      <c r="I398" s="6">
        <f>VLOOKUP(operations[productID],products[],4,FALSE)</f>
        <v>14</v>
      </c>
      <c r="J398" s="6">
        <f>VLOOKUP(operations[productID],products[],5,FALSE)</f>
        <v>0</v>
      </c>
      <c r="K398" s="6">
        <f>VLOOKUP(operations[productID],products[],6,FALSE)</f>
        <v>0</v>
      </c>
      <c r="L398" s="10">
        <f t="array" ref="L398">INDEX('1 orders'!I398:I2156, MATCH(1, ('1 orders'!A398:A2156=A398)*('1 orders'!G398:G2156=F398), 0))
</f>
        <v>21</v>
      </c>
      <c r="M398" s="10">
        <f>IFERROR(__xludf.DUMMYFUNCTION("COUNTUNIQUEIFS($A$2:$A398,$F$2:$F398,F398)"),13.0)</f>
        <v>13</v>
      </c>
      <c r="N398" s="10">
        <f t="shared" si="1"/>
        <v>4</v>
      </c>
      <c r="O398" s="26">
        <f>IF(operations[sinceLastOrder]=0,0,operations[orderQuantity] / operations[sinceLastOrder])</f>
        <v>5.25</v>
      </c>
      <c r="P398" s="9">
        <v>135.35</v>
      </c>
      <c r="Q398" s="7" t="s">
        <v>13</v>
      </c>
      <c r="R398" s="10">
        <f>operations[arrivedDate]-operations[shippedDate]</f>
        <v>4</v>
      </c>
    </row>
    <row r="399" ht="15.75" customHeight="1">
      <c r="A399" s="6">
        <v>10397.0</v>
      </c>
      <c r="B399" s="24">
        <v>44922.0</v>
      </c>
      <c r="C399" s="24">
        <v>44950.0</v>
      </c>
      <c r="D399" s="24">
        <v>44928.0</v>
      </c>
      <c r="E399" s="24">
        <v>44937.0</v>
      </c>
      <c r="F399" s="6">
        <v>21.0</v>
      </c>
      <c r="G399" s="9" t="str">
        <f>VLOOKUP(operations[productID],products[],2,FALSE)</f>
        <v>Sir Rodney's Scones</v>
      </c>
      <c r="H399" s="9" t="str">
        <f>IF(VLOOKUP(operations[productID],products[],7,FALSE)=1,"Discontinued","Current")</f>
        <v>Current</v>
      </c>
      <c r="I399" s="6">
        <f>VLOOKUP(operations[productID],products[],4,FALSE)</f>
        <v>3</v>
      </c>
      <c r="J399" s="6">
        <f>VLOOKUP(operations[productID],products[],5,FALSE)</f>
        <v>40</v>
      </c>
      <c r="K399" s="6">
        <f>VLOOKUP(operations[productID],products[],6,FALSE)</f>
        <v>5</v>
      </c>
      <c r="L399" s="10">
        <f t="array" ref="L399">INDEX('1 orders'!I399:I2156, MATCH(1, ('1 orders'!A399:A2156=A399)*('1 orders'!G399:G2156=F399), 0))
</f>
        <v>10</v>
      </c>
      <c r="M399" s="10">
        <f>IFERROR(__xludf.DUMMYFUNCTION("COUNTUNIQUEIFS($A$2:$A399,$F$2:$F399,F399)"),5.0)</f>
        <v>5</v>
      </c>
      <c r="N399" s="10">
        <f t="shared" si="1"/>
        <v>28</v>
      </c>
      <c r="O399" s="26">
        <f>IF(operations[sinceLastOrder]=0,0,operations[orderQuantity] / operations[sinceLastOrder])</f>
        <v>0.3571428571</v>
      </c>
      <c r="P399" s="9">
        <v>60.26</v>
      </c>
      <c r="Q399" s="7" t="s">
        <v>15</v>
      </c>
      <c r="R399" s="10">
        <f>operations[arrivedDate]-operations[shippedDate]</f>
        <v>9</v>
      </c>
    </row>
    <row r="400" ht="15.75" customHeight="1">
      <c r="A400" s="6">
        <v>10397.0</v>
      </c>
      <c r="B400" s="24">
        <v>44922.0</v>
      </c>
      <c r="C400" s="24">
        <v>44950.0</v>
      </c>
      <c r="D400" s="24">
        <v>44928.0</v>
      </c>
      <c r="E400" s="24">
        <v>44937.0</v>
      </c>
      <c r="F400" s="6">
        <v>51.0</v>
      </c>
      <c r="G400" s="9" t="str">
        <f>VLOOKUP(operations[productID],products[],2,FALSE)</f>
        <v>Manjimup Dried Apples</v>
      </c>
      <c r="H400" s="9" t="str">
        <f>IF(VLOOKUP(operations[productID],products[],7,FALSE)=1,"Discontinued","Current")</f>
        <v>Current</v>
      </c>
      <c r="I400" s="6">
        <f>VLOOKUP(operations[productID],products[],4,FALSE)</f>
        <v>20</v>
      </c>
      <c r="J400" s="6">
        <f>VLOOKUP(operations[productID],products[],5,FALSE)</f>
        <v>0</v>
      </c>
      <c r="K400" s="6">
        <f>VLOOKUP(operations[productID],products[],6,FALSE)</f>
        <v>10</v>
      </c>
      <c r="L400" s="10">
        <f t="array" ref="L400">INDEX('1 orders'!I400:I2156, MATCH(1, ('1 orders'!A400:A2156=A400)*('1 orders'!G400:G2156=F400), 0))
</f>
        <v>18</v>
      </c>
      <c r="M400" s="10">
        <f>IFERROR(__xludf.DUMMYFUNCTION("COUNTUNIQUEIFS($A$2:$A400,$F$2:$F400,F400)"),6.0)</f>
        <v>6</v>
      </c>
      <c r="N400" s="10">
        <f t="shared" si="1"/>
        <v>32</v>
      </c>
      <c r="O400" s="26">
        <f>IF(operations[sinceLastOrder]=0,0,operations[orderQuantity] / operations[sinceLastOrder])</f>
        <v>0.5625</v>
      </c>
      <c r="P400" s="9">
        <v>60.26</v>
      </c>
      <c r="Q400" s="7" t="s">
        <v>15</v>
      </c>
      <c r="R400" s="10">
        <f>operations[arrivedDate]-operations[shippedDate]</f>
        <v>9</v>
      </c>
    </row>
    <row r="401" ht="15.75" customHeight="1">
      <c r="A401" s="6">
        <v>10398.0</v>
      </c>
      <c r="B401" s="24">
        <v>44925.0</v>
      </c>
      <c r="C401" s="24">
        <v>44953.0</v>
      </c>
      <c r="D401" s="24">
        <v>44935.0</v>
      </c>
      <c r="E401" s="24">
        <v>44952.0</v>
      </c>
      <c r="F401" s="6">
        <v>35.0</v>
      </c>
      <c r="G401" s="9" t="str">
        <f>VLOOKUP(operations[productID],products[],2,FALSE)</f>
        <v>Cold Brew Nitro</v>
      </c>
      <c r="H401" s="9" t="str">
        <f>IF(VLOOKUP(operations[productID],products[],7,FALSE)=1,"Discontinued","Current")</f>
        <v>Current</v>
      </c>
      <c r="I401" s="6">
        <f>VLOOKUP(operations[productID],products[],4,FALSE)</f>
        <v>20</v>
      </c>
      <c r="J401" s="6">
        <f>VLOOKUP(operations[productID],products[],5,FALSE)</f>
        <v>0</v>
      </c>
      <c r="K401" s="6">
        <f>VLOOKUP(operations[productID],products[],6,FALSE)</f>
        <v>15</v>
      </c>
      <c r="L401" s="10">
        <f t="array" ref="L401">INDEX('1 orders'!I401:I2156, MATCH(1, ('1 orders'!A401:A2156=A401)*('1 orders'!G401:G2156=F401), 0))
</f>
        <v>30</v>
      </c>
      <c r="M401" s="10">
        <f>IFERROR(__xludf.DUMMYFUNCTION("COUNTUNIQUEIFS($A$2:$A401,$F$2:$F401,F401)"),7.0)</f>
        <v>7</v>
      </c>
      <c r="N401" s="10">
        <f t="shared" si="1"/>
        <v>7</v>
      </c>
      <c r="O401" s="26">
        <f>IF(operations[sinceLastOrder]=0,0,operations[orderQuantity] / operations[sinceLastOrder])</f>
        <v>4.285714286</v>
      </c>
      <c r="P401" s="9">
        <v>89.16</v>
      </c>
      <c r="Q401" s="7" t="s">
        <v>13</v>
      </c>
      <c r="R401" s="10">
        <f>operations[arrivedDate]-operations[shippedDate]</f>
        <v>17</v>
      </c>
    </row>
    <row r="402" ht="15.75" customHeight="1">
      <c r="A402" s="6">
        <v>10398.0</v>
      </c>
      <c r="B402" s="24">
        <v>44925.0</v>
      </c>
      <c r="C402" s="24">
        <v>44953.0</v>
      </c>
      <c r="D402" s="24">
        <v>44935.0</v>
      </c>
      <c r="E402" s="24">
        <v>44952.0</v>
      </c>
      <c r="F402" s="6">
        <v>55.0</v>
      </c>
      <c r="G402" s="9" t="str">
        <f>VLOOKUP(operations[productID],products[],2,FALSE)</f>
        <v>Pâté chinois</v>
      </c>
      <c r="H402" s="9" t="str">
        <f>IF(VLOOKUP(operations[productID],products[],7,FALSE)=1,"Discontinued","Current")</f>
        <v>Current</v>
      </c>
      <c r="I402" s="6">
        <f>VLOOKUP(operations[productID],products[],4,FALSE)</f>
        <v>115</v>
      </c>
      <c r="J402" s="6">
        <f>VLOOKUP(operations[productID],products[],5,FALSE)</f>
        <v>0</v>
      </c>
      <c r="K402" s="6">
        <f>VLOOKUP(operations[productID],products[],6,FALSE)</f>
        <v>20</v>
      </c>
      <c r="L402" s="10">
        <f t="array" ref="L402">INDEX('1 orders'!I402:I2156, MATCH(1, ('1 orders'!A402:A2156=A402)*('1 orders'!G402:G2156=F402), 0))
</f>
        <v>120</v>
      </c>
      <c r="M402" s="10">
        <f>IFERROR(__xludf.DUMMYFUNCTION("COUNTUNIQUEIFS($A$2:$A402,$F$2:$F402,F402)"),6.0)</f>
        <v>6</v>
      </c>
      <c r="N402" s="10">
        <f t="shared" si="1"/>
        <v>10</v>
      </c>
      <c r="O402" s="26">
        <f>IF(operations[sinceLastOrder]=0,0,operations[orderQuantity] / operations[sinceLastOrder])</f>
        <v>12</v>
      </c>
      <c r="P402" s="9">
        <v>89.16</v>
      </c>
      <c r="Q402" s="7" t="s">
        <v>13</v>
      </c>
      <c r="R402" s="10">
        <f>operations[arrivedDate]-operations[shippedDate]</f>
        <v>17</v>
      </c>
    </row>
    <row r="403" ht="15.75" customHeight="1">
      <c r="A403" s="6">
        <v>10399.0</v>
      </c>
      <c r="B403" s="24">
        <v>44926.0</v>
      </c>
      <c r="C403" s="24">
        <v>44940.0</v>
      </c>
      <c r="D403" s="24">
        <v>44934.0</v>
      </c>
      <c r="E403" s="24">
        <v>44944.0</v>
      </c>
      <c r="F403" s="6">
        <v>68.0</v>
      </c>
      <c r="G403" s="9" t="str">
        <f>VLOOKUP(operations[productID],products[],2,FALSE)</f>
        <v>Scottish Longbreads</v>
      </c>
      <c r="H403" s="9" t="str">
        <f>IF(VLOOKUP(operations[productID],products[],7,FALSE)=1,"Discontinued","Current")</f>
        <v>Current</v>
      </c>
      <c r="I403" s="6">
        <f>VLOOKUP(operations[productID],products[],4,FALSE)</f>
        <v>6</v>
      </c>
      <c r="J403" s="6">
        <f>VLOOKUP(operations[productID],products[],5,FALSE)</f>
        <v>10</v>
      </c>
      <c r="K403" s="6">
        <f>VLOOKUP(operations[productID],products[],6,FALSE)</f>
        <v>15</v>
      </c>
      <c r="L403" s="10">
        <f t="array" ref="L403">INDEX('1 orders'!I403:I2156, MATCH(1, ('1 orders'!A403:A2156=A403)*('1 orders'!G403:G2156=F403), 0))
</f>
        <v>60</v>
      </c>
      <c r="M403" s="10">
        <f>IFERROR(__xludf.DUMMYFUNCTION("COUNTUNIQUEIFS($A$2:$A403,$F$2:$F403,F403)"),9.0)</f>
        <v>9</v>
      </c>
      <c r="N403" s="10">
        <f t="shared" si="1"/>
        <v>14</v>
      </c>
      <c r="O403" s="26">
        <f>IF(operations[sinceLastOrder]=0,0,operations[orderQuantity] / operations[sinceLastOrder])</f>
        <v>4.285714286</v>
      </c>
      <c r="P403" s="9">
        <v>27.36</v>
      </c>
      <c r="Q403" s="7" t="s">
        <v>13</v>
      </c>
      <c r="R403" s="10">
        <f>operations[arrivedDate]-operations[shippedDate]</f>
        <v>10</v>
      </c>
    </row>
    <row r="404" ht="15.75" customHeight="1">
      <c r="A404" s="6">
        <v>10399.0</v>
      </c>
      <c r="B404" s="24">
        <v>44926.0</v>
      </c>
      <c r="C404" s="24">
        <v>44940.0</v>
      </c>
      <c r="D404" s="24">
        <v>44934.0</v>
      </c>
      <c r="E404" s="24">
        <v>44944.0</v>
      </c>
      <c r="F404" s="6">
        <v>71.0</v>
      </c>
      <c r="G404" s="9" t="str">
        <f>VLOOKUP(operations[productID],products[],2,FALSE)</f>
        <v>Flotemysost</v>
      </c>
      <c r="H404" s="9" t="str">
        <f>IF(VLOOKUP(operations[productID],products[],7,FALSE)=1,"Discontinued","Current")</f>
        <v>Current</v>
      </c>
      <c r="I404" s="6">
        <f>VLOOKUP(operations[productID],products[],4,FALSE)</f>
        <v>26</v>
      </c>
      <c r="J404" s="6">
        <f>VLOOKUP(operations[productID],products[],5,FALSE)</f>
        <v>0</v>
      </c>
      <c r="K404" s="6">
        <f>VLOOKUP(operations[productID],products[],6,FALSE)</f>
        <v>0</v>
      </c>
      <c r="L404" s="10">
        <f t="array" ref="L404">INDEX('1 orders'!I404:I2156, MATCH(1, ('1 orders'!A404:A2156=A404)*('1 orders'!G404:G2156=F404), 0))
</f>
        <v>30</v>
      </c>
      <c r="M404" s="10">
        <f>IFERROR(__xludf.DUMMYFUNCTION("COUNTUNIQUEIFS($A$2:$A404,$F$2:$F404,F404)"),11.0)</f>
        <v>11</v>
      </c>
      <c r="N404" s="10">
        <f t="shared" si="1"/>
        <v>4</v>
      </c>
      <c r="O404" s="26">
        <f>IF(operations[sinceLastOrder]=0,0,operations[orderQuantity] / operations[sinceLastOrder])</f>
        <v>7.5</v>
      </c>
      <c r="P404" s="9">
        <v>27.36</v>
      </c>
      <c r="Q404" s="7" t="s">
        <v>13</v>
      </c>
      <c r="R404" s="10">
        <f>operations[arrivedDate]-operations[shippedDate]</f>
        <v>10</v>
      </c>
    </row>
    <row r="405" ht="15.75" customHeight="1">
      <c r="A405" s="6">
        <v>10399.0</v>
      </c>
      <c r="B405" s="24">
        <v>44926.0</v>
      </c>
      <c r="C405" s="24">
        <v>44940.0</v>
      </c>
      <c r="D405" s="24">
        <v>44934.0</v>
      </c>
      <c r="E405" s="24">
        <v>44944.0</v>
      </c>
      <c r="F405" s="6">
        <v>76.0</v>
      </c>
      <c r="G405" s="9" t="str">
        <f>VLOOKUP(operations[productID],products[],2,FALSE)</f>
        <v>Lakkalikööri</v>
      </c>
      <c r="H405" s="9" t="str">
        <f>IF(VLOOKUP(operations[productID],products[],7,FALSE)=1,"Discontinued","Current")</f>
        <v>Current</v>
      </c>
      <c r="I405" s="6">
        <f>VLOOKUP(operations[productID],products[],4,FALSE)</f>
        <v>57</v>
      </c>
      <c r="J405" s="6">
        <f>VLOOKUP(operations[productID],products[],5,FALSE)</f>
        <v>0</v>
      </c>
      <c r="K405" s="6">
        <f>VLOOKUP(operations[productID],products[],6,FALSE)</f>
        <v>20</v>
      </c>
      <c r="L405" s="10">
        <f t="array" ref="L405">INDEX('1 orders'!I405:I2156, MATCH(1, ('1 orders'!A405:A2156=A405)*('1 orders'!G405:G2156=F405), 0))
</f>
        <v>35</v>
      </c>
      <c r="M405" s="10">
        <f>IFERROR(__xludf.DUMMYFUNCTION("COUNTUNIQUEIFS($A$2:$A405,$F$2:$F405,F405)"),7.0)</f>
        <v>7</v>
      </c>
      <c r="N405" s="10">
        <f t="shared" si="1"/>
        <v>35</v>
      </c>
      <c r="O405" s="26">
        <f>IF(operations[sinceLastOrder]=0,0,operations[orderQuantity] / operations[sinceLastOrder])</f>
        <v>1</v>
      </c>
      <c r="P405" s="9">
        <v>27.36</v>
      </c>
      <c r="Q405" s="7" t="s">
        <v>13</v>
      </c>
      <c r="R405" s="10">
        <f>operations[arrivedDate]-operations[shippedDate]</f>
        <v>10</v>
      </c>
    </row>
    <row r="406" ht="15.75" customHeight="1">
      <c r="A406" s="6">
        <v>10399.0</v>
      </c>
      <c r="B406" s="24">
        <v>44926.0</v>
      </c>
      <c r="C406" s="24">
        <v>44940.0</v>
      </c>
      <c r="D406" s="24">
        <v>44934.0</v>
      </c>
      <c r="E406" s="24">
        <v>44944.0</v>
      </c>
      <c r="F406" s="6">
        <v>77.0</v>
      </c>
      <c r="G406" s="9" t="str">
        <f>VLOOKUP(operations[productID],products[],2,FALSE)</f>
        <v>Original Frankfurter grüne Soße</v>
      </c>
      <c r="H406" s="9" t="str">
        <f>IF(VLOOKUP(operations[productID],products[],7,FALSE)=1,"Discontinued","Current")</f>
        <v>Current</v>
      </c>
      <c r="I406" s="6">
        <f>VLOOKUP(operations[productID],products[],4,FALSE)</f>
        <v>32</v>
      </c>
      <c r="J406" s="6">
        <f>VLOOKUP(operations[productID],products[],5,FALSE)</f>
        <v>0</v>
      </c>
      <c r="K406" s="6">
        <f>VLOOKUP(operations[productID],products[],6,FALSE)</f>
        <v>15</v>
      </c>
      <c r="L406" s="10">
        <f t="array" ref="L406">INDEX('1 orders'!I406:I2156, MATCH(1, ('1 orders'!A406:A2156=A406)*('1 orders'!G406:G2156=F406), 0))
</f>
        <v>14</v>
      </c>
      <c r="M406" s="10">
        <f>IFERROR(__xludf.DUMMYFUNCTION("COUNTUNIQUEIFS($A$2:$A406,$F$2:$F406,F406)"),6.0)</f>
        <v>6</v>
      </c>
      <c r="N406" s="10">
        <f t="shared" si="1"/>
        <v>33</v>
      </c>
      <c r="O406" s="26">
        <f>IF(operations[sinceLastOrder]=0,0,operations[orderQuantity] / operations[sinceLastOrder])</f>
        <v>0.4242424242</v>
      </c>
      <c r="P406" s="9">
        <v>27.36</v>
      </c>
      <c r="Q406" s="7" t="s">
        <v>13</v>
      </c>
      <c r="R406" s="10">
        <f>operations[arrivedDate]-operations[shippedDate]</f>
        <v>10</v>
      </c>
    </row>
    <row r="407" ht="15.75" customHeight="1">
      <c r="A407" s="6">
        <v>10400.0</v>
      </c>
      <c r="B407" s="24">
        <v>44927.0</v>
      </c>
      <c r="C407" s="24">
        <v>44955.0</v>
      </c>
      <c r="D407" s="24">
        <v>44942.0</v>
      </c>
      <c r="E407" s="24">
        <v>44947.0</v>
      </c>
      <c r="F407" s="6">
        <v>29.0</v>
      </c>
      <c r="G407" s="9" t="str">
        <f>VLOOKUP(operations[productID],products[],2,FALSE)</f>
        <v>Thüringer Rostbratwurst</v>
      </c>
      <c r="H407" s="9" t="str">
        <f>IF(VLOOKUP(operations[productID],products[],7,FALSE)=1,"Discontinued","Current")</f>
        <v>Discontinued</v>
      </c>
      <c r="I407" s="6">
        <f>VLOOKUP(operations[productID],products[],4,FALSE)</f>
        <v>0</v>
      </c>
      <c r="J407" s="6">
        <f>VLOOKUP(operations[productID],products[],5,FALSE)</f>
        <v>0</v>
      </c>
      <c r="K407" s="6">
        <f>VLOOKUP(operations[productID],products[],6,FALSE)</f>
        <v>0</v>
      </c>
      <c r="L407" s="10">
        <f t="array" ref="L407">INDEX('1 orders'!I407:I2156, MATCH(1, ('1 orders'!A407:A2156=A407)*('1 orders'!G407:G2156=F407), 0))
</f>
        <v>21</v>
      </c>
      <c r="M407" s="10">
        <f>IFERROR(__xludf.DUMMYFUNCTION("COUNTUNIQUEIFS($A$2:$A407,$F$2:$F407,F407)"),8.0)</f>
        <v>8</v>
      </c>
      <c r="N407" s="10">
        <f t="shared" si="1"/>
        <v>19</v>
      </c>
      <c r="O407" s="26">
        <f>IF(operations[sinceLastOrder]=0,0,operations[orderQuantity] / operations[sinceLastOrder])</f>
        <v>1.105263158</v>
      </c>
      <c r="P407" s="9">
        <v>83.93</v>
      </c>
      <c r="Q407" s="7" t="s">
        <v>13</v>
      </c>
      <c r="R407" s="10">
        <f>operations[arrivedDate]-operations[shippedDate]</f>
        <v>5</v>
      </c>
    </row>
    <row r="408" ht="15.75" customHeight="1">
      <c r="A408" s="6">
        <v>10400.0</v>
      </c>
      <c r="B408" s="24">
        <v>44927.0</v>
      </c>
      <c r="C408" s="24">
        <v>44955.0</v>
      </c>
      <c r="D408" s="24">
        <v>44942.0</v>
      </c>
      <c r="E408" s="24">
        <v>44947.0</v>
      </c>
      <c r="F408" s="6">
        <v>35.0</v>
      </c>
      <c r="G408" s="9" t="str">
        <f>VLOOKUP(operations[productID],products[],2,FALSE)</f>
        <v>Cold Brew Nitro</v>
      </c>
      <c r="H408" s="9" t="str">
        <f>IF(VLOOKUP(operations[productID],products[],7,FALSE)=1,"Discontinued","Current")</f>
        <v>Current</v>
      </c>
      <c r="I408" s="6">
        <f>VLOOKUP(operations[productID],products[],4,FALSE)</f>
        <v>20</v>
      </c>
      <c r="J408" s="6">
        <f>VLOOKUP(operations[productID],products[],5,FALSE)</f>
        <v>0</v>
      </c>
      <c r="K408" s="6">
        <f>VLOOKUP(operations[productID],products[],6,FALSE)</f>
        <v>15</v>
      </c>
      <c r="L408" s="10">
        <f t="array" ref="L408">INDEX('1 orders'!I408:I2156, MATCH(1, ('1 orders'!A408:A2156=A408)*('1 orders'!G408:G2156=F408), 0))
</f>
        <v>35</v>
      </c>
      <c r="M408" s="10">
        <f>IFERROR(__xludf.DUMMYFUNCTION("COUNTUNIQUEIFS($A$2:$A408,$F$2:$F408,F408)"),8.0)</f>
        <v>8</v>
      </c>
      <c r="N408" s="10">
        <f t="shared" si="1"/>
        <v>2</v>
      </c>
      <c r="O408" s="26">
        <f>IF(operations[sinceLastOrder]=0,0,operations[orderQuantity] / operations[sinceLastOrder])</f>
        <v>17.5</v>
      </c>
      <c r="P408" s="9">
        <v>83.93</v>
      </c>
      <c r="Q408" s="7" t="s">
        <v>13</v>
      </c>
      <c r="R408" s="10">
        <f>operations[arrivedDate]-operations[shippedDate]</f>
        <v>5</v>
      </c>
    </row>
    <row r="409" ht="15.75" customHeight="1">
      <c r="A409" s="6">
        <v>10400.0</v>
      </c>
      <c r="B409" s="24">
        <v>44927.0</v>
      </c>
      <c r="C409" s="24">
        <v>44955.0</v>
      </c>
      <c r="D409" s="24">
        <v>44942.0</v>
      </c>
      <c r="E409" s="24">
        <v>44947.0</v>
      </c>
      <c r="F409" s="6">
        <v>49.0</v>
      </c>
      <c r="G409" s="9" t="str">
        <f>VLOOKUP(operations[productID],products[],2,FALSE)</f>
        <v>Maxilaku</v>
      </c>
      <c r="H409" s="9" t="str">
        <f>IF(VLOOKUP(operations[productID],products[],7,FALSE)=1,"Discontinued","Current")</f>
        <v>Current</v>
      </c>
      <c r="I409" s="6">
        <f>VLOOKUP(operations[productID],products[],4,FALSE)</f>
        <v>10</v>
      </c>
      <c r="J409" s="6">
        <f>VLOOKUP(operations[productID],products[],5,FALSE)</f>
        <v>60</v>
      </c>
      <c r="K409" s="6">
        <f>VLOOKUP(operations[productID],products[],6,FALSE)</f>
        <v>15</v>
      </c>
      <c r="L409" s="10">
        <f t="array" ref="L409">INDEX('1 orders'!I409:I2156, MATCH(1, ('1 orders'!A409:A2156=A409)*('1 orders'!G409:G2156=F409), 0))
</f>
        <v>30</v>
      </c>
      <c r="M409" s="10">
        <f>IFERROR(__xludf.DUMMYFUNCTION("COUNTUNIQUEIFS($A$2:$A409,$F$2:$F409,F409)"),5.0)</f>
        <v>5</v>
      </c>
      <c r="N409" s="10">
        <f t="shared" si="1"/>
        <v>40</v>
      </c>
      <c r="O409" s="26">
        <f>IF(operations[sinceLastOrder]=0,0,operations[orderQuantity] / operations[sinceLastOrder])</f>
        <v>0.75</v>
      </c>
      <c r="P409" s="9">
        <v>83.93</v>
      </c>
      <c r="Q409" s="7" t="s">
        <v>13</v>
      </c>
      <c r="R409" s="10">
        <f>operations[arrivedDate]-operations[shippedDate]</f>
        <v>5</v>
      </c>
    </row>
    <row r="410" ht="15.75" customHeight="1">
      <c r="A410" s="6">
        <v>10401.0</v>
      </c>
      <c r="B410" s="24">
        <v>44927.0</v>
      </c>
      <c r="C410" s="24">
        <v>44955.0</v>
      </c>
      <c r="D410" s="24">
        <v>44936.0</v>
      </c>
      <c r="E410" s="24">
        <v>44951.0</v>
      </c>
      <c r="F410" s="6">
        <v>30.0</v>
      </c>
      <c r="G410" s="9" t="str">
        <f>VLOOKUP(operations[productID],products[],2,FALSE)</f>
        <v>Nord-Ost Matjeshering</v>
      </c>
      <c r="H410" s="9" t="str">
        <f>IF(VLOOKUP(operations[productID],products[],7,FALSE)=1,"Discontinued","Current")</f>
        <v>Current</v>
      </c>
      <c r="I410" s="6">
        <f>VLOOKUP(operations[productID],products[],4,FALSE)</f>
        <v>10</v>
      </c>
      <c r="J410" s="6">
        <f>VLOOKUP(operations[productID],products[],5,FALSE)</f>
        <v>0</v>
      </c>
      <c r="K410" s="6">
        <f>VLOOKUP(operations[productID],products[],6,FALSE)</f>
        <v>15</v>
      </c>
      <c r="L410" s="10">
        <f t="array" ref="L410">INDEX('1 orders'!I410:I2156, MATCH(1, ('1 orders'!A410:A2156=A410)*('1 orders'!G410:G2156=F410), 0))
</f>
        <v>18</v>
      </c>
      <c r="M410" s="10">
        <f>IFERROR(__xludf.DUMMYFUNCTION("COUNTUNIQUEIFS($A$2:$A410,$F$2:$F410,F410)"),8.0)</f>
        <v>8</v>
      </c>
      <c r="N410" s="10">
        <f t="shared" si="1"/>
        <v>20</v>
      </c>
      <c r="O410" s="26">
        <f>IF(operations[sinceLastOrder]=0,0,operations[orderQuantity] / operations[sinceLastOrder])</f>
        <v>0.9</v>
      </c>
      <c r="P410" s="9">
        <v>12.51</v>
      </c>
      <c r="Q410" s="7" t="s">
        <v>15</v>
      </c>
      <c r="R410" s="10">
        <f>operations[arrivedDate]-operations[shippedDate]</f>
        <v>15</v>
      </c>
    </row>
    <row r="411" ht="15.75" customHeight="1">
      <c r="A411" s="6">
        <v>10401.0</v>
      </c>
      <c r="B411" s="24">
        <v>44927.0</v>
      </c>
      <c r="C411" s="24">
        <v>44955.0</v>
      </c>
      <c r="D411" s="24">
        <v>44936.0</v>
      </c>
      <c r="E411" s="24">
        <v>44951.0</v>
      </c>
      <c r="F411" s="6">
        <v>56.0</v>
      </c>
      <c r="G411" s="9" t="str">
        <f>VLOOKUP(operations[productID],products[],2,FALSE)</f>
        <v>Gnocchi di nonna Alice</v>
      </c>
      <c r="H411" s="9" t="str">
        <f>IF(VLOOKUP(operations[productID],products[],7,FALSE)=1,"Discontinued","Current")</f>
        <v>Current</v>
      </c>
      <c r="I411" s="6">
        <f>VLOOKUP(operations[productID],products[],4,FALSE)</f>
        <v>21</v>
      </c>
      <c r="J411" s="6">
        <f>VLOOKUP(operations[productID],products[],5,FALSE)</f>
        <v>10</v>
      </c>
      <c r="K411" s="6">
        <f>VLOOKUP(operations[productID],products[],6,FALSE)</f>
        <v>30</v>
      </c>
      <c r="L411" s="10">
        <f t="array" ref="L411">INDEX('1 orders'!I411:I2156, MATCH(1, ('1 orders'!A411:A2156=A411)*('1 orders'!G411:G2156=F411), 0))
</f>
        <v>70</v>
      </c>
      <c r="M411" s="10">
        <f>IFERROR(__xludf.DUMMYFUNCTION("COUNTUNIQUEIFS($A$2:$A411,$F$2:$F411,F411)"),8.0)</f>
        <v>8</v>
      </c>
      <c r="N411" s="10">
        <f t="shared" si="1"/>
        <v>16</v>
      </c>
      <c r="O411" s="26">
        <f>IF(operations[sinceLastOrder]=0,0,operations[orderQuantity] / operations[sinceLastOrder])</f>
        <v>4.375</v>
      </c>
      <c r="P411" s="9">
        <v>12.51</v>
      </c>
      <c r="Q411" s="7" t="s">
        <v>15</v>
      </c>
      <c r="R411" s="10">
        <f>operations[arrivedDate]-operations[shippedDate]</f>
        <v>15</v>
      </c>
    </row>
    <row r="412" ht="15.75" customHeight="1">
      <c r="A412" s="6">
        <v>10401.0</v>
      </c>
      <c r="B412" s="24">
        <v>44927.0</v>
      </c>
      <c r="C412" s="24">
        <v>44955.0</v>
      </c>
      <c r="D412" s="24">
        <v>44936.0</v>
      </c>
      <c r="E412" s="24">
        <v>44951.0</v>
      </c>
      <c r="F412" s="6">
        <v>65.0</v>
      </c>
      <c r="G412" s="9" t="str">
        <f>VLOOKUP(operations[productID],products[],2,FALSE)</f>
        <v>Louisiana Fiery Hot Pepper Sauce</v>
      </c>
      <c r="H412" s="9" t="str">
        <f>IF(VLOOKUP(operations[productID],products[],7,FALSE)=1,"Discontinued","Current")</f>
        <v>Current</v>
      </c>
      <c r="I412" s="6">
        <f>VLOOKUP(operations[productID],products[],4,FALSE)</f>
        <v>76</v>
      </c>
      <c r="J412" s="6">
        <f>VLOOKUP(operations[productID],products[],5,FALSE)</f>
        <v>0</v>
      </c>
      <c r="K412" s="6">
        <f>VLOOKUP(operations[productID],products[],6,FALSE)</f>
        <v>0</v>
      </c>
      <c r="L412" s="10">
        <f t="array" ref="L412">INDEX('1 orders'!I412:I2156, MATCH(1, ('1 orders'!A412:A2156=A412)*('1 orders'!G412:G2156=F412), 0))
</f>
        <v>20</v>
      </c>
      <c r="M412" s="10">
        <f>IFERROR(__xludf.DUMMYFUNCTION("COUNTUNIQUEIFS($A$2:$A412,$F$2:$F412,F412)"),9.0)</f>
        <v>9</v>
      </c>
      <c r="N412" s="10">
        <f t="shared" si="1"/>
        <v>21</v>
      </c>
      <c r="O412" s="26">
        <f>IF(operations[sinceLastOrder]=0,0,operations[orderQuantity] / operations[sinceLastOrder])</f>
        <v>0.9523809524</v>
      </c>
      <c r="P412" s="9">
        <v>12.51</v>
      </c>
      <c r="Q412" s="7" t="s">
        <v>15</v>
      </c>
      <c r="R412" s="10">
        <f>operations[arrivedDate]-operations[shippedDate]</f>
        <v>15</v>
      </c>
    </row>
    <row r="413" ht="15.75" customHeight="1">
      <c r="A413" s="6">
        <v>10401.0</v>
      </c>
      <c r="B413" s="24">
        <v>44927.0</v>
      </c>
      <c r="C413" s="24">
        <v>44955.0</v>
      </c>
      <c r="D413" s="24">
        <v>44936.0</v>
      </c>
      <c r="E413" s="24">
        <v>44951.0</v>
      </c>
      <c r="F413" s="6">
        <v>71.0</v>
      </c>
      <c r="G413" s="9" t="str">
        <f>VLOOKUP(operations[productID],products[],2,FALSE)</f>
        <v>Flotemysost</v>
      </c>
      <c r="H413" s="9" t="str">
        <f>IF(VLOOKUP(operations[productID],products[],7,FALSE)=1,"Discontinued","Current")</f>
        <v>Current</v>
      </c>
      <c r="I413" s="6">
        <f>VLOOKUP(operations[productID],products[],4,FALSE)</f>
        <v>26</v>
      </c>
      <c r="J413" s="6">
        <f>VLOOKUP(operations[productID],products[],5,FALSE)</f>
        <v>0</v>
      </c>
      <c r="K413" s="6">
        <f>VLOOKUP(operations[productID],products[],6,FALSE)</f>
        <v>0</v>
      </c>
      <c r="L413" s="10">
        <f t="array" ref="L413">INDEX('1 orders'!I413:I2156, MATCH(1, ('1 orders'!A413:A2156=A413)*('1 orders'!G413:G2156=F413), 0))
</f>
        <v>60</v>
      </c>
      <c r="M413" s="10">
        <f>IFERROR(__xludf.DUMMYFUNCTION("COUNTUNIQUEIFS($A$2:$A413,$F$2:$F413,F413)"),12.0)</f>
        <v>12</v>
      </c>
      <c r="N413" s="10">
        <f t="shared" si="1"/>
        <v>1</v>
      </c>
      <c r="O413" s="26">
        <f>IF(operations[sinceLastOrder]=0,0,operations[orderQuantity] / operations[sinceLastOrder])</f>
        <v>60</v>
      </c>
      <c r="P413" s="9">
        <v>12.51</v>
      </c>
      <c r="Q413" s="7" t="s">
        <v>15</v>
      </c>
      <c r="R413" s="10">
        <f>operations[arrivedDate]-operations[shippedDate]</f>
        <v>15</v>
      </c>
    </row>
    <row r="414" ht="15.75" customHeight="1">
      <c r="A414" s="6">
        <v>10402.0</v>
      </c>
      <c r="B414" s="24">
        <v>44928.0</v>
      </c>
      <c r="C414" s="24">
        <v>44970.0</v>
      </c>
      <c r="D414" s="24">
        <v>44936.0</v>
      </c>
      <c r="E414" s="24">
        <v>44949.0</v>
      </c>
      <c r="F414" s="6">
        <v>23.0</v>
      </c>
      <c r="G414" s="9" t="str">
        <f>VLOOKUP(operations[productID],products[],2,FALSE)</f>
        <v>Tunnbröd</v>
      </c>
      <c r="H414" s="9" t="str">
        <f>IF(VLOOKUP(operations[productID],products[],7,FALSE)=1,"Discontinued","Current")</f>
        <v>Current</v>
      </c>
      <c r="I414" s="6">
        <f>VLOOKUP(operations[productID],products[],4,FALSE)</f>
        <v>61</v>
      </c>
      <c r="J414" s="6">
        <f>VLOOKUP(operations[productID],products[],5,FALSE)</f>
        <v>0</v>
      </c>
      <c r="K414" s="6">
        <f>VLOOKUP(operations[productID],products[],6,FALSE)</f>
        <v>25</v>
      </c>
      <c r="L414" s="10">
        <f t="array" ref="L414">INDEX('1 orders'!I414:I2156, MATCH(1, ('1 orders'!A414:A2156=A414)*('1 orders'!G414:G2156=F414), 0))
</f>
        <v>60</v>
      </c>
      <c r="M414" s="10">
        <f>IFERROR(__xludf.DUMMYFUNCTION("COUNTUNIQUEIFS($A$2:$A414,$F$2:$F414,F414)"),4.0)</f>
        <v>4</v>
      </c>
      <c r="N414" s="10">
        <f t="shared" si="1"/>
        <v>6</v>
      </c>
      <c r="O414" s="26">
        <f>IF(operations[sinceLastOrder]=0,0,operations[orderQuantity] / operations[sinceLastOrder])</f>
        <v>10</v>
      </c>
      <c r="P414" s="9">
        <v>67.88</v>
      </c>
      <c r="Q414" s="7" t="s">
        <v>17</v>
      </c>
      <c r="R414" s="10">
        <f>operations[arrivedDate]-operations[shippedDate]</f>
        <v>13</v>
      </c>
    </row>
    <row r="415" ht="15.75" customHeight="1">
      <c r="A415" s="6">
        <v>10402.0</v>
      </c>
      <c r="B415" s="24">
        <v>44928.0</v>
      </c>
      <c r="C415" s="24">
        <v>44970.0</v>
      </c>
      <c r="D415" s="24">
        <v>44936.0</v>
      </c>
      <c r="E415" s="24">
        <v>44949.0</v>
      </c>
      <c r="F415" s="6">
        <v>63.0</v>
      </c>
      <c r="G415" s="9" t="str">
        <f>VLOOKUP(operations[productID],products[],2,FALSE)</f>
        <v>Vegie-spread</v>
      </c>
      <c r="H415" s="9" t="str">
        <f>IF(VLOOKUP(operations[productID],products[],7,FALSE)=1,"Discontinued","Current")</f>
        <v>Current</v>
      </c>
      <c r="I415" s="6">
        <f>VLOOKUP(operations[productID],products[],4,FALSE)</f>
        <v>24</v>
      </c>
      <c r="J415" s="6">
        <f>VLOOKUP(operations[productID],products[],5,FALSE)</f>
        <v>0</v>
      </c>
      <c r="K415" s="6">
        <f>VLOOKUP(operations[productID],products[],6,FALSE)</f>
        <v>5</v>
      </c>
      <c r="L415" s="10">
        <f t="array" ref="L415">INDEX('1 orders'!I415:I2156, MATCH(1, ('1 orders'!A415:A2156=A415)*('1 orders'!G415:G2156=F415), 0))
</f>
        <v>65</v>
      </c>
      <c r="M415" s="10">
        <f>IFERROR(__xludf.DUMMYFUNCTION("COUNTUNIQUEIFS($A$2:$A415,$F$2:$F415,F415)"),5.0)</f>
        <v>5</v>
      </c>
      <c r="N415" s="10">
        <f t="shared" si="1"/>
        <v>22</v>
      </c>
      <c r="O415" s="26">
        <f>IF(operations[sinceLastOrder]=0,0,operations[orderQuantity] / operations[sinceLastOrder])</f>
        <v>2.954545455</v>
      </c>
      <c r="P415" s="9">
        <v>67.88</v>
      </c>
      <c r="Q415" s="7" t="s">
        <v>17</v>
      </c>
      <c r="R415" s="10">
        <f>operations[arrivedDate]-operations[shippedDate]</f>
        <v>13</v>
      </c>
    </row>
    <row r="416" ht="15.75" customHeight="1">
      <c r="A416" s="6">
        <v>10403.0</v>
      </c>
      <c r="B416" s="24">
        <v>44929.0</v>
      </c>
      <c r="C416" s="24">
        <v>44957.0</v>
      </c>
      <c r="D416" s="24">
        <v>44935.0</v>
      </c>
      <c r="E416" s="24">
        <v>44947.0</v>
      </c>
      <c r="F416" s="6">
        <v>16.0</v>
      </c>
      <c r="G416" s="9" t="str">
        <f>VLOOKUP(operations[productID],products[],2,FALSE)</f>
        <v>Pavlova</v>
      </c>
      <c r="H416" s="9" t="str">
        <f>IF(VLOOKUP(operations[productID],products[],7,FALSE)=1,"Discontinued","Current")</f>
        <v>Current</v>
      </c>
      <c r="I416" s="6">
        <f>VLOOKUP(operations[productID],products[],4,FALSE)</f>
        <v>29</v>
      </c>
      <c r="J416" s="6">
        <f>VLOOKUP(operations[productID],products[],5,FALSE)</f>
        <v>0</v>
      </c>
      <c r="K416" s="6">
        <f>VLOOKUP(operations[productID],products[],6,FALSE)</f>
        <v>10</v>
      </c>
      <c r="L416" s="10">
        <f t="array" ref="L416">INDEX('1 orders'!I416:I2156, MATCH(1, ('1 orders'!A416:A2156=A416)*('1 orders'!G416:G2156=F416), 0))
</f>
        <v>21</v>
      </c>
      <c r="M416" s="10">
        <f>IFERROR(__xludf.DUMMYFUNCTION("COUNTUNIQUEIFS($A$2:$A416,$F$2:$F416,F416)"),8.0)</f>
        <v>8</v>
      </c>
      <c r="N416" s="10">
        <f t="shared" si="1"/>
        <v>43</v>
      </c>
      <c r="O416" s="26">
        <f>IF(operations[sinceLastOrder]=0,0,operations[orderQuantity] / operations[sinceLastOrder])</f>
        <v>0.488372093</v>
      </c>
      <c r="P416" s="9">
        <v>73.79</v>
      </c>
      <c r="Q416" s="7" t="s">
        <v>13</v>
      </c>
      <c r="R416" s="10">
        <f>operations[arrivedDate]-operations[shippedDate]</f>
        <v>12</v>
      </c>
    </row>
    <row r="417" ht="15.75" customHeight="1">
      <c r="A417" s="6">
        <v>10403.0</v>
      </c>
      <c r="B417" s="24">
        <v>44929.0</v>
      </c>
      <c r="C417" s="24">
        <v>44957.0</v>
      </c>
      <c r="D417" s="24">
        <v>44935.0</v>
      </c>
      <c r="E417" s="24">
        <v>44947.0</v>
      </c>
      <c r="F417" s="6">
        <v>48.0</v>
      </c>
      <c r="G417" s="9" t="str">
        <f>VLOOKUP(operations[productID],products[],2,FALSE)</f>
        <v>Chocolade</v>
      </c>
      <c r="H417" s="9" t="str">
        <f>IF(VLOOKUP(operations[productID],products[],7,FALSE)=1,"Discontinued","Current")</f>
        <v>Current</v>
      </c>
      <c r="I417" s="6">
        <f>VLOOKUP(operations[productID],products[],4,FALSE)</f>
        <v>15</v>
      </c>
      <c r="J417" s="6">
        <f>VLOOKUP(operations[productID],products[],5,FALSE)</f>
        <v>70</v>
      </c>
      <c r="K417" s="6">
        <f>VLOOKUP(operations[productID],products[],6,FALSE)</f>
        <v>25</v>
      </c>
      <c r="L417" s="10">
        <f t="array" ref="L417">INDEX('1 orders'!I417:I2156, MATCH(1, ('1 orders'!A417:A2156=A417)*('1 orders'!G417:G2156=F417), 0))
</f>
        <v>70</v>
      </c>
      <c r="M417" s="10">
        <f>IFERROR(__xludf.DUMMYFUNCTION("COUNTUNIQUEIFS($A$2:$A417,$F$2:$F417,F417)"),1.0)</f>
        <v>1</v>
      </c>
      <c r="N417" s="10">
        <f t="shared" si="1"/>
        <v>0</v>
      </c>
      <c r="O417" s="26">
        <f>IF(operations[sinceLastOrder]=0,0,operations[orderQuantity] / operations[sinceLastOrder])</f>
        <v>0</v>
      </c>
      <c r="P417" s="9">
        <v>73.79</v>
      </c>
      <c r="Q417" s="7" t="s">
        <v>13</v>
      </c>
      <c r="R417" s="10">
        <f>operations[arrivedDate]-operations[shippedDate]</f>
        <v>12</v>
      </c>
    </row>
    <row r="418" ht="15.75" customHeight="1">
      <c r="A418" s="6">
        <v>10404.0</v>
      </c>
      <c r="B418" s="24">
        <v>44929.0</v>
      </c>
      <c r="C418" s="24">
        <v>44957.0</v>
      </c>
      <c r="D418" s="24">
        <v>44934.0</v>
      </c>
      <c r="E418" s="24">
        <v>44939.0</v>
      </c>
      <c r="F418" s="6">
        <v>26.0</v>
      </c>
      <c r="G418" s="9" t="str">
        <f>VLOOKUP(operations[productID],products[],2,FALSE)</f>
        <v>NuNuCa Nuß-Nougat-Creme</v>
      </c>
      <c r="H418" s="9" t="str">
        <f>IF(VLOOKUP(operations[productID],products[],7,FALSE)=1,"Discontinued","Current")</f>
        <v>Current</v>
      </c>
      <c r="I418" s="6">
        <f>VLOOKUP(operations[productID],products[],4,FALSE)</f>
        <v>15</v>
      </c>
      <c r="J418" s="6">
        <f>VLOOKUP(operations[productID],products[],5,FALSE)</f>
        <v>0</v>
      </c>
      <c r="K418" s="6">
        <f>VLOOKUP(operations[productID],products[],6,FALSE)</f>
        <v>0</v>
      </c>
      <c r="L418" s="10">
        <f t="array" ref="L418">INDEX('1 orders'!I418:I2156, MATCH(1, ('1 orders'!A418:A2156=A418)*('1 orders'!G418:G2156=F418), 0))
</f>
        <v>30</v>
      </c>
      <c r="M418" s="10">
        <f>IFERROR(__xludf.DUMMYFUNCTION("COUNTUNIQUEIFS($A$2:$A418,$F$2:$F418,F418)"),5.0)</f>
        <v>5</v>
      </c>
      <c r="N418" s="10">
        <f t="shared" si="1"/>
        <v>9</v>
      </c>
      <c r="O418" s="26">
        <f>IF(operations[sinceLastOrder]=0,0,operations[orderQuantity] / operations[sinceLastOrder])</f>
        <v>3.333333333</v>
      </c>
      <c r="P418" s="9">
        <v>155.97</v>
      </c>
      <c r="Q418" s="7" t="s">
        <v>15</v>
      </c>
      <c r="R418" s="10">
        <f>operations[arrivedDate]-operations[shippedDate]</f>
        <v>5</v>
      </c>
    </row>
    <row r="419" ht="15.75" customHeight="1">
      <c r="A419" s="6">
        <v>10404.0</v>
      </c>
      <c r="B419" s="24">
        <v>44929.0</v>
      </c>
      <c r="C419" s="24">
        <v>44957.0</v>
      </c>
      <c r="D419" s="24">
        <v>44934.0</v>
      </c>
      <c r="E419" s="24">
        <v>44939.0</v>
      </c>
      <c r="F419" s="6">
        <v>42.0</v>
      </c>
      <c r="G419" s="9" t="str">
        <f>VLOOKUP(operations[productID],products[],2,FALSE)</f>
        <v>Singaporean Hokkien Fried Mee</v>
      </c>
      <c r="H419" s="9" t="str">
        <f>IF(VLOOKUP(operations[productID],products[],7,FALSE)=1,"Discontinued","Current")</f>
        <v>Discontinued</v>
      </c>
      <c r="I419" s="6">
        <f>VLOOKUP(operations[productID],products[],4,FALSE)</f>
        <v>26</v>
      </c>
      <c r="J419" s="6">
        <f>VLOOKUP(operations[productID],products[],5,FALSE)</f>
        <v>0</v>
      </c>
      <c r="K419" s="6">
        <f>VLOOKUP(operations[productID],products[],6,FALSE)</f>
        <v>0</v>
      </c>
      <c r="L419" s="10">
        <f t="array" ref="L419">INDEX('1 orders'!I419:I2156, MATCH(1, ('1 orders'!A419:A2156=A419)*('1 orders'!G419:G2156=F419), 0))
</f>
        <v>40</v>
      </c>
      <c r="M419" s="10">
        <f>IFERROR(__xludf.DUMMYFUNCTION("COUNTUNIQUEIFS($A$2:$A419,$F$2:$F419,F419)"),6.0)</f>
        <v>6</v>
      </c>
      <c r="N419" s="10">
        <f t="shared" si="1"/>
        <v>60</v>
      </c>
      <c r="O419" s="26">
        <f>IF(operations[sinceLastOrder]=0,0,operations[orderQuantity] / operations[sinceLastOrder])</f>
        <v>0.6666666667</v>
      </c>
      <c r="P419" s="9">
        <v>155.97</v>
      </c>
      <c r="Q419" s="7" t="s">
        <v>15</v>
      </c>
      <c r="R419" s="10">
        <f>operations[arrivedDate]-operations[shippedDate]</f>
        <v>5</v>
      </c>
    </row>
    <row r="420" ht="15.75" customHeight="1">
      <c r="A420" s="6">
        <v>10404.0</v>
      </c>
      <c r="B420" s="24">
        <v>44929.0</v>
      </c>
      <c r="C420" s="24">
        <v>44957.0</v>
      </c>
      <c r="D420" s="24">
        <v>44934.0</v>
      </c>
      <c r="E420" s="24">
        <v>44939.0</v>
      </c>
      <c r="F420" s="6">
        <v>49.0</v>
      </c>
      <c r="G420" s="9" t="str">
        <f>VLOOKUP(operations[productID],products[],2,FALSE)</f>
        <v>Maxilaku</v>
      </c>
      <c r="H420" s="9" t="str">
        <f>IF(VLOOKUP(operations[productID],products[],7,FALSE)=1,"Discontinued","Current")</f>
        <v>Current</v>
      </c>
      <c r="I420" s="6">
        <f>VLOOKUP(operations[productID],products[],4,FALSE)</f>
        <v>10</v>
      </c>
      <c r="J420" s="6">
        <f>VLOOKUP(operations[productID],products[],5,FALSE)</f>
        <v>60</v>
      </c>
      <c r="K420" s="6">
        <f>VLOOKUP(operations[productID],products[],6,FALSE)</f>
        <v>15</v>
      </c>
      <c r="L420" s="10">
        <f t="array" ref="L420">INDEX('1 orders'!I420:I2156, MATCH(1, ('1 orders'!A420:A2156=A420)*('1 orders'!G420:G2156=F420), 0))
</f>
        <v>30</v>
      </c>
      <c r="M420" s="10">
        <f>IFERROR(__xludf.DUMMYFUNCTION("COUNTUNIQUEIFS($A$2:$A420,$F$2:$F420,F420)"),6.0)</f>
        <v>6</v>
      </c>
      <c r="N420" s="10">
        <f t="shared" si="1"/>
        <v>2</v>
      </c>
      <c r="O420" s="26">
        <f>IF(operations[sinceLastOrder]=0,0,operations[orderQuantity] / operations[sinceLastOrder])</f>
        <v>15</v>
      </c>
      <c r="P420" s="9">
        <v>155.97</v>
      </c>
      <c r="Q420" s="7" t="s">
        <v>15</v>
      </c>
      <c r="R420" s="10">
        <f>operations[arrivedDate]-operations[shippedDate]</f>
        <v>5</v>
      </c>
    </row>
    <row r="421" ht="15.75" customHeight="1">
      <c r="A421" s="6">
        <v>10405.0</v>
      </c>
      <c r="B421" s="24">
        <v>44932.0</v>
      </c>
      <c r="C421" s="24">
        <v>44960.0</v>
      </c>
      <c r="D421" s="24">
        <v>44948.0</v>
      </c>
      <c r="E421" s="24">
        <v>44959.0</v>
      </c>
      <c r="F421" s="6">
        <v>3.0</v>
      </c>
      <c r="G421" s="9" t="str">
        <f>VLOOKUP(operations[productID],products[],2,FALSE)</f>
        <v>Aniseed Syrup</v>
      </c>
      <c r="H421" s="9" t="str">
        <f>IF(VLOOKUP(operations[productID],products[],7,FALSE)=1,"Discontinued","Current")</f>
        <v>Current</v>
      </c>
      <c r="I421" s="6">
        <f>VLOOKUP(operations[productID],products[],4,FALSE)</f>
        <v>13</v>
      </c>
      <c r="J421" s="6">
        <f>VLOOKUP(operations[productID],products[],5,FALSE)</f>
        <v>70</v>
      </c>
      <c r="K421" s="6">
        <f>VLOOKUP(operations[productID],products[],6,FALSE)</f>
        <v>25</v>
      </c>
      <c r="L421" s="10">
        <f t="array" ref="L421">INDEX('1 orders'!I421:I2156, MATCH(1, ('1 orders'!A421:A2156=A421)*('1 orders'!G421:G2156=F421), 0))
</f>
        <v>50</v>
      </c>
      <c r="M421" s="10">
        <f>IFERROR(__xludf.DUMMYFUNCTION("COUNTUNIQUEIFS($A$2:$A421,$F$2:$F421,F421)"),2.0)</f>
        <v>2</v>
      </c>
      <c r="N421" s="10">
        <f t="shared" si="1"/>
        <v>133</v>
      </c>
      <c r="O421" s="26">
        <f>IF(operations[sinceLastOrder]=0,0,operations[orderQuantity] / operations[sinceLastOrder])</f>
        <v>0.3759398496</v>
      </c>
      <c r="P421" s="9">
        <v>34.82</v>
      </c>
      <c r="Q421" s="7" t="s">
        <v>15</v>
      </c>
      <c r="R421" s="10">
        <f>operations[arrivedDate]-operations[shippedDate]</f>
        <v>11</v>
      </c>
    </row>
    <row r="422" ht="15.75" customHeight="1">
      <c r="A422" s="6">
        <v>10406.0</v>
      </c>
      <c r="B422" s="24">
        <v>44933.0</v>
      </c>
      <c r="C422" s="24">
        <v>44975.0</v>
      </c>
      <c r="D422" s="24">
        <v>44939.0</v>
      </c>
      <c r="E422" s="24">
        <v>44954.0</v>
      </c>
      <c r="F422" s="6">
        <v>1.0</v>
      </c>
      <c r="G422" s="9" t="str">
        <f>VLOOKUP(operations[productID],products[],2,FALSE)</f>
        <v>Chai</v>
      </c>
      <c r="H422" s="9" t="str">
        <f>IF(VLOOKUP(operations[productID],products[],7,FALSE)=1,"Discontinued","Current")</f>
        <v>Current</v>
      </c>
      <c r="I422" s="6">
        <f>VLOOKUP(operations[productID],products[],4,FALSE)</f>
        <v>39</v>
      </c>
      <c r="J422" s="6">
        <f>VLOOKUP(operations[productID],products[],5,FALSE)</f>
        <v>0</v>
      </c>
      <c r="K422" s="6">
        <f>VLOOKUP(operations[productID],products[],6,FALSE)</f>
        <v>10</v>
      </c>
      <c r="L422" s="10">
        <f t="array" ref="L422">INDEX('1 orders'!I422:I2156, MATCH(1, ('1 orders'!A422:A2156=A422)*('1 orders'!G422:G2156=F422), 0))
</f>
        <v>10</v>
      </c>
      <c r="M422" s="10">
        <f>IFERROR(__xludf.DUMMYFUNCTION("COUNTUNIQUEIFS($A$2:$A422,$F$2:$F422,F422)"),7.0)</f>
        <v>7</v>
      </c>
      <c r="N422" s="10">
        <f t="shared" si="1"/>
        <v>35</v>
      </c>
      <c r="O422" s="26">
        <f>IF(operations[sinceLastOrder]=0,0,operations[orderQuantity] / operations[sinceLastOrder])</f>
        <v>0.2857142857</v>
      </c>
      <c r="P422" s="9">
        <v>108.04</v>
      </c>
      <c r="Q422" s="7" t="s">
        <v>15</v>
      </c>
      <c r="R422" s="10">
        <f>operations[arrivedDate]-operations[shippedDate]</f>
        <v>15</v>
      </c>
    </row>
    <row r="423" ht="15.75" customHeight="1">
      <c r="A423" s="6">
        <v>10406.0</v>
      </c>
      <c r="B423" s="24">
        <v>44933.0</v>
      </c>
      <c r="C423" s="24">
        <v>44975.0</v>
      </c>
      <c r="D423" s="24">
        <v>44939.0</v>
      </c>
      <c r="E423" s="24">
        <v>44954.0</v>
      </c>
      <c r="F423" s="6">
        <v>21.0</v>
      </c>
      <c r="G423" s="9" t="str">
        <f>VLOOKUP(operations[productID],products[],2,FALSE)</f>
        <v>Sir Rodney's Scones</v>
      </c>
      <c r="H423" s="9" t="str">
        <f>IF(VLOOKUP(operations[productID],products[],7,FALSE)=1,"Discontinued","Current")</f>
        <v>Current</v>
      </c>
      <c r="I423" s="6">
        <f>VLOOKUP(operations[productID],products[],4,FALSE)</f>
        <v>3</v>
      </c>
      <c r="J423" s="6">
        <f>VLOOKUP(operations[productID],products[],5,FALSE)</f>
        <v>40</v>
      </c>
      <c r="K423" s="6">
        <f>VLOOKUP(operations[productID],products[],6,FALSE)</f>
        <v>5</v>
      </c>
      <c r="L423" s="10">
        <f t="array" ref="L423">INDEX('1 orders'!I423:I2156, MATCH(1, ('1 orders'!A423:A2156=A423)*('1 orders'!G423:G2156=F423), 0))
</f>
        <v>30</v>
      </c>
      <c r="M423" s="10">
        <f>IFERROR(__xludf.DUMMYFUNCTION("COUNTUNIQUEIFS($A$2:$A423,$F$2:$F423,F423)"),6.0)</f>
        <v>6</v>
      </c>
      <c r="N423" s="10">
        <f t="shared" si="1"/>
        <v>11</v>
      </c>
      <c r="O423" s="26">
        <f>IF(operations[sinceLastOrder]=0,0,operations[orderQuantity] / operations[sinceLastOrder])</f>
        <v>2.727272727</v>
      </c>
      <c r="P423" s="9">
        <v>108.04</v>
      </c>
      <c r="Q423" s="7" t="s">
        <v>15</v>
      </c>
      <c r="R423" s="10">
        <f>operations[arrivedDate]-operations[shippedDate]</f>
        <v>15</v>
      </c>
    </row>
    <row r="424" ht="15.75" customHeight="1">
      <c r="A424" s="6">
        <v>10406.0</v>
      </c>
      <c r="B424" s="24">
        <v>44933.0</v>
      </c>
      <c r="C424" s="24">
        <v>44975.0</v>
      </c>
      <c r="D424" s="24">
        <v>44939.0</v>
      </c>
      <c r="E424" s="24">
        <v>44954.0</v>
      </c>
      <c r="F424" s="6">
        <v>28.0</v>
      </c>
      <c r="G424" s="9" t="str">
        <f>VLOOKUP(operations[productID],products[],2,FALSE)</f>
        <v>Rössle Sauerkraut</v>
      </c>
      <c r="H424" s="9" t="str">
        <f>IF(VLOOKUP(operations[productID],products[],7,FALSE)=1,"Discontinued","Current")</f>
        <v>Discontinued</v>
      </c>
      <c r="I424" s="6">
        <f>VLOOKUP(operations[productID],products[],4,FALSE)</f>
        <v>26</v>
      </c>
      <c r="J424" s="6">
        <f>VLOOKUP(operations[productID],products[],5,FALSE)</f>
        <v>0</v>
      </c>
      <c r="K424" s="6">
        <f>VLOOKUP(operations[productID],products[],6,FALSE)</f>
        <v>0</v>
      </c>
      <c r="L424" s="10">
        <f t="array" ref="L424">INDEX('1 orders'!I424:I2156, MATCH(1, ('1 orders'!A424:A2156=A424)*('1 orders'!G424:G2156=F424), 0))
</f>
        <v>42</v>
      </c>
      <c r="M424" s="10">
        <f>IFERROR(__xludf.DUMMYFUNCTION("COUNTUNIQUEIFS($A$2:$A424,$F$2:$F424,F424)"),9.0)</f>
        <v>9</v>
      </c>
      <c r="N424" s="10">
        <f t="shared" si="1"/>
        <v>20</v>
      </c>
      <c r="O424" s="26">
        <f>IF(operations[sinceLastOrder]=0,0,operations[orderQuantity] / operations[sinceLastOrder])</f>
        <v>2.1</v>
      </c>
      <c r="P424" s="9">
        <v>108.04</v>
      </c>
      <c r="Q424" s="7" t="s">
        <v>15</v>
      </c>
      <c r="R424" s="10">
        <f>operations[arrivedDate]-operations[shippedDate]</f>
        <v>15</v>
      </c>
    </row>
    <row r="425" ht="15.75" customHeight="1">
      <c r="A425" s="6">
        <v>10406.0</v>
      </c>
      <c r="B425" s="24">
        <v>44933.0</v>
      </c>
      <c r="C425" s="24">
        <v>44975.0</v>
      </c>
      <c r="D425" s="24">
        <v>44939.0</v>
      </c>
      <c r="E425" s="24">
        <v>44954.0</v>
      </c>
      <c r="F425" s="6">
        <v>36.0</v>
      </c>
      <c r="G425" s="9" t="str">
        <f>VLOOKUP(operations[productID],products[],2,FALSE)</f>
        <v>Inlagd Sill</v>
      </c>
      <c r="H425" s="9" t="str">
        <f>IF(VLOOKUP(operations[productID],products[],7,FALSE)=1,"Discontinued","Current")</f>
        <v>Current</v>
      </c>
      <c r="I425" s="6">
        <f>VLOOKUP(operations[productID],products[],4,FALSE)</f>
        <v>112</v>
      </c>
      <c r="J425" s="6">
        <f>VLOOKUP(operations[productID],products[],5,FALSE)</f>
        <v>0</v>
      </c>
      <c r="K425" s="6">
        <f>VLOOKUP(operations[productID],products[],6,FALSE)</f>
        <v>20</v>
      </c>
      <c r="L425" s="10">
        <f t="array" ref="L425">INDEX('1 orders'!I425:I2156, MATCH(1, ('1 orders'!A425:A2156=A425)*('1 orders'!G425:G2156=F425), 0))
</f>
        <v>5</v>
      </c>
      <c r="M425" s="10">
        <f>IFERROR(__xludf.DUMMYFUNCTION("COUNTUNIQUEIFS($A$2:$A425,$F$2:$F425,F425)"),9.0)</f>
        <v>9</v>
      </c>
      <c r="N425" s="10">
        <f t="shared" si="1"/>
        <v>35</v>
      </c>
      <c r="O425" s="26">
        <f>IF(operations[sinceLastOrder]=0,0,operations[orderQuantity] / operations[sinceLastOrder])</f>
        <v>0.1428571429</v>
      </c>
      <c r="P425" s="9">
        <v>108.04</v>
      </c>
      <c r="Q425" s="7" t="s">
        <v>15</v>
      </c>
      <c r="R425" s="10">
        <f>operations[arrivedDate]-operations[shippedDate]</f>
        <v>15</v>
      </c>
    </row>
    <row r="426" ht="15.75" customHeight="1">
      <c r="A426" s="6">
        <v>10406.0</v>
      </c>
      <c r="B426" s="24">
        <v>44933.0</v>
      </c>
      <c r="C426" s="24">
        <v>44975.0</v>
      </c>
      <c r="D426" s="24">
        <v>44939.0</v>
      </c>
      <c r="E426" s="24">
        <v>44954.0</v>
      </c>
      <c r="F426" s="6">
        <v>40.0</v>
      </c>
      <c r="G426" s="9" t="str">
        <f>VLOOKUP(operations[productID],products[],2,FALSE)</f>
        <v>Boston Crab Meat</v>
      </c>
      <c r="H426" s="9" t="str">
        <f>IF(VLOOKUP(operations[productID],products[],7,FALSE)=1,"Discontinued","Current")</f>
        <v>Current</v>
      </c>
      <c r="I426" s="6">
        <f>VLOOKUP(operations[productID],products[],4,FALSE)</f>
        <v>123</v>
      </c>
      <c r="J426" s="6">
        <f>VLOOKUP(operations[productID],products[],5,FALSE)</f>
        <v>0</v>
      </c>
      <c r="K426" s="6">
        <f>VLOOKUP(operations[productID],products[],6,FALSE)</f>
        <v>30</v>
      </c>
      <c r="L426" s="10">
        <f t="array" ref="L426">INDEX('1 orders'!I426:I2156, MATCH(1, ('1 orders'!A426:A2156=A426)*('1 orders'!G426:G2156=F426), 0))
</f>
        <v>2</v>
      </c>
      <c r="M426" s="10">
        <f>IFERROR(__xludf.DUMMYFUNCTION("COUNTUNIQUEIFS($A$2:$A426,$F$2:$F426,F426)"),7.0)</f>
        <v>7</v>
      </c>
      <c r="N426" s="10">
        <f t="shared" si="1"/>
        <v>62</v>
      </c>
      <c r="O426" s="26">
        <f>IF(operations[sinceLastOrder]=0,0,operations[orderQuantity] / operations[sinceLastOrder])</f>
        <v>0.03225806452</v>
      </c>
      <c r="P426" s="9">
        <v>108.04</v>
      </c>
      <c r="Q426" s="7" t="s">
        <v>15</v>
      </c>
      <c r="R426" s="10">
        <f>operations[arrivedDate]-operations[shippedDate]</f>
        <v>15</v>
      </c>
    </row>
    <row r="427" ht="15.75" customHeight="1">
      <c r="A427" s="6">
        <v>10407.0</v>
      </c>
      <c r="B427" s="24">
        <v>44933.0</v>
      </c>
      <c r="C427" s="24">
        <v>44961.0</v>
      </c>
      <c r="D427" s="24">
        <v>44956.0</v>
      </c>
      <c r="E427" s="24">
        <v>44962.0</v>
      </c>
      <c r="F427" s="6">
        <v>11.0</v>
      </c>
      <c r="G427" s="9" t="str">
        <f>VLOOKUP(operations[productID],products[],2,FALSE)</f>
        <v>Queso Cabrales</v>
      </c>
      <c r="H427" s="9" t="str">
        <f>IF(VLOOKUP(operations[productID],products[],7,FALSE)=1,"Discontinued","Current")</f>
        <v>Current</v>
      </c>
      <c r="I427" s="6">
        <f>VLOOKUP(operations[productID],products[],4,FALSE)</f>
        <v>22</v>
      </c>
      <c r="J427" s="6">
        <f>VLOOKUP(operations[productID],products[],5,FALSE)</f>
        <v>30</v>
      </c>
      <c r="K427" s="6">
        <f>VLOOKUP(operations[productID],products[],6,FALSE)</f>
        <v>30</v>
      </c>
      <c r="L427" s="10">
        <f t="array" ref="L427">INDEX('1 orders'!I427:I2156, MATCH(1, ('1 orders'!A427:A2156=A427)*('1 orders'!G427:G2156=F427), 0))
</f>
        <v>30</v>
      </c>
      <c r="M427" s="10">
        <f>IFERROR(__xludf.DUMMYFUNCTION("COUNTUNIQUEIFS($A$2:$A427,$F$2:$F427,F427)"),6.0)</f>
        <v>6</v>
      </c>
      <c r="N427" s="10">
        <f t="shared" si="1"/>
        <v>41</v>
      </c>
      <c r="O427" s="26">
        <f>IF(operations[sinceLastOrder]=0,0,operations[orderQuantity] / operations[sinceLastOrder])</f>
        <v>0.7317073171</v>
      </c>
      <c r="P427" s="9">
        <v>91.48</v>
      </c>
      <c r="Q427" s="7" t="s">
        <v>17</v>
      </c>
      <c r="R427" s="10">
        <f>operations[arrivedDate]-operations[shippedDate]</f>
        <v>6</v>
      </c>
    </row>
    <row r="428" ht="15.75" customHeight="1">
      <c r="A428" s="6">
        <v>10407.0</v>
      </c>
      <c r="B428" s="24">
        <v>44933.0</v>
      </c>
      <c r="C428" s="24">
        <v>44961.0</v>
      </c>
      <c r="D428" s="24">
        <v>44956.0</v>
      </c>
      <c r="E428" s="24">
        <v>44962.0</v>
      </c>
      <c r="F428" s="6">
        <v>69.0</v>
      </c>
      <c r="G428" s="9" t="str">
        <f>VLOOKUP(operations[productID],products[],2,FALSE)</f>
        <v>Gudbrandsdalsost</v>
      </c>
      <c r="H428" s="9" t="str">
        <f>IF(VLOOKUP(operations[productID],products[],7,FALSE)=1,"Discontinued","Current")</f>
        <v>Current</v>
      </c>
      <c r="I428" s="6">
        <f>VLOOKUP(operations[productID],products[],4,FALSE)</f>
        <v>26</v>
      </c>
      <c r="J428" s="6">
        <f>VLOOKUP(operations[productID],products[],5,FALSE)</f>
        <v>0</v>
      </c>
      <c r="K428" s="6">
        <f>VLOOKUP(operations[productID],products[],6,FALSE)</f>
        <v>15</v>
      </c>
      <c r="L428" s="10">
        <f t="array" ref="L428">INDEX('1 orders'!I428:I2156, MATCH(1, ('1 orders'!A428:A2156=A428)*('1 orders'!G428:G2156=F428), 0))
</f>
        <v>15</v>
      </c>
      <c r="M428" s="10">
        <f>IFERROR(__xludf.DUMMYFUNCTION("COUNTUNIQUEIFS($A$2:$A428,$F$2:$F428,F428)"),9.0)</f>
        <v>9</v>
      </c>
      <c r="N428" s="10">
        <f t="shared" si="1"/>
        <v>12</v>
      </c>
      <c r="O428" s="26">
        <f>IF(operations[sinceLastOrder]=0,0,operations[orderQuantity] / operations[sinceLastOrder])</f>
        <v>1.25</v>
      </c>
      <c r="P428" s="9">
        <v>91.48</v>
      </c>
      <c r="Q428" s="7" t="s">
        <v>17</v>
      </c>
      <c r="R428" s="10">
        <f>operations[arrivedDate]-operations[shippedDate]</f>
        <v>6</v>
      </c>
    </row>
    <row r="429" ht="15.75" customHeight="1">
      <c r="A429" s="6">
        <v>10407.0</v>
      </c>
      <c r="B429" s="24">
        <v>44933.0</v>
      </c>
      <c r="C429" s="24">
        <v>44961.0</v>
      </c>
      <c r="D429" s="24">
        <v>44956.0</v>
      </c>
      <c r="E429" s="24">
        <v>44962.0</v>
      </c>
      <c r="F429" s="6">
        <v>71.0</v>
      </c>
      <c r="G429" s="9" t="str">
        <f>VLOOKUP(operations[productID],products[],2,FALSE)</f>
        <v>Flotemysost</v>
      </c>
      <c r="H429" s="9" t="str">
        <f>IF(VLOOKUP(operations[productID],products[],7,FALSE)=1,"Discontinued","Current")</f>
        <v>Current</v>
      </c>
      <c r="I429" s="6">
        <f>VLOOKUP(operations[productID],products[],4,FALSE)</f>
        <v>26</v>
      </c>
      <c r="J429" s="6">
        <f>VLOOKUP(operations[productID],products[],5,FALSE)</f>
        <v>0</v>
      </c>
      <c r="K429" s="6">
        <f>VLOOKUP(operations[productID],products[],6,FALSE)</f>
        <v>0</v>
      </c>
      <c r="L429" s="10">
        <f t="array" ref="L429">INDEX('1 orders'!I429:I2156, MATCH(1, ('1 orders'!A429:A2156=A429)*('1 orders'!G429:G2156=F429), 0))
</f>
        <v>15</v>
      </c>
      <c r="M429" s="10">
        <f>IFERROR(__xludf.DUMMYFUNCTION("COUNTUNIQUEIFS($A$2:$A429,$F$2:$F429,F429)"),13.0)</f>
        <v>13</v>
      </c>
      <c r="N429" s="10">
        <f t="shared" si="1"/>
        <v>6</v>
      </c>
      <c r="O429" s="26">
        <f>IF(operations[sinceLastOrder]=0,0,operations[orderQuantity] / operations[sinceLastOrder])</f>
        <v>2.5</v>
      </c>
      <c r="P429" s="9">
        <v>91.48</v>
      </c>
      <c r="Q429" s="7" t="s">
        <v>17</v>
      </c>
      <c r="R429" s="10">
        <f>operations[arrivedDate]-operations[shippedDate]</f>
        <v>6</v>
      </c>
    </row>
    <row r="430" ht="15.75" customHeight="1">
      <c r="A430" s="6">
        <v>10408.0</v>
      </c>
      <c r="B430" s="24">
        <v>44934.0</v>
      </c>
      <c r="C430" s="24">
        <v>44962.0</v>
      </c>
      <c r="D430" s="24">
        <v>44940.0</v>
      </c>
      <c r="E430" s="24">
        <v>44945.0</v>
      </c>
      <c r="F430" s="6">
        <v>37.0</v>
      </c>
      <c r="G430" s="9" t="str">
        <f>VLOOKUP(operations[productID],products[],2,FALSE)</f>
        <v>Gravad lax</v>
      </c>
      <c r="H430" s="9" t="str">
        <f>IF(VLOOKUP(operations[productID],products[],7,FALSE)=1,"Discontinued","Current")</f>
        <v>Current</v>
      </c>
      <c r="I430" s="6">
        <f>VLOOKUP(operations[productID],products[],4,FALSE)</f>
        <v>11</v>
      </c>
      <c r="J430" s="6">
        <f>VLOOKUP(operations[productID],products[],5,FALSE)</f>
        <v>50</v>
      </c>
      <c r="K430" s="6">
        <f>VLOOKUP(operations[productID],products[],6,FALSE)</f>
        <v>25</v>
      </c>
      <c r="L430" s="10">
        <f t="array" ref="L430">INDEX('1 orders'!I430:I2156, MATCH(1, ('1 orders'!A430:A2156=A430)*('1 orders'!G430:G2156=F430), 0))
</f>
        <v>10</v>
      </c>
      <c r="M430" s="10">
        <f>IFERROR(__xludf.DUMMYFUNCTION("COUNTUNIQUEIFS($A$2:$A430,$F$2:$F430,F430)"),3.0)</f>
        <v>3</v>
      </c>
      <c r="N430" s="10">
        <f t="shared" si="1"/>
        <v>76</v>
      </c>
      <c r="O430" s="26">
        <f>IF(operations[sinceLastOrder]=0,0,operations[orderQuantity] / operations[sinceLastOrder])</f>
        <v>0.1315789474</v>
      </c>
      <c r="P430" s="9">
        <v>11.26</v>
      </c>
      <c r="Q430" s="7" t="s">
        <v>15</v>
      </c>
      <c r="R430" s="10">
        <f>operations[arrivedDate]-operations[shippedDate]</f>
        <v>5</v>
      </c>
    </row>
    <row r="431" ht="15.75" customHeight="1">
      <c r="A431" s="6">
        <v>10408.0</v>
      </c>
      <c r="B431" s="24">
        <v>44934.0</v>
      </c>
      <c r="C431" s="24">
        <v>44962.0</v>
      </c>
      <c r="D431" s="24">
        <v>44940.0</v>
      </c>
      <c r="E431" s="24">
        <v>44945.0</v>
      </c>
      <c r="F431" s="6">
        <v>54.0</v>
      </c>
      <c r="G431" s="9" t="str">
        <f>VLOOKUP(operations[productID],products[],2,FALSE)</f>
        <v>Tourtière</v>
      </c>
      <c r="H431" s="9" t="str">
        <f>IF(VLOOKUP(operations[productID],products[],7,FALSE)=1,"Discontinued","Current")</f>
        <v>Current</v>
      </c>
      <c r="I431" s="6">
        <f>VLOOKUP(operations[productID],products[],4,FALSE)</f>
        <v>21</v>
      </c>
      <c r="J431" s="6">
        <f>VLOOKUP(operations[productID],products[],5,FALSE)</f>
        <v>0</v>
      </c>
      <c r="K431" s="6">
        <f>VLOOKUP(operations[productID],products[],6,FALSE)</f>
        <v>10</v>
      </c>
      <c r="L431" s="10">
        <f t="array" ref="L431">INDEX('1 orders'!I431:I2156, MATCH(1, ('1 orders'!A431:A2156=A431)*('1 orders'!G431:G2156=F431), 0))
</f>
        <v>6</v>
      </c>
      <c r="M431" s="10">
        <f>IFERROR(__xludf.DUMMYFUNCTION("COUNTUNIQUEIFS($A$2:$A431,$F$2:$F431,F431)"),10.0)</f>
        <v>10</v>
      </c>
      <c r="N431" s="10">
        <f t="shared" si="1"/>
        <v>33</v>
      </c>
      <c r="O431" s="26">
        <f>IF(operations[sinceLastOrder]=0,0,operations[orderQuantity] / operations[sinceLastOrder])</f>
        <v>0.1818181818</v>
      </c>
      <c r="P431" s="9">
        <v>11.26</v>
      </c>
      <c r="Q431" s="7" t="s">
        <v>15</v>
      </c>
      <c r="R431" s="10">
        <f>operations[arrivedDate]-operations[shippedDate]</f>
        <v>5</v>
      </c>
    </row>
    <row r="432" ht="15.75" customHeight="1">
      <c r="A432" s="6">
        <v>10408.0</v>
      </c>
      <c r="B432" s="24">
        <v>44934.0</v>
      </c>
      <c r="C432" s="24">
        <v>44962.0</v>
      </c>
      <c r="D432" s="24">
        <v>44940.0</v>
      </c>
      <c r="E432" s="24">
        <v>44945.0</v>
      </c>
      <c r="F432" s="6">
        <v>62.0</v>
      </c>
      <c r="G432" s="9" t="str">
        <f>VLOOKUP(operations[productID],products[],2,FALSE)</f>
        <v>Tarte au sucre</v>
      </c>
      <c r="H432" s="9" t="str">
        <f>IF(VLOOKUP(operations[productID],products[],7,FALSE)=1,"Discontinued","Current")</f>
        <v>Current</v>
      </c>
      <c r="I432" s="6">
        <f>VLOOKUP(operations[productID],products[],4,FALSE)</f>
        <v>17</v>
      </c>
      <c r="J432" s="6">
        <f>VLOOKUP(operations[productID],products[],5,FALSE)</f>
        <v>0</v>
      </c>
      <c r="K432" s="6">
        <f>VLOOKUP(operations[productID],products[],6,FALSE)</f>
        <v>0</v>
      </c>
      <c r="L432" s="10">
        <f t="array" ref="L432">INDEX('1 orders'!I432:I2156, MATCH(1, ('1 orders'!A432:A2156=A432)*('1 orders'!G432:G2156=F432), 0))
</f>
        <v>35</v>
      </c>
      <c r="M432" s="10">
        <f>IFERROR(__xludf.DUMMYFUNCTION("COUNTUNIQUEIFS($A$2:$A432,$F$2:$F432,F432)"),12.0)</f>
        <v>12</v>
      </c>
      <c r="N432" s="10">
        <f t="shared" si="1"/>
        <v>14</v>
      </c>
      <c r="O432" s="26">
        <f>IF(operations[sinceLastOrder]=0,0,operations[orderQuantity] / operations[sinceLastOrder])</f>
        <v>2.5</v>
      </c>
      <c r="P432" s="9">
        <v>11.26</v>
      </c>
      <c r="Q432" s="7" t="s">
        <v>15</v>
      </c>
      <c r="R432" s="10">
        <f>operations[arrivedDate]-operations[shippedDate]</f>
        <v>5</v>
      </c>
    </row>
    <row r="433" ht="15.75" customHeight="1">
      <c r="A433" s="6">
        <v>10409.0</v>
      </c>
      <c r="B433" s="24">
        <v>44935.0</v>
      </c>
      <c r="C433" s="24">
        <v>44963.0</v>
      </c>
      <c r="D433" s="24">
        <v>44940.0</v>
      </c>
      <c r="E433" s="24">
        <v>44950.0</v>
      </c>
      <c r="F433" s="6">
        <v>14.0</v>
      </c>
      <c r="G433" s="9" t="str">
        <f>VLOOKUP(operations[productID],products[],2,FALSE)</f>
        <v>Tofu</v>
      </c>
      <c r="H433" s="9" t="str">
        <f>IF(VLOOKUP(operations[productID],products[],7,FALSE)=1,"Discontinued","Current")</f>
        <v>Current</v>
      </c>
      <c r="I433" s="6">
        <f>VLOOKUP(operations[productID],products[],4,FALSE)</f>
        <v>35</v>
      </c>
      <c r="J433" s="6">
        <f>VLOOKUP(operations[productID],products[],5,FALSE)</f>
        <v>0</v>
      </c>
      <c r="K433" s="6">
        <f>VLOOKUP(operations[productID],products[],6,FALSE)</f>
        <v>0</v>
      </c>
      <c r="L433" s="10">
        <f t="array" ref="L433">INDEX('1 orders'!I433:I2156, MATCH(1, ('1 orders'!A433:A2156=A433)*('1 orders'!G433:G2156=F433), 0))
</f>
        <v>12</v>
      </c>
      <c r="M433" s="10">
        <f>IFERROR(__xludf.DUMMYFUNCTION("COUNTUNIQUEIFS($A$2:$A433,$F$2:$F433,F433)"),6.0)</f>
        <v>6</v>
      </c>
      <c r="N433" s="10">
        <f t="shared" si="1"/>
        <v>15</v>
      </c>
      <c r="O433" s="26">
        <f>IF(operations[sinceLastOrder]=0,0,operations[orderQuantity] / operations[sinceLastOrder])</f>
        <v>0.8</v>
      </c>
      <c r="P433" s="9">
        <v>29.83</v>
      </c>
      <c r="Q433" s="7" t="s">
        <v>15</v>
      </c>
      <c r="R433" s="10">
        <f>operations[arrivedDate]-operations[shippedDate]</f>
        <v>10</v>
      </c>
    </row>
    <row r="434" ht="15.75" customHeight="1">
      <c r="A434" s="6">
        <v>10409.0</v>
      </c>
      <c r="B434" s="24">
        <v>44935.0</v>
      </c>
      <c r="C434" s="24">
        <v>44963.0</v>
      </c>
      <c r="D434" s="24">
        <v>44940.0</v>
      </c>
      <c r="E434" s="24">
        <v>44950.0</v>
      </c>
      <c r="F434" s="6">
        <v>21.0</v>
      </c>
      <c r="G434" s="9" t="str">
        <f>VLOOKUP(operations[productID],products[],2,FALSE)</f>
        <v>Sir Rodney's Scones</v>
      </c>
      <c r="H434" s="9" t="str">
        <f>IF(VLOOKUP(operations[productID],products[],7,FALSE)=1,"Discontinued","Current")</f>
        <v>Current</v>
      </c>
      <c r="I434" s="6">
        <f>VLOOKUP(operations[productID],products[],4,FALSE)</f>
        <v>3</v>
      </c>
      <c r="J434" s="6">
        <f>VLOOKUP(operations[productID],products[],5,FALSE)</f>
        <v>40</v>
      </c>
      <c r="K434" s="6">
        <f>VLOOKUP(operations[productID],products[],6,FALSE)</f>
        <v>5</v>
      </c>
      <c r="L434" s="10">
        <f t="array" ref="L434">INDEX('1 orders'!I434:I2156, MATCH(1, ('1 orders'!A434:A2156=A434)*('1 orders'!G434:G2156=F434), 0))
</f>
        <v>12</v>
      </c>
      <c r="M434" s="10">
        <f>IFERROR(__xludf.DUMMYFUNCTION("COUNTUNIQUEIFS($A$2:$A434,$F$2:$F434,F434)"),7.0)</f>
        <v>7</v>
      </c>
      <c r="N434" s="10">
        <f t="shared" si="1"/>
        <v>2</v>
      </c>
      <c r="O434" s="26">
        <f>IF(operations[sinceLastOrder]=0,0,operations[orderQuantity] / operations[sinceLastOrder])</f>
        <v>6</v>
      </c>
      <c r="P434" s="9">
        <v>29.83</v>
      </c>
      <c r="Q434" s="7" t="s">
        <v>15</v>
      </c>
      <c r="R434" s="10">
        <f>operations[arrivedDate]-operations[shippedDate]</f>
        <v>10</v>
      </c>
    </row>
    <row r="435" ht="15.75" customHeight="1">
      <c r="A435" s="6">
        <v>10410.0</v>
      </c>
      <c r="B435" s="24">
        <v>44936.0</v>
      </c>
      <c r="C435" s="24">
        <v>44964.0</v>
      </c>
      <c r="D435" s="24">
        <v>44941.0</v>
      </c>
      <c r="E435" s="24">
        <v>44955.0</v>
      </c>
      <c r="F435" s="6">
        <v>33.0</v>
      </c>
      <c r="G435" s="9" t="str">
        <f>VLOOKUP(operations[productID],products[],2,FALSE)</f>
        <v>Geitost</v>
      </c>
      <c r="H435" s="9" t="str">
        <f>IF(VLOOKUP(operations[productID],products[],7,FALSE)=1,"Discontinued","Current")</f>
        <v>Current</v>
      </c>
      <c r="I435" s="6">
        <f>VLOOKUP(operations[productID],products[],4,FALSE)</f>
        <v>112</v>
      </c>
      <c r="J435" s="6">
        <f>VLOOKUP(operations[productID],products[],5,FALSE)</f>
        <v>0</v>
      </c>
      <c r="K435" s="6">
        <f>VLOOKUP(operations[productID],products[],6,FALSE)</f>
        <v>20</v>
      </c>
      <c r="L435" s="10">
        <f t="array" ref="L435">INDEX('1 orders'!I435:I2156, MATCH(1, ('1 orders'!A435:A2156=A435)*('1 orders'!G435:G2156=F435), 0))
</f>
        <v>49</v>
      </c>
      <c r="M435" s="10">
        <f>IFERROR(__xludf.DUMMYFUNCTION("COUNTUNIQUEIFS($A$2:$A435,$F$2:$F435,F435)"),7.0)</f>
        <v>7</v>
      </c>
      <c r="N435" s="10">
        <f t="shared" si="1"/>
        <v>28</v>
      </c>
      <c r="O435" s="26">
        <f>IF(operations[sinceLastOrder]=0,0,operations[orderQuantity] / operations[sinceLastOrder])</f>
        <v>1.75</v>
      </c>
      <c r="P435" s="9">
        <v>2.4</v>
      </c>
      <c r="Q435" s="7" t="s">
        <v>13</v>
      </c>
      <c r="R435" s="10">
        <f>operations[arrivedDate]-operations[shippedDate]</f>
        <v>14</v>
      </c>
    </row>
    <row r="436" ht="15.75" customHeight="1">
      <c r="A436" s="6">
        <v>10410.0</v>
      </c>
      <c r="B436" s="24">
        <v>44936.0</v>
      </c>
      <c r="C436" s="24">
        <v>44964.0</v>
      </c>
      <c r="D436" s="24">
        <v>44941.0</v>
      </c>
      <c r="E436" s="24">
        <v>44955.0</v>
      </c>
      <c r="F436" s="6">
        <v>59.0</v>
      </c>
      <c r="G436" s="9" t="str">
        <f>VLOOKUP(operations[productID],products[],2,FALSE)</f>
        <v>Raclette Courdavault</v>
      </c>
      <c r="H436" s="9" t="str">
        <f>IF(VLOOKUP(operations[productID],products[],7,FALSE)=1,"Discontinued","Current")</f>
        <v>Current</v>
      </c>
      <c r="I436" s="6">
        <f>VLOOKUP(operations[productID],products[],4,FALSE)</f>
        <v>79</v>
      </c>
      <c r="J436" s="6">
        <f>VLOOKUP(operations[productID],products[],5,FALSE)</f>
        <v>0</v>
      </c>
      <c r="K436" s="6">
        <f>VLOOKUP(operations[productID],products[],6,FALSE)</f>
        <v>0</v>
      </c>
      <c r="L436" s="10">
        <f t="array" ref="L436">INDEX('1 orders'!I436:I2156, MATCH(1, ('1 orders'!A436:A2156=A436)*('1 orders'!G436:G2156=F436), 0))
</f>
        <v>16</v>
      </c>
      <c r="M436" s="10">
        <f>IFERROR(__xludf.DUMMYFUNCTION("COUNTUNIQUEIFS($A$2:$A436,$F$2:$F436,F436)"),11.0)</f>
        <v>11</v>
      </c>
      <c r="N436" s="10">
        <f t="shared" si="1"/>
        <v>23</v>
      </c>
      <c r="O436" s="26">
        <f>IF(operations[sinceLastOrder]=0,0,operations[orderQuantity] / operations[sinceLastOrder])</f>
        <v>0.6956521739</v>
      </c>
      <c r="P436" s="9">
        <v>2.4</v>
      </c>
      <c r="Q436" s="7" t="s">
        <v>13</v>
      </c>
      <c r="R436" s="10">
        <f>operations[arrivedDate]-operations[shippedDate]</f>
        <v>14</v>
      </c>
    </row>
    <row r="437" ht="15.75" customHeight="1">
      <c r="A437" s="6">
        <v>10411.0</v>
      </c>
      <c r="B437" s="24">
        <v>44936.0</v>
      </c>
      <c r="C437" s="24">
        <v>44964.0</v>
      </c>
      <c r="D437" s="24">
        <v>44947.0</v>
      </c>
      <c r="E437" s="24">
        <v>44959.0</v>
      </c>
      <c r="F437" s="6">
        <v>41.0</v>
      </c>
      <c r="G437" s="9" t="str">
        <f>VLOOKUP(operations[productID],products[],2,FALSE)</f>
        <v>Jack's New England Clam Chowder</v>
      </c>
      <c r="H437" s="9" t="str">
        <f>IF(VLOOKUP(operations[productID],products[],7,FALSE)=1,"Discontinued","Current")</f>
        <v>Current</v>
      </c>
      <c r="I437" s="6">
        <f>VLOOKUP(operations[productID],products[],4,FALSE)</f>
        <v>85</v>
      </c>
      <c r="J437" s="6">
        <f>VLOOKUP(operations[productID],products[],5,FALSE)</f>
        <v>0</v>
      </c>
      <c r="K437" s="6">
        <f>VLOOKUP(operations[productID],products[],6,FALSE)</f>
        <v>10</v>
      </c>
      <c r="L437" s="10">
        <f t="array" ref="L437">INDEX('1 orders'!I437:I2156, MATCH(1, ('1 orders'!A437:A2156=A437)*('1 orders'!G437:G2156=F437), 0))
</f>
        <v>25</v>
      </c>
      <c r="M437" s="10">
        <f>IFERROR(__xludf.DUMMYFUNCTION("COUNTUNIQUEIFS($A$2:$A437,$F$2:$F437,F437)"),9.0)</f>
        <v>9</v>
      </c>
      <c r="N437" s="10">
        <f t="shared" si="1"/>
        <v>30</v>
      </c>
      <c r="O437" s="26">
        <f>IF(operations[sinceLastOrder]=0,0,operations[orderQuantity] / operations[sinceLastOrder])</f>
        <v>0.8333333333</v>
      </c>
      <c r="P437" s="9">
        <v>23.65</v>
      </c>
      <c r="Q437" s="7" t="s">
        <v>13</v>
      </c>
      <c r="R437" s="10">
        <f>operations[arrivedDate]-operations[shippedDate]</f>
        <v>12</v>
      </c>
    </row>
    <row r="438" ht="15.75" customHeight="1">
      <c r="A438" s="6">
        <v>10411.0</v>
      </c>
      <c r="B438" s="24">
        <v>44936.0</v>
      </c>
      <c r="C438" s="24">
        <v>44964.0</v>
      </c>
      <c r="D438" s="24">
        <v>44947.0</v>
      </c>
      <c r="E438" s="24">
        <v>44959.0</v>
      </c>
      <c r="F438" s="6">
        <v>44.0</v>
      </c>
      <c r="G438" s="9" t="str">
        <f>VLOOKUP(operations[productID],products[],2,FALSE)</f>
        <v>Gula Malacca</v>
      </c>
      <c r="H438" s="9" t="str">
        <f>IF(VLOOKUP(operations[productID],products[],7,FALSE)=1,"Discontinued","Current")</f>
        <v>Current</v>
      </c>
      <c r="I438" s="6">
        <f>VLOOKUP(operations[productID],products[],4,FALSE)</f>
        <v>27</v>
      </c>
      <c r="J438" s="6">
        <f>VLOOKUP(operations[productID],products[],5,FALSE)</f>
        <v>0</v>
      </c>
      <c r="K438" s="6">
        <f>VLOOKUP(operations[productID],products[],6,FALSE)</f>
        <v>15</v>
      </c>
      <c r="L438" s="10">
        <f t="array" ref="L438">INDEX('1 orders'!I438:I2156, MATCH(1, ('1 orders'!A438:A2156=A438)*('1 orders'!G438:G2156=F438), 0))
</f>
        <v>40</v>
      </c>
      <c r="M438" s="10">
        <f>IFERROR(__xludf.DUMMYFUNCTION("COUNTUNIQUEIFS($A$2:$A438,$F$2:$F438,F438)"),5.0)</f>
        <v>5</v>
      </c>
      <c r="N438" s="10">
        <f t="shared" si="1"/>
        <v>60</v>
      </c>
      <c r="O438" s="26">
        <f>IF(operations[sinceLastOrder]=0,0,operations[orderQuantity] / operations[sinceLastOrder])</f>
        <v>0.6666666667</v>
      </c>
      <c r="P438" s="9">
        <v>23.65</v>
      </c>
      <c r="Q438" s="7" t="s">
        <v>13</v>
      </c>
      <c r="R438" s="10">
        <f>operations[arrivedDate]-operations[shippedDate]</f>
        <v>12</v>
      </c>
    </row>
    <row r="439" ht="15.75" customHeight="1">
      <c r="A439" s="6">
        <v>10411.0</v>
      </c>
      <c r="B439" s="24">
        <v>44936.0</v>
      </c>
      <c r="C439" s="24">
        <v>44964.0</v>
      </c>
      <c r="D439" s="24">
        <v>44947.0</v>
      </c>
      <c r="E439" s="24">
        <v>44959.0</v>
      </c>
      <c r="F439" s="6">
        <v>59.0</v>
      </c>
      <c r="G439" s="9" t="str">
        <f>VLOOKUP(operations[productID],products[],2,FALSE)</f>
        <v>Raclette Courdavault</v>
      </c>
      <c r="H439" s="9" t="str">
        <f>IF(VLOOKUP(operations[productID],products[],7,FALSE)=1,"Discontinued","Current")</f>
        <v>Current</v>
      </c>
      <c r="I439" s="6">
        <f>VLOOKUP(operations[productID],products[],4,FALSE)</f>
        <v>79</v>
      </c>
      <c r="J439" s="6">
        <f>VLOOKUP(operations[productID],products[],5,FALSE)</f>
        <v>0</v>
      </c>
      <c r="K439" s="6">
        <f>VLOOKUP(operations[productID],products[],6,FALSE)</f>
        <v>0</v>
      </c>
      <c r="L439" s="10">
        <f t="array" ref="L439">INDEX('1 orders'!I439:I2156, MATCH(1, ('1 orders'!A439:A2156=A439)*('1 orders'!G439:G2156=F439), 0))
</f>
        <v>9</v>
      </c>
      <c r="M439" s="10">
        <f>IFERROR(__xludf.DUMMYFUNCTION("COUNTUNIQUEIFS($A$2:$A439,$F$2:$F439,F439)"),12.0)</f>
        <v>12</v>
      </c>
      <c r="N439" s="10">
        <f t="shared" si="1"/>
        <v>0</v>
      </c>
      <c r="O439" s="26">
        <f>IF(operations[sinceLastOrder]=0,0,operations[orderQuantity] / operations[sinceLastOrder])</f>
        <v>0</v>
      </c>
      <c r="P439" s="9">
        <v>23.65</v>
      </c>
      <c r="Q439" s="7" t="s">
        <v>13</v>
      </c>
      <c r="R439" s="10">
        <f>operations[arrivedDate]-operations[shippedDate]</f>
        <v>12</v>
      </c>
    </row>
    <row r="440" ht="15.75" customHeight="1">
      <c r="A440" s="6">
        <v>10412.0</v>
      </c>
      <c r="B440" s="24">
        <v>44939.0</v>
      </c>
      <c r="C440" s="24">
        <v>44967.0</v>
      </c>
      <c r="D440" s="24">
        <v>44941.0</v>
      </c>
      <c r="E440" s="24">
        <v>44955.0</v>
      </c>
      <c r="F440" s="6">
        <v>14.0</v>
      </c>
      <c r="G440" s="9" t="str">
        <f>VLOOKUP(operations[productID],products[],2,FALSE)</f>
        <v>Tofu</v>
      </c>
      <c r="H440" s="9" t="str">
        <f>IF(VLOOKUP(operations[productID],products[],7,FALSE)=1,"Discontinued","Current")</f>
        <v>Current</v>
      </c>
      <c r="I440" s="6">
        <f>VLOOKUP(operations[productID],products[],4,FALSE)</f>
        <v>35</v>
      </c>
      <c r="J440" s="6">
        <f>VLOOKUP(operations[productID],products[],5,FALSE)</f>
        <v>0</v>
      </c>
      <c r="K440" s="6">
        <f>VLOOKUP(operations[productID],products[],6,FALSE)</f>
        <v>0</v>
      </c>
      <c r="L440" s="10">
        <f t="array" ref="L440">INDEX('1 orders'!I440:I2156, MATCH(1, ('1 orders'!A440:A2156=A440)*('1 orders'!G440:G2156=F440), 0))
</f>
        <v>20</v>
      </c>
      <c r="M440" s="10">
        <f>IFERROR(__xludf.DUMMYFUNCTION("COUNTUNIQUEIFS($A$2:$A440,$F$2:$F440,F440)"),7.0)</f>
        <v>7</v>
      </c>
      <c r="N440" s="10">
        <f t="shared" si="1"/>
        <v>4</v>
      </c>
      <c r="O440" s="26">
        <f>IF(operations[sinceLastOrder]=0,0,operations[orderQuantity] / operations[sinceLastOrder])</f>
        <v>5</v>
      </c>
      <c r="P440" s="9">
        <v>3.77</v>
      </c>
      <c r="Q440" s="7" t="s">
        <v>17</v>
      </c>
      <c r="R440" s="10">
        <f>operations[arrivedDate]-operations[shippedDate]</f>
        <v>14</v>
      </c>
    </row>
    <row r="441" ht="15.75" customHeight="1">
      <c r="A441" s="6">
        <v>10413.0</v>
      </c>
      <c r="B441" s="24">
        <v>44940.0</v>
      </c>
      <c r="C441" s="24">
        <v>44968.0</v>
      </c>
      <c r="D441" s="24">
        <v>44942.0</v>
      </c>
      <c r="E441" s="24">
        <v>44949.0</v>
      </c>
      <c r="F441" s="6">
        <v>1.0</v>
      </c>
      <c r="G441" s="9" t="str">
        <f>VLOOKUP(operations[productID],products[],2,FALSE)</f>
        <v>Chai</v>
      </c>
      <c r="H441" s="9" t="str">
        <f>IF(VLOOKUP(operations[productID],products[],7,FALSE)=1,"Discontinued","Current")</f>
        <v>Current</v>
      </c>
      <c r="I441" s="6">
        <f>VLOOKUP(operations[productID],products[],4,FALSE)</f>
        <v>39</v>
      </c>
      <c r="J441" s="6">
        <f>VLOOKUP(operations[productID],products[],5,FALSE)</f>
        <v>0</v>
      </c>
      <c r="K441" s="6">
        <f>VLOOKUP(operations[productID],products[],6,FALSE)</f>
        <v>10</v>
      </c>
      <c r="L441" s="10">
        <f t="array" ref="L441">INDEX('1 orders'!I441:I2156, MATCH(1, ('1 orders'!A441:A2156=A441)*('1 orders'!G441:G2156=F441), 0))
</f>
        <v>24</v>
      </c>
      <c r="M441" s="10">
        <f>IFERROR(__xludf.DUMMYFUNCTION("COUNTUNIQUEIFS($A$2:$A441,$F$2:$F441,F441)"),8.0)</f>
        <v>8</v>
      </c>
      <c r="N441" s="10">
        <f t="shared" si="1"/>
        <v>7</v>
      </c>
      <c r="O441" s="26">
        <f>IF(operations[sinceLastOrder]=0,0,operations[orderQuantity] / operations[sinceLastOrder])</f>
        <v>3.428571429</v>
      </c>
      <c r="P441" s="9">
        <v>95.66</v>
      </c>
      <c r="Q441" s="7" t="s">
        <v>17</v>
      </c>
      <c r="R441" s="10">
        <f>operations[arrivedDate]-operations[shippedDate]</f>
        <v>7</v>
      </c>
    </row>
    <row r="442" ht="15.75" customHeight="1">
      <c r="A442" s="6">
        <v>10413.0</v>
      </c>
      <c r="B442" s="24">
        <v>44940.0</v>
      </c>
      <c r="C442" s="24">
        <v>44968.0</v>
      </c>
      <c r="D442" s="24">
        <v>44942.0</v>
      </c>
      <c r="E442" s="24">
        <v>44949.0</v>
      </c>
      <c r="F442" s="6">
        <v>62.0</v>
      </c>
      <c r="G442" s="9" t="str">
        <f>VLOOKUP(operations[productID],products[],2,FALSE)</f>
        <v>Tarte au sucre</v>
      </c>
      <c r="H442" s="9" t="str">
        <f>IF(VLOOKUP(operations[productID],products[],7,FALSE)=1,"Discontinued","Current")</f>
        <v>Current</v>
      </c>
      <c r="I442" s="6">
        <f>VLOOKUP(operations[productID],products[],4,FALSE)</f>
        <v>17</v>
      </c>
      <c r="J442" s="6">
        <f>VLOOKUP(operations[productID],products[],5,FALSE)</f>
        <v>0</v>
      </c>
      <c r="K442" s="6">
        <f>VLOOKUP(operations[productID],products[],6,FALSE)</f>
        <v>0</v>
      </c>
      <c r="L442" s="10">
        <f t="array" ref="L442">INDEX('1 orders'!I442:I2156, MATCH(1, ('1 orders'!A442:A2156=A442)*('1 orders'!G442:G2156=F442), 0))
</f>
        <v>40</v>
      </c>
      <c r="M442" s="10">
        <f>IFERROR(__xludf.DUMMYFUNCTION("COUNTUNIQUEIFS($A$2:$A442,$F$2:$F442,F442)"),13.0)</f>
        <v>13</v>
      </c>
      <c r="N442" s="10">
        <f t="shared" si="1"/>
        <v>6</v>
      </c>
      <c r="O442" s="26">
        <f>IF(operations[sinceLastOrder]=0,0,operations[orderQuantity] / operations[sinceLastOrder])</f>
        <v>6.666666667</v>
      </c>
      <c r="P442" s="9">
        <v>95.66</v>
      </c>
      <c r="Q442" s="7" t="s">
        <v>17</v>
      </c>
      <c r="R442" s="10">
        <f>operations[arrivedDate]-operations[shippedDate]</f>
        <v>7</v>
      </c>
    </row>
    <row r="443" ht="15.75" customHeight="1">
      <c r="A443" s="6">
        <v>10413.0</v>
      </c>
      <c r="B443" s="24">
        <v>44940.0</v>
      </c>
      <c r="C443" s="24">
        <v>44968.0</v>
      </c>
      <c r="D443" s="24">
        <v>44942.0</v>
      </c>
      <c r="E443" s="24">
        <v>44949.0</v>
      </c>
      <c r="F443" s="6">
        <v>76.0</v>
      </c>
      <c r="G443" s="9" t="str">
        <f>VLOOKUP(operations[productID],products[],2,FALSE)</f>
        <v>Lakkalikööri</v>
      </c>
      <c r="H443" s="9" t="str">
        <f>IF(VLOOKUP(operations[productID],products[],7,FALSE)=1,"Discontinued","Current")</f>
        <v>Current</v>
      </c>
      <c r="I443" s="6">
        <f>VLOOKUP(operations[productID],products[],4,FALSE)</f>
        <v>57</v>
      </c>
      <c r="J443" s="6">
        <f>VLOOKUP(operations[productID],products[],5,FALSE)</f>
        <v>0</v>
      </c>
      <c r="K443" s="6">
        <f>VLOOKUP(operations[productID],products[],6,FALSE)</f>
        <v>20</v>
      </c>
      <c r="L443" s="10">
        <f t="array" ref="L443">INDEX('1 orders'!I443:I2156, MATCH(1, ('1 orders'!A443:A2156=A443)*('1 orders'!G443:G2156=F443), 0))
</f>
        <v>14</v>
      </c>
      <c r="M443" s="10">
        <f>IFERROR(__xludf.DUMMYFUNCTION("COUNTUNIQUEIFS($A$2:$A443,$F$2:$F443,F443)"),8.0)</f>
        <v>8</v>
      </c>
      <c r="N443" s="10">
        <f t="shared" si="1"/>
        <v>14</v>
      </c>
      <c r="O443" s="26">
        <f>IF(operations[sinceLastOrder]=0,0,operations[orderQuantity] / operations[sinceLastOrder])</f>
        <v>1</v>
      </c>
      <c r="P443" s="9">
        <v>95.66</v>
      </c>
      <c r="Q443" s="7" t="s">
        <v>17</v>
      </c>
      <c r="R443" s="10">
        <f>operations[arrivedDate]-operations[shippedDate]</f>
        <v>7</v>
      </c>
    </row>
    <row r="444" ht="15.75" customHeight="1">
      <c r="A444" s="6">
        <v>10414.0</v>
      </c>
      <c r="B444" s="24">
        <v>44940.0</v>
      </c>
      <c r="C444" s="24">
        <v>44968.0</v>
      </c>
      <c r="D444" s="24">
        <v>44943.0</v>
      </c>
      <c r="E444" s="24">
        <v>44961.0</v>
      </c>
      <c r="F444" s="6">
        <v>19.0</v>
      </c>
      <c r="G444" s="9" t="str">
        <f>VLOOKUP(operations[productID],products[],2,FALSE)</f>
        <v>Teatime Chocolate Biscuits</v>
      </c>
      <c r="H444" s="9" t="str">
        <f>IF(VLOOKUP(operations[productID],products[],7,FALSE)=1,"Discontinued","Current")</f>
        <v>Current</v>
      </c>
      <c r="I444" s="6">
        <f>VLOOKUP(operations[productID],products[],4,FALSE)</f>
        <v>25</v>
      </c>
      <c r="J444" s="6">
        <f>VLOOKUP(operations[productID],products[],5,FALSE)</f>
        <v>0</v>
      </c>
      <c r="K444" s="6">
        <f>VLOOKUP(operations[productID],products[],6,FALSE)</f>
        <v>5</v>
      </c>
      <c r="L444" s="10">
        <f t="array" ref="L444">INDEX('1 orders'!I444:I2156, MATCH(1, ('1 orders'!A444:A2156=A444)*('1 orders'!G444:G2156=F444), 0))
</f>
        <v>18</v>
      </c>
      <c r="M444" s="10">
        <f>IFERROR(__xludf.DUMMYFUNCTION("COUNTUNIQUEIFS($A$2:$A444,$F$2:$F444,F444)"),6.0)</f>
        <v>6</v>
      </c>
      <c r="N444" s="10">
        <f t="shared" si="1"/>
        <v>71</v>
      </c>
      <c r="O444" s="26">
        <f>IF(operations[sinceLastOrder]=0,0,operations[orderQuantity] / operations[sinceLastOrder])</f>
        <v>0.2535211268</v>
      </c>
      <c r="P444" s="9">
        <v>21.48</v>
      </c>
      <c r="Q444" s="7" t="s">
        <v>13</v>
      </c>
      <c r="R444" s="10">
        <f>operations[arrivedDate]-operations[shippedDate]</f>
        <v>18</v>
      </c>
    </row>
    <row r="445" ht="15.75" customHeight="1">
      <c r="A445" s="6">
        <v>10414.0</v>
      </c>
      <c r="B445" s="24">
        <v>44940.0</v>
      </c>
      <c r="C445" s="24">
        <v>44968.0</v>
      </c>
      <c r="D445" s="24">
        <v>44943.0</v>
      </c>
      <c r="E445" s="24">
        <v>44961.0</v>
      </c>
      <c r="F445" s="6">
        <v>33.0</v>
      </c>
      <c r="G445" s="9" t="str">
        <f>VLOOKUP(operations[productID],products[],2,FALSE)</f>
        <v>Geitost</v>
      </c>
      <c r="H445" s="9" t="str">
        <f>IF(VLOOKUP(operations[productID],products[],7,FALSE)=1,"Discontinued","Current")</f>
        <v>Current</v>
      </c>
      <c r="I445" s="6">
        <f>VLOOKUP(operations[productID],products[],4,FALSE)</f>
        <v>112</v>
      </c>
      <c r="J445" s="6">
        <f>VLOOKUP(operations[productID],products[],5,FALSE)</f>
        <v>0</v>
      </c>
      <c r="K445" s="6">
        <f>VLOOKUP(operations[productID],products[],6,FALSE)</f>
        <v>20</v>
      </c>
      <c r="L445" s="10">
        <f t="array" ref="L445">INDEX('1 orders'!I445:I2156, MATCH(1, ('1 orders'!A445:A2156=A445)*('1 orders'!G445:G2156=F445), 0))
</f>
        <v>50</v>
      </c>
      <c r="M445" s="10">
        <f>IFERROR(__xludf.DUMMYFUNCTION("COUNTUNIQUEIFS($A$2:$A445,$F$2:$F445,F445)"),8.0)</f>
        <v>8</v>
      </c>
      <c r="N445" s="10">
        <f t="shared" si="1"/>
        <v>4</v>
      </c>
      <c r="O445" s="26">
        <f>IF(operations[sinceLastOrder]=0,0,operations[orderQuantity] / operations[sinceLastOrder])</f>
        <v>12.5</v>
      </c>
      <c r="P445" s="9">
        <v>21.48</v>
      </c>
      <c r="Q445" s="7" t="s">
        <v>13</v>
      </c>
      <c r="R445" s="10">
        <f>operations[arrivedDate]-operations[shippedDate]</f>
        <v>18</v>
      </c>
    </row>
    <row r="446" ht="15.75" customHeight="1">
      <c r="A446" s="6">
        <v>10415.0</v>
      </c>
      <c r="B446" s="24">
        <v>44941.0</v>
      </c>
      <c r="C446" s="24">
        <v>44969.0</v>
      </c>
      <c r="D446" s="24">
        <v>44950.0</v>
      </c>
      <c r="E446" s="24">
        <v>44961.0</v>
      </c>
      <c r="F446" s="6">
        <v>17.0</v>
      </c>
      <c r="G446" s="9" t="str">
        <f>VLOOKUP(operations[productID],products[],2,FALSE)</f>
        <v>Alice Mutton</v>
      </c>
      <c r="H446" s="9" t="str">
        <f>IF(VLOOKUP(operations[productID],products[],7,FALSE)=1,"Discontinued","Current")</f>
        <v>Discontinued</v>
      </c>
      <c r="I446" s="6">
        <f>VLOOKUP(operations[productID],products[],4,FALSE)</f>
        <v>0</v>
      </c>
      <c r="J446" s="6">
        <f>VLOOKUP(operations[productID],products[],5,FALSE)</f>
        <v>0</v>
      </c>
      <c r="K446" s="6">
        <f>VLOOKUP(operations[productID],products[],6,FALSE)</f>
        <v>0</v>
      </c>
      <c r="L446" s="10">
        <f t="array" ref="L446">INDEX('1 orders'!I446:I2156, MATCH(1, ('1 orders'!A446:A2156=A446)*('1 orders'!G446:G2156=F446), 0))
</f>
        <v>2</v>
      </c>
      <c r="M446" s="10">
        <f>IFERROR(__xludf.DUMMYFUNCTION("COUNTUNIQUEIFS($A$2:$A446,$F$2:$F446,F446)"),9.0)</f>
        <v>9</v>
      </c>
      <c r="N446" s="10">
        <f t="shared" si="1"/>
        <v>71</v>
      </c>
      <c r="O446" s="26">
        <f>IF(operations[sinceLastOrder]=0,0,operations[orderQuantity] / operations[sinceLastOrder])</f>
        <v>0.02816901408</v>
      </c>
      <c r="P446" s="9">
        <v>0.2</v>
      </c>
      <c r="Q446" s="7" t="s">
        <v>15</v>
      </c>
      <c r="R446" s="10">
        <f>operations[arrivedDate]-operations[shippedDate]</f>
        <v>11</v>
      </c>
    </row>
    <row r="447" ht="15.75" customHeight="1">
      <c r="A447" s="6">
        <v>10415.0</v>
      </c>
      <c r="B447" s="24">
        <v>44941.0</v>
      </c>
      <c r="C447" s="24">
        <v>44969.0</v>
      </c>
      <c r="D447" s="24">
        <v>44950.0</v>
      </c>
      <c r="E447" s="24">
        <v>44961.0</v>
      </c>
      <c r="F447" s="6">
        <v>33.0</v>
      </c>
      <c r="G447" s="9" t="str">
        <f>VLOOKUP(operations[productID],products[],2,FALSE)</f>
        <v>Geitost</v>
      </c>
      <c r="H447" s="9" t="str">
        <f>IF(VLOOKUP(operations[productID],products[],7,FALSE)=1,"Discontinued","Current")</f>
        <v>Current</v>
      </c>
      <c r="I447" s="6">
        <f>VLOOKUP(operations[productID],products[],4,FALSE)</f>
        <v>112</v>
      </c>
      <c r="J447" s="6">
        <f>VLOOKUP(operations[productID],products[],5,FALSE)</f>
        <v>0</v>
      </c>
      <c r="K447" s="6">
        <f>VLOOKUP(operations[productID],products[],6,FALSE)</f>
        <v>20</v>
      </c>
      <c r="L447" s="10">
        <f t="array" ref="L447">INDEX('1 orders'!I447:I2156, MATCH(1, ('1 orders'!A447:A2156=A447)*('1 orders'!G447:G2156=F447), 0))
</f>
        <v>20</v>
      </c>
      <c r="M447" s="10">
        <f>IFERROR(__xludf.DUMMYFUNCTION("COUNTUNIQUEIFS($A$2:$A447,$F$2:$F447,F447)"),9.0)</f>
        <v>9</v>
      </c>
      <c r="N447" s="10">
        <f t="shared" si="1"/>
        <v>1</v>
      </c>
      <c r="O447" s="26">
        <f>IF(operations[sinceLastOrder]=0,0,operations[orderQuantity] / operations[sinceLastOrder])</f>
        <v>20</v>
      </c>
      <c r="P447" s="9">
        <v>0.2</v>
      </c>
      <c r="Q447" s="7" t="s">
        <v>15</v>
      </c>
      <c r="R447" s="10">
        <f>operations[arrivedDate]-operations[shippedDate]</f>
        <v>11</v>
      </c>
    </row>
    <row r="448" ht="15.75" customHeight="1">
      <c r="A448" s="6">
        <v>10416.0</v>
      </c>
      <c r="B448" s="24">
        <v>44942.0</v>
      </c>
      <c r="C448" s="24">
        <v>44970.0</v>
      </c>
      <c r="D448" s="24">
        <v>44953.0</v>
      </c>
      <c r="E448" s="24">
        <v>44963.0</v>
      </c>
      <c r="F448" s="6">
        <v>19.0</v>
      </c>
      <c r="G448" s="9" t="str">
        <f>VLOOKUP(operations[productID],products[],2,FALSE)</f>
        <v>Teatime Chocolate Biscuits</v>
      </c>
      <c r="H448" s="9" t="str">
        <f>IF(VLOOKUP(operations[productID],products[],7,FALSE)=1,"Discontinued","Current")</f>
        <v>Current</v>
      </c>
      <c r="I448" s="6">
        <f>VLOOKUP(operations[productID],products[],4,FALSE)</f>
        <v>25</v>
      </c>
      <c r="J448" s="6">
        <f>VLOOKUP(operations[productID],products[],5,FALSE)</f>
        <v>0</v>
      </c>
      <c r="K448" s="6">
        <f>VLOOKUP(operations[productID],products[],6,FALSE)</f>
        <v>5</v>
      </c>
      <c r="L448" s="10">
        <f t="array" ref="L448">INDEX('1 orders'!I448:I2156, MATCH(1, ('1 orders'!A448:A2156=A448)*('1 orders'!G448:G2156=F448), 0))
</f>
        <v>20</v>
      </c>
      <c r="M448" s="10">
        <f>IFERROR(__xludf.DUMMYFUNCTION("COUNTUNIQUEIFS($A$2:$A448,$F$2:$F448,F448)"),7.0)</f>
        <v>7</v>
      </c>
      <c r="N448" s="10">
        <f t="shared" si="1"/>
        <v>2</v>
      </c>
      <c r="O448" s="26">
        <f>IF(operations[sinceLastOrder]=0,0,operations[orderQuantity] / operations[sinceLastOrder])</f>
        <v>10</v>
      </c>
      <c r="P448" s="9">
        <v>22.72</v>
      </c>
      <c r="Q448" s="7" t="s">
        <v>13</v>
      </c>
      <c r="R448" s="10">
        <f>operations[arrivedDate]-operations[shippedDate]</f>
        <v>10</v>
      </c>
    </row>
    <row r="449" ht="15.75" customHeight="1">
      <c r="A449" s="6">
        <v>10416.0</v>
      </c>
      <c r="B449" s="24">
        <v>44942.0</v>
      </c>
      <c r="C449" s="24">
        <v>44970.0</v>
      </c>
      <c r="D449" s="24">
        <v>44953.0</v>
      </c>
      <c r="E449" s="24">
        <v>44963.0</v>
      </c>
      <c r="F449" s="6">
        <v>53.0</v>
      </c>
      <c r="G449" s="9" t="str">
        <f>VLOOKUP(operations[productID],products[],2,FALSE)</f>
        <v>Perth Pasties</v>
      </c>
      <c r="H449" s="9" t="str">
        <f>IF(VLOOKUP(operations[productID],products[],7,FALSE)=1,"Discontinued","Current")</f>
        <v>Discontinued</v>
      </c>
      <c r="I449" s="6">
        <f>VLOOKUP(operations[productID],products[],4,FALSE)</f>
        <v>0</v>
      </c>
      <c r="J449" s="6">
        <f>VLOOKUP(operations[productID],products[],5,FALSE)</f>
        <v>0</v>
      </c>
      <c r="K449" s="6">
        <f>VLOOKUP(operations[productID],products[],6,FALSE)</f>
        <v>0</v>
      </c>
      <c r="L449" s="10">
        <f t="array" ref="L449">INDEX('1 orders'!I449:I2156, MATCH(1, ('1 orders'!A449:A2156=A449)*('1 orders'!G449:G2156=F449), 0))
</f>
        <v>10</v>
      </c>
      <c r="M449" s="10">
        <f>IFERROR(__xludf.DUMMYFUNCTION("COUNTUNIQUEIFS($A$2:$A449,$F$2:$F449,F449)"),8.0)</f>
        <v>8</v>
      </c>
      <c r="N449" s="10">
        <f t="shared" si="1"/>
        <v>21</v>
      </c>
      <c r="O449" s="26">
        <f>IF(operations[sinceLastOrder]=0,0,operations[orderQuantity] / operations[sinceLastOrder])</f>
        <v>0.4761904762</v>
      </c>
      <c r="P449" s="9">
        <v>22.72</v>
      </c>
      <c r="Q449" s="7" t="s">
        <v>13</v>
      </c>
      <c r="R449" s="10">
        <f>operations[arrivedDate]-operations[shippedDate]</f>
        <v>10</v>
      </c>
    </row>
    <row r="450" ht="15.75" customHeight="1">
      <c r="A450" s="6">
        <v>10416.0</v>
      </c>
      <c r="B450" s="24">
        <v>44942.0</v>
      </c>
      <c r="C450" s="24">
        <v>44970.0</v>
      </c>
      <c r="D450" s="24">
        <v>44953.0</v>
      </c>
      <c r="E450" s="24">
        <v>44963.0</v>
      </c>
      <c r="F450" s="6">
        <v>57.0</v>
      </c>
      <c r="G450" s="9" t="str">
        <f>VLOOKUP(operations[productID],products[],2,FALSE)</f>
        <v>Ravioli Angelo</v>
      </c>
      <c r="H450" s="9" t="str">
        <f>IF(VLOOKUP(operations[productID],products[],7,FALSE)=1,"Discontinued","Current")</f>
        <v>Current</v>
      </c>
      <c r="I450" s="6">
        <f>VLOOKUP(operations[productID],products[],4,FALSE)</f>
        <v>36</v>
      </c>
      <c r="J450" s="6">
        <f>VLOOKUP(operations[productID],products[],5,FALSE)</f>
        <v>0</v>
      </c>
      <c r="K450" s="6">
        <f>VLOOKUP(operations[productID],products[],6,FALSE)</f>
        <v>20</v>
      </c>
      <c r="L450" s="10">
        <f t="array" ref="L450">INDEX('1 orders'!I450:I2156, MATCH(1, ('1 orders'!A450:A2156=A450)*('1 orders'!G450:G2156=F450), 0))
</f>
        <v>20</v>
      </c>
      <c r="M450" s="10">
        <f>IFERROR(__xludf.DUMMYFUNCTION("COUNTUNIQUEIFS($A$2:$A450,$F$2:$F450,F450)"),7.0)</f>
        <v>7</v>
      </c>
      <c r="N450" s="10">
        <f t="shared" si="1"/>
        <v>48</v>
      </c>
      <c r="O450" s="26">
        <f>IF(operations[sinceLastOrder]=0,0,operations[orderQuantity] / operations[sinceLastOrder])</f>
        <v>0.4166666667</v>
      </c>
      <c r="P450" s="9">
        <v>22.72</v>
      </c>
      <c r="Q450" s="7" t="s">
        <v>13</v>
      </c>
      <c r="R450" s="10">
        <f>operations[arrivedDate]-operations[shippedDate]</f>
        <v>10</v>
      </c>
    </row>
    <row r="451" ht="15.75" customHeight="1">
      <c r="A451" s="6">
        <v>10417.0</v>
      </c>
      <c r="B451" s="24">
        <v>44942.0</v>
      </c>
      <c r="C451" s="24">
        <v>44970.0</v>
      </c>
      <c r="D451" s="24">
        <v>44954.0</v>
      </c>
      <c r="E451" s="24">
        <v>44968.0</v>
      </c>
      <c r="F451" s="6">
        <v>38.0</v>
      </c>
      <c r="G451" s="9" t="str">
        <f>VLOOKUP(operations[productID],products[],2,FALSE)</f>
        <v>Côte de Blaye</v>
      </c>
      <c r="H451" s="9" t="str">
        <f>IF(VLOOKUP(operations[productID],products[],7,FALSE)=1,"Discontinued","Current")</f>
        <v>Current</v>
      </c>
      <c r="I451" s="6">
        <f>VLOOKUP(operations[productID],products[],4,FALSE)</f>
        <v>17</v>
      </c>
      <c r="J451" s="6">
        <f>VLOOKUP(operations[productID],products[],5,FALSE)</f>
        <v>0</v>
      </c>
      <c r="K451" s="6">
        <f>VLOOKUP(operations[productID],products[],6,FALSE)</f>
        <v>15</v>
      </c>
      <c r="L451" s="10">
        <f t="array" ref="L451">INDEX('1 orders'!I451:I2156, MATCH(1, ('1 orders'!A451:A2156=A451)*('1 orders'!G451:G2156=F451), 0))
</f>
        <v>50</v>
      </c>
      <c r="M451" s="10">
        <f>IFERROR(__xludf.DUMMYFUNCTION("COUNTUNIQUEIFS($A$2:$A451,$F$2:$F451,F451)"),6.0)</f>
        <v>6</v>
      </c>
      <c r="N451" s="10">
        <f t="shared" si="1"/>
        <v>43</v>
      </c>
      <c r="O451" s="26">
        <f>IF(operations[sinceLastOrder]=0,0,operations[orderQuantity] / operations[sinceLastOrder])</f>
        <v>1.162790698</v>
      </c>
      <c r="P451" s="9">
        <v>70.29</v>
      </c>
      <c r="Q451" s="7" t="s">
        <v>13</v>
      </c>
      <c r="R451" s="10">
        <f>operations[arrivedDate]-operations[shippedDate]</f>
        <v>14</v>
      </c>
    </row>
    <row r="452" ht="15.75" customHeight="1">
      <c r="A452" s="6">
        <v>10417.0</v>
      </c>
      <c r="B452" s="24">
        <v>44942.0</v>
      </c>
      <c r="C452" s="24">
        <v>44970.0</v>
      </c>
      <c r="D452" s="24">
        <v>44954.0</v>
      </c>
      <c r="E452" s="24">
        <v>44968.0</v>
      </c>
      <c r="F452" s="6">
        <v>46.0</v>
      </c>
      <c r="G452" s="9" t="str">
        <f>VLOOKUP(operations[productID],products[],2,FALSE)</f>
        <v>Spegesild</v>
      </c>
      <c r="H452" s="9" t="str">
        <f>IF(VLOOKUP(operations[productID],products[],7,FALSE)=1,"Discontinued","Current")</f>
        <v>Current</v>
      </c>
      <c r="I452" s="6">
        <f>VLOOKUP(operations[productID],products[],4,FALSE)</f>
        <v>95</v>
      </c>
      <c r="J452" s="6">
        <f>VLOOKUP(operations[productID],products[],5,FALSE)</f>
        <v>0</v>
      </c>
      <c r="K452" s="6">
        <f>VLOOKUP(operations[productID],products[],6,FALSE)</f>
        <v>0</v>
      </c>
      <c r="L452" s="10">
        <f t="array" ref="L452">INDEX('1 orders'!I452:I2156, MATCH(1, ('1 orders'!A452:A2156=A452)*('1 orders'!G452:G2156=F452), 0))
</f>
        <v>2</v>
      </c>
      <c r="M452" s="10">
        <f>IFERROR(__xludf.DUMMYFUNCTION("COUNTUNIQUEIFS($A$2:$A452,$F$2:$F452,F452)"),5.0)</f>
        <v>5</v>
      </c>
      <c r="N452" s="10">
        <f t="shared" si="1"/>
        <v>21</v>
      </c>
      <c r="O452" s="26">
        <f>IF(operations[sinceLastOrder]=0,0,operations[orderQuantity] / operations[sinceLastOrder])</f>
        <v>0.09523809524</v>
      </c>
      <c r="P452" s="9">
        <v>70.29</v>
      </c>
      <c r="Q452" s="7" t="s">
        <v>13</v>
      </c>
      <c r="R452" s="10">
        <f>operations[arrivedDate]-operations[shippedDate]</f>
        <v>14</v>
      </c>
    </row>
    <row r="453" ht="15.75" customHeight="1">
      <c r="A453" s="6">
        <v>10417.0</v>
      </c>
      <c r="B453" s="24">
        <v>44942.0</v>
      </c>
      <c r="C453" s="24">
        <v>44970.0</v>
      </c>
      <c r="D453" s="24">
        <v>44954.0</v>
      </c>
      <c r="E453" s="24">
        <v>44968.0</v>
      </c>
      <c r="F453" s="6">
        <v>68.0</v>
      </c>
      <c r="G453" s="9" t="str">
        <f>VLOOKUP(operations[productID],products[],2,FALSE)</f>
        <v>Scottish Longbreads</v>
      </c>
      <c r="H453" s="9" t="str">
        <f>IF(VLOOKUP(operations[productID],products[],7,FALSE)=1,"Discontinued","Current")</f>
        <v>Current</v>
      </c>
      <c r="I453" s="6">
        <f>VLOOKUP(operations[productID],products[],4,FALSE)</f>
        <v>6</v>
      </c>
      <c r="J453" s="6">
        <f>VLOOKUP(operations[productID],products[],5,FALSE)</f>
        <v>10</v>
      </c>
      <c r="K453" s="6">
        <f>VLOOKUP(operations[productID],products[],6,FALSE)</f>
        <v>15</v>
      </c>
      <c r="L453" s="10">
        <f t="array" ref="L453">INDEX('1 orders'!I453:I2156, MATCH(1, ('1 orders'!A453:A2156=A453)*('1 orders'!G453:G2156=F453), 0))
</f>
        <v>36</v>
      </c>
      <c r="M453" s="10">
        <f>IFERROR(__xludf.DUMMYFUNCTION("COUNTUNIQUEIFS($A$2:$A453,$F$2:$F453,F453)"),10.0)</f>
        <v>10</v>
      </c>
      <c r="N453" s="10">
        <f t="shared" si="1"/>
        <v>16</v>
      </c>
      <c r="O453" s="26">
        <f>IF(operations[sinceLastOrder]=0,0,operations[orderQuantity] / operations[sinceLastOrder])</f>
        <v>2.25</v>
      </c>
      <c r="P453" s="9">
        <v>70.29</v>
      </c>
      <c r="Q453" s="7" t="s">
        <v>13</v>
      </c>
      <c r="R453" s="10">
        <f>operations[arrivedDate]-operations[shippedDate]</f>
        <v>14</v>
      </c>
    </row>
    <row r="454" ht="15.75" customHeight="1">
      <c r="A454" s="6">
        <v>10417.0</v>
      </c>
      <c r="B454" s="24">
        <v>44942.0</v>
      </c>
      <c r="C454" s="24">
        <v>44970.0</v>
      </c>
      <c r="D454" s="24">
        <v>44954.0</v>
      </c>
      <c r="E454" s="24">
        <v>44968.0</v>
      </c>
      <c r="F454" s="6">
        <v>77.0</v>
      </c>
      <c r="G454" s="9" t="str">
        <f>VLOOKUP(operations[productID],products[],2,FALSE)</f>
        <v>Original Frankfurter grüne Soße</v>
      </c>
      <c r="H454" s="9" t="str">
        <f>IF(VLOOKUP(operations[productID],products[],7,FALSE)=1,"Discontinued","Current")</f>
        <v>Current</v>
      </c>
      <c r="I454" s="6">
        <f>VLOOKUP(operations[productID],products[],4,FALSE)</f>
        <v>32</v>
      </c>
      <c r="J454" s="6">
        <f>VLOOKUP(operations[productID],products[],5,FALSE)</f>
        <v>0</v>
      </c>
      <c r="K454" s="6">
        <f>VLOOKUP(operations[productID],products[],6,FALSE)</f>
        <v>15</v>
      </c>
      <c r="L454" s="10">
        <f t="array" ref="L454">INDEX('1 orders'!I454:I2156, MATCH(1, ('1 orders'!A454:A2156=A454)*('1 orders'!G454:G2156=F454), 0))
</f>
        <v>35</v>
      </c>
      <c r="M454" s="10">
        <f>IFERROR(__xludf.DUMMYFUNCTION("COUNTUNIQUEIFS($A$2:$A454,$F$2:$F454,F454)"),7.0)</f>
        <v>7</v>
      </c>
      <c r="N454" s="10">
        <f t="shared" si="1"/>
        <v>16</v>
      </c>
      <c r="O454" s="26">
        <f>IF(operations[sinceLastOrder]=0,0,operations[orderQuantity] / operations[sinceLastOrder])</f>
        <v>2.1875</v>
      </c>
      <c r="P454" s="9">
        <v>70.29</v>
      </c>
      <c r="Q454" s="7" t="s">
        <v>13</v>
      </c>
      <c r="R454" s="10">
        <f>operations[arrivedDate]-operations[shippedDate]</f>
        <v>14</v>
      </c>
    </row>
    <row r="455" ht="15.75" customHeight="1">
      <c r="A455" s="6">
        <v>10418.0</v>
      </c>
      <c r="B455" s="24">
        <v>44943.0</v>
      </c>
      <c r="C455" s="24">
        <v>44971.0</v>
      </c>
      <c r="D455" s="24">
        <v>44950.0</v>
      </c>
      <c r="E455" s="24">
        <v>44953.0</v>
      </c>
      <c r="F455" s="6">
        <v>2.0</v>
      </c>
      <c r="G455" s="9" t="str">
        <f>VLOOKUP(operations[productID],products[],2,FALSE)</f>
        <v>Chang</v>
      </c>
      <c r="H455" s="9" t="str">
        <f>IF(VLOOKUP(operations[productID],products[],7,FALSE)=1,"Discontinued","Current")</f>
        <v>Current</v>
      </c>
      <c r="I455" s="6">
        <f>VLOOKUP(operations[productID],products[],4,FALSE)</f>
        <v>17</v>
      </c>
      <c r="J455" s="6">
        <f>VLOOKUP(operations[productID],products[],5,FALSE)</f>
        <v>40</v>
      </c>
      <c r="K455" s="6">
        <f>VLOOKUP(operations[productID],products[],6,FALSE)</f>
        <v>25</v>
      </c>
      <c r="L455" s="10">
        <f t="array" ref="L455">INDEX('1 orders'!I455:I2156, MATCH(1, ('1 orders'!A455:A2156=A455)*('1 orders'!G455:G2156=F455), 0))
</f>
        <v>60</v>
      </c>
      <c r="M455" s="10">
        <f>IFERROR(__xludf.DUMMYFUNCTION("COUNTUNIQUEIFS($A$2:$A455,$F$2:$F455,F455)"),9.0)</f>
        <v>9</v>
      </c>
      <c r="N455" s="10">
        <f t="shared" si="1"/>
        <v>23</v>
      </c>
      <c r="O455" s="26">
        <f>IF(operations[sinceLastOrder]=0,0,operations[orderQuantity] / operations[sinceLastOrder])</f>
        <v>2.608695652</v>
      </c>
      <c r="P455" s="9">
        <v>17.55</v>
      </c>
      <c r="Q455" s="7" t="s">
        <v>15</v>
      </c>
      <c r="R455" s="10">
        <f>operations[arrivedDate]-operations[shippedDate]</f>
        <v>3</v>
      </c>
    </row>
    <row r="456" ht="15.75" customHeight="1">
      <c r="A456" s="6">
        <v>10418.0</v>
      </c>
      <c r="B456" s="24">
        <v>44943.0</v>
      </c>
      <c r="C456" s="24">
        <v>44971.0</v>
      </c>
      <c r="D456" s="24">
        <v>44950.0</v>
      </c>
      <c r="E456" s="24">
        <v>44953.0</v>
      </c>
      <c r="F456" s="6">
        <v>47.0</v>
      </c>
      <c r="G456" s="9" t="str">
        <f>VLOOKUP(operations[productID],products[],2,FALSE)</f>
        <v>Zaanse koeken</v>
      </c>
      <c r="H456" s="9" t="str">
        <f>IF(VLOOKUP(operations[productID],products[],7,FALSE)=1,"Discontinued","Current")</f>
        <v>Current</v>
      </c>
      <c r="I456" s="6">
        <f>VLOOKUP(operations[productID],products[],4,FALSE)</f>
        <v>36</v>
      </c>
      <c r="J456" s="6">
        <f>VLOOKUP(operations[productID],products[],5,FALSE)</f>
        <v>0</v>
      </c>
      <c r="K456" s="6">
        <f>VLOOKUP(operations[productID],products[],6,FALSE)</f>
        <v>0</v>
      </c>
      <c r="L456" s="10">
        <f t="array" ref="L456">INDEX('1 orders'!I456:I2156, MATCH(1, ('1 orders'!A456:A2156=A456)*('1 orders'!G456:G2156=F456), 0))
</f>
        <v>55</v>
      </c>
      <c r="M456" s="10">
        <f>IFERROR(__xludf.DUMMYFUNCTION("COUNTUNIQUEIFS($A$2:$A456,$F$2:$F456,F456)"),2.0)</f>
        <v>2</v>
      </c>
      <c r="N456" s="10">
        <f t="shared" si="1"/>
        <v>92</v>
      </c>
      <c r="O456" s="26">
        <f>IF(operations[sinceLastOrder]=0,0,operations[orderQuantity] / operations[sinceLastOrder])</f>
        <v>0.597826087</v>
      </c>
      <c r="P456" s="9">
        <v>17.55</v>
      </c>
      <c r="Q456" s="7" t="s">
        <v>15</v>
      </c>
      <c r="R456" s="10">
        <f>operations[arrivedDate]-operations[shippedDate]</f>
        <v>3</v>
      </c>
    </row>
    <row r="457" ht="15.75" customHeight="1">
      <c r="A457" s="6">
        <v>10418.0</v>
      </c>
      <c r="B457" s="24">
        <v>44943.0</v>
      </c>
      <c r="C457" s="24">
        <v>44971.0</v>
      </c>
      <c r="D457" s="24">
        <v>44950.0</v>
      </c>
      <c r="E457" s="24">
        <v>44953.0</v>
      </c>
      <c r="F457" s="6">
        <v>61.0</v>
      </c>
      <c r="G457" s="9" t="str">
        <f>VLOOKUP(operations[productID],products[],2,FALSE)</f>
        <v>Sirop d'érable</v>
      </c>
      <c r="H457" s="9" t="str">
        <f>IF(VLOOKUP(operations[productID],products[],7,FALSE)=1,"Discontinued","Current")</f>
        <v>Current</v>
      </c>
      <c r="I457" s="6">
        <f>VLOOKUP(operations[productID],products[],4,FALSE)</f>
        <v>113</v>
      </c>
      <c r="J457" s="6">
        <f>VLOOKUP(operations[productID],products[],5,FALSE)</f>
        <v>0</v>
      </c>
      <c r="K457" s="6">
        <f>VLOOKUP(operations[productID],products[],6,FALSE)</f>
        <v>25</v>
      </c>
      <c r="L457" s="10">
        <f t="array" ref="L457">INDEX('1 orders'!I457:I2156, MATCH(1, ('1 orders'!A457:A2156=A457)*('1 orders'!G457:G2156=F457), 0))
</f>
        <v>16</v>
      </c>
      <c r="M457" s="10">
        <f>IFERROR(__xludf.DUMMYFUNCTION("COUNTUNIQUEIFS($A$2:$A457,$F$2:$F457,F457)"),1.0)</f>
        <v>1</v>
      </c>
      <c r="N457" s="10">
        <f t="shared" si="1"/>
        <v>0</v>
      </c>
      <c r="O457" s="26">
        <f>IF(operations[sinceLastOrder]=0,0,operations[orderQuantity] / operations[sinceLastOrder])</f>
        <v>0</v>
      </c>
      <c r="P457" s="9">
        <v>17.55</v>
      </c>
      <c r="Q457" s="7" t="s">
        <v>15</v>
      </c>
      <c r="R457" s="10">
        <f>operations[arrivedDate]-operations[shippedDate]</f>
        <v>3</v>
      </c>
    </row>
    <row r="458" ht="15.75" customHeight="1">
      <c r="A458" s="6">
        <v>10418.0</v>
      </c>
      <c r="B458" s="24">
        <v>44943.0</v>
      </c>
      <c r="C458" s="24">
        <v>44971.0</v>
      </c>
      <c r="D458" s="24">
        <v>44950.0</v>
      </c>
      <c r="E458" s="24">
        <v>44953.0</v>
      </c>
      <c r="F458" s="6">
        <v>74.0</v>
      </c>
      <c r="G458" s="9" t="str">
        <f>VLOOKUP(operations[productID],products[],2,FALSE)</f>
        <v>Longlife Tofu</v>
      </c>
      <c r="H458" s="9" t="str">
        <f>IF(VLOOKUP(operations[productID],products[],7,FALSE)=1,"Discontinued","Current")</f>
        <v>Current</v>
      </c>
      <c r="I458" s="6">
        <f>VLOOKUP(operations[productID],products[],4,FALSE)</f>
        <v>4</v>
      </c>
      <c r="J458" s="6">
        <f>VLOOKUP(operations[productID],products[],5,FALSE)</f>
        <v>20</v>
      </c>
      <c r="K458" s="6">
        <f>VLOOKUP(operations[productID],products[],6,FALSE)</f>
        <v>5</v>
      </c>
      <c r="L458" s="10">
        <f t="array" ref="L458">INDEX('1 orders'!I458:I2156, MATCH(1, ('1 orders'!A458:A2156=A458)*('1 orders'!G458:G2156=F458), 0))
</f>
        <v>15</v>
      </c>
      <c r="M458" s="10">
        <f>IFERROR(__xludf.DUMMYFUNCTION("COUNTUNIQUEIFS($A$2:$A458,$F$2:$F458,F458)"),6.0)</f>
        <v>6</v>
      </c>
      <c r="N458" s="10">
        <f t="shared" si="1"/>
        <v>35</v>
      </c>
      <c r="O458" s="26">
        <f>IF(operations[sinceLastOrder]=0,0,operations[orderQuantity] / operations[sinceLastOrder])</f>
        <v>0.4285714286</v>
      </c>
      <c r="P458" s="9">
        <v>17.55</v>
      </c>
      <c r="Q458" s="7" t="s">
        <v>15</v>
      </c>
      <c r="R458" s="10">
        <f>operations[arrivedDate]-operations[shippedDate]</f>
        <v>3</v>
      </c>
    </row>
    <row r="459" ht="15.75" customHeight="1">
      <c r="A459" s="6">
        <v>10419.0</v>
      </c>
      <c r="B459" s="24">
        <v>44946.0</v>
      </c>
      <c r="C459" s="24">
        <v>44974.0</v>
      </c>
      <c r="D459" s="24">
        <v>44956.0</v>
      </c>
      <c r="E459" s="24">
        <v>44969.0</v>
      </c>
      <c r="F459" s="6">
        <v>60.0</v>
      </c>
      <c r="G459" s="9" t="str">
        <f>VLOOKUP(operations[productID],products[],2,FALSE)</f>
        <v>Camembert Pierrot</v>
      </c>
      <c r="H459" s="9" t="str">
        <f>IF(VLOOKUP(operations[productID],products[],7,FALSE)=1,"Discontinued","Current")</f>
        <v>Current</v>
      </c>
      <c r="I459" s="6">
        <f>VLOOKUP(operations[productID],products[],4,FALSE)</f>
        <v>19</v>
      </c>
      <c r="J459" s="6">
        <f>VLOOKUP(operations[productID],products[],5,FALSE)</f>
        <v>0</v>
      </c>
      <c r="K459" s="6">
        <f>VLOOKUP(operations[productID],products[],6,FALSE)</f>
        <v>0</v>
      </c>
      <c r="L459" s="10">
        <f t="array" ref="L459">INDEX('1 orders'!I459:I2156, MATCH(1, ('1 orders'!A459:A2156=A459)*('1 orders'!G459:G2156=F459), 0))
</f>
        <v>60</v>
      </c>
      <c r="M459" s="10">
        <f>IFERROR(__xludf.DUMMYFUNCTION("COUNTUNIQUEIFS($A$2:$A459,$F$2:$F459,F459)"),12.0)</f>
        <v>12</v>
      </c>
      <c r="N459" s="10">
        <f t="shared" si="1"/>
        <v>34</v>
      </c>
      <c r="O459" s="26">
        <f>IF(operations[sinceLastOrder]=0,0,operations[orderQuantity] / operations[sinceLastOrder])</f>
        <v>1.764705882</v>
      </c>
      <c r="P459" s="9">
        <v>137.35</v>
      </c>
      <c r="Q459" s="7" t="s">
        <v>17</v>
      </c>
      <c r="R459" s="10">
        <f>operations[arrivedDate]-operations[shippedDate]</f>
        <v>13</v>
      </c>
    </row>
    <row r="460" ht="15.75" customHeight="1">
      <c r="A460" s="6">
        <v>10419.0</v>
      </c>
      <c r="B460" s="24">
        <v>44946.0</v>
      </c>
      <c r="C460" s="24">
        <v>44974.0</v>
      </c>
      <c r="D460" s="24">
        <v>44956.0</v>
      </c>
      <c r="E460" s="24">
        <v>44969.0</v>
      </c>
      <c r="F460" s="6">
        <v>69.0</v>
      </c>
      <c r="G460" s="9" t="str">
        <f>VLOOKUP(operations[productID],products[],2,FALSE)</f>
        <v>Gudbrandsdalsost</v>
      </c>
      <c r="H460" s="9" t="str">
        <f>IF(VLOOKUP(operations[productID],products[],7,FALSE)=1,"Discontinued","Current")</f>
        <v>Current</v>
      </c>
      <c r="I460" s="6">
        <f>VLOOKUP(operations[productID],products[],4,FALSE)</f>
        <v>26</v>
      </c>
      <c r="J460" s="6">
        <f>VLOOKUP(operations[productID],products[],5,FALSE)</f>
        <v>0</v>
      </c>
      <c r="K460" s="6">
        <f>VLOOKUP(operations[productID],products[],6,FALSE)</f>
        <v>15</v>
      </c>
      <c r="L460" s="10">
        <f t="array" ref="L460">INDEX('1 orders'!I460:I2156, MATCH(1, ('1 orders'!A460:A2156=A460)*('1 orders'!G460:G2156=F460), 0))
</f>
        <v>20</v>
      </c>
      <c r="M460" s="10">
        <f>IFERROR(__xludf.DUMMYFUNCTION("COUNTUNIQUEIFS($A$2:$A460,$F$2:$F460,F460)"),10.0)</f>
        <v>10</v>
      </c>
      <c r="N460" s="10">
        <f t="shared" si="1"/>
        <v>13</v>
      </c>
      <c r="O460" s="26">
        <f>IF(operations[sinceLastOrder]=0,0,operations[orderQuantity] / operations[sinceLastOrder])</f>
        <v>1.538461538</v>
      </c>
      <c r="P460" s="9">
        <v>137.35</v>
      </c>
      <c r="Q460" s="7" t="s">
        <v>17</v>
      </c>
      <c r="R460" s="10">
        <f>operations[arrivedDate]-operations[shippedDate]</f>
        <v>13</v>
      </c>
    </row>
    <row r="461" ht="15.75" customHeight="1">
      <c r="A461" s="6">
        <v>10420.0</v>
      </c>
      <c r="B461" s="24">
        <v>44947.0</v>
      </c>
      <c r="C461" s="24">
        <v>44975.0</v>
      </c>
      <c r="D461" s="24">
        <v>44953.0</v>
      </c>
      <c r="E461" s="24">
        <v>44969.0</v>
      </c>
      <c r="F461" s="6">
        <v>9.0</v>
      </c>
      <c r="G461" s="9" t="str">
        <f>VLOOKUP(operations[productID],products[],2,FALSE)</f>
        <v>Mishi Kobe Niku</v>
      </c>
      <c r="H461" s="9" t="str">
        <f>IF(VLOOKUP(operations[productID],products[],7,FALSE)=1,"Discontinued","Current")</f>
        <v>Discontinued</v>
      </c>
      <c r="I461" s="6">
        <f>VLOOKUP(operations[productID],products[],4,FALSE)</f>
        <v>29</v>
      </c>
      <c r="J461" s="6">
        <f>VLOOKUP(operations[productID],products[],5,FALSE)</f>
        <v>0</v>
      </c>
      <c r="K461" s="6">
        <f>VLOOKUP(operations[productID],products[],6,FALSE)</f>
        <v>0</v>
      </c>
      <c r="L461" s="10">
        <f t="array" ref="L461">INDEX('1 orders'!I461:I2156, MATCH(1, ('1 orders'!A461:A2156=A461)*('1 orders'!G461:G2156=F461), 0))
</f>
        <v>20</v>
      </c>
      <c r="M461" s="10">
        <f>IFERROR(__xludf.DUMMYFUNCTION("COUNTUNIQUEIFS($A$2:$A461,$F$2:$F461,F461)"),1.0)</f>
        <v>1</v>
      </c>
      <c r="N461" s="10">
        <f t="shared" si="1"/>
        <v>0</v>
      </c>
      <c r="O461" s="26">
        <f>IF(operations[sinceLastOrder]=0,0,operations[orderQuantity] / operations[sinceLastOrder])</f>
        <v>0</v>
      </c>
      <c r="P461" s="9">
        <v>44.12</v>
      </c>
      <c r="Q461" s="7" t="s">
        <v>15</v>
      </c>
      <c r="R461" s="10">
        <f>operations[arrivedDate]-operations[shippedDate]</f>
        <v>16</v>
      </c>
    </row>
    <row r="462" ht="15.75" customHeight="1">
      <c r="A462" s="6">
        <v>10420.0</v>
      </c>
      <c r="B462" s="24">
        <v>44947.0</v>
      </c>
      <c r="C462" s="24">
        <v>44975.0</v>
      </c>
      <c r="D462" s="24">
        <v>44953.0</v>
      </c>
      <c r="E462" s="24">
        <v>44969.0</v>
      </c>
      <c r="F462" s="6">
        <v>13.0</v>
      </c>
      <c r="G462" s="9" t="str">
        <f>VLOOKUP(operations[productID],products[],2,FALSE)</f>
        <v>Konbu</v>
      </c>
      <c r="H462" s="9" t="str">
        <f>IF(VLOOKUP(operations[productID],products[],7,FALSE)=1,"Discontinued","Current")</f>
        <v>Current</v>
      </c>
      <c r="I462" s="6">
        <f>VLOOKUP(operations[productID],products[],4,FALSE)</f>
        <v>24</v>
      </c>
      <c r="J462" s="6">
        <f>VLOOKUP(operations[productID],products[],5,FALSE)</f>
        <v>0</v>
      </c>
      <c r="K462" s="6">
        <f>VLOOKUP(operations[productID],products[],6,FALSE)</f>
        <v>5</v>
      </c>
      <c r="L462" s="10">
        <f t="array" ref="L462">INDEX('1 orders'!I462:I2156, MATCH(1, ('1 orders'!A462:A2156=A462)*('1 orders'!G462:G2156=F462), 0))
</f>
        <v>2</v>
      </c>
      <c r="M462" s="10">
        <f>IFERROR(__xludf.DUMMYFUNCTION("COUNTUNIQUEIFS($A$2:$A462,$F$2:$F462,F462)"),7.0)</f>
        <v>7</v>
      </c>
      <c r="N462" s="10">
        <f t="shared" si="1"/>
        <v>27</v>
      </c>
      <c r="O462" s="26">
        <f>IF(operations[sinceLastOrder]=0,0,operations[orderQuantity] / operations[sinceLastOrder])</f>
        <v>0.07407407407</v>
      </c>
      <c r="P462" s="9">
        <v>44.12</v>
      </c>
      <c r="Q462" s="7" t="s">
        <v>15</v>
      </c>
      <c r="R462" s="10">
        <f>operations[arrivedDate]-operations[shippedDate]</f>
        <v>16</v>
      </c>
    </row>
    <row r="463" ht="15.75" customHeight="1">
      <c r="A463" s="6">
        <v>10420.0</v>
      </c>
      <c r="B463" s="24">
        <v>44947.0</v>
      </c>
      <c r="C463" s="24">
        <v>44975.0</v>
      </c>
      <c r="D463" s="24">
        <v>44953.0</v>
      </c>
      <c r="E463" s="24">
        <v>44969.0</v>
      </c>
      <c r="F463" s="6">
        <v>70.0</v>
      </c>
      <c r="G463" s="9" t="str">
        <f>VLOOKUP(operations[productID],products[],2,FALSE)</f>
        <v>Outback Lager</v>
      </c>
      <c r="H463" s="9" t="str">
        <f>IF(VLOOKUP(operations[productID],products[],7,FALSE)=1,"Discontinued","Current")</f>
        <v>Current</v>
      </c>
      <c r="I463" s="6">
        <f>VLOOKUP(operations[productID],products[],4,FALSE)</f>
        <v>15</v>
      </c>
      <c r="J463" s="6">
        <f>VLOOKUP(operations[productID],products[],5,FALSE)</f>
        <v>10</v>
      </c>
      <c r="K463" s="6">
        <f>VLOOKUP(operations[productID],products[],6,FALSE)</f>
        <v>30</v>
      </c>
      <c r="L463" s="10">
        <f t="array" ref="L463">INDEX('1 orders'!I463:I2156, MATCH(1, ('1 orders'!A463:A2156=A463)*('1 orders'!G463:G2156=F463), 0))
</f>
        <v>8</v>
      </c>
      <c r="M463" s="10">
        <f>IFERROR(__xludf.DUMMYFUNCTION("COUNTUNIQUEIFS($A$2:$A463,$F$2:$F463,F463)"),8.0)</f>
        <v>8</v>
      </c>
      <c r="N463" s="10">
        <f t="shared" si="1"/>
        <v>32</v>
      </c>
      <c r="O463" s="26">
        <f>IF(operations[sinceLastOrder]=0,0,operations[orderQuantity] / operations[sinceLastOrder])</f>
        <v>0.25</v>
      </c>
      <c r="P463" s="9">
        <v>44.12</v>
      </c>
      <c r="Q463" s="7" t="s">
        <v>15</v>
      </c>
      <c r="R463" s="10">
        <f>operations[arrivedDate]-operations[shippedDate]</f>
        <v>16</v>
      </c>
    </row>
    <row r="464" ht="15.75" customHeight="1">
      <c r="A464" s="6">
        <v>10420.0</v>
      </c>
      <c r="B464" s="24">
        <v>44947.0</v>
      </c>
      <c r="C464" s="24">
        <v>44975.0</v>
      </c>
      <c r="D464" s="24">
        <v>44953.0</v>
      </c>
      <c r="E464" s="24">
        <v>44969.0</v>
      </c>
      <c r="F464" s="6">
        <v>73.0</v>
      </c>
      <c r="G464" s="9" t="str">
        <f>VLOOKUP(operations[productID],products[],2,FALSE)</f>
        <v>Röd Kaviar</v>
      </c>
      <c r="H464" s="9" t="str">
        <f>IF(VLOOKUP(operations[productID],products[],7,FALSE)=1,"Discontinued","Current")</f>
        <v>Current</v>
      </c>
      <c r="I464" s="6">
        <f>VLOOKUP(operations[productID],products[],4,FALSE)</f>
        <v>101</v>
      </c>
      <c r="J464" s="6">
        <f>VLOOKUP(operations[productID],products[],5,FALSE)</f>
        <v>0</v>
      </c>
      <c r="K464" s="6">
        <f>VLOOKUP(operations[productID],products[],6,FALSE)</f>
        <v>5</v>
      </c>
      <c r="L464" s="10">
        <f t="array" ref="L464">INDEX('1 orders'!I464:I2156, MATCH(1, ('1 orders'!A464:A2156=A464)*('1 orders'!G464:G2156=F464), 0))
</f>
        <v>20</v>
      </c>
      <c r="M464" s="10">
        <f>IFERROR(__xludf.DUMMYFUNCTION("COUNTUNIQUEIFS($A$2:$A464,$F$2:$F464,F464)"),2.0)</f>
        <v>2</v>
      </c>
      <c r="N464" s="10">
        <f t="shared" si="1"/>
        <v>162</v>
      </c>
      <c r="O464" s="26">
        <f>IF(operations[sinceLastOrder]=0,0,operations[orderQuantity] / operations[sinceLastOrder])</f>
        <v>0.1234567901</v>
      </c>
      <c r="P464" s="9">
        <v>44.12</v>
      </c>
      <c r="Q464" s="7" t="s">
        <v>15</v>
      </c>
      <c r="R464" s="10">
        <f>operations[arrivedDate]-operations[shippedDate]</f>
        <v>16</v>
      </c>
    </row>
    <row r="465" ht="15.75" customHeight="1">
      <c r="A465" s="6">
        <v>10421.0</v>
      </c>
      <c r="B465" s="24">
        <v>44947.0</v>
      </c>
      <c r="C465" s="24">
        <v>44989.0</v>
      </c>
      <c r="D465" s="24">
        <v>44953.0</v>
      </c>
      <c r="E465" s="24">
        <v>44970.0</v>
      </c>
      <c r="F465" s="6">
        <v>19.0</v>
      </c>
      <c r="G465" s="9" t="str">
        <f>VLOOKUP(operations[productID],products[],2,FALSE)</f>
        <v>Teatime Chocolate Biscuits</v>
      </c>
      <c r="H465" s="9" t="str">
        <f>IF(VLOOKUP(operations[productID],products[],7,FALSE)=1,"Discontinued","Current")</f>
        <v>Current</v>
      </c>
      <c r="I465" s="6">
        <f>VLOOKUP(operations[productID],products[],4,FALSE)</f>
        <v>25</v>
      </c>
      <c r="J465" s="6">
        <f>VLOOKUP(operations[productID],products[],5,FALSE)</f>
        <v>0</v>
      </c>
      <c r="K465" s="6">
        <f>VLOOKUP(operations[productID],products[],6,FALSE)</f>
        <v>5</v>
      </c>
      <c r="L465" s="10">
        <f t="array" ref="L465">INDEX('1 orders'!I465:I2156, MATCH(1, ('1 orders'!A465:A2156=A465)*('1 orders'!G465:G2156=F465), 0))
</f>
        <v>4</v>
      </c>
      <c r="M465" s="10">
        <f>IFERROR(__xludf.DUMMYFUNCTION("COUNTUNIQUEIFS($A$2:$A465,$F$2:$F465,F465)"),8.0)</f>
        <v>8</v>
      </c>
      <c r="N465" s="10">
        <f t="shared" si="1"/>
        <v>5</v>
      </c>
      <c r="O465" s="26">
        <f>IF(operations[sinceLastOrder]=0,0,operations[orderQuantity] / operations[sinceLastOrder])</f>
        <v>0.8</v>
      </c>
      <c r="P465" s="9">
        <v>99.23</v>
      </c>
      <c r="Q465" s="7" t="s">
        <v>15</v>
      </c>
      <c r="R465" s="10">
        <f>operations[arrivedDate]-operations[shippedDate]</f>
        <v>17</v>
      </c>
    </row>
    <row r="466" ht="15.75" customHeight="1">
      <c r="A466" s="6">
        <v>10421.0</v>
      </c>
      <c r="B466" s="24">
        <v>44947.0</v>
      </c>
      <c r="C466" s="24">
        <v>44989.0</v>
      </c>
      <c r="D466" s="24">
        <v>44953.0</v>
      </c>
      <c r="E466" s="24">
        <v>44970.0</v>
      </c>
      <c r="F466" s="6">
        <v>26.0</v>
      </c>
      <c r="G466" s="9" t="str">
        <f>VLOOKUP(operations[productID],products[],2,FALSE)</f>
        <v>NuNuCa Nuß-Nougat-Creme</v>
      </c>
      <c r="H466" s="9" t="str">
        <f>IF(VLOOKUP(operations[productID],products[],7,FALSE)=1,"Discontinued","Current")</f>
        <v>Current</v>
      </c>
      <c r="I466" s="6">
        <f>VLOOKUP(operations[productID],products[],4,FALSE)</f>
        <v>15</v>
      </c>
      <c r="J466" s="6">
        <f>VLOOKUP(operations[productID],products[],5,FALSE)</f>
        <v>0</v>
      </c>
      <c r="K466" s="6">
        <f>VLOOKUP(operations[productID],products[],6,FALSE)</f>
        <v>0</v>
      </c>
      <c r="L466" s="10">
        <f t="array" ref="L466">INDEX('1 orders'!I466:I2156, MATCH(1, ('1 orders'!A466:A2156=A466)*('1 orders'!G466:G2156=F466), 0))
</f>
        <v>30</v>
      </c>
      <c r="M466" s="10">
        <f>IFERROR(__xludf.DUMMYFUNCTION("COUNTUNIQUEIFS($A$2:$A466,$F$2:$F466,F466)"),6.0)</f>
        <v>6</v>
      </c>
      <c r="N466" s="10">
        <f t="shared" si="1"/>
        <v>18</v>
      </c>
      <c r="O466" s="26">
        <f>IF(operations[sinceLastOrder]=0,0,operations[orderQuantity] / operations[sinceLastOrder])</f>
        <v>1.666666667</v>
      </c>
      <c r="P466" s="9">
        <v>99.23</v>
      </c>
      <c r="Q466" s="7" t="s">
        <v>15</v>
      </c>
      <c r="R466" s="10">
        <f>operations[arrivedDate]-operations[shippedDate]</f>
        <v>17</v>
      </c>
    </row>
    <row r="467" ht="15.75" customHeight="1">
      <c r="A467" s="6">
        <v>10421.0</v>
      </c>
      <c r="B467" s="24">
        <v>44947.0</v>
      </c>
      <c r="C467" s="24">
        <v>44989.0</v>
      </c>
      <c r="D467" s="24">
        <v>44953.0</v>
      </c>
      <c r="E467" s="24">
        <v>44970.0</v>
      </c>
      <c r="F467" s="6">
        <v>53.0</v>
      </c>
      <c r="G467" s="9" t="str">
        <f>VLOOKUP(operations[productID],products[],2,FALSE)</f>
        <v>Perth Pasties</v>
      </c>
      <c r="H467" s="9" t="str">
        <f>IF(VLOOKUP(operations[productID],products[],7,FALSE)=1,"Discontinued","Current")</f>
        <v>Discontinued</v>
      </c>
      <c r="I467" s="6">
        <f>VLOOKUP(operations[productID],products[],4,FALSE)</f>
        <v>0</v>
      </c>
      <c r="J467" s="6">
        <f>VLOOKUP(operations[productID],products[],5,FALSE)</f>
        <v>0</v>
      </c>
      <c r="K467" s="6">
        <f>VLOOKUP(operations[productID],products[],6,FALSE)</f>
        <v>0</v>
      </c>
      <c r="L467" s="10">
        <f t="array" ref="L467">INDEX('1 orders'!I467:I2156, MATCH(1, ('1 orders'!A467:A2156=A467)*('1 orders'!G467:G2156=F467), 0))
</f>
        <v>15</v>
      </c>
      <c r="M467" s="10">
        <f>IFERROR(__xludf.DUMMYFUNCTION("COUNTUNIQUEIFS($A$2:$A467,$F$2:$F467,F467)"),9.0)</f>
        <v>9</v>
      </c>
      <c r="N467" s="10">
        <f t="shared" si="1"/>
        <v>5</v>
      </c>
      <c r="O467" s="26">
        <f>IF(operations[sinceLastOrder]=0,0,operations[orderQuantity] / operations[sinceLastOrder])</f>
        <v>3</v>
      </c>
      <c r="P467" s="9">
        <v>99.23</v>
      </c>
      <c r="Q467" s="7" t="s">
        <v>15</v>
      </c>
      <c r="R467" s="10">
        <f>operations[arrivedDate]-operations[shippedDate]</f>
        <v>17</v>
      </c>
    </row>
    <row r="468" ht="15.75" customHeight="1">
      <c r="A468" s="6">
        <v>10421.0</v>
      </c>
      <c r="B468" s="24">
        <v>44947.0</v>
      </c>
      <c r="C468" s="24">
        <v>44989.0</v>
      </c>
      <c r="D468" s="24">
        <v>44953.0</v>
      </c>
      <c r="E468" s="24">
        <v>44970.0</v>
      </c>
      <c r="F468" s="6">
        <v>77.0</v>
      </c>
      <c r="G468" s="9" t="str">
        <f>VLOOKUP(operations[productID],products[],2,FALSE)</f>
        <v>Original Frankfurter grüne Soße</v>
      </c>
      <c r="H468" s="9" t="str">
        <f>IF(VLOOKUP(operations[productID],products[],7,FALSE)=1,"Discontinued","Current")</f>
        <v>Current</v>
      </c>
      <c r="I468" s="6">
        <f>VLOOKUP(operations[productID],products[],4,FALSE)</f>
        <v>32</v>
      </c>
      <c r="J468" s="6">
        <f>VLOOKUP(operations[productID],products[],5,FALSE)</f>
        <v>0</v>
      </c>
      <c r="K468" s="6">
        <f>VLOOKUP(operations[productID],products[],6,FALSE)</f>
        <v>15</v>
      </c>
      <c r="L468" s="10">
        <f t="array" ref="L468">INDEX('1 orders'!I468:I2156, MATCH(1, ('1 orders'!A468:A2156=A468)*('1 orders'!G468:G2156=F468), 0))
</f>
        <v>10</v>
      </c>
      <c r="M468" s="10">
        <f>IFERROR(__xludf.DUMMYFUNCTION("COUNTUNIQUEIFS($A$2:$A468,$F$2:$F468,F468)"),8.0)</f>
        <v>8</v>
      </c>
      <c r="N468" s="10">
        <f t="shared" si="1"/>
        <v>5</v>
      </c>
      <c r="O468" s="26">
        <f>IF(operations[sinceLastOrder]=0,0,operations[orderQuantity] / operations[sinceLastOrder])</f>
        <v>2</v>
      </c>
      <c r="P468" s="9">
        <v>99.23</v>
      </c>
      <c r="Q468" s="7" t="s">
        <v>15</v>
      </c>
      <c r="R468" s="10">
        <f>operations[arrivedDate]-operations[shippedDate]</f>
        <v>17</v>
      </c>
    </row>
    <row r="469" ht="15.75" customHeight="1">
      <c r="A469" s="6">
        <v>10422.0</v>
      </c>
      <c r="B469" s="24">
        <v>44948.0</v>
      </c>
      <c r="C469" s="24">
        <v>44976.0</v>
      </c>
      <c r="D469" s="24">
        <v>44957.0</v>
      </c>
      <c r="E469" s="24">
        <v>44964.0</v>
      </c>
      <c r="F469" s="6">
        <v>26.0</v>
      </c>
      <c r="G469" s="9" t="str">
        <f>VLOOKUP(operations[productID],products[],2,FALSE)</f>
        <v>NuNuCa Nuß-Nougat-Creme</v>
      </c>
      <c r="H469" s="9" t="str">
        <f>IF(VLOOKUP(operations[productID],products[],7,FALSE)=1,"Discontinued","Current")</f>
        <v>Current</v>
      </c>
      <c r="I469" s="6">
        <f>VLOOKUP(operations[productID],products[],4,FALSE)</f>
        <v>15</v>
      </c>
      <c r="J469" s="6">
        <f>VLOOKUP(operations[productID],products[],5,FALSE)</f>
        <v>0</v>
      </c>
      <c r="K469" s="6">
        <f>VLOOKUP(operations[productID],products[],6,FALSE)</f>
        <v>0</v>
      </c>
      <c r="L469" s="10">
        <f t="array" ref="L469">INDEX('1 orders'!I469:I2156, MATCH(1, ('1 orders'!A469:A2156=A469)*('1 orders'!G469:G2156=F469), 0))
</f>
        <v>2</v>
      </c>
      <c r="M469" s="10">
        <f>IFERROR(__xludf.DUMMYFUNCTION("COUNTUNIQUEIFS($A$2:$A469,$F$2:$F469,F469)"),7.0)</f>
        <v>7</v>
      </c>
      <c r="N469" s="10">
        <f t="shared" si="1"/>
        <v>1</v>
      </c>
      <c r="O469" s="26">
        <f>IF(operations[sinceLastOrder]=0,0,operations[orderQuantity] / operations[sinceLastOrder])</f>
        <v>2</v>
      </c>
      <c r="P469" s="9">
        <v>3.02</v>
      </c>
      <c r="Q469" s="7" t="s">
        <v>15</v>
      </c>
      <c r="R469" s="10">
        <f>operations[arrivedDate]-operations[shippedDate]</f>
        <v>7</v>
      </c>
    </row>
    <row r="470" ht="15.75" customHeight="1">
      <c r="A470" s="6">
        <v>10423.0</v>
      </c>
      <c r="B470" s="24">
        <v>44949.0</v>
      </c>
      <c r="C470" s="24">
        <v>44963.0</v>
      </c>
      <c r="D470" s="24">
        <v>44981.0</v>
      </c>
      <c r="E470" s="24">
        <v>44997.0</v>
      </c>
      <c r="F470" s="6">
        <v>31.0</v>
      </c>
      <c r="G470" s="9" t="str">
        <f>VLOOKUP(operations[productID],products[],2,FALSE)</f>
        <v>Gorgonzola Telino</v>
      </c>
      <c r="H470" s="9" t="str">
        <f>IF(VLOOKUP(operations[productID],products[],7,FALSE)=1,"Discontinued","Current")</f>
        <v>Current</v>
      </c>
      <c r="I470" s="6">
        <f>VLOOKUP(operations[productID],products[],4,FALSE)</f>
        <v>0</v>
      </c>
      <c r="J470" s="6">
        <f>VLOOKUP(operations[productID],products[],5,FALSE)</f>
        <v>70</v>
      </c>
      <c r="K470" s="6">
        <f>VLOOKUP(operations[productID],products[],6,FALSE)</f>
        <v>20</v>
      </c>
      <c r="L470" s="10">
        <f t="array" ref="L470">INDEX('1 orders'!I470:I2156, MATCH(1, ('1 orders'!A470:A2156=A470)*('1 orders'!G470:G2156=F470), 0))
</f>
        <v>14</v>
      </c>
      <c r="M470" s="10">
        <f>IFERROR(__xludf.DUMMYFUNCTION("COUNTUNIQUEIFS($A$2:$A470,$F$2:$F470,F470)"),14.0)</f>
        <v>14</v>
      </c>
      <c r="N470" s="10">
        <f t="shared" si="1"/>
        <v>29</v>
      </c>
      <c r="O470" s="26">
        <f>IF(operations[sinceLastOrder]=0,0,operations[orderQuantity] / operations[sinceLastOrder])</f>
        <v>0.4827586207</v>
      </c>
      <c r="P470" s="9">
        <v>24.5</v>
      </c>
      <c r="Q470" s="7" t="s">
        <v>13</v>
      </c>
      <c r="R470" s="10">
        <f>operations[arrivedDate]-operations[shippedDate]</f>
        <v>16</v>
      </c>
    </row>
    <row r="471" ht="15.75" customHeight="1">
      <c r="A471" s="6">
        <v>10423.0</v>
      </c>
      <c r="B471" s="24">
        <v>44949.0</v>
      </c>
      <c r="C471" s="24">
        <v>44963.0</v>
      </c>
      <c r="D471" s="24">
        <v>44981.0</v>
      </c>
      <c r="E471" s="24">
        <v>44997.0</v>
      </c>
      <c r="F471" s="6">
        <v>59.0</v>
      </c>
      <c r="G471" s="9" t="str">
        <f>VLOOKUP(operations[productID],products[],2,FALSE)</f>
        <v>Raclette Courdavault</v>
      </c>
      <c r="H471" s="9" t="str">
        <f>IF(VLOOKUP(operations[productID],products[],7,FALSE)=1,"Discontinued","Current")</f>
        <v>Current</v>
      </c>
      <c r="I471" s="6">
        <f>VLOOKUP(operations[productID],products[],4,FALSE)</f>
        <v>79</v>
      </c>
      <c r="J471" s="6">
        <f>VLOOKUP(operations[productID],products[],5,FALSE)</f>
        <v>0</v>
      </c>
      <c r="K471" s="6">
        <f>VLOOKUP(operations[productID],products[],6,FALSE)</f>
        <v>0</v>
      </c>
      <c r="L471" s="10">
        <f t="array" ref="L471">INDEX('1 orders'!I471:I2156, MATCH(1, ('1 orders'!A471:A2156=A471)*('1 orders'!G471:G2156=F471), 0))
</f>
        <v>20</v>
      </c>
      <c r="M471" s="10">
        <f>IFERROR(__xludf.DUMMYFUNCTION("COUNTUNIQUEIFS($A$2:$A471,$F$2:$F471,F471)"),13.0)</f>
        <v>13</v>
      </c>
      <c r="N471" s="10">
        <f t="shared" si="1"/>
        <v>13</v>
      </c>
      <c r="O471" s="26">
        <f>IF(operations[sinceLastOrder]=0,0,operations[orderQuantity] / operations[sinceLastOrder])</f>
        <v>1.538461538</v>
      </c>
      <c r="P471" s="9">
        <v>24.5</v>
      </c>
      <c r="Q471" s="7" t="s">
        <v>13</v>
      </c>
      <c r="R471" s="10">
        <f>operations[arrivedDate]-operations[shippedDate]</f>
        <v>16</v>
      </c>
    </row>
    <row r="472" ht="15.75" customHeight="1">
      <c r="A472" s="6">
        <v>10424.0</v>
      </c>
      <c r="B472" s="24">
        <v>44949.0</v>
      </c>
      <c r="C472" s="24">
        <v>44977.0</v>
      </c>
      <c r="D472" s="24">
        <v>44953.0</v>
      </c>
      <c r="E472" s="24">
        <v>44970.0</v>
      </c>
      <c r="F472" s="6">
        <v>35.0</v>
      </c>
      <c r="G472" s="9" t="str">
        <f>VLOOKUP(operations[productID],products[],2,FALSE)</f>
        <v>Cold Brew Nitro</v>
      </c>
      <c r="H472" s="9" t="str">
        <f>IF(VLOOKUP(operations[productID],products[],7,FALSE)=1,"Discontinued","Current")</f>
        <v>Current</v>
      </c>
      <c r="I472" s="6">
        <f>VLOOKUP(operations[productID],products[],4,FALSE)</f>
        <v>20</v>
      </c>
      <c r="J472" s="6">
        <f>VLOOKUP(operations[productID],products[],5,FALSE)</f>
        <v>0</v>
      </c>
      <c r="K472" s="6">
        <f>VLOOKUP(operations[productID],products[],6,FALSE)</f>
        <v>15</v>
      </c>
      <c r="L472" s="10">
        <f t="array" ref="L472">INDEX('1 orders'!I472:I2156, MATCH(1, ('1 orders'!A472:A2156=A472)*('1 orders'!G472:G2156=F472), 0))
</f>
        <v>60</v>
      </c>
      <c r="M472" s="10">
        <f>IFERROR(__xludf.DUMMYFUNCTION("COUNTUNIQUEIFS($A$2:$A472,$F$2:$F472,F472)"),9.0)</f>
        <v>9</v>
      </c>
      <c r="N472" s="10">
        <f t="shared" si="1"/>
        <v>22</v>
      </c>
      <c r="O472" s="26">
        <f>IF(operations[sinceLastOrder]=0,0,operations[orderQuantity] / operations[sinceLastOrder])</f>
        <v>2.727272727</v>
      </c>
      <c r="P472" s="9">
        <v>370.61</v>
      </c>
      <c r="Q472" s="7" t="s">
        <v>17</v>
      </c>
      <c r="R472" s="10">
        <f>operations[arrivedDate]-operations[shippedDate]</f>
        <v>17</v>
      </c>
    </row>
    <row r="473" ht="15.75" customHeight="1">
      <c r="A473" s="6">
        <v>10424.0</v>
      </c>
      <c r="B473" s="24">
        <v>44949.0</v>
      </c>
      <c r="C473" s="24">
        <v>44977.0</v>
      </c>
      <c r="D473" s="24">
        <v>44953.0</v>
      </c>
      <c r="E473" s="24">
        <v>44970.0</v>
      </c>
      <c r="F473" s="6">
        <v>38.0</v>
      </c>
      <c r="G473" s="9" t="str">
        <f>VLOOKUP(operations[productID],products[],2,FALSE)</f>
        <v>Côte de Blaye</v>
      </c>
      <c r="H473" s="9" t="str">
        <f>IF(VLOOKUP(operations[productID],products[],7,FALSE)=1,"Discontinued","Current")</f>
        <v>Current</v>
      </c>
      <c r="I473" s="6">
        <f>VLOOKUP(operations[productID],products[],4,FALSE)</f>
        <v>17</v>
      </c>
      <c r="J473" s="6">
        <f>VLOOKUP(operations[productID],products[],5,FALSE)</f>
        <v>0</v>
      </c>
      <c r="K473" s="6">
        <f>VLOOKUP(operations[productID],products[],6,FALSE)</f>
        <v>15</v>
      </c>
      <c r="L473" s="10">
        <f t="array" ref="L473">INDEX('1 orders'!I473:I2156, MATCH(1, ('1 orders'!A473:A2156=A473)*('1 orders'!G473:G2156=F473), 0))
</f>
        <v>49</v>
      </c>
      <c r="M473" s="10">
        <f>IFERROR(__xludf.DUMMYFUNCTION("COUNTUNIQUEIFS($A$2:$A473,$F$2:$F473,F473)"),7.0)</f>
        <v>7</v>
      </c>
      <c r="N473" s="10">
        <f t="shared" si="1"/>
        <v>7</v>
      </c>
      <c r="O473" s="26">
        <f>IF(operations[sinceLastOrder]=0,0,operations[orderQuantity] / operations[sinceLastOrder])</f>
        <v>7</v>
      </c>
      <c r="P473" s="9">
        <v>370.61</v>
      </c>
      <c r="Q473" s="7" t="s">
        <v>17</v>
      </c>
      <c r="R473" s="10">
        <f>operations[arrivedDate]-operations[shippedDate]</f>
        <v>17</v>
      </c>
    </row>
    <row r="474" ht="15.75" customHeight="1">
      <c r="A474" s="6">
        <v>10424.0</v>
      </c>
      <c r="B474" s="24">
        <v>44949.0</v>
      </c>
      <c r="C474" s="24">
        <v>44977.0</v>
      </c>
      <c r="D474" s="24">
        <v>44953.0</v>
      </c>
      <c r="E474" s="24">
        <v>44970.0</v>
      </c>
      <c r="F474" s="6">
        <v>68.0</v>
      </c>
      <c r="G474" s="9" t="str">
        <f>VLOOKUP(operations[productID],products[],2,FALSE)</f>
        <v>Scottish Longbreads</v>
      </c>
      <c r="H474" s="9" t="str">
        <f>IF(VLOOKUP(operations[productID],products[],7,FALSE)=1,"Discontinued","Current")</f>
        <v>Current</v>
      </c>
      <c r="I474" s="6">
        <f>VLOOKUP(operations[productID],products[],4,FALSE)</f>
        <v>6</v>
      </c>
      <c r="J474" s="6">
        <f>VLOOKUP(operations[productID],products[],5,FALSE)</f>
        <v>10</v>
      </c>
      <c r="K474" s="6">
        <f>VLOOKUP(operations[productID],products[],6,FALSE)</f>
        <v>15</v>
      </c>
      <c r="L474" s="10">
        <f t="array" ref="L474">INDEX('1 orders'!I474:I2156, MATCH(1, ('1 orders'!A474:A2156=A474)*('1 orders'!G474:G2156=F474), 0))
</f>
        <v>30</v>
      </c>
      <c r="M474" s="10">
        <f>IFERROR(__xludf.DUMMYFUNCTION("COUNTUNIQUEIFS($A$2:$A474,$F$2:$F474,F474)"),11.0)</f>
        <v>11</v>
      </c>
      <c r="N474" s="10">
        <f t="shared" si="1"/>
        <v>7</v>
      </c>
      <c r="O474" s="26">
        <f>IF(operations[sinceLastOrder]=0,0,operations[orderQuantity] / operations[sinceLastOrder])</f>
        <v>4.285714286</v>
      </c>
      <c r="P474" s="9">
        <v>370.61</v>
      </c>
      <c r="Q474" s="7" t="s">
        <v>17</v>
      </c>
      <c r="R474" s="10">
        <f>operations[arrivedDate]-operations[shippedDate]</f>
        <v>17</v>
      </c>
    </row>
    <row r="475" ht="15.75" customHeight="1">
      <c r="A475" s="6">
        <v>10425.0</v>
      </c>
      <c r="B475" s="24">
        <v>44950.0</v>
      </c>
      <c r="C475" s="24">
        <v>44978.0</v>
      </c>
      <c r="D475" s="24">
        <v>44971.0</v>
      </c>
      <c r="E475" s="24">
        <v>44982.0</v>
      </c>
      <c r="F475" s="6">
        <v>55.0</v>
      </c>
      <c r="G475" s="9" t="str">
        <f>VLOOKUP(operations[productID],products[],2,FALSE)</f>
        <v>Pâté chinois</v>
      </c>
      <c r="H475" s="9" t="str">
        <f>IF(VLOOKUP(operations[productID],products[],7,FALSE)=1,"Discontinued","Current")</f>
        <v>Current</v>
      </c>
      <c r="I475" s="6">
        <f>VLOOKUP(operations[productID],products[],4,FALSE)</f>
        <v>115</v>
      </c>
      <c r="J475" s="6">
        <f>VLOOKUP(operations[productID],products[],5,FALSE)</f>
        <v>0</v>
      </c>
      <c r="K475" s="6">
        <f>VLOOKUP(operations[productID],products[],6,FALSE)</f>
        <v>20</v>
      </c>
      <c r="L475" s="10">
        <f t="array" ref="L475">INDEX('1 orders'!I475:I2156, MATCH(1, ('1 orders'!A475:A2156=A475)*('1 orders'!G475:G2156=F475), 0))
</f>
        <v>10</v>
      </c>
      <c r="M475" s="10">
        <f>IFERROR(__xludf.DUMMYFUNCTION("COUNTUNIQUEIFS($A$2:$A475,$F$2:$F475,F475)"),7.0)</f>
        <v>7</v>
      </c>
      <c r="N475" s="10">
        <f t="shared" si="1"/>
        <v>25</v>
      </c>
      <c r="O475" s="26">
        <f>IF(operations[sinceLastOrder]=0,0,operations[orderQuantity] / operations[sinceLastOrder])</f>
        <v>0.4</v>
      </c>
      <c r="P475" s="9">
        <v>7.93</v>
      </c>
      <c r="Q475" s="7" t="s">
        <v>17</v>
      </c>
      <c r="R475" s="10">
        <f>operations[arrivedDate]-operations[shippedDate]</f>
        <v>11</v>
      </c>
    </row>
    <row r="476" ht="15.75" customHeight="1">
      <c r="A476" s="6">
        <v>10425.0</v>
      </c>
      <c r="B476" s="24">
        <v>44950.0</v>
      </c>
      <c r="C476" s="24">
        <v>44978.0</v>
      </c>
      <c r="D476" s="24">
        <v>44971.0</v>
      </c>
      <c r="E476" s="24">
        <v>44982.0</v>
      </c>
      <c r="F476" s="6">
        <v>76.0</v>
      </c>
      <c r="G476" s="9" t="str">
        <f>VLOOKUP(operations[productID],products[],2,FALSE)</f>
        <v>Lakkalikööri</v>
      </c>
      <c r="H476" s="9" t="str">
        <f>IF(VLOOKUP(operations[productID],products[],7,FALSE)=1,"Discontinued","Current")</f>
        <v>Current</v>
      </c>
      <c r="I476" s="6">
        <f>VLOOKUP(operations[productID],products[],4,FALSE)</f>
        <v>57</v>
      </c>
      <c r="J476" s="6">
        <f>VLOOKUP(operations[productID],products[],5,FALSE)</f>
        <v>0</v>
      </c>
      <c r="K476" s="6">
        <f>VLOOKUP(operations[productID],products[],6,FALSE)</f>
        <v>20</v>
      </c>
      <c r="L476" s="10">
        <f t="array" ref="L476">INDEX('1 orders'!I476:I2156, MATCH(1, ('1 orders'!A476:A2156=A476)*('1 orders'!G476:G2156=F476), 0))
</f>
        <v>20</v>
      </c>
      <c r="M476" s="10">
        <f>IFERROR(__xludf.DUMMYFUNCTION("COUNTUNIQUEIFS($A$2:$A476,$F$2:$F476,F476)"),9.0)</f>
        <v>9</v>
      </c>
      <c r="N476" s="10">
        <f t="shared" si="1"/>
        <v>10</v>
      </c>
      <c r="O476" s="26">
        <f>IF(operations[sinceLastOrder]=0,0,operations[orderQuantity] / operations[sinceLastOrder])</f>
        <v>2</v>
      </c>
      <c r="P476" s="9">
        <v>7.93</v>
      </c>
      <c r="Q476" s="7" t="s">
        <v>17</v>
      </c>
      <c r="R476" s="10">
        <f>operations[arrivedDate]-operations[shippedDate]</f>
        <v>11</v>
      </c>
    </row>
    <row r="477" ht="15.75" customHeight="1">
      <c r="A477" s="6">
        <v>10426.0</v>
      </c>
      <c r="B477" s="24">
        <v>44953.0</v>
      </c>
      <c r="C477" s="24">
        <v>44981.0</v>
      </c>
      <c r="D477" s="24">
        <v>44963.0</v>
      </c>
      <c r="E477" s="24">
        <v>44972.0</v>
      </c>
      <c r="F477" s="6">
        <v>56.0</v>
      </c>
      <c r="G477" s="9" t="str">
        <f>VLOOKUP(operations[productID],products[],2,FALSE)</f>
        <v>Gnocchi di nonna Alice</v>
      </c>
      <c r="H477" s="9" t="str">
        <f>IF(VLOOKUP(operations[productID],products[],7,FALSE)=1,"Discontinued","Current")</f>
        <v>Current</v>
      </c>
      <c r="I477" s="6">
        <f>VLOOKUP(operations[productID],products[],4,FALSE)</f>
        <v>21</v>
      </c>
      <c r="J477" s="6">
        <f>VLOOKUP(operations[productID],products[],5,FALSE)</f>
        <v>10</v>
      </c>
      <c r="K477" s="6">
        <f>VLOOKUP(operations[productID],products[],6,FALSE)</f>
        <v>30</v>
      </c>
      <c r="L477" s="10">
        <f t="array" ref="L477">INDEX('1 orders'!I477:I2156, MATCH(1, ('1 orders'!A477:A2156=A477)*('1 orders'!G477:G2156=F477), 0))
</f>
        <v>5</v>
      </c>
      <c r="M477" s="10">
        <f>IFERROR(__xludf.DUMMYFUNCTION("COUNTUNIQUEIFS($A$2:$A477,$F$2:$F477,F477)"),9.0)</f>
        <v>9</v>
      </c>
      <c r="N477" s="10">
        <f t="shared" si="1"/>
        <v>26</v>
      </c>
      <c r="O477" s="26">
        <f>IF(operations[sinceLastOrder]=0,0,operations[orderQuantity] / operations[sinceLastOrder])</f>
        <v>0.1923076923</v>
      </c>
      <c r="P477" s="9">
        <v>18.69</v>
      </c>
      <c r="Q477" s="7" t="s">
        <v>15</v>
      </c>
      <c r="R477" s="10">
        <f>operations[arrivedDate]-operations[shippedDate]</f>
        <v>9</v>
      </c>
    </row>
    <row r="478" ht="15.75" customHeight="1">
      <c r="A478" s="6">
        <v>10426.0</v>
      </c>
      <c r="B478" s="24">
        <v>44953.0</v>
      </c>
      <c r="C478" s="24">
        <v>44981.0</v>
      </c>
      <c r="D478" s="24">
        <v>44963.0</v>
      </c>
      <c r="E478" s="24">
        <v>44972.0</v>
      </c>
      <c r="F478" s="6">
        <v>64.0</v>
      </c>
      <c r="G478" s="9" t="str">
        <f>VLOOKUP(operations[productID],products[],2,FALSE)</f>
        <v>Lukas' leckere Sauerteigweggla</v>
      </c>
      <c r="H478" s="9" t="str">
        <f>IF(VLOOKUP(operations[productID],products[],7,FALSE)=1,"Discontinued","Current")</f>
        <v>Current</v>
      </c>
      <c r="I478" s="6">
        <f>VLOOKUP(operations[productID],products[],4,FALSE)</f>
        <v>22</v>
      </c>
      <c r="J478" s="6">
        <f>VLOOKUP(operations[productID],products[],5,FALSE)</f>
        <v>80</v>
      </c>
      <c r="K478" s="6">
        <f>VLOOKUP(operations[productID],products[],6,FALSE)</f>
        <v>30</v>
      </c>
      <c r="L478" s="10">
        <f t="array" ref="L478">INDEX('1 orders'!I478:I2156, MATCH(1, ('1 orders'!A478:A2156=A478)*('1 orders'!G478:G2156=F478), 0))
</f>
        <v>7</v>
      </c>
      <c r="M478" s="10">
        <f>IFERROR(__xludf.DUMMYFUNCTION("COUNTUNIQUEIFS($A$2:$A478,$F$2:$F478,F478)"),5.0)</f>
        <v>5</v>
      </c>
      <c r="N478" s="10">
        <f t="shared" si="1"/>
        <v>55</v>
      </c>
      <c r="O478" s="26">
        <f>IF(operations[sinceLastOrder]=0,0,operations[orderQuantity] / operations[sinceLastOrder])</f>
        <v>0.1272727273</v>
      </c>
      <c r="P478" s="9">
        <v>18.69</v>
      </c>
      <c r="Q478" s="7" t="s">
        <v>15</v>
      </c>
      <c r="R478" s="10">
        <f>operations[arrivedDate]-operations[shippedDate]</f>
        <v>9</v>
      </c>
    </row>
    <row r="479" ht="15.75" customHeight="1">
      <c r="A479" s="6">
        <v>10427.0</v>
      </c>
      <c r="B479" s="24">
        <v>44953.0</v>
      </c>
      <c r="C479" s="24">
        <v>44981.0</v>
      </c>
      <c r="D479" s="24">
        <v>44988.0</v>
      </c>
      <c r="E479" s="24">
        <v>45004.0</v>
      </c>
      <c r="F479" s="6">
        <v>14.0</v>
      </c>
      <c r="G479" s="9" t="str">
        <f>VLOOKUP(operations[productID],products[],2,FALSE)</f>
        <v>Tofu</v>
      </c>
      <c r="H479" s="9" t="str">
        <f>IF(VLOOKUP(operations[productID],products[],7,FALSE)=1,"Discontinued","Current")</f>
        <v>Current</v>
      </c>
      <c r="I479" s="6">
        <f>VLOOKUP(operations[productID],products[],4,FALSE)</f>
        <v>35</v>
      </c>
      <c r="J479" s="6">
        <f>VLOOKUP(operations[productID],products[],5,FALSE)</f>
        <v>0</v>
      </c>
      <c r="K479" s="6">
        <f>VLOOKUP(operations[productID],products[],6,FALSE)</f>
        <v>0</v>
      </c>
      <c r="L479" s="10">
        <f t="array" ref="L479">INDEX('1 orders'!I479:I2156, MATCH(1, ('1 orders'!A479:A2156=A479)*('1 orders'!G479:G2156=F479), 0))
</f>
        <v>35</v>
      </c>
      <c r="M479" s="10">
        <f>IFERROR(__xludf.DUMMYFUNCTION("COUNTUNIQUEIFS($A$2:$A479,$F$2:$F479,F479)"),8.0)</f>
        <v>8</v>
      </c>
      <c r="N479" s="10">
        <f t="shared" si="1"/>
        <v>14</v>
      </c>
      <c r="O479" s="26">
        <f>IF(operations[sinceLastOrder]=0,0,operations[orderQuantity] / operations[sinceLastOrder])</f>
        <v>2.5</v>
      </c>
      <c r="P479" s="9">
        <v>31.29</v>
      </c>
      <c r="Q479" s="7" t="s">
        <v>17</v>
      </c>
      <c r="R479" s="10">
        <f>operations[arrivedDate]-operations[shippedDate]</f>
        <v>16</v>
      </c>
    </row>
    <row r="480" ht="15.75" customHeight="1">
      <c r="A480" s="6">
        <v>10428.0</v>
      </c>
      <c r="B480" s="24">
        <v>44954.0</v>
      </c>
      <c r="C480" s="24">
        <v>44982.0</v>
      </c>
      <c r="D480" s="24">
        <v>44961.0</v>
      </c>
      <c r="E480" s="24">
        <v>44968.0</v>
      </c>
      <c r="F480" s="6">
        <v>46.0</v>
      </c>
      <c r="G480" s="9" t="str">
        <f>VLOOKUP(operations[productID],products[],2,FALSE)</f>
        <v>Spegesild</v>
      </c>
      <c r="H480" s="9" t="str">
        <f>IF(VLOOKUP(operations[productID],products[],7,FALSE)=1,"Discontinued","Current")</f>
        <v>Current</v>
      </c>
      <c r="I480" s="6">
        <f>VLOOKUP(operations[productID],products[],4,FALSE)</f>
        <v>95</v>
      </c>
      <c r="J480" s="6">
        <f>VLOOKUP(operations[productID],products[],5,FALSE)</f>
        <v>0</v>
      </c>
      <c r="K480" s="6">
        <f>VLOOKUP(operations[productID],products[],6,FALSE)</f>
        <v>0</v>
      </c>
      <c r="L480" s="10">
        <f t="array" ref="L480">INDEX('1 orders'!I480:I2156, MATCH(1, ('1 orders'!A480:A2156=A480)*('1 orders'!G480:G2156=F480), 0))
</f>
        <v>20</v>
      </c>
      <c r="M480" s="10">
        <f>IFERROR(__xludf.DUMMYFUNCTION("COUNTUNIQUEIFS($A$2:$A480,$F$2:$F480,F480)"),6.0)</f>
        <v>6</v>
      </c>
      <c r="N480" s="10">
        <f t="shared" si="1"/>
        <v>12</v>
      </c>
      <c r="O480" s="26">
        <f>IF(operations[sinceLastOrder]=0,0,operations[orderQuantity] / operations[sinceLastOrder])</f>
        <v>1.666666667</v>
      </c>
      <c r="P480" s="9">
        <v>11.09</v>
      </c>
      <c r="Q480" s="7" t="s">
        <v>15</v>
      </c>
      <c r="R480" s="10">
        <f>operations[arrivedDate]-operations[shippedDate]</f>
        <v>7</v>
      </c>
    </row>
    <row r="481" ht="15.75" customHeight="1">
      <c r="A481" s="6">
        <v>10429.0</v>
      </c>
      <c r="B481" s="24">
        <v>44955.0</v>
      </c>
      <c r="C481" s="24">
        <v>44997.0</v>
      </c>
      <c r="D481" s="24">
        <v>44964.0</v>
      </c>
      <c r="E481" s="24">
        <v>44976.0</v>
      </c>
      <c r="F481" s="6">
        <v>50.0</v>
      </c>
      <c r="G481" s="9" t="str">
        <f>VLOOKUP(operations[productID],products[],2,FALSE)</f>
        <v>Valkoinen suklaa</v>
      </c>
      <c r="H481" s="9" t="str">
        <f>IF(VLOOKUP(operations[productID],products[],7,FALSE)=1,"Discontinued","Current")</f>
        <v>Current</v>
      </c>
      <c r="I481" s="6">
        <f>VLOOKUP(operations[productID],products[],4,FALSE)</f>
        <v>65</v>
      </c>
      <c r="J481" s="6">
        <f>VLOOKUP(operations[productID],products[],5,FALSE)</f>
        <v>0</v>
      </c>
      <c r="K481" s="6">
        <f>VLOOKUP(operations[productID],products[],6,FALSE)</f>
        <v>30</v>
      </c>
      <c r="L481" s="10">
        <f t="array" ref="L481">INDEX('1 orders'!I481:I2156, MATCH(1, ('1 orders'!A481:A2156=A481)*('1 orders'!G481:G2156=F481), 0))
</f>
        <v>40</v>
      </c>
      <c r="M481" s="10">
        <f>IFERROR(__xludf.DUMMYFUNCTION("COUNTUNIQUEIFS($A$2:$A481,$F$2:$F481,F481)"),3.0)</f>
        <v>3</v>
      </c>
      <c r="N481" s="10">
        <f t="shared" si="1"/>
        <v>44</v>
      </c>
      <c r="O481" s="26">
        <f>IF(operations[sinceLastOrder]=0,0,operations[orderQuantity] / operations[sinceLastOrder])</f>
        <v>0.9090909091</v>
      </c>
      <c r="P481" s="9">
        <v>56.63</v>
      </c>
      <c r="Q481" s="7" t="s">
        <v>17</v>
      </c>
      <c r="R481" s="10">
        <f>operations[arrivedDate]-operations[shippedDate]</f>
        <v>12</v>
      </c>
    </row>
    <row r="482" ht="15.75" customHeight="1">
      <c r="A482" s="6">
        <v>10429.0</v>
      </c>
      <c r="B482" s="24">
        <v>44955.0</v>
      </c>
      <c r="C482" s="24">
        <v>44997.0</v>
      </c>
      <c r="D482" s="24">
        <v>44964.0</v>
      </c>
      <c r="E482" s="24">
        <v>44976.0</v>
      </c>
      <c r="F482" s="6">
        <v>63.0</v>
      </c>
      <c r="G482" s="9" t="str">
        <f>VLOOKUP(operations[productID],products[],2,FALSE)</f>
        <v>Vegie-spread</v>
      </c>
      <c r="H482" s="9" t="str">
        <f>IF(VLOOKUP(operations[productID],products[],7,FALSE)=1,"Discontinued","Current")</f>
        <v>Current</v>
      </c>
      <c r="I482" s="6">
        <f>VLOOKUP(operations[productID],products[],4,FALSE)</f>
        <v>24</v>
      </c>
      <c r="J482" s="6">
        <f>VLOOKUP(operations[productID],products[],5,FALSE)</f>
        <v>0</v>
      </c>
      <c r="K482" s="6">
        <f>VLOOKUP(operations[productID],products[],6,FALSE)</f>
        <v>5</v>
      </c>
      <c r="L482" s="10">
        <f t="array" ref="L482">INDEX('1 orders'!I482:I2156, MATCH(1, ('1 orders'!A482:A2156=A482)*('1 orders'!G482:G2156=F482), 0))
</f>
        <v>35</v>
      </c>
      <c r="M482" s="10">
        <f>IFERROR(__xludf.DUMMYFUNCTION("COUNTUNIQUEIFS($A$2:$A482,$F$2:$F482,F482)"),6.0)</f>
        <v>6</v>
      </c>
      <c r="N482" s="10">
        <f t="shared" si="1"/>
        <v>27</v>
      </c>
      <c r="O482" s="26">
        <f>IF(operations[sinceLastOrder]=0,0,operations[orderQuantity] / operations[sinceLastOrder])</f>
        <v>1.296296296</v>
      </c>
      <c r="P482" s="9">
        <v>56.63</v>
      </c>
      <c r="Q482" s="7" t="s">
        <v>17</v>
      </c>
      <c r="R482" s="10">
        <f>operations[arrivedDate]-operations[shippedDate]</f>
        <v>12</v>
      </c>
    </row>
    <row r="483" ht="15.75" customHeight="1">
      <c r="A483" s="6">
        <v>10430.0</v>
      </c>
      <c r="B483" s="24">
        <v>44956.0</v>
      </c>
      <c r="C483" s="24">
        <v>44970.0</v>
      </c>
      <c r="D483" s="24">
        <v>44960.0</v>
      </c>
      <c r="E483" s="24">
        <v>44970.0</v>
      </c>
      <c r="F483" s="6">
        <v>17.0</v>
      </c>
      <c r="G483" s="9" t="str">
        <f>VLOOKUP(operations[productID],products[],2,FALSE)</f>
        <v>Alice Mutton</v>
      </c>
      <c r="H483" s="9" t="str">
        <f>IF(VLOOKUP(operations[productID],products[],7,FALSE)=1,"Discontinued","Current")</f>
        <v>Discontinued</v>
      </c>
      <c r="I483" s="6">
        <f>VLOOKUP(operations[productID],products[],4,FALSE)</f>
        <v>0</v>
      </c>
      <c r="J483" s="6">
        <f>VLOOKUP(operations[productID],products[],5,FALSE)</f>
        <v>0</v>
      </c>
      <c r="K483" s="6">
        <f>VLOOKUP(operations[productID],products[],6,FALSE)</f>
        <v>0</v>
      </c>
      <c r="L483" s="10">
        <f t="array" ref="L483">INDEX('1 orders'!I483:I2156, MATCH(1, ('1 orders'!A483:A2156=A483)*('1 orders'!G483:G2156=F483), 0))
</f>
        <v>45</v>
      </c>
      <c r="M483" s="10">
        <f>IFERROR(__xludf.DUMMYFUNCTION("COUNTUNIQUEIFS($A$2:$A483,$F$2:$F483,F483)"),10.0)</f>
        <v>10</v>
      </c>
      <c r="N483" s="10">
        <f t="shared" si="1"/>
        <v>15</v>
      </c>
      <c r="O483" s="26">
        <f>IF(operations[sinceLastOrder]=0,0,operations[orderQuantity] / operations[sinceLastOrder])</f>
        <v>3</v>
      </c>
      <c r="P483" s="9">
        <v>458.78</v>
      </c>
      <c r="Q483" s="7" t="s">
        <v>15</v>
      </c>
      <c r="R483" s="10">
        <f>operations[arrivedDate]-operations[shippedDate]</f>
        <v>10</v>
      </c>
    </row>
    <row r="484" ht="15.75" customHeight="1">
      <c r="A484" s="6">
        <v>10430.0</v>
      </c>
      <c r="B484" s="24">
        <v>44956.0</v>
      </c>
      <c r="C484" s="24">
        <v>44970.0</v>
      </c>
      <c r="D484" s="24">
        <v>44960.0</v>
      </c>
      <c r="E484" s="24">
        <v>44970.0</v>
      </c>
      <c r="F484" s="6">
        <v>21.0</v>
      </c>
      <c r="G484" s="9" t="str">
        <f>VLOOKUP(operations[productID],products[],2,FALSE)</f>
        <v>Sir Rodney's Scones</v>
      </c>
      <c r="H484" s="9" t="str">
        <f>IF(VLOOKUP(operations[productID],products[],7,FALSE)=1,"Discontinued","Current")</f>
        <v>Current</v>
      </c>
      <c r="I484" s="6">
        <f>VLOOKUP(operations[productID],products[],4,FALSE)</f>
        <v>3</v>
      </c>
      <c r="J484" s="6">
        <f>VLOOKUP(operations[productID],products[],5,FALSE)</f>
        <v>40</v>
      </c>
      <c r="K484" s="6">
        <f>VLOOKUP(operations[productID],products[],6,FALSE)</f>
        <v>5</v>
      </c>
      <c r="L484" s="10">
        <f t="array" ref="L484">INDEX('1 orders'!I484:I2156, MATCH(1, ('1 orders'!A484:A2156=A484)*('1 orders'!G484:G2156=F484), 0))
</f>
        <v>50</v>
      </c>
      <c r="M484" s="10">
        <f>IFERROR(__xludf.DUMMYFUNCTION("COUNTUNIQUEIFS($A$2:$A484,$F$2:$F484,F484)"),8.0)</f>
        <v>8</v>
      </c>
      <c r="N484" s="10">
        <f t="shared" si="1"/>
        <v>21</v>
      </c>
      <c r="O484" s="26">
        <f>IF(operations[sinceLastOrder]=0,0,operations[orderQuantity] / operations[sinceLastOrder])</f>
        <v>2.380952381</v>
      </c>
      <c r="P484" s="9">
        <v>458.78</v>
      </c>
      <c r="Q484" s="7" t="s">
        <v>15</v>
      </c>
      <c r="R484" s="10">
        <f>operations[arrivedDate]-operations[shippedDate]</f>
        <v>10</v>
      </c>
    </row>
    <row r="485" ht="15.75" customHeight="1">
      <c r="A485" s="6">
        <v>10430.0</v>
      </c>
      <c r="B485" s="24">
        <v>44956.0</v>
      </c>
      <c r="C485" s="24">
        <v>44970.0</v>
      </c>
      <c r="D485" s="24">
        <v>44960.0</v>
      </c>
      <c r="E485" s="24">
        <v>44970.0</v>
      </c>
      <c r="F485" s="6">
        <v>56.0</v>
      </c>
      <c r="G485" s="9" t="str">
        <f>VLOOKUP(operations[productID],products[],2,FALSE)</f>
        <v>Gnocchi di nonna Alice</v>
      </c>
      <c r="H485" s="9" t="str">
        <f>IF(VLOOKUP(operations[productID],products[],7,FALSE)=1,"Discontinued","Current")</f>
        <v>Current</v>
      </c>
      <c r="I485" s="6">
        <f>VLOOKUP(operations[productID],products[],4,FALSE)</f>
        <v>21</v>
      </c>
      <c r="J485" s="6">
        <f>VLOOKUP(operations[productID],products[],5,FALSE)</f>
        <v>10</v>
      </c>
      <c r="K485" s="6">
        <f>VLOOKUP(operations[productID],products[],6,FALSE)</f>
        <v>30</v>
      </c>
      <c r="L485" s="10">
        <f t="array" ref="L485">INDEX('1 orders'!I485:I2156, MATCH(1, ('1 orders'!A485:A2156=A485)*('1 orders'!G485:G2156=F485), 0))
</f>
        <v>30</v>
      </c>
      <c r="M485" s="10">
        <f>IFERROR(__xludf.DUMMYFUNCTION("COUNTUNIQUEIFS($A$2:$A485,$F$2:$F485,F485)"),10.0)</f>
        <v>10</v>
      </c>
      <c r="N485" s="10">
        <f t="shared" si="1"/>
        <v>3</v>
      </c>
      <c r="O485" s="26">
        <f>IF(operations[sinceLastOrder]=0,0,operations[orderQuantity] / operations[sinceLastOrder])</f>
        <v>10</v>
      </c>
      <c r="P485" s="9">
        <v>458.78</v>
      </c>
      <c r="Q485" s="7" t="s">
        <v>15</v>
      </c>
      <c r="R485" s="10">
        <f>operations[arrivedDate]-operations[shippedDate]</f>
        <v>10</v>
      </c>
    </row>
    <row r="486" ht="15.75" customHeight="1">
      <c r="A486" s="6">
        <v>10430.0</v>
      </c>
      <c r="B486" s="24">
        <v>44956.0</v>
      </c>
      <c r="C486" s="24">
        <v>44970.0</v>
      </c>
      <c r="D486" s="24">
        <v>44960.0</v>
      </c>
      <c r="E486" s="24">
        <v>44970.0</v>
      </c>
      <c r="F486" s="6">
        <v>59.0</v>
      </c>
      <c r="G486" s="9" t="str">
        <f>VLOOKUP(operations[productID],products[],2,FALSE)</f>
        <v>Raclette Courdavault</v>
      </c>
      <c r="H486" s="9" t="str">
        <f>IF(VLOOKUP(operations[productID],products[],7,FALSE)=1,"Discontinued","Current")</f>
        <v>Current</v>
      </c>
      <c r="I486" s="6">
        <f>VLOOKUP(operations[productID],products[],4,FALSE)</f>
        <v>79</v>
      </c>
      <c r="J486" s="6">
        <f>VLOOKUP(operations[productID],products[],5,FALSE)</f>
        <v>0</v>
      </c>
      <c r="K486" s="6">
        <f>VLOOKUP(operations[productID],products[],6,FALSE)</f>
        <v>0</v>
      </c>
      <c r="L486" s="10">
        <f t="array" ref="L486">INDEX('1 orders'!I486:I2156, MATCH(1, ('1 orders'!A486:A2156=A486)*('1 orders'!G486:G2156=F486), 0))
</f>
        <v>70</v>
      </c>
      <c r="M486" s="10">
        <f>IFERROR(__xludf.DUMMYFUNCTION("COUNTUNIQUEIFS($A$2:$A486,$F$2:$F486,F486)"),14.0)</f>
        <v>14</v>
      </c>
      <c r="N486" s="10">
        <f t="shared" si="1"/>
        <v>7</v>
      </c>
      <c r="O486" s="26">
        <f>IF(operations[sinceLastOrder]=0,0,operations[orderQuantity] / operations[sinceLastOrder])</f>
        <v>10</v>
      </c>
      <c r="P486" s="9">
        <v>458.78</v>
      </c>
      <c r="Q486" s="7" t="s">
        <v>15</v>
      </c>
      <c r="R486" s="10">
        <f>operations[arrivedDate]-operations[shippedDate]</f>
        <v>10</v>
      </c>
    </row>
    <row r="487" ht="15.75" customHeight="1">
      <c r="A487" s="6">
        <v>10431.0</v>
      </c>
      <c r="B487" s="24">
        <v>44956.0</v>
      </c>
      <c r="C487" s="24">
        <v>44970.0</v>
      </c>
      <c r="D487" s="24">
        <v>44964.0</v>
      </c>
      <c r="E487" s="24">
        <v>44980.0</v>
      </c>
      <c r="F487" s="6">
        <v>17.0</v>
      </c>
      <c r="G487" s="9" t="str">
        <f>VLOOKUP(operations[productID],products[],2,FALSE)</f>
        <v>Alice Mutton</v>
      </c>
      <c r="H487" s="9" t="str">
        <f>IF(VLOOKUP(operations[productID],products[],7,FALSE)=1,"Discontinued","Current")</f>
        <v>Discontinued</v>
      </c>
      <c r="I487" s="6">
        <f>VLOOKUP(operations[productID],products[],4,FALSE)</f>
        <v>0</v>
      </c>
      <c r="J487" s="6">
        <f>VLOOKUP(operations[productID],products[],5,FALSE)</f>
        <v>0</v>
      </c>
      <c r="K487" s="6">
        <f>VLOOKUP(operations[productID],products[],6,FALSE)</f>
        <v>0</v>
      </c>
      <c r="L487" s="10">
        <f t="array" ref="L487">INDEX('1 orders'!I487:I2156, MATCH(1, ('1 orders'!A487:A2156=A487)*('1 orders'!G487:G2156=F487), 0))
</f>
        <v>50</v>
      </c>
      <c r="M487" s="10">
        <f>IFERROR(__xludf.DUMMYFUNCTION("COUNTUNIQUEIFS($A$2:$A487,$F$2:$F487,F487)"),11.0)</f>
        <v>11</v>
      </c>
      <c r="N487" s="10">
        <f t="shared" si="1"/>
        <v>0</v>
      </c>
      <c r="O487" s="26">
        <f>IF(operations[sinceLastOrder]=0,0,operations[orderQuantity] / operations[sinceLastOrder])</f>
        <v>0</v>
      </c>
      <c r="P487" s="9">
        <v>44.17</v>
      </c>
      <c r="Q487" s="7" t="s">
        <v>17</v>
      </c>
      <c r="R487" s="10">
        <f>operations[arrivedDate]-operations[shippedDate]</f>
        <v>16</v>
      </c>
    </row>
    <row r="488" ht="15.75" customHeight="1">
      <c r="A488" s="6">
        <v>10431.0</v>
      </c>
      <c r="B488" s="24">
        <v>44956.0</v>
      </c>
      <c r="C488" s="24">
        <v>44970.0</v>
      </c>
      <c r="D488" s="24">
        <v>44964.0</v>
      </c>
      <c r="E488" s="24">
        <v>44980.0</v>
      </c>
      <c r="F488" s="6">
        <v>40.0</v>
      </c>
      <c r="G488" s="9" t="str">
        <f>VLOOKUP(operations[productID],products[],2,FALSE)</f>
        <v>Boston Crab Meat</v>
      </c>
      <c r="H488" s="9" t="str">
        <f>IF(VLOOKUP(operations[productID],products[],7,FALSE)=1,"Discontinued","Current")</f>
        <v>Current</v>
      </c>
      <c r="I488" s="6">
        <f>VLOOKUP(operations[productID],products[],4,FALSE)</f>
        <v>123</v>
      </c>
      <c r="J488" s="6">
        <f>VLOOKUP(operations[productID],products[],5,FALSE)</f>
        <v>0</v>
      </c>
      <c r="K488" s="6">
        <f>VLOOKUP(operations[productID],products[],6,FALSE)</f>
        <v>30</v>
      </c>
      <c r="L488" s="10">
        <f t="array" ref="L488">INDEX('1 orders'!I488:I2156, MATCH(1, ('1 orders'!A488:A2156=A488)*('1 orders'!G488:G2156=F488), 0))
</f>
        <v>50</v>
      </c>
      <c r="M488" s="10">
        <f>IFERROR(__xludf.DUMMYFUNCTION("COUNTUNIQUEIFS($A$2:$A488,$F$2:$F488,F488)"),8.0)</f>
        <v>8</v>
      </c>
      <c r="N488" s="10">
        <f t="shared" si="1"/>
        <v>23</v>
      </c>
      <c r="O488" s="26">
        <f>IF(operations[sinceLastOrder]=0,0,operations[orderQuantity] / operations[sinceLastOrder])</f>
        <v>2.173913043</v>
      </c>
      <c r="P488" s="9">
        <v>44.17</v>
      </c>
      <c r="Q488" s="7" t="s">
        <v>17</v>
      </c>
      <c r="R488" s="10">
        <f>operations[arrivedDate]-operations[shippedDate]</f>
        <v>16</v>
      </c>
    </row>
    <row r="489" ht="15.75" customHeight="1">
      <c r="A489" s="6">
        <v>10431.0</v>
      </c>
      <c r="B489" s="24">
        <v>44956.0</v>
      </c>
      <c r="C489" s="24">
        <v>44970.0</v>
      </c>
      <c r="D489" s="24">
        <v>44964.0</v>
      </c>
      <c r="E489" s="24">
        <v>44980.0</v>
      </c>
      <c r="F489" s="6">
        <v>47.0</v>
      </c>
      <c r="G489" s="9" t="str">
        <f>VLOOKUP(operations[productID],products[],2,FALSE)</f>
        <v>Zaanse koeken</v>
      </c>
      <c r="H489" s="9" t="str">
        <f>IF(VLOOKUP(operations[productID],products[],7,FALSE)=1,"Discontinued","Current")</f>
        <v>Current</v>
      </c>
      <c r="I489" s="6">
        <f>VLOOKUP(operations[productID],products[],4,FALSE)</f>
        <v>36</v>
      </c>
      <c r="J489" s="6">
        <f>VLOOKUP(operations[productID],products[],5,FALSE)</f>
        <v>0</v>
      </c>
      <c r="K489" s="6">
        <f>VLOOKUP(operations[productID],products[],6,FALSE)</f>
        <v>0</v>
      </c>
      <c r="L489" s="10">
        <f t="array" ref="L489">INDEX('1 orders'!I489:I2156, MATCH(1, ('1 orders'!A489:A2156=A489)*('1 orders'!G489:G2156=F489), 0))
</f>
        <v>30</v>
      </c>
      <c r="M489" s="10">
        <f>IFERROR(__xludf.DUMMYFUNCTION("COUNTUNIQUEIFS($A$2:$A489,$F$2:$F489,F489)"),3.0)</f>
        <v>3</v>
      </c>
      <c r="N489" s="10">
        <f t="shared" si="1"/>
        <v>13</v>
      </c>
      <c r="O489" s="26">
        <f>IF(operations[sinceLastOrder]=0,0,operations[orderQuantity] / operations[sinceLastOrder])</f>
        <v>2.307692308</v>
      </c>
      <c r="P489" s="9">
        <v>44.17</v>
      </c>
      <c r="Q489" s="7" t="s">
        <v>17</v>
      </c>
      <c r="R489" s="10">
        <f>operations[arrivedDate]-operations[shippedDate]</f>
        <v>16</v>
      </c>
    </row>
    <row r="490" ht="15.75" customHeight="1">
      <c r="A490" s="6">
        <v>10432.0</v>
      </c>
      <c r="B490" s="24">
        <v>44957.0</v>
      </c>
      <c r="C490" s="24">
        <v>44971.0</v>
      </c>
      <c r="D490" s="24">
        <v>44964.0</v>
      </c>
      <c r="E490" s="24">
        <v>44981.0</v>
      </c>
      <c r="F490" s="6">
        <v>26.0</v>
      </c>
      <c r="G490" s="9" t="str">
        <f>VLOOKUP(operations[productID],products[],2,FALSE)</f>
        <v>NuNuCa Nuß-Nougat-Creme</v>
      </c>
      <c r="H490" s="9" t="str">
        <f>IF(VLOOKUP(operations[productID],products[],7,FALSE)=1,"Discontinued","Current")</f>
        <v>Current</v>
      </c>
      <c r="I490" s="6">
        <f>VLOOKUP(operations[productID],products[],4,FALSE)</f>
        <v>15</v>
      </c>
      <c r="J490" s="6">
        <f>VLOOKUP(operations[productID],products[],5,FALSE)</f>
        <v>0</v>
      </c>
      <c r="K490" s="6">
        <f>VLOOKUP(operations[productID],products[],6,FALSE)</f>
        <v>0</v>
      </c>
      <c r="L490" s="10">
        <f t="array" ref="L490">INDEX('1 orders'!I490:I2156, MATCH(1, ('1 orders'!A490:A2156=A490)*('1 orders'!G490:G2156=F490), 0))
</f>
        <v>10</v>
      </c>
      <c r="M490" s="10">
        <f>IFERROR(__xludf.DUMMYFUNCTION("COUNTUNIQUEIFS($A$2:$A490,$F$2:$F490,F490)"),8.0)</f>
        <v>8</v>
      </c>
      <c r="N490" s="10">
        <f t="shared" si="1"/>
        <v>9</v>
      </c>
      <c r="O490" s="26">
        <f>IF(operations[sinceLastOrder]=0,0,operations[orderQuantity] / operations[sinceLastOrder])</f>
        <v>1.111111111</v>
      </c>
      <c r="P490" s="9">
        <v>4.34</v>
      </c>
      <c r="Q490" s="7" t="s">
        <v>17</v>
      </c>
      <c r="R490" s="10">
        <f>operations[arrivedDate]-operations[shippedDate]</f>
        <v>17</v>
      </c>
    </row>
    <row r="491" ht="15.75" customHeight="1">
      <c r="A491" s="6">
        <v>10432.0</v>
      </c>
      <c r="B491" s="24">
        <v>44957.0</v>
      </c>
      <c r="C491" s="24">
        <v>44971.0</v>
      </c>
      <c r="D491" s="24">
        <v>44964.0</v>
      </c>
      <c r="E491" s="24">
        <v>44981.0</v>
      </c>
      <c r="F491" s="6">
        <v>54.0</v>
      </c>
      <c r="G491" s="9" t="str">
        <f>VLOOKUP(operations[productID],products[],2,FALSE)</f>
        <v>Tourtière</v>
      </c>
      <c r="H491" s="9" t="str">
        <f>IF(VLOOKUP(operations[productID],products[],7,FALSE)=1,"Discontinued","Current")</f>
        <v>Current</v>
      </c>
      <c r="I491" s="6">
        <f>VLOOKUP(operations[productID],products[],4,FALSE)</f>
        <v>21</v>
      </c>
      <c r="J491" s="6">
        <f>VLOOKUP(operations[productID],products[],5,FALSE)</f>
        <v>0</v>
      </c>
      <c r="K491" s="6">
        <f>VLOOKUP(operations[productID],products[],6,FALSE)</f>
        <v>10</v>
      </c>
      <c r="L491" s="10">
        <f t="array" ref="L491">INDEX('1 orders'!I491:I2156, MATCH(1, ('1 orders'!A491:A2156=A491)*('1 orders'!G491:G2156=F491), 0))
</f>
        <v>40</v>
      </c>
      <c r="M491" s="10">
        <f>IFERROR(__xludf.DUMMYFUNCTION("COUNTUNIQUEIFS($A$2:$A491,$F$2:$F491,F491)"),11.0)</f>
        <v>11</v>
      </c>
      <c r="N491" s="10">
        <f t="shared" si="1"/>
        <v>23</v>
      </c>
      <c r="O491" s="26">
        <f>IF(operations[sinceLastOrder]=0,0,operations[orderQuantity] / operations[sinceLastOrder])</f>
        <v>1.739130435</v>
      </c>
      <c r="P491" s="9">
        <v>4.34</v>
      </c>
      <c r="Q491" s="7" t="s">
        <v>17</v>
      </c>
      <c r="R491" s="10">
        <f>operations[arrivedDate]-operations[shippedDate]</f>
        <v>17</v>
      </c>
    </row>
    <row r="492" ht="15.75" customHeight="1">
      <c r="A492" s="6">
        <v>10433.0</v>
      </c>
      <c r="B492" s="24">
        <v>44960.0</v>
      </c>
      <c r="C492" s="24">
        <v>44988.0</v>
      </c>
      <c r="D492" s="24">
        <v>44989.0</v>
      </c>
      <c r="E492" s="24">
        <v>44999.0</v>
      </c>
      <c r="F492" s="6">
        <v>56.0</v>
      </c>
      <c r="G492" s="9" t="str">
        <f>VLOOKUP(operations[productID],products[],2,FALSE)</f>
        <v>Gnocchi di nonna Alice</v>
      </c>
      <c r="H492" s="9" t="str">
        <f>IF(VLOOKUP(operations[productID],products[],7,FALSE)=1,"Discontinued","Current")</f>
        <v>Current</v>
      </c>
      <c r="I492" s="6">
        <f>VLOOKUP(operations[productID],products[],4,FALSE)</f>
        <v>21</v>
      </c>
      <c r="J492" s="6">
        <f>VLOOKUP(operations[productID],products[],5,FALSE)</f>
        <v>10</v>
      </c>
      <c r="K492" s="6">
        <f>VLOOKUP(operations[productID],products[],6,FALSE)</f>
        <v>30</v>
      </c>
      <c r="L492" s="10">
        <f t="array" ref="L492">INDEX('1 orders'!I492:I2156, MATCH(1, ('1 orders'!A492:A2156=A492)*('1 orders'!G492:G2156=F492), 0))
</f>
        <v>28</v>
      </c>
      <c r="M492" s="10">
        <f>IFERROR(__xludf.DUMMYFUNCTION("COUNTUNIQUEIFS($A$2:$A492,$F$2:$F492,F492)"),11.0)</f>
        <v>11</v>
      </c>
      <c r="N492" s="10">
        <f t="shared" si="1"/>
        <v>4</v>
      </c>
      <c r="O492" s="26">
        <f>IF(operations[sinceLastOrder]=0,0,operations[orderQuantity] / operations[sinceLastOrder])</f>
        <v>7</v>
      </c>
      <c r="P492" s="9">
        <v>73.83</v>
      </c>
      <c r="Q492" s="7" t="s">
        <v>13</v>
      </c>
      <c r="R492" s="10">
        <f>operations[arrivedDate]-operations[shippedDate]</f>
        <v>10</v>
      </c>
    </row>
    <row r="493" ht="15.75" customHeight="1">
      <c r="A493" s="6">
        <v>10434.0</v>
      </c>
      <c r="B493" s="24">
        <v>44960.0</v>
      </c>
      <c r="C493" s="24">
        <v>44988.0</v>
      </c>
      <c r="D493" s="24">
        <v>44970.0</v>
      </c>
      <c r="E493" s="24">
        <v>44980.0</v>
      </c>
      <c r="F493" s="6">
        <v>11.0</v>
      </c>
      <c r="G493" s="9" t="str">
        <f>VLOOKUP(operations[productID],products[],2,FALSE)</f>
        <v>Queso Cabrales</v>
      </c>
      <c r="H493" s="9" t="str">
        <f>IF(VLOOKUP(operations[productID],products[],7,FALSE)=1,"Discontinued","Current")</f>
        <v>Current</v>
      </c>
      <c r="I493" s="6">
        <f>VLOOKUP(operations[productID],products[],4,FALSE)</f>
        <v>22</v>
      </c>
      <c r="J493" s="6">
        <f>VLOOKUP(operations[productID],products[],5,FALSE)</f>
        <v>30</v>
      </c>
      <c r="K493" s="6">
        <f>VLOOKUP(operations[productID],products[],6,FALSE)</f>
        <v>30</v>
      </c>
      <c r="L493" s="10">
        <f t="array" ref="L493">INDEX('1 orders'!I493:I2156, MATCH(1, ('1 orders'!A493:A2156=A493)*('1 orders'!G493:G2156=F493), 0))
</f>
        <v>6</v>
      </c>
      <c r="M493" s="10">
        <f>IFERROR(__xludf.DUMMYFUNCTION("COUNTUNIQUEIFS($A$2:$A493,$F$2:$F493,F493)"),7.0)</f>
        <v>7</v>
      </c>
      <c r="N493" s="10">
        <f t="shared" si="1"/>
        <v>27</v>
      </c>
      <c r="O493" s="26">
        <f>IF(operations[sinceLastOrder]=0,0,operations[orderQuantity] / operations[sinceLastOrder])</f>
        <v>0.2222222222</v>
      </c>
      <c r="P493" s="9">
        <v>17.92</v>
      </c>
      <c r="Q493" s="7" t="s">
        <v>17</v>
      </c>
      <c r="R493" s="10">
        <f>operations[arrivedDate]-operations[shippedDate]</f>
        <v>10</v>
      </c>
    </row>
    <row r="494" ht="15.75" customHeight="1">
      <c r="A494" s="6">
        <v>10434.0</v>
      </c>
      <c r="B494" s="24">
        <v>44960.0</v>
      </c>
      <c r="C494" s="24">
        <v>44988.0</v>
      </c>
      <c r="D494" s="24">
        <v>44970.0</v>
      </c>
      <c r="E494" s="24">
        <v>44980.0</v>
      </c>
      <c r="F494" s="6">
        <v>76.0</v>
      </c>
      <c r="G494" s="9" t="str">
        <f>VLOOKUP(operations[productID],products[],2,FALSE)</f>
        <v>Lakkalikööri</v>
      </c>
      <c r="H494" s="9" t="str">
        <f>IF(VLOOKUP(operations[productID],products[],7,FALSE)=1,"Discontinued","Current")</f>
        <v>Current</v>
      </c>
      <c r="I494" s="6">
        <f>VLOOKUP(operations[productID],products[],4,FALSE)</f>
        <v>57</v>
      </c>
      <c r="J494" s="6">
        <f>VLOOKUP(operations[productID],products[],5,FALSE)</f>
        <v>0</v>
      </c>
      <c r="K494" s="6">
        <f>VLOOKUP(operations[productID],products[],6,FALSE)</f>
        <v>20</v>
      </c>
      <c r="L494" s="10">
        <f t="array" ref="L494">INDEX('1 orders'!I494:I2156, MATCH(1, ('1 orders'!A494:A2156=A494)*('1 orders'!G494:G2156=F494), 0))
</f>
        <v>18</v>
      </c>
      <c r="M494" s="10">
        <f>IFERROR(__xludf.DUMMYFUNCTION("COUNTUNIQUEIFS($A$2:$A494,$F$2:$F494,F494)"),10.0)</f>
        <v>10</v>
      </c>
      <c r="N494" s="10">
        <f t="shared" si="1"/>
        <v>10</v>
      </c>
      <c r="O494" s="26">
        <f>IF(operations[sinceLastOrder]=0,0,operations[orderQuantity] / operations[sinceLastOrder])</f>
        <v>1.8</v>
      </c>
      <c r="P494" s="9">
        <v>17.92</v>
      </c>
      <c r="Q494" s="7" t="s">
        <v>17</v>
      </c>
      <c r="R494" s="10">
        <f>operations[arrivedDate]-operations[shippedDate]</f>
        <v>10</v>
      </c>
    </row>
    <row r="495" ht="15.75" customHeight="1">
      <c r="A495" s="6">
        <v>10435.0</v>
      </c>
      <c r="B495" s="24">
        <v>44961.0</v>
      </c>
      <c r="C495" s="24">
        <v>45003.0</v>
      </c>
      <c r="D495" s="24">
        <v>44964.0</v>
      </c>
      <c r="E495" s="24">
        <v>44973.0</v>
      </c>
      <c r="F495" s="6">
        <v>2.0</v>
      </c>
      <c r="G495" s="9" t="str">
        <f>VLOOKUP(operations[productID],products[],2,FALSE)</f>
        <v>Chang</v>
      </c>
      <c r="H495" s="9" t="str">
        <f>IF(VLOOKUP(operations[productID],products[],7,FALSE)=1,"Discontinued","Current")</f>
        <v>Current</v>
      </c>
      <c r="I495" s="6">
        <f>VLOOKUP(operations[productID],products[],4,FALSE)</f>
        <v>17</v>
      </c>
      <c r="J495" s="6">
        <f>VLOOKUP(operations[productID],products[],5,FALSE)</f>
        <v>40</v>
      </c>
      <c r="K495" s="6">
        <f>VLOOKUP(operations[productID],products[],6,FALSE)</f>
        <v>25</v>
      </c>
      <c r="L495" s="10">
        <f t="array" ref="L495">INDEX('1 orders'!I495:I2156, MATCH(1, ('1 orders'!A495:A2156=A495)*('1 orders'!G495:G2156=F495), 0))
</f>
        <v>10</v>
      </c>
      <c r="M495" s="10">
        <f>IFERROR(__xludf.DUMMYFUNCTION("COUNTUNIQUEIFS($A$2:$A495,$F$2:$F495,F495)"),10.0)</f>
        <v>10</v>
      </c>
      <c r="N495" s="10">
        <f t="shared" si="1"/>
        <v>18</v>
      </c>
      <c r="O495" s="26">
        <f>IF(operations[sinceLastOrder]=0,0,operations[orderQuantity] / operations[sinceLastOrder])</f>
        <v>0.5555555556</v>
      </c>
      <c r="P495" s="9">
        <v>9.21</v>
      </c>
      <c r="Q495" s="7" t="s">
        <v>17</v>
      </c>
      <c r="R495" s="10">
        <f>operations[arrivedDate]-operations[shippedDate]</f>
        <v>9</v>
      </c>
    </row>
    <row r="496" ht="15.75" customHeight="1">
      <c r="A496" s="6">
        <v>10435.0</v>
      </c>
      <c r="B496" s="24">
        <v>44961.0</v>
      </c>
      <c r="C496" s="24">
        <v>45003.0</v>
      </c>
      <c r="D496" s="24">
        <v>44964.0</v>
      </c>
      <c r="E496" s="24">
        <v>44973.0</v>
      </c>
      <c r="F496" s="6">
        <v>22.0</v>
      </c>
      <c r="G496" s="9" t="str">
        <f>VLOOKUP(operations[productID],products[],2,FALSE)</f>
        <v>Gustaf's Knäckebröd</v>
      </c>
      <c r="H496" s="9" t="str">
        <f>IF(VLOOKUP(operations[productID],products[],7,FALSE)=1,"Discontinued","Current")</f>
        <v>Current</v>
      </c>
      <c r="I496" s="6">
        <f>VLOOKUP(operations[productID],products[],4,FALSE)</f>
        <v>104</v>
      </c>
      <c r="J496" s="6">
        <f>VLOOKUP(operations[productID],products[],5,FALSE)</f>
        <v>0</v>
      </c>
      <c r="K496" s="6">
        <f>VLOOKUP(operations[productID],products[],6,FALSE)</f>
        <v>25</v>
      </c>
      <c r="L496" s="10">
        <f t="array" ref="L496">INDEX('1 orders'!I496:I2156, MATCH(1, ('1 orders'!A496:A2156=A496)*('1 orders'!G496:G2156=F496), 0))
</f>
        <v>12</v>
      </c>
      <c r="M496" s="10">
        <f>IFERROR(__xludf.DUMMYFUNCTION("COUNTUNIQUEIFS($A$2:$A496,$F$2:$F496,F496)"),2.0)</f>
        <v>2</v>
      </c>
      <c r="N496" s="10">
        <f t="shared" si="1"/>
        <v>211</v>
      </c>
      <c r="O496" s="26">
        <f>IF(operations[sinceLastOrder]=0,0,operations[orderQuantity] / operations[sinceLastOrder])</f>
        <v>0.05687203791</v>
      </c>
      <c r="P496" s="9">
        <v>9.21</v>
      </c>
      <c r="Q496" s="7" t="s">
        <v>17</v>
      </c>
      <c r="R496" s="10">
        <f>operations[arrivedDate]-operations[shippedDate]</f>
        <v>9</v>
      </c>
    </row>
    <row r="497" ht="15.75" customHeight="1">
      <c r="A497" s="6">
        <v>10435.0</v>
      </c>
      <c r="B497" s="24">
        <v>44961.0</v>
      </c>
      <c r="C497" s="24">
        <v>45003.0</v>
      </c>
      <c r="D497" s="24">
        <v>44964.0</v>
      </c>
      <c r="E497" s="24">
        <v>44973.0</v>
      </c>
      <c r="F497" s="6">
        <v>72.0</v>
      </c>
      <c r="G497" s="9" t="str">
        <f>VLOOKUP(operations[productID],products[],2,FALSE)</f>
        <v>Mozzarella di Giovanni</v>
      </c>
      <c r="H497" s="9" t="str">
        <f>IF(VLOOKUP(operations[productID],products[],7,FALSE)=1,"Discontinued","Current")</f>
        <v>Current</v>
      </c>
      <c r="I497" s="6">
        <f>VLOOKUP(operations[productID],products[],4,FALSE)</f>
        <v>14</v>
      </c>
      <c r="J497" s="6">
        <f>VLOOKUP(operations[productID],products[],5,FALSE)</f>
        <v>0</v>
      </c>
      <c r="K497" s="6">
        <f>VLOOKUP(operations[productID],products[],6,FALSE)</f>
        <v>0</v>
      </c>
      <c r="L497" s="10">
        <f t="array" ref="L497">INDEX('1 orders'!I497:I2156, MATCH(1, ('1 orders'!A497:A2156=A497)*('1 orders'!G497:G2156=F497), 0))
</f>
        <v>10</v>
      </c>
      <c r="M497" s="10">
        <f>IFERROR(__xludf.DUMMYFUNCTION("COUNTUNIQUEIFS($A$2:$A497,$F$2:$F497,F497)"),14.0)</f>
        <v>14</v>
      </c>
      <c r="N497" s="10">
        <f t="shared" si="1"/>
        <v>39</v>
      </c>
      <c r="O497" s="26">
        <f>IF(operations[sinceLastOrder]=0,0,operations[orderQuantity] / operations[sinceLastOrder])</f>
        <v>0.2564102564</v>
      </c>
      <c r="P497" s="9">
        <v>9.21</v>
      </c>
      <c r="Q497" s="7" t="s">
        <v>17</v>
      </c>
      <c r="R497" s="10">
        <f>operations[arrivedDate]-operations[shippedDate]</f>
        <v>9</v>
      </c>
    </row>
    <row r="498" ht="15.75" customHeight="1">
      <c r="A498" s="6">
        <v>10436.0</v>
      </c>
      <c r="B498" s="24">
        <v>44962.0</v>
      </c>
      <c r="C498" s="24">
        <v>44990.0</v>
      </c>
      <c r="D498" s="24">
        <v>44968.0</v>
      </c>
      <c r="E498" s="24">
        <v>44979.0</v>
      </c>
      <c r="F498" s="6">
        <v>46.0</v>
      </c>
      <c r="G498" s="9" t="str">
        <f>VLOOKUP(operations[productID],products[],2,FALSE)</f>
        <v>Spegesild</v>
      </c>
      <c r="H498" s="9" t="str">
        <f>IF(VLOOKUP(operations[productID],products[],7,FALSE)=1,"Discontinued","Current")</f>
        <v>Current</v>
      </c>
      <c r="I498" s="6">
        <f>VLOOKUP(operations[productID],products[],4,FALSE)</f>
        <v>95</v>
      </c>
      <c r="J498" s="6">
        <f>VLOOKUP(operations[productID],products[],5,FALSE)</f>
        <v>0</v>
      </c>
      <c r="K498" s="6">
        <f>VLOOKUP(operations[productID],products[],6,FALSE)</f>
        <v>0</v>
      </c>
      <c r="L498" s="10">
        <f t="array" ref="L498">INDEX('1 orders'!I498:I2156, MATCH(1, ('1 orders'!A498:A2156=A498)*('1 orders'!G498:G2156=F498), 0))
</f>
        <v>5</v>
      </c>
      <c r="M498" s="10">
        <f>IFERROR(__xludf.DUMMYFUNCTION("COUNTUNIQUEIFS($A$2:$A498,$F$2:$F498,F498)"),7.0)</f>
        <v>7</v>
      </c>
      <c r="N498" s="10">
        <f t="shared" si="1"/>
        <v>8</v>
      </c>
      <c r="O498" s="26">
        <f>IF(operations[sinceLastOrder]=0,0,operations[orderQuantity] / operations[sinceLastOrder])</f>
        <v>0.625</v>
      </c>
      <c r="P498" s="9">
        <v>156.66</v>
      </c>
      <c r="Q498" s="7" t="s">
        <v>17</v>
      </c>
      <c r="R498" s="10">
        <f>operations[arrivedDate]-operations[shippedDate]</f>
        <v>11</v>
      </c>
    </row>
    <row r="499" ht="15.75" customHeight="1">
      <c r="A499" s="6">
        <v>10436.0</v>
      </c>
      <c r="B499" s="24">
        <v>44962.0</v>
      </c>
      <c r="C499" s="24">
        <v>44990.0</v>
      </c>
      <c r="D499" s="24">
        <v>44968.0</v>
      </c>
      <c r="E499" s="24">
        <v>44979.0</v>
      </c>
      <c r="F499" s="6">
        <v>56.0</v>
      </c>
      <c r="G499" s="9" t="str">
        <f>VLOOKUP(operations[productID],products[],2,FALSE)</f>
        <v>Gnocchi di nonna Alice</v>
      </c>
      <c r="H499" s="9" t="str">
        <f>IF(VLOOKUP(operations[productID],products[],7,FALSE)=1,"Discontinued","Current")</f>
        <v>Current</v>
      </c>
      <c r="I499" s="6">
        <f>VLOOKUP(operations[productID],products[],4,FALSE)</f>
        <v>21</v>
      </c>
      <c r="J499" s="6">
        <f>VLOOKUP(operations[productID],products[],5,FALSE)</f>
        <v>10</v>
      </c>
      <c r="K499" s="6">
        <f>VLOOKUP(operations[productID],products[],6,FALSE)</f>
        <v>30</v>
      </c>
      <c r="L499" s="10">
        <f t="array" ref="L499">INDEX('1 orders'!I499:I2156, MATCH(1, ('1 orders'!A499:A2156=A499)*('1 orders'!G499:G2156=F499), 0))
</f>
        <v>40</v>
      </c>
      <c r="M499" s="10">
        <f>IFERROR(__xludf.DUMMYFUNCTION("COUNTUNIQUEIFS($A$2:$A499,$F$2:$F499,F499)"),12.0)</f>
        <v>12</v>
      </c>
      <c r="N499" s="10">
        <f t="shared" si="1"/>
        <v>2</v>
      </c>
      <c r="O499" s="26">
        <f>IF(operations[sinceLastOrder]=0,0,operations[orderQuantity] / operations[sinceLastOrder])</f>
        <v>20</v>
      </c>
      <c r="P499" s="9">
        <v>156.66</v>
      </c>
      <c r="Q499" s="7" t="s">
        <v>17</v>
      </c>
      <c r="R499" s="10">
        <f>operations[arrivedDate]-operations[shippedDate]</f>
        <v>11</v>
      </c>
    </row>
    <row r="500" ht="15.75" customHeight="1">
      <c r="A500" s="6">
        <v>10436.0</v>
      </c>
      <c r="B500" s="24">
        <v>44962.0</v>
      </c>
      <c r="C500" s="24">
        <v>44990.0</v>
      </c>
      <c r="D500" s="24">
        <v>44968.0</v>
      </c>
      <c r="E500" s="24">
        <v>44979.0</v>
      </c>
      <c r="F500" s="6">
        <v>64.0</v>
      </c>
      <c r="G500" s="9" t="str">
        <f>VLOOKUP(operations[productID],products[],2,FALSE)</f>
        <v>Lukas' leckere Sauerteigweggla</v>
      </c>
      <c r="H500" s="9" t="str">
        <f>IF(VLOOKUP(operations[productID],products[],7,FALSE)=1,"Discontinued","Current")</f>
        <v>Current</v>
      </c>
      <c r="I500" s="6">
        <f>VLOOKUP(operations[productID],products[],4,FALSE)</f>
        <v>22</v>
      </c>
      <c r="J500" s="6">
        <f>VLOOKUP(operations[productID],products[],5,FALSE)</f>
        <v>80</v>
      </c>
      <c r="K500" s="6">
        <f>VLOOKUP(operations[productID],products[],6,FALSE)</f>
        <v>30</v>
      </c>
      <c r="L500" s="10">
        <f t="array" ref="L500">INDEX('1 orders'!I500:I2156, MATCH(1, ('1 orders'!A500:A2156=A500)*('1 orders'!G500:G2156=F500), 0))
</f>
        <v>30</v>
      </c>
      <c r="M500" s="10">
        <f>IFERROR(__xludf.DUMMYFUNCTION("COUNTUNIQUEIFS($A$2:$A500,$F$2:$F500,F500)"),6.0)</f>
        <v>6</v>
      </c>
      <c r="N500" s="10">
        <f t="shared" si="1"/>
        <v>9</v>
      </c>
      <c r="O500" s="26">
        <f>IF(operations[sinceLastOrder]=0,0,operations[orderQuantity] / operations[sinceLastOrder])</f>
        <v>3.333333333</v>
      </c>
      <c r="P500" s="9">
        <v>156.66</v>
      </c>
      <c r="Q500" s="7" t="s">
        <v>17</v>
      </c>
      <c r="R500" s="10">
        <f>operations[arrivedDate]-operations[shippedDate]</f>
        <v>11</v>
      </c>
    </row>
    <row r="501" ht="15.75" customHeight="1">
      <c r="A501" s="6">
        <v>10436.0</v>
      </c>
      <c r="B501" s="24">
        <v>44962.0</v>
      </c>
      <c r="C501" s="24">
        <v>44990.0</v>
      </c>
      <c r="D501" s="24">
        <v>44968.0</v>
      </c>
      <c r="E501" s="24">
        <v>44979.0</v>
      </c>
      <c r="F501" s="6">
        <v>75.0</v>
      </c>
      <c r="G501" s="9" t="str">
        <f>VLOOKUP(operations[productID],products[],2,FALSE)</f>
        <v>Rhönbräu Klosterbier</v>
      </c>
      <c r="H501" s="9" t="str">
        <f>IF(VLOOKUP(operations[productID],products[],7,FALSE)=1,"Discontinued","Current")</f>
        <v>Current</v>
      </c>
      <c r="I501" s="6">
        <f>VLOOKUP(operations[productID],products[],4,FALSE)</f>
        <v>125</v>
      </c>
      <c r="J501" s="6">
        <f>VLOOKUP(operations[productID],products[],5,FALSE)</f>
        <v>0</v>
      </c>
      <c r="K501" s="6">
        <f>VLOOKUP(operations[productID],products[],6,FALSE)</f>
        <v>25</v>
      </c>
      <c r="L501" s="10">
        <f t="array" ref="L501">INDEX('1 orders'!I501:I2156, MATCH(1, ('1 orders'!A501:A2156=A501)*('1 orders'!G501:G2156=F501), 0))
</f>
        <v>24</v>
      </c>
      <c r="M501" s="10">
        <f>IFERROR(__xludf.DUMMYFUNCTION("COUNTUNIQUEIFS($A$2:$A501,$F$2:$F501,F501)"),8.0)</f>
        <v>8</v>
      </c>
      <c r="N501" s="10">
        <f t="shared" si="1"/>
        <v>71</v>
      </c>
      <c r="O501" s="26">
        <f>IF(operations[sinceLastOrder]=0,0,operations[orderQuantity] / operations[sinceLastOrder])</f>
        <v>0.338028169</v>
      </c>
      <c r="P501" s="9">
        <v>156.66</v>
      </c>
      <c r="Q501" s="7" t="s">
        <v>17</v>
      </c>
      <c r="R501" s="10">
        <f>operations[arrivedDate]-operations[shippedDate]</f>
        <v>11</v>
      </c>
    </row>
    <row r="502" ht="15.75" customHeight="1">
      <c r="A502" s="6">
        <v>10437.0</v>
      </c>
      <c r="B502" s="24">
        <v>44962.0</v>
      </c>
      <c r="C502" s="24">
        <v>44990.0</v>
      </c>
      <c r="D502" s="24">
        <v>44969.0</v>
      </c>
      <c r="E502" s="24">
        <v>44978.0</v>
      </c>
      <c r="F502" s="6">
        <v>53.0</v>
      </c>
      <c r="G502" s="9" t="str">
        <f>VLOOKUP(operations[productID],products[],2,FALSE)</f>
        <v>Perth Pasties</v>
      </c>
      <c r="H502" s="9" t="str">
        <f>IF(VLOOKUP(operations[productID],products[],7,FALSE)=1,"Discontinued","Current")</f>
        <v>Discontinued</v>
      </c>
      <c r="I502" s="6">
        <f>VLOOKUP(operations[productID],products[],4,FALSE)</f>
        <v>0</v>
      </c>
      <c r="J502" s="6">
        <f>VLOOKUP(operations[productID],products[],5,FALSE)</f>
        <v>0</v>
      </c>
      <c r="K502" s="6">
        <f>VLOOKUP(operations[productID],products[],6,FALSE)</f>
        <v>0</v>
      </c>
      <c r="L502" s="10">
        <f t="array" ref="L502">INDEX('1 orders'!I502:I2156, MATCH(1, ('1 orders'!A502:A2156=A502)*('1 orders'!G502:G2156=F502), 0))
</f>
        <v>15</v>
      </c>
      <c r="M502" s="10">
        <f>IFERROR(__xludf.DUMMYFUNCTION("COUNTUNIQUEIFS($A$2:$A502,$F$2:$F502,F502)"),10.0)</f>
        <v>10</v>
      </c>
      <c r="N502" s="10">
        <f t="shared" si="1"/>
        <v>15</v>
      </c>
      <c r="O502" s="26">
        <f>IF(operations[sinceLastOrder]=0,0,operations[orderQuantity] / operations[sinceLastOrder])</f>
        <v>1</v>
      </c>
      <c r="P502" s="9">
        <v>19.97</v>
      </c>
      <c r="Q502" s="7" t="s">
        <v>15</v>
      </c>
      <c r="R502" s="10">
        <f>operations[arrivedDate]-operations[shippedDate]</f>
        <v>9</v>
      </c>
    </row>
    <row r="503" ht="15.75" customHeight="1">
      <c r="A503" s="6">
        <v>10438.0</v>
      </c>
      <c r="B503" s="24">
        <v>44963.0</v>
      </c>
      <c r="C503" s="24">
        <v>44991.0</v>
      </c>
      <c r="D503" s="24">
        <v>44971.0</v>
      </c>
      <c r="E503" s="24">
        <v>44979.0</v>
      </c>
      <c r="F503" s="6">
        <v>19.0</v>
      </c>
      <c r="G503" s="9" t="str">
        <f>VLOOKUP(operations[productID],products[],2,FALSE)</f>
        <v>Teatime Chocolate Biscuits</v>
      </c>
      <c r="H503" s="9" t="str">
        <f>IF(VLOOKUP(operations[productID],products[],7,FALSE)=1,"Discontinued","Current")</f>
        <v>Current</v>
      </c>
      <c r="I503" s="6">
        <f>VLOOKUP(operations[productID],products[],4,FALSE)</f>
        <v>25</v>
      </c>
      <c r="J503" s="6">
        <f>VLOOKUP(operations[productID],products[],5,FALSE)</f>
        <v>0</v>
      </c>
      <c r="K503" s="6">
        <f>VLOOKUP(operations[productID],products[],6,FALSE)</f>
        <v>5</v>
      </c>
      <c r="L503" s="10">
        <f t="array" ref="L503">INDEX('1 orders'!I503:I2156, MATCH(1, ('1 orders'!A503:A2156=A503)*('1 orders'!G503:G2156=F503), 0))
</f>
        <v>15</v>
      </c>
      <c r="M503" s="10">
        <f>IFERROR(__xludf.DUMMYFUNCTION("COUNTUNIQUEIFS($A$2:$A503,$F$2:$F503,F503)"),9.0)</f>
        <v>9</v>
      </c>
      <c r="N503" s="10">
        <f t="shared" si="1"/>
        <v>16</v>
      </c>
      <c r="O503" s="26">
        <f>IF(operations[sinceLastOrder]=0,0,operations[orderQuantity] / operations[sinceLastOrder])</f>
        <v>0.9375</v>
      </c>
      <c r="P503" s="9">
        <v>8.24</v>
      </c>
      <c r="Q503" s="7" t="s">
        <v>17</v>
      </c>
      <c r="R503" s="10">
        <f>operations[arrivedDate]-operations[shippedDate]</f>
        <v>8</v>
      </c>
    </row>
    <row r="504" ht="15.75" customHeight="1">
      <c r="A504" s="6">
        <v>10438.0</v>
      </c>
      <c r="B504" s="24">
        <v>44963.0</v>
      </c>
      <c r="C504" s="24">
        <v>44991.0</v>
      </c>
      <c r="D504" s="24">
        <v>44971.0</v>
      </c>
      <c r="E504" s="24">
        <v>44979.0</v>
      </c>
      <c r="F504" s="6">
        <v>34.0</v>
      </c>
      <c r="G504" s="9" t="str">
        <f>VLOOKUP(operations[productID],products[],2,FALSE)</f>
        <v>Sasquatch Ale</v>
      </c>
      <c r="H504" s="9" t="str">
        <f>IF(VLOOKUP(operations[productID],products[],7,FALSE)=1,"Discontinued","Current")</f>
        <v>Current</v>
      </c>
      <c r="I504" s="6">
        <f>VLOOKUP(operations[productID],products[],4,FALSE)</f>
        <v>111</v>
      </c>
      <c r="J504" s="6">
        <f>VLOOKUP(operations[productID],products[],5,FALSE)</f>
        <v>0</v>
      </c>
      <c r="K504" s="6">
        <f>VLOOKUP(operations[productID],products[],6,FALSE)</f>
        <v>15</v>
      </c>
      <c r="L504" s="10">
        <f t="array" ref="L504">INDEX('1 orders'!I504:I2156, MATCH(1, ('1 orders'!A504:A2156=A504)*('1 orders'!G504:G2156=F504), 0))
</f>
        <v>20</v>
      </c>
      <c r="M504" s="10">
        <f>IFERROR(__xludf.DUMMYFUNCTION("COUNTUNIQUEIFS($A$2:$A504,$F$2:$F504,F504)"),6.0)</f>
        <v>6</v>
      </c>
      <c r="N504" s="10">
        <f t="shared" si="1"/>
        <v>50</v>
      </c>
      <c r="O504" s="26">
        <f>IF(operations[sinceLastOrder]=0,0,operations[orderQuantity] / operations[sinceLastOrder])</f>
        <v>0.4</v>
      </c>
      <c r="P504" s="9">
        <v>8.24</v>
      </c>
      <c r="Q504" s="7" t="s">
        <v>17</v>
      </c>
      <c r="R504" s="10">
        <f>operations[arrivedDate]-operations[shippedDate]</f>
        <v>8</v>
      </c>
    </row>
    <row r="505" ht="15.75" customHeight="1">
      <c r="A505" s="6">
        <v>10438.0</v>
      </c>
      <c r="B505" s="24">
        <v>44963.0</v>
      </c>
      <c r="C505" s="24">
        <v>44991.0</v>
      </c>
      <c r="D505" s="24">
        <v>44971.0</v>
      </c>
      <c r="E505" s="24">
        <v>44979.0</v>
      </c>
      <c r="F505" s="6">
        <v>57.0</v>
      </c>
      <c r="G505" s="9" t="str">
        <f>VLOOKUP(operations[productID],products[],2,FALSE)</f>
        <v>Ravioli Angelo</v>
      </c>
      <c r="H505" s="9" t="str">
        <f>IF(VLOOKUP(operations[productID],products[],7,FALSE)=1,"Discontinued","Current")</f>
        <v>Current</v>
      </c>
      <c r="I505" s="6">
        <f>VLOOKUP(operations[productID],products[],4,FALSE)</f>
        <v>36</v>
      </c>
      <c r="J505" s="6">
        <f>VLOOKUP(operations[productID],products[],5,FALSE)</f>
        <v>0</v>
      </c>
      <c r="K505" s="6">
        <f>VLOOKUP(operations[productID],products[],6,FALSE)</f>
        <v>20</v>
      </c>
      <c r="L505" s="10">
        <f t="array" ref="L505">INDEX('1 orders'!I505:I2156, MATCH(1, ('1 orders'!A505:A2156=A505)*('1 orders'!G505:G2156=F505), 0))
</f>
        <v>15</v>
      </c>
      <c r="M505" s="10">
        <f>IFERROR(__xludf.DUMMYFUNCTION("COUNTUNIQUEIFS($A$2:$A505,$F$2:$F505,F505)"),8.0)</f>
        <v>8</v>
      </c>
      <c r="N505" s="10">
        <f t="shared" si="1"/>
        <v>21</v>
      </c>
      <c r="O505" s="26">
        <f>IF(operations[sinceLastOrder]=0,0,operations[orderQuantity] / operations[sinceLastOrder])</f>
        <v>0.7142857143</v>
      </c>
      <c r="P505" s="9">
        <v>8.24</v>
      </c>
      <c r="Q505" s="7" t="s">
        <v>17</v>
      </c>
      <c r="R505" s="10">
        <f>operations[arrivedDate]-operations[shippedDate]</f>
        <v>8</v>
      </c>
    </row>
    <row r="506" ht="15.75" customHeight="1">
      <c r="A506" s="6">
        <v>10439.0</v>
      </c>
      <c r="B506" s="24">
        <v>44964.0</v>
      </c>
      <c r="C506" s="24">
        <v>44992.0</v>
      </c>
      <c r="D506" s="24">
        <v>44967.0</v>
      </c>
      <c r="E506" s="24">
        <v>44978.0</v>
      </c>
      <c r="F506" s="6">
        <v>12.0</v>
      </c>
      <c r="G506" s="9" t="str">
        <f>VLOOKUP(operations[productID],products[],2,FALSE)</f>
        <v>Queso Manchego La Pastora</v>
      </c>
      <c r="H506" s="9" t="str">
        <f>IF(VLOOKUP(operations[productID],products[],7,FALSE)=1,"Discontinued","Current")</f>
        <v>Current</v>
      </c>
      <c r="I506" s="6">
        <f>VLOOKUP(operations[productID],products[],4,FALSE)</f>
        <v>86</v>
      </c>
      <c r="J506" s="6">
        <f>VLOOKUP(operations[productID],products[],5,FALSE)</f>
        <v>0</v>
      </c>
      <c r="K506" s="6">
        <f>VLOOKUP(operations[productID],products[],6,FALSE)</f>
        <v>0</v>
      </c>
      <c r="L506" s="10">
        <f t="array" ref="L506">INDEX('1 orders'!I506:I2156, MATCH(1, ('1 orders'!A506:A2156=A506)*('1 orders'!G506:G2156=F506), 0))
</f>
        <v>15</v>
      </c>
      <c r="M506" s="10">
        <f>IFERROR(__xludf.DUMMYFUNCTION("COUNTUNIQUEIFS($A$2:$A506,$F$2:$F506,F506)"),2.0)</f>
        <v>2</v>
      </c>
      <c r="N506" s="10">
        <f t="shared" si="1"/>
        <v>196</v>
      </c>
      <c r="O506" s="26">
        <f>IF(operations[sinceLastOrder]=0,0,operations[orderQuantity] / operations[sinceLastOrder])</f>
        <v>0.07653061224</v>
      </c>
      <c r="P506" s="9">
        <v>4.07</v>
      </c>
      <c r="Q506" s="7" t="s">
        <v>13</v>
      </c>
      <c r="R506" s="10">
        <f>operations[arrivedDate]-operations[shippedDate]</f>
        <v>11</v>
      </c>
    </row>
    <row r="507" ht="15.75" customHeight="1">
      <c r="A507" s="6">
        <v>10439.0</v>
      </c>
      <c r="B507" s="24">
        <v>44964.0</v>
      </c>
      <c r="C507" s="24">
        <v>44992.0</v>
      </c>
      <c r="D507" s="24">
        <v>44967.0</v>
      </c>
      <c r="E507" s="24">
        <v>44978.0</v>
      </c>
      <c r="F507" s="6">
        <v>16.0</v>
      </c>
      <c r="G507" s="9" t="str">
        <f>VLOOKUP(operations[productID],products[],2,FALSE)</f>
        <v>Pavlova</v>
      </c>
      <c r="H507" s="9" t="str">
        <f>IF(VLOOKUP(operations[productID],products[],7,FALSE)=1,"Discontinued","Current")</f>
        <v>Current</v>
      </c>
      <c r="I507" s="6">
        <f>VLOOKUP(operations[productID],products[],4,FALSE)</f>
        <v>29</v>
      </c>
      <c r="J507" s="6">
        <f>VLOOKUP(operations[productID],products[],5,FALSE)</f>
        <v>0</v>
      </c>
      <c r="K507" s="6">
        <f>VLOOKUP(operations[productID],products[],6,FALSE)</f>
        <v>10</v>
      </c>
      <c r="L507" s="10">
        <f t="array" ref="L507">INDEX('1 orders'!I507:I2156, MATCH(1, ('1 orders'!A507:A2156=A507)*('1 orders'!G507:G2156=F507), 0))
</f>
        <v>16</v>
      </c>
      <c r="M507" s="10">
        <f>IFERROR(__xludf.DUMMYFUNCTION("COUNTUNIQUEIFS($A$2:$A507,$F$2:$F507,F507)"),9.0)</f>
        <v>9</v>
      </c>
      <c r="N507" s="10">
        <f t="shared" si="1"/>
        <v>35</v>
      </c>
      <c r="O507" s="26">
        <f>IF(operations[sinceLastOrder]=0,0,operations[orderQuantity] / operations[sinceLastOrder])</f>
        <v>0.4571428571</v>
      </c>
      <c r="P507" s="9">
        <v>4.07</v>
      </c>
      <c r="Q507" s="7" t="s">
        <v>13</v>
      </c>
      <c r="R507" s="10">
        <f>operations[arrivedDate]-operations[shippedDate]</f>
        <v>11</v>
      </c>
    </row>
    <row r="508" ht="15.75" customHeight="1">
      <c r="A508" s="6">
        <v>10439.0</v>
      </c>
      <c r="B508" s="24">
        <v>44964.0</v>
      </c>
      <c r="C508" s="24">
        <v>44992.0</v>
      </c>
      <c r="D508" s="24">
        <v>44967.0</v>
      </c>
      <c r="E508" s="24">
        <v>44978.0</v>
      </c>
      <c r="F508" s="6">
        <v>64.0</v>
      </c>
      <c r="G508" s="9" t="str">
        <f>VLOOKUP(operations[productID],products[],2,FALSE)</f>
        <v>Lukas' leckere Sauerteigweggla</v>
      </c>
      <c r="H508" s="9" t="str">
        <f>IF(VLOOKUP(operations[productID],products[],7,FALSE)=1,"Discontinued","Current")</f>
        <v>Current</v>
      </c>
      <c r="I508" s="6">
        <f>VLOOKUP(operations[productID],products[],4,FALSE)</f>
        <v>22</v>
      </c>
      <c r="J508" s="6">
        <f>VLOOKUP(operations[productID],products[],5,FALSE)</f>
        <v>80</v>
      </c>
      <c r="K508" s="6">
        <f>VLOOKUP(operations[productID],products[],6,FALSE)</f>
        <v>30</v>
      </c>
      <c r="L508" s="10">
        <f t="array" ref="L508">INDEX('1 orders'!I508:I2156, MATCH(1, ('1 orders'!A508:A2156=A508)*('1 orders'!G508:G2156=F508), 0))
</f>
        <v>6</v>
      </c>
      <c r="M508" s="10">
        <f>IFERROR(__xludf.DUMMYFUNCTION("COUNTUNIQUEIFS($A$2:$A508,$F$2:$F508,F508)"),7.0)</f>
        <v>7</v>
      </c>
      <c r="N508" s="10">
        <f t="shared" si="1"/>
        <v>2</v>
      </c>
      <c r="O508" s="26">
        <f>IF(operations[sinceLastOrder]=0,0,operations[orderQuantity] / operations[sinceLastOrder])</f>
        <v>3</v>
      </c>
      <c r="P508" s="9">
        <v>4.07</v>
      </c>
      <c r="Q508" s="7" t="s">
        <v>13</v>
      </c>
      <c r="R508" s="10">
        <f>operations[arrivedDate]-operations[shippedDate]</f>
        <v>11</v>
      </c>
    </row>
    <row r="509" ht="15.75" customHeight="1">
      <c r="A509" s="6">
        <v>10439.0</v>
      </c>
      <c r="B509" s="24">
        <v>44964.0</v>
      </c>
      <c r="C509" s="24">
        <v>44992.0</v>
      </c>
      <c r="D509" s="24">
        <v>44967.0</v>
      </c>
      <c r="E509" s="24">
        <v>44978.0</v>
      </c>
      <c r="F509" s="6">
        <v>74.0</v>
      </c>
      <c r="G509" s="9" t="str">
        <f>VLOOKUP(operations[productID],products[],2,FALSE)</f>
        <v>Longlife Tofu</v>
      </c>
      <c r="H509" s="9" t="str">
        <f>IF(VLOOKUP(operations[productID],products[],7,FALSE)=1,"Discontinued","Current")</f>
        <v>Current</v>
      </c>
      <c r="I509" s="6">
        <f>VLOOKUP(operations[productID],products[],4,FALSE)</f>
        <v>4</v>
      </c>
      <c r="J509" s="6">
        <f>VLOOKUP(operations[productID],products[],5,FALSE)</f>
        <v>20</v>
      </c>
      <c r="K509" s="6">
        <f>VLOOKUP(operations[productID],products[],6,FALSE)</f>
        <v>5</v>
      </c>
      <c r="L509" s="10">
        <f t="array" ref="L509">INDEX('1 orders'!I509:I2156, MATCH(1, ('1 orders'!A509:A2156=A509)*('1 orders'!G509:G2156=F509), 0))
</f>
        <v>30</v>
      </c>
      <c r="M509" s="10">
        <f>IFERROR(__xludf.DUMMYFUNCTION("COUNTUNIQUEIFS($A$2:$A509,$F$2:$F509,F509)"),7.0)</f>
        <v>7</v>
      </c>
      <c r="N509" s="10">
        <f t="shared" si="1"/>
        <v>21</v>
      </c>
      <c r="O509" s="26">
        <f>IF(operations[sinceLastOrder]=0,0,operations[orderQuantity] / operations[sinceLastOrder])</f>
        <v>1.428571429</v>
      </c>
      <c r="P509" s="9">
        <v>4.07</v>
      </c>
      <c r="Q509" s="7" t="s">
        <v>13</v>
      </c>
      <c r="R509" s="10">
        <f>operations[arrivedDate]-operations[shippedDate]</f>
        <v>11</v>
      </c>
    </row>
    <row r="510" ht="15.75" customHeight="1">
      <c r="A510" s="6">
        <v>10440.0</v>
      </c>
      <c r="B510" s="24">
        <v>44967.0</v>
      </c>
      <c r="C510" s="24">
        <v>44995.0</v>
      </c>
      <c r="D510" s="24">
        <v>44985.0</v>
      </c>
      <c r="E510" s="24">
        <v>45002.0</v>
      </c>
      <c r="F510" s="6">
        <v>2.0</v>
      </c>
      <c r="G510" s="9" t="str">
        <f>VLOOKUP(operations[productID],products[],2,FALSE)</f>
        <v>Chang</v>
      </c>
      <c r="H510" s="9" t="str">
        <f>IF(VLOOKUP(operations[productID],products[],7,FALSE)=1,"Discontinued","Current")</f>
        <v>Current</v>
      </c>
      <c r="I510" s="6">
        <f>VLOOKUP(operations[productID],products[],4,FALSE)</f>
        <v>17</v>
      </c>
      <c r="J510" s="6">
        <f>VLOOKUP(operations[productID],products[],5,FALSE)</f>
        <v>40</v>
      </c>
      <c r="K510" s="6">
        <f>VLOOKUP(operations[productID],products[],6,FALSE)</f>
        <v>25</v>
      </c>
      <c r="L510" s="10">
        <f t="array" ref="L510">INDEX('1 orders'!I510:I2156, MATCH(1, ('1 orders'!A510:A2156=A510)*('1 orders'!G510:G2156=F510), 0))
</f>
        <v>45</v>
      </c>
      <c r="M510" s="10">
        <f>IFERROR(__xludf.DUMMYFUNCTION("COUNTUNIQUEIFS($A$2:$A510,$F$2:$F510,F510)"),11.0)</f>
        <v>11</v>
      </c>
      <c r="N510" s="10">
        <f t="shared" si="1"/>
        <v>6</v>
      </c>
      <c r="O510" s="26">
        <f>IF(operations[sinceLastOrder]=0,0,operations[orderQuantity] / operations[sinceLastOrder])</f>
        <v>7.5</v>
      </c>
      <c r="P510" s="9">
        <v>86.53</v>
      </c>
      <c r="Q510" s="7" t="s">
        <v>17</v>
      </c>
      <c r="R510" s="10">
        <f>operations[arrivedDate]-operations[shippedDate]</f>
        <v>17</v>
      </c>
    </row>
    <row r="511" ht="15.75" customHeight="1">
      <c r="A511" s="6">
        <v>10440.0</v>
      </c>
      <c r="B511" s="24">
        <v>44967.0</v>
      </c>
      <c r="C511" s="24">
        <v>44995.0</v>
      </c>
      <c r="D511" s="24">
        <v>44985.0</v>
      </c>
      <c r="E511" s="24">
        <v>45002.0</v>
      </c>
      <c r="F511" s="6">
        <v>16.0</v>
      </c>
      <c r="G511" s="9" t="str">
        <f>VLOOKUP(operations[productID],products[],2,FALSE)</f>
        <v>Pavlova</v>
      </c>
      <c r="H511" s="9" t="str">
        <f>IF(VLOOKUP(operations[productID],products[],7,FALSE)=1,"Discontinued","Current")</f>
        <v>Current</v>
      </c>
      <c r="I511" s="6">
        <f>VLOOKUP(operations[productID],products[],4,FALSE)</f>
        <v>29</v>
      </c>
      <c r="J511" s="6">
        <f>VLOOKUP(operations[productID],products[],5,FALSE)</f>
        <v>0</v>
      </c>
      <c r="K511" s="6">
        <f>VLOOKUP(operations[productID],products[],6,FALSE)</f>
        <v>10</v>
      </c>
      <c r="L511" s="10">
        <f t="array" ref="L511">INDEX('1 orders'!I511:I2156, MATCH(1, ('1 orders'!A511:A2156=A511)*('1 orders'!G511:G2156=F511), 0))
</f>
        <v>49</v>
      </c>
      <c r="M511" s="10">
        <f>IFERROR(__xludf.DUMMYFUNCTION("COUNTUNIQUEIFS($A$2:$A511,$F$2:$F511,F511)"),10.0)</f>
        <v>10</v>
      </c>
      <c r="N511" s="10">
        <f t="shared" si="1"/>
        <v>3</v>
      </c>
      <c r="O511" s="26">
        <f>IF(operations[sinceLastOrder]=0,0,operations[orderQuantity] / operations[sinceLastOrder])</f>
        <v>16.33333333</v>
      </c>
      <c r="P511" s="9">
        <v>86.53</v>
      </c>
      <c r="Q511" s="7" t="s">
        <v>17</v>
      </c>
      <c r="R511" s="10">
        <f>operations[arrivedDate]-operations[shippedDate]</f>
        <v>17</v>
      </c>
    </row>
    <row r="512" ht="15.75" customHeight="1">
      <c r="A512" s="6">
        <v>10440.0</v>
      </c>
      <c r="B512" s="24">
        <v>44967.0</v>
      </c>
      <c r="C512" s="24">
        <v>44995.0</v>
      </c>
      <c r="D512" s="24">
        <v>44985.0</v>
      </c>
      <c r="E512" s="24">
        <v>45002.0</v>
      </c>
      <c r="F512" s="6">
        <v>29.0</v>
      </c>
      <c r="G512" s="9" t="str">
        <f>VLOOKUP(operations[productID],products[],2,FALSE)</f>
        <v>Thüringer Rostbratwurst</v>
      </c>
      <c r="H512" s="9" t="str">
        <f>IF(VLOOKUP(operations[productID],products[],7,FALSE)=1,"Discontinued","Current")</f>
        <v>Discontinued</v>
      </c>
      <c r="I512" s="6">
        <f>VLOOKUP(operations[productID],products[],4,FALSE)</f>
        <v>0</v>
      </c>
      <c r="J512" s="6">
        <f>VLOOKUP(operations[productID],products[],5,FALSE)</f>
        <v>0</v>
      </c>
      <c r="K512" s="6">
        <f>VLOOKUP(operations[productID],products[],6,FALSE)</f>
        <v>0</v>
      </c>
      <c r="L512" s="10">
        <f t="array" ref="L512">INDEX('1 orders'!I512:I2156, MATCH(1, ('1 orders'!A512:A2156=A512)*('1 orders'!G512:G2156=F512), 0))
</f>
        <v>24</v>
      </c>
      <c r="M512" s="10">
        <f>IFERROR(__xludf.DUMMYFUNCTION("COUNTUNIQUEIFS($A$2:$A512,$F$2:$F512,F512)"),9.0)</f>
        <v>9</v>
      </c>
      <c r="N512" s="10">
        <f t="shared" si="1"/>
        <v>40</v>
      </c>
      <c r="O512" s="26">
        <f>IF(operations[sinceLastOrder]=0,0,operations[orderQuantity] / operations[sinceLastOrder])</f>
        <v>0.6</v>
      </c>
      <c r="P512" s="9">
        <v>86.53</v>
      </c>
      <c r="Q512" s="7" t="s">
        <v>17</v>
      </c>
      <c r="R512" s="10">
        <f>operations[arrivedDate]-operations[shippedDate]</f>
        <v>17</v>
      </c>
    </row>
    <row r="513" ht="15.75" customHeight="1">
      <c r="A513" s="6">
        <v>10440.0</v>
      </c>
      <c r="B513" s="24">
        <v>44967.0</v>
      </c>
      <c r="C513" s="24">
        <v>44995.0</v>
      </c>
      <c r="D513" s="24">
        <v>44985.0</v>
      </c>
      <c r="E513" s="24">
        <v>45002.0</v>
      </c>
      <c r="F513" s="6">
        <v>61.0</v>
      </c>
      <c r="G513" s="9" t="str">
        <f>VLOOKUP(operations[productID],products[],2,FALSE)</f>
        <v>Sirop d'érable</v>
      </c>
      <c r="H513" s="9" t="str">
        <f>IF(VLOOKUP(operations[productID],products[],7,FALSE)=1,"Discontinued","Current")</f>
        <v>Current</v>
      </c>
      <c r="I513" s="6">
        <f>VLOOKUP(operations[productID],products[],4,FALSE)</f>
        <v>113</v>
      </c>
      <c r="J513" s="6">
        <f>VLOOKUP(operations[productID],products[],5,FALSE)</f>
        <v>0</v>
      </c>
      <c r="K513" s="6">
        <f>VLOOKUP(operations[productID],products[],6,FALSE)</f>
        <v>25</v>
      </c>
      <c r="L513" s="10">
        <f t="array" ref="L513">INDEX('1 orders'!I513:I2156, MATCH(1, ('1 orders'!A513:A2156=A513)*('1 orders'!G513:G2156=F513), 0))
</f>
        <v>90</v>
      </c>
      <c r="M513" s="10">
        <f>IFERROR(__xludf.DUMMYFUNCTION("COUNTUNIQUEIFS($A$2:$A513,$F$2:$F513,F513)"),2.0)</f>
        <v>2</v>
      </c>
      <c r="N513" s="10">
        <f t="shared" si="1"/>
        <v>24</v>
      </c>
      <c r="O513" s="26">
        <f>IF(operations[sinceLastOrder]=0,0,operations[orderQuantity] / operations[sinceLastOrder])</f>
        <v>3.75</v>
      </c>
      <c r="P513" s="9">
        <v>86.53</v>
      </c>
      <c r="Q513" s="7" t="s">
        <v>17</v>
      </c>
      <c r="R513" s="10">
        <f>operations[arrivedDate]-operations[shippedDate]</f>
        <v>17</v>
      </c>
    </row>
    <row r="514" ht="15.75" customHeight="1">
      <c r="A514" s="6">
        <v>10441.0</v>
      </c>
      <c r="B514" s="24">
        <v>44967.0</v>
      </c>
      <c r="C514" s="24">
        <v>45009.0</v>
      </c>
      <c r="D514" s="24">
        <v>44999.0</v>
      </c>
      <c r="E514" s="24">
        <v>45017.0</v>
      </c>
      <c r="F514" s="6">
        <v>27.0</v>
      </c>
      <c r="G514" s="9" t="str">
        <f>VLOOKUP(operations[productID],products[],2,FALSE)</f>
        <v>Schoggi Schokolade</v>
      </c>
      <c r="H514" s="9" t="str">
        <f>IF(VLOOKUP(operations[productID],products[],7,FALSE)=1,"Discontinued","Current")</f>
        <v>Current</v>
      </c>
      <c r="I514" s="6">
        <f>VLOOKUP(operations[productID],products[],4,FALSE)</f>
        <v>49</v>
      </c>
      <c r="J514" s="6">
        <f>VLOOKUP(operations[productID],products[],5,FALSE)</f>
        <v>0</v>
      </c>
      <c r="K514" s="6">
        <f>VLOOKUP(operations[productID],products[],6,FALSE)</f>
        <v>30</v>
      </c>
      <c r="L514" s="10">
        <f t="array" ref="L514">INDEX('1 orders'!I514:I2156, MATCH(1, ('1 orders'!A514:A2156=A514)*('1 orders'!G514:G2156=F514), 0))
</f>
        <v>50</v>
      </c>
      <c r="M514" s="10">
        <f>IFERROR(__xludf.DUMMYFUNCTION("COUNTUNIQUEIFS($A$2:$A514,$F$2:$F514,F514)"),3.0)</f>
        <v>3</v>
      </c>
      <c r="N514" s="10">
        <f t="shared" si="1"/>
        <v>175</v>
      </c>
      <c r="O514" s="26">
        <f>IF(operations[sinceLastOrder]=0,0,operations[orderQuantity] / operations[sinceLastOrder])</f>
        <v>0.2857142857</v>
      </c>
      <c r="P514" s="9">
        <v>73.02</v>
      </c>
      <c r="Q514" s="7" t="s">
        <v>17</v>
      </c>
      <c r="R514" s="10">
        <f>operations[arrivedDate]-operations[shippedDate]</f>
        <v>18</v>
      </c>
    </row>
    <row r="515" ht="15.75" customHeight="1">
      <c r="A515" s="6">
        <v>10442.0</v>
      </c>
      <c r="B515" s="24">
        <v>44968.0</v>
      </c>
      <c r="C515" s="24">
        <v>44996.0</v>
      </c>
      <c r="D515" s="24">
        <v>44975.0</v>
      </c>
      <c r="E515" s="24">
        <v>44989.0</v>
      </c>
      <c r="F515" s="6">
        <v>11.0</v>
      </c>
      <c r="G515" s="9" t="str">
        <f>VLOOKUP(operations[productID],products[],2,FALSE)</f>
        <v>Queso Cabrales</v>
      </c>
      <c r="H515" s="9" t="str">
        <f>IF(VLOOKUP(operations[productID],products[],7,FALSE)=1,"Discontinued","Current")</f>
        <v>Current</v>
      </c>
      <c r="I515" s="6">
        <f>VLOOKUP(operations[productID],products[],4,FALSE)</f>
        <v>22</v>
      </c>
      <c r="J515" s="6">
        <f>VLOOKUP(operations[productID],products[],5,FALSE)</f>
        <v>30</v>
      </c>
      <c r="K515" s="6">
        <f>VLOOKUP(operations[productID],products[],6,FALSE)</f>
        <v>30</v>
      </c>
      <c r="L515" s="10">
        <f t="array" ref="L515">INDEX('1 orders'!I515:I2156, MATCH(1, ('1 orders'!A515:A2156=A515)*('1 orders'!G515:G2156=F515), 0))
</f>
        <v>30</v>
      </c>
      <c r="M515" s="10">
        <f>IFERROR(__xludf.DUMMYFUNCTION("COUNTUNIQUEIFS($A$2:$A515,$F$2:$F515,F515)"),8.0)</f>
        <v>8</v>
      </c>
      <c r="N515" s="10">
        <f t="shared" si="1"/>
        <v>8</v>
      </c>
      <c r="O515" s="26">
        <f>IF(operations[sinceLastOrder]=0,0,operations[orderQuantity] / operations[sinceLastOrder])</f>
        <v>3.75</v>
      </c>
      <c r="P515" s="9">
        <v>47.94</v>
      </c>
      <c r="Q515" s="7" t="s">
        <v>17</v>
      </c>
      <c r="R515" s="10">
        <f>operations[arrivedDate]-operations[shippedDate]</f>
        <v>14</v>
      </c>
    </row>
    <row r="516" ht="15.75" customHeight="1">
      <c r="A516" s="6">
        <v>10442.0</v>
      </c>
      <c r="B516" s="24">
        <v>44968.0</v>
      </c>
      <c r="C516" s="24">
        <v>44996.0</v>
      </c>
      <c r="D516" s="24">
        <v>44975.0</v>
      </c>
      <c r="E516" s="24">
        <v>44989.0</v>
      </c>
      <c r="F516" s="6">
        <v>54.0</v>
      </c>
      <c r="G516" s="9" t="str">
        <f>VLOOKUP(operations[productID],products[],2,FALSE)</f>
        <v>Tourtière</v>
      </c>
      <c r="H516" s="9" t="str">
        <f>IF(VLOOKUP(operations[productID],products[],7,FALSE)=1,"Discontinued","Current")</f>
        <v>Current</v>
      </c>
      <c r="I516" s="6">
        <f>VLOOKUP(operations[productID],products[],4,FALSE)</f>
        <v>21</v>
      </c>
      <c r="J516" s="6">
        <f>VLOOKUP(operations[productID],products[],5,FALSE)</f>
        <v>0</v>
      </c>
      <c r="K516" s="6">
        <f>VLOOKUP(operations[productID],products[],6,FALSE)</f>
        <v>10</v>
      </c>
      <c r="L516" s="10">
        <f t="array" ref="L516">INDEX('1 orders'!I516:I2156, MATCH(1, ('1 orders'!A516:A2156=A516)*('1 orders'!G516:G2156=F516), 0))
</f>
        <v>80</v>
      </c>
      <c r="M516" s="10">
        <f>IFERROR(__xludf.DUMMYFUNCTION("COUNTUNIQUEIFS($A$2:$A516,$F$2:$F516,F516)"),12.0)</f>
        <v>12</v>
      </c>
      <c r="N516" s="10">
        <f t="shared" si="1"/>
        <v>11</v>
      </c>
      <c r="O516" s="26">
        <f>IF(operations[sinceLastOrder]=0,0,operations[orderQuantity] / operations[sinceLastOrder])</f>
        <v>7.272727273</v>
      </c>
      <c r="P516" s="9">
        <v>47.94</v>
      </c>
      <c r="Q516" s="7" t="s">
        <v>17</v>
      </c>
      <c r="R516" s="10">
        <f>operations[arrivedDate]-operations[shippedDate]</f>
        <v>14</v>
      </c>
    </row>
    <row r="517" ht="15.75" customHeight="1">
      <c r="A517" s="6">
        <v>10442.0</v>
      </c>
      <c r="B517" s="24">
        <v>44968.0</v>
      </c>
      <c r="C517" s="24">
        <v>44996.0</v>
      </c>
      <c r="D517" s="24">
        <v>44975.0</v>
      </c>
      <c r="E517" s="24">
        <v>44989.0</v>
      </c>
      <c r="F517" s="6">
        <v>66.0</v>
      </c>
      <c r="G517" s="9" t="str">
        <f>VLOOKUP(operations[productID],products[],2,FALSE)</f>
        <v>Louisiana Hot Spiced Okra</v>
      </c>
      <c r="H517" s="9" t="str">
        <f>IF(VLOOKUP(operations[productID],products[],7,FALSE)=1,"Discontinued","Current")</f>
        <v>Current</v>
      </c>
      <c r="I517" s="6">
        <f>VLOOKUP(operations[productID],products[],4,FALSE)</f>
        <v>4</v>
      </c>
      <c r="J517" s="6">
        <f>VLOOKUP(operations[productID],products[],5,FALSE)</f>
        <v>100</v>
      </c>
      <c r="K517" s="6">
        <f>VLOOKUP(operations[productID],products[],6,FALSE)</f>
        <v>20</v>
      </c>
      <c r="L517" s="10">
        <f t="array" ref="L517">INDEX('1 orders'!I517:I2156, MATCH(1, ('1 orders'!A517:A2156=A517)*('1 orders'!G517:G2156=F517), 0))
</f>
        <v>60</v>
      </c>
      <c r="M517" s="10">
        <f>IFERROR(__xludf.DUMMYFUNCTION("COUNTUNIQUEIFS($A$2:$A517,$F$2:$F517,F517)"),2.0)</f>
        <v>2</v>
      </c>
      <c r="N517" s="10">
        <f t="shared" si="1"/>
        <v>155</v>
      </c>
      <c r="O517" s="26">
        <f>IF(operations[sinceLastOrder]=0,0,operations[orderQuantity] / operations[sinceLastOrder])</f>
        <v>0.3870967742</v>
      </c>
      <c r="P517" s="9">
        <v>47.94</v>
      </c>
      <c r="Q517" s="7" t="s">
        <v>17</v>
      </c>
      <c r="R517" s="10">
        <f>operations[arrivedDate]-operations[shippedDate]</f>
        <v>14</v>
      </c>
    </row>
    <row r="518" ht="15.75" customHeight="1">
      <c r="A518" s="6">
        <v>10443.0</v>
      </c>
      <c r="B518" s="24">
        <v>44969.0</v>
      </c>
      <c r="C518" s="24">
        <v>44997.0</v>
      </c>
      <c r="D518" s="24">
        <v>44971.0</v>
      </c>
      <c r="E518" s="24">
        <v>44975.0</v>
      </c>
      <c r="F518" s="6">
        <v>11.0</v>
      </c>
      <c r="G518" s="9" t="str">
        <f>VLOOKUP(operations[productID],products[],2,FALSE)</f>
        <v>Queso Cabrales</v>
      </c>
      <c r="H518" s="9" t="str">
        <f>IF(VLOOKUP(operations[productID],products[],7,FALSE)=1,"Discontinued","Current")</f>
        <v>Current</v>
      </c>
      <c r="I518" s="6">
        <f>VLOOKUP(operations[productID],products[],4,FALSE)</f>
        <v>22</v>
      </c>
      <c r="J518" s="6">
        <f>VLOOKUP(operations[productID],products[],5,FALSE)</f>
        <v>30</v>
      </c>
      <c r="K518" s="6">
        <f>VLOOKUP(operations[productID],products[],6,FALSE)</f>
        <v>30</v>
      </c>
      <c r="L518" s="10">
        <f t="array" ref="L518">INDEX('1 orders'!I518:I2156, MATCH(1, ('1 orders'!A518:A2156=A518)*('1 orders'!G518:G2156=F518), 0))
</f>
        <v>6</v>
      </c>
      <c r="M518" s="10">
        <f>IFERROR(__xludf.DUMMYFUNCTION("COUNTUNIQUEIFS($A$2:$A518,$F$2:$F518,F518)"),9.0)</f>
        <v>9</v>
      </c>
      <c r="N518" s="10">
        <f t="shared" si="1"/>
        <v>1</v>
      </c>
      <c r="O518" s="26">
        <f>IF(operations[sinceLastOrder]=0,0,operations[orderQuantity] / operations[sinceLastOrder])</f>
        <v>6</v>
      </c>
      <c r="P518" s="9">
        <v>13.95</v>
      </c>
      <c r="Q518" s="7" t="s">
        <v>15</v>
      </c>
      <c r="R518" s="10">
        <f>operations[arrivedDate]-operations[shippedDate]</f>
        <v>4</v>
      </c>
    </row>
    <row r="519" ht="15.75" customHeight="1">
      <c r="A519" s="6">
        <v>10443.0</v>
      </c>
      <c r="B519" s="24">
        <v>44969.0</v>
      </c>
      <c r="C519" s="24">
        <v>44997.0</v>
      </c>
      <c r="D519" s="24">
        <v>44971.0</v>
      </c>
      <c r="E519" s="24">
        <v>44975.0</v>
      </c>
      <c r="F519" s="6">
        <v>28.0</v>
      </c>
      <c r="G519" s="9" t="str">
        <f>VLOOKUP(operations[productID],products[],2,FALSE)</f>
        <v>Rössle Sauerkraut</v>
      </c>
      <c r="H519" s="9" t="str">
        <f>IF(VLOOKUP(operations[productID],products[],7,FALSE)=1,"Discontinued","Current")</f>
        <v>Discontinued</v>
      </c>
      <c r="I519" s="6">
        <f>VLOOKUP(operations[productID],products[],4,FALSE)</f>
        <v>26</v>
      </c>
      <c r="J519" s="6">
        <f>VLOOKUP(operations[productID],products[],5,FALSE)</f>
        <v>0</v>
      </c>
      <c r="K519" s="6">
        <f>VLOOKUP(operations[productID],products[],6,FALSE)</f>
        <v>0</v>
      </c>
      <c r="L519" s="10">
        <f t="array" ref="L519">INDEX('1 orders'!I519:I2156, MATCH(1, ('1 orders'!A519:A2156=A519)*('1 orders'!G519:G2156=F519), 0))
</f>
        <v>12</v>
      </c>
      <c r="M519" s="10">
        <f>IFERROR(__xludf.DUMMYFUNCTION("COUNTUNIQUEIFS($A$2:$A519,$F$2:$F519,F519)"),10.0)</f>
        <v>10</v>
      </c>
      <c r="N519" s="10">
        <f t="shared" si="1"/>
        <v>36</v>
      </c>
      <c r="O519" s="26">
        <f>IF(operations[sinceLastOrder]=0,0,operations[orderQuantity] / operations[sinceLastOrder])</f>
        <v>0.3333333333</v>
      </c>
      <c r="P519" s="9">
        <v>13.95</v>
      </c>
      <c r="Q519" s="7" t="s">
        <v>15</v>
      </c>
      <c r="R519" s="10">
        <f>operations[arrivedDate]-operations[shippedDate]</f>
        <v>4</v>
      </c>
    </row>
    <row r="520" ht="15.75" customHeight="1">
      <c r="A520" s="6">
        <v>10444.0</v>
      </c>
      <c r="B520" s="24">
        <v>44969.0</v>
      </c>
      <c r="C520" s="24">
        <v>44997.0</v>
      </c>
      <c r="D520" s="24">
        <v>44978.0</v>
      </c>
      <c r="E520" s="24">
        <v>44987.0</v>
      </c>
      <c r="F520" s="6">
        <v>17.0</v>
      </c>
      <c r="G520" s="9" t="str">
        <f>VLOOKUP(operations[productID],products[],2,FALSE)</f>
        <v>Alice Mutton</v>
      </c>
      <c r="H520" s="9" t="str">
        <f>IF(VLOOKUP(operations[productID],products[],7,FALSE)=1,"Discontinued","Current")</f>
        <v>Discontinued</v>
      </c>
      <c r="I520" s="6">
        <f>VLOOKUP(operations[productID],products[],4,FALSE)</f>
        <v>0</v>
      </c>
      <c r="J520" s="6">
        <f>VLOOKUP(operations[productID],products[],5,FALSE)</f>
        <v>0</v>
      </c>
      <c r="K520" s="6">
        <f>VLOOKUP(operations[productID],products[],6,FALSE)</f>
        <v>0</v>
      </c>
      <c r="L520" s="10">
        <f t="array" ref="L520">INDEX('1 orders'!I520:I2156, MATCH(1, ('1 orders'!A520:A2156=A520)*('1 orders'!G520:G2156=F520), 0))
</f>
        <v>10</v>
      </c>
      <c r="M520" s="10">
        <f>IFERROR(__xludf.DUMMYFUNCTION("COUNTUNIQUEIFS($A$2:$A520,$F$2:$F520,F520)"),12.0)</f>
        <v>12</v>
      </c>
      <c r="N520" s="10">
        <f t="shared" si="1"/>
        <v>13</v>
      </c>
      <c r="O520" s="26">
        <f>IF(operations[sinceLastOrder]=0,0,operations[orderQuantity] / operations[sinceLastOrder])</f>
        <v>0.7692307692</v>
      </c>
      <c r="P520" s="9">
        <v>3.5</v>
      </c>
      <c r="Q520" s="7" t="s">
        <v>13</v>
      </c>
      <c r="R520" s="10">
        <f>operations[arrivedDate]-operations[shippedDate]</f>
        <v>9</v>
      </c>
    </row>
    <row r="521" ht="15.75" customHeight="1">
      <c r="A521" s="6">
        <v>10444.0</v>
      </c>
      <c r="B521" s="24">
        <v>44969.0</v>
      </c>
      <c r="C521" s="24">
        <v>44997.0</v>
      </c>
      <c r="D521" s="24">
        <v>44978.0</v>
      </c>
      <c r="E521" s="24">
        <v>44987.0</v>
      </c>
      <c r="F521" s="6">
        <v>26.0</v>
      </c>
      <c r="G521" s="9" t="str">
        <f>VLOOKUP(operations[productID],products[],2,FALSE)</f>
        <v>NuNuCa Nuß-Nougat-Creme</v>
      </c>
      <c r="H521" s="9" t="str">
        <f>IF(VLOOKUP(operations[productID],products[],7,FALSE)=1,"Discontinued","Current")</f>
        <v>Current</v>
      </c>
      <c r="I521" s="6">
        <f>VLOOKUP(operations[productID],products[],4,FALSE)</f>
        <v>15</v>
      </c>
      <c r="J521" s="6">
        <f>VLOOKUP(operations[productID],products[],5,FALSE)</f>
        <v>0</v>
      </c>
      <c r="K521" s="6">
        <f>VLOOKUP(operations[productID],products[],6,FALSE)</f>
        <v>0</v>
      </c>
      <c r="L521" s="10">
        <f t="array" ref="L521">INDEX('1 orders'!I521:I2156, MATCH(1, ('1 orders'!A521:A2156=A521)*('1 orders'!G521:G2156=F521), 0))
</f>
        <v>15</v>
      </c>
      <c r="M521" s="10">
        <f>IFERROR(__xludf.DUMMYFUNCTION("COUNTUNIQUEIFS($A$2:$A521,$F$2:$F521,F521)"),9.0)</f>
        <v>9</v>
      </c>
      <c r="N521" s="10">
        <f t="shared" si="1"/>
        <v>12</v>
      </c>
      <c r="O521" s="26">
        <f>IF(operations[sinceLastOrder]=0,0,operations[orderQuantity] / operations[sinceLastOrder])</f>
        <v>1.25</v>
      </c>
      <c r="P521" s="9">
        <v>3.5</v>
      </c>
      <c r="Q521" s="7" t="s">
        <v>13</v>
      </c>
      <c r="R521" s="10">
        <f>operations[arrivedDate]-operations[shippedDate]</f>
        <v>9</v>
      </c>
    </row>
    <row r="522" ht="15.75" customHeight="1">
      <c r="A522" s="6">
        <v>10444.0</v>
      </c>
      <c r="B522" s="24">
        <v>44969.0</v>
      </c>
      <c r="C522" s="24">
        <v>44997.0</v>
      </c>
      <c r="D522" s="24">
        <v>44978.0</v>
      </c>
      <c r="E522" s="24">
        <v>44987.0</v>
      </c>
      <c r="F522" s="6">
        <v>35.0</v>
      </c>
      <c r="G522" s="9" t="str">
        <f>VLOOKUP(operations[productID],products[],2,FALSE)</f>
        <v>Cold Brew Nitro</v>
      </c>
      <c r="H522" s="9" t="str">
        <f>IF(VLOOKUP(operations[productID],products[],7,FALSE)=1,"Discontinued","Current")</f>
        <v>Current</v>
      </c>
      <c r="I522" s="6">
        <f>VLOOKUP(operations[productID],products[],4,FALSE)</f>
        <v>20</v>
      </c>
      <c r="J522" s="6">
        <f>VLOOKUP(operations[productID],products[],5,FALSE)</f>
        <v>0</v>
      </c>
      <c r="K522" s="6">
        <f>VLOOKUP(operations[productID],products[],6,FALSE)</f>
        <v>15</v>
      </c>
      <c r="L522" s="10">
        <f t="array" ref="L522">INDEX('1 orders'!I522:I2156, MATCH(1, ('1 orders'!A522:A2156=A522)*('1 orders'!G522:G2156=F522), 0))
</f>
        <v>8</v>
      </c>
      <c r="M522" s="10">
        <f>IFERROR(__xludf.DUMMYFUNCTION("COUNTUNIQUEIFS($A$2:$A522,$F$2:$F522,F522)"),10.0)</f>
        <v>10</v>
      </c>
      <c r="N522" s="10">
        <f t="shared" si="1"/>
        <v>20</v>
      </c>
      <c r="O522" s="26">
        <f>IF(operations[sinceLastOrder]=0,0,operations[orderQuantity] / operations[sinceLastOrder])</f>
        <v>0.4</v>
      </c>
      <c r="P522" s="9">
        <v>3.5</v>
      </c>
      <c r="Q522" s="7" t="s">
        <v>13</v>
      </c>
      <c r="R522" s="10">
        <f>operations[arrivedDate]-operations[shippedDate]</f>
        <v>9</v>
      </c>
    </row>
    <row r="523" ht="15.75" customHeight="1">
      <c r="A523" s="6">
        <v>10444.0</v>
      </c>
      <c r="B523" s="24">
        <v>44969.0</v>
      </c>
      <c r="C523" s="24">
        <v>44997.0</v>
      </c>
      <c r="D523" s="24">
        <v>44978.0</v>
      </c>
      <c r="E523" s="24">
        <v>44987.0</v>
      </c>
      <c r="F523" s="6">
        <v>41.0</v>
      </c>
      <c r="G523" s="9" t="str">
        <f>VLOOKUP(operations[productID],products[],2,FALSE)</f>
        <v>Jack's New England Clam Chowder</v>
      </c>
      <c r="H523" s="9" t="str">
        <f>IF(VLOOKUP(operations[productID],products[],7,FALSE)=1,"Discontinued","Current")</f>
        <v>Current</v>
      </c>
      <c r="I523" s="6">
        <f>VLOOKUP(operations[productID],products[],4,FALSE)</f>
        <v>85</v>
      </c>
      <c r="J523" s="6">
        <f>VLOOKUP(operations[productID],products[],5,FALSE)</f>
        <v>0</v>
      </c>
      <c r="K523" s="6">
        <f>VLOOKUP(operations[productID],products[],6,FALSE)</f>
        <v>10</v>
      </c>
      <c r="L523" s="10">
        <f t="array" ref="L523">INDEX('1 orders'!I523:I2156, MATCH(1, ('1 orders'!A523:A2156=A523)*('1 orders'!G523:G2156=F523), 0))
</f>
        <v>30</v>
      </c>
      <c r="M523" s="10">
        <f>IFERROR(__xludf.DUMMYFUNCTION("COUNTUNIQUEIFS($A$2:$A523,$F$2:$F523,F523)"),10.0)</f>
        <v>10</v>
      </c>
      <c r="N523" s="10">
        <f t="shared" si="1"/>
        <v>33</v>
      </c>
      <c r="O523" s="26">
        <f>IF(operations[sinceLastOrder]=0,0,operations[orderQuantity] / operations[sinceLastOrder])</f>
        <v>0.9090909091</v>
      </c>
      <c r="P523" s="9">
        <v>3.5</v>
      </c>
      <c r="Q523" s="7" t="s">
        <v>13</v>
      </c>
      <c r="R523" s="10">
        <f>operations[arrivedDate]-operations[shippedDate]</f>
        <v>9</v>
      </c>
    </row>
    <row r="524" ht="15.75" customHeight="1">
      <c r="A524" s="6">
        <v>10445.0</v>
      </c>
      <c r="B524" s="24">
        <v>44970.0</v>
      </c>
      <c r="C524" s="24">
        <v>44998.0</v>
      </c>
      <c r="D524" s="24">
        <v>44977.0</v>
      </c>
      <c r="E524" s="24">
        <v>44984.0</v>
      </c>
      <c r="F524" s="6">
        <v>39.0</v>
      </c>
      <c r="G524" s="9" t="str">
        <f>VLOOKUP(operations[productID],products[],2,FALSE)</f>
        <v>Chartreuse verte</v>
      </c>
      <c r="H524" s="9" t="str">
        <f>IF(VLOOKUP(operations[productID],products[],7,FALSE)=1,"Discontinued","Current")</f>
        <v>Current</v>
      </c>
      <c r="I524" s="6">
        <f>VLOOKUP(operations[productID],products[],4,FALSE)</f>
        <v>69</v>
      </c>
      <c r="J524" s="6">
        <f>VLOOKUP(operations[productID],products[],5,FALSE)</f>
        <v>0</v>
      </c>
      <c r="K524" s="6">
        <f>VLOOKUP(operations[productID],products[],6,FALSE)</f>
        <v>5</v>
      </c>
      <c r="L524" s="10">
        <f t="array" ref="L524">INDEX('1 orders'!I524:I2156, MATCH(1, ('1 orders'!A524:A2156=A524)*('1 orders'!G524:G2156=F524), 0))
</f>
        <v>6</v>
      </c>
      <c r="M524" s="10">
        <f>IFERROR(__xludf.DUMMYFUNCTION("COUNTUNIQUEIFS($A$2:$A524,$F$2:$F524,F524)"),9.0)</f>
        <v>9</v>
      </c>
      <c r="N524" s="10">
        <f t="shared" si="1"/>
        <v>66</v>
      </c>
      <c r="O524" s="26">
        <f>IF(operations[sinceLastOrder]=0,0,operations[orderQuantity] / operations[sinceLastOrder])</f>
        <v>0.09090909091</v>
      </c>
      <c r="P524" s="9">
        <v>9.3</v>
      </c>
      <c r="Q524" s="7" t="s">
        <v>15</v>
      </c>
      <c r="R524" s="10">
        <f>operations[arrivedDate]-operations[shippedDate]</f>
        <v>7</v>
      </c>
    </row>
    <row r="525" ht="15.75" customHeight="1">
      <c r="A525" s="6">
        <v>10445.0</v>
      </c>
      <c r="B525" s="24">
        <v>44970.0</v>
      </c>
      <c r="C525" s="24">
        <v>44998.0</v>
      </c>
      <c r="D525" s="24">
        <v>44977.0</v>
      </c>
      <c r="E525" s="24">
        <v>44984.0</v>
      </c>
      <c r="F525" s="6">
        <v>54.0</v>
      </c>
      <c r="G525" s="9" t="str">
        <f>VLOOKUP(operations[productID],products[],2,FALSE)</f>
        <v>Tourtière</v>
      </c>
      <c r="H525" s="9" t="str">
        <f>IF(VLOOKUP(operations[productID],products[],7,FALSE)=1,"Discontinued","Current")</f>
        <v>Current</v>
      </c>
      <c r="I525" s="6">
        <f>VLOOKUP(operations[productID],products[],4,FALSE)</f>
        <v>21</v>
      </c>
      <c r="J525" s="6">
        <f>VLOOKUP(operations[productID],products[],5,FALSE)</f>
        <v>0</v>
      </c>
      <c r="K525" s="6">
        <f>VLOOKUP(operations[productID],products[],6,FALSE)</f>
        <v>10</v>
      </c>
      <c r="L525" s="10">
        <f t="array" ref="L525">INDEX('1 orders'!I525:I2156, MATCH(1, ('1 orders'!A525:A2156=A525)*('1 orders'!G525:G2156=F525), 0))
</f>
        <v>15</v>
      </c>
      <c r="M525" s="10">
        <f>IFERROR(__xludf.DUMMYFUNCTION("COUNTUNIQUEIFS($A$2:$A525,$F$2:$F525,F525)"),13.0)</f>
        <v>13</v>
      </c>
      <c r="N525" s="10">
        <f t="shared" si="1"/>
        <v>2</v>
      </c>
      <c r="O525" s="26">
        <f>IF(operations[sinceLastOrder]=0,0,operations[orderQuantity] / operations[sinceLastOrder])</f>
        <v>7.5</v>
      </c>
      <c r="P525" s="9">
        <v>9.3</v>
      </c>
      <c r="Q525" s="7" t="s">
        <v>15</v>
      </c>
      <c r="R525" s="10">
        <f>operations[arrivedDate]-operations[shippedDate]</f>
        <v>7</v>
      </c>
    </row>
    <row r="526" ht="15.75" customHeight="1">
      <c r="A526" s="6">
        <v>10446.0</v>
      </c>
      <c r="B526" s="24">
        <v>44971.0</v>
      </c>
      <c r="C526" s="24">
        <v>44999.0</v>
      </c>
      <c r="D526" s="24">
        <v>44976.0</v>
      </c>
      <c r="E526" s="24">
        <v>44977.0</v>
      </c>
      <c r="F526" s="6">
        <v>19.0</v>
      </c>
      <c r="G526" s="9" t="str">
        <f>VLOOKUP(operations[productID],products[],2,FALSE)</f>
        <v>Teatime Chocolate Biscuits</v>
      </c>
      <c r="H526" s="9" t="str">
        <f>IF(VLOOKUP(operations[productID],products[],7,FALSE)=1,"Discontinued","Current")</f>
        <v>Current</v>
      </c>
      <c r="I526" s="6">
        <f>VLOOKUP(operations[productID],products[],4,FALSE)</f>
        <v>25</v>
      </c>
      <c r="J526" s="6">
        <f>VLOOKUP(operations[productID],products[],5,FALSE)</f>
        <v>0</v>
      </c>
      <c r="K526" s="6">
        <f>VLOOKUP(operations[productID],products[],6,FALSE)</f>
        <v>5</v>
      </c>
      <c r="L526" s="10">
        <f t="array" ref="L526">INDEX('1 orders'!I526:I2156, MATCH(1, ('1 orders'!A526:A2156=A526)*('1 orders'!G526:G2156=F526), 0))
</f>
        <v>12</v>
      </c>
      <c r="M526" s="10">
        <f>IFERROR(__xludf.DUMMYFUNCTION("COUNTUNIQUEIFS($A$2:$A526,$F$2:$F526,F526)"),10.0)</f>
        <v>10</v>
      </c>
      <c r="N526" s="10">
        <f t="shared" si="1"/>
        <v>8</v>
      </c>
      <c r="O526" s="26">
        <f>IF(operations[sinceLastOrder]=0,0,operations[orderQuantity] / operations[sinceLastOrder])</f>
        <v>1.5</v>
      </c>
      <c r="P526" s="9">
        <v>14.68</v>
      </c>
      <c r="Q526" s="7" t="s">
        <v>15</v>
      </c>
      <c r="R526" s="10">
        <f>operations[arrivedDate]-operations[shippedDate]</f>
        <v>1</v>
      </c>
    </row>
    <row r="527" ht="15.75" customHeight="1">
      <c r="A527" s="6">
        <v>10446.0</v>
      </c>
      <c r="B527" s="24">
        <v>44971.0</v>
      </c>
      <c r="C527" s="24">
        <v>44999.0</v>
      </c>
      <c r="D527" s="24">
        <v>44976.0</v>
      </c>
      <c r="E527" s="24">
        <v>44977.0</v>
      </c>
      <c r="F527" s="6">
        <v>24.0</v>
      </c>
      <c r="G527" s="9" t="str">
        <f>VLOOKUP(operations[productID],products[],2,FALSE)</f>
        <v>Brigadeiros Maravilhosos da Lilian</v>
      </c>
      <c r="H527" s="9" t="str">
        <f>IF(VLOOKUP(operations[productID],products[],7,FALSE)=1,"Discontinued","Current")</f>
        <v>Discontinued</v>
      </c>
      <c r="I527" s="6">
        <f>VLOOKUP(operations[productID],products[],4,FALSE)</f>
        <v>20</v>
      </c>
      <c r="J527" s="6">
        <f>VLOOKUP(operations[productID],products[],5,FALSE)</f>
        <v>0</v>
      </c>
      <c r="K527" s="6">
        <f>VLOOKUP(operations[productID],products[],6,FALSE)</f>
        <v>0</v>
      </c>
      <c r="L527" s="10">
        <f t="array" ref="L527">INDEX('1 orders'!I527:I2156, MATCH(1, ('1 orders'!A527:A2156=A527)*('1 orders'!G527:G2156=F527), 0))
</f>
        <v>20</v>
      </c>
      <c r="M527" s="10">
        <f>IFERROR(__xludf.DUMMYFUNCTION("COUNTUNIQUEIFS($A$2:$A527,$F$2:$F527,F527)"),12.0)</f>
        <v>12</v>
      </c>
      <c r="N527" s="10">
        <f t="shared" si="1"/>
        <v>58</v>
      </c>
      <c r="O527" s="26">
        <f>IF(operations[sinceLastOrder]=0,0,operations[orderQuantity] / operations[sinceLastOrder])</f>
        <v>0.3448275862</v>
      </c>
      <c r="P527" s="9">
        <v>14.68</v>
      </c>
      <c r="Q527" s="7" t="s">
        <v>15</v>
      </c>
      <c r="R527" s="10">
        <f>operations[arrivedDate]-operations[shippedDate]</f>
        <v>1</v>
      </c>
    </row>
    <row r="528" ht="15.75" customHeight="1">
      <c r="A528" s="6">
        <v>10446.0</v>
      </c>
      <c r="B528" s="24">
        <v>44971.0</v>
      </c>
      <c r="C528" s="24">
        <v>44999.0</v>
      </c>
      <c r="D528" s="24">
        <v>44976.0</v>
      </c>
      <c r="E528" s="24">
        <v>44977.0</v>
      </c>
      <c r="F528" s="6">
        <v>31.0</v>
      </c>
      <c r="G528" s="9" t="str">
        <f>VLOOKUP(operations[productID],products[],2,FALSE)</f>
        <v>Gorgonzola Telino</v>
      </c>
      <c r="H528" s="9" t="str">
        <f>IF(VLOOKUP(operations[productID],products[],7,FALSE)=1,"Discontinued","Current")</f>
        <v>Current</v>
      </c>
      <c r="I528" s="6">
        <f>VLOOKUP(operations[productID],products[],4,FALSE)</f>
        <v>0</v>
      </c>
      <c r="J528" s="6">
        <f>VLOOKUP(operations[productID],products[],5,FALSE)</f>
        <v>70</v>
      </c>
      <c r="K528" s="6">
        <f>VLOOKUP(operations[productID],products[],6,FALSE)</f>
        <v>20</v>
      </c>
      <c r="L528" s="10">
        <f t="array" ref="L528">INDEX('1 orders'!I528:I2156, MATCH(1, ('1 orders'!A528:A2156=A528)*('1 orders'!G528:G2156=F528), 0))
</f>
        <v>3</v>
      </c>
      <c r="M528" s="10">
        <f>IFERROR(__xludf.DUMMYFUNCTION("COUNTUNIQUEIFS($A$2:$A528,$F$2:$F528,F528)"),15.0)</f>
        <v>15</v>
      </c>
      <c r="N528" s="10">
        <f t="shared" si="1"/>
        <v>22</v>
      </c>
      <c r="O528" s="26">
        <f>IF(operations[sinceLastOrder]=0,0,operations[orderQuantity] / operations[sinceLastOrder])</f>
        <v>0.1363636364</v>
      </c>
      <c r="P528" s="9">
        <v>14.68</v>
      </c>
      <c r="Q528" s="7" t="s">
        <v>15</v>
      </c>
      <c r="R528" s="10">
        <f>operations[arrivedDate]-operations[shippedDate]</f>
        <v>1</v>
      </c>
    </row>
    <row r="529" ht="15.75" customHeight="1">
      <c r="A529" s="6">
        <v>10446.0</v>
      </c>
      <c r="B529" s="24">
        <v>44971.0</v>
      </c>
      <c r="C529" s="24">
        <v>44999.0</v>
      </c>
      <c r="D529" s="24">
        <v>44976.0</v>
      </c>
      <c r="E529" s="24">
        <v>44977.0</v>
      </c>
      <c r="F529" s="6">
        <v>52.0</v>
      </c>
      <c r="G529" s="9" t="str">
        <f>VLOOKUP(operations[productID],products[],2,FALSE)</f>
        <v>Filo Mix</v>
      </c>
      <c r="H529" s="9" t="str">
        <f>IF(VLOOKUP(operations[productID],products[],7,FALSE)=1,"Discontinued","Current")</f>
        <v>Current</v>
      </c>
      <c r="I529" s="6">
        <f>VLOOKUP(operations[productID],products[],4,FALSE)</f>
        <v>38</v>
      </c>
      <c r="J529" s="6">
        <f>VLOOKUP(operations[productID],products[],5,FALSE)</f>
        <v>0</v>
      </c>
      <c r="K529" s="6">
        <f>VLOOKUP(operations[productID],products[],6,FALSE)</f>
        <v>25</v>
      </c>
      <c r="L529" s="10">
        <f t="array" ref="L529">INDEX('1 orders'!I529:I2156, MATCH(1, ('1 orders'!A529:A2156=A529)*('1 orders'!G529:G2156=F529), 0))
</f>
        <v>15</v>
      </c>
      <c r="M529" s="10">
        <f>IFERROR(__xludf.DUMMYFUNCTION("COUNTUNIQUEIFS($A$2:$A529,$F$2:$F529,F529)"),4.0)</f>
        <v>4</v>
      </c>
      <c r="N529" s="10">
        <f t="shared" si="1"/>
        <v>57</v>
      </c>
      <c r="O529" s="26">
        <f>IF(operations[sinceLastOrder]=0,0,operations[orderQuantity] / operations[sinceLastOrder])</f>
        <v>0.2631578947</v>
      </c>
      <c r="P529" s="9">
        <v>14.68</v>
      </c>
      <c r="Q529" s="7" t="s">
        <v>15</v>
      </c>
      <c r="R529" s="10">
        <f>operations[arrivedDate]-operations[shippedDate]</f>
        <v>1</v>
      </c>
    </row>
    <row r="530" ht="15.75" customHeight="1">
      <c r="A530" s="6">
        <v>10447.0</v>
      </c>
      <c r="B530" s="24">
        <v>44971.0</v>
      </c>
      <c r="C530" s="24">
        <v>44999.0</v>
      </c>
      <c r="D530" s="24">
        <v>44992.0</v>
      </c>
      <c r="E530" s="24">
        <v>45009.0</v>
      </c>
      <c r="F530" s="6">
        <v>19.0</v>
      </c>
      <c r="G530" s="9" t="str">
        <f>VLOOKUP(operations[productID],products[],2,FALSE)</f>
        <v>Teatime Chocolate Biscuits</v>
      </c>
      <c r="H530" s="9" t="str">
        <f>IF(VLOOKUP(operations[productID],products[],7,FALSE)=1,"Discontinued","Current")</f>
        <v>Current</v>
      </c>
      <c r="I530" s="6">
        <f>VLOOKUP(operations[productID],products[],4,FALSE)</f>
        <v>25</v>
      </c>
      <c r="J530" s="6">
        <f>VLOOKUP(operations[productID],products[],5,FALSE)</f>
        <v>0</v>
      </c>
      <c r="K530" s="6">
        <f>VLOOKUP(operations[productID],products[],6,FALSE)</f>
        <v>5</v>
      </c>
      <c r="L530" s="10">
        <f t="array" ref="L530">INDEX('1 orders'!I530:I2156, MATCH(1, ('1 orders'!A530:A2156=A530)*('1 orders'!G530:G2156=F530), 0))
</f>
        <v>40</v>
      </c>
      <c r="M530" s="10">
        <f>IFERROR(__xludf.DUMMYFUNCTION("COUNTUNIQUEIFS($A$2:$A530,$F$2:$F530,F530)"),11.0)</f>
        <v>11</v>
      </c>
      <c r="N530" s="10">
        <f t="shared" si="1"/>
        <v>0</v>
      </c>
      <c r="O530" s="26">
        <f>IF(operations[sinceLastOrder]=0,0,operations[orderQuantity] / operations[sinceLastOrder])</f>
        <v>0</v>
      </c>
      <c r="P530" s="9">
        <v>68.66</v>
      </c>
      <c r="Q530" s="7" t="s">
        <v>17</v>
      </c>
      <c r="R530" s="10">
        <f>operations[arrivedDate]-operations[shippedDate]</f>
        <v>17</v>
      </c>
    </row>
    <row r="531" ht="15.75" customHeight="1">
      <c r="A531" s="6">
        <v>10447.0</v>
      </c>
      <c r="B531" s="24">
        <v>44971.0</v>
      </c>
      <c r="C531" s="24">
        <v>44999.0</v>
      </c>
      <c r="D531" s="24">
        <v>44992.0</v>
      </c>
      <c r="E531" s="24">
        <v>45009.0</v>
      </c>
      <c r="F531" s="6">
        <v>65.0</v>
      </c>
      <c r="G531" s="9" t="str">
        <f>VLOOKUP(operations[productID],products[],2,FALSE)</f>
        <v>Louisiana Fiery Hot Pepper Sauce</v>
      </c>
      <c r="H531" s="9" t="str">
        <f>IF(VLOOKUP(operations[productID],products[],7,FALSE)=1,"Discontinued","Current")</f>
        <v>Current</v>
      </c>
      <c r="I531" s="6">
        <f>VLOOKUP(operations[productID],products[],4,FALSE)</f>
        <v>76</v>
      </c>
      <c r="J531" s="6">
        <f>VLOOKUP(operations[productID],products[],5,FALSE)</f>
        <v>0</v>
      </c>
      <c r="K531" s="6">
        <f>VLOOKUP(operations[productID],products[],6,FALSE)</f>
        <v>0</v>
      </c>
      <c r="L531" s="10">
        <f t="array" ref="L531">INDEX('1 orders'!I531:I2156, MATCH(1, ('1 orders'!A531:A2156=A531)*('1 orders'!G531:G2156=F531), 0))
</f>
        <v>35</v>
      </c>
      <c r="M531" s="10">
        <f>IFERROR(__xludf.DUMMYFUNCTION("COUNTUNIQUEIFS($A$2:$A531,$F$2:$F531,F531)"),10.0)</f>
        <v>10</v>
      </c>
      <c r="N531" s="10">
        <f t="shared" si="1"/>
        <v>44</v>
      </c>
      <c r="O531" s="26">
        <f>IF(operations[sinceLastOrder]=0,0,operations[orderQuantity] / operations[sinceLastOrder])</f>
        <v>0.7954545455</v>
      </c>
      <c r="P531" s="9">
        <v>68.66</v>
      </c>
      <c r="Q531" s="7" t="s">
        <v>17</v>
      </c>
      <c r="R531" s="10">
        <f>operations[arrivedDate]-operations[shippedDate]</f>
        <v>17</v>
      </c>
    </row>
    <row r="532" ht="15.75" customHeight="1">
      <c r="A532" s="6">
        <v>10447.0</v>
      </c>
      <c r="B532" s="24">
        <v>44971.0</v>
      </c>
      <c r="C532" s="24">
        <v>44999.0</v>
      </c>
      <c r="D532" s="24">
        <v>44992.0</v>
      </c>
      <c r="E532" s="24">
        <v>45009.0</v>
      </c>
      <c r="F532" s="6">
        <v>71.0</v>
      </c>
      <c r="G532" s="9" t="str">
        <f>VLOOKUP(operations[productID],products[],2,FALSE)</f>
        <v>Flotemysost</v>
      </c>
      <c r="H532" s="9" t="str">
        <f>IF(VLOOKUP(operations[productID],products[],7,FALSE)=1,"Discontinued","Current")</f>
        <v>Current</v>
      </c>
      <c r="I532" s="6">
        <f>VLOOKUP(operations[productID],products[],4,FALSE)</f>
        <v>26</v>
      </c>
      <c r="J532" s="6">
        <f>VLOOKUP(operations[productID],products[],5,FALSE)</f>
        <v>0</v>
      </c>
      <c r="K532" s="6">
        <f>VLOOKUP(operations[productID],products[],6,FALSE)</f>
        <v>0</v>
      </c>
      <c r="L532" s="10">
        <f t="array" ref="L532">INDEX('1 orders'!I532:I2156, MATCH(1, ('1 orders'!A532:A2156=A532)*('1 orders'!G532:G2156=F532), 0))
</f>
        <v>2</v>
      </c>
      <c r="M532" s="10">
        <f>IFERROR(__xludf.DUMMYFUNCTION("COUNTUNIQUEIFS($A$2:$A532,$F$2:$F532,F532)"),14.0)</f>
        <v>14</v>
      </c>
      <c r="N532" s="10">
        <f t="shared" si="1"/>
        <v>38</v>
      </c>
      <c r="O532" s="26">
        <f>IF(operations[sinceLastOrder]=0,0,operations[orderQuantity] / operations[sinceLastOrder])</f>
        <v>0.05263157895</v>
      </c>
      <c r="P532" s="9">
        <v>68.66</v>
      </c>
      <c r="Q532" s="7" t="s">
        <v>17</v>
      </c>
      <c r="R532" s="10">
        <f>operations[arrivedDate]-operations[shippedDate]</f>
        <v>17</v>
      </c>
    </row>
    <row r="533" ht="15.75" customHeight="1">
      <c r="A533" s="6">
        <v>10448.0</v>
      </c>
      <c r="B533" s="24">
        <v>44974.0</v>
      </c>
      <c r="C533" s="24">
        <v>45002.0</v>
      </c>
      <c r="D533" s="24">
        <v>44981.0</v>
      </c>
      <c r="E533" s="24">
        <v>44995.0</v>
      </c>
      <c r="F533" s="6">
        <v>26.0</v>
      </c>
      <c r="G533" s="9" t="str">
        <f>VLOOKUP(operations[productID],products[],2,FALSE)</f>
        <v>NuNuCa Nuß-Nougat-Creme</v>
      </c>
      <c r="H533" s="9" t="str">
        <f>IF(VLOOKUP(operations[productID],products[],7,FALSE)=1,"Discontinued","Current")</f>
        <v>Current</v>
      </c>
      <c r="I533" s="6">
        <f>VLOOKUP(operations[productID],products[],4,FALSE)</f>
        <v>15</v>
      </c>
      <c r="J533" s="6">
        <f>VLOOKUP(operations[productID],products[],5,FALSE)</f>
        <v>0</v>
      </c>
      <c r="K533" s="6">
        <f>VLOOKUP(operations[productID],products[],6,FALSE)</f>
        <v>0</v>
      </c>
      <c r="L533" s="10">
        <f t="array" ref="L533">INDEX('1 orders'!I533:I2156, MATCH(1, ('1 orders'!A533:A2156=A533)*('1 orders'!G533:G2156=F533), 0))
</f>
        <v>6</v>
      </c>
      <c r="M533" s="10">
        <f>IFERROR(__xludf.DUMMYFUNCTION("COUNTUNIQUEIFS($A$2:$A533,$F$2:$F533,F533)"),10.0)</f>
        <v>10</v>
      </c>
      <c r="N533" s="10">
        <f t="shared" si="1"/>
        <v>5</v>
      </c>
      <c r="O533" s="26">
        <f>IF(operations[sinceLastOrder]=0,0,operations[orderQuantity] / operations[sinceLastOrder])</f>
        <v>1.2</v>
      </c>
      <c r="P533" s="9">
        <v>38.82</v>
      </c>
      <c r="Q533" s="7" t="s">
        <v>17</v>
      </c>
      <c r="R533" s="10">
        <f>operations[arrivedDate]-operations[shippedDate]</f>
        <v>14</v>
      </c>
    </row>
    <row r="534" ht="15.75" customHeight="1">
      <c r="A534" s="6">
        <v>10448.0</v>
      </c>
      <c r="B534" s="24">
        <v>44974.0</v>
      </c>
      <c r="C534" s="24">
        <v>45002.0</v>
      </c>
      <c r="D534" s="24">
        <v>44981.0</v>
      </c>
      <c r="E534" s="24">
        <v>44995.0</v>
      </c>
      <c r="F534" s="6">
        <v>40.0</v>
      </c>
      <c r="G534" s="9" t="str">
        <f>VLOOKUP(operations[productID],products[],2,FALSE)</f>
        <v>Boston Crab Meat</v>
      </c>
      <c r="H534" s="9" t="str">
        <f>IF(VLOOKUP(operations[productID],products[],7,FALSE)=1,"Discontinued","Current")</f>
        <v>Current</v>
      </c>
      <c r="I534" s="6">
        <f>VLOOKUP(operations[productID],products[],4,FALSE)</f>
        <v>123</v>
      </c>
      <c r="J534" s="6">
        <f>VLOOKUP(operations[productID],products[],5,FALSE)</f>
        <v>0</v>
      </c>
      <c r="K534" s="6">
        <f>VLOOKUP(operations[productID],products[],6,FALSE)</f>
        <v>30</v>
      </c>
      <c r="L534" s="10">
        <f t="array" ref="L534">INDEX('1 orders'!I534:I2156, MATCH(1, ('1 orders'!A534:A2156=A534)*('1 orders'!G534:G2156=F534), 0))
</f>
        <v>20</v>
      </c>
      <c r="M534" s="10">
        <f>IFERROR(__xludf.DUMMYFUNCTION("COUNTUNIQUEIFS($A$2:$A534,$F$2:$F534,F534)"),9.0)</f>
        <v>9</v>
      </c>
      <c r="N534" s="10">
        <f t="shared" si="1"/>
        <v>18</v>
      </c>
      <c r="O534" s="26">
        <f>IF(operations[sinceLastOrder]=0,0,operations[orderQuantity] / operations[sinceLastOrder])</f>
        <v>1.111111111</v>
      </c>
      <c r="P534" s="9">
        <v>38.82</v>
      </c>
      <c r="Q534" s="7" t="s">
        <v>17</v>
      </c>
      <c r="R534" s="10">
        <f>operations[arrivedDate]-operations[shippedDate]</f>
        <v>14</v>
      </c>
    </row>
    <row r="535" ht="15.75" customHeight="1">
      <c r="A535" s="6">
        <v>10449.0</v>
      </c>
      <c r="B535" s="24">
        <v>44975.0</v>
      </c>
      <c r="C535" s="24">
        <v>45003.0</v>
      </c>
      <c r="D535" s="24">
        <v>44984.0</v>
      </c>
      <c r="E535" s="24">
        <v>44994.0</v>
      </c>
      <c r="F535" s="6">
        <v>10.0</v>
      </c>
      <c r="G535" s="9" t="str">
        <f>VLOOKUP(operations[productID],products[],2,FALSE)</f>
        <v>Ikura</v>
      </c>
      <c r="H535" s="9" t="str">
        <f>IF(VLOOKUP(operations[productID],products[],7,FALSE)=1,"Discontinued","Current")</f>
        <v>Current</v>
      </c>
      <c r="I535" s="6">
        <f>VLOOKUP(operations[productID],products[],4,FALSE)</f>
        <v>31</v>
      </c>
      <c r="J535" s="6">
        <f>VLOOKUP(operations[productID],products[],5,FALSE)</f>
        <v>0</v>
      </c>
      <c r="K535" s="6">
        <f>VLOOKUP(operations[productID],products[],6,FALSE)</f>
        <v>0</v>
      </c>
      <c r="L535" s="10">
        <f t="array" ref="L535">INDEX('1 orders'!I535:I2156, MATCH(1, ('1 orders'!A535:A2156=A535)*('1 orders'!G535:G2156=F535), 0))
</f>
        <v>14</v>
      </c>
      <c r="M535" s="10">
        <f>IFERROR(__xludf.DUMMYFUNCTION("COUNTUNIQUEIFS($A$2:$A535,$F$2:$F535,F535)"),5.0)</f>
        <v>5</v>
      </c>
      <c r="N535" s="10">
        <f t="shared" si="1"/>
        <v>60</v>
      </c>
      <c r="O535" s="26">
        <f>IF(operations[sinceLastOrder]=0,0,operations[orderQuantity] / operations[sinceLastOrder])</f>
        <v>0.2333333333</v>
      </c>
      <c r="P535" s="9">
        <v>53.3</v>
      </c>
      <c r="Q535" s="7" t="s">
        <v>17</v>
      </c>
      <c r="R535" s="10">
        <f>operations[arrivedDate]-operations[shippedDate]</f>
        <v>10</v>
      </c>
    </row>
    <row r="536" ht="15.75" customHeight="1">
      <c r="A536" s="6">
        <v>10449.0</v>
      </c>
      <c r="B536" s="24">
        <v>44975.0</v>
      </c>
      <c r="C536" s="24">
        <v>45003.0</v>
      </c>
      <c r="D536" s="24">
        <v>44984.0</v>
      </c>
      <c r="E536" s="24">
        <v>44994.0</v>
      </c>
      <c r="F536" s="6">
        <v>52.0</v>
      </c>
      <c r="G536" s="9" t="str">
        <f>VLOOKUP(operations[productID],products[],2,FALSE)</f>
        <v>Filo Mix</v>
      </c>
      <c r="H536" s="9" t="str">
        <f>IF(VLOOKUP(operations[productID],products[],7,FALSE)=1,"Discontinued","Current")</f>
        <v>Current</v>
      </c>
      <c r="I536" s="6">
        <f>VLOOKUP(operations[productID],products[],4,FALSE)</f>
        <v>38</v>
      </c>
      <c r="J536" s="6">
        <f>VLOOKUP(operations[productID],products[],5,FALSE)</f>
        <v>0</v>
      </c>
      <c r="K536" s="6">
        <f>VLOOKUP(operations[productID],products[],6,FALSE)</f>
        <v>25</v>
      </c>
      <c r="L536" s="10">
        <f t="array" ref="L536">INDEX('1 orders'!I536:I2156, MATCH(1, ('1 orders'!A536:A2156=A536)*('1 orders'!G536:G2156=F536), 0))
</f>
        <v>20</v>
      </c>
      <c r="M536" s="10">
        <f>IFERROR(__xludf.DUMMYFUNCTION("COUNTUNIQUEIFS($A$2:$A536,$F$2:$F536,F536)"),5.0)</f>
        <v>5</v>
      </c>
      <c r="N536" s="10">
        <f t="shared" si="1"/>
        <v>4</v>
      </c>
      <c r="O536" s="26">
        <f>IF(operations[sinceLastOrder]=0,0,operations[orderQuantity] / operations[sinceLastOrder])</f>
        <v>5</v>
      </c>
      <c r="P536" s="9">
        <v>53.3</v>
      </c>
      <c r="Q536" s="7" t="s">
        <v>17</v>
      </c>
      <c r="R536" s="10">
        <f>operations[arrivedDate]-operations[shippedDate]</f>
        <v>10</v>
      </c>
    </row>
    <row r="537" ht="15.75" customHeight="1">
      <c r="A537" s="6">
        <v>10449.0</v>
      </c>
      <c r="B537" s="24">
        <v>44975.0</v>
      </c>
      <c r="C537" s="24">
        <v>45003.0</v>
      </c>
      <c r="D537" s="24">
        <v>44984.0</v>
      </c>
      <c r="E537" s="24">
        <v>44994.0</v>
      </c>
      <c r="F537" s="6">
        <v>62.0</v>
      </c>
      <c r="G537" s="9" t="str">
        <f>VLOOKUP(operations[productID],products[],2,FALSE)</f>
        <v>Tarte au sucre</v>
      </c>
      <c r="H537" s="9" t="str">
        <f>IF(VLOOKUP(operations[productID],products[],7,FALSE)=1,"Discontinued","Current")</f>
        <v>Current</v>
      </c>
      <c r="I537" s="6">
        <f>VLOOKUP(operations[productID],products[],4,FALSE)</f>
        <v>17</v>
      </c>
      <c r="J537" s="6">
        <f>VLOOKUP(operations[productID],products[],5,FALSE)</f>
        <v>0</v>
      </c>
      <c r="K537" s="6">
        <f>VLOOKUP(operations[productID],products[],6,FALSE)</f>
        <v>0</v>
      </c>
      <c r="L537" s="10">
        <f t="array" ref="L537">INDEX('1 orders'!I537:I2156, MATCH(1, ('1 orders'!A537:A2156=A537)*('1 orders'!G537:G2156=F537), 0))
</f>
        <v>35</v>
      </c>
      <c r="M537" s="10">
        <f>IFERROR(__xludf.DUMMYFUNCTION("COUNTUNIQUEIFS($A$2:$A537,$F$2:$F537,F537)"),14.0)</f>
        <v>14</v>
      </c>
      <c r="N537" s="10">
        <f t="shared" si="1"/>
        <v>35</v>
      </c>
      <c r="O537" s="26">
        <f>IF(operations[sinceLastOrder]=0,0,operations[orderQuantity] / operations[sinceLastOrder])</f>
        <v>1</v>
      </c>
      <c r="P537" s="9">
        <v>53.3</v>
      </c>
      <c r="Q537" s="7" t="s">
        <v>17</v>
      </c>
      <c r="R537" s="10">
        <f>operations[arrivedDate]-operations[shippedDate]</f>
        <v>10</v>
      </c>
    </row>
    <row r="538" ht="15.75" customHeight="1">
      <c r="A538" s="6">
        <v>10450.0</v>
      </c>
      <c r="B538" s="24">
        <v>44976.0</v>
      </c>
      <c r="C538" s="24">
        <v>45004.0</v>
      </c>
      <c r="D538" s="24">
        <v>44996.0</v>
      </c>
      <c r="E538" s="24">
        <v>45004.0</v>
      </c>
      <c r="F538" s="6">
        <v>10.0</v>
      </c>
      <c r="G538" s="9" t="str">
        <f>VLOOKUP(operations[productID],products[],2,FALSE)</f>
        <v>Ikura</v>
      </c>
      <c r="H538" s="9" t="str">
        <f>IF(VLOOKUP(operations[productID],products[],7,FALSE)=1,"Discontinued","Current")</f>
        <v>Current</v>
      </c>
      <c r="I538" s="6">
        <f>VLOOKUP(operations[productID],products[],4,FALSE)</f>
        <v>31</v>
      </c>
      <c r="J538" s="6">
        <f>VLOOKUP(operations[productID],products[],5,FALSE)</f>
        <v>0</v>
      </c>
      <c r="K538" s="6">
        <f>VLOOKUP(operations[productID],products[],6,FALSE)</f>
        <v>0</v>
      </c>
      <c r="L538" s="10">
        <f t="array" ref="L538">INDEX('1 orders'!I538:I2156, MATCH(1, ('1 orders'!A538:A2156=A538)*('1 orders'!G538:G2156=F538), 0))
</f>
        <v>20</v>
      </c>
      <c r="M538" s="10">
        <f>IFERROR(__xludf.DUMMYFUNCTION("COUNTUNIQUEIFS($A$2:$A538,$F$2:$F538,F538)"),6.0)</f>
        <v>6</v>
      </c>
      <c r="N538" s="10">
        <f t="shared" si="1"/>
        <v>1</v>
      </c>
      <c r="O538" s="26">
        <f>IF(operations[sinceLastOrder]=0,0,operations[orderQuantity] / operations[sinceLastOrder])</f>
        <v>20</v>
      </c>
      <c r="P538" s="9">
        <v>7.23</v>
      </c>
      <c r="Q538" s="7" t="s">
        <v>17</v>
      </c>
      <c r="R538" s="10">
        <f>operations[arrivedDate]-operations[shippedDate]</f>
        <v>8</v>
      </c>
    </row>
    <row r="539" ht="15.75" customHeight="1">
      <c r="A539" s="6">
        <v>10450.0</v>
      </c>
      <c r="B539" s="24">
        <v>44976.0</v>
      </c>
      <c r="C539" s="24">
        <v>45004.0</v>
      </c>
      <c r="D539" s="24">
        <v>44996.0</v>
      </c>
      <c r="E539" s="24">
        <v>45004.0</v>
      </c>
      <c r="F539" s="6">
        <v>54.0</v>
      </c>
      <c r="G539" s="9" t="str">
        <f>VLOOKUP(operations[productID],products[],2,FALSE)</f>
        <v>Tourtière</v>
      </c>
      <c r="H539" s="9" t="str">
        <f>IF(VLOOKUP(operations[productID],products[],7,FALSE)=1,"Discontinued","Current")</f>
        <v>Current</v>
      </c>
      <c r="I539" s="6">
        <f>VLOOKUP(operations[productID],products[],4,FALSE)</f>
        <v>21</v>
      </c>
      <c r="J539" s="6">
        <f>VLOOKUP(operations[productID],products[],5,FALSE)</f>
        <v>0</v>
      </c>
      <c r="K539" s="6">
        <f>VLOOKUP(operations[productID],products[],6,FALSE)</f>
        <v>10</v>
      </c>
      <c r="L539" s="10">
        <f t="array" ref="L539">INDEX('1 orders'!I539:I2156, MATCH(1, ('1 orders'!A539:A2156=A539)*('1 orders'!G539:G2156=F539), 0))
</f>
        <v>6</v>
      </c>
      <c r="M539" s="10">
        <f>IFERROR(__xludf.DUMMYFUNCTION("COUNTUNIQUEIFS($A$2:$A539,$F$2:$F539,F539)"),14.0)</f>
        <v>14</v>
      </c>
      <c r="N539" s="10">
        <f t="shared" si="1"/>
        <v>6</v>
      </c>
      <c r="O539" s="26">
        <f>IF(operations[sinceLastOrder]=0,0,operations[orderQuantity] / operations[sinceLastOrder])</f>
        <v>1</v>
      </c>
      <c r="P539" s="9">
        <v>7.23</v>
      </c>
      <c r="Q539" s="7" t="s">
        <v>17</v>
      </c>
      <c r="R539" s="10">
        <f>operations[arrivedDate]-operations[shippedDate]</f>
        <v>8</v>
      </c>
    </row>
    <row r="540" ht="15.75" customHeight="1">
      <c r="A540" s="6">
        <v>10451.0</v>
      </c>
      <c r="B540" s="24">
        <v>44976.0</v>
      </c>
      <c r="C540" s="24">
        <v>44990.0</v>
      </c>
      <c r="D540" s="24">
        <v>44997.0</v>
      </c>
      <c r="E540" s="24">
        <v>45001.0</v>
      </c>
      <c r="F540" s="6">
        <v>55.0</v>
      </c>
      <c r="G540" s="9" t="str">
        <f>VLOOKUP(operations[productID],products[],2,FALSE)</f>
        <v>Pâté chinois</v>
      </c>
      <c r="H540" s="9" t="str">
        <f>IF(VLOOKUP(operations[productID],products[],7,FALSE)=1,"Discontinued","Current")</f>
        <v>Current</v>
      </c>
      <c r="I540" s="6">
        <f>VLOOKUP(operations[productID],products[],4,FALSE)</f>
        <v>115</v>
      </c>
      <c r="J540" s="6">
        <f>VLOOKUP(operations[productID],products[],5,FALSE)</f>
        <v>0</v>
      </c>
      <c r="K540" s="6">
        <f>VLOOKUP(operations[productID],products[],6,FALSE)</f>
        <v>20</v>
      </c>
      <c r="L540" s="10">
        <f t="array" ref="L540">INDEX('1 orders'!I540:I2156, MATCH(1, ('1 orders'!A540:A2156=A540)*('1 orders'!G540:G2156=F540), 0))
</f>
        <v>120</v>
      </c>
      <c r="M540" s="10">
        <f>IFERROR(__xludf.DUMMYFUNCTION("COUNTUNIQUEIFS($A$2:$A540,$F$2:$F540,F540)"),8.0)</f>
        <v>8</v>
      </c>
      <c r="N540" s="10">
        <f t="shared" si="1"/>
        <v>26</v>
      </c>
      <c r="O540" s="26">
        <f>IF(operations[sinceLastOrder]=0,0,operations[orderQuantity] / operations[sinceLastOrder])</f>
        <v>4.615384615</v>
      </c>
      <c r="P540" s="9">
        <v>189.09</v>
      </c>
      <c r="Q540" s="7" t="s">
        <v>13</v>
      </c>
      <c r="R540" s="10">
        <f>operations[arrivedDate]-operations[shippedDate]</f>
        <v>4</v>
      </c>
    </row>
    <row r="541" ht="15.75" customHeight="1">
      <c r="A541" s="6">
        <v>10451.0</v>
      </c>
      <c r="B541" s="24">
        <v>44976.0</v>
      </c>
      <c r="C541" s="24">
        <v>44990.0</v>
      </c>
      <c r="D541" s="24">
        <v>44997.0</v>
      </c>
      <c r="E541" s="24">
        <v>45001.0</v>
      </c>
      <c r="F541" s="6">
        <v>64.0</v>
      </c>
      <c r="G541" s="9" t="str">
        <f>VLOOKUP(operations[productID],products[],2,FALSE)</f>
        <v>Lukas' leckere Sauerteigweggla</v>
      </c>
      <c r="H541" s="9" t="str">
        <f>IF(VLOOKUP(operations[productID],products[],7,FALSE)=1,"Discontinued","Current")</f>
        <v>Current</v>
      </c>
      <c r="I541" s="6">
        <f>VLOOKUP(operations[productID],products[],4,FALSE)</f>
        <v>22</v>
      </c>
      <c r="J541" s="6">
        <f>VLOOKUP(operations[productID],products[],5,FALSE)</f>
        <v>80</v>
      </c>
      <c r="K541" s="6">
        <f>VLOOKUP(operations[productID],products[],6,FALSE)</f>
        <v>30</v>
      </c>
      <c r="L541" s="10">
        <f t="array" ref="L541">INDEX('1 orders'!I541:I2156, MATCH(1, ('1 orders'!A541:A2156=A541)*('1 orders'!G541:G2156=F541), 0))
</f>
        <v>35</v>
      </c>
      <c r="M541" s="10">
        <f>IFERROR(__xludf.DUMMYFUNCTION("COUNTUNIQUEIFS($A$2:$A541,$F$2:$F541,F541)"),8.0)</f>
        <v>8</v>
      </c>
      <c r="N541" s="10">
        <f t="shared" si="1"/>
        <v>12</v>
      </c>
      <c r="O541" s="26">
        <f>IF(operations[sinceLastOrder]=0,0,operations[orderQuantity] / operations[sinceLastOrder])</f>
        <v>2.916666667</v>
      </c>
      <c r="P541" s="9">
        <v>189.09</v>
      </c>
      <c r="Q541" s="7" t="s">
        <v>13</v>
      </c>
      <c r="R541" s="10">
        <f>operations[arrivedDate]-operations[shippedDate]</f>
        <v>4</v>
      </c>
    </row>
    <row r="542" ht="15.75" customHeight="1">
      <c r="A542" s="6">
        <v>10451.0</v>
      </c>
      <c r="B542" s="24">
        <v>44976.0</v>
      </c>
      <c r="C542" s="24">
        <v>44990.0</v>
      </c>
      <c r="D542" s="24">
        <v>44997.0</v>
      </c>
      <c r="E542" s="24">
        <v>45001.0</v>
      </c>
      <c r="F542" s="6">
        <v>65.0</v>
      </c>
      <c r="G542" s="9" t="str">
        <f>VLOOKUP(operations[productID],products[],2,FALSE)</f>
        <v>Louisiana Fiery Hot Pepper Sauce</v>
      </c>
      <c r="H542" s="9" t="str">
        <f>IF(VLOOKUP(operations[productID],products[],7,FALSE)=1,"Discontinued","Current")</f>
        <v>Current</v>
      </c>
      <c r="I542" s="6">
        <f>VLOOKUP(operations[productID],products[],4,FALSE)</f>
        <v>76</v>
      </c>
      <c r="J542" s="6">
        <f>VLOOKUP(operations[productID],products[],5,FALSE)</f>
        <v>0</v>
      </c>
      <c r="K542" s="6">
        <f>VLOOKUP(operations[productID],products[],6,FALSE)</f>
        <v>0</v>
      </c>
      <c r="L542" s="10">
        <f t="array" ref="L542">INDEX('1 orders'!I542:I2156, MATCH(1, ('1 orders'!A542:A2156=A542)*('1 orders'!G542:G2156=F542), 0))
</f>
        <v>28</v>
      </c>
      <c r="M542" s="10">
        <f>IFERROR(__xludf.DUMMYFUNCTION("COUNTUNIQUEIFS($A$2:$A542,$F$2:$F542,F542)"),11.0)</f>
        <v>11</v>
      </c>
      <c r="N542" s="10">
        <f t="shared" si="1"/>
        <v>5</v>
      </c>
      <c r="O542" s="26">
        <f>IF(operations[sinceLastOrder]=0,0,operations[orderQuantity] / operations[sinceLastOrder])</f>
        <v>5.6</v>
      </c>
      <c r="P542" s="9">
        <v>189.09</v>
      </c>
      <c r="Q542" s="7" t="s">
        <v>13</v>
      </c>
      <c r="R542" s="10">
        <f>operations[arrivedDate]-operations[shippedDate]</f>
        <v>4</v>
      </c>
    </row>
    <row r="543" ht="15.75" customHeight="1">
      <c r="A543" s="6">
        <v>10451.0</v>
      </c>
      <c r="B543" s="24">
        <v>44976.0</v>
      </c>
      <c r="C543" s="24">
        <v>44990.0</v>
      </c>
      <c r="D543" s="24">
        <v>44997.0</v>
      </c>
      <c r="E543" s="24">
        <v>45001.0</v>
      </c>
      <c r="F543" s="6">
        <v>77.0</v>
      </c>
      <c r="G543" s="9" t="str">
        <f>VLOOKUP(operations[productID],products[],2,FALSE)</f>
        <v>Original Frankfurter grüne Soße</v>
      </c>
      <c r="H543" s="9" t="str">
        <f>IF(VLOOKUP(operations[productID],products[],7,FALSE)=1,"Discontinued","Current")</f>
        <v>Current</v>
      </c>
      <c r="I543" s="6">
        <f>VLOOKUP(operations[productID],products[],4,FALSE)</f>
        <v>32</v>
      </c>
      <c r="J543" s="6">
        <f>VLOOKUP(operations[productID],products[],5,FALSE)</f>
        <v>0</v>
      </c>
      <c r="K543" s="6">
        <f>VLOOKUP(operations[productID],products[],6,FALSE)</f>
        <v>15</v>
      </c>
      <c r="L543" s="10">
        <f t="array" ref="L543">INDEX('1 orders'!I543:I2156, MATCH(1, ('1 orders'!A543:A2156=A543)*('1 orders'!G543:G2156=F543), 0))
</f>
        <v>55</v>
      </c>
      <c r="M543" s="10">
        <f>IFERROR(__xludf.DUMMYFUNCTION("COUNTUNIQUEIFS($A$2:$A543,$F$2:$F543,F543)"),9.0)</f>
        <v>9</v>
      </c>
      <c r="N543" s="10">
        <f t="shared" si="1"/>
        <v>29</v>
      </c>
      <c r="O543" s="26">
        <f>IF(operations[sinceLastOrder]=0,0,operations[orderQuantity] / operations[sinceLastOrder])</f>
        <v>1.896551724</v>
      </c>
      <c r="P543" s="9">
        <v>189.09</v>
      </c>
      <c r="Q543" s="7" t="s">
        <v>13</v>
      </c>
      <c r="R543" s="10">
        <f>operations[arrivedDate]-operations[shippedDate]</f>
        <v>4</v>
      </c>
    </row>
    <row r="544" ht="15.75" customHeight="1">
      <c r="A544" s="6">
        <v>10452.0</v>
      </c>
      <c r="B544" s="24">
        <v>44977.0</v>
      </c>
      <c r="C544" s="24">
        <v>45005.0</v>
      </c>
      <c r="D544" s="24">
        <v>44983.0</v>
      </c>
      <c r="E544" s="24">
        <v>44996.0</v>
      </c>
      <c r="F544" s="6">
        <v>28.0</v>
      </c>
      <c r="G544" s="9" t="str">
        <f>VLOOKUP(operations[productID],products[],2,FALSE)</f>
        <v>Rössle Sauerkraut</v>
      </c>
      <c r="H544" s="9" t="str">
        <f>IF(VLOOKUP(operations[productID],products[],7,FALSE)=1,"Discontinued","Current")</f>
        <v>Discontinued</v>
      </c>
      <c r="I544" s="6">
        <f>VLOOKUP(operations[productID],products[],4,FALSE)</f>
        <v>26</v>
      </c>
      <c r="J544" s="6">
        <f>VLOOKUP(operations[productID],products[],5,FALSE)</f>
        <v>0</v>
      </c>
      <c r="K544" s="6">
        <f>VLOOKUP(operations[productID],products[],6,FALSE)</f>
        <v>0</v>
      </c>
      <c r="L544" s="10">
        <f t="array" ref="L544">INDEX('1 orders'!I544:I2156, MATCH(1, ('1 orders'!A544:A2156=A544)*('1 orders'!G544:G2156=F544), 0))
</f>
        <v>15</v>
      </c>
      <c r="M544" s="10">
        <f>IFERROR(__xludf.DUMMYFUNCTION("COUNTUNIQUEIFS($A$2:$A544,$F$2:$F544,F544)"),11.0)</f>
        <v>11</v>
      </c>
      <c r="N544" s="10">
        <f t="shared" si="1"/>
        <v>8</v>
      </c>
      <c r="O544" s="26">
        <f>IF(operations[sinceLastOrder]=0,0,operations[orderQuantity] / operations[sinceLastOrder])</f>
        <v>1.875</v>
      </c>
      <c r="P544" s="9">
        <v>140.26</v>
      </c>
      <c r="Q544" s="7" t="s">
        <v>15</v>
      </c>
      <c r="R544" s="10">
        <f>operations[arrivedDate]-operations[shippedDate]</f>
        <v>13</v>
      </c>
    </row>
    <row r="545" ht="15.75" customHeight="1">
      <c r="A545" s="6">
        <v>10452.0</v>
      </c>
      <c r="B545" s="24">
        <v>44977.0</v>
      </c>
      <c r="C545" s="24">
        <v>45005.0</v>
      </c>
      <c r="D545" s="24">
        <v>44983.0</v>
      </c>
      <c r="E545" s="24">
        <v>44996.0</v>
      </c>
      <c r="F545" s="6">
        <v>44.0</v>
      </c>
      <c r="G545" s="9" t="str">
        <f>VLOOKUP(operations[productID],products[],2,FALSE)</f>
        <v>Gula Malacca</v>
      </c>
      <c r="H545" s="9" t="str">
        <f>IF(VLOOKUP(operations[productID],products[],7,FALSE)=1,"Discontinued","Current")</f>
        <v>Current</v>
      </c>
      <c r="I545" s="6">
        <f>VLOOKUP(operations[productID],products[],4,FALSE)</f>
        <v>27</v>
      </c>
      <c r="J545" s="6">
        <f>VLOOKUP(operations[productID],products[],5,FALSE)</f>
        <v>0</v>
      </c>
      <c r="K545" s="6">
        <f>VLOOKUP(operations[productID],products[],6,FALSE)</f>
        <v>15</v>
      </c>
      <c r="L545" s="10">
        <f t="array" ref="L545">INDEX('1 orders'!I545:I2156, MATCH(1, ('1 orders'!A545:A2156=A545)*('1 orders'!G545:G2156=F545), 0))
</f>
        <v>100</v>
      </c>
      <c r="M545" s="10">
        <f>IFERROR(__xludf.DUMMYFUNCTION("COUNTUNIQUEIFS($A$2:$A545,$F$2:$F545,F545)"),6.0)</f>
        <v>6</v>
      </c>
      <c r="N545" s="10">
        <f t="shared" si="1"/>
        <v>41</v>
      </c>
      <c r="O545" s="26">
        <f>IF(operations[sinceLastOrder]=0,0,operations[orderQuantity] / operations[sinceLastOrder])</f>
        <v>2.43902439</v>
      </c>
      <c r="P545" s="9">
        <v>140.26</v>
      </c>
      <c r="Q545" s="7" t="s">
        <v>15</v>
      </c>
      <c r="R545" s="10">
        <f>operations[arrivedDate]-operations[shippedDate]</f>
        <v>13</v>
      </c>
    </row>
    <row r="546" ht="15.75" customHeight="1">
      <c r="A546" s="6">
        <v>10453.0</v>
      </c>
      <c r="B546" s="24">
        <v>44978.0</v>
      </c>
      <c r="C546" s="24">
        <v>45006.0</v>
      </c>
      <c r="D546" s="24">
        <v>44983.0</v>
      </c>
      <c r="E546" s="24">
        <v>44990.0</v>
      </c>
      <c r="F546" s="6">
        <v>48.0</v>
      </c>
      <c r="G546" s="9" t="str">
        <f>VLOOKUP(operations[productID],products[],2,FALSE)</f>
        <v>Chocolade</v>
      </c>
      <c r="H546" s="9" t="str">
        <f>IF(VLOOKUP(operations[productID],products[],7,FALSE)=1,"Discontinued","Current")</f>
        <v>Current</v>
      </c>
      <c r="I546" s="6">
        <f>VLOOKUP(operations[productID],products[],4,FALSE)</f>
        <v>15</v>
      </c>
      <c r="J546" s="6">
        <f>VLOOKUP(operations[productID],products[],5,FALSE)</f>
        <v>70</v>
      </c>
      <c r="K546" s="6">
        <f>VLOOKUP(operations[productID],products[],6,FALSE)</f>
        <v>25</v>
      </c>
      <c r="L546" s="10">
        <f t="array" ref="L546">INDEX('1 orders'!I546:I2156, MATCH(1, ('1 orders'!A546:A2156=A546)*('1 orders'!G546:G2156=F546), 0))
</f>
        <v>15</v>
      </c>
      <c r="M546" s="10">
        <f>IFERROR(__xludf.DUMMYFUNCTION("COUNTUNIQUEIFS($A$2:$A546,$F$2:$F546,F546)"),2.0)</f>
        <v>2</v>
      </c>
      <c r="N546" s="10">
        <f t="shared" si="1"/>
        <v>49</v>
      </c>
      <c r="O546" s="26">
        <f>IF(operations[sinceLastOrder]=0,0,operations[orderQuantity] / operations[sinceLastOrder])</f>
        <v>0.306122449</v>
      </c>
      <c r="P546" s="9">
        <v>25.36</v>
      </c>
      <c r="Q546" s="7" t="s">
        <v>17</v>
      </c>
      <c r="R546" s="10">
        <f>operations[arrivedDate]-operations[shippedDate]</f>
        <v>7</v>
      </c>
    </row>
    <row r="547" ht="15.75" customHeight="1">
      <c r="A547" s="6">
        <v>10453.0</v>
      </c>
      <c r="B547" s="24">
        <v>44978.0</v>
      </c>
      <c r="C547" s="24">
        <v>45006.0</v>
      </c>
      <c r="D547" s="24">
        <v>44983.0</v>
      </c>
      <c r="E547" s="24">
        <v>44990.0</v>
      </c>
      <c r="F547" s="6">
        <v>70.0</v>
      </c>
      <c r="G547" s="9" t="str">
        <f>VLOOKUP(operations[productID],products[],2,FALSE)</f>
        <v>Outback Lager</v>
      </c>
      <c r="H547" s="9" t="str">
        <f>IF(VLOOKUP(operations[productID],products[],7,FALSE)=1,"Discontinued","Current")</f>
        <v>Current</v>
      </c>
      <c r="I547" s="6">
        <f>VLOOKUP(operations[productID],products[],4,FALSE)</f>
        <v>15</v>
      </c>
      <c r="J547" s="6">
        <f>VLOOKUP(operations[productID],products[],5,FALSE)</f>
        <v>10</v>
      </c>
      <c r="K547" s="6">
        <f>VLOOKUP(operations[productID],products[],6,FALSE)</f>
        <v>30</v>
      </c>
      <c r="L547" s="10">
        <f t="array" ref="L547">INDEX('1 orders'!I547:I2156, MATCH(1, ('1 orders'!A547:A2156=A547)*('1 orders'!G547:G2156=F547), 0))
</f>
        <v>25</v>
      </c>
      <c r="M547" s="10">
        <f>IFERROR(__xludf.DUMMYFUNCTION("COUNTUNIQUEIFS($A$2:$A547,$F$2:$F547,F547)"),9.0)</f>
        <v>9</v>
      </c>
      <c r="N547" s="10">
        <f t="shared" si="1"/>
        <v>31</v>
      </c>
      <c r="O547" s="26">
        <f>IF(operations[sinceLastOrder]=0,0,operations[orderQuantity] / operations[sinceLastOrder])</f>
        <v>0.8064516129</v>
      </c>
      <c r="P547" s="9">
        <v>25.36</v>
      </c>
      <c r="Q547" s="7" t="s">
        <v>17</v>
      </c>
      <c r="R547" s="10">
        <f>operations[arrivedDate]-operations[shippedDate]</f>
        <v>7</v>
      </c>
    </row>
    <row r="548" ht="15.75" customHeight="1">
      <c r="A548" s="6">
        <v>10454.0</v>
      </c>
      <c r="B548" s="24">
        <v>44978.0</v>
      </c>
      <c r="C548" s="24">
        <v>45006.0</v>
      </c>
      <c r="D548" s="24">
        <v>44982.0</v>
      </c>
      <c r="E548" s="24">
        <v>44991.0</v>
      </c>
      <c r="F548" s="6">
        <v>16.0</v>
      </c>
      <c r="G548" s="9" t="str">
        <f>VLOOKUP(operations[productID],products[],2,FALSE)</f>
        <v>Pavlova</v>
      </c>
      <c r="H548" s="9" t="str">
        <f>IF(VLOOKUP(operations[productID],products[],7,FALSE)=1,"Discontinued","Current")</f>
        <v>Current</v>
      </c>
      <c r="I548" s="6">
        <f>VLOOKUP(operations[productID],products[],4,FALSE)</f>
        <v>29</v>
      </c>
      <c r="J548" s="6">
        <f>VLOOKUP(operations[productID],products[],5,FALSE)</f>
        <v>0</v>
      </c>
      <c r="K548" s="6">
        <f>VLOOKUP(operations[productID],products[],6,FALSE)</f>
        <v>10</v>
      </c>
      <c r="L548" s="10">
        <f t="array" ref="L548">INDEX('1 orders'!I548:I2156, MATCH(1, ('1 orders'!A548:A2156=A548)*('1 orders'!G548:G2156=F548), 0))
</f>
        <v>20</v>
      </c>
      <c r="M548" s="10">
        <f>IFERROR(__xludf.DUMMYFUNCTION("COUNTUNIQUEIFS($A$2:$A548,$F$2:$F548,F548)"),11.0)</f>
        <v>11</v>
      </c>
      <c r="N548" s="10">
        <f t="shared" si="1"/>
        <v>11</v>
      </c>
      <c r="O548" s="26">
        <f>IF(operations[sinceLastOrder]=0,0,operations[orderQuantity] / operations[sinceLastOrder])</f>
        <v>1.818181818</v>
      </c>
      <c r="P548" s="9">
        <v>2.74</v>
      </c>
      <c r="Q548" s="7" t="s">
        <v>13</v>
      </c>
      <c r="R548" s="10">
        <f>operations[arrivedDate]-operations[shippedDate]</f>
        <v>9</v>
      </c>
    </row>
    <row r="549" ht="15.75" customHeight="1">
      <c r="A549" s="6">
        <v>10454.0</v>
      </c>
      <c r="B549" s="24">
        <v>44978.0</v>
      </c>
      <c r="C549" s="24">
        <v>45006.0</v>
      </c>
      <c r="D549" s="24">
        <v>44982.0</v>
      </c>
      <c r="E549" s="24">
        <v>44991.0</v>
      </c>
      <c r="F549" s="6">
        <v>33.0</v>
      </c>
      <c r="G549" s="9" t="str">
        <f>VLOOKUP(operations[productID],products[],2,FALSE)</f>
        <v>Geitost</v>
      </c>
      <c r="H549" s="9" t="str">
        <f>IF(VLOOKUP(operations[productID],products[],7,FALSE)=1,"Discontinued","Current")</f>
        <v>Current</v>
      </c>
      <c r="I549" s="6">
        <f>VLOOKUP(operations[productID],products[],4,FALSE)</f>
        <v>112</v>
      </c>
      <c r="J549" s="6">
        <f>VLOOKUP(operations[productID],products[],5,FALSE)</f>
        <v>0</v>
      </c>
      <c r="K549" s="6">
        <f>VLOOKUP(operations[productID],products[],6,FALSE)</f>
        <v>20</v>
      </c>
      <c r="L549" s="10">
        <f t="array" ref="L549">INDEX('1 orders'!I549:I2156, MATCH(1, ('1 orders'!A549:A2156=A549)*('1 orders'!G549:G2156=F549), 0))
</f>
        <v>20</v>
      </c>
      <c r="M549" s="10">
        <f>IFERROR(__xludf.DUMMYFUNCTION("COUNTUNIQUEIFS($A$2:$A549,$F$2:$F549,F549)"),10.0)</f>
        <v>10</v>
      </c>
      <c r="N549" s="10">
        <f t="shared" si="1"/>
        <v>37</v>
      </c>
      <c r="O549" s="26">
        <f>IF(operations[sinceLastOrder]=0,0,operations[orderQuantity] / operations[sinceLastOrder])</f>
        <v>0.5405405405</v>
      </c>
      <c r="P549" s="9">
        <v>2.74</v>
      </c>
      <c r="Q549" s="7" t="s">
        <v>13</v>
      </c>
      <c r="R549" s="10">
        <f>operations[arrivedDate]-operations[shippedDate]</f>
        <v>9</v>
      </c>
    </row>
    <row r="550" ht="15.75" customHeight="1">
      <c r="A550" s="6">
        <v>10454.0</v>
      </c>
      <c r="B550" s="24">
        <v>44978.0</v>
      </c>
      <c r="C550" s="24">
        <v>45006.0</v>
      </c>
      <c r="D550" s="24">
        <v>44982.0</v>
      </c>
      <c r="E550" s="24">
        <v>44991.0</v>
      </c>
      <c r="F550" s="6">
        <v>46.0</v>
      </c>
      <c r="G550" s="9" t="str">
        <f>VLOOKUP(operations[productID],products[],2,FALSE)</f>
        <v>Spegesild</v>
      </c>
      <c r="H550" s="9" t="str">
        <f>IF(VLOOKUP(operations[productID],products[],7,FALSE)=1,"Discontinued","Current")</f>
        <v>Current</v>
      </c>
      <c r="I550" s="6">
        <f>VLOOKUP(operations[productID],products[],4,FALSE)</f>
        <v>95</v>
      </c>
      <c r="J550" s="6">
        <f>VLOOKUP(operations[productID],products[],5,FALSE)</f>
        <v>0</v>
      </c>
      <c r="K550" s="6">
        <f>VLOOKUP(operations[productID],products[],6,FALSE)</f>
        <v>0</v>
      </c>
      <c r="L550" s="10">
        <f t="array" ref="L550">INDEX('1 orders'!I550:I2156, MATCH(1, ('1 orders'!A550:A2156=A550)*('1 orders'!G550:G2156=F550), 0))
</f>
        <v>10</v>
      </c>
      <c r="M550" s="10">
        <f>IFERROR(__xludf.DUMMYFUNCTION("COUNTUNIQUEIFS($A$2:$A550,$F$2:$F550,F550)"),8.0)</f>
        <v>8</v>
      </c>
      <c r="N550" s="10">
        <f t="shared" si="1"/>
        <v>16</v>
      </c>
      <c r="O550" s="26">
        <f>IF(operations[sinceLastOrder]=0,0,operations[orderQuantity] / operations[sinceLastOrder])</f>
        <v>0.625</v>
      </c>
      <c r="P550" s="9">
        <v>2.74</v>
      </c>
      <c r="Q550" s="7" t="s">
        <v>13</v>
      </c>
      <c r="R550" s="10">
        <f>operations[arrivedDate]-operations[shippedDate]</f>
        <v>9</v>
      </c>
    </row>
    <row r="551" ht="15.75" customHeight="1">
      <c r="A551" s="6">
        <v>10455.0</v>
      </c>
      <c r="B551" s="24">
        <v>44981.0</v>
      </c>
      <c r="C551" s="24">
        <v>45023.0</v>
      </c>
      <c r="D551" s="24">
        <v>44988.0</v>
      </c>
      <c r="E551" s="24">
        <v>45002.0</v>
      </c>
      <c r="F551" s="6">
        <v>39.0</v>
      </c>
      <c r="G551" s="9" t="str">
        <f>VLOOKUP(operations[productID],products[],2,FALSE)</f>
        <v>Chartreuse verte</v>
      </c>
      <c r="H551" s="9" t="str">
        <f>IF(VLOOKUP(operations[productID],products[],7,FALSE)=1,"Discontinued","Current")</f>
        <v>Current</v>
      </c>
      <c r="I551" s="6">
        <f>VLOOKUP(operations[productID],products[],4,FALSE)</f>
        <v>69</v>
      </c>
      <c r="J551" s="6">
        <f>VLOOKUP(operations[productID],products[],5,FALSE)</f>
        <v>0</v>
      </c>
      <c r="K551" s="6">
        <f>VLOOKUP(operations[productID],products[],6,FALSE)</f>
        <v>5</v>
      </c>
      <c r="L551" s="10">
        <f t="array" ref="L551">INDEX('1 orders'!I551:I2156, MATCH(1, ('1 orders'!A551:A2156=A551)*('1 orders'!G551:G2156=F551), 0))
</f>
        <v>20</v>
      </c>
      <c r="M551" s="10">
        <f>IFERROR(__xludf.DUMMYFUNCTION("COUNTUNIQUEIFS($A$2:$A551,$F$2:$F551,F551)"),10.0)</f>
        <v>10</v>
      </c>
      <c r="N551" s="10">
        <f t="shared" si="1"/>
        <v>11</v>
      </c>
      <c r="O551" s="26">
        <f>IF(operations[sinceLastOrder]=0,0,operations[orderQuantity] / operations[sinceLastOrder])</f>
        <v>1.818181818</v>
      </c>
      <c r="P551" s="9">
        <v>180.45</v>
      </c>
      <c r="Q551" s="7" t="s">
        <v>17</v>
      </c>
      <c r="R551" s="10">
        <f>operations[arrivedDate]-operations[shippedDate]</f>
        <v>14</v>
      </c>
    </row>
    <row r="552" ht="15.75" customHeight="1">
      <c r="A552" s="6">
        <v>10455.0</v>
      </c>
      <c r="B552" s="24">
        <v>44981.0</v>
      </c>
      <c r="C552" s="24">
        <v>45023.0</v>
      </c>
      <c r="D552" s="24">
        <v>44988.0</v>
      </c>
      <c r="E552" s="24">
        <v>45002.0</v>
      </c>
      <c r="F552" s="6">
        <v>53.0</v>
      </c>
      <c r="G552" s="9" t="str">
        <f>VLOOKUP(operations[productID],products[],2,FALSE)</f>
        <v>Perth Pasties</v>
      </c>
      <c r="H552" s="9" t="str">
        <f>IF(VLOOKUP(operations[productID],products[],7,FALSE)=1,"Discontinued","Current")</f>
        <v>Discontinued</v>
      </c>
      <c r="I552" s="6">
        <f>VLOOKUP(operations[productID],products[],4,FALSE)</f>
        <v>0</v>
      </c>
      <c r="J552" s="6">
        <f>VLOOKUP(operations[productID],products[],5,FALSE)</f>
        <v>0</v>
      </c>
      <c r="K552" s="6">
        <f>VLOOKUP(operations[productID],products[],6,FALSE)</f>
        <v>0</v>
      </c>
      <c r="L552" s="10">
        <f t="array" ref="L552">INDEX('1 orders'!I552:I2156, MATCH(1, ('1 orders'!A552:A2156=A552)*('1 orders'!G552:G2156=F552), 0))
</f>
        <v>50</v>
      </c>
      <c r="M552" s="10">
        <f>IFERROR(__xludf.DUMMYFUNCTION("COUNTUNIQUEIFS($A$2:$A552,$F$2:$F552,F552)"),11.0)</f>
        <v>11</v>
      </c>
      <c r="N552" s="10">
        <f t="shared" si="1"/>
        <v>19</v>
      </c>
      <c r="O552" s="26">
        <f>IF(operations[sinceLastOrder]=0,0,operations[orderQuantity] / operations[sinceLastOrder])</f>
        <v>2.631578947</v>
      </c>
      <c r="P552" s="9">
        <v>180.45</v>
      </c>
      <c r="Q552" s="7" t="s">
        <v>17</v>
      </c>
      <c r="R552" s="10">
        <f>operations[arrivedDate]-operations[shippedDate]</f>
        <v>14</v>
      </c>
    </row>
    <row r="553" ht="15.75" customHeight="1">
      <c r="A553" s="6">
        <v>10455.0</v>
      </c>
      <c r="B553" s="24">
        <v>44981.0</v>
      </c>
      <c r="C553" s="24">
        <v>45023.0</v>
      </c>
      <c r="D553" s="24">
        <v>44988.0</v>
      </c>
      <c r="E553" s="24">
        <v>45002.0</v>
      </c>
      <c r="F553" s="6">
        <v>61.0</v>
      </c>
      <c r="G553" s="9" t="str">
        <f>VLOOKUP(operations[productID],products[],2,FALSE)</f>
        <v>Sirop d'érable</v>
      </c>
      <c r="H553" s="9" t="str">
        <f>IF(VLOOKUP(operations[productID],products[],7,FALSE)=1,"Discontinued","Current")</f>
        <v>Current</v>
      </c>
      <c r="I553" s="6">
        <f>VLOOKUP(operations[productID],products[],4,FALSE)</f>
        <v>113</v>
      </c>
      <c r="J553" s="6">
        <f>VLOOKUP(operations[productID],products[],5,FALSE)</f>
        <v>0</v>
      </c>
      <c r="K553" s="6">
        <f>VLOOKUP(operations[productID],products[],6,FALSE)</f>
        <v>25</v>
      </c>
      <c r="L553" s="10">
        <f t="array" ref="L553">INDEX('1 orders'!I553:I2156, MATCH(1, ('1 orders'!A553:A2156=A553)*('1 orders'!G553:G2156=F553), 0))
</f>
        <v>25</v>
      </c>
      <c r="M553" s="10">
        <f>IFERROR(__xludf.DUMMYFUNCTION("COUNTUNIQUEIFS($A$2:$A553,$F$2:$F553,F553)"),3.0)</f>
        <v>3</v>
      </c>
      <c r="N553" s="10">
        <f t="shared" si="1"/>
        <v>14</v>
      </c>
      <c r="O553" s="26">
        <f>IF(operations[sinceLastOrder]=0,0,operations[orderQuantity] / operations[sinceLastOrder])</f>
        <v>1.785714286</v>
      </c>
      <c r="P553" s="9">
        <v>180.45</v>
      </c>
      <c r="Q553" s="7" t="s">
        <v>17</v>
      </c>
      <c r="R553" s="10">
        <f>operations[arrivedDate]-operations[shippedDate]</f>
        <v>14</v>
      </c>
    </row>
    <row r="554" ht="15.75" customHeight="1">
      <c r="A554" s="6">
        <v>10455.0</v>
      </c>
      <c r="B554" s="24">
        <v>44981.0</v>
      </c>
      <c r="C554" s="24">
        <v>45023.0</v>
      </c>
      <c r="D554" s="24">
        <v>44988.0</v>
      </c>
      <c r="E554" s="24">
        <v>45002.0</v>
      </c>
      <c r="F554" s="6">
        <v>71.0</v>
      </c>
      <c r="G554" s="9" t="str">
        <f>VLOOKUP(operations[productID],products[],2,FALSE)</f>
        <v>Flotemysost</v>
      </c>
      <c r="H554" s="9" t="str">
        <f>IF(VLOOKUP(operations[productID],products[],7,FALSE)=1,"Discontinued","Current")</f>
        <v>Current</v>
      </c>
      <c r="I554" s="6">
        <f>VLOOKUP(operations[productID],products[],4,FALSE)</f>
        <v>26</v>
      </c>
      <c r="J554" s="6">
        <f>VLOOKUP(operations[productID],products[],5,FALSE)</f>
        <v>0</v>
      </c>
      <c r="K554" s="6">
        <f>VLOOKUP(operations[productID],products[],6,FALSE)</f>
        <v>0</v>
      </c>
      <c r="L554" s="10">
        <f t="array" ref="L554">INDEX('1 orders'!I554:I2156, MATCH(1, ('1 orders'!A554:A2156=A554)*('1 orders'!G554:G2156=F554), 0))
</f>
        <v>30</v>
      </c>
      <c r="M554" s="10">
        <f>IFERROR(__xludf.DUMMYFUNCTION("COUNTUNIQUEIFS($A$2:$A554,$F$2:$F554,F554)"),15.0)</f>
        <v>15</v>
      </c>
      <c r="N554" s="10">
        <f t="shared" si="1"/>
        <v>10</v>
      </c>
      <c r="O554" s="26">
        <f>IF(operations[sinceLastOrder]=0,0,operations[orderQuantity] / operations[sinceLastOrder])</f>
        <v>3</v>
      </c>
      <c r="P554" s="9">
        <v>180.45</v>
      </c>
      <c r="Q554" s="7" t="s">
        <v>17</v>
      </c>
      <c r="R554" s="10">
        <f>operations[arrivedDate]-operations[shippedDate]</f>
        <v>14</v>
      </c>
    </row>
    <row r="555" ht="15.75" customHeight="1">
      <c r="A555" s="6">
        <v>10456.0</v>
      </c>
      <c r="B555" s="24">
        <v>44982.0</v>
      </c>
      <c r="C555" s="24">
        <v>45024.0</v>
      </c>
      <c r="D555" s="24">
        <v>44985.0</v>
      </c>
      <c r="E555" s="24">
        <v>44994.0</v>
      </c>
      <c r="F555" s="6">
        <v>21.0</v>
      </c>
      <c r="G555" s="9" t="str">
        <f>VLOOKUP(operations[productID],products[],2,FALSE)</f>
        <v>Sir Rodney's Scones</v>
      </c>
      <c r="H555" s="9" t="str">
        <f>IF(VLOOKUP(operations[productID],products[],7,FALSE)=1,"Discontinued","Current")</f>
        <v>Current</v>
      </c>
      <c r="I555" s="6">
        <f>VLOOKUP(operations[productID],products[],4,FALSE)</f>
        <v>3</v>
      </c>
      <c r="J555" s="6">
        <f>VLOOKUP(operations[productID],products[],5,FALSE)</f>
        <v>40</v>
      </c>
      <c r="K555" s="6">
        <f>VLOOKUP(operations[productID],products[],6,FALSE)</f>
        <v>5</v>
      </c>
      <c r="L555" s="10">
        <f t="array" ref="L555">INDEX('1 orders'!I555:I2156, MATCH(1, ('1 orders'!A555:A2156=A555)*('1 orders'!G555:G2156=F555), 0))
</f>
        <v>40</v>
      </c>
      <c r="M555" s="10">
        <f>IFERROR(__xludf.DUMMYFUNCTION("COUNTUNIQUEIFS($A$2:$A555,$F$2:$F555,F555)"),9.0)</f>
        <v>9</v>
      </c>
      <c r="N555" s="10">
        <f t="shared" si="1"/>
        <v>26</v>
      </c>
      <c r="O555" s="26">
        <f>IF(operations[sinceLastOrder]=0,0,operations[orderQuantity] / operations[sinceLastOrder])</f>
        <v>1.538461538</v>
      </c>
      <c r="P555" s="9">
        <v>8.12</v>
      </c>
      <c r="Q555" s="7" t="s">
        <v>17</v>
      </c>
      <c r="R555" s="10">
        <f>operations[arrivedDate]-operations[shippedDate]</f>
        <v>9</v>
      </c>
    </row>
    <row r="556" ht="15.75" customHeight="1">
      <c r="A556" s="6">
        <v>10456.0</v>
      </c>
      <c r="B556" s="24">
        <v>44982.0</v>
      </c>
      <c r="C556" s="24">
        <v>45024.0</v>
      </c>
      <c r="D556" s="24">
        <v>44985.0</v>
      </c>
      <c r="E556" s="24">
        <v>44994.0</v>
      </c>
      <c r="F556" s="6">
        <v>49.0</v>
      </c>
      <c r="G556" s="9" t="str">
        <f>VLOOKUP(operations[productID],products[],2,FALSE)</f>
        <v>Maxilaku</v>
      </c>
      <c r="H556" s="9" t="str">
        <f>IF(VLOOKUP(operations[productID],products[],7,FALSE)=1,"Discontinued","Current")</f>
        <v>Current</v>
      </c>
      <c r="I556" s="6">
        <f>VLOOKUP(operations[productID],products[],4,FALSE)</f>
        <v>10</v>
      </c>
      <c r="J556" s="6">
        <f>VLOOKUP(operations[productID],products[],5,FALSE)</f>
        <v>60</v>
      </c>
      <c r="K556" s="6">
        <f>VLOOKUP(operations[productID],products[],6,FALSE)</f>
        <v>15</v>
      </c>
      <c r="L556" s="10">
        <f t="array" ref="L556">INDEX('1 orders'!I556:I2156, MATCH(1, ('1 orders'!A556:A2156=A556)*('1 orders'!G556:G2156=F556), 0))
</f>
        <v>21</v>
      </c>
      <c r="M556" s="10">
        <f>IFERROR(__xludf.DUMMYFUNCTION("COUNTUNIQUEIFS($A$2:$A556,$F$2:$F556,F556)"),7.0)</f>
        <v>7</v>
      </c>
      <c r="N556" s="10">
        <f t="shared" si="1"/>
        <v>53</v>
      </c>
      <c r="O556" s="26">
        <f>IF(operations[sinceLastOrder]=0,0,operations[orderQuantity] / operations[sinceLastOrder])</f>
        <v>0.3962264151</v>
      </c>
      <c r="P556" s="9">
        <v>8.12</v>
      </c>
      <c r="Q556" s="7" t="s">
        <v>17</v>
      </c>
      <c r="R556" s="10">
        <f>operations[arrivedDate]-operations[shippedDate]</f>
        <v>9</v>
      </c>
    </row>
    <row r="557" ht="15.75" customHeight="1">
      <c r="A557" s="6">
        <v>10457.0</v>
      </c>
      <c r="B557" s="24">
        <v>44982.0</v>
      </c>
      <c r="C557" s="24">
        <v>45010.0</v>
      </c>
      <c r="D557" s="24">
        <v>44988.0</v>
      </c>
      <c r="E557" s="24">
        <v>44993.0</v>
      </c>
      <c r="F557" s="6">
        <v>59.0</v>
      </c>
      <c r="G557" s="9" t="str">
        <f>VLOOKUP(operations[productID],products[],2,FALSE)</f>
        <v>Raclette Courdavault</v>
      </c>
      <c r="H557" s="9" t="str">
        <f>IF(VLOOKUP(operations[productID],products[],7,FALSE)=1,"Discontinued","Current")</f>
        <v>Current</v>
      </c>
      <c r="I557" s="6">
        <f>VLOOKUP(operations[productID],products[],4,FALSE)</f>
        <v>79</v>
      </c>
      <c r="J557" s="6">
        <f>VLOOKUP(operations[productID],products[],5,FALSE)</f>
        <v>0</v>
      </c>
      <c r="K557" s="6">
        <f>VLOOKUP(operations[productID],products[],6,FALSE)</f>
        <v>0</v>
      </c>
      <c r="L557" s="10">
        <f t="array" ref="L557">INDEX('1 orders'!I557:I2156, MATCH(1, ('1 orders'!A557:A2156=A557)*('1 orders'!G557:G2156=F557), 0))
</f>
        <v>36</v>
      </c>
      <c r="M557" s="10">
        <f>IFERROR(__xludf.DUMMYFUNCTION("COUNTUNIQUEIFS($A$2:$A557,$F$2:$F557,F557)"),15.0)</f>
        <v>15</v>
      </c>
      <c r="N557" s="10">
        <f t="shared" si="1"/>
        <v>26</v>
      </c>
      <c r="O557" s="26">
        <f>IF(operations[sinceLastOrder]=0,0,operations[orderQuantity] / operations[sinceLastOrder])</f>
        <v>1.384615385</v>
      </c>
      <c r="P557" s="9">
        <v>11.57</v>
      </c>
      <c r="Q557" s="7" t="s">
        <v>15</v>
      </c>
      <c r="R557" s="10">
        <f>operations[arrivedDate]-operations[shippedDate]</f>
        <v>5</v>
      </c>
    </row>
    <row r="558" ht="15.75" customHeight="1">
      <c r="A558" s="6">
        <v>10458.0</v>
      </c>
      <c r="B558" s="24">
        <v>44983.0</v>
      </c>
      <c r="C558" s="24">
        <v>45011.0</v>
      </c>
      <c r="D558" s="24">
        <v>44989.0</v>
      </c>
      <c r="E558" s="24">
        <v>45000.0</v>
      </c>
      <c r="F558" s="6">
        <v>26.0</v>
      </c>
      <c r="G558" s="9" t="str">
        <f>VLOOKUP(operations[productID],products[],2,FALSE)</f>
        <v>NuNuCa Nuß-Nougat-Creme</v>
      </c>
      <c r="H558" s="9" t="str">
        <f>IF(VLOOKUP(operations[productID],products[],7,FALSE)=1,"Discontinued","Current")</f>
        <v>Current</v>
      </c>
      <c r="I558" s="6">
        <f>VLOOKUP(operations[productID],products[],4,FALSE)</f>
        <v>15</v>
      </c>
      <c r="J558" s="6">
        <f>VLOOKUP(operations[productID],products[],5,FALSE)</f>
        <v>0</v>
      </c>
      <c r="K558" s="6">
        <f>VLOOKUP(operations[productID],products[],6,FALSE)</f>
        <v>0</v>
      </c>
      <c r="L558" s="10">
        <f t="array" ref="L558">INDEX('1 orders'!I558:I2156, MATCH(1, ('1 orders'!A558:A2156=A558)*('1 orders'!G558:G2156=F558), 0))
</f>
        <v>30</v>
      </c>
      <c r="M558" s="10">
        <f>IFERROR(__xludf.DUMMYFUNCTION("COUNTUNIQUEIFS($A$2:$A558,$F$2:$F558,F558)"),11.0)</f>
        <v>11</v>
      </c>
      <c r="N558" s="10">
        <f t="shared" si="1"/>
        <v>9</v>
      </c>
      <c r="O558" s="26">
        <f>IF(operations[sinceLastOrder]=0,0,operations[orderQuantity] / operations[sinceLastOrder])</f>
        <v>3.333333333</v>
      </c>
      <c r="P558" s="9">
        <v>147.06</v>
      </c>
      <c r="Q558" s="7" t="s">
        <v>13</v>
      </c>
      <c r="R558" s="10">
        <f>operations[arrivedDate]-operations[shippedDate]</f>
        <v>11</v>
      </c>
    </row>
    <row r="559" ht="15.75" customHeight="1">
      <c r="A559" s="6">
        <v>10458.0</v>
      </c>
      <c r="B559" s="24">
        <v>44983.0</v>
      </c>
      <c r="C559" s="24">
        <v>45011.0</v>
      </c>
      <c r="D559" s="24">
        <v>44989.0</v>
      </c>
      <c r="E559" s="24">
        <v>45000.0</v>
      </c>
      <c r="F559" s="6">
        <v>28.0</v>
      </c>
      <c r="G559" s="9" t="str">
        <f>VLOOKUP(operations[productID],products[],2,FALSE)</f>
        <v>Rössle Sauerkraut</v>
      </c>
      <c r="H559" s="9" t="str">
        <f>IF(VLOOKUP(operations[productID],products[],7,FALSE)=1,"Discontinued","Current")</f>
        <v>Discontinued</v>
      </c>
      <c r="I559" s="6">
        <f>VLOOKUP(operations[productID],products[],4,FALSE)</f>
        <v>26</v>
      </c>
      <c r="J559" s="6">
        <f>VLOOKUP(operations[productID],products[],5,FALSE)</f>
        <v>0</v>
      </c>
      <c r="K559" s="6">
        <f>VLOOKUP(operations[productID],products[],6,FALSE)</f>
        <v>0</v>
      </c>
      <c r="L559" s="10">
        <f t="array" ref="L559">INDEX('1 orders'!I559:I2156, MATCH(1, ('1 orders'!A559:A2156=A559)*('1 orders'!G559:G2156=F559), 0))
</f>
        <v>30</v>
      </c>
      <c r="M559" s="10">
        <f>IFERROR(__xludf.DUMMYFUNCTION("COUNTUNIQUEIFS($A$2:$A559,$F$2:$F559,F559)"),12.0)</f>
        <v>12</v>
      </c>
      <c r="N559" s="10">
        <f t="shared" si="1"/>
        <v>6</v>
      </c>
      <c r="O559" s="26">
        <f>IF(operations[sinceLastOrder]=0,0,operations[orderQuantity] / operations[sinceLastOrder])</f>
        <v>5</v>
      </c>
      <c r="P559" s="9">
        <v>147.06</v>
      </c>
      <c r="Q559" s="7" t="s">
        <v>13</v>
      </c>
      <c r="R559" s="10">
        <f>operations[arrivedDate]-operations[shippedDate]</f>
        <v>11</v>
      </c>
    </row>
    <row r="560" ht="15.75" customHeight="1">
      <c r="A560" s="6">
        <v>10458.0</v>
      </c>
      <c r="B560" s="24">
        <v>44983.0</v>
      </c>
      <c r="C560" s="24">
        <v>45011.0</v>
      </c>
      <c r="D560" s="24">
        <v>44989.0</v>
      </c>
      <c r="E560" s="24">
        <v>45000.0</v>
      </c>
      <c r="F560" s="6">
        <v>43.0</v>
      </c>
      <c r="G560" s="9" t="str">
        <f>VLOOKUP(operations[productID],products[],2,FALSE)</f>
        <v>Ipoh Coffee</v>
      </c>
      <c r="H560" s="9" t="str">
        <f>IF(VLOOKUP(operations[productID],products[],7,FALSE)=1,"Discontinued","Current")</f>
        <v>Current</v>
      </c>
      <c r="I560" s="6">
        <f>VLOOKUP(operations[productID],products[],4,FALSE)</f>
        <v>17</v>
      </c>
      <c r="J560" s="6">
        <f>VLOOKUP(operations[productID],products[],5,FALSE)</f>
        <v>10</v>
      </c>
      <c r="K560" s="6">
        <f>VLOOKUP(operations[productID],products[],6,FALSE)</f>
        <v>25</v>
      </c>
      <c r="L560" s="10">
        <f t="array" ref="L560">INDEX('1 orders'!I560:I2156, MATCH(1, ('1 orders'!A560:A2156=A560)*('1 orders'!G560:G2156=F560), 0))
</f>
        <v>20</v>
      </c>
      <c r="M560" s="10">
        <f>IFERROR(__xludf.DUMMYFUNCTION("COUNTUNIQUEIFS($A$2:$A560,$F$2:$F560,F560)"),7.0)</f>
        <v>7</v>
      </c>
      <c r="N560" s="10">
        <f t="shared" si="1"/>
        <v>120</v>
      </c>
      <c r="O560" s="26">
        <f>IF(operations[sinceLastOrder]=0,0,operations[orderQuantity] / operations[sinceLastOrder])</f>
        <v>0.1666666667</v>
      </c>
      <c r="P560" s="9">
        <v>147.06</v>
      </c>
      <c r="Q560" s="7" t="s">
        <v>13</v>
      </c>
      <c r="R560" s="10">
        <f>operations[arrivedDate]-operations[shippedDate]</f>
        <v>11</v>
      </c>
    </row>
    <row r="561" ht="15.75" customHeight="1">
      <c r="A561" s="6">
        <v>10458.0</v>
      </c>
      <c r="B561" s="24">
        <v>44983.0</v>
      </c>
      <c r="C561" s="24">
        <v>45011.0</v>
      </c>
      <c r="D561" s="24">
        <v>44989.0</v>
      </c>
      <c r="E561" s="24">
        <v>45000.0</v>
      </c>
      <c r="F561" s="6">
        <v>56.0</v>
      </c>
      <c r="G561" s="9" t="str">
        <f>VLOOKUP(operations[productID],products[],2,FALSE)</f>
        <v>Gnocchi di nonna Alice</v>
      </c>
      <c r="H561" s="9" t="str">
        <f>IF(VLOOKUP(operations[productID],products[],7,FALSE)=1,"Discontinued","Current")</f>
        <v>Current</v>
      </c>
      <c r="I561" s="6">
        <f>VLOOKUP(operations[productID],products[],4,FALSE)</f>
        <v>21</v>
      </c>
      <c r="J561" s="6">
        <f>VLOOKUP(operations[productID],products[],5,FALSE)</f>
        <v>10</v>
      </c>
      <c r="K561" s="6">
        <f>VLOOKUP(operations[productID],products[],6,FALSE)</f>
        <v>30</v>
      </c>
      <c r="L561" s="10">
        <f t="array" ref="L561">INDEX('1 orders'!I561:I2156, MATCH(1, ('1 orders'!A561:A2156=A561)*('1 orders'!G561:G2156=F561), 0))
</f>
        <v>15</v>
      </c>
      <c r="M561" s="10">
        <f>IFERROR(__xludf.DUMMYFUNCTION("COUNTUNIQUEIFS($A$2:$A561,$F$2:$F561,F561)"),13.0)</f>
        <v>13</v>
      </c>
      <c r="N561" s="10">
        <f t="shared" si="1"/>
        <v>21</v>
      </c>
      <c r="O561" s="26">
        <f>IF(operations[sinceLastOrder]=0,0,operations[orderQuantity] / operations[sinceLastOrder])</f>
        <v>0.7142857143</v>
      </c>
      <c r="P561" s="9">
        <v>147.06</v>
      </c>
      <c r="Q561" s="7" t="s">
        <v>13</v>
      </c>
      <c r="R561" s="10">
        <f>operations[arrivedDate]-operations[shippedDate]</f>
        <v>11</v>
      </c>
    </row>
    <row r="562" ht="15.75" customHeight="1">
      <c r="A562" s="6">
        <v>10458.0</v>
      </c>
      <c r="B562" s="24">
        <v>44983.0</v>
      </c>
      <c r="C562" s="24">
        <v>45011.0</v>
      </c>
      <c r="D562" s="24">
        <v>44989.0</v>
      </c>
      <c r="E562" s="24">
        <v>45000.0</v>
      </c>
      <c r="F562" s="6">
        <v>71.0</v>
      </c>
      <c r="G562" s="9" t="str">
        <f>VLOOKUP(operations[productID],products[],2,FALSE)</f>
        <v>Flotemysost</v>
      </c>
      <c r="H562" s="9" t="str">
        <f>IF(VLOOKUP(operations[productID],products[],7,FALSE)=1,"Discontinued","Current")</f>
        <v>Current</v>
      </c>
      <c r="I562" s="6">
        <f>VLOOKUP(operations[productID],products[],4,FALSE)</f>
        <v>26</v>
      </c>
      <c r="J562" s="6">
        <f>VLOOKUP(operations[productID],products[],5,FALSE)</f>
        <v>0</v>
      </c>
      <c r="K562" s="6">
        <f>VLOOKUP(operations[productID],products[],6,FALSE)</f>
        <v>0</v>
      </c>
      <c r="L562" s="10">
        <f t="array" ref="L562">INDEX('1 orders'!I562:I2156, MATCH(1, ('1 orders'!A562:A2156=A562)*('1 orders'!G562:G2156=F562), 0))
</f>
        <v>50</v>
      </c>
      <c r="M562" s="10">
        <f>IFERROR(__xludf.DUMMYFUNCTION("COUNTUNIQUEIFS($A$2:$A562,$F$2:$F562,F562)"),16.0)</f>
        <v>16</v>
      </c>
      <c r="N562" s="10">
        <f t="shared" si="1"/>
        <v>2</v>
      </c>
      <c r="O562" s="26">
        <f>IF(operations[sinceLastOrder]=0,0,operations[orderQuantity] / operations[sinceLastOrder])</f>
        <v>25</v>
      </c>
      <c r="P562" s="9">
        <v>147.06</v>
      </c>
      <c r="Q562" s="7" t="s">
        <v>13</v>
      </c>
      <c r="R562" s="10">
        <f>operations[arrivedDate]-operations[shippedDate]</f>
        <v>11</v>
      </c>
    </row>
    <row r="563" ht="15.75" customHeight="1">
      <c r="A563" s="6">
        <v>10459.0</v>
      </c>
      <c r="B563" s="24">
        <v>44984.0</v>
      </c>
      <c r="C563" s="24">
        <v>45012.0</v>
      </c>
      <c r="D563" s="24">
        <v>44985.0</v>
      </c>
      <c r="E563" s="24">
        <v>44993.0</v>
      </c>
      <c r="F563" s="6">
        <v>7.0</v>
      </c>
      <c r="G563" s="9" t="str">
        <f>VLOOKUP(operations[productID],products[],2,FALSE)</f>
        <v>Uncle Bob's Organic Dried Pears</v>
      </c>
      <c r="H563" s="9" t="str">
        <f>IF(VLOOKUP(operations[productID],products[],7,FALSE)=1,"Discontinued","Current")</f>
        <v>Current</v>
      </c>
      <c r="I563" s="6">
        <f>VLOOKUP(operations[productID],products[],4,FALSE)</f>
        <v>15</v>
      </c>
      <c r="J563" s="6">
        <f>VLOOKUP(operations[productID],products[],5,FALSE)</f>
        <v>0</v>
      </c>
      <c r="K563" s="6">
        <f>VLOOKUP(operations[productID],products[],6,FALSE)</f>
        <v>10</v>
      </c>
      <c r="L563" s="10">
        <f t="array" ref="L563">INDEX('1 orders'!I563:I2156, MATCH(1, ('1 orders'!A563:A2156=A563)*('1 orders'!G563:G2156=F563), 0))
</f>
        <v>16</v>
      </c>
      <c r="M563" s="10">
        <f>IFERROR(__xludf.DUMMYFUNCTION("COUNTUNIQUEIFS($A$2:$A563,$F$2:$F563,F563)"),3.0)</f>
        <v>3</v>
      </c>
      <c r="N563" s="10">
        <f t="shared" si="1"/>
        <v>72</v>
      </c>
      <c r="O563" s="26">
        <f>IF(operations[sinceLastOrder]=0,0,operations[orderQuantity] / operations[sinceLastOrder])</f>
        <v>0.2222222222</v>
      </c>
      <c r="P563" s="9">
        <v>25.09</v>
      </c>
      <c r="Q563" s="7" t="s">
        <v>17</v>
      </c>
      <c r="R563" s="10">
        <f>operations[arrivedDate]-operations[shippedDate]</f>
        <v>8</v>
      </c>
    </row>
    <row r="564" ht="15.75" customHeight="1">
      <c r="A564" s="6">
        <v>10459.0</v>
      </c>
      <c r="B564" s="24">
        <v>44984.0</v>
      </c>
      <c r="C564" s="24">
        <v>45012.0</v>
      </c>
      <c r="D564" s="24">
        <v>44985.0</v>
      </c>
      <c r="E564" s="24">
        <v>44993.0</v>
      </c>
      <c r="F564" s="6">
        <v>46.0</v>
      </c>
      <c r="G564" s="9" t="str">
        <f>VLOOKUP(operations[productID],products[],2,FALSE)</f>
        <v>Spegesild</v>
      </c>
      <c r="H564" s="9" t="str">
        <f>IF(VLOOKUP(operations[productID],products[],7,FALSE)=1,"Discontinued","Current")</f>
        <v>Current</v>
      </c>
      <c r="I564" s="6">
        <f>VLOOKUP(operations[productID],products[],4,FALSE)</f>
        <v>95</v>
      </c>
      <c r="J564" s="6">
        <f>VLOOKUP(operations[productID],products[],5,FALSE)</f>
        <v>0</v>
      </c>
      <c r="K564" s="6">
        <f>VLOOKUP(operations[productID],products[],6,FALSE)</f>
        <v>0</v>
      </c>
      <c r="L564" s="10">
        <f t="array" ref="L564">INDEX('1 orders'!I564:I2156, MATCH(1, ('1 orders'!A564:A2156=A564)*('1 orders'!G564:G2156=F564), 0))
</f>
        <v>20</v>
      </c>
      <c r="M564" s="10">
        <f>IFERROR(__xludf.DUMMYFUNCTION("COUNTUNIQUEIFS($A$2:$A564,$F$2:$F564,F564)"),9.0)</f>
        <v>9</v>
      </c>
      <c r="N564" s="10">
        <f t="shared" si="1"/>
        <v>6</v>
      </c>
      <c r="O564" s="26">
        <f>IF(operations[sinceLastOrder]=0,0,operations[orderQuantity] / operations[sinceLastOrder])</f>
        <v>3.333333333</v>
      </c>
      <c r="P564" s="9">
        <v>25.09</v>
      </c>
      <c r="Q564" s="7" t="s">
        <v>17</v>
      </c>
      <c r="R564" s="10">
        <f>operations[arrivedDate]-operations[shippedDate]</f>
        <v>8</v>
      </c>
    </row>
    <row r="565" ht="15.75" customHeight="1">
      <c r="A565" s="6">
        <v>10459.0</v>
      </c>
      <c r="B565" s="24">
        <v>44984.0</v>
      </c>
      <c r="C565" s="24">
        <v>45012.0</v>
      </c>
      <c r="D565" s="24">
        <v>44985.0</v>
      </c>
      <c r="E565" s="24">
        <v>44993.0</v>
      </c>
      <c r="F565" s="6">
        <v>72.0</v>
      </c>
      <c r="G565" s="9" t="str">
        <f>VLOOKUP(operations[productID],products[],2,FALSE)</f>
        <v>Mozzarella di Giovanni</v>
      </c>
      <c r="H565" s="9" t="str">
        <f>IF(VLOOKUP(operations[productID],products[],7,FALSE)=1,"Discontinued","Current")</f>
        <v>Current</v>
      </c>
      <c r="I565" s="6">
        <f>VLOOKUP(operations[productID],products[],4,FALSE)</f>
        <v>14</v>
      </c>
      <c r="J565" s="6">
        <f>VLOOKUP(operations[productID],products[],5,FALSE)</f>
        <v>0</v>
      </c>
      <c r="K565" s="6">
        <f>VLOOKUP(operations[productID],products[],6,FALSE)</f>
        <v>0</v>
      </c>
      <c r="L565" s="10">
        <f t="array" ref="L565">INDEX('1 orders'!I565:I2156, MATCH(1, ('1 orders'!A565:A2156=A565)*('1 orders'!G565:G2156=F565), 0))
</f>
        <v>40</v>
      </c>
      <c r="M565" s="10">
        <f>IFERROR(__xludf.DUMMYFUNCTION("COUNTUNIQUEIFS($A$2:$A565,$F$2:$F565,F565)"),15.0)</f>
        <v>15</v>
      </c>
      <c r="N565" s="10">
        <f t="shared" si="1"/>
        <v>23</v>
      </c>
      <c r="O565" s="26">
        <f>IF(operations[sinceLastOrder]=0,0,operations[orderQuantity] / operations[sinceLastOrder])</f>
        <v>1.739130435</v>
      </c>
      <c r="P565" s="9">
        <v>25.09</v>
      </c>
      <c r="Q565" s="7" t="s">
        <v>17</v>
      </c>
      <c r="R565" s="10">
        <f>operations[arrivedDate]-operations[shippedDate]</f>
        <v>8</v>
      </c>
    </row>
    <row r="566" ht="15.75" customHeight="1">
      <c r="A566" s="6">
        <v>10460.0</v>
      </c>
      <c r="B566" s="24">
        <v>44985.0</v>
      </c>
      <c r="C566" s="24">
        <v>45013.0</v>
      </c>
      <c r="D566" s="24">
        <v>44988.0</v>
      </c>
      <c r="E566" s="24">
        <v>44995.0</v>
      </c>
      <c r="F566" s="6">
        <v>68.0</v>
      </c>
      <c r="G566" s="9" t="str">
        <f>VLOOKUP(operations[productID],products[],2,FALSE)</f>
        <v>Scottish Longbreads</v>
      </c>
      <c r="H566" s="9" t="str">
        <f>IF(VLOOKUP(operations[productID],products[],7,FALSE)=1,"Discontinued","Current")</f>
        <v>Current</v>
      </c>
      <c r="I566" s="6">
        <f>VLOOKUP(operations[productID],products[],4,FALSE)</f>
        <v>6</v>
      </c>
      <c r="J566" s="6">
        <f>VLOOKUP(operations[productID],products[],5,FALSE)</f>
        <v>10</v>
      </c>
      <c r="K566" s="6">
        <f>VLOOKUP(operations[productID],products[],6,FALSE)</f>
        <v>15</v>
      </c>
      <c r="L566" s="10">
        <f t="array" ref="L566">INDEX('1 orders'!I566:I2156, MATCH(1, ('1 orders'!A566:A2156=A566)*('1 orders'!G566:G2156=F566), 0))
</f>
        <v>21</v>
      </c>
      <c r="M566" s="10">
        <f>IFERROR(__xludf.DUMMYFUNCTION("COUNTUNIQUEIFS($A$2:$A566,$F$2:$F566,F566)"),12.0)</f>
        <v>12</v>
      </c>
      <c r="N566" s="10">
        <f t="shared" si="1"/>
        <v>36</v>
      </c>
      <c r="O566" s="26">
        <f>IF(operations[sinceLastOrder]=0,0,operations[orderQuantity] / operations[sinceLastOrder])</f>
        <v>0.5833333333</v>
      </c>
      <c r="P566" s="9">
        <v>16.27</v>
      </c>
      <c r="Q566" s="7" t="s">
        <v>15</v>
      </c>
      <c r="R566" s="10">
        <f>operations[arrivedDate]-operations[shippedDate]</f>
        <v>7</v>
      </c>
    </row>
    <row r="567" ht="15.75" customHeight="1">
      <c r="A567" s="6">
        <v>10460.0</v>
      </c>
      <c r="B567" s="24">
        <v>44985.0</v>
      </c>
      <c r="C567" s="24">
        <v>45013.0</v>
      </c>
      <c r="D567" s="24">
        <v>44988.0</v>
      </c>
      <c r="E567" s="24">
        <v>44995.0</v>
      </c>
      <c r="F567" s="6">
        <v>75.0</v>
      </c>
      <c r="G567" s="9" t="str">
        <f>VLOOKUP(operations[productID],products[],2,FALSE)</f>
        <v>Rhönbräu Klosterbier</v>
      </c>
      <c r="H567" s="9" t="str">
        <f>IF(VLOOKUP(operations[productID],products[],7,FALSE)=1,"Discontinued","Current")</f>
        <v>Current</v>
      </c>
      <c r="I567" s="6">
        <f>VLOOKUP(operations[productID],products[],4,FALSE)</f>
        <v>125</v>
      </c>
      <c r="J567" s="6">
        <f>VLOOKUP(operations[productID],products[],5,FALSE)</f>
        <v>0</v>
      </c>
      <c r="K567" s="6">
        <f>VLOOKUP(operations[productID],products[],6,FALSE)</f>
        <v>25</v>
      </c>
      <c r="L567" s="10">
        <f t="array" ref="L567">INDEX('1 orders'!I567:I2156, MATCH(1, ('1 orders'!A567:A2156=A567)*('1 orders'!G567:G2156=F567), 0))
</f>
        <v>4</v>
      </c>
      <c r="M567" s="10">
        <f>IFERROR(__xludf.DUMMYFUNCTION("COUNTUNIQUEIFS($A$2:$A567,$F$2:$F567,F567)"),9.0)</f>
        <v>9</v>
      </c>
      <c r="N567" s="10">
        <f t="shared" si="1"/>
        <v>23</v>
      </c>
      <c r="O567" s="26">
        <f>IF(operations[sinceLastOrder]=0,0,operations[orderQuantity] / operations[sinceLastOrder])</f>
        <v>0.1739130435</v>
      </c>
      <c r="P567" s="9">
        <v>16.27</v>
      </c>
      <c r="Q567" s="7" t="s">
        <v>15</v>
      </c>
      <c r="R567" s="10">
        <f>operations[arrivedDate]-operations[shippedDate]</f>
        <v>7</v>
      </c>
    </row>
    <row r="568" ht="15.75" customHeight="1">
      <c r="A568" s="6">
        <v>10461.0</v>
      </c>
      <c r="B568" s="24">
        <v>44985.0</v>
      </c>
      <c r="C568" s="24">
        <v>45013.0</v>
      </c>
      <c r="D568" s="24">
        <v>44990.0</v>
      </c>
      <c r="E568" s="24">
        <v>45004.0</v>
      </c>
      <c r="F568" s="6">
        <v>21.0</v>
      </c>
      <c r="G568" s="9" t="str">
        <f>VLOOKUP(operations[productID],products[],2,FALSE)</f>
        <v>Sir Rodney's Scones</v>
      </c>
      <c r="H568" s="9" t="str">
        <f>IF(VLOOKUP(operations[productID],products[],7,FALSE)=1,"Discontinued","Current")</f>
        <v>Current</v>
      </c>
      <c r="I568" s="6">
        <f>VLOOKUP(operations[productID],products[],4,FALSE)</f>
        <v>3</v>
      </c>
      <c r="J568" s="6">
        <f>VLOOKUP(operations[productID],products[],5,FALSE)</f>
        <v>40</v>
      </c>
      <c r="K568" s="6">
        <f>VLOOKUP(operations[productID],products[],6,FALSE)</f>
        <v>5</v>
      </c>
      <c r="L568" s="10">
        <f t="array" ref="L568">INDEX('1 orders'!I568:I2156, MATCH(1, ('1 orders'!A568:A2156=A568)*('1 orders'!G568:G2156=F568), 0))
</f>
        <v>40</v>
      </c>
      <c r="M568" s="10">
        <f>IFERROR(__xludf.DUMMYFUNCTION("COUNTUNIQUEIFS($A$2:$A568,$F$2:$F568,F568)"),10.0)</f>
        <v>10</v>
      </c>
      <c r="N568" s="10">
        <f t="shared" si="1"/>
        <v>3</v>
      </c>
      <c r="O568" s="26">
        <f>IF(operations[sinceLastOrder]=0,0,operations[orderQuantity] / operations[sinceLastOrder])</f>
        <v>13.33333333</v>
      </c>
      <c r="P568" s="9">
        <v>148.61</v>
      </c>
      <c r="Q568" s="7" t="s">
        <v>13</v>
      </c>
      <c r="R568" s="10">
        <f>operations[arrivedDate]-operations[shippedDate]</f>
        <v>14</v>
      </c>
    </row>
    <row r="569" ht="15.75" customHeight="1">
      <c r="A569" s="6">
        <v>10461.0</v>
      </c>
      <c r="B569" s="24">
        <v>44985.0</v>
      </c>
      <c r="C569" s="24">
        <v>45013.0</v>
      </c>
      <c r="D569" s="24">
        <v>44990.0</v>
      </c>
      <c r="E569" s="24">
        <v>45004.0</v>
      </c>
      <c r="F569" s="6">
        <v>30.0</v>
      </c>
      <c r="G569" s="9" t="str">
        <f>VLOOKUP(operations[productID],products[],2,FALSE)</f>
        <v>Nord-Ost Matjeshering</v>
      </c>
      <c r="H569" s="9" t="str">
        <f>IF(VLOOKUP(operations[productID],products[],7,FALSE)=1,"Discontinued","Current")</f>
        <v>Current</v>
      </c>
      <c r="I569" s="6">
        <f>VLOOKUP(operations[productID],products[],4,FALSE)</f>
        <v>10</v>
      </c>
      <c r="J569" s="6">
        <f>VLOOKUP(operations[productID],products[],5,FALSE)</f>
        <v>0</v>
      </c>
      <c r="K569" s="6">
        <f>VLOOKUP(operations[productID],products[],6,FALSE)</f>
        <v>15</v>
      </c>
      <c r="L569" s="10">
        <f t="array" ref="L569">INDEX('1 orders'!I569:I2156, MATCH(1, ('1 orders'!A569:A2156=A569)*('1 orders'!G569:G2156=F569), 0))
</f>
        <v>28</v>
      </c>
      <c r="M569" s="10">
        <f>IFERROR(__xludf.DUMMYFUNCTION("COUNTUNIQUEIFS($A$2:$A569,$F$2:$F569,F569)"),9.0)</f>
        <v>9</v>
      </c>
      <c r="N569" s="10">
        <f t="shared" si="1"/>
        <v>58</v>
      </c>
      <c r="O569" s="26">
        <f>IF(operations[sinceLastOrder]=0,0,operations[orderQuantity] / operations[sinceLastOrder])</f>
        <v>0.4827586207</v>
      </c>
      <c r="P569" s="9">
        <v>148.61</v>
      </c>
      <c r="Q569" s="7" t="s">
        <v>13</v>
      </c>
      <c r="R569" s="10">
        <f>operations[arrivedDate]-operations[shippedDate]</f>
        <v>14</v>
      </c>
    </row>
    <row r="570" ht="15.75" customHeight="1">
      <c r="A570" s="6">
        <v>10461.0</v>
      </c>
      <c r="B570" s="24">
        <v>44985.0</v>
      </c>
      <c r="C570" s="24">
        <v>45013.0</v>
      </c>
      <c r="D570" s="24">
        <v>44990.0</v>
      </c>
      <c r="E570" s="24">
        <v>45004.0</v>
      </c>
      <c r="F570" s="6">
        <v>55.0</v>
      </c>
      <c r="G570" s="9" t="str">
        <f>VLOOKUP(operations[productID],products[],2,FALSE)</f>
        <v>Pâté chinois</v>
      </c>
      <c r="H570" s="9" t="str">
        <f>IF(VLOOKUP(operations[productID],products[],7,FALSE)=1,"Discontinued","Current")</f>
        <v>Current</v>
      </c>
      <c r="I570" s="6">
        <f>VLOOKUP(operations[productID],products[],4,FALSE)</f>
        <v>115</v>
      </c>
      <c r="J570" s="6">
        <f>VLOOKUP(operations[productID],products[],5,FALSE)</f>
        <v>0</v>
      </c>
      <c r="K570" s="6">
        <f>VLOOKUP(operations[productID],products[],6,FALSE)</f>
        <v>20</v>
      </c>
      <c r="L570" s="10">
        <f t="array" ref="L570">INDEX('1 orders'!I570:I2156, MATCH(1, ('1 orders'!A570:A2156=A570)*('1 orders'!G570:G2156=F570), 0))
</f>
        <v>60</v>
      </c>
      <c r="M570" s="10">
        <f>IFERROR(__xludf.DUMMYFUNCTION("COUNTUNIQUEIFS($A$2:$A570,$F$2:$F570,F570)"),9.0)</f>
        <v>9</v>
      </c>
      <c r="N570" s="10">
        <f t="shared" si="1"/>
        <v>9</v>
      </c>
      <c r="O570" s="26">
        <f>IF(operations[sinceLastOrder]=0,0,operations[orderQuantity] / operations[sinceLastOrder])</f>
        <v>6.666666667</v>
      </c>
      <c r="P570" s="9">
        <v>148.61</v>
      </c>
      <c r="Q570" s="7" t="s">
        <v>13</v>
      </c>
      <c r="R570" s="10">
        <f>operations[arrivedDate]-operations[shippedDate]</f>
        <v>14</v>
      </c>
    </row>
    <row r="571" ht="15.75" customHeight="1">
      <c r="A571" s="6">
        <v>10462.0</v>
      </c>
      <c r="B571" s="24">
        <v>44988.0</v>
      </c>
      <c r="C571" s="24">
        <v>45016.0</v>
      </c>
      <c r="D571" s="24">
        <v>45003.0</v>
      </c>
      <c r="E571" s="24">
        <v>45006.0</v>
      </c>
      <c r="F571" s="6">
        <v>13.0</v>
      </c>
      <c r="G571" s="9" t="str">
        <f>VLOOKUP(operations[productID],products[],2,FALSE)</f>
        <v>Konbu</v>
      </c>
      <c r="H571" s="9" t="str">
        <f>IF(VLOOKUP(operations[productID],products[],7,FALSE)=1,"Discontinued","Current")</f>
        <v>Current</v>
      </c>
      <c r="I571" s="6">
        <f>VLOOKUP(operations[productID],products[],4,FALSE)</f>
        <v>24</v>
      </c>
      <c r="J571" s="6">
        <f>VLOOKUP(operations[productID],products[],5,FALSE)</f>
        <v>0</v>
      </c>
      <c r="K571" s="6">
        <f>VLOOKUP(operations[productID],products[],6,FALSE)</f>
        <v>5</v>
      </c>
      <c r="L571" s="10">
        <f t="array" ref="L571">INDEX('1 orders'!I571:I2156, MATCH(1, ('1 orders'!A571:A2156=A571)*('1 orders'!G571:G2156=F571), 0))
</f>
        <v>1</v>
      </c>
      <c r="M571" s="10">
        <f>IFERROR(__xludf.DUMMYFUNCTION("COUNTUNIQUEIFS($A$2:$A571,$F$2:$F571,F571)"),8.0)</f>
        <v>8</v>
      </c>
      <c r="N571" s="10">
        <f t="shared" si="1"/>
        <v>41</v>
      </c>
      <c r="O571" s="26">
        <f>IF(operations[sinceLastOrder]=0,0,operations[orderQuantity] / operations[sinceLastOrder])</f>
        <v>0.0243902439</v>
      </c>
      <c r="P571" s="9">
        <v>6.17</v>
      </c>
      <c r="Q571" s="7" t="s">
        <v>15</v>
      </c>
      <c r="R571" s="10">
        <f>operations[arrivedDate]-operations[shippedDate]</f>
        <v>3</v>
      </c>
    </row>
    <row r="572" ht="15.75" customHeight="1">
      <c r="A572" s="6">
        <v>10462.0</v>
      </c>
      <c r="B572" s="24">
        <v>44988.0</v>
      </c>
      <c r="C572" s="24">
        <v>45016.0</v>
      </c>
      <c r="D572" s="24">
        <v>45003.0</v>
      </c>
      <c r="E572" s="24">
        <v>45006.0</v>
      </c>
      <c r="F572" s="6">
        <v>23.0</v>
      </c>
      <c r="G572" s="9" t="str">
        <f>VLOOKUP(operations[productID],products[],2,FALSE)</f>
        <v>Tunnbröd</v>
      </c>
      <c r="H572" s="9" t="str">
        <f>IF(VLOOKUP(operations[productID],products[],7,FALSE)=1,"Discontinued","Current")</f>
        <v>Current</v>
      </c>
      <c r="I572" s="6">
        <f>VLOOKUP(operations[productID],products[],4,FALSE)</f>
        <v>61</v>
      </c>
      <c r="J572" s="6">
        <f>VLOOKUP(operations[productID],products[],5,FALSE)</f>
        <v>0</v>
      </c>
      <c r="K572" s="6">
        <f>VLOOKUP(operations[productID],products[],6,FALSE)</f>
        <v>25</v>
      </c>
      <c r="L572" s="10">
        <f t="array" ref="L572">INDEX('1 orders'!I572:I2156, MATCH(1, ('1 orders'!A572:A2156=A572)*('1 orders'!G572:G2156=F572), 0))
</f>
        <v>21</v>
      </c>
      <c r="M572" s="10">
        <f>IFERROR(__xludf.DUMMYFUNCTION("COUNTUNIQUEIFS($A$2:$A572,$F$2:$F572,F572)"),5.0)</f>
        <v>5</v>
      </c>
      <c r="N572" s="10">
        <f t="shared" si="1"/>
        <v>60</v>
      </c>
      <c r="O572" s="26">
        <f>IF(operations[sinceLastOrder]=0,0,operations[orderQuantity] / operations[sinceLastOrder])</f>
        <v>0.35</v>
      </c>
      <c r="P572" s="9">
        <v>6.17</v>
      </c>
      <c r="Q572" s="7" t="s">
        <v>15</v>
      </c>
      <c r="R572" s="10">
        <f>operations[arrivedDate]-operations[shippedDate]</f>
        <v>3</v>
      </c>
    </row>
    <row r="573" ht="15.75" customHeight="1">
      <c r="A573" s="6">
        <v>10463.0</v>
      </c>
      <c r="B573" s="24">
        <v>44989.0</v>
      </c>
      <c r="C573" s="24">
        <v>45017.0</v>
      </c>
      <c r="D573" s="24">
        <v>44991.0</v>
      </c>
      <c r="E573" s="24">
        <v>45001.0</v>
      </c>
      <c r="F573" s="6">
        <v>19.0</v>
      </c>
      <c r="G573" s="9" t="str">
        <f>VLOOKUP(operations[productID],products[],2,FALSE)</f>
        <v>Teatime Chocolate Biscuits</v>
      </c>
      <c r="H573" s="9" t="str">
        <f>IF(VLOOKUP(operations[productID],products[],7,FALSE)=1,"Discontinued","Current")</f>
        <v>Current</v>
      </c>
      <c r="I573" s="6">
        <f>VLOOKUP(operations[productID],products[],4,FALSE)</f>
        <v>25</v>
      </c>
      <c r="J573" s="6">
        <f>VLOOKUP(operations[productID],products[],5,FALSE)</f>
        <v>0</v>
      </c>
      <c r="K573" s="6">
        <f>VLOOKUP(operations[productID],products[],6,FALSE)</f>
        <v>5</v>
      </c>
      <c r="L573" s="10">
        <f t="array" ref="L573">INDEX('1 orders'!I573:I2156, MATCH(1, ('1 orders'!A573:A2156=A573)*('1 orders'!G573:G2156=F573), 0))
</f>
        <v>21</v>
      </c>
      <c r="M573" s="10">
        <f>IFERROR(__xludf.DUMMYFUNCTION("COUNTUNIQUEIFS($A$2:$A573,$F$2:$F573,F573)"),12.0)</f>
        <v>12</v>
      </c>
      <c r="N573" s="10">
        <f t="shared" si="1"/>
        <v>18</v>
      </c>
      <c r="O573" s="26">
        <f>IF(operations[sinceLastOrder]=0,0,operations[orderQuantity] / operations[sinceLastOrder])</f>
        <v>1.166666667</v>
      </c>
      <c r="P573" s="9">
        <v>14.78</v>
      </c>
      <c r="Q573" s="7" t="s">
        <v>13</v>
      </c>
      <c r="R573" s="10">
        <f>operations[arrivedDate]-operations[shippedDate]</f>
        <v>10</v>
      </c>
    </row>
    <row r="574" ht="15.75" customHeight="1">
      <c r="A574" s="6">
        <v>10463.0</v>
      </c>
      <c r="B574" s="24">
        <v>44989.0</v>
      </c>
      <c r="C574" s="24">
        <v>45017.0</v>
      </c>
      <c r="D574" s="24">
        <v>44991.0</v>
      </c>
      <c r="E574" s="24">
        <v>45001.0</v>
      </c>
      <c r="F574" s="6">
        <v>42.0</v>
      </c>
      <c r="G574" s="9" t="str">
        <f>VLOOKUP(operations[productID],products[],2,FALSE)</f>
        <v>Singaporean Hokkien Fried Mee</v>
      </c>
      <c r="H574" s="9" t="str">
        <f>IF(VLOOKUP(operations[productID],products[],7,FALSE)=1,"Discontinued","Current")</f>
        <v>Discontinued</v>
      </c>
      <c r="I574" s="6">
        <f>VLOOKUP(operations[productID],products[],4,FALSE)</f>
        <v>26</v>
      </c>
      <c r="J574" s="6">
        <f>VLOOKUP(operations[productID],products[],5,FALSE)</f>
        <v>0</v>
      </c>
      <c r="K574" s="6">
        <f>VLOOKUP(operations[productID],products[],6,FALSE)</f>
        <v>0</v>
      </c>
      <c r="L574" s="10">
        <f t="array" ref="L574">INDEX('1 orders'!I574:I2156, MATCH(1, ('1 orders'!A574:A2156=A574)*('1 orders'!G574:G2156=F574), 0))
</f>
        <v>50</v>
      </c>
      <c r="M574" s="10">
        <f>IFERROR(__xludf.DUMMYFUNCTION("COUNTUNIQUEIFS($A$2:$A574,$F$2:$F574,F574)"),7.0)</f>
        <v>7</v>
      </c>
      <c r="N574" s="10">
        <f t="shared" si="1"/>
        <v>60</v>
      </c>
      <c r="O574" s="26">
        <f>IF(operations[sinceLastOrder]=0,0,operations[orderQuantity] / operations[sinceLastOrder])</f>
        <v>0.8333333333</v>
      </c>
      <c r="P574" s="9">
        <v>14.78</v>
      </c>
      <c r="Q574" s="7" t="s">
        <v>13</v>
      </c>
      <c r="R574" s="10">
        <f>operations[arrivedDate]-operations[shippedDate]</f>
        <v>10</v>
      </c>
    </row>
    <row r="575" ht="15.75" customHeight="1">
      <c r="A575" s="6">
        <v>10464.0</v>
      </c>
      <c r="B575" s="24">
        <v>44989.0</v>
      </c>
      <c r="C575" s="24">
        <v>45017.0</v>
      </c>
      <c r="D575" s="24">
        <v>44999.0</v>
      </c>
      <c r="E575" s="24">
        <v>45015.0</v>
      </c>
      <c r="F575" s="6">
        <v>4.0</v>
      </c>
      <c r="G575" s="9" t="str">
        <f>VLOOKUP(operations[productID],products[],2,FALSE)</f>
        <v>Chef Anton's Cajun Seasoning</v>
      </c>
      <c r="H575" s="9" t="str">
        <f>IF(VLOOKUP(operations[productID],products[],7,FALSE)=1,"Discontinued","Current")</f>
        <v>Current</v>
      </c>
      <c r="I575" s="6">
        <f>VLOOKUP(operations[productID],products[],4,FALSE)</f>
        <v>53</v>
      </c>
      <c r="J575" s="6">
        <f>VLOOKUP(operations[productID],products[],5,FALSE)</f>
        <v>0</v>
      </c>
      <c r="K575" s="6">
        <f>VLOOKUP(operations[productID],products[],6,FALSE)</f>
        <v>0</v>
      </c>
      <c r="L575" s="10">
        <f t="array" ref="L575">INDEX('1 orders'!I575:I2156, MATCH(1, ('1 orders'!A575:A2156=A575)*('1 orders'!G575:G2156=F575), 0))
</f>
        <v>16</v>
      </c>
      <c r="M575" s="10">
        <f>IFERROR(__xludf.DUMMYFUNCTION("COUNTUNIQUEIFS($A$2:$A575,$F$2:$F575,F575)"),6.0)</f>
        <v>6</v>
      </c>
      <c r="N575" s="10">
        <f t="shared" si="1"/>
        <v>123</v>
      </c>
      <c r="O575" s="26">
        <f>IF(operations[sinceLastOrder]=0,0,operations[orderQuantity] / operations[sinceLastOrder])</f>
        <v>0.1300813008</v>
      </c>
      <c r="P575" s="9">
        <v>89.0</v>
      </c>
      <c r="Q575" s="7" t="s">
        <v>17</v>
      </c>
      <c r="R575" s="10">
        <f>operations[arrivedDate]-operations[shippedDate]</f>
        <v>16</v>
      </c>
    </row>
    <row r="576" ht="15.75" customHeight="1">
      <c r="A576" s="6">
        <v>10464.0</v>
      </c>
      <c r="B576" s="24">
        <v>44989.0</v>
      </c>
      <c r="C576" s="24">
        <v>45017.0</v>
      </c>
      <c r="D576" s="24">
        <v>44999.0</v>
      </c>
      <c r="E576" s="24">
        <v>45015.0</v>
      </c>
      <c r="F576" s="6">
        <v>43.0</v>
      </c>
      <c r="G576" s="9" t="str">
        <f>VLOOKUP(operations[productID],products[],2,FALSE)</f>
        <v>Ipoh Coffee</v>
      </c>
      <c r="H576" s="9" t="str">
        <f>IF(VLOOKUP(operations[productID],products[],7,FALSE)=1,"Discontinued","Current")</f>
        <v>Current</v>
      </c>
      <c r="I576" s="6">
        <f>VLOOKUP(operations[productID],products[],4,FALSE)</f>
        <v>17</v>
      </c>
      <c r="J576" s="6">
        <f>VLOOKUP(operations[productID],products[],5,FALSE)</f>
        <v>10</v>
      </c>
      <c r="K576" s="6">
        <f>VLOOKUP(operations[productID],products[],6,FALSE)</f>
        <v>25</v>
      </c>
      <c r="L576" s="10">
        <f t="array" ref="L576">INDEX('1 orders'!I576:I2156, MATCH(1, ('1 orders'!A576:A2156=A576)*('1 orders'!G576:G2156=F576), 0))
</f>
        <v>3</v>
      </c>
      <c r="M576" s="10">
        <f>IFERROR(__xludf.DUMMYFUNCTION("COUNTUNIQUEIFS($A$2:$A576,$F$2:$F576,F576)"),8.0)</f>
        <v>8</v>
      </c>
      <c r="N576" s="10">
        <f t="shared" si="1"/>
        <v>6</v>
      </c>
      <c r="O576" s="26">
        <f>IF(operations[sinceLastOrder]=0,0,operations[orderQuantity] / operations[sinceLastOrder])</f>
        <v>0.5</v>
      </c>
      <c r="P576" s="9">
        <v>89.0</v>
      </c>
      <c r="Q576" s="7" t="s">
        <v>17</v>
      </c>
      <c r="R576" s="10">
        <f>operations[arrivedDate]-operations[shippedDate]</f>
        <v>16</v>
      </c>
    </row>
    <row r="577" ht="15.75" customHeight="1">
      <c r="A577" s="6">
        <v>10464.0</v>
      </c>
      <c r="B577" s="24">
        <v>44989.0</v>
      </c>
      <c r="C577" s="24">
        <v>45017.0</v>
      </c>
      <c r="D577" s="24">
        <v>44999.0</v>
      </c>
      <c r="E577" s="24">
        <v>45015.0</v>
      </c>
      <c r="F577" s="6">
        <v>56.0</v>
      </c>
      <c r="G577" s="9" t="str">
        <f>VLOOKUP(operations[productID],products[],2,FALSE)</f>
        <v>Gnocchi di nonna Alice</v>
      </c>
      <c r="H577" s="9" t="str">
        <f>IF(VLOOKUP(operations[productID],products[],7,FALSE)=1,"Discontinued","Current")</f>
        <v>Current</v>
      </c>
      <c r="I577" s="6">
        <f>VLOOKUP(operations[productID],products[],4,FALSE)</f>
        <v>21</v>
      </c>
      <c r="J577" s="6">
        <f>VLOOKUP(operations[productID],products[],5,FALSE)</f>
        <v>10</v>
      </c>
      <c r="K577" s="6">
        <f>VLOOKUP(operations[productID],products[],6,FALSE)</f>
        <v>30</v>
      </c>
      <c r="L577" s="10">
        <f t="array" ref="L577">INDEX('1 orders'!I577:I2156, MATCH(1, ('1 orders'!A577:A2156=A577)*('1 orders'!G577:G2156=F577), 0))
</f>
        <v>30</v>
      </c>
      <c r="M577" s="10">
        <f>IFERROR(__xludf.DUMMYFUNCTION("COUNTUNIQUEIFS($A$2:$A577,$F$2:$F577,F577)"),14.0)</f>
        <v>14</v>
      </c>
      <c r="N577" s="10">
        <f t="shared" si="1"/>
        <v>6</v>
      </c>
      <c r="O577" s="26">
        <f>IF(operations[sinceLastOrder]=0,0,operations[orderQuantity] / operations[sinceLastOrder])</f>
        <v>5</v>
      </c>
      <c r="P577" s="9">
        <v>89.0</v>
      </c>
      <c r="Q577" s="7" t="s">
        <v>17</v>
      </c>
      <c r="R577" s="10">
        <f>operations[arrivedDate]-operations[shippedDate]</f>
        <v>16</v>
      </c>
    </row>
    <row r="578" ht="15.75" customHeight="1">
      <c r="A578" s="6">
        <v>10464.0</v>
      </c>
      <c r="B578" s="24">
        <v>44989.0</v>
      </c>
      <c r="C578" s="24">
        <v>45017.0</v>
      </c>
      <c r="D578" s="24">
        <v>44999.0</v>
      </c>
      <c r="E578" s="24">
        <v>45015.0</v>
      </c>
      <c r="F578" s="6">
        <v>60.0</v>
      </c>
      <c r="G578" s="9" t="str">
        <f>VLOOKUP(operations[productID],products[],2,FALSE)</f>
        <v>Camembert Pierrot</v>
      </c>
      <c r="H578" s="9" t="str">
        <f>IF(VLOOKUP(operations[productID],products[],7,FALSE)=1,"Discontinued","Current")</f>
        <v>Current</v>
      </c>
      <c r="I578" s="6">
        <f>VLOOKUP(operations[productID],products[],4,FALSE)</f>
        <v>19</v>
      </c>
      <c r="J578" s="6">
        <f>VLOOKUP(operations[productID],products[],5,FALSE)</f>
        <v>0</v>
      </c>
      <c r="K578" s="6">
        <f>VLOOKUP(operations[productID],products[],6,FALSE)</f>
        <v>0</v>
      </c>
      <c r="L578" s="10">
        <f t="array" ref="L578">INDEX('1 orders'!I578:I2156, MATCH(1, ('1 orders'!A578:A2156=A578)*('1 orders'!G578:G2156=F578), 0))
</f>
        <v>20</v>
      </c>
      <c r="M578" s="10">
        <f>IFERROR(__xludf.DUMMYFUNCTION("COUNTUNIQUEIFS($A$2:$A578,$F$2:$F578,F578)"),13.0)</f>
        <v>13</v>
      </c>
      <c r="N578" s="10">
        <f t="shared" si="1"/>
        <v>43</v>
      </c>
      <c r="O578" s="26">
        <f>IF(operations[sinceLastOrder]=0,0,operations[orderQuantity] / operations[sinceLastOrder])</f>
        <v>0.4651162791</v>
      </c>
      <c r="P578" s="9">
        <v>89.0</v>
      </c>
      <c r="Q578" s="7" t="s">
        <v>17</v>
      </c>
      <c r="R578" s="10">
        <f>operations[arrivedDate]-operations[shippedDate]</f>
        <v>16</v>
      </c>
    </row>
    <row r="579" ht="15.75" customHeight="1">
      <c r="A579" s="6">
        <v>10465.0</v>
      </c>
      <c r="B579" s="24">
        <v>44990.0</v>
      </c>
      <c r="C579" s="24">
        <v>45018.0</v>
      </c>
      <c r="D579" s="24">
        <v>44999.0</v>
      </c>
      <c r="E579" s="24">
        <v>45011.0</v>
      </c>
      <c r="F579" s="6">
        <v>24.0</v>
      </c>
      <c r="G579" s="9" t="str">
        <f>VLOOKUP(operations[productID],products[],2,FALSE)</f>
        <v>Brigadeiros Maravilhosos da Lilian</v>
      </c>
      <c r="H579" s="9" t="str">
        <f>IF(VLOOKUP(operations[productID],products[],7,FALSE)=1,"Discontinued","Current")</f>
        <v>Discontinued</v>
      </c>
      <c r="I579" s="6">
        <f>VLOOKUP(operations[productID],products[],4,FALSE)</f>
        <v>20</v>
      </c>
      <c r="J579" s="6">
        <f>VLOOKUP(operations[productID],products[],5,FALSE)</f>
        <v>0</v>
      </c>
      <c r="K579" s="6">
        <f>VLOOKUP(operations[productID],products[],6,FALSE)</f>
        <v>0</v>
      </c>
      <c r="L579" s="10">
        <f t="array" ref="L579">INDEX('1 orders'!I579:I2156, MATCH(1, ('1 orders'!A579:A2156=A579)*('1 orders'!G579:G2156=F579), 0))
</f>
        <v>25</v>
      </c>
      <c r="M579" s="10">
        <f>IFERROR(__xludf.DUMMYFUNCTION("COUNTUNIQUEIFS($A$2:$A579,$F$2:$F579,F579)"),13.0)</f>
        <v>13</v>
      </c>
      <c r="N579" s="10">
        <f t="shared" si="1"/>
        <v>19</v>
      </c>
      <c r="O579" s="26">
        <f>IF(operations[sinceLastOrder]=0,0,operations[orderQuantity] / operations[sinceLastOrder])</f>
        <v>1.315789474</v>
      </c>
      <c r="P579" s="9">
        <v>145.04</v>
      </c>
      <c r="Q579" s="7" t="s">
        <v>13</v>
      </c>
      <c r="R579" s="10">
        <f>operations[arrivedDate]-operations[shippedDate]</f>
        <v>12</v>
      </c>
    </row>
    <row r="580" ht="15.75" customHeight="1">
      <c r="A580" s="6">
        <v>10465.0</v>
      </c>
      <c r="B580" s="24">
        <v>44990.0</v>
      </c>
      <c r="C580" s="24">
        <v>45018.0</v>
      </c>
      <c r="D580" s="24">
        <v>44999.0</v>
      </c>
      <c r="E580" s="24">
        <v>45011.0</v>
      </c>
      <c r="F580" s="6">
        <v>29.0</v>
      </c>
      <c r="G580" s="9" t="str">
        <f>VLOOKUP(operations[productID],products[],2,FALSE)</f>
        <v>Thüringer Rostbratwurst</v>
      </c>
      <c r="H580" s="9" t="str">
        <f>IF(VLOOKUP(operations[productID],products[],7,FALSE)=1,"Discontinued","Current")</f>
        <v>Discontinued</v>
      </c>
      <c r="I580" s="6">
        <f>VLOOKUP(operations[productID],products[],4,FALSE)</f>
        <v>0</v>
      </c>
      <c r="J580" s="6">
        <f>VLOOKUP(operations[productID],products[],5,FALSE)</f>
        <v>0</v>
      </c>
      <c r="K580" s="6">
        <f>VLOOKUP(operations[productID],products[],6,FALSE)</f>
        <v>0</v>
      </c>
      <c r="L580" s="10">
        <f t="array" ref="L580">INDEX('1 orders'!I580:I2156, MATCH(1, ('1 orders'!A580:A2156=A580)*('1 orders'!G580:G2156=F580), 0))
</f>
        <v>18</v>
      </c>
      <c r="M580" s="10">
        <f>IFERROR(__xludf.DUMMYFUNCTION("COUNTUNIQUEIFS($A$2:$A580,$F$2:$F580,F580)"),10.0)</f>
        <v>10</v>
      </c>
      <c r="N580" s="10">
        <f t="shared" si="1"/>
        <v>23</v>
      </c>
      <c r="O580" s="26">
        <f>IF(operations[sinceLastOrder]=0,0,operations[orderQuantity] / operations[sinceLastOrder])</f>
        <v>0.7826086957</v>
      </c>
      <c r="P580" s="9">
        <v>145.04</v>
      </c>
      <c r="Q580" s="7" t="s">
        <v>13</v>
      </c>
      <c r="R580" s="10">
        <f>operations[arrivedDate]-operations[shippedDate]</f>
        <v>12</v>
      </c>
    </row>
    <row r="581" ht="15.75" customHeight="1">
      <c r="A581" s="6">
        <v>10465.0</v>
      </c>
      <c r="B581" s="24">
        <v>44990.0</v>
      </c>
      <c r="C581" s="24">
        <v>45018.0</v>
      </c>
      <c r="D581" s="24">
        <v>44999.0</v>
      </c>
      <c r="E581" s="24">
        <v>45011.0</v>
      </c>
      <c r="F581" s="6">
        <v>40.0</v>
      </c>
      <c r="G581" s="9" t="str">
        <f>VLOOKUP(operations[productID],products[],2,FALSE)</f>
        <v>Boston Crab Meat</v>
      </c>
      <c r="H581" s="9" t="str">
        <f>IF(VLOOKUP(operations[productID],products[],7,FALSE)=1,"Discontinued","Current")</f>
        <v>Current</v>
      </c>
      <c r="I581" s="6">
        <f>VLOOKUP(operations[productID],products[],4,FALSE)</f>
        <v>123</v>
      </c>
      <c r="J581" s="6">
        <f>VLOOKUP(operations[productID],products[],5,FALSE)</f>
        <v>0</v>
      </c>
      <c r="K581" s="6">
        <f>VLOOKUP(operations[productID],products[],6,FALSE)</f>
        <v>30</v>
      </c>
      <c r="L581" s="10">
        <f t="array" ref="L581">INDEX('1 orders'!I581:I2156, MATCH(1, ('1 orders'!A581:A2156=A581)*('1 orders'!G581:G2156=F581), 0))
</f>
        <v>20</v>
      </c>
      <c r="M581" s="10">
        <f>IFERROR(__xludf.DUMMYFUNCTION("COUNTUNIQUEIFS($A$2:$A581,$F$2:$F581,F581)"),10.0)</f>
        <v>10</v>
      </c>
      <c r="N581" s="10">
        <f t="shared" si="1"/>
        <v>16</v>
      </c>
      <c r="O581" s="26">
        <f>IF(operations[sinceLastOrder]=0,0,operations[orderQuantity] / operations[sinceLastOrder])</f>
        <v>1.25</v>
      </c>
      <c r="P581" s="9">
        <v>145.04</v>
      </c>
      <c r="Q581" s="7" t="s">
        <v>13</v>
      </c>
      <c r="R581" s="10">
        <f>operations[arrivedDate]-operations[shippedDate]</f>
        <v>12</v>
      </c>
    </row>
    <row r="582" ht="15.75" customHeight="1">
      <c r="A582" s="6">
        <v>10465.0</v>
      </c>
      <c r="B582" s="24">
        <v>44990.0</v>
      </c>
      <c r="C582" s="24">
        <v>45018.0</v>
      </c>
      <c r="D582" s="24">
        <v>44999.0</v>
      </c>
      <c r="E582" s="24">
        <v>45011.0</v>
      </c>
      <c r="F582" s="6">
        <v>45.0</v>
      </c>
      <c r="G582" s="9" t="str">
        <f>VLOOKUP(operations[productID],products[],2,FALSE)</f>
        <v>Rogede sild</v>
      </c>
      <c r="H582" s="9" t="str">
        <f>IF(VLOOKUP(operations[productID],products[],7,FALSE)=1,"Discontinued","Current")</f>
        <v>Current</v>
      </c>
      <c r="I582" s="6">
        <f>VLOOKUP(operations[productID],products[],4,FALSE)</f>
        <v>5</v>
      </c>
      <c r="J582" s="6">
        <f>VLOOKUP(operations[productID],products[],5,FALSE)</f>
        <v>70</v>
      </c>
      <c r="K582" s="6">
        <f>VLOOKUP(operations[productID],products[],6,FALSE)</f>
        <v>15</v>
      </c>
      <c r="L582" s="10">
        <f t="array" ref="L582">INDEX('1 orders'!I582:I2156, MATCH(1, ('1 orders'!A582:A2156=A582)*('1 orders'!G582:G2156=F582), 0))
</f>
        <v>30</v>
      </c>
      <c r="M582" s="10">
        <f>IFERROR(__xludf.DUMMYFUNCTION("COUNTUNIQUEIFS($A$2:$A582,$F$2:$F582,F582)"),2.0)</f>
        <v>2</v>
      </c>
      <c r="N582" s="10">
        <f t="shared" si="1"/>
        <v>76</v>
      </c>
      <c r="O582" s="26">
        <f>IF(operations[sinceLastOrder]=0,0,operations[orderQuantity] / operations[sinceLastOrder])</f>
        <v>0.3947368421</v>
      </c>
      <c r="P582" s="9">
        <v>145.04</v>
      </c>
      <c r="Q582" s="7" t="s">
        <v>13</v>
      </c>
      <c r="R582" s="10">
        <f>operations[arrivedDate]-operations[shippedDate]</f>
        <v>12</v>
      </c>
    </row>
    <row r="583" ht="15.75" customHeight="1">
      <c r="A583" s="6">
        <v>10465.0</v>
      </c>
      <c r="B583" s="24">
        <v>44990.0</v>
      </c>
      <c r="C583" s="24">
        <v>45018.0</v>
      </c>
      <c r="D583" s="24">
        <v>44999.0</v>
      </c>
      <c r="E583" s="24">
        <v>45011.0</v>
      </c>
      <c r="F583" s="6">
        <v>50.0</v>
      </c>
      <c r="G583" s="9" t="str">
        <f>VLOOKUP(operations[productID],products[],2,FALSE)</f>
        <v>Valkoinen suklaa</v>
      </c>
      <c r="H583" s="9" t="str">
        <f>IF(VLOOKUP(operations[productID],products[],7,FALSE)=1,"Discontinued","Current")</f>
        <v>Current</v>
      </c>
      <c r="I583" s="6">
        <f>VLOOKUP(operations[productID],products[],4,FALSE)</f>
        <v>65</v>
      </c>
      <c r="J583" s="6">
        <f>VLOOKUP(operations[productID],products[],5,FALSE)</f>
        <v>0</v>
      </c>
      <c r="K583" s="6">
        <f>VLOOKUP(operations[productID],products[],6,FALSE)</f>
        <v>30</v>
      </c>
      <c r="L583" s="10">
        <f t="array" ref="L583">INDEX('1 orders'!I583:I2156, MATCH(1, ('1 orders'!A583:A2156=A583)*('1 orders'!G583:G2156=F583), 0))
</f>
        <v>25</v>
      </c>
      <c r="M583" s="10">
        <f>IFERROR(__xludf.DUMMYFUNCTION("COUNTUNIQUEIFS($A$2:$A583,$F$2:$F583,F583)"),4.0)</f>
        <v>4</v>
      </c>
      <c r="N583" s="10">
        <f t="shared" si="1"/>
        <v>35</v>
      </c>
      <c r="O583" s="26">
        <f>IF(operations[sinceLastOrder]=0,0,operations[orderQuantity] / operations[sinceLastOrder])</f>
        <v>0.7142857143</v>
      </c>
      <c r="P583" s="9">
        <v>145.04</v>
      </c>
      <c r="Q583" s="7" t="s">
        <v>13</v>
      </c>
      <c r="R583" s="10">
        <f>operations[arrivedDate]-operations[shippedDate]</f>
        <v>12</v>
      </c>
    </row>
    <row r="584" ht="15.75" customHeight="1">
      <c r="A584" s="6">
        <v>10466.0</v>
      </c>
      <c r="B584" s="24">
        <v>44991.0</v>
      </c>
      <c r="C584" s="24">
        <v>45019.0</v>
      </c>
      <c r="D584" s="24">
        <v>44998.0</v>
      </c>
      <c r="E584" s="24">
        <v>45014.0</v>
      </c>
      <c r="F584" s="6">
        <v>11.0</v>
      </c>
      <c r="G584" s="9" t="str">
        <f>VLOOKUP(operations[productID],products[],2,FALSE)</f>
        <v>Queso Cabrales</v>
      </c>
      <c r="H584" s="9" t="str">
        <f>IF(VLOOKUP(operations[productID],products[],7,FALSE)=1,"Discontinued","Current")</f>
        <v>Current</v>
      </c>
      <c r="I584" s="6">
        <f>VLOOKUP(operations[productID],products[],4,FALSE)</f>
        <v>22</v>
      </c>
      <c r="J584" s="6">
        <f>VLOOKUP(operations[productID],products[],5,FALSE)</f>
        <v>30</v>
      </c>
      <c r="K584" s="6">
        <f>VLOOKUP(operations[productID],products[],6,FALSE)</f>
        <v>30</v>
      </c>
      <c r="L584" s="10">
        <f t="array" ref="L584">INDEX('1 orders'!I584:I2156, MATCH(1, ('1 orders'!A584:A2156=A584)*('1 orders'!G584:G2156=F584), 0))
</f>
        <v>10</v>
      </c>
      <c r="M584" s="10">
        <f>IFERROR(__xludf.DUMMYFUNCTION("COUNTUNIQUEIFS($A$2:$A584,$F$2:$F584,F584)"),10.0)</f>
        <v>10</v>
      </c>
      <c r="N584" s="10">
        <f t="shared" si="1"/>
        <v>22</v>
      </c>
      <c r="O584" s="26">
        <f>IF(operations[sinceLastOrder]=0,0,operations[orderQuantity] / operations[sinceLastOrder])</f>
        <v>0.4545454545</v>
      </c>
      <c r="P584" s="9">
        <v>11.93</v>
      </c>
      <c r="Q584" s="7" t="s">
        <v>15</v>
      </c>
      <c r="R584" s="10">
        <f>operations[arrivedDate]-operations[shippedDate]</f>
        <v>16</v>
      </c>
    </row>
    <row r="585" ht="15.75" customHeight="1">
      <c r="A585" s="6">
        <v>10466.0</v>
      </c>
      <c r="B585" s="24">
        <v>44991.0</v>
      </c>
      <c r="C585" s="24">
        <v>45019.0</v>
      </c>
      <c r="D585" s="24">
        <v>44998.0</v>
      </c>
      <c r="E585" s="24">
        <v>45014.0</v>
      </c>
      <c r="F585" s="6">
        <v>46.0</v>
      </c>
      <c r="G585" s="9" t="str">
        <f>VLOOKUP(operations[productID],products[],2,FALSE)</f>
        <v>Spegesild</v>
      </c>
      <c r="H585" s="9" t="str">
        <f>IF(VLOOKUP(operations[productID],products[],7,FALSE)=1,"Discontinued","Current")</f>
        <v>Current</v>
      </c>
      <c r="I585" s="6">
        <f>VLOOKUP(operations[productID],products[],4,FALSE)</f>
        <v>95</v>
      </c>
      <c r="J585" s="6">
        <f>VLOOKUP(operations[productID],products[],5,FALSE)</f>
        <v>0</v>
      </c>
      <c r="K585" s="6">
        <f>VLOOKUP(operations[productID],products[],6,FALSE)</f>
        <v>0</v>
      </c>
      <c r="L585" s="10">
        <f t="array" ref="L585">INDEX('1 orders'!I585:I2156, MATCH(1, ('1 orders'!A585:A2156=A585)*('1 orders'!G585:G2156=F585), 0))
</f>
        <v>5</v>
      </c>
      <c r="M585" s="10">
        <f>IFERROR(__xludf.DUMMYFUNCTION("COUNTUNIQUEIFS($A$2:$A585,$F$2:$F585,F585)"),10.0)</f>
        <v>10</v>
      </c>
      <c r="N585" s="10">
        <f t="shared" si="1"/>
        <v>7</v>
      </c>
      <c r="O585" s="26">
        <f>IF(operations[sinceLastOrder]=0,0,operations[orderQuantity] / operations[sinceLastOrder])</f>
        <v>0.7142857143</v>
      </c>
      <c r="P585" s="9">
        <v>11.93</v>
      </c>
      <c r="Q585" s="7" t="s">
        <v>15</v>
      </c>
      <c r="R585" s="10">
        <f>operations[arrivedDate]-operations[shippedDate]</f>
        <v>16</v>
      </c>
    </row>
    <row r="586" ht="15.75" customHeight="1">
      <c r="A586" s="6">
        <v>10467.0</v>
      </c>
      <c r="B586" s="24">
        <v>44991.0</v>
      </c>
      <c r="C586" s="24">
        <v>45019.0</v>
      </c>
      <c r="D586" s="24">
        <v>44996.0</v>
      </c>
      <c r="E586" s="24">
        <v>45008.0</v>
      </c>
      <c r="F586" s="6">
        <v>24.0</v>
      </c>
      <c r="G586" s="9" t="str">
        <f>VLOOKUP(operations[productID],products[],2,FALSE)</f>
        <v>Brigadeiros Maravilhosos da Lilian</v>
      </c>
      <c r="H586" s="9" t="str">
        <f>IF(VLOOKUP(operations[productID],products[],7,FALSE)=1,"Discontinued","Current")</f>
        <v>Discontinued</v>
      </c>
      <c r="I586" s="6">
        <f>VLOOKUP(operations[productID],products[],4,FALSE)</f>
        <v>20</v>
      </c>
      <c r="J586" s="6">
        <f>VLOOKUP(operations[productID],products[],5,FALSE)</f>
        <v>0</v>
      </c>
      <c r="K586" s="6">
        <f>VLOOKUP(operations[productID],products[],6,FALSE)</f>
        <v>0</v>
      </c>
      <c r="L586" s="10">
        <f t="array" ref="L586">INDEX('1 orders'!I586:I2156, MATCH(1, ('1 orders'!A586:A2156=A586)*('1 orders'!G586:G2156=F586), 0))
</f>
        <v>28</v>
      </c>
      <c r="M586" s="10">
        <f>IFERROR(__xludf.DUMMYFUNCTION("COUNTUNIQUEIFS($A$2:$A586,$F$2:$F586,F586)"),14.0)</f>
        <v>14</v>
      </c>
      <c r="N586" s="10">
        <f t="shared" si="1"/>
        <v>1</v>
      </c>
      <c r="O586" s="26">
        <f>IF(operations[sinceLastOrder]=0,0,operations[orderQuantity] / operations[sinceLastOrder])</f>
        <v>28</v>
      </c>
      <c r="P586" s="9">
        <v>4.93</v>
      </c>
      <c r="Q586" s="7" t="s">
        <v>17</v>
      </c>
      <c r="R586" s="10">
        <f>operations[arrivedDate]-operations[shippedDate]</f>
        <v>12</v>
      </c>
    </row>
    <row r="587" ht="15.75" customHeight="1">
      <c r="A587" s="6">
        <v>10467.0</v>
      </c>
      <c r="B587" s="24">
        <v>44991.0</v>
      </c>
      <c r="C587" s="24">
        <v>45019.0</v>
      </c>
      <c r="D587" s="24">
        <v>44996.0</v>
      </c>
      <c r="E587" s="24">
        <v>45008.0</v>
      </c>
      <c r="F587" s="6">
        <v>25.0</v>
      </c>
      <c r="G587" s="9" t="str">
        <f>VLOOKUP(operations[productID],products[],2,FALSE)</f>
        <v>HM Köstliche Kaiserschmarrn Knödelchen</v>
      </c>
      <c r="H587" s="9" t="str">
        <f>IF(VLOOKUP(operations[productID],products[],7,FALSE)=1,"Discontinued","Current")</f>
        <v>Current</v>
      </c>
      <c r="I587" s="6">
        <f>VLOOKUP(operations[productID],products[],4,FALSE)</f>
        <v>76</v>
      </c>
      <c r="J587" s="6">
        <f>VLOOKUP(operations[productID],products[],5,FALSE)</f>
        <v>0</v>
      </c>
      <c r="K587" s="6">
        <f>VLOOKUP(operations[productID],products[],6,FALSE)</f>
        <v>30</v>
      </c>
      <c r="L587" s="10">
        <f t="array" ref="L587">INDEX('1 orders'!I587:I2156, MATCH(1, ('1 orders'!A587:A2156=A587)*('1 orders'!G587:G2156=F587), 0))
</f>
        <v>12</v>
      </c>
      <c r="M587" s="10">
        <f>IFERROR(__xludf.DUMMYFUNCTION("COUNTUNIQUEIFS($A$2:$A587,$F$2:$F587,F587)"),5.0)</f>
        <v>5</v>
      </c>
      <c r="N587" s="10">
        <f t="shared" si="1"/>
        <v>71</v>
      </c>
      <c r="O587" s="26">
        <f>IF(operations[sinceLastOrder]=0,0,operations[orderQuantity] / operations[sinceLastOrder])</f>
        <v>0.1690140845</v>
      </c>
      <c r="P587" s="9">
        <v>4.93</v>
      </c>
      <c r="Q587" s="7" t="s">
        <v>17</v>
      </c>
      <c r="R587" s="10">
        <f>operations[arrivedDate]-operations[shippedDate]</f>
        <v>12</v>
      </c>
    </row>
    <row r="588" ht="15.75" customHeight="1">
      <c r="A588" s="6">
        <v>10468.0</v>
      </c>
      <c r="B588" s="24">
        <v>44992.0</v>
      </c>
      <c r="C588" s="24">
        <v>45020.0</v>
      </c>
      <c r="D588" s="24">
        <v>44997.0</v>
      </c>
      <c r="E588" s="24">
        <v>45000.0</v>
      </c>
      <c r="F588" s="6">
        <v>30.0</v>
      </c>
      <c r="G588" s="9" t="str">
        <f>VLOOKUP(operations[productID],products[],2,FALSE)</f>
        <v>Nord-Ost Matjeshering</v>
      </c>
      <c r="H588" s="9" t="str">
        <f>IF(VLOOKUP(operations[productID],products[],7,FALSE)=1,"Discontinued","Current")</f>
        <v>Current</v>
      </c>
      <c r="I588" s="6">
        <f>VLOOKUP(operations[productID],products[],4,FALSE)</f>
        <v>10</v>
      </c>
      <c r="J588" s="6">
        <f>VLOOKUP(operations[productID],products[],5,FALSE)</f>
        <v>0</v>
      </c>
      <c r="K588" s="6">
        <f>VLOOKUP(operations[productID],products[],6,FALSE)</f>
        <v>15</v>
      </c>
      <c r="L588" s="10">
        <f t="array" ref="L588">INDEX('1 orders'!I588:I2156, MATCH(1, ('1 orders'!A588:A2156=A588)*('1 orders'!G588:G2156=F588), 0))
</f>
        <v>8</v>
      </c>
      <c r="M588" s="10">
        <f>IFERROR(__xludf.DUMMYFUNCTION("COUNTUNIQUEIFS($A$2:$A588,$F$2:$F588,F588)"),10.0)</f>
        <v>10</v>
      </c>
      <c r="N588" s="10">
        <f t="shared" si="1"/>
        <v>7</v>
      </c>
      <c r="O588" s="26">
        <f>IF(operations[sinceLastOrder]=0,0,operations[orderQuantity] / operations[sinceLastOrder])</f>
        <v>1.142857143</v>
      </c>
      <c r="P588" s="9">
        <v>44.12</v>
      </c>
      <c r="Q588" s="7" t="s">
        <v>13</v>
      </c>
      <c r="R588" s="10">
        <f>operations[arrivedDate]-operations[shippedDate]</f>
        <v>3</v>
      </c>
    </row>
    <row r="589" ht="15.75" customHeight="1">
      <c r="A589" s="6">
        <v>10468.0</v>
      </c>
      <c r="B589" s="24">
        <v>44992.0</v>
      </c>
      <c r="C589" s="24">
        <v>45020.0</v>
      </c>
      <c r="D589" s="24">
        <v>44997.0</v>
      </c>
      <c r="E589" s="24">
        <v>45000.0</v>
      </c>
      <c r="F589" s="6">
        <v>43.0</v>
      </c>
      <c r="G589" s="9" t="str">
        <f>VLOOKUP(operations[productID],products[],2,FALSE)</f>
        <v>Ipoh Coffee</v>
      </c>
      <c r="H589" s="9" t="str">
        <f>IF(VLOOKUP(operations[productID],products[],7,FALSE)=1,"Discontinued","Current")</f>
        <v>Current</v>
      </c>
      <c r="I589" s="6">
        <f>VLOOKUP(operations[productID],products[],4,FALSE)</f>
        <v>17</v>
      </c>
      <c r="J589" s="6">
        <f>VLOOKUP(operations[productID],products[],5,FALSE)</f>
        <v>10</v>
      </c>
      <c r="K589" s="6">
        <f>VLOOKUP(operations[productID],products[],6,FALSE)</f>
        <v>25</v>
      </c>
      <c r="L589" s="10">
        <f t="array" ref="L589">INDEX('1 orders'!I589:I2156, MATCH(1, ('1 orders'!A589:A2156=A589)*('1 orders'!G589:G2156=F589), 0))
</f>
        <v>15</v>
      </c>
      <c r="M589" s="10">
        <f>IFERROR(__xludf.DUMMYFUNCTION("COUNTUNIQUEIFS($A$2:$A589,$F$2:$F589,F589)"),9.0)</f>
        <v>9</v>
      </c>
      <c r="N589" s="10">
        <f t="shared" si="1"/>
        <v>3</v>
      </c>
      <c r="O589" s="26">
        <f>IF(operations[sinceLastOrder]=0,0,operations[orderQuantity] / operations[sinceLastOrder])</f>
        <v>5</v>
      </c>
      <c r="P589" s="9">
        <v>44.12</v>
      </c>
      <c r="Q589" s="7" t="s">
        <v>13</v>
      </c>
      <c r="R589" s="10">
        <f>operations[arrivedDate]-operations[shippedDate]</f>
        <v>3</v>
      </c>
    </row>
    <row r="590" ht="15.75" customHeight="1">
      <c r="A590" s="6">
        <v>10469.0</v>
      </c>
      <c r="B590" s="24">
        <v>44995.0</v>
      </c>
      <c r="C590" s="24">
        <v>45023.0</v>
      </c>
      <c r="D590" s="24">
        <v>44999.0</v>
      </c>
      <c r="E590" s="24">
        <v>45014.0</v>
      </c>
      <c r="F590" s="6">
        <v>2.0</v>
      </c>
      <c r="G590" s="9" t="str">
        <f>VLOOKUP(operations[productID],products[],2,FALSE)</f>
        <v>Chang</v>
      </c>
      <c r="H590" s="9" t="str">
        <f>IF(VLOOKUP(operations[productID],products[],7,FALSE)=1,"Discontinued","Current")</f>
        <v>Current</v>
      </c>
      <c r="I590" s="6">
        <f>VLOOKUP(operations[productID],products[],4,FALSE)</f>
        <v>17</v>
      </c>
      <c r="J590" s="6">
        <f>VLOOKUP(operations[productID],products[],5,FALSE)</f>
        <v>40</v>
      </c>
      <c r="K590" s="6">
        <f>VLOOKUP(operations[productID],products[],6,FALSE)</f>
        <v>25</v>
      </c>
      <c r="L590" s="10">
        <f t="array" ref="L590">INDEX('1 orders'!I590:I2156, MATCH(1, ('1 orders'!A590:A2156=A590)*('1 orders'!G590:G2156=F590), 0))
</f>
        <v>40</v>
      </c>
      <c r="M590" s="10">
        <f>IFERROR(__xludf.DUMMYFUNCTION("COUNTUNIQUEIFS($A$2:$A590,$F$2:$F590,F590)"),12.0)</f>
        <v>12</v>
      </c>
      <c r="N590" s="10">
        <f t="shared" si="1"/>
        <v>28</v>
      </c>
      <c r="O590" s="26">
        <f>IF(operations[sinceLastOrder]=0,0,operations[orderQuantity] / operations[sinceLastOrder])</f>
        <v>1.428571429</v>
      </c>
      <c r="P590" s="9">
        <v>60.18</v>
      </c>
      <c r="Q590" s="7" t="s">
        <v>15</v>
      </c>
      <c r="R590" s="10">
        <f>operations[arrivedDate]-operations[shippedDate]</f>
        <v>15</v>
      </c>
    </row>
    <row r="591" ht="15.75" customHeight="1">
      <c r="A591" s="6">
        <v>10469.0</v>
      </c>
      <c r="B591" s="24">
        <v>44995.0</v>
      </c>
      <c r="C591" s="24">
        <v>45023.0</v>
      </c>
      <c r="D591" s="24">
        <v>44999.0</v>
      </c>
      <c r="E591" s="24">
        <v>45014.0</v>
      </c>
      <c r="F591" s="6">
        <v>16.0</v>
      </c>
      <c r="G591" s="9" t="str">
        <f>VLOOKUP(operations[productID],products[],2,FALSE)</f>
        <v>Pavlova</v>
      </c>
      <c r="H591" s="9" t="str">
        <f>IF(VLOOKUP(operations[productID],products[],7,FALSE)=1,"Discontinued","Current")</f>
        <v>Current</v>
      </c>
      <c r="I591" s="6">
        <f>VLOOKUP(operations[productID],products[],4,FALSE)</f>
        <v>29</v>
      </c>
      <c r="J591" s="6">
        <f>VLOOKUP(operations[productID],products[],5,FALSE)</f>
        <v>0</v>
      </c>
      <c r="K591" s="6">
        <f>VLOOKUP(operations[productID],products[],6,FALSE)</f>
        <v>10</v>
      </c>
      <c r="L591" s="10">
        <f t="array" ref="L591">INDEX('1 orders'!I591:I2156, MATCH(1, ('1 orders'!A591:A2156=A591)*('1 orders'!G591:G2156=F591), 0))
</f>
        <v>35</v>
      </c>
      <c r="M591" s="10">
        <f>IFERROR(__xludf.DUMMYFUNCTION("COUNTUNIQUEIFS($A$2:$A591,$F$2:$F591,F591)"),12.0)</f>
        <v>12</v>
      </c>
      <c r="N591" s="10">
        <f t="shared" si="1"/>
        <v>17</v>
      </c>
      <c r="O591" s="26">
        <f>IF(operations[sinceLastOrder]=0,0,operations[orderQuantity] / operations[sinceLastOrder])</f>
        <v>2.058823529</v>
      </c>
      <c r="P591" s="9">
        <v>60.18</v>
      </c>
      <c r="Q591" s="7" t="s">
        <v>15</v>
      </c>
      <c r="R591" s="10">
        <f>operations[arrivedDate]-operations[shippedDate]</f>
        <v>15</v>
      </c>
    </row>
    <row r="592" ht="15.75" customHeight="1">
      <c r="A592" s="6">
        <v>10469.0</v>
      </c>
      <c r="B592" s="24">
        <v>44995.0</v>
      </c>
      <c r="C592" s="24">
        <v>45023.0</v>
      </c>
      <c r="D592" s="24">
        <v>44999.0</v>
      </c>
      <c r="E592" s="24">
        <v>45014.0</v>
      </c>
      <c r="F592" s="6">
        <v>44.0</v>
      </c>
      <c r="G592" s="9" t="str">
        <f>VLOOKUP(operations[productID],products[],2,FALSE)</f>
        <v>Gula Malacca</v>
      </c>
      <c r="H592" s="9" t="str">
        <f>IF(VLOOKUP(operations[productID],products[],7,FALSE)=1,"Discontinued","Current")</f>
        <v>Current</v>
      </c>
      <c r="I592" s="6">
        <f>VLOOKUP(operations[productID],products[],4,FALSE)</f>
        <v>27</v>
      </c>
      <c r="J592" s="6">
        <f>VLOOKUP(operations[productID],products[],5,FALSE)</f>
        <v>0</v>
      </c>
      <c r="K592" s="6">
        <f>VLOOKUP(operations[productID],products[],6,FALSE)</f>
        <v>15</v>
      </c>
      <c r="L592" s="10">
        <f t="array" ref="L592">INDEX('1 orders'!I592:I2156, MATCH(1, ('1 orders'!A592:A2156=A592)*('1 orders'!G592:G2156=F592), 0))
</f>
        <v>2</v>
      </c>
      <c r="M592" s="10">
        <f>IFERROR(__xludf.DUMMYFUNCTION("COUNTUNIQUEIFS($A$2:$A592,$F$2:$F592,F592)"),7.0)</f>
        <v>7</v>
      </c>
      <c r="N592" s="10">
        <f t="shared" si="1"/>
        <v>18</v>
      </c>
      <c r="O592" s="26">
        <f>IF(operations[sinceLastOrder]=0,0,operations[orderQuantity] / operations[sinceLastOrder])</f>
        <v>0.1111111111</v>
      </c>
      <c r="P592" s="9">
        <v>60.18</v>
      </c>
      <c r="Q592" s="7" t="s">
        <v>15</v>
      </c>
      <c r="R592" s="10">
        <f>operations[arrivedDate]-operations[shippedDate]</f>
        <v>15</v>
      </c>
    </row>
    <row r="593" ht="15.75" customHeight="1">
      <c r="A593" s="6">
        <v>10470.0</v>
      </c>
      <c r="B593" s="24">
        <v>44996.0</v>
      </c>
      <c r="C593" s="24">
        <v>45024.0</v>
      </c>
      <c r="D593" s="24">
        <v>44999.0</v>
      </c>
      <c r="E593" s="24">
        <v>45009.0</v>
      </c>
      <c r="F593" s="6">
        <v>18.0</v>
      </c>
      <c r="G593" s="9" t="str">
        <f>VLOOKUP(operations[productID],products[],2,FALSE)</f>
        <v>Carnarvon Tigers</v>
      </c>
      <c r="H593" s="9" t="str">
        <f>IF(VLOOKUP(operations[productID],products[],7,FALSE)=1,"Discontinued","Current")</f>
        <v>Current</v>
      </c>
      <c r="I593" s="6">
        <f>VLOOKUP(operations[productID],products[],4,FALSE)</f>
        <v>42</v>
      </c>
      <c r="J593" s="6">
        <f>VLOOKUP(operations[productID],products[],5,FALSE)</f>
        <v>0</v>
      </c>
      <c r="K593" s="6">
        <f>VLOOKUP(operations[productID],products[],6,FALSE)</f>
        <v>0</v>
      </c>
      <c r="L593" s="10">
        <f t="array" ref="L593">INDEX('1 orders'!I593:I2156, MATCH(1, ('1 orders'!A593:A2156=A593)*('1 orders'!G593:G2156=F593), 0))
</f>
        <v>30</v>
      </c>
      <c r="M593" s="10">
        <f>IFERROR(__xludf.DUMMYFUNCTION("COUNTUNIQUEIFS($A$2:$A593,$F$2:$F593,F593)"),6.0)</f>
        <v>6</v>
      </c>
      <c r="N593" s="10">
        <f t="shared" si="1"/>
        <v>88</v>
      </c>
      <c r="O593" s="26">
        <f>IF(operations[sinceLastOrder]=0,0,operations[orderQuantity] / operations[sinceLastOrder])</f>
        <v>0.3409090909</v>
      </c>
      <c r="P593" s="9">
        <v>64.56</v>
      </c>
      <c r="Q593" s="7" t="s">
        <v>17</v>
      </c>
      <c r="R593" s="10">
        <f>operations[arrivedDate]-operations[shippedDate]</f>
        <v>10</v>
      </c>
    </row>
    <row r="594" ht="15.75" customHeight="1">
      <c r="A594" s="6">
        <v>10470.0</v>
      </c>
      <c r="B594" s="24">
        <v>44996.0</v>
      </c>
      <c r="C594" s="24">
        <v>45024.0</v>
      </c>
      <c r="D594" s="24">
        <v>44999.0</v>
      </c>
      <c r="E594" s="24">
        <v>45009.0</v>
      </c>
      <c r="F594" s="6">
        <v>23.0</v>
      </c>
      <c r="G594" s="9" t="str">
        <f>VLOOKUP(operations[productID],products[],2,FALSE)</f>
        <v>Tunnbröd</v>
      </c>
      <c r="H594" s="9" t="str">
        <f>IF(VLOOKUP(operations[productID],products[],7,FALSE)=1,"Discontinued","Current")</f>
        <v>Current</v>
      </c>
      <c r="I594" s="6">
        <f>VLOOKUP(operations[productID],products[],4,FALSE)</f>
        <v>61</v>
      </c>
      <c r="J594" s="6">
        <f>VLOOKUP(operations[productID],products[],5,FALSE)</f>
        <v>0</v>
      </c>
      <c r="K594" s="6">
        <f>VLOOKUP(operations[productID],products[],6,FALSE)</f>
        <v>25</v>
      </c>
      <c r="L594" s="10">
        <f t="array" ref="L594">INDEX('1 orders'!I594:I2156, MATCH(1, ('1 orders'!A594:A2156=A594)*('1 orders'!G594:G2156=F594), 0))
</f>
        <v>15</v>
      </c>
      <c r="M594" s="10">
        <f>IFERROR(__xludf.DUMMYFUNCTION("COUNTUNIQUEIFS($A$2:$A594,$F$2:$F594,F594)"),6.0)</f>
        <v>6</v>
      </c>
      <c r="N594" s="10">
        <f t="shared" si="1"/>
        <v>8</v>
      </c>
      <c r="O594" s="26">
        <f>IF(operations[sinceLastOrder]=0,0,operations[orderQuantity] / operations[sinceLastOrder])</f>
        <v>1.875</v>
      </c>
      <c r="P594" s="9">
        <v>64.56</v>
      </c>
      <c r="Q594" s="7" t="s">
        <v>17</v>
      </c>
      <c r="R594" s="10">
        <f>operations[arrivedDate]-operations[shippedDate]</f>
        <v>10</v>
      </c>
    </row>
    <row r="595" ht="15.75" customHeight="1">
      <c r="A595" s="6">
        <v>10470.0</v>
      </c>
      <c r="B595" s="24">
        <v>44996.0</v>
      </c>
      <c r="C595" s="24">
        <v>45024.0</v>
      </c>
      <c r="D595" s="24">
        <v>44999.0</v>
      </c>
      <c r="E595" s="24">
        <v>45009.0</v>
      </c>
      <c r="F595" s="6">
        <v>64.0</v>
      </c>
      <c r="G595" s="9" t="str">
        <f>VLOOKUP(operations[productID],products[],2,FALSE)</f>
        <v>Lukas' leckere Sauerteigweggla</v>
      </c>
      <c r="H595" s="9" t="str">
        <f>IF(VLOOKUP(operations[productID],products[],7,FALSE)=1,"Discontinued","Current")</f>
        <v>Current</v>
      </c>
      <c r="I595" s="6">
        <f>VLOOKUP(operations[productID],products[],4,FALSE)</f>
        <v>22</v>
      </c>
      <c r="J595" s="6">
        <f>VLOOKUP(operations[productID],products[],5,FALSE)</f>
        <v>80</v>
      </c>
      <c r="K595" s="6">
        <f>VLOOKUP(operations[productID],products[],6,FALSE)</f>
        <v>30</v>
      </c>
      <c r="L595" s="10">
        <f t="array" ref="L595">INDEX('1 orders'!I595:I2156, MATCH(1, ('1 orders'!A595:A2156=A595)*('1 orders'!G595:G2156=F595), 0))
</f>
        <v>8</v>
      </c>
      <c r="M595" s="10">
        <f>IFERROR(__xludf.DUMMYFUNCTION("COUNTUNIQUEIFS($A$2:$A595,$F$2:$F595,F595)"),9.0)</f>
        <v>9</v>
      </c>
      <c r="N595" s="10">
        <f t="shared" si="1"/>
        <v>20</v>
      </c>
      <c r="O595" s="26">
        <f>IF(operations[sinceLastOrder]=0,0,operations[orderQuantity] / operations[sinceLastOrder])</f>
        <v>0.4</v>
      </c>
      <c r="P595" s="9">
        <v>64.56</v>
      </c>
      <c r="Q595" s="7" t="s">
        <v>17</v>
      </c>
      <c r="R595" s="10">
        <f>operations[arrivedDate]-operations[shippedDate]</f>
        <v>10</v>
      </c>
    </row>
    <row r="596" ht="15.75" customHeight="1">
      <c r="A596" s="6">
        <v>10471.0</v>
      </c>
      <c r="B596" s="24">
        <v>44996.0</v>
      </c>
      <c r="C596" s="24">
        <v>45024.0</v>
      </c>
      <c r="D596" s="24">
        <v>45003.0</v>
      </c>
      <c r="E596" s="24">
        <v>45009.0</v>
      </c>
      <c r="F596" s="6">
        <v>7.0</v>
      </c>
      <c r="G596" s="9" t="str">
        <f>VLOOKUP(operations[productID],products[],2,FALSE)</f>
        <v>Uncle Bob's Organic Dried Pears</v>
      </c>
      <c r="H596" s="9" t="str">
        <f>IF(VLOOKUP(operations[productID],products[],7,FALSE)=1,"Discontinued","Current")</f>
        <v>Current</v>
      </c>
      <c r="I596" s="6">
        <f>VLOOKUP(operations[productID],products[],4,FALSE)</f>
        <v>15</v>
      </c>
      <c r="J596" s="6">
        <f>VLOOKUP(operations[productID],products[],5,FALSE)</f>
        <v>0</v>
      </c>
      <c r="K596" s="6">
        <f>VLOOKUP(operations[productID],products[],6,FALSE)</f>
        <v>10</v>
      </c>
      <c r="L596" s="10">
        <f t="array" ref="L596">INDEX('1 orders'!I596:I2156, MATCH(1, ('1 orders'!A596:A2156=A596)*('1 orders'!G596:G2156=F596), 0))
</f>
        <v>30</v>
      </c>
      <c r="M596" s="10">
        <f>IFERROR(__xludf.DUMMYFUNCTION("COUNTUNIQUEIFS($A$2:$A596,$F$2:$F596,F596)"),4.0)</f>
        <v>4</v>
      </c>
      <c r="N596" s="10">
        <f t="shared" si="1"/>
        <v>12</v>
      </c>
      <c r="O596" s="26">
        <f>IF(operations[sinceLastOrder]=0,0,operations[orderQuantity] / operations[sinceLastOrder])</f>
        <v>2.5</v>
      </c>
      <c r="P596" s="9">
        <v>45.59</v>
      </c>
      <c r="Q596" s="7" t="s">
        <v>13</v>
      </c>
      <c r="R596" s="10">
        <f>operations[arrivedDate]-operations[shippedDate]</f>
        <v>6</v>
      </c>
    </row>
    <row r="597" ht="15.75" customHeight="1">
      <c r="A597" s="6">
        <v>10471.0</v>
      </c>
      <c r="B597" s="24">
        <v>44996.0</v>
      </c>
      <c r="C597" s="24">
        <v>45024.0</v>
      </c>
      <c r="D597" s="24">
        <v>45003.0</v>
      </c>
      <c r="E597" s="24">
        <v>45009.0</v>
      </c>
      <c r="F597" s="6">
        <v>56.0</v>
      </c>
      <c r="G597" s="9" t="str">
        <f>VLOOKUP(operations[productID],products[],2,FALSE)</f>
        <v>Gnocchi di nonna Alice</v>
      </c>
      <c r="H597" s="9" t="str">
        <f>IF(VLOOKUP(operations[productID],products[],7,FALSE)=1,"Discontinued","Current")</f>
        <v>Current</v>
      </c>
      <c r="I597" s="6">
        <f>VLOOKUP(operations[productID],products[],4,FALSE)</f>
        <v>21</v>
      </c>
      <c r="J597" s="6">
        <f>VLOOKUP(operations[productID],products[],5,FALSE)</f>
        <v>10</v>
      </c>
      <c r="K597" s="6">
        <f>VLOOKUP(operations[productID],products[],6,FALSE)</f>
        <v>30</v>
      </c>
      <c r="L597" s="10">
        <f t="array" ref="L597">INDEX('1 orders'!I597:I2156, MATCH(1, ('1 orders'!A597:A2156=A597)*('1 orders'!G597:G2156=F597), 0))
</f>
        <v>20</v>
      </c>
      <c r="M597" s="10">
        <f>IFERROR(__xludf.DUMMYFUNCTION("COUNTUNIQUEIFS($A$2:$A597,$F$2:$F597,F597)"),15.0)</f>
        <v>15</v>
      </c>
      <c r="N597" s="10">
        <f t="shared" si="1"/>
        <v>7</v>
      </c>
      <c r="O597" s="26">
        <f>IF(operations[sinceLastOrder]=0,0,operations[orderQuantity] / operations[sinceLastOrder])</f>
        <v>2.857142857</v>
      </c>
      <c r="P597" s="9">
        <v>45.59</v>
      </c>
      <c r="Q597" s="7" t="s">
        <v>13</v>
      </c>
      <c r="R597" s="10">
        <f>operations[arrivedDate]-operations[shippedDate]</f>
        <v>6</v>
      </c>
    </row>
    <row r="598" ht="15.75" customHeight="1">
      <c r="A598" s="6">
        <v>10472.0</v>
      </c>
      <c r="B598" s="24">
        <v>44997.0</v>
      </c>
      <c r="C598" s="24">
        <v>45025.0</v>
      </c>
      <c r="D598" s="24">
        <v>45004.0</v>
      </c>
      <c r="E598" s="24">
        <v>45009.0</v>
      </c>
      <c r="F598" s="6">
        <v>24.0</v>
      </c>
      <c r="G598" s="9" t="str">
        <f>VLOOKUP(operations[productID],products[],2,FALSE)</f>
        <v>Brigadeiros Maravilhosos da Lilian</v>
      </c>
      <c r="H598" s="9" t="str">
        <f>IF(VLOOKUP(operations[productID],products[],7,FALSE)=1,"Discontinued","Current")</f>
        <v>Discontinued</v>
      </c>
      <c r="I598" s="6">
        <f>VLOOKUP(operations[productID],products[],4,FALSE)</f>
        <v>20</v>
      </c>
      <c r="J598" s="6">
        <f>VLOOKUP(operations[productID],products[],5,FALSE)</f>
        <v>0</v>
      </c>
      <c r="K598" s="6">
        <f>VLOOKUP(operations[productID],products[],6,FALSE)</f>
        <v>0</v>
      </c>
      <c r="L598" s="10">
        <f t="array" ref="L598">INDEX('1 orders'!I598:I2156, MATCH(1, ('1 orders'!A598:A2156=A598)*('1 orders'!G598:G2156=F598), 0))
</f>
        <v>80</v>
      </c>
      <c r="M598" s="10">
        <f>IFERROR(__xludf.DUMMYFUNCTION("COUNTUNIQUEIFS($A$2:$A598,$F$2:$F598,F598)"),15.0)</f>
        <v>15</v>
      </c>
      <c r="N598" s="10">
        <f t="shared" si="1"/>
        <v>6</v>
      </c>
      <c r="O598" s="26">
        <f>IF(operations[sinceLastOrder]=0,0,operations[orderQuantity] / operations[sinceLastOrder])</f>
        <v>13.33333333</v>
      </c>
      <c r="P598" s="9">
        <v>4.2</v>
      </c>
      <c r="Q598" s="7" t="s">
        <v>15</v>
      </c>
      <c r="R598" s="10">
        <f>operations[arrivedDate]-operations[shippedDate]</f>
        <v>5</v>
      </c>
    </row>
    <row r="599" ht="15.75" customHeight="1">
      <c r="A599" s="6">
        <v>10472.0</v>
      </c>
      <c r="B599" s="24">
        <v>44997.0</v>
      </c>
      <c r="C599" s="24">
        <v>45025.0</v>
      </c>
      <c r="D599" s="24">
        <v>45004.0</v>
      </c>
      <c r="E599" s="24">
        <v>45009.0</v>
      </c>
      <c r="F599" s="6">
        <v>51.0</v>
      </c>
      <c r="G599" s="9" t="str">
        <f>VLOOKUP(operations[productID],products[],2,FALSE)</f>
        <v>Manjimup Dried Apples</v>
      </c>
      <c r="H599" s="9" t="str">
        <f>IF(VLOOKUP(operations[productID],products[],7,FALSE)=1,"Discontinued","Current")</f>
        <v>Current</v>
      </c>
      <c r="I599" s="6">
        <f>VLOOKUP(operations[productID],products[],4,FALSE)</f>
        <v>20</v>
      </c>
      <c r="J599" s="6">
        <f>VLOOKUP(operations[productID],products[],5,FALSE)</f>
        <v>0</v>
      </c>
      <c r="K599" s="6">
        <f>VLOOKUP(operations[productID],products[],6,FALSE)</f>
        <v>10</v>
      </c>
      <c r="L599" s="10">
        <f t="array" ref="L599">INDEX('1 orders'!I599:I2156, MATCH(1, ('1 orders'!A599:A2156=A599)*('1 orders'!G599:G2156=F599), 0))
</f>
        <v>18</v>
      </c>
      <c r="M599" s="10">
        <f>IFERROR(__xludf.DUMMYFUNCTION("COUNTUNIQUEIFS($A$2:$A599,$F$2:$F599,F599)"),7.0)</f>
        <v>7</v>
      </c>
      <c r="N599" s="10">
        <f t="shared" si="1"/>
        <v>75</v>
      </c>
      <c r="O599" s="26">
        <f>IF(operations[sinceLastOrder]=0,0,operations[orderQuantity] / operations[sinceLastOrder])</f>
        <v>0.24</v>
      </c>
      <c r="P599" s="9">
        <v>4.2</v>
      </c>
      <c r="Q599" s="7" t="s">
        <v>15</v>
      </c>
      <c r="R599" s="10">
        <f>operations[arrivedDate]-operations[shippedDate]</f>
        <v>5</v>
      </c>
    </row>
    <row r="600" ht="15.75" customHeight="1">
      <c r="A600" s="6">
        <v>10473.0</v>
      </c>
      <c r="B600" s="24">
        <v>44998.0</v>
      </c>
      <c r="C600" s="24">
        <v>45012.0</v>
      </c>
      <c r="D600" s="24">
        <v>45006.0</v>
      </c>
      <c r="E600" s="24">
        <v>45015.0</v>
      </c>
      <c r="F600" s="6">
        <v>33.0</v>
      </c>
      <c r="G600" s="9" t="str">
        <f>VLOOKUP(operations[productID],products[],2,FALSE)</f>
        <v>Geitost</v>
      </c>
      <c r="H600" s="9" t="str">
        <f>IF(VLOOKUP(operations[productID],products[],7,FALSE)=1,"Discontinued","Current")</f>
        <v>Current</v>
      </c>
      <c r="I600" s="6">
        <f>VLOOKUP(operations[productID],products[],4,FALSE)</f>
        <v>112</v>
      </c>
      <c r="J600" s="6">
        <f>VLOOKUP(operations[productID],products[],5,FALSE)</f>
        <v>0</v>
      </c>
      <c r="K600" s="6">
        <f>VLOOKUP(operations[productID],products[],6,FALSE)</f>
        <v>20</v>
      </c>
      <c r="L600" s="10">
        <f t="array" ref="L600">INDEX('1 orders'!I600:I2156, MATCH(1, ('1 orders'!A600:A2156=A600)*('1 orders'!G600:G2156=F600), 0))
</f>
        <v>12</v>
      </c>
      <c r="M600" s="10">
        <f>IFERROR(__xludf.DUMMYFUNCTION("COUNTUNIQUEIFS($A$2:$A600,$F$2:$F600,F600)"),11.0)</f>
        <v>11</v>
      </c>
      <c r="N600" s="10">
        <f t="shared" si="1"/>
        <v>20</v>
      </c>
      <c r="O600" s="26">
        <f>IF(operations[sinceLastOrder]=0,0,operations[orderQuantity] / operations[sinceLastOrder])</f>
        <v>0.6</v>
      </c>
      <c r="P600" s="9">
        <v>16.37</v>
      </c>
      <c r="Q600" s="7" t="s">
        <v>13</v>
      </c>
      <c r="R600" s="10">
        <f>operations[arrivedDate]-operations[shippedDate]</f>
        <v>9</v>
      </c>
    </row>
    <row r="601" ht="15.75" customHeight="1">
      <c r="A601" s="6">
        <v>10473.0</v>
      </c>
      <c r="B601" s="24">
        <v>44998.0</v>
      </c>
      <c r="C601" s="24">
        <v>45012.0</v>
      </c>
      <c r="D601" s="24">
        <v>45006.0</v>
      </c>
      <c r="E601" s="24">
        <v>45015.0</v>
      </c>
      <c r="F601" s="6">
        <v>71.0</v>
      </c>
      <c r="G601" s="9" t="str">
        <f>VLOOKUP(operations[productID],products[],2,FALSE)</f>
        <v>Flotemysost</v>
      </c>
      <c r="H601" s="9" t="str">
        <f>IF(VLOOKUP(operations[productID],products[],7,FALSE)=1,"Discontinued","Current")</f>
        <v>Current</v>
      </c>
      <c r="I601" s="6">
        <f>VLOOKUP(operations[productID],products[],4,FALSE)</f>
        <v>26</v>
      </c>
      <c r="J601" s="6">
        <f>VLOOKUP(operations[productID],products[],5,FALSE)</f>
        <v>0</v>
      </c>
      <c r="K601" s="6">
        <f>VLOOKUP(operations[productID],products[],6,FALSE)</f>
        <v>0</v>
      </c>
      <c r="L601" s="10">
        <f t="array" ref="L601">INDEX('1 orders'!I601:I2156, MATCH(1, ('1 orders'!A601:A2156=A601)*('1 orders'!G601:G2156=F601), 0))
</f>
        <v>12</v>
      </c>
      <c r="M601" s="10">
        <f>IFERROR(__xludf.DUMMYFUNCTION("COUNTUNIQUEIFS($A$2:$A601,$F$2:$F601,F601)"),17.0)</f>
        <v>17</v>
      </c>
      <c r="N601" s="10">
        <f t="shared" si="1"/>
        <v>15</v>
      </c>
      <c r="O601" s="26">
        <f>IF(operations[sinceLastOrder]=0,0,operations[orderQuantity] / operations[sinceLastOrder])</f>
        <v>0.8</v>
      </c>
      <c r="P601" s="9">
        <v>16.37</v>
      </c>
      <c r="Q601" s="7" t="s">
        <v>13</v>
      </c>
      <c r="R601" s="10">
        <f>operations[arrivedDate]-operations[shippedDate]</f>
        <v>9</v>
      </c>
    </row>
    <row r="602" ht="15.75" customHeight="1">
      <c r="A602" s="6">
        <v>10474.0</v>
      </c>
      <c r="B602" s="24">
        <v>44998.0</v>
      </c>
      <c r="C602" s="24">
        <v>45026.0</v>
      </c>
      <c r="D602" s="24">
        <v>45006.0</v>
      </c>
      <c r="E602" s="24">
        <v>45024.0</v>
      </c>
      <c r="F602" s="6">
        <v>14.0</v>
      </c>
      <c r="G602" s="9" t="str">
        <f>VLOOKUP(operations[productID],products[],2,FALSE)</f>
        <v>Tofu</v>
      </c>
      <c r="H602" s="9" t="str">
        <f>IF(VLOOKUP(operations[productID],products[],7,FALSE)=1,"Discontinued","Current")</f>
        <v>Current</v>
      </c>
      <c r="I602" s="6">
        <f>VLOOKUP(operations[productID],products[],4,FALSE)</f>
        <v>35</v>
      </c>
      <c r="J602" s="6">
        <f>VLOOKUP(operations[productID],products[],5,FALSE)</f>
        <v>0</v>
      </c>
      <c r="K602" s="6">
        <f>VLOOKUP(operations[productID],products[],6,FALSE)</f>
        <v>0</v>
      </c>
      <c r="L602" s="10">
        <f t="array" ref="L602">INDEX('1 orders'!I602:I2156, MATCH(1, ('1 orders'!A602:A2156=A602)*('1 orders'!G602:G2156=F602), 0))
</f>
        <v>12</v>
      </c>
      <c r="M602" s="10">
        <f>IFERROR(__xludf.DUMMYFUNCTION("COUNTUNIQUEIFS($A$2:$A602,$F$2:$F602,F602)"),9.0)</f>
        <v>9</v>
      </c>
      <c r="N602" s="10">
        <f t="shared" si="1"/>
        <v>45</v>
      </c>
      <c r="O602" s="26">
        <f>IF(operations[sinceLastOrder]=0,0,operations[orderQuantity] / operations[sinceLastOrder])</f>
        <v>0.2666666667</v>
      </c>
      <c r="P602" s="9">
        <v>83.49</v>
      </c>
      <c r="Q602" s="7" t="s">
        <v>17</v>
      </c>
      <c r="R602" s="10">
        <f>operations[arrivedDate]-operations[shippedDate]</f>
        <v>18</v>
      </c>
    </row>
    <row r="603" ht="15.75" customHeight="1">
      <c r="A603" s="6">
        <v>10474.0</v>
      </c>
      <c r="B603" s="24">
        <v>44998.0</v>
      </c>
      <c r="C603" s="24">
        <v>45026.0</v>
      </c>
      <c r="D603" s="24">
        <v>45006.0</v>
      </c>
      <c r="E603" s="24">
        <v>45024.0</v>
      </c>
      <c r="F603" s="6">
        <v>28.0</v>
      </c>
      <c r="G603" s="9" t="str">
        <f>VLOOKUP(operations[productID],products[],2,FALSE)</f>
        <v>Rössle Sauerkraut</v>
      </c>
      <c r="H603" s="9" t="str">
        <f>IF(VLOOKUP(operations[productID],products[],7,FALSE)=1,"Discontinued","Current")</f>
        <v>Discontinued</v>
      </c>
      <c r="I603" s="6">
        <f>VLOOKUP(operations[productID],products[],4,FALSE)</f>
        <v>26</v>
      </c>
      <c r="J603" s="6">
        <f>VLOOKUP(operations[productID],products[],5,FALSE)</f>
        <v>0</v>
      </c>
      <c r="K603" s="6">
        <f>VLOOKUP(operations[productID],products[],6,FALSE)</f>
        <v>0</v>
      </c>
      <c r="L603" s="10">
        <f t="array" ref="L603">INDEX('1 orders'!I603:I2156, MATCH(1, ('1 orders'!A603:A2156=A603)*('1 orders'!G603:G2156=F603), 0))
</f>
        <v>18</v>
      </c>
      <c r="M603" s="10">
        <f>IFERROR(__xludf.DUMMYFUNCTION("COUNTUNIQUEIFS($A$2:$A603,$F$2:$F603,F603)"),13.0)</f>
        <v>13</v>
      </c>
      <c r="N603" s="10">
        <f t="shared" si="1"/>
        <v>15</v>
      </c>
      <c r="O603" s="26">
        <f>IF(operations[sinceLastOrder]=0,0,operations[orderQuantity] / operations[sinceLastOrder])</f>
        <v>1.2</v>
      </c>
      <c r="P603" s="9">
        <v>83.49</v>
      </c>
      <c r="Q603" s="7" t="s">
        <v>17</v>
      </c>
      <c r="R603" s="10">
        <f>operations[arrivedDate]-operations[shippedDate]</f>
        <v>18</v>
      </c>
    </row>
    <row r="604" ht="15.75" customHeight="1">
      <c r="A604" s="6">
        <v>10474.0</v>
      </c>
      <c r="B604" s="24">
        <v>44998.0</v>
      </c>
      <c r="C604" s="24">
        <v>45026.0</v>
      </c>
      <c r="D604" s="24">
        <v>45006.0</v>
      </c>
      <c r="E604" s="24">
        <v>45024.0</v>
      </c>
      <c r="F604" s="6">
        <v>40.0</v>
      </c>
      <c r="G604" s="9" t="str">
        <f>VLOOKUP(operations[productID],products[],2,FALSE)</f>
        <v>Boston Crab Meat</v>
      </c>
      <c r="H604" s="9" t="str">
        <f>IF(VLOOKUP(operations[productID],products[],7,FALSE)=1,"Discontinued","Current")</f>
        <v>Current</v>
      </c>
      <c r="I604" s="6">
        <f>VLOOKUP(operations[productID],products[],4,FALSE)</f>
        <v>123</v>
      </c>
      <c r="J604" s="6">
        <f>VLOOKUP(operations[productID],products[],5,FALSE)</f>
        <v>0</v>
      </c>
      <c r="K604" s="6">
        <f>VLOOKUP(operations[productID],products[],6,FALSE)</f>
        <v>30</v>
      </c>
      <c r="L604" s="10">
        <f t="array" ref="L604">INDEX('1 orders'!I604:I2156, MATCH(1, ('1 orders'!A604:A2156=A604)*('1 orders'!G604:G2156=F604), 0))
</f>
        <v>21</v>
      </c>
      <c r="M604" s="10">
        <f>IFERROR(__xludf.DUMMYFUNCTION("COUNTUNIQUEIFS($A$2:$A604,$F$2:$F604,F604)"),11.0)</f>
        <v>11</v>
      </c>
      <c r="N604" s="10">
        <f t="shared" si="1"/>
        <v>8</v>
      </c>
      <c r="O604" s="26">
        <f>IF(operations[sinceLastOrder]=0,0,operations[orderQuantity] / operations[sinceLastOrder])</f>
        <v>2.625</v>
      </c>
      <c r="P604" s="9">
        <v>83.49</v>
      </c>
      <c r="Q604" s="7" t="s">
        <v>17</v>
      </c>
      <c r="R604" s="10">
        <f>operations[arrivedDate]-operations[shippedDate]</f>
        <v>18</v>
      </c>
    </row>
    <row r="605" ht="15.75" customHeight="1">
      <c r="A605" s="6">
        <v>10474.0</v>
      </c>
      <c r="B605" s="24">
        <v>44998.0</v>
      </c>
      <c r="C605" s="24">
        <v>45026.0</v>
      </c>
      <c r="D605" s="24">
        <v>45006.0</v>
      </c>
      <c r="E605" s="24">
        <v>45024.0</v>
      </c>
      <c r="F605" s="6">
        <v>75.0</v>
      </c>
      <c r="G605" s="9" t="str">
        <f>VLOOKUP(operations[productID],products[],2,FALSE)</f>
        <v>Rhönbräu Klosterbier</v>
      </c>
      <c r="H605" s="9" t="str">
        <f>IF(VLOOKUP(operations[productID],products[],7,FALSE)=1,"Discontinued","Current")</f>
        <v>Current</v>
      </c>
      <c r="I605" s="6">
        <f>VLOOKUP(operations[productID],products[],4,FALSE)</f>
        <v>125</v>
      </c>
      <c r="J605" s="6">
        <f>VLOOKUP(operations[productID],products[],5,FALSE)</f>
        <v>0</v>
      </c>
      <c r="K605" s="6">
        <f>VLOOKUP(operations[productID],products[],6,FALSE)</f>
        <v>25</v>
      </c>
      <c r="L605" s="10">
        <f t="array" ref="L605">INDEX('1 orders'!I605:I2156, MATCH(1, ('1 orders'!A605:A2156=A605)*('1 orders'!G605:G2156=F605), 0))
</f>
        <v>10</v>
      </c>
      <c r="M605" s="10">
        <f>IFERROR(__xludf.DUMMYFUNCTION("COUNTUNIQUEIFS($A$2:$A605,$F$2:$F605,F605)"),10.0)</f>
        <v>10</v>
      </c>
      <c r="N605" s="10">
        <f t="shared" si="1"/>
        <v>13</v>
      </c>
      <c r="O605" s="26">
        <f>IF(operations[sinceLastOrder]=0,0,operations[orderQuantity] / operations[sinceLastOrder])</f>
        <v>0.7692307692</v>
      </c>
      <c r="P605" s="9">
        <v>83.49</v>
      </c>
      <c r="Q605" s="7" t="s">
        <v>17</v>
      </c>
      <c r="R605" s="10">
        <f>operations[arrivedDate]-operations[shippedDate]</f>
        <v>18</v>
      </c>
    </row>
    <row r="606" ht="15.75" customHeight="1">
      <c r="A606" s="6">
        <v>10475.0</v>
      </c>
      <c r="B606" s="24">
        <v>44999.0</v>
      </c>
      <c r="C606" s="24">
        <v>45027.0</v>
      </c>
      <c r="D606" s="24">
        <v>45020.0</v>
      </c>
      <c r="E606" s="24">
        <v>45032.0</v>
      </c>
      <c r="F606" s="6">
        <v>31.0</v>
      </c>
      <c r="G606" s="9" t="str">
        <f>VLOOKUP(operations[productID],products[],2,FALSE)</f>
        <v>Gorgonzola Telino</v>
      </c>
      <c r="H606" s="9" t="str">
        <f>IF(VLOOKUP(operations[productID],products[],7,FALSE)=1,"Discontinued","Current")</f>
        <v>Current</v>
      </c>
      <c r="I606" s="6">
        <f>VLOOKUP(operations[productID],products[],4,FALSE)</f>
        <v>0</v>
      </c>
      <c r="J606" s="6">
        <f>VLOOKUP(operations[productID],products[],5,FALSE)</f>
        <v>70</v>
      </c>
      <c r="K606" s="6">
        <f>VLOOKUP(operations[productID],products[],6,FALSE)</f>
        <v>20</v>
      </c>
      <c r="L606" s="10">
        <f t="array" ref="L606">INDEX('1 orders'!I606:I2156, MATCH(1, ('1 orders'!A606:A2156=A606)*('1 orders'!G606:G2156=F606), 0))
</f>
        <v>35</v>
      </c>
      <c r="M606" s="10">
        <f>IFERROR(__xludf.DUMMYFUNCTION("COUNTUNIQUEIFS($A$2:$A606,$F$2:$F606,F606)"),16.0)</f>
        <v>16</v>
      </c>
      <c r="N606" s="10">
        <f t="shared" si="1"/>
        <v>28</v>
      </c>
      <c r="O606" s="26">
        <f>IF(operations[sinceLastOrder]=0,0,operations[orderQuantity] / operations[sinceLastOrder])</f>
        <v>1.25</v>
      </c>
      <c r="P606" s="9">
        <v>68.52</v>
      </c>
      <c r="Q606" s="7" t="s">
        <v>15</v>
      </c>
      <c r="R606" s="10">
        <f>operations[arrivedDate]-operations[shippedDate]</f>
        <v>12</v>
      </c>
    </row>
    <row r="607" ht="15.75" customHeight="1">
      <c r="A607" s="6">
        <v>10475.0</v>
      </c>
      <c r="B607" s="24">
        <v>44999.0</v>
      </c>
      <c r="C607" s="24">
        <v>45027.0</v>
      </c>
      <c r="D607" s="24">
        <v>45020.0</v>
      </c>
      <c r="E607" s="24">
        <v>45032.0</v>
      </c>
      <c r="F607" s="6">
        <v>66.0</v>
      </c>
      <c r="G607" s="9" t="str">
        <f>VLOOKUP(operations[productID],products[],2,FALSE)</f>
        <v>Louisiana Hot Spiced Okra</v>
      </c>
      <c r="H607" s="9" t="str">
        <f>IF(VLOOKUP(operations[productID],products[],7,FALSE)=1,"Discontinued","Current")</f>
        <v>Current</v>
      </c>
      <c r="I607" s="6">
        <f>VLOOKUP(operations[productID],products[],4,FALSE)</f>
        <v>4</v>
      </c>
      <c r="J607" s="6">
        <f>VLOOKUP(operations[productID],products[],5,FALSE)</f>
        <v>100</v>
      </c>
      <c r="K607" s="6">
        <f>VLOOKUP(operations[productID],products[],6,FALSE)</f>
        <v>20</v>
      </c>
      <c r="L607" s="10">
        <f t="array" ref="L607">INDEX('1 orders'!I607:I2156, MATCH(1, ('1 orders'!A607:A2156=A607)*('1 orders'!G607:G2156=F607), 0))
</f>
        <v>60</v>
      </c>
      <c r="M607" s="10">
        <f>IFERROR(__xludf.DUMMYFUNCTION("COUNTUNIQUEIFS($A$2:$A607,$F$2:$F607,F607)"),3.0)</f>
        <v>3</v>
      </c>
      <c r="N607" s="10">
        <f t="shared" si="1"/>
        <v>31</v>
      </c>
      <c r="O607" s="26">
        <f>IF(operations[sinceLastOrder]=0,0,operations[orderQuantity] / operations[sinceLastOrder])</f>
        <v>1.935483871</v>
      </c>
      <c r="P607" s="9">
        <v>68.52</v>
      </c>
      <c r="Q607" s="7" t="s">
        <v>15</v>
      </c>
      <c r="R607" s="10">
        <f>operations[arrivedDate]-operations[shippedDate]</f>
        <v>12</v>
      </c>
    </row>
    <row r="608" ht="15.75" customHeight="1">
      <c r="A608" s="6">
        <v>10475.0</v>
      </c>
      <c r="B608" s="24">
        <v>44999.0</v>
      </c>
      <c r="C608" s="24">
        <v>45027.0</v>
      </c>
      <c r="D608" s="24">
        <v>45020.0</v>
      </c>
      <c r="E608" s="24">
        <v>45032.0</v>
      </c>
      <c r="F608" s="6">
        <v>76.0</v>
      </c>
      <c r="G608" s="9" t="str">
        <f>VLOOKUP(operations[productID],products[],2,FALSE)</f>
        <v>Lakkalikööri</v>
      </c>
      <c r="H608" s="9" t="str">
        <f>IF(VLOOKUP(operations[productID],products[],7,FALSE)=1,"Discontinued","Current")</f>
        <v>Current</v>
      </c>
      <c r="I608" s="6">
        <f>VLOOKUP(operations[productID],products[],4,FALSE)</f>
        <v>57</v>
      </c>
      <c r="J608" s="6">
        <f>VLOOKUP(operations[productID],products[],5,FALSE)</f>
        <v>0</v>
      </c>
      <c r="K608" s="6">
        <f>VLOOKUP(operations[productID],products[],6,FALSE)</f>
        <v>20</v>
      </c>
      <c r="L608" s="10">
        <f t="array" ref="L608">INDEX('1 orders'!I608:I2156, MATCH(1, ('1 orders'!A608:A2156=A608)*('1 orders'!G608:G2156=F608), 0))
</f>
        <v>42</v>
      </c>
      <c r="M608" s="10">
        <f>IFERROR(__xludf.DUMMYFUNCTION("COUNTUNIQUEIFS($A$2:$A608,$F$2:$F608,F608)"),11.0)</f>
        <v>11</v>
      </c>
      <c r="N608" s="10">
        <f t="shared" si="1"/>
        <v>39</v>
      </c>
      <c r="O608" s="26">
        <f>IF(operations[sinceLastOrder]=0,0,operations[orderQuantity] / operations[sinceLastOrder])</f>
        <v>1.076923077</v>
      </c>
      <c r="P608" s="9">
        <v>68.52</v>
      </c>
      <c r="Q608" s="7" t="s">
        <v>15</v>
      </c>
      <c r="R608" s="10">
        <f>operations[arrivedDate]-operations[shippedDate]</f>
        <v>12</v>
      </c>
    </row>
    <row r="609" ht="15.75" customHeight="1">
      <c r="A609" s="6">
        <v>10476.0</v>
      </c>
      <c r="B609" s="24">
        <v>45002.0</v>
      </c>
      <c r="C609" s="24">
        <v>45030.0</v>
      </c>
      <c r="D609" s="24">
        <v>45009.0</v>
      </c>
      <c r="E609" s="24">
        <v>45022.0</v>
      </c>
      <c r="F609" s="6">
        <v>55.0</v>
      </c>
      <c r="G609" s="9" t="str">
        <f>VLOOKUP(operations[productID],products[],2,FALSE)</f>
        <v>Pâté chinois</v>
      </c>
      <c r="H609" s="9" t="str">
        <f>IF(VLOOKUP(operations[productID],products[],7,FALSE)=1,"Discontinued","Current")</f>
        <v>Current</v>
      </c>
      <c r="I609" s="6">
        <f>VLOOKUP(operations[productID],products[],4,FALSE)</f>
        <v>115</v>
      </c>
      <c r="J609" s="6">
        <f>VLOOKUP(operations[productID],products[],5,FALSE)</f>
        <v>0</v>
      </c>
      <c r="K609" s="6">
        <f>VLOOKUP(operations[productID],products[],6,FALSE)</f>
        <v>20</v>
      </c>
      <c r="L609" s="10">
        <f t="array" ref="L609">INDEX('1 orders'!I609:I2156, MATCH(1, ('1 orders'!A609:A2156=A609)*('1 orders'!G609:G2156=F609), 0))
</f>
        <v>2</v>
      </c>
      <c r="M609" s="10">
        <f>IFERROR(__xludf.DUMMYFUNCTION("COUNTUNIQUEIFS($A$2:$A609,$F$2:$F609,F609)"),10.0)</f>
        <v>10</v>
      </c>
      <c r="N609" s="10">
        <f t="shared" si="1"/>
        <v>17</v>
      </c>
      <c r="O609" s="26">
        <f>IF(operations[sinceLastOrder]=0,0,operations[orderQuantity] / operations[sinceLastOrder])</f>
        <v>0.1176470588</v>
      </c>
      <c r="P609" s="9">
        <v>4.41</v>
      </c>
      <c r="Q609" s="7" t="s">
        <v>13</v>
      </c>
      <c r="R609" s="10">
        <f>operations[arrivedDate]-operations[shippedDate]</f>
        <v>13</v>
      </c>
    </row>
    <row r="610" ht="15.75" customHeight="1">
      <c r="A610" s="6">
        <v>10476.0</v>
      </c>
      <c r="B610" s="24">
        <v>45002.0</v>
      </c>
      <c r="C610" s="24">
        <v>45030.0</v>
      </c>
      <c r="D610" s="24">
        <v>45009.0</v>
      </c>
      <c r="E610" s="24">
        <v>45022.0</v>
      </c>
      <c r="F610" s="6">
        <v>70.0</v>
      </c>
      <c r="G610" s="9" t="str">
        <f>VLOOKUP(operations[productID],products[],2,FALSE)</f>
        <v>Outback Lager</v>
      </c>
      <c r="H610" s="9" t="str">
        <f>IF(VLOOKUP(operations[productID],products[],7,FALSE)=1,"Discontinued","Current")</f>
        <v>Current</v>
      </c>
      <c r="I610" s="6">
        <f>VLOOKUP(operations[productID],products[],4,FALSE)</f>
        <v>15</v>
      </c>
      <c r="J610" s="6">
        <f>VLOOKUP(operations[productID],products[],5,FALSE)</f>
        <v>10</v>
      </c>
      <c r="K610" s="6">
        <f>VLOOKUP(operations[productID],products[],6,FALSE)</f>
        <v>30</v>
      </c>
      <c r="L610" s="10">
        <f t="array" ref="L610">INDEX('1 orders'!I610:I2156, MATCH(1, ('1 orders'!A610:A2156=A610)*('1 orders'!G610:G2156=F610), 0))
</f>
        <v>12</v>
      </c>
      <c r="M610" s="10">
        <f>IFERROR(__xludf.DUMMYFUNCTION("COUNTUNIQUEIFS($A$2:$A610,$F$2:$F610,F610)"),10.0)</f>
        <v>10</v>
      </c>
      <c r="N610" s="10">
        <f t="shared" si="1"/>
        <v>24</v>
      </c>
      <c r="O610" s="26">
        <f>IF(operations[sinceLastOrder]=0,0,operations[orderQuantity] / operations[sinceLastOrder])</f>
        <v>0.5</v>
      </c>
      <c r="P610" s="9">
        <v>4.41</v>
      </c>
      <c r="Q610" s="7" t="s">
        <v>13</v>
      </c>
      <c r="R610" s="10">
        <f>operations[arrivedDate]-operations[shippedDate]</f>
        <v>13</v>
      </c>
    </row>
    <row r="611" ht="15.75" customHeight="1">
      <c r="A611" s="6">
        <v>10477.0</v>
      </c>
      <c r="B611" s="24">
        <v>45002.0</v>
      </c>
      <c r="C611" s="24">
        <v>45030.0</v>
      </c>
      <c r="D611" s="24">
        <v>45010.0</v>
      </c>
      <c r="E611" s="24">
        <v>45023.0</v>
      </c>
      <c r="F611" s="6">
        <v>1.0</v>
      </c>
      <c r="G611" s="9" t="str">
        <f>VLOOKUP(operations[productID],products[],2,FALSE)</f>
        <v>Chai</v>
      </c>
      <c r="H611" s="9" t="str">
        <f>IF(VLOOKUP(operations[productID],products[],7,FALSE)=1,"Discontinued","Current")</f>
        <v>Current</v>
      </c>
      <c r="I611" s="6">
        <f>VLOOKUP(operations[productID],products[],4,FALSE)</f>
        <v>39</v>
      </c>
      <c r="J611" s="6">
        <f>VLOOKUP(operations[productID],products[],5,FALSE)</f>
        <v>0</v>
      </c>
      <c r="K611" s="6">
        <f>VLOOKUP(operations[productID],products[],6,FALSE)</f>
        <v>10</v>
      </c>
      <c r="L611" s="10">
        <f t="array" ref="L611">INDEX('1 orders'!I611:I2156, MATCH(1, ('1 orders'!A611:A2156=A611)*('1 orders'!G611:G2156=F611), 0))
</f>
        <v>15</v>
      </c>
      <c r="M611" s="10">
        <f>IFERROR(__xludf.DUMMYFUNCTION("COUNTUNIQUEIFS($A$2:$A611,$F$2:$F611,F611)"),9.0)</f>
        <v>9</v>
      </c>
      <c r="N611" s="10">
        <f t="shared" si="1"/>
        <v>62</v>
      </c>
      <c r="O611" s="26">
        <f>IF(operations[sinceLastOrder]=0,0,operations[orderQuantity] / operations[sinceLastOrder])</f>
        <v>0.2419354839</v>
      </c>
      <c r="P611" s="9">
        <v>13.02</v>
      </c>
      <c r="Q611" s="7" t="s">
        <v>17</v>
      </c>
      <c r="R611" s="10">
        <f>operations[arrivedDate]-operations[shippedDate]</f>
        <v>13</v>
      </c>
    </row>
    <row r="612" ht="15.75" customHeight="1">
      <c r="A612" s="6">
        <v>10477.0</v>
      </c>
      <c r="B612" s="24">
        <v>45002.0</v>
      </c>
      <c r="C612" s="24">
        <v>45030.0</v>
      </c>
      <c r="D612" s="24">
        <v>45010.0</v>
      </c>
      <c r="E612" s="24">
        <v>45023.0</v>
      </c>
      <c r="F612" s="6">
        <v>21.0</v>
      </c>
      <c r="G612" s="9" t="str">
        <f>VLOOKUP(operations[productID],products[],2,FALSE)</f>
        <v>Sir Rodney's Scones</v>
      </c>
      <c r="H612" s="9" t="str">
        <f>IF(VLOOKUP(operations[productID],products[],7,FALSE)=1,"Discontinued","Current")</f>
        <v>Current</v>
      </c>
      <c r="I612" s="6">
        <f>VLOOKUP(operations[productID],products[],4,FALSE)</f>
        <v>3</v>
      </c>
      <c r="J612" s="6">
        <f>VLOOKUP(operations[productID],products[],5,FALSE)</f>
        <v>40</v>
      </c>
      <c r="K612" s="6">
        <f>VLOOKUP(operations[productID],products[],6,FALSE)</f>
        <v>5</v>
      </c>
      <c r="L612" s="10">
        <f t="array" ref="L612">INDEX('1 orders'!I612:I2156, MATCH(1, ('1 orders'!A612:A2156=A612)*('1 orders'!G612:G2156=F612), 0))
</f>
        <v>21</v>
      </c>
      <c r="M612" s="10">
        <f>IFERROR(__xludf.DUMMYFUNCTION("COUNTUNIQUEIFS($A$2:$A612,$F$2:$F612,F612)"),11.0)</f>
        <v>11</v>
      </c>
      <c r="N612" s="10">
        <f t="shared" si="1"/>
        <v>17</v>
      </c>
      <c r="O612" s="26">
        <f>IF(operations[sinceLastOrder]=0,0,operations[orderQuantity] / operations[sinceLastOrder])</f>
        <v>1.235294118</v>
      </c>
      <c r="P612" s="9">
        <v>13.02</v>
      </c>
      <c r="Q612" s="7" t="s">
        <v>17</v>
      </c>
      <c r="R612" s="10">
        <f>operations[arrivedDate]-operations[shippedDate]</f>
        <v>13</v>
      </c>
    </row>
    <row r="613" ht="15.75" customHeight="1">
      <c r="A613" s="6">
        <v>10477.0</v>
      </c>
      <c r="B613" s="24">
        <v>45002.0</v>
      </c>
      <c r="C613" s="24">
        <v>45030.0</v>
      </c>
      <c r="D613" s="24">
        <v>45010.0</v>
      </c>
      <c r="E613" s="24">
        <v>45023.0</v>
      </c>
      <c r="F613" s="6">
        <v>39.0</v>
      </c>
      <c r="G613" s="9" t="str">
        <f>VLOOKUP(operations[productID],products[],2,FALSE)</f>
        <v>Chartreuse verte</v>
      </c>
      <c r="H613" s="9" t="str">
        <f>IF(VLOOKUP(operations[productID],products[],7,FALSE)=1,"Discontinued","Current")</f>
        <v>Current</v>
      </c>
      <c r="I613" s="6">
        <f>VLOOKUP(operations[productID],products[],4,FALSE)</f>
        <v>69</v>
      </c>
      <c r="J613" s="6">
        <f>VLOOKUP(operations[productID],products[],5,FALSE)</f>
        <v>0</v>
      </c>
      <c r="K613" s="6">
        <f>VLOOKUP(operations[productID],products[],6,FALSE)</f>
        <v>5</v>
      </c>
      <c r="L613" s="10">
        <f t="array" ref="L613">INDEX('1 orders'!I613:I2156, MATCH(1, ('1 orders'!A613:A2156=A613)*('1 orders'!G613:G2156=F613), 0))
</f>
        <v>20</v>
      </c>
      <c r="M613" s="10">
        <f>IFERROR(__xludf.DUMMYFUNCTION("COUNTUNIQUEIFS($A$2:$A613,$F$2:$F613,F613)"),11.0)</f>
        <v>11</v>
      </c>
      <c r="N613" s="10">
        <f t="shared" si="1"/>
        <v>21</v>
      </c>
      <c r="O613" s="26">
        <f>IF(operations[sinceLastOrder]=0,0,operations[orderQuantity] / operations[sinceLastOrder])</f>
        <v>0.9523809524</v>
      </c>
      <c r="P613" s="9">
        <v>13.02</v>
      </c>
      <c r="Q613" s="7" t="s">
        <v>17</v>
      </c>
      <c r="R613" s="10">
        <f>operations[arrivedDate]-operations[shippedDate]</f>
        <v>13</v>
      </c>
    </row>
    <row r="614" ht="15.75" customHeight="1">
      <c r="A614" s="6">
        <v>10478.0</v>
      </c>
      <c r="B614" s="24">
        <v>45003.0</v>
      </c>
      <c r="C614" s="24">
        <v>45017.0</v>
      </c>
      <c r="D614" s="24">
        <v>45011.0</v>
      </c>
      <c r="E614" s="24">
        <v>45018.0</v>
      </c>
      <c r="F614" s="6">
        <v>10.0</v>
      </c>
      <c r="G614" s="9" t="str">
        <f>VLOOKUP(operations[productID],products[],2,FALSE)</f>
        <v>Ikura</v>
      </c>
      <c r="H614" s="9" t="str">
        <f>IF(VLOOKUP(operations[productID],products[],7,FALSE)=1,"Discontinued","Current")</f>
        <v>Current</v>
      </c>
      <c r="I614" s="6">
        <f>VLOOKUP(operations[productID],products[],4,FALSE)</f>
        <v>31</v>
      </c>
      <c r="J614" s="6">
        <f>VLOOKUP(operations[productID],products[],5,FALSE)</f>
        <v>0</v>
      </c>
      <c r="K614" s="6">
        <f>VLOOKUP(operations[productID],products[],6,FALSE)</f>
        <v>0</v>
      </c>
      <c r="L614" s="10">
        <f t="array" ref="L614">INDEX('1 orders'!I614:I2156, MATCH(1, ('1 orders'!A614:A2156=A614)*('1 orders'!G614:G2156=F614), 0))
</f>
        <v>20</v>
      </c>
      <c r="M614" s="10">
        <f>IFERROR(__xludf.DUMMYFUNCTION("COUNTUNIQUEIFS($A$2:$A614,$F$2:$F614,F614)"),7.0)</f>
        <v>7</v>
      </c>
      <c r="N614" s="10">
        <f t="shared" si="1"/>
        <v>27</v>
      </c>
      <c r="O614" s="26">
        <f>IF(operations[sinceLastOrder]=0,0,operations[orderQuantity] / operations[sinceLastOrder])</f>
        <v>0.7407407407</v>
      </c>
      <c r="P614" s="9">
        <v>4.81</v>
      </c>
      <c r="Q614" s="7" t="s">
        <v>13</v>
      </c>
      <c r="R614" s="10">
        <f>operations[arrivedDate]-operations[shippedDate]</f>
        <v>7</v>
      </c>
    </row>
    <row r="615" ht="15.75" customHeight="1">
      <c r="A615" s="6">
        <v>10479.0</v>
      </c>
      <c r="B615" s="24">
        <v>45004.0</v>
      </c>
      <c r="C615" s="24">
        <v>45032.0</v>
      </c>
      <c r="D615" s="24">
        <v>45006.0</v>
      </c>
      <c r="E615" s="24">
        <v>45020.0</v>
      </c>
      <c r="F615" s="6">
        <v>38.0</v>
      </c>
      <c r="G615" s="9" t="str">
        <f>VLOOKUP(operations[productID],products[],2,FALSE)</f>
        <v>Côte de Blaye</v>
      </c>
      <c r="H615" s="9" t="str">
        <f>IF(VLOOKUP(operations[productID],products[],7,FALSE)=1,"Discontinued","Current")</f>
        <v>Current</v>
      </c>
      <c r="I615" s="6">
        <f>VLOOKUP(operations[productID],products[],4,FALSE)</f>
        <v>17</v>
      </c>
      <c r="J615" s="6">
        <f>VLOOKUP(operations[productID],products[],5,FALSE)</f>
        <v>0</v>
      </c>
      <c r="K615" s="6">
        <f>VLOOKUP(operations[productID],products[],6,FALSE)</f>
        <v>15</v>
      </c>
      <c r="L615" s="10">
        <f t="array" ref="L615">INDEX('1 orders'!I615:I2156, MATCH(1, ('1 orders'!A615:A2156=A615)*('1 orders'!G615:G2156=F615), 0))
</f>
        <v>30</v>
      </c>
      <c r="M615" s="10">
        <f>IFERROR(__xludf.DUMMYFUNCTION("COUNTUNIQUEIFS($A$2:$A615,$F$2:$F615,F615)"),8.0)</f>
        <v>8</v>
      </c>
      <c r="N615" s="10">
        <f t="shared" si="1"/>
        <v>55</v>
      </c>
      <c r="O615" s="26">
        <f>IF(operations[sinceLastOrder]=0,0,operations[orderQuantity] / operations[sinceLastOrder])</f>
        <v>0.5454545455</v>
      </c>
      <c r="P615" s="9">
        <v>708.95</v>
      </c>
      <c r="Q615" s="7" t="s">
        <v>13</v>
      </c>
      <c r="R615" s="10">
        <f>operations[arrivedDate]-operations[shippedDate]</f>
        <v>14</v>
      </c>
    </row>
    <row r="616" ht="15.75" customHeight="1">
      <c r="A616" s="6">
        <v>10479.0</v>
      </c>
      <c r="B616" s="24">
        <v>45004.0</v>
      </c>
      <c r="C616" s="24">
        <v>45032.0</v>
      </c>
      <c r="D616" s="24">
        <v>45006.0</v>
      </c>
      <c r="E616" s="24">
        <v>45020.0</v>
      </c>
      <c r="F616" s="6">
        <v>53.0</v>
      </c>
      <c r="G616" s="9" t="str">
        <f>VLOOKUP(operations[productID],products[],2,FALSE)</f>
        <v>Perth Pasties</v>
      </c>
      <c r="H616" s="9" t="str">
        <f>IF(VLOOKUP(operations[productID],products[],7,FALSE)=1,"Discontinued","Current")</f>
        <v>Discontinued</v>
      </c>
      <c r="I616" s="6">
        <f>VLOOKUP(operations[productID],products[],4,FALSE)</f>
        <v>0</v>
      </c>
      <c r="J616" s="6">
        <f>VLOOKUP(operations[productID],products[],5,FALSE)</f>
        <v>0</v>
      </c>
      <c r="K616" s="6">
        <f>VLOOKUP(operations[productID],products[],6,FALSE)</f>
        <v>0</v>
      </c>
      <c r="L616" s="10">
        <f t="array" ref="L616">INDEX('1 orders'!I616:I2156, MATCH(1, ('1 orders'!A616:A2156=A616)*('1 orders'!G616:G2156=F616), 0))
</f>
        <v>28</v>
      </c>
      <c r="M616" s="10">
        <f>IFERROR(__xludf.DUMMYFUNCTION("COUNTUNIQUEIFS($A$2:$A616,$F$2:$F616,F616)"),12.0)</f>
        <v>12</v>
      </c>
      <c r="N616" s="10">
        <f t="shared" si="1"/>
        <v>23</v>
      </c>
      <c r="O616" s="26">
        <f>IF(operations[sinceLastOrder]=0,0,operations[orderQuantity] / operations[sinceLastOrder])</f>
        <v>1.217391304</v>
      </c>
      <c r="P616" s="9">
        <v>708.95</v>
      </c>
      <c r="Q616" s="7" t="s">
        <v>13</v>
      </c>
      <c r="R616" s="10">
        <f>operations[arrivedDate]-operations[shippedDate]</f>
        <v>14</v>
      </c>
    </row>
    <row r="617" ht="15.75" customHeight="1">
      <c r="A617" s="6">
        <v>10479.0</v>
      </c>
      <c r="B617" s="24">
        <v>45004.0</v>
      </c>
      <c r="C617" s="24">
        <v>45032.0</v>
      </c>
      <c r="D617" s="24">
        <v>45006.0</v>
      </c>
      <c r="E617" s="24">
        <v>45020.0</v>
      </c>
      <c r="F617" s="6">
        <v>59.0</v>
      </c>
      <c r="G617" s="9" t="str">
        <f>VLOOKUP(operations[productID],products[],2,FALSE)</f>
        <v>Raclette Courdavault</v>
      </c>
      <c r="H617" s="9" t="str">
        <f>IF(VLOOKUP(operations[productID],products[],7,FALSE)=1,"Discontinued","Current")</f>
        <v>Current</v>
      </c>
      <c r="I617" s="6">
        <f>VLOOKUP(operations[productID],products[],4,FALSE)</f>
        <v>79</v>
      </c>
      <c r="J617" s="6">
        <f>VLOOKUP(operations[productID],products[],5,FALSE)</f>
        <v>0</v>
      </c>
      <c r="K617" s="6">
        <f>VLOOKUP(operations[productID],products[],6,FALSE)</f>
        <v>0</v>
      </c>
      <c r="L617" s="10">
        <f t="array" ref="L617">INDEX('1 orders'!I617:I2156, MATCH(1, ('1 orders'!A617:A2156=A617)*('1 orders'!G617:G2156=F617), 0))
</f>
        <v>60</v>
      </c>
      <c r="M617" s="10">
        <f>IFERROR(__xludf.DUMMYFUNCTION("COUNTUNIQUEIFS($A$2:$A617,$F$2:$F617,F617)"),16.0)</f>
        <v>16</v>
      </c>
      <c r="N617" s="10">
        <f t="shared" si="1"/>
        <v>22</v>
      </c>
      <c r="O617" s="26">
        <f>IF(operations[sinceLastOrder]=0,0,operations[orderQuantity] / operations[sinceLastOrder])</f>
        <v>2.727272727</v>
      </c>
      <c r="P617" s="9">
        <v>708.95</v>
      </c>
      <c r="Q617" s="7" t="s">
        <v>13</v>
      </c>
      <c r="R617" s="10">
        <f>operations[arrivedDate]-operations[shippedDate]</f>
        <v>14</v>
      </c>
    </row>
    <row r="618" ht="15.75" customHeight="1">
      <c r="A618" s="6">
        <v>10479.0</v>
      </c>
      <c r="B618" s="24">
        <v>45004.0</v>
      </c>
      <c r="C618" s="24">
        <v>45032.0</v>
      </c>
      <c r="D618" s="24">
        <v>45006.0</v>
      </c>
      <c r="E618" s="24">
        <v>45020.0</v>
      </c>
      <c r="F618" s="6">
        <v>64.0</v>
      </c>
      <c r="G618" s="9" t="str">
        <f>VLOOKUP(operations[productID],products[],2,FALSE)</f>
        <v>Lukas' leckere Sauerteigweggla</v>
      </c>
      <c r="H618" s="9" t="str">
        <f>IF(VLOOKUP(operations[productID],products[],7,FALSE)=1,"Discontinued","Current")</f>
        <v>Current</v>
      </c>
      <c r="I618" s="6">
        <f>VLOOKUP(operations[productID],products[],4,FALSE)</f>
        <v>22</v>
      </c>
      <c r="J618" s="6">
        <f>VLOOKUP(operations[productID],products[],5,FALSE)</f>
        <v>80</v>
      </c>
      <c r="K618" s="6">
        <f>VLOOKUP(operations[productID],products[],6,FALSE)</f>
        <v>30</v>
      </c>
      <c r="L618" s="10">
        <f t="array" ref="L618">INDEX('1 orders'!I618:I2156, MATCH(1, ('1 orders'!A618:A2156=A618)*('1 orders'!G618:G2156=F618), 0))
</f>
        <v>30</v>
      </c>
      <c r="M618" s="10">
        <f>IFERROR(__xludf.DUMMYFUNCTION("COUNTUNIQUEIFS($A$2:$A618,$F$2:$F618,F618)"),10.0)</f>
        <v>10</v>
      </c>
      <c r="N618" s="10">
        <f t="shared" si="1"/>
        <v>8</v>
      </c>
      <c r="O618" s="26">
        <f>IF(operations[sinceLastOrder]=0,0,operations[orderQuantity] / operations[sinceLastOrder])</f>
        <v>3.75</v>
      </c>
      <c r="P618" s="9">
        <v>708.95</v>
      </c>
      <c r="Q618" s="7" t="s">
        <v>13</v>
      </c>
      <c r="R618" s="10">
        <f>operations[arrivedDate]-operations[shippedDate]</f>
        <v>14</v>
      </c>
    </row>
    <row r="619" ht="15.75" customHeight="1">
      <c r="A619" s="6">
        <v>10480.0</v>
      </c>
      <c r="B619" s="24">
        <v>45005.0</v>
      </c>
      <c r="C619" s="24">
        <v>45033.0</v>
      </c>
      <c r="D619" s="24">
        <v>45009.0</v>
      </c>
      <c r="E619" s="24">
        <v>45018.0</v>
      </c>
      <c r="F619" s="6">
        <v>47.0</v>
      </c>
      <c r="G619" s="9" t="str">
        <f>VLOOKUP(operations[productID],products[],2,FALSE)</f>
        <v>Zaanse koeken</v>
      </c>
      <c r="H619" s="9" t="str">
        <f>IF(VLOOKUP(operations[productID],products[],7,FALSE)=1,"Discontinued","Current")</f>
        <v>Current</v>
      </c>
      <c r="I619" s="6">
        <f>VLOOKUP(operations[productID],products[],4,FALSE)</f>
        <v>36</v>
      </c>
      <c r="J619" s="6">
        <f>VLOOKUP(operations[productID],products[],5,FALSE)</f>
        <v>0</v>
      </c>
      <c r="K619" s="6">
        <f>VLOOKUP(operations[productID],products[],6,FALSE)</f>
        <v>0</v>
      </c>
      <c r="L619" s="10">
        <f t="array" ref="L619">INDEX('1 orders'!I619:I2156, MATCH(1, ('1 orders'!A619:A2156=A619)*('1 orders'!G619:G2156=F619), 0))
</f>
        <v>30</v>
      </c>
      <c r="M619" s="10">
        <f>IFERROR(__xludf.DUMMYFUNCTION("COUNTUNIQUEIFS($A$2:$A619,$F$2:$F619,F619)"),4.0)</f>
        <v>4</v>
      </c>
      <c r="N619" s="10">
        <f t="shared" si="1"/>
        <v>49</v>
      </c>
      <c r="O619" s="26">
        <f>IF(operations[sinceLastOrder]=0,0,operations[orderQuantity] / operations[sinceLastOrder])</f>
        <v>0.612244898</v>
      </c>
      <c r="P619" s="9">
        <v>1.35</v>
      </c>
      <c r="Q619" s="7" t="s">
        <v>17</v>
      </c>
      <c r="R619" s="10">
        <f>operations[arrivedDate]-operations[shippedDate]</f>
        <v>9</v>
      </c>
    </row>
    <row r="620" ht="15.75" customHeight="1">
      <c r="A620" s="6">
        <v>10480.0</v>
      </c>
      <c r="B620" s="24">
        <v>45005.0</v>
      </c>
      <c r="C620" s="24">
        <v>45033.0</v>
      </c>
      <c r="D620" s="24">
        <v>45009.0</v>
      </c>
      <c r="E620" s="24">
        <v>45018.0</v>
      </c>
      <c r="F620" s="6">
        <v>59.0</v>
      </c>
      <c r="G620" s="9" t="str">
        <f>VLOOKUP(operations[productID],products[],2,FALSE)</f>
        <v>Raclette Courdavault</v>
      </c>
      <c r="H620" s="9" t="str">
        <f>IF(VLOOKUP(operations[productID],products[],7,FALSE)=1,"Discontinued","Current")</f>
        <v>Current</v>
      </c>
      <c r="I620" s="6">
        <f>VLOOKUP(operations[productID],products[],4,FALSE)</f>
        <v>79</v>
      </c>
      <c r="J620" s="6">
        <f>VLOOKUP(operations[productID],products[],5,FALSE)</f>
        <v>0</v>
      </c>
      <c r="K620" s="6">
        <f>VLOOKUP(operations[productID],products[],6,FALSE)</f>
        <v>0</v>
      </c>
      <c r="L620" s="10">
        <f t="array" ref="L620">INDEX('1 orders'!I620:I2156, MATCH(1, ('1 orders'!A620:A2156=A620)*('1 orders'!G620:G2156=F620), 0))
</f>
        <v>12</v>
      </c>
      <c r="M620" s="10">
        <f>IFERROR(__xludf.DUMMYFUNCTION("COUNTUNIQUEIFS($A$2:$A620,$F$2:$F620,F620)"),17.0)</f>
        <v>17</v>
      </c>
      <c r="N620" s="10">
        <f t="shared" si="1"/>
        <v>1</v>
      </c>
      <c r="O620" s="26">
        <f>IF(operations[sinceLastOrder]=0,0,operations[orderQuantity] / operations[sinceLastOrder])</f>
        <v>12</v>
      </c>
      <c r="P620" s="9">
        <v>1.35</v>
      </c>
      <c r="Q620" s="7" t="s">
        <v>17</v>
      </c>
      <c r="R620" s="10">
        <f>operations[arrivedDate]-operations[shippedDate]</f>
        <v>9</v>
      </c>
    </row>
    <row r="621" ht="15.75" customHeight="1">
      <c r="A621" s="6">
        <v>10481.0</v>
      </c>
      <c r="B621" s="24">
        <v>45005.0</v>
      </c>
      <c r="C621" s="24">
        <v>45033.0</v>
      </c>
      <c r="D621" s="24">
        <v>45010.0</v>
      </c>
      <c r="E621" s="24">
        <v>45029.0</v>
      </c>
      <c r="F621" s="6">
        <v>49.0</v>
      </c>
      <c r="G621" s="9" t="str">
        <f>VLOOKUP(operations[productID],products[],2,FALSE)</f>
        <v>Maxilaku</v>
      </c>
      <c r="H621" s="9" t="str">
        <f>IF(VLOOKUP(operations[productID],products[],7,FALSE)=1,"Discontinued","Current")</f>
        <v>Current</v>
      </c>
      <c r="I621" s="6">
        <f>VLOOKUP(operations[productID],products[],4,FALSE)</f>
        <v>10</v>
      </c>
      <c r="J621" s="6">
        <f>VLOOKUP(operations[productID],products[],5,FALSE)</f>
        <v>60</v>
      </c>
      <c r="K621" s="6">
        <f>VLOOKUP(operations[productID],products[],6,FALSE)</f>
        <v>15</v>
      </c>
      <c r="L621" s="10">
        <f t="array" ref="L621">INDEX('1 orders'!I621:I2156, MATCH(1, ('1 orders'!A621:A2156=A621)*('1 orders'!G621:G2156=F621), 0))
</f>
        <v>24</v>
      </c>
      <c r="M621" s="10">
        <f>IFERROR(__xludf.DUMMYFUNCTION("COUNTUNIQUEIFS($A$2:$A621,$F$2:$F621,F621)"),8.0)</f>
        <v>8</v>
      </c>
      <c r="N621" s="10">
        <f t="shared" si="1"/>
        <v>23</v>
      </c>
      <c r="O621" s="26">
        <f>IF(operations[sinceLastOrder]=0,0,operations[orderQuantity] / operations[sinceLastOrder])</f>
        <v>1.043478261</v>
      </c>
      <c r="P621" s="9">
        <v>64.33</v>
      </c>
      <c r="Q621" s="7" t="s">
        <v>17</v>
      </c>
      <c r="R621" s="10">
        <f>operations[arrivedDate]-operations[shippedDate]</f>
        <v>19</v>
      </c>
    </row>
    <row r="622" ht="15.75" customHeight="1">
      <c r="A622" s="6">
        <v>10481.0</v>
      </c>
      <c r="B622" s="24">
        <v>45005.0</v>
      </c>
      <c r="C622" s="24">
        <v>45033.0</v>
      </c>
      <c r="D622" s="24">
        <v>45010.0</v>
      </c>
      <c r="E622" s="24">
        <v>45029.0</v>
      </c>
      <c r="F622" s="6">
        <v>60.0</v>
      </c>
      <c r="G622" s="9" t="str">
        <f>VLOOKUP(operations[productID],products[],2,FALSE)</f>
        <v>Camembert Pierrot</v>
      </c>
      <c r="H622" s="9" t="str">
        <f>IF(VLOOKUP(operations[productID],products[],7,FALSE)=1,"Discontinued","Current")</f>
        <v>Current</v>
      </c>
      <c r="I622" s="6">
        <f>VLOOKUP(operations[productID],products[],4,FALSE)</f>
        <v>19</v>
      </c>
      <c r="J622" s="6">
        <f>VLOOKUP(operations[productID],products[],5,FALSE)</f>
        <v>0</v>
      </c>
      <c r="K622" s="6">
        <f>VLOOKUP(operations[productID],products[],6,FALSE)</f>
        <v>0</v>
      </c>
      <c r="L622" s="10">
        <f t="array" ref="L622">INDEX('1 orders'!I622:I2156, MATCH(1, ('1 orders'!A622:A2156=A622)*('1 orders'!G622:G2156=F622), 0))
</f>
        <v>40</v>
      </c>
      <c r="M622" s="10">
        <f>IFERROR(__xludf.DUMMYFUNCTION("COUNTUNIQUEIFS($A$2:$A622,$F$2:$F622,F622)"),14.0)</f>
        <v>14</v>
      </c>
      <c r="N622" s="10">
        <f t="shared" si="1"/>
        <v>16</v>
      </c>
      <c r="O622" s="26">
        <f>IF(operations[sinceLastOrder]=0,0,operations[orderQuantity] / operations[sinceLastOrder])</f>
        <v>2.5</v>
      </c>
      <c r="P622" s="9">
        <v>64.33</v>
      </c>
      <c r="Q622" s="7" t="s">
        <v>17</v>
      </c>
      <c r="R622" s="10">
        <f>operations[arrivedDate]-operations[shippedDate]</f>
        <v>19</v>
      </c>
    </row>
    <row r="623" ht="15.75" customHeight="1">
      <c r="A623" s="6">
        <v>10482.0</v>
      </c>
      <c r="B623" s="24">
        <v>45006.0</v>
      </c>
      <c r="C623" s="24">
        <v>45034.0</v>
      </c>
      <c r="D623" s="24">
        <v>45026.0</v>
      </c>
      <c r="E623" s="24">
        <v>45040.0</v>
      </c>
      <c r="F623" s="6">
        <v>40.0</v>
      </c>
      <c r="G623" s="9" t="str">
        <f>VLOOKUP(operations[productID],products[],2,FALSE)</f>
        <v>Boston Crab Meat</v>
      </c>
      <c r="H623" s="9" t="str">
        <f>IF(VLOOKUP(operations[productID],products[],7,FALSE)=1,"Discontinued","Current")</f>
        <v>Current</v>
      </c>
      <c r="I623" s="6">
        <f>VLOOKUP(operations[productID],products[],4,FALSE)</f>
        <v>123</v>
      </c>
      <c r="J623" s="6">
        <f>VLOOKUP(operations[productID],products[],5,FALSE)</f>
        <v>0</v>
      </c>
      <c r="K623" s="6">
        <f>VLOOKUP(operations[productID],products[],6,FALSE)</f>
        <v>30</v>
      </c>
      <c r="L623" s="10">
        <f t="array" ref="L623">INDEX('1 orders'!I623:I2156, MATCH(1, ('1 orders'!A623:A2156=A623)*('1 orders'!G623:G2156=F623), 0))
</f>
        <v>10</v>
      </c>
      <c r="M623" s="10">
        <f>IFERROR(__xludf.DUMMYFUNCTION("COUNTUNIQUEIFS($A$2:$A623,$F$2:$F623,F623)"),12.0)</f>
        <v>12</v>
      </c>
      <c r="N623" s="10">
        <f t="shared" si="1"/>
        <v>8</v>
      </c>
      <c r="O623" s="26">
        <f>IF(operations[sinceLastOrder]=0,0,operations[orderQuantity] / operations[sinceLastOrder])</f>
        <v>1.25</v>
      </c>
      <c r="P623" s="9">
        <v>7.48</v>
      </c>
      <c r="Q623" s="7" t="s">
        <v>13</v>
      </c>
      <c r="R623" s="10">
        <f>operations[arrivedDate]-operations[shippedDate]</f>
        <v>14</v>
      </c>
    </row>
    <row r="624" ht="15.75" customHeight="1">
      <c r="A624" s="6">
        <v>10483.0</v>
      </c>
      <c r="B624" s="24">
        <v>45009.0</v>
      </c>
      <c r="C624" s="24">
        <v>45037.0</v>
      </c>
      <c r="D624" s="24">
        <v>45041.0</v>
      </c>
      <c r="E624" s="24">
        <v>45057.0</v>
      </c>
      <c r="F624" s="6">
        <v>34.0</v>
      </c>
      <c r="G624" s="9" t="str">
        <f>VLOOKUP(operations[productID],products[],2,FALSE)</f>
        <v>Sasquatch Ale</v>
      </c>
      <c r="H624" s="9" t="str">
        <f>IF(VLOOKUP(operations[productID],products[],7,FALSE)=1,"Discontinued","Current")</f>
        <v>Current</v>
      </c>
      <c r="I624" s="6">
        <f>VLOOKUP(operations[productID],products[],4,FALSE)</f>
        <v>111</v>
      </c>
      <c r="J624" s="6">
        <f>VLOOKUP(operations[productID],products[],5,FALSE)</f>
        <v>0</v>
      </c>
      <c r="K624" s="6">
        <f>VLOOKUP(operations[productID],products[],6,FALSE)</f>
        <v>15</v>
      </c>
      <c r="L624" s="10">
        <f t="array" ref="L624">INDEX('1 orders'!I624:I2156, MATCH(1, ('1 orders'!A624:A2156=A624)*('1 orders'!G624:G2156=F624), 0))
</f>
        <v>35</v>
      </c>
      <c r="M624" s="10">
        <f>IFERROR(__xludf.DUMMYFUNCTION("COUNTUNIQUEIFS($A$2:$A624,$F$2:$F624,F624)"),7.0)</f>
        <v>7</v>
      </c>
      <c r="N624" s="10">
        <f t="shared" si="1"/>
        <v>46</v>
      </c>
      <c r="O624" s="26">
        <f>IF(operations[sinceLastOrder]=0,0,operations[orderQuantity] / operations[sinceLastOrder])</f>
        <v>0.7608695652</v>
      </c>
      <c r="P624" s="9">
        <v>15.28</v>
      </c>
      <c r="Q624" s="7" t="s">
        <v>17</v>
      </c>
      <c r="R624" s="10">
        <f>operations[arrivedDate]-operations[shippedDate]</f>
        <v>16</v>
      </c>
    </row>
    <row r="625" ht="15.75" customHeight="1">
      <c r="A625" s="6">
        <v>10483.0</v>
      </c>
      <c r="B625" s="24">
        <v>45009.0</v>
      </c>
      <c r="C625" s="24">
        <v>45037.0</v>
      </c>
      <c r="D625" s="24">
        <v>45041.0</v>
      </c>
      <c r="E625" s="24">
        <v>45057.0</v>
      </c>
      <c r="F625" s="6">
        <v>77.0</v>
      </c>
      <c r="G625" s="9" t="str">
        <f>VLOOKUP(operations[productID],products[],2,FALSE)</f>
        <v>Original Frankfurter grüne Soße</v>
      </c>
      <c r="H625" s="9" t="str">
        <f>IF(VLOOKUP(operations[productID],products[],7,FALSE)=1,"Discontinued","Current")</f>
        <v>Current</v>
      </c>
      <c r="I625" s="6">
        <f>VLOOKUP(operations[productID],products[],4,FALSE)</f>
        <v>32</v>
      </c>
      <c r="J625" s="6">
        <f>VLOOKUP(operations[productID],products[],5,FALSE)</f>
        <v>0</v>
      </c>
      <c r="K625" s="6">
        <f>VLOOKUP(operations[productID],products[],6,FALSE)</f>
        <v>15</v>
      </c>
      <c r="L625" s="10">
        <f t="array" ref="L625">INDEX('1 orders'!I625:I2156, MATCH(1, ('1 orders'!A625:A2156=A625)*('1 orders'!G625:G2156=F625), 0))
</f>
        <v>30</v>
      </c>
      <c r="M625" s="10">
        <f>IFERROR(__xludf.DUMMYFUNCTION("COUNTUNIQUEIFS($A$2:$A625,$F$2:$F625,F625)"),10.0)</f>
        <v>10</v>
      </c>
      <c r="N625" s="10">
        <f t="shared" si="1"/>
        <v>33</v>
      </c>
      <c r="O625" s="26">
        <f>IF(operations[sinceLastOrder]=0,0,operations[orderQuantity] / operations[sinceLastOrder])</f>
        <v>0.9090909091</v>
      </c>
      <c r="P625" s="9">
        <v>15.28</v>
      </c>
      <c r="Q625" s="7" t="s">
        <v>17</v>
      </c>
      <c r="R625" s="10">
        <f>operations[arrivedDate]-operations[shippedDate]</f>
        <v>16</v>
      </c>
    </row>
    <row r="626" ht="15.75" customHeight="1">
      <c r="A626" s="6">
        <v>10484.0</v>
      </c>
      <c r="B626" s="24">
        <v>45009.0</v>
      </c>
      <c r="C626" s="24">
        <v>45037.0</v>
      </c>
      <c r="D626" s="24">
        <v>45017.0</v>
      </c>
      <c r="E626" s="24">
        <v>45023.0</v>
      </c>
      <c r="F626" s="6">
        <v>21.0</v>
      </c>
      <c r="G626" s="9" t="str">
        <f>VLOOKUP(operations[productID],products[],2,FALSE)</f>
        <v>Sir Rodney's Scones</v>
      </c>
      <c r="H626" s="9" t="str">
        <f>IF(VLOOKUP(operations[productID],products[],7,FALSE)=1,"Discontinued","Current")</f>
        <v>Current</v>
      </c>
      <c r="I626" s="6">
        <f>VLOOKUP(operations[productID],products[],4,FALSE)</f>
        <v>3</v>
      </c>
      <c r="J626" s="6">
        <f>VLOOKUP(operations[productID],products[],5,FALSE)</f>
        <v>40</v>
      </c>
      <c r="K626" s="6">
        <f>VLOOKUP(operations[productID],products[],6,FALSE)</f>
        <v>5</v>
      </c>
      <c r="L626" s="10">
        <f t="array" ref="L626">INDEX('1 orders'!I626:I2156, MATCH(1, ('1 orders'!A626:A2156=A626)*('1 orders'!G626:G2156=F626), 0))
</f>
        <v>14</v>
      </c>
      <c r="M626" s="10">
        <f>IFERROR(__xludf.DUMMYFUNCTION("COUNTUNIQUEIFS($A$2:$A626,$F$2:$F626,F626)"),12.0)</f>
        <v>12</v>
      </c>
      <c r="N626" s="10">
        <f t="shared" si="1"/>
        <v>7</v>
      </c>
      <c r="O626" s="26">
        <f>IF(operations[sinceLastOrder]=0,0,operations[orderQuantity] / operations[sinceLastOrder])</f>
        <v>2</v>
      </c>
      <c r="P626" s="9">
        <v>6.88</v>
      </c>
      <c r="Q626" s="7" t="s">
        <v>13</v>
      </c>
      <c r="R626" s="10">
        <f>operations[arrivedDate]-operations[shippedDate]</f>
        <v>6</v>
      </c>
    </row>
    <row r="627" ht="15.75" customHeight="1">
      <c r="A627" s="6">
        <v>10484.0</v>
      </c>
      <c r="B627" s="24">
        <v>45009.0</v>
      </c>
      <c r="C627" s="24">
        <v>45037.0</v>
      </c>
      <c r="D627" s="24">
        <v>45017.0</v>
      </c>
      <c r="E627" s="24">
        <v>45023.0</v>
      </c>
      <c r="F627" s="6">
        <v>40.0</v>
      </c>
      <c r="G627" s="9" t="str">
        <f>VLOOKUP(operations[productID],products[],2,FALSE)</f>
        <v>Boston Crab Meat</v>
      </c>
      <c r="H627" s="9" t="str">
        <f>IF(VLOOKUP(operations[productID],products[],7,FALSE)=1,"Discontinued","Current")</f>
        <v>Current</v>
      </c>
      <c r="I627" s="6">
        <f>VLOOKUP(operations[productID],products[],4,FALSE)</f>
        <v>123</v>
      </c>
      <c r="J627" s="6">
        <f>VLOOKUP(operations[productID],products[],5,FALSE)</f>
        <v>0</v>
      </c>
      <c r="K627" s="6">
        <f>VLOOKUP(operations[productID],products[],6,FALSE)</f>
        <v>30</v>
      </c>
      <c r="L627" s="10">
        <f t="array" ref="L627">INDEX('1 orders'!I627:I2156, MATCH(1, ('1 orders'!A627:A2156=A627)*('1 orders'!G627:G2156=F627), 0))
</f>
        <v>10</v>
      </c>
      <c r="M627" s="10">
        <f>IFERROR(__xludf.DUMMYFUNCTION("COUNTUNIQUEIFS($A$2:$A627,$F$2:$F627,F627)"),13.0)</f>
        <v>13</v>
      </c>
      <c r="N627" s="10">
        <f t="shared" si="1"/>
        <v>3</v>
      </c>
      <c r="O627" s="26">
        <f>IF(operations[sinceLastOrder]=0,0,operations[orderQuantity] / operations[sinceLastOrder])</f>
        <v>3.333333333</v>
      </c>
      <c r="P627" s="9">
        <v>6.88</v>
      </c>
      <c r="Q627" s="7" t="s">
        <v>13</v>
      </c>
      <c r="R627" s="10">
        <f>operations[arrivedDate]-operations[shippedDate]</f>
        <v>6</v>
      </c>
    </row>
    <row r="628" ht="15.75" customHeight="1">
      <c r="A628" s="6">
        <v>10484.0</v>
      </c>
      <c r="B628" s="24">
        <v>45009.0</v>
      </c>
      <c r="C628" s="24">
        <v>45037.0</v>
      </c>
      <c r="D628" s="24">
        <v>45017.0</v>
      </c>
      <c r="E628" s="24">
        <v>45023.0</v>
      </c>
      <c r="F628" s="6">
        <v>51.0</v>
      </c>
      <c r="G628" s="9" t="str">
        <f>VLOOKUP(operations[productID],products[],2,FALSE)</f>
        <v>Manjimup Dried Apples</v>
      </c>
      <c r="H628" s="9" t="str">
        <f>IF(VLOOKUP(operations[productID],products[],7,FALSE)=1,"Discontinued","Current")</f>
        <v>Current</v>
      </c>
      <c r="I628" s="6">
        <f>VLOOKUP(operations[productID],products[],4,FALSE)</f>
        <v>20</v>
      </c>
      <c r="J628" s="6">
        <f>VLOOKUP(operations[productID],products[],5,FALSE)</f>
        <v>0</v>
      </c>
      <c r="K628" s="6">
        <f>VLOOKUP(operations[productID],products[],6,FALSE)</f>
        <v>10</v>
      </c>
      <c r="L628" s="10">
        <f t="array" ref="L628">INDEX('1 orders'!I628:I2156, MATCH(1, ('1 orders'!A628:A2156=A628)*('1 orders'!G628:G2156=F628), 0))
</f>
        <v>3</v>
      </c>
      <c r="M628" s="10">
        <f>IFERROR(__xludf.DUMMYFUNCTION("COUNTUNIQUEIFS($A$2:$A628,$F$2:$F628,F628)"),8.0)</f>
        <v>8</v>
      </c>
      <c r="N628" s="10">
        <f t="shared" si="1"/>
        <v>12</v>
      </c>
      <c r="O628" s="26">
        <f>IF(operations[sinceLastOrder]=0,0,operations[orderQuantity] / operations[sinceLastOrder])</f>
        <v>0.25</v>
      </c>
      <c r="P628" s="9">
        <v>6.88</v>
      </c>
      <c r="Q628" s="7" t="s">
        <v>13</v>
      </c>
      <c r="R628" s="10">
        <f>operations[arrivedDate]-operations[shippedDate]</f>
        <v>6</v>
      </c>
    </row>
    <row r="629" ht="15.75" customHeight="1">
      <c r="A629" s="6">
        <v>10485.0</v>
      </c>
      <c r="B629" s="24">
        <v>45010.0</v>
      </c>
      <c r="C629" s="24">
        <v>45024.0</v>
      </c>
      <c r="D629" s="24">
        <v>45016.0</v>
      </c>
      <c r="E629" s="24">
        <v>45029.0</v>
      </c>
      <c r="F629" s="6">
        <v>2.0</v>
      </c>
      <c r="G629" s="9" t="str">
        <f>VLOOKUP(operations[productID],products[],2,FALSE)</f>
        <v>Chang</v>
      </c>
      <c r="H629" s="9" t="str">
        <f>IF(VLOOKUP(operations[productID],products[],7,FALSE)=1,"Discontinued","Current")</f>
        <v>Current</v>
      </c>
      <c r="I629" s="6">
        <f>VLOOKUP(operations[productID],products[],4,FALSE)</f>
        <v>17</v>
      </c>
      <c r="J629" s="6">
        <f>VLOOKUP(operations[productID],products[],5,FALSE)</f>
        <v>40</v>
      </c>
      <c r="K629" s="6">
        <f>VLOOKUP(operations[productID],products[],6,FALSE)</f>
        <v>25</v>
      </c>
      <c r="L629" s="10">
        <f t="array" ref="L629">INDEX('1 orders'!I629:I2156, MATCH(1, ('1 orders'!A629:A2156=A629)*('1 orders'!G629:G2156=F629), 0))
</f>
        <v>20</v>
      </c>
      <c r="M629" s="10">
        <f>IFERROR(__xludf.DUMMYFUNCTION("COUNTUNIQUEIFS($A$2:$A629,$F$2:$F629,F629)"),13.0)</f>
        <v>13</v>
      </c>
      <c r="N629" s="10">
        <f t="shared" si="1"/>
        <v>15</v>
      </c>
      <c r="O629" s="26">
        <f>IF(operations[sinceLastOrder]=0,0,operations[orderQuantity] / operations[sinceLastOrder])</f>
        <v>1.333333333</v>
      </c>
      <c r="P629" s="9">
        <v>64.45</v>
      </c>
      <c r="Q629" s="7" t="s">
        <v>17</v>
      </c>
      <c r="R629" s="10">
        <f>operations[arrivedDate]-operations[shippedDate]</f>
        <v>13</v>
      </c>
    </row>
    <row r="630" ht="15.75" customHeight="1">
      <c r="A630" s="6">
        <v>10485.0</v>
      </c>
      <c r="B630" s="24">
        <v>45010.0</v>
      </c>
      <c r="C630" s="24">
        <v>45024.0</v>
      </c>
      <c r="D630" s="24">
        <v>45016.0</v>
      </c>
      <c r="E630" s="24">
        <v>45029.0</v>
      </c>
      <c r="F630" s="6">
        <v>3.0</v>
      </c>
      <c r="G630" s="9" t="str">
        <f>VLOOKUP(operations[productID],products[],2,FALSE)</f>
        <v>Aniseed Syrup</v>
      </c>
      <c r="H630" s="9" t="str">
        <f>IF(VLOOKUP(operations[productID],products[],7,FALSE)=1,"Discontinued","Current")</f>
        <v>Current</v>
      </c>
      <c r="I630" s="6">
        <f>VLOOKUP(operations[productID],products[],4,FALSE)</f>
        <v>13</v>
      </c>
      <c r="J630" s="6">
        <f>VLOOKUP(operations[productID],products[],5,FALSE)</f>
        <v>70</v>
      </c>
      <c r="K630" s="6">
        <f>VLOOKUP(operations[productID],products[],6,FALSE)</f>
        <v>25</v>
      </c>
      <c r="L630" s="10">
        <f t="array" ref="L630">INDEX('1 orders'!I630:I2156, MATCH(1, ('1 orders'!A630:A2156=A630)*('1 orders'!G630:G2156=F630), 0))
</f>
        <v>20</v>
      </c>
      <c r="M630" s="10">
        <f>IFERROR(__xludf.DUMMYFUNCTION("COUNTUNIQUEIFS($A$2:$A630,$F$2:$F630,F630)"),3.0)</f>
        <v>3</v>
      </c>
      <c r="N630" s="10">
        <f t="shared" si="1"/>
        <v>78</v>
      </c>
      <c r="O630" s="26">
        <f>IF(operations[sinceLastOrder]=0,0,operations[orderQuantity] / operations[sinceLastOrder])</f>
        <v>0.2564102564</v>
      </c>
      <c r="P630" s="9">
        <v>64.45</v>
      </c>
      <c r="Q630" s="7" t="s">
        <v>17</v>
      </c>
      <c r="R630" s="10">
        <f>operations[arrivedDate]-operations[shippedDate]</f>
        <v>13</v>
      </c>
    </row>
    <row r="631" ht="15.75" customHeight="1">
      <c r="A631" s="6">
        <v>10485.0</v>
      </c>
      <c r="B631" s="24">
        <v>45010.0</v>
      </c>
      <c r="C631" s="24">
        <v>45024.0</v>
      </c>
      <c r="D631" s="24">
        <v>45016.0</v>
      </c>
      <c r="E631" s="24">
        <v>45029.0</v>
      </c>
      <c r="F631" s="6">
        <v>55.0</v>
      </c>
      <c r="G631" s="9" t="str">
        <f>VLOOKUP(operations[productID],products[],2,FALSE)</f>
        <v>Pâté chinois</v>
      </c>
      <c r="H631" s="9" t="str">
        <f>IF(VLOOKUP(operations[productID],products[],7,FALSE)=1,"Discontinued","Current")</f>
        <v>Current</v>
      </c>
      <c r="I631" s="6">
        <f>VLOOKUP(operations[productID],products[],4,FALSE)</f>
        <v>115</v>
      </c>
      <c r="J631" s="6">
        <f>VLOOKUP(operations[productID],products[],5,FALSE)</f>
        <v>0</v>
      </c>
      <c r="K631" s="6">
        <f>VLOOKUP(operations[productID],products[],6,FALSE)</f>
        <v>20</v>
      </c>
      <c r="L631" s="10">
        <f t="array" ref="L631">INDEX('1 orders'!I631:I2156, MATCH(1, ('1 orders'!A631:A2156=A631)*('1 orders'!G631:G2156=F631), 0))
</f>
        <v>30</v>
      </c>
      <c r="M631" s="10">
        <f>IFERROR(__xludf.DUMMYFUNCTION("COUNTUNIQUEIFS($A$2:$A631,$F$2:$F631,F631)"),11.0)</f>
        <v>11</v>
      </c>
      <c r="N631" s="10">
        <f t="shared" si="1"/>
        <v>8</v>
      </c>
      <c r="O631" s="26">
        <f>IF(operations[sinceLastOrder]=0,0,operations[orderQuantity] / operations[sinceLastOrder])</f>
        <v>3.75</v>
      </c>
      <c r="P631" s="9">
        <v>64.45</v>
      </c>
      <c r="Q631" s="7" t="s">
        <v>17</v>
      </c>
      <c r="R631" s="10">
        <f>operations[arrivedDate]-operations[shippedDate]</f>
        <v>13</v>
      </c>
    </row>
    <row r="632" ht="15.75" customHeight="1">
      <c r="A632" s="6">
        <v>10485.0</v>
      </c>
      <c r="B632" s="24">
        <v>45010.0</v>
      </c>
      <c r="C632" s="24">
        <v>45024.0</v>
      </c>
      <c r="D632" s="24">
        <v>45016.0</v>
      </c>
      <c r="E632" s="24">
        <v>45029.0</v>
      </c>
      <c r="F632" s="6">
        <v>70.0</v>
      </c>
      <c r="G632" s="9" t="str">
        <f>VLOOKUP(operations[productID],products[],2,FALSE)</f>
        <v>Outback Lager</v>
      </c>
      <c r="H632" s="9" t="str">
        <f>IF(VLOOKUP(operations[productID],products[],7,FALSE)=1,"Discontinued","Current")</f>
        <v>Current</v>
      </c>
      <c r="I632" s="6">
        <f>VLOOKUP(operations[productID],products[],4,FALSE)</f>
        <v>15</v>
      </c>
      <c r="J632" s="6">
        <f>VLOOKUP(operations[productID],products[],5,FALSE)</f>
        <v>10</v>
      </c>
      <c r="K632" s="6">
        <f>VLOOKUP(operations[productID],products[],6,FALSE)</f>
        <v>30</v>
      </c>
      <c r="L632" s="10">
        <f t="array" ref="L632">INDEX('1 orders'!I632:I2156, MATCH(1, ('1 orders'!A632:A2156=A632)*('1 orders'!G632:G2156=F632), 0))
</f>
        <v>60</v>
      </c>
      <c r="M632" s="10">
        <f>IFERROR(__xludf.DUMMYFUNCTION("COUNTUNIQUEIFS($A$2:$A632,$F$2:$F632,F632)"),11.0)</f>
        <v>11</v>
      </c>
      <c r="N632" s="10">
        <f t="shared" si="1"/>
        <v>8</v>
      </c>
      <c r="O632" s="26">
        <f>IF(operations[sinceLastOrder]=0,0,operations[orderQuantity] / operations[sinceLastOrder])</f>
        <v>7.5</v>
      </c>
      <c r="P632" s="9">
        <v>64.45</v>
      </c>
      <c r="Q632" s="7" t="s">
        <v>17</v>
      </c>
      <c r="R632" s="10">
        <f>operations[arrivedDate]-operations[shippedDate]</f>
        <v>13</v>
      </c>
    </row>
    <row r="633" ht="15.75" customHeight="1">
      <c r="A633" s="6">
        <v>10486.0</v>
      </c>
      <c r="B633" s="24">
        <v>45011.0</v>
      </c>
      <c r="C633" s="24">
        <v>45039.0</v>
      </c>
      <c r="D633" s="24">
        <v>45018.0</v>
      </c>
      <c r="E633" s="24">
        <v>45032.0</v>
      </c>
      <c r="F633" s="6">
        <v>11.0</v>
      </c>
      <c r="G633" s="9" t="str">
        <f>VLOOKUP(operations[productID],products[],2,FALSE)</f>
        <v>Queso Cabrales</v>
      </c>
      <c r="H633" s="9" t="str">
        <f>IF(VLOOKUP(operations[productID],products[],7,FALSE)=1,"Discontinued","Current")</f>
        <v>Current</v>
      </c>
      <c r="I633" s="6">
        <f>VLOOKUP(operations[productID],products[],4,FALSE)</f>
        <v>22</v>
      </c>
      <c r="J633" s="6">
        <f>VLOOKUP(operations[productID],products[],5,FALSE)</f>
        <v>30</v>
      </c>
      <c r="K633" s="6">
        <f>VLOOKUP(operations[productID],products[],6,FALSE)</f>
        <v>30</v>
      </c>
      <c r="L633" s="10">
        <f t="array" ref="L633">INDEX('1 orders'!I633:I2156, MATCH(1, ('1 orders'!A633:A2156=A633)*('1 orders'!G633:G2156=F633), 0))
</f>
        <v>5</v>
      </c>
      <c r="M633" s="10">
        <f>IFERROR(__xludf.DUMMYFUNCTION("COUNTUNIQUEIFS($A$2:$A633,$F$2:$F633,F633)"),11.0)</f>
        <v>11</v>
      </c>
      <c r="N633" s="10">
        <f t="shared" si="1"/>
        <v>20</v>
      </c>
      <c r="O633" s="26">
        <f>IF(operations[sinceLastOrder]=0,0,operations[orderQuantity] / operations[sinceLastOrder])</f>
        <v>0.25</v>
      </c>
      <c r="P633" s="9">
        <v>30.53</v>
      </c>
      <c r="Q633" s="7" t="s">
        <v>17</v>
      </c>
      <c r="R633" s="10">
        <f>operations[arrivedDate]-operations[shippedDate]</f>
        <v>14</v>
      </c>
    </row>
    <row r="634" ht="15.75" customHeight="1">
      <c r="A634" s="6">
        <v>10486.0</v>
      </c>
      <c r="B634" s="24">
        <v>45011.0</v>
      </c>
      <c r="C634" s="24">
        <v>45039.0</v>
      </c>
      <c r="D634" s="24">
        <v>45018.0</v>
      </c>
      <c r="E634" s="24">
        <v>45032.0</v>
      </c>
      <c r="F634" s="6">
        <v>51.0</v>
      </c>
      <c r="G634" s="9" t="str">
        <f>VLOOKUP(operations[productID],products[],2,FALSE)</f>
        <v>Manjimup Dried Apples</v>
      </c>
      <c r="H634" s="9" t="str">
        <f>IF(VLOOKUP(operations[productID],products[],7,FALSE)=1,"Discontinued","Current")</f>
        <v>Current</v>
      </c>
      <c r="I634" s="6">
        <f>VLOOKUP(operations[productID],products[],4,FALSE)</f>
        <v>20</v>
      </c>
      <c r="J634" s="6">
        <f>VLOOKUP(operations[productID],products[],5,FALSE)</f>
        <v>0</v>
      </c>
      <c r="K634" s="6">
        <f>VLOOKUP(operations[productID],products[],6,FALSE)</f>
        <v>10</v>
      </c>
      <c r="L634" s="10">
        <f t="array" ref="L634">INDEX('1 orders'!I634:I2156, MATCH(1, ('1 orders'!A634:A2156=A634)*('1 orders'!G634:G2156=F634), 0))
</f>
        <v>25</v>
      </c>
      <c r="M634" s="10">
        <f>IFERROR(__xludf.DUMMYFUNCTION("COUNTUNIQUEIFS($A$2:$A634,$F$2:$F634,F634)"),9.0)</f>
        <v>9</v>
      </c>
      <c r="N634" s="10">
        <f t="shared" si="1"/>
        <v>2</v>
      </c>
      <c r="O634" s="26">
        <f>IF(operations[sinceLastOrder]=0,0,operations[orderQuantity] / operations[sinceLastOrder])</f>
        <v>12.5</v>
      </c>
      <c r="P634" s="9">
        <v>30.53</v>
      </c>
      <c r="Q634" s="7" t="s">
        <v>17</v>
      </c>
      <c r="R634" s="10">
        <f>operations[arrivedDate]-operations[shippedDate]</f>
        <v>14</v>
      </c>
    </row>
    <row r="635" ht="15.75" customHeight="1">
      <c r="A635" s="6">
        <v>10486.0</v>
      </c>
      <c r="B635" s="24">
        <v>45011.0</v>
      </c>
      <c r="C635" s="24">
        <v>45039.0</v>
      </c>
      <c r="D635" s="24">
        <v>45018.0</v>
      </c>
      <c r="E635" s="24">
        <v>45032.0</v>
      </c>
      <c r="F635" s="6">
        <v>74.0</v>
      </c>
      <c r="G635" s="9" t="str">
        <f>VLOOKUP(operations[productID],products[],2,FALSE)</f>
        <v>Longlife Tofu</v>
      </c>
      <c r="H635" s="9" t="str">
        <f>IF(VLOOKUP(operations[productID],products[],7,FALSE)=1,"Discontinued","Current")</f>
        <v>Current</v>
      </c>
      <c r="I635" s="6">
        <f>VLOOKUP(operations[productID],products[],4,FALSE)</f>
        <v>4</v>
      </c>
      <c r="J635" s="6">
        <f>VLOOKUP(operations[productID],products[],5,FALSE)</f>
        <v>20</v>
      </c>
      <c r="K635" s="6">
        <f>VLOOKUP(operations[productID],products[],6,FALSE)</f>
        <v>5</v>
      </c>
      <c r="L635" s="10">
        <f t="array" ref="L635">INDEX('1 orders'!I635:I2156, MATCH(1, ('1 orders'!A635:A2156=A635)*('1 orders'!G635:G2156=F635), 0))
</f>
        <v>16</v>
      </c>
      <c r="M635" s="10">
        <f>IFERROR(__xludf.DUMMYFUNCTION("COUNTUNIQUEIFS($A$2:$A635,$F$2:$F635,F635)"),8.0)</f>
        <v>8</v>
      </c>
      <c r="N635" s="10">
        <f t="shared" si="1"/>
        <v>47</v>
      </c>
      <c r="O635" s="26">
        <f>IF(operations[sinceLastOrder]=0,0,operations[orderQuantity] / operations[sinceLastOrder])</f>
        <v>0.3404255319</v>
      </c>
      <c r="P635" s="9">
        <v>30.53</v>
      </c>
      <c r="Q635" s="7" t="s">
        <v>17</v>
      </c>
      <c r="R635" s="10">
        <f>operations[arrivedDate]-operations[shippedDate]</f>
        <v>14</v>
      </c>
    </row>
    <row r="636" ht="15.75" customHeight="1">
      <c r="A636" s="6">
        <v>10487.0</v>
      </c>
      <c r="B636" s="24">
        <v>45011.0</v>
      </c>
      <c r="C636" s="24">
        <v>45039.0</v>
      </c>
      <c r="D636" s="24">
        <v>45013.0</v>
      </c>
      <c r="E636" s="24">
        <v>45033.0</v>
      </c>
      <c r="F636" s="6">
        <v>19.0</v>
      </c>
      <c r="G636" s="9" t="str">
        <f>VLOOKUP(operations[productID],products[],2,FALSE)</f>
        <v>Teatime Chocolate Biscuits</v>
      </c>
      <c r="H636" s="9" t="str">
        <f>IF(VLOOKUP(operations[productID],products[],7,FALSE)=1,"Discontinued","Current")</f>
        <v>Current</v>
      </c>
      <c r="I636" s="6">
        <f>VLOOKUP(operations[productID],products[],4,FALSE)</f>
        <v>25</v>
      </c>
      <c r="J636" s="6">
        <f>VLOOKUP(operations[productID],products[],5,FALSE)</f>
        <v>0</v>
      </c>
      <c r="K636" s="6">
        <f>VLOOKUP(operations[productID],products[],6,FALSE)</f>
        <v>5</v>
      </c>
      <c r="L636" s="10">
        <f t="array" ref="L636">INDEX('1 orders'!I636:I2156, MATCH(1, ('1 orders'!A636:A2156=A636)*('1 orders'!G636:G2156=F636), 0))
</f>
        <v>5</v>
      </c>
      <c r="M636" s="10">
        <f>IFERROR(__xludf.DUMMYFUNCTION("COUNTUNIQUEIFS($A$2:$A636,$F$2:$F636,F636)"),13.0)</f>
        <v>13</v>
      </c>
      <c r="N636" s="10">
        <f t="shared" si="1"/>
        <v>22</v>
      </c>
      <c r="O636" s="26">
        <f>IF(operations[sinceLastOrder]=0,0,operations[orderQuantity] / operations[sinceLastOrder])</f>
        <v>0.2272727273</v>
      </c>
      <c r="P636" s="9">
        <v>71.07</v>
      </c>
      <c r="Q636" s="7" t="s">
        <v>17</v>
      </c>
      <c r="R636" s="10">
        <f>operations[arrivedDate]-operations[shippedDate]</f>
        <v>20</v>
      </c>
    </row>
    <row r="637" ht="15.75" customHeight="1">
      <c r="A637" s="6">
        <v>10487.0</v>
      </c>
      <c r="B637" s="24">
        <v>45011.0</v>
      </c>
      <c r="C637" s="24">
        <v>45039.0</v>
      </c>
      <c r="D637" s="24">
        <v>45013.0</v>
      </c>
      <c r="E637" s="24">
        <v>45033.0</v>
      </c>
      <c r="F637" s="6">
        <v>26.0</v>
      </c>
      <c r="G637" s="9" t="str">
        <f>VLOOKUP(operations[productID],products[],2,FALSE)</f>
        <v>NuNuCa Nuß-Nougat-Creme</v>
      </c>
      <c r="H637" s="9" t="str">
        <f>IF(VLOOKUP(operations[productID],products[],7,FALSE)=1,"Discontinued","Current")</f>
        <v>Current</v>
      </c>
      <c r="I637" s="6">
        <f>VLOOKUP(operations[productID],products[],4,FALSE)</f>
        <v>15</v>
      </c>
      <c r="J637" s="6">
        <f>VLOOKUP(operations[productID],products[],5,FALSE)</f>
        <v>0</v>
      </c>
      <c r="K637" s="6">
        <f>VLOOKUP(operations[productID],products[],6,FALSE)</f>
        <v>0</v>
      </c>
      <c r="L637" s="10">
        <f t="array" ref="L637">INDEX('1 orders'!I637:I2156, MATCH(1, ('1 orders'!A637:A2156=A637)*('1 orders'!G637:G2156=F637), 0))
</f>
        <v>30</v>
      </c>
      <c r="M637" s="10">
        <f>IFERROR(__xludf.DUMMYFUNCTION("COUNTUNIQUEIFS($A$2:$A637,$F$2:$F637,F637)"),12.0)</f>
        <v>12</v>
      </c>
      <c r="N637" s="10">
        <f t="shared" si="1"/>
        <v>28</v>
      </c>
      <c r="O637" s="26">
        <f>IF(operations[sinceLastOrder]=0,0,operations[orderQuantity] / operations[sinceLastOrder])</f>
        <v>1.071428571</v>
      </c>
      <c r="P637" s="9">
        <v>71.07</v>
      </c>
      <c r="Q637" s="7" t="s">
        <v>17</v>
      </c>
      <c r="R637" s="10">
        <f>operations[arrivedDate]-operations[shippedDate]</f>
        <v>20</v>
      </c>
    </row>
    <row r="638" ht="15.75" customHeight="1">
      <c r="A638" s="6">
        <v>10487.0</v>
      </c>
      <c r="B638" s="24">
        <v>45011.0</v>
      </c>
      <c r="C638" s="24">
        <v>45039.0</v>
      </c>
      <c r="D638" s="24">
        <v>45013.0</v>
      </c>
      <c r="E638" s="24">
        <v>45033.0</v>
      </c>
      <c r="F638" s="6">
        <v>54.0</v>
      </c>
      <c r="G638" s="9" t="str">
        <f>VLOOKUP(operations[productID],products[],2,FALSE)</f>
        <v>Tourtière</v>
      </c>
      <c r="H638" s="9" t="str">
        <f>IF(VLOOKUP(operations[productID],products[],7,FALSE)=1,"Discontinued","Current")</f>
        <v>Current</v>
      </c>
      <c r="I638" s="6">
        <f>VLOOKUP(operations[productID],products[],4,FALSE)</f>
        <v>21</v>
      </c>
      <c r="J638" s="6">
        <f>VLOOKUP(operations[productID],products[],5,FALSE)</f>
        <v>0</v>
      </c>
      <c r="K638" s="6">
        <f>VLOOKUP(operations[productID],products[],6,FALSE)</f>
        <v>10</v>
      </c>
      <c r="L638" s="10">
        <f t="array" ref="L638">INDEX('1 orders'!I638:I2156, MATCH(1, ('1 orders'!A638:A2156=A638)*('1 orders'!G638:G2156=F638), 0))
</f>
        <v>24</v>
      </c>
      <c r="M638" s="10">
        <f>IFERROR(__xludf.DUMMYFUNCTION("COUNTUNIQUEIFS($A$2:$A638,$F$2:$F638,F638)"),15.0)</f>
        <v>15</v>
      </c>
      <c r="N638" s="10">
        <f t="shared" si="1"/>
        <v>35</v>
      </c>
      <c r="O638" s="26">
        <f>IF(operations[sinceLastOrder]=0,0,operations[orderQuantity] / operations[sinceLastOrder])</f>
        <v>0.6857142857</v>
      </c>
      <c r="P638" s="9">
        <v>71.07</v>
      </c>
      <c r="Q638" s="7" t="s">
        <v>17</v>
      </c>
      <c r="R638" s="10">
        <f>operations[arrivedDate]-operations[shippedDate]</f>
        <v>20</v>
      </c>
    </row>
    <row r="639" ht="15.75" customHeight="1">
      <c r="A639" s="6">
        <v>10488.0</v>
      </c>
      <c r="B639" s="24">
        <v>45012.0</v>
      </c>
      <c r="C639" s="24">
        <v>45040.0</v>
      </c>
      <c r="D639" s="24">
        <v>45018.0</v>
      </c>
      <c r="E639" s="24">
        <v>45027.0</v>
      </c>
      <c r="F639" s="6">
        <v>59.0</v>
      </c>
      <c r="G639" s="9" t="str">
        <f>VLOOKUP(operations[productID],products[],2,FALSE)</f>
        <v>Raclette Courdavault</v>
      </c>
      <c r="H639" s="9" t="str">
        <f>IF(VLOOKUP(operations[productID],products[],7,FALSE)=1,"Discontinued","Current")</f>
        <v>Current</v>
      </c>
      <c r="I639" s="6">
        <f>VLOOKUP(operations[productID],products[],4,FALSE)</f>
        <v>79</v>
      </c>
      <c r="J639" s="6">
        <f>VLOOKUP(operations[productID],products[],5,FALSE)</f>
        <v>0</v>
      </c>
      <c r="K639" s="6">
        <f>VLOOKUP(operations[productID],products[],6,FALSE)</f>
        <v>0</v>
      </c>
      <c r="L639" s="10">
        <f t="array" ref="L639">INDEX('1 orders'!I639:I2156, MATCH(1, ('1 orders'!A639:A2156=A639)*('1 orders'!G639:G2156=F639), 0))
</f>
        <v>30</v>
      </c>
      <c r="M639" s="10">
        <f>IFERROR(__xludf.DUMMYFUNCTION("COUNTUNIQUEIFS($A$2:$A639,$F$2:$F639,F639)"),18.0)</f>
        <v>18</v>
      </c>
      <c r="N639" s="10">
        <f t="shared" si="1"/>
        <v>7</v>
      </c>
      <c r="O639" s="26">
        <f>IF(operations[sinceLastOrder]=0,0,operations[orderQuantity] / operations[sinceLastOrder])</f>
        <v>4.285714286</v>
      </c>
      <c r="P639" s="9">
        <v>4.93</v>
      </c>
      <c r="Q639" s="7" t="s">
        <v>17</v>
      </c>
      <c r="R639" s="10">
        <f>operations[arrivedDate]-operations[shippedDate]</f>
        <v>9</v>
      </c>
    </row>
    <row r="640" ht="15.75" customHeight="1">
      <c r="A640" s="6">
        <v>10488.0</v>
      </c>
      <c r="B640" s="24">
        <v>45012.0</v>
      </c>
      <c r="C640" s="24">
        <v>45040.0</v>
      </c>
      <c r="D640" s="24">
        <v>45018.0</v>
      </c>
      <c r="E640" s="24">
        <v>45027.0</v>
      </c>
      <c r="F640" s="6">
        <v>73.0</v>
      </c>
      <c r="G640" s="9" t="str">
        <f>VLOOKUP(operations[productID],products[],2,FALSE)</f>
        <v>Röd Kaviar</v>
      </c>
      <c r="H640" s="9" t="str">
        <f>IF(VLOOKUP(operations[productID],products[],7,FALSE)=1,"Discontinued","Current")</f>
        <v>Current</v>
      </c>
      <c r="I640" s="6">
        <f>VLOOKUP(operations[productID],products[],4,FALSE)</f>
        <v>101</v>
      </c>
      <c r="J640" s="6">
        <f>VLOOKUP(operations[productID],products[],5,FALSE)</f>
        <v>0</v>
      </c>
      <c r="K640" s="6">
        <f>VLOOKUP(operations[productID],products[],6,FALSE)</f>
        <v>5</v>
      </c>
      <c r="L640" s="10">
        <f t="array" ref="L640">INDEX('1 orders'!I640:I2156, MATCH(1, ('1 orders'!A640:A2156=A640)*('1 orders'!G640:G2156=F640), 0))
</f>
        <v>20</v>
      </c>
      <c r="M640" s="10">
        <f>IFERROR(__xludf.DUMMYFUNCTION("COUNTUNIQUEIFS($A$2:$A640,$F$2:$F640,F640)"),3.0)</f>
        <v>3</v>
      </c>
      <c r="N640" s="10">
        <f t="shared" si="1"/>
        <v>65</v>
      </c>
      <c r="O640" s="26">
        <f>IF(operations[sinceLastOrder]=0,0,operations[orderQuantity] / operations[sinceLastOrder])</f>
        <v>0.3076923077</v>
      </c>
      <c r="P640" s="9">
        <v>4.93</v>
      </c>
      <c r="Q640" s="7" t="s">
        <v>17</v>
      </c>
      <c r="R640" s="10">
        <f>operations[arrivedDate]-operations[shippedDate]</f>
        <v>9</v>
      </c>
    </row>
    <row r="641" ht="15.75" customHeight="1">
      <c r="A641" s="6">
        <v>10489.0</v>
      </c>
      <c r="B641" s="24">
        <v>45013.0</v>
      </c>
      <c r="C641" s="24">
        <v>45041.0</v>
      </c>
      <c r="D641" s="24">
        <v>45025.0</v>
      </c>
      <c r="E641" s="24">
        <v>45037.0</v>
      </c>
      <c r="F641" s="6">
        <v>11.0</v>
      </c>
      <c r="G641" s="9" t="str">
        <f>VLOOKUP(operations[productID],products[],2,FALSE)</f>
        <v>Queso Cabrales</v>
      </c>
      <c r="H641" s="9" t="str">
        <f>IF(VLOOKUP(operations[productID],products[],7,FALSE)=1,"Discontinued","Current")</f>
        <v>Current</v>
      </c>
      <c r="I641" s="6">
        <f>VLOOKUP(operations[productID],products[],4,FALSE)</f>
        <v>22</v>
      </c>
      <c r="J641" s="6">
        <f>VLOOKUP(operations[productID],products[],5,FALSE)</f>
        <v>30</v>
      </c>
      <c r="K641" s="6">
        <f>VLOOKUP(operations[productID],products[],6,FALSE)</f>
        <v>30</v>
      </c>
      <c r="L641" s="10">
        <f t="array" ref="L641">INDEX('1 orders'!I641:I2156, MATCH(1, ('1 orders'!A641:A2156=A641)*('1 orders'!G641:G2156=F641), 0))
</f>
        <v>15</v>
      </c>
      <c r="M641" s="10">
        <f>IFERROR(__xludf.DUMMYFUNCTION("COUNTUNIQUEIFS($A$2:$A641,$F$2:$F641,F641)"),12.0)</f>
        <v>12</v>
      </c>
      <c r="N641" s="10">
        <f t="shared" si="1"/>
        <v>2</v>
      </c>
      <c r="O641" s="26">
        <f>IF(operations[sinceLastOrder]=0,0,operations[orderQuantity] / operations[sinceLastOrder])</f>
        <v>7.5</v>
      </c>
      <c r="P641" s="9">
        <v>5.29</v>
      </c>
      <c r="Q641" s="7" t="s">
        <v>17</v>
      </c>
      <c r="R641" s="10">
        <f>operations[arrivedDate]-operations[shippedDate]</f>
        <v>12</v>
      </c>
    </row>
    <row r="642" ht="15.75" customHeight="1">
      <c r="A642" s="6">
        <v>10489.0</v>
      </c>
      <c r="B642" s="24">
        <v>45013.0</v>
      </c>
      <c r="C642" s="24">
        <v>45041.0</v>
      </c>
      <c r="D642" s="24">
        <v>45025.0</v>
      </c>
      <c r="E642" s="24">
        <v>45037.0</v>
      </c>
      <c r="F642" s="6">
        <v>16.0</v>
      </c>
      <c r="G642" s="9" t="str">
        <f>VLOOKUP(operations[productID],products[],2,FALSE)</f>
        <v>Pavlova</v>
      </c>
      <c r="H642" s="9" t="str">
        <f>IF(VLOOKUP(operations[productID],products[],7,FALSE)=1,"Discontinued","Current")</f>
        <v>Current</v>
      </c>
      <c r="I642" s="6">
        <f>VLOOKUP(operations[productID],products[],4,FALSE)</f>
        <v>29</v>
      </c>
      <c r="J642" s="6">
        <f>VLOOKUP(operations[productID],products[],5,FALSE)</f>
        <v>0</v>
      </c>
      <c r="K642" s="6">
        <f>VLOOKUP(operations[productID],products[],6,FALSE)</f>
        <v>10</v>
      </c>
      <c r="L642" s="10">
        <f t="array" ref="L642">INDEX('1 orders'!I642:I2156, MATCH(1, ('1 orders'!A642:A2156=A642)*('1 orders'!G642:G2156=F642), 0))
</f>
        <v>18</v>
      </c>
      <c r="M642" s="10">
        <f>IFERROR(__xludf.DUMMYFUNCTION("COUNTUNIQUEIFS($A$2:$A642,$F$2:$F642,F642)"),13.0)</f>
        <v>13</v>
      </c>
      <c r="N642" s="10">
        <f t="shared" si="1"/>
        <v>18</v>
      </c>
      <c r="O642" s="26">
        <f>IF(operations[sinceLastOrder]=0,0,operations[orderQuantity] / operations[sinceLastOrder])</f>
        <v>1</v>
      </c>
      <c r="P642" s="9">
        <v>5.29</v>
      </c>
      <c r="Q642" s="7" t="s">
        <v>17</v>
      </c>
      <c r="R642" s="10">
        <f>operations[arrivedDate]-operations[shippedDate]</f>
        <v>12</v>
      </c>
    </row>
    <row r="643" ht="15.75" customHeight="1">
      <c r="A643" s="6">
        <v>10490.0</v>
      </c>
      <c r="B643" s="24">
        <v>45016.0</v>
      </c>
      <c r="C643" s="24">
        <v>45044.0</v>
      </c>
      <c r="D643" s="24">
        <v>45019.0</v>
      </c>
      <c r="E643" s="24">
        <v>45031.0</v>
      </c>
      <c r="F643" s="6">
        <v>59.0</v>
      </c>
      <c r="G643" s="9" t="str">
        <f>VLOOKUP(operations[productID],products[],2,FALSE)</f>
        <v>Raclette Courdavault</v>
      </c>
      <c r="H643" s="9" t="str">
        <f>IF(VLOOKUP(operations[productID],products[],7,FALSE)=1,"Discontinued","Current")</f>
        <v>Current</v>
      </c>
      <c r="I643" s="6">
        <f>VLOOKUP(operations[productID],products[],4,FALSE)</f>
        <v>79</v>
      </c>
      <c r="J643" s="6">
        <f>VLOOKUP(operations[productID],products[],5,FALSE)</f>
        <v>0</v>
      </c>
      <c r="K643" s="6">
        <f>VLOOKUP(operations[productID],products[],6,FALSE)</f>
        <v>0</v>
      </c>
      <c r="L643" s="10">
        <f t="array" ref="L643">INDEX('1 orders'!I643:I2156, MATCH(1, ('1 orders'!A643:A2156=A643)*('1 orders'!G643:G2156=F643), 0))
</f>
        <v>60</v>
      </c>
      <c r="M643" s="10">
        <f>IFERROR(__xludf.DUMMYFUNCTION("COUNTUNIQUEIFS($A$2:$A643,$F$2:$F643,F643)"),19.0)</f>
        <v>19</v>
      </c>
      <c r="N643" s="10">
        <f t="shared" si="1"/>
        <v>4</v>
      </c>
      <c r="O643" s="26">
        <f>IF(operations[sinceLastOrder]=0,0,operations[orderQuantity] / operations[sinceLastOrder])</f>
        <v>15</v>
      </c>
      <c r="P643" s="9">
        <v>210.19</v>
      </c>
      <c r="Q643" s="7" t="s">
        <v>17</v>
      </c>
      <c r="R643" s="10">
        <f>operations[arrivedDate]-operations[shippedDate]</f>
        <v>12</v>
      </c>
    </row>
    <row r="644" ht="15.75" customHeight="1">
      <c r="A644" s="6">
        <v>10490.0</v>
      </c>
      <c r="B644" s="24">
        <v>45016.0</v>
      </c>
      <c r="C644" s="24">
        <v>45044.0</v>
      </c>
      <c r="D644" s="24">
        <v>45019.0</v>
      </c>
      <c r="E644" s="24">
        <v>45031.0</v>
      </c>
      <c r="F644" s="6">
        <v>68.0</v>
      </c>
      <c r="G644" s="9" t="str">
        <f>VLOOKUP(operations[productID],products[],2,FALSE)</f>
        <v>Scottish Longbreads</v>
      </c>
      <c r="H644" s="9" t="str">
        <f>IF(VLOOKUP(operations[productID],products[],7,FALSE)=1,"Discontinued","Current")</f>
        <v>Current</v>
      </c>
      <c r="I644" s="6">
        <f>VLOOKUP(operations[productID],products[],4,FALSE)</f>
        <v>6</v>
      </c>
      <c r="J644" s="6">
        <f>VLOOKUP(operations[productID],products[],5,FALSE)</f>
        <v>10</v>
      </c>
      <c r="K644" s="6">
        <f>VLOOKUP(operations[productID],products[],6,FALSE)</f>
        <v>15</v>
      </c>
      <c r="L644" s="10">
        <f t="array" ref="L644">INDEX('1 orders'!I644:I2156, MATCH(1, ('1 orders'!A644:A2156=A644)*('1 orders'!G644:G2156=F644), 0))
</f>
        <v>30</v>
      </c>
      <c r="M644" s="10">
        <f>IFERROR(__xludf.DUMMYFUNCTION("COUNTUNIQUEIFS($A$2:$A644,$F$2:$F644,F644)"),13.0)</f>
        <v>13</v>
      </c>
      <c r="N644" s="10">
        <f t="shared" si="1"/>
        <v>31</v>
      </c>
      <c r="O644" s="26">
        <f>IF(operations[sinceLastOrder]=0,0,operations[orderQuantity] / operations[sinceLastOrder])</f>
        <v>0.9677419355</v>
      </c>
      <c r="P644" s="9">
        <v>210.19</v>
      </c>
      <c r="Q644" s="7" t="s">
        <v>17</v>
      </c>
      <c r="R644" s="10">
        <f>operations[arrivedDate]-operations[shippedDate]</f>
        <v>12</v>
      </c>
    </row>
    <row r="645" ht="15.75" customHeight="1">
      <c r="A645" s="6">
        <v>10490.0</v>
      </c>
      <c r="B645" s="24">
        <v>45016.0</v>
      </c>
      <c r="C645" s="24">
        <v>45044.0</v>
      </c>
      <c r="D645" s="24">
        <v>45019.0</v>
      </c>
      <c r="E645" s="24">
        <v>45031.0</v>
      </c>
      <c r="F645" s="6">
        <v>75.0</v>
      </c>
      <c r="G645" s="9" t="str">
        <f>VLOOKUP(operations[productID],products[],2,FALSE)</f>
        <v>Rhönbräu Klosterbier</v>
      </c>
      <c r="H645" s="9" t="str">
        <f>IF(VLOOKUP(operations[productID],products[],7,FALSE)=1,"Discontinued","Current")</f>
        <v>Current</v>
      </c>
      <c r="I645" s="6">
        <f>VLOOKUP(operations[productID],products[],4,FALSE)</f>
        <v>125</v>
      </c>
      <c r="J645" s="6">
        <f>VLOOKUP(operations[productID],products[],5,FALSE)</f>
        <v>0</v>
      </c>
      <c r="K645" s="6">
        <f>VLOOKUP(operations[productID],products[],6,FALSE)</f>
        <v>25</v>
      </c>
      <c r="L645" s="10">
        <f t="array" ref="L645">INDEX('1 orders'!I645:I2156, MATCH(1, ('1 orders'!A645:A2156=A645)*('1 orders'!G645:G2156=F645), 0))
</f>
        <v>36</v>
      </c>
      <c r="M645" s="10">
        <f>IFERROR(__xludf.DUMMYFUNCTION("COUNTUNIQUEIFS($A$2:$A645,$F$2:$F645,F645)"),11.0)</f>
        <v>11</v>
      </c>
      <c r="N645" s="10">
        <f t="shared" si="1"/>
        <v>18</v>
      </c>
      <c r="O645" s="26">
        <f>IF(operations[sinceLastOrder]=0,0,operations[orderQuantity] / operations[sinceLastOrder])</f>
        <v>2</v>
      </c>
      <c r="P645" s="9">
        <v>210.19</v>
      </c>
      <c r="Q645" s="7" t="s">
        <v>17</v>
      </c>
      <c r="R645" s="10">
        <f>operations[arrivedDate]-operations[shippedDate]</f>
        <v>12</v>
      </c>
    </row>
    <row r="646" ht="15.75" customHeight="1">
      <c r="A646" s="6">
        <v>10491.0</v>
      </c>
      <c r="B646" s="24">
        <v>45016.0</v>
      </c>
      <c r="C646" s="24">
        <v>45044.0</v>
      </c>
      <c r="D646" s="24">
        <v>45024.0</v>
      </c>
      <c r="E646" s="24">
        <v>45038.0</v>
      </c>
      <c r="F646" s="6">
        <v>44.0</v>
      </c>
      <c r="G646" s="9" t="str">
        <f>VLOOKUP(operations[productID],products[],2,FALSE)</f>
        <v>Gula Malacca</v>
      </c>
      <c r="H646" s="9" t="str">
        <f>IF(VLOOKUP(operations[productID],products[],7,FALSE)=1,"Discontinued","Current")</f>
        <v>Current</v>
      </c>
      <c r="I646" s="6">
        <f>VLOOKUP(operations[productID],products[],4,FALSE)</f>
        <v>27</v>
      </c>
      <c r="J646" s="6">
        <f>VLOOKUP(operations[productID],products[],5,FALSE)</f>
        <v>0</v>
      </c>
      <c r="K646" s="6">
        <f>VLOOKUP(operations[productID],products[],6,FALSE)</f>
        <v>15</v>
      </c>
      <c r="L646" s="10">
        <f t="array" ref="L646">INDEX('1 orders'!I646:I2156, MATCH(1, ('1 orders'!A646:A2156=A646)*('1 orders'!G646:G2156=F646), 0))
</f>
        <v>15</v>
      </c>
      <c r="M646" s="10">
        <f>IFERROR(__xludf.DUMMYFUNCTION("COUNTUNIQUEIFS($A$2:$A646,$F$2:$F646,F646)"),8.0)</f>
        <v>8</v>
      </c>
      <c r="N646" s="10">
        <f t="shared" si="1"/>
        <v>21</v>
      </c>
      <c r="O646" s="26">
        <f>IF(operations[sinceLastOrder]=0,0,operations[orderQuantity] / operations[sinceLastOrder])</f>
        <v>0.7142857143</v>
      </c>
      <c r="P646" s="9">
        <v>16.96</v>
      </c>
      <c r="Q646" s="7" t="s">
        <v>13</v>
      </c>
      <c r="R646" s="10">
        <f>operations[arrivedDate]-operations[shippedDate]</f>
        <v>14</v>
      </c>
    </row>
    <row r="647" ht="15.75" customHeight="1">
      <c r="A647" s="6">
        <v>10491.0</v>
      </c>
      <c r="B647" s="24">
        <v>45016.0</v>
      </c>
      <c r="C647" s="24">
        <v>45044.0</v>
      </c>
      <c r="D647" s="24">
        <v>45024.0</v>
      </c>
      <c r="E647" s="24">
        <v>45038.0</v>
      </c>
      <c r="F647" s="6">
        <v>77.0</v>
      </c>
      <c r="G647" s="9" t="str">
        <f>VLOOKUP(operations[productID],products[],2,FALSE)</f>
        <v>Original Frankfurter grüne Soße</v>
      </c>
      <c r="H647" s="9" t="str">
        <f>IF(VLOOKUP(operations[productID],products[],7,FALSE)=1,"Discontinued","Current")</f>
        <v>Current</v>
      </c>
      <c r="I647" s="6">
        <f>VLOOKUP(operations[productID],products[],4,FALSE)</f>
        <v>32</v>
      </c>
      <c r="J647" s="6">
        <f>VLOOKUP(operations[productID],products[],5,FALSE)</f>
        <v>0</v>
      </c>
      <c r="K647" s="6">
        <f>VLOOKUP(operations[productID],products[],6,FALSE)</f>
        <v>15</v>
      </c>
      <c r="L647" s="10">
        <f t="array" ref="L647">INDEX('1 orders'!I647:I2156, MATCH(1, ('1 orders'!A647:A2156=A647)*('1 orders'!G647:G2156=F647), 0))
</f>
        <v>7</v>
      </c>
      <c r="M647" s="10">
        <f>IFERROR(__xludf.DUMMYFUNCTION("COUNTUNIQUEIFS($A$2:$A647,$F$2:$F647,F647)"),11.0)</f>
        <v>11</v>
      </c>
      <c r="N647" s="10">
        <f t="shared" si="1"/>
        <v>7</v>
      </c>
      <c r="O647" s="26">
        <f>IF(operations[sinceLastOrder]=0,0,operations[orderQuantity] / operations[sinceLastOrder])</f>
        <v>1</v>
      </c>
      <c r="P647" s="9">
        <v>16.96</v>
      </c>
      <c r="Q647" s="7" t="s">
        <v>13</v>
      </c>
      <c r="R647" s="10">
        <f>operations[arrivedDate]-operations[shippedDate]</f>
        <v>14</v>
      </c>
    </row>
    <row r="648" ht="15.75" customHeight="1">
      <c r="A648" s="6">
        <v>10492.0</v>
      </c>
      <c r="B648" s="24">
        <v>45017.0</v>
      </c>
      <c r="C648" s="24">
        <v>45045.0</v>
      </c>
      <c r="D648" s="24">
        <v>45027.0</v>
      </c>
      <c r="E648" s="24">
        <v>45038.0</v>
      </c>
      <c r="F648" s="6">
        <v>25.0</v>
      </c>
      <c r="G648" s="9" t="str">
        <f>VLOOKUP(operations[productID],products[],2,FALSE)</f>
        <v>HM Köstliche Kaiserschmarrn Knödelchen</v>
      </c>
      <c r="H648" s="9" t="str">
        <f>IF(VLOOKUP(operations[productID],products[],7,FALSE)=1,"Discontinued","Current")</f>
        <v>Current</v>
      </c>
      <c r="I648" s="6">
        <f>VLOOKUP(operations[productID],products[],4,FALSE)</f>
        <v>76</v>
      </c>
      <c r="J648" s="6">
        <f>VLOOKUP(operations[productID],products[],5,FALSE)</f>
        <v>0</v>
      </c>
      <c r="K648" s="6">
        <f>VLOOKUP(operations[productID],products[],6,FALSE)</f>
        <v>30</v>
      </c>
      <c r="L648" s="10">
        <f t="array" ref="L648">INDEX('1 orders'!I648:I2156, MATCH(1, ('1 orders'!A648:A2156=A648)*('1 orders'!G648:G2156=F648), 0))
</f>
        <v>60</v>
      </c>
      <c r="M648" s="10">
        <f>IFERROR(__xludf.DUMMYFUNCTION("COUNTUNIQUEIFS($A$2:$A648,$F$2:$F648,F648)"),6.0)</f>
        <v>6</v>
      </c>
      <c r="N648" s="10">
        <f t="shared" si="1"/>
        <v>26</v>
      </c>
      <c r="O648" s="26">
        <f>IF(operations[sinceLastOrder]=0,0,operations[orderQuantity] / operations[sinceLastOrder])</f>
        <v>2.307692308</v>
      </c>
      <c r="P648" s="9">
        <v>62.89</v>
      </c>
      <c r="Q648" s="7" t="s">
        <v>15</v>
      </c>
      <c r="R648" s="10">
        <f>operations[arrivedDate]-operations[shippedDate]</f>
        <v>11</v>
      </c>
    </row>
    <row r="649" ht="15.75" customHeight="1">
      <c r="A649" s="6">
        <v>10492.0</v>
      </c>
      <c r="B649" s="24">
        <v>45017.0</v>
      </c>
      <c r="C649" s="24">
        <v>45045.0</v>
      </c>
      <c r="D649" s="24">
        <v>45027.0</v>
      </c>
      <c r="E649" s="24">
        <v>45038.0</v>
      </c>
      <c r="F649" s="6">
        <v>42.0</v>
      </c>
      <c r="G649" s="9" t="str">
        <f>VLOOKUP(operations[productID],products[],2,FALSE)</f>
        <v>Singaporean Hokkien Fried Mee</v>
      </c>
      <c r="H649" s="9" t="str">
        <f>IF(VLOOKUP(operations[productID],products[],7,FALSE)=1,"Discontinued","Current")</f>
        <v>Discontinued</v>
      </c>
      <c r="I649" s="6">
        <f>VLOOKUP(operations[productID],products[],4,FALSE)</f>
        <v>26</v>
      </c>
      <c r="J649" s="6">
        <f>VLOOKUP(operations[productID],products[],5,FALSE)</f>
        <v>0</v>
      </c>
      <c r="K649" s="6">
        <f>VLOOKUP(operations[productID],products[],6,FALSE)</f>
        <v>0</v>
      </c>
      <c r="L649" s="10">
        <f t="array" ref="L649">INDEX('1 orders'!I649:I2156, MATCH(1, ('1 orders'!A649:A2156=A649)*('1 orders'!G649:G2156=F649), 0))
</f>
        <v>20</v>
      </c>
      <c r="M649" s="10">
        <f>IFERROR(__xludf.DUMMYFUNCTION("COUNTUNIQUEIFS($A$2:$A649,$F$2:$F649,F649)"),8.0)</f>
        <v>8</v>
      </c>
      <c r="N649" s="10">
        <f t="shared" si="1"/>
        <v>28</v>
      </c>
      <c r="O649" s="26">
        <f>IF(operations[sinceLastOrder]=0,0,operations[orderQuantity] / operations[sinceLastOrder])</f>
        <v>0.7142857143</v>
      </c>
      <c r="P649" s="9">
        <v>62.89</v>
      </c>
      <c r="Q649" s="7" t="s">
        <v>15</v>
      </c>
      <c r="R649" s="10">
        <f>operations[arrivedDate]-operations[shippedDate]</f>
        <v>11</v>
      </c>
    </row>
    <row r="650" ht="15.75" customHeight="1">
      <c r="A650" s="6">
        <v>10493.0</v>
      </c>
      <c r="B650" s="24">
        <v>45018.0</v>
      </c>
      <c r="C650" s="24">
        <v>45046.0</v>
      </c>
      <c r="D650" s="24">
        <v>45026.0</v>
      </c>
      <c r="E650" s="24">
        <v>45035.0</v>
      </c>
      <c r="F650" s="6">
        <v>65.0</v>
      </c>
      <c r="G650" s="9" t="str">
        <f>VLOOKUP(operations[productID],products[],2,FALSE)</f>
        <v>Louisiana Fiery Hot Pepper Sauce</v>
      </c>
      <c r="H650" s="9" t="str">
        <f>IF(VLOOKUP(operations[productID],products[],7,FALSE)=1,"Discontinued","Current")</f>
        <v>Current</v>
      </c>
      <c r="I650" s="6">
        <f>VLOOKUP(operations[productID],products[],4,FALSE)</f>
        <v>76</v>
      </c>
      <c r="J650" s="6">
        <f>VLOOKUP(operations[productID],products[],5,FALSE)</f>
        <v>0</v>
      </c>
      <c r="K650" s="6">
        <f>VLOOKUP(operations[productID],products[],6,FALSE)</f>
        <v>0</v>
      </c>
      <c r="L650" s="10">
        <f t="array" ref="L650">INDEX('1 orders'!I650:I2156, MATCH(1, ('1 orders'!A650:A2156=A650)*('1 orders'!G650:G2156=F650), 0))
</f>
        <v>15</v>
      </c>
      <c r="M650" s="10">
        <f>IFERROR(__xludf.DUMMYFUNCTION("COUNTUNIQUEIFS($A$2:$A650,$F$2:$F650,F650)"),12.0)</f>
        <v>12</v>
      </c>
      <c r="N650" s="10">
        <f t="shared" si="1"/>
        <v>42</v>
      </c>
      <c r="O650" s="26">
        <f>IF(operations[sinceLastOrder]=0,0,operations[orderQuantity] / operations[sinceLastOrder])</f>
        <v>0.3571428571</v>
      </c>
      <c r="P650" s="9">
        <v>10.64</v>
      </c>
      <c r="Q650" s="7" t="s">
        <v>13</v>
      </c>
      <c r="R650" s="10">
        <f>operations[arrivedDate]-operations[shippedDate]</f>
        <v>9</v>
      </c>
    </row>
    <row r="651" ht="15.75" customHeight="1">
      <c r="A651" s="6">
        <v>10493.0</v>
      </c>
      <c r="B651" s="24">
        <v>45018.0</v>
      </c>
      <c r="C651" s="24">
        <v>45046.0</v>
      </c>
      <c r="D651" s="24">
        <v>45026.0</v>
      </c>
      <c r="E651" s="24">
        <v>45035.0</v>
      </c>
      <c r="F651" s="6">
        <v>66.0</v>
      </c>
      <c r="G651" s="9" t="str">
        <f>VLOOKUP(operations[productID],products[],2,FALSE)</f>
        <v>Louisiana Hot Spiced Okra</v>
      </c>
      <c r="H651" s="9" t="str">
        <f>IF(VLOOKUP(operations[productID],products[],7,FALSE)=1,"Discontinued","Current")</f>
        <v>Current</v>
      </c>
      <c r="I651" s="6">
        <f>VLOOKUP(operations[productID],products[],4,FALSE)</f>
        <v>4</v>
      </c>
      <c r="J651" s="6">
        <f>VLOOKUP(operations[productID],products[],5,FALSE)</f>
        <v>100</v>
      </c>
      <c r="K651" s="6">
        <f>VLOOKUP(operations[productID],products[],6,FALSE)</f>
        <v>20</v>
      </c>
      <c r="L651" s="10">
        <f t="array" ref="L651">INDEX('1 orders'!I651:I2156, MATCH(1, ('1 orders'!A651:A2156=A651)*('1 orders'!G651:G2156=F651), 0))
</f>
        <v>10</v>
      </c>
      <c r="M651" s="10">
        <f>IFERROR(__xludf.DUMMYFUNCTION("COUNTUNIQUEIFS($A$2:$A651,$F$2:$F651,F651)"),4.0)</f>
        <v>4</v>
      </c>
      <c r="N651" s="10">
        <f t="shared" si="1"/>
        <v>19</v>
      </c>
      <c r="O651" s="26">
        <f>IF(operations[sinceLastOrder]=0,0,operations[orderQuantity] / operations[sinceLastOrder])</f>
        <v>0.5263157895</v>
      </c>
      <c r="P651" s="9">
        <v>10.64</v>
      </c>
      <c r="Q651" s="7" t="s">
        <v>13</v>
      </c>
      <c r="R651" s="10">
        <f>operations[arrivedDate]-operations[shippedDate]</f>
        <v>9</v>
      </c>
    </row>
    <row r="652" ht="15.75" customHeight="1">
      <c r="A652" s="6">
        <v>10493.0</v>
      </c>
      <c r="B652" s="24">
        <v>45018.0</v>
      </c>
      <c r="C652" s="24">
        <v>45046.0</v>
      </c>
      <c r="D652" s="24">
        <v>45026.0</v>
      </c>
      <c r="E652" s="24">
        <v>45035.0</v>
      </c>
      <c r="F652" s="6">
        <v>69.0</v>
      </c>
      <c r="G652" s="9" t="str">
        <f>VLOOKUP(operations[productID],products[],2,FALSE)</f>
        <v>Gudbrandsdalsost</v>
      </c>
      <c r="H652" s="9" t="str">
        <f>IF(VLOOKUP(operations[productID],products[],7,FALSE)=1,"Discontinued","Current")</f>
        <v>Current</v>
      </c>
      <c r="I652" s="6">
        <f>VLOOKUP(operations[productID],products[],4,FALSE)</f>
        <v>26</v>
      </c>
      <c r="J652" s="6">
        <f>VLOOKUP(operations[productID],products[],5,FALSE)</f>
        <v>0</v>
      </c>
      <c r="K652" s="6">
        <f>VLOOKUP(operations[productID],products[],6,FALSE)</f>
        <v>15</v>
      </c>
      <c r="L652" s="10">
        <f t="array" ref="L652">INDEX('1 orders'!I652:I2156, MATCH(1, ('1 orders'!A652:A2156=A652)*('1 orders'!G652:G2156=F652), 0))
</f>
        <v>10</v>
      </c>
      <c r="M652" s="10">
        <f>IFERROR(__xludf.DUMMYFUNCTION("COUNTUNIQUEIFS($A$2:$A652,$F$2:$F652,F652)"),11.0)</f>
        <v>11</v>
      </c>
      <c r="N652" s="10">
        <f t="shared" si="1"/>
        <v>72</v>
      </c>
      <c r="O652" s="26">
        <f>IF(operations[sinceLastOrder]=0,0,operations[orderQuantity] / operations[sinceLastOrder])</f>
        <v>0.1388888889</v>
      </c>
      <c r="P652" s="9">
        <v>10.64</v>
      </c>
      <c r="Q652" s="7" t="s">
        <v>13</v>
      </c>
      <c r="R652" s="10">
        <f>operations[arrivedDate]-operations[shippedDate]</f>
        <v>9</v>
      </c>
    </row>
    <row r="653" ht="15.75" customHeight="1">
      <c r="A653" s="6">
        <v>10494.0</v>
      </c>
      <c r="B653" s="24">
        <v>45018.0</v>
      </c>
      <c r="C653" s="24">
        <v>45046.0</v>
      </c>
      <c r="D653" s="24">
        <v>45025.0</v>
      </c>
      <c r="E653" s="24">
        <v>45045.0</v>
      </c>
      <c r="F653" s="6">
        <v>56.0</v>
      </c>
      <c r="G653" s="9" t="str">
        <f>VLOOKUP(operations[productID],products[],2,FALSE)</f>
        <v>Gnocchi di nonna Alice</v>
      </c>
      <c r="H653" s="9" t="str">
        <f>IF(VLOOKUP(operations[productID],products[],7,FALSE)=1,"Discontinued","Current")</f>
        <v>Current</v>
      </c>
      <c r="I653" s="6">
        <f>VLOOKUP(operations[productID],products[],4,FALSE)</f>
        <v>21</v>
      </c>
      <c r="J653" s="6">
        <f>VLOOKUP(operations[productID],products[],5,FALSE)</f>
        <v>10</v>
      </c>
      <c r="K653" s="6">
        <f>VLOOKUP(operations[productID],products[],6,FALSE)</f>
        <v>30</v>
      </c>
      <c r="L653" s="10">
        <f t="array" ref="L653">INDEX('1 orders'!I653:I2156, MATCH(1, ('1 orders'!A653:A2156=A653)*('1 orders'!G653:G2156=F653), 0))
</f>
        <v>30</v>
      </c>
      <c r="M653" s="10">
        <f>IFERROR(__xludf.DUMMYFUNCTION("COUNTUNIQUEIFS($A$2:$A653,$F$2:$F653,F653)"),16.0)</f>
        <v>16</v>
      </c>
      <c r="N653" s="10">
        <f t="shared" si="1"/>
        <v>22</v>
      </c>
      <c r="O653" s="26">
        <f>IF(operations[sinceLastOrder]=0,0,operations[orderQuantity] / operations[sinceLastOrder])</f>
        <v>1.363636364</v>
      </c>
      <c r="P653" s="9">
        <v>65.99</v>
      </c>
      <c r="Q653" s="7" t="s">
        <v>17</v>
      </c>
      <c r="R653" s="10">
        <f>operations[arrivedDate]-operations[shippedDate]</f>
        <v>20</v>
      </c>
    </row>
    <row r="654" ht="15.75" customHeight="1">
      <c r="A654" s="6">
        <v>10495.0</v>
      </c>
      <c r="B654" s="24">
        <v>45019.0</v>
      </c>
      <c r="C654" s="24">
        <v>45047.0</v>
      </c>
      <c r="D654" s="24">
        <v>45027.0</v>
      </c>
      <c r="E654" s="24">
        <v>45038.0</v>
      </c>
      <c r="F654" s="6">
        <v>23.0</v>
      </c>
      <c r="G654" s="9" t="str">
        <f>VLOOKUP(operations[productID],products[],2,FALSE)</f>
        <v>Tunnbröd</v>
      </c>
      <c r="H654" s="9" t="str">
        <f>IF(VLOOKUP(operations[productID],products[],7,FALSE)=1,"Discontinued","Current")</f>
        <v>Current</v>
      </c>
      <c r="I654" s="6">
        <f>VLOOKUP(operations[productID],products[],4,FALSE)</f>
        <v>61</v>
      </c>
      <c r="J654" s="6">
        <f>VLOOKUP(operations[productID],products[],5,FALSE)</f>
        <v>0</v>
      </c>
      <c r="K654" s="6">
        <f>VLOOKUP(operations[productID],products[],6,FALSE)</f>
        <v>25</v>
      </c>
      <c r="L654" s="10">
        <f t="array" ref="L654">INDEX('1 orders'!I654:I2156, MATCH(1, ('1 orders'!A654:A2156=A654)*('1 orders'!G654:G2156=F654), 0))
</f>
        <v>10</v>
      </c>
      <c r="M654" s="10">
        <f>IFERROR(__xludf.DUMMYFUNCTION("COUNTUNIQUEIFS($A$2:$A654,$F$2:$F654,F654)"),7.0)</f>
        <v>7</v>
      </c>
      <c r="N654" s="10">
        <f t="shared" si="1"/>
        <v>23</v>
      </c>
      <c r="O654" s="26">
        <f>IF(operations[sinceLastOrder]=0,0,operations[orderQuantity] / operations[sinceLastOrder])</f>
        <v>0.4347826087</v>
      </c>
      <c r="P654" s="9">
        <v>4.65</v>
      </c>
      <c r="Q654" s="7" t="s">
        <v>13</v>
      </c>
      <c r="R654" s="10">
        <f>operations[arrivedDate]-operations[shippedDate]</f>
        <v>11</v>
      </c>
    </row>
    <row r="655" ht="15.75" customHeight="1">
      <c r="A655" s="6">
        <v>10495.0</v>
      </c>
      <c r="B655" s="24">
        <v>45019.0</v>
      </c>
      <c r="C655" s="24">
        <v>45047.0</v>
      </c>
      <c r="D655" s="24">
        <v>45027.0</v>
      </c>
      <c r="E655" s="24">
        <v>45038.0</v>
      </c>
      <c r="F655" s="6">
        <v>41.0</v>
      </c>
      <c r="G655" s="9" t="str">
        <f>VLOOKUP(operations[productID],products[],2,FALSE)</f>
        <v>Jack's New England Clam Chowder</v>
      </c>
      <c r="H655" s="9" t="str">
        <f>IF(VLOOKUP(operations[productID],products[],7,FALSE)=1,"Discontinued","Current")</f>
        <v>Current</v>
      </c>
      <c r="I655" s="6">
        <f>VLOOKUP(operations[productID],products[],4,FALSE)</f>
        <v>85</v>
      </c>
      <c r="J655" s="6">
        <f>VLOOKUP(operations[productID],products[],5,FALSE)</f>
        <v>0</v>
      </c>
      <c r="K655" s="6">
        <f>VLOOKUP(operations[productID],products[],6,FALSE)</f>
        <v>10</v>
      </c>
      <c r="L655" s="10">
        <f t="array" ref="L655">INDEX('1 orders'!I655:I2156, MATCH(1, ('1 orders'!A655:A2156=A655)*('1 orders'!G655:G2156=F655), 0))
</f>
        <v>20</v>
      </c>
      <c r="M655" s="10">
        <f>IFERROR(__xludf.DUMMYFUNCTION("COUNTUNIQUEIFS($A$2:$A655,$F$2:$F655,F655)"),11.0)</f>
        <v>11</v>
      </c>
      <c r="N655" s="10">
        <f t="shared" si="1"/>
        <v>50</v>
      </c>
      <c r="O655" s="26">
        <f>IF(operations[sinceLastOrder]=0,0,operations[orderQuantity] / operations[sinceLastOrder])</f>
        <v>0.4</v>
      </c>
      <c r="P655" s="9">
        <v>4.65</v>
      </c>
      <c r="Q655" s="7" t="s">
        <v>13</v>
      </c>
      <c r="R655" s="10">
        <f>operations[arrivedDate]-operations[shippedDate]</f>
        <v>11</v>
      </c>
    </row>
    <row r="656" ht="15.75" customHeight="1">
      <c r="A656" s="6">
        <v>10495.0</v>
      </c>
      <c r="B656" s="24">
        <v>45019.0</v>
      </c>
      <c r="C656" s="24">
        <v>45047.0</v>
      </c>
      <c r="D656" s="24">
        <v>45027.0</v>
      </c>
      <c r="E656" s="24">
        <v>45038.0</v>
      </c>
      <c r="F656" s="6">
        <v>77.0</v>
      </c>
      <c r="G656" s="9" t="str">
        <f>VLOOKUP(operations[productID],products[],2,FALSE)</f>
        <v>Original Frankfurter grüne Soße</v>
      </c>
      <c r="H656" s="9" t="str">
        <f>IF(VLOOKUP(operations[productID],products[],7,FALSE)=1,"Discontinued","Current")</f>
        <v>Current</v>
      </c>
      <c r="I656" s="6">
        <f>VLOOKUP(operations[productID],products[],4,FALSE)</f>
        <v>32</v>
      </c>
      <c r="J656" s="6">
        <f>VLOOKUP(operations[productID],products[],5,FALSE)</f>
        <v>0</v>
      </c>
      <c r="K656" s="6">
        <f>VLOOKUP(operations[productID],products[],6,FALSE)</f>
        <v>15</v>
      </c>
      <c r="L656" s="10">
        <f t="array" ref="L656">INDEX('1 orders'!I656:I2156, MATCH(1, ('1 orders'!A656:A2156=A656)*('1 orders'!G656:G2156=F656), 0))
</f>
        <v>5</v>
      </c>
      <c r="M656" s="10">
        <f>IFERROR(__xludf.DUMMYFUNCTION("COUNTUNIQUEIFS($A$2:$A656,$F$2:$F656,F656)"),12.0)</f>
        <v>12</v>
      </c>
      <c r="N656" s="10">
        <f t="shared" si="1"/>
        <v>3</v>
      </c>
      <c r="O656" s="26">
        <f>IF(operations[sinceLastOrder]=0,0,operations[orderQuantity] / operations[sinceLastOrder])</f>
        <v>1.666666667</v>
      </c>
      <c r="P656" s="9">
        <v>4.65</v>
      </c>
      <c r="Q656" s="7" t="s">
        <v>13</v>
      </c>
      <c r="R656" s="10">
        <f>operations[arrivedDate]-operations[shippedDate]</f>
        <v>11</v>
      </c>
    </row>
    <row r="657" ht="15.75" customHeight="1">
      <c r="A657" s="6">
        <v>10496.0</v>
      </c>
      <c r="B657" s="24">
        <v>45020.0</v>
      </c>
      <c r="C657" s="24">
        <v>45048.0</v>
      </c>
      <c r="D657" s="24">
        <v>45023.0</v>
      </c>
      <c r="E657" s="24">
        <v>45044.0</v>
      </c>
      <c r="F657" s="6">
        <v>31.0</v>
      </c>
      <c r="G657" s="9" t="str">
        <f>VLOOKUP(operations[productID],products[],2,FALSE)</f>
        <v>Gorgonzola Telino</v>
      </c>
      <c r="H657" s="9" t="str">
        <f>IF(VLOOKUP(operations[productID],products[],7,FALSE)=1,"Discontinued","Current")</f>
        <v>Current</v>
      </c>
      <c r="I657" s="6">
        <f>VLOOKUP(operations[productID],products[],4,FALSE)</f>
        <v>0</v>
      </c>
      <c r="J657" s="6">
        <f>VLOOKUP(operations[productID],products[],5,FALSE)</f>
        <v>70</v>
      </c>
      <c r="K657" s="6">
        <f>VLOOKUP(operations[productID],products[],6,FALSE)</f>
        <v>20</v>
      </c>
      <c r="L657" s="10">
        <f t="array" ref="L657">INDEX('1 orders'!I657:I2156, MATCH(1, ('1 orders'!A657:A2156=A657)*('1 orders'!G657:G2156=F657), 0))
</f>
        <v>20</v>
      </c>
      <c r="M657" s="10">
        <f>IFERROR(__xludf.DUMMYFUNCTION("COUNTUNIQUEIFS($A$2:$A657,$F$2:$F657,F657)"),17.0)</f>
        <v>17</v>
      </c>
      <c r="N657" s="10">
        <f t="shared" si="1"/>
        <v>21</v>
      </c>
      <c r="O657" s="26">
        <f>IF(operations[sinceLastOrder]=0,0,operations[orderQuantity] / operations[sinceLastOrder])</f>
        <v>0.9523809524</v>
      </c>
      <c r="P657" s="9">
        <v>46.77</v>
      </c>
      <c r="Q657" s="7" t="s">
        <v>17</v>
      </c>
      <c r="R657" s="10">
        <f>operations[arrivedDate]-operations[shippedDate]</f>
        <v>21</v>
      </c>
    </row>
    <row r="658" ht="15.75" customHeight="1">
      <c r="A658" s="6">
        <v>10497.0</v>
      </c>
      <c r="B658" s="24">
        <v>45020.0</v>
      </c>
      <c r="C658" s="24">
        <v>45048.0</v>
      </c>
      <c r="D658" s="24">
        <v>45023.0</v>
      </c>
      <c r="E658" s="24">
        <v>45028.0</v>
      </c>
      <c r="F658" s="6">
        <v>56.0</v>
      </c>
      <c r="G658" s="9" t="str">
        <f>VLOOKUP(operations[productID],products[],2,FALSE)</f>
        <v>Gnocchi di nonna Alice</v>
      </c>
      <c r="H658" s="9" t="str">
        <f>IF(VLOOKUP(operations[productID],products[],7,FALSE)=1,"Discontinued","Current")</f>
        <v>Current</v>
      </c>
      <c r="I658" s="6">
        <f>VLOOKUP(operations[productID],products[],4,FALSE)</f>
        <v>21</v>
      </c>
      <c r="J658" s="6">
        <f>VLOOKUP(operations[productID],products[],5,FALSE)</f>
        <v>10</v>
      </c>
      <c r="K658" s="6">
        <f>VLOOKUP(operations[productID],products[],6,FALSE)</f>
        <v>30</v>
      </c>
      <c r="L658" s="10">
        <f t="array" ref="L658">INDEX('1 orders'!I658:I2156, MATCH(1, ('1 orders'!A658:A2156=A658)*('1 orders'!G658:G2156=F658), 0))
</f>
        <v>14</v>
      </c>
      <c r="M658" s="10">
        <f>IFERROR(__xludf.DUMMYFUNCTION("COUNTUNIQUEIFS($A$2:$A658,$F$2:$F658,F658)"),17.0)</f>
        <v>17</v>
      </c>
      <c r="N658" s="10">
        <f t="shared" si="1"/>
        <v>2</v>
      </c>
      <c r="O658" s="26">
        <f>IF(operations[sinceLastOrder]=0,0,operations[orderQuantity] / operations[sinceLastOrder])</f>
        <v>7</v>
      </c>
      <c r="P658" s="9">
        <v>36.21</v>
      </c>
      <c r="Q658" s="7" t="s">
        <v>15</v>
      </c>
      <c r="R658" s="10">
        <f>operations[arrivedDate]-operations[shippedDate]</f>
        <v>5</v>
      </c>
    </row>
    <row r="659" ht="15.75" customHeight="1">
      <c r="A659" s="6">
        <v>10497.0</v>
      </c>
      <c r="B659" s="24">
        <v>45020.0</v>
      </c>
      <c r="C659" s="24">
        <v>45048.0</v>
      </c>
      <c r="D659" s="24">
        <v>45023.0</v>
      </c>
      <c r="E659" s="24">
        <v>45028.0</v>
      </c>
      <c r="F659" s="6">
        <v>72.0</v>
      </c>
      <c r="G659" s="9" t="str">
        <f>VLOOKUP(operations[productID],products[],2,FALSE)</f>
        <v>Mozzarella di Giovanni</v>
      </c>
      <c r="H659" s="9" t="str">
        <f>IF(VLOOKUP(operations[productID],products[],7,FALSE)=1,"Discontinued","Current")</f>
        <v>Current</v>
      </c>
      <c r="I659" s="6">
        <f>VLOOKUP(operations[productID],products[],4,FALSE)</f>
        <v>14</v>
      </c>
      <c r="J659" s="6">
        <f>VLOOKUP(operations[productID],products[],5,FALSE)</f>
        <v>0</v>
      </c>
      <c r="K659" s="6">
        <f>VLOOKUP(operations[productID],products[],6,FALSE)</f>
        <v>0</v>
      </c>
      <c r="L659" s="10">
        <f t="array" ref="L659">INDEX('1 orders'!I659:I2156, MATCH(1, ('1 orders'!A659:A2156=A659)*('1 orders'!G659:G2156=F659), 0))
</f>
        <v>25</v>
      </c>
      <c r="M659" s="10">
        <f>IFERROR(__xludf.DUMMYFUNCTION("COUNTUNIQUEIFS($A$2:$A659,$F$2:$F659,F659)"),16.0)</f>
        <v>16</v>
      </c>
      <c r="N659" s="10">
        <f t="shared" si="1"/>
        <v>36</v>
      </c>
      <c r="O659" s="26">
        <f>IF(operations[sinceLastOrder]=0,0,operations[orderQuantity] / operations[sinceLastOrder])</f>
        <v>0.6944444444</v>
      </c>
      <c r="P659" s="9">
        <v>36.21</v>
      </c>
      <c r="Q659" s="7" t="s">
        <v>15</v>
      </c>
      <c r="R659" s="10">
        <f>operations[arrivedDate]-operations[shippedDate]</f>
        <v>5</v>
      </c>
    </row>
    <row r="660" ht="15.75" customHeight="1">
      <c r="A660" s="6">
        <v>10497.0</v>
      </c>
      <c r="B660" s="24">
        <v>45020.0</v>
      </c>
      <c r="C660" s="24">
        <v>45048.0</v>
      </c>
      <c r="D660" s="24">
        <v>45023.0</v>
      </c>
      <c r="E660" s="24">
        <v>45028.0</v>
      </c>
      <c r="F660" s="6">
        <v>77.0</v>
      </c>
      <c r="G660" s="9" t="str">
        <f>VLOOKUP(operations[productID],products[],2,FALSE)</f>
        <v>Original Frankfurter grüne Soße</v>
      </c>
      <c r="H660" s="9" t="str">
        <f>IF(VLOOKUP(operations[productID],products[],7,FALSE)=1,"Discontinued","Current")</f>
        <v>Current</v>
      </c>
      <c r="I660" s="6">
        <f>VLOOKUP(operations[productID],products[],4,FALSE)</f>
        <v>32</v>
      </c>
      <c r="J660" s="6">
        <f>VLOOKUP(operations[productID],products[],5,FALSE)</f>
        <v>0</v>
      </c>
      <c r="K660" s="6">
        <f>VLOOKUP(operations[productID],products[],6,FALSE)</f>
        <v>15</v>
      </c>
      <c r="L660" s="10">
        <f t="array" ref="L660">INDEX('1 orders'!I660:I2156, MATCH(1, ('1 orders'!A660:A2156=A660)*('1 orders'!G660:G2156=F660), 0))
</f>
        <v>25</v>
      </c>
      <c r="M660" s="10">
        <f>IFERROR(__xludf.DUMMYFUNCTION("COUNTUNIQUEIFS($A$2:$A660,$F$2:$F660,F660)"),13.0)</f>
        <v>13</v>
      </c>
      <c r="N660" s="10">
        <f t="shared" si="1"/>
        <v>1</v>
      </c>
      <c r="O660" s="26">
        <f>IF(operations[sinceLastOrder]=0,0,operations[orderQuantity] / operations[sinceLastOrder])</f>
        <v>25</v>
      </c>
      <c r="P660" s="9">
        <v>36.21</v>
      </c>
      <c r="Q660" s="7" t="s">
        <v>15</v>
      </c>
      <c r="R660" s="10">
        <f>operations[arrivedDate]-operations[shippedDate]</f>
        <v>5</v>
      </c>
    </row>
    <row r="661" ht="15.75" customHeight="1">
      <c r="A661" s="6">
        <v>10498.0</v>
      </c>
      <c r="B661" s="24">
        <v>45023.0</v>
      </c>
      <c r="C661" s="24">
        <v>45051.0</v>
      </c>
      <c r="D661" s="24">
        <v>45027.0</v>
      </c>
      <c r="E661" s="24">
        <v>45042.0</v>
      </c>
      <c r="F661" s="6">
        <v>24.0</v>
      </c>
      <c r="G661" s="9" t="str">
        <f>VLOOKUP(operations[productID],products[],2,FALSE)</f>
        <v>Brigadeiros Maravilhosos da Lilian</v>
      </c>
      <c r="H661" s="9" t="str">
        <f>IF(VLOOKUP(operations[productID],products[],7,FALSE)=1,"Discontinued","Current")</f>
        <v>Discontinued</v>
      </c>
      <c r="I661" s="6">
        <f>VLOOKUP(operations[productID],products[],4,FALSE)</f>
        <v>20</v>
      </c>
      <c r="J661" s="6">
        <f>VLOOKUP(operations[productID],products[],5,FALSE)</f>
        <v>0</v>
      </c>
      <c r="K661" s="6">
        <f>VLOOKUP(operations[productID],products[],6,FALSE)</f>
        <v>0</v>
      </c>
      <c r="L661" s="10">
        <f t="array" ref="L661">INDEX('1 orders'!I661:I2156, MATCH(1, ('1 orders'!A661:A2156=A661)*('1 orders'!G661:G2156=F661), 0))
</f>
        <v>14</v>
      </c>
      <c r="M661" s="10">
        <f>IFERROR(__xludf.DUMMYFUNCTION("COUNTUNIQUEIFS($A$2:$A661,$F$2:$F661,F661)"),16.0)</f>
        <v>16</v>
      </c>
      <c r="N661" s="10">
        <f t="shared" si="1"/>
        <v>26</v>
      </c>
      <c r="O661" s="26">
        <f>IF(operations[sinceLastOrder]=0,0,operations[orderQuantity] / operations[sinceLastOrder])</f>
        <v>0.5384615385</v>
      </c>
      <c r="P661" s="9">
        <v>29.75</v>
      </c>
      <c r="Q661" s="7" t="s">
        <v>17</v>
      </c>
      <c r="R661" s="10">
        <f>operations[arrivedDate]-operations[shippedDate]</f>
        <v>15</v>
      </c>
    </row>
    <row r="662" ht="15.75" customHeight="1">
      <c r="A662" s="6">
        <v>10498.0</v>
      </c>
      <c r="B662" s="24">
        <v>45023.0</v>
      </c>
      <c r="C662" s="24">
        <v>45051.0</v>
      </c>
      <c r="D662" s="24">
        <v>45027.0</v>
      </c>
      <c r="E662" s="24">
        <v>45042.0</v>
      </c>
      <c r="F662" s="6">
        <v>40.0</v>
      </c>
      <c r="G662" s="9" t="str">
        <f>VLOOKUP(operations[productID],products[],2,FALSE)</f>
        <v>Boston Crab Meat</v>
      </c>
      <c r="H662" s="9" t="str">
        <f>IF(VLOOKUP(operations[productID],products[],7,FALSE)=1,"Discontinued","Current")</f>
        <v>Current</v>
      </c>
      <c r="I662" s="6">
        <f>VLOOKUP(operations[productID],products[],4,FALSE)</f>
        <v>123</v>
      </c>
      <c r="J662" s="6">
        <f>VLOOKUP(operations[productID],products[],5,FALSE)</f>
        <v>0</v>
      </c>
      <c r="K662" s="6">
        <f>VLOOKUP(operations[productID],products[],6,FALSE)</f>
        <v>30</v>
      </c>
      <c r="L662" s="10">
        <f t="array" ref="L662">INDEX('1 orders'!I662:I2156, MATCH(1, ('1 orders'!A662:A2156=A662)*('1 orders'!G662:G2156=F662), 0))
</f>
        <v>5</v>
      </c>
      <c r="M662" s="10">
        <f>IFERROR(__xludf.DUMMYFUNCTION("COUNTUNIQUEIFS($A$2:$A662,$F$2:$F662,F662)"),14.0)</f>
        <v>14</v>
      </c>
      <c r="N662" s="10">
        <f t="shared" si="1"/>
        <v>14</v>
      </c>
      <c r="O662" s="26">
        <f>IF(operations[sinceLastOrder]=0,0,operations[orderQuantity] / operations[sinceLastOrder])</f>
        <v>0.3571428571</v>
      </c>
      <c r="P662" s="9">
        <v>29.75</v>
      </c>
      <c r="Q662" s="7" t="s">
        <v>17</v>
      </c>
      <c r="R662" s="10">
        <f>operations[arrivedDate]-operations[shippedDate]</f>
        <v>15</v>
      </c>
    </row>
    <row r="663" ht="15.75" customHeight="1">
      <c r="A663" s="6">
        <v>10498.0</v>
      </c>
      <c r="B663" s="24">
        <v>45023.0</v>
      </c>
      <c r="C663" s="24">
        <v>45051.0</v>
      </c>
      <c r="D663" s="24">
        <v>45027.0</v>
      </c>
      <c r="E663" s="24">
        <v>45042.0</v>
      </c>
      <c r="F663" s="6">
        <v>42.0</v>
      </c>
      <c r="G663" s="9" t="str">
        <f>VLOOKUP(operations[productID],products[],2,FALSE)</f>
        <v>Singaporean Hokkien Fried Mee</v>
      </c>
      <c r="H663" s="9" t="str">
        <f>IF(VLOOKUP(operations[productID],products[],7,FALSE)=1,"Discontinued","Current")</f>
        <v>Discontinued</v>
      </c>
      <c r="I663" s="6">
        <f>VLOOKUP(operations[productID],products[],4,FALSE)</f>
        <v>26</v>
      </c>
      <c r="J663" s="6">
        <f>VLOOKUP(operations[productID],products[],5,FALSE)</f>
        <v>0</v>
      </c>
      <c r="K663" s="6">
        <f>VLOOKUP(operations[productID],products[],6,FALSE)</f>
        <v>0</v>
      </c>
      <c r="L663" s="10">
        <f t="array" ref="L663">INDEX('1 orders'!I663:I2156, MATCH(1, ('1 orders'!A663:A2156=A663)*('1 orders'!G663:G2156=F663), 0))
</f>
        <v>30</v>
      </c>
      <c r="M663" s="10">
        <f>IFERROR(__xludf.DUMMYFUNCTION("COUNTUNIQUEIFS($A$2:$A663,$F$2:$F663,F663)"),9.0)</f>
        <v>9</v>
      </c>
      <c r="N663" s="10">
        <f t="shared" si="1"/>
        <v>6</v>
      </c>
      <c r="O663" s="26">
        <f>IF(operations[sinceLastOrder]=0,0,operations[orderQuantity] / operations[sinceLastOrder])</f>
        <v>5</v>
      </c>
      <c r="P663" s="9">
        <v>29.75</v>
      </c>
      <c r="Q663" s="7" t="s">
        <v>17</v>
      </c>
      <c r="R663" s="10">
        <f>operations[arrivedDate]-operations[shippedDate]</f>
        <v>15</v>
      </c>
    </row>
    <row r="664" ht="15.75" customHeight="1">
      <c r="A664" s="6">
        <v>10499.0</v>
      </c>
      <c r="B664" s="24">
        <v>45024.0</v>
      </c>
      <c r="C664" s="24">
        <v>45052.0</v>
      </c>
      <c r="D664" s="24">
        <v>45032.0</v>
      </c>
      <c r="E664" s="24">
        <v>45045.0</v>
      </c>
      <c r="F664" s="6">
        <v>28.0</v>
      </c>
      <c r="G664" s="9" t="str">
        <f>VLOOKUP(operations[productID],products[],2,FALSE)</f>
        <v>Rössle Sauerkraut</v>
      </c>
      <c r="H664" s="9" t="str">
        <f>IF(VLOOKUP(operations[productID],products[],7,FALSE)=1,"Discontinued","Current")</f>
        <v>Discontinued</v>
      </c>
      <c r="I664" s="6">
        <f>VLOOKUP(operations[productID],products[],4,FALSE)</f>
        <v>26</v>
      </c>
      <c r="J664" s="6">
        <f>VLOOKUP(operations[productID],products[],5,FALSE)</f>
        <v>0</v>
      </c>
      <c r="K664" s="6">
        <f>VLOOKUP(operations[productID],products[],6,FALSE)</f>
        <v>0</v>
      </c>
      <c r="L664" s="10">
        <f t="array" ref="L664">INDEX('1 orders'!I664:I2156, MATCH(1, ('1 orders'!A664:A2156=A664)*('1 orders'!G664:G2156=F664), 0))
</f>
        <v>20</v>
      </c>
      <c r="M664" s="10">
        <f>IFERROR(__xludf.DUMMYFUNCTION("COUNTUNIQUEIFS($A$2:$A664,$F$2:$F664,F664)"),14.0)</f>
        <v>14</v>
      </c>
      <c r="N664" s="10">
        <f t="shared" si="1"/>
        <v>26</v>
      </c>
      <c r="O664" s="26">
        <f>IF(operations[sinceLastOrder]=0,0,operations[orderQuantity] / operations[sinceLastOrder])</f>
        <v>0.7692307692</v>
      </c>
      <c r="P664" s="9">
        <v>102.02</v>
      </c>
      <c r="Q664" s="7" t="s">
        <v>17</v>
      </c>
      <c r="R664" s="10">
        <f>operations[arrivedDate]-operations[shippedDate]</f>
        <v>13</v>
      </c>
    </row>
    <row r="665" ht="15.75" customHeight="1">
      <c r="A665" s="6">
        <v>10499.0</v>
      </c>
      <c r="B665" s="24">
        <v>45024.0</v>
      </c>
      <c r="C665" s="24">
        <v>45052.0</v>
      </c>
      <c r="D665" s="24">
        <v>45032.0</v>
      </c>
      <c r="E665" s="24">
        <v>45045.0</v>
      </c>
      <c r="F665" s="6">
        <v>49.0</v>
      </c>
      <c r="G665" s="9" t="str">
        <f>VLOOKUP(operations[productID],products[],2,FALSE)</f>
        <v>Maxilaku</v>
      </c>
      <c r="H665" s="9" t="str">
        <f>IF(VLOOKUP(operations[productID],products[],7,FALSE)=1,"Discontinued","Current")</f>
        <v>Current</v>
      </c>
      <c r="I665" s="6">
        <f>VLOOKUP(operations[productID],products[],4,FALSE)</f>
        <v>10</v>
      </c>
      <c r="J665" s="6">
        <f>VLOOKUP(operations[productID],products[],5,FALSE)</f>
        <v>60</v>
      </c>
      <c r="K665" s="6">
        <f>VLOOKUP(operations[productID],products[],6,FALSE)</f>
        <v>15</v>
      </c>
      <c r="L665" s="10">
        <f t="array" ref="L665">INDEX('1 orders'!I665:I2156, MATCH(1, ('1 orders'!A665:A2156=A665)*('1 orders'!G665:G2156=F665), 0))
</f>
        <v>25</v>
      </c>
      <c r="M665" s="10">
        <f>IFERROR(__xludf.DUMMYFUNCTION("COUNTUNIQUEIFS($A$2:$A665,$F$2:$F665,F665)"),9.0)</f>
        <v>9</v>
      </c>
      <c r="N665" s="10">
        <f t="shared" si="1"/>
        <v>19</v>
      </c>
      <c r="O665" s="26">
        <f>IF(operations[sinceLastOrder]=0,0,operations[orderQuantity] / operations[sinceLastOrder])</f>
        <v>1.315789474</v>
      </c>
      <c r="P665" s="9">
        <v>102.02</v>
      </c>
      <c r="Q665" s="7" t="s">
        <v>17</v>
      </c>
      <c r="R665" s="10">
        <f>operations[arrivedDate]-operations[shippedDate]</f>
        <v>13</v>
      </c>
    </row>
    <row r="666" ht="15.75" customHeight="1">
      <c r="A666" s="6">
        <v>10500.0</v>
      </c>
      <c r="B666" s="24">
        <v>45025.0</v>
      </c>
      <c r="C666" s="24">
        <v>45053.0</v>
      </c>
      <c r="D666" s="24">
        <v>45033.0</v>
      </c>
      <c r="E666" s="24">
        <v>45038.0</v>
      </c>
      <c r="F666" s="6">
        <v>15.0</v>
      </c>
      <c r="G666" s="9" t="str">
        <f>VLOOKUP(operations[productID],products[],2,FALSE)</f>
        <v>Genen Shouyu</v>
      </c>
      <c r="H666" s="9" t="str">
        <f>IF(VLOOKUP(operations[productID],products[],7,FALSE)=1,"Discontinued","Current")</f>
        <v>Current</v>
      </c>
      <c r="I666" s="6">
        <f>VLOOKUP(operations[productID],products[],4,FALSE)</f>
        <v>39</v>
      </c>
      <c r="J666" s="6">
        <f>VLOOKUP(operations[productID],products[],5,FALSE)</f>
        <v>0</v>
      </c>
      <c r="K666" s="6">
        <f>VLOOKUP(operations[productID],products[],6,FALSE)</f>
        <v>5</v>
      </c>
      <c r="L666" s="10">
        <f t="array" ref="L666">INDEX('1 orders'!I666:I2156, MATCH(1, ('1 orders'!A666:A2156=A666)*('1 orders'!G666:G2156=F666), 0))
</f>
        <v>12</v>
      </c>
      <c r="M666" s="10">
        <f>IFERROR(__xludf.DUMMYFUNCTION("COUNTUNIQUEIFS($A$2:$A666,$F$2:$F666,F666)"),3.0)</f>
        <v>3</v>
      </c>
      <c r="N666" s="10">
        <f t="shared" si="1"/>
        <v>184</v>
      </c>
      <c r="O666" s="26">
        <f>IF(operations[sinceLastOrder]=0,0,operations[orderQuantity] / operations[sinceLastOrder])</f>
        <v>0.0652173913</v>
      </c>
      <c r="P666" s="9">
        <v>42.68</v>
      </c>
      <c r="Q666" s="7" t="s">
        <v>15</v>
      </c>
      <c r="R666" s="10">
        <f>operations[arrivedDate]-operations[shippedDate]</f>
        <v>5</v>
      </c>
    </row>
    <row r="667" ht="15.75" customHeight="1">
      <c r="A667" s="6">
        <v>10500.0</v>
      </c>
      <c r="B667" s="24">
        <v>45025.0</v>
      </c>
      <c r="C667" s="24">
        <v>45053.0</v>
      </c>
      <c r="D667" s="24">
        <v>45033.0</v>
      </c>
      <c r="E667" s="24">
        <v>45038.0</v>
      </c>
      <c r="F667" s="6">
        <v>28.0</v>
      </c>
      <c r="G667" s="9" t="str">
        <f>VLOOKUP(operations[productID],products[],2,FALSE)</f>
        <v>Rössle Sauerkraut</v>
      </c>
      <c r="H667" s="9" t="str">
        <f>IF(VLOOKUP(operations[productID],products[],7,FALSE)=1,"Discontinued","Current")</f>
        <v>Discontinued</v>
      </c>
      <c r="I667" s="6">
        <f>VLOOKUP(operations[productID],products[],4,FALSE)</f>
        <v>26</v>
      </c>
      <c r="J667" s="6">
        <f>VLOOKUP(operations[productID],products[],5,FALSE)</f>
        <v>0</v>
      </c>
      <c r="K667" s="6">
        <f>VLOOKUP(operations[productID],products[],6,FALSE)</f>
        <v>0</v>
      </c>
      <c r="L667" s="10">
        <f t="array" ref="L667">INDEX('1 orders'!I667:I2156, MATCH(1, ('1 orders'!A667:A2156=A667)*('1 orders'!G667:G2156=F667), 0))
</f>
        <v>8</v>
      </c>
      <c r="M667" s="10">
        <f>IFERROR(__xludf.DUMMYFUNCTION("COUNTUNIQUEIFS($A$2:$A667,$F$2:$F667,F667)"),15.0)</f>
        <v>15</v>
      </c>
      <c r="N667" s="10">
        <f t="shared" si="1"/>
        <v>1</v>
      </c>
      <c r="O667" s="26">
        <f>IF(operations[sinceLastOrder]=0,0,operations[orderQuantity] / operations[sinceLastOrder])</f>
        <v>8</v>
      </c>
      <c r="P667" s="9">
        <v>42.68</v>
      </c>
      <c r="Q667" s="7" t="s">
        <v>15</v>
      </c>
      <c r="R667" s="10">
        <f>operations[arrivedDate]-operations[shippedDate]</f>
        <v>5</v>
      </c>
    </row>
    <row r="668" ht="15.75" customHeight="1">
      <c r="A668" s="6">
        <v>10501.0</v>
      </c>
      <c r="B668" s="24">
        <v>45025.0</v>
      </c>
      <c r="C668" s="24">
        <v>45053.0</v>
      </c>
      <c r="D668" s="24">
        <v>45032.0</v>
      </c>
      <c r="E668" s="24">
        <v>45038.0</v>
      </c>
      <c r="F668" s="6">
        <v>54.0</v>
      </c>
      <c r="G668" s="9" t="str">
        <f>VLOOKUP(operations[productID],products[],2,FALSE)</f>
        <v>Tourtière</v>
      </c>
      <c r="H668" s="9" t="str">
        <f>IF(VLOOKUP(operations[productID],products[],7,FALSE)=1,"Discontinued","Current")</f>
        <v>Current</v>
      </c>
      <c r="I668" s="6">
        <f>VLOOKUP(operations[productID],products[],4,FALSE)</f>
        <v>21</v>
      </c>
      <c r="J668" s="6">
        <f>VLOOKUP(operations[productID],products[],5,FALSE)</f>
        <v>0</v>
      </c>
      <c r="K668" s="6">
        <f>VLOOKUP(operations[productID],products[],6,FALSE)</f>
        <v>10</v>
      </c>
      <c r="L668" s="10">
        <f t="array" ref="L668">INDEX('1 orders'!I668:I2156, MATCH(1, ('1 orders'!A668:A2156=A668)*('1 orders'!G668:G2156=F668), 0))
</f>
        <v>20</v>
      </c>
      <c r="M668" s="10">
        <f>IFERROR(__xludf.DUMMYFUNCTION("COUNTUNIQUEIFS($A$2:$A668,$F$2:$F668,F668)"),16.0)</f>
        <v>16</v>
      </c>
      <c r="N668" s="10">
        <f t="shared" si="1"/>
        <v>14</v>
      </c>
      <c r="O668" s="26">
        <f>IF(operations[sinceLastOrder]=0,0,operations[orderQuantity] / operations[sinceLastOrder])</f>
        <v>1.428571429</v>
      </c>
      <c r="P668" s="9">
        <v>8.85</v>
      </c>
      <c r="Q668" s="7" t="s">
        <v>13</v>
      </c>
      <c r="R668" s="10">
        <f>operations[arrivedDate]-operations[shippedDate]</f>
        <v>6</v>
      </c>
    </row>
    <row r="669" ht="15.75" customHeight="1">
      <c r="A669" s="6">
        <v>10502.0</v>
      </c>
      <c r="B669" s="24">
        <v>45026.0</v>
      </c>
      <c r="C669" s="24">
        <v>45054.0</v>
      </c>
      <c r="D669" s="24">
        <v>45045.0</v>
      </c>
      <c r="E669" s="24">
        <v>45056.0</v>
      </c>
      <c r="F669" s="6">
        <v>45.0</v>
      </c>
      <c r="G669" s="9" t="str">
        <f>VLOOKUP(operations[productID],products[],2,FALSE)</f>
        <v>Rogede sild</v>
      </c>
      <c r="H669" s="9" t="str">
        <f>IF(VLOOKUP(operations[productID],products[],7,FALSE)=1,"Discontinued","Current")</f>
        <v>Current</v>
      </c>
      <c r="I669" s="6">
        <f>VLOOKUP(operations[productID],products[],4,FALSE)</f>
        <v>5</v>
      </c>
      <c r="J669" s="6">
        <f>VLOOKUP(operations[productID],products[],5,FALSE)</f>
        <v>70</v>
      </c>
      <c r="K669" s="6">
        <f>VLOOKUP(operations[productID],products[],6,FALSE)</f>
        <v>15</v>
      </c>
      <c r="L669" s="10">
        <f t="array" ref="L669">INDEX('1 orders'!I669:I2156, MATCH(1, ('1 orders'!A669:A2156=A669)*('1 orders'!G669:G2156=F669), 0))
</f>
        <v>21</v>
      </c>
      <c r="M669" s="10">
        <f>IFERROR(__xludf.DUMMYFUNCTION("COUNTUNIQUEIFS($A$2:$A669,$F$2:$F669,F669)"),3.0)</f>
        <v>3</v>
      </c>
      <c r="N669" s="10">
        <f t="shared" si="1"/>
        <v>36</v>
      </c>
      <c r="O669" s="26">
        <f>IF(operations[sinceLastOrder]=0,0,operations[orderQuantity] / operations[sinceLastOrder])</f>
        <v>0.5833333333</v>
      </c>
      <c r="P669" s="9">
        <v>69.32</v>
      </c>
      <c r="Q669" s="7" t="s">
        <v>15</v>
      </c>
      <c r="R669" s="10">
        <f>operations[arrivedDate]-operations[shippedDate]</f>
        <v>11</v>
      </c>
    </row>
    <row r="670" ht="15.75" customHeight="1">
      <c r="A670" s="6">
        <v>10502.0</v>
      </c>
      <c r="B670" s="24">
        <v>45026.0</v>
      </c>
      <c r="C670" s="24">
        <v>45054.0</v>
      </c>
      <c r="D670" s="24">
        <v>45045.0</v>
      </c>
      <c r="E670" s="24">
        <v>45056.0</v>
      </c>
      <c r="F670" s="6">
        <v>53.0</v>
      </c>
      <c r="G670" s="9" t="str">
        <f>VLOOKUP(operations[productID],products[],2,FALSE)</f>
        <v>Perth Pasties</v>
      </c>
      <c r="H670" s="9" t="str">
        <f>IF(VLOOKUP(operations[productID],products[],7,FALSE)=1,"Discontinued","Current")</f>
        <v>Discontinued</v>
      </c>
      <c r="I670" s="6">
        <f>VLOOKUP(operations[productID],products[],4,FALSE)</f>
        <v>0</v>
      </c>
      <c r="J670" s="6">
        <f>VLOOKUP(operations[productID],products[],5,FALSE)</f>
        <v>0</v>
      </c>
      <c r="K670" s="6">
        <f>VLOOKUP(operations[productID],products[],6,FALSE)</f>
        <v>0</v>
      </c>
      <c r="L670" s="10">
        <f t="array" ref="L670">INDEX('1 orders'!I670:I2156, MATCH(1, ('1 orders'!A670:A2156=A670)*('1 orders'!G670:G2156=F670), 0))
</f>
        <v>6</v>
      </c>
      <c r="M670" s="10">
        <f>IFERROR(__xludf.DUMMYFUNCTION("COUNTUNIQUEIFS($A$2:$A670,$F$2:$F670,F670)"),13.0)</f>
        <v>13</v>
      </c>
      <c r="N670" s="10">
        <f t="shared" si="1"/>
        <v>22</v>
      </c>
      <c r="O670" s="26">
        <f>IF(operations[sinceLastOrder]=0,0,operations[orderQuantity] / operations[sinceLastOrder])</f>
        <v>0.2727272727</v>
      </c>
      <c r="P670" s="9">
        <v>69.32</v>
      </c>
      <c r="Q670" s="7" t="s">
        <v>15</v>
      </c>
      <c r="R670" s="10">
        <f>operations[arrivedDate]-operations[shippedDate]</f>
        <v>11</v>
      </c>
    </row>
    <row r="671" ht="15.75" customHeight="1">
      <c r="A671" s="6">
        <v>10502.0</v>
      </c>
      <c r="B671" s="24">
        <v>45026.0</v>
      </c>
      <c r="C671" s="24">
        <v>45054.0</v>
      </c>
      <c r="D671" s="24">
        <v>45045.0</v>
      </c>
      <c r="E671" s="24">
        <v>45056.0</v>
      </c>
      <c r="F671" s="6">
        <v>67.0</v>
      </c>
      <c r="G671" s="9" t="str">
        <f>VLOOKUP(operations[productID],products[],2,FALSE)</f>
        <v>Laughing Lumberjack Lager</v>
      </c>
      <c r="H671" s="9" t="str">
        <f>IF(VLOOKUP(operations[productID],products[],7,FALSE)=1,"Discontinued","Current")</f>
        <v>Current</v>
      </c>
      <c r="I671" s="6">
        <f>VLOOKUP(operations[productID],products[],4,FALSE)</f>
        <v>52</v>
      </c>
      <c r="J671" s="6">
        <f>VLOOKUP(operations[productID],products[],5,FALSE)</f>
        <v>0</v>
      </c>
      <c r="K671" s="6">
        <f>VLOOKUP(operations[productID],products[],6,FALSE)</f>
        <v>10</v>
      </c>
      <c r="L671" s="10">
        <f t="array" ref="L671">INDEX('1 orders'!I671:I2156, MATCH(1, ('1 orders'!A671:A2156=A671)*('1 orders'!G671:G2156=F671), 0))
</f>
        <v>30</v>
      </c>
      <c r="M671" s="10">
        <f>IFERROR(__xludf.DUMMYFUNCTION("COUNTUNIQUEIFS($A$2:$A671,$F$2:$F671,F671)"),2.0)</f>
        <v>2</v>
      </c>
      <c r="N671" s="10">
        <f t="shared" si="1"/>
        <v>234</v>
      </c>
      <c r="O671" s="26">
        <f>IF(operations[sinceLastOrder]=0,0,operations[orderQuantity] / operations[sinceLastOrder])</f>
        <v>0.1282051282</v>
      </c>
      <c r="P671" s="9">
        <v>69.32</v>
      </c>
      <c r="Q671" s="7" t="s">
        <v>15</v>
      </c>
      <c r="R671" s="10">
        <f>operations[arrivedDate]-operations[shippedDate]</f>
        <v>11</v>
      </c>
    </row>
    <row r="672" ht="15.75" customHeight="1">
      <c r="A672" s="6">
        <v>10503.0</v>
      </c>
      <c r="B672" s="24">
        <v>45027.0</v>
      </c>
      <c r="C672" s="24">
        <v>45055.0</v>
      </c>
      <c r="D672" s="24">
        <v>45032.0</v>
      </c>
      <c r="E672" s="24">
        <v>45045.0</v>
      </c>
      <c r="F672" s="6">
        <v>14.0</v>
      </c>
      <c r="G672" s="9" t="str">
        <f>VLOOKUP(operations[productID],products[],2,FALSE)</f>
        <v>Tofu</v>
      </c>
      <c r="H672" s="9" t="str">
        <f>IF(VLOOKUP(operations[productID],products[],7,FALSE)=1,"Discontinued","Current")</f>
        <v>Current</v>
      </c>
      <c r="I672" s="6">
        <f>VLOOKUP(operations[productID],products[],4,FALSE)</f>
        <v>35</v>
      </c>
      <c r="J672" s="6">
        <f>VLOOKUP(operations[productID],products[],5,FALSE)</f>
        <v>0</v>
      </c>
      <c r="K672" s="6">
        <f>VLOOKUP(operations[productID],products[],6,FALSE)</f>
        <v>0</v>
      </c>
      <c r="L672" s="10">
        <f t="array" ref="L672">INDEX('1 orders'!I672:I2156, MATCH(1, ('1 orders'!A672:A2156=A672)*('1 orders'!G672:G2156=F672), 0))
</f>
        <v>70</v>
      </c>
      <c r="M672" s="10">
        <f>IFERROR(__xludf.DUMMYFUNCTION("COUNTUNIQUEIFS($A$2:$A672,$F$2:$F672,F672)"),10.0)</f>
        <v>10</v>
      </c>
      <c r="N672" s="10">
        <f t="shared" si="1"/>
        <v>29</v>
      </c>
      <c r="O672" s="26">
        <f>IF(operations[sinceLastOrder]=0,0,operations[orderQuantity] / operations[sinceLastOrder])</f>
        <v>2.413793103</v>
      </c>
      <c r="P672" s="9">
        <v>16.74</v>
      </c>
      <c r="Q672" s="7" t="s">
        <v>17</v>
      </c>
      <c r="R672" s="10">
        <f>operations[arrivedDate]-operations[shippedDate]</f>
        <v>13</v>
      </c>
    </row>
    <row r="673" ht="15.75" customHeight="1">
      <c r="A673" s="6">
        <v>10503.0</v>
      </c>
      <c r="B673" s="24">
        <v>45027.0</v>
      </c>
      <c r="C673" s="24">
        <v>45055.0</v>
      </c>
      <c r="D673" s="24">
        <v>45032.0</v>
      </c>
      <c r="E673" s="24">
        <v>45045.0</v>
      </c>
      <c r="F673" s="6">
        <v>65.0</v>
      </c>
      <c r="G673" s="9" t="str">
        <f>VLOOKUP(operations[productID],products[],2,FALSE)</f>
        <v>Louisiana Fiery Hot Pepper Sauce</v>
      </c>
      <c r="H673" s="9" t="str">
        <f>IF(VLOOKUP(operations[productID],products[],7,FALSE)=1,"Discontinued","Current")</f>
        <v>Current</v>
      </c>
      <c r="I673" s="6">
        <f>VLOOKUP(operations[productID],products[],4,FALSE)</f>
        <v>76</v>
      </c>
      <c r="J673" s="6">
        <f>VLOOKUP(operations[productID],products[],5,FALSE)</f>
        <v>0</v>
      </c>
      <c r="K673" s="6">
        <f>VLOOKUP(operations[productID],products[],6,FALSE)</f>
        <v>0</v>
      </c>
      <c r="L673" s="10">
        <f t="array" ref="L673">INDEX('1 orders'!I673:I2156, MATCH(1, ('1 orders'!A673:A2156=A673)*('1 orders'!G673:G2156=F673), 0))
</f>
        <v>20</v>
      </c>
      <c r="M673" s="10">
        <f>IFERROR(__xludf.DUMMYFUNCTION("COUNTUNIQUEIFS($A$2:$A673,$F$2:$F673,F673)"),13.0)</f>
        <v>13</v>
      </c>
      <c r="N673" s="10">
        <f t="shared" si="1"/>
        <v>9</v>
      </c>
      <c r="O673" s="26">
        <f>IF(operations[sinceLastOrder]=0,0,operations[orderQuantity] / operations[sinceLastOrder])</f>
        <v>2.222222222</v>
      </c>
      <c r="P673" s="9">
        <v>16.74</v>
      </c>
      <c r="Q673" s="7" t="s">
        <v>17</v>
      </c>
      <c r="R673" s="10">
        <f>operations[arrivedDate]-operations[shippedDate]</f>
        <v>13</v>
      </c>
    </row>
    <row r="674" ht="15.75" customHeight="1">
      <c r="A674" s="6">
        <v>10504.0</v>
      </c>
      <c r="B674" s="24">
        <v>45027.0</v>
      </c>
      <c r="C674" s="24">
        <v>45055.0</v>
      </c>
      <c r="D674" s="24">
        <v>45034.0</v>
      </c>
      <c r="E674" s="24">
        <v>45049.0</v>
      </c>
      <c r="F674" s="6">
        <v>2.0</v>
      </c>
      <c r="G674" s="9" t="str">
        <f>VLOOKUP(operations[productID],products[],2,FALSE)</f>
        <v>Chang</v>
      </c>
      <c r="H674" s="9" t="str">
        <f>IF(VLOOKUP(operations[productID],products[],7,FALSE)=1,"Discontinued","Current")</f>
        <v>Current</v>
      </c>
      <c r="I674" s="6">
        <f>VLOOKUP(operations[productID],products[],4,FALSE)</f>
        <v>17</v>
      </c>
      <c r="J674" s="6">
        <f>VLOOKUP(operations[productID],products[],5,FALSE)</f>
        <v>40</v>
      </c>
      <c r="K674" s="6">
        <f>VLOOKUP(operations[productID],products[],6,FALSE)</f>
        <v>25</v>
      </c>
      <c r="L674" s="10">
        <f t="array" ref="L674">INDEX('1 orders'!I674:I2156, MATCH(1, ('1 orders'!A674:A2156=A674)*('1 orders'!G674:G2156=F674), 0))
</f>
        <v>12</v>
      </c>
      <c r="M674" s="10">
        <f>IFERROR(__xludf.DUMMYFUNCTION("COUNTUNIQUEIFS($A$2:$A674,$F$2:$F674,F674)"),14.0)</f>
        <v>14</v>
      </c>
      <c r="N674" s="10">
        <f t="shared" si="1"/>
        <v>17</v>
      </c>
      <c r="O674" s="26">
        <f>IF(operations[sinceLastOrder]=0,0,operations[orderQuantity] / operations[sinceLastOrder])</f>
        <v>0.7058823529</v>
      </c>
      <c r="P674" s="9">
        <v>59.13</v>
      </c>
      <c r="Q674" s="7" t="s">
        <v>13</v>
      </c>
      <c r="R674" s="10">
        <f>operations[arrivedDate]-operations[shippedDate]</f>
        <v>15</v>
      </c>
    </row>
    <row r="675" ht="15.75" customHeight="1">
      <c r="A675" s="6">
        <v>10504.0</v>
      </c>
      <c r="B675" s="24">
        <v>45027.0</v>
      </c>
      <c r="C675" s="24">
        <v>45055.0</v>
      </c>
      <c r="D675" s="24">
        <v>45034.0</v>
      </c>
      <c r="E675" s="24">
        <v>45049.0</v>
      </c>
      <c r="F675" s="6">
        <v>21.0</v>
      </c>
      <c r="G675" s="9" t="str">
        <f>VLOOKUP(operations[productID],products[],2,FALSE)</f>
        <v>Sir Rodney's Scones</v>
      </c>
      <c r="H675" s="9" t="str">
        <f>IF(VLOOKUP(operations[productID],products[],7,FALSE)=1,"Discontinued","Current")</f>
        <v>Current</v>
      </c>
      <c r="I675" s="6">
        <f>VLOOKUP(operations[productID],products[],4,FALSE)</f>
        <v>3</v>
      </c>
      <c r="J675" s="6">
        <f>VLOOKUP(operations[productID],products[],5,FALSE)</f>
        <v>40</v>
      </c>
      <c r="K675" s="6">
        <f>VLOOKUP(operations[productID],products[],6,FALSE)</f>
        <v>5</v>
      </c>
      <c r="L675" s="10">
        <f t="array" ref="L675">INDEX('1 orders'!I675:I2156, MATCH(1, ('1 orders'!A675:A2156=A675)*('1 orders'!G675:G2156=F675), 0))
</f>
        <v>12</v>
      </c>
      <c r="M675" s="10">
        <f>IFERROR(__xludf.DUMMYFUNCTION("COUNTUNIQUEIFS($A$2:$A675,$F$2:$F675,F675)"),13.0)</f>
        <v>13</v>
      </c>
      <c r="N675" s="10">
        <f t="shared" si="1"/>
        <v>18</v>
      </c>
      <c r="O675" s="26">
        <f>IF(operations[sinceLastOrder]=0,0,operations[orderQuantity] / operations[sinceLastOrder])</f>
        <v>0.6666666667</v>
      </c>
      <c r="P675" s="9">
        <v>59.13</v>
      </c>
      <c r="Q675" s="7" t="s">
        <v>13</v>
      </c>
      <c r="R675" s="10">
        <f>operations[arrivedDate]-operations[shippedDate]</f>
        <v>15</v>
      </c>
    </row>
    <row r="676" ht="15.75" customHeight="1">
      <c r="A676" s="6">
        <v>10504.0</v>
      </c>
      <c r="B676" s="24">
        <v>45027.0</v>
      </c>
      <c r="C676" s="24">
        <v>45055.0</v>
      </c>
      <c r="D676" s="24">
        <v>45034.0</v>
      </c>
      <c r="E676" s="24">
        <v>45049.0</v>
      </c>
      <c r="F676" s="6">
        <v>53.0</v>
      </c>
      <c r="G676" s="9" t="str">
        <f>VLOOKUP(operations[productID],products[],2,FALSE)</f>
        <v>Perth Pasties</v>
      </c>
      <c r="H676" s="9" t="str">
        <f>IF(VLOOKUP(operations[productID],products[],7,FALSE)=1,"Discontinued","Current")</f>
        <v>Discontinued</v>
      </c>
      <c r="I676" s="6">
        <f>VLOOKUP(operations[productID],products[],4,FALSE)</f>
        <v>0</v>
      </c>
      <c r="J676" s="6">
        <f>VLOOKUP(operations[productID],products[],5,FALSE)</f>
        <v>0</v>
      </c>
      <c r="K676" s="6">
        <f>VLOOKUP(operations[productID],products[],6,FALSE)</f>
        <v>0</v>
      </c>
      <c r="L676" s="10">
        <f t="array" ref="L676">INDEX('1 orders'!I676:I2156, MATCH(1, ('1 orders'!A676:A2156=A676)*('1 orders'!G676:G2156=F676), 0))
</f>
        <v>10</v>
      </c>
      <c r="M676" s="10">
        <f>IFERROR(__xludf.DUMMYFUNCTION("COUNTUNIQUEIFS($A$2:$A676,$F$2:$F676,F676)"),14.0)</f>
        <v>14</v>
      </c>
      <c r="N676" s="10">
        <f t="shared" si="1"/>
        <v>1</v>
      </c>
      <c r="O676" s="26">
        <f>IF(operations[sinceLastOrder]=0,0,operations[orderQuantity] / operations[sinceLastOrder])</f>
        <v>10</v>
      </c>
      <c r="P676" s="9">
        <v>59.13</v>
      </c>
      <c r="Q676" s="7" t="s">
        <v>13</v>
      </c>
      <c r="R676" s="10">
        <f>operations[arrivedDate]-operations[shippedDate]</f>
        <v>15</v>
      </c>
    </row>
    <row r="677" ht="15.75" customHeight="1">
      <c r="A677" s="6">
        <v>10504.0</v>
      </c>
      <c r="B677" s="24">
        <v>45027.0</v>
      </c>
      <c r="C677" s="24">
        <v>45055.0</v>
      </c>
      <c r="D677" s="24">
        <v>45034.0</v>
      </c>
      <c r="E677" s="24">
        <v>45049.0</v>
      </c>
      <c r="F677" s="6">
        <v>61.0</v>
      </c>
      <c r="G677" s="9" t="str">
        <f>VLOOKUP(operations[productID],products[],2,FALSE)</f>
        <v>Sirop d'érable</v>
      </c>
      <c r="H677" s="9" t="str">
        <f>IF(VLOOKUP(operations[productID],products[],7,FALSE)=1,"Discontinued","Current")</f>
        <v>Current</v>
      </c>
      <c r="I677" s="6">
        <f>VLOOKUP(operations[productID],products[],4,FALSE)</f>
        <v>113</v>
      </c>
      <c r="J677" s="6">
        <f>VLOOKUP(operations[productID],products[],5,FALSE)</f>
        <v>0</v>
      </c>
      <c r="K677" s="6">
        <f>VLOOKUP(operations[productID],products[],6,FALSE)</f>
        <v>25</v>
      </c>
      <c r="L677" s="10">
        <f t="array" ref="L677">INDEX('1 orders'!I677:I2156, MATCH(1, ('1 orders'!A677:A2156=A677)*('1 orders'!G677:G2156=F677), 0))
</f>
        <v>25</v>
      </c>
      <c r="M677" s="10">
        <f>IFERROR(__xludf.DUMMYFUNCTION("COUNTUNIQUEIFS($A$2:$A677,$F$2:$F677,F677)"),4.0)</f>
        <v>4</v>
      </c>
      <c r="N677" s="10">
        <f t="shared" si="1"/>
        <v>46</v>
      </c>
      <c r="O677" s="26">
        <f>IF(operations[sinceLastOrder]=0,0,operations[orderQuantity] / operations[sinceLastOrder])</f>
        <v>0.5434782609</v>
      </c>
      <c r="P677" s="9">
        <v>59.13</v>
      </c>
      <c r="Q677" s="7" t="s">
        <v>13</v>
      </c>
      <c r="R677" s="10">
        <f>operations[arrivedDate]-operations[shippedDate]</f>
        <v>15</v>
      </c>
    </row>
    <row r="678" ht="15.75" customHeight="1">
      <c r="A678" s="6">
        <v>10505.0</v>
      </c>
      <c r="B678" s="24">
        <v>45030.0</v>
      </c>
      <c r="C678" s="24">
        <v>45058.0</v>
      </c>
      <c r="D678" s="24">
        <v>45037.0</v>
      </c>
      <c r="E678" s="24">
        <v>45050.0</v>
      </c>
      <c r="F678" s="6">
        <v>62.0</v>
      </c>
      <c r="G678" s="9" t="str">
        <f>VLOOKUP(operations[productID],products[],2,FALSE)</f>
        <v>Tarte au sucre</v>
      </c>
      <c r="H678" s="9" t="str">
        <f>IF(VLOOKUP(operations[productID],products[],7,FALSE)=1,"Discontinued","Current")</f>
        <v>Current</v>
      </c>
      <c r="I678" s="6">
        <f>VLOOKUP(operations[productID],products[],4,FALSE)</f>
        <v>17</v>
      </c>
      <c r="J678" s="6">
        <f>VLOOKUP(operations[productID],products[],5,FALSE)</f>
        <v>0</v>
      </c>
      <c r="K678" s="6">
        <f>VLOOKUP(operations[productID],products[],6,FALSE)</f>
        <v>0</v>
      </c>
      <c r="L678" s="10">
        <f t="array" ref="L678">INDEX('1 orders'!I678:I2156, MATCH(1, ('1 orders'!A678:A2156=A678)*('1 orders'!G678:G2156=F678), 0))
</f>
        <v>3</v>
      </c>
      <c r="M678" s="10">
        <f>IFERROR(__xludf.DUMMYFUNCTION("COUNTUNIQUEIFS($A$2:$A678,$F$2:$F678,F678)"),15.0)</f>
        <v>15</v>
      </c>
      <c r="N678" s="10">
        <f t="shared" si="1"/>
        <v>55</v>
      </c>
      <c r="O678" s="26">
        <f>IF(operations[sinceLastOrder]=0,0,operations[orderQuantity] / operations[sinceLastOrder])</f>
        <v>0.05454545455</v>
      </c>
      <c r="P678" s="9">
        <v>7.13</v>
      </c>
      <c r="Q678" s="7" t="s">
        <v>13</v>
      </c>
      <c r="R678" s="10">
        <f>operations[arrivedDate]-operations[shippedDate]</f>
        <v>13</v>
      </c>
    </row>
    <row r="679" ht="15.75" customHeight="1">
      <c r="A679" s="6">
        <v>10506.0</v>
      </c>
      <c r="B679" s="24">
        <v>45031.0</v>
      </c>
      <c r="C679" s="24">
        <v>45059.0</v>
      </c>
      <c r="D679" s="24">
        <v>45048.0</v>
      </c>
      <c r="E679" s="24">
        <v>45055.0</v>
      </c>
      <c r="F679" s="6">
        <v>25.0</v>
      </c>
      <c r="G679" s="9" t="str">
        <f>VLOOKUP(operations[productID],products[],2,FALSE)</f>
        <v>HM Köstliche Kaiserschmarrn Knödelchen</v>
      </c>
      <c r="H679" s="9" t="str">
        <f>IF(VLOOKUP(operations[productID],products[],7,FALSE)=1,"Discontinued","Current")</f>
        <v>Current</v>
      </c>
      <c r="I679" s="6">
        <f>VLOOKUP(operations[productID],products[],4,FALSE)</f>
        <v>76</v>
      </c>
      <c r="J679" s="6">
        <f>VLOOKUP(operations[productID],products[],5,FALSE)</f>
        <v>0</v>
      </c>
      <c r="K679" s="6">
        <f>VLOOKUP(operations[productID],products[],6,FALSE)</f>
        <v>30</v>
      </c>
      <c r="L679" s="10">
        <f t="array" ref="L679">INDEX('1 orders'!I679:I2156, MATCH(1, ('1 orders'!A679:A2156=A679)*('1 orders'!G679:G2156=F679), 0))
</f>
        <v>18</v>
      </c>
      <c r="M679" s="10">
        <f>IFERROR(__xludf.DUMMYFUNCTION("COUNTUNIQUEIFS($A$2:$A679,$F$2:$F679,F679)"),7.0)</f>
        <v>7</v>
      </c>
      <c r="N679" s="10">
        <f t="shared" si="1"/>
        <v>14</v>
      </c>
      <c r="O679" s="26">
        <f>IF(operations[sinceLastOrder]=0,0,operations[orderQuantity] / operations[sinceLastOrder])</f>
        <v>1.285714286</v>
      </c>
      <c r="P679" s="9">
        <v>21.19</v>
      </c>
      <c r="Q679" s="7" t="s">
        <v>17</v>
      </c>
      <c r="R679" s="10">
        <f>operations[arrivedDate]-operations[shippedDate]</f>
        <v>7</v>
      </c>
    </row>
    <row r="680" ht="15.75" customHeight="1">
      <c r="A680" s="6">
        <v>10506.0</v>
      </c>
      <c r="B680" s="24">
        <v>45031.0</v>
      </c>
      <c r="C680" s="24">
        <v>45059.0</v>
      </c>
      <c r="D680" s="24">
        <v>45048.0</v>
      </c>
      <c r="E680" s="24">
        <v>45055.0</v>
      </c>
      <c r="F680" s="6">
        <v>70.0</v>
      </c>
      <c r="G680" s="9" t="str">
        <f>VLOOKUP(operations[productID],products[],2,FALSE)</f>
        <v>Outback Lager</v>
      </c>
      <c r="H680" s="9" t="str">
        <f>IF(VLOOKUP(operations[productID],products[],7,FALSE)=1,"Discontinued","Current")</f>
        <v>Current</v>
      </c>
      <c r="I680" s="6">
        <f>VLOOKUP(operations[productID],products[],4,FALSE)</f>
        <v>15</v>
      </c>
      <c r="J680" s="6">
        <f>VLOOKUP(operations[productID],products[],5,FALSE)</f>
        <v>10</v>
      </c>
      <c r="K680" s="6">
        <f>VLOOKUP(operations[productID],products[],6,FALSE)</f>
        <v>30</v>
      </c>
      <c r="L680" s="10">
        <f t="array" ref="L680">INDEX('1 orders'!I680:I2156, MATCH(1, ('1 orders'!A680:A2156=A680)*('1 orders'!G680:G2156=F680), 0))
</f>
        <v>14</v>
      </c>
      <c r="M680" s="10">
        <f>IFERROR(__xludf.DUMMYFUNCTION("COUNTUNIQUEIFS($A$2:$A680,$F$2:$F680,F680)"),12.0)</f>
        <v>12</v>
      </c>
      <c r="N680" s="10">
        <f t="shared" si="1"/>
        <v>21</v>
      </c>
      <c r="O680" s="26">
        <f>IF(operations[sinceLastOrder]=0,0,operations[orderQuantity] / operations[sinceLastOrder])</f>
        <v>0.6666666667</v>
      </c>
      <c r="P680" s="9">
        <v>21.19</v>
      </c>
      <c r="Q680" s="7" t="s">
        <v>17</v>
      </c>
      <c r="R680" s="10">
        <f>operations[arrivedDate]-operations[shippedDate]</f>
        <v>7</v>
      </c>
    </row>
    <row r="681" ht="15.75" customHeight="1">
      <c r="A681" s="6">
        <v>10507.0</v>
      </c>
      <c r="B681" s="24">
        <v>45031.0</v>
      </c>
      <c r="C681" s="24">
        <v>45059.0</v>
      </c>
      <c r="D681" s="24">
        <v>45038.0</v>
      </c>
      <c r="E681" s="24">
        <v>45050.0</v>
      </c>
      <c r="F681" s="6">
        <v>43.0</v>
      </c>
      <c r="G681" s="9" t="str">
        <f>VLOOKUP(operations[productID],products[],2,FALSE)</f>
        <v>Ipoh Coffee</v>
      </c>
      <c r="H681" s="9" t="str">
        <f>IF(VLOOKUP(operations[productID],products[],7,FALSE)=1,"Discontinued","Current")</f>
        <v>Current</v>
      </c>
      <c r="I681" s="6">
        <f>VLOOKUP(operations[productID],products[],4,FALSE)</f>
        <v>17</v>
      </c>
      <c r="J681" s="6">
        <f>VLOOKUP(operations[productID],products[],5,FALSE)</f>
        <v>10</v>
      </c>
      <c r="K681" s="6">
        <f>VLOOKUP(operations[productID],products[],6,FALSE)</f>
        <v>25</v>
      </c>
      <c r="L681" s="10">
        <f t="array" ref="L681">INDEX('1 orders'!I681:I2156, MATCH(1, ('1 orders'!A681:A2156=A681)*('1 orders'!G681:G2156=F681), 0))
</f>
        <v>15</v>
      </c>
      <c r="M681" s="10">
        <f>IFERROR(__xludf.DUMMYFUNCTION("COUNTUNIQUEIFS($A$2:$A681,$F$2:$F681,F681)"),10.0)</f>
        <v>10</v>
      </c>
      <c r="N681" s="10">
        <f t="shared" si="1"/>
        <v>39</v>
      </c>
      <c r="O681" s="26">
        <f>IF(operations[sinceLastOrder]=0,0,operations[orderQuantity] / operations[sinceLastOrder])</f>
        <v>0.3846153846</v>
      </c>
      <c r="P681" s="9">
        <v>47.45</v>
      </c>
      <c r="Q681" s="7" t="s">
        <v>15</v>
      </c>
      <c r="R681" s="10">
        <f>operations[arrivedDate]-operations[shippedDate]</f>
        <v>12</v>
      </c>
    </row>
    <row r="682" ht="15.75" customHeight="1">
      <c r="A682" s="6">
        <v>10507.0</v>
      </c>
      <c r="B682" s="24">
        <v>45031.0</v>
      </c>
      <c r="C682" s="24">
        <v>45059.0</v>
      </c>
      <c r="D682" s="24">
        <v>45038.0</v>
      </c>
      <c r="E682" s="24">
        <v>45050.0</v>
      </c>
      <c r="F682" s="6">
        <v>48.0</v>
      </c>
      <c r="G682" s="9" t="str">
        <f>VLOOKUP(operations[productID],products[],2,FALSE)</f>
        <v>Chocolade</v>
      </c>
      <c r="H682" s="9" t="str">
        <f>IF(VLOOKUP(operations[productID],products[],7,FALSE)=1,"Discontinued","Current")</f>
        <v>Current</v>
      </c>
      <c r="I682" s="6">
        <f>VLOOKUP(operations[productID],products[],4,FALSE)</f>
        <v>15</v>
      </c>
      <c r="J682" s="6">
        <f>VLOOKUP(operations[productID],products[],5,FALSE)</f>
        <v>70</v>
      </c>
      <c r="K682" s="6">
        <f>VLOOKUP(operations[productID],products[],6,FALSE)</f>
        <v>25</v>
      </c>
      <c r="L682" s="10">
        <f t="array" ref="L682">INDEX('1 orders'!I682:I2156, MATCH(1, ('1 orders'!A682:A2156=A682)*('1 orders'!G682:G2156=F682), 0))
</f>
        <v>15</v>
      </c>
      <c r="M682" s="10">
        <f>IFERROR(__xludf.DUMMYFUNCTION("COUNTUNIQUEIFS($A$2:$A682,$F$2:$F682,F682)"),3.0)</f>
        <v>3</v>
      </c>
      <c r="N682" s="10">
        <f t="shared" si="1"/>
        <v>53</v>
      </c>
      <c r="O682" s="26">
        <f>IF(operations[sinceLastOrder]=0,0,operations[orderQuantity] / operations[sinceLastOrder])</f>
        <v>0.2830188679</v>
      </c>
      <c r="P682" s="9">
        <v>47.45</v>
      </c>
      <c r="Q682" s="7" t="s">
        <v>15</v>
      </c>
      <c r="R682" s="10">
        <f>operations[arrivedDate]-operations[shippedDate]</f>
        <v>12</v>
      </c>
    </row>
    <row r="683" ht="15.75" customHeight="1">
      <c r="A683" s="6">
        <v>10508.0</v>
      </c>
      <c r="B683" s="24">
        <v>45032.0</v>
      </c>
      <c r="C683" s="24">
        <v>45060.0</v>
      </c>
      <c r="D683" s="24">
        <v>45059.0</v>
      </c>
      <c r="E683" s="24">
        <v>45067.0</v>
      </c>
      <c r="F683" s="6">
        <v>13.0</v>
      </c>
      <c r="G683" s="9" t="str">
        <f>VLOOKUP(operations[productID],products[],2,FALSE)</f>
        <v>Konbu</v>
      </c>
      <c r="H683" s="9" t="str">
        <f>IF(VLOOKUP(operations[productID],products[],7,FALSE)=1,"Discontinued","Current")</f>
        <v>Current</v>
      </c>
      <c r="I683" s="6">
        <f>VLOOKUP(operations[productID],products[],4,FALSE)</f>
        <v>24</v>
      </c>
      <c r="J683" s="6">
        <f>VLOOKUP(operations[productID],products[],5,FALSE)</f>
        <v>0</v>
      </c>
      <c r="K683" s="6">
        <f>VLOOKUP(operations[productID],products[],6,FALSE)</f>
        <v>5</v>
      </c>
      <c r="L683" s="10">
        <f t="array" ref="L683">INDEX('1 orders'!I683:I2156, MATCH(1, ('1 orders'!A683:A2156=A683)*('1 orders'!G683:G2156=F683), 0))
</f>
        <v>10</v>
      </c>
      <c r="M683" s="10">
        <f>IFERROR(__xludf.DUMMYFUNCTION("COUNTUNIQUEIFS($A$2:$A683,$F$2:$F683,F683)"),9.0)</f>
        <v>9</v>
      </c>
      <c r="N683" s="10">
        <f t="shared" si="1"/>
        <v>44</v>
      </c>
      <c r="O683" s="26">
        <f>IF(operations[sinceLastOrder]=0,0,operations[orderQuantity] / operations[sinceLastOrder])</f>
        <v>0.2272727273</v>
      </c>
      <c r="P683" s="9">
        <v>4.99</v>
      </c>
      <c r="Q683" s="7" t="s">
        <v>17</v>
      </c>
      <c r="R683" s="10">
        <f>operations[arrivedDate]-operations[shippedDate]</f>
        <v>8</v>
      </c>
    </row>
    <row r="684" ht="15.75" customHeight="1">
      <c r="A684" s="6">
        <v>10508.0</v>
      </c>
      <c r="B684" s="24">
        <v>45032.0</v>
      </c>
      <c r="C684" s="24">
        <v>45060.0</v>
      </c>
      <c r="D684" s="24">
        <v>45059.0</v>
      </c>
      <c r="E684" s="24">
        <v>45067.0</v>
      </c>
      <c r="F684" s="6">
        <v>39.0</v>
      </c>
      <c r="G684" s="9" t="str">
        <f>VLOOKUP(operations[productID],products[],2,FALSE)</f>
        <v>Chartreuse verte</v>
      </c>
      <c r="H684" s="9" t="str">
        <f>IF(VLOOKUP(operations[productID],products[],7,FALSE)=1,"Discontinued","Current")</f>
        <v>Current</v>
      </c>
      <c r="I684" s="6">
        <f>VLOOKUP(operations[productID],products[],4,FALSE)</f>
        <v>69</v>
      </c>
      <c r="J684" s="6">
        <f>VLOOKUP(operations[productID],products[],5,FALSE)</f>
        <v>0</v>
      </c>
      <c r="K684" s="6">
        <f>VLOOKUP(operations[productID],products[],6,FALSE)</f>
        <v>5</v>
      </c>
      <c r="L684" s="10">
        <f t="array" ref="L684">INDEX('1 orders'!I684:I2156, MATCH(1, ('1 orders'!A684:A2156=A684)*('1 orders'!G684:G2156=F684), 0))
</f>
        <v>10</v>
      </c>
      <c r="M684" s="10">
        <f>IFERROR(__xludf.DUMMYFUNCTION("COUNTUNIQUEIFS($A$2:$A684,$F$2:$F684,F684)"),12.0)</f>
        <v>12</v>
      </c>
      <c r="N684" s="10">
        <f t="shared" si="1"/>
        <v>30</v>
      </c>
      <c r="O684" s="26">
        <f>IF(operations[sinceLastOrder]=0,0,operations[orderQuantity] / operations[sinceLastOrder])</f>
        <v>0.3333333333</v>
      </c>
      <c r="P684" s="9">
        <v>4.99</v>
      </c>
      <c r="Q684" s="7" t="s">
        <v>17</v>
      </c>
      <c r="R684" s="10">
        <f>operations[arrivedDate]-operations[shippedDate]</f>
        <v>8</v>
      </c>
    </row>
    <row r="685" ht="15.75" customHeight="1">
      <c r="A685" s="6">
        <v>10509.0</v>
      </c>
      <c r="B685" s="24">
        <v>45033.0</v>
      </c>
      <c r="C685" s="24">
        <v>45061.0</v>
      </c>
      <c r="D685" s="24">
        <v>45045.0</v>
      </c>
      <c r="E685" s="24">
        <v>45050.0</v>
      </c>
      <c r="F685" s="6">
        <v>28.0</v>
      </c>
      <c r="G685" s="9" t="str">
        <f>VLOOKUP(operations[productID],products[],2,FALSE)</f>
        <v>Rössle Sauerkraut</v>
      </c>
      <c r="H685" s="9" t="str">
        <f>IF(VLOOKUP(operations[productID],products[],7,FALSE)=1,"Discontinued","Current")</f>
        <v>Discontinued</v>
      </c>
      <c r="I685" s="6">
        <f>VLOOKUP(operations[productID],products[],4,FALSE)</f>
        <v>26</v>
      </c>
      <c r="J685" s="6">
        <f>VLOOKUP(operations[productID],products[],5,FALSE)</f>
        <v>0</v>
      </c>
      <c r="K685" s="6">
        <f>VLOOKUP(operations[productID],products[],6,FALSE)</f>
        <v>0</v>
      </c>
      <c r="L685" s="10">
        <f t="array" ref="L685">INDEX('1 orders'!I685:I2156, MATCH(1, ('1 orders'!A685:A2156=A685)*('1 orders'!G685:G2156=F685), 0))
</f>
        <v>3</v>
      </c>
      <c r="M685" s="10">
        <f>IFERROR(__xludf.DUMMYFUNCTION("COUNTUNIQUEIFS($A$2:$A685,$F$2:$F685,F685)"),16.0)</f>
        <v>16</v>
      </c>
      <c r="N685" s="10">
        <f t="shared" si="1"/>
        <v>8</v>
      </c>
      <c r="O685" s="26">
        <f>IF(operations[sinceLastOrder]=0,0,operations[orderQuantity] / operations[sinceLastOrder])</f>
        <v>0.375</v>
      </c>
      <c r="P685" s="9">
        <v>0.15</v>
      </c>
      <c r="Q685" s="7" t="s">
        <v>15</v>
      </c>
      <c r="R685" s="10">
        <f>operations[arrivedDate]-operations[shippedDate]</f>
        <v>5</v>
      </c>
    </row>
    <row r="686" ht="15.75" customHeight="1">
      <c r="A686" s="6">
        <v>10510.0</v>
      </c>
      <c r="B686" s="24">
        <v>45034.0</v>
      </c>
      <c r="C686" s="24">
        <v>45062.0</v>
      </c>
      <c r="D686" s="24">
        <v>45044.0</v>
      </c>
      <c r="E686" s="24">
        <v>45057.0</v>
      </c>
      <c r="F686" s="6">
        <v>29.0</v>
      </c>
      <c r="G686" s="9" t="str">
        <f>VLOOKUP(operations[productID],products[],2,FALSE)</f>
        <v>Thüringer Rostbratwurst</v>
      </c>
      <c r="H686" s="9" t="str">
        <f>IF(VLOOKUP(operations[productID],products[],7,FALSE)=1,"Discontinued","Current")</f>
        <v>Discontinued</v>
      </c>
      <c r="I686" s="6">
        <f>VLOOKUP(operations[productID],products[],4,FALSE)</f>
        <v>0</v>
      </c>
      <c r="J686" s="6">
        <f>VLOOKUP(operations[productID],products[],5,FALSE)</f>
        <v>0</v>
      </c>
      <c r="K686" s="6">
        <f>VLOOKUP(operations[productID],products[],6,FALSE)</f>
        <v>0</v>
      </c>
      <c r="L686" s="10">
        <f t="array" ref="L686">INDEX('1 orders'!I686:I2156, MATCH(1, ('1 orders'!A686:A2156=A686)*('1 orders'!G686:G2156=F686), 0))
</f>
        <v>36</v>
      </c>
      <c r="M686" s="10">
        <f>IFERROR(__xludf.DUMMYFUNCTION("COUNTUNIQUEIFS($A$2:$A686,$F$2:$F686,F686)"),11.0)</f>
        <v>11</v>
      </c>
      <c r="N686" s="10">
        <f t="shared" si="1"/>
        <v>44</v>
      </c>
      <c r="O686" s="26">
        <f>IF(operations[sinceLastOrder]=0,0,operations[orderQuantity] / operations[sinceLastOrder])</f>
        <v>0.8181818182</v>
      </c>
      <c r="P686" s="9">
        <v>367.63</v>
      </c>
      <c r="Q686" s="7" t="s">
        <v>13</v>
      </c>
      <c r="R686" s="10">
        <f>operations[arrivedDate]-operations[shippedDate]</f>
        <v>13</v>
      </c>
    </row>
    <row r="687" ht="15.75" customHeight="1">
      <c r="A687" s="6">
        <v>10510.0</v>
      </c>
      <c r="B687" s="24">
        <v>45034.0</v>
      </c>
      <c r="C687" s="24">
        <v>45062.0</v>
      </c>
      <c r="D687" s="24">
        <v>45044.0</v>
      </c>
      <c r="E687" s="24">
        <v>45057.0</v>
      </c>
      <c r="F687" s="6">
        <v>75.0</v>
      </c>
      <c r="G687" s="9" t="str">
        <f>VLOOKUP(operations[productID],products[],2,FALSE)</f>
        <v>Rhönbräu Klosterbier</v>
      </c>
      <c r="H687" s="9" t="str">
        <f>IF(VLOOKUP(operations[productID],products[],7,FALSE)=1,"Discontinued","Current")</f>
        <v>Current</v>
      </c>
      <c r="I687" s="6">
        <f>VLOOKUP(operations[productID],products[],4,FALSE)</f>
        <v>125</v>
      </c>
      <c r="J687" s="6">
        <f>VLOOKUP(operations[productID],products[],5,FALSE)</f>
        <v>0</v>
      </c>
      <c r="K687" s="6">
        <f>VLOOKUP(operations[productID],products[],6,FALSE)</f>
        <v>25</v>
      </c>
      <c r="L687" s="10">
        <f t="array" ref="L687">INDEX('1 orders'!I687:I2156, MATCH(1, ('1 orders'!A687:A2156=A687)*('1 orders'!G687:G2156=F687), 0))
</f>
        <v>36</v>
      </c>
      <c r="M687" s="10">
        <f>IFERROR(__xludf.DUMMYFUNCTION("COUNTUNIQUEIFS($A$2:$A687,$F$2:$F687,F687)"),12.0)</f>
        <v>12</v>
      </c>
      <c r="N687" s="10">
        <f t="shared" si="1"/>
        <v>18</v>
      </c>
      <c r="O687" s="26">
        <f>IF(operations[sinceLastOrder]=0,0,operations[orderQuantity] / operations[sinceLastOrder])</f>
        <v>2</v>
      </c>
      <c r="P687" s="9">
        <v>367.63</v>
      </c>
      <c r="Q687" s="7" t="s">
        <v>13</v>
      </c>
      <c r="R687" s="10">
        <f>operations[arrivedDate]-operations[shippedDate]</f>
        <v>13</v>
      </c>
    </row>
    <row r="688" ht="15.75" customHeight="1">
      <c r="A688" s="6">
        <v>10511.0</v>
      </c>
      <c r="B688" s="24">
        <v>45034.0</v>
      </c>
      <c r="C688" s="24">
        <v>45062.0</v>
      </c>
      <c r="D688" s="24">
        <v>45037.0</v>
      </c>
      <c r="E688" s="24">
        <v>45046.0</v>
      </c>
      <c r="F688" s="6">
        <v>4.0</v>
      </c>
      <c r="G688" s="9" t="str">
        <f>VLOOKUP(operations[productID],products[],2,FALSE)</f>
        <v>Chef Anton's Cajun Seasoning</v>
      </c>
      <c r="H688" s="9" t="str">
        <f>IF(VLOOKUP(operations[productID],products[],7,FALSE)=1,"Discontinued","Current")</f>
        <v>Current</v>
      </c>
      <c r="I688" s="6">
        <f>VLOOKUP(operations[productID],products[],4,FALSE)</f>
        <v>53</v>
      </c>
      <c r="J688" s="6">
        <f>VLOOKUP(operations[productID],products[],5,FALSE)</f>
        <v>0</v>
      </c>
      <c r="K688" s="6">
        <f>VLOOKUP(operations[productID],products[],6,FALSE)</f>
        <v>0</v>
      </c>
      <c r="L688" s="10">
        <f t="array" ref="L688">INDEX('1 orders'!I688:I2156, MATCH(1, ('1 orders'!A688:A2156=A688)*('1 orders'!G688:G2156=F688), 0))
</f>
        <v>50</v>
      </c>
      <c r="M688" s="10">
        <f>IFERROR(__xludf.DUMMYFUNCTION("COUNTUNIQUEIFS($A$2:$A688,$F$2:$F688,F688)"),7.0)</f>
        <v>7</v>
      </c>
      <c r="N688" s="10">
        <f t="shared" si="1"/>
        <v>45</v>
      </c>
      <c r="O688" s="26">
        <f>IF(operations[sinceLastOrder]=0,0,operations[orderQuantity] / operations[sinceLastOrder])</f>
        <v>1.111111111</v>
      </c>
      <c r="P688" s="9">
        <v>350.64</v>
      </c>
      <c r="Q688" s="7" t="s">
        <v>13</v>
      </c>
      <c r="R688" s="10">
        <f>operations[arrivedDate]-operations[shippedDate]</f>
        <v>9</v>
      </c>
    </row>
    <row r="689" ht="15.75" customHeight="1">
      <c r="A689" s="6">
        <v>10511.0</v>
      </c>
      <c r="B689" s="24">
        <v>45034.0</v>
      </c>
      <c r="C689" s="24">
        <v>45062.0</v>
      </c>
      <c r="D689" s="24">
        <v>45037.0</v>
      </c>
      <c r="E689" s="24">
        <v>45046.0</v>
      </c>
      <c r="F689" s="6">
        <v>7.0</v>
      </c>
      <c r="G689" s="9" t="str">
        <f>VLOOKUP(operations[productID],products[],2,FALSE)</f>
        <v>Uncle Bob's Organic Dried Pears</v>
      </c>
      <c r="H689" s="9" t="str">
        <f>IF(VLOOKUP(operations[productID],products[],7,FALSE)=1,"Discontinued","Current")</f>
        <v>Current</v>
      </c>
      <c r="I689" s="6">
        <f>VLOOKUP(operations[productID],products[],4,FALSE)</f>
        <v>15</v>
      </c>
      <c r="J689" s="6">
        <f>VLOOKUP(operations[productID],products[],5,FALSE)</f>
        <v>0</v>
      </c>
      <c r="K689" s="6">
        <f>VLOOKUP(operations[productID],products[],6,FALSE)</f>
        <v>10</v>
      </c>
      <c r="L689" s="10">
        <f t="array" ref="L689">INDEX('1 orders'!I689:I2156, MATCH(1, ('1 orders'!A689:A2156=A689)*('1 orders'!G689:G2156=F689), 0))
</f>
        <v>50</v>
      </c>
      <c r="M689" s="10">
        <f>IFERROR(__xludf.DUMMYFUNCTION("COUNTUNIQUEIFS($A$2:$A689,$F$2:$F689,F689)"),5.0)</f>
        <v>5</v>
      </c>
      <c r="N689" s="10">
        <f t="shared" si="1"/>
        <v>38</v>
      </c>
      <c r="O689" s="26">
        <f>IF(operations[sinceLastOrder]=0,0,operations[orderQuantity] / operations[sinceLastOrder])</f>
        <v>1.315789474</v>
      </c>
      <c r="P689" s="9">
        <v>350.64</v>
      </c>
      <c r="Q689" s="7" t="s">
        <v>13</v>
      </c>
      <c r="R689" s="10">
        <f>operations[arrivedDate]-operations[shippedDate]</f>
        <v>9</v>
      </c>
    </row>
    <row r="690" ht="15.75" customHeight="1">
      <c r="A690" s="6">
        <v>10511.0</v>
      </c>
      <c r="B690" s="24">
        <v>45034.0</v>
      </c>
      <c r="C690" s="24">
        <v>45062.0</v>
      </c>
      <c r="D690" s="24">
        <v>45037.0</v>
      </c>
      <c r="E690" s="24">
        <v>45046.0</v>
      </c>
      <c r="F690" s="6">
        <v>8.0</v>
      </c>
      <c r="G690" s="9" t="str">
        <f>VLOOKUP(operations[productID],products[],2,FALSE)</f>
        <v>Northwoods Cranberry Sauce</v>
      </c>
      <c r="H690" s="9" t="str">
        <f>IF(VLOOKUP(operations[productID],products[],7,FALSE)=1,"Discontinued","Current")</f>
        <v>Current</v>
      </c>
      <c r="I690" s="6">
        <f>VLOOKUP(operations[productID],products[],4,FALSE)</f>
        <v>6</v>
      </c>
      <c r="J690" s="6">
        <f>VLOOKUP(operations[productID],products[],5,FALSE)</f>
        <v>0</v>
      </c>
      <c r="K690" s="6">
        <f>VLOOKUP(operations[productID],products[],6,FALSE)</f>
        <v>0</v>
      </c>
      <c r="L690" s="10">
        <f t="array" ref="L690">INDEX('1 orders'!I690:I2156, MATCH(1, ('1 orders'!A690:A2156=A690)*('1 orders'!G690:G2156=F690), 0))
</f>
        <v>10</v>
      </c>
      <c r="M690" s="10">
        <f>IFERROR(__xludf.DUMMYFUNCTION("COUNTUNIQUEIFS($A$2:$A690,$F$2:$F690,F690)"),3.0)</f>
        <v>3</v>
      </c>
      <c r="N690" s="10">
        <f t="shared" si="1"/>
        <v>165</v>
      </c>
      <c r="O690" s="26">
        <f>IF(operations[sinceLastOrder]=0,0,operations[orderQuantity] / operations[sinceLastOrder])</f>
        <v>0.06060606061</v>
      </c>
      <c r="P690" s="9">
        <v>350.64</v>
      </c>
      <c r="Q690" s="7" t="s">
        <v>13</v>
      </c>
      <c r="R690" s="10">
        <f>operations[arrivedDate]-operations[shippedDate]</f>
        <v>9</v>
      </c>
    </row>
    <row r="691" ht="15.75" customHeight="1">
      <c r="A691" s="6">
        <v>10512.0</v>
      </c>
      <c r="B691" s="24">
        <v>45037.0</v>
      </c>
      <c r="C691" s="24">
        <v>45065.0</v>
      </c>
      <c r="D691" s="24">
        <v>45040.0</v>
      </c>
      <c r="E691" s="24">
        <v>45057.0</v>
      </c>
      <c r="F691" s="6">
        <v>24.0</v>
      </c>
      <c r="G691" s="9" t="str">
        <f>VLOOKUP(operations[productID],products[],2,FALSE)</f>
        <v>Brigadeiros Maravilhosos da Lilian</v>
      </c>
      <c r="H691" s="9" t="str">
        <f>IF(VLOOKUP(operations[productID],products[],7,FALSE)=1,"Discontinued","Current")</f>
        <v>Discontinued</v>
      </c>
      <c r="I691" s="6">
        <f>VLOOKUP(operations[productID],products[],4,FALSE)</f>
        <v>20</v>
      </c>
      <c r="J691" s="6">
        <f>VLOOKUP(operations[productID],products[],5,FALSE)</f>
        <v>0</v>
      </c>
      <c r="K691" s="6">
        <f>VLOOKUP(operations[productID],products[],6,FALSE)</f>
        <v>0</v>
      </c>
      <c r="L691" s="10">
        <f t="array" ref="L691">INDEX('1 orders'!I691:I2156, MATCH(1, ('1 orders'!A691:A2156=A691)*('1 orders'!G691:G2156=F691), 0))
</f>
        <v>10</v>
      </c>
      <c r="M691" s="10">
        <f>IFERROR(__xludf.DUMMYFUNCTION("COUNTUNIQUEIFS($A$2:$A691,$F$2:$F691,F691)"),17.0)</f>
        <v>17</v>
      </c>
      <c r="N691" s="10">
        <f t="shared" si="1"/>
        <v>14</v>
      </c>
      <c r="O691" s="26">
        <f>IF(operations[sinceLastOrder]=0,0,operations[orderQuantity] / operations[sinceLastOrder])</f>
        <v>0.7142857143</v>
      </c>
      <c r="P691" s="9">
        <v>3.53</v>
      </c>
      <c r="Q691" s="7" t="s">
        <v>17</v>
      </c>
      <c r="R691" s="10">
        <f>operations[arrivedDate]-operations[shippedDate]</f>
        <v>17</v>
      </c>
    </row>
    <row r="692" ht="15.75" customHeight="1">
      <c r="A692" s="6">
        <v>10512.0</v>
      </c>
      <c r="B692" s="24">
        <v>45037.0</v>
      </c>
      <c r="C692" s="24">
        <v>45065.0</v>
      </c>
      <c r="D692" s="24">
        <v>45040.0</v>
      </c>
      <c r="E692" s="24">
        <v>45057.0</v>
      </c>
      <c r="F692" s="6">
        <v>46.0</v>
      </c>
      <c r="G692" s="9" t="str">
        <f>VLOOKUP(operations[productID],products[],2,FALSE)</f>
        <v>Spegesild</v>
      </c>
      <c r="H692" s="9" t="str">
        <f>IF(VLOOKUP(operations[productID],products[],7,FALSE)=1,"Discontinued","Current")</f>
        <v>Current</v>
      </c>
      <c r="I692" s="6">
        <f>VLOOKUP(operations[productID],products[],4,FALSE)</f>
        <v>95</v>
      </c>
      <c r="J692" s="6">
        <f>VLOOKUP(operations[productID],products[],5,FALSE)</f>
        <v>0</v>
      </c>
      <c r="K692" s="6">
        <f>VLOOKUP(operations[productID],products[],6,FALSE)</f>
        <v>0</v>
      </c>
      <c r="L692" s="10">
        <f t="array" ref="L692">INDEX('1 orders'!I692:I2156, MATCH(1, ('1 orders'!A692:A2156=A692)*('1 orders'!G692:G2156=F692), 0))
</f>
        <v>9</v>
      </c>
      <c r="M692" s="10">
        <f>IFERROR(__xludf.DUMMYFUNCTION("COUNTUNIQUEIFS($A$2:$A692,$F$2:$F692,F692)"),11.0)</f>
        <v>11</v>
      </c>
      <c r="N692" s="10">
        <f t="shared" si="1"/>
        <v>46</v>
      </c>
      <c r="O692" s="26">
        <f>IF(operations[sinceLastOrder]=0,0,operations[orderQuantity] / operations[sinceLastOrder])</f>
        <v>0.1956521739</v>
      </c>
      <c r="P692" s="9">
        <v>3.53</v>
      </c>
      <c r="Q692" s="7" t="s">
        <v>17</v>
      </c>
      <c r="R692" s="10">
        <f>operations[arrivedDate]-operations[shippedDate]</f>
        <v>17</v>
      </c>
    </row>
    <row r="693" ht="15.75" customHeight="1">
      <c r="A693" s="6">
        <v>10512.0</v>
      </c>
      <c r="B693" s="24">
        <v>45037.0</v>
      </c>
      <c r="C693" s="24">
        <v>45065.0</v>
      </c>
      <c r="D693" s="24">
        <v>45040.0</v>
      </c>
      <c r="E693" s="24">
        <v>45057.0</v>
      </c>
      <c r="F693" s="6">
        <v>47.0</v>
      </c>
      <c r="G693" s="9" t="str">
        <f>VLOOKUP(operations[productID],products[],2,FALSE)</f>
        <v>Zaanse koeken</v>
      </c>
      <c r="H693" s="9" t="str">
        <f>IF(VLOOKUP(operations[productID],products[],7,FALSE)=1,"Discontinued","Current")</f>
        <v>Current</v>
      </c>
      <c r="I693" s="6">
        <f>VLOOKUP(operations[productID],products[],4,FALSE)</f>
        <v>36</v>
      </c>
      <c r="J693" s="6">
        <f>VLOOKUP(operations[productID],products[],5,FALSE)</f>
        <v>0</v>
      </c>
      <c r="K693" s="6">
        <f>VLOOKUP(operations[productID],products[],6,FALSE)</f>
        <v>0</v>
      </c>
      <c r="L693" s="10">
        <f t="array" ref="L693">INDEX('1 orders'!I693:I2156, MATCH(1, ('1 orders'!A693:A2156=A693)*('1 orders'!G693:G2156=F693), 0))
</f>
        <v>6</v>
      </c>
      <c r="M693" s="10">
        <f>IFERROR(__xludf.DUMMYFUNCTION("COUNTUNIQUEIFS($A$2:$A693,$F$2:$F693,F693)"),5.0)</f>
        <v>5</v>
      </c>
      <c r="N693" s="10">
        <f t="shared" si="1"/>
        <v>32</v>
      </c>
      <c r="O693" s="26">
        <f>IF(operations[sinceLastOrder]=0,0,operations[orderQuantity] / operations[sinceLastOrder])</f>
        <v>0.1875</v>
      </c>
      <c r="P693" s="9">
        <v>3.53</v>
      </c>
      <c r="Q693" s="7" t="s">
        <v>17</v>
      </c>
      <c r="R693" s="10">
        <f>operations[arrivedDate]-operations[shippedDate]</f>
        <v>17</v>
      </c>
    </row>
    <row r="694" ht="15.75" customHeight="1">
      <c r="A694" s="6">
        <v>10512.0</v>
      </c>
      <c r="B694" s="24">
        <v>45037.0</v>
      </c>
      <c r="C694" s="24">
        <v>45065.0</v>
      </c>
      <c r="D694" s="24">
        <v>45040.0</v>
      </c>
      <c r="E694" s="24">
        <v>45057.0</v>
      </c>
      <c r="F694" s="6">
        <v>60.0</v>
      </c>
      <c r="G694" s="9" t="str">
        <f>VLOOKUP(operations[productID],products[],2,FALSE)</f>
        <v>Camembert Pierrot</v>
      </c>
      <c r="H694" s="9" t="str">
        <f>IF(VLOOKUP(operations[productID],products[],7,FALSE)=1,"Discontinued","Current")</f>
        <v>Current</v>
      </c>
      <c r="I694" s="6">
        <f>VLOOKUP(operations[productID],products[],4,FALSE)</f>
        <v>19</v>
      </c>
      <c r="J694" s="6">
        <f>VLOOKUP(operations[productID],products[],5,FALSE)</f>
        <v>0</v>
      </c>
      <c r="K694" s="6">
        <f>VLOOKUP(operations[productID],products[],6,FALSE)</f>
        <v>0</v>
      </c>
      <c r="L694" s="10">
        <f t="array" ref="L694">INDEX('1 orders'!I694:I2156, MATCH(1, ('1 orders'!A694:A2156=A694)*('1 orders'!G694:G2156=F694), 0))
</f>
        <v>12</v>
      </c>
      <c r="M694" s="10">
        <f>IFERROR(__xludf.DUMMYFUNCTION("COUNTUNIQUEIFS($A$2:$A694,$F$2:$F694,F694)"),15.0)</f>
        <v>15</v>
      </c>
      <c r="N694" s="10">
        <f t="shared" si="1"/>
        <v>32</v>
      </c>
      <c r="O694" s="26">
        <f>IF(operations[sinceLastOrder]=0,0,operations[orderQuantity] / operations[sinceLastOrder])</f>
        <v>0.375</v>
      </c>
      <c r="P694" s="9">
        <v>3.53</v>
      </c>
      <c r="Q694" s="7" t="s">
        <v>17</v>
      </c>
      <c r="R694" s="10">
        <f>operations[arrivedDate]-operations[shippedDate]</f>
        <v>17</v>
      </c>
    </row>
    <row r="695" ht="15.75" customHeight="1">
      <c r="A695" s="6">
        <v>10513.0</v>
      </c>
      <c r="B695" s="24">
        <v>45038.0</v>
      </c>
      <c r="C695" s="24">
        <v>45080.0</v>
      </c>
      <c r="D695" s="24">
        <v>45044.0</v>
      </c>
      <c r="E695" s="24">
        <v>45045.0</v>
      </c>
      <c r="F695" s="6">
        <v>21.0</v>
      </c>
      <c r="G695" s="9" t="str">
        <f>VLOOKUP(operations[productID],products[],2,FALSE)</f>
        <v>Sir Rodney's Scones</v>
      </c>
      <c r="H695" s="9" t="str">
        <f>IF(VLOOKUP(operations[productID],products[],7,FALSE)=1,"Discontinued","Current")</f>
        <v>Current</v>
      </c>
      <c r="I695" s="6">
        <f>VLOOKUP(operations[productID],products[],4,FALSE)</f>
        <v>3</v>
      </c>
      <c r="J695" s="6">
        <f>VLOOKUP(operations[productID],products[],5,FALSE)</f>
        <v>40</v>
      </c>
      <c r="K695" s="6">
        <f>VLOOKUP(operations[productID],products[],6,FALSE)</f>
        <v>5</v>
      </c>
      <c r="L695" s="10">
        <f t="array" ref="L695">INDEX('1 orders'!I695:I2156, MATCH(1, ('1 orders'!A695:A2156=A695)*('1 orders'!G695:G2156=F695), 0))
</f>
        <v>40</v>
      </c>
      <c r="M695" s="10">
        <f>IFERROR(__xludf.DUMMYFUNCTION("COUNTUNIQUEIFS($A$2:$A695,$F$2:$F695,F695)"),14.0)</f>
        <v>14</v>
      </c>
      <c r="N695" s="10">
        <f t="shared" si="1"/>
        <v>11</v>
      </c>
      <c r="O695" s="26">
        <f>IF(operations[sinceLastOrder]=0,0,operations[orderQuantity] / operations[sinceLastOrder])</f>
        <v>3.636363636</v>
      </c>
      <c r="P695" s="9">
        <v>105.65</v>
      </c>
      <c r="Q695" s="7" t="s">
        <v>15</v>
      </c>
      <c r="R695" s="10">
        <f>operations[arrivedDate]-operations[shippedDate]</f>
        <v>1</v>
      </c>
    </row>
    <row r="696" ht="15.75" customHeight="1">
      <c r="A696" s="6">
        <v>10513.0</v>
      </c>
      <c r="B696" s="24">
        <v>45038.0</v>
      </c>
      <c r="C696" s="24">
        <v>45080.0</v>
      </c>
      <c r="D696" s="24">
        <v>45044.0</v>
      </c>
      <c r="E696" s="24">
        <v>45045.0</v>
      </c>
      <c r="F696" s="6">
        <v>32.0</v>
      </c>
      <c r="G696" s="9" t="str">
        <f>VLOOKUP(operations[productID],products[],2,FALSE)</f>
        <v>Mascarpone Fabioli</v>
      </c>
      <c r="H696" s="9" t="str">
        <f>IF(VLOOKUP(operations[productID],products[],7,FALSE)=1,"Discontinued","Current")</f>
        <v>Current</v>
      </c>
      <c r="I696" s="6">
        <f>VLOOKUP(operations[productID],products[],4,FALSE)</f>
        <v>9</v>
      </c>
      <c r="J696" s="6">
        <f>VLOOKUP(operations[productID],products[],5,FALSE)</f>
        <v>40</v>
      </c>
      <c r="K696" s="6">
        <f>VLOOKUP(operations[productID],products[],6,FALSE)</f>
        <v>25</v>
      </c>
      <c r="L696" s="10">
        <f t="array" ref="L696">INDEX('1 orders'!I696:I2156, MATCH(1, ('1 orders'!A696:A2156=A696)*('1 orders'!G696:G2156=F696), 0))
</f>
        <v>50</v>
      </c>
      <c r="M696" s="10">
        <f>IFERROR(__xludf.DUMMYFUNCTION("COUNTUNIQUEIFS($A$2:$A696,$F$2:$F696,F696)"),4.0)</f>
        <v>4</v>
      </c>
      <c r="N696" s="10">
        <f t="shared" si="1"/>
        <v>182</v>
      </c>
      <c r="O696" s="26">
        <f>IF(operations[sinceLastOrder]=0,0,operations[orderQuantity] / operations[sinceLastOrder])</f>
        <v>0.2747252747</v>
      </c>
      <c r="P696" s="9">
        <v>105.65</v>
      </c>
      <c r="Q696" s="7" t="s">
        <v>15</v>
      </c>
      <c r="R696" s="10">
        <f>operations[arrivedDate]-operations[shippedDate]</f>
        <v>1</v>
      </c>
    </row>
    <row r="697" ht="15.75" customHeight="1">
      <c r="A697" s="6">
        <v>10513.0</v>
      </c>
      <c r="B697" s="24">
        <v>45038.0</v>
      </c>
      <c r="C697" s="24">
        <v>45080.0</v>
      </c>
      <c r="D697" s="24">
        <v>45044.0</v>
      </c>
      <c r="E697" s="24">
        <v>45045.0</v>
      </c>
      <c r="F697" s="6">
        <v>61.0</v>
      </c>
      <c r="G697" s="9" t="str">
        <f>VLOOKUP(operations[productID],products[],2,FALSE)</f>
        <v>Sirop d'érable</v>
      </c>
      <c r="H697" s="9" t="str">
        <f>IF(VLOOKUP(operations[productID],products[],7,FALSE)=1,"Discontinued","Current")</f>
        <v>Current</v>
      </c>
      <c r="I697" s="6">
        <f>VLOOKUP(operations[productID],products[],4,FALSE)</f>
        <v>113</v>
      </c>
      <c r="J697" s="6">
        <f>VLOOKUP(operations[productID],products[],5,FALSE)</f>
        <v>0</v>
      </c>
      <c r="K697" s="6">
        <f>VLOOKUP(operations[productID],products[],6,FALSE)</f>
        <v>25</v>
      </c>
      <c r="L697" s="10">
        <f t="array" ref="L697">INDEX('1 orders'!I697:I2156, MATCH(1, ('1 orders'!A697:A2156=A697)*('1 orders'!G697:G2156=F697), 0))
</f>
        <v>15</v>
      </c>
      <c r="M697" s="10">
        <f>IFERROR(__xludf.DUMMYFUNCTION("COUNTUNIQUEIFS($A$2:$A697,$F$2:$F697,F697)"),5.0)</f>
        <v>5</v>
      </c>
      <c r="N697" s="10">
        <f t="shared" si="1"/>
        <v>11</v>
      </c>
      <c r="O697" s="26">
        <f>IF(operations[sinceLastOrder]=0,0,operations[orderQuantity] / operations[sinceLastOrder])</f>
        <v>1.363636364</v>
      </c>
      <c r="P697" s="9">
        <v>105.65</v>
      </c>
      <c r="Q697" s="7" t="s">
        <v>15</v>
      </c>
      <c r="R697" s="10">
        <f>operations[arrivedDate]-operations[shippedDate]</f>
        <v>1</v>
      </c>
    </row>
    <row r="698" ht="15.75" customHeight="1">
      <c r="A698" s="6">
        <v>10514.0</v>
      </c>
      <c r="B698" s="24">
        <v>45038.0</v>
      </c>
      <c r="C698" s="24">
        <v>45066.0</v>
      </c>
      <c r="D698" s="24">
        <v>45062.0</v>
      </c>
      <c r="E698" s="24">
        <v>45077.0</v>
      </c>
      <c r="F698" s="6">
        <v>20.0</v>
      </c>
      <c r="G698" s="9" t="str">
        <f>VLOOKUP(operations[productID],products[],2,FALSE)</f>
        <v>Sir Rodney's Marmalade</v>
      </c>
      <c r="H698" s="9" t="str">
        <f>IF(VLOOKUP(operations[productID],products[],7,FALSE)=1,"Discontinued","Current")</f>
        <v>Current</v>
      </c>
      <c r="I698" s="6">
        <f>VLOOKUP(operations[productID],products[],4,FALSE)</f>
        <v>40</v>
      </c>
      <c r="J698" s="6">
        <f>VLOOKUP(operations[productID],products[],5,FALSE)</f>
        <v>0</v>
      </c>
      <c r="K698" s="6">
        <f>VLOOKUP(operations[productID],products[],6,FALSE)</f>
        <v>0</v>
      </c>
      <c r="L698" s="10">
        <f t="array" ref="L698">INDEX('1 orders'!I698:I2156, MATCH(1, ('1 orders'!A698:A2156=A698)*('1 orders'!G698:G2156=F698), 0))
</f>
        <v>39</v>
      </c>
      <c r="M698" s="10">
        <f>IFERROR(__xludf.DUMMYFUNCTION("COUNTUNIQUEIFS($A$2:$A698,$F$2:$F698,F698)"),6.0)</f>
        <v>6</v>
      </c>
      <c r="N698" s="10">
        <f t="shared" si="1"/>
        <v>127</v>
      </c>
      <c r="O698" s="26">
        <f>IF(operations[sinceLastOrder]=0,0,operations[orderQuantity] / operations[sinceLastOrder])</f>
        <v>0.3070866142</v>
      </c>
      <c r="P698" s="9">
        <v>789.95</v>
      </c>
      <c r="Q698" s="7" t="s">
        <v>17</v>
      </c>
      <c r="R698" s="10">
        <f>operations[arrivedDate]-operations[shippedDate]</f>
        <v>15</v>
      </c>
    </row>
    <row r="699" ht="15.75" customHeight="1">
      <c r="A699" s="6">
        <v>10514.0</v>
      </c>
      <c r="B699" s="24">
        <v>45038.0</v>
      </c>
      <c r="C699" s="24">
        <v>45066.0</v>
      </c>
      <c r="D699" s="24">
        <v>45062.0</v>
      </c>
      <c r="E699" s="24">
        <v>45077.0</v>
      </c>
      <c r="F699" s="6">
        <v>28.0</v>
      </c>
      <c r="G699" s="9" t="str">
        <f>VLOOKUP(operations[productID],products[],2,FALSE)</f>
        <v>Rössle Sauerkraut</v>
      </c>
      <c r="H699" s="9" t="str">
        <f>IF(VLOOKUP(operations[productID],products[],7,FALSE)=1,"Discontinued","Current")</f>
        <v>Discontinued</v>
      </c>
      <c r="I699" s="6">
        <f>VLOOKUP(operations[productID],products[],4,FALSE)</f>
        <v>26</v>
      </c>
      <c r="J699" s="6">
        <f>VLOOKUP(operations[productID],products[],5,FALSE)</f>
        <v>0</v>
      </c>
      <c r="K699" s="6">
        <f>VLOOKUP(operations[productID],products[],6,FALSE)</f>
        <v>0</v>
      </c>
      <c r="L699" s="10">
        <f t="array" ref="L699">INDEX('1 orders'!I699:I2156, MATCH(1, ('1 orders'!A699:A2156=A699)*('1 orders'!G699:G2156=F699), 0))
</f>
        <v>35</v>
      </c>
      <c r="M699" s="10">
        <f>IFERROR(__xludf.DUMMYFUNCTION("COUNTUNIQUEIFS($A$2:$A699,$F$2:$F699,F699)"),17.0)</f>
        <v>17</v>
      </c>
      <c r="N699" s="10">
        <f t="shared" si="1"/>
        <v>5</v>
      </c>
      <c r="O699" s="26">
        <f>IF(operations[sinceLastOrder]=0,0,operations[orderQuantity] / operations[sinceLastOrder])</f>
        <v>7</v>
      </c>
      <c r="P699" s="9">
        <v>789.95</v>
      </c>
      <c r="Q699" s="7" t="s">
        <v>17</v>
      </c>
      <c r="R699" s="10">
        <f>operations[arrivedDate]-operations[shippedDate]</f>
        <v>15</v>
      </c>
    </row>
    <row r="700" ht="15.75" customHeight="1">
      <c r="A700" s="6">
        <v>10514.0</v>
      </c>
      <c r="B700" s="24">
        <v>45038.0</v>
      </c>
      <c r="C700" s="24">
        <v>45066.0</v>
      </c>
      <c r="D700" s="24">
        <v>45062.0</v>
      </c>
      <c r="E700" s="24">
        <v>45077.0</v>
      </c>
      <c r="F700" s="6">
        <v>56.0</v>
      </c>
      <c r="G700" s="9" t="str">
        <f>VLOOKUP(operations[productID],products[],2,FALSE)</f>
        <v>Gnocchi di nonna Alice</v>
      </c>
      <c r="H700" s="9" t="str">
        <f>IF(VLOOKUP(operations[productID],products[],7,FALSE)=1,"Discontinued","Current")</f>
        <v>Current</v>
      </c>
      <c r="I700" s="6">
        <f>VLOOKUP(operations[productID],products[],4,FALSE)</f>
        <v>21</v>
      </c>
      <c r="J700" s="6">
        <f>VLOOKUP(operations[productID],products[],5,FALSE)</f>
        <v>10</v>
      </c>
      <c r="K700" s="6">
        <f>VLOOKUP(operations[productID],products[],6,FALSE)</f>
        <v>30</v>
      </c>
      <c r="L700" s="10">
        <f t="array" ref="L700">INDEX('1 orders'!I700:I2156, MATCH(1, ('1 orders'!A700:A2156=A700)*('1 orders'!G700:G2156=F700), 0))
</f>
        <v>70</v>
      </c>
      <c r="M700" s="10">
        <f>IFERROR(__xludf.DUMMYFUNCTION("COUNTUNIQUEIFS($A$2:$A700,$F$2:$F700,F700)"),18.0)</f>
        <v>18</v>
      </c>
      <c r="N700" s="10">
        <f t="shared" si="1"/>
        <v>18</v>
      </c>
      <c r="O700" s="26">
        <f>IF(operations[sinceLastOrder]=0,0,operations[orderQuantity] / operations[sinceLastOrder])</f>
        <v>3.888888889</v>
      </c>
      <c r="P700" s="9">
        <v>789.95</v>
      </c>
      <c r="Q700" s="7" t="s">
        <v>17</v>
      </c>
      <c r="R700" s="10">
        <f>operations[arrivedDate]-operations[shippedDate]</f>
        <v>15</v>
      </c>
    </row>
    <row r="701" ht="15.75" customHeight="1">
      <c r="A701" s="6">
        <v>10514.0</v>
      </c>
      <c r="B701" s="24">
        <v>45038.0</v>
      </c>
      <c r="C701" s="24">
        <v>45066.0</v>
      </c>
      <c r="D701" s="24">
        <v>45062.0</v>
      </c>
      <c r="E701" s="24">
        <v>45077.0</v>
      </c>
      <c r="F701" s="6">
        <v>65.0</v>
      </c>
      <c r="G701" s="9" t="str">
        <f>VLOOKUP(operations[productID],products[],2,FALSE)</f>
        <v>Louisiana Fiery Hot Pepper Sauce</v>
      </c>
      <c r="H701" s="9" t="str">
        <f>IF(VLOOKUP(operations[productID],products[],7,FALSE)=1,"Discontinued","Current")</f>
        <v>Current</v>
      </c>
      <c r="I701" s="6">
        <f>VLOOKUP(operations[productID],products[],4,FALSE)</f>
        <v>76</v>
      </c>
      <c r="J701" s="6">
        <f>VLOOKUP(operations[productID],products[],5,FALSE)</f>
        <v>0</v>
      </c>
      <c r="K701" s="6">
        <f>VLOOKUP(operations[productID],products[],6,FALSE)</f>
        <v>0</v>
      </c>
      <c r="L701" s="10">
        <f t="array" ref="L701">INDEX('1 orders'!I701:I2156, MATCH(1, ('1 orders'!A701:A2156=A701)*('1 orders'!G701:G2156=F701), 0))
</f>
        <v>39</v>
      </c>
      <c r="M701" s="10">
        <f>IFERROR(__xludf.DUMMYFUNCTION("COUNTUNIQUEIFS($A$2:$A701,$F$2:$F701,F701)"),14.0)</f>
        <v>14</v>
      </c>
      <c r="N701" s="10">
        <f t="shared" si="1"/>
        <v>11</v>
      </c>
      <c r="O701" s="26">
        <f>IF(operations[sinceLastOrder]=0,0,operations[orderQuantity] / operations[sinceLastOrder])</f>
        <v>3.545454545</v>
      </c>
      <c r="P701" s="9">
        <v>789.95</v>
      </c>
      <c r="Q701" s="7" t="s">
        <v>17</v>
      </c>
      <c r="R701" s="10">
        <f>operations[arrivedDate]-operations[shippedDate]</f>
        <v>15</v>
      </c>
    </row>
    <row r="702" ht="15.75" customHeight="1">
      <c r="A702" s="6">
        <v>10514.0</v>
      </c>
      <c r="B702" s="24">
        <v>45038.0</v>
      </c>
      <c r="C702" s="24">
        <v>45066.0</v>
      </c>
      <c r="D702" s="24">
        <v>45062.0</v>
      </c>
      <c r="E702" s="24">
        <v>45077.0</v>
      </c>
      <c r="F702" s="6">
        <v>75.0</v>
      </c>
      <c r="G702" s="9" t="str">
        <f>VLOOKUP(operations[productID],products[],2,FALSE)</f>
        <v>Rhönbräu Klosterbier</v>
      </c>
      <c r="H702" s="9" t="str">
        <f>IF(VLOOKUP(operations[productID],products[],7,FALSE)=1,"Discontinued","Current")</f>
        <v>Current</v>
      </c>
      <c r="I702" s="6">
        <f>VLOOKUP(operations[productID],products[],4,FALSE)</f>
        <v>125</v>
      </c>
      <c r="J702" s="6">
        <f>VLOOKUP(operations[productID],products[],5,FALSE)</f>
        <v>0</v>
      </c>
      <c r="K702" s="6">
        <f>VLOOKUP(operations[productID],products[],6,FALSE)</f>
        <v>25</v>
      </c>
      <c r="L702" s="10">
        <f t="array" ref="L702">INDEX('1 orders'!I702:I2156, MATCH(1, ('1 orders'!A702:A2156=A702)*('1 orders'!G702:G2156=F702), 0))
</f>
        <v>50</v>
      </c>
      <c r="M702" s="10">
        <f>IFERROR(__xludf.DUMMYFUNCTION("COUNTUNIQUEIFS($A$2:$A702,$F$2:$F702,F702)"),13.0)</f>
        <v>13</v>
      </c>
      <c r="N702" s="10">
        <f t="shared" si="1"/>
        <v>4</v>
      </c>
      <c r="O702" s="26">
        <f>IF(operations[sinceLastOrder]=0,0,operations[orderQuantity] / operations[sinceLastOrder])</f>
        <v>12.5</v>
      </c>
      <c r="P702" s="9">
        <v>789.95</v>
      </c>
      <c r="Q702" s="7" t="s">
        <v>17</v>
      </c>
      <c r="R702" s="10">
        <f>operations[arrivedDate]-operations[shippedDate]</f>
        <v>15</v>
      </c>
    </row>
    <row r="703" ht="15.75" customHeight="1">
      <c r="A703" s="6">
        <v>10515.0</v>
      </c>
      <c r="B703" s="24">
        <v>45039.0</v>
      </c>
      <c r="C703" s="24">
        <v>45053.0</v>
      </c>
      <c r="D703" s="24">
        <v>45069.0</v>
      </c>
      <c r="E703" s="24">
        <v>45072.0</v>
      </c>
      <c r="F703" s="6">
        <v>9.0</v>
      </c>
      <c r="G703" s="9" t="str">
        <f>VLOOKUP(operations[productID],products[],2,FALSE)</f>
        <v>Mishi Kobe Niku</v>
      </c>
      <c r="H703" s="9" t="str">
        <f>IF(VLOOKUP(operations[productID],products[],7,FALSE)=1,"Discontinued","Current")</f>
        <v>Discontinued</v>
      </c>
      <c r="I703" s="6">
        <f>VLOOKUP(operations[productID],products[],4,FALSE)</f>
        <v>29</v>
      </c>
      <c r="J703" s="6">
        <f>VLOOKUP(operations[productID],products[],5,FALSE)</f>
        <v>0</v>
      </c>
      <c r="K703" s="6">
        <f>VLOOKUP(operations[productID],products[],6,FALSE)</f>
        <v>0</v>
      </c>
      <c r="L703" s="10">
        <f t="array" ref="L703">INDEX('1 orders'!I703:I2156, MATCH(1, ('1 orders'!A703:A2156=A703)*('1 orders'!G703:G2156=F703), 0))
</f>
        <v>16</v>
      </c>
      <c r="M703" s="10">
        <f>IFERROR(__xludf.DUMMYFUNCTION("COUNTUNIQUEIFS($A$2:$A703,$F$2:$F703,F703)"),2.0)</f>
        <v>2</v>
      </c>
      <c r="N703" s="10">
        <f t="shared" si="1"/>
        <v>92</v>
      </c>
      <c r="O703" s="26">
        <f>IF(operations[sinceLastOrder]=0,0,operations[orderQuantity] / operations[sinceLastOrder])</f>
        <v>0.1739130435</v>
      </c>
      <c r="P703" s="9">
        <v>204.47</v>
      </c>
      <c r="Q703" s="7" t="s">
        <v>15</v>
      </c>
      <c r="R703" s="10">
        <f>operations[arrivedDate]-operations[shippedDate]</f>
        <v>3</v>
      </c>
    </row>
    <row r="704" ht="15.75" customHeight="1">
      <c r="A704" s="6">
        <v>10515.0</v>
      </c>
      <c r="B704" s="24">
        <v>45039.0</v>
      </c>
      <c r="C704" s="24">
        <v>45053.0</v>
      </c>
      <c r="D704" s="24">
        <v>45069.0</v>
      </c>
      <c r="E704" s="24">
        <v>45072.0</v>
      </c>
      <c r="F704" s="6">
        <v>16.0</v>
      </c>
      <c r="G704" s="9" t="str">
        <f>VLOOKUP(operations[productID],products[],2,FALSE)</f>
        <v>Pavlova</v>
      </c>
      <c r="H704" s="9" t="str">
        <f>IF(VLOOKUP(operations[productID],products[],7,FALSE)=1,"Discontinued","Current")</f>
        <v>Current</v>
      </c>
      <c r="I704" s="6">
        <f>VLOOKUP(operations[productID],products[],4,FALSE)</f>
        <v>29</v>
      </c>
      <c r="J704" s="6">
        <f>VLOOKUP(operations[productID],products[],5,FALSE)</f>
        <v>0</v>
      </c>
      <c r="K704" s="6">
        <f>VLOOKUP(operations[productID],products[],6,FALSE)</f>
        <v>10</v>
      </c>
      <c r="L704" s="10">
        <f t="array" ref="L704">INDEX('1 orders'!I704:I2156, MATCH(1, ('1 orders'!A704:A2156=A704)*('1 orders'!G704:G2156=F704), 0))
</f>
        <v>50</v>
      </c>
      <c r="M704" s="10">
        <f>IFERROR(__xludf.DUMMYFUNCTION("COUNTUNIQUEIFS($A$2:$A704,$F$2:$F704,F704)"),14.0)</f>
        <v>14</v>
      </c>
      <c r="N704" s="10">
        <f t="shared" si="1"/>
        <v>26</v>
      </c>
      <c r="O704" s="26">
        <f>IF(operations[sinceLastOrder]=0,0,operations[orderQuantity] / operations[sinceLastOrder])</f>
        <v>1.923076923</v>
      </c>
      <c r="P704" s="9">
        <v>204.47</v>
      </c>
      <c r="Q704" s="7" t="s">
        <v>15</v>
      </c>
      <c r="R704" s="10">
        <f>operations[arrivedDate]-operations[shippedDate]</f>
        <v>3</v>
      </c>
    </row>
    <row r="705" ht="15.75" customHeight="1">
      <c r="A705" s="6">
        <v>10515.0</v>
      </c>
      <c r="B705" s="24">
        <v>45039.0</v>
      </c>
      <c r="C705" s="24">
        <v>45053.0</v>
      </c>
      <c r="D705" s="24">
        <v>45069.0</v>
      </c>
      <c r="E705" s="24">
        <v>45072.0</v>
      </c>
      <c r="F705" s="6">
        <v>27.0</v>
      </c>
      <c r="G705" s="9" t="str">
        <f>VLOOKUP(operations[productID],products[],2,FALSE)</f>
        <v>Schoggi Schokolade</v>
      </c>
      <c r="H705" s="9" t="str">
        <f>IF(VLOOKUP(operations[productID],products[],7,FALSE)=1,"Discontinued","Current")</f>
        <v>Current</v>
      </c>
      <c r="I705" s="6">
        <f>VLOOKUP(operations[productID],products[],4,FALSE)</f>
        <v>49</v>
      </c>
      <c r="J705" s="6">
        <f>VLOOKUP(operations[productID],products[],5,FALSE)</f>
        <v>0</v>
      </c>
      <c r="K705" s="6">
        <f>VLOOKUP(operations[productID],products[],6,FALSE)</f>
        <v>30</v>
      </c>
      <c r="L705" s="10">
        <f t="array" ref="L705">INDEX('1 orders'!I705:I2156, MATCH(1, ('1 orders'!A705:A2156=A705)*('1 orders'!G705:G2156=F705), 0))
</f>
        <v>120</v>
      </c>
      <c r="M705" s="10">
        <f>IFERROR(__xludf.DUMMYFUNCTION("COUNTUNIQUEIFS($A$2:$A705,$F$2:$F705,F705)"),4.0)</f>
        <v>4</v>
      </c>
      <c r="N705" s="10">
        <f t="shared" si="1"/>
        <v>72</v>
      </c>
      <c r="O705" s="26">
        <f>IF(operations[sinceLastOrder]=0,0,operations[orderQuantity] / operations[sinceLastOrder])</f>
        <v>1.666666667</v>
      </c>
      <c r="P705" s="9">
        <v>204.47</v>
      </c>
      <c r="Q705" s="7" t="s">
        <v>15</v>
      </c>
      <c r="R705" s="10">
        <f>operations[arrivedDate]-operations[shippedDate]</f>
        <v>3</v>
      </c>
    </row>
    <row r="706" ht="15.75" customHeight="1">
      <c r="A706" s="6">
        <v>10515.0</v>
      </c>
      <c r="B706" s="24">
        <v>45039.0</v>
      </c>
      <c r="C706" s="24">
        <v>45053.0</v>
      </c>
      <c r="D706" s="24">
        <v>45069.0</v>
      </c>
      <c r="E706" s="24">
        <v>45072.0</v>
      </c>
      <c r="F706" s="6">
        <v>33.0</v>
      </c>
      <c r="G706" s="9" t="str">
        <f>VLOOKUP(operations[productID],products[],2,FALSE)</f>
        <v>Geitost</v>
      </c>
      <c r="H706" s="9" t="str">
        <f>IF(VLOOKUP(operations[productID],products[],7,FALSE)=1,"Discontinued","Current")</f>
        <v>Current</v>
      </c>
      <c r="I706" s="6">
        <f>VLOOKUP(operations[productID],products[],4,FALSE)</f>
        <v>112</v>
      </c>
      <c r="J706" s="6">
        <f>VLOOKUP(operations[productID],products[],5,FALSE)</f>
        <v>0</v>
      </c>
      <c r="K706" s="6">
        <f>VLOOKUP(operations[productID],products[],6,FALSE)</f>
        <v>20</v>
      </c>
      <c r="L706" s="10">
        <f t="array" ref="L706">INDEX('1 orders'!I706:I2156, MATCH(1, ('1 orders'!A706:A2156=A706)*('1 orders'!G706:G2156=F706), 0))
</f>
        <v>16</v>
      </c>
      <c r="M706" s="10">
        <f>IFERROR(__xludf.DUMMYFUNCTION("COUNTUNIQUEIFS($A$2:$A706,$F$2:$F706,F706)"),12.0)</f>
        <v>12</v>
      </c>
      <c r="N706" s="10">
        <f t="shared" si="1"/>
        <v>41</v>
      </c>
      <c r="O706" s="26">
        <f>IF(operations[sinceLastOrder]=0,0,operations[orderQuantity] / operations[sinceLastOrder])</f>
        <v>0.3902439024</v>
      </c>
      <c r="P706" s="9">
        <v>204.47</v>
      </c>
      <c r="Q706" s="7" t="s">
        <v>15</v>
      </c>
      <c r="R706" s="10">
        <f>operations[arrivedDate]-operations[shippedDate]</f>
        <v>3</v>
      </c>
    </row>
    <row r="707" ht="15.75" customHeight="1">
      <c r="A707" s="6">
        <v>10515.0</v>
      </c>
      <c r="B707" s="24">
        <v>45039.0</v>
      </c>
      <c r="C707" s="24">
        <v>45053.0</v>
      </c>
      <c r="D707" s="24">
        <v>45069.0</v>
      </c>
      <c r="E707" s="24">
        <v>45072.0</v>
      </c>
      <c r="F707" s="6">
        <v>60.0</v>
      </c>
      <c r="G707" s="9" t="str">
        <f>VLOOKUP(operations[productID],products[],2,FALSE)</f>
        <v>Camembert Pierrot</v>
      </c>
      <c r="H707" s="9" t="str">
        <f>IF(VLOOKUP(operations[productID],products[],7,FALSE)=1,"Discontinued","Current")</f>
        <v>Current</v>
      </c>
      <c r="I707" s="6">
        <f>VLOOKUP(operations[productID],products[],4,FALSE)</f>
        <v>19</v>
      </c>
      <c r="J707" s="6">
        <f>VLOOKUP(operations[productID],products[],5,FALSE)</f>
        <v>0</v>
      </c>
      <c r="K707" s="6">
        <f>VLOOKUP(operations[productID],products[],6,FALSE)</f>
        <v>0</v>
      </c>
      <c r="L707" s="10">
        <f t="array" ref="L707">INDEX('1 orders'!I707:I2156, MATCH(1, ('1 orders'!A707:A2156=A707)*('1 orders'!G707:G2156=F707), 0))
</f>
        <v>84</v>
      </c>
      <c r="M707" s="10">
        <f>IFERROR(__xludf.DUMMYFUNCTION("COUNTUNIQUEIFS($A$2:$A707,$F$2:$F707,F707)"),16.0)</f>
        <v>16</v>
      </c>
      <c r="N707" s="10">
        <f t="shared" si="1"/>
        <v>2</v>
      </c>
      <c r="O707" s="26">
        <f>IF(operations[sinceLastOrder]=0,0,operations[orderQuantity] / operations[sinceLastOrder])</f>
        <v>42</v>
      </c>
      <c r="P707" s="9">
        <v>204.47</v>
      </c>
      <c r="Q707" s="7" t="s">
        <v>15</v>
      </c>
      <c r="R707" s="10">
        <f>operations[arrivedDate]-operations[shippedDate]</f>
        <v>3</v>
      </c>
    </row>
    <row r="708" ht="15.75" customHeight="1">
      <c r="A708" s="6">
        <v>10516.0</v>
      </c>
      <c r="B708" s="24">
        <v>45040.0</v>
      </c>
      <c r="C708" s="24">
        <v>45068.0</v>
      </c>
      <c r="D708" s="24">
        <v>45047.0</v>
      </c>
      <c r="E708" s="24">
        <v>45057.0</v>
      </c>
      <c r="F708" s="6">
        <v>18.0</v>
      </c>
      <c r="G708" s="9" t="str">
        <f>VLOOKUP(operations[productID],products[],2,FALSE)</f>
        <v>Carnarvon Tigers</v>
      </c>
      <c r="H708" s="9" t="str">
        <f>IF(VLOOKUP(operations[productID],products[],7,FALSE)=1,"Discontinued","Current")</f>
        <v>Current</v>
      </c>
      <c r="I708" s="6">
        <f>VLOOKUP(operations[productID],products[],4,FALSE)</f>
        <v>42</v>
      </c>
      <c r="J708" s="6">
        <f>VLOOKUP(operations[productID],products[],5,FALSE)</f>
        <v>0</v>
      </c>
      <c r="K708" s="6">
        <f>VLOOKUP(operations[productID],products[],6,FALSE)</f>
        <v>0</v>
      </c>
      <c r="L708" s="10">
        <f t="array" ref="L708">INDEX('1 orders'!I708:I2156, MATCH(1, ('1 orders'!A708:A2156=A708)*('1 orders'!G708:G2156=F708), 0))
</f>
        <v>25</v>
      </c>
      <c r="M708" s="10">
        <f>IFERROR(__xludf.DUMMYFUNCTION("COUNTUNIQUEIFS($A$2:$A708,$F$2:$F708,F708)"),7.0)</f>
        <v>7</v>
      </c>
      <c r="N708" s="10">
        <f t="shared" si="1"/>
        <v>44</v>
      </c>
      <c r="O708" s="26">
        <f>IF(operations[sinceLastOrder]=0,0,operations[orderQuantity] / operations[sinceLastOrder])</f>
        <v>0.5681818182</v>
      </c>
      <c r="P708" s="9">
        <v>62.78</v>
      </c>
      <c r="Q708" s="7" t="s">
        <v>13</v>
      </c>
      <c r="R708" s="10">
        <f>operations[arrivedDate]-operations[shippedDate]</f>
        <v>10</v>
      </c>
    </row>
    <row r="709" ht="15.75" customHeight="1">
      <c r="A709" s="6">
        <v>10516.0</v>
      </c>
      <c r="B709" s="24">
        <v>45040.0</v>
      </c>
      <c r="C709" s="24">
        <v>45068.0</v>
      </c>
      <c r="D709" s="24">
        <v>45047.0</v>
      </c>
      <c r="E709" s="24">
        <v>45057.0</v>
      </c>
      <c r="F709" s="6">
        <v>41.0</v>
      </c>
      <c r="G709" s="9" t="str">
        <f>VLOOKUP(operations[productID],products[],2,FALSE)</f>
        <v>Jack's New England Clam Chowder</v>
      </c>
      <c r="H709" s="9" t="str">
        <f>IF(VLOOKUP(operations[productID],products[],7,FALSE)=1,"Discontinued","Current")</f>
        <v>Current</v>
      </c>
      <c r="I709" s="6">
        <f>VLOOKUP(operations[productID],products[],4,FALSE)</f>
        <v>85</v>
      </c>
      <c r="J709" s="6">
        <f>VLOOKUP(operations[productID],products[],5,FALSE)</f>
        <v>0</v>
      </c>
      <c r="K709" s="6">
        <f>VLOOKUP(operations[productID],products[],6,FALSE)</f>
        <v>10</v>
      </c>
      <c r="L709" s="10">
        <f t="array" ref="L709">INDEX('1 orders'!I709:I2156, MATCH(1, ('1 orders'!A709:A2156=A709)*('1 orders'!G709:G2156=F709), 0))
</f>
        <v>80</v>
      </c>
      <c r="M709" s="10">
        <f>IFERROR(__xludf.DUMMYFUNCTION("COUNTUNIQUEIFS($A$2:$A709,$F$2:$F709,F709)"),12.0)</f>
        <v>12</v>
      </c>
      <c r="N709" s="10">
        <f t="shared" si="1"/>
        <v>21</v>
      </c>
      <c r="O709" s="26">
        <f>IF(operations[sinceLastOrder]=0,0,operations[orderQuantity] / operations[sinceLastOrder])</f>
        <v>3.80952381</v>
      </c>
      <c r="P709" s="9">
        <v>62.78</v>
      </c>
      <c r="Q709" s="7" t="s">
        <v>13</v>
      </c>
      <c r="R709" s="10">
        <f>operations[arrivedDate]-operations[shippedDate]</f>
        <v>10</v>
      </c>
    </row>
    <row r="710" ht="15.75" customHeight="1">
      <c r="A710" s="6">
        <v>10516.0</v>
      </c>
      <c r="B710" s="24">
        <v>45040.0</v>
      </c>
      <c r="C710" s="24">
        <v>45068.0</v>
      </c>
      <c r="D710" s="24">
        <v>45047.0</v>
      </c>
      <c r="E710" s="24">
        <v>45057.0</v>
      </c>
      <c r="F710" s="6">
        <v>42.0</v>
      </c>
      <c r="G710" s="9" t="str">
        <f>VLOOKUP(operations[productID],products[],2,FALSE)</f>
        <v>Singaporean Hokkien Fried Mee</v>
      </c>
      <c r="H710" s="9" t="str">
        <f>IF(VLOOKUP(operations[productID],products[],7,FALSE)=1,"Discontinued","Current")</f>
        <v>Discontinued</v>
      </c>
      <c r="I710" s="6">
        <f>VLOOKUP(operations[productID],products[],4,FALSE)</f>
        <v>26</v>
      </c>
      <c r="J710" s="6">
        <f>VLOOKUP(operations[productID],products[],5,FALSE)</f>
        <v>0</v>
      </c>
      <c r="K710" s="6">
        <f>VLOOKUP(operations[productID],products[],6,FALSE)</f>
        <v>0</v>
      </c>
      <c r="L710" s="10">
        <f t="array" ref="L710">INDEX('1 orders'!I710:I2156, MATCH(1, ('1 orders'!A710:A2156=A710)*('1 orders'!G710:G2156=F710), 0))
</f>
        <v>20</v>
      </c>
      <c r="M710" s="10">
        <f>IFERROR(__xludf.DUMMYFUNCTION("COUNTUNIQUEIFS($A$2:$A710,$F$2:$F710,F710)"),10.0)</f>
        <v>10</v>
      </c>
      <c r="N710" s="10">
        <f t="shared" si="1"/>
        <v>17</v>
      </c>
      <c r="O710" s="26">
        <f>IF(operations[sinceLastOrder]=0,0,operations[orderQuantity] / operations[sinceLastOrder])</f>
        <v>1.176470588</v>
      </c>
      <c r="P710" s="9">
        <v>62.78</v>
      </c>
      <c r="Q710" s="7" t="s">
        <v>13</v>
      </c>
      <c r="R710" s="10">
        <f>operations[arrivedDate]-operations[shippedDate]</f>
        <v>10</v>
      </c>
    </row>
    <row r="711" ht="15.75" customHeight="1">
      <c r="A711" s="6">
        <v>10517.0</v>
      </c>
      <c r="B711" s="24">
        <v>45040.0</v>
      </c>
      <c r="C711" s="24">
        <v>45068.0</v>
      </c>
      <c r="D711" s="24">
        <v>45045.0</v>
      </c>
      <c r="E711" s="24">
        <v>45054.0</v>
      </c>
      <c r="F711" s="6">
        <v>52.0</v>
      </c>
      <c r="G711" s="9" t="str">
        <f>VLOOKUP(operations[productID],products[],2,FALSE)</f>
        <v>Filo Mix</v>
      </c>
      <c r="H711" s="9" t="str">
        <f>IF(VLOOKUP(operations[productID],products[],7,FALSE)=1,"Discontinued","Current")</f>
        <v>Current</v>
      </c>
      <c r="I711" s="6">
        <f>VLOOKUP(operations[productID],products[],4,FALSE)</f>
        <v>38</v>
      </c>
      <c r="J711" s="6">
        <f>VLOOKUP(operations[productID],products[],5,FALSE)</f>
        <v>0</v>
      </c>
      <c r="K711" s="6">
        <f>VLOOKUP(operations[productID],products[],6,FALSE)</f>
        <v>25</v>
      </c>
      <c r="L711" s="10">
        <f t="array" ref="L711">INDEX('1 orders'!I711:I2156, MATCH(1, ('1 orders'!A711:A2156=A711)*('1 orders'!G711:G2156=F711), 0))
</f>
        <v>6</v>
      </c>
      <c r="M711" s="10">
        <f>IFERROR(__xludf.DUMMYFUNCTION("COUNTUNIQUEIFS($A$2:$A711,$F$2:$F711,F711)"),6.0)</f>
        <v>6</v>
      </c>
      <c r="N711" s="10">
        <f t="shared" si="1"/>
        <v>65</v>
      </c>
      <c r="O711" s="26">
        <f>IF(operations[sinceLastOrder]=0,0,operations[orderQuantity] / operations[sinceLastOrder])</f>
        <v>0.09230769231</v>
      </c>
      <c r="P711" s="9">
        <v>32.07</v>
      </c>
      <c r="Q711" s="7" t="s">
        <v>13</v>
      </c>
      <c r="R711" s="10">
        <f>operations[arrivedDate]-operations[shippedDate]</f>
        <v>9</v>
      </c>
    </row>
    <row r="712" ht="15.75" customHeight="1">
      <c r="A712" s="6">
        <v>10517.0</v>
      </c>
      <c r="B712" s="24">
        <v>45040.0</v>
      </c>
      <c r="C712" s="24">
        <v>45068.0</v>
      </c>
      <c r="D712" s="24">
        <v>45045.0</v>
      </c>
      <c r="E712" s="24">
        <v>45054.0</v>
      </c>
      <c r="F712" s="6">
        <v>59.0</v>
      </c>
      <c r="G712" s="9" t="str">
        <f>VLOOKUP(operations[productID],products[],2,FALSE)</f>
        <v>Raclette Courdavault</v>
      </c>
      <c r="H712" s="9" t="str">
        <f>IF(VLOOKUP(operations[productID],products[],7,FALSE)=1,"Discontinued","Current")</f>
        <v>Current</v>
      </c>
      <c r="I712" s="6">
        <f>VLOOKUP(operations[productID],products[],4,FALSE)</f>
        <v>79</v>
      </c>
      <c r="J712" s="6">
        <f>VLOOKUP(operations[productID],products[],5,FALSE)</f>
        <v>0</v>
      </c>
      <c r="K712" s="6">
        <f>VLOOKUP(operations[productID],products[],6,FALSE)</f>
        <v>0</v>
      </c>
      <c r="L712" s="10">
        <f t="array" ref="L712">INDEX('1 orders'!I712:I2156, MATCH(1, ('1 orders'!A712:A2156=A712)*('1 orders'!G712:G2156=F712), 0))
</f>
        <v>4</v>
      </c>
      <c r="M712" s="10">
        <f>IFERROR(__xludf.DUMMYFUNCTION("COUNTUNIQUEIFS($A$2:$A712,$F$2:$F712,F712)"),20.0)</f>
        <v>20</v>
      </c>
      <c r="N712" s="10">
        <f t="shared" si="1"/>
        <v>24</v>
      </c>
      <c r="O712" s="26">
        <f>IF(operations[sinceLastOrder]=0,0,operations[orderQuantity] / operations[sinceLastOrder])</f>
        <v>0.1666666667</v>
      </c>
      <c r="P712" s="9">
        <v>32.07</v>
      </c>
      <c r="Q712" s="7" t="s">
        <v>13</v>
      </c>
      <c r="R712" s="10">
        <f>operations[arrivedDate]-operations[shippedDate]</f>
        <v>9</v>
      </c>
    </row>
    <row r="713" ht="15.75" customHeight="1">
      <c r="A713" s="6">
        <v>10517.0</v>
      </c>
      <c r="B713" s="24">
        <v>45040.0</v>
      </c>
      <c r="C713" s="24">
        <v>45068.0</v>
      </c>
      <c r="D713" s="24">
        <v>45045.0</v>
      </c>
      <c r="E713" s="24">
        <v>45054.0</v>
      </c>
      <c r="F713" s="6">
        <v>70.0</v>
      </c>
      <c r="G713" s="9" t="str">
        <f>VLOOKUP(operations[productID],products[],2,FALSE)</f>
        <v>Outback Lager</v>
      </c>
      <c r="H713" s="9" t="str">
        <f>IF(VLOOKUP(operations[productID],products[],7,FALSE)=1,"Discontinued","Current")</f>
        <v>Current</v>
      </c>
      <c r="I713" s="6">
        <f>VLOOKUP(operations[productID],products[],4,FALSE)</f>
        <v>15</v>
      </c>
      <c r="J713" s="6">
        <f>VLOOKUP(operations[productID],products[],5,FALSE)</f>
        <v>10</v>
      </c>
      <c r="K713" s="6">
        <f>VLOOKUP(operations[productID],products[],6,FALSE)</f>
        <v>30</v>
      </c>
      <c r="L713" s="10">
        <f t="array" ref="L713">INDEX('1 orders'!I713:I2156, MATCH(1, ('1 orders'!A713:A2156=A713)*('1 orders'!G713:G2156=F713), 0))
</f>
        <v>6</v>
      </c>
      <c r="M713" s="10">
        <f>IFERROR(__xludf.DUMMYFUNCTION("COUNTUNIQUEIFS($A$2:$A713,$F$2:$F713,F713)"),13.0)</f>
        <v>13</v>
      </c>
      <c r="N713" s="10">
        <f t="shared" si="1"/>
        <v>9</v>
      </c>
      <c r="O713" s="26">
        <f>IF(operations[sinceLastOrder]=0,0,operations[orderQuantity] / operations[sinceLastOrder])</f>
        <v>0.6666666667</v>
      </c>
      <c r="P713" s="9">
        <v>32.07</v>
      </c>
      <c r="Q713" s="7" t="s">
        <v>13</v>
      </c>
      <c r="R713" s="10">
        <f>operations[arrivedDate]-operations[shippedDate]</f>
        <v>9</v>
      </c>
    </row>
    <row r="714" ht="15.75" customHeight="1">
      <c r="A714" s="6">
        <v>10518.0</v>
      </c>
      <c r="B714" s="24">
        <v>45041.0</v>
      </c>
      <c r="C714" s="24">
        <v>45055.0</v>
      </c>
      <c r="D714" s="24">
        <v>45051.0</v>
      </c>
      <c r="E714" s="24">
        <v>45066.0</v>
      </c>
      <c r="F714" s="6">
        <v>24.0</v>
      </c>
      <c r="G714" s="9" t="str">
        <f>VLOOKUP(operations[productID],products[],2,FALSE)</f>
        <v>Brigadeiros Maravilhosos da Lilian</v>
      </c>
      <c r="H714" s="9" t="str">
        <f>IF(VLOOKUP(operations[productID],products[],7,FALSE)=1,"Discontinued","Current")</f>
        <v>Discontinued</v>
      </c>
      <c r="I714" s="6">
        <f>VLOOKUP(operations[productID],products[],4,FALSE)</f>
        <v>20</v>
      </c>
      <c r="J714" s="6">
        <f>VLOOKUP(operations[productID],products[],5,FALSE)</f>
        <v>0</v>
      </c>
      <c r="K714" s="6">
        <f>VLOOKUP(operations[productID],products[],6,FALSE)</f>
        <v>0</v>
      </c>
      <c r="L714" s="10">
        <f t="array" ref="L714">INDEX('1 orders'!I714:I2156, MATCH(1, ('1 orders'!A714:A2156=A714)*('1 orders'!G714:G2156=F714), 0))
</f>
        <v>5</v>
      </c>
      <c r="M714" s="10">
        <f>IFERROR(__xludf.DUMMYFUNCTION("COUNTUNIQUEIFS($A$2:$A714,$F$2:$F714,F714)"),18.0)</f>
        <v>18</v>
      </c>
      <c r="N714" s="10">
        <f t="shared" si="1"/>
        <v>4</v>
      </c>
      <c r="O714" s="26">
        <f>IF(operations[sinceLastOrder]=0,0,operations[orderQuantity] / operations[sinceLastOrder])</f>
        <v>1.25</v>
      </c>
      <c r="P714" s="9">
        <v>218.15</v>
      </c>
      <c r="Q714" s="7" t="s">
        <v>17</v>
      </c>
      <c r="R714" s="10">
        <f>operations[arrivedDate]-operations[shippedDate]</f>
        <v>15</v>
      </c>
    </row>
    <row r="715" ht="15.75" customHeight="1">
      <c r="A715" s="6">
        <v>10518.0</v>
      </c>
      <c r="B715" s="24">
        <v>45041.0</v>
      </c>
      <c r="C715" s="24">
        <v>45055.0</v>
      </c>
      <c r="D715" s="24">
        <v>45051.0</v>
      </c>
      <c r="E715" s="24">
        <v>45066.0</v>
      </c>
      <c r="F715" s="6">
        <v>38.0</v>
      </c>
      <c r="G715" s="9" t="str">
        <f>VLOOKUP(operations[productID],products[],2,FALSE)</f>
        <v>Côte de Blaye</v>
      </c>
      <c r="H715" s="9" t="str">
        <f>IF(VLOOKUP(operations[productID],products[],7,FALSE)=1,"Discontinued","Current")</f>
        <v>Current</v>
      </c>
      <c r="I715" s="6">
        <f>VLOOKUP(operations[productID],products[],4,FALSE)</f>
        <v>17</v>
      </c>
      <c r="J715" s="6">
        <f>VLOOKUP(operations[productID],products[],5,FALSE)</f>
        <v>0</v>
      </c>
      <c r="K715" s="6">
        <f>VLOOKUP(operations[productID],products[],6,FALSE)</f>
        <v>15</v>
      </c>
      <c r="L715" s="10">
        <f t="array" ref="L715">INDEX('1 orders'!I715:I2156, MATCH(1, ('1 orders'!A715:A2156=A715)*('1 orders'!G715:G2156=F715), 0))
</f>
        <v>15</v>
      </c>
      <c r="M715" s="10">
        <f>IFERROR(__xludf.DUMMYFUNCTION("COUNTUNIQUEIFS($A$2:$A715,$F$2:$F715,F715)"),9.0)</f>
        <v>9</v>
      </c>
      <c r="N715" s="10">
        <f t="shared" si="1"/>
        <v>37</v>
      </c>
      <c r="O715" s="26">
        <f>IF(operations[sinceLastOrder]=0,0,operations[orderQuantity] / operations[sinceLastOrder])</f>
        <v>0.4054054054</v>
      </c>
      <c r="P715" s="9">
        <v>218.15</v>
      </c>
      <c r="Q715" s="7" t="s">
        <v>17</v>
      </c>
      <c r="R715" s="10">
        <f>operations[arrivedDate]-operations[shippedDate]</f>
        <v>15</v>
      </c>
    </row>
    <row r="716" ht="15.75" customHeight="1">
      <c r="A716" s="6">
        <v>10518.0</v>
      </c>
      <c r="B716" s="24">
        <v>45041.0</v>
      </c>
      <c r="C716" s="24">
        <v>45055.0</v>
      </c>
      <c r="D716" s="24">
        <v>45051.0</v>
      </c>
      <c r="E716" s="24">
        <v>45066.0</v>
      </c>
      <c r="F716" s="6">
        <v>44.0</v>
      </c>
      <c r="G716" s="9" t="str">
        <f>VLOOKUP(operations[productID],products[],2,FALSE)</f>
        <v>Gula Malacca</v>
      </c>
      <c r="H716" s="9" t="str">
        <f>IF(VLOOKUP(operations[productID],products[],7,FALSE)=1,"Discontinued","Current")</f>
        <v>Current</v>
      </c>
      <c r="I716" s="6">
        <f>VLOOKUP(operations[productID],products[],4,FALSE)</f>
        <v>27</v>
      </c>
      <c r="J716" s="6">
        <f>VLOOKUP(operations[productID],products[],5,FALSE)</f>
        <v>0</v>
      </c>
      <c r="K716" s="6">
        <f>VLOOKUP(operations[productID],products[],6,FALSE)</f>
        <v>15</v>
      </c>
      <c r="L716" s="10">
        <f t="array" ref="L716">INDEX('1 orders'!I716:I2156, MATCH(1, ('1 orders'!A716:A2156=A716)*('1 orders'!G716:G2156=F716), 0))
</f>
        <v>9</v>
      </c>
      <c r="M716" s="10">
        <f>IFERROR(__xludf.DUMMYFUNCTION("COUNTUNIQUEIFS($A$2:$A716,$F$2:$F716,F716)"),9.0)</f>
        <v>9</v>
      </c>
      <c r="N716" s="10">
        <f t="shared" si="1"/>
        <v>25</v>
      </c>
      <c r="O716" s="26">
        <f>IF(operations[sinceLastOrder]=0,0,operations[orderQuantity] / operations[sinceLastOrder])</f>
        <v>0.36</v>
      </c>
      <c r="P716" s="9">
        <v>218.15</v>
      </c>
      <c r="Q716" s="7" t="s">
        <v>17</v>
      </c>
      <c r="R716" s="10">
        <f>operations[arrivedDate]-operations[shippedDate]</f>
        <v>15</v>
      </c>
    </row>
    <row r="717" ht="15.75" customHeight="1">
      <c r="A717" s="6">
        <v>10519.0</v>
      </c>
      <c r="B717" s="24">
        <v>45044.0</v>
      </c>
      <c r="C717" s="24">
        <v>45072.0</v>
      </c>
      <c r="D717" s="24">
        <v>45047.0</v>
      </c>
      <c r="E717" s="24">
        <v>45060.0</v>
      </c>
      <c r="F717" s="6">
        <v>10.0</v>
      </c>
      <c r="G717" s="9" t="str">
        <f>VLOOKUP(operations[productID],products[],2,FALSE)</f>
        <v>Ikura</v>
      </c>
      <c r="H717" s="9" t="str">
        <f>IF(VLOOKUP(operations[productID],products[],7,FALSE)=1,"Discontinued","Current")</f>
        <v>Current</v>
      </c>
      <c r="I717" s="6">
        <f>VLOOKUP(operations[productID],products[],4,FALSE)</f>
        <v>31</v>
      </c>
      <c r="J717" s="6">
        <f>VLOOKUP(operations[productID],products[],5,FALSE)</f>
        <v>0</v>
      </c>
      <c r="K717" s="6">
        <f>VLOOKUP(operations[productID],products[],6,FALSE)</f>
        <v>0</v>
      </c>
      <c r="L717" s="10">
        <f t="array" ref="L717">INDEX('1 orders'!I717:I2156, MATCH(1, ('1 orders'!A717:A2156=A717)*('1 orders'!G717:G2156=F717), 0))
</f>
        <v>16</v>
      </c>
      <c r="M717" s="10">
        <f>IFERROR(__xludf.DUMMYFUNCTION("COUNTUNIQUEIFS($A$2:$A717,$F$2:$F717,F717)"),8.0)</f>
        <v>8</v>
      </c>
      <c r="N717" s="10">
        <f t="shared" si="1"/>
        <v>41</v>
      </c>
      <c r="O717" s="26">
        <f>IF(operations[sinceLastOrder]=0,0,operations[orderQuantity] / operations[sinceLastOrder])</f>
        <v>0.3902439024</v>
      </c>
      <c r="P717" s="9">
        <v>91.76</v>
      </c>
      <c r="Q717" s="7" t="s">
        <v>13</v>
      </c>
      <c r="R717" s="10">
        <f>operations[arrivedDate]-operations[shippedDate]</f>
        <v>13</v>
      </c>
    </row>
    <row r="718" ht="15.75" customHeight="1">
      <c r="A718" s="6">
        <v>10519.0</v>
      </c>
      <c r="B718" s="24">
        <v>45044.0</v>
      </c>
      <c r="C718" s="24">
        <v>45072.0</v>
      </c>
      <c r="D718" s="24">
        <v>45047.0</v>
      </c>
      <c r="E718" s="24">
        <v>45060.0</v>
      </c>
      <c r="F718" s="6">
        <v>56.0</v>
      </c>
      <c r="G718" s="9" t="str">
        <f>VLOOKUP(operations[productID],products[],2,FALSE)</f>
        <v>Gnocchi di nonna Alice</v>
      </c>
      <c r="H718" s="9" t="str">
        <f>IF(VLOOKUP(operations[productID],products[],7,FALSE)=1,"Discontinued","Current")</f>
        <v>Current</v>
      </c>
      <c r="I718" s="6">
        <f>VLOOKUP(operations[productID],products[],4,FALSE)</f>
        <v>21</v>
      </c>
      <c r="J718" s="6">
        <f>VLOOKUP(operations[productID],products[],5,FALSE)</f>
        <v>10</v>
      </c>
      <c r="K718" s="6">
        <f>VLOOKUP(operations[productID],products[],6,FALSE)</f>
        <v>30</v>
      </c>
      <c r="L718" s="10">
        <f t="array" ref="L718">INDEX('1 orders'!I718:I2156, MATCH(1, ('1 orders'!A718:A2156=A718)*('1 orders'!G718:G2156=F718), 0))
</f>
        <v>40</v>
      </c>
      <c r="M718" s="10">
        <f>IFERROR(__xludf.DUMMYFUNCTION("COUNTUNIQUEIFS($A$2:$A718,$F$2:$F718,F718)"),19.0)</f>
        <v>19</v>
      </c>
      <c r="N718" s="10">
        <f t="shared" si="1"/>
        <v>6</v>
      </c>
      <c r="O718" s="26">
        <f>IF(operations[sinceLastOrder]=0,0,operations[orderQuantity] / operations[sinceLastOrder])</f>
        <v>6.666666667</v>
      </c>
      <c r="P718" s="9">
        <v>91.76</v>
      </c>
      <c r="Q718" s="7" t="s">
        <v>13</v>
      </c>
      <c r="R718" s="10">
        <f>operations[arrivedDate]-operations[shippedDate]</f>
        <v>13</v>
      </c>
    </row>
    <row r="719" ht="15.75" customHeight="1">
      <c r="A719" s="6">
        <v>10519.0</v>
      </c>
      <c r="B719" s="24">
        <v>45044.0</v>
      </c>
      <c r="C719" s="24">
        <v>45072.0</v>
      </c>
      <c r="D719" s="24">
        <v>45047.0</v>
      </c>
      <c r="E719" s="24">
        <v>45060.0</v>
      </c>
      <c r="F719" s="6">
        <v>60.0</v>
      </c>
      <c r="G719" s="9" t="str">
        <f>VLOOKUP(operations[productID],products[],2,FALSE)</f>
        <v>Camembert Pierrot</v>
      </c>
      <c r="H719" s="9" t="str">
        <f>IF(VLOOKUP(operations[productID],products[],7,FALSE)=1,"Discontinued","Current")</f>
        <v>Current</v>
      </c>
      <c r="I719" s="6">
        <f>VLOOKUP(operations[productID],products[],4,FALSE)</f>
        <v>19</v>
      </c>
      <c r="J719" s="6">
        <f>VLOOKUP(operations[productID],products[],5,FALSE)</f>
        <v>0</v>
      </c>
      <c r="K719" s="6">
        <f>VLOOKUP(operations[productID],products[],6,FALSE)</f>
        <v>0</v>
      </c>
      <c r="L719" s="10">
        <f t="array" ref="L719">INDEX('1 orders'!I719:I2156, MATCH(1, ('1 orders'!A719:A2156=A719)*('1 orders'!G719:G2156=F719), 0))
</f>
        <v>10</v>
      </c>
      <c r="M719" s="10">
        <f>IFERROR(__xludf.DUMMYFUNCTION("COUNTUNIQUEIFS($A$2:$A719,$F$2:$F719,F719)"),17.0)</f>
        <v>17</v>
      </c>
      <c r="N719" s="10">
        <f t="shared" si="1"/>
        <v>5</v>
      </c>
      <c r="O719" s="26">
        <f>IF(operations[sinceLastOrder]=0,0,operations[orderQuantity] / operations[sinceLastOrder])</f>
        <v>2</v>
      </c>
      <c r="P719" s="9">
        <v>91.76</v>
      </c>
      <c r="Q719" s="7" t="s">
        <v>13</v>
      </c>
      <c r="R719" s="10">
        <f>operations[arrivedDate]-operations[shippedDate]</f>
        <v>13</v>
      </c>
    </row>
    <row r="720" ht="15.75" customHeight="1">
      <c r="A720" s="6">
        <v>10520.0</v>
      </c>
      <c r="B720" s="24">
        <v>45045.0</v>
      </c>
      <c r="C720" s="24">
        <v>45073.0</v>
      </c>
      <c r="D720" s="24">
        <v>45047.0</v>
      </c>
      <c r="E720" s="24">
        <v>45055.0</v>
      </c>
      <c r="F720" s="6">
        <v>24.0</v>
      </c>
      <c r="G720" s="9" t="str">
        <f>VLOOKUP(operations[productID],products[],2,FALSE)</f>
        <v>Brigadeiros Maravilhosos da Lilian</v>
      </c>
      <c r="H720" s="9" t="str">
        <f>IF(VLOOKUP(operations[productID],products[],7,FALSE)=1,"Discontinued","Current")</f>
        <v>Discontinued</v>
      </c>
      <c r="I720" s="6">
        <f>VLOOKUP(operations[productID],products[],4,FALSE)</f>
        <v>20</v>
      </c>
      <c r="J720" s="6">
        <f>VLOOKUP(operations[productID],products[],5,FALSE)</f>
        <v>0</v>
      </c>
      <c r="K720" s="6">
        <f>VLOOKUP(operations[productID],products[],6,FALSE)</f>
        <v>0</v>
      </c>
      <c r="L720" s="10">
        <f t="array" ref="L720">INDEX('1 orders'!I720:I2156, MATCH(1, ('1 orders'!A720:A2156=A720)*('1 orders'!G720:G2156=F720), 0))
</f>
        <v>8</v>
      </c>
      <c r="M720" s="10">
        <f>IFERROR(__xludf.DUMMYFUNCTION("COUNTUNIQUEIFS($A$2:$A720,$F$2:$F720,F720)"),19.0)</f>
        <v>19</v>
      </c>
      <c r="N720" s="10">
        <f t="shared" si="1"/>
        <v>4</v>
      </c>
      <c r="O720" s="26">
        <f>IF(operations[sinceLastOrder]=0,0,operations[orderQuantity] / operations[sinceLastOrder])</f>
        <v>2</v>
      </c>
      <c r="P720" s="9">
        <v>13.37</v>
      </c>
      <c r="Q720" s="7" t="s">
        <v>15</v>
      </c>
      <c r="R720" s="10">
        <f>operations[arrivedDate]-operations[shippedDate]</f>
        <v>8</v>
      </c>
    </row>
    <row r="721" ht="15.75" customHeight="1">
      <c r="A721" s="6">
        <v>10520.0</v>
      </c>
      <c r="B721" s="24">
        <v>45045.0</v>
      </c>
      <c r="C721" s="24">
        <v>45073.0</v>
      </c>
      <c r="D721" s="24">
        <v>45047.0</v>
      </c>
      <c r="E721" s="24">
        <v>45055.0</v>
      </c>
      <c r="F721" s="6">
        <v>53.0</v>
      </c>
      <c r="G721" s="9" t="str">
        <f>VLOOKUP(operations[productID],products[],2,FALSE)</f>
        <v>Perth Pasties</v>
      </c>
      <c r="H721" s="9" t="str">
        <f>IF(VLOOKUP(operations[productID],products[],7,FALSE)=1,"Discontinued","Current")</f>
        <v>Discontinued</v>
      </c>
      <c r="I721" s="6">
        <f>VLOOKUP(operations[productID],products[],4,FALSE)</f>
        <v>0</v>
      </c>
      <c r="J721" s="6">
        <f>VLOOKUP(operations[productID],products[],5,FALSE)</f>
        <v>0</v>
      </c>
      <c r="K721" s="6">
        <f>VLOOKUP(operations[productID],products[],6,FALSE)</f>
        <v>0</v>
      </c>
      <c r="L721" s="10">
        <f t="array" ref="L721">INDEX('1 orders'!I721:I2156, MATCH(1, ('1 orders'!A721:A2156=A721)*('1 orders'!G721:G2156=F721), 0))
</f>
        <v>5</v>
      </c>
      <c r="M721" s="10">
        <f>IFERROR(__xludf.DUMMYFUNCTION("COUNTUNIQUEIFS($A$2:$A721,$F$2:$F721,F721)"),15.0)</f>
        <v>15</v>
      </c>
      <c r="N721" s="10">
        <f t="shared" si="1"/>
        <v>18</v>
      </c>
      <c r="O721" s="26">
        <f>IF(operations[sinceLastOrder]=0,0,operations[orderQuantity] / operations[sinceLastOrder])</f>
        <v>0.2777777778</v>
      </c>
      <c r="P721" s="9">
        <v>13.37</v>
      </c>
      <c r="Q721" s="7" t="s">
        <v>15</v>
      </c>
      <c r="R721" s="10">
        <f>operations[arrivedDate]-operations[shippedDate]</f>
        <v>8</v>
      </c>
    </row>
    <row r="722" ht="15.75" customHeight="1">
      <c r="A722" s="6">
        <v>10521.0</v>
      </c>
      <c r="B722" s="24">
        <v>45045.0</v>
      </c>
      <c r="C722" s="24">
        <v>45073.0</v>
      </c>
      <c r="D722" s="24">
        <v>45048.0</v>
      </c>
      <c r="E722" s="24">
        <v>45060.0</v>
      </c>
      <c r="F722" s="6">
        <v>35.0</v>
      </c>
      <c r="G722" s="9" t="str">
        <f>VLOOKUP(operations[productID],products[],2,FALSE)</f>
        <v>Cold Brew Nitro</v>
      </c>
      <c r="H722" s="9" t="str">
        <f>IF(VLOOKUP(operations[productID],products[],7,FALSE)=1,"Discontinued","Current")</f>
        <v>Current</v>
      </c>
      <c r="I722" s="6">
        <f>VLOOKUP(operations[productID],products[],4,FALSE)</f>
        <v>20</v>
      </c>
      <c r="J722" s="6">
        <f>VLOOKUP(operations[productID],products[],5,FALSE)</f>
        <v>0</v>
      </c>
      <c r="K722" s="6">
        <f>VLOOKUP(operations[productID],products[],6,FALSE)</f>
        <v>15</v>
      </c>
      <c r="L722" s="10">
        <f t="array" ref="L722">INDEX('1 orders'!I722:I2156, MATCH(1, ('1 orders'!A722:A2156=A722)*('1 orders'!G722:G2156=F722), 0))
</f>
        <v>3</v>
      </c>
      <c r="M722" s="10">
        <f>IFERROR(__xludf.DUMMYFUNCTION("COUNTUNIQUEIFS($A$2:$A722,$F$2:$F722,F722)"),11.0)</f>
        <v>11</v>
      </c>
      <c r="N722" s="10">
        <f t="shared" si="1"/>
        <v>76</v>
      </c>
      <c r="O722" s="26">
        <f>IF(operations[sinceLastOrder]=0,0,operations[orderQuantity] / operations[sinceLastOrder])</f>
        <v>0.03947368421</v>
      </c>
      <c r="P722" s="9">
        <v>17.22</v>
      </c>
      <c r="Q722" s="7" t="s">
        <v>17</v>
      </c>
      <c r="R722" s="10">
        <f>operations[arrivedDate]-operations[shippedDate]</f>
        <v>12</v>
      </c>
    </row>
    <row r="723" ht="15.75" customHeight="1">
      <c r="A723" s="6">
        <v>10521.0</v>
      </c>
      <c r="B723" s="24">
        <v>45045.0</v>
      </c>
      <c r="C723" s="24">
        <v>45073.0</v>
      </c>
      <c r="D723" s="24">
        <v>45048.0</v>
      </c>
      <c r="E723" s="24">
        <v>45060.0</v>
      </c>
      <c r="F723" s="6">
        <v>41.0</v>
      </c>
      <c r="G723" s="9" t="str">
        <f>VLOOKUP(operations[productID],products[],2,FALSE)</f>
        <v>Jack's New England Clam Chowder</v>
      </c>
      <c r="H723" s="9" t="str">
        <f>IF(VLOOKUP(operations[productID],products[],7,FALSE)=1,"Discontinued","Current")</f>
        <v>Current</v>
      </c>
      <c r="I723" s="6">
        <f>VLOOKUP(operations[productID],products[],4,FALSE)</f>
        <v>85</v>
      </c>
      <c r="J723" s="6">
        <f>VLOOKUP(operations[productID],products[],5,FALSE)</f>
        <v>0</v>
      </c>
      <c r="K723" s="6">
        <f>VLOOKUP(operations[productID],products[],6,FALSE)</f>
        <v>10</v>
      </c>
      <c r="L723" s="10">
        <f t="array" ref="L723">INDEX('1 orders'!I723:I2156, MATCH(1, ('1 orders'!A723:A2156=A723)*('1 orders'!G723:G2156=F723), 0))
</f>
        <v>10</v>
      </c>
      <c r="M723" s="10">
        <f>IFERROR(__xludf.DUMMYFUNCTION("COUNTUNIQUEIFS($A$2:$A723,$F$2:$F723,F723)"),13.0)</f>
        <v>13</v>
      </c>
      <c r="N723" s="10">
        <f t="shared" si="1"/>
        <v>5</v>
      </c>
      <c r="O723" s="26">
        <f>IF(operations[sinceLastOrder]=0,0,operations[orderQuantity] / operations[sinceLastOrder])</f>
        <v>2</v>
      </c>
      <c r="P723" s="9">
        <v>17.22</v>
      </c>
      <c r="Q723" s="7" t="s">
        <v>17</v>
      </c>
      <c r="R723" s="10">
        <f>operations[arrivedDate]-operations[shippedDate]</f>
        <v>12</v>
      </c>
    </row>
    <row r="724" ht="15.75" customHeight="1">
      <c r="A724" s="6">
        <v>10521.0</v>
      </c>
      <c r="B724" s="24">
        <v>45045.0</v>
      </c>
      <c r="C724" s="24">
        <v>45073.0</v>
      </c>
      <c r="D724" s="24">
        <v>45048.0</v>
      </c>
      <c r="E724" s="24">
        <v>45060.0</v>
      </c>
      <c r="F724" s="6">
        <v>68.0</v>
      </c>
      <c r="G724" s="9" t="str">
        <f>VLOOKUP(operations[productID],products[],2,FALSE)</f>
        <v>Scottish Longbreads</v>
      </c>
      <c r="H724" s="9" t="str">
        <f>IF(VLOOKUP(operations[productID],products[],7,FALSE)=1,"Discontinued","Current")</f>
        <v>Current</v>
      </c>
      <c r="I724" s="6">
        <f>VLOOKUP(operations[productID],products[],4,FALSE)</f>
        <v>6</v>
      </c>
      <c r="J724" s="6">
        <f>VLOOKUP(operations[productID],products[],5,FALSE)</f>
        <v>10</v>
      </c>
      <c r="K724" s="6">
        <f>VLOOKUP(operations[productID],products[],6,FALSE)</f>
        <v>15</v>
      </c>
      <c r="L724" s="10">
        <f t="array" ref="L724">INDEX('1 orders'!I724:I2156, MATCH(1, ('1 orders'!A724:A2156=A724)*('1 orders'!G724:G2156=F724), 0))
</f>
        <v>6</v>
      </c>
      <c r="M724" s="10">
        <f>IFERROR(__xludf.DUMMYFUNCTION("COUNTUNIQUEIFS($A$2:$A724,$F$2:$F724,F724)"),14.0)</f>
        <v>14</v>
      </c>
      <c r="N724" s="10">
        <f t="shared" si="1"/>
        <v>29</v>
      </c>
      <c r="O724" s="26">
        <f>IF(operations[sinceLastOrder]=0,0,operations[orderQuantity] / operations[sinceLastOrder])</f>
        <v>0.2068965517</v>
      </c>
      <c r="P724" s="9">
        <v>17.22</v>
      </c>
      <c r="Q724" s="7" t="s">
        <v>17</v>
      </c>
      <c r="R724" s="10">
        <f>operations[arrivedDate]-operations[shippedDate]</f>
        <v>12</v>
      </c>
    </row>
    <row r="725" ht="15.75" customHeight="1">
      <c r="A725" s="6">
        <v>10522.0</v>
      </c>
      <c r="B725" s="24">
        <v>45046.0</v>
      </c>
      <c r="C725" s="24">
        <v>45074.0</v>
      </c>
      <c r="D725" s="24">
        <v>45052.0</v>
      </c>
      <c r="E725" s="24">
        <v>45055.0</v>
      </c>
      <c r="F725" s="6">
        <v>1.0</v>
      </c>
      <c r="G725" s="9" t="str">
        <f>VLOOKUP(operations[productID],products[],2,FALSE)</f>
        <v>Chai</v>
      </c>
      <c r="H725" s="9" t="str">
        <f>IF(VLOOKUP(operations[productID],products[],7,FALSE)=1,"Discontinued","Current")</f>
        <v>Current</v>
      </c>
      <c r="I725" s="6">
        <f>VLOOKUP(operations[productID],products[],4,FALSE)</f>
        <v>39</v>
      </c>
      <c r="J725" s="6">
        <f>VLOOKUP(operations[productID],products[],5,FALSE)</f>
        <v>0</v>
      </c>
      <c r="K725" s="6">
        <f>VLOOKUP(operations[productID],products[],6,FALSE)</f>
        <v>10</v>
      </c>
      <c r="L725" s="10">
        <f t="array" ref="L725">INDEX('1 orders'!I725:I2156, MATCH(1, ('1 orders'!A725:A2156=A725)*('1 orders'!G725:G2156=F725), 0))
</f>
        <v>40</v>
      </c>
      <c r="M725" s="10">
        <f>IFERROR(__xludf.DUMMYFUNCTION("COUNTUNIQUEIFS($A$2:$A725,$F$2:$F725,F725)"),10.0)</f>
        <v>10</v>
      </c>
      <c r="N725" s="10">
        <f t="shared" si="1"/>
        <v>44</v>
      </c>
      <c r="O725" s="26">
        <f>IF(operations[sinceLastOrder]=0,0,operations[orderQuantity] / operations[sinceLastOrder])</f>
        <v>0.9090909091</v>
      </c>
      <c r="P725" s="9">
        <v>45.33</v>
      </c>
      <c r="Q725" s="7" t="s">
        <v>15</v>
      </c>
      <c r="R725" s="10">
        <f>operations[arrivedDate]-operations[shippedDate]</f>
        <v>3</v>
      </c>
    </row>
    <row r="726" ht="15.75" customHeight="1">
      <c r="A726" s="6">
        <v>10522.0</v>
      </c>
      <c r="B726" s="24">
        <v>45046.0</v>
      </c>
      <c r="C726" s="24">
        <v>45074.0</v>
      </c>
      <c r="D726" s="24">
        <v>45052.0</v>
      </c>
      <c r="E726" s="24">
        <v>45055.0</v>
      </c>
      <c r="F726" s="6">
        <v>8.0</v>
      </c>
      <c r="G726" s="9" t="str">
        <f>VLOOKUP(operations[productID],products[],2,FALSE)</f>
        <v>Northwoods Cranberry Sauce</v>
      </c>
      <c r="H726" s="9" t="str">
        <f>IF(VLOOKUP(operations[productID],products[],7,FALSE)=1,"Discontinued","Current")</f>
        <v>Current</v>
      </c>
      <c r="I726" s="6">
        <f>VLOOKUP(operations[productID],products[],4,FALSE)</f>
        <v>6</v>
      </c>
      <c r="J726" s="6">
        <f>VLOOKUP(operations[productID],products[],5,FALSE)</f>
        <v>0</v>
      </c>
      <c r="K726" s="6">
        <f>VLOOKUP(operations[productID],products[],6,FALSE)</f>
        <v>0</v>
      </c>
      <c r="L726" s="10">
        <f t="array" ref="L726">INDEX('1 orders'!I726:I2156, MATCH(1, ('1 orders'!A726:A2156=A726)*('1 orders'!G726:G2156=F726), 0))
</f>
        <v>24</v>
      </c>
      <c r="M726" s="10">
        <f>IFERROR(__xludf.DUMMYFUNCTION("COUNTUNIQUEIFS($A$2:$A726,$F$2:$F726,F726)"),4.0)</f>
        <v>4</v>
      </c>
      <c r="N726" s="10">
        <f t="shared" si="1"/>
        <v>12</v>
      </c>
      <c r="O726" s="26">
        <f>IF(operations[sinceLastOrder]=0,0,operations[orderQuantity] / operations[sinceLastOrder])</f>
        <v>2</v>
      </c>
      <c r="P726" s="9">
        <v>45.33</v>
      </c>
      <c r="Q726" s="7" t="s">
        <v>15</v>
      </c>
      <c r="R726" s="10">
        <f>operations[arrivedDate]-operations[shippedDate]</f>
        <v>3</v>
      </c>
    </row>
    <row r="727" ht="15.75" customHeight="1">
      <c r="A727" s="6">
        <v>10522.0</v>
      </c>
      <c r="B727" s="24">
        <v>45046.0</v>
      </c>
      <c r="C727" s="24">
        <v>45074.0</v>
      </c>
      <c r="D727" s="24">
        <v>45052.0</v>
      </c>
      <c r="E727" s="24">
        <v>45055.0</v>
      </c>
      <c r="F727" s="6">
        <v>30.0</v>
      </c>
      <c r="G727" s="9" t="str">
        <f>VLOOKUP(operations[productID],products[],2,FALSE)</f>
        <v>Nord-Ost Matjeshering</v>
      </c>
      <c r="H727" s="9" t="str">
        <f>IF(VLOOKUP(operations[productID],products[],7,FALSE)=1,"Discontinued","Current")</f>
        <v>Current</v>
      </c>
      <c r="I727" s="6">
        <f>VLOOKUP(operations[productID],products[],4,FALSE)</f>
        <v>10</v>
      </c>
      <c r="J727" s="6">
        <f>VLOOKUP(operations[productID],products[],5,FALSE)</f>
        <v>0</v>
      </c>
      <c r="K727" s="6">
        <f>VLOOKUP(operations[productID],products[],6,FALSE)</f>
        <v>15</v>
      </c>
      <c r="L727" s="10">
        <f t="array" ref="L727">INDEX('1 orders'!I727:I2156, MATCH(1, ('1 orders'!A727:A2156=A727)*('1 orders'!G727:G2156=F727), 0))
</f>
        <v>20</v>
      </c>
      <c r="M727" s="10">
        <f>IFERROR(__xludf.DUMMYFUNCTION("COUNTUNIQUEIFS($A$2:$A727,$F$2:$F727,F727)"),11.0)</f>
        <v>11</v>
      </c>
      <c r="N727" s="10">
        <f t="shared" si="1"/>
        <v>54</v>
      </c>
      <c r="O727" s="26">
        <f>IF(operations[sinceLastOrder]=0,0,operations[orderQuantity] / operations[sinceLastOrder])</f>
        <v>0.3703703704</v>
      </c>
      <c r="P727" s="9">
        <v>45.33</v>
      </c>
      <c r="Q727" s="7" t="s">
        <v>15</v>
      </c>
      <c r="R727" s="10">
        <f>operations[arrivedDate]-operations[shippedDate]</f>
        <v>3</v>
      </c>
    </row>
    <row r="728" ht="15.75" customHeight="1">
      <c r="A728" s="6">
        <v>10522.0</v>
      </c>
      <c r="B728" s="24">
        <v>45046.0</v>
      </c>
      <c r="C728" s="24">
        <v>45074.0</v>
      </c>
      <c r="D728" s="24">
        <v>45052.0</v>
      </c>
      <c r="E728" s="24">
        <v>45055.0</v>
      </c>
      <c r="F728" s="6">
        <v>40.0</v>
      </c>
      <c r="G728" s="9" t="str">
        <f>VLOOKUP(operations[productID],products[],2,FALSE)</f>
        <v>Boston Crab Meat</v>
      </c>
      <c r="H728" s="9" t="str">
        <f>IF(VLOOKUP(operations[productID],products[],7,FALSE)=1,"Discontinued","Current")</f>
        <v>Current</v>
      </c>
      <c r="I728" s="6">
        <f>VLOOKUP(operations[productID],products[],4,FALSE)</f>
        <v>123</v>
      </c>
      <c r="J728" s="6">
        <f>VLOOKUP(operations[productID],products[],5,FALSE)</f>
        <v>0</v>
      </c>
      <c r="K728" s="6">
        <f>VLOOKUP(operations[productID],products[],6,FALSE)</f>
        <v>30</v>
      </c>
      <c r="L728" s="10">
        <f t="array" ref="L728">INDEX('1 orders'!I728:I2156, MATCH(1, ('1 orders'!A728:A2156=A728)*('1 orders'!G728:G2156=F728), 0))
</f>
        <v>25</v>
      </c>
      <c r="M728" s="10">
        <f>IFERROR(__xludf.DUMMYFUNCTION("COUNTUNIQUEIFS($A$2:$A728,$F$2:$F728,F728)"),15.0)</f>
        <v>15</v>
      </c>
      <c r="N728" s="10">
        <f t="shared" si="1"/>
        <v>23</v>
      </c>
      <c r="O728" s="26">
        <f>IF(operations[sinceLastOrder]=0,0,operations[orderQuantity] / operations[sinceLastOrder])</f>
        <v>1.086956522</v>
      </c>
      <c r="P728" s="9">
        <v>45.33</v>
      </c>
      <c r="Q728" s="7" t="s">
        <v>15</v>
      </c>
      <c r="R728" s="10">
        <f>operations[arrivedDate]-operations[shippedDate]</f>
        <v>3</v>
      </c>
    </row>
    <row r="729" ht="15.75" customHeight="1">
      <c r="A729" s="6">
        <v>10523.0</v>
      </c>
      <c r="B729" s="24">
        <v>45047.0</v>
      </c>
      <c r="C729" s="24">
        <v>45075.0</v>
      </c>
      <c r="D729" s="24">
        <v>45076.0</v>
      </c>
      <c r="E729" s="24">
        <v>45083.0</v>
      </c>
      <c r="F729" s="6">
        <v>17.0</v>
      </c>
      <c r="G729" s="9" t="str">
        <f>VLOOKUP(operations[productID],products[],2,FALSE)</f>
        <v>Alice Mutton</v>
      </c>
      <c r="H729" s="9" t="str">
        <f>IF(VLOOKUP(operations[productID],products[],7,FALSE)=1,"Discontinued","Current")</f>
        <v>Discontinued</v>
      </c>
      <c r="I729" s="6">
        <f>VLOOKUP(operations[productID],products[],4,FALSE)</f>
        <v>0</v>
      </c>
      <c r="J729" s="6">
        <f>VLOOKUP(operations[productID],products[],5,FALSE)</f>
        <v>0</v>
      </c>
      <c r="K729" s="6">
        <f>VLOOKUP(operations[productID],products[],6,FALSE)</f>
        <v>0</v>
      </c>
      <c r="L729" s="10">
        <f t="array" ref="L729">INDEX('1 orders'!I729:I2156, MATCH(1, ('1 orders'!A729:A2156=A729)*('1 orders'!G729:G2156=F729), 0))
</f>
        <v>25</v>
      </c>
      <c r="M729" s="10">
        <f>IFERROR(__xludf.DUMMYFUNCTION("COUNTUNIQUEIFS($A$2:$A729,$F$2:$F729,F729)"),13.0)</f>
        <v>13</v>
      </c>
      <c r="N729" s="10">
        <f t="shared" si="1"/>
        <v>78</v>
      </c>
      <c r="O729" s="26">
        <f>IF(operations[sinceLastOrder]=0,0,operations[orderQuantity] / operations[sinceLastOrder])</f>
        <v>0.3205128205</v>
      </c>
      <c r="P729" s="9">
        <v>77.63</v>
      </c>
      <c r="Q729" s="7" t="s">
        <v>17</v>
      </c>
      <c r="R729" s="10">
        <f>operations[arrivedDate]-operations[shippedDate]</f>
        <v>7</v>
      </c>
    </row>
    <row r="730" ht="15.75" customHeight="1">
      <c r="A730" s="6">
        <v>10523.0</v>
      </c>
      <c r="B730" s="24">
        <v>45047.0</v>
      </c>
      <c r="C730" s="24">
        <v>45075.0</v>
      </c>
      <c r="D730" s="24">
        <v>45076.0</v>
      </c>
      <c r="E730" s="24">
        <v>45083.0</v>
      </c>
      <c r="F730" s="6">
        <v>20.0</v>
      </c>
      <c r="G730" s="9" t="str">
        <f>VLOOKUP(operations[productID],products[],2,FALSE)</f>
        <v>Sir Rodney's Marmalade</v>
      </c>
      <c r="H730" s="9" t="str">
        <f>IF(VLOOKUP(operations[productID],products[],7,FALSE)=1,"Discontinued","Current")</f>
        <v>Current</v>
      </c>
      <c r="I730" s="6">
        <f>VLOOKUP(operations[productID],products[],4,FALSE)</f>
        <v>40</v>
      </c>
      <c r="J730" s="6">
        <f>VLOOKUP(operations[productID],products[],5,FALSE)</f>
        <v>0</v>
      </c>
      <c r="K730" s="6">
        <f>VLOOKUP(operations[productID],products[],6,FALSE)</f>
        <v>0</v>
      </c>
      <c r="L730" s="10">
        <f t="array" ref="L730">INDEX('1 orders'!I730:I2156, MATCH(1, ('1 orders'!A730:A2156=A730)*('1 orders'!G730:G2156=F730), 0))
</f>
        <v>15</v>
      </c>
      <c r="M730" s="10">
        <f>IFERROR(__xludf.DUMMYFUNCTION("COUNTUNIQUEIFS($A$2:$A730,$F$2:$F730,F730)"),7.0)</f>
        <v>7</v>
      </c>
      <c r="N730" s="10">
        <f t="shared" si="1"/>
        <v>9</v>
      </c>
      <c r="O730" s="26">
        <f>IF(operations[sinceLastOrder]=0,0,operations[orderQuantity] / operations[sinceLastOrder])</f>
        <v>1.666666667</v>
      </c>
      <c r="P730" s="9">
        <v>77.63</v>
      </c>
      <c r="Q730" s="7" t="s">
        <v>17</v>
      </c>
      <c r="R730" s="10">
        <f>operations[arrivedDate]-operations[shippedDate]</f>
        <v>7</v>
      </c>
    </row>
    <row r="731" ht="15.75" customHeight="1">
      <c r="A731" s="6">
        <v>10523.0</v>
      </c>
      <c r="B731" s="24">
        <v>45047.0</v>
      </c>
      <c r="C731" s="24">
        <v>45075.0</v>
      </c>
      <c r="D731" s="24">
        <v>45076.0</v>
      </c>
      <c r="E731" s="24">
        <v>45083.0</v>
      </c>
      <c r="F731" s="6">
        <v>37.0</v>
      </c>
      <c r="G731" s="9" t="str">
        <f>VLOOKUP(operations[productID],products[],2,FALSE)</f>
        <v>Gravad lax</v>
      </c>
      <c r="H731" s="9" t="str">
        <f>IF(VLOOKUP(operations[productID],products[],7,FALSE)=1,"Discontinued","Current")</f>
        <v>Current</v>
      </c>
      <c r="I731" s="6">
        <f>VLOOKUP(operations[productID],products[],4,FALSE)</f>
        <v>11</v>
      </c>
      <c r="J731" s="6">
        <f>VLOOKUP(operations[productID],products[],5,FALSE)</f>
        <v>50</v>
      </c>
      <c r="K731" s="6">
        <f>VLOOKUP(operations[productID],products[],6,FALSE)</f>
        <v>25</v>
      </c>
      <c r="L731" s="10">
        <f t="array" ref="L731">INDEX('1 orders'!I731:I2156, MATCH(1, ('1 orders'!A731:A2156=A731)*('1 orders'!G731:G2156=F731), 0))
</f>
        <v>18</v>
      </c>
      <c r="M731" s="10">
        <f>IFERROR(__xludf.DUMMYFUNCTION("COUNTUNIQUEIFS($A$2:$A731,$F$2:$F731,F731)"),4.0)</f>
        <v>4</v>
      </c>
      <c r="N731" s="10">
        <f t="shared" si="1"/>
        <v>113</v>
      </c>
      <c r="O731" s="26">
        <f>IF(operations[sinceLastOrder]=0,0,operations[orderQuantity] / operations[sinceLastOrder])</f>
        <v>0.1592920354</v>
      </c>
      <c r="P731" s="9">
        <v>77.63</v>
      </c>
      <c r="Q731" s="7" t="s">
        <v>17</v>
      </c>
      <c r="R731" s="10">
        <f>operations[arrivedDate]-operations[shippedDate]</f>
        <v>7</v>
      </c>
    </row>
    <row r="732" ht="15.75" customHeight="1">
      <c r="A732" s="6">
        <v>10523.0</v>
      </c>
      <c r="B732" s="24">
        <v>45047.0</v>
      </c>
      <c r="C732" s="24">
        <v>45075.0</v>
      </c>
      <c r="D732" s="24">
        <v>45076.0</v>
      </c>
      <c r="E732" s="24">
        <v>45083.0</v>
      </c>
      <c r="F732" s="6">
        <v>41.0</v>
      </c>
      <c r="G732" s="9" t="str">
        <f>VLOOKUP(operations[productID],products[],2,FALSE)</f>
        <v>Jack's New England Clam Chowder</v>
      </c>
      <c r="H732" s="9" t="str">
        <f>IF(VLOOKUP(operations[productID],products[],7,FALSE)=1,"Discontinued","Current")</f>
        <v>Current</v>
      </c>
      <c r="I732" s="6">
        <f>VLOOKUP(operations[productID],products[],4,FALSE)</f>
        <v>85</v>
      </c>
      <c r="J732" s="6">
        <f>VLOOKUP(operations[productID],products[],5,FALSE)</f>
        <v>0</v>
      </c>
      <c r="K732" s="6">
        <f>VLOOKUP(operations[productID],products[],6,FALSE)</f>
        <v>10</v>
      </c>
      <c r="L732" s="10">
        <f t="array" ref="L732">INDEX('1 orders'!I732:I2156, MATCH(1, ('1 orders'!A732:A2156=A732)*('1 orders'!G732:G2156=F732), 0))
</f>
        <v>6</v>
      </c>
      <c r="M732" s="10">
        <f>IFERROR(__xludf.DUMMYFUNCTION("COUNTUNIQUEIFS($A$2:$A732,$F$2:$F732,F732)"),14.0)</f>
        <v>14</v>
      </c>
      <c r="N732" s="10">
        <f t="shared" si="1"/>
        <v>2</v>
      </c>
      <c r="O732" s="26">
        <f>IF(operations[sinceLastOrder]=0,0,operations[orderQuantity] / operations[sinceLastOrder])</f>
        <v>3</v>
      </c>
      <c r="P732" s="9">
        <v>77.63</v>
      </c>
      <c r="Q732" s="7" t="s">
        <v>17</v>
      </c>
      <c r="R732" s="10">
        <f>operations[arrivedDate]-operations[shippedDate]</f>
        <v>7</v>
      </c>
    </row>
    <row r="733" ht="15.75" customHeight="1">
      <c r="A733" s="6">
        <v>10524.0</v>
      </c>
      <c r="B733" s="24">
        <v>45047.0</v>
      </c>
      <c r="C733" s="24">
        <v>45075.0</v>
      </c>
      <c r="D733" s="24">
        <v>45053.0</v>
      </c>
      <c r="E733" s="24">
        <v>45063.0</v>
      </c>
      <c r="F733" s="6">
        <v>10.0</v>
      </c>
      <c r="G733" s="9" t="str">
        <f>VLOOKUP(operations[productID],products[],2,FALSE)</f>
        <v>Ikura</v>
      </c>
      <c r="H733" s="9" t="str">
        <f>IF(VLOOKUP(operations[productID],products[],7,FALSE)=1,"Discontinued","Current")</f>
        <v>Current</v>
      </c>
      <c r="I733" s="6">
        <f>VLOOKUP(operations[productID],products[],4,FALSE)</f>
        <v>31</v>
      </c>
      <c r="J733" s="6">
        <f>VLOOKUP(operations[productID],products[],5,FALSE)</f>
        <v>0</v>
      </c>
      <c r="K733" s="6">
        <f>VLOOKUP(operations[productID],products[],6,FALSE)</f>
        <v>0</v>
      </c>
      <c r="L733" s="10">
        <f t="array" ref="L733">INDEX('1 orders'!I733:I2156, MATCH(1, ('1 orders'!A733:A2156=A733)*('1 orders'!G733:G2156=F733), 0))
</f>
        <v>2</v>
      </c>
      <c r="M733" s="10">
        <f>IFERROR(__xludf.DUMMYFUNCTION("COUNTUNIQUEIFS($A$2:$A733,$F$2:$F733,F733)"),9.0)</f>
        <v>9</v>
      </c>
      <c r="N733" s="10">
        <f t="shared" si="1"/>
        <v>3</v>
      </c>
      <c r="O733" s="26">
        <f>IF(operations[sinceLastOrder]=0,0,operations[orderQuantity] / operations[sinceLastOrder])</f>
        <v>0.6666666667</v>
      </c>
      <c r="P733" s="9">
        <v>244.79</v>
      </c>
      <c r="Q733" s="7" t="s">
        <v>17</v>
      </c>
      <c r="R733" s="10">
        <f>operations[arrivedDate]-operations[shippedDate]</f>
        <v>10</v>
      </c>
    </row>
    <row r="734" ht="15.75" customHeight="1">
      <c r="A734" s="6">
        <v>10524.0</v>
      </c>
      <c r="B734" s="24">
        <v>45047.0</v>
      </c>
      <c r="C734" s="24">
        <v>45075.0</v>
      </c>
      <c r="D734" s="24">
        <v>45053.0</v>
      </c>
      <c r="E734" s="24">
        <v>45063.0</v>
      </c>
      <c r="F734" s="6">
        <v>30.0</v>
      </c>
      <c r="G734" s="9" t="str">
        <f>VLOOKUP(operations[productID],products[],2,FALSE)</f>
        <v>Nord-Ost Matjeshering</v>
      </c>
      <c r="H734" s="9" t="str">
        <f>IF(VLOOKUP(operations[productID],products[],7,FALSE)=1,"Discontinued","Current")</f>
        <v>Current</v>
      </c>
      <c r="I734" s="6">
        <f>VLOOKUP(operations[productID],products[],4,FALSE)</f>
        <v>10</v>
      </c>
      <c r="J734" s="6">
        <f>VLOOKUP(operations[productID],products[],5,FALSE)</f>
        <v>0</v>
      </c>
      <c r="K734" s="6">
        <f>VLOOKUP(operations[productID],products[],6,FALSE)</f>
        <v>15</v>
      </c>
      <c r="L734" s="10">
        <f t="array" ref="L734">INDEX('1 orders'!I734:I2156, MATCH(1, ('1 orders'!A734:A2156=A734)*('1 orders'!G734:G2156=F734), 0))
</f>
        <v>10</v>
      </c>
      <c r="M734" s="10">
        <f>IFERROR(__xludf.DUMMYFUNCTION("COUNTUNIQUEIFS($A$2:$A734,$F$2:$F734,F734)"),12.0)</f>
        <v>12</v>
      </c>
      <c r="N734" s="10">
        <f t="shared" si="1"/>
        <v>1</v>
      </c>
      <c r="O734" s="26">
        <f>IF(operations[sinceLastOrder]=0,0,operations[orderQuantity] / operations[sinceLastOrder])</f>
        <v>10</v>
      </c>
      <c r="P734" s="9">
        <v>244.79</v>
      </c>
      <c r="Q734" s="7" t="s">
        <v>17</v>
      </c>
      <c r="R734" s="10">
        <f>operations[arrivedDate]-operations[shippedDate]</f>
        <v>10</v>
      </c>
    </row>
    <row r="735" ht="15.75" customHeight="1">
      <c r="A735" s="6">
        <v>10524.0</v>
      </c>
      <c r="B735" s="24">
        <v>45047.0</v>
      </c>
      <c r="C735" s="24">
        <v>45075.0</v>
      </c>
      <c r="D735" s="24">
        <v>45053.0</v>
      </c>
      <c r="E735" s="24">
        <v>45063.0</v>
      </c>
      <c r="F735" s="6">
        <v>43.0</v>
      </c>
      <c r="G735" s="9" t="str">
        <f>VLOOKUP(operations[productID],products[],2,FALSE)</f>
        <v>Ipoh Coffee</v>
      </c>
      <c r="H735" s="9" t="str">
        <f>IF(VLOOKUP(operations[productID],products[],7,FALSE)=1,"Discontinued","Current")</f>
        <v>Current</v>
      </c>
      <c r="I735" s="6">
        <f>VLOOKUP(operations[productID],products[],4,FALSE)</f>
        <v>17</v>
      </c>
      <c r="J735" s="6">
        <f>VLOOKUP(operations[productID],products[],5,FALSE)</f>
        <v>10</v>
      </c>
      <c r="K735" s="6">
        <f>VLOOKUP(operations[productID],products[],6,FALSE)</f>
        <v>25</v>
      </c>
      <c r="L735" s="10">
        <f t="array" ref="L735">INDEX('1 orders'!I735:I2156, MATCH(1, ('1 orders'!A735:A2156=A735)*('1 orders'!G735:G2156=F735), 0))
</f>
        <v>60</v>
      </c>
      <c r="M735" s="10">
        <f>IFERROR(__xludf.DUMMYFUNCTION("COUNTUNIQUEIFS($A$2:$A735,$F$2:$F735,F735)"),11.0)</f>
        <v>11</v>
      </c>
      <c r="N735" s="10">
        <f t="shared" si="1"/>
        <v>16</v>
      </c>
      <c r="O735" s="26">
        <f>IF(operations[sinceLastOrder]=0,0,operations[orderQuantity] / operations[sinceLastOrder])</f>
        <v>3.75</v>
      </c>
      <c r="P735" s="9">
        <v>244.79</v>
      </c>
      <c r="Q735" s="7" t="s">
        <v>17</v>
      </c>
      <c r="R735" s="10">
        <f>operations[arrivedDate]-operations[shippedDate]</f>
        <v>10</v>
      </c>
    </row>
    <row r="736" ht="15.75" customHeight="1">
      <c r="A736" s="6">
        <v>10524.0</v>
      </c>
      <c r="B736" s="24">
        <v>45047.0</v>
      </c>
      <c r="C736" s="24">
        <v>45075.0</v>
      </c>
      <c r="D736" s="24">
        <v>45053.0</v>
      </c>
      <c r="E736" s="24">
        <v>45063.0</v>
      </c>
      <c r="F736" s="6">
        <v>54.0</v>
      </c>
      <c r="G736" s="9" t="str">
        <f>VLOOKUP(operations[productID],products[],2,FALSE)</f>
        <v>Tourtière</v>
      </c>
      <c r="H736" s="9" t="str">
        <f>IF(VLOOKUP(operations[productID],products[],7,FALSE)=1,"Discontinued","Current")</f>
        <v>Current</v>
      </c>
      <c r="I736" s="6">
        <f>VLOOKUP(operations[productID],products[],4,FALSE)</f>
        <v>21</v>
      </c>
      <c r="J736" s="6">
        <f>VLOOKUP(operations[productID],products[],5,FALSE)</f>
        <v>0</v>
      </c>
      <c r="K736" s="6">
        <f>VLOOKUP(operations[productID],products[],6,FALSE)</f>
        <v>10</v>
      </c>
      <c r="L736" s="10">
        <f t="array" ref="L736">INDEX('1 orders'!I736:I2156, MATCH(1, ('1 orders'!A736:A2156=A736)*('1 orders'!G736:G2156=F736), 0))
</f>
        <v>15</v>
      </c>
      <c r="M736" s="10">
        <f>IFERROR(__xludf.DUMMYFUNCTION("COUNTUNIQUEIFS($A$2:$A736,$F$2:$F736,F736)"),17.0)</f>
        <v>17</v>
      </c>
      <c r="N736" s="10">
        <f t="shared" si="1"/>
        <v>22</v>
      </c>
      <c r="O736" s="26">
        <f>IF(operations[sinceLastOrder]=0,0,operations[orderQuantity] / operations[sinceLastOrder])</f>
        <v>0.6818181818</v>
      </c>
      <c r="P736" s="9">
        <v>244.79</v>
      </c>
      <c r="Q736" s="7" t="s">
        <v>17</v>
      </c>
      <c r="R736" s="10">
        <f>operations[arrivedDate]-operations[shippedDate]</f>
        <v>10</v>
      </c>
    </row>
    <row r="737" ht="15.75" customHeight="1">
      <c r="A737" s="6">
        <v>10525.0</v>
      </c>
      <c r="B737" s="24">
        <v>45048.0</v>
      </c>
      <c r="C737" s="24">
        <v>45076.0</v>
      </c>
      <c r="D737" s="24">
        <v>45069.0</v>
      </c>
      <c r="E737" s="24">
        <v>45078.0</v>
      </c>
      <c r="F737" s="6">
        <v>36.0</v>
      </c>
      <c r="G737" s="9" t="str">
        <f>VLOOKUP(operations[productID],products[],2,FALSE)</f>
        <v>Inlagd Sill</v>
      </c>
      <c r="H737" s="9" t="str">
        <f>IF(VLOOKUP(operations[productID],products[],7,FALSE)=1,"Discontinued","Current")</f>
        <v>Current</v>
      </c>
      <c r="I737" s="6">
        <f>VLOOKUP(operations[productID],products[],4,FALSE)</f>
        <v>112</v>
      </c>
      <c r="J737" s="6">
        <f>VLOOKUP(operations[productID],products[],5,FALSE)</f>
        <v>0</v>
      </c>
      <c r="K737" s="6">
        <f>VLOOKUP(operations[productID],products[],6,FALSE)</f>
        <v>20</v>
      </c>
      <c r="L737" s="10">
        <f t="array" ref="L737">INDEX('1 orders'!I737:I2156, MATCH(1, ('1 orders'!A737:A2156=A737)*('1 orders'!G737:G2156=F737), 0))
</f>
        <v>30</v>
      </c>
      <c r="M737" s="10">
        <f>IFERROR(__xludf.DUMMYFUNCTION("COUNTUNIQUEIFS($A$2:$A737,$F$2:$F737,F737)"),10.0)</f>
        <v>10</v>
      </c>
      <c r="N737" s="10">
        <f t="shared" si="1"/>
        <v>115</v>
      </c>
      <c r="O737" s="26">
        <f>IF(operations[sinceLastOrder]=0,0,operations[orderQuantity] / operations[sinceLastOrder])</f>
        <v>0.2608695652</v>
      </c>
      <c r="P737" s="9">
        <v>11.06</v>
      </c>
      <c r="Q737" s="7" t="s">
        <v>17</v>
      </c>
      <c r="R737" s="10">
        <f>operations[arrivedDate]-operations[shippedDate]</f>
        <v>9</v>
      </c>
    </row>
    <row r="738" ht="15.75" customHeight="1">
      <c r="A738" s="6">
        <v>10525.0</v>
      </c>
      <c r="B738" s="24">
        <v>45048.0</v>
      </c>
      <c r="C738" s="24">
        <v>45076.0</v>
      </c>
      <c r="D738" s="24">
        <v>45069.0</v>
      </c>
      <c r="E738" s="24">
        <v>45078.0</v>
      </c>
      <c r="F738" s="6">
        <v>40.0</v>
      </c>
      <c r="G738" s="9" t="str">
        <f>VLOOKUP(operations[productID],products[],2,FALSE)</f>
        <v>Boston Crab Meat</v>
      </c>
      <c r="H738" s="9" t="str">
        <f>IF(VLOOKUP(operations[productID],products[],7,FALSE)=1,"Discontinued","Current")</f>
        <v>Current</v>
      </c>
      <c r="I738" s="6">
        <f>VLOOKUP(operations[productID],products[],4,FALSE)</f>
        <v>123</v>
      </c>
      <c r="J738" s="6">
        <f>VLOOKUP(operations[productID],products[],5,FALSE)</f>
        <v>0</v>
      </c>
      <c r="K738" s="6">
        <f>VLOOKUP(operations[productID],products[],6,FALSE)</f>
        <v>30</v>
      </c>
      <c r="L738" s="10">
        <f t="array" ref="L738">INDEX('1 orders'!I738:I2156, MATCH(1, ('1 orders'!A738:A2156=A738)*('1 orders'!G738:G2156=F738), 0))
</f>
        <v>15</v>
      </c>
      <c r="M738" s="10">
        <f>IFERROR(__xludf.DUMMYFUNCTION("COUNTUNIQUEIFS($A$2:$A738,$F$2:$F738,F738)"),16.0)</f>
        <v>16</v>
      </c>
      <c r="N738" s="10">
        <f t="shared" si="1"/>
        <v>2</v>
      </c>
      <c r="O738" s="26">
        <f>IF(operations[sinceLastOrder]=0,0,operations[orderQuantity] / operations[sinceLastOrder])</f>
        <v>7.5</v>
      </c>
      <c r="P738" s="9">
        <v>11.06</v>
      </c>
      <c r="Q738" s="7" t="s">
        <v>17</v>
      </c>
      <c r="R738" s="10">
        <f>operations[arrivedDate]-operations[shippedDate]</f>
        <v>9</v>
      </c>
    </row>
    <row r="739" ht="15.75" customHeight="1">
      <c r="A739" s="6">
        <v>10526.0</v>
      </c>
      <c r="B739" s="24">
        <v>45051.0</v>
      </c>
      <c r="C739" s="24">
        <v>45079.0</v>
      </c>
      <c r="D739" s="24">
        <v>45061.0</v>
      </c>
      <c r="E739" s="24">
        <v>45073.0</v>
      </c>
      <c r="F739" s="6">
        <v>1.0</v>
      </c>
      <c r="G739" s="9" t="str">
        <f>VLOOKUP(operations[productID],products[],2,FALSE)</f>
        <v>Chai</v>
      </c>
      <c r="H739" s="9" t="str">
        <f>IF(VLOOKUP(operations[productID],products[],7,FALSE)=1,"Discontinued","Current")</f>
        <v>Current</v>
      </c>
      <c r="I739" s="6">
        <f>VLOOKUP(operations[productID],products[],4,FALSE)</f>
        <v>39</v>
      </c>
      <c r="J739" s="6">
        <f>VLOOKUP(operations[productID],products[],5,FALSE)</f>
        <v>0</v>
      </c>
      <c r="K739" s="6">
        <f>VLOOKUP(operations[productID],products[],6,FALSE)</f>
        <v>10</v>
      </c>
      <c r="L739" s="10">
        <f t="array" ref="L739">INDEX('1 orders'!I739:I2156, MATCH(1, ('1 orders'!A739:A2156=A739)*('1 orders'!G739:G2156=F739), 0))
</f>
        <v>8</v>
      </c>
      <c r="M739" s="10">
        <f>IFERROR(__xludf.DUMMYFUNCTION("COUNTUNIQUEIFS($A$2:$A739,$F$2:$F739,F739)"),11.0)</f>
        <v>11</v>
      </c>
      <c r="N739" s="10">
        <f t="shared" si="1"/>
        <v>5</v>
      </c>
      <c r="O739" s="26">
        <f>IF(operations[sinceLastOrder]=0,0,operations[orderQuantity] / operations[sinceLastOrder])</f>
        <v>1.6</v>
      </c>
      <c r="P739" s="9">
        <v>58.59</v>
      </c>
      <c r="Q739" s="7" t="s">
        <v>17</v>
      </c>
      <c r="R739" s="10">
        <f>operations[arrivedDate]-operations[shippedDate]</f>
        <v>12</v>
      </c>
    </row>
    <row r="740" ht="15.75" customHeight="1">
      <c r="A740" s="6">
        <v>10526.0</v>
      </c>
      <c r="B740" s="24">
        <v>45051.0</v>
      </c>
      <c r="C740" s="24">
        <v>45079.0</v>
      </c>
      <c r="D740" s="24">
        <v>45061.0</v>
      </c>
      <c r="E740" s="24">
        <v>45073.0</v>
      </c>
      <c r="F740" s="6">
        <v>13.0</v>
      </c>
      <c r="G740" s="9" t="str">
        <f>VLOOKUP(operations[productID],products[],2,FALSE)</f>
        <v>Konbu</v>
      </c>
      <c r="H740" s="9" t="str">
        <f>IF(VLOOKUP(operations[productID],products[],7,FALSE)=1,"Discontinued","Current")</f>
        <v>Current</v>
      </c>
      <c r="I740" s="6">
        <f>VLOOKUP(operations[productID],products[],4,FALSE)</f>
        <v>24</v>
      </c>
      <c r="J740" s="6">
        <f>VLOOKUP(operations[productID],products[],5,FALSE)</f>
        <v>0</v>
      </c>
      <c r="K740" s="6">
        <f>VLOOKUP(operations[productID],products[],6,FALSE)</f>
        <v>5</v>
      </c>
      <c r="L740" s="10">
        <f t="array" ref="L740">INDEX('1 orders'!I740:I2156, MATCH(1, ('1 orders'!A740:A2156=A740)*('1 orders'!G740:G2156=F740), 0))
</f>
        <v>10</v>
      </c>
      <c r="M740" s="10">
        <f>IFERROR(__xludf.DUMMYFUNCTION("COUNTUNIQUEIFS($A$2:$A740,$F$2:$F740,F740)"),10.0)</f>
        <v>10</v>
      </c>
      <c r="N740" s="10">
        <f t="shared" si="1"/>
        <v>19</v>
      </c>
      <c r="O740" s="26">
        <f>IF(operations[sinceLastOrder]=0,0,operations[orderQuantity] / operations[sinceLastOrder])</f>
        <v>0.5263157895</v>
      </c>
      <c r="P740" s="9">
        <v>58.59</v>
      </c>
      <c r="Q740" s="7" t="s">
        <v>17</v>
      </c>
      <c r="R740" s="10">
        <f>operations[arrivedDate]-operations[shippedDate]</f>
        <v>12</v>
      </c>
    </row>
    <row r="741" ht="15.75" customHeight="1">
      <c r="A741" s="6">
        <v>10526.0</v>
      </c>
      <c r="B741" s="24">
        <v>45051.0</v>
      </c>
      <c r="C741" s="24">
        <v>45079.0</v>
      </c>
      <c r="D741" s="24">
        <v>45061.0</v>
      </c>
      <c r="E741" s="24">
        <v>45073.0</v>
      </c>
      <c r="F741" s="6">
        <v>56.0</v>
      </c>
      <c r="G741" s="9" t="str">
        <f>VLOOKUP(operations[productID],products[],2,FALSE)</f>
        <v>Gnocchi di nonna Alice</v>
      </c>
      <c r="H741" s="9" t="str">
        <f>IF(VLOOKUP(operations[productID],products[],7,FALSE)=1,"Discontinued","Current")</f>
        <v>Current</v>
      </c>
      <c r="I741" s="6">
        <f>VLOOKUP(operations[productID],products[],4,FALSE)</f>
        <v>21</v>
      </c>
      <c r="J741" s="6">
        <f>VLOOKUP(operations[productID],products[],5,FALSE)</f>
        <v>10</v>
      </c>
      <c r="K741" s="6">
        <f>VLOOKUP(operations[productID],products[],6,FALSE)</f>
        <v>30</v>
      </c>
      <c r="L741" s="10">
        <f t="array" ref="L741">INDEX('1 orders'!I741:I2156, MATCH(1, ('1 orders'!A741:A2156=A741)*('1 orders'!G741:G2156=F741), 0))
</f>
        <v>30</v>
      </c>
      <c r="M741" s="10">
        <f>IFERROR(__xludf.DUMMYFUNCTION("COUNTUNIQUEIFS($A$2:$A741,$F$2:$F741,F741)"),20.0)</f>
        <v>20</v>
      </c>
      <c r="N741" s="10">
        <f t="shared" si="1"/>
        <v>7</v>
      </c>
      <c r="O741" s="26">
        <f>IF(operations[sinceLastOrder]=0,0,operations[orderQuantity] / operations[sinceLastOrder])</f>
        <v>4.285714286</v>
      </c>
      <c r="P741" s="9">
        <v>58.59</v>
      </c>
      <c r="Q741" s="7" t="s">
        <v>17</v>
      </c>
      <c r="R741" s="10">
        <f>operations[arrivedDate]-operations[shippedDate]</f>
        <v>12</v>
      </c>
    </row>
    <row r="742" ht="15.75" customHeight="1">
      <c r="A742" s="6">
        <v>10527.0</v>
      </c>
      <c r="B742" s="24">
        <v>45051.0</v>
      </c>
      <c r="C742" s="24">
        <v>45079.0</v>
      </c>
      <c r="D742" s="24">
        <v>45053.0</v>
      </c>
      <c r="E742" s="24">
        <v>45056.0</v>
      </c>
      <c r="F742" s="6">
        <v>4.0</v>
      </c>
      <c r="G742" s="9" t="str">
        <f>VLOOKUP(operations[productID],products[],2,FALSE)</f>
        <v>Chef Anton's Cajun Seasoning</v>
      </c>
      <c r="H742" s="9" t="str">
        <f>IF(VLOOKUP(operations[productID],products[],7,FALSE)=1,"Discontinued","Current")</f>
        <v>Current</v>
      </c>
      <c r="I742" s="6">
        <f>VLOOKUP(operations[productID],products[],4,FALSE)</f>
        <v>53</v>
      </c>
      <c r="J742" s="6">
        <f>VLOOKUP(operations[productID],products[],5,FALSE)</f>
        <v>0</v>
      </c>
      <c r="K742" s="6">
        <f>VLOOKUP(operations[productID],products[],6,FALSE)</f>
        <v>0</v>
      </c>
      <c r="L742" s="10">
        <f t="array" ref="L742">INDEX('1 orders'!I742:I2156, MATCH(1, ('1 orders'!A742:A2156=A742)*('1 orders'!G742:G2156=F742), 0))
</f>
        <v>50</v>
      </c>
      <c r="M742" s="10">
        <f>IFERROR(__xludf.DUMMYFUNCTION("COUNTUNIQUEIFS($A$2:$A742,$F$2:$F742,F742)"),8.0)</f>
        <v>8</v>
      </c>
      <c r="N742" s="10">
        <f t="shared" si="1"/>
        <v>17</v>
      </c>
      <c r="O742" s="26">
        <f>IF(operations[sinceLastOrder]=0,0,operations[orderQuantity] / operations[sinceLastOrder])</f>
        <v>2.941176471</v>
      </c>
      <c r="P742" s="9">
        <v>41.9</v>
      </c>
      <c r="Q742" s="7" t="s">
        <v>15</v>
      </c>
      <c r="R742" s="10">
        <f>operations[arrivedDate]-operations[shippedDate]</f>
        <v>3</v>
      </c>
    </row>
    <row r="743" ht="15.75" customHeight="1">
      <c r="A743" s="6">
        <v>10527.0</v>
      </c>
      <c r="B743" s="24">
        <v>45051.0</v>
      </c>
      <c r="C743" s="24">
        <v>45079.0</v>
      </c>
      <c r="D743" s="24">
        <v>45053.0</v>
      </c>
      <c r="E743" s="24">
        <v>45056.0</v>
      </c>
      <c r="F743" s="6">
        <v>36.0</v>
      </c>
      <c r="G743" s="9" t="str">
        <f>VLOOKUP(operations[productID],products[],2,FALSE)</f>
        <v>Inlagd Sill</v>
      </c>
      <c r="H743" s="9" t="str">
        <f>IF(VLOOKUP(operations[productID],products[],7,FALSE)=1,"Discontinued","Current")</f>
        <v>Current</v>
      </c>
      <c r="I743" s="6">
        <f>VLOOKUP(operations[productID],products[],4,FALSE)</f>
        <v>112</v>
      </c>
      <c r="J743" s="6">
        <f>VLOOKUP(operations[productID],products[],5,FALSE)</f>
        <v>0</v>
      </c>
      <c r="K743" s="6">
        <f>VLOOKUP(operations[productID],products[],6,FALSE)</f>
        <v>20</v>
      </c>
      <c r="L743" s="10">
        <f t="array" ref="L743">INDEX('1 orders'!I743:I2156, MATCH(1, ('1 orders'!A743:A2156=A743)*('1 orders'!G743:G2156=F743), 0))
</f>
        <v>30</v>
      </c>
      <c r="M743" s="10">
        <f>IFERROR(__xludf.DUMMYFUNCTION("COUNTUNIQUEIFS($A$2:$A743,$F$2:$F743,F743)"),11.0)</f>
        <v>11</v>
      </c>
      <c r="N743" s="10">
        <f t="shared" si="1"/>
        <v>3</v>
      </c>
      <c r="O743" s="26">
        <f>IF(operations[sinceLastOrder]=0,0,operations[orderQuantity] / operations[sinceLastOrder])</f>
        <v>10</v>
      </c>
      <c r="P743" s="9">
        <v>41.9</v>
      </c>
      <c r="Q743" s="7" t="s">
        <v>15</v>
      </c>
      <c r="R743" s="10">
        <f>operations[arrivedDate]-operations[shippedDate]</f>
        <v>3</v>
      </c>
    </row>
    <row r="744" ht="15.75" customHeight="1">
      <c r="A744" s="6">
        <v>10528.0</v>
      </c>
      <c r="B744" s="24">
        <v>45052.0</v>
      </c>
      <c r="C744" s="24">
        <v>45066.0</v>
      </c>
      <c r="D744" s="24">
        <v>45055.0</v>
      </c>
      <c r="E744" s="24">
        <v>45073.0</v>
      </c>
      <c r="F744" s="6">
        <v>11.0</v>
      </c>
      <c r="G744" s="9" t="str">
        <f>VLOOKUP(operations[productID],products[],2,FALSE)</f>
        <v>Queso Cabrales</v>
      </c>
      <c r="H744" s="9" t="str">
        <f>IF(VLOOKUP(operations[productID],products[],7,FALSE)=1,"Discontinued","Current")</f>
        <v>Current</v>
      </c>
      <c r="I744" s="6">
        <f>VLOOKUP(operations[productID],products[],4,FALSE)</f>
        <v>22</v>
      </c>
      <c r="J744" s="6">
        <f>VLOOKUP(operations[productID],products[],5,FALSE)</f>
        <v>30</v>
      </c>
      <c r="K744" s="6">
        <f>VLOOKUP(operations[productID],products[],6,FALSE)</f>
        <v>30</v>
      </c>
      <c r="L744" s="10">
        <f t="array" ref="L744">INDEX('1 orders'!I744:I2156, MATCH(1, ('1 orders'!A744:A2156=A744)*('1 orders'!G744:G2156=F744), 0))
</f>
        <v>3</v>
      </c>
      <c r="M744" s="10">
        <f>IFERROR(__xludf.DUMMYFUNCTION("COUNTUNIQUEIFS($A$2:$A744,$F$2:$F744,F744)"),13.0)</f>
        <v>13</v>
      </c>
      <c r="N744" s="10">
        <f t="shared" si="1"/>
        <v>39</v>
      </c>
      <c r="O744" s="26">
        <f>IF(operations[sinceLastOrder]=0,0,operations[orderQuantity] / operations[sinceLastOrder])</f>
        <v>0.07692307692</v>
      </c>
      <c r="P744" s="9">
        <v>3.35</v>
      </c>
      <c r="Q744" s="7" t="s">
        <v>17</v>
      </c>
      <c r="R744" s="10">
        <f>operations[arrivedDate]-operations[shippedDate]</f>
        <v>18</v>
      </c>
    </row>
    <row r="745" ht="15.75" customHeight="1">
      <c r="A745" s="6">
        <v>10528.0</v>
      </c>
      <c r="B745" s="24">
        <v>45052.0</v>
      </c>
      <c r="C745" s="24">
        <v>45066.0</v>
      </c>
      <c r="D745" s="24">
        <v>45055.0</v>
      </c>
      <c r="E745" s="24">
        <v>45073.0</v>
      </c>
      <c r="F745" s="6">
        <v>33.0</v>
      </c>
      <c r="G745" s="9" t="str">
        <f>VLOOKUP(operations[productID],products[],2,FALSE)</f>
        <v>Geitost</v>
      </c>
      <c r="H745" s="9" t="str">
        <f>IF(VLOOKUP(operations[productID],products[],7,FALSE)=1,"Discontinued","Current")</f>
        <v>Current</v>
      </c>
      <c r="I745" s="6">
        <f>VLOOKUP(operations[productID],products[],4,FALSE)</f>
        <v>112</v>
      </c>
      <c r="J745" s="6">
        <f>VLOOKUP(operations[productID],products[],5,FALSE)</f>
        <v>0</v>
      </c>
      <c r="K745" s="6">
        <f>VLOOKUP(operations[productID],products[],6,FALSE)</f>
        <v>20</v>
      </c>
      <c r="L745" s="10">
        <f t="array" ref="L745">INDEX('1 orders'!I745:I2156, MATCH(1, ('1 orders'!A745:A2156=A745)*('1 orders'!G745:G2156=F745), 0))
</f>
        <v>8</v>
      </c>
      <c r="M745" s="10">
        <f>IFERROR(__xludf.DUMMYFUNCTION("COUNTUNIQUEIFS($A$2:$A745,$F$2:$F745,F745)"),13.0)</f>
        <v>13</v>
      </c>
      <c r="N745" s="10">
        <f t="shared" si="1"/>
        <v>13</v>
      </c>
      <c r="O745" s="26">
        <f>IF(operations[sinceLastOrder]=0,0,operations[orderQuantity] / operations[sinceLastOrder])</f>
        <v>0.6153846154</v>
      </c>
      <c r="P745" s="9">
        <v>3.35</v>
      </c>
      <c r="Q745" s="7" t="s">
        <v>17</v>
      </c>
      <c r="R745" s="10">
        <f>operations[arrivedDate]-operations[shippedDate]</f>
        <v>18</v>
      </c>
    </row>
    <row r="746" ht="15.75" customHeight="1">
      <c r="A746" s="6">
        <v>10528.0</v>
      </c>
      <c r="B746" s="24">
        <v>45052.0</v>
      </c>
      <c r="C746" s="24">
        <v>45066.0</v>
      </c>
      <c r="D746" s="24">
        <v>45055.0</v>
      </c>
      <c r="E746" s="24">
        <v>45073.0</v>
      </c>
      <c r="F746" s="6">
        <v>72.0</v>
      </c>
      <c r="G746" s="9" t="str">
        <f>VLOOKUP(operations[productID],products[],2,FALSE)</f>
        <v>Mozzarella di Giovanni</v>
      </c>
      <c r="H746" s="9" t="str">
        <f>IF(VLOOKUP(operations[productID],products[],7,FALSE)=1,"Discontinued","Current")</f>
        <v>Current</v>
      </c>
      <c r="I746" s="6">
        <f>VLOOKUP(operations[productID],products[],4,FALSE)</f>
        <v>14</v>
      </c>
      <c r="J746" s="6">
        <f>VLOOKUP(operations[productID],products[],5,FALSE)</f>
        <v>0</v>
      </c>
      <c r="K746" s="6">
        <f>VLOOKUP(operations[productID],products[],6,FALSE)</f>
        <v>0</v>
      </c>
      <c r="L746" s="10">
        <f t="array" ref="L746">INDEX('1 orders'!I746:I2156, MATCH(1, ('1 orders'!A746:A2156=A746)*('1 orders'!G746:G2156=F746), 0))
</f>
        <v>9</v>
      </c>
      <c r="M746" s="10">
        <f>IFERROR(__xludf.DUMMYFUNCTION("COUNTUNIQUEIFS($A$2:$A746,$F$2:$F746,F746)"),17.0)</f>
        <v>17</v>
      </c>
      <c r="N746" s="10">
        <f t="shared" si="1"/>
        <v>32</v>
      </c>
      <c r="O746" s="26">
        <f>IF(operations[sinceLastOrder]=0,0,operations[orderQuantity] / operations[sinceLastOrder])</f>
        <v>0.28125</v>
      </c>
      <c r="P746" s="9">
        <v>3.35</v>
      </c>
      <c r="Q746" s="7" t="s">
        <v>17</v>
      </c>
      <c r="R746" s="10">
        <f>operations[arrivedDate]-operations[shippedDate]</f>
        <v>18</v>
      </c>
    </row>
    <row r="747" ht="15.75" customHeight="1">
      <c r="A747" s="6">
        <v>10529.0</v>
      </c>
      <c r="B747" s="24">
        <v>45053.0</v>
      </c>
      <c r="C747" s="24">
        <v>45081.0</v>
      </c>
      <c r="D747" s="24">
        <v>45055.0</v>
      </c>
      <c r="E747" s="24">
        <v>45069.0</v>
      </c>
      <c r="F747" s="6">
        <v>55.0</v>
      </c>
      <c r="G747" s="9" t="str">
        <f>VLOOKUP(operations[productID],products[],2,FALSE)</f>
        <v>Pâté chinois</v>
      </c>
      <c r="H747" s="9" t="str">
        <f>IF(VLOOKUP(operations[productID],products[],7,FALSE)=1,"Discontinued","Current")</f>
        <v>Current</v>
      </c>
      <c r="I747" s="6">
        <f>VLOOKUP(operations[productID],products[],4,FALSE)</f>
        <v>115</v>
      </c>
      <c r="J747" s="6">
        <f>VLOOKUP(operations[productID],products[],5,FALSE)</f>
        <v>0</v>
      </c>
      <c r="K747" s="6">
        <f>VLOOKUP(operations[productID],products[],6,FALSE)</f>
        <v>20</v>
      </c>
      <c r="L747" s="10">
        <f t="array" ref="L747">INDEX('1 orders'!I747:I2156, MATCH(1, ('1 orders'!A747:A2156=A747)*('1 orders'!G747:G2156=F747), 0))
</f>
        <v>14</v>
      </c>
      <c r="M747" s="10">
        <f>IFERROR(__xludf.DUMMYFUNCTION("COUNTUNIQUEIFS($A$2:$A747,$F$2:$F747,F747)"),12.0)</f>
        <v>12</v>
      </c>
      <c r="N747" s="10">
        <f t="shared" si="1"/>
        <v>43</v>
      </c>
      <c r="O747" s="26">
        <f>IF(operations[sinceLastOrder]=0,0,operations[orderQuantity] / operations[sinceLastOrder])</f>
        <v>0.3255813953</v>
      </c>
      <c r="P747" s="9">
        <v>66.69</v>
      </c>
      <c r="Q747" s="7" t="s">
        <v>17</v>
      </c>
      <c r="R747" s="10">
        <f>operations[arrivedDate]-operations[shippedDate]</f>
        <v>14</v>
      </c>
    </row>
    <row r="748" ht="15.75" customHeight="1">
      <c r="A748" s="6">
        <v>10529.0</v>
      </c>
      <c r="B748" s="24">
        <v>45053.0</v>
      </c>
      <c r="C748" s="24">
        <v>45081.0</v>
      </c>
      <c r="D748" s="24">
        <v>45055.0</v>
      </c>
      <c r="E748" s="24">
        <v>45069.0</v>
      </c>
      <c r="F748" s="6">
        <v>68.0</v>
      </c>
      <c r="G748" s="9" t="str">
        <f>VLOOKUP(operations[productID],products[],2,FALSE)</f>
        <v>Scottish Longbreads</v>
      </c>
      <c r="H748" s="9" t="str">
        <f>IF(VLOOKUP(operations[productID],products[],7,FALSE)=1,"Discontinued","Current")</f>
        <v>Current</v>
      </c>
      <c r="I748" s="6">
        <f>VLOOKUP(operations[productID],products[],4,FALSE)</f>
        <v>6</v>
      </c>
      <c r="J748" s="6">
        <f>VLOOKUP(operations[productID],products[],5,FALSE)</f>
        <v>10</v>
      </c>
      <c r="K748" s="6">
        <f>VLOOKUP(operations[productID],products[],6,FALSE)</f>
        <v>15</v>
      </c>
      <c r="L748" s="10">
        <f t="array" ref="L748">INDEX('1 orders'!I748:I2156, MATCH(1, ('1 orders'!A748:A2156=A748)*('1 orders'!G748:G2156=F748), 0))
</f>
        <v>20</v>
      </c>
      <c r="M748" s="10">
        <f>IFERROR(__xludf.DUMMYFUNCTION("COUNTUNIQUEIFS($A$2:$A748,$F$2:$F748,F748)"),15.0)</f>
        <v>15</v>
      </c>
      <c r="N748" s="10">
        <f t="shared" si="1"/>
        <v>8</v>
      </c>
      <c r="O748" s="26">
        <f>IF(operations[sinceLastOrder]=0,0,operations[orderQuantity] / operations[sinceLastOrder])</f>
        <v>2.5</v>
      </c>
      <c r="P748" s="9">
        <v>66.69</v>
      </c>
      <c r="Q748" s="7" t="s">
        <v>17</v>
      </c>
      <c r="R748" s="10">
        <f>operations[arrivedDate]-operations[shippedDate]</f>
        <v>14</v>
      </c>
    </row>
    <row r="749" ht="15.75" customHeight="1">
      <c r="A749" s="6">
        <v>10529.0</v>
      </c>
      <c r="B749" s="24">
        <v>45053.0</v>
      </c>
      <c r="C749" s="24">
        <v>45081.0</v>
      </c>
      <c r="D749" s="24">
        <v>45055.0</v>
      </c>
      <c r="E749" s="24">
        <v>45069.0</v>
      </c>
      <c r="F749" s="6">
        <v>69.0</v>
      </c>
      <c r="G749" s="9" t="str">
        <f>VLOOKUP(operations[productID],products[],2,FALSE)</f>
        <v>Gudbrandsdalsost</v>
      </c>
      <c r="H749" s="9" t="str">
        <f>IF(VLOOKUP(operations[productID],products[],7,FALSE)=1,"Discontinued","Current")</f>
        <v>Current</v>
      </c>
      <c r="I749" s="6">
        <f>VLOOKUP(operations[productID],products[],4,FALSE)</f>
        <v>26</v>
      </c>
      <c r="J749" s="6">
        <f>VLOOKUP(operations[productID],products[],5,FALSE)</f>
        <v>0</v>
      </c>
      <c r="K749" s="6">
        <f>VLOOKUP(operations[productID],products[],6,FALSE)</f>
        <v>15</v>
      </c>
      <c r="L749" s="10">
        <f t="array" ref="L749">INDEX('1 orders'!I749:I2156, MATCH(1, ('1 orders'!A749:A2156=A749)*('1 orders'!G749:G2156=F749), 0))
</f>
        <v>10</v>
      </c>
      <c r="M749" s="10">
        <f>IFERROR(__xludf.DUMMYFUNCTION("COUNTUNIQUEIFS($A$2:$A749,$F$2:$F749,F749)"),12.0)</f>
        <v>12</v>
      </c>
      <c r="N749" s="10">
        <f t="shared" si="1"/>
        <v>35</v>
      </c>
      <c r="O749" s="26">
        <f>IF(operations[sinceLastOrder]=0,0,operations[orderQuantity] / operations[sinceLastOrder])</f>
        <v>0.2857142857</v>
      </c>
      <c r="P749" s="9">
        <v>66.69</v>
      </c>
      <c r="Q749" s="7" t="s">
        <v>17</v>
      </c>
      <c r="R749" s="10">
        <f>operations[arrivedDate]-operations[shippedDate]</f>
        <v>14</v>
      </c>
    </row>
    <row r="750" ht="15.75" customHeight="1">
      <c r="A750" s="6">
        <v>10530.0</v>
      </c>
      <c r="B750" s="24">
        <v>45054.0</v>
      </c>
      <c r="C750" s="24">
        <v>45082.0</v>
      </c>
      <c r="D750" s="24">
        <v>45058.0</v>
      </c>
      <c r="E750" s="24">
        <v>45074.0</v>
      </c>
      <c r="F750" s="6">
        <v>17.0</v>
      </c>
      <c r="G750" s="9" t="str">
        <f>VLOOKUP(operations[productID],products[],2,FALSE)</f>
        <v>Alice Mutton</v>
      </c>
      <c r="H750" s="9" t="str">
        <f>IF(VLOOKUP(operations[productID],products[],7,FALSE)=1,"Discontinued","Current")</f>
        <v>Discontinued</v>
      </c>
      <c r="I750" s="6">
        <f>VLOOKUP(operations[productID],products[],4,FALSE)</f>
        <v>0</v>
      </c>
      <c r="J750" s="6">
        <f>VLOOKUP(operations[productID],products[],5,FALSE)</f>
        <v>0</v>
      </c>
      <c r="K750" s="6">
        <f>VLOOKUP(operations[productID],products[],6,FALSE)</f>
        <v>0</v>
      </c>
      <c r="L750" s="10">
        <f t="array" ref="L750">INDEX('1 orders'!I750:I2156, MATCH(1, ('1 orders'!A750:A2156=A750)*('1 orders'!G750:G2156=F750), 0))
</f>
        <v>40</v>
      </c>
      <c r="M750" s="10">
        <f>IFERROR(__xludf.DUMMYFUNCTION("COUNTUNIQUEIFS($A$2:$A750,$F$2:$F750,F750)"),14.0)</f>
        <v>14</v>
      </c>
      <c r="N750" s="10">
        <f t="shared" si="1"/>
        <v>7</v>
      </c>
      <c r="O750" s="26">
        <f>IF(operations[sinceLastOrder]=0,0,operations[orderQuantity] / operations[sinceLastOrder])</f>
        <v>5.714285714</v>
      </c>
      <c r="P750" s="9">
        <v>339.22</v>
      </c>
      <c r="Q750" s="7" t="s">
        <v>17</v>
      </c>
      <c r="R750" s="10">
        <f>operations[arrivedDate]-operations[shippedDate]</f>
        <v>16</v>
      </c>
    </row>
    <row r="751" ht="15.75" customHeight="1">
      <c r="A751" s="6">
        <v>10530.0</v>
      </c>
      <c r="B751" s="24">
        <v>45054.0</v>
      </c>
      <c r="C751" s="24">
        <v>45082.0</v>
      </c>
      <c r="D751" s="24">
        <v>45058.0</v>
      </c>
      <c r="E751" s="24">
        <v>45074.0</v>
      </c>
      <c r="F751" s="6">
        <v>43.0</v>
      </c>
      <c r="G751" s="9" t="str">
        <f>VLOOKUP(operations[productID],products[],2,FALSE)</f>
        <v>Ipoh Coffee</v>
      </c>
      <c r="H751" s="9" t="str">
        <f>IF(VLOOKUP(operations[productID],products[],7,FALSE)=1,"Discontinued","Current")</f>
        <v>Current</v>
      </c>
      <c r="I751" s="6">
        <f>VLOOKUP(operations[productID],products[],4,FALSE)</f>
        <v>17</v>
      </c>
      <c r="J751" s="6">
        <f>VLOOKUP(operations[productID],products[],5,FALSE)</f>
        <v>10</v>
      </c>
      <c r="K751" s="6">
        <f>VLOOKUP(operations[productID],products[],6,FALSE)</f>
        <v>25</v>
      </c>
      <c r="L751" s="10">
        <f t="array" ref="L751">INDEX('1 orders'!I751:I2156, MATCH(1, ('1 orders'!A751:A2156=A751)*('1 orders'!G751:G2156=F751), 0))
</f>
        <v>25</v>
      </c>
      <c r="M751" s="10">
        <f>IFERROR(__xludf.DUMMYFUNCTION("COUNTUNIQUEIFS($A$2:$A751,$F$2:$F751,F751)"),12.0)</f>
        <v>12</v>
      </c>
      <c r="N751" s="10">
        <f t="shared" si="1"/>
        <v>7</v>
      </c>
      <c r="O751" s="26">
        <f>IF(operations[sinceLastOrder]=0,0,operations[orderQuantity] / operations[sinceLastOrder])</f>
        <v>3.571428571</v>
      </c>
      <c r="P751" s="9">
        <v>339.22</v>
      </c>
      <c r="Q751" s="7" t="s">
        <v>17</v>
      </c>
      <c r="R751" s="10">
        <f>operations[arrivedDate]-operations[shippedDate]</f>
        <v>16</v>
      </c>
    </row>
    <row r="752" ht="15.75" customHeight="1">
      <c r="A752" s="6">
        <v>10530.0</v>
      </c>
      <c r="B752" s="24">
        <v>45054.0</v>
      </c>
      <c r="C752" s="24">
        <v>45082.0</v>
      </c>
      <c r="D752" s="24">
        <v>45058.0</v>
      </c>
      <c r="E752" s="24">
        <v>45074.0</v>
      </c>
      <c r="F752" s="6">
        <v>61.0</v>
      </c>
      <c r="G752" s="9" t="str">
        <f>VLOOKUP(operations[productID],products[],2,FALSE)</f>
        <v>Sirop d'érable</v>
      </c>
      <c r="H752" s="9" t="str">
        <f>IF(VLOOKUP(operations[productID],products[],7,FALSE)=1,"Discontinued","Current")</f>
        <v>Current</v>
      </c>
      <c r="I752" s="6">
        <f>VLOOKUP(operations[productID],products[],4,FALSE)</f>
        <v>113</v>
      </c>
      <c r="J752" s="6">
        <f>VLOOKUP(operations[productID],products[],5,FALSE)</f>
        <v>0</v>
      </c>
      <c r="K752" s="6">
        <f>VLOOKUP(operations[productID],products[],6,FALSE)</f>
        <v>25</v>
      </c>
      <c r="L752" s="10">
        <f t="array" ref="L752">INDEX('1 orders'!I752:I2156, MATCH(1, ('1 orders'!A752:A2156=A752)*('1 orders'!G752:G2156=F752), 0))
</f>
        <v>20</v>
      </c>
      <c r="M752" s="10">
        <f>IFERROR(__xludf.DUMMYFUNCTION("COUNTUNIQUEIFS($A$2:$A752,$F$2:$F752,F752)"),6.0)</f>
        <v>6</v>
      </c>
      <c r="N752" s="10">
        <f t="shared" si="1"/>
        <v>16</v>
      </c>
      <c r="O752" s="26">
        <f>IF(operations[sinceLastOrder]=0,0,operations[orderQuantity] / operations[sinceLastOrder])</f>
        <v>1.25</v>
      </c>
      <c r="P752" s="9">
        <v>339.22</v>
      </c>
      <c r="Q752" s="7" t="s">
        <v>17</v>
      </c>
      <c r="R752" s="10">
        <f>operations[arrivedDate]-operations[shippedDate]</f>
        <v>16</v>
      </c>
    </row>
    <row r="753" ht="15.75" customHeight="1">
      <c r="A753" s="6">
        <v>10530.0</v>
      </c>
      <c r="B753" s="24">
        <v>45054.0</v>
      </c>
      <c r="C753" s="24">
        <v>45082.0</v>
      </c>
      <c r="D753" s="24">
        <v>45058.0</v>
      </c>
      <c r="E753" s="24">
        <v>45074.0</v>
      </c>
      <c r="F753" s="6">
        <v>76.0</v>
      </c>
      <c r="G753" s="9" t="str">
        <f>VLOOKUP(operations[productID],products[],2,FALSE)</f>
        <v>Lakkalikööri</v>
      </c>
      <c r="H753" s="9" t="str">
        <f>IF(VLOOKUP(operations[productID],products[],7,FALSE)=1,"Discontinued","Current")</f>
        <v>Current</v>
      </c>
      <c r="I753" s="6">
        <f>VLOOKUP(operations[productID],products[],4,FALSE)</f>
        <v>57</v>
      </c>
      <c r="J753" s="6">
        <f>VLOOKUP(operations[productID],products[],5,FALSE)</f>
        <v>0</v>
      </c>
      <c r="K753" s="6">
        <f>VLOOKUP(operations[productID],products[],6,FALSE)</f>
        <v>20</v>
      </c>
      <c r="L753" s="10">
        <f t="array" ref="L753">INDEX('1 orders'!I753:I2156, MATCH(1, ('1 orders'!A753:A2156=A753)*('1 orders'!G753:G2156=F753), 0))
</f>
        <v>50</v>
      </c>
      <c r="M753" s="10">
        <f>IFERROR(__xludf.DUMMYFUNCTION("COUNTUNIQUEIFS($A$2:$A753,$F$2:$F753,F753)"),12.0)</f>
        <v>12</v>
      </c>
      <c r="N753" s="10">
        <f t="shared" si="1"/>
        <v>55</v>
      </c>
      <c r="O753" s="26">
        <f>IF(operations[sinceLastOrder]=0,0,operations[orderQuantity] / operations[sinceLastOrder])</f>
        <v>0.9090909091</v>
      </c>
      <c r="P753" s="9">
        <v>339.22</v>
      </c>
      <c r="Q753" s="7" t="s">
        <v>17</v>
      </c>
      <c r="R753" s="10">
        <f>operations[arrivedDate]-operations[shippedDate]</f>
        <v>16</v>
      </c>
    </row>
    <row r="754" ht="15.75" customHeight="1">
      <c r="A754" s="6">
        <v>10531.0</v>
      </c>
      <c r="B754" s="24">
        <v>45054.0</v>
      </c>
      <c r="C754" s="24">
        <v>45082.0</v>
      </c>
      <c r="D754" s="24">
        <v>45065.0</v>
      </c>
      <c r="E754" s="24">
        <v>45074.0</v>
      </c>
      <c r="F754" s="6">
        <v>59.0</v>
      </c>
      <c r="G754" s="9" t="str">
        <f>VLOOKUP(operations[productID],products[],2,FALSE)</f>
        <v>Raclette Courdavault</v>
      </c>
      <c r="H754" s="9" t="str">
        <f>IF(VLOOKUP(operations[productID],products[],7,FALSE)=1,"Discontinued","Current")</f>
        <v>Current</v>
      </c>
      <c r="I754" s="6">
        <f>VLOOKUP(operations[productID],products[],4,FALSE)</f>
        <v>79</v>
      </c>
      <c r="J754" s="6">
        <f>VLOOKUP(operations[productID],products[],5,FALSE)</f>
        <v>0</v>
      </c>
      <c r="K754" s="6">
        <f>VLOOKUP(operations[productID],products[],6,FALSE)</f>
        <v>0</v>
      </c>
      <c r="L754" s="10">
        <f t="array" ref="L754">INDEX('1 orders'!I754:I2156, MATCH(1, ('1 orders'!A754:A2156=A754)*('1 orders'!G754:G2156=F754), 0))
</f>
        <v>2</v>
      </c>
      <c r="M754" s="10">
        <f>IFERROR(__xludf.DUMMYFUNCTION("COUNTUNIQUEIFS($A$2:$A754,$F$2:$F754,F754)"),21.0)</f>
        <v>21</v>
      </c>
      <c r="N754" s="10">
        <f t="shared" si="1"/>
        <v>14</v>
      </c>
      <c r="O754" s="26">
        <f>IF(operations[sinceLastOrder]=0,0,operations[orderQuantity] / operations[sinceLastOrder])</f>
        <v>0.1428571429</v>
      </c>
      <c r="P754" s="9">
        <v>8.12</v>
      </c>
      <c r="Q754" s="7" t="s">
        <v>15</v>
      </c>
      <c r="R754" s="10">
        <f>operations[arrivedDate]-operations[shippedDate]</f>
        <v>9</v>
      </c>
    </row>
    <row r="755" ht="15.75" customHeight="1">
      <c r="A755" s="6">
        <v>10532.0</v>
      </c>
      <c r="B755" s="24">
        <v>45055.0</v>
      </c>
      <c r="C755" s="24">
        <v>45083.0</v>
      </c>
      <c r="D755" s="24">
        <v>45058.0</v>
      </c>
      <c r="E755" s="24">
        <v>45067.0</v>
      </c>
      <c r="F755" s="6">
        <v>30.0</v>
      </c>
      <c r="G755" s="9" t="str">
        <f>VLOOKUP(operations[productID],products[],2,FALSE)</f>
        <v>Nord-Ost Matjeshering</v>
      </c>
      <c r="H755" s="9" t="str">
        <f>IF(VLOOKUP(operations[productID],products[],7,FALSE)=1,"Discontinued","Current")</f>
        <v>Current</v>
      </c>
      <c r="I755" s="6">
        <f>VLOOKUP(operations[productID],products[],4,FALSE)</f>
        <v>10</v>
      </c>
      <c r="J755" s="6">
        <f>VLOOKUP(operations[productID],products[],5,FALSE)</f>
        <v>0</v>
      </c>
      <c r="K755" s="6">
        <f>VLOOKUP(operations[productID],products[],6,FALSE)</f>
        <v>15</v>
      </c>
      <c r="L755" s="10">
        <f t="array" ref="L755">INDEX('1 orders'!I755:I2156, MATCH(1, ('1 orders'!A755:A2156=A755)*('1 orders'!G755:G2156=F755), 0))
</f>
        <v>15</v>
      </c>
      <c r="M755" s="10">
        <f>IFERROR(__xludf.DUMMYFUNCTION("COUNTUNIQUEIFS($A$2:$A755,$F$2:$F755,F755)"),13.0)</f>
        <v>13</v>
      </c>
      <c r="N755" s="10">
        <f t="shared" si="1"/>
        <v>8</v>
      </c>
      <c r="O755" s="26">
        <f>IF(operations[sinceLastOrder]=0,0,operations[orderQuantity] / operations[sinceLastOrder])</f>
        <v>1.875</v>
      </c>
      <c r="P755" s="9">
        <v>74.46</v>
      </c>
      <c r="Q755" s="7" t="s">
        <v>13</v>
      </c>
      <c r="R755" s="10">
        <f>operations[arrivedDate]-operations[shippedDate]</f>
        <v>9</v>
      </c>
    </row>
    <row r="756" ht="15.75" customHeight="1">
      <c r="A756" s="6">
        <v>10532.0</v>
      </c>
      <c r="B756" s="24">
        <v>45055.0</v>
      </c>
      <c r="C756" s="24">
        <v>45083.0</v>
      </c>
      <c r="D756" s="24">
        <v>45058.0</v>
      </c>
      <c r="E756" s="24">
        <v>45067.0</v>
      </c>
      <c r="F756" s="6">
        <v>66.0</v>
      </c>
      <c r="G756" s="9" t="str">
        <f>VLOOKUP(operations[productID],products[],2,FALSE)</f>
        <v>Louisiana Hot Spiced Okra</v>
      </c>
      <c r="H756" s="9" t="str">
        <f>IF(VLOOKUP(operations[productID],products[],7,FALSE)=1,"Discontinued","Current")</f>
        <v>Current</v>
      </c>
      <c r="I756" s="6">
        <f>VLOOKUP(operations[productID],products[],4,FALSE)</f>
        <v>4</v>
      </c>
      <c r="J756" s="6">
        <f>VLOOKUP(operations[productID],products[],5,FALSE)</f>
        <v>100</v>
      </c>
      <c r="K756" s="6">
        <f>VLOOKUP(operations[productID],products[],6,FALSE)</f>
        <v>20</v>
      </c>
      <c r="L756" s="10">
        <f t="array" ref="L756">INDEX('1 orders'!I756:I2156, MATCH(1, ('1 orders'!A756:A2156=A756)*('1 orders'!G756:G2156=F756), 0))
</f>
        <v>24</v>
      </c>
      <c r="M756" s="10">
        <f>IFERROR(__xludf.DUMMYFUNCTION("COUNTUNIQUEIFS($A$2:$A756,$F$2:$F756,F756)"),5.0)</f>
        <v>5</v>
      </c>
      <c r="N756" s="10">
        <f t="shared" si="1"/>
        <v>37</v>
      </c>
      <c r="O756" s="26">
        <f>IF(operations[sinceLastOrder]=0,0,operations[orderQuantity] / operations[sinceLastOrder])</f>
        <v>0.6486486486</v>
      </c>
      <c r="P756" s="9">
        <v>74.46</v>
      </c>
      <c r="Q756" s="7" t="s">
        <v>13</v>
      </c>
      <c r="R756" s="10">
        <f>operations[arrivedDate]-operations[shippedDate]</f>
        <v>9</v>
      </c>
    </row>
    <row r="757" ht="15.75" customHeight="1">
      <c r="A757" s="6">
        <v>10533.0</v>
      </c>
      <c r="B757" s="24">
        <v>45058.0</v>
      </c>
      <c r="C757" s="24">
        <v>45086.0</v>
      </c>
      <c r="D757" s="24">
        <v>45068.0</v>
      </c>
      <c r="E757" s="24">
        <v>45076.0</v>
      </c>
      <c r="F757" s="6">
        <v>4.0</v>
      </c>
      <c r="G757" s="9" t="str">
        <f>VLOOKUP(operations[productID],products[],2,FALSE)</f>
        <v>Chef Anton's Cajun Seasoning</v>
      </c>
      <c r="H757" s="9" t="str">
        <f>IF(VLOOKUP(operations[productID],products[],7,FALSE)=1,"Discontinued","Current")</f>
        <v>Current</v>
      </c>
      <c r="I757" s="6">
        <f>VLOOKUP(operations[productID],products[],4,FALSE)</f>
        <v>53</v>
      </c>
      <c r="J757" s="6">
        <f>VLOOKUP(operations[productID],products[],5,FALSE)</f>
        <v>0</v>
      </c>
      <c r="K757" s="6">
        <f>VLOOKUP(operations[productID],products[],6,FALSE)</f>
        <v>0</v>
      </c>
      <c r="L757" s="10">
        <f t="array" ref="L757">INDEX('1 orders'!I757:I2156, MATCH(1, ('1 orders'!A757:A2156=A757)*('1 orders'!G757:G2156=F757), 0))
</f>
        <v>50</v>
      </c>
      <c r="M757" s="10">
        <f>IFERROR(__xludf.DUMMYFUNCTION("COUNTUNIQUEIFS($A$2:$A757,$F$2:$F757,F757)"),9.0)</f>
        <v>9</v>
      </c>
      <c r="N757" s="10">
        <f t="shared" si="1"/>
        <v>7</v>
      </c>
      <c r="O757" s="26">
        <f>IF(operations[sinceLastOrder]=0,0,operations[orderQuantity] / operations[sinceLastOrder])</f>
        <v>7.142857143</v>
      </c>
      <c r="P757" s="9">
        <v>188.04</v>
      </c>
      <c r="Q757" s="7" t="s">
        <v>15</v>
      </c>
      <c r="R757" s="10">
        <f>operations[arrivedDate]-operations[shippedDate]</f>
        <v>8</v>
      </c>
    </row>
    <row r="758" ht="15.75" customHeight="1">
      <c r="A758" s="6">
        <v>10533.0</v>
      </c>
      <c r="B758" s="24">
        <v>45058.0</v>
      </c>
      <c r="C758" s="24">
        <v>45086.0</v>
      </c>
      <c r="D758" s="24">
        <v>45068.0</v>
      </c>
      <c r="E758" s="24">
        <v>45076.0</v>
      </c>
      <c r="F758" s="6">
        <v>72.0</v>
      </c>
      <c r="G758" s="9" t="str">
        <f>VLOOKUP(operations[productID],products[],2,FALSE)</f>
        <v>Mozzarella di Giovanni</v>
      </c>
      <c r="H758" s="9" t="str">
        <f>IF(VLOOKUP(operations[productID],products[],7,FALSE)=1,"Discontinued","Current")</f>
        <v>Current</v>
      </c>
      <c r="I758" s="6">
        <f>VLOOKUP(operations[productID],products[],4,FALSE)</f>
        <v>14</v>
      </c>
      <c r="J758" s="6">
        <f>VLOOKUP(operations[productID],products[],5,FALSE)</f>
        <v>0</v>
      </c>
      <c r="K758" s="6">
        <f>VLOOKUP(operations[productID],products[],6,FALSE)</f>
        <v>0</v>
      </c>
      <c r="L758" s="10">
        <f t="array" ref="L758">INDEX('1 orders'!I758:I2156, MATCH(1, ('1 orders'!A758:A2156=A758)*('1 orders'!G758:G2156=F758), 0))
</f>
        <v>24</v>
      </c>
      <c r="M758" s="10">
        <f>IFERROR(__xludf.DUMMYFUNCTION("COUNTUNIQUEIFS($A$2:$A758,$F$2:$F758,F758)"),18.0)</f>
        <v>18</v>
      </c>
      <c r="N758" s="10">
        <f t="shared" si="1"/>
        <v>6</v>
      </c>
      <c r="O758" s="26">
        <f>IF(operations[sinceLastOrder]=0,0,operations[orderQuantity] / operations[sinceLastOrder])</f>
        <v>4</v>
      </c>
      <c r="P758" s="9">
        <v>188.04</v>
      </c>
      <c r="Q758" s="7" t="s">
        <v>15</v>
      </c>
      <c r="R758" s="10">
        <f>operations[arrivedDate]-operations[shippedDate]</f>
        <v>8</v>
      </c>
    </row>
    <row r="759" ht="15.75" customHeight="1">
      <c r="A759" s="6">
        <v>10533.0</v>
      </c>
      <c r="B759" s="24">
        <v>45058.0</v>
      </c>
      <c r="C759" s="24">
        <v>45086.0</v>
      </c>
      <c r="D759" s="24">
        <v>45068.0</v>
      </c>
      <c r="E759" s="24">
        <v>45076.0</v>
      </c>
      <c r="F759" s="6">
        <v>73.0</v>
      </c>
      <c r="G759" s="9" t="str">
        <f>VLOOKUP(operations[productID],products[],2,FALSE)</f>
        <v>Röd Kaviar</v>
      </c>
      <c r="H759" s="9" t="str">
        <f>IF(VLOOKUP(operations[productID],products[],7,FALSE)=1,"Discontinued","Current")</f>
        <v>Current</v>
      </c>
      <c r="I759" s="6">
        <f>VLOOKUP(operations[productID],products[],4,FALSE)</f>
        <v>101</v>
      </c>
      <c r="J759" s="6">
        <f>VLOOKUP(operations[productID],products[],5,FALSE)</f>
        <v>0</v>
      </c>
      <c r="K759" s="6">
        <f>VLOOKUP(operations[productID],products[],6,FALSE)</f>
        <v>5</v>
      </c>
      <c r="L759" s="10">
        <f t="array" ref="L759">INDEX('1 orders'!I759:I2156, MATCH(1, ('1 orders'!A759:A2156=A759)*('1 orders'!G759:G2156=F759), 0))
</f>
        <v>24</v>
      </c>
      <c r="M759" s="10">
        <f>IFERROR(__xludf.DUMMYFUNCTION("COUNTUNIQUEIFS($A$2:$A759,$F$2:$F759,F759)"),4.0)</f>
        <v>4</v>
      </c>
      <c r="N759" s="10">
        <f t="shared" si="1"/>
        <v>46</v>
      </c>
      <c r="O759" s="26">
        <f>IF(operations[sinceLastOrder]=0,0,operations[orderQuantity] / operations[sinceLastOrder])</f>
        <v>0.5217391304</v>
      </c>
      <c r="P759" s="9">
        <v>188.04</v>
      </c>
      <c r="Q759" s="7" t="s">
        <v>15</v>
      </c>
      <c r="R759" s="10">
        <f>operations[arrivedDate]-operations[shippedDate]</f>
        <v>8</v>
      </c>
    </row>
    <row r="760" ht="15.75" customHeight="1">
      <c r="A760" s="6">
        <v>10534.0</v>
      </c>
      <c r="B760" s="24">
        <v>45058.0</v>
      </c>
      <c r="C760" s="24">
        <v>45086.0</v>
      </c>
      <c r="D760" s="24">
        <v>45060.0</v>
      </c>
      <c r="E760" s="24">
        <v>45069.0</v>
      </c>
      <c r="F760" s="6">
        <v>30.0</v>
      </c>
      <c r="G760" s="9" t="str">
        <f>VLOOKUP(operations[productID],products[],2,FALSE)</f>
        <v>Nord-Ost Matjeshering</v>
      </c>
      <c r="H760" s="9" t="str">
        <f>IF(VLOOKUP(operations[productID],products[],7,FALSE)=1,"Discontinued","Current")</f>
        <v>Current</v>
      </c>
      <c r="I760" s="6">
        <f>VLOOKUP(operations[productID],products[],4,FALSE)</f>
        <v>10</v>
      </c>
      <c r="J760" s="6">
        <f>VLOOKUP(operations[productID],products[],5,FALSE)</f>
        <v>0</v>
      </c>
      <c r="K760" s="6">
        <f>VLOOKUP(operations[productID],products[],6,FALSE)</f>
        <v>15</v>
      </c>
      <c r="L760" s="10">
        <f t="array" ref="L760">INDEX('1 orders'!I760:I2156, MATCH(1, ('1 orders'!A760:A2156=A760)*('1 orders'!G760:G2156=F760), 0))
</f>
        <v>10</v>
      </c>
      <c r="M760" s="10">
        <f>IFERROR(__xludf.DUMMYFUNCTION("COUNTUNIQUEIFS($A$2:$A760,$F$2:$F760,F760)"),14.0)</f>
        <v>14</v>
      </c>
      <c r="N760" s="10">
        <f t="shared" si="1"/>
        <v>3</v>
      </c>
      <c r="O760" s="26">
        <f>IF(operations[sinceLastOrder]=0,0,operations[orderQuantity] / operations[sinceLastOrder])</f>
        <v>3.333333333</v>
      </c>
      <c r="P760" s="9">
        <v>27.94</v>
      </c>
      <c r="Q760" s="7" t="s">
        <v>17</v>
      </c>
      <c r="R760" s="10">
        <f>operations[arrivedDate]-operations[shippedDate]</f>
        <v>9</v>
      </c>
    </row>
    <row r="761" ht="15.75" customHeight="1">
      <c r="A761" s="6">
        <v>10534.0</v>
      </c>
      <c r="B761" s="24">
        <v>45058.0</v>
      </c>
      <c r="C761" s="24">
        <v>45086.0</v>
      </c>
      <c r="D761" s="24">
        <v>45060.0</v>
      </c>
      <c r="E761" s="24">
        <v>45069.0</v>
      </c>
      <c r="F761" s="6">
        <v>40.0</v>
      </c>
      <c r="G761" s="9" t="str">
        <f>VLOOKUP(operations[productID],products[],2,FALSE)</f>
        <v>Boston Crab Meat</v>
      </c>
      <c r="H761" s="9" t="str">
        <f>IF(VLOOKUP(operations[productID],products[],7,FALSE)=1,"Discontinued","Current")</f>
        <v>Current</v>
      </c>
      <c r="I761" s="6">
        <f>VLOOKUP(operations[productID],products[],4,FALSE)</f>
        <v>123</v>
      </c>
      <c r="J761" s="6">
        <f>VLOOKUP(operations[productID],products[],5,FALSE)</f>
        <v>0</v>
      </c>
      <c r="K761" s="6">
        <f>VLOOKUP(operations[productID],products[],6,FALSE)</f>
        <v>30</v>
      </c>
      <c r="L761" s="10">
        <f t="array" ref="L761">INDEX('1 orders'!I761:I2156, MATCH(1, ('1 orders'!A761:A2156=A761)*('1 orders'!G761:G2156=F761), 0))
</f>
        <v>10</v>
      </c>
      <c r="M761" s="10">
        <f>IFERROR(__xludf.DUMMYFUNCTION("COUNTUNIQUEIFS($A$2:$A761,$F$2:$F761,F761)"),17.0)</f>
        <v>17</v>
      </c>
      <c r="N761" s="10">
        <f t="shared" si="1"/>
        <v>10</v>
      </c>
      <c r="O761" s="26">
        <f>IF(operations[sinceLastOrder]=0,0,operations[orderQuantity] / operations[sinceLastOrder])</f>
        <v>1</v>
      </c>
      <c r="P761" s="9">
        <v>27.94</v>
      </c>
      <c r="Q761" s="7" t="s">
        <v>17</v>
      </c>
      <c r="R761" s="10">
        <f>operations[arrivedDate]-operations[shippedDate]</f>
        <v>9</v>
      </c>
    </row>
    <row r="762" ht="15.75" customHeight="1">
      <c r="A762" s="6">
        <v>10534.0</v>
      </c>
      <c r="B762" s="24">
        <v>45058.0</v>
      </c>
      <c r="C762" s="24">
        <v>45086.0</v>
      </c>
      <c r="D762" s="24">
        <v>45060.0</v>
      </c>
      <c r="E762" s="24">
        <v>45069.0</v>
      </c>
      <c r="F762" s="6">
        <v>54.0</v>
      </c>
      <c r="G762" s="9" t="str">
        <f>VLOOKUP(operations[productID],products[],2,FALSE)</f>
        <v>Tourtière</v>
      </c>
      <c r="H762" s="9" t="str">
        <f>IF(VLOOKUP(operations[productID],products[],7,FALSE)=1,"Discontinued","Current")</f>
        <v>Current</v>
      </c>
      <c r="I762" s="6">
        <f>VLOOKUP(operations[productID],products[],4,FALSE)</f>
        <v>21</v>
      </c>
      <c r="J762" s="6">
        <f>VLOOKUP(operations[productID],products[],5,FALSE)</f>
        <v>0</v>
      </c>
      <c r="K762" s="6">
        <f>VLOOKUP(operations[productID],products[],6,FALSE)</f>
        <v>10</v>
      </c>
      <c r="L762" s="10">
        <f t="array" ref="L762">INDEX('1 orders'!I762:I2156, MATCH(1, ('1 orders'!A762:A2156=A762)*('1 orders'!G762:G2156=F762), 0))
</f>
        <v>10</v>
      </c>
      <c r="M762" s="10">
        <f>IFERROR(__xludf.DUMMYFUNCTION("COUNTUNIQUEIFS($A$2:$A762,$F$2:$F762,F762)"),18.0)</f>
        <v>18</v>
      </c>
      <c r="N762" s="10">
        <f t="shared" si="1"/>
        <v>11</v>
      </c>
      <c r="O762" s="26">
        <f>IF(operations[sinceLastOrder]=0,0,operations[orderQuantity] / operations[sinceLastOrder])</f>
        <v>0.9090909091</v>
      </c>
      <c r="P762" s="9">
        <v>27.94</v>
      </c>
      <c r="Q762" s="7" t="s">
        <v>17</v>
      </c>
      <c r="R762" s="10">
        <f>operations[arrivedDate]-operations[shippedDate]</f>
        <v>9</v>
      </c>
    </row>
    <row r="763" ht="15.75" customHeight="1">
      <c r="A763" s="6">
        <v>10535.0</v>
      </c>
      <c r="B763" s="24">
        <v>45059.0</v>
      </c>
      <c r="C763" s="24">
        <v>45087.0</v>
      </c>
      <c r="D763" s="24">
        <v>45067.0</v>
      </c>
      <c r="E763" s="24">
        <v>45078.0</v>
      </c>
      <c r="F763" s="6">
        <v>11.0</v>
      </c>
      <c r="G763" s="9" t="str">
        <f>VLOOKUP(operations[productID],products[],2,FALSE)</f>
        <v>Queso Cabrales</v>
      </c>
      <c r="H763" s="9" t="str">
        <f>IF(VLOOKUP(operations[productID],products[],7,FALSE)=1,"Discontinued","Current")</f>
        <v>Current</v>
      </c>
      <c r="I763" s="6">
        <f>VLOOKUP(operations[productID],products[],4,FALSE)</f>
        <v>22</v>
      </c>
      <c r="J763" s="6">
        <f>VLOOKUP(operations[productID],products[],5,FALSE)</f>
        <v>30</v>
      </c>
      <c r="K763" s="6">
        <f>VLOOKUP(operations[productID],products[],6,FALSE)</f>
        <v>30</v>
      </c>
      <c r="L763" s="10">
        <f t="array" ref="L763">INDEX('1 orders'!I763:I2156, MATCH(1, ('1 orders'!A763:A2156=A763)*('1 orders'!G763:G2156=F763), 0))
</f>
        <v>50</v>
      </c>
      <c r="M763" s="10">
        <f>IFERROR(__xludf.DUMMYFUNCTION("COUNTUNIQUEIFS($A$2:$A763,$F$2:$F763,F763)"),14.0)</f>
        <v>14</v>
      </c>
      <c r="N763" s="10">
        <f t="shared" si="1"/>
        <v>7</v>
      </c>
      <c r="O763" s="26">
        <f>IF(operations[sinceLastOrder]=0,0,operations[orderQuantity] / operations[sinceLastOrder])</f>
        <v>7.142857143</v>
      </c>
      <c r="P763" s="9">
        <v>15.64</v>
      </c>
      <c r="Q763" s="7" t="s">
        <v>15</v>
      </c>
      <c r="R763" s="10">
        <f>operations[arrivedDate]-operations[shippedDate]</f>
        <v>11</v>
      </c>
    </row>
    <row r="764" ht="15.75" customHeight="1">
      <c r="A764" s="6">
        <v>10535.0</v>
      </c>
      <c r="B764" s="24">
        <v>45059.0</v>
      </c>
      <c r="C764" s="24">
        <v>45087.0</v>
      </c>
      <c r="D764" s="24">
        <v>45067.0</v>
      </c>
      <c r="E764" s="24">
        <v>45078.0</v>
      </c>
      <c r="F764" s="6">
        <v>40.0</v>
      </c>
      <c r="G764" s="9" t="str">
        <f>VLOOKUP(operations[productID],products[],2,FALSE)</f>
        <v>Boston Crab Meat</v>
      </c>
      <c r="H764" s="9" t="str">
        <f>IF(VLOOKUP(operations[productID],products[],7,FALSE)=1,"Discontinued","Current")</f>
        <v>Current</v>
      </c>
      <c r="I764" s="6">
        <f>VLOOKUP(operations[productID],products[],4,FALSE)</f>
        <v>123</v>
      </c>
      <c r="J764" s="6">
        <f>VLOOKUP(operations[productID],products[],5,FALSE)</f>
        <v>0</v>
      </c>
      <c r="K764" s="6">
        <f>VLOOKUP(operations[productID],products[],6,FALSE)</f>
        <v>30</v>
      </c>
      <c r="L764" s="10">
        <f t="array" ref="L764">INDEX('1 orders'!I764:I2156, MATCH(1, ('1 orders'!A764:A2156=A764)*('1 orders'!G764:G2156=F764), 0))
</f>
        <v>10</v>
      </c>
      <c r="M764" s="10">
        <f>IFERROR(__xludf.DUMMYFUNCTION("COUNTUNIQUEIFS($A$2:$A764,$F$2:$F764,F764)"),18.0)</f>
        <v>18</v>
      </c>
      <c r="N764" s="10">
        <f t="shared" si="1"/>
        <v>1</v>
      </c>
      <c r="O764" s="26">
        <f>IF(operations[sinceLastOrder]=0,0,operations[orderQuantity] / operations[sinceLastOrder])</f>
        <v>10</v>
      </c>
      <c r="P764" s="9">
        <v>15.64</v>
      </c>
      <c r="Q764" s="7" t="s">
        <v>15</v>
      </c>
      <c r="R764" s="10">
        <f>operations[arrivedDate]-operations[shippedDate]</f>
        <v>11</v>
      </c>
    </row>
    <row r="765" ht="15.75" customHeight="1">
      <c r="A765" s="6">
        <v>10535.0</v>
      </c>
      <c r="B765" s="24">
        <v>45059.0</v>
      </c>
      <c r="C765" s="24">
        <v>45087.0</v>
      </c>
      <c r="D765" s="24">
        <v>45067.0</v>
      </c>
      <c r="E765" s="24">
        <v>45078.0</v>
      </c>
      <c r="F765" s="6">
        <v>57.0</v>
      </c>
      <c r="G765" s="9" t="str">
        <f>VLOOKUP(operations[productID],products[],2,FALSE)</f>
        <v>Ravioli Angelo</v>
      </c>
      <c r="H765" s="9" t="str">
        <f>IF(VLOOKUP(operations[productID],products[],7,FALSE)=1,"Discontinued","Current")</f>
        <v>Current</v>
      </c>
      <c r="I765" s="6">
        <f>VLOOKUP(operations[productID],products[],4,FALSE)</f>
        <v>36</v>
      </c>
      <c r="J765" s="6">
        <f>VLOOKUP(operations[productID],products[],5,FALSE)</f>
        <v>0</v>
      </c>
      <c r="K765" s="6">
        <f>VLOOKUP(operations[productID],products[],6,FALSE)</f>
        <v>20</v>
      </c>
      <c r="L765" s="10">
        <f t="array" ref="L765">INDEX('1 orders'!I765:I2156, MATCH(1, ('1 orders'!A765:A2156=A765)*('1 orders'!G765:G2156=F765), 0))
</f>
        <v>5</v>
      </c>
      <c r="M765" s="10">
        <f>IFERROR(__xludf.DUMMYFUNCTION("COUNTUNIQUEIFS($A$2:$A765,$F$2:$F765,F765)"),9.0)</f>
        <v>9</v>
      </c>
      <c r="N765" s="10">
        <f t="shared" si="1"/>
        <v>96</v>
      </c>
      <c r="O765" s="26">
        <f>IF(operations[sinceLastOrder]=0,0,operations[orderQuantity] / operations[sinceLastOrder])</f>
        <v>0.05208333333</v>
      </c>
      <c r="P765" s="9">
        <v>15.64</v>
      </c>
      <c r="Q765" s="7" t="s">
        <v>15</v>
      </c>
      <c r="R765" s="10">
        <f>operations[arrivedDate]-operations[shippedDate]</f>
        <v>11</v>
      </c>
    </row>
    <row r="766" ht="15.75" customHeight="1">
      <c r="A766" s="6">
        <v>10535.0</v>
      </c>
      <c r="B766" s="24">
        <v>45059.0</v>
      </c>
      <c r="C766" s="24">
        <v>45087.0</v>
      </c>
      <c r="D766" s="24">
        <v>45067.0</v>
      </c>
      <c r="E766" s="24">
        <v>45078.0</v>
      </c>
      <c r="F766" s="6">
        <v>59.0</v>
      </c>
      <c r="G766" s="9" t="str">
        <f>VLOOKUP(operations[productID],products[],2,FALSE)</f>
        <v>Raclette Courdavault</v>
      </c>
      <c r="H766" s="9" t="str">
        <f>IF(VLOOKUP(operations[productID],products[],7,FALSE)=1,"Discontinued","Current")</f>
        <v>Current</v>
      </c>
      <c r="I766" s="6">
        <f>VLOOKUP(operations[productID],products[],4,FALSE)</f>
        <v>79</v>
      </c>
      <c r="J766" s="6">
        <f>VLOOKUP(operations[productID],products[],5,FALSE)</f>
        <v>0</v>
      </c>
      <c r="K766" s="6">
        <f>VLOOKUP(operations[productID],products[],6,FALSE)</f>
        <v>0</v>
      </c>
      <c r="L766" s="10">
        <f t="array" ref="L766">INDEX('1 orders'!I766:I2156, MATCH(1, ('1 orders'!A766:A2156=A766)*('1 orders'!G766:G2156=F766), 0))
</f>
        <v>15</v>
      </c>
      <c r="M766" s="10">
        <f>IFERROR(__xludf.DUMMYFUNCTION("COUNTUNIQUEIFS($A$2:$A766,$F$2:$F766,F766)"),22.0)</f>
        <v>22</v>
      </c>
      <c r="N766" s="10">
        <f t="shared" si="1"/>
        <v>5</v>
      </c>
      <c r="O766" s="26">
        <f>IF(operations[sinceLastOrder]=0,0,operations[orderQuantity] / operations[sinceLastOrder])</f>
        <v>3</v>
      </c>
      <c r="P766" s="9">
        <v>15.64</v>
      </c>
      <c r="Q766" s="7" t="s">
        <v>15</v>
      </c>
      <c r="R766" s="10">
        <f>operations[arrivedDate]-operations[shippedDate]</f>
        <v>11</v>
      </c>
    </row>
    <row r="767" ht="15.75" customHeight="1">
      <c r="A767" s="6">
        <v>10536.0</v>
      </c>
      <c r="B767" s="24">
        <v>45060.0</v>
      </c>
      <c r="C767" s="24">
        <v>45088.0</v>
      </c>
      <c r="D767" s="24">
        <v>45083.0</v>
      </c>
      <c r="E767" s="24">
        <v>45090.0</v>
      </c>
      <c r="F767" s="6">
        <v>12.0</v>
      </c>
      <c r="G767" s="9" t="str">
        <f>VLOOKUP(operations[productID],products[],2,FALSE)</f>
        <v>Queso Manchego La Pastora</v>
      </c>
      <c r="H767" s="9" t="str">
        <f>IF(VLOOKUP(operations[productID],products[],7,FALSE)=1,"Discontinued","Current")</f>
        <v>Current</v>
      </c>
      <c r="I767" s="6">
        <f>VLOOKUP(operations[productID],products[],4,FALSE)</f>
        <v>86</v>
      </c>
      <c r="J767" s="6">
        <f>VLOOKUP(operations[productID],products[],5,FALSE)</f>
        <v>0</v>
      </c>
      <c r="K767" s="6">
        <f>VLOOKUP(operations[productID],products[],6,FALSE)</f>
        <v>0</v>
      </c>
      <c r="L767" s="10">
        <f t="array" ref="L767">INDEX('1 orders'!I767:I2156, MATCH(1, ('1 orders'!A767:A2156=A767)*('1 orders'!G767:G2156=F767), 0))
</f>
        <v>15</v>
      </c>
      <c r="M767" s="10">
        <f>IFERROR(__xludf.DUMMYFUNCTION("COUNTUNIQUEIFS($A$2:$A767,$F$2:$F767,F767)"),3.0)</f>
        <v>3</v>
      </c>
      <c r="N767" s="10">
        <f t="shared" si="1"/>
        <v>96</v>
      </c>
      <c r="O767" s="26">
        <f>IF(operations[sinceLastOrder]=0,0,operations[orderQuantity] / operations[sinceLastOrder])</f>
        <v>0.15625</v>
      </c>
      <c r="P767" s="9">
        <v>58.88</v>
      </c>
      <c r="Q767" s="7" t="s">
        <v>17</v>
      </c>
      <c r="R767" s="10">
        <f>operations[arrivedDate]-operations[shippedDate]</f>
        <v>7</v>
      </c>
    </row>
    <row r="768" ht="15.75" customHeight="1">
      <c r="A768" s="6">
        <v>10536.0</v>
      </c>
      <c r="B768" s="24">
        <v>45060.0</v>
      </c>
      <c r="C768" s="24">
        <v>45088.0</v>
      </c>
      <c r="D768" s="24">
        <v>45083.0</v>
      </c>
      <c r="E768" s="24">
        <v>45090.0</v>
      </c>
      <c r="F768" s="6">
        <v>31.0</v>
      </c>
      <c r="G768" s="9" t="str">
        <f>VLOOKUP(operations[productID],products[],2,FALSE)</f>
        <v>Gorgonzola Telino</v>
      </c>
      <c r="H768" s="9" t="str">
        <f>IF(VLOOKUP(operations[productID],products[],7,FALSE)=1,"Discontinued","Current")</f>
        <v>Current</v>
      </c>
      <c r="I768" s="6">
        <f>VLOOKUP(operations[productID],products[],4,FALSE)</f>
        <v>0</v>
      </c>
      <c r="J768" s="6">
        <f>VLOOKUP(operations[productID],products[],5,FALSE)</f>
        <v>70</v>
      </c>
      <c r="K768" s="6">
        <f>VLOOKUP(operations[productID],products[],6,FALSE)</f>
        <v>20</v>
      </c>
      <c r="L768" s="10">
        <f t="array" ref="L768">INDEX('1 orders'!I768:I2156, MATCH(1, ('1 orders'!A768:A2156=A768)*('1 orders'!G768:G2156=F768), 0))
</f>
        <v>20</v>
      </c>
      <c r="M768" s="10">
        <f>IFERROR(__xludf.DUMMYFUNCTION("COUNTUNIQUEIFS($A$2:$A768,$F$2:$F768,F768)"),18.0)</f>
        <v>18</v>
      </c>
      <c r="N768" s="10">
        <f t="shared" si="1"/>
        <v>40</v>
      </c>
      <c r="O768" s="26">
        <f>IF(operations[sinceLastOrder]=0,0,operations[orderQuantity] / operations[sinceLastOrder])</f>
        <v>0.5</v>
      </c>
      <c r="P768" s="9">
        <v>58.88</v>
      </c>
      <c r="Q768" s="7" t="s">
        <v>17</v>
      </c>
      <c r="R768" s="10">
        <f>operations[arrivedDate]-operations[shippedDate]</f>
        <v>7</v>
      </c>
    </row>
    <row r="769" ht="15.75" customHeight="1">
      <c r="A769" s="6">
        <v>10536.0</v>
      </c>
      <c r="B769" s="24">
        <v>45060.0</v>
      </c>
      <c r="C769" s="24">
        <v>45088.0</v>
      </c>
      <c r="D769" s="24">
        <v>45083.0</v>
      </c>
      <c r="E769" s="24">
        <v>45090.0</v>
      </c>
      <c r="F769" s="6">
        <v>33.0</v>
      </c>
      <c r="G769" s="9" t="str">
        <f>VLOOKUP(operations[productID],products[],2,FALSE)</f>
        <v>Geitost</v>
      </c>
      <c r="H769" s="9" t="str">
        <f>IF(VLOOKUP(operations[productID],products[],7,FALSE)=1,"Discontinued","Current")</f>
        <v>Current</v>
      </c>
      <c r="I769" s="6">
        <f>VLOOKUP(operations[productID],products[],4,FALSE)</f>
        <v>112</v>
      </c>
      <c r="J769" s="6">
        <f>VLOOKUP(operations[productID],products[],5,FALSE)</f>
        <v>0</v>
      </c>
      <c r="K769" s="6">
        <f>VLOOKUP(operations[productID],products[],6,FALSE)</f>
        <v>20</v>
      </c>
      <c r="L769" s="10">
        <f t="array" ref="L769">INDEX('1 orders'!I769:I2156, MATCH(1, ('1 orders'!A769:A2156=A769)*('1 orders'!G769:G2156=F769), 0))
</f>
        <v>30</v>
      </c>
      <c r="M769" s="10">
        <f>IFERROR(__xludf.DUMMYFUNCTION("COUNTUNIQUEIFS($A$2:$A769,$F$2:$F769,F769)"),14.0)</f>
        <v>14</v>
      </c>
      <c r="N769" s="10">
        <f t="shared" si="1"/>
        <v>8</v>
      </c>
      <c r="O769" s="26">
        <f>IF(operations[sinceLastOrder]=0,0,operations[orderQuantity] / operations[sinceLastOrder])</f>
        <v>3.75</v>
      </c>
      <c r="P769" s="9">
        <v>58.88</v>
      </c>
      <c r="Q769" s="7" t="s">
        <v>17</v>
      </c>
      <c r="R769" s="10">
        <f>operations[arrivedDate]-operations[shippedDate]</f>
        <v>7</v>
      </c>
    </row>
    <row r="770" ht="15.75" customHeight="1">
      <c r="A770" s="6">
        <v>10536.0</v>
      </c>
      <c r="B770" s="24">
        <v>45060.0</v>
      </c>
      <c r="C770" s="24">
        <v>45088.0</v>
      </c>
      <c r="D770" s="24">
        <v>45083.0</v>
      </c>
      <c r="E770" s="24">
        <v>45090.0</v>
      </c>
      <c r="F770" s="6">
        <v>60.0</v>
      </c>
      <c r="G770" s="9" t="str">
        <f>VLOOKUP(operations[productID],products[],2,FALSE)</f>
        <v>Camembert Pierrot</v>
      </c>
      <c r="H770" s="9" t="str">
        <f>IF(VLOOKUP(operations[productID],products[],7,FALSE)=1,"Discontinued","Current")</f>
        <v>Current</v>
      </c>
      <c r="I770" s="6">
        <f>VLOOKUP(operations[productID],products[],4,FALSE)</f>
        <v>19</v>
      </c>
      <c r="J770" s="6">
        <f>VLOOKUP(operations[productID],products[],5,FALSE)</f>
        <v>0</v>
      </c>
      <c r="K770" s="6">
        <f>VLOOKUP(operations[productID],products[],6,FALSE)</f>
        <v>0</v>
      </c>
      <c r="L770" s="10">
        <f t="array" ref="L770">INDEX('1 orders'!I770:I2156, MATCH(1, ('1 orders'!A770:A2156=A770)*('1 orders'!G770:G2156=F770), 0))
</f>
        <v>35</v>
      </c>
      <c r="M770" s="10">
        <f>IFERROR(__xludf.DUMMYFUNCTION("COUNTUNIQUEIFS($A$2:$A770,$F$2:$F770,F770)"),18.0)</f>
        <v>18</v>
      </c>
      <c r="N770" s="10">
        <f t="shared" si="1"/>
        <v>16</v>
      </c>
      <c r="O770" s="26">
        <f>IF(operations[sinceLastOrder]=0,0,operations[orderQuantity] / operations[sinceLastOrder])</f>
        <v>2.1875</v>
      </c>
      <c r="P770" s="9">
        <v>58.88</v>
      </c>
      <c r="Q770" s="7" t="s">
        <v>17</v>
      </c>
      <c r="R770" s="10">
        <f>operations[arrivedDate]-operations[shippedDate]</f>
        <v>7</v>
      </c>
    </row>
    <row r="771" ht="15.75" customHeight="1">
      <c r="A771" s="6">
        <v>10537.0</v>
      </c>
      <c r="B771" s="24">
        <v>45060.0</v>
      </c>
      <c r="C771" s="24">
        <v>45074.0</v>
      </c>
      <c r="D771" s="24">
        <v>45065.0</v>
      </c>
      <c r="E771" s="24">
        <v>45075.0</v>
      </c>
      <c r="F771" s="6">
        <v>31.0</v>
      </c>
      <c r="G771" s="9" t="str">
        <f>VLOOKUP(operations[productID],products[],2,FALSE)</f>
        <v>Gorgonzola Telino</v>
      </c>
      <c r="H771" s="9" t="str">
        <f>IF(VLOOKUP(operations[productID],products[],7,FALSE)=1,"Discontinued","Current")</f>
        <v>Current</v>
      </c>
      <c r="I771" s="6">
        <f>VLOOKUP(operations[productID],products[],4,FALSE)</f>
        <v>0</v>
      </c>
      <c r="J771" s="6">
        <f>VLOOKUP(operations[productID],products[],5,FALSE)</f>
        <v>70</v>
      </c>
      <c r="K771" s="6">
        <f>VLOOKUP(operations[productID],products[],6,FALSE)</f>
        <v>20</v>
      </c>
      <c r="L771" s="10">
        <f t="array" ref="L771">INDEX('1 orders'!I771:I2156, MATCH(1, ('1 orders'!A771:A2156=A771)*('1 orders'!G771:G2156=F771), 0))
</f>
        <v>30</v>
      </c>
      <c r="M771" s="10">
        <f>IFERROR(__xludf.DUMMYFUNCTION("COUNTUNIQUEIFS($A$2:$A771,$F$2:$F771,F771)"),19.0)</f>
        <v>19</v>
      </c>
      <c r="N771" s="10">
        <f t="shared" si="1"/>
        <v>0</v>
      </c>
      <c r="O771" s="26">
        <f>IF(operations[sinceLastOrder]=0,0,operations[orderQuantity] / operations[sinceLastOrder])</f>
        <v>0</v>
      </c>
      <c r="P771" s="9">
        <v>78.85</v>
      </c>
      <c r="Q771" s="7" t="s">
        <v>15</v>
      </c>
      <c r="R771" s="10">
        <f>operations[arrivedDate]-operations[shippedDate]</f>
        <v>10</v>
      </c>
    </row>
    <row r="772" ht="15.75" customHeight="1">
      <c r="A772" s="6">
        <v>10537.0</v>
      </c>
      <c r="B772" s="24">
        <v>45060.0</v>
      </c>
      <c r="C772" s="24">
        <v>45074.0</v>
      </c>
      <c r="D772" s="24">
        <v>45065.0</v>
      </c>
      <c r="E772" s="24">
        <v>45075.0</v>
      </c>
      <c r="F772" s="6">
        <v>51.0</v>
      </c>
      <c r="G772" s="9" t="str">
        <f>VLOOKUP(operations[productID],products[],2,FALSE)</f>
        <v>Manjimup Dried Apples</v>
      </c>
      <c r="H772" s="9" t="str">
        <f>IF(VLOOKUP(operations[productID],products[],7,FALSE)=1,"Discontinued","Current")</f>
        <v>Current</v>
      </c>
      <c r="I772" s="6">
        <f>VLOOKUP(operations[productID],products[],4,FALSE)</f>
        <v>20</v>
      </c>
      <c r="J772" s="6">
        <f>VLOOKUP(operations[productID],products[],5,FALSE)</f>
        <v>0</v>
      </c>
      <c r="K772" s="6">
        <f>VLOOKUP(operations[productID],products[],6,FALSE)</f>
        <v>10</v>
      </c>
      <c r="L772" s="10">
        <f t="array" ref="L772">INDEX('1 orders'!I772:I2156, MATCH(1, ('1 orders'!A772:A2156=A772)*('1 orders'!G772:G2156=F772), 0))
</f>
        <v>6</v>
      </c>
      <c r="M772" s="10">
        <f>IFERROR(__xludf.DUMMYFUNCTION("COUNTUNIQUEIFS($A$2:$A772,$F$2:$F772,F772)"),10.0)</f>
        <v>10</v>
      </c>
      <c r="N772" s="10">
        <f t="shared" si="1"/>
        <v>49</v>
      </c>
      <c r="O772" s="26">
        <f>IF(operations[sinceLastOrder]=0,0,operations[orderQuantity] / operations[sinceLastOrder])</f>
        <v>0.1224489796</v>
      </c>
      <c r="P772" s="9">
        <v>78.85</v>
      </c>
      <c r="Q772" s="7" t="s">
        <v>15</v>
      </c>
      <c r="R772" s="10">
        <f>operations[arrivedDate]-operations[shippedDate]</f>
        <v>10</v>
      </c>
    </row>
    <row r="773" ht="15.75" customHeight="1">
      <c r="A773" s="6">
        <v>10537.0</v>
      </c>
      <c r="B773" s="24">
        <v>45060.0</v>
      </c>
      <c r="C773" s="24">
        <v>45074.0</v>
      </c>
      <c r="D773" s="24">
        <v>45065.0</v>
      </c>
      <c r="E773" s="24">
        <v>45075.0</v>
      </c>
      <c r="F773" s="6">
        <v>58.0</v>
      </c>
      <c r="G773" s="9" t="str">
        <f>VLOOKUP(operations[productID],products[],2,FALSE)</f>
        <v>Escargots de Bourgogne</v>
      </c>
      <c r="H773" s="9" t="str">
        <f>IF(VLOOKUP(operations[productID],products[],7,FALSE)=1,"Discontinued","Current")</f>
        <v>Current</v>
      </c>
      <c r="I773" s="6">
        <f>VLOOKUP(operations[productID],products[],4,FALSE)</f>
        <v>62</v>
      </c>
      <c r="J773" s="6">
        <f>VLOOKUP(operations[productID],products[],5,FALSE)</f>
        <v>0</v>
      </c>
      <c r="K773" s="6">
        <f>VLOOKUP(operations[productID],products[],6,FALSE)</f>
        <v>20</v>
      </c>
      <c r="L773" s="10">
        <f t="array" ref="L773">INDEX('1 orders'!I773:I2156, MATCH(1, ('1 orders'!A773:A2156=A773)*('1 orders'!G773:G2156=F773), 0))
</f>
        <v>20</v>
      </c>
      <c r="M773" s="10">
        <f>IFERROR(__xludf.DUMMYFUNCTION("COUNTUNIQUEIFS($A$2:$A773,$F$2:$F773,F773)"),5.0)</f>
        <v>5</v>
      </c>
      <c r="N773" s="10">
        <f t="shared" si="1"/>
        <v>160</v>
      </c>
      <c r="O773" s="26">
        <f>IF(operations[sinceLastOrder]=0,0,operations[orderQuantity] / operations[sinceLastOrder])</f>
        <v>0.125</v>
      </c>
      <c r="P773" s="9">
        <v>78.85</v>
      </c>
      <c r="Q773" s="7" t="s">
        <v>15</v>
      </c>
      <c r="R773" s="10">
        <f>operations[arrivedDate]-operations[shippedDate]</f>
        <v>10</v>
      </c>
    </row>
    <row r="774" ht="15.75" customHeight="1">
      <c r="A774" s="6">
        <v>10537.0</v>
      </c>
      <c r="B774" s="24">
        <v>45060.0</v>
      </c>
      <c r="C774" s="24">
        <v>45074.0</v>
      </c>
      <c r="D774" s="24">
        <v>45065.0</v>
      </c>
      <c r="E774" s="24">
        <v>45075.0</v>
      </c>
      <c r="F774" s="6">
        <v>72.0</v>
      </c>
      <c r="G774" s="9" t="str">
        <f>VLOOKUP(operations[productID],products[],2,FALSE)</f>
        <v>Mozzarella di Giovanni</v>
      </c>
      <c r="H774" s="9" t="str">
        <f>IF(VLOOKUP(operations[productID],products[],7,FALSE)=1,"Discontinued","Current")</f>
        <v>Current</v>
      </c>
      <c r="I774" s="6">
        <f>VLOOKUP(operations[productID],products[],4,FALSE)</f>
        <v>14</v>
      </c>
      <c r="J774" s="6">
        <f>VLOOKUP(operations[productID],products[],5,FALSE)</f>
        <v>0</v>
      </c>
      <c r="K774" s="6">
        <f>VLOOKUP(operations[productID],products[],6,FALSE)</f>
        <v>0</v>
      </c>
      <c r="L774" s="10">
        <f t="array" ref="L774">INDEX('1 orders'!I774:I2156, MATCH(1, ('1 orders'!A774:A2156=A774)*('1 orders'!G774:G2156=F774), 0))
</f>
        <v>21</v>
      </c>
      <c r="M774" s="10">
        <f>IFERROR(__xludf.DUMMYFUNCTION("COUNTUNIQUEIFS($A$2:$A774,$F$2:$F774,F774)"),19.0)</f>
        <v>19</v>
      </c>
      <c r="N774" s="10">
        <f t="shared" si="1"/>
        <v>2</v>
      </c>
      <c r="O774" s="26">
        <f>IF(operations[sinceLastOrder]=0,0,operations[orderQuantity] / operations[sinceLastOrder])</f>
        <v>10.5</v>
      </c>
      <c r="P774" s="9">
        <v>78.85</v>
      </c>
      <c r="Q774" s="7" t="s">
        <v>15</v>
      </c>
      <c r="R774" s="10">
        <f>operations[arrivedDate]-operations[shippedDate]</f>
        <v>10</v>
      </c>
    </row>
    <row r="775" ht="15.75" customHeight="1">
      <c r="A775" s="6">
        <v>10537.0</v>
      </c>
      <c r="B775" s="24">
        <v>45060.0</v>
      </c>
      <c r="C775" s="24">
        <v>45074.0</v>
      </c>
      <c r="D775" s="24">
        <v>45065.0</v>
      </c>
      <c r="E775" s="24">
        <v>45075.0</v>
      </c>
      <c r="F775" s="6">
        <v>73.0</v>
      </c>
      <c r="G775" s="9" t="str">
        <f>VLOOKUP(operations[productID],products[],2,FALSE)</f>
        <v>Röd Kaviar</v>
      </c>
      <c r="H775" s="9" t="str">
        <f>IF(VLOOKUP(operations[productID],products[],7,FALSE)=1,"Discontinued","Current")</f>
        <v>Current</v>
      </c>
      <c r="I775" s="6">
        <f>VLOOKUP(operations[productID],products[],4,FALSE)</f>
        <v>101</v>
      </c>
      <c r="J775" s="6">
        <f>VLOOKUP(operations[productID],products[],5,FALSE)</f>
        <v>0</v>
      </c>
      <c r="K775" s="6">
        <f>VLOOKUP(operations[productID],products[],6,FALSE)</f>
        <v>5</v>
      </c>
      <c r="L775" s="10">
        <f t="array" ref="L775">INDEX('1 orders'!I775:I2156, MATCH(1, ('1 orders'!A775:A2156=A775)*('1 orders'!G775:G2156=F775), 0))
</f>
        <v>9</v>
      </c>
      <c r="M775" s="10">
        <f>IFERROR(__xludf.DUMMYFUNCTION("COUNTUNIQUEIFS($A$2:$A775,$F$2:$F775,F775)"),5.0)</f>
        <v>5</v>
      </c>
      <c r="N775" s="10">
        <f t="shared" si="1"/>
        <v>2</v>
      </c>
      <c r="O775" s="26">
        <f>IF(operations[sinceLastOrder]=0,0,operations[orderQuantity] / operations[sinceLastOrder])</f>
        <v>4.5</v>
      </c>
      <c r="P775" s="9">
        <v>78.85</v>
      </c>
      <c r="Q775" s="7" t="s">
        <v>15</v>
      </c>
      <c r="R775" s="10">
        <f>operations[arrivedDate]-operations[shippedDate]</f>
        <v>10</v>
      </c>
    </row>
    <row r="776" ht="15.75" customHeight="1">
      <c r="A776" s="6">
        <v>10538.0</v>
      </c>
      <c r="B776" s="24">
        <v>45061.0</v>
      </c>
      <c r="C776" s="24">
        <v>45089.0</v>
      </c>
      <c r="D776" s="24">
        <v>45062.0</v>
      </c>
      <c r="E776" s="24">
        <v>45067.0</v>
      </c>
      <c r="F776" s="6">
        <v>70.0</v>
      </c>
      <c r="G776" s="9" t="str">
        <f>VLOOKUP(operations[productID],products[],2,FALSE)</f>
        <v>Outback Lager</v>
      </c>
      <c r="H776" s="9" t="str">
        <f>IF(VLOOKUP(operations[productID],products[],7,FALSE)=1,"Discontinued","Current")</f>
        <v>Current</v>
      </c>
      <c r="I776" s="6">
        <f>VLOOKUP(operations[productID],products[],4,FALSE)</f>
        <v>15</v>
      </c>
      <c r="J776" s="6">
        <f>VLOOKUP(operations[productID],products[],5,FALSE)</f>
        <v>10</v>
      </c>
      <c r="K776" s="6">
        <f>VLOOKUP(operations[productID],products[],6,FALSE)</f>
        <v>30</v>
      </c>
      <c r="L776" s="10">
        <f t="array" ref="L776">INDEX('1 orders'!I776:I2156, MATCH(1, ('1 orders'!A776:A2156=A776)*('1 orders'!G776:G2156=F776), 0))
</f>
        <v>7</v>
      </c>
      <c r="M776" s="10">
        <f>IFERROR(__xludf.DUMMYFUNCTION("COUNTUNIQUEIFS($A$2:$A776,$F$2:$F776,F776)"),14.0)</f>
        <v>14</v>
      </c>
      <c r="N776" s="10">
        <f t="shared" si="1"/>
        <v>21</v>
      </c>
      <c r="O776" s="26">
        <f>IF(operations[sinceLastOrder]=0,0,operations[orderQuantity] / operations[sinceLastOrder])</f>
        <v>0.3333333333</v>
      </c>
      <c r="P776" s="9">
        <v>4.87</v>
      </c>
      <c r="Q776" s="7" t="s">
        <v>13</v>
      </c>
      <c r="R776" s="10">
        <f>operations[arrivedDate]-operations[shippedDate]</f>
        <v>5</v>
      </c>
    </row>
    <row r="777" ht="15.75" customHeight="1">
      <c r="A777" s="6">
        <v>10538.0</v>
      </c>
      <c r="B777" s="24">
        <v>45061.0</v>
      </c>
      <c r="C777" s="24">
        <v>45089.0</v>
      </c>
      <c r="D777" s="24">
        <v>45062.0</v>
      </c>
      <c r="E777" s="24">
        <v>45067.0</v>
      </c>
      <c r="F777" s="6">
        <v>72.0</v>
      </c>
      <c r="G777" s="9" t="str">
        <f>VLOOKUP(operations[productID],products[],2,FALSE)</f>
        <v>Mozzarella di Giovanni</v>
      </c>
      <c r="H777" s="9" t="str">
        <f>IF(VLOOKUP(operations[productID],products[],7,FALSE)=1,"Discontinued","Current")</f>
        <v>Current</v>
      </c>
      <c r="I777" s="6">
        <f>VLOOKUP(operations[productID],products[],4,FALSE)</f>
        <v>14</v>
      </c>
      <c r="J777" s="6">
        <f>VLOOKUP(operations[productID],products[],5,FALSE)</f>
        <v>0</v>
      </c>
      <c r="K777" s="6">
        <f>VLOOKUP(operations[productID],products[],6,FALSE)</f>
        <v>0</v>
      </c>
      <c r="L777" s="10">
        <f t="array" ref="L777">INDEX('1 orders'!I777:I2156, MATCH(1, ('1 orders'!A777:A2156=A777)*('1 orders'!G777:G2156=F777), 0))
</f>
        <v>1</v>
      </c>
      <c r="M777" s="10">
        <f>IFERROR(__xludf.DUMMYFUNCTION("COUNTUNIQUEIFS($A$2:$A777,$F$2:$F777,F777)"),20.0)</f>
        <v>20</v>
      </c>
      <c r="N777" s="10">
        <f t="shared" si="1"/>
        <v>1</v>
      </c>
      <c r="O777" s="26">
        <f>IF(operations[sinceLastOrder]=0,0,operations[orderQuantity] / operations[sinceLastOrder])</f>
        <v>1</v>
      </c>
      <c r="P777" s="9">
        <v>4.87</v>
      </c>
      <c r="Q777" s="7" t="s">
        <v>13</v>
      </c>
      <c r="R777" s="10">
        <f>operations[arrivedDate]-operations[shippedDate]</f>
        <v>5</v>
      </c>
    </row>
    <row r="778" ht="15.75" customHeight="1">
      <c r="A778" s="6">
        <v>10539.0</v>
      </c>
      <c r="B778" s="24">
        <v>45062.0</v>
      </c>
      <c r="C778" s="24">
        <v>45090.0</v>
      </c>
      <c r="D778" s="24">
        <v>45069.0</v>
      </c>
      <c r="E778" s="24">
        <v>45078.0</v>
      </c>
      <c r="F778" s="6">
        <v>13.0</v>
      </c>
      <c r="G778" s="9" t="str">
        <f>VLOOKUP(operations[productID],products[],2,FALSE)</f>
        <v>Konbu</v>
      </c>
      <c r="H778" s="9" t="str">
        <f>IF(VLOOKUP(operations[productID],products[],7,FALSE)=1,"Discontinued","Current")</f>
        <v>Current</v>
      </c>
      <c r="I778" s="6">
        <f>VLOOKUP(operations[productID],products[],4,FALSE)</f>
        <v>24</v>
      </c>
      <c r="J778" s="6">
        <f>VLOOKUP(operations[productID],products[],5,FALSE)</f>
        <v>0</v>
      </c>
      <c r="K778" s="6">
        <f>VLOOKUP(operations[productID],products[],6,FALSE)</f>
        <v>5</v>
      </c>
      <c r="L778" s="10">
        <f t="array" ref="L778">INDEX('1 orders'!I778:I2156, MATCH(1, ('1 orders'!A778:A2156=A778)*('1 orders'!G778:G2156=F778), 0))
</f>
        <v>8</v>
      </c>
      <c r="M778" s="10">
        <f>IFERROR(__xludf.DUMMYFUNCTION("COUNTUNIQUEIFS($A$2:$A778,$F$2:$F778,F778)"),11.0)</f>
        <v>11</v>
      </c>
      <c r="N778" s="10">
        <f t="shared" si="1"/>
        <v>11</v>
      </c>
      <c r="O778" s="26">
        <f>IF(operations[sinceLastOrder]=0,0,operations[orderQuantity] / operations[sinceLastOrder])</f>
        <v>0.7272727273</v>
      </c>
      <c r="P778" s="9">
        <v>12.36</v>
      </c>
      <c r="Q778" s="7" t="s">
        <v>13</v>
      </c>
      <c r="R778" s="10">
        <f>operations[arrivedDate]-operations[shippedDate]</f>
        <v>9</v>
      </c>
    </row>
    <row r="779" ht="15.75" customHeight="1">
      <c r="A779" s="6">
        <v>10539.0</v>
      </c>
      <c r="B779" s="24">
        <v>45062.0</v>
      </c>
      <c r="C779" s="24">
        <v>45090.0</v>
      </c>
      <c r="D779" s="24">
        <v>45069.0</v>
      </c>
      <c r="E779" s="24">
        <v>45078.0</v>
      </c>
      <c r="F779" s="6">
        <v>21.0</v>
      </c>
      <c r="G779" s="9" t="str">
        <f>VLOOKUP(operations[productID],products[],2,FALSE)</f>
        <v>Sir Rodney's Scones</v>
      </c>
      <c r="H779" s="9" t="str">
        <f>IF(VLOOKUP(operations[productID],products[],7,FALSE)=1,"Discontinued","Current")</f>
        <v>Current</v>
      </c>
      <c r="I779" s="6">
        <f>VLOOKUP(operations[productID],products[],4,FALSE)</f>
        <v>3</v>
      </c>
      <c r="J779" s="6">
        <f>VLOOKUP(operations[productID],products[],5,FALSE)</f>
        <v>40</v>
      </c>
      <c r="K779" s="6">
        <f>VLOOKUP(operations[productID],products[],6,FALSE)</f>
        <v>5</v>
      </c>
      <c r="L779" s="10">
        <f t="array" ref="L779">INDEX('1 orders'!I779:I2156, MATCH(1, ('1 orders'!A779:A2156=A779)*('1 orders'!G779:G2156=F779), 0))
</f>
        <v>15</v>
      </c>
      <c r="M779" s="10">
        <f>IFERROR(__xludf.DUMMYFUNCTION("COUNTUNIQUEIFS($A$2:$A779,$F$2:$F779,F779)"),15.0)</f>
        <v>15</v>
      </c>
      <c r="N779" s="10">
        <f t="shared" si="1"/>
        <v>24</v>
      </c>
      <c r="O779" s="26">
        <f>IF(operations[sinceLastOrder]=0,0,operations[orderQuantity] / operations[sinceLastOrder])</f>
        <v>0.625</v>
      </c>
      <c r="P779" s="9">
        <v>12.36</v>
      </c>
      <c r="Q779" s="7" t="s">
        <v>13</v>
      </c>
      <c r="R779" s="10">
        <f>operations[arrivedDate]-operations[shippedDate]</f>
        <v>9</v>
      </c>
    </row>
    <row r="780" ht="15.75" customHeight="1">
      <c r="A780" s="6">
        <v>10539.0</v>
      </c>
      <c r="B780" s="24">
        <v>45062.0</v>
      </c>
      <c r="C780" s="24">
        <v>45090.0</v>
      </c>
      <c r="D780" s="24">
        <v>45069.0</v>
      </c>
      <c r="E780" s="24">
        <v>45078.0</v>
      </c>
      <c r="F780" s="6">
        <v>33.0</v>
      </c>
      <c r="G780" s="9" t="str">
        <f>VLOOKUP(operations[productID],products[],2,FALSE)</f>
        <v>Geitost</v>
      </c>
      <c r="H780" s="9" t="str">
        <f>IF(VLOOKUP(operations[productID],products[],7,FALSE)=1,"Discontinued","Current")</f>
        <v>Current</v>
      </c>
      <c r="I780" s="6">
        <f>VLOOKUP(operations[productID],products[],4,FALSE)</f>
        <v>112</v>
      </c>
      <c r="J780" s="6">
        <f>VLOOKUP(operations[productID],products[],5,FALSE)</f>
        <v>0</v>
      </c>
      <c r="K780" s="6">
        <f>VLOOKUP(operations[productID],products[],6,FALSE)</f>
        <v>20</v>
      </c>
      <c r="L780" s="10">
        <f t="array" ref="L780">INDEX('1 orders'!I780:I2156, MATCH(1, ('1 orders'!A780:A2156=A780)*('1 orders'!G780:G2156=F780), 0))
</f>
        <v>15</v>
      </c>
      <c r="M780" s="10">
        <f>IFERROR(__xludf.DUMMYFUNCTION("COUNTUNIQUEIFS($A$2:$A780,$F$2:$F780,F780)"),15.0)</f>
        <v>15</v>
      </c>
      <c r="N780" s="10">
        <f t="shared" si="1"/>
        <v>2</v>
      </c>
      <c r="O780" s="26">
        <f>IF(operations[sinceLastOrder]=0,0,operations[orderQuantity] / operations[sinceLastOrder])</f>
        <v>7.5</v>
      </c>
      <c r="P780" s="9">
        <v>12.36</v>
      </c>
      <c r="Q780" s="7" t="s">
        <v>13</v>
      </c>
      <c r="R780" s="10">
        <f>operations[arrivedDate]-operations[shippedDate]</f>
        <v>9</v>
      </c>
    </row>
    <row r="781" ht="15.75" customHeight="1">
      <c r="A781" s="6">
        <v>10539.0</v>
      </c>
      <c r="B781" s="24">
        <v>45062.0</v>
      </c>
      <c r="C781" s="24">
        <v>45090.0</v>
      </c>
      <c r="D781" s="24">
        <v>45069.0</v>
      </c>
      <c r="E781" s="24">
        <v>45078.0</v>
      </c>
      <c r="F781" s="6">
        <v>49.0</v>
      </c>
      <c r="G781" s="9" t="str">
        <f>VLOOKUP(operations[productID],products[],2,FALSE)</f>
        <v>Maxilaku</v>
      </c>
      <c r="H781" s="9" t="str">
        <f>IF(VLOOKUP(operations[productID],products[],7,FALSE)=1,"Discontinued","Current")</f>
        <v>Current</v>
      </c>
      <c r="I781" s="6">
        <f>VLOOKUP(operations[productID],products[],4,FALSE)</f>
        <v>10</v>
      </c>
      <c r="J781" s="6">
        <f>VLOOKUP(operations[productID],products[],5,FALSE)</f>
        <v>60</v>
      </c>
      <c r="K781" s="6">
        <f>VLOOKUP(operations[productID],products[],6,FALSE)</f>
        <v>15</v>
      </c>
      <c r="L781" s="10">
        <f t="array" ref="L781">INDEX('1 orders'!I781:I2156, MATCH(1, ('1 orders'!A781:A2156=A781)*('1 orders'!G781:G2156=F781), 0))
</f>
        <v>6</v>
      </c>
      <c r="M781" s="10">
        <f>IFERROR(__xludf.DUMMYFUNCTION("COUNTUNIQUEIFS($A$2:$A781,$F$2:$F781,F781)"),10.0)</f>
        <v>10</v>
      </c>
      <c r="N781" s="10">
        <f t="shared" si="1"/>
        <v>38</v>
      </c>
      <c r="O781" s="26">
        <f>IF(operations[sinceLastOrder]=0,0,operations[orderQuantity] / operations[sinceLastOrder])</f>
        <v>0.1578947368</v>
      </c>
      <c r="P781" s="9">
        <v>12.36</v>
      </c>
      <c r="Q781" s="7" t="s">
        <v>13</v>
      </c>
      <c r="R781" s="10">
        <f>operations[arrivedDate]-operations[shippedDate]</f>
        <v>9</v>
      </c>
    </row>
    <row r="782" ht="15.75" customHeight="1">
      <c r="A782" s="6">
        <v>10540.0</v>
      </c>
      <c r="B782" s="24">
        <v>45065.0</v>
      </c>
      <c r="C782" s="24">
        <v>45093.0</v>
      </c>
      <c r="D782" s="24">
        <v>45090.0</v>
      </c>
      <c r="E782" s="24">
        <v>45094.0</v>
      </c>
      <c r="F782" s="6">
        <v>3.0</v>
      </c>
      <c r="G782" s="9" t="str">
        <f>VLOOKUP(operations[productID],products[],2,FALSE)</f>
        <v>Aniseed Syrup</v>
      </c>
      <c r="H782" s="9" t="str">
        <f>IF(VLOOKUP(operations[productID],products[],7,FALSE)=1,"Discontinued","Current")</f>
        <v>Current</v>
      </c>
      <c r="I782" s="6">
        <f>VLOOKUP(operations[productID],products[],4,FALSE)</f>
        <v>13</v>
      </c>
      <c r="J782" s="6">
        <f>VLOOKUP(operations[productID],products[],5,FALSE)</f>
        <v>70</v>
      </c>
      <c r="K782" s="6">
        <f>VLOOKUP(operations[productID],products[],6,FALSE)</f>
        <v>25</v>
      </c>
      <c r="L782" s="10">
        <f t="array" ref="L782">INDEX('1 orders'!I782:I2156, MATCH(1, ('1 orders'!A782:A2156=A782)*('1 orders'!G782:G2156=F782), 0))
</f>
        <v>60</v>
      </c>
      <c r="M782" s="10">
        <f>IFERROR(__xludf.DUMMYFUNCTION("COUNTUNIQUEIFS($A$2:$A782,$F$2:$F782,F782)"),4.0)</f>
        <v>4</v>
      </c>
      <c r="N782" s="10">
        <f t="shared" si="1"/>
        <v>55</v>
      </c>
      <c r="O782" s="26">
        <f>IF(operations[sinceLastOrder]=0,0,operations[orderQuantity] / operations[sinceLastOrder])</f>
        <v>1.090909091</v>
      </c>
      <c r="P782" s="9">
        <v>1007.64</v>
      </c>
      <c r="Q782" s="7" t="s">
        <v>13</v>
      </c>
      <c r="R782" s="10">
        <f>operations[arrivedDate]-operations[shippedDate]</f>
        <v>4</v>
      </c>
    </row>
    <row r="783" ht="15.75" customHeight="1">
      <c r="A783" s="6">
        <v>10540.0</v>
      </c>
      <c r="B783" s="24">
        <v>45065.0</v>
      </c>
      <c r="C783" s="24">
        <v>45093.0</v>
      </c>
      <c r="D783" s="24">
        <v>45090.0</v>
      </c>
      <c r="E783" s="24">
        <v>45094.0</v>
      </c>
      <c r="F783" s="6">
        <v>26.0</v>
      </c>
      <c r="G783" s="9" t="str">
        <f>VLOOKUP(operations[productID],products[],2,FALSE)</f>
        <v>NuNuCa Nuß-Nougat-Creme</v>
      </c>
      <c r="H783" s="9" t="str">
        <f>IF(VLOOKUP(operations[productID],products[],7,FALSE)=1,"Discontinued","Current")</f>
        <v>Current</v>
      </c>
      <c r="I783" s="6">
        <f>VLOOKUP(operations[productID],products[],4,FALSE)</f>
        <v>15</v>
      </c>
      <c r="J783" s="6">
        <f>VLOOKUP(operations[productID],products[],5,FALSE)</f>
        <v>0</v>
      </c>
      <c r="K783" s="6">
        <f>VLOOKUP(operations[productID],products[],6,FALSE)</f>
        <v>0</v>
      </c>
      <c r="L783" s="10">
        <f t="array" ref="L783">INDEX('1 orders'!I783:I2156, MATCH(1, ('1 orders'!A783:A2156=A783)*('1 orders'!G783:G2156=F783), 0))
</f>
        <v>40</v>
      </c>
      <c r="M783" s="10">
        <f>IFERROR(__xludf.DUMMYFUNCTION("COUNTUNIQUEIFS($A$2:$A783,$F$2:$F783,F783)"),13.0)</f>
        <v>13</v>
      </c>
      <c r="N783" s="10">
        <f t="shared" si="1"/>
        <v>54</v>
      </c>
      <c r="O783" s="26">
        <f>IF(operations[sinceLastOrder]=0,0,operations[orderQuantity] / operations[sinceLastOrder])</f>
        <v>0.7407407407</v>
      </c>
      <c r="P783" s="9">
        <v>1007.64</v>
      </c>
      <c r="Q783" s="7" t="s">
        <v>13</v>
      </c>
      <c r="R783" s="10">
        <f>operations[arrivedDate]-operations[shippedDate]</f>
        <v>4</v>
      </c>
    </row>
    <row r="784" ht="15.75" customHeight="1">
      <c r="A784" s="6">
        <v>10540.0</v>
      </c>
      <c r="B784" s="24">
        <v>45065.0</v>
      </c>
      <c r="C784" s="24">
        <v>45093.0</v>
      </c>
      <c r="D784" s="24">
        <v>45090.0</v>
      </c>
      <c r="E784" s="24">
        <v>45094.0</v>
      </c>
      <c r="F784" s="6">
        <v>38.0</v>
      </c>
      <c r="G784" s="9" t="str">
        <f>VLOOKUP(operations[productID],products[],2,FALSE)</f>
        <v>Côte de Blaye</v>
      </c>
      <c r="H784" s="9" t="str">
        <f>IF(VLOOKUP(operations[productID],products[],7,FALSE)=1,"Discontinued","Current")</f>
        <v>Current</v>
      </c>
      <c r="I784" s="6">
        <f>VLOOKUP(operations[productID],products[],4,FALSE)</f>
        <v>17</v>
      </c>
      <c r="J784" s="6">
        <f>VLOOKUP(operations[productID],products[],5,FALSE)</f>
        <v>0</v>
      </c>
      <c r="K784" s="6">
        <f>VLOOKUP(operations[productID],products[],6,FALSE)</f>
        <v>15</v>
      </c>
      <c r="L784" s="10">
        <f t="array" ref="L784">INDEX('1 orders'!I784:I2156, MATCH(1, ('1 orders'!A784:A2156=A784)*('1 orders'!G784:G2156=F784), 0))
</f>
        <v>30</v>
      </c>
      <c r="M784" s="10">
        <f>IFERROR(__xludf.DUMMYFUNCTION("COUNTUNIQUEIFS($A$2:$A784,$F$2:$F784,F784)"),10.0)</f>
        <v>10</v>
      </c>
      <c r="N784" s="10">
        <f t="shared" si="1"/>
        <v>24</v>
      </c>
      <c r="O784" s="26">
        <f>IF(operations[sinceLastOrder]=0,0,operations[orderQuantity] / operations[sinceLastOrder])</f>
        <v>1.25</v>
      </c>
      <c r="P784" s="9">
        <v>1007.64</v>
      </c>
      <c r="Q784" s="7" t="s">
        <v>13</v>
      </c>
      <c r="R784" s="10">
        <f>operations[arrivedDate]-operations[shippedDate]</f>
        <v>4</v>
      </c>
    </row>
    <row r="785" ht="15.75" customHeight="1">
      <c r="A785" s="6">
        <v>10540.0</v>
      </c>
      <c r="B785" s="24">
        <v>45065.0</v>
      </c>
      <c r="C785" s="24">
        <v>45093.0</v>
      </c>
      <c r="D785" s="24">
        <v>45090.0</v>
      </c>
      <c r="E785" s="24">
        <v>45094.0</v>
      </c>
      <c r="F785" s="6">
        <v>68.0</v>
      </c>
      <c r="G785" s="9" t="str">
        <f>VLOOKUP(operations[productID],products[],2,FALSE)</f>
        <v>Scottish Longbreads</v>
      </c>
      <c r="H785" s="9" t="str">
        <f>IF(VLOOKUP(operations[productID],products[],7,FALSE)=1,"Discontinued","Current")</f>
        <v>Current</v>
      </c>
      <c r="I785" s="6">
        <f>VLOOKUP(operations[productID],products[],4,FALSE)</f>
        <v>6</v>
      </c>
      <c r="J785" s="6">
        <f>VLOOKUP(operations[productID],products[],5,FALSE)</f>
        <v>10</v>
      </c>
      <c r="K785" s="6">
        <f>VLOOKUP(operations[productID],products[],6,FALSE)</f>
        <v>15</v>
      </c>
      <c r="L785" s="10">
        <f t="array" ref="L785">INDEX('1 orders'!I785:I2156, MATCH(1, ('1 orders'!A785:A2156=A785)*('1 orders'!G785:G2156=F785), 0))
</f>
        <v>35</v>
      </c>
      <c r="M785" s="10">
        <f>IFERROR(__xludf.DUMMYFUNCTION("COUNTUNIQUEIFS($A$2:$A785,$F$2:$F785,F785)"),16.0)</f>
        <v>16</v>
      </c>
      <c r="N785" s="10">
        <f t="shared" si="1"/>
        <v>12</v>
      </c>
      <c r="O785" s="26">
        <f>IF(operations[sinceLastOrder]=0,0,operations[orderQuantity] / operations[sinceLastOrder])</f>
        <v>2.916666667</v>
      </c>
      <c r="P785" s="9">
        <v>1007.64</v>
      </c>
      <c r="Q785" s="7" t="s">
        <v>13</v>
      </c>
      <c r="R785" s="10">
        <f>operations[arrivedDate]-operations[shippedDate]</f>
        <v>4</v>
      </c>
    </row>
    <row r="786" ht="15.75" customHeight="1">
      <c r="A786" s="6">
        <v>10541.0</v>
      </c>
      <c r="B786" s="24">
        <v>45065.0</v>
      </c>
      <c r="C786" s="24">
        <v>45093.0</v>
      </c>
      <c r="D786" s="24">
        <v>45075.0</v>
      </c>
      <c r="E786" s="24">
        <v>45088.0</v>
      </c>
      <c r="F786" s="6">
        <v>24.0</v>
      </c>
      <c r="G786" s="9" t="str">
        <f>VLOOKUP(operations[productID],products[],2,FALSE)</f>
        <v>Brigadeiros Maravilhosos da Lilian</v>
      </c>
      <c r="H786" s="9" t="str">
        <f>IF(VLOOKUP(operations[productID],products[],7,FALSE)=1,"Discontinued","Current")</f>
        <v>Discontinued</v>
      </c>
      <c r="I786" s="6">
        <f>VLOOKUP(operations[productID],products[],4,FALSE)</f>
        <v>20</v>
      </c>
      <c r="J786" s="6">
        <f>VLOOKUP(operations[productID],products[],5,FALSE)</f>
        <v>0</v>
      </c>
      <c r="K786" s="6">
        <f>VLOOKUP(operations[productID],products[],6,FALSE)</f>
        <v>0</v>
      </c>
      <c r="L786" s="10">
        <f t="array" ref="L786">INDEX('1 orders'!I786:I2156, MATCH(1, ('1 orders'!A786:A2156=A786)*('1 orders'!G786:G2156=F786), 0))
</f>
        <v>35</v>
      </c>
      <c r="M786" s="10">
        <f>IFERROR(__xludf.DUMMYFUNCTION("COUNTUNIQUEIFS($A$2:$A786,$F$2:$F786,F786)"),20.0)</f>
        <v>20</v>
      </c>
      <c r="N786" s="10">
        <f t="shared" si="1"/>
        <v>20</v>
      </c>
      <c r="O786" s="26">
        <f>IF(operations[sinceLastOrder]=0,0,operations[orderQuantity] / operations[sinceLastOrder])</f>
        <v>1.75</v>
      </c>
      <c r="P786" s="9">
        <v>68.65</v>
      </c>
      <c r="Q786" s="7" t="s">
        <v>15</v>
      </c>
      <c r="R786" s="10">
        <f>operations[arrivedDate]-operations[shippedDate]</f>
        <v>13</v>
      </c>
    </row>
    <row r="787" ht="15.75" customHeight="1">
      <c r="A787" s="6">
        <v>10541.0</v>
      </c>
      <c r="B787" s="24">
        <v>45065.0</v>
      </c>
      <c r="C787" s="24">
        <v>45093.0</v>
      </c>
      <c r="D787" s="24">
        <v>45075.0</v>
      </c>
      <c r="E787" s="24">
        <v>45088.0</v>
      </c>
      <c r="F787" s="6">
        <v>38.0</v>
      </c>
      <c r="G787" s="9" t="str">
        <f>VLOOKUP(operations[productID],products[],2,FALSE)</f>
        <v>Côte de Blaye</v>
      </c>
      <c r="H787" s="9" t="str">
        <f>IF(VLOOKUP(operations[productID],products[],7,FALSE)=1,"Discontinued","Current")</f>
        <v>Current</v>
      </c>
      <c r="I787" s="6">
        <f>VLOOKUP(operations[productID],products[],4,FALSE)</f>
        <v>17</v>
      </c>
      <c r="J787" s="6">
        <f>VLOOKUP(operations[productID],products[],5,FALSE)</f>
        <v>0</v>
      </c>
      <c r="K787" s="6">
        <f>VLOOKUP(operations[productID],products[],6,FALSE)</f>
        <v>15</v>
      </c>
      <c r="L787" s="10">
        <f t="array" ref="L787">INDEX('1 orders'!I787:I2156, MATCH(1, ('1 orders'!A787:A2156=A787)*('1 orders'!G787:G2156=F787), 0))
</f>
        <v>4</v>
      </c>
      <c r="M787" s="10">
        <f>IFERROR(__xludf.DUMMYFUNCTION("COUNTUNIQUEIFS($A$2:$A787,$F$2:$F787,F787)"),11.0)</f>
        <v>11</v>
      </c>
      <c r="N787" s="10">
        <f t="shared" si="1"/>
        <v>0</v>
      </c>
      <c r="O787" s="26">
        <f>IF(operations[sinceLastOrder]=0,0,operations[orderQuantity] / operations[sinceLastOrder])</f>
        <v>0</v>
      </c>
      <c r="P787" s="9">
        <v>68.65</v>
      </c>
      <c r="Q787" s="7" t="s">
        <v>15</v>
      </c>
      <c r="R787" s="10">
        <f>operations[arrivedDate]-operations[shippedDate]</f>
        <v>13</v>
      </c>
    </row>
    <row r="788" ht="15.75" customHeight="1">
      <c r="A788" s="6">
        <v>10541.0</v>
      </c>
      <c r="B788" s="24">
        <v>45065.0</v>
      </c>
      <c r="C788" s="24">
        <v>45093.0</v>
      </c>
      <c r="D788" s="24">
        <v>45075.0</v>
      </c>
      <c r="E788" s="24">
        <v>45088.0</v>
      </c>
      <c r="F788" s="6">
        <v>65.0</v>
      </c>
      <c r="G788" s="9" t="str">
        <f>VLOOKUP(operations[productID],products[],2,FALSE)</f>
        <v>Louisiana Fiery Hot Pepper Sauce</v>
      </c>
      <c r="H788" s="9" t="str">
        <f>IF(VLOOKUP(operations[productID],products[],7,FALSE)=1,"Discontinued","Current")</f>
        <v>Current</v>
      </c>
      <c r="I788" s="6">
        <f>VLOOKUP(operations[productID],products[],4,FALSE)</f>
        <v>76</v>
      </c>
      <c r="J788" s="6">
        <f>VLOOKUP(operations[productID],products[],5,FALSE)</f>
        <v>0</v>
      </c>
      <c r="K788" s="6">
        <f>VLOOKUP(operations[productID],products[],6,FALSE)</f>
        <v>0</v>
      </c>
      <c r="L788" s="10">
        <f t="array" ref="L788">INDEX('1 orders'!I788:I2156, MATCH(1, ('1 orders'!A788:A2156=A788)*('1 orders'!G788:G2156=F788), 0))
</f>
        <v>36</v>
      </c>
      <c r="M788" s="10">
        <f>IFERROR(__xludf.DUMMYFUNCTION("COUNTUNIQUEIFS($A$2:$A788,$F$2:$F788,F788)"),15.0)</f>
        <v>15</v>
      </c>
      <c r="N788" s="10">
        <f t="shared" si="1"/>
        <v>27</v>
      </c>
      <c r="O788" s="26">
        <f>IF(operations[sinceLastOrder]=0,0,operations[orderQuantity] / operations[sinceLastOrder])</f>
        <v>1.333333333</v>
      </c>
      <c r="P788" s="9">
        <v>68.65</v>
      </c>
      <c r="Q788" s="7" t="s">
        <v>15</v>
      </c>
      <c r="R788" s="10">
        <f>operations[arrivedDate]-operations[shippedDate]</f>
        <v>13</v>
      </c>
    </row>
    <row r="789" ht="15.75" customHeight="1">
      <c r="A789" s="6">
        <v>10541.0</v>
      </c>
      <c r="B789" s="24">
        <v>45065.0</v>
      </c>
      <c r="C789" s="24">
        <v>45093.0</v>
      </c>
      <c r="D789" s="24">
        <v>45075.0</v>
      </c>
      <c r="E789" s="24">
        <v>45088.0</v>
      </c>
      <c r="F789" s="6">
        <v>71.0</v>
      </c>
      <c r="G789" s="9" t="str">
        <f>VLOOKUP(operations[productID],products[],2,FALSE)</f>
        <v>Flotemysost</v>
      </c>
      <c r="H789" s="9" t="str">
        <f>IF(VLOOKUP(operations[productID],products[],7,FALSE)=1,"Discontinued","Current")</f>
        <v>Current</v>
      </c>
      <c r="I789" s="6">
        <f>VLOOKUP(operations[productID],products[],4,FALSE)</f>
        <v>26</v>
      </c>
      <c r="J789" s="6">
        <f>VLOOKUP(operations[productID],products[],5,FALSE)</f>
        <v>0</v>
      </c>
      <c r="K789" s="6">
        <f>VLOOKUP(operations[productID],products[],6,FALSE)</f>
        <v>0</v>
      </c>
      <c r="L789" s="10">
        <f t="array" ref="L789">INDEX('1 orders'!I789:I2156, MATCH(1, ('1 orders'!A789:A2156=A789)*('1 orders'!G789:G2156=F789), 0))
</f>
        <v>9</v>
      </c>
      <c r="M789" s="10">
        <f>IFERROR(__xludf.DUMMYFUNCTION("COUNTUNIQUEIFS($A$2:$A789,$F$2:$F789,F789)"),18.0)</f>
        <v>18</v>
      </c>
      <c r="N789" s="10">
        <f t="shared" si="1"/>
        <v>67</v>
      </c>
      <c r="O789" s="26">
        <f>IF(operations[sinceLastOrder]=0,0,operations[orderQuantity] / operations[sinceLastOrder])</f>
        <v>0.1343283582</v>
      </c>
      <c r="P789" s="9">
        <v>68.65</v>
      </c>
      <c r="Q789" s="7" t="s">
        <v>15</v>
      </c>
      <c r="R789" s="10">
        <f>operations[arrivedDate]-operations[shippedDate]</f>
        <v>13</v>
      </c>
    </row>
    <row r="790" ht="15.75" customHeight="1">
      <c r="A790" s="6">
        <v>10542.0</v>
      </c>
      <c r="B790" s="24">
        <v>45066.0</v>
      </c>
      <c r="C790" s="24">
        <v>45094.0</v>
      </c>
      <c r="D790" s="24">
        <v>45072.0</v>
      </c>
      <c r="E790" s="24">
        <v>45075.0</v>
      </c>
      <c r="F790" s="6">
        <v>11.0</v>
      </c>
      <c r="G790" s="9" t="str">
        <f>VLOOKUP(operations[productID],products[],2,FALSE)</f>
        <v>Queso Cabrales</v>
      </c>
      <c r="H790" s="9" t="str">
        <f>IF(VLOOKUP(operations[productID],products[],7,FALSE)=1,"Discontinued","Current")</f>
        <v>Current</v>
      </c>
      <c r="I790" s="6">
        <f>VLOOKUP(operations[productID],products[],4,FALSE)</f>
        <v>22</v>
      </c>
      <c r="J790" s="6">
        <f>VLOOKUP(operations[productID],products[],5,FALSE)</f>
        <v>30</v>
      </c>
      <c r="K790" s="6">
        <f>VLOOKUP(operations[productID],products[],6,FALSE)</f>
        <v>30</v>
      </c>
      <c r="L790" s="10">
        <f t="array" ref="L790">INDEX('1 orders'!I790:I2156, MATCH(1, ('1 orders'!A790:A2156=A790)*('1 orders'!G790:G2156=F790), 0))
</f>
        <v>15</v>
      </c>
      <c r="M790" s="10">
        <f>IFERROR(__xludf.DUMMYFUNCTION("COUNTUNIQUEIFS($A$2:$A790,$F$2:$F790,F790)"),15.0)</f>
        <v>15</v>
      </c>
      <c r="N790" s="10">
        <f t="shared" si="1"/>
        <v>7</v>
      </c>
      <c r="O790" s="26">
        <f>IF(operations[sinceLastOrder]=0,0,operations[orderQuantity] / operations[sinceLastOrder])</f>
        <v>2.142857143</v>
      </c>
      <c r="P790" s="9">
        <v>10.95</v>
      </c>
      <c r="Q790" s="7" t="s">
        <v>13</v>
      </c>
      <c r="R790" s="10">
        <f>operations[arrivedDate]-operations[shippedDate]</f>
        <v>3</v>
      </c>
    </row>
    <row r="791" ht="15.75" customHeight="1">
      <c r="A791" s="6">
        <v>10542.0</v>
      </c>
      <c r="B791" s="24">
        <v>45066.0</v>
      </c>
      <c r="C791" s="24">
        <v>45094.0</v>
      </c>
      <c r="D791" s="24">
        <v>45072.0</v>
      </c>
      <c r="E791" s="24">
        <v>45075.0</v>
      </c>
      <c r="F791" s="6">
        <v>54.0</v>
      </c>
      <c r="G791" s="9" t="str">
        <f>VLOOKUP(operations[productID],products[],2,FALSE)</f>
        <v>Tourtière</v>
      </c>
      <c r="H791" s="9" t="str">
        <f>IF(VLOOKUP(operations[productID],products[],7,FALSE)=1,"Discontinued","Current")</f>
        <v>Current</v>
      </c>
      <c r="I791" s="6">
        <f>VLOOKUP(operations[productID],products[],4,FALSE)</f>
        <v>21</v>
      </c>
      <c r="J791" s="6">
        <f>VLOOKUP(operations[productID],products[],5,FALSE)</f>
        <v>0</v>
      </c>
      <c r="K791" s="6">
        <f>VLOOKUP(operations[productID],products[],6,FALSE)</f>
        <v>10</v>
      </c>
      <c r="L791" s="10">
        <f t="array" ref="L791">INDEX('1 orders'!I791:I2156, MATCH(1, ('1 orders'!A791:A2156=A791)*('1 orders'!G791:G2156=F791), 0))
</f>
        <v>24</v>
      </c>
      <c r="M791" s="10">
        <f>IFERROR(__xludf.DUMMYFUNCTION("COUNTUNIQUEIFS($A$2:$A791,$F$2:$F791,F791)"),19.0)</f>
        <v>19</v>
      </c>
      <c r="N791" s="10">
        <f t="shared" si="1"/>
        <v>8</v>
      </c>
      <c r="O791" s="26">
        <f>IF(operations[sinceLastOrder]=0,0,operations[orderQuantity] / operations[sinceLastOrder])</f>
        <v>3</v>
      </c>
      <c r="P791" s="9">
        <v>10.95</v>
      </c>
      <c r="Q791" s="7" t="s">
        <v>13</v>
      </c>
      <c r="R791" s="10">
        <f>operations[arrivedDate]-operations[shippedDate]</f>
        <v>3</v>
      </c>
    </row>
    <row r="792" ht="15.75" customHeight="1">
      <c r="A792" s="6">
        <v>10543.0</v>
      </c>
      <c r="B792" s="24">
        <v>45067.0</v>
      </c>
      <c r="C792" s="24">
        <v>45095.0</v>
      </c>
      <c r="D792" s="24">
        <v>45069.0</v>
      </c>
      <c r="E792" s="24">
        <v>45085.0</v>
      </c>
      <c r="F792" s="6">
        <v>12.0</v>
      </c>
      <c r="G792" s="9" t="str">
        <f>VLOOKUP(operations[productID],products[],2,FALSE)</f>
        <v>Queso Manchego La Pastora</v>
      </c>
      <c r="H792" s="9" t="str">
        <f>IF(VLOOKUP(operations[productID],products[],7,FALSE)=1,"Discontinued","Current")</f>
        <v>Current</v>
      </c>
      <c r="I792" s="6">
        <f>VLOOKUP(operations[productID],products[],4,FALSE)</f>
        <v>86</v>
      </c>
      <c r="J792" s="6">
        <f>VLOOKUP(operations[productID],products[],5,FALSE)</f>
        <v>0</v>
      </c>
      <c r="K792" s="6">
        <f>VLOOKUP(operations[productID],products[],6,FALSE)</f>
        <v>0</v>
      </c>
      <c r="L792" s="10">
        <f t="array" ref="L792">INDEX('1 orders'!I792:I2156, MATCH(1, ('1 orders'!A792:A2156=A792)*('1 orders'!G792:G2156=F792), 0))
</f>
        <v>30</v>
      </c>
      <c r="M792" s="10">
        <f>IFERROR(__xludf.DUMMYFUNCTION("COUNTUNIQUEIFS($A$2:$A792,$F$2:$F792,F792)"),4.0)</f>
        <v>4</v>
      </c>
      <c r="N792" s="10">
        <f t="shared" si="1"/>
        <v>7</v>
      </c>
      <c r="O792" s="26">
        <f>IF(operations[sinceLastOrder]=0,0,operations[orderQuantity] / operations[sinceLastOrder])</f>
        <v>4.285714286</v>
      </c>
      <c r="P792" s="9">
        <v>48.17</v>
      </c>
      <c r="Q792" s="7" t="s">
        <v>17</v>
      </c>
      <c r="R792" s="10">
        <f>operations[arrivedDate]-operations[shippedDate]</f>
        <v>16</v>
      </c>
    </row>
    <row r="793" ht="15.75" customHeight="1">
      <c r="A793" s="6">
        <v>10543.0</v>
      </c>
      <c r="B793" s="24">
        <v>45067.0</v>
      </c>
      <c r="C793" s="24">
        <v>45095.0</v>
      </c>
      <c r="D793" s="24">
        <v>45069.0</v>
      </c>
      <c r="E793" s="24">
        <v>45085.0</v>
      </c>
      <c r="F793" s="6">
        <v>23.0</v>
      </c>
      <c r="G793" s="9" t="str">
        <f>VLOOKUP(operations[productID],products[],2,FALSE)</f>
        <v>Tunnbröd</v>
      </c>
      <c r="H793" s="9" t="str">
        <f>IF(VLOOKUP(operations[productID],products[],7,FALSE)=1,"Discontinued","Current")</f>
        <v>Current</v>
      </c>
      <c r="I793" s="6">
        <f>VLOOKUP(operations[productID],products[],4,FALSE)</f>
        <v>61</v>
      </c>
      <c r="J793" s="6">
        <f>VLOOKUP(operations[productID],products[],5,FALSE)</f>
        <v>0</v>
      </c>
      <c r="K793" s="6">
        <f>VLOOKUP(operations[productID],products[],6,FALSE)</f>
        <v>25</v>
      </c>
      <c r="L793" s="10">
        <f t="array" ref="L793">INDEX('1 orders'!I793:I2156, MATCH(1, ('1 orders'!A793:A2156=A793)*('1 orders'!G793:G2156=F793), 0))
</f>
        <v>70</v>
      </c>
      <c r="M793" s="10">
        <f>IFERROR(__xludf.DUMMYFUNCTION("COUNTUNIQUEIFS($A$2:$A793,$F$2:$F793,F793)"),8.0)</f>
        <v>8</v>
      </c>
      <c r="N793" s="10">
        <f t="shared" si="1"/>
        <v>48</v>
      </c>
      <c r="O793" s="26">
        <f>IF(operations[sinceLastOrder]=0,0,operations[orderQuantity] / operations[sinceLastOrder])</f>
        <v>1.458333333</v>
      </c>
      <c r="P793" s="9">
        <v>48.17</v>
      </c>
      <c r="Q793" s="7" t="s">
        <v>17</v>
      </c>
      <c r="R793" s="10">
        <f>operations[arrivedDate]-operations[shippedDate]</f>
        <v>16</v>
      </c>
    </row>
    <row r="794" ht="15.75" customHeight="1">
      <c r="A794" s="6">
        <v>10544.0</v>
      </c>
      <c r="B794" s="24">
        <v>45067.0</v>
      </c>
      <c r="C794" s="24">
        <v>45095.0</v>
      </c>
      <c r="D794" s="24">
        <v>45076.0</v>
      </c>
      <c r="E794" s="24">
        <v>45087.0</v>
      </c>
      <c r="F794" s="6">
        <v>28.0</v>
      </c>
      <c r="G794" s="9" t="str">
        <f>VLOOKUP(operations[productID],products[],2,FALSE)</f>
        <v>Rössle Sauerkraut</v>
      </c>
      <c r="H794" s="9" t="str">
        <f>IF(VLOOKUP(operations[productID],products[],7,FALSE)=1,"Discontinued","Current")</f>
        <v>Discontinued</v>
      </c>
      <c r="I794" s="6">
        <f>VLOOKUP(operations[productID],products[],4,FALSE)</f>
        <v>26</v>
      </c>
      <c r="J794" s="6">
        <f>VLOOKUP(operations[productID],products[],5,FALSE)</f>
        <v>0</v>
      </c>
      <c r="K794" s="6">
        <f>VLOOKUP(operations[productID],products[],6,FALSE)</f>
        <v>0</v>
      </c>
      <c r="L794" s="10">
        <f t="array" ref="L794">INDEX('1 orders'!I794:I2156, MATCH(1, ('1 orders'!A794:A2156=A794)*('1 orders'!G794:G2156=F794), 0))
</f>
        <v>7</v>
      </c>
      <c r="M794" s="10">
        <f>IFERROR(__xludf.DUMMYFUNCTION("COUNTUNIQUEIFS($A$2:$A794,$F$2:$F794,F794)"),18.0)</f>
        <v>18</v>
      </c>
      <c r="N794" s="10">
        <f t="shared" si="1"/>
        <v>29</v>
      </c>
      <c r="O794" s="26">
        <f>IF(operations[sinceLastOrder]=0,0,operations[orderQuantity] / operations[sinceLastOrder])</f>
        <v>0.2413793103</v>
      </c>
      <c r="P794" s="9">
        <v>24.91</v>
      </c>
      <c r="Q794" s="7" t="s">
        <v>15</v>
      </c>
      <c r="R794" s="10">
        <f>operations[arrivedDate]-operations[shippedDate]</f>
        <v>11</v>
      </c>
    </row>
    <row r="795" ht="15.75" customHeight="1">
      <c r="A795" s="6">
        <v>10544.0</v>
      </c>
      <c r="B795" s="24">
        <v>45067.0</v>
      </c>
      <c r="C795" s="24">
        <v>45095.0</v>
      </c>
      <c r="D795" s="24">
        <v>45076.0</v>
      </c>
      <c r="E795" s="24">
        <v>45087.0</v>
      </c>
      <c r="F795" s="6">
        <v>67.0</v>
      </c>
      <c r="G795" s="9" t="str">
        <f>VLOOKUP(operations[productID],products[],2,FALSE)</f>
        <v>Laughing Lumberjack Lager</v>
      </c>
      <c r="H795" s="9" t="str">
        <f>IF(VLOOKUP(operations[productID],products[],7,FALSE)=1,"Discontinued","Current")</f>
        <v>Current</v>
      </c>
      <c r="I795" s="6">
        <f>VLOOKUP(operations[productID],products[],4,FALSE)</f>
        <v>52</v>
      </c>
      <c r="J795" s="6">
        <f>VLOOKUP(operations[productID],products[],5,FALSE)</f>
        <v>0</v>
      </c>
      <c r="K795" s="6">
        <f>VLOOKUP(operations[productID],products[],6,FALSE)</f>
        <v>10</v>
      </c>
      <c r="L795" s="10">
        <f t="array" ref="L795">INDEX('1 orders'!I795:I2156, MATCH(1, ('1 orders'!A795:A2156=A795)*('1 orders'!G795:G2156=F795), 0))
</f>
        <v>7</v>
      </c>
      <c r="M795" s="10">
        <f>IFERROR(__xludf.DUMMYFUNCTION("COUNTUNIQUEIFS($A$2:$A795,$F$2:$F795,F795)"),3.0)</f>
        <v>3</v>
      </c>
      <c r="N795" s="10">
        <f t="shared" si="1"/>
        <v>41</v>
      </c>
      <c r="O795" s="26">
        <f>IF(operations[sinceLastOrder]=0,0,operations[orderQuantity] / operations[sinceLastOrder])</f>
        <v>0.1707317073</v>
      </c>
      <c r="P795" s="9">
        <v>24.91</v>
      </c>
      <c r="Q795" s="7" t="s">
        <v>15</v>
      </c>
      <c r="R795" s="10">
        <f>operations[arrivedDate]-operations[shippedDate]</f>
        <v>11</v>
      </c>
    </row>
    <row r="796" ht="15.75" customHeight="1">
      <c r="A796" s="6">
        <v>10545.0</v>
      </c>
      <c r="B796" s="24">
        <v>45068.0</v>
      </c>
      <c r="C796" s="24">
        <v>45096.0</v>
      </c>
      <c r="D796" s="24">
        <v>45103.0</v>
      </c>
      <c r="E796" s="24">
        <v>45120.0</v>
      </c>
      <c r="F796" s="6">
        <v>11.0</v>
      </c>
      <c r="G796" s="9" t="str">
        <f>VLOOKUP(operations[productID],products[],2,FALSE)</f>
        <v>Queso Cabrales</v>
      </c>
      <c r="H796" s="9" t="str">
        <f>IF(VLOOKUP(operations[productID],products[],7,FALSE)=1,"Discontinued","Current")</f>
        <v>Current</v>
      </c>
      <c r="I796" s="6">
        <f>VLOOKUP(operations[productID],products[],4,FALSE)</f>
        <v>22</v>
      </c>
      <c r="J796" s="6">
        <f>VLOOKUP(operations[productID],products[],5,FALSE)</f>
        <v>30</v>
      </c>
      <c r="K796" s="6">
        <f>VLOOKUP(operations[productID],products[],6,FALSE)</f>
        <v>30</v>
      </c>
      <c r="L796" s="10">
        <f t="array" ref="L796">INDEX('1 orders'!I796:I2156, MATCH(1, ('1 orders'!A796:A2156=A796)*('1 orders'!G796:G2156=F796), 0))
</f>
        <v>10</v>
      </c>
      <c r="M796" s="10">
        <f>IFERROR(__xludf.DUMMYFUNCTION("COUNTUNIQUEIFS($A$2:$A796,$F$2:$F796,F796)"),16.0)</f>
        <v>16</v>
      </c>
      <c r="N796" s="10">
        <f t="shared" si="1"/>
        <v>2</v>
      </c>
      <c r="O796" s="26">
        <f>IF(operations[sinceLastOrder]=0,0,operations[orderQuantity] / operations[sinceLastOrder])</f>
        <v>5</v>
      </c>
      <c r="P796" s="9">
        <v>11.92</v>
      </c>
      <c r="Q796" s="7" t="s">
        <v>17</v>
      </c>
      <c r="R796" s="10">
        <f>operations[arrivedDate]-operations[shippedDate]</f>
        <v>17</v>
      </c>
    </row>
    <row r="797" ht="15.75" customHeight="1">
      <c r="A797" s="6">
        <v>10546.0</v>
      </c>
      <c r="B797" s="24">
        <v>45069.0</v>
      </c>
      <c r="C797" s="24">
        <v>45097.0</v>
      </c>
      <c r="D797" s="24">
        <v>45073.0</v>
      </c>
      <c r="E797" s="24">
        <v>45081.0</v>
      </c>
      <c r="F797" s="6">
        <v>7.0</v>
      </c>
      <c r="G797" s="9" t="str">
        <f>VLOOKUP(operations[productID],products[],2,FALSE)</f>
        <v>Uncle Bob's Organic Dried Pears</v>
      </c>
      <c r="H797" s="9" t="str">
        <f>IF(VLOOKUP(operations[productID],products[],7,FALSE)=1,"Discontinued","Current")</f>
        <v>Current</v>
      </c>
      <c r="I797" s="6">
        <f>VLOOKUP(operations[productID],products[],4,FALSE)</f>
        <v>15</v>
      </c>
      <c r="J797" s="6">
        <f>VLOOKUP(operations[productID],products[],5,FALSE)</f>
        <v>0</v>
      </c>
      <c r="K797" s="6">
        <f>VLOOKUP(operations[productID],products[],6,FALSE)</f>
        <v>10</v>
      </c>
      <c r="L797" s="10">
        <f t="array" ref="L797">INDEX('1 orders'!I797:I2156, MATCH(1, ('1 orders'!A797:A2156=A797)*('1 orders'!G797:G2156=F797), 0))
</f>
        <v>10</v>
      </c>
      <c r="M797" s="10">
        <f>IFERROR(__xludf.DUMMYFUNCTION("COUNTUNIQUEIFS($A$2:$A797,$F$2:$F797,F797)"),6.0)</f>
        <v>6</v>
      </c>
      <c r="N797" s="10">
        <f t="shared" si="1"/>
        <v>35</v>
      </c>
      <c r="O797" s="26">
        <f>IF(operations[sinceLastOrder]=0,0,operations[orderQuantity] / operations[sinceLastOrder])</f>
        <v>0.2857142857</v>
      </c>
      <c r="P797" s="9">
        <v>194.72</v>
      </c>
      <c r="Q797" s="7" t="s">
        <v>13</v>
      </c>
      <c r="R797" s="10">
        <f>operations[arrivedDate]-operations[shippedDate]</f>
        <v>8</v>
      </c>
    </row>
    <row r="798" ht="15.75" customHeight="1">
      <c r="A798" s="6">
        <v>10546.0</v>
      </c>
      <c r="B798" s="24">
        <v>45069.0</v>
      </c>
      <c r="C798" s="24">
        <v>45097.0</v>
      </c>
      <c r="D798" s="24">
        <v>45073.0</v>
      </c>
      <c r="E798" s="24">
        <v>45081.0</v>
      </c>
      <c r="F798" s="6">
        <v>35.0</v>
      </c>
      <c r="G798" s="9" t="str">
        <f>VLOOKUP(operations[productID],products[],2,FALSE)</f>
        <v>Cold Brew Nitro</v>
      </c>
      <c r="H798" s="9" t="str">
        <f>IF(VLOOKUP(operations[productID],products[],7,FALSE)=1,"Discontinued","Current")</f>
        <v>Current</v>
      </c>
      <c r="I798" s="6">
        <f>VLOOKUP(operations[productID],products[],4,FALSE)</f>
        <v>20</v>
      </c>
      <c r="J798" s="6">
        <f>VLOOKUP(operations[productID],products[],5,FALSE)</f>
        <v>0</v>
      </c>
      <c r="K798" s="6">
        <f>VLOOKUP(operations[productID],products[],6,FALSE)</f>
        <v>15</v>
      </c>
      <c r="L798" s="10">
        <f t="array" ref="L798">INDEX('1 orders'!I798:I2156, MATCH(1, ('1 orders'!A798:A2156=A798)*('1 orders'!G798:G2156=F798), 0))
</f>
        <v>30</v>
      </c>
      <c r="M798" s="10">
        <f>IFERROR(__xludf.DUMMYFUNCTION("COUNTUNIQUEIFS($A$2:$A798,$F$2:$F798,F798)"),12.0)</f>
        <v>12</v>
      </c>
      <c r="N798" s="10">
        <f t="shared" si="1"/>
        <v>24</v>
      </c>
      <c r="O798" s="26">
        <f>IF(operations[sinceLastOrder]=0,0,operations[orderQuantity] / operations[sinceLastOrder])</f>
        <v>1.25</v>
      </c>
      <c r="P798" s="9">
        <v>194.72</v>
      </c>
      <c r="Q798" s="7" t="s">
        <v>13</v>
      </c>
      <c r="R798" s="10">
        <f>operations[arrivedDate]-operations[shippedDate]</f>
        <v>8</v>
      </c>
    </row>
    <row r="799" ht="15.75" customHeight="1">
      <c r="A799" s="6">
        <v>10546.0</v>
      </c>
      <c r="B799" s="24">
        <v>45069.0</v>
      </c>
      <c r="C799" s="24">
        <v>45097.0</v>
      </c>
      <c r="D799" s="24">
        <v>45073.0</v>
      </c>
      <c r="E799" s="24">
        <v>45081.0</v>
      </c>
      <c r="F799" s="6">
        <v>62.0</v>
      </c>
      <c r="G799" s="9" t="str">
        <f>VLOOKUP(operations[productID],products[],2,FALSE)</f>
        <v>Tarte au sucre</v>
      </c>
      <c r="H799" s="9" t="str">
        <f>IF(VLOOKUP(operations[productID],products[],7,FALSE)=1,"Discontinued","Current")</f>
        <v>Current</v>
      </c>
      <c r="I799" s="6">
        <f>VLOOKUP(operations[productID],products[],4,FALSE)</f>
        <v>17</v>
      </c>
      <c r="J799" s="6">
        <f>VLOOKUP(operations[productID],products[],5,FALSE)</f>
        <v>0</v>
      </c>
      <c r="K799" s="6">
        <f>VLOOKUP(operations[productID],products[],6,FALSE)</f>
        <v>0</v>
      </c>
      <c r="L799" s="10">
        <f t="array" ref="L799">INDEX('1 orders'!I799:I2156, MATCH(1, ('1 orders'!A799:A2156=A799)*('1 orders'!G799:G2156=F799), 0))
</f>
        <v>40</v>
      </c>
      <c r="M799" s="10">
        <f>IFERROR(__xludf.DUMMYFUNCTION("COUNTUNIQUEIFS($A$2:$A799,$F$2:$F799,F799)"),16.0)</f>
        <v>16</v>
      </c>
      <c r="N799" s="10">
        <f t="shared" si="1"/>
        <v>39</v>
      </c>
      <c r="O799" s="26">
        <f>IF(operations[sinceLastOrder]=0,0,operations[orderQuantity] / operations[sinceLastOrder])</f>
        <v>1.025641026</v>
      </c>
      <c r="P799" s="9">
        <v>194.72</v>
      </c>
      <c r="Q799" s="7" t="s">
        <v>13</v>
      </c>
      <c r="R799" s="10">
        <f>operations[arrivedDate]-operations[shippedDate]</f>
        <v>8</v>
      </c>
    </row>
    <row r="800" ht="15.75" customHeight="1">
      <c r="A800" s="6">
        <v>10547.0</v>
      </c>
      <c r="B800" s="24">
        <v>45069.0</v>
      </c>
      <c r="C800" s="24">
        <v>45097.0</v>
      </c>
      <c r="D800" s="24">
        <v>45079.0</v>
      </c>
      <c r="E800" s="24">
        <v>45090.0</v>
      </c>
      <c r="F800" s="6">
        <v>32.0</v>
      </c>
      <c r="G800" s="9" t="str">
        <f>VLOOKUP(operations[productID],products[],2,FALSE)</f>
        <v>Mascarpone Fabioli</v>
      </c>
      <c r="H800" s="9" t="str">
        <f>IF(VLOOKUP(operations[productID],products[],7,FALSE)=1,"Discontinued","Current")</f>
        <v>Current</v>
      </c>
      <c r="I800" s="6">
        <f>VLOOKUP(operations[productID],products[],4,FALSE)</f>
        <v>9</v>
      </c>
      <c r="J800" s="6">
        <f>VLOOKUP(operations[productID],products[],5,FALSE)</f>
        <v>40</v>
      </c>
      <c r="K800" s="6">
        <f>VLOOKUP(operations[productID],products[],6,FALSE)</f>
        <v>25</v>
      </c>
      <c r="L800" s="10">
        <f t="array" ref="L800">INDEX('1 orders'!I800:I2156, MATCH(1, ('1 orders'!A800:A2156=A800)*('1 orders'!G800:G2156=F800), 0))
</f>
        <v>24</v>
      </c>
      <c r="M800" s="10">
        <f>IFERROR(__xludf.DUMMYFUNCTION("COUNTUNIQUEIFS($A$2:$A800,$F$2:$F800,F800)"),5.0)</f>
        <v>5</v>
      </c>
      <c r="N800" s="10">
        <f t="shared" si="1"/>
        <v>31</v>
      </c>
      <c r="O800" s="26">
        <f>IF(operations[sinceLastOrder]=0,0,operations[orderQuantity] / operations[sinceLastOrder])</f>
        <v>0.7741935484</v>
      </c>
      <c r="P800" s="9">
        <v>178.43</v>
      </c>
      <c r="Q800" s="7" t="s">
        <v>17</v>
      </c>
      <c r="R800" s="10">
        <f>operations[arrivedDate]-operations[shippedDate]</f>
        <v>11</v>
      </c>
    </row>
    <row r="801" ht="15.75" customHeight="1">
      <c r="A801" s="6">
        <v>10547.0</v>
      </c>
      <c r="B801" s="24">
        <v>45069.0</v>
      </c>
      <c r="C801" s="24">
        <v>45097.0</v>
      </c>
      <c r="D801" s="24">
        <v>45079.0</v>
      </c>
      <c r="E801" s="24">
        <v>45090.0</v>
      </c>
      <c r="F801" s="6">
        <v>36.0</v>
      </c>
      <c r="G801" s="9" t="str">
        <f>VLOOKUP(operations[productID],products[],2,FALSE)</f>
        <v>Inlagd Sill</v>
      </c>
      <c r="H801" s="9" t="str">
        <f>IF(VLOOKUP(operations[productID],products[],7,FALSE)=1,"Discontinued","Current")</f>
        <v>Current</v>
      </c>
      <c r="I801" s="6">
        <f>VLOOKUP(operations[productID],products[],4,FALSE)</f>
        <v>112</v>
      </c>
      <c r="J801" s="6">
        <f>VLOOKUP(operations[productID],products[],5,FALSE)</f>
        <v>0</v>
      </c>
      <c r="K801" s="6">
        <f>VLOOKUP(operations[productID],products[],6,FALSE)</f>
        <v>20</v>
      </c>
      <c r="L801" s="10">
        <f t="array" ref="L801">INDEX('1 orders'!I801:I2156, MATCH(1, ('1 orders'!A801:A2156=A801)*('1 orders'!G801:G2156=F801), 0))
</f>
        <v>60</v>
      </c>
      <c r="M801" s="10">
        <f>IFERROR(__xludf.DUMMYFUNCTION("COUNTUNIQUEIFS($A$2:$A801,$F$2:$F801,F801)"),12.0)</f>
        <v>12</v>
      </c>
      <c r="N801" s="10">
        <f t="shared" si="1"/>
        <v>18</v>
      </c>
      <c r="O801" s="26">
        <f>IF(operations[sinceLastOrder]=0,0,operations[orderQuantity] / operations[sinceLastOrder])</f>
        <v>3.333333333</v>
      </c>
      <c r="P801" s="9">
        <v>178.43</v>
      </c>
      <c r="Q801" s="7" t="s">
        <v>17</v>
      </c>
      <c r="R801" s="10">
        <f>operations[arrivedDate]-operations[shippedDate]</f>
        <v>11</v>
      </c>
    </row>
    <row r="802" ht="15.75" customHeight="1">
      <c r="A802" s="6">
        <v>10548.0</v>
      </c>
      <c r="B802" s="24">
        <v>45072.0</v>
      </c>
      <c r="C802" s="24">
        <v>45100.0</v>
      </c>
      <c r="D802" s="24">
        <v>45079.0</v>
      </c>
      <c r="E802" s="24">
        <v>45088.0</v>
      </c>
      <c r="F802" s="6">
        <v>34.0</v>
      </c>
      <c r="G802" s="9" t="str">
        <f>VLOOKUP(operations[productID],products[],2,FALSE)</f>
        <v>Sasquatch Ale</v>
      </c>
      <c r="H802" s="9" t="str">
        <f>IF(VLOOKUP(operations[productID],products[],7,FALSE)=1,"Discontinued","Current")</f>
        <v>Current</v>
      </c>
      <c r="I802" s="6">
        <f>VLOOKUP(operations[productID],products[],4,FALSE)</f>
        <v>111</v>
      </c>
      <c r="J802" s="6">
        <f>VLOOKUP(operations[productID],products[],5,FALSE)</f>
        <v>0</v>
      </c>
      <c r="K802" s="6">
        <f>VLOOKUP(operations[productID],products[],6,FALSE)</f>
        <v>15</v>
      </c>
      <c r="L802" s="10">
        <f t="array" ref="L802">INDEX('1 orders'!I802:I2156, MATCH(1, ('1 orders'!A802:A2156=A802)*('1 orders'!G802:G2156=F802), 0))
</f>
        <v>10</v>
      </c>
      <c r="M802" s="10">
        <f>IFERROR(__xludf.DUMMYFUNCTION("COUNTUNIQUEIFS($A$2:$A802,$F$2:$F802,F802)"),8.0)</f>
        <v>8</v>
      </c>
      <c r="N802" s="10">
        <f t="shared" si="1"/>
        <v>63</v>
      </c>
      <c r="O802" s="26">
        <f>IF(operations[sinceLastOrder]=0,0,operations[orderQuantity] / operations[sinceLastOrder])</f>
        <v>0.1587301587</v>
      </c>
      <c r="P802" s="9">
        <v>1.43</v>
      </c>
      <c r="Q802" s="7" t="s">
        <v>17</v>
      </c>
      <c r="R802" s="10">
        <f>operations[arrivedDate]-operations[shippedDate]</f>
        <v>9</v>
      </c>
    </row>
    <row r="803" ht="15.75" customHeight="1">
      <c r="A803" s="6">
        <v>10548.0</v>
      </c>
      <c r="B803" s="24">
        <v>45072.0</v>
      </c>
      <c r="C803" s="24">
        <v>45100.0</v>
      </c>
      <c r="D803" s="24">
        <v>45079.0</v>
      </c>
      <c r="E803" s="24">
        <v>45088.0</v>
      </c>
      <c r="F803" s="6">
        <v>41.0</v>
      </c>
      <c r="G803" s="9" t="str">
        <f>VLOOKUP(operations[productID],products[],2,FALSE)</f>
        <v>Jack's New England Clam Chowder</v>
      </c>
      <c r="H803" s="9" t="str">
        <f>IF(VLOOKUP(operations[productID],products[],7,FALSE)=1,"Discontinued","Current")</f>
        <v>Current</v>
      </c>
      <c r="I803" s="6">
        <f>VLOOKUP(operations[productID],products[],4,FALSE)</f>
        <v>85</v>
      </c>
      <c r="J803" s="6">
        <f>VLOOKUP(operations[productID],products[],5,FALSE)</f>
        <v>0</v>
      </c>
      <c r="K803" s="6">
        <f>VLOOKUP(operations[productID],products[],6,FALSE)</f>
        <v>10</v>
      </c>
      <c r="L803" s="10">
        <f t="array" ref="L803">INDEX('1 orders'!I803:I2156, MATCH(1, ('1 orders'!A803:A2156=A803)*('1 orders'!G803:G2156=F803), 0))
</f>
        <v>14</v>
      </c>
      <c r="M803" s="10">
        <f>IFERROR(__xludf.DUMMYFUNCTION("COUNTUNIQUEIFS($A$2:$A803,$F$2:$F803,F803)"),15.0)</f>
        <v>15</v>
      </c>
      <c r="N803" s="10">
        <f t="shared" si="1"/>
        <v>25</v>
      </c>
      <c r="O803" s="26">
        <f>IF(operations[sinceLastOrder]=0,0,operations[orderQuantity] / operations[sinceLastOrder])</f>
        <v>0.56</v>
      </c>
      <c r="P803" s="9">
        <v>1.43</v>
      </c>
      <c r="Q803" s="7" t="s">
        <v>17</v>
      </c>
      <c r="R803" s="10">
        <f>operations[arrivedDate]-operations[shippedDate]</f>
        <v>9</v>
      </c>
    </row>
    <row r="804" ht="15.75" customHeight="1">
      <c r="A804" s="6">
        <v>10549.0</v>
      </c>
      <c r="B804" s="24">
        <v>45073.0</v>
      </c>
      <c r="C804" s="24">
        <v>45087.0</v>
      </c>
      <c r="D804" s="24">
        <v>45076.0</v>
      </c>
      <c r="E804" s="24">
        <v>45078.0</v>
      </c>
      <c r="F804" s="6">
        <v>31.0</v>
      </c>
      <c r="G804" s="9" t="str">
        <f>VLOOKUP(operations[productID],products[],2,FALSE)</f>
        <v>Gorgonzola Telino</v>
      </c>
      <c r="H804" s="9" t="str">
        <f>IF(VLOOKUP(operations[productID],products[],7,FALSE)=1,"Discontinued","Current")</f>
        <v>Current</v>
      </c>
      <c r="I804" s="6">
        <f>VLOOKUP(operations[productID],products[],4,FALSE)</f>
        <v>0</v>
      </c>
      <c r="J804" s="6">
        <f>VLOOKUP(operations[productID],products[],5,FALSE)</f>
        <v>70</v>
      </c>
      <c r="K804" s="6">
        <f>VLOOKUP(operations[productID],products[],6,FALSE)</f>
        <v>20</v>
      </c>
      <c r="L804" s="10">
        <f t="array" ref="L804">INDEX('1 orders'!I804:I2156, MATCH(1, ('1 orders'!A804:A2156=A804)*('1 orders'!G804:G2156=F804), 0))
</f>
        <v>55</v>
      </c>
      <c r="M804" s="10">
        <f>IFERROR(__xludf.DUMMYFUNCTION("COUNTUNIQUEIFS($A$2:$A804,$F$2:$F804,F804)"),20.0)</f>
        <v>20</v>
      </c>
      <c r="N804" s="10">
        <f t="shared" si="1"/>
        <v>13</v>
      </c>
      <c r="O804" s="26">
        <f>IF(operations[sinceLastOrder]=0,0,operations[orderQuantity] / operations[sinceLastOrder])</f>
        <v>4.230769231</v>
      </c>
      <c r="P804" s="9">
        <v>171.24</v>
      </c>
      <c r="Q804" s="7" t="s">
        <v>15</v>
      </c>
      <c r="R804" s="10">
        <f>operations[arrivedDate]-operations[shippedDate]</f>
        <v>2</v>
      </c>
    </row>
    <row r="805" ht="15.75" customHeight="1">
      <c r="A805" s="6">
        <v>10549.0</v>
      </c>
      <c r="B805" s="24">
        <v>45073.0</v>
      </c>
      <c r="C805" s="24">
        <v>45087.0</v>
      </c>
      <c r="D805" s="24">
        <v>45076.0</v>
      </c>
      <c r="E805" s="24">
        <v>45078.0</v>
      </c>
      <c r="F805" s="6">
        <v>45.0</v>
      </c>
      <c r="G805" s="9" t="str">
        <f>VLOOKUP(operations[productID],products[],2,FALSE)</f>
        <v>Rogede sild</v>
      </c>
      <c r="H805" s="9" t="str">
        <f>IF(VLOOKUP(operations[productID],products[],7,FALSE)=1,"Discontinued","Current")</f>
        <v>Current</v>
      </c>
      <c r="I805" s="6">
        <f>VLOOKUP(operations[productID],products[],4,FALSE)</f>
        <v>5</v>
      </c>
      <c r="J805" s="6">
        <f>VLOOKUP(operations[productID],products[],5,FALSE)</f>
        <v>70</v>
      </c>
      <c r="K805" s="6">
        <f>VLOOKUP(operations[productID],products[],6,FALSE)</f>
        <v>15</v>
      </c>
      <c r="L805" s="10">
        <f t="array" ref="L805">INDEX('1 orders'!I805:I2156, MATCH(1, ('1 orders'!A805:A2156=A805)*('1 orders'!G805:G2156=F805), 0))
</f>
        <v>100</v>
      </c>
      <c r="M805" s="10">
        <f>IFERROR(__xludf.DUMMYFUNCTION("COUNTUNIQUEIFS($A$2:$A805,$F$2:$F805,F805)"),4.0)</f>
        <v>4</v>
      </c>
      <c r="N805" s="10">
        <f t="shared" si="1"/>
        <v>47</v>
      </c>
      <c r="O805" s="26">
        <f>IF(operations[sinceLastOrder]=0,0,operations[orderQuantity] / operations[sinceLastOrder])</f>
        <v>2.127659574</v>
      </c>
      <c r="P805" s="9">
        <v>171.24</v>
      </c>
      <c r="Q805" s="7" t="s">
        <v>15</v>
      </c>
      <c r="R805" s="10">
        <f>operations[arrivedDate]-operations[shippedDate]</f>
        <v>2</v>
      </c>
    </row>
    <row r="806" ht="15.75" customHeight="1">
      <c r="A806" s="6">
        <v>10549.0</v>
      </c>
      <c r="B806" s="24">
        <v>45073.0</v>
      </c>
      <c r="C806" s="24">
        <v>45087.0</v>
      </c>
      <c r="D806" s="24">
        <v>45076.0</v>
      </c>
      <c r="E806" s="24">
        <v>45078.0</v>
      </c>
      <c r="F806" s="6">
        <v>51.0</v>
      </c>
      <c r="G806" s="9" t="str">
        <f>VLOOKUP(operations[productID],products[],2,FALSE)</f>
        <v>Manjimup Dried Apples</v>
      </c>
      <c r="H806" s="9" t="str">
        <f>IF(VLOOKUP(operations[productID],products[],7,FALSE)=1,"Discontinued","Current")</f>
        <v>Current</v>
      </c>
      <c r="I806" s="6">
        <f>VLOOKUP(operations[productID],products[],4,FALSE)</f>
        <v>20</v>
      </c>
      <c r="J806" s="6">
        <f>VLOOKUP(operations[productID],products[],5,FALSE)</f>
        <v>0</v>
      </c>
      <c r="K806" s="6">
        <f>VLOOKUP(operations[productID],products[],6,FALSE)</f>
        <v>10</v>
      </c>
      <c r="L806" s="10">
        <f t="array" ref="L806">INDEX('1 orders'!I806:I2156, MATCH(1, ('1 orders'!A806:A2156=A806)*('1 orders'!G806:G2156=F806), 0))
</f>
        <v>48</v>
      </c>
      <c r="M806" s="10">
        <f>IFERROR(__xludf.DUMMYFUNCTION("COUNTUNIQUEIFS($A$2:$A806,$F$2:$F806,F806)"),11.0)</f>
        <v>11</v>
      </c>
      <c r="N806" s="10">
        <f t="shared" si="1"/>
        <v>13</v>
      </c>
      <c r="O806" s="26">
        <f>IF(operations[sinceLastOrder]=0,0,operations[orderQuantity] / operations[sinceLastOrder])</f>
        <v>3.692307692</v>
      </c>
      <c r="P806" s="9">
        <v>171.24</v>
      </c>
      <c r="Q806" s="7" t="s">
        <v>15</v>
      </c>
      <c r="R806" s="10">
        <f>operations[arrivedDate]-operations[shippedDate]</f>
        <v>2</v>
      </c>
    </row>
    <row r="807" ht="15.75" customHeight="1">
      <c r="A807" s="6">
        <v>10550.0</v>
      </c>
      <c r="B807" s="24">
        <v>45074.0</v>
      </c>
      <c r="C807" s="24">
        <v>45102.0</v>
      </c>
      <c r="D807" s="24">
        <v>45083.0</v>
      </c>
      <c r="E807" s="24">
        <v>45090.0</v>
      </c>
      <c r="F807" s="6">
        <v>17.0</v>
      </c>
      <c r="G807" s="9" t="str">
        <f>VLOOKUP(operations[productID],products[],2,FALSE)</f>
        <v>Alice Mutton</v>
      </c>
      <c r="H807" s="9" t="str">
        <f>IF(VLOOKUP(operations[productID],products[],7,FALSE)=1,"Discontinued","Current")</f>
        <v>Discontinued</v>
      </c>
      <c r="I807" s="6">
        <f>VLOOKUP(operations[productID],products[],4,FALSE)</f>
        <v>0</v>
      </c>
      <c r="J807" s="6">
        <f>VLOOKUP(operations[productID],products[],5,FALSE)</f>
        <v>0</v>
      </c>
      <c r="K807" s="6">
        <f>VLOOKUP(operations[productID],products[],6,FALSE)</f>
        <v>0</v>
      </c>
      <c r="L807" s="10">
        <f t="array" ref="L807">INDEX('1 orders'!I807:I2156, MATCH(1, ('1 orders'!A807:A2156=A807)*('1 orders'!G807:G2156=F807), 0))
</f>
        <v>8</v>
      </c>
      <c r="M807" s="10">
        <f>IFERROR(__xludf.DUMMYFUNCTION("COUNTUNIQUEIFS($A$2:$A807,$F$2:$F807,F807)"),15.0)</f>
        <v>15</v>
      </c>
      <c r="N807" s="10">
        <f t="shared" si="1"/>
        <v>20</v>
      </c>
      <c r="O807" s="26">
        <f>IF(operations[sinceLastOrder]=0,0,operations[orderQuantity] / operations[sinceLastOrder])</f>
        <v>0.4</v>
      </c>
      <c r="P807" s="9">
        <v>4.32</v>
      </c>
      <c r="Q807" s="7" t="s">
        <v>13</v>
      </c>
      <c r="R807" s="10">
        <f>operations[arrivedDate]-operations[shippedDate]</f>
        <v>7</v>
      </c>
    </row>
    <row r="808" ht="15.75" customHeight="1">
      <c r="A808" s="6">
        <v>10550.0</v>
      </c>
      <c r="B808" s="24">
        <v>45074.0</v>
      </c>
      <c r="C808" s="24">
        <v>45102.0</v>
      </c>
      <c r="D808" s="24">
        <v>45083.0</v>
      </c>
      <c r="E808" s="24">
        <v>45090.0</v>
      </c>
      <c r="F808" s="6">
        <v>19.0</v>
      </c>
      <c r="G808" s="9" t="str">
        <f>VLOOKUP(operations[productID],products[],2,FALSE)</f>
        <v>Teatime Chocolate Biscuits</v>
      </c>
      <c r="H808" s="9" t="str">
        <f>IF(VLOOKUP(operations[productID],products[],7,FALSE)=1,"Discontinued","Current")</f>
        <v>Current</v>
      </c>
      <c r="I808" s="6">
        <f>VLOOKUP(operations[productID],products[],4,FALSE)</f>
        <v>25</v>
      </c>
      <c r="J808" s="6">
        <f>VLOOKUP(operations[productID],products[],5,FALSE)</f>
        <v>0</v>
      </c>
      <c r="K808" s="6">
        <f>VLOOKUP(operations[productID],products[],6,FALSE)</f>
        <v>5</v>
      </c>
      <c r="L808" s="10">
        <f t="array" ref="L808">INDEX('1 orders'!I808:I2156, MATCH(1, ('1 orders'!A808:A2156=A808)*('1 orders'!G808:G2156=F808), 0))
</f>
        <v>10</v>
      </c>
      <c r="M808" s="10">
        <f>IFERROR(__xludf.DUMMYFUNCTION("COUNTUNIQUEIFS($A$2:$A808,$F$2:$F808,F808)"),14.0)</f>
        <v>14</v>
      </c>
      <c r="N808" s="10">
        <f t="shared" si="1"/>
        <v>63</v>
      </c>
      <c r="O808" s="26">
        <f>IF(operations[sinceLastOrder]=0,0,operations[orderQuantity] / operations[sinceLastOrder])</f>
        <v>0.1587301587</v>
      </c>
      <c r="P808" s="9">
        <v>4.32</v>
      </c>
      <c r="Q808" s="7" t="s">
        <v>13</v>
      </c>
      <c r="R808" s="10">
        <f>operations[arrivedDate]-operations[shippedDate]</f>
        <v>7</v>
      </c>
    </row>
    <row r="809" ht="15.75" customHeight="1">
      <c r="A809" s="6">
        <v>10550.0</v>
      </c>
      <c r="B809" s="24">
        <v>45074.0</v>
      </c>
      <c r="C809" s="24">
        <v>45102.0</v>
      </c>
      <c r="D809" s="24">
        <v>45083.0</v>
      </c>
      <c r="E809" s="24">
        <v>45090.0</v>
      </c>
      <c r="F809" s="6">
        <v>21.0</v>
      </c>
      <c r="G809" s="9" t="str">
        <f>VLOOKUP(operations[productID],products[],2,FALSE)</f>
        <v>Sir Rodney's Scones</v>
      </c>
      <c r="H809" s="9" t="str">
        <f>IF(VLOOKUP(operations[productID],products[],7,FALSE)=1,"Discontinued","Current")</f>
        <v>Current</v>
      </c>
      <c r="I809" s="6">
        <f>VLOOKUP(operations[productID],products[],4,FALSE)</f>
        <v>3</v>
      </c>
      <c r="J809" s="6">
        <f>VLOOKUP(operations[productID],products[],5,FALSE)</f>
        <v>40</v>
      </c>
      <c r="K809" s="6">
        <f>VLOOKUP(operations[productID],products[],6,FALSE)</f>
        <v>5</v>
      </c>
      <c r="L809" s="10">
        <f t="array" ref="L809">INDEX('1 orders'!I809:I2156, MATCH(1, ('1 orders'!A809:A2156=A809)*('1 orders'!G809:G2156=F809), 0))
</f>
        <v>6</v>
      </c>
      <c r="M809" s="10">
        <f>IFERROR(__xludf.DUMMYFUNCTION("COUNTUNIQUEIFS($A$2:$A809,$F$2:$F809,F809)"),16.0)</f>
        <v>16</v>
      </c>
      <c r="N809" s="10">
        <f t="shared" si="1"/>
        <v>12</v>
      </c>
      <c r="O809" s="26">
        <f>IF(operations[sinceLastOrder]=0,0,operations[orderQuantity] / operations[sinceLastOrder])</f>
        <v>0.5</v>
      </c>
      <c r="P809" s="9">
        <v>4.32</v>
      </c>
      <c r="Q809" s="7" t="s">
        <v>13</v>
      </c>
      <c r="R809" s="10">
        <f>operations[arrivedDate]-operations[shippedDate]</f>
        <v>7</v>
      </c>
    </row>
    <row r="810" ht="15.75" customHeight="1">
      <c r="A810" s="6">
        <v>10550.0</v>
      </c>
      <c r="B810" s="24">
        <v>45074.0</v>
      </c>
      <c r="C810" s="24">
        <v>45102.0</v>
      </c>
      <c r="D810" s="24">
        <v>45083.0</v>
      </c>
      <c r="E810" s="24">
        <v>45090.0</v>
      </c>
      <c r="F810" s="6">
        <v>61.0</v>
      </c>
      <c r="G810" s="9" t="str">
        <f>VLOOKUP(operations[productID],products[],2,FALSE)</f>
        <v>Sirop d'érable</v>
      </c>
      <c r="H810" s="9" t="str">
        <f>IF(VLOOKUP(operations[productID],products[],7,FALSE)=1,"Discontinued","Current")</f>
        <v>Current</v>
      </c>
      <c r="I810" s="6">
        <f>VLOOKUP(operations[productID],products[],4,FALSE)</f>
        <v>113</v>
      </c>
      <c r="J810" s="6">
        <f>VLOOKUP(operations[productID],products[],5,FALSE)</f>
        <v>0</v>
      </c>
      <c r="K810" s="6">
        <f>VLOOKUP(operations[productID],products[],6,FALSE)</f>
        <v>25</v>
      </c>
      <c r="L810" s="10">
        <f t="array" ref="L810">INDEX('1 orders'!I810:I2156, MATCH(1, ('1 orders'!A810:A2156=A810)*('1 orders'!G810:G2156=F810), 0))
</f>
        <v>10</v>
      </c>
      <c r="M810" s="10">
        <f>IFERROR(__xludf.DUMMYFUNCTION("COUNTUNIQUEIFS($A$2:$A810,$F$2:$F810,F810)"),7.0)</f>
        <v>7</v>
      </c>
      <c r="N810" s="10">
        <f t="shared" si="1"/>
        <v>20</v>
      </c>
      <c r="O810" s="26">
        <f>IF(operations[sinceLastOrder]=0,0,operations[orderQuantity] / operations[sinceLastOrder])</f>
        <v>0.5</v>
      </c>
      <c r="P810" s="9">
        <v>4.32</v>
      </c>
      <c r="Q810" s="7" t="s">
        <v>13</v>
      </c>
      <c r="R810" s="10">
        <f>operations[arrivedDate]-operations[shippedDate]</f>
        <v>7</v>
      </c>
    </row>
    <row r="811" ht="15.75" customHeight="1">
      <c r="A811" s="6">
        <v>10551.0</v>
      </c>
      <c r="B811" s="24">
        <v>45074.0</v>
      </c>
      <c r="C811" s="24">
        <v>45116.0</v>
      </c>
      <c r="D811" s="24">
        <v>45083.0</v>
      </c>
      <c r="E811" s="24">
        <v>45093.0</v>
      </c>
      <c r="F811" s="6">
        <v>16.0</v>
      </c>
      <c r="G811" s="9" t="str">
        <f>VLOOKUP(operations[productID],products[],2,FALSE)</f>
        <v>Pavlova</v>
      </c>
      <c r="H811" s="9" t="str">
        <f>IF(VLOOKUP(operations[productID],products[],7,FALSE)=1,"Discontinued","Current")</f>
        <v>Current</v>
      </c>
      <c r="I811" s="6">
        <f>VLOOKUP(operations[productID],products[],4,FALSE)</f>
        <v>29</v>
      </c>
      <c r="J811" s="6">
        <f>VLOOKUP(operations[productID],products[],5,FALSE)</f>
        <v>0</v>
      </c>
      <c r="K811" s="6">
        <f>VLOOKUP(operations[productID],products[],6,FALSE)</f>
        <v>10</v>
      </c>
      <c r="L811" s="10">
        <f t="array" ref="L811">INDEX('1 orders'!I811:I2156, MATCH(1, ('1 orders'!A811:A2156=A811)*('1 orders'!G811:G2156=F811), 0))
</f>
        <v>40</v>
      </c>
      <c r="M811" s="10">
        <f>IFERROR(__xludf.DUMMYFUNCTION("COUNTUNIQUEIFS($A$2:$A811,$F$2:$F811,F811)"),15.0)</f>
        <v>15</v>
      </c>
      <c r="N811" s="10">
        <f t="shared" si="1"/>
        <v>35</v>
      </c>
      <c r="O811" s="26">
        <f>IF(operations[sinceLastOrder]=0,0,operations[orderQuantity] / operations[sinceLastOrder])</f>
        <v>1.142857143</v>
      </c>
      <c r="P811" s="9">
        <v>72.95</v>
      </c>
      <c r="Q811" s="7" t="s">
        <v>13</v>
      </c>
      <c r="R811" s="10">
        <f>operations[arrivedDate]-operations[shippedDate]</f>
        <v>10</v>
      </c>
    </row>
    <row r="812" ht="15.75" customHeight="1">
      <c r="A812" s="6">
        <v>10551.0</v>
      </c>
      <c r="B812" s="24">
        <v>45074.0</v>
      </c>
      <c r="C812" s="24">
        <v>45116.0</v>
      </c>
      <c r="D812" s="24">
        <v>45083.0</v>
      </c>
      <c r="E812" s="24">
        <v>45093.0</v>
      </c>
      <c r="F812" s="6">
        <v>35.0</v>
      </c>
      <c r="G812" s="9" t="str">
        <f>VLOOKUP(operations[productID],products[],2,FALSE)</f>
        <v>Cold Brew Nitro</v>
      </c>
      <c r="H812" s="9" t="str">
        <f>IF(VLOOKUP(operations[productID],products[],7,FALSE)=1,"Discontinued","Current")</f>
        <v>Current</v>
      </c>
      <c r="I812" s="6">
        <f>VLOOKUP(operations[productID],products[],4,FALSE)</f>
        <v>20</v>
      </c>
      <c r="J812" s="6">
        <f>VLOOKUP(operations[productID],products[],5,FALSE)</f>
        <v>0</v>
      </c>
      <c r="K812" s="6">
        <f>VLOOKUP(operations[productID],products[],6,FALSE)</f>
        <v>15</v>
      </c>
      <c r="L812" s="10">
        <f t="array" ref="L812">INDEX('1 orders'!I812:I2156, MATCH(1, ('1 orders'!A812:A2156=A812)*('1 orders'!G812:G2156=F812), 0))
</f>
        <v>20</v>
      </c>
      <c r="M812" s="10">
        <f>IFERROR(__xludf.DUMMYFUNCTION("COUNTUNIQUEIFS($A$2:$A812,$F$2:$F812,F812)"),13.0)</f>
        <v>13</v>
      </c>
      <c r="N812" s="10">
        <f t="shared" si="1"/>
        <v>5</v>
      </c>
      <c r="O812" s="26">
        <f>IF(operations[sinceLastOrder]=0,0,operations[orderQuantity] / operations[sinceLastOrder])</f>
        <v>4</v>
      </c>
      <c r="P812" s="9">
        <v>72.95</v>
      </c>
      <c r="Q812" s="7" t="s">
        <v>13</v>
      </c>
      <c r="R812" s="10">
        <f>operations[arrivedDate]-operations[shippedDate]</f>
        <v>10</v>
      </c>
    </row>
    <row r="813" ht="15.75" customHeight="1">
      <c r="A813" s="6">
        <v>10551.0</v>
      </c>
      <c r="B813" s="24">
        <v>45074.0</v>
      </c>
      <c r="C813" s="24">
        <v>45116.0</v>
      </c>
      <c r="D813" s="24">
        <v>45083.0</v>
      </c>
      <c r="E813" s="24">
        <v>45093.0</v>
      </c>
      <c r="F813" s="6">
        <v>44.0</v>
      </c>
      <c r="G813" s="9" t="str">
        <f>VLOOKUP(operations[productID],products[],2,FALSE)</f>
        <v>Gula Malacca</v>
      </c>
      <c r="H813" s="9" t="str">
        <f>IF(VLOOKUP(operations[productID],products[],7,FALSE)=1,"Discontinued","Current")</f>
        <v>Current</v>
      </c>
      <c r="I813" s="6">
        <f>VLOOKUP(operations[productID],products[],4,FALSE)</f>
        <v>27</v>
      </c>
      <c r="J813" s="6">
        <f>VLOOKUP(operations[productID],products[],5,FALSE)</f>
        <v>0</v>
      </c>
      <c r="K813" s="6">
        <f>VLOOKUP(operations[productID],products[],6,FALSE)</f>
        <v>15</v>
      </c>
      <c r="L813" s="10">
        <f t="array" ref="L813">INDEX('1 orders'!I813:I2156, MATCH(1, ('1 orders'!A813:A2156=A813)*('1 orders'!G813:G2156=F813), 0))
</f>
        <v>40</v>
      </c>
      <c r="M813" s="10">
        <f>IFERROR(__xludf.DUMMYFUNCTION("COUNTUNIQUEIFS($A$2:$A813,$F$2:$F813,F813)"),10.0)</f>
        <v>10</v>
      </c>
      <c r="N813" s="10">
        <f t="shared" si="1"/>
        <v>33</v>
      </c>
      <c r="O813" s="26">
        <f>IF(operations[sinceLastOrder]=0,0,operations[orderQuantity] / operations[sinceLastOrder])</f>
        <v>1.212121212</v>
      </c>
      <c r="P813" s="9">
        <v>72.95</v>
      </c>
      <c r="Q813" s="7" t="s">
        <v>13</v>
      </c>
      <c r="R813" s="10">
        <f>operations[arrivedDate]-operations[shippedDate]</f>
        <v>10</v>
      </c>
    </row>
    <row r="814" ht="15.75" customHeight="1">
      <c r="A814" s="6">
        <v>10552.0</v>
      </c>
      <c r="B814" s="24">
        <v>45075.0</v>
      </c>
      <c r="C814" s="24">
        <v>45103.0</v>
      </c>
      <c r="D814" s="24">
        <v>45082.0</v>
      </c>
      <c r="E814" s="24">
        <v>45093.0</v>
      </c>
      <c r="F814" s="6">
        <v>69.0</v>
      </c>
      <c r="G814" s="9" t="str">
        <f>VLOOKUP(operations[productID],products[],2,FALSE)</f>
        <v>Gudbrandsdalsost</v>
      </c>
      <c r="H814" s="9" t="str">
        <f>IF(VLOOKUP(operations[productID],products[],7,FALSE)=1,"Discontinued","Current")</f>
        <v>Current</v>
      </c>
      <c r="I814" s="6">
        <f>VLOOKUP(operations[productID],products[],4,FALSE)</f>
        <v>26</v>
      </c>
      <c r="J814" s="6">
        <f>VLOOKUP(operations[productID],products[],5,FALSE)</f>
        <v>0</v>
      </c>
      <c r="K814" s="6">
        <f>VLOOKUP(operations[productID],products[],6,FALSE)</f>
        <v>15</v>
      </c>
      <c r="L814" s="10">
        <f t="array" ref="L814">INDEX('1 orders'!I814:I2156, MATCH(1, ('1 orders'!A814:A2156=A814)*('1 orders'!G814:G2156=F814), 0))
</f>
        <v>18</v>
      </c>
      <c r="M814" s="10">
        <f>IFERROR(__xludf.DUMMYFUNCTION("COUNTUNIQUEIFS($A$2:$A814,$F$2:$F814,F814)"),13.0)</f>
        <v>13</v>
      </c>
      <c r="N814" s="10">
        <f t="shared" si="1"/>
        <v>22</v>
      </c>
      <c r="O814" s="26">
        <f>IF(operations[sinceLastOrder]=0,0,operations[orderQuantity] / operations[sinceLastOrder])</f>
        <v>0.8181818182</v>
      </c>
      <c r="P814" s="9">
        <v>83.22</v>
      </c>
      <c r="Q814" s="7" t="s">
        <v>15</v>
      </c>
      <c r="R814" s="10">
        <f>operations[arrivedDate]-operations[shippedDate]</f>
        <v>11</v>
      </c>
    </row>
    <row r="815" ht="15.75" customHeight="1">
      <c r="A815" s="6">
        <v>10552.0</v>
      </c>
      <c r="B815" s="24">
        <v>45075.0</v>
      </c>
      <c r="C815" s="24">
        <v>45103.0</v>
      </c>
      <c r="D815" s="24">
        <v>45082.0</v>
      </c>
      <c r="E815" s="24">
        <v>45093.0</v>
      </c>
      <c r="F815" s="6">
        <v>75.0</v>
      </c>
      <c r="G815" s="9" t="str">
        <f>VLOOKUP(operations[productID],products[],2,FALSE)</f>
        <v>Rhönbräu Klosterbier</v>
      </c>
      <c r="H815" s="9" t="str">
        <f>IF(VLOOKUP(operations[productID],products[],7,FALSE)=1,"Discontinued","Current")</f>
        <v>Current</v>
      </c>
      <c r="I815" s="6">
        <f>VLOOKUP(operations[productID],products[],4,FALSE)</f>
        <v>125</v>
      </c>
      <c r="J815" s="6">
        <f>VLOOKUP(operations[productID],products[],5,FALSE)</f>
        <v>0</v>
      </c>
      <c r="K815" s="6">
        <f>VLOOKUP(operations[productID],products[],6,FALSE)</f>
        <v>25</v>
      </c>
      <c r="L815" s="10">
        <f t="array" ref="L815">INDEX('1 orders'!I815:I2156, MATCH(1, ('1 orders'!A815:A2156=A815)*('1 orders'!G815:G2156=F815), 0))
</f>
        <v>30</v>
      </c>
      <c r="M815" s="10">
        <f>IFERROR(__xludf.DUMMYFUNCTION("COUNTUNIQUEIFS($A$2:$A815,$F$2:$F815,F815)"),14.0)</f>
        <v>14</v>
      </c>
      <c r="N815" s="10">
        <f t="shared" si="1"/>
        <v>37</v>
      </c>
      <c r="O815" s="26">
        <f>IF(operations[sinceLastOrder]=0,0,operations[orderQuantity] / operations[sinceLastOrder])</f>
        <v>0.8108108108</v>
      </c>
      <c r="P815" s="9">
        <v>83.22</v>
      </c>
      <c r="Q815" s="7" t="s">
        <v>15</v>
      </c>
      <c r="R815" s="10">
        <f>operations[arrivedDate]-operations[shippedDate]</f>
        <v>11</v>
      </c>
    </row>
    <row r="816" ht="15.75" customHeight="1">
      <c r="A816" s="6">
        <v>10553.0</v>
      </c>
      <c r="B816" s="24">
        <v>45076.0</v>
      </c>
      <c r="C816" s="24">
        <v>45104.0</v>
      </c>
      <c r="D816" s="24">
        <v>45080.0</v>
      </c>
      <c r="E816" s="24">
        <v>45094.0</v>
      </c>
      <c r="F816" s="6">
        <v>11.0</v>
      </c>
      <c r="G816" s="9" t="str">
        <f>VLOOKUP(operations[productID],products[],2,FALSE)</f>
        <v>Queso Cabrales</v>
      </c>
      <c r="H816" s="9" t="str">
        <f>IF(VLOOKUP(operations[productID],products[],7,FALSE)=1,"Discontinued","Current")</f>
        <v>Current</v>
      </c>
      <c r="I816" s="6">
        <f>VLOOKUP(operations[productID],products[],4,FALSE)</f>
        <v>22</v>
      </c>
      <c r="J816" s="6">
        <f>VLOOKUP(operations[productID],products[],5,FALSE)</f>
        <v>30</v>
      </c>
      <c r="K816" s="6">
        <f>VLOOKUP(operations[productID],products[],6,FALSE)</f>
        <v>30</v>
      </c>
      <c r="L816" s="10">
        <f t="array" ref="L816">INDEX('1 orders'!I816:I2156, MATCH(1, ('1 orders'!A816:A2156=A816)*('1 orders'!G816:G2156=F816), 0))
</f>
        <v>15</v>
      </c>
      <c r="M816" s="10">
        <f>IFERROR(__xludf.DUMMYFUNCTION("COUNTUNIQUEIFS($A$2:$A816,$F$2:$F816,F816)"),17.0)</f>
        <v>17</v>
      </c>
      <c r="N816" s="10">
        <f t="shared" si="1"/>
        <v>8</v>
      </c>
      <c r="O816" s="26">
        <f>IF(operations[sinceLastOrder]=0,0,operations[orderQuantity] / operations[sinceLastOrder])</f>
        <v>1.875</v>
      </c>
      <c r="P816" s="9">
        <v>149.49</v>
      </c>
      <c r="Q816" s="7" t="s">
        <v>17</v>
      </c>
      <c r="R816" s="10">
        <f>operations[arrivedDate]-operations[shippedDate]</f>
        <v>14</v>
      </c>
    </row>
    <row r="817" ht="15.75" customHeight="1">
      <c r="A817" s="6">
        <v>10553.0</v>
      </c>
      <c r="B817" s="24">
        <v>45076.0</v>
      </c>
      <c r="C817" s="24">
        <v>45104.0</v>
      </c>
      <c r="D817" s="24">
        <v>45080.0</v>
      </c>
      <c r="E817" s="24">
        <v>45094.0</v>
      </c>
      <c r="F817" s="6">
        <v>16.0</v>
      </c>
      <c r="G817" s="9" t="str">
        <f>VLOOKUP(operations[productID],products[],2,FALSE)</f>
        <v>Pavlova</v>
      </c>
      <c r="H817" s="9" t="str">
        <f>IF(VLOOKUP(operations[productID],products[],7,FALSE)=1,"Discontinued","Current")</f>
        <v>Current</v>
      </c>
      <c r="I817" s="6">
        <f>VLOOKUP(operations[productID],products[],4,FALSE)</f>
        <v>29</v>
      </c>
      <c r="J817" s="6">
        <f>VLOOKUP(operations[productID],products[],5,FALSE)</f>
        <v>0</v>
      </c>
      <c r="K817" s="6">
        <f>VLOOKUP(operations[productID],products[],6,FALSE)</f>
        <v>10</v>
      </c>
      <c r="L817" s="10">
        <f t="array" ref="L817">INDEX('1 orders'!I817:I2156, MATCH(1, ('1 orders'!A817:A2156=A817)*('1 orders'!G817:G2156=F817), 0))
</f>
        <v>14</v>
      </c>
      <c r="M817" s="10">
        <f>IFERROR(__xludf.DUMMYFUNCTION("COUNTUNIQUEIFS($A$2:$A817,$F$2:$F817,F817)"),16.0)</f>
        <v>16</v>
      </c>
      <c r="N817" s="10">
        <f t="shared" si="1"/>
        <v>2</v>
      </c>
      <c r="O817" s="26">
        <f>IF(operations[sinceLastOrder]=0,0,operations[orderQuantity] / operations[sinceLastOrder])</f>
        <v>7</v>
      </c>
      <c r="P817" s="9">
        <v>149.49</v>
      </c>
      <c r="Q817" s="7" t="s">
        <v>17</v>
      </c>
      <c r="R817" s="10">
        <f>operations[arrivedDate]-operations[shippedDate]</f>
        <v>14</v>
      </c>
    </row>
    <row r="818" ht="15.75" customHeight="1">
      <c r="A818" s="6">
        <v>10553.0</v>
      </c>
      <c r="B818" s="24">
        <v>45076.0</v>
      </c>
      <c r="C818" s="24">
        <v>45104.0</v>
      </c>
      <c r="D818" s="24">
        <v>45080.0</v>
      </c>
      <c r="E818" s="24">
        <v>45094.0</v>
      </c>
      <c r="F818" s="6">
        <v>22.0</v>
      </c>
      <c r="G818" s="9" t="str">
        <f>VLOOKUP(operations[productID],products[],2,FALSE)</f>
        <v>Gustaf's Knäckebröd</v>
      </c>
      <c r="H818" s="9" t="str">
        <f>IF(VLOOKUP(operations[productID],products[],7,FALSE)=1,"Discontinued","Current")</f>
        <v>Current</v>
      </c>
      <c r="I818" s="6">
        <f>VLOOKUP(operations[productID],products[],4,FALSE)</f>
        <v>104</v>
      </c>
      <c r="J818" s="6">
        <f>VLOOKUP(operations[productID],products[],5,FALSE)</f>
        <v>0</v>
      </c>
      <c r="K818" s="6">
        <f>VLOOKUP(operations[productID],products[],6,FALSE)</f>
        <v>25</v>
      </c>
      <c r="L818" s="10">
        <f t="array" ref="L818">INDEX('1 orders'!I818:I2156, MATCH(1, ('1 orders'!A818:A2156=A818)*('1 orders'!G818:G2156=F818), 0))
</f>
        <v>24</v>
      </c>
      <c r="M818" s="10">
        <f>IFERROR(__xludf.DUMMYFUNCTION("COUNTUNIQUEIFS($A$2:$A818,$F$2:$F818,F818)"),3.0)</f>
        <v>3</v>
      </c>
      <c r="N818" s="10">
        <f t="shared" si="1"/>
        <v>115</v>
      </c>
      <c r="O818" s="26">
        <f>IF(operations[sinceLastOrder]=0,0,operations[orderQuantity] / operations[sinceLastOrder])</f>
        <v>0.2086956522</v>
      </c>
      <c r="P818" s="9">
        <v>149.49</v>
      </c>
      <c r="Q818" s="7" t="s">
        <v>17</v>
      </c>
      <c r="R818" s="10">
        <f>operations[arrivedDate]-operations[shippedDate]</f>
        <v>14</v>
      </c>
    </row>
    <row r="819" ht="15.75" customHeight="1">
      <c r="A819" s="6">
        <v>10553.0</v>
      </c>
      <c r="B819" s="24">
        <v>45076.0</v>
      </c>
      <c r="C819" s="24">
        <v>45104.0</v>
      </c>
      <c r="D819" s="24">
        <v>45080.0</v>
      </c>
      <c r="E819" s="24">
        <v>45094.0</v>
      </c>
      <c r="F819" s="6">
        <v>31.0</v>
      </c>
      <c r="G819" s="9" t="str">
        <f>VLOOKUP(operations[productID],products[],2,FALSE)</f>
        <v>Gorgonzola Telino</v>
      </c>
      <c r="H819" s="9" t="str">
        <f>IF(VLOOKUP(operations[productID],products[],7,FALSE)=1,"Discontinued","Current")</f>
        <v>Current</v>
      </c>
      <c r="I819" s="6">
        <f>VLOOKUP(operations[productID],products[],4,FALSE)</f>
        <v>0</v>
      </c>
      <c r="J819" s="6">
        <f>VLOOKUP(operations[productID],products[],5,FALSE)</f>
        <v>70</v>
      </c>
      <c r="K819" s="6">
        <f>VLOOKUP(operations[productID],products[],6,FALSE)</f>
        <v>20</v>
      </c>
      <c r="L819" s="10">
        <f t="array" ref="L819">INDEX('1 orders'!I819:I2156, MATCH(1, ('1 orders'!A819:A2156=A819)*('1 orders'!G819:G2156=F819), 0))
</f>
        <v>30</v>
      </c>
      <c r="M819" s="10">
        <f>IFERROR(__xludf.DUMMYFUNCTION("COUNTUNIQUEIFS($A$2:$A819,$F$2:$F819,F819)"),21.0)</f>
        <v>21</v>
      </c>
      <c r="N819" s="10">
        <f t="shared" si="1"/>
        <v>3</v>
      </c>
      <c r="O819" s="26">
        <f>IF(operations[sinceLastOrder]=0,0,operations[orderQuantity] / operations[sinceLastOrder])</f>
        <v>10</v>
      </c>
      <c r="P819" s="9">
        <v>149.49</v>
      </c>
      <c r="Q819" s="7" t="s">
        <v>17</v>
      </c>
      <c r="R819" s="10">
        <f>operations[arrivedDate]-operations[shippedDate]</f>
        <v>14</v>
      </c>
    </row>
    <row r="820" ht="15.75" customHeight="1">
      <c r="A820" s="6">
        <v>10553.0</v>
      </c>
      <c r="B820" s="24">
        <v>45076.0</v>
      </c>
      <c r="C820" s="24">
        <v>45104.0</v>
      </c>
      <c r="D820" s="24">
        <v>45080.0</v>
      </c>
      <c r="E820" s="24">
        <v>45094.0</v>
      </c>
      <c r="F820" s="6">
        <v>35.0</v>
      </c>
      <c r="G820" s="9" t="str">
        <f>VLOOKUP(operations[productID],products[],2,FALSE)</f>
        <v>Cold Brew Nitro</v>
      </c>
      <c r="H820" s="9" t="str">
        <f>IF(VLOOKUP(operations[productID],products[],7,FALSE)=1,"Discontinued","Current")</f>
        <v>Current</v>
      </c>
      <c r="I820" s="6">
        <f>VLOOKUP(operations[productID],products[],4,FALSE)</f>
        <v>20</v>
      </c>
      <c r="J820" s="6">
        <f>VLOOKUP(operations[productID],products[],5,FALSE)</f>
        <v>0</v>
      </c>
      <c r="K820" s="6">
        <f>VLOOKUP(operations[productID],products[],6,FALSE)</f>
        <v>15</v>
      </c>
      <c r="L820" s="10">
        <f t="array" ref="L820">INDEX('1 orders'!I820:I2156, MATCH(1, ('1 orders'!A820:A2156=A820)*('1 orders'!G820:G2156=F820), 0))
</f>
        <v>6</v>
      </c>
      <c r="M820" s="10">
        <f>IFERROR(__xludf.DUMMYFUNCTION("COUNTUNIQUEIFS($A$2:$A820,$F$2:$F820,F820)"),14.0)</f>
        <v>14</v>
      </c>
      <c r="N820" s="10">
        <f t="shared" si="1"/>
        <v>2</v>
      </c>
      <c r="O820" s="26">
        <f>IF(operations[sinceLastOrder]=0,0,operations[orderQuantity] / operations[sinceLastOrder])</f>
        <v>3</v>
      </c>
      <c r="P820" s="9">
        <v>149.49</v>
      </c>
      <c r="Q820" s="7" t="s">
        <v>17</v>
      </c>
      <c r="R820" s="10">
        <f>operations[arrivedDate]-operations[shippedDate]</f>
        <v>14</v>
      </c>
    </row>
    <row r="821" ht="15.75" customHeight="1">
      <c r="A821" s="6">
        <v>10554.0</v>
      </c>
      <c r="B821" s="24">
        <v>45076.0</v>
      </c>
      <c r="C821" s="24">
        <v>45104.0</v>
      </c>
      <c r="D821" s="24">
        <v>45082.0</v>
      </c>
      <c r="E821" s="24">
        <v>45087.0</v>
      </c>
      <c r="F821" s="6">
        <v>16.0</v>
      </c>
      <c r="G821" s="9" t="str">
        <f>VLOOKUP(operations[productID],products[],2,FALSE)</f>
        <v>Pavlova</v>
      </c>
      <c r="H821" s="9" t="str">
        <f>IF(VLOOKUP(operations[productID],products[],7,FALSE)=1,"Discontinued","Current")</f>
        <v>Current</v>
      </c>
      <c r="I821" s="6">
        <f>VLOOKUP(operations[productID],products[],4,FALSE)</f>
        <v>29</v>
      </c>
      <c r="J821" s="6">
        <f>VLOOKUP(operations[productID],products[],5,FALSE)</f>
        <v>0</v>
      </c>
      <c r="K821" s="6">
        <f>VLOOKUP(operations[productID],products[],6,FALSE)</f>
        <v>10</v>
      </c>
      <c r="L821" s="10">
        <f t="array" ref="L821">INDEX('1 orders'!I821:I2156, MATCH(1, ('1 orders'!A821:A2156=A821)*('1 orders'!G821:G2156=F821), 0))
</f>
        <v>30</v>
      </c>
      <c r="M821" s="10">
        <f>IFERROR(__xludf.DUMMYFUNCTION("COUNTUNIQUEIFS($A$2:$A821,$F$2:$F821,F821)"),17.0)</f>
        <v>17</v>
      </c>
      <c r="N821" s="10">
        <f t="shared" si="1"/>
        <v>0</v>
      </c>
      <c r="O821" s="26">
        <f>IF(operations[sinceLastOrder]=0,0,operations[orderQuantity] / operations[sinceLastOrder])</f>
        <v>0</v>
      </c>
      <c r="P821" s="9">
        <v>120.97</v>
      </c>
      <c r="Q821" s="7" t="s">
        <v>13</v>
      </c>
      <c r="R821" s="10">
        <f>operations[arrivedDate]-operations[shippedDate]</f>
        <v>5</v>
      </c>
    </row>
    <row r="822" ht="15.75" customHeight="1">
      <c r="A822" s="6">
        <v>10554.0</v>
      </c>
      <c r="B822" s="24">
        <v>45076.0</v>
      </c>
      <c r="C822" s="24">
        <v>45104.0</v>
      </c>
      <c r="D822" s="24">
        <v>45082.0</v>
      </c>
      <c r="E822" s="24">
        <v>45087.0</v>
      </c>
      <c r="F822" s="6">
        <v>23.0</v>
      </c>
      <c r="G822" s="9" t="str">
        <f>VLOOKUP(operations[productID],products[],2,FALSE)</f>
        <v>Tunnbröd</v>
      </c>
      <c r="H822" s="9" t="str">
        <f>IF(VLOOKUP(operations[productID],products[],7,FALSE)=1,"Discontinued","Current")</f>
        <v>Current</v>
      </c>
      <c r="I822" s="6">
        <f>VLOOKUP(operations[productID],products[],4,FALSE)</f>
        <v>61</v>
      </c>
      <c r="J822" s="6">
        <f>VLOOKUP(operations[productID],products[],5,FALSE)</f>
        <v>0</v>
      </c>
      <c r="K822" s="6">
        <f>VLOOKUP(operations[productID],products[],6,FALSE)</f>
        <v>25</v>
      </c>
      <c r="L822" s="10">
        <f t="array" ref="L822">INDEX('1 orders'!I822:I2156, MATCH(1, ('1 orders'!A822:A2156=A822)*('1 orders'!G822:G2156=F822), 0))
</f>
        <v>20</v>
      </c>
      <c r="M822" s="10">
        <f>IFERROR(__xludf.DUMMYFUNCTION("COUNTUNIQUEIFS($A$2:$A822,$F$2:$F822,F822)"),9.0)</f>
        <v>9</v>
      </c>
      <c r="N822" s="10">
        <f t="shared" si="1"/>
        <v>9</v>
      </c>
      <c r="O822" s="26">
        <f>IF(operations[sinceLastOrder]=0,0,operations[orderQuantity] / operations[sinceLastOrder])</f>
        <v>2.222222222</v>
      </c>
      <c r="P822" s="9">
        <v>120.97</v>
      </c>
      <c r="Q822" s="7" t="s">
        <v>13</v>
      </c>
      <c r="R822" s="10">
        <f>operations[arrivedDate]-operations[shippedDate]</f>
        <v>5</v>
      </c>
    </row>
    <row r="823" ht="15.75" customHeight="1">
      <c r="A823" s="6">
        <v>10554.0</v>
      </c>
      <c r="B823" s="24">
        <v>45076.0</v>
      </c>
      <c r="C823" s="24">
        <v>45104.0</v>
      </c>
      <c r="D823" s="24">
        <v>45082.0</v>
      </c>
      <c r="E823" s="24">
        <v>45087.0</v>
      </c>
      <c r="F823" s="6">
        <v>62.0</v>
      </c>
      <c r="G823" s="9" t="str">
        <f>VLOOKUP(operations[productID],products[],2,FALSE)</f>
        <v>Tarte au sucre</v>
      </c>
      <c r="H823" s="9" t="str">
        <f>IF(VLOOKUP(operations[productID],products[],7,FALSE)=1,"Discontinued","Current")</f>
        <v>Current</v>
      </c>
      <c r="I823" s="6">
        <f>VLOOKUP(operations[productID],products[],4,FALSE)</f>
        <v>17</v>
      </c>
      <c r="J823" s="6">
        <f>VLOOKUP(operations[productID],products[],5,FALSE)</f>
        <v>0</v>
      </c>
      <c r="K823" s="6">
        <f>VLOOKUP(operations[productID],products[],6,FALSE)</f>
        <v>0</v>
      </c>
      <c r="L823" s="10">
        <f t="array" ref="L823">INDEX('1 orders'!I823:I2156, MATCH(1, ('1 orders'!A823:A2156=A823)*('1 orders'!G823:G2156=F823), 0))
</f>
        <v>20</v>
      </c>
      <c r="M823" s="10">
        <f>IFERROR(__xludf.DUMMYFUNCTION("COUNTUNIQUEIFS($A$2:$A823,$F$2:$F823,F823)"),17.0)</f>
        <v>17</v>
      </c>
      <c r="N823" s="10">
        <f t="shared" si="1"/>
        <v>7</v>
      </c>
      <c r="O823" s="26">
        <f>IF(operations[sinceLastOrder]=0,0,operations[orderQuantity] / operations[sinceLastOrder])</f>
        <v>2.857142857</v>
      </c>
      <c r="P823" s="9">
        <v>120.97</v>
      </c>
      <c r="Q823" s="7" t="s">
        <v>13</v>
      </c>
      <c r="R823" s="10">
        <f>operations[arrivedDate]-operations[shippedDate]</f>
        <v>5</v>
      </c>
    </row>
    <row r="824" ht="15.75" customHeight="1">
      <c r="A824" s="6">
        <v>10554.0</v>
      </c>
      <c r="B824" s="24">
        <v>45076.0</v>
      </c>
      <c r="C824" s="24">
        <v>45104.0</v>
      </c>
      <c r="D824" s="24">
        <v>45082.0</v>
      </c>
      <c r="E824" s="24">
        <v>45087.0</v>
      </c>
      <c r="F824" s="6">
        <v>77.0</v>
      </c>
      <c r="G824" s="9" t="str">
        <f>VLOOKUP(operations[productID],products[],2,FALSE)</f>
        <v>Original Frankfurter grüne Soße</v>
      </c>
      <c r="H824" s="9" t="str">
        <f>IF(VLOOKUP(operations[productID],products[],7,FALSE)=1,"Discontinued","Current")</f>
        <v>Current</v>
      </c>
      <c r="I824" s="6">
        <f>VLOOKUP(operations[productID],products[],4,FALSE)</f>
        <v>32</v>
      </c>
      <c r="J824" s="6">
        <f>VLOOKUP(operations[productID],products[],5,FALSE)</f>
        <v>0</v>
      </c>
      <c r="K824" s="6">
        <f>VLOOKUP(operations[productID],products[],6,FALSE)</f>
        <v>15</v>
      </c>
      <c r="L824" s="10">
        <f t="array" ref="L824">INDEX('1 orders'!I824:I2156, MATCH(1, ('1 orders'!A824:A2156=A824)*('1 orders'!G824:G2156=F824), 0))
</f>
        <v>10</v>
      </c>
      <c r="M824" s="10">
        <f>IFERROR(__xludf.DUMMYFUNCTION("COUNTUNIQUEIFS($A$2:$A824,$F$2:$F824,F824)"),14.0)</f>
        <v>14</v>
      </c>
      <c r="N824" s="10">
        <f t="shared" si="1"/>
        <v>56</v>
      </c>
      <c r="O824" s="26">
        <f>IF(operations[sinceLastOrder]=0,0,operations[orderQuantity] / operations[sinceLastOrder])</f>
        <v>0.1785714286</v>
      </c>
      <c r="P824" s="9">
        <v>120.97</v>
      </c>
      <c r="Q824" s="7" t="s">
        <v>13</v>
      </c>
      <c r="R824" s="10">
        <f>operations[arrivedDate]-operations[shippedDate]</f>
        <v>5</v>
      </c>
    </row>
    <row r="825" ht="15.75" customHeight="1">
      <c r="A825" s="6">
        <v>10555.0</v>
      </c>
      <c r="B825" s="24">
        <v>45079.0</v>
      </c>
      <c r="C825" s="24">
        <v>45107.0</v>
      </c>
      <c r="D825" s="24">
        <v>45081.0</v>
      </c>
      <c r="E825" s="24">
        <v>45095.0</v>
      </c>
      <c r="F825" s="6">
        <v>14.0</v>
      </c>
      <c r="G825" s="9" t="str">
        <f>VLOOKUP(operations[productID],products[],2,FALSE)</f>
        <v>Tofu</v>
      </c>
      <c r="H825" s="9" t="str">
        <f>IF(VLOOKUP(operations[productID],products[],7,FALSE)=1,"Discontinued","Current")</f>
        <v>Current</v>
      </c>
      <c r="I825" s="6">
        <f>VLOOKUP(operations[productID],products[],4,FALSE)</f>
        <v>35</v>
      </c>
      <c r="J825" s="6">
        <f>VLOOKUP(operations[productID],products[],5,FALSE)</f>
        <v>0</v>
      </c>
      <c r="K825" s="6">
        <f>VLOOKUP(operations[productID],products[],6,FALSE)</f>
        <v>0</v>
      </c>
      <c r="L825" s="10">
        <f t="array" ref="L825">INDEX('1 orders'!I825:I2156, MATCH(1, ('1 orders'!A825:A2156=A825)*('1 orders'!G825:G2156=F825), 0))
</f>
        <v>30</v>
      </c>
      <c r="M825" s="10">
        <f>IFERROR(__xludf.DUMMYFUNCTION("COUNTUNIQUEIFS($A$2:$A825,$F$2:$F825,F825)"),11.0)</f>
        <v>11</v>
      </c>
      <c r="N825" s="10">
        <f t="shared" si="1"/>
        <v>52</v>
      </c>
      <c r="O825" s="26">
        <f>IF(operations[sinceLastOrder]=0,0,operations[orderQuantity] / operations[sinceLastOrder])</f>
        <v>0.5769230769</v>
      </c>
      <c r="P825" s="9">
        <v>252.49</v>
      </c>
      <c r="Q825" s="7" t="s">
        <v>13</v>
      </c>
      <c r="R825" s="10">
        <f>operations[arrivedDate]-operations[shippedDate]</f>
        <v>14</v>
      </c>
    </row>
    <row r="826" ht="15.75" customHeight="1">
      <c r="A826" s="6">
        <v>10555.0</v>
      </c>
      <c r="B826" s="24">
        <v>45079.0</v>
      </c>
      <c r="C826" s="24">
        <v>45107.0</v>
      </c>
      <c r="D826" s="24">
        <v>45081.0</v>
      </c>
      <c r="E826" s="24">
        <v>45095.0</v>
      </c>
      <c r="F826" s="6">
        <v>19.0</v>
      </c>
      <c r="G826" s="9" t="str">
        <f>VLOOKUP(operations[productID],products[],2,FALSE)</f>
        <v>Teatime Chocolate Biscuits</v>
      </c>
      <c r="H826" s="9" t="str">
        <f>IF(VLOOKUP(operations[productID],products[],7,FALSE)=1,"Discontinued","Current")</f>
        <v>Current</v>
      </c>
      <c r="I826" s="6">
        <f>VLOOKUP(operations[productID],products[],4,FALSE)</f>
        <v>25</v>
      </c>
      <c r="J826" s="6">
        <f>VLOOKUP(operations[productID],products[],5,FALSE)</f>
        <v>0</v>
      </c>
      <c r="K826" s="6">
        <f>VLOOKUP(operations[productID],products[],6,FALSE)</f>
        <v>5</v>
      </c>
      <c r="L826" s="10">
        <f t="array" ref="L826">INDEX('1 orders'!I826:I2156, MATCH(1, ('1 orders'!A826:A2156=A826)*('1 orders'!G826:G2156=F826), 0))
</f>
        <v>35</v>
      </c>
      <c r="M826" s="10">
        <f>IFERROR(__xludf.DUMMYFUNCTION("COUNTUNIQUEIFS($A$2:$A826,$F$2:$F826,F826)"),15.0)</f>
        <v>15</v>
      </c>
      <c r="N826" s="10">
        <f t="shared" si="1"/>
        <v>5</v>
      </c>
      <c r="O826" s="26">
        <f>IF(operations[sinceLastOrder]=0,0,operations[orderQuantity] / operations[sinceLastOrder])</f>
        <v>7</v>
      </c>
      <c r="P826" s="9">
        <v>252.49</v>
      </c>
      <c r="Q826" s="7" t="s">
        <v>13</v>
      </c>
      <c r="R826" s="10">
        <f>operations[arrivedDate]-operations[shippedDate]</f>
        <v>14</v>
      </c>
    </row>
    <row r="827" ht="15.75" customHeight="1">
      <c r="A827" s="6">
        <v>10555.0</v>
      </c>
      <c r="B827" s="24">
        <v>45079.0</v>
      </c>
      <c r="C827" s="24">
        <v>45107.0</v>
      </c>
      <c r="D827" s="24">
        <v>45081.0</v>
      </c>
      <c r="E827" s="24">
        <v>45095.0</v>
      </c>
      <c r="F827" s="6">
        <v>24.0</v>
      </c>
      <c r="G827" s="9" t="str">
        <f>VLOOKUP(operations[productID],products[],2,FALSE)</f>
        <v>Brigadeiros Maravilhosos da Lilian</v>
      </c>
      <c r="H827" s="9" t="str">
        <f>IF(VLOOKUP(operations[productID],products[],7,FALSE)=1,"Discontinued","Current")</f>
        <v>Discontinued</v>
      </c>
      <c r="I827" s="6">
        <f>VLOOKUP(operations[productID],products[],4,FALSE)</f>
        <v>20</v>
      </c>
      <c r="J827" s="6">
        <f>VLOOKUP(operations[productID],products[],5,FALSE)</f>
        <v>0</v>
      </c>
      <c r="K827" s="6">
        <f>VLOOKUP(operations[productID],products[],6,FALSE)</f>
        <v>0</v>
      </c>
      <c r="L827" s="10">
        <f t="array" ref="L827">INDEX('1 orders'!I827:I2156, MATCH(1, ('1 orders'!A827:A2156=A827)*('1 orders'!G827:G2156=F827), 0))
</f>
        <v>18</v>
      </c>
      <c r="M827" s="10">
        <f>IFERROR(__xludf.DUMMYFUNCTION("COUNTUNIQUEIFS($A$2:$A827,$F$2:$F827,F827)"),21.0)</f>
        <v>21</v>
      </c>
      <c r="N827" s="10">
        <f t="shared" si="1"/>
        <v>14</v>
      </c>
      <c r="O827" s="26">
        <f>IF(operations[sinceLastOrder]=0,0,operations[orderQuantity] / operations[sinceLastOrder])</f>
        <v>1.285714286</v>
      </c>
      <c r="P827" s="9">
        <v>252.49</v>
      </c>
      <c r="Q827" s="7" t="s">
        <v>13</v>
      </c>
      <c r="R827" s="10">
        <f>operations[arrivedDate]-operations[shippedDate]</f>
        <v>14</v>
      </c>
    </row>
    <row r="828" ht="15.75" customHeight="1">
      <c r="A828" s="6">
        <v>10555.0</v>
      </c>
      <c r="B828" s="24">
        <v>45079.0</v>
      </c>
      <c r="C828" s="24">
        <v>45107.0</v>
      </c>
      <c r="D828" s="24">
        <v>45081.0</v>
      </c>
      <c r="E828" s="24">
        <v>45095.0</v>
      </c>
      <c r="F828" s="6">
        <v>51.0</v>
      </c>
      <c r="G828" s="9" t="str">
        <f>VLOOKUP(operations[productID],products[],2,FALSE)</f>
        <v>Manjimup Dried Apples</v>
      </c>
      <c r="H828" s="9" t="str">
        <f>IF(VLOOKUP(operations[productID],products[],7,FALSE)=1,"Discontinued","Current")</f>
        <v>Current</v>
      </c>
      <c r="I828" s="6">
        <f>VLOOKUP(operations[productID],products[],4,FALSE)</f>
        <v>20</v>
      </c>
      <c r="J828" s="6">
        <f>VLOOKUP(operations[productID],products[],5,FALSE)</f>
        <v>0</v>
      </c>
      <c r="K828" s="6">
        <f>VLOOKUP(operations[productID],products[],6,FALSE)</f>
        <v>10</v>
      </c>
      <c r="L828" s="10">
        <f t="array" ref="L828">INDEX('1 orders'!I828:I2156, MATCH(1, ('1 orders'!A828:A2156=A828)*('1 orders'!G828:G2156=F828), 0))
</f>
        <v>20</v>
      </c>
      <c r="M828" s="10">
        <f>IFERROR(__xludf.DUMMYFUNCTION("COUNTUNIQUEIFS($A$2:$A828,$F$2:$F828,F828)"),12.0)</f>
        <v>12</v>
      </c>
      <c r="N828" s="10">
        <f t="shared" si="1"/>
        <v>6</v>
      </c>
      <c r="O828" s="26">
        <f>IF(operations[sinceLastOrder]=0,0,operations[orderQuantity] / operations[sinceLastOrder])</f>
        <v>3.333333333</v>
      </c>
      <c r="P828" s="9">
        <v>252.49</v>
      </c>
      <c r="Q828" s="7" t="s">
        <v>13</v>
      </c>
      <c r="R828" s="10">
        <f>operations[arrivedDate]-operations[shippedDate]</f>
        <v>14</v>
      </c>
    </row>
    <row r="829" ht="15.75" customHeight="1">
      <c r="A829" s="6">
        <v>10555.0</v>
      </c>
      <c r="B829" s="24">
        <v>45079.0</v>
      </c>
      <c r="C829" s="24">
        <v>45107.0</v>
      </c>
      <c r="D829" s="24">
        <v>45081.0</v>
      </c>
      <c r="E829" s="24">
        <v>45095.0</v>
      </c>
      <c r="F829" s="6">
        <v>56.0</v>
      </c>
      <c r="G829" s="9" t="str">
        <f>VLOOKUP(operations[productID],products[],2,FALSE)</f>
        <v>Gnocchi di nonna Alice</v>
      </c>
      <c r="H829" s="9" t="str">
        <f>IF(VLOOKUP(operations[productID],products[],7,FALSE)=1,"Discontinued","Current")</f>
        <v>Current</v>
      </c>
      <c r="I829" s="6">
        <f>VLOOKUP(operations[productID],products[],4,FALSE)</f>
        <v>21</v>
      </c>
      <c r="J829" s="6">
        <f>VLOOKUP(operations[productID],products[],5,FALSE)</f>
        <v>10</v>
      </c>
      <c r="K829" s="6">
        <f>VLOOKUP(operations[productID],products[],6,FALSE)</f>
        <v>30</v>
      </c>
      <c r="L829" s="10">
        <f t="array" ref="L829">INDEX('1 orders'!I829:I2156, MATCH(1, ('1 orders'!A829:A2156=A829)*('1 orders'!G829:G2156=F829), 0))
</f>
        <v>40</v>
      </c>
      <c r="M829" s="10">
        <f>IFERROR(__xludf.DUMMYFUNCTION("COUNTUNIQUEIFS($A$2:$A829,$F$2:$F829,F829)"),21.0)</f>
        <v>21</v>
      </c>
      <c r="N829" s="10">
        <f t="shared" si="1"/>
        <v>28</v>
      </c>
      <c r="O829" s="26">
        <f>IF(operations[sinceLastOrder]=0,0,operations[orderQuantity] / operations[sinceLastOrder])</f>
        <v>1.428571429</v>
      </c>
      <c r="P829" s="9">
        <v>252.49</v>
      </c>
      <c r="Q829" s="7" t="s">
        <v>13</v>
      </c>
      <c r="R829" s="10">
        <f>operations[arrivedDate]-operations[shippedDate]</f>
        <v>14</v>
      </c>
    </row>
    <row r="830" ht="15.75" customHeight="1">
      <c r="A830" s="6">
        <v>10556.0</v>
      </c>
      <c r="B830" s="24">
        <v>45080.0</v>
      </c>
      <c r="C830" s="24">
        <v>45122.0</v>
      </c>
      <c r="D830" s="24">
        <v>45090.0</v>
      </c>
      <c r="E830" s="24">
        <v>45099.0</v>
      </c>
      <c r="F830" s="6">
        <v>72.0</v>
      </c>
      <c r="G830" s="9" t="str">
        <f>VLOOKUP(operations[productID],products[],2,FALSE)</f>
        <v>Mozzarella di Giovanni</v>
      </c>
      <c r="H830" s="9" t="str">
        <f>IF(VLOOKUP(operations[productID],products[],7,FALSE)=1,"Discontinued","Current")</f>
        <v>Current</v>
      </c>
      <c r="I830" s="6">
        <f>VLOOKUP(operations[productID],products[],4,FALSE)</f>
        <v>14</v>
      </c>
      <c r="J830" s="6">
        <f>VLOOKUP(operations[productID],products[],5,FALSE)</f>
        <v>0</v>
      </c>
      <c r="K830" s="6">
        <f>VLOOKUP(operations[productID],products[],6,FALSE)</f>
        <v>0</v>
      </c>
      <c r="L830" s="10">
        <f t="array" ref="L830">INDEX('1 orders'!I830:I2156, MATCH(1, ('1 orders'!A830:A2156=A830)*('1 orders'!G830:G2156=F830), 0))
</f>
        <v>24</v>
      </c>
      <c r="M830" s="10">
        <f>IFERROR(__xludf.DUMMYFUNCTION("COUNTUNIQUEIFS($A$2:$A830,$F$2:$F830,F830)"),21.0)</f>
        <v>21</v>
      </c>
      <c r="N830" s="10">
        <f t="shared" si="1"/>
        <v>19</v>
      </c>
      <c r="O830" s="26">
        <f>IF(operations[sinceLastOrder]=0,0,operations[orderQuantity] / operations[sinceLastOrder])</f>
        <v>1.263157895</v>
      </c>
      <c r="P830" s="9">
        <v>9.8</v>
      </c>
      <c r="Q830" s="7" t="s">
        <v>15</v>
      </c>
      <c r="R830" s="10">
        <f>operations[arrivedDate]-operations[shippedDate]</f>
        <v>9</v>
      </c>
    </row>
    <row r="831" ht="15.75" customHeight="1">
      <c r="A831" s="6">
        <v>10557.0</v>
      </c>
      <c r="B831" s="24">
        <v>45080.0</v>
      </c>
      <c r="C831" s="24">
        <v>45094.0</v>
      </c>
      <c r="D831" s="24">
        <v>45083.0</v>
      </c>
      <c r="E831" s="24">
        <v>45092.0</v>
      </c>
      <c r="F831" s="6">
        <v>64.0</v>
      </c>
      <c r="G831" s="9" t="str">
        <f>VLOOKUP(operations[productID],products[],2,FALSE)</f>
        <v>Lukas' leckere Sauerteigweggla</v>
      </c>
      <c r="H831" s="9" t="str">
        <f>IF(VLOOKUP(operations[productID],products[],7,FALSE)=1,"Discontinued","Current")</f>
        <v>Current</v>
      </c>
      <c r="I831" s="6">
        <f>VLOOKUP(operations[productID],products[],4,FALSE)</f>
        <v>22</v>
      </c>
      <c r="J831" s="6">
        <f>VLOOKUP(operations[productID],products[],5,FALSE)</f>
        <v>80</v>
      </c>
      <c r="K831" s="6">
        <f>VLOOKUP(operations[productID],products[],6,FALSE)</f>
        <v>30</v>
      </c>
      <c r="L831" s="10">
        <f t="array" ref="L831">INDEX('1 orders'!I831:I2156, MATCH(1, ('1 orders'!A831:A2156=A831)*('1 orders'!G831:G2156=F831), 0))
</f>
        <v>30</v>
      </c>
      <c r="M831" s="10">
        <f>IFERROR(__xludf.DUMMYFUNCTION("COUNTUNIQUEIFS($A$2:$A831,$F$2:$F831,F831)"),11.0)</f>
        <v>11</v>
      </c>
      <c r="N831" s="10">
        <f t="shared" si="1"/>
        <v>76</v>
      </c>
      <c r="O831" s="26">
        <f>IF(operations[sinceLastOrder]=0,0,operations[orderQuantity] / operations[sinceLastOrder])</f>
        <v>0.3947368421</v>
      </c>
      <c r="P831" s="9">
        <v>96.72</v>
      </c>
      <c r="Q831" s="7" t="s">
        <v>17</v>
      </c>
      <c r="R831" s="10">
        <f>operations[arrivedDate]-operations[shippedDate]</f>
        <v>9</v>
      </c>
    </row>
    <row r="832" ht="15.75" customHeight="1">
      <c r="A832" s="6">
        <v>10557.0</v>
      </c>
      <c r="B832" s="24">
        <v>45080.0</v>
      </c>
      <c r="C832" s="24">
        <v>45094.0</v>
      </c>
      <c r="D832" s="24">
        <v>45083.0</v>
      </c>
      <c r="E832" s="24">
        <v>45092.0</v>
      </c>
      <c r="F832" s="6">
        <v>75.0</v>
      </c>
      <c r="G832" s="9" t="str">
        <f>VLOOKUP(operations[productID],products[],2,FALSE)</f>
        <v>Rhönbräu Klosterbier</v>
      </c>
      <c r="H832" s="9" t="str">
        <f>IF(VLOOKUP(operations[productID],products[],7,FALSE)=1,"Discontinued","Current")</f>
        <v>Current</v>
      </c>
      <c r="I832" s="6">
        <f>VLOOKUP(operations[productID],products[],4,FALSE)</f>
        <v>125</v>
      </c>
      <c r="J832" s="6">
        <f>VLOOKUP(operations[productID],products[],5,FALSE)</f>
        <v>0</v>
      </c>
      <c r="K832" s="6">
        <f>VLOOKUP(operations[productID],products[],6,FALSE)</f>
        <v>25</v>
      </c>
      <c r="L832" s="10">
        <f t="array" ref="L832">INDEX('1 orders'!I832:I2156, MATCH(1, ('1 orders'!A832:A2156=A832)*('1 orders'!G832:G2156=F832), 0))
</f>
        <v>20</v>
      </c>
      <c r="M832" s="10">
        <f>IFERROR(__xludf.DUMMYFUNCTION("COUNTUNIQUEIFS($A$2:$A832,$F$2:$F832,F832)"),15.0)</f>
        <v>15</v>
      </c>
      <c r="N832" s="10">
        <f t="shared" si="1"/>
        <v>5</v>
      </c>
      <c r="O832" s="26">
        <f>IF(operations[sinceLastOrder]=0,0,operations[orderQuantity] / operations[sinceLastOrder])</f>
        <v>4</v>
      </c>
      <c r="P832" s="9">
        <v>96.72</v>
      </c>
      <c r="Q832" s="7" t="s">
        <v>17</v>
      </c>
      <c r="R832" s="10">
        <f>operations[arrivedDate]-operations[shippedDate]</f>
        <v>9</v>
      </c>
    </row>
    <row r="833" ht="15.75" customHeight="1">
      <c r="A833" s="6">
        <v>10558.0</v>
      </c>
      <c r="B833" s="24">
        <v>45081.0</v>
      </c>
      <c r="C833" s="24">
        <v>45109.0</v>
      </c>
      <c r="D833" s="24">
        <v>45087.0</v>
      </c>
      <c r="E833" s="24">
        <v>45094.0</v>
      </c>
      <c r="F833" s="6">
        <v>47.0</v>
      </c>
      <c r="G833" s="9" t="str">
        <f>VLOOKUP(operations[productID],products[],2,FALSE)</f>
        <v>Zaanse koeken</v>
      </c>
      <c r="H833" s="9" t="str">
        <f>IF(VLOOKUP(operations[productID],products[],7,FALSE)=1,"Discontinued","Current")</f>
        <v>Current</v>
      </c>
      <c r="I833" s="6">
        <f>VLOOKUP(operations[productID],products[],4,FALSE)</f>
        <v>36</v>
      </c>
      <c r="J833" s="6">
        <f>VLOOKUP(operations[productID],products[],5,FALSE)</f>
        <v>0</v>
      </c>
      <c r="K833" s="6">
        <f>VLOOKUP(operations[productID],products[],6,FALSE)</f>
        <v>0</v>
      </c>
      <c r="L833" s="10">
        <f t="array" ref="L833">INDEX('1 orders'!I833:I2156, MATCH(1, ('1 orders'!A833:A2156=A833)*('1 orders'!G833:G2156=F833), 0))
</f>
        <v>25</v>
      </c>
      <c r="M833" s="10">
        <f>IFERROR(__xludf.DUMMYFUNCTION("COUNTUNIQUEIFS($A$2:$A833,$F$2:$F833,F833)"),6.0)</f>
        <v>6</v>
      </c>
      <c r="N833" s="10">
        <f t="shared" si="1"/>
        <v>44</v>
      </c>
      <c r="O833" s="26">
        <f>IF(operations[sinceLastOrder]=0,0,operations[orderQuantity] / operations[sinceLastOrder])</f>
        <v>0.5681818182</v>
      </c>
      <c r="P833" s="9">
        <v>72.97</v>
      </c>
      <c r="Q833" s="7" t="s">
        <v>17</v>
      </c>
      <c r="R833" s="10">
        <f>operations[arrivedDate]-operations[shippedDate]</f>
        <v>7</v>
      </c>
    </row>
    <row r="834" ht="15.75" customHeight="1">
      <c r="A834" s="6">
        <v>10558.0</v>
      </c>
      <c r="B834" s="24">
        <v>45081.0</v>
      </c>
      <c r="C834" s="24">
        <v>45109.0</v>
      </c>
      <c r="D834" s="24">
        <v>45087.0</v>
      </c>
      <c r="E834" s="24">
        <v>45094.0</v>
      </c>
      <c r="F834" s="6">
        <v>51.0</v>
      </c>
      <c r="G834" s="9" t="str">
        <f>VLOOKUP(operations[productID],products[],2,FALSE)</f>
        <v>Manjimup Dried Apples</v>
      </c>
      <c r="H834" s="9" t="str">
        <f>IF(VLOOKUP(operations[productID],products[],7,FALSE)=1,"Discontinued","Current")</f>
        <v>Current</v>
      </c>
      <c r="I834" s="6">
        <f>VLOOKUP(operations[productID],products[],4,FALSE)</f>
        <v>20</v>
      </c>
      <c r="J834" s="6">
        <f>VLOOKUP(operations[productID],products[],5,FALSE)</f>
        <v>0</v>
      </c>
      <c r="K834" s="6">
        <f>VLOOKUP(operations[productID],products[],6,FALSE)</f>
        <v>10</v>
      </c>
      <c r="L834" s="10">
        <f t="array" ref="L834">INDEX('1 orders'!I834:I2156, MATCH(1, ('1 orders'!A834:A2156=A834)*('1 orders'!G834:G2156=F834), 0))
</f>
        <v>20</v>
      </c>
      <c r="M834" s="10">
        <f>IFERROR(__xludf.DUMMYFUNCTION("COUNTUNIQUEIFS($A$2:$A834,$F$2:$F834,F834)"),13.0)</f>
        <v>13</v>
      </c>
      <c r="N834" s="10">
        <f t="shared" si="1"/>
        <v>2</v>
      </c>
      <c r="O834" s="26">
        <f>IF(operations[sinceLastOrder]=0,0,operations[orderQuantity] / operations[sinceLastOrder])</f>
        <v>10</v>
      </c>
      <c r="P834" s="9">
        <v>72.97</v>
      </c>
      <c r="Q834" s="7" t="s">
        <v>17</v>
      </c>
      <c r="R834" s="10">
        <f>operations[arrivedDate]-operations[shippedDate]</f>
        <v>7</v>
      </c>
    </row>
    <row r="835" ht="15.75" customHeight="1">
      <c r="A835" s="6">
        <v>10558.0</v>
      </c>
      <c r="B835" s="24">
        <v>45081.0</v>
      </c>
      <c r="C835" s="24">
        <v>45109.0</v>
      </c>
      <c r="D835" s="24">
        <v>45087.0</v>
      </c>
      <c r="E835" s="24">
        <v>45094.0</v>
      </c>
      <c r="F835" s="6">
        <v>52.0</v>
      </c>
      <c r="G835" s="9" t="str">
        <f>VLOOKUP(operations[productID],products[],2,FALSE)</f>
        <v>Filo Mix</v>
      </c>
      <c r="H835" s="9" t="str">
        <f>IF(VLOOKUP(operations[productID],products[],7,FALSE)=1,"Discontinued","Current")</f>
        <v>Current</v>
      </c>
      <c r="I835" s="6">
        <f>VLOOKUP(operations[productID],products[],4,FALSE)</f>
        <v>38</v>
      </c>
      <c r="J835" s="6">
        <f>VLOOKUP(operations[productID],products[],5,FALSE)</f>
        <v>0</v>
      </c>
      <c r="K835" s="6">
        <f>VLOOKUP(operations[productID],products[],6,FALSE)</f>
        <v>25</v>
      </c>
      <c r="L835" s="10">
        <f t="array" ref="L835">INDEX('1 orders'!I835:I2156, MATCH(1, ('1 orders'!A835:A2156=A835)*('1 orders'!G835:G2156=F835), 0))
</f>
        <v>30</v>
      </c>
      <c r="M835" s="10">
        <f>IFERROR(__xludf.DUMMYFUNCTION("COUNTUNIQUEIFS($A$2:$A835,$F$2:$F835,F835)"),7.0)</f>
        <v>7</v>
      </c>
      <c r="N835" s="10">
        <f t="shared" si="1"/>
        <v>41</v>
      </c>
      <c r="O835" s="26">
        <f>IF(operations[sinceLastOrder]=0,0,operations[orderQuantity] / operations[sinceLastOrder])</f>
        <v>0.7317073171</v>
      </c>
      <c r="P835" s="9">
        <v>72.97</v>
      </c>
      <c r="Q835" s="7" t="s">
        <v>17</v>
      </c>
      <c r="R835" s="10">
        <f>operations[arrivedDate]-operations[shippedDate]</f>
        <v>7</v>
      </c>
    </row>
    <row r="836" ht="15.75" customHeight="1">
      <c r="A836" s="6">
        <v>10558.0</v>
      </c>
      <c r="B836" s="24">
        <v>45081.0</v>
      </c>
      <c r="C836" s="24">
        <v>45109.0</v>
      </c>
      <c r="D836" s="24">
        <v>45087.0</v>
      </c>
      <c r="E836" s="24">
        <v>45094.0</v>
      </c>
      <c r="F836" s="6">
        <v>53.0</v>
      </c>
      <c r="G836" s="9" t="str">
        <f>VLOOKUP(operations[productID],products[],2,FALSE)</f>
        <v>Perth Pasties</v>
      </c>
      <c r="H836" s="9" t="str">
        <f>IF(VLOOKUP(operations[productID],products[],7,FALSE)=1,"Discontinued","Current")</f>
        <v>Discontinued</v>
      </c>
      <c r="I836" s="6">
        <f>VLOOKUP(operations[productID],products[],4,FALSE)</f>
        <v>0</v>
      </c>
      <c r="J836" s="6">
        <f>VLOOKUP(operations[productID],products[],5,FALSE)</f>
        <v>0</v>
      </c>
      <c r="K836" s="6">
        <f>VLOOKUP(operations[productID],products[],6,FALSE)</f>
        <v>0</v>
      </c>
      <c r="L836" s="10">
        <f t="array" ref="L836">INDEX('1 orders'!I836:I2156, MATCH(1, ('1 orders'!A836:A2156=A836)*('1 orders'!G836:G2156=F836), 0))
</f>
        <v>18</v>
      </c>
      <c r="M836" s="10">
        <f>IFERROR(__xludf.DUMMYFUNCTION("COUNTUNIQUEIFS($A$2:$A836,$F$2:$F836,F836)"),16.0)</f>
        <v>16</v>
      </c>
      <c r="N836" s="10">
        <f t="shared" si="1"/>
        <v>36</v>
      </c>
      <c r="O836" s="26">
        <f>IF(operations[sinceLastOrder]=0,0,operations[orderQuantity] / operations[sinceLastOrder])</f>
        <v>0.5</v>
      </c>
      <c r="P836" s="9">
        <v>72.97</v>
      </c>
      <c r="Q836" s="7" t="s">
        <v>17</v>
      </c>
      <c r="R836" s="10">
        <f>operations[arrivedDate]-operations[shippedDate]</f>
        <v>7</v>
      </c>
    </row>
    <row r="837" ht="15.75" customHeight="1">
      <c r="A837" s="6">
        <v>10558.0</v>
      </c>
      <c r="B837" s="24">
        <v>45081.0</v>
      </c>
      <c r="C837" s="24">
        <v>45109.0</v>
      </c>
      <c r="D837" s="24">
        <v>45087.0</v>
      </c>
      <c r="E837" s="24">
        <v>45094.0</v>
      </c>
      <c r="F837" s="6">
        <v>73.0</v>
      </c>
      <c r="G837" s="9" t="str">
        <f>VLOOKUP(operations[productID],products[],2,FALSE)</f>
        <v>Röd Kaviar</v>
      </c>
      <c r="H837" s="9" t="str">
        <f>IF(VLOOKUP(operations[productID],products[],7,FALSE)=1,"Discontinued","Current")</f>
        <v>Current</v>
      </c>
      <c r="I837" s="6">
        <f>VLOOKUP(operations[productID],products[],4,FALSE)</f>
        <v>101</v>
      </c>
      <c r="J837" s="6">
        <f>VLOOKUP(operations[productID],products[],5,FALSE)</f>
        <v>0</v>
      </c>
      <c r="K837" s="6">
        <f>VLOOKUP(operations[productID],products[],6,FALSE)</f>
        <v>5</v>
      </c>
      <c r="L837" s="10">
        <f t="array" ref="L837">INDEX('1 orders'!I837:I2156, MATCH(1, ('1 orders'!A837:A2156=A837)*('1 orders'!G837:G2156=F837), 0))
</f>
        <v>3</v>
      </c>
      <c r="M837" s="10">
        <f>IFERROR(__xludf.DUMMYFUNCTION("COUNTUNIQUEIFS($A$2:$A837,$F$2:$F837,F837)"),6.0)</f>
        <v>6</v>
      </c>
      <c r="N837" s="10">
        <f t="shared" si="1"/>
        <v>21</v>
      </c>
      <c r="O837" s="26">
        <f>IF(operations[sinceLastOrder]=0,0,operations[orderQuantity] / operations[sinceLastOrder])</f>
        <v>0.1428571429</v>
      </c>
      <c r="P837" s="9">
        <v>72.97</v>
      </c>
      <c r="Q837" s="7" t="s">
        <v>17</v>
      </c>
      <c r="R837" s="10">
        <f>operations[arrivedDate]-operations[shippedDate]</f>
        <v>7</v>
      </c>
    </row>
    <row r="838" ht="15.75" customHeight="1">
      <c r="A838" s="6">
        <v>10559.0</v>
      </c>
      <c r="B838" s="24">
        <v>45082.0</v>
      </c>
      <c r="C838" s="24">
        <v>45110.0</v>
      </c>
      <c r="D838" s="24">
        <v>45090.0</v>
      </c>
      <c r="E838" s="24">
        <v>45097.0</v>
      </c>
      <c r="F838" s="6">
        <v>41.0</v>
      </c>
      <c r="G838" s="9" t="str">
        <f>VLOOKUP(operations[productID],products[],2,FALSE)</f>
        <v>Jack's New England Clam Chowder</v>
      </c>
      <c r="H838" s="9" t="str">
        <f>IF(VLOOKUP(operations[productID],products[],7,FALSE)=1,"Discontinued","Current")</f>
        <v>Current</v>
      </c>
      <c r="I838" s="6">
        <f>VLOOKUP(operations[productID],products[],4,FALSE)</f>
        <v>85</v>
      </c>
      <c r="J838" s="6">
        <f>VLOOKUP(operations[productID],products[],5,FALSE)</f>
        <v>0</v>
      </c>
      <c r="K838" s="6">
        <f>VLOOKUP(operations[productID],products[],6,FALSE)</f>
        <v>10</v>
      </c>
      <c r="L838" s="10">
        <f t="array" ref="L838">INDEX('1 orders'!I838:I2156, MATCH(1, ('1 orders'!A838:A2156=A838)*('1 orders'!G838:G2156=F838), 0))
</f>
        <v>12</v>
      </c>
      <c r="M838" s="10">
        <f>IFERROR(__xludf.DUMMYFUNCTION("COUNTUNIQUEIFS($A$2:$A838,$F$2:$F838,F838)"),16.0)</f>
        <v>16</v>
      </c>
      <c r="N838" s="10">
        <f t="shared" si="1"/>
        <v>10</v>
      </c>
      <c r="O838" s="26">
        <f>IF(operations[sinceLastOrder]=0,0,operations[orderQuantity] / operations[sinceLastOrder])</f>
        <v>1.2</v>
      </c>
      <c r="P838" s="9">
        <v>8.05</v>
      </c>
      <c r="Q838" s="7" t="s">
        <v>15</v>
      </c>
      <c r="R838" s="10">
        <f>operations[arrivedDate]-operations[shippedDate]</f>
        <v>7</v>
      </c>
    </row>
    <row r="839" ht="15.75" customHeight="1">
      <c r="A839" s="6">
        <v>10559.0</v>
      </c>
      <c r="B839" s="24">
        <v>45082.0</v>
      </c>
      <c r="C839" s="24">
        <v>45110.0</v>
      </c>
      <c r="D839" s="24">
        <v>45090.0</v>
      </c>
      <c r="E839" s="24">
        <v>45097.0</v>
      </c>
      <c r="F839" s="6">
        <v>55.0</v>
      </c>
      <c r="G839" s="9" t="str">
        <f>VLOOKUP(operations[productID],products[],2,FALSE)</f>
        <v>Pâté chinois</v>
      </c>
      <c r="H839" s="9" t="str">
        <f>IF(VLOOKUP(operations[productID],products[],7,FALSE)=1,"Discontinued","Current")</f>
        <v>Current</v>
      </c>
      <c r="I839" s="6">
        <f>VLOOKUP(operations[productID],products[],4,FALSE)</f>
        <v>115</v>
      </c>
      <c r="J839" s="6">
        <f>VLOOKUP(operations[productID],products[],5,FALSE)</f>
        <v>0</v>
      </c>
      <c r="K839" s="6">
        <f>VLOOKUP(operations[productID],products[],6,FALSE)</f>
        <v>20</v>
      </c>
      <c r="L839" s="10">
        <f t="array" ref="L839">INDEX('1 orders'!I839:I2156, MATCH(1, ('1 orders'!A839:A2156=A839)*('1 orders'!G839:G2156=F839), 0))
</f>
        <v>18</v>
      </c>
      <c r="M839" s="10">
        <f>IFERROR(__xludf.DUMMYFUNCTION("COUNTUNIQUEIFS($A$2:$A839,$F$2:$F839,F839)"),13.0)</f>
        <v>13</v>
      </c>
      <c r="N839" s="10">
        <f t="shared" si="1"/>
        <v>29</v>
      </c>
      <c r="O839" s="26">
        <f>IF(operations[sinceLastOrder]=0,0,operations[orderQuantity] / operations[sinceLastOrder])</f>
        <v>0.6206896552</v>
      </c>
      <c r="P839" s="9">
        <v>8.05</v>
      </c>
      <c r="Q839" s="7" t="s">
        <v>15</v>
      </c>
      <c r="R839" s="10">
        <f>operations[arrivedDate]-operations[shippedDate]</f>
        <v>7</v>
      </c>
    </row>
    <row r="840" ht="15.75" customHeight="1">
      <c r="A840" s="6">
        <v>10560.0</v>
      </c>
      <c r="B840" s="24">
        <v>45083.0</v>
      </c>
      <c r="C840" s="24">
        <v>45111.0</v>
      </c>
      <c r="D840" s="24">
        <v>45086.0</v>
      </c>
      <c r="E840" s="24">
        <v>45089.0</v>
      </c>
      <c r="F840" s="6">
        <v>30.0</v>
      </c>
      <c r="G840" s="9" t="str">
        <f>VLOOKUP(operations[productID],products[],2,FALSE)</f>
        <v>Nord-Ost Matjeshering</v>
      </c>
      <c r="H840" s="9" t="str">
        <f>IF(VLOOKUP(operations[productID],products[],7,FALSE)=1,"Discontinued","Current")</f>
        <v>Current</v>
      </c>
      <c r="I840" s="6">
        <f>VLOOKUP(operations[productID],products[],4,FALSE)</f>
        <v>10</v>
      </c>
      <c r="J840" s="6">
        <f>VLOOKUP(operations[productID],products[],5,FALSE)</f>
        <v>0</v>
      </c>
      <c r="K840" s="6">
        <f>VLOOKUP(operations[productID],products[],6,FALSE)</f>
        <v>15</v>
      </c>
      <c r="L840" s="10">
        <f t="array" ref="L840">INDEX('1 orders'!I840:I2156, MATCH(1, ('1 orders'!A840:A2156=A840)*('1 orders'!G840:G2156=F840), 0))
</f>
        <v>20</v>
      </c>
      <c r="M840" s="10">
        <f>IFERROR(__xludf.DUMMYFUNCTION("COUNTUNIQUEIFS($A$2:$A840,$F$2:$F840,F840)"),15.0)</f>
        <v>15</v>
      </c>
      <c r="N840" s="10">
        <f t="shared" si="1"/>
        <v>25</v>
      </c>
      <c r="O840" s="26">
        <f>IF(operations[sinceLastOrder]=0,0,operations[orderQuantity] / operations[sinceLastOrder])</f>
        <v>0.8</v>
      </c>
      <c r="P840" s="9">
        <v>36.65</v>
      </c>
      <c r="Q840" s="7" t="s">
        <v>15</v>
      </c>
      <c r="R840" s="10">
        <f>operations[arrivedDate]-operations[shippedDate]</f>
        <v>3</v>
      </c>
    </row>
    <row r="841" ht="15.75" customHeight="1">
      <c r="A841" s="6">
        <v>10560.0</v>
      </c>
      <c r="B841" s="24">
        <v>45083.0</v>
      </c>
      <c r="C841" s="24">
        <v>45111.0</v>
      </c>
      <c r="D841" s="24">
        <v>45086.0</v>
      </c>
      <c r="E841" s="24">
        <v>45089.0</v>
      </c>
      <c r="F841" s="6">
        <v>62.0</v>
      </c>
      <c r="G841" s="9" t="str">
        <f>VLOOKUP(operations[productID],products[],2,FALSE)</f>
        <v>Tarte au sucre</v>
      </c>
      <c r="H841" s="9" t="str">
        <f>IF(VLOOKUP(operations[productID],products[],7,FALSE)=1,"Discontinued","Current")</f>
        <v>Current</v>
      </c>
      <c r="I841" s="6">
        <f>VLOOKUP(operations[productID],products[],4,FALSE)</f>
        <v>17</v>
      </c>
      <c r="J841" s="6">
        <f>VLOOKUP(operations[productID],products[],5,FALSE)</f>
        <v>0</v>
      </c>
      <c r="K841" s="6">
        <f>VLOOKUP(operations[productID],products[],6,FALSE)</f>
        <v>0</v>
      </c>
      <c r="L841" s="10">
        <f t="array" ref="L841">INDEX('1 orders'!I841:I2156, MATCH(1, ('1 orders'!A841:A2156=A841)*('1 orders'!G841:G2156=F841), 0))
</f>
        <v>15</v>
      </c>
      <c r="M841" s="10">
        <f>IFERROR(__xludf.DUMMYFUNCTION("COUNTUNIQUEIFS($A$2:$A841,$F$2:$F841,F841)"),18.0)</f>
        <v>18</v>
      </c>
      <c r="N841" s="10">
        <f t="shared" si="1"/>
        <v>7</v>
      </c>
      <c r="O841" s="26">
        <f>IF(operations[sinceLastOrder]=0,0,operations[orderQuantity] / operations[sinceLastOrder])</f>
        <v>2.142857143</v>
      </c>
      <c r="P841" s="9">
        <v>36.65</v>
      </c>
      <c r="Q841" s="7" t="s">
        <v>15</v>
      </c>
      <c r="R841" s="10">
        <f>operations[arrivedDate]-operations[shippedDate]</f>
        <v>3</v>
      </c>
    </row>
    <row r="842" ht="15.75" customHeight="1">
      <c r="A842" s="6">
        <v>10561.0</v>
      </c>
      <c r="B842" s="24">
        <v>45083.0</v>
      </c>
      <c r="C842" s="24">
        <v>45111.0</v>
      </c>
      <c r="D842" s="24">
        <v>45086.0</v>
      </c>
      <c r="E842" s="24">
        <v>45097.0</v>
      </c>
      <c r="F842" s="6">
        <v>44.0</v>
      </c>
      <c r="G842" s="9" t="str">
        <f>VLOOKUP(operations[productID],products[],2,FALSE)</f>
        <v>Gula Malacca</v>
      </c>
      <c r="H842" s="9" t="str">
        <f>IF(VLOOKUP(operations[productID],products[],7,FALSE)=1,"Discontinued","Current")</f>
        <v>Current</v>
      </c>
      <c r="I842" s="6">
        <f>VLOOKUP(operations[productID],products[],4,FALSE)</f>
        <v>27</v>
      </c>
      <c r="J842" s="6">
        <f>VLOOKUP(operations[productID],products[],5,FALSE)</f>
        <v>0</v>
      </c>
      <c r="K842" s="6">
        <f>VLOOKUP(operations[productID],products[],6,FALSE)</f>
        <v>15</v>
      </c>
      <c r="L842" s="10">
        <f t="array" ref="L842">INDEX('1 orders'!I842:I2156, MATCH(1, ('1 orders'!A842:A2156=A842)*('1 orders'!G842:G2156=F842), 0))
</f>
        <v>10</v>
      </c>
      <c r="M842" s="10">
        <f>IFERROR(__xludf.DUMMYFUNCTION("COUNTUNIQUEIFS($A$2:$A842,$F$2:$F842,F842)"),11.0)</f>
        <v>11</v>
      </c>
      <c r="N842" s="10">
        <f t="shared" si="1"/>
        <v>9</v>
      </c>
      <c r="O842" s="26">
        <f>IF(operations[sinceLastOrder]=0,0,operations[orderQuantity] / operations[sinceLastOrder])</f>
        <v>1.111111111</v>
      </c>
      <c r="P842" s="9">
        <v>242.21</v>
      </c>
      <c r="Q842" s="7" t="s">
        <v>17</v>
      </c>
      <c r="R842" s="10">
        <f>operations[arrivedDate]-operations[shippedDate]</f>
        <v>11</v>
      </c>
    </row>
    <row r="843" ht="15.75" customHeight="1">
      <c r="A843" s="6">
        <v>10561.0</v>
      </c>
      <c r="B843" s="24">
        <v>45083.0</v>
      </c>
      <c r="C843" s="24">
        <v>45111.0</v>
      </c>
      <c r="D843" s="24">
        <v>45086.0</v>
      </c>
      <c r="E843" s="24">
        <v>45097.0</v>
      </c>
      <c r="F843" s="6">
        <v>51.0</v>
      </c>
      <c r="G843" s="9" t="str">
        <f>VLOOKUP(operations[productID],products[],2,FALSE)</f>
        <v>Manjimup Dried Apples</v>
      </c>
      <c r="H843" s="9" t="str">
        <f>IF(VLOOKUP(operations[productID],products[],7,FALSE)=1,"Discontinued","Current")</f>
        <v>Current</v>
      </c>
      <c r="I843" s="6">
        <f>VLOOKUP(operations[productID],products[],4,FALSE)</f>
        <v>20</v>
      </c>
      <c r="J843" s="6">
        <f>VLOOKUP(operations[productID],products[],5,FALSE)</f>
        <v>0</v>
      </c>
      <c r="K843" s="6">
        <f>VLOOKUP(operations[productID],products[],6,FALSE)</f>
        <v>10</v>
      </c>
      <c r="L843" s="10">
        <f t="array" ref="L843">INDEX('1 orders'!I843:I2156, MATCH(1, ('1 orders'!A843:A2156=A843)*('1 orders'!G843:G2156=F843), 0))
</f>
        <v>50</v>
      </c>
      <c r="M843" s="10">
        <f>IFERROR(__xludf.DUMMYFUNCTION("COUNTUNIQUEIFS($A$2:$A843,$F$2:$F843,F843)"),14.0)</f>
        <v>14</v>
      </c>
      <c r="N843" s="10">
        <f t="shared" si="1"/>
        <v>2</v>
      </c>
      <c r="O843" s="26">
        <f>IF(operations[sinceLastOrder]=0,0,operations[orderQuantity] / operations[sinceLastOrder])</f>
        <v>25</v>
      </c>
      <c r="P843" s="9">
        <v>242.21</v>
      </c>
      <c r="Q843" s="7" t="s">
        <v>17</v>
      </c>
      <c r="R843" s="10">
        <f>operations[arrivedDate]-operations[shippedDate]</f>
        <v>11</v>
      </c>
    </row>
    <row r="844" ht="15.75" customHeight="1">
      <c r="A844" s="6">
        <v>10562.0</v>
      </c>
      <c r="B844" s="24">
        <v>45086.0</v>
      </c>
      <c r="C844" s="24">
        <v>45114.0</v>
      </c>
      <c r="D844" s="24">
        <v>45089.0</v>
      </c>
      <c r="E844" s="24">
        <v>45097.0</v>
      </c>
      <c r="F844" s="6">
        <v>33.0</v>
      </c>
      <c r="G844" s="9" t="str">
        <f>VLOOKUP(operations[productID],products[],2,FALSE)</f>
        <v>Geitost</v>
      </c>
      <c r="H844" s="9" t="str">
        <f>IF(VLOOKUP(operations[productID],products[],7,FALSE)=1,"Discontinued","Current")</f>
        <v>Current</v>
      </c>
      <c r="I844" s="6">
        <f>VLOOKUP(operations[productID],products[],4,FALSE)</f>
        <v>112</v>
      </c>
      <c r="J844" s="6">
        <f>VLOOKUP(operations[productID],products[],5,FALSE)</f>
        <v>0</v>
      </c>
      <c r="K844" s="6">
        <f>VLOOKUP(operations[productID],products[],6,FALSE)</f>
        <v>20</v>
      </c>
      <c r="L844" s="10">
        <f t="array" ref="L844">INDEX('1 orders'!I844:I2156, MATCH(1, ('1 orders'!A844:A2156=A844)*('1 orders'!G844:G2156=F844), 0))
</f>
        <v>20</v>
      </c>
      <c r="M844" s="10">
        <f>IFERROR(__xludf.DUMMYFUNCTION("COUNTUNIQUEIFS($A$2:$A844,$F$2:$F844,F844)"),16.0)</f>
        <v>16</v>
      </c>
      <c r="N844" s="10">
        <f t="shared" si="1"/>
        <v>24</v>
      </c>
      <c r="O844" s="26">
        <f>IF(operations[sinceLastOrder]=0,0,operations[orderQuantity] / operations[sinceLastOrder])</f>
        <v>0.8333333333</v>
      </c>
      <c r="P844" s="9">
        <v>22.95</v>
      </c>
      <c r="Q844" s="7" t="s">
        <v>15</v>
      </c>
      <c r="R844" s="10">
        <f>operations[arrivedDate]-operations[shippedDate]</f>
        <v>8</v>
      </c>
    </row>
    <row r="845" ht="15.75" customHeight="1">
      <c r="A845" s="6">
        <v>10562.0</v>
      </c>
      <c r="B845" s="24">
        <v>45086.0</v>
      </c>
      <c r="C845" s="24">
        <v>45114.0</v>
      </c>
      <c r="D845" s="24">
        <v>45089.0</v>
      </c>
      <c r="E845" s="24">
        <v>45097.0</v>
      </c>
      <c r="F845" s="6">
        <v>62.0</v>
      </c>
      <c r="G845" s="9" t="str">
        <f>VLOOKUP(operations[productID],products[],2,FALSE)</f>
        <v>Tarte au sucre</v>
      </c>
      <c r="H845" s="9" t="str">
        <f>IF(VLOOKUP(operations[productID],products[],7,FALSE)=1,"Discontinued","Current")</f>
        <v>Current</v>
      </c>
      <c r="I845" s="6">
        <f>VLOOKUP(operations[productID],products[],4,FALSE)</f>
        <v>17</v>
      </c>
      <c r="J845" s="6">
        <f>VLOOKUP(operations[productID],products[],5,FALSE)</f>
        <v>0</v>
      </c>
      <c r="K845" s="6">
        <f>VLOOKUP(operations[productID],products[],6,FALSE)</f>
        <v>0</v>
      </c>
      <c r="L845" s="10">
        <f t="array" ref="L845">INDEX('1 orders'!I845:I2156, MATCH(1, ('1 orders'!A845:A2156=A845)*('1 orders'!G845:G2156=F845), 0))
</f>
        <v>10</v>
      </c>
      <c r="M845" s="10">
        <f>IFERROR(__xludf.DUMMYFUNCTION("COUNTUNIQUEIFS($A$2:$A845,$F$2:$F845,F845)"),19.0)</f>
        <v>19</v>
      </c>
      <c r="N845" s="10">
        <f t="shared" si="1"/>
        <v>3</v>
      </c>
      <c r="O845" s="26">
        <f>IF(operations[sinceLastOrder]=0,0,operations[orderQuantity] / operations[sinceLastOrder])</f>
        <v>3.333333333</v>
      </c>
      <c r="P845" s="9">
        <v>22.95</v>
      </c>
      <c r="Q845" s="7" t="s">
        <v>15</v>
      </c>
      <c r="R845" s="10">
        <f>operations[arrivedDate]-operations[shippedDate]</f>
        <v>8</v>
      </c>
    </row>
    <row r="846" ht="15.75" customHeight="1">
      <c r="A846" s="6">
        <v>10563.0</v>
      </c>
      <c r="B846" s="24">
        <v>45087.0</v>
      </c>
      <c r="C846" s="24">
        <v>45129.0</v>
      </c>
      <c r="D846" s="24">
        <v>45101.0</v>
      </c>
      <c r="E846" s="24">
        <v>45120.0</v>
      </c>
      <c r="F846" s="6">
        <v>36.0</v>
      </c>
      <c r="G846" s="9" t="str">
        <f>VLOOKUP(operations[productID],products[],2,FALSE)</f>
        <v>Inlagd Sill</v>
      </c>
      <c r="H846" s="9" t="str">
        <f>IF(VLOOKUP(operations[productID],products[],7,FALSE)=1,"Discontinued","Current")</f>
        <v>Current</v>
      </c>
      <c r="I846" s="6">
        <f>VLOOKUP(operations[productID],products[],4,FALSE)</f>
        <v>112</v>
      </c>
      <c r="J846" s="6">
        <f>VLOOKUP(operations[productID],products[],5,FALSE)</f>
        <v>0</v>
      </c>
      <c r="K846" s="6">
        <f>VLOOKUP(operations[productID],products[],6,FALSE)</f>
        <v>20</v>
      </c>
      <c r="L846" s="10">
        <f t="array" ref="L846">INDEX('1 orders'!I846:I2156, MATCH(1, ('1 orders'!A846:A2156=A846)*('1 orders'!G846:G2156=F846), 0))
</f>
        <v>25</v>
      </c>
      <c r="M846" s="10">
        <f>IFERROR(__xludf.DUMMYFUNCTION("COUNTUNIQUEIFS($A$2:$A846,$F$2:$F846,F846)"),13.0)</f>
        <v>13</v>
      </c>
      <c r="N846" s="10">
        <f t="shared" si="1"/>
        <v>18</v>
      </c>
      <c r="O846" s="26">
        <f>IF(operations[sinceLastOrder]=0,0,operations[orderQuantity] / operations[sinceLastOrder])</f>
        <v>1.388888889</v>
      </c>
      <c r="P846" s="9">
        <v>60.43</v>
      </c>
      <c r="Q846" s="7" t="s">
        <v>17</v>
      </c>
      <c r="R846" s="10">
        <f>operations[arrivedDate]-operations[shippedDate]</f>
        <v>19</v>
      </c>
    </row>
    <row r="847" ht="15.75" customHeight="1">
      <c r="A847" s="6">
        <v>10563.0</v>
      </c>
      <c r="B847" s="24">
        <v>45087.0</v>
      </c>
      <c r="C847" s="24">
        <v>45129.0</v>
      </c>
      <c r="D847" s="24">
        <v>45101.0</v>
      </c>
      <c r="E847" s="24">
        <v>45120.0</v>
      </c>
      <c r="F847" s="6">
        <v>52.0</v>
      </c>
      <c r="G847" s="9" t="str">
        <f>VLOOKUP(operations[productID],products[],2,FALSE)</f>
        <v>Filo Mix</v>
      </c>
      <c r="H847" s="9" t="str">
        <f>IF(VLOOKUP(operations[productID],products[],7,FALSE)=1,"Discontinued","Current")</f>
        <v>Current</v>
      </c>
      <c r="I847" s="6">
        <f>VLOOKUP(operations[productID],products[],4,FALSE)</f>
        <v>38</v>
      </c>
      <c r="J847" s="6">
        <f>VLOOKUP(operations[productID],products[],5,FALSE)</f>
        <v>0</v>
      </c>
      <c r="K847" s="6">
        <f>VLOOKUP(operations[productID],products[],6,FALSE)</f>
        <v>25</v>
      </c>
      <c r="L847" s="10">
        <f t="array" ref="L847">INDEX('1 orders'!I847:I2156, MATCH(1, ('1 orders'!A847:A2156=A847)*('1 orders'!G847:G2156=F847), 0))
</f>
        <v>70</v>
      </c>
      <c r="M847" s="10">
        <f>IFERROR(__xludf.DUMMYFUNCTION("COUNTUNIQUEIFS($A$2:$A847,$F$2:$F847,F847)"),8.0)</f>
        <v>8</v>
      </c>
      <c r="N847" s="10">
        <f t="shared" si="1"/>
        <v>6</v>
      </c>
      <c r="O847" s="26">
        <f>IF(operations[sinceLastOrder]=0,0,operations[orderQuantity] / operations[sinceLastOrder])</f>
        <v>11.66666667</v>
      </c>
      <c r="P847" s="9">
        <v>60.43</v>
      </c>
      <c r="Q847" s="7" t="s">
        <v>17</v>
      </c>
      <c r="R847" s="10">
        <f>operations[arrivedDate]-operations[shippedDate]</f>
        <v>19</v>
      </c>
    </row>
    <row r="848" ht="15.75" customHeight="1">
      <c r="A848" s="6">
        <v>10564.0</v>
      </c>
      <c r="B848" s="24">
        <v>45087.0</v>
      </c>
      <c r="C848" s="24">
        <v>45115.0</v>
      </c>
      <c r="D848" s="24">
        <v>45093.0</v>
      </c>
      <c r="E848" s="24">
        <v>45108.0</v>
      </c>
      <c r="F848" s="6">
        <v>17.0</v>
      </c>
      <c r="G848" s="9" t="str">
        <f>VLOOKUP(operations[productID],products[],2,FALSE)</f>
        <v>Alice Mutton</v>
      </c>
      <c r="H848" s="9" t="str">
        <f>IF(VLOOKUP(operations[productID],products[],7,FALSE)=1,"Discontinued","Current")</f>
        <v>Discontinued</v>
      </c>
      <c r="I848" s="6">
        <f>VLOOKUP(operations[productID],products[],4,FALSE)</f>
        <v>0</v>
      </c>
      <c r="J848" s="6">
        <f>VLOOKUP(operations[productID],products[],5,FALSE)</f>
        <v>0</v>
      </c>
      <c r="K848" s="6">
        <f>VLOOKUP(operations[productID],products[],6,FALSE)</f>
        <v>0</v>
      </c>
      <c r="L848" s="10">
        <f t="array" ref="L848">INDEX('1 orders'!I848:I2156, MATCH(1, ('1 orders'!A848:A2156=A848)*('1 orders'!G848:G2156=F848), 0))
</f>
        <v>16</v>
      </c>
      <c r="M848" s="10">
        <f>IFERROR(__xludf.DUMMYFUNCTION("COUNTUNIQUEIFS($A$2:$A848,$F$2:$F848,F848)"),16.0)</f>
        <v>16</v>
      </c>
      <c r="N848" s="10">
        <f t="shared" si="1"/>
        <v>13</v>
      </c>
      <c r="O848" s="26">
        <f>IF(operations[sinceLastOrder]=0,0,operations[orderQuantity] / operations[sinceLastOrder])</f>
        <v>1.230769231</v>
      </c>
      <c r="P848" s="9">
        <v>13.75</v>
      </c>
      <c r="Q848" s="7" t="s">
        <v>13</v>
      </c>
      <c r="R848" s="10">
        <f>operations[arrivedDate]-operations[shippedDate]</f>
        <v>15</v>
      </c>
    </row>
    <row r="849" ht="15.75" customHeight="1">
      <c r="A849" s="6">
        <v>10564.0</v>
      </c>
      <c r="B849" s="24">
        <v>45087.0</v>
      </c>
      <c r="C849" s="24">
        <v>45115.0</v>
      </c>
      <c r="D849" s="24">
        <v>45093.0</v>
      </c>
      <c r="E849" s="24">
        <v>45108.0</v>
      </c>
      <c r="F849" s="6">
        <v>31.0</v>
      </c>
      <c r="G849" s="9" t="str">
        <f>VLOOKUP(operations[productID],products[],2,FALSE)</f>
        <v>Gorgonzola Telino</v>
      </c>
      <c r="H849" s="9" t="str">
        <f>IF(VLOOKUP(operations[productID],products[],7,FALSE)=1,"Discontinued","Current")</f>
        <v>Current</v>
      </c>
      <c r="I849" s="6">
        <f>VLOOKUP(operations[productID],products[],4,FALSE)</f>
        <v>0</v>
      </c>
      <c r="J849" s="6">
        <f>VLOOKUP(operations[productID],products[],5,FALSE)</f>
        <v>70</v>
      </c>
      <c r="K849" s="6">
        <f>VLOOKUP(operations[productID],products[],6,FALSE)</f>
        <v>20</v>
      </c>
      <c r="L849" s="10">
        <f t="array" ref="L849">INDEX('1 orders'!I849:I2156, MATCH(1, ('1 orders'!A849:A2156=A849)*('1 orders'!G849:G2156=F849), 0))
</f>
        <v>6</v>
      </c>
      <c r="M849" s="10">
        <f>IFERROR(__xludf.DUMMYFUNCTION("COUNTUNIQUEIFS($A$2:$A849,$F$2:$F849,F849)"),22.0)</f>
        <v>22</v>
      </c>
      <c r="N849" s="10">
        <f t="shared" si="1"/>
        <v>11</v>
      </c>
      <c r="O849" s="26">
        <f>IF(operations[sinceLastOrder]=0,0,operations[orderQuantity] / operations[sinceLastOrder])</f>
        <v>0.5454545455</v>
      </c>
      <c r="P849" s="9">
        <v>13.75</v>
      </c>
      <c r="Q849" s="7" t="s">
        <v>13</v>
      </c>
      <c r="R849" s="10">
        <f>operations[arrivedDate]-operations[shippedDate]</f>
        <v>15</v>
      </c>
    </row>
    <row r="850" ht="15.75" customHeight="1">
      <c r="A850" s="6">
        <v>10564.0</v>
      </c>
      <c r="B850" s="24">
        <v>45087.0</v>
      </c>
      <c r="C850" s="24">
        <v>45115.0</v>
      </c>
      <c r="D850" s="24">
        <v>45093.0</v>
      </c>
      <c r="E850" s="24">
        <v>45108.0</v>
      </c>
      <c r="F850" s="6">
        <v>55.0</v>
      </c>
      <c r="G850" s="9" t="str">
        <f>VLOOKUP(operations[productID],products[],2,FALSE)</f>
        <v>Pâté chinois</v>
      </c>
      <c r="H850" s="9" t="str">
        <f>IF(VLOOKUP(operations[productID],products[],7,FALSE)=1,"Discontinued","Current")</f>
        <v>Current</v>
      </c>
      <c r="I850" s="6">
        <f>VLOOKUP(operations[productID],products[],4,FALSE)</f>
        <v>115</v>
      </c>
      <c r="J850" s="6">
        <f>VLOOKUP(operations[productID],products[],5,FALSE)</f>
        <v>0</v>
      </c>
      <c r="K850" s="6">
        <f>VLOOKUP(operations[productID],products[],6,FALSE)</f>
        <v>20</v>
      </c>
      <c r="L850" s="10">
        <f t="array" ref="L850">INDEX('1 orders'!I850:I2156, MATCH(1, ('1 orders'!A850:A2156=A850)*('1 orders'!G850:G2156=F850), 0))
</f>
        <v>25</v>
      </c>
      <c r="M850" s="10">
        <f>IFERROR(__xludf.DUMMYFUNCTION("COUNTUNIQUEIFS($A$2:$A850,$F$2:$F850,F850)"),14.0)</f>
        <v>14</v>
      </c>
      <c r="N850" s="10">
        <f t="shared" si="1"/>
        <v>5</v>
      </c>
      <c r="O850" s="26">
        <f>IF(operations[sinceLastOrder]=0,0,operations[orderQuantity] / operations[sinceLastOrder])</f>
        <v>5</v>
      </c>
      <c r="P850" s="9">
        <v>13.75</v>
      </c>
      <c r="Q850" s="7" t="s">
        <v>13</v>
      </c>
      <c r="R850" s="10">
        <f>operations[arrivedDate]-operations[shippedDate]</f>
        <v>15</v>
      </c>
    </row>
    <row r="851" ht="15.75" customHeight="1">
      <c r="A851" s="6">
        <v>10565.0</v>
      </c>
      <c r="B851" s="24">
        <v>45088.0</v>
      </c>
      <c r="C851" s="24">
        <v>45116.0</v>
      </c>
      <c r="D851" s="24">
        <v>45095.0</v>
      </c>
      <c r="E851" s="24">
        <v>45112.0</v>
      </c>
      <c r="F851" s="6">
        <v>24.0</v>
      </c>
      <c r="G851" s="9" t="str">
        <f>VLOOKUP(operations[productID],products[],2,FALSE)</f>
        <v>Brigadeiros Maravilhosos da Lilian</v>
      </c>
      <c r="H851" s="9" t="str">
        <f>IF(VLOOKUP(operations[productID],products[],7,FALSE)=1,"Discontinued","Current")</f>
        <v>Discontinued</v>
      </c>
      <c r="I851" s="6">
        <f>VLOOKUP(operations[productID],products[],4,FALSE)</f>
        <v>20</v>
      </c>
      <c r="J851" s="6">
        <f>VLOOKUP(operations[productID],products[],5,FALSE)</f>
        <v>0</v>
      </c>
      <c r="K851" s="6">
        <f>VLOOKUP(operations[productID],products[],6,FALSE)</f>
        <v>0</v>
      </c>
      <c r="L851" s="10">
        <f t="array" ref="L851">INDEX('1 orders'!I851:I2156, MATCH(1, ('1 orders'!A851:A2156=A851)*('1 orders'!G851:G2156=F851), 0))
</f>
        <v>25</v>
      </c>
      <c r="M851" s="10">
        <f>IFERROR(__xludf.DUMMYFUNCTION("COUNTUNIQUEIFS($A$2:$A851,$F$2:$F851,F851)"),22.0)</f>
        <v>22</v>
      </c>
      <c r="N851" s="10">
        <f t="shared" si="1"/>
        <v>9</v>
      </c>
      <c r="O851" s="26">
        <f>IF(operations[sinceLastOrder]=0,0,operations[orderQuantity] / operations[sinceLastOrder])</f>
        <v>2.777777778</v>
      </c>
      <c r="P851" s="9">
        <v>7.15</v>
      </c>
      <c r="Q851" s="7" t="s">
        <v>17</v>
      </c>
      <c r="R851" s="10">
        <f>operations[arrivedDate]-operations[shippedDate]</f>
        <v>17</v>
      </c>
    </row>
    <row r="852" ht="15.75" customHeight="1">
      <c r="A852" s="6">
        <v>10565.0</v>
      </c>
      <c r="B852" s="24">
        <v>45088.0</v>
      </c>
      <c r="C852" s="24">
        <v>45116.0</v>
      </c>
      <c r="D852" s="24">
        <v>45095.0</v>
      </c>
      <c r="E852" s="24">
        <v>45112.0</v>
      </c>
      <c r="F852" s="6">
        <v>64.0</v>
      </c>
      <c r="G852" s="9" t="str">
        <f>VLOOKUP(operations[productID],products[],2,FALSE)</f>
        <v>Lukas' leckere Sauerteigweggla</v>
      </c>
      <c r="H852" s="9" t="str">
        <f>IF(VLOOKUP(operations[productID],products[],7,FALSE)=1,"Discontinued","Current")</f>
        <v>Current</v>
      </c>
      <c r="I852" s="6">
        <f>VLOOKUP(operations[productID],products[],4,FALSE)</f>
        <v>22</v>
      </c>
      <c r="J852" s="6">
        <f>VLOOKUP(operations[productID],products[],5,FALSE)</f>
        <v>80</v>
      </c>
      <c r="K852" s="6">
        <f>VLOOKUP(operations[productID],products[],6,FALSE)</f>
        <v>30</v>
      </c>
      <c r="L852" s="10">
        <f t="array" ref="L852">INDEX('1 orders'!I852:I2156, MATCH(1, ('1 orders'!A852:A2156=A852)*('1 orders'!G852:G2156=F852), 0))
</f>
        <v>18</v>
      </c>
      <c r="M852" s="10">
        <f>IFERROR(__xludf.DUMMYFUNCTION("COUNTUNIQUEIFS($A$2:$A852,$F$2:$F852,F852)"),12.0)</f>
        <v>12</v>
      </c>
      <c r="N852" s="10">
        <f t="shared" si="1"/>
        <v>8</v>
      </c>
      <c r="O852" s="26">
        <f>IF(operations[sinceLastOrder]=0,0,operations[orderQuantity] / operations[sinceLastOrder])</f>
        <v>2.25</v>
      </c>
      <c r="P852" s="9">
        <v>7.15</v>
      </c>
      <c r="Q852" s="7" t="s">
        <v>17</v>
      </c>
      <c r="R852" s="10">
        <f>operations[arrivedDate]-operations[shippedDate]</f>
        <v>17</v>
      </c>
    </row>
    <row r="853" ht="15.75" customHeight="1">
      <c r="A853" s="6">
        <v>10566.0</v>
      </c>
      <c r="B853" s="24">
        <v>45089.0</v>
      </c>
      <c r="C853" s="24">
        <v>45117.0</v>
      </c>
      <c r="D853" s="24">
        <v>45095.0</v>
      </c>
      <c r="E853" s="24">
        <v>45101.0</v>
      </c>
      <c r="F853" s="6">
        <v>11.0</v>
      </c>
      <c r="G853" s="9" t="str">
        <f>VLOOKUP(operations[productID],products[],2,FALSE)</f>
        <v>Queso Cabrales</v>
      </c>
      <c r="H853" s="9" t="str">
        <f>IF(VLOOKUP(operations[productID],products[],7,FALSE)=1,"Discontinued","Current")</f>
        <v>Current</v>
      </c>
      <c r="I853" s="6">
        <f>VLOOKUP(operations[productID],products[],4,FALSE)</f>
        <v>22</v>
      </c>
      <c r="J853" s="6">
        <f>VLOOKUP(operations[productID],products[],5,FALSE)</f>
        <v>30</v>
      </c>
      <c r="K853" s="6">
        <f>VLOOKUP(operations[productID],products[],6,FALSE)</f>
        <v>30</v>
      </c>
      <c r="L853" s="10">
        <f t="array" ref="L853">INDEX('1 orders'!I853:I2156, MATCH(1, ('1 orders'!A853:A2156=A853)*('1 orders'!G853:G2156=F853), 0))
</f>
        <v>35</v>
      </c>
      <c r="M853" s="10">
        <f>IFERROR(__xludf.DUMMYFUNCTION("COUNTUNIQUEIFS($A$2:$A853,$F$2:$F853,F853)"),18.0)</f>
        <v>18</v>
      </c>
      <c r="N853" s="10">
        <f t="shared" si="1"/>
        <v>13</v>
      </c>
      <c r="O853" s="26">
        <f>IF(operations[sinceLastOrder]=0,0,operations[orderQuantity] / operations[sinceLastOrder])</f>
        <v>2.692307692</v>
      </c>
      <c r="P853" s="9">
        <v>88.4</v>
      </c>
      <c r="Q853" s="7" t="s">
        <v>15</v>
      </c>
      <c r="R853" s="10">
        <f>operations[arrivedDate]-operations[shippedDate]</f>
        <v>6</v>
      </c>
    </row>
    <row r="854" ht="15.75" customHeight="1">
      <c r="A854" s="6">
        <v>10566.0</v>
      </c>
      <c r="B854" s="24">
        <v>45089.0</v>
      </c>
      <c r="C854" s="24">
        <v>45117.0</v>
      </c>
      <c r="D854" s="24">
        <v>45095.0</v>
      </c>
      <c r="E854" s="24">
        <v>45101.0</v>
      </c>
      <c r="F854" s="6">
        <v>18.0</v>
      </c>
      <c r="G854" s="9" t="str">
        <f>VLOOKUP(operations[productID],products[],2,FALSE)</f>
        <v>Carnarvon Tigers</v>
      </c>
      <c r="H854" s="9" t="str">
        <f>IF(VLOOKUP(operations[productID],products[],7,FALSE)=1,"Discontinued","Current")</f>
        <v>Current</v>
      </c>
      <c r="I854" s="6">
        <f>VLOOKUP(operations[productID],products[],4,FALSE)</f>
        <v>42</v>
      </c>
      <c r="J854" s="6">
        <f>VLOOKUP(operations[productID],products[],5,FALSE)</f>
        <v>0</v>
      </c>
      <c r="K854" s="6">
        <f>VLOOKUP(operations[productID],products[],6,FALSE)</f>
        <v>0</v>
      </c>
      <c r="L854" s="10">
        <f t="array" ref="L854">INDEX('1 orders'!I854:I2156, MATCH(1, ('1 orders'!A854:A2156=A854)*('1 orders'!G854:G2156=F854), 0))
</f>
        <v>18</v>
      </c>
      <c r="M854" s="10">
        <f>IFERROR(__xludf.DUMMYFUNCTION("COUNTUNIQUEIFS($A$2:$A854,$F$2:$F854,F854)"),8.0)</f>
        <v>8</v>
      </c>
      <c r="N854" s="10">
        <f t="shared" si="1"/>
        <v>49</v>
      </c>
      <c r="O854" s="26">
        <f>IF(operations[sinceLastOrder]=0,0,operations[orderQuantity] / operations[sinceLastOrder])</f>
        <v>0.3673469388</v>
      </c>
      <c r="P854" s="9">
        <v>88.4</v>
      </c>
      <c r="Q854" s="7" t="s">
        <v>15</v>
      </c>
      <c r="R854" s="10">
        <f>operations[arrivedDate]-operations[shippedDate]</f>
        <v>6</v>
      </c>
    </row>
    <row r="855" ht="15.75" customHeight="1">
      <c r="A855" s="6">
        <v>10566.0</v>
      </c>
      <c r="B855" s="24">
        <v>45089.0</v>
      </c>
      <c r="C855" s="24">
        <v>45117.0</v>
      </c>
      <c r="D855" s="24">
        <v>45095.0</v>
      </c>
      <c r="E855" s="24">
        <v>45101.0</v>
      </c>
      <c r="F855" s="6">
        <v>76.0</v>
      </c>
      <c r="G855" s="9" t="str">
        <f>VLOOKUP(operations[productID],products[],2,FALSE)</f>
        <v>Lakkalikööri</v>
      </c>
      <c r="H855" s="9" t="str">
        <f>IF(VLOOKUP(operations[productID],products[],7,FALSE)=1,"Discontinued","Current")</f>
        <v>Current</v>
      </c>
      <c r="I855" s="6">
        <f>VLOOKUP(operations[productID],products[],4,FALSE)</f>
        <v>57</v>
      </c>
      <c r="J855" s="6">
        <f>VLOOKUP(operations[productID],products[],5,FALSE)</f>
        <v>0</v>
      </c>
      <c r="K855" s="6">
        <f>VLOOKUP(operations[productID],products[],6,FALSE)</f>
        <v>20</v>
      </c>
      <c r="L855" s="10">
        <f t="array" ref="L855">INDEX('1 orders'!I855:I2156, MATCH(1, ('1 orders'!A855:A2156=A855)*('1 orders'!G855:G2156=F855), 0))
</f>
        <v>10</v>
      </c>
      <c r="M855" s="10">
        <f>IFERROR(__xludf.DUMMYFUNCTION("COUNTUNIQUEIFS($A$2:$A855,$F$2:$F855,F855)"),13.0)</f>
        <v>13</v>
      </c>
      <c r="N855" s="10">
        <f t="shared" si="1"/>
        <v>35</v>
      </c>
      <c r="O855" s="26">
        <f>IF(operations[sinceLastOrder]=0,0,operations[orderQuantity] / operations[sinceLastOrder])</f>
        <v>0.2857142857</v>
      </c>
      <c r="P855" s="9">
        <v>88.4</v>
      </c>
      <c r="Q855" s="7" t="s">
        <v>15</v>
      </c>
      <c r="R855" s="10">
        <f>operations[arrivedDate]-operations[shippedDate]</f>
        <v>6</v>
      </c>
    </row>
    <row r="856" ht="15.75" customHeight="1">
      <c r="A856" s="6">
        <v>10567.0</v>
      </c>
      <c r="B856" s="24">
        <v>45089.0</v>
      </c>
      <c r="C856" s="24">
        <v>45117.0</v>
      </c>
      <c r="D856" s="24">
        <v>45094.0</v>
      </c>
      <c r="E856" s="24">
        <v>45104.0</v>
      </c>
      <c r="F856" s="6">
        <v>31.0</v>
      </c>
      <c r="G856" s="9" t="str">
        <f>VLOOKUP(operations[productID],products[],2,FALSE)</f>
        <v>Gorgonzola Telino</v>
      </c>
      <c r="H856" s="9" t="str">
        <f>IF(VLOOKUP(operations[productID],products[],7,FALSE)=1,"Discontinued","Current")</f>
        <v>Current</v>
      </c>
      <c r="I856" s="6">
        <f>VLOOKUP(operations[productID],products[],4,FALSE)</f>
        <v>0</v>
      </c>
      <c r="J856" s="6">
        <f>VLOOKUP(operations[productID],products[],5,FALSE)</f>
        <v>70</v>
      </c>
      <c r="K856" s="6">
        <f>VLOOKUP(operations[productID],products[],6,FALSE)</f>
        <v>20</v>
      </c>
      <c r="L856" s="10">
        <f t="array" ref="L856">INDEX('1 orders'!I856:I2156, MATCH(1, ('1 orders'!A856:A2156=A856)*('1 orders'!G856:G2156=F856), 0))
</f>
        <v>60</v>
      </c>
      <c r="M856" s="10">
        <f>IFERROR(__xludf.DUMMYFUNCTION("COUNTUNIQUEIFS($A$2:$A856,$F$2:$F856,F856)"),23.0)</f>
        <v>23</v>
      </c>
      <c r="N856" s="10">
        <f t="shared" si="1"/>
        <v>2</v>
      </c>
      <c r="O856" s="26">
        <f>IF(operations[sinceLastOrder]=0,0,operations[orderQuantity] / operations[sinceLastOrder])</f>
        <v>30</v>
      </c>
      <c r="P856" s="9">
        <v>33.97</v>
      </c>
      <c r="Q856" s="7" t="s">
        <v>15</v>
      </c>
      <c r="R856" s="10">
        <f>operations[arrivedDate]-operations[shippedDate]</f>
        <v>10</v>
      </c>
    </row>
    <row r="857" ht="15.75" customHeight="1">
      <c r="A857" s="6">
        <v>10567.0</v>
      </c>
      <c r="B857" s="24">
        <v>45089.0</v>
      </c>
      <c r="C857" s="24">
        <v>45117.0</v>
      </c>
      <c r="D857" s="24">
        <v>45094.0</v>
      </c>
      <c r="E857" s="24">
        <v>45104.0</v>
      </c>
      <c r="F857" s="6">
        <v>51.0</v>
      </c>
      <c r="G857" s="9" t="str">
        <f>VLOOKUP(operations[productID],products[],2,FALSE)</f>
        <v>Manjimup Dried Apples</v>
      </c>
      <c r="H857" s="9" t="str">
        <f>IF(VLOOKUP(operations[productID],products[],7,FALSE)=1,"Discontinued","Current")</f>
        <v>Current</v>
      </c>
      <c r="I857" s="6">
        <f>VLOOKUP(operations[productID],products[],4,FALSE)</f>
        <v>20</v>
      </c>
      <c r="J857" s="6">
        <f>VLOOKUP(operations[productID],products[],5,FALSE)</f>
        <v>0</v>
      </c>
      <c r="K857" s="6">
        <f>VLOOKUP(operations[productID],products[],6,FALSE)</f>
        <v>10</v>
      </c>
      <c r="L857" s="10">
        <f t="array" ref="L857">INDEX('1 orders'!I857:I2156, MATCH(1, ('1 orders'!A857:A2156=A857)*('1 orders'!G857:G2156=F857), 0))
</f>
        <v>3</v>
      </c>
      <c r="M857" s="10">
        <f>IFERROR(__xludf.DUMMYFUNCTION("COUNTUNIQUEIFS($A$2:$A857,$F$2:$F857,F857)"),15.0)</f>
        <v>15</v>
      </c>
      <c r="N857" s="10">
        <f t="shared" si="1"/>
        <v>6</v>
      </c>
      <c r="O857" s="26">
        <f>IF(operations[sinceLastOrder]=0,0,operations[orderQuantity] / operations[sinceLastOrder])</f>
        <v>0.5</v>
      </c>
      <c r="P857" s="9">
        <v>33.97</v>
      </c>
      <c r="Q857" s="7" t="s">
        <v>15</v>
      </c>
      <c r="R857" s="10">
        <f>operations[arrivedDate]-operations[shippedDate]</f>
        <v>10</v>
      </c>
    </row>
    <row r="858" ht="15.75" customHeight="1">
      <c r="A858" s="6">
        <v>10567.0</v>
      </c>
      <c r="B858" s="24">
        <v>45089.0</v>
      </c>
      <c r="C858" s="24">
        <v>45117.0</v>
      </c>
      <c r="D858" s="24">
        <v>45094.0</v>
      </c>
      <c r="E858" s="24">
        <v>45104.0</v>
      </c>
      <c r="F858" s="6">
        <v>59.0</v>
      </c>
      <c r="G858" s="9" t="str">
        <f>VLOOKUP(operations[productID],products[],2,FALSE)</f>
        <v>Raclette Courdavault</v>
      </c>
      <c r="H858" s="9" t="str">
        <f>IF(VLOOKUP(operations[productID],products[],7,FALSE)=1,"Discontinued","Current")</f>
        <v>Current</v>
      </c>
      <c r="I858" s="6">
        <f>VLOOKUP(operations[productID],products[],4,FALSE)</f>
        <v>79</v>
      </c>
      <c r="J858" s="6">
        <f>VLOOKUP(operations[productID],products[],5,FALSE)</f>
        <v>0</v>
      </c>
      <c r="K858" s="6">
        <f>VLOOKUP(operations[productID],products[],6,FALSE)</f>
        <v>0</v>
      </c>
      <c r="L858" s="10">
        <f t="array" ref="L858">INDEX('1 orders'!I858:I2156, MATCH(1, ('1 orders'!A858:A2156=A858)*('1 orders'!G858:G2156=F858), 0))
</f>
        <v>40</v>
      </c>
      <c r="M858" s="10">
        <f>IFERROR(__xludf.DUMMYFUNCTION("COUNTUNIQUEIFS($A$2:$A858,$F$2:$F858,F858)"),23.0)</f>
        <v>23</v>
      </c>
      <c r="N858" s="10">
        <f t="shared" si="1"/>
        <v>30</v>
      </c>
      <c r="O858" s="26">
        <f>IF(operations[sinceLastOrder]=0,0,operations[orderQuantity] / operations[sinceLastOrder])</f>
        <v>1.333333333</v>
      </c>
      <c r="P858" s="9">
        <v>33.97</v>
      </c>
      <c r="Q858" s="7" t="s">
        <v>15</v>
      </c>
      <c r="R858" s="10">
        <f>operations[arrivedDate]-operations[shippedDate]</f>
        <v>10</v>
      </c>
    </row>
    <row r="859" ht="15.75" customHeight="1">
      <c r="A859" s="6">
        <v>10568.0</v>
      </c>
      <c r="B859" s="24">
        <v>45090.0</v>
      </c>
      <c r="C859" s="24">
        <v>45118.0</v>
      </c>
      <c r="D859" s="24">
        <v>45116.0</v>
      </c>
      <c r="E859" s="24">
        <v>45126.0</v>
      </c>
      <c r="F859" s="6">
        <v>10.0</v>
      </c>
      <c r="G859" s="9" t="str">
        <f>VLOOKUP(operations[productID],products[],2,FALSE)</f>
        <v>Ikura</v>
      </c>
      <c r="H859" s="9" t="str">
        <f>IF(VLOOKUP(operations[productID],products[],7,FALSE)=1,"Discontinued","Current")</f>
        <v>Current</v>
      </c>
      <c r="I859" s="6">
        <f>VLOOKUP(operations[productID],products[],4,FALSE)</f>
        <v>31</v>
      </c>
      <c r="J859" s="6">
        <f>VLOOKUP(operations[productID],products[],5,FALSE)</f>
        <v>0</v>
      </c>
      <c r="K859" s="6">
        <f>VLOOKUP(operations[productID],products[],6,FALSE)</f>
        <v>0</v>
      </c>
      <c r="L859" s="10">
        <f t="array" ref="L859">INDEX('1 orders'!I859:I2156, MATCH(1, ('1 orders'!A859:A2156=A859)*('1 orders'!G859:G2156=F859), 0))
</f>
        <v>5</v>
      </c>
      <c r="M859" s="10">
        <f>IFERROR(__xludf.DUMMYFUNCTION("COUNTUNIQUEIFS($A$2:$A859,$F$2:$F859,F859)"),10.0)</f>
        <v>10</v>
      </c>
      <c r="N859" s="10">
        <f t="shared" si="1"/>
        <v>43</v>
      </c>
      <c r="O859" s="26">
        <f>IF(operations[sinceLastOrder]=0,0,operations[orderQuantity] / operations[sinceLastOrder])</f>
        <v>0.1162790698</v>
      </c>
      <c r="P859" s="9">
        <v>6.54</v>
      </c>
      <c r="Q859" s="7" t="s">
        <v>13</v>
      </c>
      <c r="R859" s="10">
        <f>operations[arrivedDate]-operations[shippedDate]</f>
        <v>10</v>
      </c>
    </row>
    <row r="860" ht="15.75" customHeight="1">
      <c r="A860" s="6">
        <v>10569.0</v>
      </c>
      <c r="B860" s="24">
        <v>45093.0</v>
      </c>
      <c r="C860" s="24">
        <v>45121.0</v>
      </c>
      <c r="D860" s="24">
        <v>45118.0</v>
      </c>
      <c r="E860" s="24">
        <v>45129.0</v>
      </c>
      <c r="F860" s="6">
        <v>31.0</v>
      </c>
      <c r="G860" s="9" t="str">
        <f>VLOOKUP(operations[productID],products[],2,FALSE)</f>
        <v>Gorgonzola Telino</v>
      </c>
      <c r="H860" s="9" t="str">
        <f>IF(VLOOKUP(operations[productID],products[],7,FALSE)=1,"Discontinued","Current")</f>
        <v>Current</v>
      </c>
      <c r="I860" s="6">
        <f>VLOOKUP(operations[productID],products[],4,FALSE)</f>
        <v>0</v>
      </c>
      <c r="J860" s="6">
        <f>VLOOKUP(operations[productID],products[],5,FALSE)</f>
        <v>70</v>
      </c>
      <c r="K860" s="6">
        <f>VLOOKUP(operations[productID],products[],6,FALSE)</f>
        <v>20</v>
      </c>
      <c r="L860" s="10">
        <f t="array" ref="L860">INDEX('1 orders'!I860:I2156, MATCH(1, ('1 orders'!A860:A2156=A860)*('1 orders'!G860:G2156=F860), 0))
</f>
        <v>35</v>
      </c>
      <c r="M860" s="10">
        <f>IFERROR(__xludf.DUMMYFUNCTION("COUNTUNIQUEIFS($A$2:$A860,$F$2:$F860,F860)"),24.0)</f>
        <v>24</v>
      </c>
      <c r="N860" s="10">
        <f t="shared" si="1"/>
        <v>4</v>
      </c>
      <c r="O860" s="26">
        <f>IF(operations[sinceLastOrder]=0,0,operations[orderQuantity] / operations[sinceLastOrder])</f>
        <v>8.75</v>
      </c>
      <c r="P860" s="9">
        <v>58.98</v>
      </c>
      <c r="Q860" s="7" t="s">
        <v>15</v>
      </c>
      <c r="R860" s="10">
        <f>operations[arrivedDate]-operations[shippedDate]</f>
        <v>11</v>
      </c>
    </row>
    <row r="861" ht="15.75" customHeight="1">
      <c r="A861" s="6">
        <v>10569.0</v>
      </c>
      <c r="B861" s="24">
        <v>45093.0</v>
      </c>
      <c r="C861" s="24">
        <v>45121.0</v>
      </c>
      <c r="D861" s="24">
        <v>45118.0</v>
      </c>
      <c r="E861" s="24">
        <v>45129.0</v>
      </c>
      <c r="F861" s="6">
        <v>76.0</v>
      </c>
      <c r="G861" s="9" t="str">
        <f>VLOOKUP(operations[productID],products[],2,FALSE)</f>
        <v>Lakkalikööri</v>
      </c>
      <c r="H861" s="9" t="str">
        <f>IF(VLOOKUP(operations[productID],products[],7,FALSE)=1,"Discontinued","Current")</f>
        <v>Current</v>
      </c>
      <c r="I861" s="6">
        <f>VLOOKUP(operations[productID],products[],4,FALSE)</f>
        <v>57</v>
      </c>
      <c r="J861" s="6">
        <f>VLOOKUP(operations[productID],products[],5,FALSE)</f>
        <v>0</v>
      </c>
      <c r="K861" s="6">
        <f>VLOOKUP(operations[productID],products[],6,FALSE)</f>
        <v>20</v>
      </c>
      <c r="L861" s="10">
        <f t="array" ref="L861">INDEX('1 orders'!I861:I2156, MATCH(1, ('1 orders'!A861:A2156=A861)*('1 orders'!G861:G2156=F861), 0))
</f>
        <v>30</v>
      </c>
      <c r="M861" s="10">
        <f>IFERROR(__xludf.DUMMYFUNCTION("COUNTUNIQUEIFS($A$2:$A861,$F$2:$F861,F861)"),14.0)</f>
        <v>14</v>
      </c>
      <c r="N861" s="10">
        <f t="shared" si="1"/>
        <v>4</v>
      </c>
      <c r="O861" s="26">
        <f>IF(operations[sinceLastOrder]=0,0,operations[orderQuantity] / operations[sinceLastOrder])</f>
        <v>7.5</v>
      </c>
      <c r="P861" s="9">
        <v>58.98</v>
      </c>
      <c r="Q861" s="7" t="s">
        <v>15</v>
      </c>
      <c r="R861" s="10">
        <f>operations[arrivedDate]-operations[shippedDate]</f>
        <v>11</v>
      </c>
    </row>
    <row r="862" ht="15.75" customHeight="1">
      <c r="A862" s="6">
        <v>10570.0</v>
      </c>
      <c r="B862" s="24">
        <v>45094.0</v>
      </c>
      <c r="C862" s="24">
        <v>45122.0</v>
      </c>
      <c r="D862" s="24">
        <v>45096.0</v>
      </c>
      <c r="E862" s="24">
        <v>45111.0</v>
      </c>
      <c r="F862" s="6">
        <v>11.0</v>
      </c>
      <c r="G862" s="9" t="str">
        <f>VLOOKUP(operations[productID],products[],2,FALSE)</f>
        <v>Queso Cabrales</v>
      </c>
      <c r="H862" s="9" t="str">
        <f>IF(VLOOKUP(operations[productID],products[],7,FALSE)=1,"Discontinued","Current")</f>
        <v>Current</v>
      </c>
      <c r="I862" s="6">
        <f>VLOOKUP(operations[productID],products[],4,FALSE)</f>
        <v>22</v>
      </c>
      <c r="J862" s="6">
        <f>VLOOKUP(operations[productID],products[],5,FALSE)</f>
        <v>30</v>
      </c>
      <c r="K862" s="6">
        <f>VLOOKUP(operations[productID],products[],6,FALSE)</f>
        <v>30</v>
      </c>
      <c r="L862" s="10">
        <f t="array" ref="L862">INDEX('1 orders'!I862:I2156, MATCH(1, ('1 orders'!A862:A2156=A862)*('1 orders'!G862:G2156=F862), 0))
</f>
        <v>15</v>
      </c>
      <c r="M862" s="10">
        <f>IFERROR(__xludf.DUMMYFUNCTION("COUNTUNIQUEIFS($A$2:$A862,$F$2:$F862,F862)"),19.0)</f>
        <v>19</v>
      </c>
      <c r="N862" s="10">
        <f t="shared" si="1"/>
        <v>5</v>
      </c>
      <c r="O862" s="26">
        <f>IF(operations[sinceLastOrder]=0,0,operations[orderQuantity] / operations[sinceLastOrder])</f>
        <v>3</v>
      </c>
      <c r="P862" s="9">
        <v>188.99</v>
      </c>
      <c r="Q862" s="7" t="s">
        <v>13</v>
      </c>
      <c r="R862" s="10">
        <f>operations[arrivedDate]-operations[shippedDate]</f>
        <v>15</v>
      </c>
    </row>
    <row r="863" ht="15.75" customHeight="1">
      <c r="A863" s="6">
        <v>10570.0</v>
      </c>
      <c r="B863" s="24">
        <v>45094.0</v>
      </c>
      <c r="C863" s="24">
        <v>45122.0</v>
      </c>
      <c r="D863" s="24">
        <v>45096.0</v>
      </c>
      <c r="E863" s="24">
        <v>45111.0</v>
      </c>
      <c r="F863" s="6">
        <v>56.0</v>
      </c>
      <c r="G863" s="9" t="str">
        <f>VLOOKUP(operations[productID],products[],2,FALSE)</f>
        <v>Gnocchi di nonna Alice</v>
      </c>
      <c r="H863" s="9" t="str">
        <f>IF(VLOOKUP(operations[productID],products[],7,FALSE)=1,"Discontinued","Current")</f>
        <v>Current</v>
      </c>
      <c r="I863" s="6">
        <f>VLOOKUP(operations[productID],products[],4,FALSE)</f>
        <v>21</v>
      </c>
      <c r="J863" s="6">
        <f>VLOOKUP(operations[productID],products[],5,FALSE)</f>
        <v>10</v>
      </c>
      <c r="K863" s="6">
        <f>VLOOKUP(operations[productID],products[],6,FALSE)</f>
        <v>30</v>
      </c>
      <c r="L863" s="10">
        <f t="array" ref="L863">INDEX('1 orders'!I863:I2156, MATCH(1, ('1 orders'!A863:A2156=A863)*('1 orders'!G863:G2156=F863), 0))
</f>
        <v>60</v>
      </c>
      <c r="M863" s="10">
        <f>IFERROR(__xludf.DUMMYFUNCTION("COUNTUNIQUEIFS($A$2:$A863,$F$2:$F863,F863)"),22.0)</f>
        <v>22</v>
      </c>
      <c r="N863" s="10">
        <f t="shared" si="1"/>
        <v>15</v>
      </c>
      <c r="O863" s="26">
        <f>IF(operations[sinceLastOrder]=0,0,operations[orderQuantity] / operations[sinceLastOrder])</f>
        <v>4</v>
      </c>
      <c r="P863" s="9">
        <v>188.99</v>
      </c>
      <c r="Q863" s="7" t="s">
        <v>13</v>
      </c>
      <c r="R863" s="10">
        <f>operations[arrivedDate]-operations[shippedDate]</f>
        <v>15</v>
      </c>
    </row>
    <row r="864" ht="15.75" customHeight="1">
      <c r="A864" s="6">
        <v>10571.0</v>
      </c>
      <c r="B864" s="24">
        <v>45094.0</v>
      </c>
      <c r="C864" s="24">
        <v>45136.0</v>
      </c>
      <c r="D864" s="24">
        <v>45111.0</v>
      </c>
      <c r="E864" s="24">
        <v>45123.0</v>
      </c>
      <c r="F864" s="6">
        <v>14.0</v>
      </c>
      <c r="G864" s="9" t="str">
        <f>VLOOKUP(operations[productID],products[],2,FALSE)</f>
        <v>Tofu</v>
      </c>
      <c r="H864" s="9" t="str">
        <f>IF(VLOOKUP(operations[productID],products[],7,FALSE)=1,"Discontinued","Current")</f>
        <v>Current</v>
      </c>
      <c r="I864" s="6">
        <f>VLOOKUP(operations[productID],products[],4,FALSE)</f>
        <v>35</v>
      </c>
      <c r="J864" s="6">
        <f>VLOOKUP(operations[productID],products[],5,FALSE)</f>
        <v>0</v>
      </c>
      <c r="K864" s="6">
        <f>VLOOKUP(operations[productID],products[],6,FALSE)</f>
        <v>0</v>
      </c>
      <c r="L864" s="10">
        <f t="array" ref="L864">INDEX('1 orders'!I864:I2156, MATCH(1, ('1 orders'!A864:A2156=A864)*('1 orders'!G864:G2156=F864), 0))
</f>
        <v>11</v>
      </c>
      <c r="M864" s="10">
        <f>IFERROR(__xludf.DUMMYFUNCTION("COUNTUNIQUEIFS($A$2:$A864,$F$2:$F864,F864)"),12.0)</f>
        <v>12</v>
      </c>
      <c r="N864" s="10">
        <f t="shared" si="1"/>
        <v>15</v>
      </c>
      <c r="O864" s="26">
        <f>IF(operations[sinceLastOrder]=0,0,operations[orderQuantity] / operations[sinceLastOrder])</f>
        <v>0.7333333333</v>
      </c>
      <c r="P864" s="9">
        <v>26.06</v>
      </c>
      <c r="Q864" s="7" t="s">
        <v>13</v>
      </c>
      <c r="R864" s="10">
        <f>operations[arrivedDate]-operations[shippedDate]</f>
        <v>12</v>
      </c>
    </row>
    <row r="865" ht="15.75" customHeight="1">
      <c r="A865" s="6">
        <v>10571.0</v>
      </c>
      <c r="B865" s="24">
        <v>45094.0</v>
      </c>
      <c r="C865" s="24">
        <v>45136.0</v>
      </c>
      <c r="D865" s="24">
        <v>45111.0</v>
      </c>
      <c r="E865" s="24">
        <v>45123.0</v>
      </c>
      <c r="F865" s="6">
        <v>42.0</v>
      </c>
      <c r="G865" s="9" t="str">
        <f>VLOOKUP(operations[productID],products[],2,FALSE)</f>
        <v>Singaporean Hokkien Fried Mee</v>
      </c>
      <c r="H865" s="9" t="str">
        <f>IF(VLOOKUP(operations[productID],products[],7,FALSE)=1,"Discontinued","Current")</f>
        <v>Discontinued</v>
      </c>
      <c r="I865" s="6">
        <f>VLOOKUP(operations[productID],products[],4,FALSE)</f>
        <v>26</v>
      </c>
      <c r="J865" s="6">
        <f>VLOOKUP(operations[productID],products[],5,FALSE)</f>
        <v>0</v>
      </c>
      <c r="K865" s="6">
        <f>VLOOKUP(operations[productID],products[],6,FALSE)</f>
        <v>0</v>
      </c>
      <c r="L865" s="10">
        <f t="array" ref="L865">INDEX('1 orders'!I865:I2156, MATCH(1, ('1 orders'!A865:A2156=A865)*('1 orders'!G865:G2156=F865), 0))
</f>
        <v>28</v>
      </c>
      <c r="M865" s="10">
        <f>IFERROR(__xludf.DUMMYFUNCTION("COUNTUNIQUEIFS($A$2:$A865,$F$2:$F865,F865)"),11.0)</f>
        <v>11</v>
      </c>
      <c r="N865" s="10">
        <f t="shared" si="1"/>
        <v>54</v>
      </c>
      <c r="O865" s="26">
        <f>IF(operations[sinceLastOrder]=0,0,operations[orderQuantity] / operations[sinceLastOrder])</f>
        <v>0.5185185185</v>
      </c>
      <c r="P865" s="9">
        <v>26.06</v>
      </c>
      <c r="Q865" s="7" t="s">
        <v>13</v>
      </c>
      <c r="R865" s="10">
        <f>operations[arrivedDate]-operations[shippedDate]</f>
        <v>12</v>
      </c>
    </row>
    <row r="866" ht="15.75" customHeight="1">
      <c r="A866" s="6">
        <v>10572.0</v>
      </c>
      <c r="B866" s="24">
        <v>45095.0</v>
      </c>
      <c r="C866" s="24">
        <v>45123.0</v>
      </c>
      <c r="D866" s="24">
        <v>45102.0</v>
      </c>
      <c r="E866" s="24">
        <v>45112.0</v>
      </c>
      <c r="F866" s="6">
        <v>16.0</v>
      </c>
      <c r="G866" s="9" t="str">
        <f>VLOOKUP(operations[productID],products[],2,FALSE)</f>
        <v>Pavlova</v>
      </c>
      <c r="H866" s="9" t="str">
        <f>IF(VLOOKUP(operations[productID],products[],7,FALSE)=1,"Discontinued","Current")</f>
        <v>Current</v>
      </c>
      <c r="I866" s="6">
        <f>VLOOKUP(operations[productID],products[],4,FALSE)</f>
        <v>29</v>
      </c>
      <c r="J866" s="6">
        <f>VLOOKUP(operations[productID],products[],5,FALSE)</f>
        <v>0</v>
      </c>
      <c r="K866" s="6">
        <f>VLOOKUP(operations[productID],products[],6,FALSE)</f>
        <v>10</v>
      </c>
      <c r="L866" s="10">
        <f t="array" ref="L866">INDEX('1 orders'!I866:I2156, MATCH(1, ('1 orders'!A866:A2156=A866)*('1 orders'!G866:G2156=F866), 0))
</f>
        <v>12</v>
      </c>
      <c r="M866" s="10">
        <f>IFERROR(__xludf.DUMMYFUNCTION("COUNTUNIQUEIFS($A$2:$A866,$F$2:$F866,F866)"),18.0)</f>
        <v>18</v>
      </c>
      <c r="N866" s="10">
        <f t="shared" si="1"/>
        <v>19</v>
      </c>
      <c r="O866" s="26">
        <f>IF(operations[sinceLastOrder]=0,0,operations[orderQuantity] / operations[sinceLastOrder])</f>
        <v>0.6315789474</v>
      </c>
      <c r="P866" s="9">
        <v>116.43</v>
      </c>
      <c r="Q866" s="7" t="s">
        <v>17</v>
      </c>
      <c r="R866" s="10">
        <f>operations[arrivedDate]-operations[shippedDate]</f>
        <v>10</v>
      </c>
    </row>
    <row r="867" ht="15.75" customHeight="1">
      <c r="A867" s="6">
        <v>10572.0</v>
      </c>
      <c r="B867" s="24">
        <v>45095.0</v>
      </c>
      <c r="C867" s="24">
        <v>45123.0</v>
      </c>
      <c r="D867" s="24">
        <v>45102.0</v>
      </c>
      <c r="E867" s="24">
        <v>45112.0</v>
      </c>
      <c r="F867" s="6">
        <v>32.0</v>
      </c>
      <c r="G867" s="9" t="str">
        <f>VLOOKUP(operations[productID],products[],2,FALSE)</f>
        <v>Mascarpone Fabioli</v>
      </c>
      <c r="H867" s="9" t="str">
        <f>IF(VLOOKUP(operations[productID],products[],7,FALSE)=1,"Discontinued","Current")</f>
        <v>Current</v>
      </c>
      <c r="I867" s="6">
        <f>VLOOKUP(operations[productID],products[],4,FALSE)</f>
        <v>9</v>
      </c>
      <c r="J867" s="6">
        <f>VLOOKUP(operations[productID],products[],5,FALSE)</f>
        <v>40</v>
      </c>
      <c r="K867" s="6">
        <f>VLOOKUP(operations[productID],products[],6,FALSE)</f>
        <v>25</v>
      </c>
      <c r="L867" s="10">
        <f t="array" ref="L867">INDEX('1 orders'!I867:I2156, MATCH(1, ('1 orders'!A867:A2156=A867)*('1 orders'!G867:G2156=F867), 0))
</f>
        <v>10</v>
      </c>
      <c r="M867" s="10">
        <f>IFERROR(__xludf.DUMMYFUNCTION("COUNTUNIQUEIFS($A$2:$A867,$F$2:$F867,F867)"),6.0)</f>
        <v>6</v>
      </c>
      <c r="N867" s="10">
        <f t="shared" si="1"/>
        <v>26</v>
      </c>
      <c r="O867" s="26">
        <f>IF(operations[sinceLastOrder]=0,0,operations[orderQuantity] / operations[sinceLastOrder])</f>
        <v>0.3846153846</v>
      </c>
      <c r="P867" s="9">
        <v>116.43</v>
      </c>
      <c r="Q867" s="7" t="s">
        <v>17</v>
      </c>
      <c r="R867" s="10">
        <f>operations[arrivedDate]-operations[shippedDate]</f>
        <v>10</v>
      </c>
    </row>
    <row r="868" ht="15.75" customHeight="1">
      <c r="A868" s="6">
        <v>10572.0</v>
      </c>
      <c r="B868" s="24">
        <v>45095.0</v>
      </c>
      <c r="C868" s="24">
        <v>45123.0</v>
      </c>
      <c r="D868" s="24">
        <v>45102.0</v>
      </c>
      <c r="E868" s="24">
        <v>45112.0</v>
      </c>
      <c r="F868" s="6">
        <v>40.0</v>
      </c>
      <c r="G868" s="9" t="str">
        <f>VLOOKUP(operations[productID],products[],2,FALSE)</f>
        <v>Boston Crab Meat</v>
      </c>
      <c r="H868" s="9" t="str">
        <f>IF(VLOOKUP(operations[productID],products[],7,FALSE)=1,"Discontinued","Current")</f>
        <v>Current</v>
      </c>
      <c r="I868" s="6">
        <f>VLOOKUP(operations[productID],products[],4,FALSE)</f>
        <v>123</v>
      </c>
      <c r="J868" s="6">
        <f>VLOOKUP(operations[productID],products[],5,FALSE)</f>
        <v>0</v>
      </c>
      <c r="K868" s="6">
        <f>VLOOKUP(operations[productID],products[],6,FALSE)</f>
        <v>30</v>
      </c>
      <c r="L868" s="10">
        <f t="array" ref="L868">INDEX('1 orders'!I868:I2156, MATCH(1, ('1 orders'!A868:A2156=A868)*('1 orders'!G868:G2156=F868), 0))
</f>
        <v>50</v>
      </c>
      <c r="M868" s="10">
        <f>IFERROR(__xludf.DUMMYFUNCTION("COUNTUNIQUEIFS($A$2:$A868,$F$2:$F868,F868)"),19.0)</f>
        <v>19</v>
      </c>
      <c r="N868" s="10">
        <f t="shared" si="1"/>
        <v>36</v>
      </c>
      <c r="O868" s="26">
        <f>IF(operations[sinceLastOrder]=0,0,operations[orderQuantity] / operations[sinceLastOrder])</f>
        <v>1.388888889</v>
      </c>
      <c r="P868" s="9">
        <v>116.43</v>
      </c>
      <c r="Q868" s="7" t="s">
        <v>17</v>
      </c>
      <c r="R868" s="10">
        <f>operations[arrivedDate]-operations[shippedDate]</f>
        <v>10</v>
      </c>
    </row>
    <row r="869" ht="15.75" customHeight="1">
      <c r="A869" s="6">
        <v>10572.0</v>
      </c>
      <c r="B869" s="24">
        <v>45095.0</v>
      </c>
      <c r="C869" s="24">
        <v>45123.0</v>
      </c>
      <c r="D869" s="24">
        <v>45102.0</v>
      </c>
      <c r="E869" s="24">
        <v>45112.0</v>
      </c>
      <c r="F869" s="6">
        <v>75.0</v>
      </c>
      <c r="G869" s="9" t="str">
        <f>VLOOKUP(operations[productID],products[],2,FALSE)</f>
        <v>Rhönbräu Klosterbier</v>
      </c>
      <c r="H869" s="9" t="str">
        <f>IF(VLOOKUP(operations[productID],products[],7,FALSE)=1,"Discontinued","Current")</f>
        <v>Current</v>
      </c>
      <c r="I869" s="6">
        <f>VLOOKUP(operations[productID],products[],4,FALSE)</f>
        <v>125</v>
      </c>
      <c r="J869" s="6">
        <f>VLOOKUP(operations[productID],products[],5,FALSE)</f>
        <v>0</v>
      </c>
      <c r="K869" s="6">
        <f>VLOOKUP(operations[productID],products[],6,FALSE)</f>
        <v>25</v>
      </c>
      <c r="L869" s="10">
        <f t="array" ref="L869">INDEX('1 orders'!I869:I2156, MATCH(1, ('1 orders'!A869:A2156=A869)*('1 orders'!G869:G2156=F869), 0))
</f>
        <v>15</v>
      </c>
      <c r="M869" s="10">
        <f>IFERROR(__xludf.DUMMYFUNCTION("COUNTUNIQUEIFS($A$2:$A869,$F$2:$F869,F869)"),16.0)</f>
        <v>16</v>
      </c>
      <c r="N869" s="10">
        <f t="shared" si="1"/>
        <v>15</v>
      </c>
      <c r="O869" s="26">
        <f>IF(operations[sinceLastOrder]=0,0,operations[orderQuantity] / operations[sinceLastOrder])</f>
        <v>1</v>
      </c>
      <c r="P869" s="9">
        <v>116.43</v>
      </c>
      <c r="Q869" s="7" t="s">
        <v>17</v>
      </c>
      <c r="R869" s="10">
        <f>operations[arrivedDate]-operations[shippedDate]</f>
        <v>10</v>
      </c>
    </row>
    <row r="870" ht="15.75" customHeight="1">
      <c r="A870" s="6">
        <v>10573.0</v>
      </c>
      <c r="B870" s="24">
        <v>45096.0</v>
      </c>
      <c r="C870" s="24">
        <v>45124.0</v>
      </c>
      <c r="D870" s="24">
        <v>45097.0</v>
      </c>
      <c r="E870" s="24">
        <v>45109.0</v>
      </c>
      <c r="F870" s="6">
        <v>17.0</v>
      </c>
      <c r="G870" s="9" t="str">
        <f>VLOOKUP(operations[productID],products[],2,FALSE)</f>
        <v>Alice Mutton</v>
      </c>
      <c r="H870" s="9" t="str">
        <f>IF(VLOOKUP(operations[productID],products[],7,FALSE)=1,"Discontinued","Current")</f>
        <v>Discontinued</v>
      </c>
      <c r="I870" s="6">
        <f>VLOOKUP(operations[productID],products[],4,FALSE)</f>
        <v>0</v>
      </c>
      <c r="J870" s="6">
        <f>VLOOKUP(operations[productID],products[],5,FALSE)</f>
        <v>0</v>
      </c>
      <c r="K870" s="6">
        <f>VLOOKUP(operations[productID],products[],6,FALSE)</f>
        <v>0</v>
      </c>
      <c r="L870" s="10">
        <f t="array" ref="L870">INDEX('1 orders'!I870:I2156, MATCH(1, ('1 orders'!A870:A2156=A870)*('1 orders'!G870:G2156=F870), 0))
</f>
        <v>18</v>
      </c>
      <c r="M870" s="10">
        <f>IFERROR(__xludf.DUMMYFUNCTION("COUNTUNIQUEIFS($A$2:$A870,$F$2:$F870,F870)"),17.0)</f>
        <v>17</v>
      </c>
      <c r="N870" s="10">
        <f t="shared" si="1"/>
        <v>9</v>
      </c>
      <c r="O870" s="26">
        <f>IF(operations[sinceLastOrder]=0,0,operations[orderQuantity] / operations[sinceLastOrder])</f>
        <v>2</v>
      </c>
      <c r="P870" s="9">
        <v>84.84</v>
      </c>
      <c r="Q870" s="7" t="s">
        <v>13</v>
      </c>
      <c r="R870" s="10">
        <f>operations[arrivedDate]-operations[shippedDate]</f>
        <v>12</v>
      </c>
    </row>
    <row r="871" ht="15.75" customHeight="1">
      <c r="A871" s="6">
        <v>10573.0</v>
      </c>
      <c r="B871" s="24">
        <v>45096.0</v>
      </c>
      <c r="C871" s="24">
        <v>45124.0</v>
      </c>
      <c r="D871" s="24">
        <v>45097.0</v>
      </c>
      <c r="E871" s="24">
        <v>45109.0</v>
      </c>
      <c r="F871" s="6">
        <v>34.0</v>
      </c>
      <c r="G871" s="9" t="str">
        <f>VLOOKUP(operations[productID],products[],2,FALSE)</f>
        <v>Sasquatch Ale</v>
      </c>
      <c r="H871" s="9" t="str">
        <f>IF(VLOOKUP(operations[productID],products[],7,FALSE)=1,"Discontinued","Current")</f>
        <v>Current</v>
      </c>
      <c r="I871" s="6">
        <f>VLOOKUP(operations[productID],products[],4,FALSE)</f>
        <v>111</v>
      </c>
      <c r="J871" s="6">
        <f>VLOOKUP(operations[productID],products[],5,FALSE)</f>
        <v>0</v>
      </c>
      <c r="K871" s="6">
        <f>VLOOKUP(operations[productID],products[],6,FALSE)</f>
        <v>15</v>
      </c>
      <c r="L871" s="10">
        <f t="array" ref="L871">INDEX('1 orders'!I871:I2156, MATCH(1, ('1 orders'!A871:A2156=A871)*('1 orders'!G871:G2156=F871), 0))
</f>
        <v>40</v>
      </c>
      <c r="M871" s="10">
        <f>IFERROR(__xludf.DUMMYFUNCTION("COUNTUNIQUEIFS($A$2:$A871,$F$2:$F871,F871)"),9.0)</f>
        <v>9</v>
      </c>
      <c r="N871" s="10">
        <f t="shared" si="1"/>
        <v>24</v>
      </c>
      <c r="O871" s="26">
        <f>IF(operations[sinceLastOrder]=0,0,operations[orderQuantity] / operations[sinceLastOrder])</f>
        <v>1.666666667</v>
      </c>
      <c r="P871" s="9">
        <v>84.84</v>
      </c>
      <c r="Q871" s="7" t="s">
        <v>13</v>
      </c>
      <c r="R871" s="10">
        <f>operations[arrivedDate]-operations[shippedDate]</f>
        <v>12</v>
      </c>
    </row>
    <row r="872" ht="15.75" customHeight="1">
      <c r="A872" s="6">
        <v>10573.0</v>
      </c>
      <c r="B872" s="24">
        <v>45096.0</v>
      </c>
      <c r="C872" s="24">
        <v>45124.0</v>
      </c>
      <c r="D872" s="24">
        <v>45097.0</v>
      </c>
      <c r="E872" s="24">
        <v>45109.0</v>
      </c>
      <c r="F872" s="6">
        <v>53.0</v>
      </c>
      <c r="G872" s="9" t="str">
        <f>VLOOKUP(operations[productID],products[],2,FALSE)</f>
        <v>Perth Pasties</v>
      </c>
      <c r="H872" s="9" t="str">
        <f>IF(VLOOKUP(operations[productID],products[],7,FALSE)=1,"Discontinued","Current")</f>
        <v>Discontinued</v>
      </c>
      <c r="I872" s="6">
        <f>VLOOKUP(operations[productID],products[],4,FALSE)</f>
        <v>0</v>
      </c>
      <c r="J872" s="6">
        <f>VLOOKUP(operations[productID],products[],5,FALSE)</f>
        <v>0</v>
      </c>
      <c r="K872" s="6">
        <f>VLOOKUP(operations[productID],products[],6,FALSE)</f>
        <v>0</v>
      </c>
      <c r="L872" s="10">
        <f t="array" ref="L872">INDEX('1 orders'!I872:I2156, MATCH(1, ('1 orders'!A872:A2156=A872)*('1 orders'!G872:G2156=F872), 0))
</f>
        <v>25</v>
      </c>
      <c r="M872" s="10">
        <f>IFERROR(__xludf.DUMMYFUNCTION("COUNTUNIQUEIFS($A$2:$A872,$F$2:$F872,F872)"),17.0)</f>
        <v>17</v>
      </c>
      <c r="N872" s="10">
        <f t="shared" si="1"/>
        <v>15</v>
      </c>
      <c r="O872" s="26">
        <f>IF(operations[sinceLastOrder]=0,0,operations[orderQuantity] / operations[sinceLastOrder])</f>
        <v>1.666666667</v>
      </c>
      <c r="P872" s="9">
        <v>84.84</v>
      </c>
      <c r="Q872" s="7" t="s">
        <v>13</v>
      </c>
      <c r="R872" s="10">
        <f>operations[arrivedDate]-operations[shippedDate]</f>
        <v>12</v>
      </c>
    </row>
    <row r="873" ht="15.75" customHeight="1">
      <c r="A873" s="6">
        <v>10574.0</v>
      </c>
      <c r="B873" s="24">
        <v>45096.0</v>
      </c>
      <c r="C873" s="24">
        <v>45124.0</v>
      </c>
      <c r="D873" s="24">
        <v>45107.0</v>
      </c>
      <c r="E873" s="24">
        <v>45126.0</v>
      </c>
      <c r="F873" s="6">
        <v>33.0</v>
      </c>
      <c r="G873" s="9" t="str">
        <f>VLOOKUP(operations[productID],products[],2,FALSE)</f>
        <v>Geitost</v>
      </c>
      <c r="H873" s="9" t="str">
        <f>IF(VLOOKUP(operations[productID],products[],7,FALSE)=1,"Discontinued","Current")</f>
        <v>Current</v>
      </c>
      <c r="I873" s="6">
        <f>VLOOKUP(operations[productID],products[],4,FALSE)</f>
        <v>112</v>
      </c>
      <c r="J873" s="6">
        <f>VLOOKUP(operations[productID],products[],5,FALSE)</f>
        <v>0</v>
      </c>
      <c r="K873" s="6">
        <f>VLOOKUP(operations[productID],products[],6,FALSE)</f>
        <v>20</v>
      </c>
      <c r="L873" s="10">
        <f t="array" ref="L873">INDEX('1 orders'!I873:I2156, MATCH(1, ('1 orders'!A873:A2156=A873)*('1 orders'!G873:G2156=F873), 0))
</f>
        <v>14</v>
      </c>
      <c r="M873" s="10">
        <f>IFERROR(__xludf.DUMMYFUNCTION("COUNTUNIQUEIFS($A$2:$A873,$F$2:$F873,F873)"),17.0)</f>
        <v>17</v>
      </c>
      <c r="N873" s="10">
        <f t="shared" si="1"/>
        <v>10</v>
      </c>
      <c r="O873" s="26">
        <f>IF(operations[sinceLastOrder]=0,0,operations[orderQuantity] / operations[sinceLastOrder])</f>
        <v>1.4</v>
      </c>
      <c r="P873" s="9">
        <v>37.6</v>
      </c>
      <c r="Q873" s="7" t="s">
        <v>17</v>
      </c>
      <c r="R873" s="10">
        <f>operations[arrivedDate]-operations[shippedDate]</f>
        <v>19</v>
      </c>
    </row>
    <row r="874" ht="15.75" customHeight="1">
      <c r="A874" s="6">
        <v>10574.0</v>
      </c>
      <c r="B874" s="24">
        <v>45096.0</v>
      </c>
      <c r="C874" s="24">
        <v>45124.0</v>
      </c>
      <c r="D874" s="24">
        <v>45107.0</v>
      </c>
      <c r="E874" s="24">
        <v>45126.0</v>
      </c>
      <c r="F874" s="6">
        <v>40.0</v>
      </c>
      <c r="G874" s="9" t="str">
        <f>VLOOKUP(operations[productID],products[],2,FALSE)</f>
        <v>Boston Crab Meat</v>
      </c>
      <c r="H874" s="9" t="str">
        <f>IF(VLOOKUP(operations[productID],products[],7,FALSE)=1,"Discontinued","Current")</f>
        <v>Current</v>
      </c>
      <c r="I874" s="6">
        <f>VLOOKUP(operations[productID],products[],4,FALSE)</f>
        <v>123</v>
      </c>
      <c r="J874" s="6">
        <f>VLOOKUP(operations[productID],products[],5,FALSE)</f>
        <v>0</v>
      </c>
      <c r="K874" s="6">
        <f>VLOOKUP(operations[productID],products[],6,FALSE)</f>
        <v>30</v>
      </c>
      <c r="L874" s="10">
        <f t="array" ref="L874">INDEX('1 orders'!I874:I2156, MATCH(1, ('1 orders'!A874:A2156=A874)*('1 orders'!G874:G2156=F874), 0))
</f>
        <v>2</v>
      </c>
      <c r="M874" s="10">
        <f>IFERROR(__xludf.DUMMYFUNCTION("COUNTUNIQUEIFS($A$2:$A874,$F$2:$F874,F874)"),20.0)</f>
        <v>20</v>
      </c>
      <c r="N874" s="10">
        <f t="shared" si="1"/>
        <v>1</v>
      </c>
      <c r="O874" s="26">
        <f>IF(operations[sinceLastOrder]=0,0,operations[orderQuantity] / operations[sinceLastOrder])</f>
        <v>2</v>
      </c>
      <c r="P874" s="9">
        <v>37.6</v>
      </c>
      <c r="Q874" s="7" t="s">
        <v>17</v>
      </c>
      <c r="R874" s="10">
        <f>operations[arrivedDate]-operations[shippedDate]</f>
        <v>19</v>
      </c>
    </row>
    <row r="875" ht="15.75" customHeight="1">
      <c r="A875" s="6">
        <v>10574.0</v>
      </c>
      <c r="B875" s="24">
        <v>45096.0</v>
      </c>
      <c r="C875" s="24">
        <v>45124.0</v>
      </c>
      <c r="D875" s="24">
        <v>45107.0</v>
      </c>
      <c r="E875" s="24">
        <v>45126.0</v>
      </c>
      <c r="F875" s="6">
        <v>62.0</v>
      </c>
      <c r="G875" s="9" t="str">
        <f>VLOOKUP(operations[productID],products[],2,FALSE)</f>
        <v>Tarte au sucre</v>
      </c>
      <c r="H875" s="9" t="str">
        <f>IF(VLOOKUP(operations[productID],products[],7,FALSE)=1,"Discontinued","Current")</f>
        <v>Current</v>
      </c>
      <c r="I875" s="6">
        <f>VLOOKUP(operations[productID],products[],4,FALSE)</f>
        <v>17</v>
      </c>
      <c r="J875" s="6">
        <f>VLOOKUP(operations[productID],products[],5,FALSE)</f>
        <v>0</v>
      </c>
      <c r="K875" s="6">
        <f>VLOOKUP(operations[productID],products[],6,FALSE)</f>
        <v>0</v>
      </c>
      <c r="L875" s="10">
        <f t="array" ref="L875">INDEX('1 orders'!I875:I2156, MATCH(1, ('1 orders'!A875:A2156=A875)*('1 orders'!G875:G2156=F875), 0))
</f>
        <v>10</v>
      </c>
      <c r="M875" s="10">
        <f>IFERROR(__xludf.DUMMYFUNCTION("COUNTUNIQUEIFS($A$2:$A875,$F$2:$F875,F875)"),20.0)</f>
        <v>20</v>
      </c>
      <c r="N875" s="10">
        <f t="shared" si="1"/>
        <v>10</v>
      </c>
      <c r="O875" s="26">
        <f>IF(operations[sinceLastOrder]=0,0,operations[orderQuantity] / operations[sinceLastOrder])</f>
        <v>1</v>
      </c>
      <c r="P875" s="9">
        <v>37.6</v>
      </c>
      <c r="Q875" s="7" t="s">
        <v>17</v>
      </c>
      <c r="R875" s="10">
        <f>operations[arrivedDate]-operations[shippedDate]</f>
        <v>19</v>
      </c>
    </row>
    <row r="876" ht="15.75" customHeight="1">
      <c r="A876" s="6">
        <v>10574.0</v>
      </c>
      <c r="B876" s="24">
        <v>45096.0</v>
      </c>
      <c r="C876" s="24">
        <v>45124.0</v>
      </c>
      <c r="D876" s="24">
        <v>45107.0</v>
      </c>
      <c r="E876" s="24">
        <v>45126.0</v>
      </c>
      <c r="F876" s="6">
        <v>64.0</v>
      </c>
      <c r="G876" s="9" t="str">
        <f>VLOOKUP(operations[productID],products[],2,FALSE)</f>
        <v>Lukas' leckere Sauerteigweggla</v>
      </c>
      <c r="H876" s="9" t="str">
        <f>IF(VLOOKUP(operations[productID],products[],7,FALSE)=1,"Discontinued","Current")</f>
        <v>Current</v>
      </c>
      <c r="I876" s="6">
        <f>VLOOKUP(operations[productID],products[],4,FALSE)</f>
        <v>22</v>
      </c>
      <c r="J876" s="6">
        <f>VLOOKUP(operations[productID],products[],5,FALSE)</f>
        <v>80</v>
      </c>
      <c r="K876" s="6">
        <f>VLOOKUP(operations[productID],products[],6,FALSE)</f>
        <v>30</v>
      </c>
      <c r="L876" s="10">
        <f t="array" ref="L876">INDEX('1 orders'!I876:I2156, MATCH(1, ('1 orders'!A876:A2156=A876)*('1 orders'!G876:G2156=F876), 0))
</f>
        <v>6</v>
      </c>
      <c r="M876" s="10">
        <f>IFERROR(__xludf.DUMMYFUNCTION("COUNTUNIQUEIFS($A$2:$A876,$F$2:$F876,F876)"),13.0)</f>
        <v>13</v>
      </c>
      <c r="N876" s="10">
        <f t="shared" si="1"/>
        <v>8</v>
      </c>
      <c r="O876" s="26">
        <f>IF(operations[sinceLastOrder]=0,0,operations[orderQuantity] / operations[sinceLastOrder])</f>
        <v>0.75</v>
      </c>
      <c r="P876" s="9">
        <v>37.6</v>
      </c>
      <c r="Q876" s="7" t="s">
        <v>17</v>
      </c>
      <c r="R876" s="10">
        <f>operations[arrivedDate]-operations[shippedDate]</f>
        <v>19</v>
      </c>
    </row>
    <row r="877" ht="15.75" customHeight="1">
      <c r="A877" s="6">
        <v>10575.0</v>
      </c>
      <c r="B877" s="24">
        <v>45097.0</v>
      </c>
      <c r="C877" s="24">
        <v>45111.0</v>
      </c>
      <c r="D877" s="24">
        <v>45107.0</v>
      </c>
      <c r="E877" s="24">
        <v>45109.0</v>
      </c>
      <c r="F877" s="6">
        <v>59.0</v>
      </c>
      <c r="G877" s="9" t="str">
        <f>VLOOKUP(operations[productID],products[],2,FALSE)</f>
        <v>Raclette Courdavault</v>
      </c>
      <c r="H877" s="9" t="str">
        <f>IF(VLOOKUP(operations[productID],products[],7,FALSE)=1,"Discontinued","Current")</f>
        <v>Current</v>
      </c>
      <c r="I877" s="6">
        <f>VLOOKUP(operations[productID],products[],4,FALSE)</f>
        <v>79</v>
      </c>
      <c r="J877" s="6">
        <f>VLOOKUP(operations[productID],products[],5,FALSE)</f>
        <v>0</v>
      </c>
      <c r="K877" s="6">
        <f>VLOOKUP(operations[productID],products[],6,FALSE)</f>
        <v>0</v>
      </c>
      <c r="L877" s="10">
        <f t="array" ref="L877">INDEX('1 orders'!I877:I2156, MATCH(1, ('1 orders'!A877:A2156=A877)*('1 orders'!G877:G2156=F877), 0))
</f>
        <v>12</v>
      </c>
      <c r="M877" s="10">
        <f>IFERROR(__xludf.DUMMYFUNCTION("COUNTUNIQUEIFS($A$2:$A877,$F$2:$F877,F877)"),24.0)</f>
        <v>24</v>
      </c>
      <c r="N877" s="10">
        <f t="shared" si="1"/>
        <v>8</v>
      </c>
      <c r="O877" s="26">
        <f>IF(operations[sinceLastOrder]=0,0,operations[orderQuantity] / operations[sinceLastOrder])</f>
        <v>1.5</v>
      </c>
      <c r="P877" s="9">
        <v>127.34</v>
      </c>
      <c r="Q877" s="7" t="s">
        <v>15</v>
      </c>
      <c r="R877" s="10">
        <f>operations[arrivedDate]-operations[shippedDate]</f>
        <v>2</v>
      </c>
    </row>
    <row r="878" ht="15.75" customHeight="1">
      <c r="A878" s="6">
        <v>10575.0</v>
      </c>
      <c r="B878" s="24">
        <v>45097.0</v>
      </c>
      <c r="C878" s="24">
        <v>45111.0</v>
      </c>
      <c r="D878" s="24">
        <v>45107.0</v>
      </c>
      <c r="E878" s="24">
        <v>45109.0</v>
      </c>
      <c r="F878" s="6">
        <v>63.0</v>
      </c>
      <c r="G878" s="9" t="str">
        <f>VLOOKUP(operations[productID],products[],2,FALSE)</f>
        <v>Vegie-spread</v>
      </c>
      <c r="H878" s="9" t="str">
        <f>IF(VLOOKUP(operations[productID],products[],7,FALSE)=1,"Discontinued","Current")</f>
        <v>Current</v>
      </c>
      <c r="I878" s="6">
        <f>VLOOKUP(operations[productID],products[],4,FALSE)</f>
        <v>24</v>
      </c>
      <c r="J878" s="6">
        <f>VLOOKUP(operations[productID],products[],5,FALSE)</f>
        <v>0</v>
      </c>
      <c r="K878" s="6">
        <f>VLOOKUP(operations[productID],products[],6,FALSE)</f>
        <v>5</v>
      </c>
      <c r="L878" s="10">
        <f t="array" ref="L878">INDEX('1 orders'!I878:I2156, MATCH(1, ('1 orders'!A878:A2156=A878)*('1 orders'!G878:G2156=F878), 0))
</f>
        <v>6</v>
      </c>
      <c r="M878" s="10">
        <f>IFERROR(__xludf.DUMMYFUNCTION("COUNTUNIQUEIFS($A$2:$A878,$F$2:$F878,F878)"),7.0)</f>
        <v>7</v>
      </c>
      <c r="N878" s="10">
        <f t="shared" si="1"/>
        <v>142</v>
      </c>
      <c r="O878" s="26">
        <f>IF(operations[sinceLastOrder]=0,0,operations[orderQuantity] / operations[sinceLastOrder])</f>
        <v>0.04225352113</v>
      </c>
      <c r="P878" s="9">
        <v>127.34</v>
      </c>
      <c r="Q878" s="7" t="s">
        <v>15</v>
      </c>
      <c r="R878" s="10">
        <f>operations[arrivedDate]-operations[shippedDate]</f>
        <v>2</v>
      </c>
    </row>
    <row r="879" ht="15.75" customHeight="1">
      <c r="A879" s="6">
        <v>10575.0</v>
      </c>
      <c r="B879" s="24">
        <v>45097.0</v>
      </c>
      <c r="C879" s="24">
        <v>45111.0</v>
      </c>
      <c r="D879" s="24">
        <v>45107.0</v>
      </c>
      <c r="E879" s="24">
        <v>45109.0</v>
      </c>
      <c r="F879" s="6">
        <v>72.0</v>
      </c>
      <c r="G879" s="9" t="str">
        <f>VLOOKUP(operations[productID],products[],2,FALSE)</f>
        <v>Mozzarella di Giovanni</v>
      </c>
      <c r="H879" s="9" t="str">
        <f>IF(VLOOKUP(operations[productID],products[],7,FALSE)=1,"Discontinued","Current")</f>
        <v>Current</v>
      </c>
      <c r="I879" s="6">
        <f>VLOOKUP(operations[productID],products[],4,FALSE)</f>
        <v>14</v>
      </c>
      <c r="J879" s="6">
        <f>VLOOKUP(operations[productID],products[],5,FALSE)</f>
        <v>0</v>
      </c>
      <c r="K879" s="6">
        <f>VLOOKUP(operations[productID],products[],6,FALSE)</f>
        <v>0</v>
      </c>
      <c r="L879" s="10">
        <f t="array" ref="L879">INDEX('1 orders'!I879:I2156, MATCH(1, ('1 orders'!A879:A2156=A879)*('1 orders'!G879:G2156=F879), 0))
</f>
        <v>30</v>
      </c>
      <c r="M879" s="10">
        <f>IFERROR(__xludf.DUMMYFUNCTION("COUNTUNIQUEIFS($A$2:$A879,$F$2:$F879,F879)"),22.0)</f>
        <v>22</v>
      </c>
      <c r="N879" s="10">
        <f t="shared" si="1"/>
        <v>17</v>
      </c>
      <c r="O879" s="26">
        <f>IF(operations[sinceLastOrder]=0,0,operations[orderQuantity] / operations[sinceLastOrder])</f>
        <v>1.764705882</v>
      </c>
      <c r="P879" s="9">
        <v>127.34</v>
      </c>
      <c r="Q879" s="7" t="s">
        <v>15</v>
      </c>
      <c r="R879" s="10">
        <f>operations[arrivedDate]-operations[shippedDate]</f>
        <v>2</v>
      </c>
    </row>
    <row r="880" ht="15.75" customHeight="1">
      <c r="A880" s="6">
        <v>10575.0</v>
      </c>
      <c r="B880" s="24">
        <v>45097.0</v>
      </c>
      <c r="C880" s="24">
        <v>45111.0</v>
      </c>
      <c r="D880" s="24">
        <v>45107.0</v>
      </c>
      <c r="E880" s="24">
        <v>45109.0</v>
      </c>
      <c r="F880" s="6">
        <v>76.0</v>
      </c>
      <c r="G880" s="9" t="str">
        <f>VLOOKUP(operations[productID],products[],2,FALSE)</f>
        <v>Lakkalikööri</v>
      </c>
      <c r="H880" s="9" t="str">
        <f>IF(VLOOKUP(operations[productID],products[],7,FALSE)=1,"Discontinued","Current")</f>
        <v>Current</v>
      </c>
      <c r="I880" s="6">
        <f>VLOOKUP(operations[productID],products[],4,FALSE)</f>
        <v>57</v>
      </c>
      <c r="J880" s="6">
        <f>VLOOKUP(operations[productID],products[],5,FALSE)</f>
        <v>0</v>
      </c>
      <c r="K880" s="6">
        <f>VLOOKUP(operations[productID],products[],6,FALSE)</f>
        <v>20</v>
      </c>
      <c r="L880" s="10">
        <f t="array" ref="L880">INDEX('1 orders'!I880:I2156, MATCH(1, ('1 orders'!A880:A2156=A880)*('1 orders'!G880:G2156=F880), 0))
</f>
        <v>10</v>
      </c>
      <c r="M880" s="10">
        <f>IFERROR(__xludf.DUMMYFUNCTION("COUNTUNIQUEIFS($A$2:$A880,$F$2:$F880,F880)"),15.0)</f>
        <v>15</v>
      </c>
      <c r="N880" s="10">
        <f t="shared" si="1"/>
        <v>4</v>
      </c>
      <c r="O880" s="26">
        <f>IF(operations[sinceLastOrder]=0,0,operations[orderQuantity] / operations[sinceLastOrder])</f>
        <v>2.5</v>
      </c>
      <c r="P880" s="9">
        <v>127.34</v>
      </c>
      <c r="Q880" s="7" t="s">
        <v>15</v>
      </c>
      <c r="R880" s="10">
        <f>operations[arrivedDate]-operations[shippedDate]</f>
        <v>2</v>
      </c>
    </row>
    <row r="881" ht="15.75" customHeight="1">
      <c r="A881" s="6">
        <v>10576.0</v>
      </c>
      <c r="B881" s="24">
        <v>45100.0</v>
      </c>
      <c r="C881" s="24">
        <v>45114.0</v>
      </c>
      <c r="D881" s="24">
        <v>45107.0</v>
      </c>
      <c r="E881" s="24">
        <v>45120.0</v>
      </c>
      <c r="F881" s="6">
        <v>1.0</v>
      </c>
      <c r="G881" s="9" t="str">
        <f>VLOOKUP(operations[productID],products[],2,FALSE)</f>
        <v>Chai</v>
      </c>
      <c r="H881" s="9" t="str">
        <f>IF(VLOOKUP(operations[productID],products[],7,FALSE)=1,"Discontinued","Current")</f>
        <v>Current</v>
      </c>
      <c r="I881" s="6">
        <f>VLOOKUP(operations[productID],products[],4,FALSE)</f>
        <v>39</v>
      </c>
      <c r="J881" s="6">
        <f>VLOOKUP(operations[productID],products[],5,FALSE)</f>
        <v>0</v>
      </c>
      <c r="K881" s="6">
        <f>VLOOKUP(operations[productID],products[],6,FALSE)</f>
        <v>10</v>
      </c>
      <c r="L881" s="10">
        <f t="array" ref="L881">INDEX('1 orders'!I881:I2156, MATCH(1, ('1 orders'!A881:A2156=A881)*('1 orders'!G881:G2156=F881), 0))
</f>
        <v>10</v>
      </c>
      <c r="M881" s="10">
        <f>IFERROR(__xludf.DUMMYFUNCTION("COUNTUNIQUEIFS($A$2:$A881,$F$2:$F881,F881)"),12.0)</f>
        <v>12</v>
      </c>
      <c r="N881" s="10">
        <f t="shared" si="1"/>
        <v>49</v>
      </c>
      <c r="O881" s="26">
        <f>IF(operations[sinceLastOrder]=0,0,operations[orderQuantity] / operations[sinceLastOrder])</f>
        <v>0.2040816327</v>
      </c>
      <c r="P881" s="9">
        <v>18.56</v>
      </c>
      <c r="Q881" s="7" t="s">
        <v>13</v>
      </c>
      <c r="R881" s="10">
        <f>operations[arrivedDate]-operations[shippedDate]</f>
        <v>13</v>
      </c>
    </row>
    <row r="882" ht="15.75" customHeight="1">
      <c r="A882" s="6">
        <v>10576.0</v>
      </c>
      <c r="B882" s="24">
        <v>45100.0</v>
      </c>
      <c r="C882" s="24">
        <v>45114.0</v>
      </c>
      <c r="D882" s="24">
        <v>45107.0</v>
      </c>
      <c r="E882" s="24">
        <v>45120.0</v>
      </c>
      <c r="F882" s="6">
        <v>31.0</v>
      </c>
      <c r="G882" s="9" t="str">
        <f>VLOOKUP(operations[productID],products[],2,FALSE)</f>
        <v>Gorgonzola Telino</v>
      </c>
      <c r="H882" s="9" t="str">
        <f>IF(VLOOKUP(operations[productID],products[],7,FALSE)=1,"Discontinued","Current")</f>
        <v>Current</v>
      </c>
      <c r="I882" s="6">
        <f>VLOOKUP(operations[productID],products[],4,FALSE)</f>
        <v>0</v>
      </c>
      <c r="J882" s="6">
        <f>VLOOKUP(operations[productID],products[],5,FALSE)</f>
        <v>70</v>
      </c>
      <c r="K882" s="6">
        <f>VLOOKUP(operations[productID],products[],6,FALSE)</f>
        <v>20</v>
      </c>
      <c r="L882" s="10">
        <f t="array" ref="L882">INDEX('1 orders'!I882:I2156, MATCH(1, ('1 orders'!A882:A2156=A882)*('1 orders'!G882:G2156=F882), 0))
</f>
        <v>20</v>
      </c>
      <c r="M882" s="10">
        <f>IFERROR(__xludf.DUMMYFUNCTION("COUNTUNIQUEIFS($A$2:$A882,$F$2:$F882,F882)"),25.0)</f>
        <v>25</v>
      </c>
      <c r="N882" s="10">
        <f t="shared" si="1"/>
        <v>7</v>
      </c>
      <c r="O882" s="26">
        <f>IF(operations[sinceLastOrder]=0,0,operations[orderQuantity] / operations[sinceLastOrder])</f>
        <v>2.857142857</v>
      </c>
      <c r="P882" s="9">
        <v>18.56</v>
      </c>
      <c r="Q882" s="7" t="s">
        <v>13</v>
      </c>
      <c r="R882" s="10">
        <f>operations[arrivedDate]-operations[shippedDate]</f>
        <v>13</v>
      </c>
    </row>
    <row r="883" ht="15.75" customHeight="1">
      <c r="A883" s="6">
        <v>10576.0</v>
      </c>
      <c r="B883" s="24">
        <v>45100.0</v>
      </c>
      <c r="C883" s="24">
        <v>45114.0</v>
      </c>
      <c r="D883" s="24">
        <v>45107.0</v>
      </c>
      <c r="E883" s="24">
        <v>45120.0</v>
      </c>
      <c r="F883" s="6">
        <v>44.0</v>
      </c>
      <c r="G883" s="9" t="str">
        <f>VLOOKUP(operations[productID],products[],2,FALSE)</f>
        <v>Gula Malacca</v>
      </c>
      <c r="H883" s="9" t="str">
        <f>IF(VLOOKUP(operations[productID],products[],7,FALSE)=1,"Discontinued","Current")</f>
        <v>Current</v>
      </c>
      <c r="I883" s="6">
        <f>VLOOKUP(operations[productID],products[],4,FALSE)</f>
        <v>27</v>
      </c>
      <c r="J883" s="6">
        <f>VLOOKUP(operations[productID],products[],5,FALSE)</f>
        <v>0</v>
      </c>
      <c r="K883" s="6">
        <f>VLOOKUP(operations[productID],products[],6,FALSE)</f>
        <v>15</v>
      </c>
      <c r="L883" s="10">
        <f t="array" ref="L883">INDEX('1 orders'!I883:I2156, MATCH(1, ('1 orders'!A883:A2156=A883)*('1 orders'!G883:G2156=F883), 0))
</f>
        <v>21</v>
      </c>
      <c r="M883" s="10">
        <f>IFERROR(__xludf.DUMMYFUNCTION("COUNTUNIQUEIFS($A$2:$A883,$F$2:$F883,F883)"),12.0)</f>
        <v>12</v>
      </c>
      <c r="N883" s="10">
        <f t="shared" si="1"/>
        <v>17</v>
      </c>
      <c r="O883" s="26">
        <f>IF(operations[sinceLastOrder]=0,0,operations[orderQuantity] / operations[sinceLastOrder])</f>
        <v>1.235294118</v>
      </c>
      <c r="P883" s="9">
        <v>18.56</v>
      </c>
      <c r="Q883" s="7" t="s">
        <v>13</v>
      </c>
      <c r="R883" s="10">
        <f>operations[arrivedDate]-operations[shippedDate]</f>
        <v>13</v>
      </c>
    </row>
    <row r="884" ht="15.75" customHeight="1">
      <c r="A884" s="6">
        <v>10577.0</v>
      </c>
      <c r="B884" s="24">
        <v>45100.0</v>
      </c>
      <c r="C884" s="24">
        <v>45142.0</v>
      </c>
      <c r="D884" s="24">
        <v>45107.0</v>
      </c>
      <c r="E884" s="24">
        <v>45125.0</v>
      </c>
      <c r="F884" s="6">
        <v>39.0</v>
      </c>
      <c r="G884" s="9" t="str">
        <f>VLOOKUP(operations[productID],products[],2,FALSE)</f>
        <v>Chartreuse verte</v>
      </c>
      <c r="H884" s="9" t="str">
        <f>IF(VLOOKUP(operations[productID],products[],7,FALSE)=1,"Discontinued","Current")</f>
        <v>Current</v>
      </c>
      <c r="I884" s="6">
        <f>VLOOKUP(operations[productID],products[],4,FALSE)</f>
        <v>69</v>
      </c>
      <c r="J884" s="6">
        <f>VLOOKUP(operations[productID],products[],5,FALSE)</f>
        <v>0</v>
      </c>
      <c r="K884" s="6">
        <f>VLOOKUP(operations[productID],products[],6,FALSE)</f>
        <v>5</v>
      </c>
      <c r="L884" s="10">
        <f t="array" ref="L884">INDEX('1 orders'!I884:I2156, MATCH(1, ('1 orders'!A884:A2156=A884)*('1 orders'!G884:G2156=F884), 0))
</f>
        <v>10</v>
      </c>
      <c r="M884" s="10">
        <f>IFERROR(__xludf.DUMMYFUNCTION("COUNTUNIQUEIFS($A$2:$A884,$F$2:$F884,F884)"),13.0)</f>
        <v>13</v>
      </c>
      <c r="N884" s="10">
        <f t="shared" si="1"/>
        <v>68</v>
      </c>
      <c r="O884" s="26">
        <f>IF(operations[sinceLastOrder]=0,0,operations[orderQuantity] / operations[sinceLastOrder])</f>
        <v>0.1470588235</v>
      </c>
      <c r="P884" s="9">
        <v>25.41</v>
      </c>
      <c r="Q884" s="7" t="s">
        <v>17</v>
      </c>
      <c r="R884" s="10">
        <f>operations[arrivedDate]-operations[shippedDate]</f>
        <v>18</v>
      </c>
    </row>
    <row r="885" ht="15.75" customHeight="1">
      <c r="A885" s="6">
        <v>10577.0</v>
      </c>
      <c r="B885" s="24">
        <v>45100.0</v>
      </c>
      <c r="C885" s="24">
        <v>45142.0</v>
      </c>
      <c r="D885" s="24">
        <v>45107.0</v>
      </c>
      <c r="E885" s="24">
        <v>45125.0</v>
      </c>
      <c r="F885" s="6">
        <v>75.0</v>
      </c>
      <c r="G885" s="9" t="str">
        <f>VLOOKUP(operations[productID],products[],2,FALSE)</f>
        <v>Rhönbräu Klosterbier</v>
      </c>
      <c r="H885" s="9" t="str">
        <f>IF(VLOOKUP(operations[productID],products[],7,FALSE)=1,"Discontinued","Current")</f>
        <v>Current</v>
      </c>
      <c r="I885" s="6">
        <f>VLOOKUP(operations[productID],products[],4,FALSE)</f>
        <v>125</v>
      </c>
      <c r="J885" s="6">
        <f>VLOOKUP(operations[productID],products[],5,FALSE)</f>
        <v>0</v>
      </c>
      <c r="K885" s="6">
        <f>VLOOKUP(operations[productID],products[],6,FALSE)</f>
        <v>25</v>
      </c>
      <c r="L885" s="10">
        <f t="array" ref="L885">INDEX('1 orders'!I885:I2156, MATCH(1, ('1 orders'!A885:A2156=A885)*('1 orders'!G885:G2156=F885), 0))
</f>
        <v>20</v>
      </c>
      <c r="M885" s="10">
        <f>IFERROR(__xludf.DUMMYFUNCTION("COUNTUNIQUEIFS($A$2:$A885,$F$2:$F885,F885)"),17.0)</f>
        <v>17</v>
      </c>
      <c r="N885" s="10">
        <f t="shared" si="1"/>
        <v>5</v>
      </c>
      <c r="O885" s="26">
        <f>IF(operations[sinceLastOrder]=0,0,operations[orderQuantity] / operations[sinceLastOrder])</f>
        <v>4</v>
      </c>
      <c r="P885" s="9">
        <v>25.41</v>
      </c>
      <c r="Q885" s="7" t="s">
        <v>17</v>
      </c>
      <c r="R885" s="10">
        <f>operations[arrivedDate]-operations[shippedDate]</f>
        <v>18</v>
      </c>
    </row>
    <row r="886" ht="15.75" customHeight="1">
      <c r="A886" s="6">
        <v>10577.0</v>
      </c>
      <c r="B886" s="24">
        <v>45100.0</v>
      </c>
      <c r="C886" s="24">
        <v>45142.0</v>
      </c>
      <c r="D886" s="24">
        <v>45107.0</v>
      </c>
      <c r="E886" s="24">
        <v>45125.0</v>
      </c>
      <c r="F886" s="6">
        <v>77.0</v>
      </c>
      <c r="G886" s="9" t="str">
        <f>VLOOKUP(operations[productID],products[],2,FALSE)</f>
        <v>Original Frankfurter grüne Soße</v>
      </c>
      <c r="H886" s="9" t="str">
        <f>IF(VLOOKUP(operations[productID],products[],7,FALSE)=1,"Discontinued","Current")</f>
        <v>Current</v>
      </c>
      <c r="I886" s="6">
        <f>VLOOKUP(operations[productID],products[],4,FALSE)</f>
        <v>32</v>
      </c>
      <c r="J886" s="6">
        <f>VLOOKUP(operations[productID],products[],5,FALSE)</f>
        <v>0</v>
      </c>
      <c r="K886" s="6">
        <f>VLOOKUP(operations[productID],products[],6,FALSE)</f>
        <v>15</v>
      </c>
      <c r="L886" s="10">
        <f t="array" ref="L886">INDEX('1 orders'!I886:I2156, MATCH(1, ('1 orders'!A886:A2156=A886)*('1 orders'!G886:G2156=F886), 0))
</f>
        <v>18</v>
      </c>
      <c r="M886" s="10">
        <f>IFERROR(__xludf.DUMMYFUNCTION("COUNTUNIQUEIFS($A$2:$A886,$F$2:$F886,F886)"),15.0)</f>
        <v>15</v>
      </c>
      <c r="N886" s="10">
        <f t="shared" si="1"/>
        <v>24</v>
      </c>
      <c r="O886" s="26">
        <f>IF(operations[sinceLastOrder]=0,0,operations[orderQuantity] / operations[sinceLastOrder])</f>
        <v>0.75</v>
      </c>
      <c r="P886" s="9">
        <v>25.41</v>
      </c>
      <c r="Q886" s="7" t="s">
        <v>17</v>
      </c>
      <c r="R886" s="10">
        <f>operations[arrivedDate]-operations[shippedDate]</f>
        <v>18</v>
      </c>
    </row>
    <row r="887" ht="15.75" customHeight="1">
      <c r="A887" s="6">
        <v>10578.0</v>
      </c>
      <c r="B887" s="24">
        <v>45101.0</v>
      </c>
      <c r="C887" s="24">
        <v>45129.0</v>
      </c>
      <c r="D887" s="24">
        <v>45132.0</v>
      </c>
      <c r="E887" s="24">
        <v>45140.0</v>
      </c>
      <c r="F887" s="6">
        <v>35.0</v>
      </c>
      <c r="G887" s="9" t="str">
        <f>VLOOKUP(operations[productID],products[],2,FALSE)</f>
        <v>Cold Brew Nitro</v>
      </c>
      <c r="H887" s="9" t="str">
        <f>IF(VLOOKUP(operations[productID],products[],7,FALSE)=1,"Discontinued","Current")</f>
        <v>Current</v>
      </c>
      <c r="I887" s="6">
        <f>VLOOKUP(operations[productID],products[],4,FALSE)</f>
        <v>20</v>
      </c>
      <c r="J887" s="6">
        <f>VLOOKUP(operations[productID],products[],5,FALSE)</f>
        <v>0</v>
      </c>
      <c r="K887" s="6">
        <f>VLOOKUP(operations[productID],products[],6,FALSE)</f>
        <v>15</v>
      </c>
      <c r="L887" s="10">
        <f t="array" ref="L887">INDEX('1 orders'!I887:I2156, MATCH(1, ('1 orders'!A887:A2156=A887)*('1 orders'!G887:G2156=F887), 0))
</f>
        <v>20</v>
      </c>
      <c r="M887" s="10">
        <f>IFERROR(__xludf.DUMMYFUNCTION("COUNTUNIQUEIFS($A$2:$A887,$F$2:$F887,F887)"),15.0)</f>
        <v>15</v>
      </c>
      <c r="N887" s="10">
        <f t="shared" si="1"/>
        <v>25</v>
      </c>
      <c r="O887" s="26">
        <f>IF(operations[sinceLastOrder]=0,0,operations[orderQuantity] / operations[sinceLastOrder])</f>
        <v>0.8</v>
      </c>
      <c r="P887" s="9">
        <v>29.6</v>
      </c>
      <c r="Q887" s="7" t="s">
        <v>13</v>
      </c>
      <c r="R887" s="10">
        <f>operations[arrivedDate]-operations[shippedDate]</f>
        <v>8</v>
      </c>
    </row>
    <row r="888" ht="15.75" customHeight="1">
      <c r="A888" s="6">
        <v>10578.0</v>
      </c>
      <c r="B888" s="24">
        <v>45101.0</v>
      </c>
      <c r="C888" s="24">
        <v>45129.0</v>
      </c>
      <c r="D888" s="24">
        <v>45132.0</v>
      </c>
      <c r="E888" s="24">
        <v>45140.0</v>
      </c>
      <c r="F888" s="6">
        <v>57.0</v>
      </c>
      <c r="G888" s="9" t="str">
        <f>VLOOKUP(operations[productID],products[],2,FALSE)</f>
        <v>Ravioli Angelo</v>
      </c>
      <c r="H888" s="9" t="str">
        <f>IF(VLOOKUP(operations[productID],products[],7,FALSE)=1,"Discontinued","Current")</f>
        <v>Current</v>
      </c>
      <c r="I888" s="6">
        <f>VLOOKUP(operations[productID],products[],4,FALSE)</f>
        <v>36</v>
      </c>
      <c r="J888" s="6">
        <f>VLOOKUP(operations[productID],products[],5,FALSE)</f>
        <v>0</v>
      </c>
      <c r="K888" s="6">
        <f>VLOOKUP(operations[productID],products[],6,FALSE)</f>
        <v>20</v>
      </c>
      <c r="L888" s="10">
        <f t="array" ref="L888">INDEX('1 orders'!I888:I2156, MATCH(1, ('1 orders'!A888:A2156=A888)*('1 orders'!G888:G2156=F888), 0))
</f>
        <v>6</v>
      </c>
      <c r="M888" s="10">
        <f>IFERROR(__xludf.DUMMYFUNCTION("COUNTUNIQUEIFS($A$2:$A888,$F$2:$F888,F888)"),10.0)</f>
        <v>10</v>
      </c>
      <c r="N888" s="10">
        <f t="shared" si="1"/>
        <v>42</v>
      </c>
      <c r="O888" s="26">
        <f>IF(operations[sinceLastOrder]=0,0,operations[orderQuantity] / operations[sinceLastOrder])</f>
        <v>0.1428571429</v>
      </c>
      <c r="P888" s="9">
        <v>29.6</v>
      </c>
      <c r="Q888" s="7" t="s">
        <v>13</v>
      </c>
      <c r="R888" s="10">
        <f>operations[arrivedDate]-operations[shippedDate]</f>
        <v>8</v>
      </c>
    </row>
    <row r="889" ht="15.75" customHeight="1">
      <c r="A889" s="6">
        <v>10579.0</v>
      </c>
      <c r="B889" s="24">
        <v>45102.0</v>
      </c>
      <c r="C889" s="24">
        <v>45130.0</v>
      </c>
      <c r="D889" s="24">
        <v>45111.0</v>
      </c>
      <c r="E889" s="24">
        <v>45130.0</v>
      </c>
      <c r="F889" s="6">
        <v>15.0</v>
      </c>
      <c r="G889" s="9" t="str">
        <f>VLOOKUP(operations[productID],products[],2,FALSE)</f>
        <v>Genen Shouyu</v>
      </c>
      <c r="H889" s="9" t="str">
        <f>IF(VLOOKUP(operations[productID],products[],7,FALSE)=1,"Discontinued","Current")</f>
        <v>Current</v>
      </c>
      <c r="I889" s="6">
        <f>VLOOKUP(operations[productID],products[],4,FALSE)</f>
        <v>39</v>
      </c>
      <c r="J889" s="6">
        <f>VLOOKUP(operations[productID],products[],5,FALSE)</f>
        <v>0</v>
      </c>
      <c r="K889" s="6">
        <f>VLOOKUP(operations[productID],products[],6,FALSE)</f>
        <v>5</v>
      </c>
      <c r="L889" s="10">
        <f t="array" ref="L889">INDEX('1 orders'!I889:I2156, MATCH(1, ('1 orders'!A889:A2156=A889)*('1 orders'!G889:G2156=F889), 0))
</f>
        <v>10</v>
      </c>
      <c r="M889" s="10">
        <f>IFERROR(__xludf.DUMMYFUNCTION("COUNTUNIQUEIFS($A$2:$A889,$F$2:$F889,F889)"),4.0)</f>
        <v>4</v>
      </c>
      <c r="N889" s="10">
        <f t="shared" si="1"/>
        <v>77</v>
      </c>
      <c r="O889" s="26">
        <f>IF(operations[sinceLastOrder]=0,0,operations[orderQuantity] / operations[sinceLastOrder])</f>
        <v>0.1298701299</v>
      </c>
      <c r="P889" s="9">
        <v>13.73</v>
      </c>
      <c r="Q889" s="7" t="s">
        <v>17</v>
      </c>
      <c r="R889" s="10">
        <f>operations[arrivedDate]-operations[shippedDate]</f>
        <v>19</v>
      </c>
    </row>
    <row r="890" ht="15.75" customHeight="1">
      <c r="A890" s="6">
        <v>10579.0</v>
      </c>
      <c r="B890" s="24">
        <v>45102.0</v>
      </c>
      <c r="C890" s="24">
        <v>45130.0</v>
      </c>
      <c r="D890" s="24">
        <v>45111.0</v>
      </c>
      <c r="E890" s="24">
        <v>45130.0</v>
      </c>
      <c r="F890" s="6">
        <v>75.0</v>
      </c>
      <c r="G890" s="9" t="str">
        <f>VLOOKUP(operations[productID],products[],2,FALSE)</f>
        <v>Rhönbräu Klosterbier</v>
      </c>
      <c r="H890" s="9" t="str">
        <f>IF(VLOOKUP(operations[productID],products[],7,FALSE)=1,"Discontinued","Current")</f>
        <v>Current</v>
      </c>
      <c r="I890" s="6">
        <f>VLOOKUP(operations[productID],products[],4,FALSE)</f>
        <v>125</v>
      </c>
      <c r="J890" s="6">
        <f>VLOOKUP(operations[productID],products[],5,FALSE)</f>
        <v>0</v>
      </c>
      <c r="K890" s="6">
        <f>VLOOKUP(operations[productID],products[],6,FALSE)</f>
        <v>25</v>
      </c>
      <c r="L890" s="10">
        <f t="array" ref="L890">INDEX('1 orders'!I890:I2156, MATCH(1, ('1 orders'!A890:A2156=A890)*('1 orders'!G890:G2156=F890), 0))
</f>
        <v>21</v>
      </c>
      <c r="M890" s="10">
        <f>IFERROR(__xludf.DUMMYFUNCTION("COUNTUNIQUEIFS($A$2:$A890,$F$2:$F890,F890)"),18.0)</f>
        <v>18</v>
      </c>
      <c r="N890" s="10">
        <f t="shared" si="1"/>
        <v>2</v>
      </c>
      <c r="O890" s="26">
        <f>IF(operations[sinceLastOrder]=0,0,operations[orderQuantity] / operations[sinceLastOrder])</f>
        <v>10.5</v>
      </c>
      <c r="P890" s="9">
        <v>13.73</v>
      </c>
      <c r="Q890" s="7" t="s">
        <v>17</v>
      </c>
      <c r="R890" s="10">
        <f>operations[arrivedDate]-operations[shippedDate]</f>
        <v>19</v>
      </c>
    </row>
    <row r="891" ht="15.75" customHeight="1">
      <c r="A891" s="6">
        <v>10580.0</v>
      </c>
      <c r="B891" s="24">
        <v>45103.0</v>
      </c>
      <c r="C891" s="24">
        <v>45131.0</v>
      </c>
      <c r="D891" s="24">
        <v>45108.0</v>
      </c>
      <c r="E891" s="24">
        <v>45113.0</v>
      </c>
      <c r="F891" s="6">
        <v>14.0</v>
      </c>
      <c r="G891" s="9" t="str">
        <f>VLOOKUP(operations[productID],products[],2,FALSE)</f>
        <v>Tofu</v>
      </c>
      <c r="H891" s="9" t="str">
        <f>IF(VLOOKUP(operations[productID],products[],7,FALSE)=1,"Discontinued","Current")</f>
        <v>Current</v>
      </c>
      <c r="I891" s="6">
        <f>VLOOKUP(operations[productID],products[],4,FALSE)</f>
        <v>35</v>
      </c>
      <c r="J891" s="6">
        <f>VLOOKUP(operations[productID],products[],5,FALSE)</f>
        <v>0</v>
      </c>
      <c r="K891" s="6">
        <f>VLOOKUP(operations[productID],products[],6,FALSE)</f>
        <v>0</v>
      </c>
      <c r="L891" s="10">
        <f t="array" ref="L891">INDEX('1 orders'!I891:I2156, MATCH(1, ('1 orders'!A891:A2156=A891)*('1 orders'!G891:G2156=F891), 0))
</f>
        <v>15</v>
      </c>
      <c r="M891" s="10">
        <f>IFERROR(__xludf.DUMMYFUNCTION("COUNTUNIQUEIFS($A$2:$A891,$F$2:$F891,F891)"),13.0)</f>
        <v>13</v>
      </c>
      <c r="N891" s="10">
        <f t="shared" si="1"/>
        <v>9</v>
      </c>
      <c r="O891" s="26">
        <f>IF(operations[sinceLastOrder]=0,0,operations[orderQuantity] / operations[sinceLastOrder])</f>
        <v>1.666666667</v>
      </c>
      <c r="P891" s="9">
        <v>75.89</v>
      </c>
      <c r="Q891" s="7" t="s">
        <v>13</v>
      </c>
      <c r="R891" s="10">
        <f>operations[arrivedDate]-operations[shippedDate]</f>
        <v>5</v>
      </c>
    </row>
    <row r="892" ht="15.75" customHeight="1">
      <c r="A892" s="6">
        <v>10580.0</v>
      </c>
      <c r="B892" s="24">
        <v>45103.0</v>
      </c>
      <c r="C892" s="24">
        <v>45131.0</v>
      </c>
      <c r="D892" s="24">
        <v>45108.0</v>
      </c>
      <c r="E892" s="24">
        <v>45113.0</v>
      </c>
      <c r="F892" s="6">
        <v>41.0</v>
      </c>
      <c r="G892" s="9" t="str">
        <f>VLOOKUP(operations[productID],products[],2,FALSE)</f>
        <v>Jack's New England Clam Chowder</v>
      </c>
      <c r="H892" s="9" t="str">
        <f>IF(VLOOKUP(operations[productID],products[],7,FALSE)=1,"Discontinued","Current")</f>
        <v>Current</v>
      </c>
      <c r="I892" s="6">
        <f>VLOOKUP(operations[productID],products[],4,FALSE)</f>
        <v>85</v>
      </c>
      <c r="J892" s="6">
        <f>VLOOKUP(operations[productID],products[],5,FALSE)</f>
        <v>0</v>
      </c>
      <c r="K892" s="6">
        <f>VLOOKUP(operations[productID],products[],6,FALSE)</f>
        <v>10</v>
      </c>
      <c r="L892" s="10">
        <f t="array" ref="L892">INDEX('1 orders'!I892:I2156, MATCH(1, ('1 orders'!A892:A2156=A892)*('1 orders'!G892:G2156=F892), 0))
</f>
        <v>9</v>
      </c>
      <c r="M892" s="10">
        <f>IFERROR(__xludf.DUMMYFUNCTION("COUNTUNIQUEIFS($A$2:$A892,$F$2:$F892,F892)"),17.0)</f>
        <v>17</v>
      </c>
      <c r="N892" s="10">
        <f t="shared" si="1"/>
        <v>21</v>
      </c>
      <c r="O892" s="26">
        <f>IF(operations[sinceLastOrder]=0,0,operations[orderQuantity] / operations[sinceLastOrder])</f>
        <v>0.4285714286</v>
      </c>
      <c r="P892" s="9">
        <v>75.89</v>
      </c>
      <c r="Q892" s="7" t="s">
        <v>13</v>
      </c>
      <c r="R892" s="10">
        <f>operations[arrivedDate]-operations[shippedDate]</f>
        <v>5</v>
      </c>
    </row>
    <row r="893" ht="15.75" customHeight="1">
      <c r="A893" s="6">
        <v>10580.0</v>
      </c>
      <c r="B893" s="24">
        <v>45103.0</v>
      </c>
      <c r="C893" s="24">
        <v>45131.0</v>
      </c>
      <c r="D893" s="24">
        <v>45108.0</v>
      </c>
      <c r="E893" s="24">
        <v>45113.0</v>
      </c>
      <c r="F893" s="6">
        <v>65.0</v>
      </c>
      <c r="G893" s="9" t="str">
        <f>VLOOKUP(operations[productID],products[],2,FALSE)</f>
        <v>Louisiana Fiery Hot Pepper Sauce</v>
      </c>
      <c r="H893" s="9" t="str">
        <f>IF(VLOOKUP(operations[productID],products[],7,FALSE)=1,"Discontinued","Current")</f>
        <v>Current</v>
      </c>
      <c r="I893" s="6">
        <f>VLOOKUP(operations[productID],products[],4,FALSE)</f>
        <v>76</v>
      </c>
      <c r="J893" s="6">
        <f>VLOOKUP(operations[productID],products[],5,FALSE)</f>
        <v>0</v>
      </c>
      <c r="K893" s="6">
        <f>VLOOKUP(operations[productID],products[],6,FALSE)</f>
        <v>0</v>
      </c>
      <c r="L893" s="10">
        <f t="array" ref="L893">INDEX('1 orders'!I893:I2156, MATCH(1, ('1 orders'!A893:A2156=A893)*('1 orders'!G893:G2156=F893), 0))
</f>
        <v>30</v>
      </c>
      <c r="M893" s="10">
        <f>IFERROR(__xludf.DUMMYFUNCTION("COUNTUNIQUEIFS($A$2:$A893,$F$2:$F893,F893)"),16.0)</f>
        <v>16</v>
      </c>
      <c r="N893" s="10">
        <f t="shared" si="1"/>
        <v>38</v>
      </c>
      <c r="O893" s="26">
        <f>IF(operations[sinceLastOrder]=0,0,operations[orderQuantity] / operations[sinceLastOrder])</f>
        <v>0.7894736842</v>
      </c>
      <c r="P893" s="9">
        <v>75.89</v>
      </c>
      <c r="Q893" s="7" t="s">
        <v>13</v>
      </c>
      <c r="R893" s="10">
        <f>operations[arrivedDate]-operations[shippedDate]</f>
        <v>5</v>
      </c>
    </row>
    <row r="894" ht="15.75" customHeight="1">
      <c r="A894" s="6">
        <v>10581.0</v>
      </c>
      <c r="B894" s="24">
        <v>45103.0</v>
      </c>
      <c r="C894" s="24">
        <v>45131.0</v>
      </c>
      <c r="D894" s="24">
        <v>45109.0</v>
      </c>
      <c r="E894" s="24">
        <v>45126.0</v>
      </c>
      <c r="F894" s="6">
        <v>75.0</v>
      </c>
      <c r="G894" s="9" t="str">
        <f>VLOOKUP(operations[productID],products[],2,FALSE)</f>
        <v>Rhönbräu Klosterbier</v>
      </c>
      <c r="H894" s="9" t="str">
        <f>IF(VLOOKUP(operations[productID],products[],7,FALSE)=1,"Discontinued","Current")</f>
        <v>Current</v>
      </c>
      <c r="I894" s="6">
        <f>VLOOKUP(operations[productID],products[],4,FALSE)</f>
        <v>125</v>
      </c>
      <c r="J894" s="6">
        <f>VLOOKUP(operations[productID],products[],5,FALSE)</f>
        <v>0</v>
      </c>
      <c r="K894" s="6">
        <f>VLOOKUP(operations[productID],products[],6,FALSE)</f>
        <v>25</v>
      </c>
      <c r="L894" s="10">
        <f t="array" ref="L894">INDEX('1 orders'!I894:I2156, MATCH(1, ('1 orders'!A894:A2156=A894)*('1 orders'!G894:G2156=F894), 0))
</f>
        <v>50</v>
      </c>
      <c r="M894" s="10">
        <f>IFERROR(__xludf.DUMMYFUNCTION("COUNTUNIQUEIFS($A$2:$A894,$F$2:$F894,F894)"),19.0)</f>
        <v>19</v>
      </c>
      <c r="N894" s="10">
        <f t="shared" si="1"/>
        <v>1</v>
      </c>
      <c r="O894" s="26">
        <f>IF(operations[sinceLastOrder]=0,0,operations[orderQuantity] / operations[sinceLastOrder])</f>
        <v>50</v>
      </c>
      <c r="P894" s="9">
        <v>3.01</v>
      </c>
      <c r="Q894" s="7" t="s">
        <v>15</v>
      </c>
      <c r="R894" s="10">
        <f>operations[arrivedDate]-operations[shippedDate]</f>
        <v>17</v>
      </c>
    </row>
    <row r="895" ht="15.75" customHeight="1">
      <c r="A895" s="6">
        <v>10582.0</v>
      </c>
      <c r="B895" s="24">
        <v>45104.0</v>
      </c>
      <c r="C895" s="24">
        <v>45132.0</v>
      </c>
      <c r="D895" s="24">
        <v>45121.0</v>
      </c>
      <c r="E895" s="24">
        <v>45127.0</v>
      </c>
      <c r="F895" s="6">
        <v>57.0</v>
      </c>
      <c r="G895" s="9" t="str">
        <f>VLOOKUP(operations[productID],products[],2,FALSE)</f>
        <v>Ravioli Angelo</v>
      </c>
      <c r="H895" s="9" t="str">
        <f>IF(VLOOKUP(operations[productID],products[],7,FALSE)=1,"Discontinued","Current")</f>
        <v>Current</v>
      </c>
      <c r="I895" s="6">
        <f>VLOOKUP(operations[productID],products[],4,FALSE)</f>
        <v>36</v>
      </c>
      <c r="J895" s="6">
        <f>VLOOKUP(operations[productID],products[],5,FALSE)</f>
        <v>0</v>
      </c>
      <c r="K895" s="6">
        <f>VLOOKUP(operations[productID],products[],6,FALSE)</f>
        <v>20</v>
      </c>
      <c r="L895" s="10">
        <f t="array" ref="L895">INDEX('1 orders'!I895:I2156, MATCH(1, ('1 orders'!A895:A2156=A895)*('1 orders'!G895:G2156=F895), 0))
</f>
        <v>4</v>
      </c>
      <c r="M895" s="10">
        <f>IFERROR(__xludf.DUMMYFUNCTION("COUNTUNIQUEIFS($A$2:$A895,$F$2:$F895,F895)"),11.0)</f>
        <v>11</v>
      </c>
      <c r="N895" s="10">
        <f t="shared" si="1"/>
        <v>3</v>
      </c>
      <c r="O895" s="26">
        <f>IF(operations[sinceLastOrder]=0,0,operations[orderQuantity] / operations[sinceLastOrder])</f>
        <v>1.333333333</v>
      </c>
      <c r="P895" s="9">
        <v>27.71</v>
      </c>
      <c r="Q895" s="7" t="s">
        <v>17</v>
      </c>
      <c r="R895" s="10">
        <f>operations[arrivedDate]-operations[shippedDate]</f>
        <v>6</v>
      </c>
    </row>
    <row r="896" ht="15.75" customHeight="1">
      <c r="A896" s="6">
        <v>10582.0</v>
      </c>
      <c r="B896" s="24">
        <v>45104.0</v>
      </c>
      <c r="C896" s="24">
        <v>45132.0</v>
      </c>
      <c r="D896" s="24">
        <v>45121.0</v>
      </c>
      <c r="E896" s="24">
        <v>45127.0</v>
      </c>
      <c r="F896" s="6">
        <v>76.0</v>
      </c>
      <c r="G896" s="9" t="str">
        <f>VLOOKUP(operations[productID],products[],2,FALSE)</f>
        <v>Lakkalikööri</v>
      </c>
      <c r="H896" s="9" t="str">
        <f>IF(VLOOKUP(operations[productID],products[],7,FALSE)=1,"Discontinued","Current")</f>
        <v>Current</v>
      </c>
      <c r="I896" s="6">
        <f>VLOOKUP(operations[productID],products[],4,FALSE)</f>
        <v>57</v>
      </c>
      <c r="J896" s="6">
        <f>VLOOKUP(operations[productID],products[],5,FALSE)</f>
        <v>0</v>
      </c>
      <c r="K896" s="6">
        <f>VLOOKUP(operations[productID],products[],6,FALSE)</f>
        <v>20</v>
      </c>
      <c r="L896" s="10">
        <f t="array" ref="L896">INDEX('1 orders'!I896:I2156, MATCH(1, ('1 orders'!A896:A2156=A896)*('1 orders'!G896:G2156=F896), 0))
</f>
        <v>14</v>
      </c>
      <c r="M896" s="10">
        <f>IFERROR(__xludf.DUMMYFUNCTION("COUNTUNIQUEIFS($A$2:$A896,$F$2:$F896,F896)"),16.0)</f>
        <v>16</v>
      </c>
      <c r="N896" s="10">
        <f t="shared" si="1"/>
        <v>7</v>
      </c>
      <c r="O896" s="26">
        <f>IF(operations[sinceLastOrder]=0,0,operations[orderQuantity] / operations[sinceLastOrder])</f>
        <v>2</v>
      </c>
      <c r="P896" s="9">
        <v>27.71</v>
      </c>
      <c r="Q896" s="7" t="s">
        <v>17</v>
      </c>
      <c r="R896" s="10">
        <f>operations[arrivedDate]-operations[shippedDate]</f>
        <v>6</v>
      </c>
    </row>
    <row r="897" ht="15.75" customHeight="1">
      <c r="A897" s="6">
        <v>10583.0</v>
      </c>
      <c r="B897" s="24">
        <v>45107.0</v>
      </c>
      <c r="C897" s="24">
        <v>45135.0</v>
      </c>
      <c r="D897" s="24">
        <v>45111.0</v>
      </c>
      <c r="E897" s="24">
        <v>45126.0</v>
      </c>
      <c r="F897" s="6">
        <v>29.0</v>
      </c>
      <c r="G897" s="9" t="str">
        <f>VLOOKUP(operations[productID],products[],2,FALSE)</f>
        <v>Thüringer Rostbratwurst</v>
      </c>
      <c r="H897" s="9" t="str">
        <f>IF(VLOOKUP(operations[productID],products[],7,FALSE)=1,"Discontinued","Current")</f>
        <v>Discontinued</v>
      </c>
      <c r="I897" s="6">
        <f>VLOOKUP(operations[productID],products[],4,FALSE)</f>
        <v>0</v>
      </c>
      <c r="J897" s="6">
        <f>VLOOKUP(operations[productID],products[],5,FALSE)</f>
        <v>0</v>
      </c>
      <c r="K897" s="6">
        <f>VLOOKUP(operations[productID],products[],6,FALSE)</f>
        <v>0</v>
      </c>
      <c r="L897" s="10">
        <f t="array" ref="L897">INDEX('1 orders'!I897:I2156, MATCH(1, ('1 orders'!A897:A2156=A897)*('1 orders'!G897:G2156=F897), 0))
</f>
        <v>10</v>
      </c>
      <c r="M897" s="10">
        <f>IFERROR(__xludf.DUMMYFUNCTION("COUNTUNIQUEIFS($A$2:$A897,$F$2:$F897,F897)"),12.0)</f>
        <v>12</v>
      </c>
      <c r="N897" s="10">
        <f t="shared" si="1"/>
        <v>73</v>
      </c>
      <c r="O897" s="26">
        <f>IF(operations[sinceLastOrder]=0,0,operations[orderQuantity] / operations[sinceLastOrder])</f>
        <v>0.1369863014</v>
      </c>
      <c r="P897" s="9">
        <v>7.28</v>
      </c>
      <c r="Q897" s="7" t="s">
        <v>17</v>
      </c>
      <c r="R897" s="10">
        <f>operations[arrivedDate]-operations[shippedDate]</f>
        <v>15</v>
      </c>
    </row>
    <row r="898" ht="15.75" customHeight="1">
      <c r="A898" s="6">
        <v>10583.0</v>
      </c>
      <c r="B898" s="24">
        <v>45107.0</v>
      </c>
      <c r="C898" s="24">
        <v>45135.0</v>
      </c>
      <c r="D898" s="24">
        <v>45111.0</v>
      </c>
      <c r="E898" s="24">
        <v>45126.0</v>
      </c>
      <c r="F898" s="6">
        <v>60.0</v>
      </c>
      <c r="G898" s="9" t="str">
        <f>VLOOKUP(operations[productID],products[],2,FALSE)</f>
        <v>Camembert Pierrot</v>
      </c>
      <c r="H898" s="9" t="str">
        <f>IF(VLOOKUP(operations[productID],products[],7,FALSE)=1,"Discontinued","Current")</f>
        <v>Current</v>
      </c>
      <c r="I898" s="6">
        <f>VLOOKUP(operations[productID],products[],4,FALSE)</f>
        <v>19</v>
      </c>
      <c r="J898" s="6">
        <f>VLOOKUP(operations[productID],products[],5,FALSE)</f>
        <v>0</v>
      </c>
      <c r="K898" s="6">
        <f>VLOOKUP(operations[productID],products[],6,FALSE)</f>
        <v>0</v>
      </c>
      <c r="L898" s="10">
        <f t="array" ref="L898">INDEX('1 orders'!I898:I2156, MATCH(1, ('1 orders'!A898:A2156=A898)*('1 orders'!G898:G2156=F898), 0))
</f>
        <v>24</v>
      </c>
      <c r="M898" s="10">
        <f>IFERROR(__xludf.DUMMYFUNCTION("COUNTUNIQUEIFS($A$2:$A898,$F$2:$F898,F898)"),19.0)</f>
        <v>19</v>
      </c>
      <c r="N898" s="10">
        <f t="shared" si="1"/>
        <v>47</v>
      </c>
      <c r="O898" s="26">
        <f>IF(operations[sinceLastOrder]=0,0,operations[orderQuantity] / operations[sinceLastOrder])</f>
        <v>0.5106382979</v>
      </c>
      <c r="P898" s="9">
        <v>7.28</v>
      </c>
      <c r="Q898" s="7" t="s">
        <v>17</v>
      </c>
      <c r="R898" s="10">
        <f>operations[arrivedDate]-operations[shippedDate]</f>
        <v>15</v>
      </c>
    </row>
    <row r="899" ht="15.75" customHeight="1">
      <c r="A899" s="6">
        <v>10583.0</v>
      </c>
      <c r="B899" s="24">
        <v>45107.0</v>
      </c>
      <c r="C899" s="24">
        <v>45135.0</v>
      </c>
      <c r="D899" s="24">
        <v>45111.0</v>
      </c>
      <c r="E899" s="24">
        <v>45126.0</v>
      </c>
      <c r="F899" s="6">
        <v>69.0</v>
      </c>
      <c r="G899" s="9" t="str">
        <f>VLOOKUP(operations[productID],products[],2,FALSE)</f>
        <v>Gudbrandsdalsost</v>
      </c>
      <c r="H899" s="9" t="str">
        <f>IF(VLOOKUP(operations[productID],products[],7,FALSE)=1,"Discontinued","Current")</f>
        <v>Current</v>
      </c>
      <c r="I899" s="6">
        <f>VLOOKUP(operations[productID],products[],4,FALSE)</f>
        <v>26</v>
      </c>
      <c r="J899" s="6">
        <f>VLOOKUP(operations[productID],products[],5,FALSE)</f>
        <v>0</v>
      </c>
      <c r="K899" s="6">
        <f>VLOOKUP(operations[productID],products[],6,FALSE)</f>
        <v>15</v>
      </c>
      <c r="L899" s="10">
        <f t="array" ref="L899">INDEX('1 orders'!I899:I2156, MATCH(1, ('1 orders'!A899:A2156=A899)*('1 orders'!G899:G2156=F899), 0))
</f>
        <v>10</v>
      </c>
      <c r="M899" s="10">
        <f>IFERROR(__xludf.DUMMYFUNCTION("COUNTUNIQUEIFS($A$2:$A899,$F$2:$F899,F899)"),14.0)</f>
        <v>14</v>
      </c>
      <c r="N899" s="10">
        <f t="shared" si="1"/>
        <v>32</v>
      </c>
      <c r="O899" s="26">
        <f>IF(operations[sinceLastOrder]=0,0,operations[orderQuantity] / operations[sinceLastOrder])</f>
        <v>0.3125</v>
      </c>
      <c r="P899" s="9">
        <v>7.28</v>
      </c>
      <c r="Q899" s="7" t="s">
        <v>17</v>
      </c>
      <c r="R899" s="10">
        <f>operations[arrivedDate]-operations[shippedDate]</f>
        <v>15</v>
      </c>
    </row>
    <row r="900" ht="15.75" customHeight="1">
      <c r="A900" s="6">
        <v>10584.0</v>
      </c>
      <c r="B900" s="24">
        <v>45107.0</v>
      </c>
      <c r="C900" s="24">
        <v>45135.0</v>
      </c>
      <c r="D900" s="24">
        <v>45111.0</v>
      </c>
      <c r="E900" s="24">
        <v>45116.0</v>
      </c>
      <c r="F900" s="6">
        <v>31.0</v>
      </c>
      <c r="G900" s="9" t="str">
        <f>VLOOKUP(operations[productID],products[],2,FALSE)</f>
        <v>Gorgonzola Telino</v>
      </c>
      <c r="H900" s="9" t="str">
        <f>IF(VLOOKUP(operations[productID],products[],7,FALSE)=1,"Discontinued","Current")</f>
        <v>Current</v>
      </c>
      <c r="I900" s="6">
        <f>VLOOKUP(operations[productID],products[],4,FALSE)</f>
        <v>0</v>
      </c>
      <c r="J900" s="6">
        <f>VLOOKUP(operations[productID],products[],5,FALSE)</f>
        <v>70</v>
      </c>
      <c r="K900" s="6">
        <f>VLOOKUP(operations[productID],products[],6,FALSE)</f>
        <v>20</v>
      </c>
      <c r="L900" s="10">
        <f t="array" ref="L900">INDEX('1 orders'!I900:I2156, MATCH(1, ('1 orders'!A900:A2156=A900)*('1 orders'!G900:G2156=F900), 0))
</f>
        <v>50</v>
      </c>
      <c r="M900" s="10">
        <f>IFERROR(__xludf.DUMMYFUNCTION("COUNTUNIQUEIFS($A$2:$A900,$F$2:$F900,F900)"),26.0)</f>
        <v>26</v>
      </c>
      <c r="N900" s="10">
        <f t="shared" si="1"/>
        <v>7</v>
      </c>
      <c r="O900" s="26">
        <f>IF(operations[sinceLastOrder]=0,0,operations[orderQuantity] / operations[sinceLastOrder])</f>
        <v>7.142857143</v>
      </c>
      <c r="P900" s="9">
        <v>59.14</v>
      </c>
      <c r="Q900" s="7" t="s">
        <v>15</v>
      </c>
      <c r="R900" s="10">
        <f>operations[arrivedDate]-operations[shippedDate]</f>
        <v>5</v>
      </c>
    </row>
    <row r="901" ht="15.75" customHeight="1">
      <c r="A901" s="6">
        <v>10585.0</v>
      </c>
      <c r="B901" s="24">
        <v>45108.0</v>
      </c>
      <c r="C901" s="24">
        <v>45136.0</v>
      </c>
      <c r="D901" s="24">
        <v>45117.0</v>
      </c>
      <c r="E901" s="24">
        <v>45134.0</v>
      </c>
      <c r="F901" s="6">
        <v>47.0</v>
      </c>
      <c r="G901" s="9" t="str">
        <f>VLOOKUP(operations[productID],products[],2,FALSE)</f>
        <v>Zaanse koeken</v>
      </c>
      <c r="H901" s="9" t="str">
        <f>IF(VLOOKUP(operations[productID],products[],7,FALSE)=1,"Discontinued","Current")</f>
        <v>Current</v>
      </c>
      <c r="I901" s="6">
        <f>VLOOKUP(operations[productID],products[],4,FALSE)</f>
        <v>36</v>
      </c>
      <c r="J901" s="6">
        <f>VLOOKUP(operations[productID],products[],5,FALSE)</f>
        <v>0</v>
      </c>
      <c r="K901" s="6">
        <f>VLOOKUP(operations[productID],products[],6,FALSE)</f>
        <v>0</v>
      </c>
      <c r="L901" s="10">
        <f t="array" ref="L901">INDEX('1 orders'!I901:I2156, MATCH(1, ('1 orders'!A901:A2156=A901)*('1 orders'!G901:G2156=F901), 0))
</f>
        <v>15</v>
      </c>
      <c r="M901" s="10">
        <f>IFERROR(__xludf.DUMMYFUNCTION("COUNTUNIQUEIFS($A$2:$A901,$F$2:$F901,F901)"),7.0)</f>
        <v>7</v>
      </c>
      <c r="N901" s="10">
        <f t="shared" si="1"/>
        <v>27</v>
      </c>
      <c r="O901" s="26">
        <f>IF(operations[sinceLastOrder]=0,0,operations[orderQuantity] / operations[sinceLastOrder])</f>
        <v>0.5555555556</v>
      </c>
      <c r="P901" s="9">
        <v>13.41</v>
      </c>
      <c r="Q901" s="7" t="s">
        <v>15</v>
      </c>
      <c r="R901" s="10">
        <f>operations[arrivedDate]-operations[shippedDate]</f>
        <v>17</v>
      </c>
    </row>
    <row r="902" ht="15.75" customHeight="1">
      <c r="A902" s="6">
        <v>10586.0</v>
      </c>
      <c r="B902" s="24">
        <v>45109.0</v>
      </c>
      <c r="C902" s="24">
        <v>45137.0</v>
      </c>
      <c r="D902" s="24">
        <v>45116.0</v>
      </c>
      <c r="E902" s="24">
        <v>45120.0</v>
      </c>
      <c r="F902" s="6">
        <v>52.0</v>
      </c>
      <c r="G902" s="9" t="str">
        <f>VLOOKUP(operations[productID],products[],2,FALSE)</f>
        <v>Filo Mix</v>
      </c>
      <c r="H902" s="9" t="str">
        <f>IF(VLOOKUP(operations[productID],products[],7,FALSE)=1,"Discontinued","Current")</f>
        <v>Current</v>
      </c>
      <c r="I902" s="6">
        <f>VLOOKUP(operations[productID],products[],4,FALSE)</f>
        <v>38</v>
      </c>
      <c r="J902" s="6">
        <f>VLOOKUP(operations[productID],products[],5,FALSE)</f>
        <v>0</v>
      </c>
      <c r="K902" s="6">
        <f>VLOOKUP(operations[productID],products[],6,FALSE)</f>
        <v>25</v>
      </c>
      <c r="L902" s="10">
        <f t="array" ref="L902">INDEX('1 orders'!I902:I2156, MATCH(1, ('1 orders'!A902:A2156=A902)*('1 orders'!G902:G2156=F902), 0))
</f>
        <v>4</v>
      </c>
      <c r="M902" s="10">
        <f>IFERROR(__xludf.DUMMYFUNCTION("COUNTUNIQUEIFS($A$2:$A902,$F$2:$F902,F902)"),9.0)</f>
        <v>9</v>
      </c>
      <c r="N902" s="10">
        <f t="shared" si="1"/>
        <v>22</v>
      </c>
      <c r="O902" s="26">
        <f>IF(operations[sinceLastOrder]=0,0,operations[orderQuantity] / operations[sinceLastOrder])</f>
        <v>0.1818181818</v>
      </c>
      <c r="P902" s="9">
        <v>0.48</v>
      </c>
      <c r="Q902" s="7" t="s">
        <v>15</v>
      </c>
      <c r="R902" s="10">
        <f>operations[arrivedDate]-operations[shippedDate]</f>
        <v>4</v>
      </c>
    </row>
    <row r="903" ht="15.75" customHeight="1">
      <c r="A903" s="6">
        <v>10587.0</v>
      </c>
      <c r="B903" s="24">
        <v>45109.0</v>
      </c>
      <c r="C903" s="24">
        <v>45137.0</v>
      </c>
      <c r="D903" s="24">
        <v>45116.0</v>
      </c>
      <c r="E903" s="24">
        <v>45130.0</v>
      </c>
      <c r="F903" s="6">
        <v>26.0</v>
      </c>
      <c r="G903" s="9" t="str">
        <f>VLOOKUP(operations[productID],products[],2,FALSE)</f>
        <v>NuNuCa Nuß-Nougat-Creme</v>
      </c>
      <c r="H903" s="9" t="str">
        <f>IF(VLOOKUP(operations[productID],products[],7,FALSE)=1,"Discontinued","Current")</f>
        <v>Current</v>
      </c>
      <c r="I903" s="6">
        <f>VLOOKUP(operations[productID],products[],4,FALSE)</f>
        <v>15</v>
      </c>
      <c r="J903" s="6">
        <f>VLOOKUP(operations[productID],products[],5,FALSE)</f>
        <v>0</v>
      </c>
      <c r="K903" s="6">
        <f>VLOOKUP(operations[productID],products[],6,FALSE)</f>
        <v>0</v>
      </c>
      <c r="L903" s="10">
        <f t="array" ref="L903">INDEX('1 orders'!I903:I2156, MATCH(1, ('1 orders'!A903:A2156=A903)*('1 orders'!G903:G2156=F903), 0))
</f>
        <v>6</v>
      </c>
      <c r="M903" s="10">
        <f>IFERROR(__xludf.DUMMYFUNCTION("COUNTUNIQUEIFS($A$2:$A903,$F$2:$F903,F903)"),14.0)</f>
        <v>14</v>
      </c>
      <c r="N903" s="10">
        <f t="shared" si="1"/>
        <v>44</v>
      </c>
      <c r="O903" s="26">
        <f>IF(operations[sinceLastOrder]=0,0,operations[orderQuantity] / operations[sinceLastOrder])</f>
        <v>0.1363636364</v>
      </c>
      <c r="P903" s="9">
        <v>62.52</v>
      </c>
      <c r="Q903" s="7" t="s">
        <v>15</v>
      </c>
      <c r="R903" s="10">
        <f>operations[arrivedDate]-operations[shippedDate]</f>
        <v>14</v>
      </c>
    </row>
    <row r="904" ht="15.75" customHeight="1">
      <c r="A904" s="6">
        <v>10587.0</v>
      </c>
      <c r="B904" s="24">
        <v>45109.0</v>
      </c>
      <c r="C904" s="24">
        <v>45137.0</v>
      </c>
      <c r="D904" s="24">
        <v>45116.0</v>
      </c>
      <c r="E904" s="24">
        <v>45130.0</v>
      </c>
      <c r="F904" s="6">
        <v>35.0</v>
      </c>
      <c r="G904" s="9" t="str">
        <f>VLOOKUP(operations[productID],products[],2,FALSE)</f>
        <v>Cold Brew Nitro</v>
      </c>
      <c r="H904" s="9" t="str">
        <f>IF(VLOOKUP(operations[productID],products[],7,FALSE)=1,"Discontinued","Current")</f>
        <v>Current</v>
      </c>
      <c r="I904" s="6">
        <f>VLOOKUP(operations[productID],products[],4,FALSE)</f>
        <v>20</v>
      </c>
      <c r="J904" s="6">
        <f>VLOOKUP(operations[productID],products[],5,FALSE)</f>
        <v>0</v>
      </c>
      <c r="K904" s="6">
        <f>VLOOKUP(operations[productID],products[],6,FALSE)</f>
        <v>15</v>
      </c>
      <c r="L904" s="10">
        <f t="array" ref="L904">INDEX('1 orders'!I904:I2156, MATCH(1, ('1 orders'!A904:A2156=A904)*('1 orders'!G904:G2156=F904), 0))
</f>
        <v>20</v>
      </c>
      <c r="M904" s="10">
        <f>IFERROR(__xludf.DUMMYFUNCTION("COUNTUNIQUEIFS($A$2:$A904,$F$2:$F904,F904)"),16.0)</f>
        <v>16</v>
      </c>
      <c r="N904" s="10">
        <f t="shared" si="1"/>
        <v>8</v>
      </c>
      <c r="O904" s="26">
        <f>IF(operations[sinceLastOrder]=0,0,operations[orderQuantity] / operations[sinceLastOrder])</f>
        <v>2.5</v>
      </c>
      <c r="P904" s="9">
        <v>62.52</v>
      </c>
      <c r="Q904" s="7" t="s">
        <v>15</v>
      </c>
      <c r="R904" s="10">
        <f>operations[arrivedDate]-operations[shippedDate]</f>
        <v>14</v>
      </c>
    </row>
    <row r="905" ht="15.75" customHeight="1">
      <c r="A905" s="6">
        <v>10587.0</v>
      </c>
      <c r="B905" s="24">
        <v>45109.0</v>
      </c>
      <c r="C905" s="24">
        <v>45137.0</v>
      </c>
      <c r="D905" s="24">
        <v>45116.0</v>
      </c>
      <c r="E905" s="24">
        <v>45130.0</v>
      </c>
      <c r="F905" s="6">
        <v>77.0</v>
      </c>
      <c r="G905" s="9" t="str">
        <f>VLOOKUP(operations[productID],products[],2,FALSE)</f>
        <v>Original Frankfurter grüne Soße</v>
      </c>
      <c r="H905" s="9" t="str">
        <f>IF(VLOOKUP(operations[productID],products[],7,FALSE)=1,"Discontinued","Current")</f>
        <v>Current</v>
      </c>
      <c r="I905" s="6">
        <f>VLOOKUP(operations[productID],products[],4,FALSE)</f>
        <v>32</v>
      </c>
      <c r="J905" s="6">
        <f>VLOOKUP(operations[productID],products[],5,FALSE)</f>
        <v>0</v>
      </c>
      <c r="K905" s="6">
        <f>VLOOKUP(operations[productID],products[],6,FALSE)</f>
        <v>15</v>
      </c>
      <c r="L905" s="10">
        <f t="array" ref="L905">INDEX('1 orders'!I905:I2156, MATCH(1, ('1 orders'!A905:A2156=A905)*('1 orders'!G905:G2156=F905), 0))
</f>
        <v>20</v>
      </c>
      <c r="M905" s="10">
        <f>IFERROR(__xludf.DUMMYFUNCTION("COUNTUNIQUEIFS($A$2:$A905,$F$2:$F905,F905)"),16.0)</f>
        <v>16</v>
      </c>
      <c r="N905" s="10">
        <f t="shared" si="1"/>
        <v>9</v>
      </c>
      <c r="O905" s="26">
        <f>IF(operations[sinceLastOrder]=0,0,operations[orderQuantity] / operations[sinceLastOrder])</f>
        <v>2.222222222</v>
      </c>
      <c r="P905" s="9">
        <v>62.52</v>
      </c>
      <c r="Q905" s="7" t="s">
        <v>15</v>
      </c>
      <c r="R905" s="10">
        <f>operations[arrivedDate]-operations[shippedDate]</f>
        <v>14</v>
      </c>
    </row>
    <row r="906" ht="15.75" customHeight="1">
      <c r="A906" s="6">
        <v>10588.0</v>
      </c>
      <c r="B906" s="24">
        <v>45110.0</v>
      </c>
      <c r="C906" s="24">
        <v>45138.0</v>
      </c>
      <c r="D906" s="24">
        <v>45117.0</v>
      </c>
      <c r="E906" s="24">
        <v>45120.0</v>
      </c>
      <c r="F906" s="6">
        <v>18.0</v>
      </c>
      <c r="G906" s="9" t="str">
        <f>VLOOKUP(operations[productID],products[],2,FALSE)</f>
        <v>Carnarvon Tigers</v>
      </c>
      <c r="H906" s="9" t="str">
        <f>IF(VLOOKUP(operations[productID],products[],7,FALSE)=1,"Discontinued","Current")</f>
        <v>Current</v>
      </c>
      <c r="I906" s="6">
        <f>VLOOKUP(operations[productID],products[],4,FALSE)</f>
        <v>42</v>
      </c>
      <c r="J906" s="6">
        <f>VLOOKUP(operations[productID],products[],5,FALSE)</f>
        <v>0</v>
      </c>
      <c r="K906" s="6">
        <f>VLOOKUP(operations[productID],products[],6,FALSE)</f>
        <v>0</v>
      </c>
      <c r="L906" s="10">
        <f t="array" ref="L906">INDEX('1 orders'!I906:I2156, MATCH(1, ('1 orders'!A906:A2156=A906)*('1 orders'!G906:G2156=F906), 0))
</f>
        <v>40</v>
      </c>
      <c r="M906" s="10">
        <f>IFERROR(__xludf.DUMMYFUNCTION("COUNTUNIQUEIFS($A$2:$A906,$F$2:$F906,F906)"),9.0)</f>
        <v>9</v>
      </c>
      <c r="N906" s="10">
        <f t="shared" si="1"/>
        <v>21</v>
      </c>
      <c r="O906" s="26">
        <f>IF(operations[sinceLastOrder]=0,0,operations[orderQuantity] / operations[sinceLastOrder])</f>
        <v>1.904761905</v>
      </c>
      <c r="P906" s="9">
        <v>194.67</v>
      </c>
      <c r="Q906" s="7" t="s">
        <v>13</v>
      </c>
      <c r="R906" s="10">
        <f>operations[arrivedDate]-operations[shippedDate]</f>
        <v>3</v>
      </c>
    </row>
    <row r="907" ht="15.75" customHeight="1">
      <c r="A907" s="6">
        <v>10588.0</v>
      </c>
      <c r="B907" s="24">
        <v>45110.0</v>
      </c>
      <c r="C907" s="24">
        <v>45138.0</v>
      </c>
      <c r="D907" s="24">
        <v>45117.0</v>
      </c>
      <c r="E907" s="24">
        <v>45120.0</v>
      </c>
      <c r="F907" s="6">
        <v>42.0</v>
      </c>
      <c r="G907" s="9" t="str">
        <f>VLOOKUP(operations[productID],products[],2,FALSE)</f>
        <v>Singaporean Hokkien Fried Mee</v>
      </c>
      <c r="H907" s="9" t="str">
        <f>IF(VLOOKUP(operations[productID],products[],7,FALSE)=1,"Discontinued","Current")</f>
        <v>Discontinued</v>
      </c>
      <c r="I907" s="6">
        <f>VLOOKUP(operations[productID],products[],4,FALSE)</f>
        <v>26</v>
      </c>
      <c r="J907" s="6">
        <f>VLOOKUP(operations[productID],products[],5,FALSE)</f>
        <v>0</v>
      </c>
      <c r="K907" s="6">
        <f>VLOOKUP(operations[productID],products[],6,FALSE)</f>
        <v>0</v>
      </c>
      <c r="L907" s="10">
        <f t="array" ref="L907">INDEX('1 orders'!I907:I2156, MATCH(1, ('1 orders'!A907:A2156=A907)*('1 orders'!G907:G2156=F907), 0))
</f>
        <v>100</v>
      </c>
      <c r="M907" s="10">
        <f>IFERROR(__xludf.DUMMYFUNCTION("COUNTUNIQUEIFS($A$2:$A907,$F$2:$F907,F907)"),12.0)</f>
        <v>12</v>
      </c>
      <c r="N907" s="10">
        <f t="shared" si="1"/>
        <v>16</v>
      </c>
      <c r="O907" s="26">
        <f>IF(operations[sinceLastOrder]=0,0,operations[orderQuantity] / operations[sinceLastOrder])</f>
        <v>6.25</v>
      </c>
      <c r="P907" s="9">
        <v>194.67</v>
      </c>
      <c r="Q907" s="7" t="s">
        <v>13</v>
      </c>
      <c r="R907" s="10">
        <f>operations[arrivedDate]-operations[shippedDate]</f>
        <v>3</v>
      </c>
    </row>
    <row r="908" ht="15.75" customHeight="1">
      <c r="A908" s="6">
        <v>10589.0</v>
      </c>
      <c r="B908" s="24">
        <v>45111.0</v>
      </c>
      <c r="C908" s="24">
        <v>45139.0</v>
      </c>
      <c r="D908" s="24">
        <v>45121.0</v>
      </c>
      <c r="E908" s="24">
        <v>45138.0</v>
      </c>
      <c r="F908" s="6">
        <v>35.0</v>
      </c>
      <c r="G908" s="9" t="str">
        <f>VLOOKUP(operations[productID],products[],2,FALSE)</f>
        <v>Cold Brew Nitro</v>
      </c>
      <c r="H908" s="9" t="str">
        <f>IF(VLOOKUP(operations[productID],products[],7,FALSE)=1,"Discontinued","Current")</f>
        <v>Current</v>
      </c>
      <c r="I908" s="6">
        <f>VLOOKUP(operations[productID],products[],4,FALSE)</f>
        <v>20</v>
      </c>
      <c r="J908" s="6">
        <f>VLOOKUP(operations[productID],products[],5,FALSE)</f>
        <v>0</v>
      </c>
      <c r="K908" s="6">
        <f>VLOOKUP(operations[productID],products[],6,FALSE)</f>
        <v>15</v>
      </c>
      <c r="L908" s="10">
        <f t="array" ref="L908">INDEX('1 orders'!I908:I2156, MATCH(1, ('1 orders'!A908:A2156=A908)*('1 orders'!G908:G2156=F908), 0))
</f>
        <v>4</v>
      </c>
      <c r="M908" s="10">
        <f>IFERROR(__xludf.DUMMYFUNCTION("COUNTUNIQUEIFS($A$2:$A908,$F$2:$F908,F908)"),17.0)</f>
        <v>17</v>
      </c>
      <c r="N908" s="10">
        <f t="shared" si="1"/>
        <v>2</v>
      </c>
      <c r="O908" s="26">
        <f>IF(operations[sinceLastOrder]=0,0,operations[orderQuantity] / operations[sinceLastOrder])</f>
        <v>2</v>
      </c>
      <c r="P908" s="9">
        <v>4.42</v>
      </c>
      <c r="Q908" s="7" t="s">
        <v>17</v>
      </c>
      <c r="R908" s="10">
        <f>operations[arrivedDate]-operations[shippedDate]</f>
        <v>17</v>
      </c>
    </row>
    <row r="909" ht="15.75" customHeight="1">
      <c r="A909" s="6">
        <v>10590.0</v>
      </c>
      <c r="B909" s="24">
        <v>45114.0</v>
      </c>
      <c r="C909" s="24">
        <v>45142.0</v>
      </c>
      <c r="D909" s="24">
        <v>45121.0</v>
      </c>
      <c r="E909" s="24">
        <v>45133.0</v>
      </c>
      <c r="F909" s="6">
        <v>1.0</v>
      </c>
      <c r="G909" s="9" t="str">
        <f>VLOOKUP(operations[productID],products[],2,FALSE)</f>
        <v>Chai</v>
      </c>
      <c r="H909" s="9" t="str">
        <f>IF(VLOOKUP(operations[productID],products[],7,FALSE)=1,"Discontinued","Current")</f>
        <v>Current</v>
      </c>
      <c r="I909" s="6">
        <f>VLOOKUP(operations[productID],products[],4,FALSE)</f>
        <v>39</v>
      </c>
      <c r="J909" s="6">
        <f>VLOOKUP(operations[productID],products[],5,FALSE)</f>
        <v>0</v>
      </c>
      <c r="K909" s="6">
        <f>VLOOKUP(operations[productID],products[],6,FALSE)</f>
        <v>10</v>
      </c>
      <c r="L909" s="10">
        <f t="array" ref="L909">INDEX('1 orders'!I909:I2156, MATCH(1, ('1 orders'!A909:A2156=A909)*('1 orders'!G909:G2156=F909), 0))
</f>
        <v>20</v>
      </c>
      <c r="M909" s="10">
        <f>IFERROR(__xludf.DUMMYFUNCTION("COUNTUNIQUEIFS($A$2:$A909,$F$2:$F909,F909)"),13.0)</f>
        <v>13</v>
      </c>
      <c r="N909" s="10">
        <f t="shared" si="1"/>
        <v>14</v>
      </c>
      <c r="O909" s="26">
        <f>IF(operations[sinceLastOrder]=0,0,operations[orderQuantity] / operations[sinceLastOrder])</f>
        <v>1.428571429</v>
      </c>
      <c r="P909" s="9">
        <v>44.77</v>
      </c>
      <c r="Q909" s="7" t="s">
        <v>13</v>
      </c>
      <c r="R909" s="10">
        <f>operations[arrivedDate]-operations[shippedDate]</f>
        <v>12</v>
      </c>
    </row>
    <row r="910" ht="15.75" customHeight="1">
      <c r="A910" s="6">
        <v>10590.0</v>
      </c>
      <c r="B910" s="24">
        <v>45114.0</v>
      </c>
      <c r="C910" s="24">
        <v>45142.0</v>
      </c>
      <c r="D910" s="24">
        <v>45121.0</v>
      </c>
      <c r="E910" s="24">
        <v>45133.0</v>
      </c>
      <c r="F910" s="6">
        <v>77.0</v>
      </c>
      <c r="G910" s="9" t="str">
        <f>VLOOKUP(operations[productID],products[],2,FALSE)</f>
        <v>Original Frankfurter grüne Soße</v>
      </c>
      <c r="H910" s="9" t="str">
        <f>IF(VLOOKUP(operations[productID],products[],7,FALSE)=1,"Discontinued","Current")</f>
        <v>Current</v>
      </c>
      <c r="I910" s="6">
        <f>VLOOKUP(operations[productID],products[],4,FALSE)</f>
        <v>32</v>
      </c>
      <c r="J910" s="6">
        <f>VLOOKUP(operations[productID],products[],5,FALSE)</f>
        <v>0</v>
      </c>
      <c r="K910" s="6">
        <f>VLOOKUP(operations[productID],products[],6,FALSE)</f>
        <v>15</v>
      </c>
      <c r="L910" s="10">
        <f t="array" ref="L910">INDEX('1 orders'!I910:I2156, MATCH(1, ('1 orders'!A910:A2156=A910)*('1 orders'!G910:G2156=F910), 0))
</f>
        <v>60</v>
      </c>
      <c r="M910" s="10">
        <f>IFERROR(__xludf.DUMMYFUNCTION("COUNTUNIQUEIFS($A$2:$A910,$F$2:$F910,F910)"),17.0)</f>
        <v>17</v>
      </c>
      <c r="N910" s="10">
        <f t="shared" si="1"/>
        <v>5</v>
      </c>
      <c r="O910" s="26">
        <f>IF(operations[sinceLastOrder]=0,0,operations[orderQuantity] / operations[sinceLastOrder])</f>
        <v>12</v>
      </c>
      <c r="P910" s="9">
        <v>44.77</v>
      </c>
      <c r="Q910" s="7" t="s">
        <v>13</v>
      </c>
      <c r="R910" s="10">
        <f>operations[arrivedDate]-operations[shippedDate]</f>
        <v>12</v>
      </c>
    </row>
    <row r="911" ht="15.75" customHeight="1">
      <c r="A911" s="6">
        <v>10591.0</v>
      </c>
      <c r="B911" s="24">
        <v>45114.0</v>
      </c>
      <c r="C911" s="24">
        <v>45128.0</v>
      </c>
      <c r="D911" s="24">
        <v>45123.0</v>
      </c>
      <c r="E911" s="24">
        <v>45135.0</v>
      </c>
      <c r="F911" s="6">
        <v>3.0</v>
      </c>
      <c r="G911" s="9" t="str">
        <f>VLOOKUP(operations[productID],products[],2,FALSE)</f>
        <v>Aniseed Syrup</v>
      </c>
      <c r="H911" s="9" t="str">
        <f>IF(VLOOKUP(operations[productID],products[],7,FALSE)=1,"Discontinued","Current")</f>
        <v>Current</v>
      </c>
      <c r="I911" s="6">
        <f>VLOOKUP(operations[productID],products[],4,FALSE)</f>
        <v>13</v>
      </c>
      <c r="J911" s="6">
        <f>VLOOKUP(operations[productID],products[],5,FALSE)</f>
        <v>70</v>
      </c>
      <c r="K911" s="6">
        <f>VLOOKUP(operations[productID],products[],6,FALSE)</f>
        <v>25</v>
      </c>
      <c r="L911" s="10">
        <f t="array" ref="L911">INDEX('1 orders'!I911:I2156, MATCH(1, ('1 orders'!A911:A2156=A911)*('1 orders'!G911:G2156=F911), 0))
</f>
        <v>14</v>
      </c>
      <c r="M911" s="10">
        <f>IFERROR(__xludf.DUMMYFUNCTION("COUNTUNIQUEIFS($A$2:$A911,$F$2:$F911,F911)"),5.0)</f>
        <v>5</v>
      </c>
      <c r="N911" s="10">
        <f t="shared" si="1"/>
        <v>49</v>
      </c>
      <c r="O911" s="26">
        <f>IF(operations[sinceLastOrder]=0,0,operations[orderQuantity] / operations[sinceLastOrder])</f>
        <v>0.2857142857</v>
      </c>
      <c r="P911" s="9">
        <v>55.92</v>
      </c>
      <c r="Q911" s="7" t="s">
        <v>15</v>
      </c>
      <c r="R911" s="10">
        <f>operations[arrivedDate]-operations[shippedDate]</f>
        <v>12</v>
      </c>
    </row>
    <row r="912" ht="15.75" customHeight="1">
      <c r="A912" s="6">
        <v>10591.0</v>
      </c>
      <c r="B912" s="24">
        <v>45114.0</v>
      </c>
      <c r="C912" s="24">
        <v>45128.0</v>
      </c>
      <c r="D912" s="24">
        <v>45123.0</v>
      </c>
      <c r="E912" s="24">
        <v>45135.0</v>
      </c>
      <c r="F912" s="6">
        <v>7.0</v>
      </c>
      <c r="G912" s="9" t="str">
        <f>VLOOKUP(operations[productID],products[],2,FALSE)</f>
        <v>Uncle Bob's Organic Dried Pears</v>
      </c>
      <c r="H912" s="9" t="str">
        <f>IF(VLOOKUP(operations[productID],products[],7,FALSE)=1,"Discontinued","Current")</f>
        <v>Current</v>
      </c>
      <c r="I912" s="6">
        <f>VLOOKUP(operations[productID],products[],4,FALSE)</f>
        <v>15</v>
      </c>
      <c r="J912" s="6">
        <f>VLOOKUP(operations[productID],products[],5,FALSE)</f>
        <v>0</v>
      </c>
      <c r="K912" s="6">
        <f>VLOOKUP(operations[productID],products[],6,FALSE)</f>
        <v>10</v>
      </c>
      <c r="L912" s="10">
        <f t="array" ref="L912">INDEX('1 orders'!I912:I2156, MATCH(1, ('1 orders'!A912:A2156=A912)*('1 orders'!G912:G2156=F912), 0))
</f>
        <v>10</v>
      </c>
      <c r="M912" s="10">
        <f>IFERROR(__xludf.DUMMYFUNCTION("COUNTUNIQUEIFS($A$2:$A912,$F$2:$F912,F912)"),7.0)</f>
        <v>7</v>
      </c>
      <c r="N912" s="10">
        <f t="shared" si="1"/>
        <v>45</v>
      </c>
      <c r="O912" s="26">
        <f>IF(operations[sinceLastOrder]=0,0,operations[orderQuantity] / operations[sinceLastOrder])</f>
        <v>0.2222222222</v>
      </c>
      <c r="P912" s="9">
        <v>55.92</v>
      </c>
      <c r="Q912" s="7" t="s">
        <v>15</v>
      </c>
      <c r="R912" s="10">
        <f>operations[arrivedDate]-operations[shippedDate]</f>
        <v>12</v>
      </c>
    </row>
    <row r="913" ht="15.75" customHeight="1">
      <c r="A913" s="6">
        <v>10591.0</v>
      </c>
      <c r="B913" s="24">
        <v>45114.0</v>
      </c>
      <c r="C913" s="24">
        <v>45128.0</v>
      </c>
      <c r="D913" s="24">
        <v>45123.0</v>
      </c>
      <c r="E913" s="24">
        <v>45135.0</v>
      </c>
      <c r="F913" s="6">
        <v>54.0</v>
      </c>
      <c r="G913" s="9" t="str">
        <f>VLOOKUP(operations[productID],products[],2,FALSE)</f>
        <v>Tourtière</v>
      </c>
      <c r="H913" s="9" t="str">
        <f>IF(VLOOKUP(operations[productID],products[],7,FALSE)=1,"Discontinued","Current")</f>
        <v>Current</v>
      </c>
      <c r="I913" s="6">
        <f>VLOOKUP(operations[productID],products[],4,FALSE)</f>
        <v>21</v>
      </c>
      <c r="J913" s="6">
        <f>VLOOKUP(operations[productID],products[],5,FALSE)</f>
        <v>0</v>
      </c>
      <c r="K913" s="6">
        <f>VLOOKUP(operations[productID],products[],6,FALSE)</f>
        <v>10</v>
      </c>
      <c r="L913" s="10">
        <f t="array" ref="L913">INDEX('1 orders'!I913:I2156, MATCH(1, ('1 orders'!A913:A2156=A913)*('1 orders'!G913:G2156=F913), 0))
</f>
        <v>50</v>
      </c>
      <c r="M913" s="10">
        <f>IFERROR(__xludf.DUMMYFUNCTION("COUNTUNIQUEIFS($A$2:$A913,$F$2:$F913,F913)"),20.0)</f>
        <v>20</v>
      </c>
      <c r="N913" s="10">
        <f t="shared" si="1"/>
        <v>48</v>
      </c>
      <c r="O913" s="26">
        <f>IF(operations[sinceLastOrder]=0,0,operations[orderQuantity] / operations[sinceLastOrder])</f>
        <v>1.041666667</v>
      </c>
      <c r="P913" s="9">
        <v>55.92</v>
      </c>
      <c r="Q913" s="7" t="s">
        <v>15</v>
      </c>
      <c r="R913" s="10">
        <f>operations[arrivedDate]-operations[shippedDate]</f>
        <v>12</v>
      </c>
    </row>
    <row r="914" ht="15.75" customHeight="1">
      <c r="A914" s="6">
        <v>10592.0</v>
      </c>
      <c r="B914" s="24">
        <v>45115.0</v>
      </c>
      <c r="C914" s="24">
        <v>45143.0</v>
      </c>
      <c r="D914" s="24">
        <v>45123.0</v>
      </c>
      <c r="E914" s="24">
        <v>45124.0</v>
      </c>
      <c r="F914" s="6">
        <v>15.0</v>
      </c>
      <c r="G914" s="9" t="str">
        <f>VLOOKUP(operations[productID],products[],2,FALSE)</f>
        <v>Genen Shouyu</v>
      </c>
      <c r="H914" s="9" t="str">
        <f>IF(VLOOKUP(operations[productID],products[],7,FALSE)=1,"Discontinued","Current")</f>
        <v>Current</v>
      </c>
      <c r="I914" s="6">
        <f>VLOOKUP(operations[productID],products[],4,FALSE)</f>
        <v>39</v>
      </c>
      <c r="J914" s="6">
        <f>VLOOKUP(operations[productID],products[],5,FALSE)</f>
        <v>0</v>
      </c>
      <c r="K914" s="6">
        <f>VLOOKUP(operations[productID],products[],6,FALSE)</f>
        <v>5</v>
      </c>
      <c r="L914" s="10">
        <f t="array" ref="L914">INDEX('1 orders'!I914:I2156, MATCH(1, ('1 orders'!A914:A2156=A914)*('1 orders'!G914:G2156=F914), 0))
</f>
        <v>25</v>
      </c>
      <c r="M914" s="10">
        <f>IFERROR(__xludf.DUMMYFUNCTION("COUNTUNIQUEIFS($A$2:$A914,$F$2:$F914,F914)"),5.0)</f>
        <v>5</v>
      </c>
      <c r="N914" s="10">
        <f t="shared" si="1"/>
        <v>13</v>
      </c>
      <c r="O914" s="26">
        <f>IF(operations[sinceLastOrder]=0,0,operations[orderQuantity] / operations[sinceLastOrder])</f>
        <v>1.923076923</v>
      </c>
      <c r="P914" s="9">
        <v>32.1</v>
      </c>
      <c r="Q914" s="7" t="s">
        <v>15</v>
      </c>
      <c r="R914" s="10">
        <f>operations[arrivedDate]-operations[shippedDate]</f>
        <v>1</v>
      </c>
    </row>
    <row r="915" ht="15.75" customHeight="1">
      <c r="A915" s="6">
        <v>10592.0</v>
      </c>
      <c r="B915" s="24">
        <v>45115.0</v>
      </c>
      <c r="C915" s="24">
        <v>45143.0</v>
      </c>
      <c r="D915" s="24">
        <v>45123.0</v>
      </c>
      <c r="E915" s="24">
        <v>45124.0</v>
      </c>
      <c r="F915" s="6">
        <v>26.0</v>
      </c>
      <c r="G915" s="9" t="str">
        <f>VLOOKUP(operations[productID],products[],2,FALSE)</f>
        <v>NuNuCa Nuß-Nougat-Creme</v>
      </c>
      <c r="H915" s="9" t="str">
        <f>IF(VLOOKUP(operations[productID],products[],7,FALSE)=1,"Discontinued","Current")</f>
        <v>Current</v>
      </c>
      <c r="I915" s="6">
        <f>VLOOKUP(operations[productID],products[],4,FALSE)</f>
        <v>15</v>
      </c>
      <c r="J915" s="6">
        <f>VLOOKUP(operations[productID],products[],5,FALSE)</f>
        <v>0</v>
      </c>
      <c r="K915" s="6">
        <f>VLOOKUP(operations[productID],products[],6,FALSE)</f>
        <v>0</v>
      </c>
      <c r="L915" s="10">
        <f t="array" ref="L915">INDEX('1 orders'!I915:I2156, MATCH(1, ('1 orders'!A915:A2156=A915)*('1 orders'!G915:G2156=F915), 0))
</f>
        <v>5</v>
      </c>
      <c r="M915" s="10">
        <f>IFERROR(__xludf.DUMMYFUNCTION("COUNTUNIQUEIFS($A$2:$A915,$F$2:$F915,F915)"),15.0)</f>
        <v>15</v>
      </c>
      <c r="N915" s="10">
        <f t="shared" si="1"/>
        <v>6</v>
      </c>
      <c r="O915" s="26">
        <f>IF(operations[sinceLastOrder]=0,0,operations[orderQuantity] / operations[sinceLastOrder])</f>
        <v>0.8333333333</v>
      </c>
      <c r="P915" s="9">
        <v>32.1</v>
      </c>
      <c r="Q915" s="7" t="s">
        <v>15</v>
      </c>
      <c r="R915" s="10">
        <f>operations[arrivedDate]-operations[shippedDate]</f>
        <v>1</v>
      </c>
    </row>
    <row r="916" ht="15.75" customHeight="1">
      <c r="A916" s="6">
        <v>10593.0</v>
      </c>
      <c r="B916" s="24">
        <v>45116.0</v>
      </c>
      <c r="C916" s="24">
        <v>45144.0</v>
      </c>
      <c r="D916" s="24">
        <v>45151.0</v>
      </c>
      <c r="E916" s="24">
        <v>45160.0</v>
      </c>
      <c r="F916" s="6">
        <v>20.0</v>
      </c>
      <c r="G916" s="9" t="str">
        <f>VLOOKUP(operations[productID],products[],2,FALSE)</f>
        <v>Sir Rodney's Marmalade</v>
      </c>
      <c r="H916" s="9" t="str">
        <f>IF(VLOOKUP(operations[productID],products[],7,FALSE)=1,"Discontinued","Current")</f>
        <v>Current</v>
      </c>
      <c r="I916" s="6">
        <f>VLOOKUP(operations[productID],products[],4,FALSE)</f>
        <v>40</v>
      </c>
      <c r="J916" s="6">
        <f>VLOOKUP(operations[productID],products[],5,FALSE)</f>
        <v>0</v>
      </c>
      <c r="K916" s="6">
        <f>VLOOKUP(operations[productID],products[],6,FALSE)</f>
        <v>0</v>
      </c>
      <c r="L916" s="10">
        <f t="array" ref="L916">INDEX('1 orders'!I916:I2156, MATCH(1, ('1 orders'!A916:A2156=A916)*('1 orders'!G916:G2156=F916), 0))
</f>
        <v>21</v>
      </c>
      <c r="M916" s="10">
        <f>IFERROR(__xludf.DUMMYFUNCTION("COUNTUNIQUEIFS($A$2:$A916,$F$2:$F916,F916)"),8.0)</f>
        <v>8</v>
      </c>
      <c r="N916" s="10">
        <f t="shared" si="1"/>
        <v>69</v>
      </c>
      <c r="O916" s="26">
        <f>IF(operations[sinceLastOrder]=0,0,operations[orderQuantity] / operations[sinceLastOrder])</f>
        <v>0.3043478261</v>
      </c>
      <c r="P916" s="9">
        <v>174.2</v>
      </c>
      <c r="Q916" s="7" t="s">
        <v>17</v>
      </c>
      <c r="R916" s="10">
        <f>operations[arrivedDate]-operations[shippedDate]</f>
        <v>9</v>
      </c>
    </row>
    <row r="917" ht="15.75" customHeight="1">
      <c r="A917" s="6">
        <v>10593.0</v>
      </c>
      <c r="B917" s="24">
        <v>45116.0</v>
      </c>
      <c r="C917" s="24">
        <v>45144.0</v>
      </c>
      <c r="D917" s="24">
        <v>45151.0</v>
      </c>
      <c r="E917" s="24">
        <v>45160.0</v>
      </c>
      <c r="F917" s="6">
        <v>69.0</v>
      </c>
      <c r="G917" s="9" t="str">
        <f>VLOOKUP(operations[productID],products[],2,FALSE)</f>
        <v>Gudbrandsdalsost</v>
      </c>
      <c r="H917" s="9" t="str">
        <f>IF(VLOOKUP(operations[productID],products[],7,FALSE)=1,"Discontinued","Current")</f>
        <v>Current</v>
      </c>
      <c r="I917" s="6">
        <f>VLOOKUP(operations[productID],products[],4,FALSE)</f>
        <v>26</v>
      </c>
      <c r="J917" s="6">
        <f>VLOOKUP(operations[productID],products[],5,FALSE)</f>
        <v>0</v>
      </c>
      <c r="K917" s="6">
        <f>VLOOKUP(operations[productID],products[],6,FALSE)</f>
        <v>15</v>
      </c>
      <c r="L917" s="10">
        <f t="array" ref="L917">INDEX('1 orders'!I917:I2156, MATCH(1, ('1 orders'!A917:A2156=A917)*('1 orders'!G917:G2156=F917), 0))
</f>
        <v>20</v>
      </c>
      <c r="M917" s="10">
        <f>IFERROR(__xludf.DUMMYFUNCTION("COUNTUNIQUEIFS($A$2:$A917,$F$2:$F917,F917)"),15.0)</f>
        <v>15</v>
      </c>
      <c r="N917" s="10">
        <f t="shared" si="1"/>
        <v>9</v>
      </c>
      <c r="O917" s="26">
        <f>IF(operations[sinceLastOrder]=0,0,operations[orderQuantity] / operations[sinceLastOrder])</f>
        <v>2.222222222</v>
      </c>
      <c r="P917" s="9">
        <v>174.2</v>
      </c>
      <c r="Q917" s="7" t="s">
        <v>17</v>
      </c>
      <c r="R917" s="10">
        <f>operations[arrivedDate]-operations[shippedDate]</f>
        <v>9</v>
      </c>
    </row>
    <row r="918" ht="15.75" customHeight="1">
      <c r="A918" s="6">
        <v>10593.0</v>
      </c>
      <c r="B918" s="24">
        <v>45116.0</v>
      </c>
      <c r="C918" s="24">
        <v>45144.0</v>
      </c>
      <c r="D918" s="24">
        <v>45151.0</v>
      </c>
      <c r="E918" s="24">
        <v>45160.0</v>
      </c>
      <c r="F918" s="6">
        <v>76.0</v>
      </c>
      <c r="G918" s="9" t="str">
        <f>VLOOKUP(operations[productID],products[],2,FALSE)</f>
        <v>Lakkalikööri</v>
      </c>
      <c r="H918" s="9" t="str">
        <f>IF(VLOOKUP(operations[productID],products[],7,FALSE)=1,"Discontinued","Current")</f>
        <v>Current</v>
      </c>
      <c r="I918" s="6">
        <f>VLOOKUP(operations[productID],products[],4,FALSE)</f>
        <v>57</v>
      </c>
      <c r="J918" s="6">
        <f>VLOOKUP(operations[productID],products[],5,FALSE)</f>
        <v>0</v>
      </c>
      <c r="K918" s="6">
        <f>VLOOKUP(operations[productID],products[],6,FALSE)</f>
        <v>20</v>
      </c>
      <c r="L918" s="10">
        <f t="array" ref="L918">INDEX('1 orders'!I918:I2156, MATCH(1, ('1 orders'!A918:A2156=A918)*('1 orders'!G918:G2156=F918), 0))
</f>
        <v>4</v>
      </c>
      <c r="M918" s="10">
        <f>IFERROR(__xludf.DUMMYFUNCTION("COUNTUNIQUEIFS($A$2:$A918,$F$2:$F918,F918)"),17.0)</f>
        <v>17</v>
      </c>
      <c r="N918" s="10">
        <f t="shared" si="1"/>
        <v>12</v>
      </c>
      <c r="O918" s="26">
        <f>IF(operations[sinceLastOrder]=0,0,operations[orderQuantity] / operations[sinceLastOrder])</f>
        <v>0.3333333333</v>
      </c>
      <c r="P918" s="9">
        <v>174.2</v>
      </c>
      <c r="Q918" s="7" t="s">
        <v>17</v>
      </c>
      <c r="R918" s="10">
        <f>operations[arrivedDate]-operations[shippedDate]</f>
        <v>9</v>
      </c>
    </row>
    <row r="919" ht="15.75" customHeight="1">
      <c r="A919" s="6">
        <v>10594.0</v>
      </c>
      <c r="B919" s="24">
        <v>45116.0</v>
      </c>
      <c r="C919" s="24">
        <v>45144.0</v>
      </c>
      <c r="D919" s="24">
        <v>45123.0</v>
      </c>
      <c r="E919" s="24">
        <v>45140.0</v>
      </c>
      <c r="F919" s="6">
        <v>52.0</v>
      </c>
      <c r="G919" s="9" t="str">
        <f>VLOOKUP(operations[productID],products[],2,FALSE)</f>
        <v>Filo Mix</v>
      </c>
      <c r="H919" s="9" t="str">
        <f>IF(VLOOKUP(operations[productID],products[],7,FALSE)=1,"Discontinued","Current")</f>
        <v>Current</v>
      </c>
      <c r="I919" s="6">
        <f>VLOOKUP(operations[productID],products[],4,FALSE)</f>
        <v>38</v>
      </c>
      <c r="J919" s="6">
        <f>VLOOKUP(operations[productID],products[],5,FALSE)</f>
        <v>0</v>
      </c>
      <c r="K919" s="6">
        <f>VLOOKUP(operations[productID],products[],6,FALSE)</f>
        <v>25</v>
      </c>
      <c r="L919" s="10">
        <f t="array" ref="L919">INDEX('1 orders'!I919:I2156, MATCH(1, ('1 orders'!A919:A2156=A919)*('1 orders'!G919:G2156=F919), 0))
</f>
        <v>24</v>
      </c>
      <c r="M919" s="10">
        <f>IFERROR(__xludf.DUMMYFUNCTION("COUNTUNIQUEIFS($A$2:$A919,$F$2:$F919,F919)"),10.0)</f>
        <v>10</v>
      </c>
      <c r="N919" s="10">
        <f t="shared" si="1"/>
        <v>7</v>
      </c>
      <c r="O919" s="26">
        <f>IF(operations[sinceLastOrder]=0,0,operations[orderQuantity] / operations[sinceLastOrder])</f>
        <v>3.428571429</v>
      </c>
      <c r="P919" s="9">
        <v>5.24</v>
      </c>
      <c r="Q919" s="7" t="s">
        <v>17</v>
      </c>
      <c r="R919" s="10">
        <f>operations[arrivedDate]-operations[shippedDate]</f>
        <v>17</v>
      </c>
    </row>
    <row r="920" ht="15.75" customHeight="1">
      <c r="A920" s="6">
        <v>10594.0</v>
      </c>
      <c r="B920" s="24">
        <v>45116.0</v>
      </c>
      <c r="C920" s="24">
        <v>45144.0</v>
      </c>
      <c r="D920" s="24">
        <v>45123.0</v>
      </c>
      <c r="E920" s="24">
        <v>45140.0</v>
      </c>
      <c r="F920" s="6">
        <v>58.0</v>
      </c>
      <c r="G920" s="9" t="str">
        <f>VLOOKUP(operations[productID],products[],2,FALSE)</f>
        <v>Escargots de Bourgogne</v>
      </c>
      <c r="H920" s="9" t="str">
        <f>IF(VLOOKUP(operations[productID],products[],7,FALSE)=1,"Discontinued","Current")</f>
        <v>Current</v>
      </c>
      <c r="I920" s="6">
        <f>VLOOKUP(operations[productID],products[],4,FALSE)</f>
        <v>62</v>
      </c>
      <c r="J920" s="6">
        <f>VLOOKUP(operations[productID],products[],5,FALSE)</f>
        <v>0</v>
      </c>
      <c r="K920" s="6">
        <f>VLOOKUP(operations[productID],products[],6,FALSE)</f>
        <v>20</v>
      </c>
      <c r="L920" s="10">
        <f t="array" ref="L920">INDEX('1 orders'!I920:I2156, MATCH(1, ('1 orders'!A920:A2156=A920)*('1 orders'!G920:G2156=F920), 0))
</f>
        <v>30</v>
      </c>
      <c r="M920" s="10">
        <f>IFERROR(__xludf.DUMMYFUNCTION("COUNTUNIQUEIFS($A$2:$A920,$F$2:$F920,F920)"),6.0)</f>
        <v>6</v>
      </c>
      <c r="N920" s="10">
        <f t="shared" si="1"/>
        <v>56</v>
      </c>
      <c r="O920" s="26">
        <f>IF(operations[sinceLastOrder]=0,0,operations[orderQuantity] / operations[sinceLastOrder])</f>
        <v>0.5357142857</v>
      </c>
      <c r="P920" s="9">
        <v>5.24</v>
      </c>
      <c r="Q920" s="7" t="s">
        <v>17</v>
      </c>
      <c r="R920" s="10">
        <f>operations[arrivedDate]-operations[shippedDate]</f>
        <v>17</v>
      </c>
    </row>
    <row r="921" ht="15.75" customHeight="1">
      <c r="A921" s="6">
        <v>10595.0</v>
      </c>
      <c r="B921" s="24">
        <v>45117.0</v>
      </c>
      <c r="C921" s="24">
        <v>45145.0</v>
      </c>
      <c r="D921" s="24">
        <v>45121.0</v>
      </c>
      <c r="E921" s="24">
        <v>45133.0</v>
      </c>
      <c r="F921" s="6">
        <v>35.0</v>
      </c>
      <c r="G921" s="9" t="str">
        <f>VLOOKUP(operations[productID],products[],2,FALSE)</f>
        <v>Cold Brew Nitro</v>
      </c>
      <c r="H921" s="9" t="str">
        <f>IF(VLOOKUP(operations[productID],products[],7,FALSE)=1,"Discontinued","Current")</f>
        <v>Current</v>
      </c>
      <c r="I921" s="6">
        <f>VLOOKUP(operations[productID],products[],4,FALSE)</f>
        <v>20</v>
      </c>
      <c r="J921" s="6">
        <f>VLOOKUP(operations[productID],products[],5,FALSE)</f>
        <v>0</v>
      </c>
      <c r="K921" s="6">
        <f>VLOOKUP(operations[productID],products[],6,FALSE)</f>
        <v>15</v>
      </c>
      <c r="L921" s="10">
        <f t="array" ref="L921">INDEX('1 orders'!I921:I2156, MATCH(1, ('1 orders'!A921:A2156=A921)*('1 orders'!G921:G2156=F921), 0))
</f>
        <v>30</v>
      </c>
      <c r="M921" s="10">
        <f>IFERROR(__xludf.DUMMYFUNCTION("COUNTUNIQUEIFS($A$2:$A921,$F$2:$F921,F921)"),18.0)</f>
        <v>18</v>
      </c>
      <c r="N921" s="10">
        <f t="shared" si="1"/>
        <v>6</v>
      </c>
      <c r="O921" s="26">
        <f>IF(operations[sinceLastOrder]=0,0,operations[orderQuantity] / operations[sinceLastOrder])</f>
        <v>5</v>
      </c>
      <c r="P921" s="9">
        <v>96.78</v>
      </c>
      <c r="Q921" s="7" t="s">
        <v>15</v>
      </c>
      <c r="R921" s="10">
        <f>operations[arrivedDate]-operations[shippedDate]</f>
        <v>12</v>
      </c>
    </row>
    <row r="922" ht="15.75" customHeight="1">
      <c r="A922" s="6">
        <v>10595.0</v>
      </c>
      <c r="B922" s="24">
        <v>45117.0</v>
      </c>
      <c r="C922" s="24">
        <v>45145.0</v>
      </c>
      <c r="D922" s="24">
        <v>45121.0</v>
      </c>
      <c r="E922" s="24">
        <v>45133.0</v>
      </c>
      <c r="F922" s="6">
        <v>61.0</v>
      </c>
      <c r="G922" s="9" t="str">
        <f>VLOOKUP(operations[productID],products[],2,FALSE)</f>
        <v>Sirop d'érable</v>
      </c>
      <c r="H922" s="9" t="str">
        <f>IF(VLOOKUP(operations[productID],products[],7,FALSE)=1,"Discontinued","Current")</f>
        <v>Current</v>
      </c>
      <c r="I922" s="6">
        <f>VLOOKUP(operations[productID],products[],4,FALSE)</f>
        <v>113</v>
      </c>
      <c r="J922" s="6">
        <f>VLOOKUP(operations[productID],products[],5,FALSE)</f>
        <v>0</v>
      </c>
      <c r="K922" s="6">
        <f>VLOOKUP(operations[productID],products[],6,FALSE)</f>
        <v>25</v>
      </c>
      <c r="L922" s="10">
        <f t="array" ref="L922">INDEX('1 orders'!I922:I2156, MATCH(1, ('1 orders'!A922:A2156=A922)*('1 orders'!G922:G2156=F922), 0))
</f>
        <v>120</v>
      </c>
      <c r="M922" s="10">
        <f>IFERROR(__xludf.DUMMYFUNCTION("COUNTUNIQUEIFS($A$2:$A922,$F$2:$F922,F922)"),8.0)</f>
        <v>8</v>
      </c>
      <c r="N922" s="10">
        <f t="shared" si="1"/>
        <v>43</v>
      </c>
      <c r="O922" s="26">
        <f>IF(operations[sinceLastOrder]=0,0,operations[orderQuantity] / operations[sinceLastOrder])</f>
        <v>2.790697674</v>
      </c>
      <c r="P922" s="9">
        <v>96.78</v>
      </c>
      <c r="Q922" s="7" t="s">
        <v>15</v>
      </c>
      <c r="R922" s="10">
        <f>operations[arrivedDate]-operations[shippedDate]</f>
        <v>12</v>
      </c>
    </row>
    <row r="923" ht="15.75" customHeight="1">
      <c r="A923" s="6">
        <v>10595.0</v>
      </c>
      <c r="B923" s="24">
        <v>45117.0</v>
      </c>
      <c r="C923" s="24">
        <v>45145.0</v>
      </c>
      <c r="D923" s="24">
        <v>45121.0</v>
      </c>
      <c r="E923" s="24">
        <v>45133.0</v>
      </c>
      <c r="F923" s="6">
        <v>69.0</v>
      </c>
      <c r="G923" s="9" t="str">
        <f>VLOOKUP(operations[productID],products[],2,FALSE)</f>
        <v>Gudbrandsdalsost</v>
      </c>
      <c r="H923" s="9" t="str">
        <f>IF(VLOOKUP(operations[productID],products[],7,FALSE)=1,"Discontinued","Current")</f>
        <v>Current</v>
      </c>
      <c r="I923" s="6">
        <f>VLOOKUP(operations[productID],products[],4,FALSE)</f>
        <v>26</v>
      </c>
      <c r="J923" s="6">
        <f>VLOOKUP(operations[productID],products[],5,FALSE)</f>
        <v>0</v>
      </c>
      <c r="K923" s="6">
        <f>VLOOKUP(operations[productID],products[],6,FALSE)</f>
        <v>15</v>
      </c>
      <c r="L923" s="10">
        <f t="array" ref="L923">INDEX('1 orders'!I923:I2156, MATCH(1, ('1 orders'!A923:A2156=A923)*('1 orders'!G923:G2156=F923), 0))
</f>
        <v>65</v>
      </c>
      <c r="M923" s="10">
        <f>IFERROR(__xludf.DUMMYFUNCTION("COUNTUNIQUEIFS($A$2:$A923,$F$2:$F923,F923)"),16.0)</f>
        <v>16</v>
      </c>
      <c r="N923" s="10">
        <f t="shared" si="1"/>
        <v>1</v>
      </c>
      <c r="O923" s="26">
        <f>IF(operations[sinceLastOrder]=0,0,operations[orderQuantity] / operations[sinceLastOrder])</f>
        <v>65</v>
      </c>
      <c r="P923" s="9">
        <v>96.78</v>
      </c>
      <c r="Q923" s="7" t="s">
        <v>15</v>
      </c>
      <c r="R923" s="10">
        <f>operations[arrivedDate]-operations[shippedDate]</f>
        <v>12</v>
      </c>
    </row>
    <row r="924" ht="15.75" customHeight="1">
      <c r="A924" s="6">
        <v>10596.0</v>
      </c>
      <c r="B924" s="24">
        <v>45118.0</v>
      </c>
      <c r="C924" s="24">
        <v>45146.0</v>
      </c>
      <c r="D924" s="24">
        <v>45150.0</v>
      </c>
      <c r="E924" s="24">
        <v>45162.0</v>
      </c>
      <c r="F924" s="6">
        <v>56.0</v>
      </c>
      <c r="G924" s="9" t="str">
        <f>VLOOKUP(operations[productID],products[],2,FALSE)</f>
        <v>Gnocchi di nonna Alice</v>
      </c>
      <c r="H924" s="9" t="str">
        <f>IF(VLOOKUP(operations[productID],products[],7,FALSE)=1,"Discontinued","Current")</f>
        <v>Current</v>
      </c>
      <c r="I924" s="6">
        <f>VLOOKUP(operations[productID],products[],4,FALSE)</f>
        <v>21</v>
      </c>
      <c r="J924" s="6">
        <f>VLOOKUP(operations[productID],products[],5,FALSE)</f>
        <v>10</v>
      </c>
      <c r="K924" s="6">
        <f>VLOOKUP(operations[productID],products[],6,FALSE)</f>
        <v>30</v>
      </c>
      <c r="L924" s="10">
        <f t="array" ref="L924">INDEX('1 orders'!I924:I2156, MATCH(1, ('1 orders'!A924:A2156=A924)*('1 orders'!G924:G2156=F924), 0))
</f>
        <v>5</v>
      </c>
      <c r="M924" s="10">
        <f>IFERROR(__xludf.DUMMYFUNCTION("COUNTUNIQUEIFS($A$2:$A924,$F$2:$F924,F924)"),23.0)</f>
        <v>23</v>
      </c>
      <c r="N924" s="10">
        <f t="shared" si="1"/>
        <v>24</v>
      </c>
      <c r="O924" s="26">
        <f>IF(operations[sinceLastOrder]=0,0,operations[orderQuantity] / operations[sinceLastOrder])</f>
        <v>0.2083333333</v>
      </c>
      <c r="P924" s="9">
        <v>16.34</v>
      </c>
      <c r="Q924" s="7" t="s">
        <v>15</v>
      </c>
      <c r="R924" s="10">
        <f>operations[arrivedDate]-operations[shippedDate]</f>
        <v>12</v>
      </c>
    </row>
    <row r="925" ht="15.75" customHeight="1">
      <c r="A925" s="6">
        <v>10596.0</v>
      </c>
      <c r="B925" s="24">
        <v>45118.0</v>
      </c>
      <c r="C925" s="24">
        <v>45146.0</v>
      </c>
      <c r="D925" s="24">
        <v>45150.0</v>
      </c>
      <c r="E925" s="24">
        <v>45162.0</v>
      </c>
      <c r="F925" s="6">
        <v>63.0</v>
      </c>
      <c r="G925" s="9" t="str">
        <f>VLOOKUP(operations[productID],products[],2,FALSE)</f>
        <v>Vegie-spread</v>
      </c>
      <c r="H925" s="9" t="str">
        <f>IF(VLOOKUP(operations[productID],products[],7,FALSE)=1,"Discontinued","Current")</f>
        <v>Current</v>
      </c>
      <c r="I925" s="6">
        <f>VLOOKUP(operations[productID],products[],4,FALSE)</f>
        <v>24</v>
      </c>
      <c r="J925" s="6">
        <f>VLOOKUP(operations[productID],products[],5,FALSE)</f>
        <v>0</v>
      </c>
      <c r="K925" s="6">
        <f>VLOOKUP(operations[productID],products[],6,FALSE)</f>
        <v>5</v>
      </c>
      <c r="L925" s="10">
        <f t="array" ref="L925">INDEX('1 orders'!I925:I2156, MATCH(1, ('1 orders'!A925:A2156=A925)*('1 orders'!G925:G2156=F925), 0))
</f>
        <v>24</v>
      </c>
      <c r="M925" s="10">
        <f>IFERROR(__xludf.DUMMYFUNCTION("COUNTUNIQUEIFS($A$2:$A925,$F$2:$F925,F925)"),8.0)</f>
        <v>8</v>
      </c>
      <c r="N925" s="10">
        <f t="shared" si="1"/>
        <v>21</v>
      </c>
      <c r="O925" s="26">
        <f>IF(operations[sinceLastOrder]=0,0,operations[orderQuantity] / operations[sinceLastOrder])</f>
        <v>1.142857143</v>
      </c>
      <c r="P925" s="9">
        <v>16.34</v>
      </c>
      <c r="Q925" s="7" t="s">
        <v>15</v>
      </c>
      <c r="R925" s="10">
        <f>operations[arrivedDate]-operations[shippedDate]</f>
        <v>12</v>
      </c>
    </row>
    <row r="926" ht="15.75" customHeight="1">
      <c r="A926" s="6">
        <v>10596.0</v>
      </c>
      <c r="B926" s="24">
        <v>45118.0</v>
      </c>
      <c r="C926" s="24">
        <v>45146.0</v>
      </c>
      <c r="D926" s="24">
        <v>45150.0</v>
      </c>
      <c r="E926" s="24">
        <v>45162.0</v>
      </c>
      <c r="F926" s="6">
        <v>75.0</v>
      </c>
      <c r="G926" s="9" t="str">
        <f>VLOOKUP(operations[productID],products[],2,FALSE)</f>
        <v>Rhönbräu Klosterbier</v>
      </c>
      <c r="H926" s="9" t="str">
        <f>IF(VLOOKUP(operations[productID],products[],7,FALSE)=1,"Discontinued","Current")</f>
        <v>Current</v>
      </c>
      <c r="I926" s="6">
        <f>VLOOKUP(operations[productID],products[],4,FALSE)</f>
        <v>125</v>
      </c>
      <c r="J926" s="6">
        <f>VLOOKUP(operations[productID],products[],5,FALSE)</f>
        <v>0</v>
      </c>
      <c r="K926" s="6">
        <f>VLOOKUP(operations[productID],products[],6,FALSE)</f>
        <v>25</v>
      </c>
      <c r="L926" s="10">
        <f t="array" ref="L926">INDEX('1 orders'!I926:I2156, MATCH(1, ('1 orders'!A926:A2156=A926)*('1 orders'!G926:G2156=F926), 0))
</f>
        <v>30</v>
      </c>
      <c r="M926" s="10">
        <f>IFERROR(__xludf.DUMMYFUNCTION("COUNTUNIQUEIFS($A$2:$A926,$F$2:$F926,F926)"),20.0)</f>
        <v>20</v>
      </c>
      <c r="N926" s="10">
        <f t="shared" si="1"/>
        <v>15</v>
      </c>
      <c r="O926" s="26">
        <f>IF(operations[sinceLastOrder]=0,0,operations[orderQuantity] / operations[sinceLastOrder])</f>
        <v>2</v>
      </c>
      <c r="P926" s="9">
        <v>16.34</v>
      </c>
      <c r="Q926" s="7" t="s">
        <v>15</v>
      </c>
      <c r="R926" s="10">
        <f>operations[arrivedDate]-operations[shippedDate]</f>
        <v>12</v>
      </c>
    </row>
    <row r="927" ht="15.75" customHeight="1">
      <c r="A927" s="6">
        <v>10597.0</v>
      </c>
      <c r="B927" s="24">
        <v>45118.0</v>
      </c>
      <c r="C927" s="24">
        <v>45146.0</v>
      </c>
      <c r="D927" s="24">
        <v>45125.0</v>
      </c>
      <c r="E927" s="24">
        <v>45137.0</v>
      </c>
      <c r="F927" s="6">
        <v>24.0</v>
      </c>
      <c r="G927" s="9" t="str">
        <f>VLOOKUP(operations[productID],products[],2,FALSE)</f>
        <v>Brigadeiros Maravilhosos da Lilian</v>
      </c>
      <c r="H927" s="9" t="str">
        <f>IF(VLOOKUP(operations[productID],products[],7,FALSE)=1,"Discontinued","Current")</f>
        <v>Discontinued</v>
      </c>
      <c r="I927" s="6">
        <f>VLOOKUP(operations[productID],products[],4,FALSE)</f>
        <v>20</v>
      </c>
      <c r="J927" s="6">
        <f>VLOOKUP(operations[productID],products[],5,FALSE)</f>
        <v>0</v>
      </c>
      <c r="K927" s="6">
        <f>VLOOKUP(operations[productID],products[],6,FALSE)</f>
        <v>0</v>
      </c>
      <c r="L927" s="10">
        <f t="array" ref="L927">INDEX('1 orders'!I927:I2156, MATCH(1, ('1 orders'!A927:A2156=A927)*('1 orders'!G927:G2156=F927), 0))
</f>
        <v>35</v>
      </c>
      <c r="M927" s="10">
        <f>IFERROR(__xludf.DUMMYFUNCTION("COUNTUNIQUEIFS($A$2:$A927,$F$2:$F927,F927)"),23.0)</f>
        <v>23</v>
      </c>
      <c r="N927" s="10">
        <f t="shared" si="1"/>
        <v>30</v>
      </c>
      <c r="O927" s="26">
        <f>IF(operations[sinceLastOrder]=0,0,operations[orderQuantity] / operations[sinceLastOrder])</f>
        <v>1.166666667</v>
      </c>
      <c r="P927" s="9">
        <v>35.12</v>
      </c>
      <c r="Q927" s="7" t="s">
        <v>13</v>
      </c>
      <c r="R927" s="10">
        <f>operations[arrivedDate]-operations[shippedDate]</f>
        <v>12</v>
      </c>
    </row>
    <row r="928" ht="15.75" customHeight="1">
      <c r="A928" s="6">
        <v>10597.0</v>
      </c>
      <c r="B928" s="24">
        <v>45118.0</v>
      </c>
      <c r="C928" s="24">
        <v>45146.0</v>
      </c>
      <c r="D928" s="24">
        <v>45125.0</v>
      </c>
      <c r="E928" s="24">
        <v>45137.0</v>
      </c>
      <c r="F928" s="6">
        <v>57.0</v>
      </c>
      <c r="G928" s="9" t="str">
        <f>VLOOKUP(operations[productID],products[],2,FALSE)</f>
        <v>Ravioli Angelo</v>
      </c>
      <c r="H928" s="9" t="str">
        <f>IF(VLOOKUP(operations[productID],products[],7,FALSE)=1,"Discontinued","Current")</f>
        <v>Current</v>
      </c>
      <c r="I928" s="6">
        <f>VLOOKUP(operations[productID],products[],4,FALSE)</f>
        <v>36</v>
      </c>
      <c r="J928" s="6">
        <f>VLOOKUP(operations[productID],products[],5,FALSE)</f>
        <v>0</v>
      </c>
      <c r="K928" s="6">
        <f>VLOOKUP(operations[productID],products[],6,FALSE)</f>
        <v>20</v>
      </c>
      <c r="L928" s="10">
        <f t="array" ref="L928">INDEX('1 orders'!I928:I2156, MATCH(1, ('1 orders'!A928:A2156=A928)*('1 orders'!G928:G2156=F928), 0))
</f>
        <v>20</v>
      </c>
      <c r="M928" s="10">
        <f>IFERROR(__xludf.DUMMYFUNCTION("COUNTUNIQUEIFS($A$2:$A928,$F$2:$F928,F928)"),12.0)</f>
        <v>12</v>
      </c>
      <c r="N928" s="10">
        <f t="shared" si="1"/>
        <v>14</v>
      </c>
      <c r="O928" s="26">
        <f>IF(operations[sinceLastOrder]=0,0,operations[orderQuantity] / operations[sinceLastOrder])</f>
        <v>1.428571429</v>
      </c>
      <c r="P928" s="9">
        <v>35.12</v>
      </c>
      <c r="Q928" s="7" t="s">
        <v>13</v>
      </c>
      <c r="R928" s="10">
        <f>operations[arrivedDate]-operations[shippedDate]</f>
        <v>12</v>
      </c>
    </row>
    <row r="929" ht="15.75" customHeight="1">
      <c r="A929" s="6">
        <v>10597.0</v>
      </c>
      <c r="B929" s="24">
        <v>45118.0</v>
      </c>
      <c r="C929" s="24">
        <v>45146.0</v>
      </c>
      <c r="D929" s="24">
        <v>45125.0</v>
      </c>
      <c r="E929" s="24">
        <v>45137.0</v>
      </c>
      <c r="F929" s="6">
        <v>65.0</v>
      </c>
      <c r="G929" s="9" t="str">
        <f>VLOOKUP(operations[productID],products[],2,FALSE)</f>
        <v>Louisiana Fiery Hot Pepper Sauce</v>
      </c>
      <c r="H929" s="9" t="str">
        <f>IF(VLOOKUP(operations[productID],products[],7,FALSE)=1,"Discontinued","Current")</f>
        <v>Current</v>
      </c>
      <c r="I929" s="6">
        <f>VLOOKUP(operations[productID],products[],4,FALSE)</f>
        <v>76</v>
      </c>
      <c r="J929" s="6">
        <f>VLOOKUP(operations[productID],products[],5,FALSE)</f>
        <v>0</v>
      </c>
      <c r="K929" s="6">
        <f>VLOOKUP(operations[productID],products[],6,FALSE)</f>
        <v>0</v>
      </c>
      <c r="L929" s="10">
        <f t="array" ref="L929">INDEX('1 orders'!I929:I2156, MATCH(1, ('1 orders'!A929:A2156=A929)*('1 orders'!G929:G2156=F929), 0))
</f>
        <v>12</v>
      </c>
      <c r="M929" s="10">
        <f>IFERROR(__xludf.DUMMYFUNCTION("COUNTUNIQUEIFS($A$2:$A929,$F$2:$F929,F929)"),17.0)</f>
        <v>17</v>
      </c>
      <c r="N929" s="10">
        <f t="shared" si="1"/>
        <v>15</v>
      </c>
      <c r="O929" s="26">
        <f>IF(operations[sinceLastOrder]=0,0,operations[orderQuantity] / operations[sinceLastOrder])</f>
        <v>0.8</v>
      </c>
      <c r="P929" s="9">
        <v>35.12</v>
      </c>
      <c r="Q929" s="7" t="s">
        <v>13</v>
      </c>
      <c r="R929" s="10">
        <f>operations[arrivedDate]-operations[shippedDate]</f>
        <v>12</v>
      </c>
    </row>
    <row r="930" ht="15.75" customHeight="1">
      <c r="A930" s="6">
        <v>10598.0</v>
      </c>
      <c r="B930" s="24">
        <v>45121.0</v>
      </c>
      <c r="C930" s="24">
        <v>45149.0</v>
      </c>
      <c r="D930" s="24">
        <v>45125.0</v>
      </c>
      <c r="E930" s="24">
        <v>45140.0</v>
      </c>
      <c r="F930" s="6">
        <v>27.0</v>
      </c>
      <c r="G930" s="9" t="str">
        <f>VLOOKUP(operations[productID],products[],2,FALSE)</f>
        <v>Schoggi Schokolade</v>
      </c>
      <c r="H930" s="9" t="str">
        <f>IF(VLOOKUP(operations[productID],products[],7,FALSE)=1,"Discontinued","Current")</f>
        <v>Current</v>
      </c>
      <c r="I930" s="6">
        <f>VLOOKUP(operations[productID],products[],4,FALSE)</f>
        <v>49</v>
      </c>
      <c r="J930" s="6">
        <f>VLOOKUP(operations[productID],products[],5,FALSE)</f>
        <v>0</v>
      </c>
      <c r="K930" s="6">
        <f>VLOOKUP(operations[productID],products[],6,FALSE)</f>
        <v>30</v>
      </c>
      <c r="L930" s="10">
        <f t="array" ref="L930">INDEX('1 orders'!I930:I2156, MATCH(1, ('1 orders'!A930:A2156=A930)*('1 orders'!G930:G2156=F930), 0))
</f>
        <v>50</v>
      </c>
      <c r="M930" s="10">
        <f>IFERROR(__xludf.DUMMYFUNCTION("COUNTUNIQUEIFS($A$2:$A930,$F$2:$F930,F930)"),5.0)</f>
        <v>5</v>
      </c>
      <c r="N930" s="10">
        <f t="shared" si="1"/>
        <v>82</v>
      </c>
      <c r="O930" s="26">
        <f>IF(operations[sinceLastOrder]=0,0,operations[orderQuantity] / operations[sinceLastOrder])</f>
        <v>0.6097560976</v>
      </c>
      <c r="P930" s="9">
        <v>44.42</v>
      </c>
      <c r="Q930" s="7" t="s">
        <v>13</v>
      </c>
      <c r="R930" s="10">
        <f>operations[arrivedDate]-operations[shippedDate]</f>
        <v>15</v>
      </c>
    </row>
    <row r="931" ht="15.75" customHeight="1">
      <c r="A931" s="6">
        <v>10598.0</v>
      </c>
      <c r="B931" s="24">
        <v>45121.0</v>
      </c>
      <c r="C931" s="24">
        <v>45149.0</v>
      </c>
      <c r="D931" s="24">
        <v>45125.0</v>
      </c>
      <c r="E931" s="24">
        <v>45140.0</v>
      </c>
      <c r="F931" s="6">
        <v>71.0</v>
      </c>
      <c r="G931" s="9" t="str">
        <f>VLOOKUP(operations[productID],products[],2,FALSE)</f>
        <v>Flotemysost</v>
      </c>
      <c r="H931" s="9" t="str">
        <f>IF(VLOOKUP(operations[productID],products[],7,FALSE)=1,"Discontinued","Current")</f>
        <v>Current</v>
      </c>
      <c r="I931" s="6">
        <f>VLOOKUP(operations[productID],products[],4,FALSE)</f>
        <v>26</v>
      </c>
      <c r="J931" s="6">
        <f>VLOOKUP(operations[productID],products[],5,FALSE)</f>
        <v>0</v>
      </c>
      <c r="K931" s="6">
        <f>VLOOKUP(operations[productID],products[],6,FALSE)</f>
        <v>0</v>
      </c>
      <c r="L931" s="10">
        <f t="array" ref="L931">INDEX('1 orders'!I931:I2156, MATCH(1, ('1 orders'!A931:A2156=A931)*('1 orders'!G931:G2156=F931), 0))
</f>
        <v>9</v>
      </c>
      <c r="M931" s="10">
        <f>IFERROR(__xludf.DUMMYFUNCTION("COUNTUNIQUEIFS($A$2:$A931,$F$2:$F931,F931)"),19.0)</f>
        <v>19</v>
      </c>
      <c r="N931" s="10">
        <f t="shared" si="1"/>
        <v>56</v>
      </c>
      <c r="O931" s="26">
        <f>IF(operations[sinceLastOrder]=0,0,operations[orderQuantity] / operations[sinceLastOrder])</f>
        <v>0.1607142857</v>
      </c>
      <c r="P931" s="9">
        <v>44.42</v>
      </c>
      <c r="Q931" s="7" t="s">
        <v>13</v>
      </c>
      <c r="R931" s="10">
        <f>operations[arrivedDate]-operations[shippedDate]</f>
        <v>15</v>
      </c>
    </row>
    <row r="932" ht="15.75" customHeight="1">
      <c r="A932" s="6">
        <v>10599.0</v>
      </c>
      <c r="B932" s="24">
        <v>45122.0</v>
      </c>
      <c r="C932" s="24">
        <v>45164.0</v>
      </c>
      <c r="D932" s="24">
        <v>45128.0</v>
      </c>
      <c r="E932" s="24">
        <v>45136.0</v>
      </c>
      <c r="F932" s="6">
        <v>62.0</v>
      </c>
      <c r="G932" s="9" t="str">
        <f>VLOOKUP(operations[productID],products[],2,FALSE)</f>
        <v>Tarte au sucre</v>
      </c>
      <c r="H932" s="9" t="str">
        <f>IF(VLOOKUP(operations[productID],products[],7,FALSE)=1,"Discontinued","Current")</f>
        <v>Current</v>
      </c>
      <c r="I932" s="6">
        <f>VLOOKUP(operations[productID],products[],4,FALSE)</f>
        <v>17</v>
      </c>
      <c r="J932" s="6">
        <f>VLOOKUP(operations[productID],products[],5,FALSE)</f>
        <v>0</v>
      </c>
      <c r="K932" s="6">
        <f>VLOOKUP(operations[productID],products[],6,FALSE)</f>
        <v>0</v>
      </c>
      <c r="L932" s="10">
        <f t="array" ref="L932">INDEX('1 orders'!I932:I2156, MATCH(1, ('1 orders'!A932:A2156=A932)*('1 orders'!G932:G2156=F932), 0))
</f>
        <v>10</v>
      </c>
      <c r="M932" s="10">
        <f>IFERROR(__xludf.DUMMYFUNCTION("COUNTUNIQUEIFS($A$2:$A932,$F$2:$F932,F932)"),21.0)</f>
        <v>21</v>
      </c>
      <c r="N932" s="10">
        <f t="shared" si="1"/>
        <v>26</v>
      </c>
      <c r="O932" s="26">
        <f>IF(operations[sinceLastOrder]=0,0,operations[orderQuantity] / operations[sinceLastOrder])</f>
        <v>0.3846153846</v>
      </c>
      <c r="P932" s="9">
        <v>29.98</v>
      </c>
      <c r="Q932" s="7" t="s">
        <v>13</v>
      </c>
      <c r="R932" s="10">
        <f>operations[arrivedDate]-operations[shippedDate]</f>
        <v>8</v>
      </c>
    </row>
    <row r="933" ht="15.75" customHeight="1">
      <c r="A933" s="6">
        <v>10600.0</v>
      </c>
      <c r="B933" s="24">
        <v>45123.0</v>
      </c>
      <c r="C933" s="24">
        <v>45151.0</v>
      </c>
      <c r="D933" s="24">
        <v>45128.0</v>
      </c>
      <c r="E933" s="24">
        <v>45143.0</v>
      </c>
      <c r="F933" s="6">
        <v>54.0</v>
      </c>
      <c r="G933" s="9" t="str">
        <f>VLOOKUP(operations[productID],products[],2,FALSE)</f>
        <v>Tourtière</v>
      </c>
      <c r="H933" s="9" t="str">
        <f>IF(VLOOKUP(operations[productID],products[],7,FALSE)=1,"Discontinued","Current")</f>
        <v>Current</v>
      </c>
      <c r="I933" s="6">
        <f>VLOOKUP(operations[productID],products[],4,FALSE)</f>
        <v>21</v>
      </c>
      <c r="J933" s="6">
        <f>VLOOKUP(operations[productID],products[],5,FALSE)</f>
        <v>0</v>
      </c>
      <c r="K933" s="6">
        <f>VLOOKUP(operations[productID],products[],6,FALSE)</f>
        <v>10</v>
      </c>
      <c r="L933" s="10">
        <f t="array" ref="L933">INDEX('1 orders'!I933:I2156, MATCH(1, ('1 orders'!A933:A2156=A933)*('1 orders'!G933:G2156=F933), 0))
</f>
        <v>4</v>
      </c>
      <c r="M933" s="10">
        <f>IFERROR(__xludf.DUMMYFUNCTION("COUNTUNIQUEIFS($A$2:$A933,$F$2:$F933,F933)"),21.0)</f>
        <v>21</v>
      </c>
      <c r="N933" s="10">
        <f t="shared" si="1"/>
        <v>9</v>
      </c>
      <c r="O933" s="26">
        <f>IF(operations[sinceLastOrder]=0,0,operations[orderQuantity] / operations[sinceLastOrder])</f>
        <v>0.4444444444</v>
      </c>
      <c r="P933" s="9">
        <v>45.13</v>
      </c>
      <c r="Q933" s="7" t="s">
        <v>15</v>
      </c>
      <c r="R933" s="10">
        <f>operations[arrivedDate]-operations[shippedDate]</f>
        <v>15</v>
      </c>
    </row>
    <row r="934" ht="15.75" customHeight="1">
      <c r="A934" s="6">
        <v>10600.0</v>
      </c>
      <c r="B934" s="24">
        <v>45123.0</v>
      </c>
      <c r="C934" s="24">
        <v>45151.0</v>
      </c>
      <c r="D934" s="24">
        <v>45128.0</v>
      </c>
      <c r="E934" s="24">
        <v>45143.0</v>
      </c>
      <c r="F934" s="6">
        <v>73.0</v>
      </c>
      <c r="G934" s="9" t="str">
        <f>VLOOKUP(operations[productID],products[],2,FALSE)</f>
        <v>Röd Kaviar</v>
      </c>
      <c r="H934" s="9" t="str">
        <f>IF(VLOOKUP(operations[productID],products[],7,FALSE)=1,"Discontinued","Current")</f>
        <v>Current</v>
      </c>
      <c r="I934" s="6">
        <f>VLOOKUP(operations[productID],products[],4,FALSE)</f>
        <v>101</v>
      </c>
      <c r="J934" s="6">
        <f>VLOOKUP(operations[productID],products[],5,FALSE)</f>
        <v>0</v>
      </c>
      <c r="K934" s="6">
        <f>VLOOKUP(operations[productID],products[],6,FALSE)</f>
        <v>5</v>
      </c>
      <c r="L934" s="10">
        <f t="array" ref="L934">INDEX('1 orders'!I934:I2156, MATCH(1, ('1 orders'!A934:A2156=A934)*('1 orders'!G934:G2156=F934), 0))
</f>
        <v>30</v>
      </c>
      <c r="M934" s="10">
        <f>IFERROR(__xludf.DUMMYFUNCTION("COUNTUNIQUEIFS($A$2:$A934,$F$2:$F934,F934)"),7.0)</f>
        <v>7</v>
      </c>
      <c r="N934" s="10">
        <f t="shared" si="1"/>
        <v>42</v>
      </c>
      <c r="O934" s="26">
        <f>IF(operations[sinceLastOrder]=0,0,operations[orderQuantity] / operations[sinceLastOrder])</f>
        <v>0.7142857143</v>
      </c>
      <c r="P934" s="9">
        <v>45.13</v>
      </c>
      <c r="Q934" s="7" t="s">
        <v>15</v>
      </c>
      <c r="R934" s="10">
        <f>operations[arrivedDate]-operations[shippedDate]</f>
        <v>15</v>
      </c>
    </row>
    <row r="935" ht="15.75" customHeight="1">
      <c r="A935" s="6">
        <v>10601.0</v>
      </c>
      <c r="B935" s="24">
        <v>45123.0</v>
      </c>
      <c r="C935" s="24">
        <v>45165.0</v>
      </c>
      <c r="D935" s="24">
        <v>45129.0</v>
      </c>
      <c r="E935" s="24">
        <v>45139.0</v>
      </c>
      <c r="F935" s="6">
        <v>13.0</v>
      </c>
      <c r="G935" s="9" t="str">
        <f>VLOOKUP(operations[productID],products[],2,FALSE)</f>
        <v>Konbu</v>
      </c>
      <c r="H935" s="9" t="str">
        <f>IF(VLOOKUP(operations[productID],products[],7,FALSE)=1,"Discontinued","Current")</f>
        <v>Current</v>
      </c>
      <c r="I935" s="6">
        <f>VLOOKUP(operations[productID],products[],4,FALSE)</f>
        <v>24</v>
      </c>
      <c r="J935" s="6">
        <f>VLOOKUP(operations[productID],products[],5,FALSE)</f>
        <v>0</v>
      </c>
      <c r="K935" s="6">
        <f>VLOOKUP(operations[productID],products[],6,FALSE)</f>
        <v>5</v>
      </c>
      <c r="L935" s="10">
        <f t="array" ref="L935">INDEX('1 orders'!I935:I2156, MATCH(1, ('1 orders'!A935:A2156=A935)*('1 orders'!G935:G2156=F935), 0))
</f>
        <v>60</v>
      </c>
      <c r="M935" s="10">
        <f>IFERROR(__xludf.DUMMYFUNCTION("COUNTUNIQUEIFS($A$2:$A935,$F$2:$F935,F935)"),12.0)</f>
        <v>12</v>
      </c>
      <c r="N935" s="10">
        <f t="shared" si="1"/>
        <v>61</v>
      </c>
      <c r="O935" s="26">
        <f>IF(operations[sinceLastOrder]=0,0,operations[orderQuantity] / operations[sinceLastOrder])</f>
        <v>0.9836065574</v>
      </c>
      <c r="P935" s="9">
        <v>58.3</v>
      </c>
      <c r="Q935" s="7" t="s">
        <v>15</v>
      </c>
      <c r="R935" s="10">
        <f>operations[arrivedDate]-operations[shippedDate]</f>
        <v>10</v>
      </c>
    </row>
    <row r="936" ht="15.75" customHeight="1">
      <c r="A936" s="6">
        <v>10601.0</v>
      </c>
      <c r="B936" s="24">
        <v>45123.0</v>
      </c>
      <c r="C936" s="24">
        <v>45165.0</v>
      </c>
      <c r="D936" s="24">
        <v>45129.0</v>
      </c>
      <c r="E936" s="24">
        <v>45139.0</v>
      </c>
      <c r="F936" s="6">
        <v>59.0</v>
      </c>
      <c r="G936" s="9" t="str">
        <f>VLOOKUP(operations[productID],products[],2,FALSE)</f>
        <v>Raclette Courdavault</v>
      </c>
      <c r="H936" s="9" t="str">
        <f>IF(VLOOKUP(operations[productID],products[],7,FALSE)=1,"Discontinued","Current")</f>
        <v>Current</v>
      </c>
      <c r="I936" s="6">
        <f>VLOOKUP(operations[productID],products[],4,FALSE)</f>
        <v>79</v>
      </c>
      <c r="J936" s="6">
        <f>VLOOKUP(operations[productID],products[],5,FALSE)</f>
        <v>0</v>
      </c>
      <c r="K936" s="6">
        <f>VLOOKUP(operations[productID],products[],6,FALSE)</f>
        <v>0</v>
      </c>
      <c r="L936" s="10">
        <f t="array" ref="L936">INDEX('1 orders'!I936:I2156, MATCH(1, ('1 orders'!A936:A2156=A936)*('1 orders'!G936:G2156=F936), 0))
</f>
        <v>35</v>
      </c>
      <c r="M936" s="10">
        <f>IFERROR(__xludf.DUMMYFUNCTION("COUNTUNIQUEIFS($A$2:$A936,$F$2:$F936,F936)"),25.0)</f>
        <v>25</v>
      </c>
      <c r="N936" s="10">
        <f t="shared" si="1"/>
        <v>26</v>
      </c>
      <c r="O936" s="26">
        <f>IF(operations[sinceLastOrder]=0,0,operations[orderQuantity] / operations[sinceLastOrder])</f>
        <v>1.346153846</v>
      </c>
      <c r="P936" s="9">
        <v>58.3</v>
      </c>
      <c r="Q936" s="7" t="s">
        <v>15</v>
      </c>
      <c r="R936" s="10">
        <f>operations[arrivedDate]-operations[shippedDate]</f>
        <v>10</v>
      </c>
    </row>
    <row r="937" ht="15.75" customHeight="1">
      <c r="A937" s="6">
        <v>10602.0</v>
      </c>
      <c r="B937" s="24">
        <v>45124.0</v>
      </c>
      <c r="C937" s="24">
        <v>45152.0</v>
      </c>
      <c r="D937" s="24">
        <v>45129.0</v>
      </c>
      <c r="E937" s="24">
        <v>45145.0</v>
      </c>
      <c r="F937" s="6">
        <v>77.0</v>
      </c>
      <c r="G937" s="9" t="str">
        <f>VLOOKUP(operations[productID],products[],2,FALSE)</f>
        <v>Original Frankfurter grüne Soße</v>
      </c>
      <c r="H937" s="9" t="str">
        <f>IF(VLOOKUP(operations[productID],products[],7,FALSE)=1,"Discontinued","Current")</f>
        <v>Current</v>
      </c>
      <c r="I937" s="6">
        <f>VLOOKUP(operations[productID],products[],4,FALSE)</f>
        <v>32</v>
      </c>
      <c r="J937" s="6">
        <f>VLOOKUP(operations[productID],products[],5,FALSE)</f>
        <v>0</v>
      </c>
      <c r="K937" s="6">
        <f>VLOOKUP(operations[productID],products[],6,FALSE)</f>
        <v>15</v>
      </c>
      <c r="L937" s="10">
        <f t="array" ref="L937">INDEX('1 orders'!I937:I2156, MATCH(1, ('1 orders'!A937:A2156=A937)*('1 orders'!G937:G2156=F937), 0))
</f>
        <v>5</v>
      </c>
      <c r="M937" s="10">
        <f>IFERROR(__xludf.DUMMYFUNCTION("COUNTUNIQUEIFS($A$2:$A937,$F$2:$F937,F937)"),18.0)</f>
        <v>18</v>
      </c>
      <c r="N937" s="10">
        <f t="shared" si="1"/>
        <v>10</v>
      </c>
      <c r="O937" s="26">
        <f>IF(operations[sinceLastOrder]=0,0,operations[orderQuantity] / operations[sinceLastOrder])</f>
        <v>0.5</v>
      </c>
      <c r="P937" s="9">
        <v>2.92</v>
      </c>
      <c r="Q937" s="7" t="s">
        <v>17</v>
      </c>
      <c r="R937" s="10">
        <f>operations[arrivedDate]-operations[shippedDate]</f>
        <v>16</v>
      </c>
    </row>
    <row r="938" ht="15.75" customHeight="1">
      <c r="A938" s="6">
        <v>10603.0</v>
      </c>
      <c r="B938" s="24">
        <v>45125.0</v>
      </c>
      <c r="C938" s="24">
        <v>45153.0</v>
      </c>
      <c r="D938" s="24">
        <v>45146.0</v>
      </c>
      <c r="E938" s="24">
        <v>45162.0</v>
      </c>
      <c r="F938" s="6">
        <v>22.0</v>
      </c>
      <c r="G938" s="9" t="str">
        <f>VLOOKUP(operations[productID],products[],2,FALSE)</f>
        <v>Gustaf's Knäckebröd</v>
      </c>
      <c r="H938" s="9" t="str">
        <f>IF(VLOOKUP(operations[productID],products[],7,FALSE)=1,"Discontinued","Current")</f>
        <v>Current</v>
      </c>
      <c r="I938" s="6">
        <f>VLOOKUP(operations[productID],products[],4,FALSE)</f>
        <v>104</v>
      </c>
      <c r="J938" s="6">
        <f>VLOOKUP(operations[productID],products[],5,FALSE)</f>
        <v>0</v>
      </c>
      <c r="K938" s="6">
        <f>VLOOKUP(operations[productID],products[],6,FALSE)</f>
        <v>25</v>
      </c>
      <c r="L938" s="10">
        <f t="array" ref="L938">INDEX('1 orders'!I938:I2156, MATCH(1, ('1 orders'!A938:A2156=A938)*('1 orders'!G938:G2156=F938), 0))
</f>
        <v>48</v>
      </c>
      <c r="M938" s="10">
        <f>IFERROR(__xludf.DUMMYFUNCTION("COUNTUNIQUEIFS($A$2:$A938,$F$2:$F938,F938)"),4.0)</f>
        <v>4</v>
      </c>
      <c r="N938" s="10">
        <f t="shared" si="1"/>
        <v>49</v>
      </c>
      <c r="O938" s="26">
        <f>IF(operations[sinceLastOrder]=0,0,operations[orderQuantity] / operations[sinceLastOrder])</f>
        <v>0.9795918367</v>
      </c>
      <c r="P938" s="9">
        <v>48.77</v>
      </c>
      <c r="Q938" s="7" t="s">
        <v>17</v>
      </c>
      <c r="R938" s="10">
        <f>operations[arrivedDate]-operations[shippedDate]</f>
        <v>16</v>
      </c>
    </row>
    <row r="939" ht="15.75" customHeight="1">
      <c r="A939" s="6">
        <v>10603.0</v>
      </c>
      <c r="B939" s="24">
        <v>45125.0</v>
      </c>
      <c r="C939" s="24">
        <v>45153.0</v>
      </c>
      <c r="D939" s="24">
        <v>45146.0</v>
      </c>
      <c r="E939" s="24">
        <v>45162.0</v>
      </c>
      <c r="F939" s="6">
        <v>49.0</v>
      </c>
      <c r="G939" s="9" t="str">
        <f>VLOOKUP(operations[productID],products[],2,FALSE)</f>
        <v>Maxilaku</v>
      </c>
      <c r="H939" s="9" t="str">
        <f>IF(VLOOKUP(operations[productID],products[],7,FALSE)=1,"Discontinued","Current")</f>
        <v>Current</v>
      </c>
      <c r="I939" s="6">
        <f>VLOOKUP(operations[productID],products[],4,FALSE)</f>
        <v>10</v>
      </c>
      <c r="J939" s="6">
        <f>VLOOKUP(operations[productID],products[],5,FALSE)</f>
        <v>60</v>
      </c>
      <c r="K939" s="6">
        <f>VLOOKUP(operations[productID],products[],6,FALSE)</f>
        <v>15</v>
      </c>
      <c r="L939" s="10">
        <f t="array" ref="L939">INDEX('1 orders'!I939:I2156, MATCH(1, ('1 orders'!A939:A2156=A939)*('1 orders'!G939:G2156=F939), 0))
</f>
        <v>25</v>
      </c>
      <c r="M939" s="10">
        <f>IFERROR(__xludf.DUMMYFUNCTION("COUNTUNIQUEIFS($A$2:$A939,$F$2:$F939,F939)"),11.0)</f>
        <v>11</v>
      </c>
      <c r="N939" s="10">
        <f t="shared" si="1"/>
        <v>63</v>
      </c>
      <c r="O939" s="26">
        <f>IF(operations[sinceLastOrder]=0,0,operations[orderQuantity] / operations[sinceLastOrder])</f>
        <v>0.3968253968</v>
      </c>
      <c r="P939" s="9">
        <v>48.77</v>
      </c>
      <c r="Q939" s="7" t="s">
        <v>17</v>
      </c>
      <c r="R939" s="10">
        <f>operations[arrivedDate]-operations[shippedDate]</f>
        <v>16</v>
      </c>
    </row>
    <row r="940" ht="15.75" customHeight="1">
      <c r="A940" s="6">
        <v>10604.0</v>
      </c>
      <c r="B940" s="24">
        <v>45125.0</v>
      </c>
      <c r="C940" s="24">
        <v>45153.0</v>
      </c>
      <c r="D940" s="24">
        <v>45136.0</v>
      </c>
      <c r="E940" s="24">
        <v>45147.0</v>
      </c>
      <c r="F940" s="6">
        <v>48.0</v>
      </c>
      <c r="G940" s="9" t="str">
        <f>VLOOKUP(operations[productID],products[],2,FALSE)</f>
        <v>Chocolade</v>
      </c>
      <c r="H940" s="9" t="str">
        <f>IF(VLOOKUP(operations[productID],products[],7,FALSE)=1,"Discontinued","Current")</f>
        <v>Current</v>
      </c>
      <c r="I940" s="6">
        <f>VLOOKUP(operations[productID],products[],4,FALSE)</f>
        <v>15</v>
      </c>
      <c r="J940" s="6">
        <f>VLOOKUP(operations[productID],products[],5,FALSE)</f>
        <v>70</v>
      </c>
      <c r="K940" s="6">
        <f>VLOOKUP(operations[productID],products[],6,FALSE)</f>
        <v>25</v>
      </c>
      <c r="L940" s="10">
        <f t="array" ref="L940">INDEX('1 orders'!I940:I2156, MATCH(1, ('1 orders'!A940:A2156=A940)*('1 orders'!G940:G2156=F940), 0))
</f>
        <v>6</v>
      </c>
      <c r="M940" s="10">
        <f>IFERROR(__xludf.DUMMYFUNCTION("COUNTUNIQUEIFS($A$2:$A940,$F$2:$F940,F940)"),4.0)</f>
        <v>4</v>
      </c>
      <c r="N940" s="10">
        <f t="shared" si="1"/>
        <v>94</v>
      </c>
      <c r="O940" s="26">
        <f>IF(operations[sinceLastOrder]=0,0,operations[orderQuantity] / operations[sinceLastOrder])</f>
        <v>0.06382978723</v>
      </c>
      <c r="P940" s="9">
        <v>7.46</v>
      </c>
      <c r="Q940" s="7" t="s">
        <v>15</v>
      </c>
      <c r="R940" s="10">
        <f>operations[arrivedDate]-operations[shippedDate]</f>
        <v>11</v>
      </c>
    </row>
    <row r="941" ht="15.75" customHeight="1">
      <c r="A941" s="6">
        <v>10604.0</v>
      </c>
      <c r="B941" s="24">
        <v>45125.0</v>
      </c>
      <c r="C941" s="24">
        <v>45153.0</v>
      </c>
      <c r="D941" s="24">
        <v>45136.0</v>
      </c>
      <c r="E941" s="24">
        <v>45147.0</v>
      </c>
      <c r="F941" s="6">
        <v>76.0</v>
      </c>
      <c r="G941" s="9" t="str">
        <f>VLOOKUP(operations[productID],products[],2,FALSE)</f>
        <v>Lakkalikööri</v>
      </c>
      <c r="H941" s="9" t="str">
        <f>IF(VLOOKUP(operations[productID],products[],7,FALSE)=1,"Discontinued","Current")</f>
        <v>Current</v>
      </c>
      <c r="I941" s="6">
        <f>VLOOKUP(operations[productID],products[],4,FALSE)</f>
        <v>57</v>
      </c>
      <c r="J941" s="6">
        <f>VLOOKUP(operations[productID],products[],5,FALSE)</f>
        <v>0</v>
      </c>
      <c r="K941" s="6">
        <f>VLOOKUP(operations[productID],products[],6,FALSE)</f>
        <v>20</v>
      </c>
      <c r="L941" s="10">
        <f t="array" ref="L941">INDEX('1 orders'!I941:I2156, MATCH(1, ('1 orders'!A941:A2156=A941)*('1 orders'!G941:G2156=F941), 0))
</f>
        <v>10</v>
      </c>
      <c r="M941" s="10">
        <f>IFERROR(__xludf.DUMMYFUNCTION("COUNTUNIQUEIFS($A$2:$A941,$F$2:$F941,F941)"),18.0)</f>
        <v>18</v>
      </c>
      <c r="N941" s="10">
        <f t="shared" si="1"/>
        <v>9</v>
      </c>
      <c r="O941" s="26">
        <f>IF(operations[sinceLastOrder]=0,0,operations[orderQuantity] / operations[sinceLastOrder])</f>
        <v>1.111111111</v>
      </c>
      <c r="P941" s="9">
        <v>7.46</v>
      </c>
      <c r="Q941" s="7" t="s">
        <v>15</v>
      </c>
      <c r="R941" s="10">
        <f>operations[arrivedDate]-operations[shippedDate]</f>
        <v>11</v>
      </c>
    </row>
    <row r="942" ht="15.75" customHeight="1">
      <c r="A942" s="6">
        <v>10605.0</v>
      </c>
      <c r="B942" s="24">
        <v>45128.0</v>
      </c>
      <c r="C942" s="24">
        <v>45156.0</v>
      </c>
      <c r="D942" s="24">
        <v>45136.0</v>
      </c>
      <c r="E942" s="24">
        <v>45153.0</v>
      </c>
      <c r="F942" s="6">
        <v>16.0</v>
      </c>
      <c r="G942" s="9" t="str">
        <f>VLOOKUP(operations[productID],products[],2,FALSE)</f>
        <v>Pavlova</v>
      </c>
      <c r="H942" s="9" t="str">
        <f>IF(VLOOKUP(operations[productID],products[],7,FALSE)=1,"Discontinued","Current")</f>
        <v>Current</v>
      </c>
      <c r="I942" s="6">
        <f>VLOOKUP(operations[productID],products[],4,FALSE)</f>
        <v>29</v>
      </c>
      <c r="J942" s="6">
        <f>VLOOKUP(operations[productID],products[],5,FALSE)</f>
        <v>0</v>
      </c>
      <c r="K942" s="6">
        <f>VLOOKUP(operations[productID],products[],6,FALSE)</f>
        <v>10</v>
      </c>
      <c r="L942" s="10">
        <f t="array" ref="L942">INDEX('1 orders'!I942:I2156, MATCH(1, ('1 orders'!A942:A2156=A942)*('1 orders'!G942:G2156=F942), 0))
</f>
        <v>30</v>
      </c>
      <c r="M942" s="10">
        <f>IFERROR(__xludf.DUMMYFUNCTION("COUNTUNIQUEIFS($A$2:$A942,$F$2:$F942,F942)"),19.0)</f>
        <v>19</v>
      </c>
      <c r="N942" s="10">
        <f t="shared" si="1"/>
        <v>33</v>
      </c>
      <c r="O942" s="26">
        <f>IF(operations[sinceLastOrder]=0,0,operations[orderQuantity] / operations[sinceLastOrder])</f>
        <v>0.9090909091</v>
      </c>
      <c r="P942" s="9">
        <v>379.13</v>
      </c>
      <c r="Q942" s="7" t="s">
        <v>17</v>
      </c>
      <c r="R942" s="10">
        <f>operations[arrivedDate]-operations[shippedDate]</f>
        <v>17</v>
      </c>
    </row>
    <row r="943" ht="15.75" customHeight="1">
      <c r="A943" s="6">
        <v>10605.0</v>
      </c>
      <c r="B943" s="24">
        <v>45128.0</v>
      </c>
      <c r="C943" s="24">
        <v>45156.0</v>
      </c>
      <c r="D943" s="24">
        <v>45136.0</v>
      </c>
      <c r="E943" s="24">
        <v>45153.0</v>
      </c>
      <c r="F943" s="6">
        <v>59.0</v>
      </c>
      <c r="G943" s="9" t="str">
        <f>VLOOKUP(operations[productID],products[],2,FALSE)</f>
        <v>Raclette Courdavault</v>
      </c>
      <c r="H943" s="9" t="str">
        <f>IF(VLOOKUP(operations[productID],products[],7,FALSE)=1,"Discontinued","Current")</f>
        <v>Current</v>
      </c>
      <c r="I943" s="6">
        <f>VLOOKUP(operations[productID],products[],4,FALSE)</f>
        <v>79</v>
      </c>
      <c r="J943" s="6">
        <f>VLOOKUP(operations[productID],products[],5,FALSE)</f>
        <v>0</v>
      </c>
      <c r="K943" s="6">
        <f>VLOOKUP(operations[productID],products[],6,FALSE)</f>
        <v>0</v>
      </c>
      <c r="L943" s="10">
        <f t="array" ref="L943">INDEX('1 orders'!I943:I2156, MATCH(1, ('1 orders'!A943:A2156=A943)*('1 orders'!G943:G2156=F943), 0))
</f>
        <v>20</v>
      </c>
      <c r="M943" s="10">
        <f>IFERROR(__xludf.DUMMYFUNCTION("COUNTUNIQUEIFS($A$2:$A943,$F$2:$F943,F943)"),26.0)</f>
        <v>26</v>
      </c>
      <c r="N943" s="10">
        <f t="shared" si="1"/>
        <v>5</v>
      </c>
      <c r="O943" s="26">
        <f>IF(operations[sinceLastOrder]=0,0,operations[orderQuantity] / operations[sinceLastOrder])</f>
        <v>4</v>
      </c>
      <c r="P943" s="9">
        <v>379.13</v>
      </c>
      <c r="Q943" s="7" t="s">
        <v>17</v>
      </c>
      <c r="R943" s="10">
        <f>operations[arrivedDate]-operations[shippedDate]</f>
        <v>17</v>
      </c>
    </row>
    <row r="944" ht="15.75" customHeight="1">
      <c r="A944" s="6">
        <v>10605.0</v>
      </c>
      <c r="B944" s="24">
        <v>45128.0</v>
      </c>
      <c r="C944" s="24">
        <v>45156.0</v>
      </c>
      <c r="D944" s="24">
        <v>45136.0</v>
      </c>
      <c r="E944" s="24">
        <v>45153.0</v>
      </c>
      <c r="F944" s="6">
        <v>60.0</v>
      </c>
      <c r="G944" s="9" t="str">
        <f>VLOOKUP(operations[productID],products[],2,FALSE)</f>
        <v>Camembert Pierrot</v>
      </c>
      <c r="H944" s="9" t="str">
        <f>IF(VLOOKUP(operations[productID],products[],7,FALSE)=1,"Discontinued","Current")</f>
        <v>Current</v>
      </c>
      <c r="I944" s="6">
        <f>VLOOKUP(operations[productID],products[],4,FALSE)</f>
        <v>19</v>
      </c>
      <c r="J944" s="6">
        <f>VLOOKUP(operations[productID],products[],5,FALSE)</f>
        <v>0</v>
      </c>
      <c r="K944" s="6">
        <f>VLOOKUP(operations[productID],products[],6,FALSE)</f>
        <v>0</v>
      </c>
      <c r="L944" s="10">
        <f t="array" ref="L944">INDEX('1 orders'!I944:I2156, MATCH(1, ('1 orders'!A944:A2156=A944)*('1 orders'!G944:G2156=F944), 0))
</f>
        <v>70</v>
      </c>
      <c r="M944" s="10">
        <f>IFERROR(__xludf.DUMMYFUNCTION("COUNTUNIQUEIFS($A$2:$A944,$F$2:$F944,F944)"),20.0)</f>
        <v>20</v>
      </c>
      <c r="N944" s="10">
        <f t="shared" si="1"/>
        <v>21</v>
      </c>
      <c r="O944" s="26">
        <f>IF(operations[sinceLastOrder]=0,0,operations[orderQuantity] / operations[sinceLastOrder])</f>
        <v>3.333333333</v>
      </c>
      <c r="P944" s="9">
        <v>379.13</v>
      </c>
      <c r="Q944" s="7" t="s">
        <v>17</v>
      </c>
      <c r="R944" s="10">
        <f>operations[arrivedDate]-operations[shippedDate]</f>
        <v>17</v>
      </c>
    </row>
    <row r="945" ht="15.75" customHeight="1">
      <c r="A945" s="6">
        <v>10605.0</v>
      </c>
      <c r="B945" s="24">
        <v>45128.0</v>
      </c>
      <c r="C945" s="24">
        <v>45156.0</v>
      </c>
      <c r="D945" s="24">
        <v>45136.0</v>
      </c>
      <c r="E945" s="24">
        <v>45153.0</v>
      </c>
      <c r="F945" s="6">
        <v>71.0</v>
      </c>
      <c r="G945" s="9" t="str">
        <f>VLOOKUP(operations[productID],products[],2,FALSE)</f>
        <v>Flotemysost</v>
      </c>
      <c r="H945" s="9" t="str">
        <f>IF(VLOOKUP(operations[productID],products[],7,FALSE)=1,"Discontinued","Current")</f>
        <v>Current</v>
      </c>
      <c r="I945" s="6">
        <f>VLOOKUP(operations[productID],products[],4,FALSE)</f>
        <v>26</v>
      </c>
      <c r="J945" s="6">
        <f>VLOOKUP(operations[productID],products[],5,FALSE)</f>
        <v>0</v>
      </c>
      <c r="K945" s="6">
        <f>VLOOKUP(operations[productID],products[],6,FALSE)</f>
        <v>0</v>
      </c>
      <c r="L945" s="10">
        <f t="array" ref="L945">INDEX('1 orders'!I945:I2156, MATCH(1, ('1 orders'!A945:A2156=A945)*('1 orders'!G945:G2156=F945), 0))
</f>
        <v>15</v>
      </c>
      <c r="M945" s="10">
        <f>IFERROR(__xludf.DUMMYFUNCTION("COUNTUNIQUEIFS($A$2:$A945,$F$2:$F945,F945)"),20.0)</f>
        <v>20</v>
      </c>
      <c r="N945" s="10">
        <f t="shared" si="1"/>
        <v>7</v>
      </c>
      <c r="O945" s="26">
        <f>IF(operations[sinceLastOrder]=0,0,operations[orderQuantity] / operations[sinceLastOrder])</f>
        <v>2.142857143</v>
      </c>
      <c r="P945" s="9">
        <v>379.13</v>
      </c>
      <c r="Q945" s="7" t="s">
        <v>17</v>
      </c>
      <c r="R945" s="10">
        <f>operations[arrivedDate]-operations[shippedDate]</f>
        <v>17</v>
      </c>
    </row>
    <row r="946" ht="15.75" customHeight="1">
      <c r="A946" s="6">
        <v>10606.0</v>
      </c>
      <c r="B946" s="24">
        <v>45129.0</v>
      </c>
      <c r="C946" s="24">
        <v>45157.0</v>
      </c>
      <c r="D946" s="24">
        <v>45138.0</v>
      </c>
      <c r="E946" s="24">
        <v>45157.0</v>
      </c>
      <c r="F946" s="6">
        <v>4.0</v>
      </c>
      <c r="G946" s="9" t="str">
        <f>VLOOKUP(operations[productID],products[],2,FALSE)</f>
        <v>Chef Anton's Cajun Seasoning</v>
      </c>
      <c r="H946" s="9" t="str">
        <f>IF(VLOOKUP(operations[productID],products[],7,FALSE)=1,"Discontinued","Current")</f>
        <v>Current</v>
      </c>
      <c r="I946" s="6">
        <f>VLOOKUP(operations[productID],products[],4,FALSE)</f>
        <v>53</v>
      </c>
      <c r="J946" s="6">
        <f>VLOOKUP(operations[productID],products[],5,FALSE)</f>
        <v>0</v>
      </c>
      <c r="K946" s="6">
        <f>VLOOKUP(operations[productID],products[],6,FALSE)</f>
        <v>0</v>
      </c>
      <c r="L946" s="10">
        <f t="array" ref="L946">INDEX('1 orders'!I946:I2156, MATCH(1, ('1 orders'!A946:A2156=A946)*('1 orders'!G946:G2156=F946), 0))
</f>
        <v>20</v>
      </c>
      <c r="M946" s="10">
        <f>IFERROR(__xludf.DUMMYFUNCTION("COUNTUNIQUEIFS($A$2:$A946,$F$2:$F946,F946)"),10.0)</f>
        <v>10</v>
      </c>
      <c r="N946" s="10">
        <f t="shared" si="1"/>
        <v>71</v>
      </c>
      <c r="O946" s="26">
        <f>IF(operations[sinceLastOrder]=0,0,operations[orderQuantity] / operations[sinceLastOrder])</f>
        <v>0.2816901408</v>
      </c>
      <c r="P946" s="9">
        <v>79.4</v>
      </c>
      <c r="Q946" s="7" t="s">
        <v>13</v>
      </c>
      <c r="R946" s="10">
        <f>operations[arrivedDate]-operations[shippedDate]</f>
        <v>19</v>
      </c>
    </row>
    <row r="947" ht="15.75" customHeight="1">
      <c r="A947" s="6">
        <v>10606.0</v>
      </c>
      <c r="B947" s="24">
        <v>45129.0</v>
      </c>
      <c r="C947" s="24">
        <v>45157.0</v>
      </c>
      <c r="D947" s="24">
        <v>45138.0</v>
      </c>
      <c r="E947" s="24">
        <v>45157.0</v>
      </c>
      <c r="F947" s="6">
        <v>55.0</v>
      </c>
      <c r="G947" s="9" t="str">
        <f>VLOOKUP(operations[productID],products[],2,FALSE)</f>
        <v>Pâté chinois</v>
      </c>
      <c r="H947" s="9" t="str">
        <f>IF(VLOOKUP(operations[productID],products[],7,FALSE)=1,"Discontinued","Current")</f>
        <v>Current</v>
      </c>
      <c r="I947" s="6">
        <f>VLOOKUP(operations[productID],products[],4,FALSE)</f>
        <v>115</v>
      </c>
      <c r="J947" s="6">
        <f>VLOOKUP(operations[productID],products[],5,FALSE)</f>
        <v>0</v>
      </c>
      <c r="K947" s="6">
        <f>VLOOKUP(operations[productID],products[],6,FALSE)</f>
        <v>20</v>
      </c>
      <c r="L947" s="10">
        <f t="array" ref="L947">INDEX('1 orders'!I947:I2156, MATCH(1, ('1 orders'!A947:A2156=A947)*('1 orders'!G947:G2156=F947), 0))
</f>
        <v>20</v>
      </c>
      <c r="M947" s="10">
        <f>IFERROR(__xludf.DUMMYFUNCTION("COUNTUNIQUEIFS($A$2:$A947,$F$2:$F947,F947)"),15.0)</f>
        <v>15</v>
      </c>
      <c r="N947" s="10">
        <f t="shared" si="1"/>
        <v>42</v>
      </c>
      <c r="O947" s="26">
        <f>IF(operations[sinceLastOrder]=0,0,operations[orderQuantity] / operations[sinceLastOrder])</f>
        <v>0.4761904762</v>
      </c>
      <c r="P947" s="9">
        <v>79.4</v>
      </c>
      <c r="Q947" s="7" t="s">
        <v>13</v>
      </c>
      <c r="R947" s="10">
        <f>operations[arrivedDate]-operations[shippedDate]</f>
        <v>19</v>
      </c>
    </row>
    <row r="948" ht="15.75" customHeight="1">
      <c r="A948" s="6">
        <v>10606.0</v>
      </c>
      <c r="B948" s="24">
        <v>45129.0</v>
      </c>
      <c r="C948" s="24">
        <v>45157.0</v>
      </c>
      <c r="D948" s="24">
        <v>45138.0</v>
      </c>
      <c r="E948" s="24">
        <v>45157.0</v>
      </c>
      <c r="F948" s="6">
        <v>62.0</v>
      </c>
      <c r="G948" s="9" t="str">
        <f>VLOOKUP(operations[productID],products[],2,FALSE)</f>
        <v>Tarte au sucre</v>
      </c>
      <c r="H948" s="9" t="str">
        <f>IF(VLOOKUP(operations[productID],products[],7,FALSE)=1,"Discontinued","Current")</f>
        <v>Current</v>
      </c>
      <c r="I948" s="6">
        <f>VLOOKUP(operations[productID],products[],4,FALSE)</f>
        <v>17</v>
      </c>
      <c r="J948" s="6">
        <f>VLOOKUP(operations[productID],products[],5,FALSE)</f>
        <v>0</v>
      </c>
      <c r="K948" s="6">
        <f>VLOOKUP(operations[productID],products[],6,FALSE)</f>
        <v>0</v>
      </c>
      <c r="L948" s="10">
        <f t="array" ref="L948">INDEX('1 orders'!I948:I2156, MATCH(1, ('1 orders'!A948:A2156=A948)*('1 orders'!G948:G2156=F948), 0))
</f>
        <v>10</v>
      </c>
      <c r="M948" s="10">
        <f>IFERROR(__xludf.DUMMYFUNCTION("COUNTUNIQUEIFS($A$2:$A948,$F$2:$F948,F948)"),22.0)</f>
        <v>22</v>
      </c>
      <c r="N948" s="10">
        <f t="shared" si="1"/>
        <v>7</v>
      </c>
      <c r="O948" s="26">
        <f>IF(operations[sinceLastOrder]=0,0,operations[orderQuantity] / operations[sinceLastOrder])</f>
        <v>1.428571429</v>
      </c>
      <c r="P948" s="9">
        <v>79.4</v>
      </c>
      <c r="Q948" s="7" t="s">
        <v>13</v>
      </c>
      <c r="R948" s="10">
        <f>operations[arrivedDate]-operations[shippedDate]</f>
        <v>19</v>
      </c>
    </row>
    <row r="949" ht="15.75" customHeight="1">
      <c r="A949" s="6">
        <v>10607.0</v>
      </c>
      <c r="B949" s="24">
        <v>45129.0</v>
      </c>
      <c r="C949" s="24">
        <v>45157.0</v>
      </c>
      <c r="D949" s="24">
        <v>45132.0</v>
      </c>
      <c r="E949" s="24">
        <v>45144.0</v>
      </c>
      <c r="F949" s="6">
        <v>7.0</v>
      </c>
      <c r="G949" s="9" t="str">
        <f>VLOOKUP(operations[productID],products[],2,FALSE)</f>
        <v>Uncle Bob's Organic Dried Pears</v>
      </c>
      <c r="H949" s="9" t="str">
        <f>IF(VLOOKUP(operations[productID],products[],7,FALSE)=1,"Discontinued","Current")</f>
        <v>Current</v>
      </c>
      <c r="I949" s="6">
        <f>VLOOKUP(operations[productID],products[],4,FALSE)</f>
        <v>15</v>
      </c>
      <c r="J949" s="6">
        <f>VLOOKUP(operations[productID],products[],5,FALSE)</f>
        <v>0</v>
      </c>
      <c r="K949" s="6">
        <f>VLOOKUP(operations[productID],products[],6,FALSE)</f>
        <v>10</v>
      </c>
      <c r="L949" s="10">
        <f t="array" ref="L949">INDEX('1 orders'!I949:I2156, MATCH(1, ('1 orders'!A949:A2156=A949)*('1 orders'!G949:G2156=F949), 0))
</f>
        <v>45</v>
      </c>
      <c r="M949" s="10">
        <f>IFERROR(__xludf.DUMMYFUNCTION("COUNTUNIQUEIFS($A$2:$A949,$F$2:$F949,F949)"),8.0)</f>
        <v>8</v>
      </c>
      <c r="N949" s="10">
        <f t="shared" si="1"/>
        <v>15</v>
      </c>
      <c r="O949" s="26">
        <f>IF(operations[sinceLastOrder]=0,0,operations[orderQuantity] / operations[sinceLastOrder])</f>
        <v>3</v>
      </c>
      <c r="P949" s="9">
        <v>200.24</v>
      </c>
      <c r="Q949" s="7" t="s">
        <v>15</v>
      </c>
      <c r="R949" s="10">
        <f>operations[arrivedDate]-operations[shippedDate]</f>
        <v>12</v>
      </c>
    </row>
    <row r="950" ht="15.75" customHeight="1">
      <c r="A950" s="6">
        <v>10607.0</v>
      </c>
      <c r="B950" s="24">
        <v>45129.0</v>
      </c>
      <c r="C950" s="24">
        <v>45157.0</v>
      </c>
      <c r="D950" s="24">
        <v>45132.0</v>
      </c>
      <c r="E950" s="24">
        <v>45144.0</v>
      </c>
      <c r="F950" s="6">
        <v>17.0</v>
      </c>
      <c r="G950" s="9" t="str">
        <f>VLOOKUP(operations[productID],products[],2,FALSE)</f>
        <v>Alice Mutton</v>
      </c>
      <c r="H950" s="9" t="str">
        <f>IF(VLOOKUP(operations[productID],products[],7,FALSE)=1,"Discontinued","Current")</f>
        <v>Discontinued</v>
      </c>
      <c r="I950" s="6">
        <f>VLOOKUP(operations[productID],products[],4,FALSE)</f>
        <v>0</v>
      </c>
      <c r="J950" s="6">
        <f>VLOOKUP(operations[productID],products[],5,FALSE)</f>
        <v>0</v>
      </c>
      <c r="K950" s="6">
        <f>VLOOKUP(operations[productID],products[],6,FALSE)</f>
        <v>0</v>
      </c>
      <c r="L950" s="10">
        <f t="array" ref="L950">INDEX('1 orders'!I950:I2156, MATCH(1, ('1 orders'!A950:A2156=A950)*('1 orders'!G950:G2156=F950), 0))
</f>
        <v>100</v>
      </c>
      <c r="M950" s="10">
        <f>IFERROR(__xludf.DUMMYFUNCTION("COUNTUNIQUEIFS($A$2:$A950,$F$2:$F950,F950)"),18.0)</f>
        <v>18</v>
      </c>
      <c r="N950" s="10">
        <f t="shared" si="1"/>
        <v>33</v>
      </c>
      <c r="O950" s="26">
        <f>IF(operations[sinceLastOrder]=0,0,operations[orderQuantity] / operations[sinceLastOrder])</f>
        <v>3.03030303</v>
      </c>
      <c r="P950" s="9">
        <v>200.24</v>
      </c>
      <c r="Q950" s="7" t="s">
        <v>15</v>
      </c>
      <c r="R950" s="10">
        <f>operations[arrivedDate]-operations[shippedDate]</f>
        <v>12</v>
      </c>
    </row>
    <row r="951" ht="15.75" customHeight="1">
      <c r="A951" s="6">
        <v>10607.0</v>
      </c>
      <c r="B951" s="24">
        <v>45129.0</v>
      </c>
      <c r="C951" s="24">
        <v>45157.0</v>
      </c>
      <c r="D951" s="24">
        <v>45132.0</v>
      </c>
      <c r="E951" s="24">
        <v>45144.0</v>
      </c>
      <c r="F951" s="6">
        <v>33.0</v>
      </c>
      <c r="G951" s="9" t="str">
        <f>VLOOKUP(operations[productID],products[],2,FALSE)</f>
        <v>Geitost</v>
      </c>
      <c r="H951" s="9" t="str">
        <f>IF(VLOOKUP(operations[productID],products[],7,FALSE)=1,"Discontinued","Current")</f>
        <v>Current</v>
      </c>
      <c r="I951" s="6">
        <f>VLOOKUP(operations[productID],products[],4,FALSE)</f>
        <v>112</v>
      </c>
      <c r="J951" s="6">
        <f>VLOOKUP(operations[productID],products[],5,FALSE)</f>
        <v>0</v>
      </c>
      <c r="K951" s="6">
        <f>VLOOKUP(operations[productID],products[],6,FALSE)</f>
        <v>20</v>
      </c>
      <c r="L951" s="10">
        <f t="array" ref="L951">INDEX('1 orders'!I951:I2156, MATCH(1, ('1 orders'!A951:A2156=A951)*('1 orders'!G951:G2156=F951), 0))
</f>
        <v>14</v>
      </c>
      <c r="M951" s="10">
        <f>IFERROR(__xludf.DUMMYFUNCTION("COUNTUNIQUEIFS($A$2:$A951,$F$2:$F951,F951)"),18.0)</f>
        <v>18</v>
      </c>
      <c r="N951" s="10">
        <f t="shared" si="1"/>
        <v>33</v>
      </c>
      <c r="O951" s="26">
        <f>IF(operations[sinceLastOrder]=0,0,operations[orderQuantity] / operations[sinceLastOrder])</f>
        <v>0.4242424242</v>
      </c>
      <c r="P951" s="9">
        <v>200.24</v>
      </c>
      <c r="Q951" s="7" t="s">
        <v>15</v>
      </c>
      <c r="R951" s="10">
        <f>operations[arrivedDate]-operations[shippedDate]</f>
        <v>12</v>
      </c>
    </row>
    <row r="952" ht="15.75" customHeight="1">
      <c r="A952" s="6">
        <v>10607.0</v>
      </c>
      <c r="B952" s="24">
        <v>45129.0</v>
      </c>
      <c r="C952" s="24">
        <v>45157.0</v>
      </c>
      <c r="D952" s="24">
        <v>45132.0</v>
      </c>
      <c r="E952" s="24">
        <v>45144.0</v>
      </c>
      <c r="F952" s="6">
        <v>40.0</v>
      </c>
      <c r="G952" s="9" t="str">
        <f>VLOOKUP(operations[productID],products[],2,FALSE)</f>
        <v>Boston Crab Meat</v>
      </c>
      <c r="H952" s="9" t="str">
        <f>IF(VLOOKUP(operations[productID],products[],7,FALSE)=1,"Discontinued","Current")</f>
        <v>Current</v>
      </c>
      <c r="I952" s="6">
        <f>VLOOKUP(operations[productID],products[],4,FALSE)</f>
        <v>123</v>
      </c>
      <c r="J952" s="6">
        <f>VLOOKUP(operations[productID],products[],5,FALSE)</f>
        <v>0</v>
      </c>
      <c r="K952" s="6">
        <f>VLOOKUP(operations[productID],products[],6,FALSE)</f>
        <v>30</v>
      </c>
      <c r="L952" s="10">
        <f t="array" ref="L952">INDEX('1 orders'!I952:I2156, MATCH(1, ('1 orders'!A952:A2156=A952)*('1 orders'!G952:G2156=F952), 0))
</f>
        <v>42</v>
      </c>
      <c r="M952" s="10">
        <f>IFERROR(__xludf.DUMMYFUNCTION("COUNTUNIQUEIFS($A$2:$A952,$F$2:$F952,F952)"),21.0)</f>
        <v>21</v>
      </c>
      <c r="N952" s="10">
        <f t="shared" si="1"/>
        <v>33</v>
      </c>
      <c r="O952" s="26">
        <f>IF(operations[sinceLastOrder]=0,0,operations[orderQuantity] / operations[sinceLastOrder])</f>
        <v>1.272727273</v>
      </c>
      <c r="P952" s="9">
        <v>200.24</v>
      </c>
      <c r="Q952" s="7" t="s">
        <v>15</v>
      </c>
      <c r="R952" s="10">
        <f>operations[arrivedDate]-operations[shippedDate]</f>
        <v>12</v>
      </c>
    </row>
    <row r="953" ht="15.75" customHeight="1">
      <c r="A953" s="6">
        <v>10607.0</v>
      </c>
      <c r="B953" s="24">
        <v>45129.0</v>
      </c>
      <c r="C953" s="24">
        <v>45157.0</v>
      </c>
      <c r="D953" s="24">
        <v>45132.0</v>
      </c>
      <c r="E953" s="24">
        <v>45144.0</v>
      </c>
      <c r="F953" s="6">
        <v>72.0</v>
      </c>
      <c r="G953" s="9" t="str">
        <f>VLOOKUP(operations[productID],products[],2,FALSE)</f>
        <v>Mozzarella di Giovanni</v>
      </c>
      <c r="H953" s="9" t="str">
        <f>IF(VLOOKUP(operations[productID],products[],7,FALSE)=1,"Discontinued","Current")</f>
        <v>Current</v>
      </c>
      <c r="I953" s="6">
        <f>VLOOKUP(operations[productID],products[],4,FALSE)</f>
        <v>14</v>
      </c>
      <c r="J953" s="6">
        <f>VLOOKUP(operations[productID],products[],5,FALSE)</f>
        <v>0</v>
      </c>
      <c r="K953" s="6">
        <f>VLOOKUP(operations[productID],products[],6,FALSE)</f>
        <v>0</v>
      </c>
      <c r="L953" s="10">
        <f t="array" ref="L953">INDEX('1 orders'!I953:I2156, MATCH(1, ('1 orders'!A953:A2156=A953)*('1 orders'!G953:G2156=F953), 0))
</f>
        <v>12</v>
      </c>
      <c r="M953" s="10">
        <f>IFERROR(__xludf.DUMMYFUNCTION("COUNTUNIQUEIFS($A$2:$A953,$F$2:$F953,F953)"),23.0)</f>
        <v>23</v>
      </c>
      <c r="N953" s="10">
        <f t="shared" si="1"/>
        <v>32</v>
      </c>
      <c r="O953" s="26">
        <f>IF(operations[sinceLastOrder]=0,0,operations[orderQuantity] / operations[sinceLastOrder])</f>
        <v>0.375</v>
      </c>
      <c r="P953" s="9">
        <v>200.24</v>
      </c>
      <c r="Q953" s="7" t="s">
        <v>15</v>
      </c>
      <c r="R953" s="10">
        <f>operations[arrivedDate]-operations[shippedDate]</f>
        <v>12</v>
      </c>
    </row>
    <row r="954" ht="15.75" customHeight="1">
      <c r="A954" s="6">
        <v>10608.0</v>
      </c>
      <c r="B954" s="24">
        <v>45130.0</v>
      </c>
      <c r="C954" s="24">
        <v>45158.0</v>
      </c>
      <c r="D954" s="24">
        <v>45139.0</v>
      </c>
      <c r="E954" s="24">
        <v>45145.0</v>
      </c>
      <c r="F954" s="6">
        <v>56.0</v>
      </c>
      <c r="G954" s="9" t="str">
        <f>VLOOKUP(operations[productID],products[],2,FALSE)</f>
        <v>Gnocchi di nonna Alice</v>
      </c>
      <c r="H954" s="9" t="str">
        <f>IF(VLOOKUP(operations[productID],products[],7,FALSE)=1,"Discontinued","Current")</f>
        <v>Current</v>
      </c>
      <c r="I954" s="6">
        <f>VLOOKUP(operations[productID],products[],4,FALSE)</f>
        <v>21</v>
      </c>
      <c r="J954" s="6">
        <f>VLOOKUP(operations[productID],products[],5,FALSE)</f>
        <v>10</v>
      </c>
      <c r="K954" s="6">
        <f>VLOOKUP(operations[productID],products[],6,FALSE)</f>
        <v>30</v>
      </c>
      <c r="L954" s="10">
        <f t="array" ref="L954">INDEX('1 orders'!I954:I2156, MATCH(1, ('1 orders'!A954:A2156=A954)*('1 orders'!G954:G2156=F954), 0))
</f>
        <v>28</v>
      </c>
      <c r="M954" s="10">
        <f>IFERROR(__xludf.DUMMYFUNCTION("COUNTUNIQUEIFS($A$2:$A954,$F$2:$F954,F954)"),24.0)</f>
        <v>24</v>
      </c>
      <c r="N954" s="10">
        <f t="shared" si="1"/>
        <v>12</v>
      </c>
      <c r="O954" s="26">
        <f>IF(operations[sinceLastOrder]=0,0,operations[orderQuantity] / operations[sinceLastOrder])</f>
        <v>2.333333333</v>
      </c>
      <c r="P954" s="9">
        <v>27.79</v>
      </c>
      <c r="Q954" s="7" t="s">
        <v>17</v>
      </c>
      <c r="R954" s="10">
        <f>operations[arrivedDate]-operations[shippedDate]</f>
        <v>6</v>
      </c>
    </row>
    <row r="955" ht="15.75" customHeight="1">
      <c r="A955" s="6">
        <v>10609.0</v>
      </c>
      <c r="B955" s="24">
        <v>45131.0</v>
      </c>
      <c r="C955" s="24">
        <v>45159.0</v>
      </c>
      <c r="D955" s="24">
        <v>45137.0</v>
      </c>
      <c r="E955" s="24">
        <v>45146.0</v>
      </c>
      <c r="F955" s="6">
        <v>1.0</v>
      </c>
      <c r="G955" s="9" t="str">
        <f>VLOOKUP(operations[productID],products[],2,FALSE)</f>
        <v>Chai</v>
      </c>
      <c r="H955" s="9" t="str">
        <f>IF(VLOOKUP(operations[productID],products[],7,FALSE)=1,"Discontinued","Current")</f>
        <v>Current</v>
      </c>
      <c r="I955" s="6">
        <f>VLOOKUP(operations[productID],products[],4,FALSE)</f>
        <v>39</v>
      </c>
      <c r="J955" s="6">
        <f>VLOOKUP(operations[productID],products[],5,FALSE)</f>
        <v>0</v>
      </c>
      <c r="K955" s="6">
        <f>VLOOKUP(operations[productID],products[],6,FALSE)</f>
        <v>10</v>
      </c>
      <c r="L955" s="10">
        <f t="array" ref="L955">INDEX('1 orders'!I955:I2156, MATCH(1, ('1 orders'!A955:A2156=A955)*('1 orders'!G955:G2156=F955), 0))
</f>
        <v>3</v>
      </c>
      <c r="M955" s="10">
        <f>IFERROR(__xludf.DUMMYFUNCTION("COUNTUNIQUEIFS($A$2:$A955,$F$2:$F955,F955)"),14.0)</f>
        <v>14</v>
      </c>
      <c r="N955" s="10">
        <f t="shared" si="1"/>
        <v>17</v>
      </c>
      <c r="O955" s="26">
        <f>IF(operations[sinceLastOrder]=0,0,operations[orderQuantity] / operations[sinceLastOrder])</f>
        <v>0.1764705882</v>
      </c>
      <c r="P955" s="9">
        <v>1.85</v>
      </c>
      <c r="Q955" s="7" t="s">
        <v>17</v>
      </c>
      <c r="R955" s="10">
        <f>operations[arrivedDate]-operations[shippedDate]</f>
        <v>9</v>
      </c>
    </row>
    <row r="956" ht="15.75" customHeight="1">
      <c r="A956" s="6">
        <v>10609.0</v>
      </c>
      <c r="B956" s="24">
        <v>45131.0</v>
      </c>
      <c r="C956" s="24">
        <v>45159.0</v>
      </c>
      <c r="D956" s="24">
        <v>45137.0</v>
      </c>
      <c r="E956" s="24">
        <v>45146.0</v>
      </c>
      <c r="F956" s="6">
        <v>10.0</v>
      </c>
      <c r="G956" s="9" t="str">
        <f>VLOOKUP(operations[productID],products[],2,FALSE)</f>
        <v>Ikura</v>
      </c>
      <c r="H956" s="9" t="str">
        <f>IF(VLOOKUP(operations[productID],products[],7,FALSE)=1,"Discontinued","Current")</f>
        <v>Current</v>
      </c>
      <c r="I956" s="6">
        <f>VLOOKUP(operations[productID],products[],4,FALSE)</f>
        <v>31</v>
      </c>
      <c r="J956" s="6">
        <f>VLOOKUP(operations[productID],products[],5,FALSE)</f>
        <v>0</v>
      </c>
      <c r="K956" s="6">
        <f>VLOOKUP(operations[productID],products[],6,FALSE)</f>
        <v>0</v>
      </c>
      <c r="L956" s="10">
        <f t="array" ref="L956">INDEX('1 orders'!I956:I2156, MATCH(1, ('1 orders'!A956:A2156=A956)*('1 orders'!G956:G2156=F956), 0))
</f>
        <v>10</v>
      </c>
      <c r="M956" s="10">
        <f>IFERROR(__xludf.DUMMYFUNCTION("COUNTUNIQUEIFS($A$2:$A956,$F$2:$F956,F956)"),11.0)</f>
        <v>11</v>
      </c>
      <c r="N956" s="10">
        <f t="shared" si="1"/>
        <v>41</v>
      </c>
      <c r="O956" s="26">
        <f>IF(operations[sinceLastOrder]=0,0,operations[orderQuantity] / operations[sinceLastOrder])</f>
        <v>0.243902439</v>
      </c>
      <c r="P956" s="9">
        <v>1.85</v>
      </c>
      <c r="Q956" s="7" t="s">
        <v>17</v>
      </c>
      <c r="R956" s="10">
        <f>operations[arrivedDate]-operations[shippedDate]</f>
        <v>9</v>
      </c>
    </row>
    <row r="957" ht="15.75" customHeight="1">
      <c r="A957" s="6">
        <v>10609.0</v>
      </c>
      <c r="B957" s="24">
        <v>45131.0</v>
      </c>
      <c r="C957" s="24">
        <v>45159.0</v>
      </c>
      <c r="D957" s="24">
        <v>45137.0</v>
      </c>
      <c r="E957" s="24">
        <v>45146.0</v>
      </c>
      <c r="F957" s="6">
        <v>21.0</v>
      </c>
      <c r="G957" s="9" t="str">
        <f>VLOOKUP(operations[productID],products[],2,FALSE)</f>
        <v>Sir Rodney's Scones</v>
      </c>
      <c r="H957" s="9" t="str">
        <f>IF(VLOOKUP(operations[productID],products[],7,FALSE)=1,"Discontinued","Current")</f>
        <v>Current</v>
      </c>
      <c r="I957" s="6">
        <f>VLOOKUP(operations[productID],products[],4,FALSE)</f>
        <v>3</v>
      </c>
      <c r="J957" s="6">
        <f>VLOOKUP(operations[productID],products[],5,FALSE)</f>
        <v>40</v>
      </c>
      <c r="K957" s="6">
        <f>VLOOKUP(operations[productID],products[],6,FALSE)</f>
        <v>5</v>
      </c>
      <c r="L957" s="10">
        <f t="array" ref="L957">INDEX('1 orders'!I957:I2156, MATCH(1, ('1 orders'!A957:A2156=A957)*('1 orders'!G957:G2156=F957), 0))
</f>
        <v>6</v>
      </c>
      <c r="M957" s="10">
        <f>IFERROR(__xludf.DUMMYFUNCTION("COUNTUNIQUEIFS($A$2:$A957,$F$2:$F957,F957)"),17.0)</f>
        <v>17</v>
      </c>
      <c r="N957" s="10">
        <f t="shared" si="1"/>
        <v>57</v>
      </c>
      <c r="O957" s="26">
        <f>IF(operations[sinceLastOrder]=0,0,operations[orderQuantity] / operations[sinceLastOrder])</f>
        <v>0.1052631579</v>
      </c>
      <c r="P957" s="9">
        <v>1.85</v>
      </c>
      <c r="Q957" s="7" t="s">
        <v>17</v>
      </c>
      <c r="R957" s="10">
        <f>operations[arrivedDate]-operations[shippedDate]</f>
        <v>9</v>
      </c>
    </row>
    <row r="958" ht="15.75" customHeight="1">
      <c r="A958" s="6">
        <v>10610.0</v>
      </c>
      <c r="B958" s="24">
        <v>45132.0</v>
      </c>
      <c r="C958" s="24">
        <v>45160.0</v>
      </c>
      <c r="D958" s="24">
        <v>45144.0</v>
      </c>
      <c r="E958" s="24">
        <v>45148.0</v>
      </c>
      <c r="F958" s="6">
        <v>36.0</v>
      </c>
      <c r="G958" s="9" t="str">
        <f>VLOOKUP(operations[productID],products[],2,FALSE)</f>
        <v>Inlagd Sill</v>
      </c>
      <c r="H958" s="9" t="str">
        <f>IF(VLOOKUP(operations[productID],products[],7,FALSE)=1,"Discontinued","Current")</f>
        <v>Current</v>
      </c>
      <c r="I958" s="6">
        <f>VLOOKUP(operations[productID],products[],4,FALSE)</f>
        <v>112</v>
      </c>
      <c r="J958" s="6">
        <f>VLOOKUP(operations[productID],products[],5,FALSE)</f>
        <v>0</v>
      </c>
      <c r="K958" s="6">
        <f>VLOOKUP(operations[productID],products[],6,FALSE)</f>
        <v>20</v>
      </c>
      <c r="L958" s="10">
        <f t="array" ref="L958">INDEX('1 orders'!I958:I2156, MATCH(1, ('1 orders'!A958:A2156=A958)*('1 orders'!G958:G2156=F958), 0))
</f>
        <v>21</v>
      </c>
      <c r="M958" s="10">
        <f>IFERROR(__xludf.DUMMYFUNCTION("COUNTUNIQUEIFS($A$2:$A958,$F$2:$F958,F958)"),14.0)</f>
        <v>14</v>
      </c>
      <c r="N958" s="10">
        <f t="shared" si="1"/>
        <v>45</v>
      </c>
      <c r="O958" s="26">
        <f>IF(operations[sinceLastOrder]=0,0,operations[orderQuantity] / operations[sinceLastOrder])</f>
        <v>0.4666666667</v>
      </c>
      <c r="P958" s="9">
        <v>26.78</v>
      </c>
      <c r="Q958" s="7" t="s">
        <v>15</v>
      </c>
      <c r="R958" s="10">
        <f>operations[arrivedDate]-operations[shippedDate]</f>
        <v>4</v>
      </c>
    </row>
    <row r="959" ht="15.75" customHeight="1">
      <c r="A959" s="6">
        <v>10611.0</v>
      </c>
      <c r="B959" s="24">
        <v>45132.0</v>
      </c>
      <c r="C959" s="24">
        <v>45160.0</v>
      </c>
      <c r="D959" s="24">
        <v>45139.0</v>
      </c>
      <c r="E959" s="24">
        <v>45154.0</v>
      </c>
      <c r="F959" s="6">
        <v>1.0</v>
      </c>
      <c r="G959" s="9" t="str">
        <f>VLOOKUP(operations[productID],products[],2,FALSE)</f>
        <v>Chai</v>
      </c>
      <c r="H959" s="9" t="str">
        <f>IF(VLOOKUP(operations[productID],products[],7,FALSE)=1,"Discontinued","Current")</f>
        <v>Current</v>
      </c>
      <c r="I959" s="6">
        <f>VLOOKUP(operations[productID],products[],4,FALSE)</f>
        <v>39</v>
      </c>
      <c r="J959" s="6">
        <f>VLOOKUP(operations[productID],products[],5,FALSE)</f>
        <v>0</v>
      </c>
      <c r="K959" s="6">
        <f>VLOOKUP(operations[productID],products[],6,FALSE)</f>
        <v>10</v>
      </c>
      <c r="L959" s="10">
        <f t="array" ref="L959">INDEX('1 orders'!I959:I2156, MATCH(1, ('1 orders'!A959:A2156=A959)*('1 orders'!G959:G2156=F959), 0))
</f>
        <v>6</v>
      </c>
      <c r="M959" s="10">
        <f>IFERROR(__xludf.DUMMYFUNCTION("COUNTUNIQUEIFS($A$2:$A959,$F$2:$F959,F959)"),15.0)</f>
        <v>15</v>
      </c>
      <c r="N959" s="10">
        <f t="shared" si="1"/>
        <v>1</v>
      </c>
      <c r="O959" s="26">
        <f>IF(operations[sinceLastOrder]=0,0,operations[orderQuantity] / operations[sinceLastOrder])</f>
        <v>6</v>
      </c>
      <c r="P959" s="9">
        <v>80.65</v>
      </c>
      <c r="Q959" s="7" t="s">
        <v>17</v>
      </c>
      <c r="R959" s="10">
        <f>operations[arrivedDate]-operations[shippedDate]</f>
        <v>15</v>
      </c>
    </row>
    <row r="960" ht="15.75" customHeight="1">
      <c r="A960" s="6">
        <v>10611.0</v>
      </c>
      <c r="B960" s="24">
        <v>45132.0</v>
      </c>
      <c r="C960" s="24">
        <v>45160.0</v>
      </c>
      <c r="D960" s="24">
        <v>45139.0</v>
      </c>
      <c r="E960" s="24">
        <v>45154.0</v>
      </c>
      <c r="F960" s="6">
        <v>2.0</v>
      </c>
      <c r="G960" s="9" t="str">
        <f>VLOOKUP(operations[productID],products[],2,FALSE)</f>
        <v>Chang</v>
      </c>
      <c r="H960" s="9" t="str">
        <f>IF(VLOOKUP(operations[productID],products[],7,FALSE)=1,"Discontinued","Current")</f>
        <v>Current</v>
      </c>
      <c r="I960" s="6">
        <f>VLOOKUP(operations[productID],products[],4,FALSE)</f>
        <v>17</v>
      </c>
      <c r="J960" s="6">
        <f>VLOOKUP(operations[productID],products[],5,FALSE)</f>
        <v>40</v>
      </c>
      <c r="K960" s="6">
        <f>VLOOKUP(operations[productID],products[],6,FALSE)</f>
        <v>25</v>
      </c>
      <c r="L960" s="10">
        <f t="array" ref="L960">INDEX('1 orders'!I960:I2156, MATCH(1, ('1 orders'!A960:A2156=A960)*('1 orders'!G960:G2156=F960), 0))
</f>
        <v>10</v>
      </c>
      <c r="M960" s="10">
        <f>IFERROR(__xludf.DUMMYFUNCTION("COUNTUNIQUEIFS($A$2:$A960,$F$2:$F960,F960)"),15.0)</f>
        <v>15</v>
      </c>
      <c r="N960" s="10">
        <f t="shared" si="1"/>
        <v>105</v>
      </c>
      <c r="O960" s="26">
        <f>IF(operations[sinceLastOrder]=0,0,operations[orderQuantity] / operations[sinceLastOrder])</f>
        <v>0.09523809524</v>
      </c>
      <c r="P960" s="9">
        <v>80.65</v>
      </c>
      <c r="Q960" s="7" t="s">
        <v>17</v>
      </c>
      <c r="R960" s="10">
        <f>operations[arrivedDate]-operations[shippedDate]</f>
        <v>15</v>
      </c>
    </row>
    <row r="961" ht="15.75" customHeight="1">
      <c r="A961" s="6">
        <v>10611.0</v>
      </c>
      <c r="B961" s="24">
        <v>45132.0</v>
      </c>
      <c r="C961" s="24">
        <v>45160.0</v>
      </c>
      <c r="D961" s="24">
        <v>45139.0</v>
      </c>
      <c r="E961" s="24">
        <v>45154.0</v>
      </c>
      <c r="F961" s="6">
        <v>60.0</v>
      </c>
      <c r="G961" s="9" t="str">
        <f>VLOOKUP(operations[productID],products[],2,FALSE)</f>
        <v>Camembert Pierrot</v>
      </c>
      <c r="H961" s="9" t="str">
        <f>IF(VLOOKUP(operations[productID],products[],7,FALSE)=1,"Discontinued","Current")</f>
        <v>Current</v>
      </c>
      <c r="I961" s="6">
        <f>VLOOKUP(operations[productID],products[],4,FALSE)</f>
        <v>19</v>
      </c>
      <c r="J961" s="6">
        <f>VLOOKUP(operations[productID],products[],5,FALSE)</f>
        <v>0</v>
      </c>
      <c r="K961" s="6">
        <f>VLOOKUP(operations[productID],products[],6,FALSE)</f>
        <v>0</v>
      </c>
      <c r="L961" s="10">
        <f t="array" ref="L961">INDEX('1 orders'!I961:I2156, MATCH(1, ('1 orders'!A961:A2156=A961)*('1 orders'!G961:G2156=F961), 0))
</f>
        <v>15</v>
      </c>
      <c r="M961" s="10">
        <f>IFERROR(__xludf.DUMMYFUNCTION("COUNTUNIQUEIFS($A$2:$A961,$F$2:$F961,F961)"),21.0)</f>
        <v>21</v>
      </c>
      <c r="N961" s="10">
        <f t="shared" si="1"/>
        <v>4</v>
      </c>
      <c r="O961" s="26">
        <f>IF(operations[sinceLastOrder]=0,0,operations[orderQuantity] / operations[sinceLastOrder])</f>
        <v>3.75</v>
      </c>
      <c r="P961" s="9">
        <v>80.65</v>
      </c>
      <c r="Q961" s="7" t="s">
        <v>17</v>
      </c>
      <c r="R961" s="10">
        <f>operations[arrivedDate]-operations[shippedDate]</f>
        <v>15</v>
      </c>
    </row>
    <row r="962" ht="15.75" customHeight="1">
      <c r="A962" s="6">
        <v>10612.0</v>
      </c>
      <c r="B962" s="24">
        <v>45135.0</v>
      </c>
      <c r="C962" s="24">
        <v>45163.0</v>
      </c>
      <c r="D962" s="24">
        <v>45139.0</v>
      </c>
      <c r="E962" s="24">
        <v>45158.0</v>
      </c>
      <c r="F962" s="6">
        <v>10.0</v>
      </c>
      <c r="G962" s="9" t="str">
        <f>VLOOKUP(operations[productID],products[],2,FALSE)</f>
        <v>Ikura</v>
      </c>
      <c r="H962" s="9" t="str">
        <f>IF(VLOOKUP(operations[productID],products[],7,FALSE)=1,"Discontinued","Current")</f>
        <v>Current</v>
      </c>
      <c r="I962" s="6">
        <f>VLOOKUP(operations[productID],products[],4,FALSE)</f>
        <v>31</v>
      </c>
      <c r="J962" s="6">
        <f>VLOOKUP(operations[productID],products[],5,FALSE)</f>
        <v>0</v>
      </c>
      <c r="K962" s="6">
        <f>VLOOKUP(operations[productID],products[],6,FALSE)</f>
        <v>0</v>
      </c>
      <c r="L962" s="10">
        <f t="array" ref="L962">INDEX('1 orders'!I962:I2156, MATCH(1, ('1 orders'!A962:A2156=A962)*('1 orders'!G962:G2156=F962), 0))
</f>
        <v>70</v>
      </c>
      <c r="M962" s="10">
        <f>IFERROR(__xludf.DUMMYFUNCTION("COUNTUNIQUEIFS($A$2:$A962,$F$2:$F962,F962)"),12.0)</f>
        <v>12</v>
      </c>
      <c r="N962" s="10">
        <f t="shared" si="1"/>
        <v>4</v>
      </c>
      <c r="O962" s="26">
        <f>IF(operations[sinceLastOrder]=0,0,operations[orderQuantity] / operations[sinceLastOrder])</f>
        <v>17.5</v>
      </c>
      <c r="P962" s="9">
        <v>544.08</v>
      </c>
      <c r="Q962" s="7" t="s">
        <v>17</v>
      </c>
      <c r="R962" s="10">
        <f>operations[arrivedDate]-operations[shippedDate]</f>
        <v>19</v>
      </c>
    </row>
    <row r="963" ht="15.75" customHeight="1">
      <c r="A963" s="6">
        <v>10612.0</v>
      </c>
      <c r="B963" s="24">
        <v>45135.0</v>
      </c>
      <c r="C963" s="24">
        <v>45163.0</v>
      </c>
      <c r="D963" s="24">
        <v>45139.0</v>
      </c>
      <c r="E963" s="24">
        <v>45158.0</v>
      </c>
      <c r="F963" s="6">
        <v>36.0</v>
      </c>
      <c r="G963" s="9" t="str">
        <f>VLOOKUP(operations[productID],products[],2,FALSE)</f>
        <v>Inlagd Sill</v>
      </c>
      <c r="H963" s="9" t="str">
        <f>IF(VLOOKUP(operations[productID],products[],7,FALSE)=1,"Discontinued","Current")</f>
        <v>Current</v>
      </c>
      <c r="I963" s="6">
        <f>VLOOKUP(operations[productID],products[],4,FALSE)</f>
        <v>112</v>
      </c>
      <c r="J963" s="6">
        <f>VLOOKUP(operations[productID],products[],5,FALSE)</f>
        <v>0</v>
      </c>
      <c r="K963" s="6">
        <f>VLOOKUP(operations[productID],products[],6,FALSE)</f>
        <v>20</v>
      </c>
      <c r="L963" s="10">
        <f t="array" ref="L963">INDEX('1 orders'!I963:I2156, MATCH(1, ('1 orders'!A963:A2156=A963)*('1 orders'!G963:G2156=F963), 0))
</f>
        <v>55</v>
      </c>
      <c r="M963" s="10">
        <f>IFERROR(__xludf.DUMMYFUNCTION("COUNTUNIQUEIFS($A$2:$A963,$F$2:$F963,F963)"),15.0)</f>
        <v>15</v>
      </c>
      <c r="N963" s="10">
        <f t="shared" si="1"/>
        <v>3</v>
      </c>
      <c r="O963" s="26">
        <f>IF(operations[sinceLastOrder]=0,0,operations[orderQuantity] / operations[sinceLastOrder])</f>
        <v>18.33333333</v>
      </c>
      <c r="P963" s="9">
        <v>544.08</v>
      </c>
      <c r="Q963" s="7" t="s">
        <v>17</v>
      </c>
      <c r="R963" s="10">
        <f>operations[arrivedDate]-operations[shippedDate]</f>
        <v>19</v>
      </c>
    </row>
    <row r="964" ht="15.75" customHeight="1">
      <c r="A964" s="6">
        <v>10612.0</v>
      </c>
      <c r="B964" s="24">
        <v>45135.0</v>
      </c>
      <c r="C964" s="24">
        <v>45163.0</v>
      </c>
      <c r="D964" s="24">
        <v>45139.0</v>
      </c>
      <c r="E964" s="24">
        <v>45158.0</v>
      </c>
      <c r="F964" s="6">
        <v>49.0</v>
      </c>
      <c r="G964" s="9" t="str">
        <f>VLOOKUP(operations[productID],products[],2,FALSE)</f>
        <v>Maxilaku</v>
      </c>
      <c r="H964" s="9" t="str">
        <f>IF(VLOOKUP(operations[productID],products[],7,FALSE)=1,"Discontinued","Current")</f>
        <v>Current</v>
      </c>
      <c r="I964" s="6">
        <f>VLOOKUP(operations[productID],products[],4,FALSE)</f>
        <v>10</v>
      </c>
      <c r="J964" s="6">
        <f>VLOOKUP(operations[productID],products[],5,FALSE)</f>
        <v>60</v>
      </c>
      <c r="K964" s="6">
        <f>VLOOKUP(operations[productID],products[],6,FALSE)</f>
        <v>15</v>
      </c>
      <c r="L964" s="10">
        <f t="array" ref="L964">INDEX('1 orders'!I964:I2156, MATCH(1, ('1 orders'!A964:A2156=A964)*('1 orders'!G964:G2156=F964), 0))
</f>
        <v>18</v>
      </c>
      <c r="M964" s="10">
        <f>IFERROR(__xludf.DUMMYFUNCTION("COUNTUNIQUEIFS($A$2:$A964,$F$2:$F964,F964)"),12.0)</f>
        <v>12</v>
      </c>
      <c r="N964" s="10">
        <f t="shared" si="1"/>
        <v>10</v>
      </c>
      <c r="O964" s="26">
        <f>IF(operations[sinceLastOrder]=0,0,operations[orderQuantity] / operations[sinceLastOrder])</f>
        <v>1.8</v>
      </c>
      <c r="P964" s="9">
        <v>544.08</v>
      </c>
      <c r="Q964" s="7" t="s">
        <v>17</v>
      </c>
      <c r="R964" s="10">
        <f>operations[arrivedDate]-operations[shippedDate]</f>
        <v>19</v>
      </c>
    </row>
    <row r="965" ht="15.75" customHeight="1">
      <c r="A965" s="6">
        <v>10612.0</v>
      </c>
      <c r="B965" s="24">
        <v>45135.0</v>
      </c>
      <c r="C965" s="24">
        <v>45163.0</v>
      </c>
      <c r="D965" s="24">
        <v>45139.0</v>
      </c>
      <c r="E965" s="24">
        <v>45158.0</v>
      </c>
      <c r="F965" s="6">
        <v>60.0</v>
      </c>
      <c r="G965" s="9" t="str">
        <f>VLOOKUP(operations[productID],products[],2,FALSE)</f>
        <v>Camembert Pierrot</v>
      </c>
      <c r="H965" s="9" t="str">
        <f>IF(VLOOKUP(operations[productID],products[],7,FALSE)=1,"Discontinued","Current")</f>
        <v>Current</v>
      </c>
      <c r="I965" s="6">
        <f>VLOOKUP(operations[productID],products[],4,FALSE)</f>
        <v>19</v>
      </c>
      <c r="J965" s="6">
        <f>VLOOKUP(operations[productID],products[],5,FALSE)</f>
        <v>0</v>
      </c>
      <c r="K965" s="6">
        <f>VLOOKUP(operations[productID],products[],6,FALSE)</f>
        <v>0</v>
      </c>
      <c r="L965" s="10">
        <f t="array" ref="L965">INDEX('1 orders'!I965:I2156, MATCH(1, ('1 orders'!A965:A2156=A965)*('1 orders'!G965:G2156=F965), 0))
</f>
        <v>40</v>
      </c>
      <c r="M965" s="10">
        <f>IFERROR(__xludf.DUMMYFUNCTION("COUNTUNIQUEIFS($A$2:$A965,$F$2:$F965,F965)"),22.0)</f>
        <v>22</v>
      </c>
      <c r="N965" s="10">
        <f t="shared" si="1"/>
        <v>3</v>
      </c>
      <c r="O965" s="26">
        <f>IF(operations[sinceLastOrder]=0,0,operations[orderQuantity] / operations[sinceLastOrder])</f>
        <v>13.33333333</v>
      </c>
      <c r="P965" s="9">
        <v>544.08</v>
      </c>
      <c r="Q965" s="7" t="s">
        <v>17</v>
      </c>
      <c r="R965" s="10">
        <f>operations[arrivedDate]-operations[shippedDate]</f>
        <v>19</v>
      </c>
    </row>
    <row r="966" ht="15.75" customHeight="1">
      <c r="A966" s="6">
        <v>10612.0</v>
      </c>
      <c r="B966" s="24">
        <v>45135.0</v>
      </c>
      <c r="C966" s="24">
        <v>45163.0</v>
      </c>
      <c r="D966" s="24">
        <v>45139.0</v>
      </c>
      <c r="E966" s="24">
        <v>45158.0</v>
      </c>
      <c r="F966" s="6">
        <v>76.0</v>
      </c>
      <c r="G966" s="9" t="str">
        <f>VLOOKUP(operations[productID],products[],2,FALSE)</f>
        <v>Lakkalikööri</v>
      </c>
      <c r="H966" s="9" t="str">
        <f>IF(VLOOKUP(operations[productID],products[],7,FALSE)=1,"Discontinued","Current")</f>
        <v>Current</v>
      </c>
      <c r="I966" s="6">
        <f>VLOOKUP(operations[productID],products[],4,FALSE)</f>
        <v>57</v>
      </c>
      <c r="J966" s="6">
        <f>VLOOKUP(operations[productID],products[],5,FALSE)</f>
        <v>0</v>
      </c>
      <c r="K966" s="6">
        <f>VLOOKUP(operations[productID],products[],6,FALSE)</f>
        <v>20</v>
      </c>
      <c r="L966" s="10">
        <f t="array" ref="L966">INDEX('1 orders'!I966:I2156, MATCH(1, ('1 orders'!A966:A2156=A966)*('1 orders'!G966:G2156=F966), 0))
</f>
        <v>80</v>
      </c>
      <c r="M966" s="10">
        <f>IFERROR(__xludf.DUMMYFUNCTION("COUNTUNIQUEIFS($A$2:$A966,$F$2:$F966,F966)"),19.0)</f>
        <v>19</v>
      </c>
      <c r="N966" s="10">
        <f t="shared" si="1"/>
        <v>10</v>
      </c>
      <c r="O966" s="26">
        <f>IF(operations[sinceLastOrder]=0,0,operations[orderQuantity] / operations[sinceLastOrder])</f>
        <v>8</v>
      </c>
      <c r="P966" s="9">
        <v>544.08</v>
      </c>
      <c r="Q966" s="7" t="s">
        <v>17</v>
      </c>
      <c r="R966" s="10">
        <f>operations[arrivedDate]-operations[shippedDate]</f>
        <v>19</v>
      </c>
    </row>
    <row r="967" ht="15.75" customHeight="1">
      <c r="A967" s="6">
        <v>10613.0</v>
      </c>
      <c r="B967" s="24">
        <v>45136.0</v>
      </c>
      <c r="C967" s="24">
        <v>45164.0</v>
      </c>
      <c r="D967" s="24">
        <v>45139.0</v>
      </c>
      <c r="E967" s="24">
        <v>45154.0</v>
      </c>
      <c r="F967" s="6">
        <v>13.0</v>
      </c>
      <c r="G967" s="9" t="str">
        <f>VLOOKUP(operations[productID],products[],2,FALSE)</f>
        <v>Konbu</v>
      </c>
      <c r="H967" s="9" t="str">
        <f>IF(VLOOKUP(operations[productID],products[],7,FALSE)=1,"Discontinued","Current")</f>
        <v>Current</v>
      </c>
      <c r="I967" s="6">
        <f>VLOOKUP(operations[productID],products[],4,FALSE)</f>
        <v>24</v>
      </c>
      <c r="J967" s="6">
        <f>VLOOKUP(operations[productID],products[],5,FALSE)</f>
        <v>0</v>
      </c>
      <c r="K967" s="6">
        <f>VLOOKUP(operations[productID],products[],6,FALSE)</f>
        <v>5</v>
      </c>
      <c r="L967" s="10">
        <f t="array" ref="L967">INDEX('1 orders'!I967:I2156, MATCH(1, ('1 orders'!A967:A2156=A967)*('1 orders'!G967:G2156=F967), 0))
</f>
        <v>8</v>
      </c>
      <c r="M967" s="10">
        <f>IFERROR(__xludf.DUMMYFUNCTION("COUNTUNIQUEIFS($A$2:$A967,$F$2:$F967,F967)"),13.0)</f>
        <v>13</v>
      </c>
      <c r="N967" s="10">
        <f t="shared" si="1"/>
        <v>13</v>
      </c>
      <c r="O967" s="26">
        <f>IF(operations[sinceLastOrder]=0,0,operations[orderQuantity] / operations[sinceLastOrder])</f>
        <v>0.6153846154</v>
      </c>
      <c r="P967" s="9">
        <v>8.11</v>
      </c>
      <c r="Q967" s="7" t="s">
        <v>17</v>
      </c>
      <c r="R967" s="10">
        <f>operations[arrivedDate]-operations[shippedDate]</f>
        <v>15</v>
      </c>
    </row>
    <row r="968" ht="15.75" customHeight="1">
      <c r="A968" s="6">
        <v>10613.0</v>
      </c>
      <c r="B968" s="24">
        <v>45136.0</v>
      </c>
      <c r="C968" s="24">
        <v>45164.0</v>
      </c>
      <c r="D968" s="24">
        <v>45139.0</v>
      </c>
      <c r="E968" s="24">
        <v>45154.0</v>
      </c>
      <c r="F968" s="6">
        <v>75.0</v>
      </c>
      <c r="G968" s="9" t="str">
        <f>VLOOKUP(operations[productID],products[],2,FALSE)</f>
        <v>Rhönbräu Klosterbier</v>
      </c>
      <c r="H968" s="9" t="str">
        <f>IF(VLOOKUP(operations[productID],products[],7,FALSE)=1,"Discontinued","Current")</f>
        <v>Current</v>
      </c>
      <c r="I968" s="6">
        <f>VLOOKUP(operations[productID],products[],4,FALSE)</f>
        <v>125</v>
      </c>
      <c r="J968" s="6">
        <f>VLOOKUP(operations[productID],products[],5,FALSE)</f>
        <v>0</v>
      </c>
      <c r="K968" s="6">
        <f>VLOOKUP(operations[productID],products[],6,FALSE)</f>
        <v>25</v>
      </c>
      <c r="L968" s="10">
        <f t="array" ref="L968">INDEX('1 orders'!I968:I2156, MATCH(1, ('1 orders'!A968:A2156=A968)*('1 orders'!G968:G2156=F968), 0))
</f>
        <v>40</v>
      </c>
      <c r="M968" s="10">
        <f>IFERROR(__xludf.DUMMYFUNCTION("COUNTUNIQUEIFS($A$2:$A968,$F$2:$F968,F968)"),21.0)</f>
        <v>21</v>
      </c>
      <c r="N968" s="10">
        <f t="shared" si="1"/>
        <v>18</v>
      </c>
      <c r="O968" s="26">
        <f>IF(operations[sinceLastOrder]=0,0,operations[orderQuantity] / operations[sinceLastOrder])</f>
        <v>2.222222222</v>
      </c>
      <c r="P968" s="9">
        <v>8.11</v>
      </c>
      <c r="Q968" s="7" t="s">
        <v>17</v>
      </c>
      <c r="R968" s="10">
        <f>operations[arrivedDate]-operations[shippedDate]</f>
        <v>15</v>
      </c>
    </row>
    <row r="969" ht="15.75" customHeight="1">
      <c r="A969" s="6">
        <v>10614.0</v>
      </c>
      <c r="B969" s="24">
        <v>45136.0</v>
      </c>
      <c r="C969" s="24">
        <v>45164.0</v>
      </c>
      <c r="D969" s="24">
        <v>45139.0</v>
      </c>
      <c r="E969" s="24">
        <v>45143.0</v>
      </c>
      <c r="F969" s="6">
        <v>11.0</v>
      </c>
      <c r="G969" s="9" t="str">
        <f>VLOOKUP(operations[productID],products[],2,FALSE)</f>
        <v>Queso Cabrales</v>
      </c>
      <c r="H969" s="9" t="str">
        <f>IF(VLOOKUP(operations[productID],products[],7,FALSE)=1,"Discontinued","Current")</f>
        <v>Current</v>
      </c>
      <c r="I969" s="6">
        <f>VLOOKUP(operations[productID],products[],4,FALSE)</f>
        <v>22</v>
      </c>
      <c r="J969" s="6">
        <f>VLOOKUP(operations[productID],products[],5,FALSE)</f>
        <v>30</v>
      </c>
      <c r="K969" s="6">
        <f>VLOOKUP(operations[productID],products[],6,FALSE)</f>
        <v>30</v>
      </c>
      <c r="L969" s="10">
        <f t="array" ref="L969">INDEX('1 orders'!I969:I2156, MATCH(1, ('1 orders'!A969:A2156=A969)*('1 orders'!G969:G2156=F969), 0))
</f>
        <v>14</v>
      </c>
      <c r="M969" s="10">
        <f>IFERROR(__xludf.DUMMYFUNCTION("COUNTUNIQUEIFS($A$2:$A969,$F$2:$F969,F969)"),20.0)</f>
        <v>20</v>
      </c>
      <c r="N969" s="10">
        <f t="shared" si="1"/>
        <v>42</v>
      </c>
      <c r="O969" s="26">
        <f>IF(operations[sinceLastOrder]=0,0,operations[orderQuantity] / operations[sinceLastOrder])</f>
        <v>0.3333333333</v>
      </c>
      <c r="P969" s="9">
        <v>1.93</v>
      </c>
      <c r="Q969" s="7" t="s">
        <v>13</v>
      </c>
      <c r="R969" s="10">
        <f>operations[arrivedDate]-operations[shippedDate]</f>
        <v>4</v>
      </c>
    </row>
    <row r="970" ht="15.75" customHeight="1">
      <c r="A970" s="6">
        <v>10614.0</v>
      </c>
      <c r="B970" s="24">
        <v>45136.0</v>
      </c>
      <c r="C970" s="24">
        <v>45164.0</v>
      </c>
      <c r="D970" s="24">
        <v>45139.0</v>
      </c>
      <c r="E970" s="24">
        <v>45143.0</v>
      </c>
      <c r="F970" s="6">
        <v>21.0</v>
      </c>
      <c r="G970" s="9" t="str">
        <f>VLOOKUP(operations[productID],products[],2,FALSE)</f>
        <v>Sir Rodney's Scones</v>
      </c>
      <c r="H970" s="9" t="str">
        <f>IF(VLOOKUP(operations[productID],products[],7,FALSE)=1,"Discontinued","Current")</f>
        <v>Current</v>
      </c>
      <c r="I970" s="6">
        <f>VLOOKUP(operations[productID],products[],4,FALSE)</f>
        <v>3</v>
      </c>
      <c r="J970" s="6">
        <f>VLOOKUP(operations[productID],products[],5,FALSE)</f>
        <v>40</v>
      </c>
      <c r="K970" s="6">
        <f>VLOOKUP(operations[productID],products[],6,FALSE)</f>
        <v>5</v>
      </c>
      <c r="L970" s="10">
        <f t="array" ref="L970">INDEX('1 orders'!I970:I2156, MATCH(1, ('1 orders'!A970:A2156=A970)*('1 orders'!G970:G2156=F970), 0))
</f>
        <v>8</v>
      </c>
      <c r="M970" s="10">
        <f>IFERROR(__xludf.DUMMYFUNCTION("COUNTUNIQUEIFS($A$2:$A970,$F$2:$F970,F970)"),18.0)</f>
        <v>18</v>
      </c>
      <c r="N970" s="10">
        <f t="shared" si="1"/>
        <v>5</v>
      </c>
      <c r="O970" s="26">
        <f>IF(operations[sinceLastOrder]=0,0,operations[orderQuantity] / operations[sinceLastOrder])</f>
        <v>1.6</v>
      </c>
      <c r="P970" s="9">
        <v>1.93</v>
      </c>
      <c r="Q970" s="7" t="s">
        <v>13</v>
      </c>
      <c r="R970" s="10">
        <f>operations[arrivedDate]-operations[shippedDate]</f>
        <v>4</v>
      </c>
    </row>
    <row r="971" ht="15.75" customHeight="1">
      <c r="A971" s="6">
        <v>10614.0</v>
      </c>
      <c r="B971" s="24">
        <v>45136.0</v>
      </c>
      <c r="C971" s="24">
        <v>45164.0</v>
      </c>
      <c r="D971" s="24">
        <v>45139.0</v>
      </c>
      <c r="E971" s="24">
        <v>45143.0</v>
      </c>
      <c r="F971" s="6">
        <v>39.0</v>
      </c>
      <c r="G971" s="9" t="str">
        <f>VLOOKUP(operations[productID],products[],2,FALSE)</f>
        <v>Chartreuse verte</v>
      </c>
      <c r="H971" s="9" t="str">
        <f>IF(VLOOKUP(operations[productID],products[],7,FALSE)=1,"Discontinued","Current")</f>
        <v>Current</v>
      </c>
      <c r="I971" s="6">
        <f>VLOOKUP(operations[productID],products[],4,FALSE)</f>
        <v>69</v>
      </c>
      <c r="J971" s="6">
        <f>VLOOKUP(operations[productID],products[],5,FALSE)</f>
        <v>0</v>
      </c>
      <c r="K971" s="6">
        <f>VLOOKUP(operations[productID],products[],6,FALSE)</f>
        <v>5</v>
      </c>
      <c r="L971" s="10">
        <f t="array" ref="L971">INDEX('1 orders'!I971:I2156, MATCH(1, ('1 orders'!A971:A2156=A971)*('1 orders'!G971:G2156=F971), 0))
</f>
        <v>5</v>
      </c>
      <c r="M971" s="10">
        <f>IFERROR(__xludf.DUMMYFUNCTION("COUNTUNIQUEIFS($A$2:$A971,$F$2:$F971,F971)"),14.0)</f>
        <v>14</v>
      </c>
      <c r="N971" s="10">
        <f t="shared" si="1"/>
        <v>36</v>
      </c>
      <c r="O971" s="26">
        <f>IF(operations[sinceLastOrder]=0,0,operations[orderQuantity] / operations[sinceLastOrder])</f>
        <v>0.1388888889</v>
      </c>
      <c r="P971" s="9">
        <v>1.93</v>
      </c>
      <c r="Q971" s="7" t="s">
        <v>13</v>
      </c>
      <c r="R971" s="10">
        <f>operations[arrivedDate]-operations[shippedDate]</f>
        <v>4</v>
      </c>
    </row>
    <row r="972" ht="15.75" customHeight="1">
      <c r="A972" s="6">
        <v>10615.0</v>
      </c>
      <c r="B972" s="24">
        <v>45137.0</v>
      </c>
      <c r="C972" s="24">
        <v>45165.0</v>
      </c>
      <c r="D972" s="24">
        <v>45144.0</v>
      </c>
      <c r="E972" s="24">
        <v>45157.0</v>
      </c>
      <c r="F972" s="6">
        <v>55.0</v>
      </c>
      <c r="G972" s="9" t="str">
        <f>VLOOKUP(operations[productID],products[],2,FALSE)</f>
        <v>Pâté chinois</v>
      </c>
      <c r="H972" s="9" t="str">
        <f>IF(VLOOKUP(operations[productID],products[],7,FALSE)=1,"Discontinued","Current")</f>
        <v>Current</v>
      </c>
      <c r="I972" s="6">
        <f>VLOOKUP(operations[productID],products[],4,FALSE)</f>
        <v>115</v>
      </c>
      <c r="J972" s="6">
        <f>VLOOKUP(operations[productID],products[],5,FALSE)</f>
        <v>0</v>
      </c>
      <c r="K972" s="6">
        <f>VLOOKUP(operations[productID],products[],6,FALSE)</f>
        <v>20</v>
      </c>
      <c r="L972" s="10">
        <f t="array" ref="L972">INDEX('1 orders'!I972:I2156, MATCH(1, ('1 orders'!A972:A2156=A972)*('1 orders'!G972:G2156=F972), 0))
</f>
        <v>5</v>
      </c>
      <c r="M972" s="10">
        <f>IFERROR(__xludf.DUMMYFUNCTION("COUNTUNIQUEIFS($A$2:$A972,$F$2:$F972,F972)"),16.0)</f>
        <v>16</v>
      </c>
      <c r="N972" s="10">
        <f t="shared" si="1"/>
        <v>8</v>
      </c>
      <c r="O972" s="26">
        <f>IF(operations[sinceLastOrder]=0,0,operations[orderQuantity] / operations[sinceLastOrder])</f>
        <v>0.625</v>
      </c>
      <c r="P972" s="9">
        <v>0.75</v>
      </c>
      <c r="Q972" s="7" t="s">
        <v>13</v>
      </c>
      <c r="R972" s="10">
        <f>operations[arrivedDate]-operations[shippedDate]</f>
        <v>13</v>
      </c>
    </row>
    <row r="973" ht="15.75" customHeight="1">
      <c r="A973" s="6">
        <v>10616.0</v>
      </c>
      <c r="B973" s="24">
        <v>45138.0</v>
      </c>
      <c r="C973" s="24">
        <v>45166.0</v>
      </c>
      <c r="D973" s="24">
        <v>45143.0</v>
      </c>
      <c r="E973" s="24">
        <v>45158.0</v>
      </c>
      <c r="F973" s="6">
        <v>38.0</v>
      </c>
      <c r="G973" s="9" t="str">
        <f>VLOOKUP(operations[productID],products[],2,FALSE)</f>
        <v>Côte de Blaye</v>
      </c>
      <c r="H973" s="9" t="str">
        <f>IF(VLOOKUP(operations[productID],products[],7,FALSE)=1,"Discontinued","Current")</f>
        <v>Current</v>
      </c>
      <c r="I973" s="6">
        <f>VLOOKUP(operations[productID],products[],4,FALSE)</f>
        <v>17</v>
      </c>
      <c r="J973" s="6">
        <f>VLOOKUP(operations[productID],products[],5,FALSE)</f>
        <v>0</v>
      </c>
      <c r="K973" s="6">
        <f>VLOOKUP(operations[productID],products[],6,FALSE)</f>
        <v>15</v>
      </c>
      <c r="L973" s="10">
        <f t="array" ref="L973">INDEX('1 orders'!I973:I2156, MATCH(1, ('1 orders'!A973:A2156=A973)*('1 orders'!G973:G2156=F973), 0))
</f>
        <v>15</v>
      </c>
      <c r="M973" s="10">
        <f>IFERROR(__xludf.DUMMYFUNCTION("COUNTUNIQUEIFS($A$2:$A973,$F$2:$F973,F973)"),12.0)</f>
        <v>12</v>
      </c>
      <c r="N973" s="10">
        <f t="shared" si="1"/>
        <v>73</v>
      </c>
      <c r="O973" s="26">
        <f>IF(operations[sinceLastOrder]=0,0,operations[orderQuantity] / operations[sinceLastOrder])</f>
        <v>0.2054794521</v>
      </c>
      <c r="P973" s="9">
        <v>116.53</v>
      </c>
      <c r="Q973" s="7" t="s">
        <v>17</v>
      </c>
      <c r="R973" s="10">
        <f>operations[arrivedDate]-operations[shippedDate]</f>
        <v>15</v>
      </c>
    </row>
    <row r="974" ht="15.75" customHeight="1">
      <c r="A974" s="6">
        <v>10616.0</v>
      </c>
      <c r="B974" s="24">
        <v>45138.0</v>
      </c>
      <c r="C974" s="24">
        <v>45166.0</v>
      </c>
      <c r="D974" s="24">
        <v>45143.0</v>
      </c>
      <c r="E974" s="24">
        <v>45158.0</v>
      </c>
      <c r="F974" s="6">
        <v>56.0</v>
      </c>
      <c r="G974" s="9" t="str">
        <f>VLOOKUP(operations[productID],products[],2,FALSE)</f>
        <v>Gnocchi di nonna Alice</v>
      </c>
      <c r="H974" s="9" t="str">
        <f>IF(VLOOKUP(operations[productID],products[],7,FALSE)=1,"Discontinued","Current")</f>
        <v>Current</v>
      </c>
      <c r="I974" s="6">
        <f>VLOOKUP(operations[productID],products[],4,FALSE)</f>
        <v>21</v>
      </c>
      <c r="J974" s="6">
        <f>VLOOKUP(operations[productID],products[],5,FALSE)</f>
        <v>10</v>
      </c>
      <c r="K974" s="6">
        <f>VLOOKUP(operations[productID],products[],6,FALSE)</f>
        <v>30</v>
      </c>
      <c r="L974" s="10">
        <f t="array" ref="L974">INDEX('1 orders'!I974:I2156, MATCH(1, ('1 orders'!A974:A2156=A974)*('1 orders'!G974:G2156=F974), 0))
</f>
        <v>14</v>
      </c>
      <c r="M974" s="10">
        <f>IFERROR(__xludf.DUMMYFUNCTION("COUNTUNIQUEIFS($A$2:$A974,$F$2:$F974,F974)"),25.0)</f>
        <v>25</v>
      </c>
      <c r="N974" s="10">
        <f t="shared" si="1"/>
        <v>8</v>
      </c>
      <c r="O974" s="26">
        <f>IF(operations[sinceLastOrder]=0,0,operations[orderQuantity] / operations[sinceLastOrder])</f>
        <v>1.75</v>
      </c>
      <c r="P974" s="9">
        <v>116.53</v>
      </c>
      <c r="Q974" s="7" t="s">
        <v>17</v>
      </c>
      <c r="R974" s="10">
        <f>operations[arrivedDate]-operations[shippedDate]</f>
        <v>15</v>
      </c>
    </row>
    <row r="975" ht="15.75" customHeight="1">
      <c r="A975" s="6">
        <v>10616.0</v>
      </c>
      <c r="B975" s="24">
        <v>45138.0</v>
      </c>
      <c r="C975" s="24">
        <v>45166.0</v>
      </c>
      <c r="D975" s="24">
        <v>45143.0</v>
      </c>
      <c r="E975" s="24">
        <v>45158.0</v>
      </c>
      <c r="F975" s="6">
        <v>70.0</v>
      </c>
      <c r="G975" s="9" t="str">
        <f>VLOOKUP(operations[productID],products[],2,FALSE)</f>
        <v>Outback Lager</v>
      </c>
      <c r="H975" s="9" t="str">
        <f>IF(VLOOKUP(operations[productID],products[],7,FALSE)=1,"Discontinued","Current")</f>
        <v>Current</v>
      </c>
      <c r="I975" s="6">
        <f>VLOOKUP(operations[productID],products[],4,FALSE)</f>
        <v>15</v>
      </c>
      <c r="J975" s="6">
        <f>VLOOKUP(operations[productID],products[],5,FALSE)</f>
        <v>10</v>
      </c>
      <c r="K975" s="6">
        <f>VLOOKUP(operations[productID],products[],6,FALSE)</f>
        <v>30</v>
      </c>
      <c r="L975" s="10">
        <f t="array" ref="L975">INDEX('1 orders'!I975:I2156, MATCH(1, ('1 orders'!A975:A2156=A975)*('1 orders'!G975:G2156=F975), 0))
</f>
        <v>15</v>
      </c>
      <c r="M975" s="10">
        <f>IFERROR(__xludf.DUMMYFUNCTION("COUNTUNIQUEIFS($A$2:$A975,$F$2:$F975,F975)"),15.0)</f>
        <v>15</v>
      </c>
      <c r="N975" s="10">
        <f t="shared" si="1"/>
        <v>77</v>
      </c>
      <c r="O975" s="26">
        <f>IF(operations[sinceLastOrder]=0,0,operations[orderQuantity] / operations[sinceLastOrder])</f>
        <v>0.1948051948</v>
      </c>
      <c r="P975" s="9">
        <v>116.53</v>
      </c>
      <c r="Q975" s="7" t="s">
        <v>17</v>
      </c>
      <c r="R975" s="10">
        <f>operations[arrivedDate]-operations[shippedDate]</f>
        <v>15</v>
      </c>
    </row>
    <row r="976" ht="15.75" customHeight="1">
      <c r="A976" s="6">
        <v>10616.0</v>
      </c>
      <c r="B976" s="24">
        <v>45138.0</v>
      </c>
      <c r="C976" s="24">
        <v>45166.0</v>
      </c>
      <c r="D976" s="24">
        <v>45143.0</v>
      </c>
      <c r="E976" s="24">
        <v>45158.0</v>
      </c>
      <c r="F976" s="6">
        <v>71.0</v>
      </c>
      <c r="G976" s="9" t="str">
        <f>VLOOKUP(operations[productID],products[],2,FALSE)</f>
        <v>Flotemysost</v>
      </c>
      <c r="H976" s="9" t="str">
        <f>IF(VLOOKUP(operations[productID],products[],7,FALSE)=1,"Discontinued","Current")</f>
        <v>Current</v>
      </c>
      <c r="I976" s="6">
        <f>VLOOKUP(operations[productID],products[],4,FALSE)</f>
        <v>26</v>
      </c>
      <c r="J976" s="6">
        <f>VLOOKUP(operations[productID],products[],5,FALSE)</f>
        <v>0</v>
      </c>
      <c r="K976" s="6">
        <f>VLOOKUP(operations[productID],products[],6,FALSE)</f>
        <v>0</v>
      </c>
      <c r="L976" s="10">
        <f t="array" ref="L976">INDEX('1 orders'!I976:I2156, MATCH(1, ('1 orders'!A976:A2156=A976)*('1 orders'!G976:G2156=F976), 0))
</f>
        <v>15</v>
      </c>
      <c r="M976" s="10">
        <f>IFERROR(__xludf.DUMMYFUNCTION("COUNTUNIQUEIFS($A$2:$A976,$F$2:$F976,F976)"),21.0)</f>
        <v>21</v>
      </c>
      <c r="N976" s="10">
        <f t="shared" si="1"/>
        <v>10</v>
      </c>
      <c r="O976" s="26">
        <f>IF(operations[sinceLastOrder]=0,0,operations[orderQuantity] / operations[sinceLastOrder])</f>
        <v>1.5</v>
      </c>
      <c r="P976" s="9">
        <v>116.53</v>
      </c>
      <c r="Q976" s="7" t="s">
        <v>17</v>
      </c>
      <c r="R976" s="10">
        <f>operations[arrivedDate]-operations[shippedDate]</f>
        <v>15</v>
      </c>
    </row>
    <row r="977" ht="15.75" customHeight="1">
      <c r="A977" s="6">
        <v>10617.0</v>
      </c>
      <c r="B977" s="24">
        <v>45138.0</v>
      </c>
      <c r="C977" s="24">
        <v>45166.0</v>
      </c>
      <c r="D977" s="24">
        <v>45142.0</v>
      </c>
      <c r="E977" s="24">
        <v>45161.0</v>
      </c>
      <c r="F977" s="6">
        <v>59.0</v>
      </c>
      <c r="G977" s="9" t="str">
        <f>VLOOKUP(operations[productID],products[],2,FALSE)</f>
        <v>Raclette Courdavault</v>
      </c>
      <c r="H977" s="9" t="str">
        <f>IF(VLOOKUP(operations[productID],products[],7,FALSE)=1,"Discontinued","Current")</f>
        <v>Current</v>
      </c>
      <c r="I977" s="6">
        <f>VLOOKUP(operations[productID],products[],4,FALSE)</f>
        <v>79</v>
      </c>
      <c r="J977" s="6">
        <f>VLOOKUP(operations[productID],products[],5,FALSE)</f>
        <v>0</v>
      </c>
      <c r="K977" s="6">
        <f>VLOOKUP(operations[productID],products[],6,FALSE)</f>
        <v>0</v>
      </c>
      <c r="L977" s="10">
        <f t="array" ref="L977">INDEX('1 orders'!I977:I2156, MATCH(1, ('1 orders'!A977:A2156=A977)*('1 orders'!G977:G2156=F977), 0))
</f>
        <v>30</v>
      </c>
      <c r="M977" s="10">
        <f>IFERROR(__xludf.DUMMYFUNCTION("COUNTUNIQUEIFS($A$2:$A977,$F$2:$F977,F977)"),27.0)</f>
        <v>27</v>
      </c>
      <c r="N977" s="10">
        <f t="shared" si="1"/>
        <v>10</v>
      </c>
      <c r="O977" s="26">
        <f>IF(operations[sinceLastOrder]=0,0,operations[orderQuantity] / operations[sinceLastOrder])</f>
        <v>3</v>
      </c>
      <c r="P977" s="9">
        <v>18.53</v>
      </c>
      <c r="Q977" s="7" t="s">
        <v>17</v>
      </c>
      <c r="R977" s="10">
        <f>operations[arrivedDate]-operations[shippedDate]</f>
        <v>19</v>
      </c>
    </row>
    <row r="978" ht="15.75" customHeight="1">
      <c r="A978" s="6">
        <v>10618.0</v>
      </c>
      <c r="B978" s="24">
        <v>45139.0</v>
      </c>
      <c r="C978" s="24">
        <v>45181.0</v>
      </c>
      <c r="D978" s="24">
        <v>45146.0</v>
      </c>
      <c r="E978" s="24">
        <v>45156.0</v>
      </c>
      <c r="F978" s="6">
        <v>6.0</v>
      </c>
      <c r="G978" s="9" t="str">
        <f>VLOOKUP(operations[productID],products[],2,FALSE)</f>
        <v>Grandma's Boysenberry Spread</v>
      </c>
      <c r="H978" s="9" t="str">
        <f>IF(VLOOKUP(operations[productID],products[],7,FALSE)=1,"Discontinued","Current")</f>
        <v>Current</v>
      </c>
      <c r="I978" s="6">
        <f>VLOOKUP(operations[productID],products[],4,FALSE)</f>
        <v>120</v>
      </c>
      <c r="J978" s="6">
        <f>VLOOKUP(operations[productID],products[],5,FALSE)</f>
        <v>0</v>
      </c>
      <c r="K978" s="6">
        <f>VLOOKUP(operations[productID],products[],6,FALSE)</f>
        <v>25</v>
      </c>
      <c r="L978" s="10">
        <f t="array" ref="L978">INDEX('1 orders'!I978:I2156, MATCH(1, ('1 orders'!A978:A2156=A978)*('1 orders'!G978:G2156=F978), 0))
</f>
        <v>70</v>
      </c>
      <c r="M978" s="10">
        <f>IFERROR(__xludf.DUMMYFUNCTION("COUNTUNIQUEIFS($A$2:$A978,$F$2:$F978,F978)"),3.0)</f>
        <v>3</v>
      </c>
      <c r="N978" s="10">
        <f t="shared" si="1"/>
        <v>296</v>
      </c>
      <c r="O978" s="26">
        <f>IF(operations[sinceLastOrder]=0,0,operations[orderQuantity] / operations[sinceLastOrder])</f>
        <v>0.2364864865</v>
      </c>
      <c r="P978" s="9">
        <v>154.68</v>
      </c>
      <c r="Q978" s="7" t="s">
        <v>15</v>
      </c>
      <c r="R978" s="10">
        <f>operations[arrivedDate]-operations[shippedDate]</f>
        <v>10</v>
      </c>
    </row>
    <row r="979" ht="15.75" customHeight="1">
      <c r="A979" s="6">
        <v>10618.0</v>
      </c>
      <c r="B979" s="24">
        <v>45139.0</v>
      </c>
      <c r="C979" s="24">
        <v>45181.0</v>
      </c>
      <c r="D979" s="24">
        <v>45146.0</v>
      </c>
      <c r="E979" s="24">
        <v>45156.0</v>
      </c>
      <c r="F979" s="6">
        <v>56.0</v>
      </c>
      <c r="G979" s="9" t="str">
        <f>VLOOKUP(operations[productID],products[],2,FALSE)</f>
        <v>Gnocchi di nonna Alice</v>
      </c>
      <c r="H979" s="9" t="str">
        <f>IF(VLOOKUP(operations[productID],products[],7,FALSE)=1,"Discontinued","Current")</f>
        <v>Current</v>
      </c>
      <c r="I979" s="6">
        <f>VLOOKUP(operations[productID],products[],4,FALSE)</f>
        <v>21</v>
      </c>
      <c r="J979" s="6">
        <f>VLOOKUP(operations[productID],products[],5,FALSE)</f>
        <v>10</v>
      </c>
      <c r="K979" s="6">
        <f>VLOOKUP(operations[productID],products[],6,FALSE)</f>
        <v>30</v>
      </c>
      <c r="L979" s="10">
        <f t="array" ref="L979">INDEX('1 orders'!I979:I2156, MATCH(1, ('1 orders'!A979:A2156=A979)*('1 orders'!G979:G2156=F979), 0))
</f>
        <v>20</v>
      </c>
      <c r="M979" s="10">
        <f>IFERROR(__xludf.DUMMYFUNCTION("COUNTUNIQUEIFS($A$2:$A979,$F$2:$F979,F979)"),26.0)</f>
        <v>26</v>
      </c>
      <c r="N979" s="10">
        <f t="shared" si="1"/>
        <v>1</v>
      </c>
      <c r="O979" s="26">
        <f>IF(operations[sinceLastOrder]=0,0,operations[orderQuantity] / operations[sinceLastOrder])</f>
        <v>20</v>
      </c>
      <c r="P979" s="9">
        <v>154.68</v>
      </c>
      <c r="Q979" s="7" t="s">
        <v>15</v>
      </c>
      <c r="R979" s="10">
        <f>operations[arrivedDate]-operations[shippedDate]</f>
        <v>10</v>
      </c>
    </row>
    <row r="980" ht="15.75" customHeight="1">
      <c r="A980" s="6">
        <v>10618.0</v>
      </c>
      <c r="B980" s="24">
        <v>45139.0</v>
      </c>
      <c r="C980" s="24">
        <v>45181.0</v>
      </c>
      <c r="D980" s="24">
        <v>45146.0</v>
      </c>
      <c r="E980" s="24">
        <v>45156.0</v>
      </c>
      <c r="F980" s="6">
        <v>68.0</v>
      </c>
      <c r="G980" s="9" t="str">
        <f>VLOOKUP(operations[productID],products[],2,FALSE)</f>
        <v>Scottish Longbreads</v>
      </c>
      <c r="H980" s="9" t="str">
        <f>IF(VLOOKUP(operations[productID],products[],7,FALSE)=1,"Discontinued","Current")</f>
        <v>Current</v>
      </c>
      <c r="I980" s="6">
        <f>VLOOKUP(operations[productID],products[],4,FALSE)</f>
        <v>6</v>
      </c>
      <c r="J980" s="6">
        <f>VLOOKUP(operations[productID],products[],5,FALSE)</f>
        <v>10</v>
      </c>
      <c r="K980" s="6">
        <f>VLOOKUP(operations[productID],products[],6,FALSE)</f>
        <v>15</v>
      </c>
      <c r="L980" s="10">
        <f t="array" ref="L980">INDEX('1 orders'!I980:I2156, MATCH(1, ('1 orders'!A980:A2156=A980)*('1 orders'!G980:G2156=F980), 0))
</f>
        <v>15</v>
      </c>
      <c r="M980" s="10">
        <f>IFERROR(__xludf.DUMMYFUNCTION("COUNTUNIQUEIFS($A$2:$A980,$F$2:$F980,F980)"),17.0)</f>
        <v>17</v>
      </c>
      <c r="N980" s="10">
        <f t="shared" si="1"/>
        <v>74</v>
      </c>
      <c r="O980" s="26">
        <f>IF(operations[sinceLastOrder]=0,0,operations[orderQuantity] / operations[sinceLastOrder])</f>
        <v>0.2027027027</v>
      </c>
      <c r="P980" s="9">
        <v>154.68</v>
      </c>
      <c r="Q980" s="7" t="s">
        <v>15</v>
      </c>
      <c r="R980" s="10">
        <f>operations[arrivedDate]-operations[shippedDate]</f>
        <v>10</v>
      </c>
    </row>
    <row r="981" ht="15.75" customHeight="1">
      <c r="A981" s="6">
        <v>10619.0</v>
      </c>
      <c r="B981" s="24">
        <v>45142.0</v>
      </c>
      <c r="C981" s="24">
        <v>45170.0</v>
      </c>
      <c r="D981" s="24">
        <v>45145.0</v>
      </c>
      <c r="E981" s="24">
        <v>45156.0</v>
      </c>
      <c r="F981" s="6">
        <v>21.0</v>
      </c>
      <c r="G981" s="9" t="str">
        <f>VLOOKUP(operations[productID],products[],2,FALSE)</f>
        <v>Sir Rodney's Scones</v>
      </c>
      <c r="H981" s="9" t="str">
        <f>IF(VLOOKUP(operations[productID],products[],7,FALSE)=1,"Discontinued","Current")</f>
        <v>Current</v>
      </c>
      <c r="I981" s="6">
        <f>VLOOKUP(operations[productID],products[],4,FALSE)</f>
        <v>3</v>
      </c>
      <c r="J981" s="6">
        <f>VLOOKUP(operations[productID],products[],5,FALSE)</f>
        <v>40</v>
      </c>
      <c r="K981" s="6">
        <f>VLOOKUP(operations[productID],products[],6,FALSE)</f>
        <v>5</v>
      </c>
      <c r="L981" s="10">
        <f t="array" ref="L981">INDEX('1 orders'!I981:I2156, MATCH(1, ('1 orders'!A981:A2156=A981)*('1 orders'!G981:G2156=F981), 0))
</f>
        <v>42</v>
      </c>
      <c r="M981" s="10">
        <f>IFERROR(__xludf.DUMMYFUNCTION("COUNTUNIQUEIFS($A$2:$A981,$F$2:$F981,F981)"),19.0)</f>
        <v>19</v>
      </c>
      <c r="N981" s="10">
        <f t="shared" si="1"/>
        <v>6</v>
      </c>
      <c r="O981" s="26">
        <f>IF(operations[sinceLastOrder]=0,0,operations[orderQuantity] / operations[sinceLastOrder])</f>
        <v>7</v>
      </c>
      <c r="P981" s="9">
        <v>91.05</v>
      </c>
      <c r="Q981" s="7" t="s">
        <v>13</v>
      </c>
      <c r="R981" s="10">
        <f>operations[arrivedDate]-operations[shippedDate]</f>
        <v>11</v>
      </c>
    </row>
    <row r="982" ht="15.75" customHeight="1">
      <c r="A982" s="6">
        <v>10619.0</v>
      </c>
      <c r="B982" s="24">
        <v>45142.0</v>
      </c>
      <c r="C982" s="24">
        <v>45170.0</v>
      </c>
      <c r="D982" s="24">
        <v>45145.0</v>
      </c>
      <c r="E982" s="24">
        <v>45156.0</v>
      </c>
      <c r="F982" s="6">
        <v>22.0</v>
      </c>
      <c r="G982" s="9" t="str">
        <f>VLOOKUP(operations[productID],products[],2,FALSE)</f>
        <v>Gustaf's Knäckebröd</v>
      </c>
      <c r="H982" s="9" t="str">
        <f>IF(VLOOKUP(operations[productID],products[],7,FALSE)=1,"Discontinued","Current")</f>
        <v>Current</v>
      </c>
      <c r="I982" s="6">
        <f>VLOOKUP(operations[productID],products[],4,FALSE)</f>
        <v>104</v>
      </c>
      <c r="J982" s="6">
        <f>VLOOKUP(operations[productID],products[],5,FALSE)</f>
        <v>0</v>
      </c>
      <c r="K982" s="6">
        <f>VLOOKUP(operations[productID],products[],6,FALSE)</f>
        <v>25</v>
      </c>
      <c r="L982" s="10">
        <f t="array" ref="L982">INDEX('1 orders'!I982:I2156, MATCH(1, ('1 orders'!A982:A2156=A982)*('1 orders'!G982:G2156=F982), 0))
</f>
        <v>40</v>
      </c>
      <c r="M982" s="10">
        <f>IFERROR(__xludf.DUMMYFUNCTION("COUNTUNIQUEIFS($A$2:$A982,$F$2:$F982,F982)"),5.0)</f>
        <v>5</v>
      </c>
      <c r="N982" s="10">
        <f t="shared" si="1"/>
        <v>17</v>
      </c>
      <c r="O982" s="26">
        <f>IF(operations[sinceLastOrder]=0,0,operations[orderQuantity] / operations[sinceLastOrder])</f>
        <v>2.352941176</v>
      </c>
      <c r="P982" s="9">
        <v>91.05</v>
      </c>
      <c r="Q982" s="7" t="s">
        <v>13</v>
      </c>
      <c r="R982" s="10">
        <f>operations[arrivedDate]-operations[shippedDate]</f>
        <v>11</v>
      </c>
    </row>
    <row r="983" ht="15.75" customHeight="1">
      <c r="A983" s="6">
        <v>10620.0</v>
      </c>
      <c r="B983" s="24">
        <v>45143.0</v>
      </c>
      <c r="C983" s="24">
        <v>45171.0</v>
      </c>
      <c r="D983" s="24">
        <v>45152.0</v>
      </c>
      <c r="E983" s="24">
        <v>45163.0</v>
      </c>
      <c r="F983" s="6">
        <v>24.0</v>
      </c>
      <c r="G983" s="9" t="str">
        <f>VLOOKUP(operations[productID],products[],2,FALSE)</f>
        <v>Brigadeiros Maravilhosos da Lilian</v>
      </c>
      <c r="H983" s="9" t="str">
        <f>IF(VLOOKUP(operations[productID],products[],7,FALSE)=1,"Discontinued","Current")</f>
        <v>Discontinued</v>
      </c>
      <c r="I983" s="6">
        <f>VLOOKUP(operations[productID],products[],4,FALSE)</f>
        <v>20</v>
      </c>
      <c r="J983" s="6">
        <f>VLOOKUP(operations[productID],products[],5,FALSE)</f>
        <v>0</v>
      </c>
      <c r="K983" s="6">
        <f>VLOOKUP(operations[productID],products[],6,FALSE)</f>
        <v>0</v>
      </c>
      <c r="L983" s="10">
        <f t="array" ref="L983">INDEX('1 orders'!I983:I2156, MATCH(1, ('1 orders'!A983:A2156=A983)*('1 orders'!G983:G2156=F983), 0))
</f>
        <v>5</v>
      </c>
      <c r="M983" s="10">
        <f>IFERROR(__xludf.DUMMYFUNCTION("COUNTUNIQUEIFS($A$2:$A983,$F$2:$F983,F983)"),24.0)</f>
        <v>24</v>
      </c>
      <c r="N983" s="10">
        <f t="shared" si="1"/>
        <v>25</v>
      </c>
      <c r="O983" s="26">
        <f>IF(operations[sinceLastOrder]=0,0,operations[orderQuantity] / operations[sinceLastOrder])</f>
        <v>0.2</v>
      </c>
      <c r="P983" s="9">
        <v>0.94</v>
      </c>
      <c r="Q983" s="7" t="s">
        <v>13</v>
      </c>
      <c r="R983" s="10">
        <f>operations[arrivedDate]-operations[shippedDate]</f>
        <v>11</v>
      </c>
    </row>
    <row r="984" ht="15.75" customHeight="1">
      <c r="A984" s="6">
        <v>10620.0</v>
      </c>
      <c r="B984" s="24">
        <v>45143.0</v>
      </c>
      <c r="C984" s="24">
        <v>45171.0</v>
      </c>
      <c r="D984" s="24">
        <v>45152.0</v>
      </c>
      <c r="E984" s="24">
        <v>45163.0</v>
      </c>
      <c r="F984" s="6">
        <v>52.0</v>
      </c>
      <c r="G984" s="9" t="str">
        <f>VLOOKUP(operations[productID],products[],2,FALSE)</f>
        <v>Filo Mix</v>
      </c>
      <c r="H984" s="9" t="str">
        <f>IF(VLOOKUP(operations[productID],products[],7,FALSE)=1,"Discontinued","Current")</f>
        <v>Current</v>
      </c>
      <c r="I984" s="6">
        <f>VLOOKUP(operations[productID],products[],4,FALSE)</f>
        <v>38</v>
      </c>
      <c r="J984" s="6">
        <f>VLOOKUP(operations[productID],products[],5,FALSE)</f>
        <v>0</v>
      </c>
      <c r="K984" s="6">
        <f>VLOOKUP(operations[productID],products[],6,FALSE)</f>
        <v>25</v>
      </c>
      <c r="L984" s="10">
        <f t="array" ref="L984">INDEX('1 orders'!I984:I2156, MATCH(1, ('1 orders'!A984:A2156=A984)*('1 orders'!G984:G2156=F984), 0))
</f>
        <v>5</v>
      </c>
      <c r="M984" s="10">
        <f>IFERROR(__xludf.DUMMYFUNCTION("COUNTUNIQUEIFS($A$2:$A984,$F$2:$F984,F984)"),11.0)</f>
        <v>11</v>
      </c>
      <c r="N984" s="10">
        <f t="shared" si="1"/>
        <v>27</v>
      </c>
      <c r="O984" s="26">
        <f>IF(operations[sinceLastOrder]=0,0,operations[orderQuantity] / operations[sinceLastOrder])</f>
        <v>0.1851851852</v>
      </c>
      <c r="P984" s="9">
        <v>0.94</v>
      </c>
      <c r="Q984" s="7" t="s">
        <v>13</v>
      </c>
      <c r="R984" s="10">
        <f>operations[arrivedDate]-operations[shippedDate]</f>
        <v>11</v>
      </c>
    </row>
    <row r="985" ht="15.75" customHeight="1">
      <c r="A985" s="6">
        <v>10621.0</v>
      </c>
      <c r="B985" s="24">
        <v>45143.0</v>
      </c>
      <c r="C985" s="24">
        <v>45171.0</v>
      </c>
      <c r="D985" s="24">
        <v>45149.0</v>
      </c>
      <c r="E985" s="24">
        <v>45156.0</v>
      </c>
      <c r="F985" s="6">
        <v>19.0</v>
      </c>
      <c r="G985" s="9" t="str">
        <f>VLOOKUP(operations[productID],products[],2,FALSE)</f>
        <v>Teatime Chocolate Biscuits</v>
      </c>
      <c r="H985" s="9" t="str">
        <f>IF(VLOOKUP(operations[productID],products[],7,FALSE)=1,"Discontinued","Current")</f>
        <v>Current</v>
      </c>
      <c r="I985" s="6">
        <f>VLOOKUP(operations[productID],products[],4,FALSE)</f>
        <v>25</v>
      </c>
      <c r="J985" s="6">
        <f>VLOOKUP(operations[productID],products[],5,FALSE)</f>
        <v>0</v>
      </c>
      <c r="K985" s="6">
        <f>VLOOKUP(operations[productID],products[],6,FALSE)</f>
        <v>5</v>
      </c>
      <c r="L985" s="10">
        <f t="array" ref="L985">INDEX('1 orders'!I985:I2156, MATCH(1, ('1 orders'!A985:A2156=A985)*('1 orders'!G985:G2156=F985), 0))
</f>
        <v>5</v>
      </c>
      <c r="M985" s="10">
        <f>IFERROR(__xludf.DUMMYFUNCTION("COUNTUNIQUEIFS($A$2:$A985,$F$2:$F985,F985)"),16.0)</f>
        <v>16</v>
      </c>
      <c r="N985" s="10">
        <f t="shared" si="1"/>
        <v>64</v>
      </c>
      <c r="O985" s="26">
        <f>IF(operations[sinceLastOrder]=0,0,operations[orderQuantity] / operations[sinceLastOrder])</f>
        <v>0.078125</v>
      </c>
      <c r="P985" s="9">
        <v>23.73</v>
      </c>
      <c r="Q985" s="7" t="s">
        <v>17</v>
      </c>
      <c r="R985" s="10">
        <f>operations[arrivedDate]-operations[shippedDate]</f>
        <v>7</v>
      </c>
    </row>
    <row r="986" ht="15.75" customHeight="1">
      <c r="A986" s="6">
        <v>10621.0</v>
      </c>
      <c r="B986" s="24">
        <v>45143.0</v>
      </c>
      <c r="C986" s="24">
        <v>45171.0</v>
      </c>
      <c r="D986" s="24">
        <v>45149.0</v>
      </c>
      <c r="E986" s="24">
        <v>45156.0</v>
      </c>
      <c r="F986" s="6">
        <v>23.0</v>
      </c>
      <c r="G986" s="9" t="str">
        <f>VLOOKUP(operations[productID],products[],2,FALSE)</f>
        <v>Tunnbröd</v>
      </c>
      <c r="H986" s="9" t="str">
        <f>IF(VLOOKUP(operations[productID],products[],7,FALSE)=1,"Discontinued","Current")</f>
        <v>Current</v>
      </c>
      <c r="I986" s="6">
        <f>VLOOKUP(operations[productID],products[],4,FALSE)</f>
        <v>61</v>
      </c>
      <c r="J986" s="6">
        <f>VLOOKUP(operations[productID],products[],5,FALSE)</f>
        <v>0</v>
      </c>
      <c r="K986" s="6">
        <f>VLOOKUP(operations[productID],products[],6,FALSE)</f>
        <v>25</v>
      </c>
      <c r="L986" s="10">
        <f t="array" ref="L986">INDEX('1 orders'!I986:I2156, MATCH(1, ('1 orders'!A986:A2156=A986)*('1 orders'!G986:G2156=F986), 0))
</f>
        <v>10</v>
      </c>
      <c r="M986" s="10">
        <f>IFERROR(__xludf.DUMMYFUNCTION("COUNTUNIQUEIFS($A$2:$A986,$F$2:$F986,F986)"),10.0)</f>
        <v>10</v>
      </c>
      <c r="N986" s="10">
        <f t="shared" si="1"/>
        <v>67</v>
      </c>
      <c r="O986" s="26">
        <f>IF(operations[sinceLastOrder]=0,0,operations[orderQuantity] / operations[sinceLastOrder])</f>
        <v>0.1492537313</v>
      </c>
      <c r="P986" s="9">
        <v>23.73</v>
      </c>
      <c r="Q986" s="7" t="s">
        <v>17</v>
      </c>
      <c r="R986" s="10">
        <f>operations[arrivedDate]-operations[shippedDate]</f>
        <v>7</v>
      </c>
    </row>
    <row r="987" ht="15.75" customHeight="1">
      <c r="A987" s="6">
        <v>10621.0</v>
      </c>
      <c r="B987" s="24">
        <v>45143.0</v>
      </c>
      <c r="C987" s="24">
        <v>45171.0</v>
      </c>
      <c r="D987" s="24">
        <v>45149.0</v>
      </c>
      <c r="E987" s="24">
        <v>45156.0</v>
      </c>
      <c r="F987" s="6">
        <v>70.0</v>
      </c>
      <c r="G987" s="9" t="str">
        <f>VLOOKUP(operations[productID],products[],2,FALSE)</f>
        <v>Outback Lager</v>
      </c>
      <c r="H987" s="9" t="str">
        <f>IF(VLOOKUP(operations[productID],products[],7,FALSE)=1,"Discontinued","Current")</f>
        <v>Current</v>
      </c>
      <c r="I987" s="6">
        <f>VLOOKUP(operations[productID],products[],4,FALSE)</f>
        <v>15</v>
      </c>
      <c r="J987" s="6">
        <f>VLOOKUP(operations[productID],products[],5,FALSE)</f>
        <v>10</v>
      </c>
      <c r="K987" s="6">
        <f>VLOOKUP(operations[productID],products[],6,FALSE)</f>
        <v>30</v>
      </c>
      <c r="L987" s="10">
        <f t="array" ref="L987">INDEX('1 orders'!I987:I2156, MATCH(1, ('1 orders'!A987:A2156=A987)*('1 orders'!G987:G2156=F987), 0))
</f>
        <v>20</v>
      </c>
      <c r="M987" s="10">
        <f>IFERROR(__xludf.DUMMYFUNCTION("COUNTUNIQUEIFS($A$2:$A987,$F$2:$F987,F987)"),16.0)</f>
        <v>16</v>
      </c>
      <c r="N987" s="10">
        <f t="shared" si="1"/>
        <v>5</v>
      </c>
      <c r="O987" s="26">
        <f>IF(operations[sinceLastOrder]=0,0,operations[orderQuantity] / operations[sinceLastOrder])</f>
        <v>4</v>
      </c>
      <c r="P987" s="9">
        <v>23.73</v>
      </c>
      <c r="Q987" s="7" t="s">
        <v>17</v>
      </c>
      <c r="R987" s="10">
        <f>operations[arrivedDate]-operations[shippedDate]</f>
        <v>7</v>
      </c>
    </row>
    <row r="988" ht="15.75" customHeight="1">
      <c r="A988" s="6">
        <v>10621.0</v>
      </c>
      <c r="B988" s="24">
        <v>45143.0</v>
      </c>
      <c r="C988" s="24">
        <v>45171.0</v>
      </c>
      <c r="D988" s="24">
        <v>45149.0</v>
      </c>
      <c r="E988" s="24">
        <v>45156.0</v>
      </c>
      <c r="F988" s="6">
        <v>71.0</v>
      </c>
      <c r="G988" s="9" t="str">
        <f>VLOOKUP(operations[productID],products[],2,FALSE)</f>
        <v>Flotemysost</v>
      </c>
      <c r="H988" s="9" t="str">
        <f>IF(VLOOKUP(operations[productID],products[],7,FALSE)=1,"Discontinued","Current")</f>
        <v>Current</v>
      </c>
      <c r="I988" s="6">
        <f>VLOOKUP(operations[productID],products[],4,FALSE)</f>
        <v>26</v>
      </c>
      <c r="J988" s="6">
        <f>VLOOKUP(operations[productID],products[],5,FALSE)</f>
        <v>0</v>
      </c>
      <c r="K988" s="6">
        <f>VLOOKUP(operations[productID],products[],6,FALSE)</f>
        <v>0</v>
      </c>
      <c r="L988" s="10">
        <f t="array" ref="L988">INDEX('1 orders'!I988:I2156, MATCH(1, ('1 orders'!A988:A2156=A988)*('1 orders'!G988:G2156=F988), 0))
</f>
        <v>15</v>
      </c>
      <c r="M988" s="10">
        <f>IFERROR(__xludf.DUMMYFUNCTION("COUNTUNIQUEIFS($A$2:$A988,$F$2:$F988,F988)"),22.0)</f>
        <v>22</v>
      </c>
      <c r="N988" s="10">
        <f t="shared" si="1"/>
        <v>5</v>
      </c>
      <c r="O988" s="26">
        <f>IF(operations[sinceLastOrder]=0,0,operations[orderQuantity] / operations[sinceLastOrder])</f>
        <v>3</v>
      </c>
      <c r="P988" s="9">
        <v>23.73</v>
      </c>
      <c r="Q988" s="7" t="s">
        <v>17</v>
      </c>
      <c r="R988" s="10">
        <f>operations[arrivedDate]-operations[shippedDate]</f>
        <v>7</v>
      </c>
    </row>
    <row r="989" ht="15.75" customHeight="1">
      <c r="A989" s="6">
        <v>10622.0</v>
      </c>
      <c r="B989" s="24">
        <v>45144.0</v>
      </c>
      <c r="C989" s="24">
        <v>45172.0</v>
      </c>
      <c r="D989" s="24">
        <v>45149.0</v>
      </c>
      <c r="E989" s="24">
        <v>45166.0</v>
      </c>
      <c r="F989" s="6">
        <v>2.0</v>
      </c>
      <c r="G989" s="9" t="str">
        <f>VLOOKUP(operations[productID],products[],2,FALSE)</f>
        <v>Chang</v>
      </c>
      <c r="H989" s="9" t="str">
        <f>IF(VLOOKUP(operations[productID],products[],7,FALSE)=1,"Discontinued","Current")</f>
        <v>Current</v>
      </c>
      <c r="I989" s="6">
        <f>VLOOKUP(operations[productID],products[],4,FALSE)</f>
        <v>17</v>
      </c>
      <c r="J989" s="6">
        <f>VLOOKUP(operations[productID],products[],5,FALSE)</f>
        <v>40</v>
      </c>
      <c r="K989" s="6">
        <f>VLOOKUP(operations[productID],products[],6,FALSE)</f>
        <v>25</v>
      </c>
      <c r="L989" s="10">
        <f t="array" ref="L989">INDEX('1 orders'!I989:I2156, MATCH(1, ('1 orders'!A989:A2156=A989)*('1 orders'!G989:G2156=F989), 0))
</f>
        <v>20</v>
      </c>
      <c r="M989" s="10">
        <f>IFERROR(__xludf.DUMMYFUNCTION("COUNTUNIQUEIFS($A$2:$A989,$F$2:$F989,F989)"),16.0)</f>
        <v>16</v>
      </c>
      <c r="N989" s="10">
        <f t="shared" si="1"/>
        <v>12</v>
      </c>
      <c r="O989" s="26">
        <f>IF(operations[sinceLastOrder]=0,0,operations[orderQuantity] / operations[sinceLastOrder])</f>
        <v>1.666666667</v>
      </c>
      <c r="P989" s="9">
        <v>50.97</v>
      </c>
      <c r="Q989" s="7" t="s">
        <v>13</v>
      </c>
      <c r="R989" s="10">
        <f>operations[arrivedDate]-operations[shippedDate]</f>
        <v>17</v>
      </c>
    </row>
    <row r="990" ht="15.75" customHeight="1">
      <c r="A990" s="6">
        <v>10622.0</v>
      </c>
      <c r="B990" s="24">
        <v>45144.0</v>
      </c>
      <c r="C990" s="24">
        <v>45172.0</v>
      </c>
      <c r="D990" s="24">
        <v>45149.0</v>
      </c>
      <c r="E990" s="24">
        <v>45166.0</v>
      </c>
      <c r="F990" s="6">
        <v>68.0</v>
      </c>
      <c r="G990" s="9" t="str">
        <f>VLOOKUP(operations[productID],products[],2,FALSE)</f>
        <v>Scottish Longbreads</v>
      </c>
      <c r="H990" s="9" t="str">
        <f>IF(VLOOKUP(operations[productID],products[],7,FALSE)=1,"Discontinued","Current")</f>
        <v>Current</v>
      </c>
      <c r="I990" s="6">
        <f>VLOOKUP(operations[productID],products[],4,FALSE)</f>
        <v>6</v>
      </c>
      <c r="J990" s="6">
        <f>VLOOKUP(operations[productID],products[],5,FALSE)</f>
        <v>10</v>
      </c>
      <c r="K990" s="6">
        <f>VLOOKUP(operations[productID],products[],6,FALSE)</f>
        <v>15</v>
      </c>
      <c r="L990" s="10">
        <f t="array" ref="L990">INDEX('1 orders'!I990:I2156, MATCH(1, ('1 orders'!A990:A2156=A990)*('1 orders'!G990:G2156=F990), 0))
</f>
        <v>18</v>
      </c>
      <c r="M990" s="10">
        <f>IFERROR(__xludf.DUMMYFUNCTION("COUNTUNIQUEIFS($A$2:$A990,$F$2:$F990,F990)"),18.0)</f>
        <v>18</v>
      </c>
      <c r="N990" s="10">
        <f t="shared" si="1"/>
        <v>5</v>
      </c>
      <c r="O990" s="26">
        <f>IF(operations[sinceLastOrder]=0,0,operations[orderQuantity] / operations[sinceLastOrder])</f>
        <v>3.6</v>
      </c>
      <c r="P990" s="9">
        <v>50.97</v>
      </c>
      <c r="Q990" s="7" t="s">
        <v>13</v>
      </c>
      <c r="R990" s="10">
        <f>operations[arrivedDate]-operations[shippedDate]</f>
        <v>17</v>
      </c>
    </row>
    <row r="991" ht="15.75" customHeight="1">
      <c r="A991" s="6">
        <v>10623.0</v>
      </c>
      <c r="B991" s="24">
        <v>45145.0</v>
      </c>
      <c r="C991" s="24">
        <v>45173.0</v>
      </c>
      <c r="D991" s="24">
        <v>45150.0</v>
      </c>
      <c r="E991" s="24">
        <v>45156.0</v>
      </c>
      <c r="F991" s="6">
        <v>14.0</v>
      </c>
      <c r="G991" s="9" t="str">
        <f>VLOOKUP(operations[productID],products[],2,FALSE)</f>
        <v>Tofu</v>
      </c>
      <c r="H991" s="9" t="str">
        <f>IF(VLOOKUP(operations[productID],products[],7,FALSE)=1,"Discontinued","Current")</f>
        <v>Current</v>
      </c>
      <c r="I991" s="6">
        <f>VLOOKUP(operations[productID],products[],4,FALSE)</f>
        <v>35</v>
      </c>
      <c r="J991" s="6">
        <f>VLOOKUP(operations[productID],products[],5,FALSE)</f>
        <v>0</v>
      </c>
      <c r="K991" s="6">
        <f>VLOOKUP(operations[productID],products[],6,FALSE)</f>
        <v>0</v>
      </c>
      <c r="L991" s="10">
        <f t="array" ref="L991">INDEX('1 orders'!I991:I2156, MATCH(1, ('1 orders'!A991:A2156=A991)*('1 orders'!G991:G2156=F991), 0))
</f>
        <v>21</v>
      </c>
      <c r="M991" s="10">
        <f>IFERROR(__xludf.DUMMYFUNCTION("COUNTUNIQUEIFS($A$2:$A991,$F$2:$F991,F991)"),14.0)</f>
        <v>14</v>
      </c>
      <c r="N991" s="10">
        <f t="shared" si="1"/>
        <v>42</v>
      </c>
      <c r="O991" s="26">
        <f>IF(operations[sinceLastOrder]=0,0,operations[orderQuantity] / operations[sinceLastOrder])</f>
        <v>0.5</v>
      </c>
      <c r="P991" s="9">
        <v>97.18</v>
      </c>
      <c r="Q991" s="7" t="s">
        <v>17</v>
      </c>
      <c r="R991" s="10">
        <f>operations[arrivedDate]-operations[shippedDate]</f>
        <v>6</v>
      </c>
    </row>
    <row r="992" ht="15.75" customHeight="1">
      <c r="A992" s="6">
        <v>10623.0</v>
      </c>
      <c r="B992" s="24">
        <v>45145.0</v>
      </c>
      <c r="C992" s="24">
        <v>45173.0</v>
      </c>
      <c r="D992" s="24">
        <v>45150.0</v>
      </c>
      <c r="E992" s="24">
        <v>45156.0</v>
      </c>
      <c r="F992" s="6">
        <v>19.0</v>
      </c>
      <c r="G992" s="9" t="str">
        <f>VLOOKUP(operations[productID],products[],2,FALSE)</f>
        <v>Teatime Chocolate Biscuits</v>
      </c>
      <c r="H992" s="9" t="str">
        <f>IF(VLOOKUP(operations[productID],products[],7,FALSE)=1,"Discontinued","Current")</f>
        <v>Current</v>
      </c>
      <c r="I992" s="6">
        <f>VLOOKUP(operations[productID],products[],4,FALSE)</f>
        <v>25</v>
      </c>
      <c r="J992" s="6">
        <f>VLOOKUP(operations[productID],products[],5,FALSE)</f>
        <v>0</v>
      </c>
      <c r="K992" s="6">
        <f>VLOOKUP(operations[productID],products[],6,FALSE)</f>
        <v>5</v>
      </c>
      <c r="L992" s="10">
        <f t="array" ref="L992">INDEX('1 orders'!I992:I2156, MATCH(1, ('1 orders'!A992:A2156=A992)*('1 orders'!G992:G2156=F992), 0))
</f>
        <v>15</v>
      </c>
      <c r="M992" s="10">
        <f>IFERROR(__xludf.DUMMYFUNCTION("COUNTUNIQUEIFS($A$2:$A992,$F$2:$F992,F992)"),17.0)</f>
        <v>17</v>
      </c>
      <c r="N992" s="10">
        <f t="shared" si="1"/>
        <v>2</v>
      </c>
      <c r="O992" s="26">
        <f>IF(operations[sinceLastOrder]=0,0,operations[orderQuantity] / operations[sinceLastOrder])</f>
        <v>7.5</v>
      </c>
      <c r="P992" s="9">
        <v>97.18</v>
      </c>
      <c r="Q992" s="7" t="s">
        <v>17</v>
      </c>
      <c r="R992" s="10">
        <f>operations[arrivedDate]-operations[shippedDate]</f>
        <v>6</v>
      </c>
    </row>
    <row r="993" ht="15.75" customHeight="1">
      <c r="A993" s="6">
        <v>10623.0</v>
      </c>
      <c r="B993" s="24">
        <v>45145.0</v>
      </c>
      <c r="C993" s="24">
        <v>45173.0</v>
      </c>
      <c r="D993" s="24">
        <v>45150.0</v>
      </c>
      <c r="E993" s="24">
        <v>45156.0</v>
      </c>
      <c r="F993" s="6">
        <v>21.0</v>
      </c>
      <c r="G993" s="9" t="str">
        <f>VLOOKUP(operations[productID],products[],2,FALSE)</f>
        <v>Sir Rodney's Scones</v>
      </c>
      <c r="H993" s="9" t="str">
        <f>IF(VLOOKUP(operations[productID],products[],7,FALSE)=1,"Discontinued","Current")</f>
        <v>Current</v>
      </c>
      <c r="I993" s="6">
        <f>VLOOKUP(operations[productID],products[],4,FALSE)</f>
        <v>3</v>
      </c>
      <c r="J993" s="6">
        <f>VLOOKUP(operations[productID],products[],5,FALSE)</f>
        <v>40</v>
      </c>
      <c r="K993" s="6">
        <f>VLOOKUP(operations[productID],products[],6,FALSE)</f>
        <v>5</v>
      </c>
      <c r="L993" s="10">
        <f t="array" ref="L993">INDEX('1 orders'!I993:I2156, MATCH(1, ('1 orders'!A993:A2156=A993)*('1 orders'!G993:G2156=F993), 0))
</f>
        <v>25</v>
      </c>
      <c r="M993" s="10">
        <f>IFERROR(__xludf.DUMMYFUNCTION("COUNTUNIQUEIFS($A$2:$A993,$F$2:$F993,F993)"),20.0)</f>
        <v>20</v>
      </c>
      <c r="N993" s="10">
        <f t="shared" si="1"/>
        <v>3</v>
      </c>
      <c r="O993" s="26">
        <f>IF(operations[sinceLastOrder]=0,0,operations[orderQuantity] / operations[sinceLastOrder])</f>
        <v>8.333333333</v>
      </c>
      <c r="P993" s="9">
        <v>97.18</v>
      </c>
      <c r="Q993" s="7" t="s">
        <v>17</v>
      </c>
      <c r="R993" s="10">
        <f>operations[arrivedDate]-operations[shippedDate]</f>
        <v>6</v>
      </c>
    </row>
    <row r="994" ht="15.75" customHeight="1">
      <c r="A994" s="6">
        <v>10623.0</v>
      </c>
      <c r="B994" s="24">
        <v>45145.0</v>
      </c>
      <c r="C994" s="24">
        <v>45173.0</v>
      </c>
      <c r="D994" s="24">
        <v>45150.0</v>
      </c>
      <c r="E994" s="24">
        <v>45156.0</v>
      </c>
      <c r="F994" s="6">
        <v>24.0</v>
      </c>
      <c r="G994" s="9" t="str">
        <f>VLOOKUP(operations[productID],products[],2,FALSE)</f>
        <v>Brigadeiros Maravilhosos da Lilian</v>
      </c>
      <c r="H994" s="9" t="str">
        <f>IF(VLOOKUP(operations[productID],products[],7,FALSE)=1,"Discontinued","Current")</f>
        <v>Discontinued</v>
      </c>
      <c r="I994" s="6">
        <f>VLOOKUP(operations[productID],products[],4,FALSE)</f>
        <v>20</v>
      </c>
      <c r="J994" s="6">
        <f>VLOOKUP(operations[productID],products[],5,FALSE)</f>
        <v>0</v>
      </c>
      <c r="K994" s="6">
        <f>VLOOKUP(operations[productID],products[],6,FALSE)</f>
        <v>0</v>
      </c>
      <c r="L994" s="10">
        <f t="array" ref="L994">INDEX('1 orders'!I994:I2156, MATCH(1, ('1 orders'!A994:A2156=A994)*('1 orders'!G994:G2156=F994), 0))
</f>
        <v>3</v>
      </c>
      <c r="M994" s="10">
        <f>IFERROR(__xludf.DUMMYFUNCTION("COUNTUNIQUEIFS($A$2:$A994,$F$2:$F994,F994)"),25.0)</f>
        <v>25</v>
      </c>
      <c r="N994" s="10">
        <f t="shared" si="1"/>
        <v>2</v>
      </c>
      <c r="O994" s="26">
        <f>IF(operations[sinceLastOrder]=0,0,operations[orderQuantity] / operations[sinceLastOrder])</f>
        <v>1.5</v>
      </c>
      <c r="P994" s="9">
        <v>97.18</v>
      </c>
      <c r="Q994" s="7" t="s">
        <v>17</v>
      </c>
      <c r="R994" s="10">
        <f>operations[arrivedDate]-operations[shippedDate]</f>
        <v>6</v>
      </c>
    </row>
    <row r="995" ht="15.75" customHeight="1">
      <c r="A995" s="6">
        <v>10623.0</v>
      </c>
      <c r="B995" s="24">
        <v>45145.0</v>
      </c>
      <c r="C995" s="24">
        <v>45173.0</v>
      </c>
      <c r="D995" s="24">
        <v>45150.0</v>
      </c>
      <c r="E995" s="24">
        <v>45156.0</v>
      </c>
      <c r="F995" s="6">
        <v>35.0</v>
      </c>
      <c r="G995" s="9" t="str">
        <f>VLOOKUP(operations[productID],products[],2,FALSE)</f>
        <v>Cold Brew Nitro</v>
      </c>
      <c r="H995" s="9" t="str">
        <f>IF(VLOOKUP(operations[productID],products[],7,FALSE)=1,"Discontinued","Current")</f>
        <v>Current</v>
      </c>
      <c r="I995" s="6">
        <f>VLOOKUP(operations[productID],products[],4,FALSE)</f>
        <v>20</v>
      </c>
      <c r="J995" s="6">
        <f>VLOOKUP(operations[productID],products[],5,FALSE)</f>
        <v>0</v>
      </c>
      <c r="K995" s="6">
        <f>VLOOKUP(operations[productID],products[],6,FALSE)</f>
        <v>15</v>
      </c>
      <c r="L995" s="10">
        <f t="array" ref="L995">INDEX('1 orders'!I995:I2156, MATCH(1, ('1 orders'!A995:A2156=A995)*('1 orders'!G995:G2156=F995), 0))
</f>
        <v>30</v>
      </c>
      <c r="M995" s="10">
        <f>IFERROR(__xludf.DUMMYFUNCTION("COUNTUNIQUEIFS($A$2:$A995,$F$2:$F995,F995)"),19.0)</f>
        <v>19</v>
      </c>
      <c r="N995" s="10">
        <f t="shared" si="1"/>
        <v>28</v>
      </c>
      <c r="O995" s="26">
        <f>IF(operations[sinceLastOrder]=0,0,operations[orderQuantity] / operations[sinceLastOrder])</f>
        <v>1.071428571</v>
      </c>
      <c r="P995" s="9">
        <v>97.18</v>
      </c>
      <c r="Q995" s="7" t="s">
        <v>17</v>
      </c>
      <c r="R995" s="10">
        <f>operations[arrivedDate]-operations[shippedDate]</f>
        <v>6</v>
      </c>
    </row>
    <row r="996" ht="15.75" customHeight="1">
      <c r="A996" s="6">
        <v>10624.0</v>
      </c>
      <c r="B996" s="24">
        <v>45145.0</v>
      </c>
      <c r="C996" s="24">
        <v>45173.0</v>
      </c>
      <c r="D996" s="24">
        <v>45157.0</v>
      </c>
      <c r="E996" s="24">
        <v>45174.0</v>
      </c>
      <c r="F996" s="6">
        <v>28.0</v>
      </c>
      <c r="G996" s="9" t="str">
        <f>VLOOKUP(operations[productID],products[],2,FALSE)</f>
        <v>Rössle Sauerkraut</v>
      </c>
      <c r="H996" s="9" t="str">
        <f>IF(VLOOKUP(operations[productID],products[],7,FALSE)=1,"Discontinued","Current")</f>
        <v>Discontinued</v>
      </c>
      <c r="I996" s="6">
        <f>VLOOKUP(operations[productID],products[],4,FALSE)</f>
        <v>26</v>
      </c>
      <c r="J996" s="6">
        <f>VLOOKUP(operations[productID],products[],5,FALSE)</f>
        <v>0</v>
      </c>
      <c r="K996" s="6">
        <f>VLOOKUP(operations[productID],products[],6,FALSE)</f>
        <v>0</v>
      </c>
      <c r="L996" s="10">
        <f t="array" ref="L996">INDEX('1 orders'!I996:I2156, MATCH(1, ('1 orders'!A996:A2156=A996)*('1 orders'!G996:G2156=F996), 0))
</f>
        <v>10</v>
      </c>
      <c r="M996" s="10">
        <f>IFERROR(__xludf.DUMMYFUNCTION("COUNTUNIQUEIFS($A$2:$A996,$F$2:$F996,F996)"),19.0)</f>
        <v>19</v>
      </c>
      <c r="N996" s="10">
        <f t="shared" si="1"/>
        <v>78</v>
      </c>
      <c r="O996" s="26">
        <f>IF(operations[sinceLastOrder]=0,0,operations[orderQuantity] / operations[sinceLastOrder])</f>
        <v>0.1282051282</v>
      </c>
      <c r="P996" s="9">
        <v>94.8</v>
      </c>
      <c r="Q996" s="7" t="s">
        <v>17</v>
      </c>
      <c r="R996" s="10">
        <f>operations[arrivedDate]-operations[shippedDate]</f>
        <v>17</v>
      </c>
    </row>
    <row r="997" ht="15.75" customHeight="1">
      <c r="A997" s="6">
        <v>10624.0</v>
      </c>
      <c r="B997" s="24">
        <v>45145.0</v>
      </c>
      <c r="C997" s="24">
        <v>45173.0</v>
      </c>
      <c r="D997" s="24">
        <v>45157.0</v>
      </c>
      <c r="E997" s="24">
        <v>45174.0</v>
      </c>
      <c r="F997" s="6">
        <v>29.0</v>
      </c>
      <c r="G997" s="9" t="str">
        <f>VLOOKUP(operations[productID],products[],2,FALSE)</f>
        <v>Thüringer Rostbratwurst</v>
      </c>
      <c r="H997" s="9" t="str">
        <f>IF(VLOOKUP(operations[productID],products[],7,FALSE)=1,"Discontinued","Current")</f>
        <v>Discontinued</v>
      </c>
      <c r="I997" s="6">
        <f>VLOOKUP(operations[productID],products[],4,FALSE)</f>
        <v>0</v>
      </c>
      <c r="J997" s="6">
        <f>VLOOKUP(operations[productID],products[],5,FALSE)</f>
        <v>0</v>
      </c>
      <c r="K997" s="6">
        <f>VLOOKUP(operations[productID],products[],6,FALSE)</f>
        <v>0</v>
      </c>
      <c r="L997" s="10">
        <f t="array" ref="L997">INDEX('1 orders'!I997:I2156, MATCH(1, ('1 orders'!A997:A2156=A997)*('1 orders'!G997:G2156=F997), 0))
</f>
        <v>6</v>
      </c>
      <c r="M997" s="10">
        <f>IFERROR(__xludf.DUMMYFUNCTION("COUNTUNIQUEIFS($A$2:$A997,$F$2:$F997,F997)"),13.0)</f>
        <v>13</v>
      </c>
      <c r="N997" s="10">
        <f t="shared" si="1"/>
        <v>38</v>
      </c>
      <c r="O997" s="26">
        <f>IF(operations[sinceLastOrder]=0,0,operations[orderQuantity] / operations[sinceLastOrder])</f>
        <v>0.1578947368</v>
      </c>
      <c r="P997" s="9">
        <v>94.8</v>
      </c>
      <c r="Q997" s="7" t="s">
        <v>17</v>
      </c>
      <c r="R997" s="10">
        <f>operations[arrivedDate]-operations[shippedDate]</f>
        <v>17</v>
      </c>
    </row>
    <row r="998" ht="15.75" customHeight="1">
      <c r="A998" s="6">
        <v>10624.0</v>
      </c>
      <c r="B998" s="24">
        <v>45145.0</v>
      </c>
      <c r="C998" s="24">
        <v>45173.0</v>
      </c>
      <c r="D998" s="24">
        <v>45157.0</v>
      </c>
      <c r="E998" s="24">
        <v>45174.0</v>
      </c>
      <c r="F998" s="6">
        <v>44.0</v>
      </c>
      <c r="G998" s="9" t="str">
        <f>VLOOKUP(operations[productID],products[],2,FALSE)</f>
        <v>Gula Malacca</v>
      </c>
      <c r="H998" s="9" t="str">
        <f>IF(VLOOKUP(operations[productID],products[],7,FALSE)=1,"Discontinued","Current")</f>
        <v>Current</v>
      </c>
      <c r="I998" s="6">
        <f>VLOOKUP(operations[productID],products[],4,FALSE)</f>
        <v>27</v>
      </c>
      <c r="J998" s="6">
        <f>VLOOKUP(operations[productID],products[],5,FALSE)</f>
        <v>0</v>
      </c>
      <c r="K998" s="6">
        <f>VLOOKUP(operations[productID],products[],6,FALSE)</f>
        <v>15</v>
      </c>
      <c r="L998" s="10">
        <f t="array" ref="L998">INDEX('1 orders'!I998:I2156, MATCH(1, ('1 orders'!A998:A2156=A998)*('1 orders'!G998:G2156=F998), 0))
</f>
        <v>10</v>
      </c>
      <c r="M998" s="10">
        <f>IFERROR(__xludf.DUMMYFUNCTION("COUNTUNIQUEIFS($A$2:$A998,$F$2:$F998,F998)"),13.0)</f>
        <v>13</v>
      </c>
      <c r="N998" s="10">
        <f t="shared" si="1"/>
        <v>45</v>
      </c>
      <c r="O998" s="26">
        <f>IF(operations[sinceLastOrder]=0,0,operations[orderQuantity] / operations[sinceLastOrder])</f>
        <v>0.2222222222</v>
      </c>
      <c r="P998" s="9">
        <v>94.8</v>
      </c>
      <c r="Q998" s="7" t="s">
        <v>17</v>
      </c>
      <c r="R998" s="10">
        <f>operations[arrivedDate]-operations[shippedDate]</f>
        <v>17</v>
      </c>
    </row>
    <row r="999" ht="15.75" customHeight="1">
      <c r="A999" s="6">
        <v>10625.0</v>
      </c>
      <c r="B999" s="24">
        <v>45146.0</v>
      </c>
      <c r="C999" s="24">
        <v>45174.0</v>
      </c>
      <c r="D999" s="24">
        <v>45152.0</v>
      </c>
      <c r="E999" s="24">
        <v>45165.0</v>
      </c>
      <c r="F999" s="6">
        <v>14.0</v>
      </c>
      <c r="G999" s="9" t="str">
        <f>VLOOKUP(operations[productID],products[],2,FALSE)</f>
        <v>Tofu</v>
      </c>
      <c r="H999" s="9" t="str">
        <f>IF(VLOOKUP(operations[productID],products[],7,FALSE)=1,"Discontinued","Current")</f>
        <v>Current</v>
      </c>
      <c r="I999" s="6">
        <f>VLOOKUP(operations[productID],products[],4,FALSE)</f>
        <v>35</v>
      </c>
      <c r="J999" s="6">
        <f>VLOOKUP(operations[productID],products[],5,FALSE)</f>
        <v>0</v>
      </c>
      <c r="K999" s="6">
        <f>VLOOKUP(operations[productID],products[],6,FALSE)</f>
        <v>0</v>
      </c>
      <c r="L999" s="10">
        <f t="array" ref="L999">INDEX('1 orders'!I999:I2156, MATCH(1, ('1 orders'!A999:A2156=A999)*('1 orders'!G999:G2156=F999), 0))
</f>
        <v>3</v>
      </c>
      <c r="M999" s="10">
        <f>IFERROR(__xludf.DUMMYFUNCTION("COUNTUNIQUEIFS($A$2:$A999,$F$2:$F999,F999)"),15.0)</f>
        <v>15</v>
      </c>
      <c r="N999" s="10">
        <f t="shared" si="1"/>
        <v>1</v>
      </c>
      <c r="O999" s="26">
        <f>IF(operations[sinceLastOrder]=0,0,operations[orderQuantity] / operations[sinceLastOrder])</f>
        <v>3</v>
      </c>
      <c r="P999" s="9">
        <v>43.9</v>
      </c>
      <c r="Q999" s="7" t="s">
        <v>15</v>
      </c>
      <c r="R999" s="10">
        <f>operations[arrivedDate]-operations[shippedDate]</f>
        <v>13</v>
      </c>
    </row>
    <row r="1000" ht="15.75" customHeight="1">
      <c r="A1000" s="6">
        <v>10625.0</v>
      </c>
      <c r="B1000" s="24">
        <v>45146.0</v>
      </c>
      <c r="C1000" s="24">
        <v>45174.0</v>
      </c>
      <c r="D1000" s="24">
        <v>45152.0</v>
      </c>
      <c r="E1000" s="24">
        <v>45165.0</v>
      </c>
      <c r="F1000" s="6">
        <v>42.0</v>
      </c>
      <c r="G1000" s="9" t="str">
        <f>VLOOKUP(operations[productID],products[],2,FALSE)</f>
        <v>Singaporean Hokkien Fried Mee</v>
      </c>
      <c r="H1000" s="9" t="str">
        <f>IF(VLOOKUP(operations[productID],products[],7,FALSE)=1,"Discontinued","Current")</f>
        <v>Discontinued</v>
      </c>
      <c r="I1000" s="6">
        <f>VLOOKUP(operations[productID],products[],4,FALSE)</f>
        <v>26</v>
      </c>
      <c r="J1000" s="6">
        <f>VLOOKUP(operations[productID],products[],5,FALSE)</f>
        <v>0</v>
      </c>
      <c r="K1000" s="6">
        <f>VLOOKUP(operations[productID],products[],6,FALSE)</f>
        <v>0</v>
      </c>
      <c r="L1000" s="10">
        <f t="array" ref="L1000">INDEX('1 orders'!I1000:I2156, MATCH(1, ('1 orders'!A1000:A2156=A1000)*('1 orders'!G1000:G2156=F1000), 0))
</f>
        <v>5</v>
      </c>
      <c r="M1000" s="10">
        <f>IFERROR(__xludf.DUMMYFUNCTION("COUNTUNIQUEIFS($A$2:$A1000,$F$2:$F1000,F1000)"),13.0)</f>
        <v>13</v>
      </c>
      <c r="N1000" s="10">
        <f t="shared" si="1"/>
        <v>36</v>
      </c>
      <c r="O1000" s="26">
        <f>IF(operations[sinceLastOrder]=0,0,operations[orderQuantity] / operations[sinceLastOrder])</f>
        <v>0.1388888889</v>
      </c>
      <c r="P1000" s="9">
        <v>43.9</v>
      </c>
      <c r="Q1000" s="7" t="s">
        <v>15</v>
      </c>
      <c r="R1000" s="10">
        <f>operations[arrivedDate]-operations[shippedDate]</f>
        <v>13</v>
      </c>
    </row>
    <row r="1001" ht="15.75" customHeight="1">
      <c r="A1001" s="6">
        <v>10625.0</v>
      </c>
      <c r="B1001" s="24">
        <v>45146.0</v>
      </c>
      <c r="C1001" s="24">
        <v>45174.0</v>
      </c>
      <c r="D1001" s="24">
        <v>45152.0</v>
      </c>
      <c r="E1001" s="24">
        <v>45165.0</v>
      </c>
      <c r="F1001" s="6">
        <v>60.0</v>
      </c>
      <c r="G1001" s="9" t="str">
        <f>VLOOKUP(operations[productID],products[],2,FALSE)</f>
        <v>Camembert Pierrot</v>
      </c>
      <c r="H1001" s="9" t="str">
        <f>IF(VLOOKUP(operations[productID],products[],7,FALSE)=1,"Discontinued","Current")</f>
        <v>Current</v>
      </c>
      <c r="I1001" s="6">
        <f>VLOOKUP(operations[productID],products[],4,FALSE)</f>
        <v>19</v>
      </c>
      <c r="J1001" s="6">
        <f>VLOOKUP(operations[productID],products[],5,FALSE)</f>
        <v>0</v>
      </c>
      <c r="K1001" s="6">
        <f>VLOOKUP(operations[productID],products[],6,FALSE)</f>
        <v>0</v>
      </c>
      <c r="L1001" s="10">
        <f t="array" ref="L1001">INDEX('1 orders'!I1001:I2156, MATCH(1, ('1 orders'!A1001:A2156=A1001)*('1 orders'!G1001:G2156=F1001), 0))
</f>
        <v>10</v>
      </c>
      <c r="M1001" s="10">
        <f>IFERROR(__xludf.DUMMYFUNCTION("COUNTUNIQUEIFS($A$2:$A1001,$F$2:$F1001,F1001)"),23.0)</f>
        <v>23</v>
      </c>
      <c r="N1001" s="10">
        <f t="shared" si="1"/>
        <v>11</v>
      </c>
      <c r="O1001" s="26">
        <f>IF(operations[sinceLastOrder]=0,0,operations[orderQuantity] / operations[sinceLastOrder])</f>
        <v>0.9090909091</v>
      </c>
      <c r="P1001" s="9">
        <v>43.9</v>
      </c>
      <c r="Q1001" s="7" t="s">
        <v>15</v>
      </c>
      <c r="R1001" s="10">
        <f>operations[arrivedDate]-operations[shippedDate]</f>
        <v>13</v>
      </c>
    </row>
    <row r="1002" ht="15.75" customHeight="1">
      <c r="A1002" s="6">
        <v>10626.0</v>
      </c>
      <c r="B1002" s="24">
        <v>45149.0</v>
      </c>
      <c r="C1002" s="24">
        <v>45177.0</v>
      </c>
      <c r="D1002" s="24">
        <v>45158.0</v>
      </c>
      <c r="E1002" s="24">
        <v>45170.0</v>
      </c>
      <c r="F1002" s="6">
        <v>53.0</v>
      </c>
      <c r="G1002" s="9" t="str">
        <f>VLOOKUP(operations[productID],products[],2,FALSE)</f>
        <v>Perth Pasties</v>
      </c>
      <c r="H1002" s="9" t="str">
        <f>IF(VLOOKUP(operations[productID],products[],7,FALSE)=1,"Discontinued","Current")</f>
        <v>Discontinued</v>
      </c>
      <c r="I1002" s="6">
        <f>VLOOKUP(operations[productID],products[],4,FALSE)</f>
        <v>0</v>
      </c>
      <c r="J1002" s="6">
        <f>VLOOKUP(operations[productID],products[],5,FALSE)</f>
        <v>0</v>
      </c>
      <c r="K1002" s="6">
        <f>VLOOKUP(operations[productID],products[],6,FALSE)</f>
        <v>0</v>
      </c>
      <c r="L1002" s="10">
        <f t="array" ref="L1002">INDEX('1 orders'!I1002:I2156, MATCH(1, ('1 orders'!A1002:A2156=A1002)*('1 orders'!G1002:G2156=F1002), 0))
</f>
        <v>12</v>
      </c>
      <c r="M1002" s="10">
        <f>IFERROR(__xludf.DUMMYFUNCTION("COUNTUNIQUEIFS($A$2:$A1002,$F$2:$F1002,F1002)"),18.0)</f>
        <v>18</v>
      </c>
      <c r="N1002" s="10">
        <f t="shared" si="1"/>
        <v>53</v>
      </c>
      <c r="O1002" s="26">
        <f>IF(operations[sinceLastOrder]=0,0,operations[orderQuantity] / operations[sinceLastOrder])</f>
        <v>0.2264150943</v>
      </c>
      <c r="P1002" s="9">
        <v>138.69</v>
      </c>
      <c r="Q1002" s="7" t="s">
        <v>17</v>
      </c>
      <c r="R1002" s="10">
        <f>operations[arrivedDate]-operations[shippedDate]</f>
        <v>12</v>
      </c>
    </row>
    <row r="1003" ht="15.75" customHeight="1">
      <c r="A1003" s="6">
        <v>10626.0</v>
      </c>
      <c r="B1003" s="24">
        <v>45149.0</v>
      </c>
      <c r="C1003" s="24">
        <v>45177.0</v>
      </c>
      <c r="D1003" s="24">
        <v>45158.0</v>
      </c>
      <c r="E1003" s="24">
        <v>45170.0</v>
      </c>
      <c r="F1003" s="6">
        <v>60.0</v>
      </c>
      <c r="G1003" s="9" t="str">
        <f>VLOOKUP(operations[productID],products[],2,FALSE)</f>
        <v>Camembert Pierrot</v>
      </c>
      <c r="H1003" s="9" t="str">
        <f>IF(VLOOKUP(operations[productID],products[],7,FALSE)=1,"Discontinued","Current")</f>
        <v>Current</v>
      </c>
      <c r="I1003" s="6">
        <f>VLOOKUP(operations[productID],products[],4,FALSE)</f>
        <v>19</v>
      </c>
      <c r="J1003" s="6">
        <f>VLOOKUP(operations[productID],products[],5,FALSE)</f>
        <v>0</v>
      </c>
      <c r="K1003" s="6">
        <f>VLOOKUP(operations[productID],products[],6,FALSE)</f>
        <v>0</v>
      </c>
      <c r="L1003" s="10">
        <f t="array" ref="L1003">INDEX('1 orders'!I1003:I2156, MATCH(1, ('1 orders'!A1003:A2156=A1003)*('1 orders'!G1003:G2156=F1003), 0))
</f>
        <v>20</v>
      </c>
      <c r="M1003" s="10">
        <f>IFERROR(__xludf.DUMMYFUNCTION("COUNTUNIQUEIFS($A$2:$A1003,$F$2:$F1003,F1003)"),24.0)</f>
        <v>24</v>
      </c>
      <c r="N1003" s="10">
        <f t="shared" si="1"/>
        <v>3</v>
      </c>
      <c r="O1003" s="26">
        <f>IF(operations[sinceLastOrder]=0,0,operations[orderQuantity] / operations[sinceLastOrder])</f>
        <v>6.666666667</v>
      </c>
      <c r="P1003" s="9">
        <v>138.69</v>
      </c>
      <c r="Q1003" s="7" t="s">
        <v>17</v>
      </c>
      <c r="R1003" s="10">
        <f>operations[arrivedDate]-operations[shippedDate]</f>
        <v>12</v>
      </c>
    </row>
    <row r="1004" ht="15.75" customHeight="1">
      <c r="A1004" s="6">
        <v>10626.0</v>
      </c>
      <c r="B1004" s="24">
        <v>45149.0</v>
      </c>
      <c r="C1004" s="24">
        <v>45177.0</v>
      </c>
      <c r="D1004" s="24">
        <v>45158.0</v>
      </c>
      <c r="E1004" s="24">
        <v>45170.0</v>
      </c>
      <c r="F1004" s="6">
        <v>71.0</v>
      </c>
      <c r="G1004" s="9" t="str">
        <f>VLOOKUP(operations[productID],products[],2,FALSE)</f>
        <v>Flotemysost</v>
      </c>
      <c r="H1004" s="9" t="str">
        <f>IF(VLOOKUP(operations[productID],products[],7,FALSE)=1,"Discontinued","Current")</f>
        <v>Current</v>
      </c>
      <c r="I1004" s="6">
        <f>VLOOKUP(operations[productID],products[],4,FALSE)</f>
        <v>26</v>
      </c>
      <c r="J1004" s="6">
        <f>VLOOKUP(operations[productID],products[],5,FALSE)</f>
        <v>0</v>
      </c>
      <c r="K1004" s="6">
        <f>VLOOKUP(operations[productID],products[],6,FALSE)</f>
        <v>0</v>
      </c>
      <c r="L1004" s="10">
        <f t="array" ref="L1004">INDEX('1 orders'!I1004:I2156, MATCH(1, ('1 orders'!A1004:A2156=A1004)*('1 orders'!G1004:G2156=F1004), 0))
</f>
        <v>20</v>
      </c>
      <c r="M1004" s="10">
        <f>IFERROR(__xludf.DUMMYFUNCTION("COUNTUNIQUEIFS($A$2:$A1004,$F$2:$F1004,F1004)"),23.0)</f>
        <v>23</v>
      </c>
      <c r="N1004" s="10">
        <f t="shared" si="1"/>
        <v>6</v>
      </c>
      <c r="O1004" s="26">
        <f>IF(operations[sinceLastOrder]=0,0,operations[orderQuantity] / operations[sinceLastOrder])</f>
        <v>3.333333333</v>
      </c>
      <c r="P1004" s="9">
        <v>138.69</v>
      </c>
      <c r="Q1004" s="7" t="s">
        <v>17</v>
      </c>
      <c r="R1004" s="10">
        <f>operations[arrivedDate]-operations[shippedDate]</f>
        <v>12</v>
      </c>
    </row>
    <row r="1005" ht="15.75" customHeight="1">
      <c r="A1005" s="6">
        <v>10627.0</v>
      </c>
      <c r="B1005" s="24">
        <v>45149.0</v>
      </c>
      <c r="C1005" s="24">
        <v>45191.0</v>
      </c>
      <c r="D1005" s="24">
        <v>45159.0</v>
      </c>
      <c r="E1005" s="24">
        <v>45176.0</v>
      </c>
      <c r="F1005" s="6">
        <v>62.0</v>
      </c>
      <c r="G1005" s="9" t="str">
        <f>VLOOKUP(operations[productID],products[],2,FALSE)</f>
        <v>Tarte au sucre</v>
      </c>
      <c r="H1005" s="9" t="str">
        <f>IF(VLOOKUP(operations[productID],products[],7,FALSE)=1,"Discontinued","Current")</f>
        <v>Current</v>
      </c>
      <c r="I1005" s="6">
        <f>VLOOKUP(operations[productID],products[],4,FALSE)</f>
        <v>17</v>
      </c>
      <c r="J1005" s="6">
        <f>VLOOKUP(operations[productID],products[],5,FALSE)</f>
        <v>0</v>
      </c>
      <c r="K1005" s="6">
        <f>VLOOKUP(operations[productID],products[],6,FALSE)</f>
        <v>0</v>
      </c>
      <c r="L1005" s="10">
        <f t="array" ref="L1005">INDEX('1 orders'!I1005:I2156, MATCH(1, ('1 orders'!A1005:A2156=A1005)*('1 orders'!G1005:G2156=F1005), 0))
</f>
        <v>15</v>
      </c>
      <c r="M1005" s="10">
        <f>IFERROR(__xludf.DUMMYFUNCTION("COUNTUNIQUEIFS($A$2:$A1005,$F$2:$F1005,F1005)"),23.0)</f>
        <v>23</v>
      </c>
      <c r="N1005" s="10">
        <f t="shared" si="1"/>
        <v>20</v>
      </c>
      <c r="O1005" s="26">
        <f>IF(operations[sinceLastOrder]=0,0,operations[orderQuantity] / operations[sinceLastOrder])</f>
        <v>0.75</v>
      </c>
      <c r="P1005" s="9">
        <v>107.46</v>
      </c>
      <c r="Q1005" s="7" t="s">
        <v>13</v>
      </c>
      <c r="R1005" s="10">
        <f>operations[arrivedDate]-operations[shippedDate]</f>
        <v>17</v>
      </c>
    </row>
    <row r="1006" ht="15.75" customHeight="1">
      <c r="A1006" s="6">
        <v>10627.0</v>
      </c>
      <c r="B1006" s="24">
        <v>45149.0</v>
      </c>
      <c r="C1006" s="24">
        <v>45191.0</v>
      </c>
      <c r="D1006" s="24">
        <v>45159.0</v>
      </c>
      <c r="E1006" s="24">
        <v>45176.0</v>
      </c>
      <c r="F1006" s="6">
        <v>73.0</v>
      </c>
      <c r="G1006" s="9" t="str">
        <f>VLOOKUP(operations[productID],products[],2,FALSE)</f>
        <v>Röd Kaviar</v>
      </c>
      <c r="H1006" s="9" t="str">
        <f>IF(VLOOKUP(operations[productID],products[],7,FALSE)=1,"Discontinued","Current")</f>
        <v>Current</v>
      </c>
      <c r="I1006" s="6">
        <f>VLOOKUP(operations[productID],products[],4,FALSE)</f>
        <v>101</v>
      </c>
      <c r="J1006" s="6">
        <f>VLOOKUP(operations[productID],products[],5,FALSE)</f>
        <v>0</v>
      </c>
      <c r="K1006" s="6">
        <f>VLOOKUP(operations[productID],products[],6,FALSE)</f>
        <v>5</v>
      </c>
      <c r="L1006" s="10">
        <f t="array" ref="L1006">INDEX('1 orders'!I1006:I2156, MATCH(1, ('1 orders'!A1006:A2156=A1006)*('1 orders'!G1006:G2156=F1006), 0))
</f>
        <v>35</v>
      </c>
      <c r="M1006" s="10">
        <f>IFERROR(__xludf.DUMMYFUNCTION("COUNTUNIQUEIFS($A$2:$A1006,$F$2:$F1006,F1006)"),8.0)</f>
        <v>8</v>
      </c>
      <c r="N1006" s="10">
        <f t="shared" si="1"/>
        <v>26</v>
      </c>
      <c r="O1006" s="26">
        <f>IF(operations[sinceLastOrder]=0,0,operations[orderQuantity] / operations[sinceLastOrder])</f>
        <v>1.346153846</v>
      </c>
      <c r="P1006" s="9">
        <v>107.46</v>
      </c>
      <c r="Q1006" s="7" t="s">
        <v>13</v>
      </c>
      <c r="R1006" s="10">
        <f>operations[arrivedDate]-operations[shippedDate]</f>
        <v>17</v>
      </c>
    </row>
    <row r="1007" ht="15.75" customHeight="1">
      <c r="A1007" s="6">
        <v>10628.0</v>
      </c>
      <c r="B1007" s="24">
        <v>45150.0</v>
      </c>
      <c r="C1007" s="24">
        <v>45178.0</v>
      </c>
      <c r="D1007" s="24">
        <v>45158.0</v>
      </c>
      <c r="E1007" s="24">
        <v>45165.0</v>
      </c>
      <c r="F1007" s="6">
        <v>1.0</v>
      </c>
      <c r="G1007" s="9" t="str">
        <f>VLOOKUP(operations[productID],products[],2,FALSE)</f>
        <v>Chai</v>
      </c>
      <c r="H1007" s="9" t="str">
        <f>IF(VLOOKUP(operations[productID],products[],7,FALSE)=1,"Discontinued","Current")</f>
        <v>Current</v>
      </c>
      <c r="I1007" s="6">
        <f>VLOOKUP(operations[productID],products[],4,FALSE)</f>
        <v>39</v>
      </c>
      <c r="J1007" s="6">
        <f>VLOOKUP(operations[productID],products[],5,FALSE)</f>
        <v>0</v>
      </c>
      <c r="K1007" s="6">
        <f>VLOOKUP(operations[productID],products[],6,FALSE)</f>
        <v>10</v>
      </c>
      <c r="L1007" s="10">
        <f t="array" ref="L1007">INDEX('1 orders'!I1007:I2156, MATCH(1, ('1 orders'!A1007:A2156=A1007)*('1 orders'!G1007:G2156=F1007), 0))
</f>
        <v>25</v>
      </c>
      <c r="M1007" s="10">
        <f>IFERROR(__xludf.DUMMYFUNCTION("COUNTUNIQUEIFS($A$2:$A1007,$F$2:$F1007,F1007)"),16.0)</f>
        <v>16</v>
      </c>
      <c r="N1007" s="10">
        <f t="shared" si="1"/>
        <v>18</v>
      </c>
      <c r="O1007" s="26">
        <f>IF(operations[sinceLastOrder]=0,0,operations[orderQuantity] / operations[sinceLastOrder])</f>
        <v>1.388888889</v>
      </c>
      <c r="P1007" s="9">
        <v>30.36</v>
      </c>
      <c r="Q1007" s="7" t="s">
        <v>13</v>
      </c>
      <c r="R1007" s="10">
        <f>operations[arrivedDate]-operations[shippedDate]</f>
        <v>7</v>
      </c>
    </row>
    <row r="1008" ht="15.75" customHeight="1">
      <c r="A1008" s="6">
        <v>10629.0</v>
      </c>
      <c r="B1008" s="24">
        <v>45150.0</v>
      </c>
      <c r="C1008" s="24">
        <v>45178.0</v>
      </c>
      <c r="D1008" s="24">
        <v>45158.0</v>
      </c>
      <c r="E1008" s="24">
        <v>45169.0</v>
      </c>
      <c r="F1008" s="6">
        <v>29.0</v>
      </c>
      <c r="G1008" s="9" t="str">
        <f>VLOOKUP(operations[productID],products[],2,FALSE)</f>
        <v>Thüringer Rostbratwurst</v>
      </c>
      <c r="H1008" s="9" t="str">
        <f>IF(VLOOKUP(operations[productID],products[],7,FALSE)=1,"Discontinued","Current")</f>
        <v>Discontinued</v>
      </c>
      <c r="I1008" s="6">
        <f>VLOOKUP(operations[productID],products[],4,FALSE)</f>
        <v>0</v>
      </c>
      <c r="J1008" s="6">
        <f>VLOOKUP(operations[productID],products[],5,FALSE)</f>
        <v>0</v>
      </c>
      <c r="K1008" s="6">
        <f>VLOOKUP(operations[productID],products[],6,FALSE)</f>
        <v>0</v>
      </c>
      <c r="L1008" s="10">
        <f t="array" ref="L1008">INDEX('1 orders'!I1008:I2156, MATCH(1, ('1 orders'!A1008:A2156=A1008)*('1 orders'!G1008:G2156=F1008), 0))
</f>
        <v>20</v>
      </c>
      <c r="M1008" s="10">
        <f>IFERROR(__xludf.DUMMYFUNCTION("COUNTUNIQUEIFS($A$2:$A1008,$F$2:$F1008,F1008)"),14.0)</f>
        <v>14</v>
      </c>
      <c r="N1008" s="10">
        <f t="shared" si="1"/>
        <v>5</v>
      </c>
      <c r="O1008" s="26">
        <f>IF(operations[sinceLastOrder]=0,0,operations[orderQuantity] / operations[sinceLastOrder])</f>
        <v>4</v>
      </c>
      <c r="P1008" s="9">
        <v>85.46</v>
      </c>
      <c r="Q1008" s="7" t="s">
        <v>13</v>
      </c>
      <c r="R1008" s="10">
        <f>operations[arrivedDate]-operations[shippedDate]</f>
        <v>11</v>
      </c>
    </row>
    <row r="1009" ht="15.75" customHeight="1">
      <c r="A1009" s="6">
        <v>10629.0</v>
      </c>
      <c r="B1009" s="24">
        <v>45150.0</v>
      </c>
      <c r="C1009" s="24">
        <v>45178.0</v>
      </c>
      <c r="D1009" s="24">
        <v>45158.0</v>
      </c>
      <c r="E1009" s="24">
        <v>45169.0</v>
      </c>
      <c r="F1009" s="6">
        <v>64.0</v>
      </c>
      <c r="G1009" s="9" t="str">
        <f>VLOOKUP(operations[productID],products[],2,FALSE)</f>
        <v>Lukas' leckere Sauerteigweggla</v>
      </c>
      <c r="H1009" s="9" t="str">
        <f>IF(VLOOKUP(operations[productID],products[],7,FALSE)=1,"Discontinued","Current")</f>
        <v>Current</v>
      </c>
      <c r="I1009" s="6">
        <f>VLOOKUP(operations[productID],products[],4,FALSE)</f>
        <v>22</v>
      </c>
      <c r="J1009" s="6">
        <f>VLOOKUP(operations[productID],products[],5,FALSE)</f>
        <v>80</v>
      </c>
      <c r="K1009" s="6">
        <f>VLOOKUP(operations[productID],products[],6,FALSE)</f>
        <v>30</v>
      </c>
      <c r="L1009" s="10">
        <f t="array" ref="L1009">INDEX('1 orders'!I1009:I2156, MATCH(1, ('1 orders'!A1009:A2156=A1009)*('1 orders'!G1009:G2156=F1009), 0))
</f>
        <v>9</v>
      </c>
      <c r="M1009" s="10">
        <f>IFERROR(__xludf.DUMMYFUNCTION("COUNTUNIQUEIFS($A$2:$A1009,$F$2:$F1009,F1009)"),14.0)</f>
        <v>14</v>
      </c>
      <c r="N1009" s="10">
        <f t="shared" si="1"/>
        <v>54</v>
      </c>
      <c r="O1009" s="26">
        <f>IF(operations[sinceLastOrder]=0,0,operations[orderQuantity] / operations[sinceLastOrder])</f>
        <v>0.1666666667</v>
      </c>
      <c r="P1009" s="9">
        <v>85.46</v>
      </c>
      <c r="Q1009" s="7" t="s">
        <v>13</v>
      </c>
      <c r="R1009" s="10">
        <f>operations[arrivedDate]-operations[shippedDate]</f>
        <v>11</v>
      </c>
    </row>
    <row r="1010" ht="15.75" customHeight="1">
      <c r="A1010" s="6">
        <v>10630.0</v>
      </c>
      <c r="B1010" s="24">
        <v>45151.0</v>
      </c>
      <c r="C1010" s="24">
        <v>45179.0</v>
      </c>
      <c r="D1010" s="24">
        <v>45157.0</v>
      </c>
      <c r="E1010" s="24">
        <v>45164.0</v>
      </c>
      <c r="F1010" s="6">
        <v>55.0</v>
      </c>
      <c r="G1010" s="9" t="str">
        <f>VLOOKUP(operations[productID],products[],2,FALSE)</f>
        <v>Pâté chinois</v>
      </c>
      <c r="H1010" s="9" t="str">
        <f>IF(VLOOKUP(operations[productID],products[],7,FALSE)=1,"Discontinued","Current")</f>
        <v>Current</v>
      </c>
      <c r="I1010" s="6">
        <f>VLOOKUP(operations[productID],products[],4,FALSE)</f>
        <v>115</v>
      </c>
      <c r="J1010" s="6">
        <f>VLOOKUP(operations[productID],products[],5,FALSE)</f>
        <v>0</v>
      </c>
      <c r="K1010" s="6">
        <f>VLOOKUP(operations[productID],products[],6,FALSE)</f>
        <v>20</v>
      </c>
      <c r="L1010" s="10">
        <f t="array" ref="L1010">INDEX('1 orders'!I1010:I2156, MATCH(1, ('1 orders'!A1010:A2156=A1010)*('1 orders'!G1010:G2156=F1010), 0))
</f>
        <v>12</v>
      </c>
      <c r="M1010" s="10">
        <f>IFERROR(__xludf.DUMMYFUNCTION("COUNTUNIQUEIFS($A$2:$A1010,$F$2:$F1010,F1010)"),17.0)</f>
        <v>17</v>
      </c>
      <c r="N1010" s="10">
        <f t="shared" si="1"/>
        <v>14</v>
      </c>
      <c r="O1010" s="26">
        <f>IF(operations[sinceLastOrder]=0,0,operations[orderQuantity] / operations[sinceLastOrder])</f>
        <v>0.8571428571</v>
      </c>
      <c r="P1010" s="9">
        <v>32.35</v>
      </c>
      <c r="Q1010" s="7" t="s">
        <v>17</v>
      </c>
      <c r="R1010" s="10">
        <f>operations[arrivedDate]-operations[shippedDate]</f>
        <v>7</v>
      </c>
    </row>
    <row r="1011" ht="15.75" customHeight="1">
      <c r="A1011" s="6">
        <v>10630.0</v>
      </c>
      <c r="B1011" s="24">
        <v>45151.0</v>
      </c>
      <c r="C1011" s="24">
        <v>45179.0</v>
      </c>
      <c r="D1011" s="24">
        <v>45157.0</v>
      </c>
      <c r="E1011" s="24">
        <v>45164.0</v>
      </c>
      <c r="F1011" s="6">
        <v>76.0</v>
      </c>
      <c r="G1011" s="9" t="str">
        <f>VLOOKUP(operations[productID],products[],2,FALSE)</f>
        <v>Lakkalikööri</v>
      </c>
      <c r="H1011" s="9" t="str">
        <f>IF(VLOOKUP(operations[productID],products[],7,FALSE)=1,"Discontinued","Current")</f>
        <v>Current</v>
      </c>
      <c r="I1011" s="6">
        <f>VLOOKUP(operations[productID],products[],4,FALSE)</f>
        <v>57</v>
      </c>
      <c r="J1011" s="6">
        <f>VLOOKUP(operations[productID],products[],5,FALSE)</f>
        <v>0</v>
      </c>
      <c r="K1011" s="6">
        <f>VLOOKUP(operations[productID],products[],6,FALSE)</f>
        <v>20</v>
      </c>
      <c r="L1011" s="10">
        <f t="array" ref="L1011">INDEX('1 orders'!I1011:I2156, MATCH(1, ('1 orders'!A1011:A2156=A1011)*('1 orders'!G1011:G2156=F1011), 0))
</f>
        <v>35</v>
      </c>
      <c r="M1011" s="10">
        <f>IFERROR(__xludf.DUMMYFUNCTION("COUNTUNIQUEIFS($A$2:$A1011,$F$2:$F1011,F1011)"),20.0)</f>
        <v>20</v>
      </c>
      <c r="N1011" s="10">
        <f t="shared" si="1"/>
        <v>16</v>
      </c>
      <c r="O1011" s="26">
        <f>IF(operations[sinceLastOrder]=0,0,operations[orderQuantity] / operations[sinceLastOrder])</f>
        <v>2.1875</v>
      </c>
      <c r="P1011" s="9">
        <v>32.35</v>
      </c>
      <c r="Q1011" s="7" t="s">
        <v>17</v>
      </c>
      <c r="R1011" s="10">
        <f>operations[arrivedDate]-operations[shippedDate]</f>
        <v>7</v>
      </c>
    </row>
    <row r="1012" ht="15.75" customHeight="1">
      <c r="A1012" s="6">
        <v>10631.0</v>
      </c>
      <c r="B1012" s="24">
        <v>45152.0</v>
      </c>
      <c r="C1012" s="24">
        <v>45180.0</v>
      </c>
      <c r="D1012" s="24">
        <v>45153.0</v>
      </c>
      <c r="E1012" s="24">
        <v>45156.0</v>
      </c>
      <c r="F1012" s="6">
        <v>75.0</v>
      </c>
      <c r="G1012" s="9" t="str">
        <f>VLOOKUP(operations[productID],products[],2,FALSE)</f>
        <v>Rhönbräu Klosterbier</v>
      </c>
      <c r="H1012" s="9" t="str">
        <f>IF(VLOOKUP(operations[productID],products[],7,FALSE)=1,"Discontinued","Current")</f>
        <v>Current</v>
      </c>
      <c r="I1012" s="6">
        <f>VLOOKUP(operations[productID],products[],4,FALSE)</f>
        <v>125</v>
      </c>
      <c r="J1012" s="6">
        <f>VLOOKUP(operations[productID],products[],5,FALSE)</f>
        <v>0</v>
      </c>
      <c r="K1012" s="6">
        <f>VLOOKUP(operations[productID],products[],6,FALSE)</f>
        <v>25</v>
      </c>
      <c r="L1012" s="10">
        <f t="array" ref="L1012">INDEX('1 orders'!I1012:I2156, MATCH(1, ('1 orders'!A1012:A2156=A1012)*('1 orders'!G1012:G2156=F1012), 0))
</f>
        <v>8</v>
      </c>
      <c r="M1012" s="10">
        <f>IFERROR(__xludf.DUMMYFUNCTION("COUNTUNIQUEIFS($A$2:$A1012,$F$2:$F1012,F1012)"),22.0)</f>
        <v>22</v>
      </c>
      <c r="N1012" s="10">
        <f t="shared" si="1"/>
        <v>16</v>
      </c>
      <c r="O1012" s="26">
        <f>IF(operations[sinceLastOrder]=0,0,operations[orderQuantity] / operations[sinceLastOrder])</f>
        <v>0.5</v>
      </c>
      <c r="P1012" s="9">
        <v>0.87</v>
      </c>
      <c r="Q1012" s="7" t="s">
        <v>15</v>
      </c>
      <c r="R1012" s="10">
        <f>operations[arrivedDate]-operations[shippedDate]</f>
        <v>3</v>
      </c>
    </row>
    <row r="1013" ht="15.75" customHeight="1">
      <c r="A1013" s="6">
        <v>10632.0</v>
      </c>
      <c r="B1013" s="24">
        <v>45152.0</v>
      </c>
      <c r="C1013" s="24">
        <v>45180.0</v>
      </c>
      <c r="D1013" s="24">
        <v>45157.0</v>
      </c>
      <c r="E1013" s="24">
        <v>45158.0</v>
      </c>
      <c r="F1013" s="6">
        <v>2.0</v>
      </c>
      <c r="G1013" s="9" t="str">
        <f>VLOOKUP(operations[productID],products[],2,FALSE)</f>
        <v>Chang</v>
      </c>
      <c r="H1013" s="9" t="str">
        <f>IF(VLOOKUP(operations[productID],products[],7,FALSE)=1,"Discontinued","Current")</f>
        <v>Current</v>
      </c>
      <c r="I1013" s="6">
        <f>VLOOKUP(operations[productID],products[],4,FALSE)</f>
        <v>17</v>
      </c>
      <c r="J1013" s="6">
        <f>VLOOKUP(operations[productID],products[],5,FALSE)</f>
        <v>40</v>
      </c>
      <c r="K1013" s="6">
        <f>VLOOKUP(operations[productID],products[],6,FALSE)</f>
        <v>25</v>
      </c>
      <c r="L1013" s="10">
        <f t="array" ref="L1013">INDEX('1 orders'!I1013:I2156, MATCH(1, ('1 orders'!A1013:A2156=A1013)*('1 orders'!G1013:G2156=F1013), 0))
</f>
        <v>30</v>
      </c>
      <c r="M1013" s="10">
        <f>IFERROR(__xludf.DUMMYFUNCTION("COUNTUNIQUEIFS($A$2:$A1013,$F$2:$F1013,F1013)"),17.0)</f>
        <v>17</v>
      </c>
      <c r="N1013" s="10">
        <f t="shared" si="1"/>
        <v>8</v>
      </c>
      <c r="O1013" s="26">
        <f>IF(operations[sinceLastOrder]=0,0,operations[orderQuantity] / operations[sinceLastOrder])</f>
        <v>3.75</v>
      </c>
      <c r="P1013" s="9">
        <v>41.38</v>
      </c>
      <c r="Q1013" s="7" t="s">
        <v>15</v>
      </c>
      <c r="R1013" s="10">
        <f>operations[arrivedDate]-operations[shippedDate]</f>
        <v>1</v>
      </c>
    </row>
    <row r="1014" ht="15.75" customHeight="1">
      <c r="A1014" s="6">
        <v>10632.0</v>
      </c>
      <c r="B1014" s="24">
        <v>45152.0</v>
      </c>
      <c r="C1014" s="24">
        <v>45180.0</v>
      </c>
      <c r="D1014" s="24">
        <v>45157.0</v>
      </c>
      <c r="E1014" s="24">
        <v>45158.0</v>
      </c>
      <c r="F1014" s="6">
        <v>33.0</v>
      </c>
      <c r="G1014" s="9" t="str">
        <f>VLOOKUP(operations[productID],products[],2,FALSE)</f>
        <v>Geitost</v>
      </c>
      <c r="H1014" s="9" t="str">
        <f>IF(VLOOKUP(operations[productID],products[],7,FALSE)=1,"Discontinued","Current")</f>
        <v>Current</v>
      </c>
      <c r="I1014" s="6">
        <f>VLOOKUP(operations[productID],products[],4,FALSE)</f>
        <v>112</v>
      </c>
      <c r="J1014" s="6">
        <f>VLOOKUP(operations[productID],products[],5,FALSE)</f>
        <v>0</v>
      </c>
      <c r="K1014" s="6">
        <f>VLOOKUP(operations[productID],products[],6,FALSE)</f>
        <v>20</v>
      </c>
      <c r="L1014" s="10">
        <f t="array" ref="L1014">INDEX('1 orders'!I1014:I2156, MATCH(1, ('1 orders'!A1014:A2156=A1014)*('1 orders'!G1014:G2156=F1014), 0))
</f>
        <v>20</v>
      </c>
      <c r="M1014" s="10">
        <f>IFERROR(__xludf.DUMMYFUNCTION("COUNTUNIQUEIFS($A$2:$A1014,$F$2:$F1014,F1014)"),19.0)</f>
        <v>19</v>
      </c>
      <c r="N1014" s="10">
        <f t="shared" si="1"/>
        <v>23</v>
      </c>
      <c r="O1014" s="26">
        <f>IF(operations[sinceLastOrder]=0,0,operations[orderQuantity] / operations[sinceLastOrder])</f>
        <v>0.8695652174</v>
      </c>
      <c r="P1014" s="9">
        <v>41.38</v>
      </c>
      <c r="Q1014" s="7" t="s">
        <v>15</v>
      </c>
      <c r="R1014" s="10">
        <f>operations[arrivedDate]-operations[shippedDate]</f>
        <v>1</v>
      </c>
    </row>
    <row r="1015" ht="15.75" customHeight="1">
      <c r="A1015" s="6">
        <v>10633.0</v>
      </c>
      <c r="B1015" s="24">
        <v>45153.0</v>
      </c>
      <c r="C1015" s="24">
        <v>45181.0</v>
      </c>
      <c r="D1015" s="24">
        <v>45156.0</v>
      </c>
      <c r="E1015" s="24">
        <v>45168.0</v>
      </c>
      <c r="F1015" s="6">
        <v>12.0</v>
      </c>
      <c r="G1015" s="9" t="str">
        <f>VLOOKUP(operations[productID],products[],2,FALSE)</f>
        <v>Queso Manchego La Pastora</v>
      </c>
      <c r="H1015" s="9" t="str">
        <f>IF(VLOOKUP(operations[productID],products[],7,FALSE)=1,"Discontinued","Current")</f>
        <v>Current</v>
      </c>
      <c r="I1015" s="6">
        <f>VLOOKUP(operations[productID],products[],4,FALSE)</f>
        <v>86</v>
      </c>
      <c r="J1015" s="6">
        <f>VLOOKUP(operations[productID],products[],5,FALSE)</f>
        <v>0</v>
      </c>
      <c r="K1015" s="6">
        <f>VLOOKUP(operations[productID],products[],6,FALSE)</f>
        <v>0</v>
      </c>
      <c r="L1015" s="10">
        <f t="array" ref="L1015">INDEX('1 orders'!I1015:I2156, MATCH(1, ('1 orders'!A1015:A2156=A1015)*('1 orders'!G1015:G2156=F1015), 0))
</f>
        <v>36</v>
      </c>
      <c r="M1015" s="10">
        <f>IFERROR(__xludf.DUMMYFUNCTION("COUNTUNIQUEIFS($A$2:$A1015,$F$2:$F1015,F1015)"),5.0)</f>
        <v>5</v>
      </c>
      <c r="N1015" s="10">
        <f t="shared" si="1"/>
        <v>86</v>
      </c>
      <c r="O1015" s="26">
        <f>IF(operations[sinceLastOrder]=0,0,operations[orderQuantity] / operations[sinceLastOrder])</f>
        <v>0.4186046512</v>
      </c>
      <c r="P1015" s="9">
        <v>477.9</v>
      </c>
      <c r="Q1015" s="7" t="s">
        <v>13</v>
      </c>
      <c r="R1015" s="10">
        <f>operations[arrivedDate]-operations[shippedDate]</f>
        <v>12</v>
      </c>
    </row>
    <row r="1016" ht="15.75" customHeight="1">
      <c r="A1016" s="6">
        <v>10633.0</v>
      </c>
      <c r="B1016" s="24">
        <v>45153.0</v>
      </c>
      <c r="C1016" s="24">
        <v>45181.0</v>
      </c>
      <c r="D1016" s="24">
        <v>45156.0</v>
      </c>
      <c r="E1016" s="24">
        <v>45168.0</v>
      </c>
      <c r="F1016" s="6">
        <v>13.0</v>
      </c>
      <c r="G1016" s="9" t="str">
        <f>VLOOKUP(operations[productID],products[],2,FALSE)</f>
        <v>Konbu</v>
      </c>
      <c r="H1016" s="9" t="str">
        <f>IF(VLOOKUP(operations[productID],products[],7,FALSE)=1,"Discontinued","Current")</f>
        <v>Current</v>
      </c>
      <c r="I1016" s="6">
        <f>VLOOKUP(operations[productID],products[],4,FALSE)</f>
        <v>24</v>
      </c>
      <c r="J1016" s="6">
        <f>VLOOKUP(operations[productID],products[],5,FALSE)</f>
        <v>0</v>
      </c>
      <c r="K1016" s="6">
        <f>VLOOKUP(operations[productID],products[],6,FALSE)</f>
        <v>5</v>
      </c>
      <c r="L1016" s="10">
        <f t="array" ref="L1016">INDEX('1 orders'!I1016:I2156, MATCH(1, ('1 orders'!A1016:A2156=A1016)*('1 orders'!G1016:G2156=F1016), 0))
</f>
        <v>13</v>
      </c>
      <c r="M1016" s="10">
        <f>IFERROR(__xludf.DUMMYFUNCTION("COUNTUNIQUEIFS($A$2:$A1016,$F$2:$F1016,F1016)"),14.0)</f>
        <v>14</v>
      </c>
      <c r="N1016" s="10">
        <f t="shared" si="1"/>
        <v>17</v>
      </c>
      <c r="O1016" s="26">
        <f>IF(operations[sinceLastOrder]=0,0,operations[orderQuantity] / operations[sinceLastOrder])</f>
        <v>0.7647058824</v>
      </c>
      <c r="P1016" s="9">
        <v>477.9</v>
      </c>
      <c r="Q1016" s="7" t="s">
        <v>13</v>
      </c>
      <c r="R1016" s="10">
        <f>operations[arrivedDate]-operations[shippedDate]</f>
        <v>12</v>
      </c>
    </row>
    <row r="1017" ht="15.75" customHeight="1">
      <c r="A1017" s="6">
        <v>10633.0</v>
      </c>
      <c r="B1017" s="24">
        <v>45153.0</v>
      </c>
      <c r="C1017" s="24">
        <v>45181.0</v>
      </c>
      <c r="D1017" s="24">
        <v>45156.0</v>
      </c>
      <c r="E1017" s="24">
        <v>45168.0</v>
      </c>
      <c r="F1017" s="6">
        <v>26.0</v>
      </c>
      <c r="G1017" s="9" t="str">
        <f>VLOOKUP(operations[productID],products[],2,FALSE)</f>
        <v>NuNuCa Nuß-Nougat-Creme</v>
      </c>
      <c r="H1017" s="9" t="str">
        <f>IF(VLOOKUP(operations[productID],products[],7,FALSE)=1,"Discontinued","Current")</f>
        <v>Current</v>
      </c>
      <c r="I1017" s="6">
        <f>VLOOKUP(operations[productID],products[],4,FALSE)</f>
        <v>15</v>
      </c>
      <c r="J1017" s="6">
        <f>VLOOKUP(operations[productID],products[],5,FALSE)</f>
        <v>0</v>
      </c>
      <c r="K1017" s="6">
        <f>VLOOKUP(operations[productID],products[],6,FALSE)</f>
        <v>0</v>
      </c>
      <c r="L1017" s="10">
        <f t="array" ref="L1017">INDEX('1 orders'!I1017:I2156, MATCH(1, ('1 orders'!A1017:A2156=A1017)*('1 orders'!G1017:G2156=F1017), 0))
</f>
        <v>35</v>
      </c>
      <c r="M1017" s="10">
        <f>IFERROR(__xludf.DUMMYFUNCTION("COUNTUNIQUEIFS($A$2:$A1017,$F$2:$F1017,F1017)"),16.0)</f>
        <v>16</v>
      </c>
      <c r="N1017" s="10">
        <f t="shared" si="1"/>
        <v>38</v>
      </c>
      <c r="O1017" s="26">
        <f>IF(operations[sinceLastOrder]=0,0,operations[orderQuantity] / operations[sinceLastOrder])</f>
        <v>0.9210526316</v>
      </c>
      <c r="P1017" s="9">
        <v>477.9</v>
      </c>
      <c r="Q1017" s="7" t="s">
        <v>13</v>
      </c>
      <c r="R1017" s="10">
        <f>operations[arrivedDate]-operations[shippedDate]</f>
        <v>12</v>
      </c>
    </row>
    <row r="1018" ht="15.75" customHeight="1">
      <c r="A1018" s="6">
        <v>10633.0</v>
      </c>
      <c r="B1018" s="24">
        <v>45153.0</v>
      </c>
      <c r="C1018" s="24">
        <v>45181.0</v>
      </c>
      <c r="D1018" s="24">
        <v>45156.0</v>
      </c>
      <c r="E1018" s="24">
        <v>45168.0</v>
      </c>
      <c r="F1018" s="6">
        <v>62.0</v>
      </c>
      <c r="G1018" s="9" t="str">
        <f>VLOOKUP(operations[productID],products[],2,FALSE)</f>
        <v>Tarte au sucre</v>
      </c>
      <c r="H1018" s="9" t="str">
        <f>IF(VLOOKUP(operations[productID],products[],7,FALSE)=1,"Discontinued","Current")</f>
        <v>Current</v>
      </c>
      <c r="I1018" s="6">
        <f>VLOOKUP(operations[productID],products[],4,FALSE)</f>
        <v>17</v>
      </c>
      <c r="J1018" s="6">
        <f>VLOOKUP(operations[productID],products[],5,FALSE)</f>
        <v>0</v>
      </c>
      <c r="K1018" s="6">
        <f>VLOOKUP(operations[productID],products[],6,FALSE)</f>
        <v>0</v>
      </c>
      <c r="L1018" s="10">
        <f t="array" ref="L1018">INDEX('1 orders'!I1018:I2156, MATCH(1, ('1 orders'!A1018:A2156=A1018)*('1 orders'!G1018:G2156=F1018), 0))
</f>
        <v>80</v>
      </c>
      <c r="M1018" s="10">
        <f>IFERROR(__xludf.DUMMYFUNCTION("COUNTUNIQUEIFS($A$2:$A1018,$F$2:$F1018,F1018)"),24.0)</f>
        <v>24</v>
      </c>
      <c r="N1018" s="10">
        <f t="shared" si="1"/>
        <v>4</v>
      </c>
      <c r="O1018" s="26">
        <f>IF(operations[sinceLastOrder]=0,0,operations[orderQuantity] / operations[sinceLastOrder])</f>
        <v>20</v>
      </c>
      <c r="P1018" s="9">
        <v>477.9</v>
      </c>
      <c r="Q1018" s="7" t="s">
        <v>13</v>
      </c>
      <c r="R1018" s="10">
        <f>operations[arrivedDate]-operations[shippedDate]</f>
        <v>12</v>
      </c>
    </row>
    <row r="1019" ht="15.75" customHeight="1">
      <c r="A1019" s="6">
        <v>10634.0</v>
      </c>
      <c r="B1019" s="24">
        <v>45153.0</v>
      </c>
      <c r="C1019" s="24">
        <v>45181.0</v>
      </c>
      <c r="D1019" s="24">
        <v>45159.0</v>
      </c>
      <c r="E1019" s="24">
        <v>45168.0</v>
      </c>
      <c r="F1019" s="6">
        <v>7.0</v>
      </c>
      <c r="G1019" s="9" t="str">
        <f>VLOOKUP(operations[productID],products[],2,FALSE)</f>
        <v>Uncle Bob's Organic Dried Pears</v>
      </c>
      <c r="H1019" s="9" t="str">
        <f>IF(VLOOKUP(operations[productID],products[],7,FALSE)=1,"Discontinued","Current")</f>
        <v>Current</v>
      </c>
      <c r="I1019" s="6">
        <f>VLOOKUP(operations[productID],products[],4,FALSE)</f>
        <v>15</v>
      </c>
      <c r="J1019" s="6">
        <f>VLOOKUP(operations[productID],products[],5,FALSE)</f>
        <v>0</v>
      </c>
      <c r="K1019" s="6">
        <f>VLOOKUP(operations[productID],products[],6,FALSE)</f>
        <v>10</v>
      </c>
      <c r="L1019" s="10">
        <f t="array" ref="L1019">INDEX('1 orders'!I1019:I2156, MATCH(1, ('1 orders'!A1019:A2156=A1019)*('1 orders'!G1019:G2156=F1019), 0))
</f>
        <v>35</v>
      </c>
      <c r="M1019" s="10">
        <f>IFERROR(__xludf.DUMMYFUNCTION("COUNTUNIQUEIFS($A$2:$A1019,$F$2:$F1019,F1019)"),9.0)</f>
        <v>9</v>
      </c>
      <c r="N1019" s="10">
        <f t="shared" si="1"/>
        <v>24</v>
      </c>
      <c r="O1019" s="26">
        <f>IF(operations[sinceLastOrder]=0,0,operations[orderQuantity] / operations[sinceLastOrder])</f>
        <v>1.458333333</v>
      </c>
      <c r="P1019" s="9">
        <v>487.38</v>
      </c>
      <c r="Q1019" s="7" t="s">
        <v>13</v>
      </c>
      <c r="R1019" s="10">
        <f>operations[arrivedDate]-operations[shippedDate]</f>
        <v>9</v>
      </c>
    </row>
    <row r="1020" ht="15.75" customHeight="1">
      <c r="A1020" s="6">
        <v>10634.0</v>
      </c>
      <c r="B1020" s="24">
        <v>45153.0</v>
      </c>
      <c r="C1020" s="24">
        <v>45181.0</v>
      </c>
      <c r="D1020" s="24">
        <v>45159.0</v>
      </c>
      <c r="E1020" s="24">
        <v>45168.0</v>
      </c>
      <c r="F1020" s="6">
        <v>18.0</v>
      </c>
      <c r="G1020" s="9" t="str">
        <f>VLOOKUP(operations[productID],products[],2,FALSE)</f>
        <v>Carnarvon Tigers</v>
      </c>
      <c r="H1020" s="9" t="str">
        <f>IF(VLOOKUP(operations[productID],products[],7,FALSE)=1,"Discontinued","Current")</f>
        <v>Current</v>
      </c>
      <c r="I1020" s="6">
        <f>VLOOKUP(operations[productID],products[],4,FALSE)</f>
        <v>42</v>
      </c>
      <c r="J1020" s="6">
        <f>VLOOKUP(operations[productID],products[],5,FALSE)</f>
        <v>0</v>
      </c>
      <c r="K1020" s="6">
        <f>VLOOKUP(operations[productID],products[],6,FALSE)</f>
        <v>0</v>
      </c>
      <c r="L1020" s="10">
        <f t="array" ref="L1020">INDEX('1 orders'!I1020:I2156, MATCH(1, ('1 orders'!A1020:A2156=A1020)*('1 orders'!G1020:G2156=F1020), 0))
</f>
        <v>50</v>
      </c>
      <c r="M1020" s="10">
        <f>IFERROR(__xludf.DUMMYFUNCTION("COUNTUNIQUEIFS($A$2:$A1020,$F$2:$F1020,F1020)"),10.0)</f>
        <v>10</v>
      </c>
      <c r="N1020" s="10">
        <f t="shared" si="1"/>
        <v>43</v>
      </c>
      <c r="O1020" s="26">
        <f>IF(operations[sinceLastOrder]=0,0,operations[orderQuantity] / operations[sinceLastOrder])</f>
        <v>1.162790698</v>
      </c>
      <c r="P1020" s="9">
        <v>487.38</v>
      </c>
      <c r="Q1020" s="7" t="s">
        <v>13</v>
      </c>
      <c r="R1020" s="10">
        <f>operations[arrivedDate]-operations[shippedDate]</f>
        <v>9</v>
      </c>
    </row>
    <row r="1021" ht="15.75" customHeight="1">
      <c r="A1021" s="6">
        <v>10634.0</v>
      </c>
      <c r="B1021" s="24">
        <v>45153.0</v>
      </c>
      <c r="C1021" s="24">
        <v>45181.0</v>
      </c>
      <c r="D1021" s="24">
        <v>45159.0</v>
      </c>
      <c r="E1021" s="24">
        <v>45168.0</v>
      </c>
      <c r="F1021" s="6">
        <v>51.0</v>
      </c>
      <c r="G1021" s="9" t="str">
        <f>VLOOKUP(operations[productID],products[],2,FALSE)</f>
        <v>Manjimup Dried Apples</v>
      </c>
      <c r="H1021" s="9" t="str">
        <f>IF(VLOOKUP(operations[productID],products[],7,FALSE)=1,"Discontinued","Current")</f>
        <v>Current</v>
      </c>
      <c r="I1021" s="6">
        <f>VLOOKUP(operations[productID],products[],4,FALSE)</f>
        <v>20</v>
      </c>
      <c r="J1021" s="6">
        <f>VLOOKUP(operations[productID],products[],5,FALSE)</f>
        <v>0</v>
      </c>
      <c r="K1021" s="6">
        <f>VLOOKUP(operations[productID],products[],6,FALSE)</f>
        <v>10</v>
      </c>
      <c r="L1021" s="10">
        <f t="array" ref="L1021">INDEX('1 orders'!I1021:I2156, MATCH(1, ('1 orders'!A1021:A2156=A1021)*('1 orders'!G1021:G2156=F1021), 0))
</f>
        <v>15</v>
      </c>
      <c r="M1021" s="10">
        <f>IFERROR(__xludf.DUMMYFUNCTION("COUNTUNIQUEIFS($A$2:$A1021,$F$2:$F1021,F1021)"),16.0)</f>
        <v>16</v>
      </c>
      <c r="N1021" s="10">
        <f t="shared" si="1"/>
        <v>64</v>
      </c>
      <c r="O1021" s="26">
        <f>IF(operations[sinceLastOrder]=0,0,operations[orderQuantity] / operations[sinceLastOrder])</f>
        <v>0.234375</v>
      </c>
      <c r="P1021" s="9">
        <v>487.38</v>
      </c>
      <c r="Q1021" s="7" t="s">
        <v>13</v>
      </c>
      <c r="R1021" s="10">
        <f>operations[arrivedDate]-operations[shippedDate]</f>
        <v>9</v>
      </c>
    </row>
    <row r="1022" ht="15.75" customHeight="1">
      <c r="A1022" s="6">
        <v>10634.0</v>
      </c>
      <c r="B1022" s="24">
        <v>45153.0</v>
      </c>
      <c r="C1022" s="24">
        <v>45181.0</v>
      </c>
      <c r="D1022" s="24">
        <v>45159.0</v>
      </c>
      <c r="E1022" s="24">
        <v>45168.0</v>
      </c>
      <c r="F1022" s="6">
        <v>75.0</v>
      </c>
      <c r="G1022" s="9" t="str">
        <f>VLOOKUP(operations[productID],products[],2,FALSE)</f>
        <v>Rhönbräu Klosterbier</v>
      </c>
      <c r="H1022" s="9" t="str">
        <f>IF(VLOOKUP(operations[productID],products[],7,FALSE)=1,"Discontinued","Current")</f>
        <v>Current</v>
      </c>
      <c r="I1022" s="6">
        <f>VLOOKUP(operations[productID],products[],4,FALSE)</f>
        <v>125</v>
      </c>
      <c r="J1022" s="6">
        <f>VLOOKUP(operations[productID],products[],5,FALSE)</f>
        <v>0</v>
      </c>
      <c r="K1022" s="6">
        <f>VLOOKUP(operations[productID],products[],6,FALSE)</f>
        <v>25</v>
      </c>
      <c r="L1022" s="10">
        <f t="array" ref="L1022">INDEX('1 orders'!I1022:I2156, MATCH(1, ('1 orders'!A1022:A2156=A1022)*('1 orders'!G1022:G2156=F1022), 0))
</f>
        <v>2</v>
      </c>
      <c r="M1022" s="10">
        <f>IFERROR(__xludf.DUMMYFUNCTION("COUNTUNIQUEIFS($A$2:$A1022,$F$2:$F1022,F1022)"),23.0)</f>
        <v>23</v>
      </c>
      <c r="N1022" s="10">
        <f t="shared" si="1"/>
        <v>1</v>
      </c>
      <c r="O1022" s="26">
        <f>IF(operations[sinceLastOrder]=0,0,operations[orderQuantity] / operations[sinceLastOrder])</f>
        <v>2</v>
      </c>
      <c r="P1022" s="9">
        <v>487.38</v>
      </c>
      <c r="Q1022" s="7" t="s">
        <v>13</v>
      </c>
      <c r="R1022" s="10">
        <f>operations[arrivedDate]-operations[shippedDate]</f>
        <v>9</v>
      </c>
    </row>
    <row r="1023" ht="15.75" customHeight="1">
      <c r="A1023" s="6">
        <v>10635.0</v>
      </c>
      <c r="B1023" s="24">
        <v>45156.0</v>
      </c>
      <c r="C1023" s="24">
        <v>45184.0</v>
      </c>
      <c r="D1023" s="24">
        <v>45159.0</v>
      </c>
      <c r="E1023" s="24">
        <v>45165.0</v>
      </c>
      <c r="F1023" s="6">
        <v>4.0</v>
      </c>
      <c r="G1023" s="9" t="str">
        <f>VLOOKUP(operations[productID],products[],2,FALSE)</f>
        <v>Chef Anton's Cajun Seasoning</v>
      </c>
      <c r="H1023" s="9" t="str">
        <f>IF(VLOOKUP(operations[productID],products[],7,FALSE)=1,"Discontinued","Current")</f>
        <v>Current</v>
      </c>
      <c r="I1023" s="6">
        <f>VLOOKUP(operations[productID],products[],4,FALSE)</f>
        <v>53</v>
      </c>
      <c r="J1023" s="6">
        <f>VLOOKUP(operations[productID],products[],5,FALSE)</f>
        <v>0</v>
      </c>
      <c r="K1023" s="6">
        <f>VLOOKUP(operations[productID],products[],6,FALSE)</f>
        <v>0</v>
      </c>
      <c r="L1023" s="10">
        <f t="array" ref="L1023">INDEX('1 orders'!I1023:I2156, MATCH(1, ('1 orders'!A1023:A2156=A1023)*('1 orders'!G1023:G2156=F1023), 0))
</f>
        <v>10</v>
      </c>
      <c r="M1023" s="10">
        <f>IFERROR(__xludf.DUMMYFUNCTION("COUNTUNIQUEIFS($A$2:$A1023,$F$2:$F1023,F1023)"),11.0)</f>
        <v>11</v>
      </c>
      <c r="N1023" s="10">
        <f t="shared" si="1"/>
        <v>27</v>
      </c>
      <c r="O1023" s="26">
        <f>IF(operations[sinceLastOrder]=0,0,operations[orderQuantity] / operations[sinceLastOrder])</f>
        <v>0.3703703704</v>
      </c>
      <c r="P1023" s="9">
        <v>47.46</v>
      </c>
      <c r="Q1023" s="7" t="s">
        <v>13</v>
      </c>
      <c r="R1023" s="10">
        <f>operations[arrivedDate]-operations[shippedDate]</f>
        <v>6</v>
      </c>
    </row>
    <row r="1024" ht="15.75" customHeight="1">
      <c r="A1024" s="6">
        <v>10635.0</v>
      </c>
      <c r="B1024" s="24">
        <v>45156.0</v>
      </c>
      <c r="C1024" s="24">
        <v>45184.0</v>
      </c>
      <c r="D1024" s="24">
        <v>45159.0</v>
      </c>
      <c r="E1024" s="24">
        <v>45165.0</v>
      </c>
      <c r="F1024" s="6">
        <v>5.0</v>
      </c>
      <c r="G1024" s="9" t="str">
        <f>VLOOKUP(operations[productID],products[],2,FALSE)</f>
        <v>Chef Anton's Gumbo Mix</v>
      </c>
      <c r="H1024" s="9" t="str">
        <f>IF(VLOOKUP(operations[productID],products[],7,FALSE)=1,"Discontinued","Current")</f>
        <v>Discontinued</v>
      </c>
      <c r="I1024" s="6">
        <f>VLOOKUP(operations[productID],products[],4,FALSE)</f>
        <v>0</v>
      </c>
      <c r="J1024" s="6">
        <f>VLOOKUP(operations[productID],products[],5,FALSE)</f>
        <v>0</v>
      </c>
      <c r="K1024" s="6">
        <f>VLOOKUP(operations[productID],products[],6,FALSE)</f>
        <v>0</v>
      </c>
      <c r="L1024" s="10">
        <f t="array" ref="L1024">INDEX('1 orders'!I1024:I2156, MATCH(1, ('1 orders'!A1024:A2156=A1024)*('1 orders'!G1024:G2156=F1024), 0))
</f>
        <v>15</v>
      </c>
      <c r="M1024" s="10">
        <f>IFERROR(__xludf.DUMMYFUNCTION("COUNTUNIQUEIFS($A$2:$A1024,$F$2:$F1024,F1024)"),5.0)</f>
        <v>5</v>
      </c>
      <c r="N1024" s="10">
        <f t="shared" si="1"/>
        <v>248</v>
      </c>
      <c r="O1024" s="26">
        <f>IF(operations[sinceLastOrder]=0,0,operations[orderQuantity] / operations[sinceLastOrder])</f>
        <v>0.06048387097</v>
      </c>
      <c r="P1024" s="9">
        <v>47.46</v>
      </c>
      <c r="Q1024" s="7" t="s">
        <v>13</v>
      </c>
      <c r="R1024" s="10">
        <f>operations[arrivedDate]-operations[shippedDate]</f>
        <v>6</v>
      </c>
    </row>
    <row r="1025" ht="15.75" customHeight="1">
      <c r="A1025" s="6">
        <v>10635.0</v>
      </c>
      <c r="B1025" s="24">
        <v>45156.0</v>
      </c>
      <c r="C1025" s="24">
        <v>45184.0</v>
      </c>
      <c r="D1025" s="24">
        <v>45159.0</v>
      </c>
      <c r="E1025" s="24">
        <v>45165.0</v>
      </c>
      <c r="F1025" s="6">
        <v>22.0</v>
      </c>
      <c r="G1025" s="9" t="str">
        <f>VLOOKUP(operations[productID],products[],2,FALSE)</f>
        <v>Gustaf's Knäckebröd</v>
      </c>
      <c r="H1025" s="9" t="str">
        <f>IF(VLOOKUP(operations[productID],products[],7,FALSE)=1,"Discontinued","Current")</f>
        <v>Current</v>
      </c>
      <c r="I1025" s="6">
        <f>VLOOKUP(operations[productID],products[],4,FALSE)</f>
        <v>104</v>
      </c>
      <c r="J1025" s="6">
        <f>VLOOKUP(operations[productID],products[],5,FALSE)</f>
        <v>0</v>
      </c>
      <c r="K1025" s="6">
        <f>VLOOKUP(operations[productID],products[],6,FALSE)</f>
        <v>25</v>
      </c>
      <c r="L1025" s="10">
        <f t="array" ref="L1025">INDEX('1 orders'!I1025:I2156, MATCH(1, ('1 orders'!A1025:A2156=A1025)*('1 orders'!G1025:G2156=F1025), 0))
</f>
        <v>40</v>
      </c>
      <c r="M1025" s="10">
        <f>IFERROR(__xludf.DUMMYFUNCTION("COUNTUNIQUEIFS($A$2:$A1025,$F$2:$F1025,F1025)"),6.0)</f>
        <v>6</v>
      </c>
      <c r="N1025" s="10">
        <f t="shared" si="1"/>
        <v>14</v>
      </c>
      <c r="O1025" s="26">
        <f>IF(operations[sinceLastOrder]=0,0,operations[orderQuantity] / operations[sinceLastOrder])</f>
        <v>2.857142857</v>
      </c>
      <c r="P1025" s="9">
        <v>47.46</v>
      </c>
      <c r="Q1025" s="7" t="s">
        <v>13</v>
      </c>
      <c r="R1025" s="10">
        <f>operations[arrivedDate]-operations[shippedDate]</f>
        <v>6</v>
      </c>
    </row>
    <row r="1026" ht="15.75" customHeight="1">
      <c r="A1026" s="6">
        <v>10636.0</v>
      </c>
      <c r="B1026" s="24">
        <v>45157.0</v>
      </c>
      <c r="C1026" s="24">
        <v>45185.0</v>
      </c>
      <c r="D1026" s="24">
        <v>45164.0</v>
      </c>
      <c r="E1026" s="24">
        <v>45174.0</v>
      </c>
      <c r="F1026" s="6">
        <v>4.0</v>
      </c>
      <c r="G1026" s="9" t="str">
        <f>VLOOKUP(operations[productID],products[],2,FALSE)</f>
        <v>Chef Anton's Cajun Seasoning</v>
      </c>
      <c r="H1026" s="9" t="str">
        <f>IF(VLOOKUP(operations[productID],products[],7,FALSE)=1,"Discontinued","Current")</f>
        <v>Current</v>
      </c>
      <c r="I1026" s="6">
        <f>VLOOKUP(operations[productID],products[],4,FALSE)</f>
        <v>53</v>
      </c>
      <c r="J1026" s="6">
        <f>VLOOKUP(operations[productID],products[],5,FALSE)</f>
        <v>0</v>
      </c>
      <c r="K1026" s="6">
        <f>VLOOKUP(operations[productID],products[],6,FALSE)</f>
        <v>0</v>
      </c>
      <c r="L1026" s="10">
        <f t="array" ref="L1026">INDEX('1 orders'!I1026:I2156, MATCH(1, ('1 orders'!A1026:A2156=A1026)*('1 orders'!G1026:G2156=F1026), 0))
</f>
        <v>25</v>
      </c>
      <c r="M1026" s="10">
        <f>IFERROR(__xludf.DUMMYFUNCTION("COUNTUNIQUEIFS($A$2:$A1026,$F$2:$F1026,F1026)"),12.0)</f>
        <v>12</v>
      </c>
      <c r="N1026" s="10">
        <f t="shared" si="1"/>
        <v>1</v>
      </c>
      <c r="O1026" s="26">
        <f>IF(operations[sinceLastOrder]=0,0,operations[orderQuantity] / operations[sinceLastOrder])</f>
        <v>25</v>
      </c>
      <c r="P1026" s="9">
        <v>1.15</v>
      </c>
      <c r="Q1026" s="7" t="s">
        <v>15</v>
      </c>
      <c r="R1026" s="10">
        <f>operations[arrivedDate]-operations[shippedDate]</f>
        <v>10</v>
      </c>
    </row>
    <row r="1027" ht="15.75" customHeight="1">
      <c r="A1027" s="6">
        <v>10636.0</v>
      </c>
      <c r="B1027" s="24">
        <v>45157.0</v>
      </c>
      <c r="C1027" s="24">
        <v>45185.0</v>
      </c>
      <c r="D1027" s="24">
        <v>45164.0</v>
      </c>
      <c r="E1027" s="24">
        <v>45174.0</v>
      </c>
      <c r="F1027" s="6">
        <v>58.0</v>
      </c>
      <c r="G1027" s="9" t="str">
        <f>VLOOKUP(operations[productID],products[],2,FALSE)</f>
        <v>Escargots de Bourgogne</v>
      </c>
      <c r="H1027" s="9" t="str">
        <f>IF(VLOOKUP(operations[productID],products[],7,FALSE)=1,"Discontinued","Current")</f>
        <v>Current</v>
      </c>
      <c r="I1027" s="6">
        <f>VLOOKUP(operations[productID],products[],4,FALSE)</f>
        <v>62</v>
      </c>
      <c r="J1027" s="6">
        <f>VLOOKUP(operations[productID],products[],5,FALSE)</f>
        <v>0</v>
      </c>
      <c r="K1027" s="6">
        <f>VLOOKUP(operations[productID],products[],6,FALSE)</f>
        <v>20</v>
      </c>
      <c r="L1027" s="10">
        <f t="array" ref="L1027">INDEX('1 orders'!I1027:I2156, MATCH(1, ('1 orders'!A1027:A2156=A1027)*('1 orders'!G1027:G2156=F1027), 0))
</f>
        <v>6</v>
      </c>
      <c r="M1027" s="10">
        <f>IFERROR(__xludf.DUMMYFUNCTION("COUNTUNIQUEIFS($A$2:$A1027,$F$2:$F1027,F1027)"),7.0)</f>
        <v>7</v>
      </c>
      <c r="N1027" s="10">
        <f t="shared" si="1"/>
        <v>41</v>
      </c>
      <c r="O1027" s="26">
        <f>IF(operations[sinceLastOrder]=0,0,operations[orderQuantity] / operations[sinceLastOrder])</f>
        <v>0.1463414634</v>
      </c>
      <c r="P1027" s="9">
        <v>1.15</v>
      </c>
      <c r="Q1027" s="7" t="s">
        <v>15</v>
      </c>
      <c r="R1027" s="10">
        <f>operations[arrivedDate]-operations[shippedDate]</f>
        <v>10</v>
      </c>
    </row>
    <row r="1028" ht="15.75" customHeight="1">
      <c r="A1028" s="6">
        <v>10637.0</v>
      </c>
      <c r="B1028" s="24">
        <v>45157.0</v>
      </c>
      <c r="C1028" s="24">
        <v>45185.0</v>
      </c>
      <c r="D1028" s="24">
        <v>45164.0</v>
      </c>
      <c r="E1028" s="24">
        <v>45178.0</v>
      </c>
      <c r="F1028" s="6">
        <v>11.0</v>
      </c>
      <c r="G1028" s="9" t="str">
        <f>VLOOKUP(operations[productID],products[],2,FALSE)</f>
        <v>Queso Cabrales</v>
      </c>
      <c r="H1028" s="9" t="str">
        <f>IF(VLOOKUP(operations[productID],products[],7,FALSE)=1,"Discontinued","Current")</f>
        <v>Current</v>
      </c>
      <c r="I1028" s="6">
        <f>VLOOKUP(operations[productID],products[],4,FALSE)</f>
        <v>22</v>
      </c>
      <c r="J1028" s="6">
        <f>VLOOKUP(operations[productID],products[],5,FALSE)</f>
        <v>30</v>
      </c>
      <c r="K1028" s="6">
        <f>VLOOKUP(operations[productID],products[],6,FALSE)</f>
        <v>30</v>
      </c>
      <c r="L1028" s="10">
        <f t="array" ref="L1028">INDEX('1 orders'!I1028:I2156, MATCH(1, ('1 orders'!A1028:A2156=A1028)*('1 orders'!G1028:G2156=F1028), 0))
</f>
        <v>10</v>
      </c>
      <c r="M1028" s="10">
        <f>IFERROR(__xludf.DUMMYFUNCTION("COUNTUNIQUEIFS($A$2:$A1028,$F$2:$F1028,F1028)"),21.0)</f>
        <v>21</v>
      </c>
      <c r="N1028" s="10">
        <f t="shared" si="1"/>
        <v>21</v>
      </c>
      <c r="O1028" s="26">
        <f>IF(operations[sinceLastOrder]=0,0,operations[orderQuantity] / operations[sinceLastOrder])</f>
        <v>0.4761904762</v>
      </c>
      <c r="P1028" s="9">
        <v>201.29</v>
      </c>
      <c r="Q1028" s="7" t="s">
        <v>15</v>
      </c>
      <c r="R1028" s="10">
        <f>operations[arrivedDate]-operations[shippedDate]</f>
        <v>14</v>
      </c>
    </row>
    <row r="1029" ht="15.75" customHeight="1">
      <c r="A1029" s="6">
        <v>10637.0</v>
      </c>
      <c r="B1029" s="24">
        <v>45157.0</v>
      </c>
      <c r="C1029" s="24">
        <v>45185.0</v>
      </c>
      <c r="D1029" s="24">
        <v>45164.0</v>
      </c>
      <c r="E1029" s="24">
        <v>45178.0</v>
      </c>
      <c r="F1029" s="6">
        <v>50.0</v>
      </c>
      <c r="G1029" s="9" t="str">
        <f>VLOOKUP(operations[productID],products[],2,FALSE)</f>
        <v>Valkoinen suklaa</v>
      </c>
      <c r="H1029" s="9" t="str">
        <f>IF(VLOOKUP(operations[productID],products[],7,FALSE)=1,"Discontinued","Current")</f>
        <v>Current</v>
      </c>
      <c r="I1029" s="6">
        <f>VLOOKUP(operations[productID],products[],4,FALSE)</f>
        <v>65</v>
      </c>
      <c r="J1029" s="6">
        <f>VLOOKUP(operations[productID],products[],5,FALSE)</f>
        <v>0</v>
      </c>
      <c r="K1029" s="6">
        <f>VLOOKUP(operations[productID],products[],6,FALSE)</f>
        <v>30</v>
      </c>
      <c r="L1029" s="10">
        <f t="array" ref="L1029">INDEX('1 orders'!I1029:I2156, MATCH(1, ('1 orders'!A1029:A2156=A1029)*('1 orders'!G1029:G2156=F1029), 0))
</f>
        <v>25</v>
      </c>
      <c r="M1029" s="10">
        <f>IFERROR(__xludf.DUMMYFUNCTION("COUNTUNIQUEIFS($A$2:$A1029,$F$2:$F1029,F1029)"),5.0)</f>
        <v>5</v>
      </c>
      <c r="N1029" s="10">
        <f t="shared" si="1"/>
        <v>167</v>
      </c>
      <c r="O1029" s="26">
        <f>IF(operations[sinceLastOrder]=0,0,operations[orderQuantity] / operations[sinceLastOrder])</f>
        <v>0.1497005988</v>
      </c>
      <c r="P1029" s="9">
        <v>201.29</v>
      </c>
      <c r="Q1029" s="7" t="s">
        <v>15</v>
      </c>
      <c r="R1029" s="10">
        <f>operations[arrivedDate]-operations[shippedDate]</f>
        <v>14</v>
      </c>
    </row>
    <row r="1030" ht="15.75" customHeight="1">
      <c r="A1030" s="6">
        <v>10637.0</v>
      </c>
      <c r="B1030" s="24">
        <v>45157.0</v>
      </c>
      <c r="C1030" s="24">
        <v>45185.0</v>
      </c>
      <c r="D1030" s="24">
        <v>45164.0</v>
      </c>
      <c r="E1030" s="24">
        <v>45178.0</v>
      </c>
      <c r="F1030" s="6">
        <v>56.0</v>
      </c>
      <c r="G1030" s="9" t="str">
        <f>VLOOKUP(operations[productID],products[],2,FALSE)</f>
        <v>Gnocchi di nonna Alice</v>
      </c>
      <c r="H1030" s="9" t="str">
        <f>IF(VLOOKUP(operations[productID],products[],7,FALSE)=1,"Discontinued","Current")</f>
        <v>Current</v>
      </c>
      <c r="I1030" s="6">
        <f>VLOOKUP(operations[productID],products[],4,FALSE)</f>
        <v>21</v>
      </c>
      <c r="J1030" s="6">
        <f>VLOOKUP(operations[productID],products[],5,FALSE)</f>
        <v>10</v>
      </c>
      <c r="K1030" s="6">
        <f>VLOOKUP(operations[productID],products[],6,FALSE)</f>
        <v>30</v>
      </c>
      <c r="L1030" s="10">
        <f t="array" ref="L1030">INDEX('1 orders'!I1030:I2156, MATCH(1, ('1 orders'!A1030:A2156=A1030)*('1 orders'!G1030:G2156=F1030), 0))
</f>
        <v>60</v>
      </c>
      <c r="M1030" s="10">
        <f>IFERROR(__xludf.DUMMYFUNCTION("COUNTUNIQUEIFS($A$2:$A1030,$F$2:$F1030,F1030)"),27.0)</f>
        <v>27</v>
      </c>
      <c r="N1030" s="10">
        <f t="shared" si="1"/>
        <v>18</v>
      </c>
      <c r="O1030" s="26">
        <f>IF(operations[sinceLastOrder]=0,0,operations[orderQuantity] / operations[sinceLastOrder])</f>
        <v>3.333333333</v>
      </c>
      <c r="P1030" s="9">
        <v>201.29</v>
      </c>
      <c r="Q1030" s="7" t="s">
        <v>15</v>
      </c>
      <c r="R1030" s="10">
        <f>operations[arrivedDate]-operations[shippedDate]</f>
        <v>14</v>
      </c>
    </row>
    <row r="1031" ht="15.75" customHeight="1">
      <c r="A1031" s="6">
        <v>10638.0</v>
      </c>
      <c r="B1031" s="24">
        <v>45158.0</v>
      </c>
      <c r="C1031" s="24">
        <v>45186.0</v>
      </c>
      <c r="D1031" s="24">
        <v>45170.0</v>
      </c>
      <c r="E1031" s="24">
        <v>45179.0</v>
      </c>
      <c r="F1031" s="6">
        <v>45.0</v>
      </c>
      <c r="G1031" s="9" t="str">
        <f>VLOOKUP(operations[productID],products[],2,FALSE)</f>
        <v>Rogede sild</v>
      </c>
      <c r="H1031" s="9" t="str">
        <f>IF(VLOOKUP(operations[productID],products[],7,FALSE)=1,"Discontinued","Current")</f>
        <v>Current</v>
      </c>
      <c r="I1031" s="6">
        <f>VLOOKUP(operations[productID],products[],4,FALSE)</f>
        <v>5</v>
      </c>
      <c r="J1031" s="6">
        <f>VLOOKUP(operations[productID],products[],5,FALSE)</f>
        <v>70</v>
      </c>
      <c r="K1031" s="6">
        <f>VLOOKUP(operations[productID],products[],6,FALSE)</f>
        <v>15</v>
      </c>
      <c r="L1031" s="10">
        <f t="array" ref="L1031">INDEX('1 orders'!I1031:I2156, MATCH(1, ('1 orders'!A1031:A2156=A1031)*('1 orders'!G1031:G2156=F1031), 0))
</f>
        <v>20</v>
      </c>
      <c r="M1031" s="10">
        <f>IFERROR(__xludf.DUMMYFUNCTION("COUNTUNIQUEIFS($A$2:$A1031,$F$2:$F1031,F1031)"),5.0)</f>
        <v>5</v>
      </c>
      <c r="N1031" s="10">
        <f t="shared" si="1"/>
        <v>85</v>
      </c>
      <c r="O1031" s="26">
        <f>IF(operations[sinceLastOrder]=0,0,operations[orderQuantity] / operations[sinceLastOrder])</f>
        <v>0.2352941176</v>
      </c>
      <c r="P1031" s="9">
        <v>158.44</v>
      </c>
      <c r="Q1031" s="7" t="s">
        <v>15</v>
      </c>
      <c r="R1031" s="10">
        <f>operations[arrivedDate]-operations[shippedDate]</f>
        <v>9</v>
      </c>
    </row>
    <row r="1032" ht="15.75" customHeight="1">
      <c r="A1032" s="6">
        <v>10638.0</v>
      </c>
      <c r="B1032" s="24">
        <v>45158.0</v>
      </c>
      <c r="C1032" s="24">
        <v>45186.0</v>
      </c>
      <c r="D1032" s="24">
        <v>45170.0</v>
      </c>
      <c r="E1032" s="24">
        <v>45179.0</v>
      </c>
      <c r="F1032" s="6">
        <v>65.0</v>
      </c>
      <c r="G1032" s="9" t="str">
        <f>VLOOKUP(operations[productID],products[],2,FALSE)</f>
        <v>Louisiana Fiery Hot Pepper Sauce</v>
      </c>
      <c r="H1032" s="9" t="str">
        <f>IF(VLOOKUP(operations[productID],products[],7,FALSE)=1,"Discontinued","Current")</f>
        <v>Current</v>
      </c>
      <c r="I1032" s="6">
        <f>VLOOKUP(operations[productID],products[],4,FALSE)</f>
        <v>76</v>
      </c>
      <c r="J1032" s="6">
        <f>VLOOKUP(operations[productID],products[],5,FALSE)</f>
        <v>0</v>
      </c>
      <c r="K1032" s="6">
        <f>VLOOKUP(operations[productID],products[],6,FALSE)</f>
        <v>0</v>
      </c>
      <c r="L1032" s="10">
        <f t="array" ref="L1032">INDEX('1 orders'!I1032:I2156, MATCH(1, ('1 orders'!A1032:A2156=A1032)*('1 orders'!G1032:G2156=F1032), 0))
</f>
        <v>21</v>
      </c>
      <c r="M1032" s="10">
        <f>IFERROR(__xludf.DUMMYFUNCTION("COUNTUNIQUEIFS($A$2:$A1032,$F$2:$F1032,F1032)"),18.0)</f>
        <v>18</v>
      </c>
      <c r="N1032" s="10">
        <f t="shared" si="1"/>
        <v>40</v>
      </c>
      <c r="O1032" s="26">
        <f>IF(operations[sinceLastOrder]=0,0,operations[orderQuantity] / operations[sinceLastOrder])</f>
        <v>0.525</v>
      </c>
      <c r="P1032" s="9">
        <v>158.44</v>
      </c>
      <c r="Q1032" s="7" t="s">
        <v>15</v>
      </c>
      <c r="R1032" s="10">
        <f>operations[arrivedDate]-operations[shippedDate]</f>
        <v>9</v>
      </c>
    </row>
    <row r="1033" ht="15.75" customHeight="1">
      <c r="A1033" s="6">
        <v>10638.0</v>
      </c>
      <c r="B1033" s="24">
        <v>45158.0</v>
      </c>
      <c r="C1033" s="24">
        <v>45186.0</v>
      </c>
      <c r="D1033" s="24">
        <v>45170.0</v>
      </c>
      <c r="E1033" s="24">
        <v>45179.0</v>
      </c>
      <c r="F1033" s="6">
        <v>72.0</v>
      </c>
      <c r="G1033" s="9" t="str">
        <f>VLOOKUP(operations[productID],products[],2,FALSE)</f>
        <v>Mozzarella di Giovanni</v>
      </c>
      <c r="H1033" s="9" t="str">
        <f>IF(VLOOKUP(operations[productID],products[],7,FALSE)=1,"Discontinued","Current")</f>
        <v>Current</v>
      </c>
      <c r="I1033" s="6">
        <f>VLOOKUP(operations[productID],products[],4,FALSE)</f>
        <v>14</v>
      </c>
      <c r="J1033" s="6">
        <f>VLOOKUP(operations[productID],products[],5,FALSE)</f>
        <v>0</v>
      </c>
      <c r="K1033" s="6">
        <f>VLOOKUP(operations[productID],products[],6,FALSE)</f>
        <v>0</v>
      </c>
      <c r="L1033" s="10">
        <f t="array" ref="L1033">INDEX('1 orders'!I1033:I2156, MATCH(1, ('1 orders'!A1033:A2156=A1033)*('1 orders'!G1033:G2156=F1033), 0))
</f>
        <v>60</v>
      </c>
      <c r="M1033" s="10">
        <f>IFERROR(__xludf.DUMMYFUNCTION("COUNTUNIQUEIFS($A$2:$A1033,$F$2:$F1033,F1033)"),24.0)</f>
        <v>24</v>
      </c>
      <c r="N1033" s="10">
        <f t="shared" si="1"/>
        <v>29</v>
      </c>
      <c r="O1033" s="26">
        <f>IF(operations[sinceLastOrder]=0,0,operations[orderQuantity] / operations[sinceLastOrder])</f>
        <v>2.068965517</v>
      </c>
      <c r="P1033" s="9">
        <v>158.44</v>
      </c>
      <c r="Q1033" s="7" t="s">
        <v>15</v>
      </c>
      <c r="R1033" s="10">
        <f>operations[arrivedDate]-operations[shippedDate]</f>
        <v>9</v>
      </c>
    </row>
    <row r="1034" ht="15.75" customHeight="1">
      <c r="A1034" s="6">
        <v>10639.0</v>
      </c>
      <c r="B1034" s="24">
        <v>45158.0</v>
      </c>
      <c r="C1034" s="24">
        <v>45186.0</v>
      </c>
      <c r="D1034" s="24">
        <v>45165.0</v>
      </c>
      <c r="E1034" s="24">
        <v>45176.0</v>
      </c>
      <c r="F1034" s="6">
        <v>18.0</v>
      </c>
      <c r="G1034" s="9" t="str">
        <f>VLOOKUP(operations[productID],products[],2,FALSE)</f>
        <v>Carnarvon Tigers</v>
      </c>
      <c r="H1034" s="9" t="str">
        <f>IF(VLOOKUP(operations[productID],products[],7,FALSE)=1,"Discontinued","Current")</f>
        <v>Current</v>
      </c>
      <c r="I1034" s="6">
        <f>VLOOKUP(operations[productID],products[],4,FALSE)</f>
        <v>42</v>
      </c>
      <c r="J1034" s="6">
        <f>VLOOKUP(operations[productID],products[],5,FALSE)</f>
        <v>0</v>
      </c>
      <c r="K1034" s="6">
        <f>VLOOKUP(operations[productID],products[],6,FALSE)</f>
        <v>0</v>
      </c>
      <c r="L1034" s="10">
        <f t="array" ref="L1034">INDEX('1 orders'!I1034:I2156, MATCH(1, ('1 orders'!A1034:A2156=A1034)*('1 orders'!G1034:G2156=F1034), 0))
</f>
        <v>8</v>
      </c>
      <c r="M1034" s="10">
        <f>IFERROR(__xludf.DUMMYFUNCTION("COUNTUNIQUEIFS($A$2:$A1034,$F$2:$F1034,F1034)"),11.0)</f>
        <v>11</v>
      </c>
      <c r="N1034" s="10">
        <f t="shared" si="1"/>
        <v>5</v>
      </c>
      <c r="O1034" s="26">
        <f>IF(operations[sinceLastOrder]=0,0,operations[orderQuantity] / operations[sinceLastOrder])</f>
        <v>1.6</v>
      </c>
      <c r="P1034" s="9">
        <v>38.64</v>
      </c>
      <c r="Q1034" s="7" t="s">
        <v>13</v>
      </c>
      <c r="R1034" s="10">
        <f>operations[arrivedDate]-operations[shippedDate]</f>
        <v>11</v>
      </c>
    </row>
    <row r="1035" ht="15.75" customHeight="1">
      <c r="A1035" s="6">
        <v>10640.0</v>
      </c>
      <c r="B1035" s="24">
        <v>45159.0</v>
      </c>
      <c r="C1035" s="24">
        <v>45187.0</v>
      </c>
      <c r="D1035" s="24">
        <v>45166.0</v>
      </c>
      <c r="E1035" s="24">
        <v>45171.0</v>
      </c>
      <c r="F1035" s="6">
        <v>69.0</v>
      </c>
      <c r="G1035" s="9" t="str">
        <f>VLOOKUP(operations[productID],products[],2,FALSE)</f>
        <v>Gudbrandsdalsost</v>
      </c>
      <c r="H1035" s="9" t="str">
        <f>IF(VLOOKUP(operations[productID],products[],7,FALSE)=1,"Discontinued","Current")</f>
        <v>Current</v>
      </c>
      <c r="I1035" s="6">
        <f>VLOOKUP(operations[productID],products[],4,FALSE)</f>
        <v>26</v>
      </c>
      <c r="J1035" s="6">
        <f>VLOOKUP(operations[productID],products[],5,FALSE)</f>
        <v>0</v>
      </c>
      <c r="K1035" s="6">
        <f>VLOOKUP(operations[productID],products[],6,FALSE)</f>
        <v>15</v>
      </c>
      <c r="L1035" s="10">
        <f t="array" ref="L1035">INDEX('1 orders'!I1035:I2156, MATCH(1, ('1 orders'!A1035:A2156=A1035)*('1 orders'!G1035:G2156=F1035), 0))
</f>
        <v>20</v>
      </c>
      <c r="M1035" s="10">
        <f>IFERROR(__xludf.DUMMYFUNCTION("COUNTUNIQUEIFS($A$2:$A1035,$F$2:$F1035,F1035)"),17.0)</f>
        <v>17</v>
      </c>
      <c r="N1035" s="10">
        <f t="shared" si="1"/>
        <v>42</v>
      </c>
      <c r="O1035" s="26">
        <f>IF(operations[sinceLastOrder]=0,0,operations[orderQuantity] / operations[sinceLastOrder])</f>
        <v>0.4761904762</v>
      </c>
      <c r="P1035" s="9">
        <v>23.55</v>
      </c>
      <c r="Q1035" s="7" t="s">
        <v>15</v>
      </c>
      <c r="R1035" s="10">
        <f>operations[arrivedDate]-operations[shippedDate]</f>
        <v>5</v>
      </c>
    </row>
    <row r="1036" ht="15.75" customHeight="1">
      <c r="A1036" s="6">
        <v>10640.0</v>
      </c>
      <c r="B1036" s="24">
        <v>45159.0</v>
      </c>
      <c r="C1036" s="24">
        <v>45187.0</v>
      </c>
      <c r="D1036" s="24">
        <v>45166.0</v>
      </c>
      <c r="E1036" s="24">
        <v>45171.0</v>
      </c>
      <c r="F1036" s="6">
        <v>70.0</v>
      </c>
      <c r="G1036" s="9" t="str">
        <f>VLOOKUP(operations[productID],products[],2,FALSE)</f>
        <v>Outback Lager</v>
      </c>
      <c r="H1036" s="9" t="str">
        <f>IF(VLOOKUP(operations[productID],products[],7,FALSE)=1,"Discontinued","Current")</f>
        <v>Current</v>
      </c>
      <c r="I1036" s="6">
        <f>VLOOKUP(operations[productID],products[],4,FALSE)</f>
        <v>15</v>
      </c>
      <c r="J1036" s="6">
        <f>VLOOKUP(operations[productID],products[],5,FALSE)</f>
        <v>10</v>
      </c>
      <c r="K1036" s="6">
        <f>VLOOKUP(operations[productID],products[],6,FALSE)</f>
        <v>30</v>
      </c>
      <c r="L1036" s="10">
        <f t="array" ref="L1036">INDEX('1 orders'!I1036:I2156, MATCH(1, ('1 orders'!A1036:A2156=A1036)*('1 orders'!G1036:G2156=F1036), 0))
</f>
        <v>15</v>
      </c>
      <c r="M1036" s="10">
        <f>IFERROR(__xludf.DUMMYFUNCTION("COUNTUNIQUEIFS($A$2:$A1036,$F$2:$F1036,F1036)"),17.0)</f>
        <v>17</v>
      </c>
      <c r="N1036" s="10">
        <f t="shared" si="1"/>
        <v>16</v>
      </c>
      <c r="O1036" s="26">
        <f>IF(operations[sinceLastOrder]=0,0,operations[orderQuantity] / operations[sinceLastOrder])</f>
        <v>0.9375</v>
      </c>
      <c r="P1036" s="9">
        <v>23.55</v>
      </c>
      <c r="Q1036" s="7" t="s">
        <v>15</v>
      </c>
      <c r="R1036" s="10">
        <f>operations[arrivedDate]-operations[shippedDate]</f>
        <v>5</v>
      </c>
    </row>
    <row r="1037" ht="15.75" customHeight="1">
      <c r="A1037" s="6">
        <v>10641.0</v>
      </c>
      <c r="B1037" s="24">
        <v>45160.0</v>
      </c>
      <c r="C1037" s="24">
        <v>45188.0</v>
      </c>
      <c r="D1037" s="24">
        <v>45164.0</v>
      </c>
      <c r="E1037" s="24">
        <v>45176.0</v>
      </c>
      <c r="F1037" s="6">
        <v>2.0</v>
      </c>
      <c r="G1037" s="9" t="str">
        <f>VLOOKUP(operations[productID],products[],2,FALSE)</f>
        <v>Chang</v>
      </c>
      <c r="H1037" s="9" t="str">
        <f>IF(VLOOKUP(operations[productID],products[],7,FALSE)=1,"Discontinued","Current")</f>
        <v>Current</v>
      </c>
      <c r="I1037" s="6">
        <f>VLOOKUP(operations[productID],products[],4,FALSE)</f>
        <v>17</v>
      </c>
      <c r="J1037" s="6">
        <f>VLOOKUP(operations[productID],products[],5,FALSE)</f>
        <v>40</v>
      </c>
      <c r="K1037" s="6">
        <f>VLOOKUP(operations[productID],products[],6,FALSE)</f>
        <v>25</v>
      </c>
      <c r="L1037" s="10">
        <f t="array" ref="L1037">INDEX('1 orders'!I1037:I2156, MATCH(1, ('1 orders'!A1037:A2156=A1037)*('1 orders'!G1037:G2156=F1037), 0))
</f>
        <v>50</v>
      </c>
      <c r="M1037" s="10">
        <f>IFERROR(__xludf.DUMMYFUNCTION("COUNTUNIQUEIFS($A$2:$A1037,$F$2:$F1037,F1037)"),18.0)</f>
        <v>18</v>
      </c>
      <c r="N1037" s="10">
        <f t="shared" si="1"/>
        <v>8</v>
      </c>
      <c r="O1037" s="26">
        <f>IF(operations[sinceLastOrder]=0,0,operations[orderQuantity] / operations[sinceLastOrder])</f>
        <v>6.25</v>
      </c>
      <c r="P1037" s="9">
        <v>179.61</v>
      </c>
      <c r="Q1037" s="7" t="s">
        <v>17</v>
      </c>
      <c r="R1037" s="10">
        <f>operations[arrivedDate]-operations[shippedDate]</f>
        <v>12</v>
      </c>
    </row>
    <row r="1038" ht="15.75" customHeight="1">
      <c r="A1038" s="6">
        <v>10641.0</v>
      </c>
      <c r="B1038" s="24">
        <v>45160.0</v>
      </c>
      <c r="C1038" s="24">
        <v>45188.0</v>
      </c>
      <c r="D1038" s="24">
        <v>45164.0</v>
      </c>
      <c r="E1038" s="24">
        <v>45176.0</v>
      </c>
      <c r="F1038" s="6">
        <v>40.0</v>
      </c>
      <c r="G1038" s="9" t="str">
        <f>VLOOKUP(operations[productID],products[],2,FALSE)</f>
        <v>Boston Crab Meat</v>
      </c>
      <c r="H1038" s="9" t="str">
        <f>IF(VLOOKUP(operations[productID],products[],7,FALSE)=1,"Discontinued","Current")</f>
        <v>Current</v>
      </c>
      <c r="I1038" s="6">
        <f>VLOOKUP(operations[productID],products[],4,FALSE)</f>
        <v>123</v>
      </c>
      <c r="J1038" s="6">
        <f>VLOOKUP(operations[productID],products[],5,FALSE)</f>
        <v>0</v>
      </c>
      <c r="K1038" s="6">
        <f>VLOOKUP(operations[productID],products[],6,FALSE)</f>
        <v>30</v>
      </c>
      <c r="L1038" s="10">
        <f t="array" ref="L1038">INDEX('1 orders'!I1038:I2156, MATCH(1, ('1 orders'!A1038:A2156=A1038)*('1 orders'!G1038:G2156=F1038), 0))
</f>
        <v>60</v>
      </c>
      <c r="M1038" s="10">
        <f>IFERROR(__xludf.DUMMYFUNCTION("COUNTUNIQUEIFS($A$2:$A1038,$F$2:$F1038,F1038)"),22.0)</f>
        <v>22</v>
      </c>
      <c r="N1038" s="10">
        <f t="shared" si="1"/>
        <v>31</v>
      </c>
      <c r="O1038" s="26">
        <f>IF(operations[sinceLastOrder]=0,0,operations[orderQuantity] / operations[sinceLastOrder])</f>
        <v>1.935483871</v>
      </c>
      <c r="P1038" s="9">
        <v>179.61</v>
      </c>
      <c r="Q1038" s="7" t="s">
        <v>17</v>
      </c>
      <c r="R1038" s="10">
        <f>operations[arrivedDate]-operations[shippedDate]</f>
        <v>12</v>
      </c>
    </row>
    <row r="1039" ht="15.75" customHeight="1">
      <c r="A1039" s="6">
        <v>10642.0</v>
      </c>
      <c r="B1039" s="24">
        <v>45160.0</v>
      </c>
      <c r="C1039" s="24">
        <v>45188.0</v>
      </c>
      <c r="D1039" s="24">
        <v>45174.0</v>
      </c>
      <c r="E1039" s="24">
        <v>45188.0</v>
      </c>
      <c r="F1039" s="6">
        <v>21.0</v>
      </c>
      <c r="G1039" s="9" t="str">
        <f>VLOOKUP(operations[productID],products[],2,FALSE)</f>
        <v>Sir Rodney's Scones</v>
      </c>
      <c r="H1039" s="9" t="str">
        <f>IF(VLOOKUP(operations[productID],products[],7,FALSE)=1,"Discontinued","Current")</f>
        <v>Current</v>
      </c>
      <c r="I1039" s="6">
        <f>VLOOKUP(operations[productID],products[],4,FALSE)</f>
        <v>3</v>
      </c>
      <c r="J1039" s="6">
        <f>VLOOKUP(operations[productID],products[],5,FALSE)</f>
        <v>40</v>
      </c>
      <c r="K1039" s="6">
        <f>VLOOKUP(operations[productID],products[],6,FALSE)</f>
        <v>5</v>
      </c>
      <c r="L1039" s="10">
        <f t="array" ref="L1039">INDEX('1 orders'!I1039:I2156, MATCH(1, ('1 orders'!A1039:A2156=A1039)*('1 orders'!G1039:G2156=F1039), 0))
</f>
        <v>30</v>
      </c>
      <c r="M1039" s="10">
        <f>IFERROR(__xludf.DUMMYFUNCTION("COUNTUNIQUEIFS($A$2:$A1039,$F$2:$F1039,F1039)"),21.0)</f>
        <v>21</v>
      </c>
      <c r="N1039" s="10">
        <f t="shared" si="1"/>
        <v>15</v>
      </c>
      <c r="O1039" s="26">
        <f>IF(operations[sinceLastOrder]=0,0,operations[orderQuantity] / operations[sinceLastOrder])</f>
        <v>2</v>
      </c>
      <c r="P1039" s="9">
        <v>41.89</v>
      </c>
      <c r="Q1039" s="7" t="s">
        <v>13</v>
      </c>
      <c r="R1039" s="10">
        <f>operations[arrivedDate]-operations[shippedDate]</f>
        <v>14</v>
      </c>
    </row>
    <row r="1040" ht="15.75" customHeight="1">
      <c r="A1040" s="6">
        <v>10642.0</v>
      </c>
      <c r="B1040" s="24">
        <v>45160.0</v>
      </c>
      <c r="C1040" s="24">
        <v>45188.0</v>
      </c>
      <c r="D1040" s="24">
        <v>45174.0</v>
      </c>
      <c r="E1040" s="24">
        <v>45188.0</v>
      </c>
      <c r="F1040" s="6">
        <v>61.0</v>
      </c>
      <c r="G1040" s="9" t="str">
        <f>VLOOKUP(operations[productID],products[],2,FALSE)</f>
        <v>Sirop d'érable</v>
      </c>
      <c r="H1040" s="9" t="str">
        <f>IF(VLOOKUP(operations[productID],products[],7,FALSE)=1,"Discontinued","Current")</f>
        <v>Current</v>
      </c>
      <c r="I1040" s="6">
        <f>VLOOKUP(operations[productID],products[],4,FALSE)</f>
        <v>113</v>
      </c>
      <c r="J1040" s="6">
        <f>VLOOKUP(operations[productID],products[],5,FALSE)</f>
        <v>0</v>
      </c>
      <c r="K1040" s="6">
        <f>VLOOKUP(operations[productID],products[],6,FALSE)</f>
        <v>25</v>
      </c>
      <c r="L1040" s="10">
        <f t="array" ref="L1040">INDEX('1 orders'!I1040:I2156, MATCH(1, ('1 orders'!A1040:A2156=A1040)*('1 orders'!G1040:G2156=F1040), 0))
</f>
        <v>20</v>
      </c>
      <c r="M1040" s="10">
        <f>IFERROR(__xludf.DUMMYFUNCTION("COUNTUNIQUEIFS($A$2:$A1040,$F$2:$F1040,F1040)"),9.0)</f>
        <v>9</v>
      </c>
      <c r="N1040" s="10">
        <f t="shared" si="1"/>
        <v>43</v>
      </c>
      <c r="O1040" s="26">
        <f>IF(operations[sinceLastOrder]=0,0,operations[orderQuantity] / operations[sinceLastOrder])</f>
        <v>0.4651162791</v>
      </c>
      <c r="P1040" s="9">
        <v>41.89</v>
      </c>
      <c r="Q1040" s="7" t="s">
        <v>13</v>
      </c>
      <c r="R1040" s="10">
        <f>operations[arrivedDate]-operations[shippedDate]</f>
        <v>14</v>
      </c>
    </row>
    <row r="1041" ht="15.75" customHeight="1">
      <c r="A1041" s="6">
        <v>10643.0</v>
      </c>
      <c r="B1041" s="24">
        <v>45163.0</v>
      </c>
      <c r="C1041" s="24">
        <v>45191.0</v>
      </c>
      <c r="D1041" s="24">
        <v>45171.0</v>
      </c>
      <c r="E1041" s="24">
        <v>45172.0</v>
      </c>
      <c r="F1041" s="6">
        <v>28.0</v>
      </c>
      <c r="G1041" s="9" t="str">
        <f>VLOOKUP(operations[productID],products[],2,FALSE)</f>
        <v>Rössle Sauerkraut</v>
      </c>
      <c r="H1041" s="9" t="str">
        <f>IF(VLOOKUP(operations[productID],products[],7,FALSE)=1,"Discontinued","Current")</f>
        <v>Discontinued</v>
      </c>
      <c r="I1041" s="6">
        <f>VLOOKUP(operations[productID],products[],4,FALSE)</f>
        <v>26</v>
      </c>
      <c r="J1041" s="6">
        <f>VLOOKUP(operations[productID],products[],5,FALSE)</f>
        <v>0</v>
      </c>
      <c r="K1041" s="6">
        <f>VLOOKUP(operations[productID],products[],6,FALSE)</f>
        <v>0</v>
      </c>
      <c r="L1041" s="10">
        <f t="array" ref="L1041">INDEX('1 orders'!I1041:I2156, MATCH(1, ('1 orders'!A1041:A2156=A1041)*('1 orders'!G1041:G2156=F1041), 0))
</f>
        <v>15</v>
      </c>
      <c r="M1041" s="10">
        <f>IFERROR(__xludf.DUMMYFUNCTION("COUNTUNIQUEIFS($A$2:$A1041,$F$2:$F1041,F1041)"),20.0)</f>
        <v>20</v>
      </c>
      <c r="N1041" s="10">
        <f t="shared" si="1"/>
        <v>18</v>
      </c>
      <c r="O1041" s="26">
        <f>IF(operations[sinceLastOrder]=0,0,operations[orderQuantity] / operations[sinceLastOrder])</f>
        <v>0.8333333333</v>
      </c>
      <c r="P1041" s="9">
        <v>29.46</v>
      </c>
      <c r="Q1041" s="7" t="s">
        <v>15</v>
      </c>
      <c r="R1041" s="10">
        <f>operations[arrivedDate]-operations[shippedDate]</f>
        <v>1</v>
      </c>
    </row>
    <row r="1042" ht="15.75" customHeight="1">
      <c r="A1042" s="6">
        <v>10643.0</v>
      </c>
      <c r="B1042" s="24">
        <v>45163.0</v>
      </c>
      <c r="C1042" s="24">
        <v>45191.0</v>
      </c>
      <c r="D1042" s="24">
        <v>45171.0</v>
      </c>
      <c r="E1042" s="24">
        <v>45172.0</v>
      </c>
      <c r="F1042" s="6">
        <v>39.0</v>
      </c>
      <c r="G1042" s="9" t="str">
        <f>VLOOKUP(operations[productID],products[],2,FALSE)</f>
        <v>Chartreuse verte</v>
      </c>
      <c r="H1042" s="9" t="str">
        <f>IF(VLOOKUP(operations[productID],products[],7,FALSE)=1,"Discontinued","Current")</f>
        <v>Current</v>
      </c>
      <c r="I1042" s="6">
        <f>VLOOKUP(operations[productID],products[],4,FALSE)</f>
        <v>69</v>
      </c>
      <c r="J1042" s="6">
        <f>VLOOKUP(operations[productID],products[],5,FALSE)</f>
        <v>0</v>
      </c>
      <c r="K1042" s="6">
        <f>VLOOKUP(operations[productID],products[],6,FALSE)</f>
        <v>5</v>
      </c>
      <c r="L1042" s="10">
        <f t="array" ref="L1042">INDEX('1 orders'!I1042:I2156, MATCH(1, ('1 orders'!A1042:A2156=A1042)*('1 orders'!G1042:G2156=F1042), 0))
</f>
        <v>21</v>
      </c>
      <c r="M1042" s="10">
        <f>IFERROR(__xludf.DUMMYFUNCTION("COUNTUNIQUEIFS($A$2:$A1042,$F$2:$F1042,F1042)"),15.0)</f>
        <v>15</v>
      </c>
      <c r="N1042" s="10">
        <f t="shared" si="1"/>
        <v>27</v>
      </c>
      <c r="O1042" s="26">
        <f>IF(operations[sinceLastOrder]=0,0,operations[orderQuantity] / operations[sinceLastOrder])</f>
        <v>0.7777777778</v>
      </c>
      <c r="P1042" s="9">
        <v>29.46</v>
      </c>
      <c r="Q1042" s="7" t="s">
        <v>15</v>
      </c>
      <c r="R1042" s="10">
        <f>operations[arrivedDate]-operations[shippedDate]</f>
        <v>1</v>
      </c>
    </row>
    <row r="1043" ht="15.75" customHeight="1">
      <c r="A1043" s="6">
        <v>10643.0</v>
      </c>
      <c r="B1043" s="24">
        <v>45163.0</v>
      </c>
      <c r="C1043" s="24">
        <v>45191.0</v>
      </c>
      <c r="D1043" s="24">
        <v>45171.0</v>
      </c>
      <c r="E1043" s="24">
        <v>45172.0</v>
      </c>
      <c r="F1043" s="6">
        <v>46.0</v>
      </c>
      <c r="G1043" s="9" t="str">
        <f>VLOOKUP(operations[productID],products[],2,FALSE)</f>
        <v>Spegesild</v>
      </c>
      <c r="H1043" s="9" t="str">
        <f>IF(VLOOKUP(operations[productID],products[],7,FALSE)=1,"Discontinued","Current")</f>
        <v>Current</v>
      </c>
      <c r="I1043" s="6">
        <f>VLOOKUP(operations[productID],products[],4,FALSE)</f>
        <v>95</v>
      </c>
      <c r="J1043" s="6">
        <f>VLOOKUP(operations[productID],products[],5,FALSE)</f>
        <v>0</v>
      </c>
      <c r="K1043" s="6">
        <f>VLOOKUP(operations[productID],products[],6,FALSE)</f>
        <v>0</v>
      </c>
      <c r="L1043" s="10">
        <f t="array" ref="L1043">INDEX('1 orders'!I1043:I2156, MATCH(1, ('1 orders'!A1043:A2156=A1043)*('1 orders'!G1043:G2156=F1043), 0))
</f>
        <v>2</v>
      </c>
      <c r="M1043" s="10">
        <f>IFERROR(__xludf.DUMMYFUNCTION("COUNTUNIQUEIFS($A$2:$A1043,$F$2:$F1043,F1043)"),12.0)</f>
        <v>12</v>
      </c>
      <c r="N1043" s="10">
        <f t="shared" si="1"/>
        <v>126</v>
      </c>
      <c r="O1043" s="26">
        <f>IF(operations[sinceLastOrder]=0,0,operations[orderQuantity] / operations[sinceLastOrder])</f>
        <v>0.01587301587</v>
      </c>
      <c r="P1043" s="9">
        <v>29.46</v>
      </c>
      <c r="Q1043" s="7" t="s">
        <v>15</v>
      </c>
      <c r="R1043" s="10">
        <f>operations[arrivedDate]-operations[shippedDate]</f>
        <v>1</v>
      </c>
    </row>
    <row r="1044" ht="15.75" customHeight="1">
      <c r="A1044" s="6">
        <v>10644.0</v>
      </c>
      <c r="B1044" s="24">
        <v>45163.0</v>
      </c>
      <c r="C1044" s="24">
        <v>45191.0</v>
      </c>
      <c r="D1044" s="24">
        <v>45170.0</v>
      </c>
      <c r="E1044" s="24">
        <v>45189.0</v>
      </c>
      <c r="F1044" s="6">
        <v>18.0</v>
      </c>
      <c r="G1044" s="9" t="str">
        <f>VLOOKUP(operations[productID],products[],2,FALSE)</f>
        <v>Carnarvon Tigers</v>
      </c>
      <c r="H1044" s="9" t="str">
        <f>IF(VLOOKUP(operations[productID],products[],7,FALSE)=1,"Discontinued","Current")</f>
        <v>Current</v>
      </c>
      <c r="I1044" s="6">
        <f>VLOOKUP(operations[productID],products[],4,FALSE)</f>
        <v>42</v>
      </c>
      <c r="J1044" s="6">
        <f>VLOOKUP(operations[productID],products[],5,FALSE)</f>
        <v>0</v>
      </c>
      <c r="K1044" s="6">
        <f>VLOOKUP(operations[productID],products[],6,FALSE)</f>
        <v>0</v>
      </c>
      <c r="L1044" s="10">
        <f t="array" ref="L1044">INDEX('1 orders'!I1044:I2156, MATCH(1, ('1 orders'!A1044:A2156=A1044)*('1 orders'!G1044:G2156=F1044), 0))
</f>
        <v>4</v>
      </c>
      <c r="M1044" s="10">
        <f>IFERROR(__xludf.DUMMYFUNCTION("COUNTUNIQUEIFS($A$2:$A1044,$F$2:$F1044,F1044)"),12.0)</f>
        <v>12</v>
      </c>
      <c r="N1044" s="10">
        <f t="shared" si="1"/>
        <v>5</v>
      </c>
      <c r="O1044" s="26">
        <f>IF(operations[sinceLastOrder]=0,0,operations[orderQuantity] / operations[sinceLastOrder])</f>
        <v>0.8</v>
      </c>
      <c r="P1044" s="9">
        <v>0.14</v>
      </c>
      <c r="Q1044" s="7" t="s">
        <v>17</v>
      </c>
      <c r="R1044" s="10">
        <f>operations[arrivedDate]-operations[shippedDate]</f>
        <v>19</v>
      </c>
    </row>
    <row r="1045" ht="15.75" customHeight="1">
      <c r="A1045" s="6">
        <v>10644.0</v>
      </c>
      <c r="B1045" s="24">
        <v>45163.0</v>
      </c>
      <c r="C1045" s="24">
        <v>45191.0</v>
      </c>
      <c r="D1045" s="24">
        <v>45170.0</v>
      </c>
      <c r="E1045" s="24">
        <v>45189.0</v>
      </c>
      <c r="F1045" s="6">
        <v>43.0</v>
      </c>
      <c r="G1045" s="9" t="str">
        <f>VLOOKUP(operations[productID],products[],2,FALSE)</f>
        <v>Ipoh Coffee</v>
      </c>
      <c r="H1045" s="9" t="str">
        <f>IF(VLOOKUP(operations[productID],products[],7,FALSE)=1,"Discontinued","Current")</f>
        <v>Current</v>
      </c>
      <c r="I1045" s="6">
        <f>VLOOKUP(operations[productID],products[],4,FALSE)</f>
        <v>17</v>
      </c>
      <c r="J1045" s="6">
        <f>VLOOKUP(operations[productID],products[],5,FALSE)</f>
        <v>10</v>
      </c>
      <c r="K1045" s="6">
        <f>VLOOKUP(operations[productID],products[],6,FALSE)</f>
        <v>25</v>
      </c>
      <c r="L1045" s="10">
        <f t="array" ref="L1045">INDEX('1 orders'!I1045:I2156, MATCH(1, ('1 orders'!A1045:A2156=A1045)*('1 orders'!G1045:G2156=F1045), 0))
</f>
        <v>20</v>
      </c>
      <c r="M1045" s="10">
        <f>IFERROR(__xludf.DUMMYFUNCTION("COUNTUNIQUEIFS($A$2:$A1045,$F$2:$F1045,F1045)"),13.0)</f>
        <v>13</v>
      </c>
      <c r="N1045" s="10">
        <f t="shared" si="1"/>
        <v>109</v>
      </c>
      <c r="O1045" s="26">
        <f>IF(operations[sinceLastOrder]=0,0,operations[orderQuantity] / operations[sinceLastOrder])</f>
        <v>0.1834862385</v>
      </c>
      <c r="P1045" s="9">
        <v>0.14</v>
      </c>
      <c r="Q1045" s="7" t="s">
        <v>17</v>
      </c>
      <c r="R1045" s="10">
        <f>operations[arrivedDate]-operations[shippedDate]</f>
        <v>19</v>
      </c>
    </row>
    <row r="1046" ht="15.75" customHeight="1">
      <c r="A1046" s="6">
        <v>10644.0</v>
      </c>
      <c r="B1046" s="24">
        <v>45163.0</v>
      </c>
      <c r="C1046" s="24">
        <v>45191.0</v>
      </c>
      <c r="D1046" s="24">
        <v>45170.0</v>
      </c>
      <c r="E1046" s="24">
        <v>45189.0</v>
      </c>
      <c r="F1046" s="6">
        <v>46.0</v>
      </c>
      <c r="G1046" s="9" t="str">
        <f>VLOOKUP(operations[productID],products[],2,FALSE)</f>
        <v>Spegesild</v>
      </c>
      <c r="H1046" s="9" t="str">
        <f>IF(VLOOKUP(operations[productID],products[],7,FALSE)=1,"Discontinued","Current")</f>
        <v>Current</v>
      </c>
      <c r="I1046" s="6">
        <f>VLOOKUP(operations[productID],products[],4,FALSE)</f>
        <v>95</v>
      </c>
      <c r="J1046" s="6">
        <f>VLOOKUP(operations[productID],products[],5,FALSE)</f>
        <v>0</v>
      </c>
      <c r="K1046" s="6">
        <f>VLOOKUP(operations[productID],products[],6,FALSE)</f>
        <v>0</v>
      </c>
      <c r="L1046" s="10">
        <f t="array" ref="L1046">INDEX('1 orders'!I1046:I2156, MATCH(1, ('1 orders'!A1046:A2156=A1046)*('1 orders'!G1046:G2156=F1046), 0))
</f>
        <v>21</v>
      </c>
      <c r="M1046" s="10">
        <f>IFERROR(__xludf.DUMMYFUNCTION("COUNTUNIQUEIFS($A$2:$A1046,$F$2:$F1046,F1046)"),13.0)</f>
        <v>13</v>
      </c>
      <c r="N1046" s="10">
        <f t="shared" si="1"/>
        <v>0</v>
      </c>
      <c r="O1046" s="26">
        <f>IF(operations[sinceLastOrder]=0,0,operations[orderQuantity] / operations[sinceLastOrder])</f>
        <v>0</v>
      </c>
      <c r="P1046" s="9">
        <v>0.14</v>
      </c>
      <c r="Q1046" s="7" t="s">
        <v>17</v>
      </c>
      <c r="R1046" s="10">
        <f>operations[arrivedDate]-operations[shippedDate]</f>
        <v>19</v>
      </c>
    </row>
    <row r="1047" ht="15.75" customHeight="1">
      <c r="A1047" s="6">
        <v>10645.0</v>
      </c>
      <c r="B1047" s="24">
        <v>45164.0</v>
      </c>
      <c r="C1047" s="24">
        <v>45192.0</v>
      </c>
      <c r="D1047" s="24">
        <v>45171.0</v>
      </c>
      <c r="E1047" s="24">
        <v>45184.0</v>
      </c>
      <c r="F1047" s="6">
        <v>18.0</v>
      </c>
      <c r="G1047" s="9" t="str">
        <f>VLOOKUP(operations[productID],products[],2,FALSE)</f>
        <v>Carnarvon Tigers</v>
      </c>
      <c r="H1047" s="9" t="str">
        <f>IF(VLOOKUP(operations[productID],products[],7,FALSE)=1,"Discontinued","Current")</f>
        <v>Current</v>
      </c>
      <c r="I1047" s="6">
        <f>VLOOKUP(operations[productID],products[],4,FALSE)</f>
        <v>42</v>
      </c>
      <c r="J1047" s="6">
        <f>VLOOKUP(operations[productID],products[],5,FALSE)</f>
        <v>0</v>
      </c>
      <c r="K1047" s="6">
        <f>VLOOKUP(operations[productID],products[],6,FALSE)</f>
        <v>0</v>
      </c>
      <c r="L1047" s="10">
        <f t="array" ref="L1047">INDEX('1 orders'!I1047:I2156, MATCH(1, ('1 orders'!A1047:A2156=A1047)*('1 orders'!G1047:G2156=F1047), 0))
</f>
        <v>20</v>
      </c>
      <c r="M1047" s="10">
        <f>IFERROR(__xludf.DUMMYFUNCTION("COUNTUNIQUEIFS($A$2:$A1047,$F$2:$F1047,F1047)"),13.0)</f>
        <v>13</v>
      </c>
      <c r="N1047" s="10">
        <f t="shared" si="1"/>
        <v>1</v>
      </c>
      <c r="O1047" s="26">
        <f>IF(operations[sinceLastOrder]=0,0,operations[orderQuantity] / operations[sinceLastOrder])</f>
        <v>20</v>
      </c>
      <c r="P1047" s="9">
        <v>12.41</v>
      </c>
      <c r="Q1047" s="7" t="s">
        <v>15</v>
      </c>
      <c r="R1047" s="10">
        <f>operations[arrivedDate]-operations[shippedDate]</f>
        <v>13</v>
      </c>
    </row>
    <row r="1048" ht="15.75" customHeight="1">
      <c r="A1048" s="6">
        <v>10645.0</v>
      </c>
      <c r="B1048" s="24">
        <v>45164.0</v>
      </c>
      <c r="C1048" s="24">
        <v>45192.0</v>
      </c>
      <c r="D1048" s="24">
        <v>45171.0</v>
      </c>
      <c r="E1048" s="24">
        <v>45184.0</v>
      </c>
      <c r="F1048" s="6">
        <v>36.0</v>
      </c>
      <c r="G1048" s="9" t="str">
        <f>VLOOKUP(operations[productID],products[],2,FALSE)</f>
        <v>Inlagd Sill</v>
      </c>
      <c r="H1048" s="9" t="str">
        <f>IF(VLOOKUP(operations[productID],products[],7,FALSE)=1,"Discontinued","Current")</f>
        <v>Current</v>
      </c>
      <c r="I1048" s="6">
        <f>VLOOKUP(operations[productID],products[],4,FALSE)</f>
        <v>112</v>
      </c>
      <c r="J1048" s="6">
        <f>VLOOKUP(operations[productID],products[],5,FALSE)</f>
        <v>0</v>
      </c>
      <c r="K1048" s="6">
        <f>VLOOKUP(operations[productID],products[],6,FALSE)</f>
        <v>20</v>
      </c>
      <c r="L1048" s="10">
        <f t="array" ref="L1048">INDEX('1 orders'!I1048:I2156, MATCH(1, ('1 orders'!A1048:A2156=A1048)*('1 orders'!G1048:G2156=F1048), 0))
</f>
        <v>15</v>
      </c>
      <c r="M1048" s="10">
        <f>IFERROR(__xludf.DUMMYFUNCTION("COUNTUNIQUEIFS($A$2:$A1048,$F$2:$F1048,F1048)"),16.0)</f>
        <v>16</v>
      </c>
      <c r="N1048" s="10">
        <f t="shared" si="1"/>
        <v>29</v>
      </c>
      <c r="O1048" s="26">
        <f>IF(operations[sinceLastOrder]=0,0,operations[orderQuantity] / operations[sinceLastOrder])</f>
        <v>0.5172413793</v>
      </c>
      <c r="P1048" s="9">
        <v>12.41</v>
      </c>
      <c r="Q1048" s="7" t="s">
        <v>15</v>
      </c>
      <c r="R1048" s="10">
        <f>operations[arrivedDate]-operations[shippedDate]</f>
        <v>13</v>
      </c>
    </row>
    <row r="1049" ht="15.75" customHeight="1">
      <c r="A1049" s="6">
        <v>10646.0</v>
      </c>
      <c r="B1049" s="24">
        <v>45165.0</v>
      </c>
      <c r="C1049" s="24">
        <v>45207.0</v>
      </c>
      <c r="D1049" s="24">
        <v>45172.0</v>
      </c>
      <c r="E1049" s="24">
        <v>45185.0</v>
      </c>
      <c r="F1049" s="6">
        <v>1.0</v>
      </c>
      <c r="G1049" s="9" t="str">
        <f>VLOOKUP(operations[productID],products[],2,FALSE)</f>
        <v>Chai</v>
      </c>
      <c r="H1049" s="9" t="str">
        <f>IF(VLOOKUP(operations[productID],products[],7,FALSE)=1,"Discontinued","Current")</f>
        <v>Current</v>
      </c>
      <c r="I1049" s="6">
        <f>VLOOKUP(operations[productID],products[],4,FALSE)</f>
        <v>39</v>
      </c>
      <c r="J1049" s="6">
        <f>VLOOKUP(operations[productID],products[],5,FALSE)</f>
        <v>0</v>
      </c>
      <c r="K1049" s="6">
        <f>VLOOKUP(operations[productID],products[],6,FALSE)</f>
        <v>10</v>
      </c>
      <c r="L1049" s="10">
        <f t="array" ref="L1049">INDEX('1 orders'!I1049:I2156, MATCH(1, ('1 orders'!A1049:A2156=A1049)*('1 orders'!G1049:G2156=F1049), 0))
</f>
        <v>15</v>
      </c>
      <c r="M1049" s="10">
        <f>IFERROR(__xludf.DUMMYFUNCTION("COUNTUNIQUEIFS($A$2:$A1049,$F$2:$F1049,F1049)"),17.0)</f>
        <v>17</v>
      </c>
      <c r="N1049" s="10">
        <f t="shared" si="1"/>
        <v>15</v>
      </c>
      <c r="O1049" s="26">
        <f>IF(operations[sinceLastOrder]=0,0,operations[orderQuantity] / operations[sinceLastOrder])</f>
        <v>1</v>
      </c>
      <c r="P1049" s="9">
        <v>142.33</v>
      </c>
      <c r="Q1049" s="7" t="s">
        <v>13</v>
      </c>
      <c r="R1049" s="10">
        <f>operations[arrivedDate]-operations[shippedDate]</f>
        <v>13</v>
      </c>
    </row>
    <row r="1050" ht="15.75" customHeight="1">
      <c r="A1050" s="6">
        <v>10646.0</v>
      </c>
      <c r="B1050" s="24">
        <v>45165.0</v>
      </c>
      <c r="C1050" s="24">
        <v>45207.0</v>
      </c>
      <c r="D1050" s="24">
        <v>45172.0</v>
      </c>
      <c r="E1050" s="24">
        <v>45185.0</v>
      </c>
      <c r="F1050" s="6">
        <v>10.0</v>
      </c>
      <c r="G1050" s="9" t="str">
        <f>VLOOKUP(operations[productID],products[],2,FALSE)</f>
        <v>Ikura</v>
      </c>
      <c r="H1050" s="9" t="str">
        <f>IF(VLOOKUP(operations[productID],products[],7,FALSE)=1,"Discontinued","Current")</f>
        <v>Current</v>
      </c>
      <c r="I1050" s="6">
        <f>VLOOKUP(operations[productID],products[],4,FALSE)</f>
        <v>31</v>
      </c>
      <c r="J1050" s="6">
        <f>VLOOKUP(operations[productID],products[],5,FALSE)</f>
        <v>0</v>
      </c>
      <c r="K1050" s="6">
        <f>VLOOKUP(operations[productID],products[],6,FALSE)</f>
        <v>0</v>
      </c>
      <c r="L1050" s="10">
        <f t="array" ref="L1050">INDEX('1 orders'!I1050:I2156, MATCH(1, ('1 orders'!A1050:A2156=A1050)*('1 orders'!G1050:G2156=F1050), 0))
</f>
        <v>18</v>
      </c>
      <c r="M1050" s="10">
        <f>IFERROR(__xludf.DUMMYFUNCTION("COUNTUNIQUEIFS($A$2:$A1050,$F$2:$F1050,F1050)"),13.0)</f>
        <v>13</v>
      </c>
      <c r="N1050" s="10">
        <f t="shared" si="1"/>
        <v>30</v>
      </c>
      <c r="O1050" s="26">
        <f>IF(operations[sinceLastOrder]=0,0,operations[orderQuantity] / operations[sinceLastOrder])</f>
        <v>0.6</v>
      </c>
      <c r="P1050" s="9">
        <v>142.33</v>
      </c>
      <c r="Q1050" s="7" t="s">
        <v>13</v>
      </c>
      <c r="R1050" s="10">
        <f>operations[arrivedDate]-operations[shippedDate]</f>
        <v>13</v>
      </c>
    </row>
    <row r="1051" ht="15.75" customHeight="1">
      <c r="A1051" s="6">
        <v>10646.0</v>
      </c>
      <c r="B1051" s="24">
        <v>45165.0</v>
      </c>
      <c r="C1051" s="24">
        <v>45207.0</v>
      </c>
      <c r="D1051" s="24">
        <v>45172.0</v>
      </c>
      <c r="E1051" s="24">
        <v>45185.0</v>
      </c>
      <c r="F1051" s="6">
        <v>71.0</v>
      </c>
      <c r="G1051" s="9" t="str">
        <f>VLOOKUP(operations[productID],products[],2,FALSE)</f>
        <v>Flotemysost</v>
      </c>
      <c r="H1051" s="9" t="str">
        <f>IF(VLOOKUP(operations[productID],products[],7,FALSE)=1,"Discontinued","Current")</f>
        <v>Current</v>
      </c>
      <c r="I1051" s="6">
        <f>VLOOKUP(operations[productID],products[],4,FALSE)</f>
        <v>26</v>
      </c>
      <c r="J1051" s="6">
        <f>VLOOKUP(operations[productID],products[],5,FALSE)</f>
        <v>0</v>
      </c>
      <c r="K1051" s="6">
        <f>VLOOKUP(operations[productID],products[],6,FALSE)</f>
        <v>0</v>
      </c>
      <c r="L1051" s="10">
        <f t="array" ref="L1051">INDEX('1 orders'!I1051:I2156, MATCH(1, ('1 orders'!A1051:A2156=A1051)*('1 orders'!G1051:G2156=F1051), 0))
</f>
        <v>30</v>
      </c>
      <c r="M1051" s="10">
        <f>IFERROR(__xludf.DUMMYFUNCTION("COUNTUNIQUEIFS($A$2:$A1051,$F$2:$F1051,F1051)"),24.0)</f>
        <v>24</v>
      </c>
      <c r="N1051" s="10">
        <f t="shared" si="1"/>
        <v>16</v>
      </c>
      <c r="O1051" s="26">
        <f>IF(operations[sinceLastOrder]=0,0,operations[orderQuantity] / operations[sinceLastOrder])</f>
        <v>1.875</v>
      </c>
      <c r="P1051" s="9">
        <v>142.33</v>
      </c>
      <c r="Q1051" s="7" t="s">
        <v>13</v>
      </c>
      <c r="R1051" s="10">
        <f>operations[arrivedDate]-operations[shippedDate]</f>
        <v>13</v>
      </c>
    </row>
    <row r="1052" ht="15.75" customHeight="1">
      <c r="A1052" s="6">
        <v>10646.0</v>
      </c>
      <c r="B1052" s="24">
        <v>45165.0</v>
      </c>
      <c r="C1052" s="24">
        <v>45207.0</v>
      </c>
      <c r="D1052" s="24">
        <v>45172.0</v>
      </c>
      <c r="E1052" s="24">
        <v>45185.0</v>
      </c>
      <c r="F1052" s="6">
        <v>77.0</v>
      </c>
      <c r="G1052" s="9" t="str">
        <f>VLOOKUP(operations[productID],products[],2,FALSE)</f>
        <v>Original Frankfurter grüne Soße</v>
      </c>
      <c r="H1052" s="9" t="str">
        <f>IF(VLOOKUP(operations[productID],products[],7,FALSE)=1,"Discontinued","Current")</f>
        <v>Current</v>
      </c>
      <c r="I1052" s="6">
        <f>VLOOKUP(operations[productID],products[],4,FALSE)</f>
        <v>32</v>
      </c>
      <c r="J1052" s="6">
        <f>VLOOKUP(operations[productID],products[],5,FALSE)</f>
        <v>0</v>
      </c>
      <c r="K1052" s="6">
        <f>VLOOKUP(operations[productID],products[],6,FALSE)</f>
        <v>15</v>
      </c>
      <c r="L1052" s="10">
        <f t="array" ref="L1052">INDEX('1 orders'!I1052:I2156, MATCH(1, ('1 orders'!A1052:A2156=A1052)*('1 orders'!G1052:G2156=F1052), 0))
</f>
        <v>35</v>
      </c>
      <c r="M1052" s="10">
        <f>IFERROR(__xludf.DUMMYFUNCTION("COUNTUNIQUEIFS($A$2:$A1052,$F$2:$F1052,F1052)"),19.0)</f>
        <v>19</v>
      </c>
      <c r="N1052" s="10">
        <f t="shared" si="1"/>
        <v>41</v>
      </c>
      <c r="O1052" s="26">
        <f>IF(operations[sinceLastOrder]=0,0,operations[orderQuantity] / operations[sinceLastOrder])</f>
        <v>0.8536585366</v>
      </c>
      <c r="P1052" s="9">
        <v>142.33</v>
      </c>
      <c r="Q1052" s="7" t="s">
        <v>13</v>
      </c>
      <c r="R1052" s="10">
        <f>operations[arrivedDate]-operations[shippedDate]</f>
        <v>13</v>
      </c>
    </row>
    <row r="1053" ht="15.75" customHeight="1">
      <c r="A1053" s="6">
        <v>10647.0</v>
      </c>
      <c r="B1053" s="24">
        <v>45165.0</v>
      </c>
      <c r="C1053" s="24">
        <v>45179.0</v>
      </c>
      <c r="D1053" s="24">
        <v>45172.0</v>
      </c>
      <c r="E1053" s="24">
        <v>45190.0</v>
      </c>
      <c r="F1053" s="6">
        <v>19.0</v>
      </c>
      <c r="G1053" s="9" t="str">
        <f>VLOOKUP(operations[productID],products[],2,FALSE)</f>
        <v>Teatime Chocolate Biscuits</v>
      </c>
      <c r="H1053" s="9" t="str">
        <f>IF(VLOOKUP(operations[productID],products[],7,FALSE)=1,"Discontinued","Current")</f>
        <v>Current</v>
      </c>
      <c r="I1053" s="6">
        <f>VLOOKUP(operations[productID],products[],4,FALSE)</f>
        <v>25</v>
      </c>
      <c r="J1053" s="6">
        <f>VLOOKUP(operations[productID],products[],5,FALSE)</f>
        <v>0</v>
      </c>
      <c r="K1053" s="6">
        <f>VLOOKUP(operations[productID],products[],6,FALSE)</f>
        <v>5</v>
      </c>
      <c r="L1053" s="10">
        <f t="array" ref="L1053">INDEX('1 orders'!I1053:I2156, MATCH(1, ('1 orders'!A1053:A2156=A1053)*('1 orders'!G1053:G2156=F1053), 0))
</f>
        <v>30</v>
      </c>
      <c r="M1053" s="10">
        <f>IFERROR(__xludf.DUMMYFUNCTION("COUNTUNIQUEIFS($A$2:$A1053,$F$2:$F1053,F1053)"),18.0)</f>
        <v>18</v>
      </c>
      <c r="N1053" s="10">
        <f t="shared" si="1"/>
        <v>20</v>
      </c>
      <c r="O1053" s="26">
        <f>IF(operations[sinceLastOrder]=0,0,operations[orderQuantity] / operations[sinceLastOrder])</f>
        <v>1.5</v>
      </c>
      <c r="P1053" s="9">
        <v>45.54</v>
      </c>
      <c r="Q1053" s="7" t="s">
        <v>17</v>
      </c>
      <c r="R1053" s="10">
        <f>operations[arrivedDate]-operations[shippedDate]</f>
        <v>18</v>
      </c>
    </row>
    <row r="1054" ht="15.75" customHeight="1">
      <c r="A1054" s="6">
        <v>10647.0</v>
      </c>
      <c r="B1054" s="24">
        <v>45165.0</v>
      </c>
      <c r="C1054" s="24">
        <v>45179.0</v>
      </c>
      <c r="D1054" s="24">
        <v>45172.0</v>
      </c>
      <c r="E1054" s="24">
        <v>45190.0</v>
      </c>
      <c r="F1054" s="6">
        <v>39.0</v>
      </c>
      <c r="G1054" s="9" t="str">
        <f>VLOOKUP(operations[productID],products[],2,FALSE)</f>
        <v>Chartreuse verte</v>
      </c>
      <c r="H1054" s="9" t="str">
        <f>IF(VLOOKUP(operations[productID],products[],7,FALSE)=1,"Discontinued","Current")</f>
        <v>Current</v>
      </c>
      <c r="I1054" s="6">
        <f>VLOOKUP(operations[productID],products[],4,FALSE)</f>
        <v>69</v>
      </c>
      <c r="J1054" s="6">
        <f>VLOOKUP(operations[productID],products[],5,FALSE)</f>
        <v>0</v>
      </c>
      <c r="K1054" s="6">
        <f>VLOOKUP(operations[productID],products[],6,FALSE)</f>
        <v>5</v>
      </c>
      <c r="L1054" s="10">
        <f t="array" ref="L1054">INDEX('1 orders'!I1054:I2156, MATCH(1, ('1 orders'!A1054:A2156=A1054)*('1 orders'!G1054:G2156=F1054), 0))
</f>
        <v>20</v>
      </c>
      <c r="M1054" s="10">
        <f>IFERROR(__xludf.DUMMYFUNCTION("COUNTUNIQUEIFS($A$2:$A1054,$F$2:$F1054,F1054)"),16.0)</f>
        <v>16</v>
      </c>
      <c r="N1054" s="10">
        <f t="shared" si="1"/>
        <v>2</v>
      </c>
      <c r="O1054" s="26">
        <f>IF(operations[sinceLastOrder]=0,0,operations[orderQuantity] / operations[sinceLastOrder])</f>
        <v>10</v>
      </c>
      <c r="P1054" s="9">
        <v>45.54</v>
      </c>
      <c r="Q1054" s="7" t="s">
        <v>17</v>
      </c>
      <c r="R1054" s="10">
        <f>operations[arrivedDate]-operations[shippedDate]</f>
        <v>18</v>
      </c>
    </row>
    <row r="1055" ht="15.75" customHeight="1">
      <c r="A1055" s="6">
        <v>10648.0</v>
      </c>
      <c r="B1055" s="24">
        <v>45166.0</v>
      </c>
      <c r="C1055" s="24">
        <v>45208.0</v>
      </c>
      <c r="D1055" s="24">
        <v>45178.0</v>
      </c>
      <c r="E1055" s="24">
        <v>45195.0</v>
      </c>
      <c r="F1055" s="6">
        <v>22.0</v>
      </c>
      <c r="G1055" s="9" t="str">
        <f>VLOOKUP(operations[productID],products[],2,FALSE)</f>
        <v>Gustaf's Knäckebröd</v>
      </c>
      <c r="H1055" s="9" t="str">
        <f>IF(VLOOKUP(operations[productID],products[],7,FALSE)=1,"Discontinued","Current")</f>
        <v>Current</v>
      </c>
      <c r="I1055" s="6">
        <f>VLOOKUP(operations[productID],products[],4,FALSE)</f>
        <v>104</v>
      </c>
      <c r="J1055" s="6">
        <f>VLOOKUP(operations[productID],products[],5,FALSE)</f>
        <v>0</v>
      </c>
      <c r="K1055" s="6">
        <f>VLOOKUP(operations[productID],products[],6,FALSE)</f>
        <v>25</v>
      </c>
      <c r="L1055" s="10">
        <f t="array" ref="L1055">INDEX('1 orders'!I1055:I2156, MATCH(1, ('1 orders'!A1055:A2156=A1055)*('1 orders'!G1055:G2156=F1055), 0))
</f>
        <v>15</v>
      </c>
      <c r="M1055" s="10">
        <f>IFERROR(__xludf.DUMMYFUNCTION("COUNTUNIQUEIFS($A$2:$A1055,$F$2:$F1055,F1055)"),7.0)</f>
        <v>7</v>
      </c>
      <c r="N1055" s="10">
        <f t="shared" si="1"/>
        <v>10</v>
      </c>
      <c r="O1055" s="26">
        <f>IF(operations[sinceLastOrder]=0,0,operations[orderQuantity] / operations[sinceLastOrder])</f>
        <v>1.5</v>
      </c>
      <c r="P1055" s="9">
        <v>14.25</v>
      </c>
      <c r="Q1055" s="7" t="s">
        <v>17</v>
      </c>
      <c r="R1055" s="10">
        <f>operations[arrivedDate]-operations[shippedDate]</f>
        <v>17</v>
      </c>
    </row>
    <row r="1056" ht="15.75" customHeight="1">
      <c r="A1056" s="6">
        <v>10648.0</v>
      </c>
      <c r="B1056" s="24">
        <v>45166.0</v>
      </c>
      <c r="C1056" s="24">
        <v>45208.0</v>
      </c>
      <c r="D1056" s="24">
        <v>45178.0</v>
      </c>
      <c r="E1056" s="24">
        <v>45195.0</v>
      </c>
      <c r="F1056" s="6">
        <v>24.0</v>
      </c>
      <c r="G1056" s="9" t="str">
        <f>VLOOKUP(operations[productID],products[],2,FALSE)</f>
        <v>Brigadeiros Maravilhosos da Lilian</v>
      </c>
      <c r="H1056" s="9" t="str">
        <f>IF(VLOOKUP(operations[productID],products[],7,FALSE)=1,"Discontinued","Current")</f>
        <v>Discontinued</v>
      </c>
      <c r="I1056" s="6">
        <f>VLOOKUP(operations[productID],products[],4,FALSE)</f>
        <v>20</v>
      </c>
      <c r="J1056" s="6">
        <f>VLOOKUP(operations[productID],products[],5,FALSE)</f>
        <v>0</v>
      </c>
      <c r="K1056" s="6">
        <f>VLOOKUP(operations[productID],products[],6,FALSE)</f>
        <v>0</v>
      </c>
      <c r="L1056" s="10">
        <f t="array" ref="L1056">INDEX('1 orders'!I1056:I2156, MATCH(1, ('1 orders'!A1056:A2156=A1056)*('1 orders'!G1056:G2156=F1056), 0))
</f>
        <v>15</v>
      </c>
      <c r="M1056" s="10">
        <f>IFERROR(__xludf.DUMMYFUNCTION("COUNTUNIQUEIFS($A$2:$A1056,$F$2:$F1056,F1056)"),26.0)</f>
        <v>26</v>
      </c>
      <c r="N1056" s="10">
        <f t="shared" si="1"/>
        <v>21</v>
      </c>
      <c r="O1056" s="26">
        <f>IF(operations[sinceLastOrder]=0,0,operations[orderQuantity] / operations[sinceLastOrder])</f>
        <v>0.7142857143</v>
      </c>
      <c r="P1056" s="9">
        <v>14.25</v>
      </c>
      <c r="Q1056" s="7" t="s">
        <v>17</v>
      </c>
      <c r="R1056" s="10">
        <f>operations[arrivedDate]-operations[shippedDate]</f>
        <v>17</v>
      </c>
    </row>
    <row r="1057" ht="15.75" customHeight="1">
      <c r="A1057" s="6">
        <v>10649.0</v>
      </c>
      <c r="B1057" s="24">
        <v>45166.0</v>
      </c>
      <c r="C1057" s="24">
        <v>45194.0</v>
      </c>
      <c r="D1057" s="24">
        <v>45167.0</v>
      </c>
      <c r="E1057" s="24">
        <v>45179.0</v>
      </c>
      <c r="F1057" s="6">
        <v>28.0</v>
      </c>
      <c r="G1057" s="9" t="str">
        <f>VLOOKUP(operations[productID],products[],2,FALSE)</f>
        <v>Rössle Sauerkraut</v>
      </c>
      <c r="H1057" s="9" t="str">
        <f>IF(VLOOKUP(operations[productID],products[],7,FALSE)=1,"Discontinued","Current")</f>
        <v>Discontinued</v>
      </c>
      <c r="I1057" s="6">
        <f>VLOOKUP(operations[productID],products[],4,FALSE)</f>
        <v>26</v>
      </c>
      <c r="J1057" s="6">
        <f>VLOOKUP(operations[productID],products[],5,FALSE)</f>
        <v>0</v>
      </c>
      <c r="K1057" s="6">
        <f>VLOOKUP(operations[productID],products[],6,FALSE)</f>
        <v>0</v>
      </c>
      <c r="L1057" s="10">
        <f t="array" ref="L1057">INDEX('1 orders'!I1057:I2156, MATCH(1, ('1 orders'!A1057:A2156=A1057)*('1 orders'!G1057:G2156=F1057), 0))
</f>
        <v>20</v>
      </c>
      <c r="M1057" s="10">
        <f>IFERROR(__xludf.DUMMYFUNCTION("COUNTUNIQUEIFS($A$2:$A1057,$F$2:$F1057,F1057)"),21.0)</f>
        <v>21</v>
      </c>
      <c r="N1057" s="10">
        <f t="shared" si="1"/>
        <v>3</v>
      </c>
      <c r="O1057" s="26">
        <f>IF(operations[sinceLastOrder]=0,0,operations[orderQuantity] / operations[sinceLastOrder])</f>
        <v>6.666666667</v>
      </c>
      <c r="P1057" s="9">
        <v>6.2</v>
      </c>
      <c r="Q1057" s="7" t="s">
        <v>13</v>
      </c>
      <c r="R1057" s="10">
        <f>operations[arrivedDate]-operations[shippedDate]</f>
        <v>12</v>
      </c>
    </row>
    <row r="1058" ht="15.75" customHeight="1">
      <c r="A1058" s="6">
        <v>10649.0</v>
      </c>
      <c r="B1058" s="24">
        <v>45166.0</v>
      </c>
      <c r="C1058" s="24">
        <v>45194.0</v>
      </c>
      <c r="D1058" s="24">
        <v>45167.0</v>
      </c>
      <c r="E1058" s="24">
        <v>45179.0</v>
      </c>
      <c r="F1058" s="6">
        <v>72.0</v>
      </c>
      <c r="G1058" s="9" t="str">
        <f>VLOOKUP(operations[productID],products[],2,FALSE)</f>
        <v>Mozzarella di Giovanni</v>
      </c>
      <c r="H1058" s="9" t="str">
        <f>IF(VLOOKUP(operations[productID],products[],7,FALSE)=1,"Discontinued","Current")</f>
        <v>Current</v>
      </c>
      <c r="I1058" s="6">
        <f>VLOOKUP(operations[productID],products[],4,FALSE)</f>
        <v>14</v>
      </c>
      <c r="J1058" s="6">
        <f>VLOOKUP(operations[productID],products[],5,FALSE)</f>
        <v>0</v>
      </c>
      <c r="K1058" s="6">
        <f>VLOOKUP(operations[productID],products[],6,FALSE)</f>
        <v>0</v>
      </c>
      <c r="L1058" s="10">
        <f t="array" ref="L1058">INDEX('1 orders'!I1058:I2156, MATCH(1, ('1 orders'!A1058:A2156=A1058)*('1 orders'!G1058:G2156=F1058), 0))
</f>
        <v>15</v>
      </c>
      <c r="M1058" s="10">
        <f>IFERROR(__xludf.DUMMYFUNCTION("COUNTUNIQUEIFS($A$2:$A1058,$F$2:$F1058,F1058)"),25.0)</f>
        <v>25</v>
      </c>
      <c r="N1058" s="10">
        <f t="shared" si="1"/>
        <v>8</v>
      </c>
      <c r="O1058" s="26">
        <f>IF(operations[sinceLastOrder]=0,0,operations[orderQuantity] / operations[sinceLastOrder])</f>
        <v>1.875</v>
      </c>
      <c r="P1058" s="9">
        <v>6.2</v>
      </c>
      <c r="Q1058" s="7" t="s">
        <v>13</v>
      </c>
      <c r="R1058" s="10">
        <f>operations[arrivedDate]-operations[shippedDate]</f>
        <v>12</v>
      </c>
    </row>
    <row r="1059" ht="15.75" customHeight="1">
      <c r="A1059" s="6">
        <v>10650.0</v>
      </c>
      <c r="B1059" s="24">
        <v>45167.0</v>
      </c>
      <c r="C1059" s="24">
        <v>45195.0</v>
      </c>
      <c r="D1059" s="24">
        <v>45172.0</v>
      </c>
      <c r="E1059" s="24">
        <v>45189.0</v>
      </c>
      <c r="F1059" s="6">
        <v>30.0</v>
      </c>
      <c r="G1059" s="9" t="str">
        <f>VLOOKUP(operations[productID],products[],2,FALSE)</f>
        <v>Nord-Ost Matjeshering</v>
      </c>
      <c r="H1059" s="9" t="str">
        <f>IF(VLOOKUP(operations[productID],products[],7,FALSE)=1,"Discontinued","Current")</f>
        <v>Current</v>
      </c>
      <c r="I1059" s="6">
        <f>VLOOKUP(operations[productID],products[],4,FALSE)</f>
        <v>10</v>
      </c>
      <c r="J1059" s="6">
        <f>VLOOKUP(operations[productID],products[],5,FALSE)</f>
        <v>0</v>
      </c>
      <c r="K1059" s="6">
        <f>VLOOKUP(operations[productID],products[],6,FALSE)</f>
        <v>15</v>
      </c>
      <c r="L1059" s="10">
        <f t="array" ref="L1059">INDEX('1 orders'!I1059:I2156, MATCH(1, ('1 orders'!A1059:A2156=A1059)*('1 orders'!G1059:G2156=F1059), 0))
</f>
        <v>30</v>
      </c>
      <c r="M1059" s="10">
        <f>IFERROR(__xludf.DUMMYFUNCTION("COUNTUNIQUEIFS($A$2:$A1059,$F$2:$F1059,F1059)"),16.0)</f>
        <v>16</v>
      </c>
      <c r="N1059" s="10">
        <f t="shared" si="1"/>
        <v>84</v>
      </c>
      <c r="O1059" s="26">
        <f>IF(operations[sinceLastOrder]=0,0,operations[orderQuantity] / operations[sinceLastOrder])</f>
        <v>0.3571428571</v>
      </c>
      <c r="P1059" s="9">
        <v>176.81</v>
      </c>
      <c r="Q1059" s="7" t="s">
        <v>13</v>
      </c>
      <c r="R1059" s="10">
        <f>operations[arrivedDate]-operations[shippedDate]</f>
        <v>17</v>
      </c>
    </row>
    <row r="1060" ht="15.75" customHeight="1">
      <c r="A1060" s="6">
        <v>10650.0</v>
      </c>
      <c r="B1060" s="24">
        <v>45167.0</v>
      </c>
      <c r="C1060" s="24">
        <v>45195.0</v>
      </c>
      <c r="D1060" s="24">
        <v>45172.0</v>
      </c>
      <c r="E1060" s="24">
        <v>45189.0</v>
      </c>
      <c r="F1060" s="6">
        <v>53.0</v>
      </c>
      <c r="G1060" s="9" t="str">
        <f>VLOOKUP(operations[productID],products[],2,FALSE)</f>
        <v>Perth Pasties</v>
      </c>
      <c r="H1060" s="9" t="str">
        <f>IF(VLOOKUP(operations[productID],products[],7,FALSE)=1,"Discontinued","Current")</f>
        <v>Discontinued</v>
      </c>
      <c r="I1060" s="6">
        <f>VLOOKUP(operations[productID],products[],4,FALSE)</f>
        <v>0</v>
      </c>
      <c r="J1060" s="6">
        <f>VLOOKUP(operations[productID],products[],5,FALSE)</f>
        <v>0</v>
      </c>
      <c r="K1060" s="6">
        <f>VLOOKUP(operations[productID],products[],6,FALSE)</f>
        <v>0</v>
      </c>
      <c r="L1060" s="10">
        <f t="array" ref="L1060">INDEX('1 orders'!I1060:I2156, MATCH(1, ('1 orders'!A1060:A2156=A1060)*('1 orders'!G1060:G2156=F1060), 0))
</f>
        <v>25</v>
      </c>
      <c r="M1060" s="10">
        <f>IFERROR(__xludf.DUMMYFUNCTION("COUNTUNIQUEIFS($A$2:$A1060,$F$2:$F1060,F1060)"),19.0)</f>
        <v>19</v>
      </c>
      <c r="N1060" s="10">
        <f t="shared" si="1"/>
        <v>18</v>
      </c>
      <c r="O1060" s="26">
        <f>IF(operations[sinceLastOrder]=0,0,operations[orderQuantity] / operations[sinceLastOrder])</f>
        <v>1.388888889</v>
      </c>
      <c r="P1060" s="9">
        <v>176.81</v>
      </c>
      <c r="Q1060" s="7" t="s">
        <v>13</v>
      </c>
      <c r="R1060" s="10">
        <f>operations[arrivedDate]-operations[shippedDate]</f>
        <v>17</v>
      </c>
    </row>
    <row r="1061" ht="15.75" customHeight="1">
      <c r="A1061" s="6">
        <v>10650.0</v>
      </c>
      <c r="B1061" s="24">
        <v>45167.0</v>
      </c>
      <c r="C1061" s="24">
        <v>45195.0</v>
      </c>
      <c r="D1061" s="24">
        <v>45172.0</v>
      </c>
      <c r="E1061" s="24">
        <v>45189.0</v>
      </c>
      <c r="F1061" s="6">
        <v>54.0</v>
      </c>
      <c r="G1061" s="9" t="str">
        <f>VLOOKUP(operations[productID],products[],2,FALSE)</f>
        <v>Tourtière</v>
      </c>
      <c r="H1061" s="9" t="str">
        <f>IF(VLOOKUP(operations[productID],products[],7,FALSE)=1,"Discontinued","Current")</f>
        <v>Current</v>
      </c>
      <c r="I1061" s="6">
        <f>VLOOKUP(operations[productID],products[],4,FALSE)</f>
        <v>21</v>
      </c>
      <c r="J1061" s="6">
        <f>VLOOKUP(operations[productID],products[],5,FALSE)</f>
        <v>0</v>
      </c>
      <c r="K1061" s="6">
        <f>VLOOKUP(operations[productID],products[],6,FALSE)</f>
        <v>10</v>
      </c>
      <c r="L1061" s="10">
        <f t="array" ref="L1061">INDEX('1 orders'!I1061:I2156, MATCH(1, ('1 orders'!A1061:A2156=A1061)*('1 orders'!G1061:G2156=F1061), 0))
</f>
        <v>30</v>
      </c>
      <c r="M1061" s="10">
        <f>IFERROR(__xludf.DUMMYFUNCTION("COUNTUNIQUEIFS($A$2:$A1061,$F$2:$F1061,F1061)"),22.0)</f>
        <v>22</v>
      </c>
      <c r="N1061" s="10">
        <f t="shared" si="1"/>
        <v>44</v>
      </c>
      <c r="O1061" s="26">
        <f>IF(operations[sinceLastOrder]=0,0,operations[orderQuantity] / operations[sinceLastOrder])</f>
        <v>0.6818181818</v>
      </c>
      <c r="P1061" s="9">
        <v>176.81</v>
      </c>
      <c r="Q1061" s="7" t="s">
        <v>13</v>
      </c>
      <c r="R1061" s="10">
        <f>operations[arrivedDate]-operations[shippedDate]</f>
        <v>17</v>
      </c>
    </row>
    <row r="1062" ht="15.75" customHeight="1">
      <c r="A1062" s="6">
        <v>10651.0</v>
      </c>
      <c r="B1062" s="24">
        <v>45170.0</v>
      </c>
      <c r="C1062" s="24">
        <v>45198.0</v>
      </c>
      <c r="D1062" s="24">
        <v>45180.0</v>
      </c>
      <c r="E1062" s="24">
        <v>45186.0</v>
      </c>
      <c r="F1062" s="6">
        <v>19.0</v>
      </c>
      <c r="G1062" s="9" t="str">
        <f>VLOOKUP(operations[productID],products[],2,FALSE)</f>
        <v>Teatime Chocolate Biscuits</v>
      </c>
      <c r="H1062" s="9" t="str">
        <f>IF(VLOOKUP(operations[productID],products[],7,FALSE)=1,"Discontinued","Current")</f>
        <v>Current</v>
      </c>
      <c r="I1062" s="6">
        <f>VLOOKUP(operations[productID],products[],4,FALSE)</f>
        <v>25</v>
      </c>
      <c r="J1062" s="6">
        <f>VLOOKUP(operations[productID],products[],5,FALSE)</f>
        <v>0</v>
      </c>
      <c r="K1062" s="6">
        <f>VLOOKUP(operations[productID],products[],6,FALSE)</f>
        <v>5</v>
      </c>
      <c r="L1062" s="10">
        <f t="array" ref="L1062">INDEX('1 orders'!I1062:I2156, MATCH(1, ('1 orders'!A1062:A2156=A1062)*('1 orders'!G1062:G2156=F1062), 0))
</f>
        <v>12</v>
      </c>
      <c r="M1062" s="10">
        <f>IFERROR(__xludf.DUMMYFUNCTION("COUNTUNIQUEIFS($A$2:$A1062,$F$2:$F1062,F1062)"),19.0)</f>
        <v>19</v>
      </c>
      <c r="N1062" s="10">
        <f t="shared" si="1"/>
        <v>5</v>
      </c>
      <c r="O1062" s="26">
        <f>IF(operations[sinceLastOrder]=0,0,operations[orderQuantity] / operations[sinceLastOrder])</f>
        <v>2.4</v>
      </c>
      <c r="P1062" s="9">
        <v>20.6</v>
      </c>
      <c r="Q1062" s="7" t="s">
        <v>17</v>
      </c>
      <c r="R1062" s="10">
        <f>operations[arrivedDate]-operations[shippedDate]</f>
        <v>6</v>
      </c>
    </row>
    <row r="1063" ht="15.75" customHeight="1">
      <c r="A1063" s="6">
        <v>10651.0</v>
      </c>
      <c r="B1063" s="24">
        <v>45170.0</v>
      </c>
      <c r="C1063" s="24">
        <v>45198.0</v>
      </c>
      <c r="D1063" s="24">
        <v>45180.0</v>
      </c>
      <c r="E1063" s="24">
        <v>45186.0</v>
      </c>
      <c r="F1063" s="6">
        <v>22.0</v>
      </c>
      <c r="G1063" s="9" t="str">
        <f>VLOOKUP(operations[productID],products[],2,FALSE)</f>
        <v>Gustaf's Knäckebröd</v>
      </c>
      <c r="H1063" s="9" t="str">
        <f>IF(VLOOKUP(operations[productID],products[],7,FALSE)=1,"Discontinued","Current")</f>
        <v>Current</v>
      </c>
      <c r="I1063" s="6">
        <f>VLOOKUP(operations[productID],products[],4,FALSE)</f>
        <v>104</v>
      </c>
      <c r="J1063" s="6">
        <f>VLOOKUP(operations[productID],products[],5,FALSE)</f>
        <v>0</v>
      </c>
      <c r="K1063" s="6">
        <f>VLOOKUP(operations[productID],products[],6,FALSE)</f>
        <v>25</v>
      </c>
      <c r="L1063" s="10">
        <f t="array" ref="L1063">INDEX('1 orders'!I1063:I2156, MATCH(1, ('1 orders'!A1063:A2156=A1063)*('1 orders'!G1063:G2156=F1063), 0))
</f>
        <v>20</v>
      </c>
      <c r="M1063" s="10">
        <f>IFERROR(__xludf.DUMMYFUNCTION("COUNTUNIQUEIFS($A$2:$A1063,$F$2:$F1063,F1063)"),8.0)</f>
        <v>8</v>
      </c>
      <c r="N1063" s="10">
        <f t="shared" si="1"/>
        <v>4</v>
      </c>
      <c r="O1063" s="26">
        <f>IF(operations[sinceLastOrder]=0,0,operations[orderQuantity] / operations[sinceLastOrder])</f>
        <v>5</v>
      </c>
      <c r="P1063" s="9">
        <v>20.6</v>
      </c>
      <c r="Q1063" s="7" t="s">
        <v>17</v>
      </c>
      <c r="R1063" s="10">
        <f>operations[arrivedDate]-operations[shippedDate]</f>
        <v>6</v>
      </c>
    </row>
    <row r="1064" ht="15.75" customHeight="1">
      <c r="A1064" s="6">
        <v>10652.0</v>
      </c>
      <c r="B1064" s="24">
        <v>45170.0</v>
      </c>
      <c r="C1064" s="24">
        <v>45198.0</v>
      </c>
      <c r="D1064" s="24">
        <v>45177.0</v>
      </c>
      <c r="E1064" s="24">
        <v>45198.0</v>
      </c>
      <c r="F1064" s="6">
        <v>30.0</v>
      </c>
      <c r="G1064" s="9" t="str">
        <f>VLOOKUP(operations[productID],products[],2,FALSE)</f>
        <v>Nord-Ost Matjeshering</v>
      </c>
      <c r="H1064" s="9" t="str">
        <f>IF(VLOOKUP(operations[productID],products[],7,FALSE)=1,"Discontinued","Current")</f>
        <v>Current</v>
      </c>
      <c r="I1064" s="6">
        <f>VLOOKUP(operations[productID],products[],4,FALSE)</f>
        <v>10</v>
      </c>
      <c r="J1064" s="6">
        <f>VLOOKUP(operations[productID],products[],5,FALSE)</f>
        <v>0</v>
      </c>
      <c r="K1064" s="6">
        <f>VLOOKUP(operations[productID],products[],6,FALSE)</f>
        <v>15</v>
      </c>
      <c r="L1064" s="10">
        <f t="array" ref="L1064">INDEX('1 orders'!I1064:I2156, MATCH(1, ('1 orders'!A1064:A2156=A1064)*('1 orders'!G1064:G2156=F1064), 0))
</f>
        <v>2</v>
      </c>
      <c r="M1064" s="10">
        <f>IFERROR(__xludf.DUMMYFUNCTION("COUNTUNIQUEIFS($A$2:$A1064,$F$2:$F1064,F1064)"),17.0)</f>
        <v>17</v>
      </c>
      <c r="N1064" s="10">
        <f t="shared" si="1"/>
        <v>3</v>
      </c>
      <c r="O1064" s="26">
        <f>IF(operations[sinceLastOrder]=0,0,operations[orderQuantity] / operations[sinceLastOrder])</f>
        <v>0.6666666667</v>
      </c>
      <c r="P1064" s="9">
        <v>7.14</v>
      </c>
      <c r="Q1064" s="7" t="s">
        <v>17</v>
      </c>
      <c r="R1064" s="10">
        <f>operations[arrivedDate]-operations[shippedDate]</f>
        <v>21</v>
      </c>
    </row>
    <row r="1065" ht="15.75" customHeight="1">
      <c r="A1065" s="6">
        <v>10652.0</v>
      </c>
      <c r="B1065" s="24">
        <v>45170.0</v>
      </c>
      <c r="C1065" s="24">
        <v>45198.0</v>
      </c>
      <c r="D1065" s="24">
        <v>45177.0</v>
      </c>
      <c r="E1065" s="24">
        <v>45198.0</v>
      </c>
      <c r="F1065" s="6">
        <v>42.0</v>
      </c>
      <c r="G1065" s="9" t="str">
        <f>VLOOKUP(operations[productID],products[],2,FALSE)</f>
        <v>Singaporean Hokkien Fried Mee</v>
      </c>
      <c r="H1065" s="9" t="str">
        <f>IF(VLOOKUP(operations[productID],products[],7,FALSE)=1,"Discontinued","Current")</f>
        <v>Discontinued</v>
      </c>
      <c r="I1065" s="6">
        <f>VLOOKUP(operations[productID],products[],4,FALSE)</f>
        <v>26</v>
      </c>
      <c r="J1065" s="6">
        <f>VLOOKUP(operations[productID],products[],5,FALSE)</f>
        <v>0</v>
      </c>
      <c r="K1065" s="6">
        <f>VLOOKUP(operations[productID],products[],6,FALSE)</f>
        <v>0</v>
      </c>
      <c r="L1065" s="10">
        <f t="array" ref="L1065">INDEX('1 orders'!I1065:I2156, MATCH(1, ('1 orders'!A1065:A2156=A1065)*('1 orders'!G1065:G2156=F1065), 0))
</f>
        <v>20</v>
      </c>
      <c r="M1065" s="10">
        <f>IFERROR(__xludf.DUMMYFUNCTION("COUNTUNIQUEIFS($A$2:$A1065,$F$2:$F1065,F1065)"),14.0)</f>
        <v>14</v>
      </c>
      <c r="N1065" s="10">
        <f t="shared" si="1"/>
        <v>24</v>
      </c>
      <c r="O1065" s="26">
        <f>IF(operations[sinceLastOrder]=0,0,operations[orderQuantity] / operations[sinceLastOrder])</f>
        <v>0.8333333333</v>
      </c>
      <c r="P1065" s="9">
        <v>7.14</v>
      </c>
      <c r="Q1065" s="7" t="s">
        <v>17</v>
      </c>
      <c r="R1065" s="10">
        <f>operations[arrivedDate]-operations[shippedDate]</f>
        <v>21</v>
      </c>
    </row>
    <row r="1066" ht="15.75" customHeight="1">
      <c r="A1066" s="6">
        <v>10653.0</v>
      </c>
      <c r="B1066" s="24">
        <v>45171.0</v>
      </c>
      <c r="C1066" s="24">
        <v>45199.0</v>
      </c>
      <c r="D1066" s="24">
        <v>45188.0</v>
      </c>
      <c r="E1066" s="24">
        <v>45193.0</v>
      </c>
      <c r="F1066" s="6">
        <v>16.0</v>
      </c>
      <c r="G1066" s="9" t="str">
        <f>VLOOKUP(operations[productID],products[],2,FALSE)</f>
        <v>Pavlova</v>
      </c>
      <c r="H1066" s="9" t="str">
        <f>IF(VLOOKUP(operations[productID],products[],7,FALSE)=1,"Discontinued","Current")</f>
        <v>Current</v>
      </c>
      <c r="I1066" s="6">
        <f>VLOOKUP(operations[productID],products[],4,FALSE)</f>
        <v>29</v>
      </c>
      <c r="J1066" s="6">
        <f>VLOOKUP(operations[productID],products[],5,FALSE)</f>
        <v>0</v>
      </c>
      <c r="K1066" s="6">
        <f>VLOOKUP(operations[productID],products[],6,FALSE)</f>
        <v>10</v>
      </c>
      <c r="L1066" s="10">
        <f t="array" ref="L1066">INDEX('1 orders'!I1066:I2156, MATCH(1, ('1 orders'!A1066:A2156=A1066)*('1 orders'!G1066:G2156=F1066), 0))
</f>
        <v>30</v>
      </c>
      <c r="M1066" s="10">
        <f>IFERROR(__xludf.DUMMYFUNCTION("COUNTUNIQUEIFS($A$2:$A1066,$F$2:$F1066,F1066)"),20.0)</f>
        <v>20</v>
      </c>
      <c r="N1066" s="10">
        <f t="shared" si="1"/>
        <v>43</v>
      </c>
      <c r="O1066" s="26">
        <f>IF(operations[sinceLastOrder]=0,0,operations[orderQuantity] / operations[sinceLastOrder])</f>
        <v>0.6976744186</v>
      </c>
      <c r="P1066" s="9">
        <v>93.25</v>
      </c>
      <c r="Q1066" s="7" t="s">
        <v>15</v>
      </c>
      <c r="R1066" s="10">
        <f>operations[arrivedDate]-operations[shippedDate]</f>
        <v>5</v>
      </c>
    </row>
    <row r="1067" ht="15.75" customHeight="1">
      <c r="A1067" s="6">
        <v>10653.0</v>
      </c>
      <c r="B1067" s="24">
        <v>45171.0</v>
      </c>
      <c r="C1067" s="24">
        <v>45199.0</v>
      </c>
      <c r="D1067" s="24">
        <v>45188.0</v>
      </c>
      <c r="E1067" s="24">
        <v>45193.0</v>
      </c>
      <c r="F1067" s="6">
        <v>60.0</v>
      </c>
      <c r="G1067" s="9" t="str">
        <f>VLOOKUP(operations[productID],products[],2,FALSE)</f>
        <v>Camembert Pierrot</v>
      </c>
      <c r="H1067" s="9" t="str">
        <f>IF(VLOOKUP(operations[productID],products[],7,FALSE)=1,"Discontinued","Current")</f>
        <v>Current</v>
      </c>
      <c r="I1067" s="6">
        <f>VLOOKUP(operations[productID],products[],4,FALSE)</f>
        <v>19</v>
      </c>
      <c r="J1067" s="6">
        <f>VLOOKUP(operations[productID],products[],5,FALSE)</f>
        <v>0</v>
      </c>
      <c r="K1067" s="6">
        <f>VLOOKUP(operations[productID],products[],6,FALSE)</f>
        <v>0</v>
      </c>
      <c r="L1067" s="10">
        <f t="array" ref="L1067">INDEX('1 orders'!I1067:I2156, MATCH(1, ('1 orders'!A1067:A2156=A1067)*('1 orders'!G1067:G2156=F1067), 0))
</f>
        <v>20</v>
      </c>
      <c r="M1067" s="10">
        <f>IFERROR(__xludf.DUMMYFUNCTION("COUNTUNIQUEIFS($A$2:$A1067,$F$2:$F1067,F1067)"),25.0)</f>
        <v>25</v>
      </c>
      <c r="N1067" s="10">
        <f t="shared" si="1"/>
        <v>22</v>
      </c>
      <c r="O1067" s="26">
        <f>IF(operations[sinceLastOrder]=0,0,operations[orderQuantity] / operations[sinceLastOrder])</f>
        <v>0.9090909091</v>
      </c>
      <c r="P1067" s="9">
        <v>93.25</v>
      </c>
      <c r="Q1067" s="7" t="s">
        <v>15</v>
      </c>
      <c r="R1067" s="10">
        <f>operations[arrivedDate]-operations[shippedDate]</f>
        <v>5</v>
      </c>
    </row>
    <row r="1068" ht="15.75" customHeight="1">
      <c r="A1068" s="6">
        <v>10654.0</v>
      </c>
      <c r="B1068" s="24">
        <v>45171.0</v>
      </c>
      <c r="C1068" s="24">
        <v>45199.0</v>
      </c>
      <c r="D1068" s="24">
        <v>45180.0</v>
      </c>
      <c r="E1068" s="24">
        <v>45190.0</v>
      </c>
      <c r="F1068" s="6">
        <v>4.0</v>
      </c>
      <c r="G1068" s="9" t="str">
        <f>VLOOKUP(operations[productID],products[],2,FALSE)</f>
        <v>Chef Anton's Cajun Seasoning</v>
      </c>
      <c r="H1068" s="9" t="str">
        <f>IF(VLOOKUP(operations[productID],products[],7,FALSE)=1,"Discontinued","Current")</f>
        <v>Current</v>
      </c>
      <c r="I1068" s="6">
        <f>VLOOKUP(operations[productID],products[],4,FALSE)</f>
        <v>53</v>
      </c>
      <c r="J1068" s="6">
        <f>VLOOKUP(operations[productID],products[],5,FALSE)</f>
        <v>0</v>
      </c>
      <c r="K1068" s="6">
        <f>VLOOKUP(operations[productID],products[],6,FALSE)</f>
        <v>0</v>
      </c>
      <c r="L1068" s="10">
        <f t="array" ref="L1068">INDEX('1 orders'!I1068:I2156, MATCH(1, ('1 orders'!A1068:A2156=A1068)*('1 orders'!G1068:G2156=F1068), 0))
</f>
        <v>12</v>
      </c>
      <c r="M1068" s="10">
        <f>IFERROR(__xludf.DUMMYFUNCTION("COUNTUNIQUEIFS($A$2:$A1068,$F$2:$F1068,F1068)"),13.0)</f>
        <v>13</v>
      </c>
      <c r="N1068" s="10">
        <f t="shared" si="1"/>
        <v>14</v>
      </c>
      <c r="O1068" s="26">
        <f>IF(operations[sinceLastOrder]=0,0,operations[orderQuantity] / operations[sinceLastOrder])</f>
        <v>0.8571428571</v>
      </c>
      <c r="P1068" s="9">
        <v>55.26</v>
      </c>
      <c r="Q1068" s="7" t="s">
        <v>15</v>
      </c>
      <c r="R1068" s="10">
        <f>operations[arrivedDate]-operations[shippedDate]</f>
        <v>10</v>
      </c>
    </row>
    <row r="1069" ht="15.75" customHeight="1">
      <c r="A1069" s="6">
        <v>10654.0</v>
      </c>
      <c r="B1069" s="24">
        <v>45171.0</v>
      </c>
      <c r="C1069" s="24">
        <v>45199.0</v>
      </c>
      <c r="D1069" s="24">
        <v>45180.0</v>
      </c>
      <c r="E1069" s="24">
        <v>45190.0</v>
      </c>
      <c r="F1069" s="6">
        <v>39.0</v>
      </c>
      <c r="G1069" s="9" t="str">
        <f>VLOOKUP(operations[productID],products[],2,FALSE)</f>
        <v>Chartreuse verte</v>
      </c>
      <c r="H1069" s="9" t="str">
        <f>IF(VLOOKUP(operations[productID],products[],7,FALSE)=1,"Discontinued","Current")</f>
        <v>Current</v>
      </c>
      <c r="I1069" s="6">
        <f>VLOOKUP(operations[productID],products[],4,FALSE)</f>
        <v>69</v>
      </c>
      <c r="J1069" s="6">
        <f>VLOOKUP(operations[productID],products[],5,FALSE)</f>
        <v>0</v>
      </c>
      <c r="K1069" s="6">
        <f>VLOOKUP(operations[productID],products[],6,FALSE)</f>
        <v>5</v>
      </c>
      <c r="L1069" s="10">
        <f t="array" ref="L1069">INDEX('1 orders'!I1069:I2156, MATCH(1, ('1 orders'!A1069:A2156=A1069)*('1 orders'!G1069:G2156=F1069), 0))
</f>
        <v>20</v>
      </c>
      <c r="M1069" s="10">
        <f>IFERROR(__xludf.DUMMYFUNCTION("COUNTUNIQUEIFS($A$2:$A1069,$F$2:$F1069,F1069)"),17.0)</f>
        <v>17</v>
      </c>
      <c r="N1069" s="10">
        <f t="shared" si="1"/>
        <v>6</v>
      </c>
      <c r="O1069" s="26">
        <f>IF(operations[sinceLastOrder]=0,0,operations[orderQuantity] / operations[sinceLastOrder])</f>
        <v>3.333333333</v>
      </c>
      <c r="P1069" s="9">
        <v>55.26</v>
      </c>
      <c r="Q1069" s="7" t="s">
        <v>15</v>
      </c>
      <c r="R1069" s="10">
        <f>operations[arrivedDate]-operations[shippedDate]</f>
        <v>10</v>
      </c>
    </row>
    <row r="1070" ht="15.75" customHeight="1">
      <c r="A1070" s="6">
        <v>10654.0</v>
      </c>
      <c r="B1070" s="24">
        <v>45171.0</v>
      </c>
      <c r="C1070" s="24">
        <v>45199.0</v>
      </c>
      <c r="D1070" s="24">
        <v>45180.0</v>
      </c>
      <c r="E1070" s="24">
        <v>45190.0</v>
      </c>
      <c r="F1070" s="6">
        <v>54.0</v>
      </c>
      <c r="G1070" s="9" t="str">
        <f>VLOOKUP(operations[productID],products[],2,FALSE)</f>
        <v>Tourtière</v>
      </c>
      <c r="H1070" s="9" t="str">
        <f>IF(VLOOKUP(operations[productID],products[],7,FALSE)=1,"Discontinued","Current")</f>
        <v>Current</v>
      </c>
      <c r="I1070" s="6">
        <f>VLOOKUP(operations[productID],products[],4,FALSE)</f>
        <v>21</v>
      </c>
      <c r="J1070" s="6">
        <f>VLOOKUP(operations[productID],products[],5,FALSE)</f>
        <v>0</v>
      </c>
      <c r="K1070" s="6">
        <f>VLOOKUP(operations[productID],products[],6,FALSE)</f>
        <v>10</v>
      </c>
      <c r="L1070" s="10">
        <f t="array" ref="L1070">INDEX('1 orders'!I1070:I2156, MATCH(1, ('1 orders'!A1070:A2156=A1070)*('1 orders'!G1070:G2156=F1070), 0))
</f>
        <v>6</v>
      </c>
      <c r="M1070" s="10">
        <f>IFERROR(__xludf.DUMMYFUNCTION("COUNTUNIQUEIFS($A$2:$A1070,$F$2:$F1070,F1070)"),23.0)</f>
        <v>23</v>
      </c>
      <c r="N1070" s="10">
        <f t="shared" si="1"/>
        <v>4</v>
      </c>
      <c r="O1070" s="26">
        <f>IF(operations[sinceLastOrder]=0,0,operations[orderQuantity] / operations[sinceLastOrder])</f>
        <v>1.5</v>
      </c>
      <c r="P1070" s="9">
        <v>55.26</v>
      </c>
      <c r="Q1070" s="7" t="s">
        <v>15</v>
      </c>
      <c r="R1070" s="10">
        <f>operations[arrivedDate]-operations[shippedDate]</f>
        <v>10</v>
      </c>
    </row>
    <row r="1071" ht="15.75" customHeight="1">
      <c r="A1071" s="6">
        <v>10655.0</v>
      </c>
      <c r="B1071" s="24">
        <v>45172.0</v>
      </c>
      <c r="C1071" s="24">
        <v>45200.0</v>
      </c>
      <c r="D1071" s="24">
        <v>45180.0</v>
      </c>
      <c r="E1071" s="24">
        <v>45188.0</v>
      </c>
      <c r="F1071" s="6">
        <v>41.0</v>
      </c>
      <c r="G1071" s="9" t="str">
        <f>VLOOKUP(operations[productID],products[],2,FALSE)</f>
        <v>Jack's New England Clam Chowder</v>
      </c>
      <c r="H1071" s="9" t="str">
        <f>IF(VLOOKUP(operations[productID],products[],7,FALSE)=1,"Discontinued","Current")</f>
        <v>Current</v>
      </c>
      <c r="I1071" s="6">
        <f>VLOOKUP(operations[productID],products[],4,FALSE)</f>
        <v>85</v>
      </c>
      <c r="J1071" s="6">
        <f>VLOOKUP(operations[productID],products[],5,FALSE)</f>
        <v>0</v>
      </c>
      <c r="K1071" s="6">
        <f>VLOOKUP(operations[productID],products[],6,FALSE)</f>
        <v>10</v>
      </c>
      <c r="L1071" s="10">
        <f t="array" ref="L1071">INDEX('1 orders'!I1071:I2156, MATCH(1, ('1 orders'!A1071:A2156=A1071)*('1 orders'!G1071:G2156=F1071), 0))
</f>
        <v>20</v>
      </c>
      <c r="M1071" s="10">
        <f>IFERROR(__xludf.DUMMYFUNCTION("COUNTUNIQUEIFS($A$2:$A1071,$F$2:$F1071,F1071)"),18.0)</f>
        <v>18</v>
      </c>
      <c r="N1071" s="10">
        <f t="shared" si="1"/>
        <v>69</v>
      </c>
      <c r="O1071" s="26">
        <f>IF(operations[sinceLastOrder]=0,0,operations[orderQuantity] / operations[sinceLastOrder])</f>
        <v>0.2898550725</v>
      </c>
      <c r="P1071" s="9">
        <v>4.41</v>
      </c>
      <c r="Q1071" s="7" t="s">
        <v>17</v>
      </c>
      <c r="R1071" s="10">
        <f>operations[arrivedDate]-operations[shippedDate]</f>
        <v>8</v>
      </c>
    </row>
    <row r="1072" ht="15.75" customHeight="1">
      <c r="A1072" s="6">
        <v>10656.0</v>
      </c>
      <c r="B1072" s="24">
        <v>45173.0</v>
      </c>
      <c r="C1072" s="24">
        <v>45201.0</v>
      </c>
      <c r="D1072" s="24">
        <v>45179.0</v>
      </c>
      <c r="E1072" s="24">
        <v>45191.0</v>
      </c>
      <c r="F1072" s="6">
        <v>14.0</v>
      </c>
      <c r="G1072" s="9" t="str">
        <f>VLOOKUP(operations[productID],products[],2,FALSE)</f>
        <v>Tofu</v>
      </c>
      <c r="H1072" s="9" t="str">
        <f>IF(VLOOKUP(operations[productID],products[],7,FALSE)=1,"Discontinued","Current")</f>
        <v>Current</v>
      </c>
      <c r="I1072" s="6">
        <f>VLOOKUP(operations[productID],products[],4,FALSE)</f>
        <v>35</v>
      </c>
      <c r="J1072" s="6">
        <f>VLOOKUP(operations[productID],products[],5,FALSE)</f>
        <v>0</v>
      </c>
      <c r="K1072" s="6">
        <f>VLOOKUP(operations[productID],products[],6,FALSE)</f>
        <v>0</v>
      </c>
      <c r="L1072" s="10">
        <f t="array" ref="L1072">INDEX('1 orders'!I1072:I2156, MATCH(1, ('1 orders'!A1072:A2156=A1072)*('1 orders'!G1072:G2156=F1072), 0))
</f>
        <v>3</v>
      </c>
      <c r="M1072" s="10">
        <f>IFERROR(__xludf.DUMMYFUNCTION("COUNTUNIQUEIFS($A$2:$A1072,$F$2:$F1072,F1072)"),16.0)</f>
        <v>16</v>
      </c>
      <c r="N1072" s="10">
        <f t="shared" si="1"/>
        <v>27</v>
      </c>
      <c r="O1072" s="26">
        <f>IF(operations[sinceLastOrder]=0,0,operations[orderQuantity] / operations[sinceLastOrder])</f>
        <v>0.1111111111</v>
      </c>
      <c r="P1072" s="9">
        <v>57.15</v>
      </c>
      <c r="Q1072" s="7" t="s">
        <v>15</v>
      </c>
      <c r="R1072" s="10">
        <f>operations[arrivedDate]-operations[shippedDate]</f>
        <v>12</v>
      </c>
    </row>
    <row r="1073" ht="15.75" customHeight="1">
      <c r="A1073" s="6">
        <v>10656.0</v>
      </c>
      <c r="B1073" s="24">
        <v>45173.0</v>
      </c>
      <c r="C1073" s="24">
        <v>45201.0</v>
      </c>
      <c r="D1073" s="24">
        <v>45179.0</v>
      </c>
      <c r="E1073" s="24">
        <v>45191.0</v>
      </c>
      <c r="F1073" s="6">
        <v>44.0</v>
      </c>
      <c r="G1073" s="9" t="str">
        <f>VLOOKUP(operations[productID],products[],2,FALSE)</f>
        <v>Gula Malacca</v>
      </c>
      <c r="H1073" s="9" t="str">
        <f>IF(VLOOKUP(operations[productID],products[],7,FALSE)=1,"Discontinued","Current")</f>
        <v>Current</v>
      </c>
      <c r="I1073" s="6">
        <f>VLOOKUP(operations[productID],products[],4,FALSE)</f>
        <v>27</v>
      </c>
      <c r="J1073" s="6">
        <f>VLOOKUP(operations[productID],products[],5,FALSE)</f>
        <v>0</v>
      </c>
      <c r="K1073" s="6">
        <f>VLOOKUP(operations[productID],products[],6,FALSE)</f>
        <v>15</v>
      </c>
      <c r="L1073" s="10">
        <f t="array" ref="L1073">INDEX('1 orders'!I1073:I2156, MATCH(1, ('1 orders'!A1073:A2156=A1073)*('1 orders'!G1073:G2156=F1073), 0))
</f>
        <v>28</v>
      </c>
      <c r="M1073" s="10">
        <f>IFERROR(__xludf.DUMMYFUNCTION("COUNTUNIQUEIFS($A$2:$A1073,$F$2:$F1073,F1073)"),14.0)</f>
        <v>14</v>
      </c>
      <c r="N1073" s="10">
        <f t="shared" si="1"/>
        <v>28</v>
      </c>
      <c r="O1073" s="26">
        <f>IF(operations[sinceLastOrder]=0,0,operations[orderQuantity] / operations[sinceLastOrder])</f>
        <v>1</v>
      </c>
      <c r="P1073" s="9">
        <v>57.15</v>
      </c>
      <c r="Q1073" s="7" t="s">
        <v>15</v>
      </c>
      <c r="R1073" s="10">
        <f>operations[arrivedDate]-operations[shippedDate]</f>
        <v>12</v>
      </c>
    </row>
    <row r="1074" ht="15.75" customHeight="1">
      <c r="A1074" s="6">
        <v>10656.0</v>
      </c>
      <c r="B1074" s="24">
        <v>45173.0</v>
      </c>
      <c r="C1074" s="24">
        <v>45201.0</v>
      </c>
      <c r="D1074" s="24">
        <v>45179.0</v>
      </c>
      <c r="E1074" s="24">
        <v>45191.0</v>
      </c>
      <c r="F1074" s="6">
        <v>47.0</v>
      </c>
      <c r="G1074" s="9" t="str">
        <f>VLOOKUP(operations[productID],products[],2,FALSE)</f>
        <v>Zaanse koeken</v>
      </c>
      <c r="H1074" s="9" t="str">
        <f>IF(VLOOKUP(operations[productID],products[],7,FALSE)=1,"Discontinued","Current")</f>
        <v>Current</v>
      </c>
      <c r="I1074" s="6">
        <f>VLOOKUP(operations[productID],products[],4,FALSE)</f>
        <v>36</v>
      </c>
      <c r="J1074" s="6">
        <f>VLOOKUP(operations[productID],products[],5,FALSE)</f>
        <v>0</v>
      </c>
      <c r="K1074" s="6">
        <f>VLOOKUP(operations[productID],products[],6,FALSE)</f>
        <v>0</v>
      </c>
      <c r="L1074" s="10">
        <f t="array" ref="L1074">INDEX('1 orders'!I1074:I2156, MATCH(1, ('1 orders'!A1074:A2156=A1074)*('1 orders'!G1074:G2156=F1074), 0))
</f>
        <v>6</v>
      </c>
      <c r="M1074" s="10">
        <f>IFERROR(__xludf.DUMMYFUNCTION("COUNTUNIQUEIFS($A$2:$A1074,$F$2:$F1074,F1074)"),8.0)</f>
        <v>8</v>
      </c>
      <c r="N1074" s="10">
        <f t="shared" si="1"/>
        <v>65</v>
      </c>
      <c r="O1074" s="26">
        <f>IF(operations[sinceLastOrder]=0,0,operations[orderQuantity] / operations[sinceLastOrder])</f>
        <v>0.09230769231</v>
      </c>
      <c r="P1074" s="9">
        <v>57.15</v>
      </c>
      <c r="Q1074" s="7" t="s">
        <v>15</v>
      </c>
      <c r="R1074" s="10">
        <f>operations[arrivedDate]-operations[shippedDate]</f>
        <v>12</v>
      </c>
    </row>
    <row r="1075" ht="15.75" customHeight="1">
      <c r="A1075" s="6">
        <v>10657.0</v>
      </c>
      <c r="B1075" s="24">
        <v>45173.0</v>
      </c>
      <c r="C1075" s="24">
        <v>45201.0</v>
      </c>
      <c r="D1075" s="24">
        <v>45184.0</v>
      </c>
      <c r="E1075" s="24">
        <v>45200.0</v>
      </c>
      <c r="F1075" s="6">
        <v>15.0</v>
      </c>
      <c r="G1075" s="9" t="str">
        <f>VLOOKUP(operations[productID],products[],2,FALSE)</f>
        <v>Genen Shouyu</v>
      </c>
      <c r="H1075" s="9" t="str">
        <f>IF(VLOOKUP(operations[productID],products[],7,FALSE)=1,"Discontinued","Current")</f>
        <v>Current</v>
      </c>
      <c r="I1075" s="6">
        <f>VLOOKUP(operations[productID],products[],4,FALSE)</f>
        <v>39</v>
      </c>
      <c r="J1075" s="6">
        <f>VLOOKUP(operations[productID],products[],5,FALSE)</f>
        <v>0</v>
      </c>
      <c r="K1075" s="6">
        <f>VLOOKUP(operations[productID],products[],6,FALSE)</f>
        <v>5</v>
      </c>
      <c r="L1075" s="10">
        <f t="array" ref="L1075">INDEX('1 orders'!I1075:I2156, MATCH(1, ('1 orders'!A1075:A2156=A1075)*('1 orders'!G1075:G2156=F1075), 0))
</f>
        <v>50</v>
      </c>
      <c r="M1075" s="10">
        <f>IFERROR(__xludf.DUMMYFUNCTION("COUNTUNIQUEIFS($A$2:$A1075,$F$2:$F1075,F1075)"),6.0)</f>
        <v>6</v>
      </c>
      <c r="N1075" s="10">
        <f t="shared" si="1"/>
        <v>58</v>
      </c>
      <c r="O1075" s="26">
        <f>IF(operations[sinceLastOrder]=0,0,operations[orderQuantity] / operations[sinceLastOrder])</f>
        <v>0.8620689655</v>
      </c>
      <c r="P1075" s="9">
        <v>352.69</v>
      </c>
      <c r="Q1075" s="7" t="s">
        <v>17</v>
      </c>
      <c r="R1075" s="10">
        <f>operations[arrivedDate]-operations[shippedDate]</f>
        <v>16</v>
      </c>
    </row>
    <row r="1076" ht="15.75" customHeight="1">
      <c r="A1076" s="6">
        <v>10657.0</v>
      </c>
      <c r="B1076" s="24">
        <v>45173.0</v>
      </c>
      <c r="C1076" s="24">
        <v>45201.0</v>
      </c>
      <c r="D1076" s="24">
        <v>45184.0</v>
      </c>
      <c r="E1076" s="24">
        <v>45200.0</v>
      </c>
      <c r="F1076" s="6">
        <v>41.0</v>
      </c>
      <c r="G1076" s="9" t="str">
        <f>VLOOKUP(operations[productID],products[],2,FALSE)</f>
        <v>Jack's New England Clam Chowder</v>
      </c>
      <c r="H1076" s="9" t="str">
        <f>IF(VLOOKUP(operations[productID],products[],7,FALSE)=1,"Discontinued","Current")</f>
        <v>Current</v>
      </c>
      <c r="I1076" s="6">
        <f>VLOOKUP(operations[productID],products[],4,FALSE)</f>
        <v>85</v>
      </c>
      <c r="J1076" s="6">
        <f>VLOOKUP(operations[productID],products[],5,FALSE)</f>
        <v>0</v>
      </c>
      <c r="K1076" s="6">
        <f>VLOOKUP(operations[productID],products[],6,FALSE)</f>
        <v>10</v>
      </c>
      <c r="L1076" s="10">
        <f t="array" ref="L1076">INDEX('1 orders'!I1076:I2156, MATCH(1, ('1 orders'!A1076:A2156=A1076)*('1 orders'!G1076:G2156=F1076), 0))
</f>
        <v>24</v>
      </c>
      <c r="M1076" s="10">
        <f>IFERROR(__xludf.DUMMYFUNCTION("COUNTUNIQUEIFS($A$2:$A1076,$F$2:$F1076,F1076)"),19.0)</f>
        <v>19</v>
      </c>
      <c r="N1076" s="10">
        <f t="shared" si="1"/>
        <v>1</v>
      </c>
      <c r="O1076" s="26">
        <f>IF(operations[sinceLastOrder]=0,0,operations[orderQuantity] / operations[sinceLastOrder])</f>
        <v>24</v>
      </c>
      <c r="P1076" s="9">
        <v>352.69</v>
      </c>
      <c r="Q1076" s="7" t="s">
        <v>17</v>
      </c>
      <c r="R1076" s="10">
        <f>operations[arrivedDate]-operations[shippedDate]</f>
        <v>16</v>
      </c>
    </row>
    <row r="1077" ht="15.75" customHeight="1">
      <c r="A1077" s="6">
        <v>10657.0</v>
      </c>
      <c r="B1077" s="24">
        <v>45173.0</v>
      </c>
      <c r="C1077" s="24">
        <v>45201.0</v>
      </c>
      <c r="D1077" s="24">
        <v>45184.0</v>
      </c>
      <c r="E1077" s="24">
        <v>45200.0</v>
      </c>
      <c r="F1077" s="6">
        <v>46.0</v>
      </c>
      <c r="G1077" s="9" t="str">
        <f>VLOOKUP(operations[productID],products[],2,FALSE)</f>
        <v>Spegesild</v>
      </c>
      <c r="H1077" s="9" t="str">
        <f>IF(VLOOKUP(operations[productID],products[],7,FALSE)=1,"Discontinued","Current")</f>
        <v>Current</v>
      </c>
      <c r="I1077" s="6">
        <f>VLOOKUP(operations[productID],products[],4,FALSE)</f>
        <v>95</v>
      </c>
      <c r="J1077" s="6">
        <f>VLOOKUP(operations[productID],products[],5,FALSE)</f>
        <v>0</v>
      </c>
      <c r="K1077" s="6">
        <f>VLOOKUP(operations[productID],products[],6,FALSE)</f>
        <v>0</v>
      </c>
      <c r="L1077" s="10">
        <f t="array" ref="L1077">INDEX('1 orders'!I1077:I2156, MATCH(1, ('1 orders'!A1077:A2156=A1077)*('1 orders'!G1077:G2156=F1077), 0))
</f>
        <v>45</v>
      </c>
      <c r="M1077" s="10">
        <f>IFERROR(__xludf.DUMMYFUNCTION("COUNTUNIQUEIFS($A$2:$A1077,$F$2:$F1077,F1077)"),14.0)</f>
        <v>14</v>
      </c>
      <c r="N1077" s="10">
        <f t="shared" si="1"/>
        <v>10</v>
      </c>
      <c r="O1077" s="26">
        <f>IF(operations[sinceLastOrder]=0,0,operations[orderQuantity] / operations[sinceLastOrder])</f>
        <v>4.5</v>
      </c>
      <c r="P1077" s="9">
        <v>352.69</v>
      </c>
      <c r="Q1077" s="7" t="s">
        <v>17</v>
      </c>
      <c r="R1077" s="10">
        <f>operations[arrivedDate]-operations[shippedDate]</f>
        <v>16</v>
      </c>
    </row>
    <row r="1078" ht="15.75" customHeight="1">
      <c r="A1078" s="6">
        <v>10657.0</v>
      </c>
      <c r="B1078" s="24">
        <v>45173.0</v>
      </c>
      <c r="C1078" s="24">
        <v>45201.0</v>
      </c>
      <c r="D1078" s="24">
        <v>45184.0</v>
      </c>
      <c r="E1078" s="24">
        <v>45200.0</v>
      </c>
      <c r="F1078" s="6">
        <v>47.0</v>
      </c>
      <c r="G1078" s="9" t="str">
        <f>VLOOKUP(operations[productID],products[],2,FALSE)</f>
        <v>Zaanse koeken</v>
      </c>
      <c r="H1078" s="9" t="str">
        <f>IF(VLOOKUP(operations[productID],products[],7,FALSE)=1,"Discontinued","Current")</f>
        <v>Current</v>
      </c>
      <c r="I1078" s="6">
        <f>VLOOKUP(operations[productID],products[],4,FALSE)</f>
        <v>36</v>
      </c>
      <c r="J1078" s="6">
        <f>VLOOKUP(operations[productID],products[],5,FALSE)</f>
        <v>0</v>
      </c>
      <c r="K1078" s="6">
        <f>VLOOKUP(operations[productID],products[],6,FALSE)</f>
        <v>0</v>
      </c>
      <c r="L1078" s="10">
        <f t="array" ref="L1078">INDEX('1 orders'!I1078:I2156, MATCH(1, ('1 orders'!A1078:A2156=A1078)*('1 orders'!G1078:G2156=F1078), 0))
</f>
        <v>10</v>
      </c>
      <c r="M1078" s="10">
        <f>IFERROR(__xludf.DUMMYFUNCTION("COUNTUNIQUEIFS($A$2:$A1078,$F$2:$F1078,F1078)"),9.0)</f>
        <v>9</v>
      </c>
      <c r="N1078" s="10">
        <f t="shared" si="1"/>
        <v>0</v>
      </c>
      <c r="O1078" s="26">
        <f>IF(operations[sinceLastOrder]=0,0,operations[orderQuantity] / operations[sinceLastOrder])</f>
        <v>0</v>
      </c>
      <c r="P1078" s="9">
        <v>352.69</v>
      </c>
      <c r="Q1078" s="7" t="s">
        <v>17</v>
      </c>
      <c r="R1078" s="10">
        <f>operations[arrivedDate]-operations[shippedDate]</f>
        <v>16</v>
      </c>
    </row>
    <row r="1079" ht="15.75" customHeight="1">
      <c r="A1079" s="6">
        <v>10657.0</v>
      </c>
      <c r="B1079" s="24">
        <v>45173.0</v>
      </c>
      <c r="C1079" s="24">
        <v>45201.0</v>
      </c>
      <c r="D1079" s="24">
        <v>45184.0</v>
      </c>
      <c r="E1079" s="24">
        <v>45200.0</v>
      </c>
      <c r="F1079" s="6">
        <v>56.0</v>
      </c>
      <c r="G1079" s="9" t="str">
        <f>VLOOKUP(operations[productID],products[],2,FALSE)</f>
        <v>Gnocchi di nonna Alice</v>
      </c>
      <c r="H1079" s="9" t="str">
        <f>IF(VLOOKUP(operations[productID],products[],7,FALSE)=1,"Discontinued","Current")</f>
        <v>Current</v>
      </c>
      <c r="I1079" s="6">
        <f>VLOOKUP(operations[productID],products[],4,FALSE)</f>
        <v>21</v>
      </c>
      <c r="J1079" s="6">
        <f>VLOOKUP(operations[productID],products[],5,FALSE)</f>
        <v>10</v>
      </c>
      <c r="K1079" s="6">
        <f>VLOOKUP(operations[productID],products[],6,FALSE)</f>
        <v>30</v>
      </c>
      <c r="L1079" s="10">
        <f t="array" ref="L1079">INDEX('1 orders'!I1079:I2156, MATCH(1, ('1 orders'!A1079:A2156=A1079)*('1 orders'!G1079:G2156=F1079), 0))
</f>
        <v>45</v>
      </c>
      <c r="M1079" s="10">
        <f>IFERROR(__xludf.DUMMYFUNCTION("COUNTUNIQUEIFS($A$2:$A1079,$F$2:$F1079,F1079)"),28.0)</f>
        <v>28</v>
      </c>
      <c r="N1079" s="10">
        <f t="shared" si="1"/>
        <v>16</v>
      </c>
      <c r="O1079" s="26">
        <f>IF(operations[sinceLastOrder]=0,0,operations[orderQuantity] / operations[sinceLastOrder])</f>
        <v>2.8125</v>
      </c>
      <c r="P1079" s="9">
        <v>352.69</v>
      </c>
      <c r="Q1079" s="7" t="s">
        <v>17</v>
      </c>
      <c r="R1079" s="10">
        <f>operations[arrivedDate]-operations[shippedDate]</f>
        <v>16</v>
      </c>
    </row>
    <row r="1080" ht="15.75" customHeight="1">
      <c r="A1080" s="6">
        <v>10657.0</v>
      </c>
      <c r="B1080" s="24">
        <v>45173.0</v>
      </c>
      <c r="C1080" s="24">
        <v>45201.0</v>
      </c>
      <c r="D1080" s="24">
        <v>45184.0</v>
      </c>
      <c r="E1080" s="24">
        <v>45200.0</v>
      </c>
      <c r="F1080" s="6">
        <v>60.0</v>
      </c>
      <c r="G1080" s="9" t="str">
        <f>VLOOKUP(operations[productID],products[],2,FALSE)</f>
        <v>Camembert Pierrot</v>
      </c>
      <c r="H1080" s="9" t="str">
        <f>IF(VLOOKUP(operations[productID],products[],7,FALSE)=1,"Discontinued","Current")</f>
        <v>Current</v>
      </c>
      <c r="I1080" s="6">
        <f>VLOOKUP(operations[productID],products[],4,FALSE)</f>
        <v>19</v>
      </c>
      <c r="J1080" s="6">
        <f>VLOOKUP(operations[productID],products[],5,FALSE)</f>
        <v>0</v>
      </c>
      <c r="K1080" s="6">
        <f>VLOOKUP(operations[productID],products[],6,FALSE)</f>
        <v>0</v>
      </c>
      <c r="L1080" s="10">
        <f t="array" ref="L1080">INDEX('1 orders'!I1080:I2156, MATCH(1, ('1 orders'!A1080:A2156=A1080)*('1 orders'!G1080:G2156=F1080), 0))
</f>
        <v>30</v>
      </c>
      <c r="M1080" s="10">
        <f>IFERROR(__xludf.DUMMYFUNCTION("COUNTUNIQUEIFS($A$2:$A1080,$F$2:$F1080,F1080)"),26.0)</f>
        <v>26</v>
      </c>
      <c r="N1080" s="10">
        <f t="shared" si="1"/>
        <v>2</v>
      </c>
      <c r="O1080" s="26">
        <f>IF(operations[sinceLastOrder]=0,0,operations[orderQuantity] / operations[sinceLastOrder])</f>
        <v>15</v>
      </c>
      <c r="P1080" s="9">
        <v>352.69</v>
      </c>
      <c r="Q1080" s="7" t="s">
        <v>17</v>
      </c>
      <c r="R1080" s="10">
        <f>operations[arrivedDate]-operations[shippedDate]</f>
        <v>16</v>
      </c>
    </row>
    <row r="1081" ht="15.75" customHeight="1">
      <c r="A1081" s="6">
        <v>10658.0</v>
      </c>
      <c r="B1081" s="24">
        <v>45174.0</v>
      </c>
      <c r="C1081" s="24">
        <v>45202.0</v>
      </c>
      <c r="D1081" s="24">
        <v>45177.0</v>
      </c>
      <c r="E1081" s="24">
        <v>45180.0</v>
      </c>
      <c r="F1081" s="6">
        <v>21.0</v>
      </c>
      <c r="G1081" s="9" t="str">
        <f>VLOOKUP(operations[productID],products[],2,FALSE)</f>
        <v>Sir Rodney's Scones</v>
      </c>
      <c r="H1081" s="9" t="str">
        <f>IF(VLOOKUP(operations[productID],products[],7,FALSE)=1,"Discontinued","Current")</f>
        <v>Current</v>
      </c>
      <c r="I1081" s="6">
        <f>VLOOKUP(operations[productID],products[],4,FALSE)</f>
        <v>3</v>
      </c>
      <c r="J1081" s="6">
        <f>VLOOKUP(operations[productID],products[],5,FALSE)</f>
        <v>40</v>
      </c>
      <c r="K1081" s="6">
        <f>VLOOKUP(operations[productID],products[],6,FALSE)</f>
        <v>5</v>
      </c>
      <c r="L1081" s="10">
        <f t="array" ref="L1081">INDEX('1 orders'!I1081:I2156, MATCH(1, ('1 orders'!A1081:A2156=A1081)*('1 orders'!G1081:G2156=F1081), 0))
</f>
        <v>60</v>
      </c>
      <c r="M1081" s="10">
        <f>IFERROR(__xludf.DUMMYFUNCTION("COUNTUNIQUEIFS($A$2:$A1081,$F$2:$F1081,F1081)"),22.0)</f>
        <v>22</v>
      </c>
      <c r="N1081" s="10">
        <f t="shared" si="1"/>
        <v>14</v>
      </c>
      <c r="O1081" s="26">
        <f>IF(operations[sinceLastOrder]=0,0,operations[orderQuantity] / operations[sinceLastOrder])</f>
        <v>4.285714286</v>
      </c>
      <c r="P1081" s="9">
        <v>364.15</v>
      </c>
      <c r="Q1081" s="7" t="s">
        <v>15</v>
      </c>
      <c r="R1081" s="10">
        <f>operations[arrivedDate]-operations[shippedDate]</f>
        <v>3</v>
      </c>
    </row>
    <row r="1082" ht="15.75" customHeight="1">
      <c r="A1082" s="6">
        <v>10658.0</v>
      </c>
      <c r="B1082" s="24">
        <v>45174.0</v>
      </c>
      <c r="C1082" s="24">
        <v>45202.0</v>
      </c>
      <c r="D1082" s="24">
        <v>45177.0</v>
      </c>
      <c r="E1082" s="24">
        <v>45180.0</v>
      </c>
      <c r="F1082" s="6">
        <v>40.0</v>
      </c>
      <c r="G1082" s="9" t="str">
        <f>VLOOKUP(operations[productID],products[],2,FALSE)</f>
        <v>Boston Crab Meat</v>
      </c>
      <c r="H1082" s="9" t="str">
        <f>IF(VLOOKUP(operations[productID],products[],7,FALSE)=1,"Discontinued","Current")</f>
        <v>Current</v>
      </c>
      <c r="I1082" s="6">
        <f>VLOOKUP(operations[productID],products[],4,FALSE)</f>
        <v>123</v>
      </c>
      <c r="J1082" s="6">
        <f>VLOOKUP(operations[productID],products[],5,FALSE)</f>
        <v>0</v>
      </c>
      <c r="K1082" s="6">
        <f>VLOOKUP(operations[productID],products[],6,FALSE)</f>
        <v>30</v>
      </c>
      <c r="L1082" s="10">
        <f t="array" ref="L1082">INDEX('1 orders'!I1082:I2156, MATCH(1, ('1 orders'!A1082:A2156=A1082)*('1 orders'!G1082:G2156=F1082), 0))
</f>
        <v>70</v>
      </c>
      <c r="M1082" s="10">
        <f>IFERROR(__xludf.DUMMYFUNCTION("COUNTUNIQUEIFS($A$2:$A1082,$F$2:$F1082,F1082)"),23.0)</f>
        <v>23</v>
      </c>
      <c r="N1082" s="10">
        <f t="shared" si="1"/>
        <v>14</v>
      </c>
      <c r="O1082" s="26">
        <f>IF(operations[sinceLastOrder]=0,0,operations[orderQuantity] / operations[sinceLastOrder])</f>
        <v>5</v>
      </c>
      <c r="P1082" s="9">
        <v>364.15</v>
      </c>
      <c r="Q1082" s="7" t="s">
        <v>15</v>
      </c>
      <c r="R1082" s="10">
        <f>operations[arrivedDate]-operations[shippedDate]</f>
        <v>3</v>
      </c>
    </row>
    <row r="1083" ht="15.75" customHeight="1">
      <c r="A1083" s="6">
        <v>10658.0</v>
      </c>
      <c r="B1083" s="24">
        <v>45174.0</v>
      </c>
      <c r="C1083" s="24">
        <v>45202.0</v>
      </c>
      <c r="D1083" s="24">
        <v>45177.0</v>
      </c>
      <c r="E1083" s="24">
        <v>45180.0</v>
      </c>
      <c r="F1083" s="6">
        <v>60.0</v>
      </c>
      <c r="G1083" s="9" t="str">
        <f>VLOOKUP(operations[productID],products[],2,FALSE)</f>
        <v>Camembert Pierrot</v>
      </c>
      <c r="H1083" s="9" t="str">
        <f>IF(VLOOKUP(operations[productID],products[],7,FALSE)=1,"Discontinued","Current")</f>
        <v>Current</v>
      </c>
      <c r="I1083" s="6">
        <f>VLOOKUP(operations[productID],products[],4,FALSE)</f>
        <v>19</v>
      </c>
      <c r="J1083" s="6">
        <f>VLOOKUP(operations[productID],products[],5,FALSE)</f>
        <v>0</v>
      </c>
      <c r="K1083" s="6">
        <f>VLOOKUP(operations[productID],products[],6,FALSE)</f>
        <v>0</v>
      </c>
      <c r="L1083" s="10">
        <f t="array" ref="L1083">INDEX('1 orders'!I1083:I2156, MATCH(1, ('1 orders'!A1083:A2156=A1083)*('1 orders'!G1083:G2156=F1083), 0))
</f>
        <v>55</v>
      </c>
      <c r="M1083" s="10">
        <f>IFERROR(__xludf.DUMMYFUNCTION("COUNTUNIQUEIFS($A$2:$A1083,$F$2:$F1083,F1083)"),27.0)</f>
        <v>27</v>
      </c>
      <c r="N1083" s="10">
        <f t="shared" si="1"/>
        <v>1</v>
      </c>
      <c r="O1083" s="26">
        <f>IF(operations[sinceLastOrder]=0,0,operations[orderQuantity] / operations[sinceLastOrder])</f>
        <v>55</v>
      </c>
      <c r="P1083" s="9">
        <v>364.15</v>
      </c>
      <c r="Q1083" s="7" t="s">
        <v>15</v>
      </c>
      <c r="R1083" s="10">
        <f>operations[arrivedDate]-operations[shippedDate]</f>
        <v>3</v>
      </c>
    </row>
    <row r="1084" ht="15.75" customHeight="1">
      <c r="A1084" s="6">
        <v>10658.0</v>
      </c>
      <c r="B1084" s="24">
        <v>45174.0</v>
      </c>
      <c r="C1084" s="24">
        <v>45202.0</v>
      </c>
      <c r="D1084" s="24">
        <v>45177.0</v>
      </c>
      <c r="E1084" s="24">
        <v>45180.0</v>
      </c>
      <c r="F1084" s="6">
        <v>77.0</v>
      </c>
      <c r="G1084" s="9" t="str">
        <f>VLOOKUP(operations[productID],products[],2,FALSE)</f>
        <v>Original Frankfurter grüne Soße</v>
      </c>
      <c r="H1084" s="9" t="str">
        <f>IF(VLOOKUP(operations[productID],products[],7,FALSE)=1,"Discontinued","Current")</f>
        <v>Current</v>
      </c>
      <c r="I1084" s="6">
        <f>VLOOKUP(operations[productID],products[],4,FALSE)</f>
        <v>32</v>
      </c>
      <c r="J1084" s="6">
        <f>VLOOKUP(operations[productID],products[],5,FALSE)</f>
        <v>0</v>
      </c>
      <c r="K1084" s="6">
        <f>VLOOKUP(operations[productID],products[],6,FALSE)</f>
        <v>15</v>
      </c>
      <c r="L1084" s="10">
        <f t="array" ref="L1084">INDEX('1 orders'!I1084:I2156, MATCH(1, ('1 orders'!A1084:A2156=A1084)*('1 orders'!G1084:G2156=F1084), 0))
</f>
        <v>70</v>
      </c>
      <c r="M1084" s="10">
        <f>IFERROR(__xludf.DUMMYFUNCTION("COUNTUNIQUEIFS($A$2:$A1084,$F$2:$F1084,F1084)"),20.0)</f>
        <v>20</v>
      </c>
      <c r="N1084" s="10">
        <f t="shared" si="1"/>
        <v>9</v>
      </c>
      <c r="O1084" s="26">
        <f>IF(operations[sinceLastOrder]=0,0,operations[orderQuantity] / operations[sinceLastOrder])</f>
        <v>7.777777778</v>
      </c>
      <c r="P1084" s="9">
        <v>364.15</v>
      </c>
      <c r="Q1084" s="7" t="s">
        <v>15</v>
      </c>
      <c r="R1084" s="10">
        <f>operations[arrivedDate]-operations[shippedDate]</f>
        <v>3</v>
      </c>
    </row>
    <row r="1085" ht="15.75" customHeight="1">
      <c r="A1085" s="6">
        <v>10659.0</v>
      </c>
      <c r="B1085" s="24">
        <v>45174.0</v>
      </c>
      <c r="C1085" s="24">
        <v>45202.0</v>
      </c>
      <c r="D1085" s="24">
        <v>45179.0</v>
      </c>
      <c r="E1085" s="24">
        <v>45196.0</v>
      </c>
      <c r="F1085" s="6">
        <v>31.0</v>
      </c>
      <c r="G1085" s="9" t="str">
        <f>VLOOKUP(operations[productID],products[],2,FALSE)</f>
        <v>Gorgonzola Telino</v>
      </c>
      <c r="H1085" s="9" t="str">
        <f>IF(VLOOKUP(operations[productID],products[],7,FALSE)=1,"Discontinued","Current")</f>
        <v>Current</v>
      </c>
      <c r="I1085" s="6">
        <f>VLOOKUP(operations[productID],products[],4,FALSE)</f>
        <v>0</v>
      </c>
      <c r="J1085" s="6">
        <f>VLOOKUP(operations[productID],products[],5,FALSE)</f>
        <v>70</v>
      </c>
      <c r="K1085" s="6">
        <f>VLOOKUP(operations[productID],products[],6,FALSE)</f>
        <v>20</v>
      </c>
      <c r="L1085" s="10">
        <f t="array" ref="L1085">INDEX('1 orders'!I1085:I2156, MATCH(1, ('1 orders'!A1085:A2156=A1085)*('1 orders'!G1085:G2156=F1085), 0))
</f>
        <v>20</v>
      </c>
      <c r="M1085" s="10">
        <f>IFERROR(__xludf.DUMMYFUNCTION("COUNTUNIQUEIFS($A$2:$A1085,$F$2:$F1085,F1085)"),27.0)</f>
        <v>27</v>
      </c>
      <c r="N1085" s="10">
        <f t="shared" si="1"/>
        <v>67</v>
      </c>
      <c r="O1085" s="26">
        <f>IF(operations[sinceLastOrder]=0,0,operations[orderQuantity] / operations[sinceLastOrder])</f>
        <v>0.2985074627</v>
      </c>
      <c r="P1085" s="9">
        <v>105.81</v>
      </c>
      <c r="Q1085" s="7" t="s">
        <v>17</v>
      </c>
      <c r="R1085" s="10">
        <f>operations[arrivedDate]-operations[shippedDate]</f>
        <v>17</v>
      </c>
    </row>
    <row r="1086" ht="15.75" customHeight="1">
      <c r="A1086" s="6">
        <v>10659.0</v>
      </c>
      <c r="B1086" s="24">
        <v>45174.0</v>
      </c>
      <c r="C1086" s="24">
        <v>45202.0</v>
      </c>
      <c r="D1086" s="24">
        <v>45179.0</v>
      </c>
      <c r="E1086" s="24">
        <v>45196.0</v>
      </c>
      <c r="F1086" s="6">
        <v>40.0</v>
      </c>
      <c r="G1086" s="9" t="str">
        <f>VLOOKUP(operations[productID],products[],2,FALSE)</f>
        <v>Boston Crab Meat</v>
      </c>
      <c r="H1086" s="9" t="str">
        <f>IF(VLOOKUP(operations[productID],products[],7,FALSE)=1,"Discontinued","Current")</f>
        <v>Current</v>
      </c>
      <c r="I1086" s="6">
        <f>VLOOKUP(operations[productID],products[],4,FALSE)</f>
        <v>123</v>
      </c>
      <c r="J1086" s="6">
        <f>VLOOKUP(operations[productID],products[],5,FALSE)</f>
        <v>0</v>
      </c>
      <c r="K1086" s="6">
        <f>VLOOKUP(operations[productID],products[],6,FALSE)</f>
        <v>30</v>
      </c>
      <c r="L1086" s="10">
        <f t="array" ref="L1086">INDEX('1 orders'!I1086:I2156, MATCH(1, ('1 orders'!A1086:A2156=A1086)*('1 orders'!G1086:G2156=F1086), 0))
</f>
        <v>24</v>
      </c>
      <c r="M1086" s="10">
        <f>IFERROR(__xludf.DUMMYFUNCTION("COUNTUNIQUEIFS($A$2:$A1086,$F$2:$F1086,F1086)"),24.0)</f>
        <v>24</v>
      </c>
      <c r="N1086" s="10">
        <f t="shared" si="1"/>
        <v>0</v>
      </c>
      <c r="O1086" s="26">
        <f>IF(operations[sinceLastOrder]=0,0,operations[orderQuantity] / operations[sinceLastOrder])</f>
        <v>0</v>
      </c>
      <c r="P1086" s="9">
        <v>105.81</v>
      </c>
      <c r="Q1086" s="7" t="s">
        <v>17</v>
      </c>
      <c r="R1086" s="10">
        <f>operations[arrivedDate]-operations[shippedDate]</f>
        <v>17</v>
      </c>
    </row>
    <row r="1087" ht="15.75" customHeight="1">
      <c r="A1087" s="6">
        <v>10659.0</v>
      </c>
      <c r="B1087" s="24">
        <v>45174.0</v>
      </c>
      <c r="C1087" s="24">
        <v>45202.0</v>
      </c>
      <c r="D1087" s="24">
        <v>45179.0</v>
      </c>
      <c r="E1087" s="24">
        <v>45196.0</v>
      </c>
      <c r="F1087" s="6">
        <v>70.0</v>
      </c>
      <c r="G1087" s="9" t="str">
        <f>VLOOKUP(operations[productID],products[],2,FALSE)</f>
        <v>Outback Lager</v>
      </c>
      <c r="H1087" s="9" t="str">
        <f>IF(VLOOKUP(operations[productID],products[],7,FALSE)=1,"Discontinued","Current")</f>
        <v>Current</v>
      </c>
      <c r="I1087" s="6">
        <f>VLOOKUP(operations[productID],products[],4,FALSE)</f>
        <v>15</v>
      </c>
      <c r="J1087" s="6">
        <f>VLOOKUP(operations[productID],products[],5,FALSE)</f>
        <v>10</v>
      </c>
      <c r="K1087" s="6">
        <f>VLOOKUP(operations[productID],products[],6,FALSE)</f>
        <v>30</v>
      </c>
      <c r="L1087" s="10">
        <f t="array" ref="L1087">INDEX('1 orders'!I1087:I2156, MATCH(1, ('1 orders'!A1087:A2156=A1087)*('1 orders'!G1087:G2156=F1087), 0))
</f>
        <v>40</v>
      </c>
      <c r="M1087" s="10">
        <f>IFERROR(__xludf.DUMMYFUNCTION("COUNTUNIQUEIFS($A$2:$A1087,$F$2:$F1087,F1087)"),18.0)</f>
        <v>18</v>
      </c>
      <c r="N1087" s="10">
        <f t="shared" si="1"/>
        <v>15</v>
      </c>
      <c r="O1087" s="26">
        <f>IF(operations[sinceLastOrder]=0,0,operations[orderQuantity] / operations[sinceLastOrder])</f>
        <v>2.666666667</v>
      </c>
      <c r="P1087" s="9">
        <v>105.81</v>
      </c>
      <c r="Q1087" s="7" t="s">
        <v>17</v>
      </c>
      <c r="R1087" s="10">
        <f>operations[arrivedDate]-operations[shippedDate]</f>
        <v>17</v>
      </c>
    </row>
    <row r="1088" ht="15.75" customHeight="1">
      <c r="A1088" s="6">
        <v>10660.0</v>
      </c>
      <c r="B1088" s="24">
        <v>45177.0</v>
      </c>
      <c r="C1088" s="24">
        <v>45205.0</v>
      </c>
      <c r="D1088" s="24">
        <v>45214.0</v>
      </c>
      <c r="E1088" s="24">
        <v>45225.0</v>
      </c>
      <c r="F1088" s="6">
        <v>20.0</v>
      </c>
      <c r="G1088" s="9" t="str">
        <f>VLOOKUP(operations[productID],products[],2,FALSE)</f>
        <v>Sir Rodney's Marmalade</v>
      </c>
      <c r="H1088" s="9" t="str">
        <f>IF(VLOOKUP(operations[productID],products[],7,FALSE)=1,"Discontinued","Current")</f>
        <v>Current</v>
      </c>
      <c r="I1088" s="6">
        <f>VLOOKUP(operations[productID],products[],4,FALSE)</f>
        <v>40</v>
      </c>
      <c r="J1088" s="6">
        <f>VLOOKUP(operations[productID],products[],5,FALSE)</f>
        <v>0</v>
      </c>
      <c r="K1088" s="6">
        <f>VLOOKUP(operations[productID],products[],6,FALSE)</f>
        <v>0</v>
      </c>
      <c r="L1088" s="10">
        <f t="array" ref="L1088">INDEX('1 orders'!I1088:I2156, MATCH(1, ('1 orders'!A1088:A2156=A1088)*('1 orders'!G1088:G2156=F1088), 0))
</f>
        <v>21</v>
      </c>
      <c r="M1088" s="10">
        <f>IFERROR(__xludf.DUMMYFUNCTION("COUNTUNIQUEIFS($A$2:$A1088,$F$2:$F1088,F1088)"),9.0)</f>
        <v>9</v>
      </c>
      <c r="N1088" s="10">
        <f t="shared" si="1"/>
        <v>61</v>
      </c>
      <c r="O1088" s="26">
        <f>IF(operations[sinceLastOrder]=0,0,operations[orderQuantity] / operations[sinceLastOrder])</f>
        <v>0.3442622951</v>
      </c>
      <c r="P1088" s="9">
        <v>111.29</v>
      </c>
      <c r="Q1088" s="7" t="s">
        <v>15</v>
      </c>
      <c r="R1088" s="10">
        <f>operations[arrivedDate]-operations[shippedDate]</f>
        <v>11</v>
      </c>
    </row>
    <row r="1089" ht="15.75" customHeight="1">
      <c r="A1089" s="6">
        <v>10661.0</v>
      </c>
      <c r="B1089" s="24">
        <v>45178.0</v>
      </c>
      <c r="C1089" s="24">
        <v>45206.0</v>
      </c>
      <c r="D1089" s="24">
        <v>45184.0</v>
      </c>
      <c r="E1089" s="24">
        <v>45196.0</v>
      </c>
      <c r="F1089" s="6">
        <v>39.0</v>
      </c>
      <c r="G1089" s="9" t="str">
        <f>VLOOKUP(operations[productID],products[],2,FALSE)</f>
        <v>Chartreuse verte</v>
      </c>
      <c r="H1089" s="9" t="str">
        <f>IF(VLOOKUP(operations[productID],products[],7,FALSE)=1,"Discontinued","Current")</f>
        <v>Current</v>
      </c>
      <c r="I1089" s="6">
        <f>VLOOKUP(operations[productID],products[],4,FALSE)</f>
        <v>69</v>
      </c>
      <c r="J1089" s="6">
        <f>VLOOKUP(operations[productID],products[],5,FALSE)</f>
        <v>0</v>
      </c>
      <c r="K1089" s="6">
        <f>VLOOKUP(operations[productID],products[],6,FALSE)</f>
        <v>5</v>
      </c>
      <c r="L1089" s="10">
        <f t="array" ref="L1089">INDEX('1 orders'!I1089:I2156, MATCH(1, ('1 orders'!A1089:A2156=A1089)*('1 orders'!G1089:G2156=F1089), 0))
</f>
        <v>3</v>
      </c>
      <c r="M1089" s="10">
        <f>IFERROR(__xludf.DUMMYFUNCTION("COUNTUNIQUEIFS($A$2:$A1089,$F$2:$F1089,F1089)"),18.0)</f>
        <v>18</v>
      </c>
      <c r="N1089" s="10">
        <f t="shared" si="1"/>
        <v>7</v>
      </c>
      <c r="O1089" s="26">
        <f>IF(operations[sinceLastOrder]=0,0,operations[orderQuantity] / operations[sinceLastOrder])</f>
        <v>0.4285714286</v>
      </c>
      <c r="P1089" s="9">
        <v>17.55</v>
      </c>
      <c r="Q1089" s="7" t="s">
        <v>13</v>
      </c>
      <c r="R1089" s="10">
        <f>operations[arrivedDate]-operations[shippedDate]</f>
        <v>12</v>
      </c>
    </row>
    <row r="1090" ht="15.75" customHeight="1">
      <c r="A1090" s="6">
        <v>10661.0</v>
      </c>
      <c r="B1090" s="24">
        <v>45178.0</v>
      </c>
      <c r="C1090" s="24">
        <v>45206.0</v>
      </c>
      <c r="D1090" s="24">
        <v>45184.0</v>
      </c>
      <c r="E1090" s="24">
        <v>45196.0</v>
      </c>
      <c r="F1090" s="6">
        <v>58.0</v>
      </c>
      <c r="G1090" s="9" t="str">
        <f>VLOOKUP(operations[productID],products[],2,FALSE)</f>
        <v>Escargots de Bourgogne</v>
      </c>
      <c r="H1090" s="9" t="str">
        <f>IF(VLOOKUP(operations[productID],products[],7,FALSE)=1,"Discontinued","Current")</f>
        <v>Current</v>
      </c>
      <c r="I1090" s="6">
        <f>VLOOKUP(operations[productID],products[],4,FALSE)</f>
        <v>62</v>
      </c>
      <c r="J1090" s="6">
        <f>VLOOKUP(operations[productID],products[],5,FALSE)</f>
        <v>0</v>
      </c>
      <c r="K1090" s="6">
        <f>VLOOKUP(operations[productID],products[],6,FALSE)</f>
        <v>20</v>
      </c>
      <c r="L1090" s="10">
        <f t="array" ref="L1090">INDEX('1 orders'!I1090:I2156, MATCH(1, ('1 orders'!A1090:A2156=A1090)*('1 orders'!G1090:G2156=F1090), 0))
</f>
        <v>49</v>
      </c>
      <c r="M1090" s="10">
        <f>IFERROR(__xludf.DUMMYFUNCTION("COUNTUNIQUEIFS($A$2:$A1090,$F$2:$F1090,F1090)"),8.0)</f>
        <v>8</v>
      </c>
      <c r="N1090" s="10">
        <f t="shared" si="1"/>
        <v>21</v>
      </c>
      <c r="O1090" s="26">
        <f>IF(operations[sinceLastOrder]=0,0,operations[orderQuantity] / operations[sinceLastOrder])</f>
        <v>2.333333333</v>
      </c>
      <c r="P1090" s="9">
        <v>17.55</v>
      </c>
      <c r="Q1090" s="7" t="s">
        <v>13</v>
      </c>
      <c r="R1090" s="10">
        <f>operations[arrivedDate]-operations[shippedDate]</f>
        <v>12</v>
      </c>
    </row>
    <row r="1091" ht="15.75" customHeight="1">
      <c r="A1091" s="6">
        <v>10662.0</v>
      </c>
      <c r="B1091" s="24">
        <v>45178.0</v>
      </c>
      <c r="C1091" s="24">
        <v>45206.0</v>
      </c>
      <c r="D1091" s="24">
        <v>45187.0</v>
      </c>
      <c r="E1091" s="24">
        <v>45206.0</v>
      </c>
      <c r="F1091" s="6">
        <v>68.0</v>
      </c>
      <c r="G1091" s="9" t="str">
        <f>VLOOKUP(operations[productID],products[],2,FALSE)</f>
        <v>Scottish Longbreads</v>
      </c>
      <c r="H1091" s="9" t="str">
        <f>IF(VLOOKUP(operations[productID],products[],7,FALSE)=1,"Discontinued","Current")</f>
        <v>Current</v>
      </c>
      <c r="I1091" s="6">
        <f>VLOOKUP(operations[productID],products[],4,FALSE)</f>
        <v>6</v>
      </c>
      <c r="J1091" s="6">
        <f>VLOOKUP(operations[productID],products[],5,FALSE)</f>
        <v>10</v>
      </c>
      <c r="K1091" s="6">
        <f>VLOOKUP(operations[productID],products[],6,FALSE)</f>
        <v>15</v>
      </c>
      <c r="L1091" s="10">
        <f t="array" ref="L1091">INDEX('1 orders'!I1091:I2156, MATCH(1, ('1 orders'!A1091:A2156=A1091)*('1 orders'!G1091:G2156=F1091), 0))
</f>
        <v>10</v>
      </c>
      <c r="M1091" s="10">
        <f>IFERROR(__xludf.DUMMYFUNCTION("COUNTUNIQUEIFS($A$2:$A1091,$F$2:$F1091,F1091)"),19.0)</f>
        <v>19</v>
      </c>
      <c r="N1091" s="10">
        <f t="shared" si="1"/>
        <v>34</v>
      </c>
      <c r="O1091" s="26">
        <f>IF(operations[sinceLastOrder]=0,0,operations[orderQuantity] / operations[sinceLastOrder])</f>
        <v>0.2941176471</v>
      </c>
      <c r="P1091" s="9">
        <v>1.28</v>
      </c>
      <c r="Q1091" s="7" t="s">
        <v>17</v>
      </c>
      <c r="R1091" s="10">
        <f>operations[arrivedDate]-operations[shippedDate]</f>
        <v>19</v>
      </c>
    </row>
    <row r="1092" ht="15.75" customHeight="1">
      <c r="A1092" s="6">
        <v>10663.0</v>
      </c>
      <c r="B1092" s="24">
        <v>45179.0</v>
      </c>
      <c r="C1092" s="24">
        <v>45193.0</v>
      </c>
      <c r="D1092" s="24">
        <v>45202.0</v>
      </c>
      <c r="E1092" s="24">
        <v>45213.0</v>
      </c>
      <c r="F1092" s="6">
        <v>40.0</v>
      </c>
      <c r="G1092" s="9" t="str">
        <f>VLOOKUP(operations[productID],products[],2,FALSE)</f>
        <v>Boston Crab Meat</v>
      </c>
      <c r="H1092" s="9" t="str">
        <f>IF(VLOOKUP(operations[productID],products[],7,FALSE)=1,"Discontinued","Current")</f>
        <v>Current</v>
      </c>
      <c r="I1092" s="6">
        <f>VLOOKUP(operations[productID],products[],4,FALSE)</f>
        <v>123</v>
      </c>
      <c r="J1092" s="6">
        <f>VLOOKUP(operations[productID],products[],5,FALSE)</f>
        <v>0</v>
      </c>
      <c r="K1092" s="6">
        <f>VLOOKUP(operations[productID],products[],6,FALSE)</f>
        <v>30</v>
      </c>
      <c r="L1092" s="10">
        <f t="array" ref="L1092">INDEX('1 orders'!I1092:I2156, MATCH(1, ('1 orders'!A1092:A2156=A1092)*('1 orders'!G1092:G2156=F1092), 0))
</f>
        <v>30</v>
      </c>
      <c r="M1092" s="10">
        <f>IFERROR(__xludf.DUMMYFUNCTION("COUNTUNIQUEIFS($A$2:$A1092,$F$2:$F1092,F1092)"),25.0)</f>
        <v>25</v>
      </c>
      <c r="N1092" s="10">
        <f t="shared" si="1"/>
        <v>5</v>
      </c>
      <c r="O1092" s="26">
        <f>IF(operations[sinceLastOrder]=0,0,operations[orderQuantity] / operations[sinceLastOrder])</f>
        <v>6</v>
      </c>
      <c r="P1092" s="9">
        <v>113.15</v>
      </c>
      <c r="Q1092" s="7" t="s">
        <v>17</v>
      </c>
      <c r="R1092" s="10">
        <f>operations[arrivedDate]-operations[shippedDate]</f>
        <v>11</v>
      </c>
    </row>
    <row r="1093" ht="15.75" customHeight="1">
      <c r="A1093" s="6">
        <v>10663.0</v>
      </c>
      <c r="B1093" s="24">
        <v>45179.0</v>
      </c>
      <c r="C1093" s="24">
        <v>45193.0</v>
      </c>
      <c r="D1093" s="24">
        <v>45202.0</v>
      </c>
      <c r="E1093" s="24">
        <v>45213.0</v>
      </c>
      <c r="F1093" s="6">
        <v>42.0</v>
      </c>
      <c r="G1093" s="9" t="str">
        <f>VLOOKUP(operations[productID],products[],2,FALSE)</f>
        <v>Singaporean Hokkien Fried Mee</v>
      </c>
      <c r="H1093" s="9" t="str">
        <f>IF(VLOOKUP(operations[productID],products[],7,FALSE)=1,"Discontinued","Current")</f>
        <v>Discontinued</v>
      </c>
      <c r="I1093" s="6">
        <f>VLOOKUP(operations[productID],products[],4,FALSE)</f>
        <v>26</v>
      </c>
      <c r="J1093" s="6">
        <f>VLOOKUP(operations[productID],products[],5,FALSE)</f>
        <v>0</v>
      </c>
      <c r="K1093" s="6">
        <f>VLOOKUP(operations[productID],products[],6,FALSE)</f>
        <v>0</v>
      </c>
      <c r="L1093" s="10">
        <f t="array" ref="L1093">INDEX('1 orders'!I1093:I2156, MATCH(1, ('1 orders'!A1093:A2156=A1093)*('1 orders'!G1093:G2156=F1093), 0))
</f>
        <v>30</v>
      </c>
      <c r="M1093" s="10">
        <f>IFERROR(__xludf.DUMMYFUNCTION("COUNTUNIQUEIFS($A$2:$A1093,$F$2:$F1093,F1093)"),15.0)</f>
        <v>15</v>
      </c>
      <c r="N1093" s="10">
        <f t="shared" si="1"/>
        <v>9</v>
      </c>
      <c r="O1093" s="26">
        <f>IF(operations[sinceLastOrder]=0,0,operations[orderQuantity] / operations[sinceLastOrder])</f>
        <v>3.333333333</v>
      </c>
      <c r="P1093" s="9">
        <v>113.15</v>
      </c>
      <c r="Q1093" s="7" t="s">
        <v>17</v>
      </c>
      <c r="R1093" s="10">
        <f>operations[arrivedDate]-operations[shippedDate]</f>
        <v>11</v>
      </c>
    </row>
    <row r="1094" ht="15.75" customHeight="1">
      <c r="A1094" s="6">
        <v>10663.0</v>
      </c>
      <c r="B1094" s="24">
        <v>45179.0</v>
      </c>
      <c r="C1094" s="24">
        <v>45193.0</v>
      </c>
      <c r="D1094" s="24">
        <v>45202.0</v>
      </c>
      <c r="E1094" s="24">
        <v>45213.0</v>
      </c>
      <c r="F1094" s="6">
        <v>51.0</v>
      </c>
      <c r="G1094" s="9" t="str">
        <f>VLOOKUP(operations[productID],products[],2,FALSE)</f>
        <v>Manjimup Dried Apples</v>
      </c>
      <c r="H1094" s="9" t="str">
        <f>IF(VLOOKUP(operations[productID],products[],7,FALSE)=1,"Discontinued","Current")</f>
        <v>Current</v>
      </c>
      <c r="I1094" s="6">
        <f>VLOOKUP(operations[productID],products[],4,FALSE)</f>
        <v>20</v>
      </c>
      <c r="J1094" s="6">
        <f>VLOOKUP(operations[productID],products[],5,FALSE)</f>
        <v>0</v>
      </c>
      <c r="K1094" s="6">
        <f>VLOOKUP(operations[productID],products[],6,FALSE)</f>
        <v>10</v>
      </c>
      <c r="L1094" s="10">
        <f t="array" ref="L1094">INDEX('1 orders'!I1094:I2156, MATCH(1, ('1 orders'!A1094:A2156=A1094)*('1 orders'!G1094:G2156=F1094), 0))
</f>
        <v>20</v>
      </c>
      <c r="M1094" s="10">
        <f>IFERROR(__xludf.DUMMYFUNCTION("COUNTUNIQUEIFS($A$2:$A1094,$F$2:$F1094,F1094)"),17.0)</f>
        <v>17</v>
      </c>
      <c r="N1094" s="10">
        <f t="shared" si="1"/>
        <v>26</v>
      </c>
      <c r="O1094" s="26">
        <f>IF(operations[sinceLastOrder]=0,0,operations[orderQuantity] / operations[sinceLastOrder])</f>
        <v>0.7692307692</v>
      </c>
      <c r="P1094" s="9">
        <v>113.15</v>
      </c>
      <c r="Q1094" s="7" t="s">
        <v>17</v>
      </c>
      <c r="R1094" s="10">
        <f>operations[arrivedDate]-operations[shippedDate]</f>
        <v>11</v>
      </c>
    </row>
    <row r="1095" ht="15.75" customHeight="1">
      <c r="A1095" s="6">
        <v>10664.0</v>
      </c>
      <c r="B1095" s="24">
        <v>45179.0</v>
      </c>
      <c r="C1095" s="24">
        <v>45207.0</v>
      </c>
      <c r="D1095" s="24">
        <v>45188.0</v>
      </c>
      <c r="E1095" s="24">
        <v>45201.0</v>
      </c>
      <c r="F1095" s="6">
        <v>10.0</v>
      </c>
      <c r="G1095" s="9" t="str">
        <f>VLOOKUP(operations[productID],products[],2,FALSE)</f>
        <v>Ikura</v>
      </c>
      <c r="H1095" s="9" t="str">
        <f>IF(VLOOKUP(operations[productID],products[],7,FALSE)=1,"Discontinued","Current")</f>
        <v>Current</v>
      </c>
      <c r="I1095" s="6">
        <f>VLOOKUP(operations[productID],products[],4,FALSE)</f>
        <v>31</v>
      </c>
      <c r="J1095" s="6">
        <f>VLOOKUP(operations[productID],products[],5,FALSE)</f>
        <v>0</v>
      </c>
      <c r="K1095" s="6">
        <f>VLOOKUP(operations[productID],products[],6,FALSE)</f>
        <v>0</v>
      </c>
      <c r="L1095" s="10">
        <f t="array" ref="L1095">INDEX('1 orders'!I1095:I2156, MATCH(1, ('1 orders'!A1095:A2156=A1095)*('1 orders'!G1095:G2156=F1095), 0))
</f>
        <v>24</v>
      </c>
      <c r="M1095" s="10">
        <f>IFERROR(__xludf.DUMMYFUNCTION("COUNTUNIQUEIFS($A$2:$A1095,$F$2:$F1095,F1095)"),14.0)</f>
        <v>14</v>
      </c>
      <c r="N1095" s="10">
        <f t="shared" si="1"/>
        <v>14</v>
      </c>
      <c r="O1095" s="26">
        <f>IF(operations[sinceLastOrder]=0,0,operations[orderQuantity] / operations[sinceLastOrder])</f>
        <v>1.714285714</v>
      </c>
      <c r="P1095" s="9">
        <v>1.27</v>
      </c>
      <c r="Q1095" s="7" t="s">
        <v>13</v>
      </c>
      <c r="R1095" s="10">
        <f>operations[arrivedDate]-operations[shippedDate]</f>
        <v>13</v>
      </c>
    </row>
    <row r="1096" ht="15.75" customHeight="1">
      <c r="A1096" s="6">
        <v>10664.0</v>
      </c>
      <c r="B1096" s="24">
        <v>45179.0</v>
      </c>
      <c r="C1096" s="24">
        <v>45207.0</v>
      </c>
      <c r="D1096" s="24">
        <v>45188.0</v>
      </c>
      <c r="E1096" s="24">
        <v>45201.0</v>
      </c>
      <c r="F1096" s="6">
        <v>56.0</v>
      </c>
      <c r="G1096" s="9" t="str">
        <f>VLOOKUP(operations[productID],products[],2,FALSE)</f>
        <v>Gnocchi di nonna Alice</v>
      </c>
      <c r="H1096" s="9" t="str">
        <f>IF(VLOOKUP(operations[productID],products[],7,FALSE)=1,"Discontinued","Current")</f>
        <v>Current</v>
      </c>
      <c r="I1096" s="6">
        <f>VLOOKUP(operations[productID],products[],4,FALSE)</f>
        <v>21</v>
      </c>
      <c r="J1096" s="6">
        <f>VLOOKUP(operations[productID],products[],5,FALSE)</f>
        <v>10</v>
      </c>
      <c r="K1096" s="6">
        <f>VLOOKUP(operations[productID],products[],6,FALSE)</f>
        <v>30</v>
      </c>
      <c r="L1096" s="10">
        <f t="array" ref="L1096">INDEX('1 orders'!I1096:I2156, MATCH(1, ('1 orders'!A1096:A2156=A1096)*('1 orders'!G1096:G2156=F1096), 0))
</f>
        <v>12</v>
      </c>
      <c r="M1096" s="10">
        <f>IFERROR(__xludf.DUMMYFUNCTION("COUNTUNIQUEIFS($A$2:$A1096,$F$2:$F1096,F1096)"),29.0)</f>
        <v>29</v>
      </c>
      <c r="N1096" s="10">
        <f t="shared" si="1"/>
        <v>6</v>
      </c>
      <c r="O1096" s="26">
        <f>IF(operations[sinceLastOrder]=0,0,operations[orderQuantity] / operations[sinceLastOrder])</f>
        <v>2</v>
      </c>
      <c r="P1096" s="9">
        <v>1.27</v>
      </c>
      <c r="Q1096" s="7" t="s">
        <v>13</v>
      </c>
      <c r="R1096" s="10">
        <f>operations[arrivedDate]-operations[shippedDate]</f>
        <v>13</v>
      </c>
    </row>
    <row r="1097" ht="15.75" customHeight="1">
      <c r="A1097" s="6">
        <v>10664.0</v>
      </c>
      <c r="B1097" s="24">
        <v>45179.0</v>
      </c>
      <c r="C1097" s="24">
        <v>45207.0</v>
      </c>
      <c r="D1097" s="24">
        <v>45188.0</v>
      </c>
      <c r="E1097" s="24">
        <v>45201.0</v>
      </c>
      <c r="F1097" s="6">
        <v>65.0</v>
      </c>
      <c r="G1097" s="9" t="str">
        <f>VLOOKUP(operations[productID],products[],2,FALSE)</f>
        <v>Louisiana Fiery Hot Pepper Sauce</v>
      </c>
      <c r="H1097" s="9" t="str">
        <f>IF(VLOOKUP(operations[productID],products[],7,FALSE)=1,"Discontinued","Current")</f>
        <v>Current</v>
      </c>
      <c r="I1097" s="6">
        <f>VLOOKUP(operations[productID],products[],4,FALSE)</f>
        <v>76</v>
      </c>
      <c r="J1097" s="6">
        <f>VLOOKUP(operations[productID],products[],5,FALSE)</f>
        <v>0</v>
      </c>
      <c r="K1097" s="6">
        <f>VLOOKUP(operations[productID],products[],6,FALSE)</f>
        <v>0</v>
      </c>
      <c r="L1097" s="10">
        <f t="array" ref="L1097">INDEX('1 orders'!I1097:I2156, MATCH(1, ('1 orders'!A1097:A2156=A1097)*('1 orders'!G1097:G2156=F1097), 0))
</f>
        <v>15</v>
      </c>
      <c r="M1097" s="10">
        <f>IFERROR(__xludf.DUMMYFUNCTION("COUNTUNIQUEIFS($A$2:$A1097,$F$2:$F1097,F1097)"),19.0)</f>
        <v>19</v>
      </c>
      <c r="N1097" s="10">
        <f t="shared" si="1"/>
        <v>21</v>
      </c>
      <c r="O1097" s="26">
        <f>IF(operations[sinceLastOrder]=0,0,operations[orderQuantity] / operations[sinceLastOrder])</f>
        <v>0.7142857143</v>
      </c>
      <c r="P1097" s="9">
        <v>1.27</v>
      </c>
      <c r="Q1097" s="7" t="s">
        <v>13</v>
      </c>
      <c r="R1097" s="10">
        <f>operations[arrivedDate]-operations[shippedDate]</f>
        <v>13</v>
      </c>
    </row>
    <row r="1098" ht="15.75" customHeight="1">
      <c r="A1098" s="6">
        <v>10665.0</v>
      </c>
      <c r="B1098" s="24">
        <v>45180.0</v>
      </c>
      <c r="C1098" s="24">
        <v>45208.0</v>
      </c>
      <c r="D1098" s="24">
        <v>45186.0</v>
      </c>
      <c r="E1098" s="24">
        <v>45203.0</v>
      </c>
      <c r="F1098" s="6">
        <v>51.0</v>
      </c>
      <c r="G1098" s="9" t="str">
        <f>VLOOKUP(operations[productID],products[],2,FALSE)</f>
        <v>Manjimup Dried Apples</v>
      </c>
      <c r="H1098" s="9" t="str">
        <f>IF(VLOOKUP(operations[productID],products[],7,FALSE)=1,"Discontinued","Current")</f>
        <v>Current</v>
      </c>
      <c r="I1098" s="6">
        <f>VLOOKUP(operations[productID],products[],4,FALSE)</f>
        <v>20</v>
      </c>
      <c r="J1098" s="6">
        <f>VLOOKUP(operations[productID],products[],5,FALSE)</f>
        <v>0</v>
      </c>
      <c r="K1098" s="6">
        <f>VLOOKUP(operations[productID],products[],6,FALSE)</f>
        <v>10</v>
      </c>
      <c r="L1098" s="10">
        <f t="array" ref="L1098">INDEX('1 orders'!I1098:I2156, MATCH(1, ('1 orders'!A1098:A2156=A1098)*('1 orders'!G1098:G2156=F1098), 0))
</f>
        <v>20</v>
      </c>
      <c r="M1098" s="10">
        <f>IFERROR(__xludf.DUMMYFUNCTION("COUNTUNIQUEIFS($A$2:$A1098,$F$2:$F1098,F1098)"),18.0)</f>
        <v>18</v>
      </c>
      <c r="N1098" s="10">
        <f t="shared" si="1"/>
        <v>1</v>
      </c>
      <c r="O1098" s="26">
        <f>IF(operations[sinceLastOrder]=0,0,operations[orderQuantity] / operations[sinceLastOrder])</f>
        <v>20</v>
      </c>
      <c r="P1098" s="9">
        <v>26.31</v>
      </c>
      <c r="Q1098" s="7" t="s">
        <v>17</v>
      </c>
      <c r="R1098" s="10">
        <f>operations[arrivedDate]-operations[shippedDate]</f>
        <v>17</v>
      </c>
    </row>
    <row r="1099" ht="15.75" customHeight="1">
      <c r="A1099" s="6">
        <v>10665.0</v>
      </c>
      <c r="B1099" s="24">
        <v>45180.0</v>
      </c>
      <c r="C1099" s="24">
        <v>45208.0</v>
      </c>
      <c r="D1099" s="24">
        <v>45186.0</v>
      </c>
      <c r="E1099" s="24">
        <v>45203.0</v>
      </c>
      <c r="F1099" s="6">
        <v>59.0</v>
      </c>
      <c r="G1099" s="9" t="str">
        <f>VLOOKUP(operations[productID],products[],2,FALSE)</f>
        <v>Raclette Courdavault</v>
      </c>
      <c r="H1099" s="9" t="str">
        <f>IF(VLOOKUP(operations[productID],products[],7,FALSE)=1,"Discontinued","Current")</f>
        <v>Current</v>
      </c>
      <c r="I1099" s="6">
        <f>VLOOKUP(operations[productID],products[],4,FALSE)</f>
        <v>79</v>
      </c>
      <c r="J1099" s="6">
        <f>VLOOKUP(operations[productID],products[],5,FALSE)</f>
        <v>0</v>
      </c>
      <c r="K1099" s="6">
        <f>VLOOKUP(operations[productID],products[],6,FALSE)</f>
        <v>0</v>
      </c>
      <c r="L1099" s="10">
        <f t="array" ref="L1099">INDEX('1 orders'!I1099:I2156, MATCH(1, ('1 orders'!A1099:A2156=A1099)*('1 orders'!G1099:G2156=F1099), 0))
</f>
        <v>1</v>
      </c>
      <c r="M1099" s="10">
        <f>IFERROR(__xludf.DUMMYFUNCTION("COUNTUNIQUEIFS($A$2:$A1099,$F$2:$F1099,F1099)"),28.0)</f>
        <v>28</v>
      </c>
      <c r="N1099" s="10">
        <f t="shared" si="1"/>
        <v>42</v>
      </c>
      <c r="O1099" s="26">
        <f>IF(operations[sinceLastOrder]=0,0,operations[orderQuantity] / operations[sinceLastOrder])</f>
        <v>0.02380952381</v>
      </c>
      <c r="P1099" s="9">
        <v>26.31</v>
      </c>
      <c r="Q1099" s="7" t="s">
        <v>17</v>
      </c>
      <c r="R1099" s="10">
        <f>operations[arrivedDate]-operations[shippedDate]</f>
        <v>17</v>
      </c>
    </row>
    <row r="1100" ht="15.75" customHeight="1">
      <c r="A1100" s="6">
        <v>10665.0</v>
      </c>
      <c r="B1100" s="24">
        <v>45180.0</v>
      </c>
      <c r="C1100" s="24">
        <v>45208.0</v>
      </c>
      <c r="D1100" s="24">
        <v>45186.0</v>
      </c>
      <c r="E1100" s="24">
        <v>45203.0</v>
      </c>
      <c r="F1100" s="6">
        <v>76.0</v>
      </c>
      <c r="G1100" s="9" t="str">
        <f>VLOOKUP(operations[productID],products[],2,FALSE)</f>
        <v>Lakkalikööri</v>
      </c>
      <c r="H1100" s="9" t="str">
        <f>IF(VLOOKUP(operations[productID],products[],7,FALSE)=1,"Discontinued","Current")</f>
        <v>Current</v>
      </c>
      <c r="I1100" s="6">
        <f>VLOOKUP(operations[productID],products[],4,FALSE)</f>
        <v>57</v>
      </c>
      <c r="J1100" s="6">
        <f>VLOOKUP(operations[productID],products[],5,FALSE)</f>
        <v>0</v>
      </c>
      <c r="K1100" s="6">
        <f>VLOOKUP(operations[productID],products[],6,FALSE)</f>
        <v>20</v>
      </c>
      <c r="L1100" s="10">
        <f t="array" ref="L1100">INDEX('1 orders'!I1100:I2156, MATCH(1, ('1 orders'!A1100:A2156=A1100)*('1 orders'!G1100:G2156=F1100), 0))
</f>
        <v>10</v>
      </c>
      <c r="M1100" s="10">
        <f>IFERROR(__xludf.DUMMYFUNCTION("COUNTUNIQUEIFS($A$2:$A1100,$F$2:$F1100,F1100)"),21.0)</f>
        <v>21</v>
      </c>
      <c r="N1100" s="10">
        <f t="shared" si="1"/>
        <v>29</v>
      </c>
      <c r="O1100" s="26">
        <f>IF(operations[sinceLastOrder]=0,0,operations[orderQuantity] / operations[sinceLastOrder])</f>
        <v>0.3448275862</v>
      </c>
      <c r="P1100" s="9">
        <v>26.31</v>
      </c>
      <c r="Q1100" s="7" t="s">
        <v>17</v>
      </c>
      <c r="R1100" s="10">
        <f>operations[arrivedDate]-operations[shippedDate]</f>
        <v>17</v>
      </c>
    </row>
    <row r="1101" ht="15.75" customHeight="1">
      <c r="A1101" s="6">
        <v>10666.0</v>
      </c>
      <c r="B1101" s="24">
        <v>45181.0</v>
      </c>
      <c r="C1101" s="24">
        <v>45209.0</v>
      </c>
      <c r="D1101" s="24">
        <v>45191.0</v>
      </c>
      <c r="E1101" s="24">
        <v>45204.0</v>
      </c>
      <c r="F1101" s="6">
        <v>29.0</v>
      </c>
      <c r="G1101" s="9" t="str">
        <f>VLOOKUP(operations[productID],products[],2,FALSE)</f>
        <v>Thüringer Rostbratwurst</v>
      </c>
      <c r="H1101" s="9" t="str">
        <f>IF(VLOOKUP(operations[productID],products[],7,FALSE)=1,"Discontinued","Current")</f>
        <v>Discontinued</v>
      </c>
      <c r="I1101" s="6">
        <f>VLOOKUP(operations[productID],products[],4,FALSE)</f>
        <v>0</v>
      </c>
      <c r="J1101" s="6">
        <f>VLOOKUP(operations[productID],products[],5,FALSE)</f>
        <v>0</v>
      </c>
      <c r="K1101" s="6">
        <f>VLOOKUP(operations[productID],products[],6,FALSE)</f>
        <v>0</v>
      </c>
      <c r="L1101" s="10">
        <f t="array" ref="L1101">INDEX('1 orders'!I1101:I2156, MATCH(1, ('1 orders'!A1101:A2156=A1101)*('1 orders'!G1101:G2156=F1101), 0))
</f>
        <v>36</v>
      </c>
      <c r="M1101" s="10">
        <f>IFERROR(__xludf.DUMMYFUNCTION("COUNTUNIQUEIFS($A$2:$A1101,$F$2:$F1101,F1101)"),15.0)</f>
        <v>15</v>
      </c>
      <c r="N1101" s="10">
        <f t="shared" si="1"/>
        <v>31</v>
      </c>
      <c r="O1101" s="26">
        <f>IF(operations[sinceLastOrder]=0,0,operations[orderQuantity] / operations[sinceLastOrder])</f>
        <v>1.161290323</v>
      </c>
      <c r="P1101" s="9">
        <v>232.42</v>
      </c>
      <c r="Q1101" s="7" t="s">
        <v>17</v>
      </c>
      <c r="R1101" s="10">
        <f>operations[arrivedDate]-operations[shippedDate]</f>
        <v>13</v>
      </c>
    </row>
    <row r="1102" ht="15.75" customHeight="1">
      <c r="A1102" s="6">
        <v>10666.0</v>
      </c>
      <c r="B1102" s="24">
        <v>45181.0</v>
      </c>
      <c r="C1102" s="24">
        <v>45209.0</v>
      </c>
      <c r="D1102" s="24">
        <v>45191.0</v>
      </c>
      <c r="E1102" s="24">
        <v>45204.0</v>
      </c>
      <c r="F1102" s="6">
        <v>65.0</v>
      </c>
      <c r="G1102" s="9" t="str">
        <f>VLOOKUP(operations[productID],products[],2,FALSE)</f>
        <v>Louisiana Fiery Hot Pepper Sauce</v>
      </c>
      <c r="H1102" s="9" t="str">
        <f>IF(VLOOKUP(operations[productID],products[],7,FALSE)=1,"Discontinued","Current")</f>
        <v>Current</v>
      </c>
      <c r="I1102" s="6">
        <f>VLOOKUP(operations[productID],products[],4,FALSE)</f>
        <v>76</v>
      </c>
      <c r="J1102" s="6">
        <f>VLOOKUP(operations[productID],products[],5,FALSE)</f>
        <v>0</v>
      </c>
      <c r="K1102" s="6">
        <f>VLOOKUP(operations[productID],products[],6,FALSE)</f>
        <v>0</v>
      </c>
      <c r="L1102" s="10">
        <f t="array" ref="L1102">INDEX('1 orders'!I1102:I2156, MATCH(1, ('1 orders'!A1102:A2156=A1102)*('1 orders'!G1102:G2156=F1102), 0))
</f>
        <v>10</v>
      </c>
      <c r="M1102" s="10">
        <f>IFERROR(__xludf.DUMMYFUNCTION("COUNTUNIQUEIFS($A$2:$A1102,$F$2:$F1102,F1102)"),20.0)</f>
        <v>20</v>
      </c>
      <c r="N1102" s="10">
        <f t="shared" si="1"/>
        <v>2</v>
      </c>
      <c r="O1102" s="26">
        <f>IF(operations[sinceLastOrder]=0,0,operations[orderQuantity] / operations[sinceLastOrder])</f>
        <v>5</v>
      </c>
      <c r="P1102" s="9">
        <v>232.42</v>
      </c>
      <c r="Q1102" s="7" t="s">
        <v>17</v>
      </c>
      <c r="R1102" s="10">
        <f>operations[arrivedDate]-operations[shippedDate]</f>
        <v>13</v>
      </c>
    </row>
    <row r="1103" ht="15.75" customHeight="1">
      <c r="A1103" s="6">
        <v>10667.0</v>
      </c>
      <c r="B1103" s="24">
        <v>45181.0</v>
      </c>
      <c r="C1103" s="24">
        <v>45209.0</v>
      </c>
      <c r="D1103" s="24">
        <v>45188.0</v>
      </c>
      <c r="E1103" s="24">
        <v>45198.0</v>
      </c>
      <c r="F1103" s="6">
        <v>69.0</v>
      </c>
      <c r="G1103" s="9" t="str">
        <f>VLOOKUP(operations[productID],products[],2,FALSE)</f>
        <v>Gudbrandsdalsost</v>
      </c>
      <c r="H1103" s="9" t="str">
        <f>IF(VLOOKUP(operations[productID],products[],7,FALSE)=1,"Discontinued","Current")</f>
        <v>Current</v>
      </c>
      <c r="I1103" s="6">
        <f>VLOOKUP(operations[productID],products[],4,FALSE)</f>
        <v>26</v>
      </c>
      <c r="J1103" s="6">
        <f>VLOOKUP(operations[productID],products[],5,FALSE)</f>
        <v>0</v>
      </c>
      <c r="K1103" s="6">
        <f>VLOOKUP(operations[productID],products[],6,FALSE)</f>
        <v>15</v>
      </c>
      <c r="L1103" s="10">
        <f t="array" ref="L1103">INDEX('1 orders'!I1103:I2156, MATCH(1, ('1 orders'!A1103:A2156=A1103)*('1 orders'!G1103:G2156=F1103), 0))
</f>
        <v>45</v>
      </c>
      <c r="M1103" s="10">
        <f>IFERROR(__xludf.DUMMYFUNCTION("COUNTUNIQUEIFS($A$2:$A1103,$F$2:$F1103,F1103)"),18.0)</f>
        <v>18</v>
      </c>
      <c r="N1103" s="10">
        <f t="shared" si="1"/>
        <v>22</v>
      </c>
      <c r="O1103" s="26">
        <f>IF(operations[sinceLastOrder]=0,0,operations[orderQuantity] / operations[sinceLastOrder])</f>
        <v>2.045454545</v>
      </c>
      <c r="P1103" s="9">
        <v>78.09</v>
      </c>
      <c r="Q1103" s="7" t="s">
        <v>15</v>
      </c>
      <c r="R1103" s="10">
        <f>operations[arrivedDate]-operations[shippedDate]</f>
        <v>10</v>
      </c>
    </row>
    <row r="1104" ht="15.75" customHeight="1">
      <c r="A1104" s="6">
        <v>10667.0</v>
      </c>
      <c r="B1104" s="24">
        <v>45181.0</v>
      </c>
      <c r="C1104" s="24">
        <v>45209.0</v>
      </c>
      <c r="D1104" s="24">
        <v>45188.0</v>
      </c>
      <c r="E1104" s="24">
        <v>45198.0</v>
      </c>
      <c r="F1104" s="6">
        <v>71.0</v>
      </c>
      <c r="G1104" s="9" t="str">
        <f>VLOOKUP(operations[productID],products[],2,FALSE)</f>
        <v>Flotemysost</v>
      </c>
      <c r="H1104" s="9" t="str">
        <f>IF(VLOOKUP(operations[productID],products[],7,FALSE)=1,"Discontinued","Current")</f>
        <v>Current</v>
      </c>
      <c r="I1104" s="6">
        <f>VLOOKUP(operations[productID],products[],4,FALSE)</f>
        <v>26</v>
      </c>
      <c r="J1104" s="6">
        <f>VLOOKUP(operations[productID],products[],5,FALSE)</f>
        <v>0</v>
      </c>
      <c r="K1104" s="6">
        <f>VLOOKUP(operations[productID],products[],6,FALSE)</f>
        <v>0</v>
      </c>
      <c r="L1104" s="10">
        <f t="array" ref="L1104">INDEX('1 orders'!I1104:I2156, MATCH(1, ('1 orders'!A1104:A2156=A1104)*('1 orders'!G1104:G2156=F1104), 0))
</f>
        <v>14</v>
      </c>
      <c r="M1104" s="10">
        <f>IFERROR(__xludf.DUMMYFUNCTION("COUNTUNIQUEIFS($A$2:$A1104,$F$2:$F1104,F1104)"),25.0)</f>
        <v>25</v>
      </c>
      <c r="N1104" s="10">
        <f t="shared" si="1"/>
        <v>16</v>
      </c>
      <c r="O1104" s="26">
        <f>IF(operations[sinceLastOrder]=0,0,operations[orderQuantity] / operations[sinceLastOrder])</f>
        <v>0.875</v>
      </c>
      <c r="P1104" s="9">
        <v>78.09</v>
      </c>
      <c r="Q1104" s="7" t="s">
        <v>15</v>
      </c>
      <c r="R1104" s="10">
        <f>operations[arrivedDate]-operations[shippedDate]</f>
        <v>10</v>
      </c>
    </row>
    <row r="1105" ht="15.75" customHeight="1">
      <c r="A1105" s="6">
        <v>10668.0</v>
      </c>
      <c r="B1105" s="24">
        <v>45184.0</v>
      </c>
      <c r="C1105" s="24">
        <v>45212.0</v>
      </c>
      <c r="D1105" s="24">
        <v>45192.0</v>
      </c>
      <c r="E1105" s="24">
        <v>45199.0</v>
      </c>
      <c r="F1105" s="6">
        <v>31.0</v>
      </c>
      <c r="G1105" s="9" t="str">
        <f>VLOOKUP(operations[productID],products[],2,FALSE)</f>
        <v>Gorgonzola Telino</v>
      </c>
      <c r="H1105" s="9" t="str">
        <f>IF(VLOOKUP(operations[productID],products[],7,FALSE)=1,"Discontinued","Current")</f>
        <v>Current</v>
      </c>
      <c r="I1105" s="6">
        <f>VLOOKUP(operations[productID],products[],4,FALSE)</f>
        <v>0</v>
      </c>
      <c r="J1105" s="6">
        <f>VLOOKUP(operations[productID],products[],5,FALSE)</f>
        <v>70</v>
      </c>
      <c r="K1105" s="6">
        <f>VLOOKUP(operations[productID],products[],6,FALSE)</f>
        <v>20</v>
      </c>
      <c r="L1105" s="10">
        <f t="array" ref="L1105">INDEX('1 orders'!I1105:I2156, MATCH(1, ('1 orders'!A1105:A2156=A1105)*('1 orders'!G1105:G2156=F1105), 0))
</f>
        <v>8</v>
      </c>
      <c r="M1105" s="10">
        <f>IFERROR(__xludf.DUMMYFUNCTION("COUNTUNIQUEIFS($A$2:$A1105,$F$2:$F1105,F1105)"),28.0)</f>
        <v>28</v>
      </c>
      <c r="N1105" s="10">
        <f t="shared" si="1"/>
        <v>10</v>
      </c>
      <c r="O1105" s="26">
        <f>IF(operations[sinceLastOrder]=0,0,operations[orderQuantity] / operations[sinceLastOrder])</f>
        <v>0.8</v>
      </c>
      <c r="P1105" s="9">
        <v>47.22</v>
      </c>
      <c r="Q1105" s="7" t="s">
        <v>17</v>
      </c>
      <c r="R1105" s="10">
        <f>operations[arrivedDate]-operations[shippedDate]</f>
        <v>7</v>
      </c>
    </row>
    <row r="1106" ht="15.75" customHeight="1">
      <c r="A1106" s="6">
        <v>10668.0</v>
      </c>
      <c r="B1106" s="24">
        <v>45184.0</v>
      </c>
      <c r="C1106" s="24">
        <v>45212.0</v>
      </c>
      <c r="D1106" s="24">
        <v>45192.0</v>
      </c>
      <c r="E1106" s="24">
        <v>45199.0</v>
      </c>
      <c r="F1106" s="6">
        <v>55.0</v>
      </c>
      <c r="G1106" s="9" t="str">
        <f>VLOOKUP(operations[productID],products[],2,FALSE)</f>
        <v>Pâté chinois</v>
      </c>
      <c r="H1106" s="9" t="str">
        <f>IF(VLOOKUP(operations[productID],products[],7,FALSE)=1,"Discontinued","Current")</f>
        <v>Current</v>
      </c>
      <c r="I1106" s="6">
        <f>VLOOKUP(operations[productID],products[],4,FALSE)</f>
        <v>115</v>
      </c>
      <c r="J1106" s="6">
        <f>VLOOKUP(operations[productID],products[],5,FALSE)</f>
        <v>0</v>
      </c>
      <c r="K1106" s="6">
        <f>VLOOKUP(operations[productID],products[],6,FALSE)</f>
        <v>20</v>
      </c>
      <c r="L1106" s="10">
        <f t="array" ref="L1106">INDEX('1 orders'!I1106:I2156, MATCH(1, ('1 orders'!A1106:A2156=A1106)*('1 orders'!G1106:G2156=F1106), 0))
</f>
        <v>4</v>
      </c>
      <c r="M1106" s="10">
        <f>IFERROR(__xludf.DUMMYFUNCTION("COUNTUNIQUEIFS($A$2:$A1106,$F$2:$F1106,F1106)"),18.0)</f>
        <v>18</v>
      </c>
      <c r="N1106" s="10">
        <f t="shared" si="1"/>
        <v>33</v>
      </c>
      <c r="O1106" s="26">
        <f>IF(operations[sinceLastOrder]=0,0,operations[orderQuantity] / operations[sinceLastOrder])</f>
        <v>0.1212121212</v>
      </c>
      <c r="P1106" s="9">
        <v>47.22</v>
      </c>
      <c r="Q1106" s="7" t="s">
        <v>17</v>
      </c>
      <c r="R1106" s="10">
        <f>operations[arrivedDate]-operations[shippedDate]</f>
        <v>7</v>
      </c>
    </row>
    <row r="1107" ht="15.75" customHeight="1">
      <c r="A1107" s="6">
        <v>10668.0</v>
      </c>
      <c r="B1107" s="24">
        <v>45184.0</v>
      </c>
      <c r="C1107" s="24">
        <v>45212.0</v>
      </c>
      <c r="D1107" s="24">
        <v>45192.0</v>
      </c>
      <c r="E1107" s="24">
        <v>45199.0</v>
      </c>
      <c r="F1107" s="6">
        <v>64.0</v>
      </c>
      <c r="G1107" s="9" t="str">
        <f>VLOOKUP(operations[productID],products[],2,FALSE)</f>
        <v>Lukas' leckere Sauerteigweggla</v>
      </c>
      <c r="H1107" s="9" t="str">
        <f>IF(VLOOKUP(operations[productID],products[],7,FALSE)=1,"Discontinued","Current")</f>
        <v>Current</v>
      </c>
      <c r="I1107" s="6">
        <f>VLOOKUP(operations[productID],products[],4,FALSE)</f>
        <v>22</v>
      </c>
      <c r="J1107" s="6">
        <f>VLOOKUP(operations[productID],products[],5,FALSE)</f>
        <v>80</v>
      </c>
      <c r="K1107" s="6">
        <f>VLOOKUP(operations[productID],products[],6,FALSE)</f>
        <v>30</v>
      </c>
      <c r="L1107" s="10">
        <f t="array" ref="L1107">INDEX('1 orders'!I1107:I2156, MATCH(1, ('1 orders'!A1107:A2156=A1107)*('1 orders'!G1107:G2156=F1107), 0))
</f>
        <v>15</v>
      </c>
      <c r="M1107" s="10">
        <f>IFERROR(__xludf.DUMMYFUNCTION("COUNTUNIQUEIFS($A$2:$A1107,$F$2:$F1107,F1107)"),15.0)</f>
        <v>15</v>
      </c>
      <c r="N1107" s="10">
        <f t="shared" si="1"/>
        <v>34</v>
      </c>
      <c r="O1107" s="26">
        <f>IF(operations[sinceLastOrder]=0,0,operations[orderQuantity] / operations[sinceLastOrder])</f>
        <v>0.4411764706</v>
      </c>
      <c r="P1107" s="9">
        <v>47.22</v>
      </c>
      <c r="Q1107" s="7" t="s">
        <v>17</v>
      </c>
      <c r="R1107" s="10">
        <f>operations[arrivedDate]-operations[shippedDate]</f>
        <v>7</v>
      </c>
    </row>
    <row r="1108" ht="15.75" customHeight="1">
      <c r="A1108" s="6">
        <v>10669.0</v>
      </c>
      <c r="B1108" s="24">
        <v>45184.0</v>
      </c>
      <c r="C1108" s="24">
        <v>45212.0</v>
      </c>
      <c r="D1108" s="24">
        <v>45191.0</v>
      </c>
      <c r="E1108" s="24">
        <v>45200.0</v>
      </c>
      <c r="F1108" s="6">
        <v>36.0</v>
      </c>
      <c r="G1108" s="9" t="str">
        <f>VLOOKUP(operations[productID],products[],2,FALSE)</f>
        <v>Inlagd Sill</v>
      </c>
      <c r="H1108" s="9" t="str">
        <f>IF(VLOOKUP(operations[productID],products[],7,FALSE)=1,"Discontinued","Current")</f>
        <v>Current</v>
      </c>
      <c r="I1108" s="6">
        <f>VLOOKUP(operations[productID],products[],4,FALSE)</f>
        <v>112</v>
      </c>
      <c r="J1108" s="6">
        <f>VLOOKUP(operations[productID],products[],5,FALSE)</f>
        <v>0</v>
      </c>
      <c r="K1108" s="6">
        <f>VLOOKUP(operations[productID],products[],6,FALSE)</f>
        <v>20</v>
      </c>
      <c r="L1108" s="10">
        <f t="array" ref="L1108">INDEX('1 orders'!I1108:I2156, MATCH(1, ('1 orders'!A1108:A2156=A1108)*('1 orders'!G1108:G2156=F1108), 0))
</f>
        <v>30</v>
      </c>
      <c r="M1108" s="10">
        <f>IFERROR(__xludf.DUMMYFUNCTION("COUNTUNIQUEIFS($A$2:$A1108,$F$2:$F1108,F1108)"),17.0)</f>
        <v>17</v>
      </c>
      <c r="N1108" s="10">
        <f t="shared" si="1"/>
        <v>20</v>
      </c>
      <c r="O1108" s="26">
        <f>IF(operations[sinceLastOrder]=0,0,operations[orderQuantity] / operations[sinceLastOrder])</f>
        <v>1.5</v>
      </c>
      <c r="P1108" s="9">
        <v>24.39</v>
      </c>
      <c r="Q1108" s="7" t="s">
        <v>15</v>
      </c>
      <c r="R1108" s="10">
        <f>operations[arrivedDate]-operations[shippedDate]</f>
        <v>9</v>
      </c>
    </row>
    <row r="1109" ht="15.75" customHeight="1">
      <c r="A1109" s="6">
        <v>10670.0</v>
      </c>
      <c r="B1109" s="24">
        <v>45185.0</v>
      </c>
      <c r="C1109" s="24">
        <v>45213.0</v>
      </c>
      <c r="D1109" s="24">
        <v>45187.0</v>
      </c>
      <c r="E1109" s="24">
        <v>45192.0</v>
      </c>
      <c r="F1109" s="6">
        <v>23.0</v>
      </c>
      <c r="G1109" s="9" t="str">
        <f>VLOOKUP(operations[productID],products[],2,FALSE)</f>
        <v>Tunnbröd</v>
      </c>
      <c r="H1109" s="9" t="str">
        <f>IF(VLOOKUP(operations[productID],products[],7,FALSE)=1,"Discontinued","Current")</f>
        <v>Current</v>
      </c>
      <c r="I1109" s="6">
        <f>VLOOKUP(operations[productID],products[],4,FALSE)</f>
        <v>61</v>
      </c>
      <c r="J1109" s="6">
        <f>VLOOKUP(operations[productID],products[],5,FALSE)</f>
        <v>0</v>
      </c>
      <c r="K1109" s="6">
        <f>VLOOKUP(operations[productID],products[],6,FALSE)</f>
        <v>25</v>
      </c>
      <c r="L1109" s="10">
        <f t="array" ref="L1109">INDEX('1 orders'!I1109:I2156, MATCH(1, ('1 orders'!A1109:A2156=A1109)*('1 orders'!G1109:G2156=F1109), 0))
</f>
        <v>32</v>
      </c>
      <c r="M1109" s="10">
        <f>IFERROR(__xludf.DUMMYFUNCTION("COUNTUNIQUEIFS($A$2:$A1109,$F$2:$F1109,F1109)"),11.0)</f>
        <v>11</v>
      </c>
      <c r="N1109" s="10">
        <f t="shared" si="1"/>
        <v>42</v>
      </c>
      <c r="O1109" s="26">
        <f>IF(operations[sinceLastOrder]=0,0,operations[orderQuantity] / operations[sinceLastOrder])</f>
        <v>0.7619047619</v>
      </c>
      <c r="P1109" s="9">
        <v>203.48</v>
      </c>
      <c r="Q1109" s="7" t="s">
        <v>15</v>
      </c>
      <c r="R1109" s="10">
        <f>operations[arrivedDate]-operations[shippedDate]</f>
        <v>5</v>
      </c>
    </row>
    <row r="1110" ht="15.75" customHeight="1">
      <c r="A1110" s="6">
        <v>10670.0</v>
      </c>
      <c r="B1110" s="24">
        <v>45185.0</v>
      </c>
      <c r="C1110" s="24">
        <v>45213.0</v>
      </c>
      <c r="D1110" s="24">
        <v>45187.0</v>
      </c>
      <c r="E1110" s="24">
        <v>45192.0</v>
      </c>
      <c r="F1110" s="6">
        <v>46.0</v>
      </c>
      <c r="G1110" s="9" t="str">
        <f>VLOOKUP(operations[productID],products[],2,FALSE)</f>
        <v>Spegesild</v>
      </c>
      <c r="H1110" s="9" t="str">
        <f>IF(VLOOKUP(operations[productID],products[],7,FALSE)=1,"Discontinued","Current")</f>
        <v>Current</v>
      </c>
      <c r="I1110" s="6">
        <f>VLOOKUP(operations[productID],products[],4,FALSE)</f>
        <v>95</v>
      </c>
      <c r="J1110" s="6">
        <f>VLOOKUP(operations[productID],products[],5,FALSE)</f>
        <v>0</v>
      </c>
      <c r="K1110" s="6">
        <f>VLOOKUP(operations[productID],products[],6,FALSE)</f>
        <v>0</v>
      </c>
      <c r="L1110" s="10">
        <f t="array" ref="L1110">INDEX('1 orders'!I1110:I2156, MATCH(1, ('1 orders'!A1110:A2156=A1110)*('1 orders'!G1110:G2156=F1110), 0))
</f>
        <v>60</v>
      </c>
      <c r="M1110" s="10">
        <f>IFERROR(__xludf.DUMMYFUNCTION("COUNTUNIQUEIFS($A$2:$A1110,$F$2:$F1110,F1110)"),15.0)</f>
        <v>15</v>
      </c>
      <c r="N1110" s="10">
        <f t="shared" si="1"/>
        <v>12</v>
      </c>
      <c r="O1110" s="26">
        <f>IF(operations[sinceLastOrder]=0,0,operations[orderQuantity] / operations[sinceLastOrder])</f>
        <v>5</v>
      </c>
      <c r="P1110" s="9">
        <v>203.48</v>
      </c>
      <c r="Q1110" s="7" t="s">
        <v>15</v>
      </c>
      <c r="R1110" s="10">
        <f>operations[arrivedDate]-operations[shippedDate]</f>
        <v>5</v>
      </c>
    </row>
    <row r="1111" ht="15.75" customHeight="1">
      <c r="A1111" s="6">
        <v>10670.0</v>
      </c>
      <c r="B1111" s="24">
        <v>45185.0</v>
      </c>
      <c r="C1111" s="24">
        <v>45213.0</v>
      </c>
      <c r="D1111" s="24">
        <v>45187.0</v>
      </c>
      <c r="E1111" s="24">
        <v>45192.0</v>
      </c>
      <c r="F1111" s="6">
        <v>67.0</v>
      </c>
      <c r="G1111" s="9" t="str">
        <f>VLOOKUP(operations[productID],products[],2,FALSE)</f>
        <v>Laughing Lumberjack Lager</v>
      </c>
      <c r="H1111" s="9" t="str">
        <f>IF(VLOOKUP(operations[productID],products[],7,FALSE)=1,"Discontinued","Current")</f>
        <v>Current</v>
      </c>
      <c r="I1111" s="6">
        <f>VLOOKUP(operations[productID],products[],4,FALSE)</f>
        <v>52</v>
      </c>
      <c r="J1111" s="6">
        <f>VLOOKUP(operations[productID],products[],5,FALSE)</f>
        <v>0</v>
      </c>
      <c r="K1111" s="6">
        <f>VLOOKUP(operations[productID],products[],6,FALSE)</f>
        <v>10</v>
      </c>
      <c r="L1111" s="10">
        <f t="array" ref="L1111">INDEX('1 orders'!I1111:I2156, MATCH(1, ('1 orders'!A1111:A2156=A1111)*('1 orders'!G1111:G2156=F1111), 0))
</f>
        <v>25</v>
      </c>
      <c r="M1111" s="10">
        <f>IFERROR(__xludf.DUMMYFUNCTION("COUNTUNIQUEIFS($A$2:$A1111,$F$2:$F1111,F1111)"),4.0)</f>
        <v>4</v>
      </c>
      <c r="N1111" s="10">
        <f t="shared" si="1"/>
        <v>118</v>
      </c>
      <c r="O1111" s="26">
        <f>IF(operations[sinceLastOrder]=0,0,operations[orderQuantity] / operations[sinceLastOrder])</f>
        <v>0.2118644068</v>
      </c>
      <c r="P1111" s="9">
        <v>203.48</v>
      </c>
      <c r="Q1111" s="7" t="s">
        <v>15</v>
      </c>
      <c r="R1111" s="10">
        <f>operations[arrivedDate]-operations[shippedDate]</f>
        <v>5</v>
      </c>
    </row>
    <row r="1112" ht="15.75" customHeight="1">
      <c r="A1112" s="6">
        <v>10670.0</v>
      </c>
      <c r="B1112" s="24">
        <v>45185.0</v>
      </c>
      <c r="C1112" s="24">
        <v>45213.0</v>
      </c>
      <c r="D1112" s="24">
        <v>45187.0</v>
      </c>
      <c r="E1112" s="24">
        <v>45192.0</v>
      </c>
      <c r="F1112" s="6">
        <v>73.0</v>
      </c>
      <c r="G1112" s="9" t="str">
        <f>VLOOKUP(operations[productID],products[],2,FALSE)</f>
        <v>Röd Kaviar</v>
      </c>
      <c r="H1112" s="9" t="str">
        <f>IF(VLOOKUP(operations[productID],products[],7,FALSE)=1,"Discontinued","Current")</f>
        <v>Current</v>
      </c>
      <c r="I1112" s="6">
        <f>VLOOKUP(operations[productID],products[],4,FALSE)</f>
        <v>101</v>
      </c>
      <c r="J1112" s="6">
        <f>VLOOKUP(operations[productID],products[],5,FALSE)</f>
        <v>0</v>
      </c>
      <c r="K1112" s="6">
        <f>VLOOKUP(operations[productID],products[],6,FALSE)</f>
        <v>5</v>
      </c>
      <c r="L1112" s="10">
        <f t="array" ref="L1112">INDEX('1 orders'!I1112:I2156, MATCH(1, ('1 orders'!A1112:A2156=A1112)*('1 orders'!G1112:G2156=F1112), 0))
</f>
        <v>50</v>
      </c>
      <c r="M1112" s="10">
        <f>IFERROR(__xludf.DUMMYFUNCTION("COUNTUNIQUEIFS($A$2:$A1112,$F$2:$F1112,F1112)"),9.0)</f>
        <v>9</v>
      </c>
      <c r="N1112" s="10">
        <f t="shared" si="1"/>
        <v>36</v>
      </c>
      <c r="O1112" s="26">
        <f>IF(operations[sinceLastOrder]=0,0,operations[orderQuantity] / operations[sinceLastOrder])</f>
        <v>1.388888889</v>
      </c>
      <c r="P1112" s="9">
        <v>203.48</v>
      </c>
      <c r="Q1112" s="7" t="s">
        <v>15</v>
      </c>
      <c r="R1112" s="10">
        <f>operations[arrivedDate]-operations[shippedDate]</f>
        <v>5</v>
      </c>
    </row>
    <row r="1113" ht="15.75" customHeight="1">
      <c r="A1113" s="6">
        <v>10670.0</v>
      </c>
      <c r="B1113" s="24">
        <v>45185.0</v>
      </c>
      <c r="C1113" s="24">
        <v>45213.0</v>
      </c>
      <c r="D1113" s="24">
        <v>45187.0</v>
      </c>
      <c r="E1113" s="24">
        <v>45192.0</v>
      </c>
      <c r="F1113" s="6">
        <v>75.0</v>
      </c>
      <c r="G1113" s="9" t="str">
        <f>VLOOKUP(operations[productID],products[],2,FALSE)</f>
        <v>Rhönbräu Klosterbier</v>
      </c>
      <c r="H1113" s="9" t="str">
        <f>IF(VLOOKUP(operations[productID],products[],7,FALSE)=1,"Discontinued","Current")</f>
        <v>Current</v>
      </c>
      <c r="I1113" s="6">
        <f>VLOOKUP(operations[productID],products[],4,FALSE)</f>
        <v>125</v>
      </c>
      <c r="J1113" s="6">
        <f>VLOOKUP(operations[productID],products[],5,FALSE)</f>
        <v>0</v>
      </c>
      <c r="K1113" s="6">
        <f>VLOOKUP(operations[productID],products[],6,FALSE)</f>
        <v>25</v>
      </c>
      <c r="L1113" s="10">
        <f t="array" ref="L1113">INDEX('1 orders'!I1113:I2156, MATCH(1, ('1 orders'!A1113:A2156=A1113)*('1 orders'!G1113:G2156=F1113), 0))
</f>
        <v>25</v>
      </c>
      <c r="M1113" s="10">
        <f>IFERROR(__xludf.DUMMYFUNCTION("COUNTUNIQUEIFS($A$2:$A1113,$F$2:$F1113,F1113)"),24.0)</f>
        <v>24</v>
      </c>
      <c r="N1113" s="10">
        <f t="shared" si="1"/>
        <v>32</v>
      </c>
      <c r="O1113" s="26">
        <f>IF(operations[sinceLastOrder]=0,0,operations[orderQuantity] / operations[sinceLastOrder])</f>
        <v>0.78125</v>
      </c>
      <c r="P1113" s="9">
        <v>203.48</v>
      </c>
      <c r="Q1113" s="7" t="s">
        <v>15</v>
      </c>
      <c r="R1113" s="10">
        <f>operations[arrivedDate]-operations[shippedDate]</f>
        <v>5</v>
      </c>
    </row>
    <row r="1114" ht="15.75" customHeight="1">
      <c r="A1114" s="6">
        <v>10671.0</v>
      </c>
      <c r="B1114" s="24">
        <v>45186.0</v>
      </c>
      <c r="C1114" s="24">
        <v>45214.0</v>
      </c>
      <c r="D1114" s="24">
        <v>45193.0</v>
      </c>
      <c r="E1114" s="24">
        <v>45200.0</v>
      </c>
      <c r="F1114" s="6">
        <v>16.0</v>
      </c>
      <c r="G1114" s="9" t="str">
        <f>VLOOKUP(operations[productID],products[],2,FALSE)</f>
        <v>Pavlova</v>
      </c>
      <c r="H1114" s="9" t="str">
        <f>IF(VLOOKUP(operations[productID],products[],7,FALSE)=1,"Discontinued","Current")</f>
        <v>Current</v>
      </c>
      <c r="I1114" s="6">
        <f>VLOOKUP(operations[productID],products[],4,FALSE)</f>
        <v>29</v>
      </c>
      <c r="J1114" s="6">
        <f>VLOOKUP(operations[productID],products[],5,FALSE)</f>
        <v>0</v>
      </c>
      <c r="K1114" s="6">
        <f>VLOOKUP(operations[productID],products[],6,FALSE)</f>
        <v>10</v>
      </c>
      <c r="L1114" s="10">
        <f t="array" ref="L1114">INDEX('1 orders'!I1114:I2156, MATCH(1, ('1 orders'!A1114:A2156=A1114)*('1 orders'!G1114:G2156=F1114), 0))
</f>
        <v>10</v>
      </c>
      <c r="M1114" s="10">
        <f>IFERROR(__xludf.DUMMYFUNCTION("COUNTUNIQUEIFS($A$2:$A1114,$F$2:$F1114,F1114)"),21.0)</f>
        <v>21</v>
      </c>
      <c r="N1114" s="10">
        <f t="shared" si="1"/>
        <v>15</v>
      </c>
      <c r="O1114" s="26">
        <f>IF(operations[sinceLastOrder]=0,0,operations[orderQuantity] / operations[sinceLastOrder])</f>
        <v>0.6666666667</v>
      </c>
      <c r="P1114" s="9">
        <v>30.34</v>
      </c>
      <c r="Q1114" s="7" t="s">
        <v>15</v>
      </c>
      <c r="R1114" s="10">
        <f>operations[arrivedDate]-operations[shippedDate]</f>
        <v>7</v>
      </c>
    </row>
    <row r="1115" ht="15.75" customHeight="1">
      <c r="A1115" s="6">
        <v>10671.0</v>
      </c>
      <c r="B1115" s="24">
        <v>45186.0</v>
      </c>
      <c r="C1115" s="24">
        <v>45214.0</v>
      </c>
      <c r="D1115" s="24">
        <v>45193.0</v>
      </c>
      <c r="E1115" s="24">
        <v>45200.0</v>
      </c>
      <c r="F1115" s="6">
        <v>62.0</v>
      </c>
      <c r="G1115" s="9" t="str">
        <f>VLOOKUP(operations[productID],products[],2,FALSE)</f>
        <v>Tarte au sucre</v>
      </c>
      <c r="H1115" s="9" t="str">
        <f>IF(VLOOKUP(operations[productID],products[],7,FALSE)=1,"Discontinued","Current")</f>
        <v>Current</v>
      </c>
      <c r="I1115" s="6">
        <f>VLOOKUP(operations[productID],products[],4,FALSE)</f>
        <v>17</v>
      </c>
      <c r="J1115" s="6">
        <f>VLOOKUP(operations[productID],products[],5,FALSE)</f>
        <v>0</v>
      </c>
      <c r="K1115" s="6">
        <f>VLOOKUP(operations[productID],products[],6,FALSE)</f>
        <v>0</v>
      </c>
      <c r="L1115" s="10">
        <f t="array" ref="L1115">INDEX('1 orders'!I1115:I2156, MATCH(1, ('1 orders'!A1115:A2156=A1115)*('1 orders'!G1115:G2156=F1115), 0))
</f>
        <v>10</v>
      </c>
      <c r="M1115" s="10">
        <f>IFERROR(__xludf.DUMMYFUNCTION("COUNTUNIQUEIFS($A$2:$A1115,$F$2:$F1115,F1115)"),25.0)</f>
        <v>25</v>
      </c>
      <c r="N1115" s="10">
        <f t="shared" si="1"/>
        <v>33</v>
      </c>
      <c r="O1115" s="26">
        <f>IF(operations[sinceLastOrder]=0,0,operations[orderQuantity] / operations[sinceLastOrder])</f>
        <v>0.303030303</v>
      </c>
      <c r="P1115" s="9">
        <v>30.34</v>
      </c>
      <c r="Q1115" s="7" t="s">
        <v>15</v>
      </c>
      <c r="R1115" s="10">
        <f>operations[arrivedDate]-operations[shippedDate]</f>
        <v>7</v>
      </c>
    </row>
    <row r="1116" ht="15.75" customHeight="1">
      <c r="A1116" s="6">
        <v>10671.0</v>
      </c>
      <c r="B1116" s="24">
        <v>45186.0</v>
      </c>
      <c r="C1116" s="24">
        <v>45214.0</v>
      </c>
      <c r="D1116" s="24">
        <v>45193.0</v>
      </c>
      <c r="E1116" s="24">
        <v>45200.0</v>
      </c>
      <c r="F1116" s="6">
        <v>65.0</v>
      </c>
      <c r="G1116" s="9" t="str">
        <f>VLOOKUP(operations[productID],products[],2,FALSE)</f>
        <v>Louisiana Fiery Hot Pepper Sauce</v>
      </c>
      <c r="H1116" s="9" t="str">
        <f>IF(VLOOKUP(operations[productID],products[],7,FALSE)=1,"Discontinued","Current")</f>
        <v>Current</v>
      </c>
      <c r="I1116" s="6">
        <f>VLOOKUP(operations[productID],products[],4,FALSE)</f>
        <v>76</v>
      </c>
      <c r="J1116" s="6">
        <f>VLOOKUP(operations[productID],products[],5,FALSE)</f>
        <v>0</v>
      </c>
      <c r="K1116" s="6">
        <f>VLOOKUP(operations[productID],products[],6,FALSE)</f>
        <v>0</v>
      </c>
      <c r="L1116" s="10">
        <f t="array" ref="L1116">INDEX('1 orders'!I1116:I2156, MATCH(1, ('1 orders'!A1116:A2156=A1116)*('1 orders'!G1116:G2156=F1116), 0))
</f>
        <v>12</v>
      </c>
      <c r="M1116" s="10">
        <f>IFERROR(__xludf.DUMMYFUNCTION("COUNTUNIQUEIFS($A$2:$A1116,$F$2:$F1116,F1116)"),21.0)</f>
        <v>21</v>
      </c>
      <c r="N1116" s="10">
        <f t="shared" si="1"/>
        <v>5</v>
      </c>
      <c r="O1116" s="26">
        <f>IF(operations[sinceLastOrder]=0,0,operations[orderQuantity] / operations[sinceLastOrder])</f>
        <v>2.4</v>
      </c>
      <c r="P1116" s="9">
        <v>30.34</v>
      </c>
      <c r="Q1116" s="7" t="s">
        <v>15</v>
      </c>
      <c r="R1116" s="10">
        <f>operations[arrivedDate]-operations[shippedDate]</f>
        <v>7</v>
      </c>
    </row>
    <row r="1117" ht="15.75" customHeight="1">
      <c r="A1117" s="6">
        <v>10672.0</v>
      </c>
      <c r="B1117" s="24">
        <v>45186.0</v>
      </c>
      <c r="C1117" s="24">
        <v>45200.0</v>
      </c>
      <c r="D1117" s="24">
        <v>45195.0</v>
      </c>
      <c r="E1117" s="24">
        <v>45205.0</v>
      </c>
      <c r="F1117" s="6">
        <v>38.0</v>
      </c>
      <c r="G1117" s="9" t="str">
        <f>VLOOKUP(operations[productID],products[],2,FALSE)</f>
        <v>Côte de Blaye</v>
      </c>
      <c r="H1117" s="9" t="str">
        <f>IF(VLOOKUP(operations[productID],products[],7,FALSE)=1,"Discontinued","Current")</f>
        <v>Current</v>
      </c>
      <c r="I1117" s="6">
        <f>VLOOKUP(operations[productID],products[],4,FALSE)</f>
        <v>17</v>
      </c>
      <c r="J1117" s="6">
        <f>VLOOKUP(operations[productID],products[],5,FALSE)</f>
        <v>0</v>
      </c>
      <c r="K1117" s="6">
        <f>VLOOKUP(operations[productID],products[],6,FALSE)</f>
        <v>15</v>
      </c>
      <c r="L1117" s="10">
        <f t="array" ref="L1117">INDEX('1 orders'!I1117:I2156, MATCH(1, ('1 orders'!A1117:A2156=A1117)*('1 orders'!G1117:G2156=F1117), 0))
</f>
        <v>15</v>
      </c>
      <c r="M1117" s="10">
        <f>IFERROR(__xludf.DUMMYFUNCTION("COUNTUNIQUEIFS($A$2:$A1117,$F$2:$F1117,F1117)"),13.0)</f>
        <v>13</v>
      </c>
      <c r="N1117" s="10">
        <f t="shared" si="1"/>
        <v>48</v>
      </c>
      <c r="O1117" s="26">
        <f>IF(operations[sinceLastOrder]=0,0,operations[orderQuantity] / operations[sinceLastOrder])</f>
        <v>0.3125</v>
      </c>
      <c r="P1117" s="9">
        <v>95.75</v>
      </c>
      <c r="Q1117" s="7" t="s">
        <v>17</v>
      </c>
      <c r="R1117" s="10">
        <f>operations[arrivedDate]-operations[shippedDate]</f>
        <v>10</v>
      </c>
    </row>
    <row r="1118" ht="15.75" customHeight="1">
      <c r="A1118" s="6">
        <v>10672.0</v>
      </c>
      <c r="B1118" s="24">
        <v>45186.0</v>
      </c>
      <c r="C1118" s="24">
        <v>45200.0</v>
      </c>
      <c r="D1118" s="24">
        <v>45195.0</v>
      </c>
      <c r="E1118" s="24">
        <v>45205.0</v>
      </c>
      <c r="F1118" s="6">
        <v>71.0</v>
      </c>
      <c r="G1118" s="9" t="str">
        <f>VLOOKUP(operations[productID],products[],2,FALSE)</f>
        <v>Flotemysost</v>
      </c>
      <c r="H1118" s="9" t="str">
        <f>IF(VLOOKUP(operations[productID],products[],7,FALSE)=1,"Discontinued","Current")</f>
        <v>Current</v>
      </c>
      <c r="I1118" s="6">
        <f>VLOOKUP(operations[productID],products[],4,FALSE)</f>
        <v>26</v>
      </c>
      <c r="J1118" s="6">
        <f>VLOOKUP(operations[productID],products[],5,FALSE)</f>
        <v>0</v>
      </c>
      <c r="K1118" s="6">
        <f>VLOOKUP(operations[productID],products[],6,FALSE)</f>
        <v>0</v>
      </c>
      <c r="L1118" s="10">
        <f t="array" ref="L1118">INDEX('1 orders'!I1118:I2156, MATCH(1, ('1 orders'!A1118:A2156=A1118)*('1 orders'!G1118:G2156=F1118), 0))
</f>
        <v>12</v>
      </c>
      <c r="M1118" s="10">
        <f>IFERROR(__xludf.DUMMYFUNCTION("COUNTUNIQUEIFS($A$2:$A1118,$F$2:$F1118,F1118)"),26.0)</f>
        <v>26</v>
      </c>
      <c r="N1118" s="10">
        <f t="shared" si="1"/>
        <v>5</v>
      </c>
      <c r="O1118" s="26">
        <f>IF(operations[sinceLastOrder]=0,0,operations[orderQuantity] / operations[sinceLastOrder])</f>
        <v>2.4</v>
      </c>
      <c r="P1118" s="9">
        <v>95.75</v>
      </c>
      <c r="Q1118" s="7" t="s">
        <v>17</v>
      </c>
      <c r="R1118" s="10">
        <f>operations[arrivedDate]-operations[shippedDate]</f>
        <v>10</v>
      </c>
    </row>
    <row r="1119" ht="15.75" customHeight="1">
      <c r="A1119" s="6">
        <v>10673.0</v>
      </c>
      <c r="B1119" s="24">
        <v>45187.0</v>
      </c>
      <c r="C1119" s="24">
        <v>45215.0</v>
      </c>
      <c r="D1119" s="24">
        <v>45188.0</v>
      </c>
      <c r="E1119" s="24">
        <v>45199.0</v>
      </c>
      <c r="F1119" s="6">
        <v>16.0</v>
      </c>
      <c r="G1119" s="9" t="str">
        <f>VLOOKUP(operations[productID],products[],2,FALSE)</f>
        <v>Pavlova</v>
      </c>
      <c r="H1119" s="9" t="str">
        <f>IF(VLOOKUP(operations[productID],products[],7,FALSE)=1,"Discontinued","Current")</f>
        <v>Current</v>
      </c>
      <c r="I1119" s="6">
        <f>VLOOKUP(operations[productID],products[],4,FALSE)</f>
        <v>29</v>
      </c>
      <c r="J1119" s="6">
        <f>VLOOKUP(operations[productID],products[],5,FALSE)</f>
        <v>0</v>
      </c>
      <c r="K1119" s="6">
        <f>VLOOKUP(operations[productID],products[],6,FALSE)</f>
        <v>10</v>
      </c>
      <c r="L1119" s="10">
        <f t="array" ref="L1119">INDEX('1 orders'!I1119:I2156, MATCH(1, ('1 orders'!A1119:A2156=A1119)*('1 orders'!G1119:G2156=F1119), 0))
</f>
        <v>3</v>
      </c>
      <c r="M1119" s="10">
        <f>IFERROR(__xludf.DUMMYFUNCTION("COUNTUNIQUEIFS($A$2:$A1119,$F$2:$F1119,F1119)"),22.0)</f>
        <v>22</v>
      </c>
      <c r="N1119" s="10">
        <f t="shared" si="1"/>
        <v>1</v>
      </c>
      <c r="O1119" s="26">
        <f>IF(operations[sinceLastOrder]=0,0,operations[orderQuantity] / operations[sinceLastOrder])</f>
        <v>3</v>
      </c>
      <c r="P1119" s="9">
        <v>22.76</v>
      </c>
      <c r="Q1119" s="7" t="s">
        <v>15</v>
      </c>
      <c r="R1119" s="10">
        <f>operations[arrivedDate]-operations[shippedDate]</f>
        <v>11</v>
      </c>
    </row>
    <row r="1120" ht="15.75" customHeight="1">
      <c r="A1120" s="6">
        <v>10673.0</v>
      </c>
      <c r="B1120" s="24">
        <v>45187.0</v>
      </c>
      <c r="C1120" s="24">
        <v>45215.0</v>
      </c>
      <c r="D1120" s="24">
        <v>45188.0</v>
      </c>
      <c r="E1120" s="24">
        <v>45199.0</v>
      </c>
      <c r="F1120" s="6">
        <v>42.0</v>
      </c>
      <c r="G1120" s="9" t="str">
        <f>VLOOKUP(operations[productID],products[],2,FALSE)</f>
        <v>Singaporean Hokkien Fried Mee</v>
      </c>
      <c r="H1120" s="9" t="str">
        <f>IF(VLOOKUP(operations[productID],products[],7,FALSE)=1,"Discontinued","Current")</f>
        <v>Discontinued</v>
      </c>
      <c r="I1120" s="6">
        <f>VLOOKUP(operations[productID],products[],4,FALSE)</f>
        <v>26</v>
      </c>
      <c r="J1120" s="6">
        <f>VLOOKUP(operations[productID],products[],5,FALSE)</f>
        <v>0</v>
      </c>
      <c r="K1120" s="6">
        <f>VLOOKUP(operations[productID],products[],6,FALSE)</f>
        <v>0</v>
      </c>
      <c r="L1120" s="10">
        <f t="array" ref="L1120">INDEX('1 orders'!I1120:I2156, MATCH(1, ('1 orders'!A1120:A2156=A1120)*('1 orders'!G1120:G2156=F1120), 0))
</f>
        <v>6</v>
      </c>
      <c r="M1120" s="10">
        <f>IFERROR(__xludf.DUMMYFUNCTION("COUNTUNIQUEIFS($A$2:$A1120,$F$2:$F1120,F1120)"),16.0)</f>
        <v>16</v>
      </c>
      <c r="N1120" s="10">
        <f t="shared" si="1"/>
        <v>8</v>
      </c>
      <c r="O1120" s="26">
        <f>IF(operations[sinceLastOrder]=0,0,operations[orderQuantity] / operations[sinceLastOrder])</f>
        <v>0.75</v>
      </c>
      <c r="P1120" s="9">
        <v>22.76</v>
      </c>
      <c r="Q1120" s="7" t="s">
        <v>15</v>
      </c>
      <c r="R1120" s="10">
        <f>operations[arrivedDate]-operations[shippedDate]</f>
        <v>11</v>
      </c>
    </row>
    <row r="1121" ht="15.75" customHeight="1">
      <c r="A1121" s="6">
        <v>10673.0</v>
      </c>
      <c r="B1121" s="24">
        <v>45187.0</v>
      </c>
      <c r="C1121" s="24">
        <v>45215.0</v>
      </c>
      <c r="D1121" s="24">
        <v>45188.0</v>
      </c>
      <c r="E1121" s="24">
        <v>45199.0</v>
      </c>
      <c r="F1121" s="6">
        <v>43.0</v>
      </c>
      <c r="G1121" s="9" t="str">
        <f>VLOOKUP(operations[productID],products[],2,FALSE)</f>
        <v>Ipoh Coffee</v>
      </c>
      <c r="H1121" s="9" t="str">
        <f>IF(VLOOKUP(operations[productID],products[],7,FALSE)=1,"Discontinued","Current")</f>
        <v>Current</v>
      </c>
      <c r="I1121" s="6">
        <f>VLOOKUP(operations[productID],products[],4,FALSE)</f>
        <v>17</v>
      </c>
      <c r="J1121" s="6">
        <f>VLOOKUP(operations[productID],products[],5,FALSE)</f>
        <v>10</v>
      </c>
      <c r="K1121" s="6">
        <f>VLOOKUP(operations[productID],products[],6,FALSE)</f>
        <v>25</v>
      </c>
      <c r="L1121" s="10">
        <f t="array" ref="L1121">INDEX('1 orders'!I1121:I2156, MATCH(1, ('1 orders'!A1121:A2156=A1121)*('1 orders'!G1121:G2156=F1121), 0))
</f>
        <v>6</v>
      </c>
      <c r="M1121" s="10">
        <f>IFERROR(__xludf.DUMMYFUNCTION("COUNTUNIQUEIFS($A$2:$A1121,$F$2:$F1121,F1121)"),14.0)</f>
        <v>14</v>
      </c>
      <c r="N1121" s="10">
        <f t="shared" si="1"/>
        <v>24</v>
      </c>
      <c r="O1121" s="26">
        <f>IF(operations[sinceLastOrder]=0,0,operations[orderQuantity] / operations[sinceLastOrder])</f>
        <v>0.25</v>
      </c>
      <c r="P1121" s="9">
        <v>22.76</v>
      </c>
      <c r="Q1121" s="7" t="s">
        <v>15</v>
      </c>
      <c r="R1121" s="10">
        <f>operations[arrivedDate]-operations[shippedDate]</f>
        <v>11</v>
      </c>
    </row>
    <row r="1122" ht="15.75" customHeight="1">
      <c r="A1122" s="6">
        <v>10674.0</v>
      </c>
      <c r="B1122" s="24">
        <v>45187.0</v>
      </c>
      <c r="C1122" s="24">
        <v>45215.0</v>
      </c>
      <c r="D1122" s="24">
        <v>45199.0</v>
      </c>
      <c r="E1122" s="24">
        <v>45210.0</v>
      </c>
      <c r="F1122" s="6">
        <v>23.0</v>
      </c>
      <c r="G1122" s="9" t="str">
        <f>VLOOKUP(operations[productID],products[],2,FALSE)</f>
        <v>Tunnbröd</v>
      </c>
      <c r="H1122" s="9" t="str">
        <f>IF(VLOOKUP(operations[productID],products[],7,FALSE)=1,"Discontinued","Current")</f>
        <v>Current</v>
      </c>
      <c r="I1122" s="6">
        <f>VLOOKUP(operations[productID],products[],4,FALSE)</f>
        <v>61</v>
      </c>
      <c r="J1122" s="6">
        <f>VLOOKUP(operations[productID],products[],5,FALSE)</f>
        <v>0</v>
      </c>
      <c r="K1122" s="6">
        <f>VLOOKUP(operations[productID],products[],6,FALSE)</f>
        <v>25</v>
      </c>
      <c r="L1122" s="10">
        <f t="array" ref="L1122">INDEX('1 orders'!I1122:I2156, MATCH(1, ('1 orders'!A1122:A2156=A1122)*('1 orders'!G1122:G2156=F1122), 0))
</f>
        <v>5</v>
      </c>
      <c r="M1122" s="10">
        <f>IFERROR(__xludf.DUMMYFUNCTION("COUNTUNIQUEIFS($A$2:$A1122,$F$2:$F1122,F1122)"),12.0)</f>
        <v>12</v>
      </c>
      <c r="N1122" s="10">
        <f t="shared" si="1"/>
        <v>2</v>
      </c>
      <c r="O1122" s="26">
        <f>IF(operations[sinceLastOrder]=0,0,operations[orderQuantity] / operations[sinceLastOrder])</f>
        <v>2.5</v>
      </c>
      <c r="P1122" s="9">
        <v>0.9</v>
      </c>
      <c r="Q1122" s="7" t="s">
        <v>17</v>
      </c>
      <c r="R1122" s="10">
        <f>operations[arrivedDate]-operations[shippedDate]</f>
        <v>11</v>
      </c>
    </row>
    <row r="1123" ht="15.75" customHeight="1">
      <c r="A1123" s="6">
        <v>10675.0</v>
      </c>
      <c r="B1123" s="24">
        <v>45188.0</v>
      </c>
      <c r="C1123" s="24">
        <v>45216.0</v>
      </c>
      <c r="D1123" s="24">
        <v>45192.0</v>
      </c>
      <c r="E1123" s="24">
        <v>45199.0</v>
      </c>
      <c r="F1123" s="6">
        <v>14.0</v>
      </c>
      <c r="G1123" s="9" t="str">
        <f>VLOOKUP(operations[productID],products[],2,FALSE)</f>
        <v>Tofu</v>
      </c>
      <c r="H1123" s="9" t="str">
        <f>IF(VLOOKUP(operations[productID],products[],7,FALSE)=1,"Discontinued","Current")</f>
        <v>Current</v>
      </c>
      <c r="I1123" s="6">
        <f>VLOOKUP(operations[productID],products[],4,FALSE)</f>
        <v>35</v>
      </c>
      <c r="J1123" s="6">
        <f>VLOOKUP(operations[productID],products[],5,FALSE)</f>
        <v>0</v>
      </c>
      <c r="K1123" s="6">
        <f>VLOOKUP(operations[productID],products[],6,FALSE)</f>
        <v>0</v>
      </c>
      <c r="L1123" s="10">
        <f t="array" ref="L1123">INDEX('1 orders'!I1123:I2156, MATCH(1, ('1 orders'!A1123:A2156=A1123)*('1 orders'!G1123:G2156=F1123), 0))
</f>
        <v>30</v>
      </c>
      <c r="M1123" s="10">
        <f>IFERROR(__xludf.DUMMYFUNCTION("COUNTUNIQUEIFS($A$2:$A1123,$F$2:$F1123,F1123)"),17.0)</f>
        <v>17</v>
      </c>
      <c r="N1123" s="10">
        <f t="shared" si="1"/>
        <v>15</v>
      </c>
      <c r="O1123" s="26">
        <f>IF(operations[sinceLastOrder]=0,0,operations[orderQuantity] / operations[sinceLastOrder])</f>
        <v>2</v>
      </c>
      <c r="P1123" s="9">
        <v>31.85</v>
      </c>
      <c r="Q1123" s="7" t="s">
        <v>17</v>
      </c>
      <c r="R1123" s="10">
        <f>operations[arrivedDate]-operations[shippedDate]</f>
        <v>7</v>
      </c>
    </row>
    <row r="1124" ht="15.75" customHeight="1">
      <c r="A1124" s="6">
        <v>10675.0</v>
      </c>
      <c r="B1124" s="24">
        <v>45188.0</v>
      </c>
      <c r="C1124" s="24">
        <v>45216.0</v>
      </c>
      <c r="D1124" s="24">
        <v>45192.0</v>
      </c>
      <c r="E1124" s="24">
        <v>45199.0</v>
      </c>
      <c r="F1124" s="6">
        <v>53.0</v>
      </c>
      <c r="G1124" s="9" t="str">
        <f>VLOOKUP(operations[productID],products[],2,FALSE)</f>
        <v>Perth Pasties</v>
      </c>
      <c r="H1124" s="9" t="str">
        <f>IF(VLOOKUP(operations[productID],products[],7,FALSE)=1,"Discontinued","Current")</f>
        <v>Discontinued</v>
      </c>
      <c r="I1124" s="6">
        <f>VLOOKUP(operations[productID],products[],4,FALSE)</f>
        <v>0</v>
      </c>
      <c r="J1124" s="6">
        <f>VLOOKUP(operations[productID],products[],5,FALSE)</f>
        <v>0</v>
      </c>
      <c r="K1124" s="6">
        <f>VLOOKUP(operations[productID],products[],6,FALSE)</f>
        <v>0</v>
      </c>
      <c r="L1124" s="10">
        <f t="array" ref="L1124">INDEX('1 orders'!I1124:I2156, MATCH(1, ('1 orders'!A1124:A2156=A1124)*('1 orders'!G1124:G2156=F1124), 0))
</f>
        <v>10</v>
      </c>
      <c r="M1124" s="10">
        <f>IFERROR(__xludf.DUMMYFUNCTION("COUNTUNIQUEIFS($A$2:$A1124,$F$2:$F1124,F1124)"),20.0)</f>
        <v>20</v>
      </c>
      <c r="N1124" s="10">
        <f t="shared" si="1"/>
        <v>21</v>
      </c>
      <c r="O1124" s="26">
        <f>IF(operations[sinceLastOrder]=0,0,operations[orderQuantity] / operations[sinceLastOrder])</f>
        <v>0.4761904762</v>
      </c>
      <c r="P1124" s="9">
        <v>31.85</v>
      </c>
      <c r="Q1124" s="7" t="s">
        <v>17</v>
      </c>
      <c r="R1124" s="10">
        <f>operations[arrivedDate]-operations[shippedDate]</f>
        <v>7</v>
      </c>
    </row>
    <row r="1125" ht="15.75" customHeight="1">
      <c r="A1125" s="6">
        <v>10675.0</v>
      </c>
      <c r="B1125" s="24">
        <v>45188.0</v>
      </c>
      <c r="C1125" s="24">
        <v>45216.0</v>
      </c>
      <c r="D1125" s="24">
        <v>45192.0</v>
      </c>
      <c r="E1125" s="24">
        <v>45199.0</v>
      </c>
      <c r="F1125" s="6">
        <v>58.0</v>
      </c>
      <c r="G1125" s="9" t="str">
        <f>VLOOKUP(operations[productID],products[],2,FALSE)</f>
        <v>Escargots de Bourgogne</v>
      </c>
      <c r="H1125" s="9" t="str">
        <f>IF(VLOOKUP(operations[productID],products[],7,FALSE)=1,"Discontinued","Current")</f>
        <v>Current</v>
      </c>
      <c r="I1125" s="6">
        <f>VLOOKUP(operations[productID],products[],4,FALSE)</f>
        <v>62</v>
      </c>
      <c r="J1125" s="6">
        <f>VLOOKUP(operations[productID],products[],5,FALSE)</f>
        <v>0</v>
      </c>
      <c r="K1125" s="6">
        <f>VLOOKUP(operations[productID],products[],6,FALSE)</f>
        <v>20</v>
      </c>
      <c r="L1125" s="10">
        <f t="array" ref="L1125">INDEX('1 orders'!I1125:I2156, MATCH(1, ('1 orders'!A1125:A2156=A1125)*('1 orders'!G1125:G2156=F1125), 0))
</f>
        <v>30</v>
      </c>
      <c r="M1125" s="10">
        <f>IFERROR(__xludf.DUMMYFUNCTION("COUNTUNIQUEIFS($A$2:$A1125,$F$2:$F1125,F1125)"),9.0)</f>
        <v>9</v>
      </c>
      <c r="N1125" s="10">
        <f t="shared" si="1"/>
        <v>10</v>
      </c>
      <c r="O1125" s="26">
        <f>IF(operations[sinceLastOrder]=0,0,operations[orderQuantity] / operations[sinceLastOrder])</f>
        <v>3</v>
      </c>
      <c r="P1125" s="9">
        <v>31.85</v>
      </c>
      <c r="Q1125" s="7" t="s">
        <v>17</v>
      </c>
      <c r="R1125" s="10">
        <f>operations[arrivedDate]-operations[shippedDate]</f>
        <v>7</v>
      </c>
    </row>
    <row r="1126" ht="15.75" customHeight="1">
      <c r="A1126" s="6">
        <v>10676.0</v>
      </c>
      <c r="B1126" s="24">
        <v>45191.0</v>
      </c>
      <c r="C1126" s="24">
        <v>45219.0</v>
      </c>
      <c r="D1126" s="24">
        <v>45198.0</v>
      </c>
      <c r="E1126" s="24">
        <v>45215.0</v>
      </c>
      <c r="F1126" s="6">
        <v>10.0</v>
      </c>
      <c r="G1126" s="9" t="str">
        <f>VLOOKUP(operations[productID],products[],2,FALSE)</f>
        <v>Ikura</v>
      </c>
      <c r="H1126" s="9" t="str">
        <f>IF(VLOOKUP(operations[productID],products[],7,FALSE)=1,"Discontinued","Current")</f>
        <v>Current</v>
      </c>
      <c r="I1126" s="6">
        <f>VLOOKUP(operations[productID],products[],4,FALSE)</f>
        <v>31</v>
      </c>
      <c r="J1126" s="6">
        <f>VLOOKUP(operations[productID],products[],5,FALSE)</f>
        <v>0</v>
      </c>
      <c r="K1126" s="6">
        <f>VLOOKUP(operations[productID],products[],6,FALSE)</f>
        <v>0</v>
      </c>
      <c r="L1126" s="10">
        <f t="array" ref="L1126">INDEX('1 orders'!I1126:I2156, MATCH(1, ('1 orders'!A1126:A2156=A1126)*('1 orders'!G1126:G2156=F1126), 0))
</f>
        <v>2</v>
      </c>
      <c r="M1126" s="10">
        <f>IFERROR(__xludf.DUMMYFUNCTION("COUNTUNIQUEIFS($A$2:$A1126,$F$2:$F1126,F1126)"),15.0)</f>
        <v>15</v>
      </c>
      <c r="N1126" s="10">
        <f t="shared" si="1"/>
        <v>12</v>
      </c>
      <c r="O1126" s="26">
        <f>IF(operations[sinceLastOrder]=0,0,operations[orderQuantity] / operations[sinceLastOrder])</f>
        <v>0.1666666667</v>
      </c>
      <c r="P1126" s="9">
        <v>2.01</v>
      </c>
      <c r="Q1126" s="7" t="s">
        <v>17</v>
      </c>
      <c r="R1126" s="10">
        <f>operations[arrivedDate]-operations[shippedDate]</f>
        <v>17</v>
      </c>
    </row>
    <row r="1127" ht="15.75" customHeight="1">
      <c r="A1127" s="6">
        <v>10676.0</v>
      </c>
      <c r="B1127" s="24">
        <v>45191.0</v>
      </c>
      <c r="C1127" s="24">
        <v>45219.0</v>
      </c>
      <c r="D1127" s="24">
        <v>45198.0</v>
      </c>
      <c r="E1127" s="24">
        <v>45215.0</v>
      </c>
      <c r="F1127" s="6">
        <v>19.0</v>
      </c>
      <c r="G1127" s="9" t="str">
        <f>VLOOKUP(operations[productID],products[],2,FALSE)</f>
        <v>Teatime Chocolate Biscuits</v>
      </c>
      <c r="H1127" s="9" t="str">
        <f>IF(VLOOKUP(operations[productID],products[],7,FALSE)=1,"Discontinued","Current")</f>
        <v>Current</v>
      </c>
      <c r="I1127" s="6">
        <f>VLOOKUP(operations[productID],products[],4,FALSE)</f>
        <v>25</v>
      </c>
      <c r="J1127" s="6">
        <f>VLOOKUP(operations[productID],products[],5,FALSE)</f>
        <v>0</v>
      </c>
      <c r="K1127" s="6">
        <f>VLOOKUP(operations[productID],products[],6,FALSE)</f>
        <v>5</v>
      </c>
      <c r="L1127" s="10">
        <f t="array" ref="L1127">INDEX('1 orders'!I1127:I2156, MATCH(1, ('1 orders'!A1127:A2156=A1127)*('1 orders'!G1127:G2156=F1127), 0))
</f>
        <v>7</v>
      </c>
      <c r="M1127" s="10">
        <f>IFERROR(__xludf.DUMMYFUNCTION("COUNTUNIQUEIFS($A$2:$A1127,$F$2:$F1127,F1127)"),20.0)</f>
        <v>20</v>
      </c>
      <c r="N1127" s="10">
        <f t="shared" si="1"/>
        <v>21</v>
      </c>
      <c r="O1127" s="26">
        <f>IF(operations[sinceLastOrder]=0,0,operations[orderQuantity] / operations[sinceLastOrder])</f>
        <v>0.3333333333</v>
      </c>
      <c r="P1127" s="9">
        <v>2.01</v>
      </c>
      <c r="Q1127" s="7" t="s">
        <v>17</v>
      </c>
      <c r="R1127" s="10">
        <f>operations[arrivedDate]-operations[shippedDate]</f>
        <v>17</v>
      </c>
    </row>
    <row r="1128" ht="15.75" customHeight="1">
      <c r="A1128" s="6">
        <v>10676.0</v>
      </c>
      <c r="B1128" s="24">
        <v>45191.0</v>
      </c>
      <c r="C1128" s="24">
        <v>45219.0</v>
      </c>
      <c r="D1128" s="24">
        <v>45198.0</v>
      </c>
      <c r="E1128" s="24">
        <v>45215.0</v>
      </c>
      <c r="F1128" s="6">
        <v>44.0</v>
      </c>
      <c r="G1128" s="9" t="str">
        <f>VLOOKUP(operations[productID],products[],2,FALSE)</f>
        <v>Gula Malacca</v>
      </c>
      <c r="H1128" s="9" t="str">
        <f>IF(VLOOKUP(operations[productID],products[],7,FALSE)=1,"Discontinued","Current")</f>
        <v>Current</v>
      </c>
      <c r="I1128" s="6">
        <f>VLOOKUP(operations[productID],products[],4,FALSE)</f>
        <v>27</v>
      </c>
      <c r="J1128" s="6">
        <f>VLOOKUP(operations[productID],products[],5,FALSE)</f>
        <v>0</v>
      </c>
      <c r="K1128" s="6">
        <f>VLOOKUP(operations[productID],products[],6,FALSE)</f>
        <v>15</v>
      </c>
      <c r="L1128" s="10">
        <f t="array" ref="L1128">INDEX('1 orders'!I1128:I2156, MATCH(1, ('1 orders'!A1128:A2156=A1128)*('1 orders'!G1128:G2156=F1128), 0))
</f>
        <v>21</v>
      </c>
      <c r="M1128" s="10">
        <f>IFERROR(__xludf.DUMMYFUNCTION("COUNTUNIQUEIFS($A$2:$A1128,$F$2:$F1128,F1128)"),15.0)</f>
        <v>15</v>
      </c>
      <c r="N1128" s="10">
        <f t="shared" si="1"/>
        <v>18</v>
      </c>
      <c r="O1128" s="26">
        <f>IF(operations[sinceLastOrder]=0,0,operations[orderQuantity] / operations[sinceLastOrder])</f>
        <v>1.166666667</v>
      </c>
      <c r="P1128" s="9">
        <v>2.01</v>
      </c>
      <c r="Q1128" s="7" t="s">
        <v>17</v>
      </c>
      <c r="R1128" s="10">
        <f>operations[arrivedDate]-operations[shippedDate]</f>
        <v>17</v>
      </c>
    </row>
    <row r="1129" ht="15.75" customHeight="1">
      <c r="A1129" s="6">
        <v>10677.0</v>
      </c>
      <c r="B1129" s="24">
        <v>45191.0</v>
      </c>
      <c r="C1129" s="24">
        <v>45219.0</v>
      </c>
      <c r="D1129" s="24">
        <v>45195.0</v>
      </c>
      <c r="E1129" s="24">
        <v>45210.0</v>
      </c>
      <c r="F1129" s="6">
        <v>26.0</v>
      </c>
      <c r="G1129" s="9" t="str">
        <f>VLOOKUP(operations[productID],products[],2,FALSE)</f>
        <v>NuNuCa Nuß-Nougat-Creme</v>
      </c>
      <c r="H1129" s="9" t="str">
        <f>IF(VLOOKUP(operations[productID],products[],7,FALSE)=1,"Discontinued","Current")</f>
        <v>Current</v>
      </c>
      <c r="I1129" s="6">
        <f>VLOOKUP(operations[productID],products[],4,FALSE)</f>
        <v>15</v>
      </c>
      <c r="J1129" s="6">
        <f>VLOOKUP(operations[productID],products[],5,FALSE)</f>
        <v>0</v>
      </c>
      <c r="K1129" s="6">
        <f>VLOOKUP(operations[productID],products[],6,FALSE)</f>
        <v>0</v>
      </c>
      <c r="L1129" s="10">
        <f t="array" ref="L1129">INDEX('1 orders'!I1129:I2156, MATCH(1, ('1 orders'!A1129:A2156=A1129)*('1 orders'!G1129:G2156=F1129), 0))
</f>
        <v>30</v>
      </c>
      <c r="M1129" s="10">
        <f>IFERROR(__xludf.DUMMYFUNCTION("COUNTUNIQUEIFS($A$2:$A1129,$F$2:$F1129,F1129)"),17.0)</f>
        <v>17</v>
      </c>
      <c r="N1129" s="10">
        <f t="shared" si="1"/>
        <v>38</v>
      </c>
      <c r="O1129" s="26">
        <f>IF(operations[sinceLastOrder]=0,0,operations[orderQuantity] / operations[sinceLastOrder])</f>
        <v>0.7894736842</v>
      </c>
      <c r="P1129" s="9">
        <v>4.03</v>
      </c>
      <c r="Q1129" s="7" t="s">
        <v>13</v>
      </c>
      <c r="R1129" s="10">
        <f>operations[arrivedDate]-operations[shippedDate]</f>
        <v>15</v>
      </c>
    </row>
    <row r="1130" ht="15.75" customHeight="1">
      <c r="A1130" s="6">
        <v>10677.0</v>
      </c>
      <c r="B1130" s="24">
        <v>45191.0</v>
      </c>
      <c r="C1130" s="24">
        <v>45219.0</v>
      </c>
      <c r="D1130" s="24">
        <v>45195.0</v>
      </c>
      <c r="E1130" s="24">
        <v>45210.0</v>
      </c>
      <c r="F1130" s="6">
        <v>33.0</v>
      </c>
      <c r="G1130" s="9" t="str">
        <f>VLOOKUP(operations[productID],products[],2,FALSE)</f>
        <v>Geitost</v>
      </c>
      <c r="H1130" s="9" t="str">
        <f>IF(VLOOKUP(operations[productID],products[],7,FALSE)=1,"Discontinued","Current")</f>
        <v>Current</v>
      </c>
      <c r="I1130" s="6">
        <f>VLOOKUP(operations[productID],products[],4,FALSE)</f>
        <v>112</v>
      </c>
      <c r="J1130" s="6">
        <f>VLOOKUP(operations[productID],products[],5,FALSE)</f>
        <v>0</v>
      </c>
      <c r="K1130" s="6">
        <f>VLOOKUP(operations[productID],products[],6,FALSE)</f>
        <v>20</v>
      </c>
      <c r="L1130" s="10">
        <f t="array" ref="L1130">INDEX('1 orders'!I1130:I2156, MATCH(1, ('1 orders'!A1130:A2156=A1130)*('1 orders'!G1130:G2156=F1130), 0))
</f>
        <v>8</v>
      </c>
      <c r="M1130" s="10">
        <f>IFERROR(__xludf.DUMMYFUNCTION("COUNTUNIQUEIFS($A$2:$A1130,$F$2:$F1130,F1130)"),20.0)</f>
        <v>20</v>
      </c>
      <c r="N1130" s="10">
        <f t="shared" si="1"/>
        <v>39</v>
      </c>
      <c r="O1130" s="26">
        <f>IF(operations[sinceLastOrder]=0,0,operations[orderQuantity] / operations[sinceLastOrder])</f>
        <v>0.2051282051</v>
      </c>
      <c r="P1130" s="9">
        <v>4.03</v>
      </c>
      <c r="Q1130" s="7" t="s">
        <v>13</v>
      </c>
      <c r="R1130" s="10">
        <f>operations[arrivedDate]-operations[shippedDate]</f>
        <v>15</v>
      </c>
    </row>
    <row r="1131" ht="15.75" customHeight="1">
      <c r="A1131" s="6">
        <v>10678.0</v>
      </c>
      <c r="B1131" s="24">
        <v>45192.0</v>
      </c>
      <c r="C1131" s="24">
        <v>45220.0</v>
      </c>
      <c r="D1131" s="24">
        <v>45215.0</v>
      </c>
      <c r="E1131" s="24">
        <v>45232.0</v>
      </c>
      <c r="F1131" s="6">
        <v>12.0</v>
      </c>
      <c r="G1131" s="9" t="str">
        <f>VLOOKUP(operations[productID],products[],2,FALSE)</f>
        <v>Queso Manchego La Pastora</v>
      </c>
      <c r="H1131" s="9" t="str">
        <f>IF(VLOOKUP(operations[productID],products[],7,FALSE)=1,"Discontinued","Current")</f>
        <v>Current</v>
      </c>
      <c r="I1131" s="6">
        <f>VLOOKUP(operations[productID],products[],4,FALSE)</f>
        <v>86</v>
      </c>
      <c r="J1131" s="6">
        <f>VLOOKUP(operations[productID],products[],5,FALSE)</f>
        <v>0</v>
      </c>
      <c r="K1131" s="6">
        <f>VLOOKUP(operations[productID],products[],6,FALSE)</f>
        <v>0</v>
      </c>
      <c r="L1131" s="10">
        <f t="array" ref="L1131">INDEX('1 orders'!I1131:I2156, MATCH(1, ('1 orders'!A1131:A2156=A1131)*('1 orders'!G1131:G2156=F1131), 0))
</f>
        <v>100</v>
      </c>
      <c r="M1131" s="10">
        <f>IFERROR(__xludf.DUMMYFUNCTION("COUNTUNIQUEIFS($A$2:$A1131,$F$2:$F1131,F1131)"),6.0)</f>
        <v>6</v>
      </c>
      <c r="N1131" s="10">
        <f t="shared" si="1"/>
        <v>39</v>
      </c>
      <c r="O1131" s="26">
        <f>IF(operations[sinceLastOrder]=0,0,operations[orderQuantity] / operations[sinceLastOrder])</f>
        <v>2.564102564</v>
      </c>
      <c r="P1131" s="9">
        <v>388.98</v>
      </c>
      <c r="Q1131" s="7" t="s">
        <v>13</v>
      </c>
      <c r="R1131" s="10">
        <f>operations[arrivedDate]-operations[shippedDate]</f>
        <v>17</v>
      </c>
    </row>
    <row r="1132" ht="15.75" customHeight="1">
      <c r="A1132" s="6">
        <v>10678.0</v>
      </c>
      <c r="B1132" s="24">
        <v>45192.0</v>
      </c>
      <c r="C1132" s="24">
        <v>45220.0</v>
      </c>
      <c r="D1132" s="24">
        <v>45215.0</v>
      </c>
      <c r="E1132" s="24">
        <v>45232.0</v>
      </c>
      <c r="F1132" s="6">
        <v>33.0</v>
      </c>
      <c r="G1132" s="9" t="str">
        <f>VLOOKUP(operations[productID],products[],2,FALSE)</f>
        <v>Geitost</v>
      </c>
      <c r="H1132" s="9" t="str">
        <f>IF(VLOOKUP(operations[productID],products[],7,FALSE)=1,"Discontinued","Current")</f>
        <v>Current</v>
      </c>
      <c r="I1132" s="6">
        <f>VLOOKUP(operations[productID],products[],4,FALSE)</f>
        <v>112</v>
      </c>
      <c r="J1132" s="6">
        <f>VLOOKUP(operations[productID],products[],5,FALSE)</f>
        <v>0</v>
      </c>
      <c r="K1132" s="6">
        <f>VLOOKUP(operations[productID],products[],6,FALSE)</f>
        <v>20</v>
      </c>
      <c r="L1132" s="10">
        <f t="array" ref="L1132">INDEX('1 orders'!I1132:I2156, MATCH(1, ('1 orders'!A1132:A2156=A1132)*('1 orders'!G1132:G2156=F1132), 0))
</f>
        <v>30</v>
      </c>
      <c r="M1132" s="10">
        <f>IFERROR(__xludf.DUMMYFUNCTION("COUNTUNIQUEIFS($A$2:$A1132,$F$2:$F1132,F1132)"),21.0)</f>
        <v>21</v>
      </c>
      <c r="N1132" s="10">
        <f t="shared" si="1"/>
        <v>1</v>
      </c>
      <c r="O1132" s="26">
        <f>IF(operations[sinceLastOrder]=0,0,operations[orderQuantity] / operations[sinceLastOrder])</f>
        <v>30</v>
      </c>
      <c r="P1132" s="9">
        <v>388.98</v>
      </c>
      <c r="Q1132" s="7" t="s">
        <v>13</v>
      </c>
      <c r="R1132" s="10">
        <f>operations[arrivedDate]-operations[shippedDate]</f>
        <v>17</v>
      </c>
    </row>
    <row r="1133" ht="15.75" customHeight="1">
      <c r="A1133" s="6">
        <v>10678.0</v>
      </c>
      <c r="B1133" s="24">
        <v>45192.0</v>
      </c>
      <c r="C1133" s="24">
        <v>45220.0</v>
      </c>
      <c r="D1133" s="24">
        <v>45215.0</v>
      </c>
      <c r="E1133" s="24">
        <v>45232.0</v>
      </c>
      <c r="F1133" s="6">
        <v>41.0</v>
      </c>
      <c r="G1133" s="9" t="str">
        <f>VLOOKUP(operations[productID],products[],2,FALSE)</f>
        <v>Jack's New England Clam Chowder</v>
      </c>
      <c r="H1133" s="9" t="str">
        <f>IF(VLOOKUP(operations[productID],products[],7,FALSE)=1,"Discontinued","Current")</f>
        <v>Current</v>
      </c>
      <c r="I1133" s="6">
        <f>VLOOKUP(operations[productID],products[],4,FALSE)</f>
        <v>85</v>
      </c>
      <c r="J1133" s="6">
        <f>VLOOKUP(operations[productID],products[],5,FALSE)</f>
        <v>0</v>
      </c>
      <c r="K1133" s="6">
        <f>VLOOKUP(operations[productID],products[],6,FALSE)</f>
        <v>10</v>
      </c>
      <c r="L1133" s="10">
        <f t="array" ref="L1133">INDEX('1 orders'!I1133:I2156, MATCH(1, ('1 orders'!A1133:A2156=A1133)*('1 orders'!G1133:G2156=F1133), 0))
</f>
        <v>120</v>
      </c>
      <c r="M1133" s="10">
        <f>IFERROR(__xludf.DUMMYFUNCTION("COUNTUNIQUEIFS($A$2:$A1133,$F$2:$F1133,F1133)"),20.0)</f>
        <v>20</v>
      </c>
      <c r="N1133" s="10">
        <f t="shared" si="1"/>
        <v>19</v>
      </c>
      <c r="O1133" s="26">
        <f>IF(operations[sinceLastOrder]=0,0,operations[orderQuantity] / operations[sinceLastOrder])</f>
        <v>6.315789474</v>
      </c>
      <c r="P1133" s="9">
        <v>388.98</v>
      </c>
      <c r="Q1133" s="7" t="s">
        <v>13</v>
      </c>
      <c r="R1133" s="10">
        <f>operations[arrivedDate]-operations[shippedDate]</f>
        <v>17</v>
      </c>
    </row>
    <row r="1134" ht="15.75" customHeight="1">
      <c r="A1134" s="6">
        <v>10678.0</v>
      </c>
      <c r="B1134" s="24">
        <v>45192.0</v>
      </c>
      <c r="C1134" s="24">
        <v>45220.0</v>
      </c>
      <c r="D1134" s="24">
        <v>45215.0</v>
      </c>
      <c r="E1134" s="24">
        <v>45232.0</v>
      </c>
      <c r="F1134" s="6">
        <v>54.0</v>
      </c>
      <c r="G1134" s="9" t="str">
        <f>VLOOKUP(operations[productID],products[],2,FALSE)</f>
        <v>Tourtière</v>
      </c>
      <c r="H1134" s="9" t="str">
        <f>IF(VLOOKUP(operations[productID],products[],7,FALSE)=1,"Discontinued","Current")</f>
        <v>Current</v>
      </c>
      <c r="I1134" s="6">
        <f>VLOOKUP(operations[productID],products[],4,FALSE)</f>
        <v>21</v>
      </c>
      <c r="J1134" s="6">
        <f>VLOOKUP(operations[productID],products[],5,FALSE)</f>
        <v>0</v>
      </c>
      <c r="K1134" s="6">
        <f>VLOOKUP(operations[productID],products[],6,FALSE)</f>
        <v>10</v>
      </c>
      <c r="L1134" s="10">
        <f t="array" ref="L1134">INDEX('1 orders'!I1134:I2156, MATCH(1, ('1 orders'!A1134:A2156=A1134)*('1 orders'!G1134:G2156=F1134), 0))
</f>
        <v>30</v>
      </c>
      <c r="M1134" s="10">
        <f>IFERROR(__xludf.DUMMYFUNCTION("COUNTUNIQUEIFS($A$2:$A1134,$F$2:$F1134,F1134)"),24.0)</f>
        <v>24</v>
      </c>
      <c r="N1134" s="10">
        <f t="shared" si="1"/>
        <v>21</v>
      </c>
      <c r="O1134" s="26">
        <f>IF(operations[sinceLastOrder]=0,0,operations[orderQuantity] / operations[sinceLastOrder])</f>
        <v>1.428571429</v>
      </c>
      <c r="P1134" s="9">
        <v>388.98</v>
      </c>
      <c r="Q1134" s="7" t="s">
        <v>13</v>
      </c>
      <c r="R1134" s="10">
        <f>operations[arrivedDate]-operations[shippedDate]</f>
        <v>17</v>
      </c>
    </row>
    <row r="1135" ht="15.75" customHeight="1">
      <c r="A1135" s="6">
        <v>10679.0</v>
      </c>
      <c r="B1135" s="24">
        <v>45192.0</v>
      </c>
      <c r="C1135" s="24">
        <v>45220.0</v>
      </c>
      <c r="D1135" s="24">
        <v>45199.0</v>
      </c>
      <c r="E1135" s="24">
        <v>45205.0</v>
      </c>
      <c r="F1135" s="6">
        <v>59.0</v>
      </c>
      <c r="G1135" s="9" t="str">
        <f>VLOOKUP(operations[productID],products[],2,FALSE)</f>
        <v>Raclette Courdavault</v>
      </c>
      <c r="H1135" s="9" t="str">
        <f>IF(VLOOKUP(operations[productID],products[],7,FALSE)=1,"Discontinued","Current")</f>
        <v>Current</v>
      </c>
      <c r="I1135" s="6">
        <f>VLOOKUP(operations[productID],products[],4,FALSE)</f>
        <v>79</v>
      </c>
      <c r="J1135" s="6">
        <f>VLOOKUP(operations[productID],products[],5,FALSE)</f>
        <v>0</v>
      </c>
      <c r="K1135" s="6">
        <f>VLOOKUP(operations[productID],products[],6,FALSE)</f>
        <v>0</v>
      </c>
      <c r="L1135" s="10">
        <f t="array" ref="L1135">INDEX('1 orders'!I1135:I2156, MATCH(1, ('1 orders'!A1135:A2156=A1135)*('1 orders'!G1135:G2156=F1135), 0))
</f>
        <v>12</v>
      </c>
      <c r="M1135" s="10">
        <f>IFERROR(__xludf.DUMMYFUNCTION("COUNTUNIQUEIFS($A$2:$A1135,$F$2:$F1135,F1135)"),29.0)</f>
        <v>29</v>
      </c>
      <c r="N1135" s="10">
        <f t="shared" si="1"/>
        <v>12</v>
      </c>
      <c r="O1135" s="26">
        <f>IF(operations[sinceLastOrder]=0,0,operations[orderQuantity] / operations[sinceLastOrder])</f>
        <v>1</v>
      </c>
      <c r="P1135" s="9">
        <v>27.94</v>
      </c>
      <c r="Q1135" s="7" t="s">
        <v>13</v>
      </c>
      <c r="R1135" s="10">
        <f>operations[arrivedDate]-operations[shippedDate]</f>
        <v>6</v>
      </c>
    </row>
    <row r="1136" ht="15.75" customHeight="1">
      <c r="A1136" s="6">
        <v>10680.0</v>
      </c>
      <c r="B1136" s="24">
        <v>45193.0</v>
      </c>
      <c r="C1136" s="24">
        <v>45221.0</v>
      </c>
      <c r="D1136" s="24">
        <v>45195.0</v>
      </c>
      <c r="E1136" s="24">
        <v>45206.0</v>
      </c>
      <c r="F1136" s="6">
        <v>16.0</v>
      </c>
      <c r="G1136" s="9" t="str">
        <f>VLOOKUP(operations[productID],products[],2,FALSE)</f>
        <v>Pavlova</v>
      </c>
      <c r="H1136" s="9" t="str">
        <f>IF(VLOOKUP(operations[productID],products[],7,FALSE)=1,"Discontinued","Current")</f>
        <v>Current</v>
      </c>
      <c r="I1136" s="6">
        <f>VLOOKUP(operations[productID],products[],4,FALSE)</f>
        <v>29</v>
      </c>
      <c r="J1136" s="6">
        <f>VLOOKUP(operations[productID],products[],5,FALSE)</f>
        <v>0</v>
      </c>
      <c r="K1136" s="6">
        <f>VLOOKUP(operations[productID],products[],6,FALSE)</f>
        <v>10</v>
      </c>
      <c r="L1136" s="10">
        <f t="array" ref="L1136">INDEX('1 orders'!I1136:I2156, MATCH(1, ('1 orders'!A1136:A2156=A1136)*('1 orders'!G1136:G2156=F1136), 0))
</f>
        <v>50</v>
      </c>
      <c r="M1136" s="10">
        <f>IFERROR(__xludf.DUMMYFUNCTION("COUNTUNIQUEIFS($A$2:$A1136,$F$2:$F1136,F1136)"),23.0)</f>
        <v>23</v>
      </c>
      <c r="N1136" s="10">
        <f t="shared" si="1"/>
        <v>6</v>
      </c>
      <c r="O1136" s="26">
        <f>IF(operations[sinceLastOrder]=0,0,operations[orderQuantity] / operations[sinceLastOrder])</f>
        <v>8.333333333</v>
      </c>
      <c r="P1136" s="9">
        <v>26.61</v>
      </c>
      <c r="Q1136" s="7" t="s">
        <v>15</v>
      </c>
      <c r="R1136" s="10">
        <f>operations[arrivedDate]-operations[shippedDate]</f>
        <v>11</v>
      </c>
    </row>
    <row r="1137" ht="15.75" customHeight="1">
      <c r="A1137" s="6">
        <v>10680.0</v>
      </c>
      <c r="B1137" s="24">
        <v>45193.0</v>
      </c>
      <c r="C1137" s="24">
        <v>45221.0</v>
      </c>
      <c r="D1137" s="24">
        <v>45195.0</v>
      </c>
      <c r="E1137" s="24">
        <v>45206.0</v>
      </c>
      <c r="F1137" s="6">
        <v>31.0</v>
      </c>
      <c r="G1137" s="9" t="str">
        <f>VLOOKUP(operations[productID],products[],2,FALSE)</f>
        <v>Gorgonzola Telino</v>
      </c>
      <c r="H1137" s="9" t="str">
        <f>IF(VLOOKUP(operations[productID],products[],7,FALSE)=1,"Discontinued","Current")</f>
        <v>Current</v>
      </c>
      <c r="I1137" s="6">
        <f>VLOOKUP(operations[productID],products[],4,FALSE)</f>
        <v>0</v>
      </c>
      <c r="J1137" s="6">
        <f>VLOOKUP(operations[productID],products[],5,FALSE)</f>
        <v>70</v>
      </c>
      <c r="K1137" s="6">
        <f>VLOOKUP(operations[productID],products[],6,FALSE)</f>
        <v>20</v>
      </c>
      <c r="L1137" s="10">
        <f t="array" ref="L1137">INDEX('1 orders'!I1137:I2156, MATCH(1, ('1 orders'!A1137:A2156=A1137)*('1 orders'!G1137:G2156=F1137), 0))
</f>
        <v>20</v>
      </c>
      <c r="M1137" s="10">
        <f>IFERROR(__xludf.DUMMYFUNCTION("COUNTUNIQUEIFS($A$2:$A1137,$F$2:$F1137,F1137)"),29.0)</f>
        <v>29</v>
      </c>
      <c r="N1137" s="10">
        <f t="shared" si="1"/>
        <v>9</v>
      </c>
      <c r="O1137" s="26">
        <f>IF(operations[sinceLastOrder]=0,0,operations[orderQuantity] / operations[sinceLastOrder])</f>
        <v>2.222222222</v>
      </c>
      <c r="P1137" s="9">
        <v>26.61</v>
      </c>
      <c r="Q1137" s="7" t="s">
        <v>15</v>
      </c>
      <c r="R1137" s="10">
        <f>operations[arrivedDate]-operations[shippedDate]</f>
        <v>11</v>
      </c>
    </row>
    <row r="1138" ht="15.75" customHeight="1">
      <c r="A1138" s="6">
        <v>10680.0</v>
      </c>
      <c r="B1138" s="24">
        <v>45193.0</v>
      </c>
      <c r="C1138" s="24">
        <v>45221.0</v>
      </c>
      <c r="D1138" s="24">
        <v>45195.0</v>
      </c>
      <c r="E1138" s="24">
        <v>45206.0</v>
      </c>
      <c r="F1138" s="6">
        <v>42.0</v>
      </c>
      <c r="G1138" s="9" t="str">
        <f>VLOOKUP(operations[productID],products[],2,FALSE)</f>
        <v>Singaporean Hokkien Fried Mee</v>
      </c>
      <c r="H1138" s="9" t="str">
        <f>IF(VLOOKUP(operations[productID],products[],7,FALSE)=1,"Discontinued","Current")</f>
        <v>Discontinued</v>
      </c>
      <c r="I1138" s="6">
        <f>VLOOKUP(operations[productID],products[],4,FALSE)</f>
        <v>26</v>
      </c>
      <c r="J1138" s="6">
        <f>VLOOKUP(operations[productID],products[],5,FALSE)</f>
        <v>0</v>
      </c>
      <c r="K1138" s="6">
        <f>VLOOKUP(operations[productID],products[],6,FALSE)</f>
        <v>0</v>
      </c>
      <c r="L1138" s="10">
        <f t="array" ref="L1138">INDEX('1 orders'!I1138:I2156, MATCH(1, ('1 orders'!A1138:A2156=A1138)*('1 orders'!G1138:G2156=F1138), 0))
</f>
        <v>40</v>
      </c>
      <c r="M1138" s="10">
        <f>IFERROR(__xludf.DUMMYFUNCTION("COUNTUNIQUEIFS($A$2:$A1138,$F$2:$F1138,F1138)"),17.0)</f>
        <v>17</v>
      </c>
      <c r="N1138" s="10">
        <f t="shared" si="1"/>
        <v>6</v>
      </c>
      <c r="O1138" s="26">
        <f>IF(operations[sinceLastOrder]=0,0,operations[orderQuantity] / operations[sinceLastOrder])</f>
        <v>6.666666667</v>
      </c>
      <c r="P1138" s="9">
        <v>26.61</v>
      </c>
      <c r="Q1138" s="7" t="s">
        <v>15</v>
      </c>
      <c r="R1138" s="10">
        <f>operations[arrivedDate]-operations[shippedDate]</f>
        <v>11</v>
      </c>
    </row>
    <row r="1139" ht="15.75" customHeight="1">
      <c r="A1139" s="6">
        <v>10681.0</v>
      </c>
      <c r="B1139" s="24">
        <v>45194.0</v>
      </c>
      <c r="C1139" s="24">
        <v>45222.0</v>
      </c>
      <c r="D1139" s="24">
        <v>45199.0</v>
      </c>
      <c r="E1139" s="24">
        <v>45213.0</v>
      </c>
      <c r="F1139" s="6">
        <v>19.0</v>
      </c>
      <c r="G1139" s="9" t="str">
        <f>VLOOKUP(operations[productID],products[],2,FALSE)</f>
        <v>Teatime Chocolate Biscuits</v>
      </c>
      <c r="H1139" s="9" t="str">
        <f>IF(VLOOKUP(operations[productID],products[],7,FALSE)=1,"Discontinued","Current")</f>
        <v>Current</v>
      </c>
      <c r="I1139" s="6">
        <f>VLOOKUP(operations[productID],products[],4,FALSE)</f>
        <v>25</v>
      </c>
      <c r="J1139" s="6">
        <f>VLOOKUP(operations[productID],products[],5,FALSE)</f>
        <v>0</v>
      </c>
      <c r="K1139" s="6">
        <f>VLOOKUP(operations[productID],products[],6,FALSE)</f>
        <v>5</v>
      </c>
      <c r="L1139" s="10">
        <f t="array" ref="L1139">INDEX('1 orders'!I1139:I2156, MATCH(1, ('1 orders'!A1139:A2156=A1139)*('1 orders'!G1139:G2156=F1139), 0))
</f>
        <v>30</v>
      </c>
      <c r="M1139" s="10">
        <f>IFERROR(__xludf.DUMMYFUNCTION("COUNTUNIQUEIFS($A$2:$A1139,$F$2:$F1139,F1139)"),21.0)</f>
        <v>21</v>
      </c>
      <c r="N1139" s="10">
        <f t="shared" si="1"/>
        <v>3</v>
      </c>
      <c r="O1139" s="26">
        <f>IF(operations[sinceLastOrder]=0,0,operations[orderQuantity] / operations[sinceLastOrder])</f>
        <v>10</v>
      </c>
      <c r="P1139" s="9">
        <v>76.13</v>
      </c>
      <c r="Q1139" s="7" t="s">
        <v>13</v>
      </c>
      <c r="R1139" s="10">
        <f>operations[arrivedDate]-operations[shippedDate]</f>
        <v>14</v>
      </c>
    </row>
    <row r="1140" ht="15.75" customHeight="1">
      <c r="A1140" s="6">
        <v>10681.0</v>
      </c>
      <c r="B1140" s="24">
        <v>45194.0</v>
      </c>
      <c r="C1140" s="24">
        <v>45222.0</v>
      </c>
      <c r="D1140" s="24">
        <v>45199.0</v>
      </c>
      <c r="E1140" s="24">
        <v>45213.0</v>
      </c>
      <c r="F1140" s="6">
        <v>21.0</v>
      </c>
      <c r="G1140" s="9" t="str">
        <f>VLOOKUP(operations[productID],products[],2,FALSE)</f>
        <v>Sir Rodney's Scones</v>
      </c>
      <c r="H1140" s="9" t="str">
        <f>IF(VLOOKUP(operations[productID],products[],7,FALSE)=1,"Discontinued","Current")</f>
        <v>Current</v>
      </c>
      <c r="I1140" s="6">
        <f>VLOOKUP(operations[productID],products[],4,FALSE)</f>
        <v>3</v>
      </c>
      <c r="J1140" s="6">
        <f>VLOOKUP(operations[productID],products[],5,FALSE)</f>
        <v>40</v>
      </c>
      <c r="K1140" s="6">
        <f>VLOOKUP(operations[productID],products[],6,FALSE)</f>
        <v>5</v>
      </c>
      <c r="L1140" s="10">
        <f t="array" ref="L1140">INDEX('1 orders'!I1140:I2156, MATCH(1, ('1 orders'!A1140:A2156=A1140)*('1 orders'!G1140:G2156=F1140), 0))
</f>
        <v>12</v>
      </c>
      <c r="M1140" s="10">
        <f>IFERROR(__xludf.DUMMYFUNCTION("COUNTUNIQUEIFS($A$2:$A1140,$F$2:$F1140,F1140)"),23.0)</f>
        <v>23</v>
      </c>
      <c r="N1140" s="10">
        <f t="shared" si="1"/>
        <v>20</v>
      </c>
      <c r="O1140" s="26">
        <f>IF(operations[sinceLastOrder]=0,0,operations[orderQuantity] / operations[sinceLastOrder])</f>
        <v>0.6</v>
      </c>
      <c r="P1140" s="9">
        <v>76.13</v>
      </c>
      <c r="Q1140" s="7" t="s">
        <v>13</v>
      </c>
      <c r="R1140" s="10">
        <f>operations[arrivedDate]-operations[shippedDate]</f>
        <v>14</v>
      </c>
    </row>
    <row r="1141" ht="15.75" customHeight="1">
      <c r="A1141" s="6">
        <v>10681.0</v>
      </c>
      <c r="B1141" s="24">
        <v>45194.0</v>
      </c>
      <c r="C1141" s="24">
        <v>45222.0</v>
      </c>
      <c r="D1141" s="24">
        <v>45199.0</v>
      </c>
      <c r="E1141" s="24">
        <v>45213.0</v>
      </c>
      <c r="F1141" s="6">
        <v>64.0</v>
      </c>
      <c r="G1141" s="9" t="str">
        <f>VLOOKUP(operations[productID],products[],2,FALSE)</f>
        <v>Lukas' leckere Sauerteigweggla</v>
      </c>
      <c r="H1141" s="9" t="str">
        <f>IF(VLOOKUP(operations[productID],products[],7,FALSE)=1,"Discontinued","Current")</f>
        <v>Current</v>
      </c>
      <c r="I1141" s="6">
        <f>VLOOKUP(operations[productID],products[],4,FALSE)</f>
        <v>22</v>
      </c>
      <c r="J1141" s="6">
        <f>VLOOKUP(operations[productID],products[],5,FALSE)</f>
        <v>80</v>
      </c>
      <c r="K1141" s="6">
        <f>VLOOKUP(operations[productID],products[],6,FALSE)</f>
        <v>30</v>
      </c>
      <c r="L1141" s="10">
        <f t="array" ref="L1141">INDEX('1 orders'!I1141:I2156, MATCH(1, ('1 orders'!A1141:A2156=A1141)*('1 orders'!G1141:G2156=F1141), 0))
</f>
        <v>28</v>
      </c>
      <c r="M1141" s="10">
        <f>IFERROR(__xludf.DUMMYFUNCTION("COUNTUNIQUEIFS($A$2:$A1141,$F$2:$F1141,F1141)"),16.0)</f>
        <v>16</v>
      </c>
      <c r="N1141" s="10">
        <f t="shared" si="1"/>
        <v>10</v>
      </c>
      <c r="O1141" s="26">
        <f>IF(operations[sinceLastOrder]=0,0,operations[orderQuantity] / operations[sinceLastOrder])</f>
        <v>2.8</v>
      </c>
      <c r="P1141" s="9">
        <v>76.13</v>
      </c>
      <c r="Q1141" s="7" t="s">
        <v>13</v>
      </c>
      <c r="R1141" s="10">
        <f>operations[arrivedDate]-operations[shippedDate]</f>
        <v>14</v>
      </c>
    </row>
    <row r="1142" ht="15.75" customHeight="1">
      <c r="A1142" s="6">
        <v>10682.0</v>
      </c>
      <c r="B1142" s="24">
        <v>45194.0</v>
      </c>
      <c r="C1142" s="24">
        <v>45222.0</v>
      </c>
      <c r="D1142" s="24">
        <v>45200.0</v>
      </c>
      <c r="E1142" s="24">
        <v>45216.0</v>
      </c>
      <c r="F1142" s="6">
        <v>33.0</v>
      </c>
      <c r="G1142" s="9" t="str">
        <f>VLOOKUP(operations[productID],products[],2,FALSE)</f>
        <v>Geitost</v>
      </c>
      <c r="H1142" s="9" t="str">
        <f>IF(VLOOKUP(operations[productID],products[],7,FALSE)=1,"Discontinued","Current")</f>
        <v>Current</v>
      </c>
      <c r="I1142" s="6">
        <f>VLOOKUP(operations[productID],products[],4,FALSE)</f>
        <v>112</v>
      </c>
      <c r="J1142" s="6">
        <f>VLOOKUP(operations[productID],products[],5,FALSE)</f>
        <v>0</v>
      </c>
      <c r="K1142" s="6">
        <f>VLOOKUP(operations[productID],products[],6,FALSE)</f>
        <v>20</v>
      </c>
      <c r="L1142" s="10">
        <f t="array" ref="L1142">INDEX('1 orders'!I1142:I2156, MATCH(1, ('1 orders'!A1142:A2156=A1142)*('1 orders'!G1142:G2156=F1142), 0))
</f>
        <v>30</v>
      </c>
      <c r="M1142" s="10">
        <f>IFERROR(__xludf.DUMMYFUNCTION("COUNTUNIQUEIFS($A$2:$A1142,$F$2:$F1142,F1142)"),22.0)</f>
        <v>22</v>
      </c>
      <c r="N1142" s="10">
        <f t="shared" si="1"/>
        <v>2</v>
      </c>
      <c r="O1142" s="26">
        <f>IF(operations[sinceLastOrder]=0,0,operations[orderQuantity] / operations[sinceLastOrder])</f>
        <v>15</v>
      </c>
      <c r="P1142" s="9">
        <v>36.13</v>
      </c>
      <c r="Q1142" s="7" t="s">
        <v>17</v>
      </c>
      <c r="R1142" s="10">
        <f>operations[arrivedDate]-operations[shippedDate]</f>
        <v>16</v>
      </c>
    </row>
    <row r="1143" ht="15.75" customHeight="1">
      <c r="A1143" s="6">
        <v>10682.0</v>
      </c>
      <c r="B1143" s="24">
        <v>45194.0</v>
      </c>
      <c r="C1143" s="24">
        <v>45222.0</v>
      </c>
      <c r="D1143" s="24">
        <v>45200.0</v>
      </c>
      <c r="E1143" s="24">
        <v>45216.0</v>
      </c>
      <c r="F1143" s="6">
        <v>66.0</v>
      </c>
      <c r="G1143" s="9" t="str">
        <f>VLOOKUP(operations[productID],products[],2,FALSE)</f>
        <v>Louisiana Hot Spiced Okra</v>
      </c>
      <c r="H1143" s="9" t="str">
        <f>IF(VLOOKUP(operations[productID],products[],7,FALSE)=1,"Discontinued","Current")</f>
        <v>Current</v>
      </c>
      <c r="I1143" s="6">
        <f>VLOOKUP(operations[productID],products[],4,FALSE)</f>
        <v>4</v>
      </c>
      <c r="J1143" s="6">
        <f>VLOOKUP(operations[productID],products[],5,FALSE)</f>
        <v>100</v>
      </c>
      <c r="K1143" s="6">
        <f>VLOOKUP(operations[productID],products[],6,FALSE)</f>
        <v>20</v>
      </c>
      <c r="L1143" s="10">
        <f t="array" ref="L1143">INDEX('1 orders'!I1143:I2156, MATCH(1, ('1 orders'!A1143:A2156=A1143)*('1 orders'!G1143:G2156=F1143), 0))
</f>
        <v>4</v>
      </c>
      <c r="M1143" s="10">
        <f>IFERROR(__xludf.DUMMYFUNCTION("COUNTUNIQUEIFS($A$2:$A1143,$F$2:$F1143,F1143)"),6.0)</f>
        <v>6</v>
      </c>
      <c r="N1143" s="10">
        <f t="shared" si="1"/>
        <v>139</v>
      </c>
      <c r="O1143" s="26">
        <f>IF(operations[sinceLastOrder]=0,0,operations[orderQuantity] / operations[sinceLastOrder])</f>
        <v>0.02877697842</v>
      </c>
      <c r="P1143" s="9">
        <v>36.13</v>
      </c>
      <c r="Q1143" s="7" t="s">
        <v>17</v>
      </c>
      <c r="R1143" s="10">
        <f>operations[arrivedDate]-operations[shippedDate]</f>
        <v>16</v>
      </c>
    </row>
    <row r="1144" ht="15.75" customHeight="1">
      <c r="A1144" s="6">
        <v>10682.0</v>
      </c>
      <c r="B1144" s="24">
        <v>45194.0</v>
      </c>
      <c r="C1144" s="24">
        <v>45222.0</v>
      </c>
      <c r="D1144" s="24">
        <v>45200.0</v>
      </c>
      <c r="E1144" s="24">
        <v>45216.0</v>
      </c>
      <c r="F1144" s="6">
        <v>75.0</v>
      </c>
      <c r="G1144" s="9" t="str">
        <f>VLOOKUP(operations[productID],products[],2,FALSE)</f>
        <v>Rhönbräu Klosterbier</v>
      </c>
      <c r="H1144" s="9" t="str">
        <f>IF(VLOOKUP(operations[productID],products[],7,FALSE)=1,"Discontinued","Current")</f>
        <v>Current</v>
      </c>
      <c r="I1144" s="6">
        <f>VLOOKUP(operations[productID],products[],4,FALSE)</f>
        <v>125</v>
      </c>
      <c r="J1144" s="6">
        <f>VLOOKUP(operations[productID],products[],5,FALSE)</f>
        <v>0</v>
      </c>
      <c r="K1144" s="6">
        <f>VLOOKUP(operations[productID],products[],6,FALSE)</f>
        <v>25</v>
      </c>
      <c r="L1144" s="10">
        <f t="array" ref="L1144">INDEX('1 orders'!I1144:I2156, MATCH(1, ('1 orders'!A1144:A2156=A1144)*('1 orders'!G1144:G2156=F1144), 0))
</f>
        <v>30</v>
      </c>
      <c r="M1144" s="10">
        <f>IFERROR(__xludf.DUMMYFUNCTION("COUNTUNIQUEIFS($A$2:$A1144,$F$2:$F1144,F1144)"),25.0)</f>
        <v>25</v>
      </c>
      <c r="N1144" s="10">
        <f t="shared" si="1"/>
        <v>9</v>
      </c>
      <c r="O1144" s="26">
        <f>IF(operations[sinceLastOrder]=0,0,operations[orderQuantity] / operations[sinceLastOrder])</f>
        <v>3.333333333</v>
      </c>
      <c r="P1144" s="9">
        <v>36.13</v>
      </c>
      <c r="Q1144" s="7" t="s">
        <v>17</v>
      </c>
      <c r="R1144" s="10">
        <f>operations[arrivedDate]-operations[shippedDate]</f>
        <v>16</v>
      </c>
    </row>
    <row r="1145" ht="15.75" customHeight="1">
      <c r="A1145" s="6">
        <v>10683.0</v>
      </c>
      <c r="B1145" s="24">
        <v>45195.0</v>
      </c>
      <c r="C1145" s="24">
        <v>45223.0</v>
      </c>
      <c r="D1145" s="24">
        <v>45200.0</v>
      </c>
      <c r="E1145" s="24">
        <v>45204.0</v>
      </c>
      <c r="F1145" s="6">
        <v>52.0</v>
      </c>
      <c r="G1145" s="9" t="str">
        <f>VLOOKUP(operations[productID],products[],2,FALSE)</f>
        <v>Filo Mix</v>
      </c>
      <c r="H1145" s="9" t="str">
        <f>IF(VLOOKUP(operations[productID],products[],7,FALSE)=1,"Discontinued","Current")</f>
        <v>Current</v>
      </c>
      <c r="I1145" s="6">
        <f>VLOOKUP(operations[productID],products[],4,FALSE)</f>
        <v>38</v>
      </c>
      <c r="J1145" s="6">
        <f>VLOOKUP(operations[productID],products[],5,FALSE)</f>
        <v>0</v>
      </c>
      <c r="K1145" s="6">
        <f>VLOOKUP(operations[productID],products[],6,FALSE)</f>
        <v>25</v>
      </c>
      <c r="L1145" s="10">
        <f t="array" ref="L1145">INDEX('1 orders'!I1145:I2156, MATCH(1, ('1 orders'!A1145:A2156=A1145)*('1 orders'!G1145:G2156=F1145), 0))
</f>
        <v>9</v>
      </c>
      <c r="M1145" s="10">
        <f>IFERROR(__xludf.DUMMYFUNCTION("COUNTUNIQUEIFS($A$2:$A1145,$F$2:$F1145,F1145)"),12.0)</f>
        <v>12</v>
      </c>
      <c r="N1145" s="10">
        <f t="shared" si="1"/>
        <v>52</v>
      </c>
      <c r="O1145" s="26">
        <f>IF(operations[sinceLastOrder]=0,0,operations[orderQuantity] / operations[sinceLastOrder])</f>
        <v>0.1730769231</v>
      </c>
      <c r="P1145" s="9">
        <v>4.4</v>
      </c>
      <c r="Q1145" s="7" t="s">
        <v>15</v>
      </c>
      <c r="R1145" s="10">
        <f>operations[arrivedDate]-operations[shippedDate]</f>
        <v>4</v>
      </c>
    </row>
    <row r="1146" ht="15.75" customHeight="1">
      <c r="A1146" s="6">
        <v>10684.0</v>
      </c>
      <c r="B1146" s="24">
        <v>45195.0</v>
      </c>
      <c r="C1146" s="24">
        <v>45223.0</v>
      </c>
      <c r="D1146" s="24">
        <v>45199.0</v>
      </c>
      <c r="E1146" s="24">
        <v>45203.0</v>
      </c>
      <c r="F1146" s="6">
        <v>40.0</v>
      </c>
      <c r="G1146" s="9" t="str">
        <f>VLOOKUP(operations[productID],products[],2,FALSE)</f>
        <v>Boston Crab Meat</v>
      </c>
      <c r="H1146" s="9" t="str">
        <f>IF(VLOOKUP(operations[productID],products[],7,FALSE)=1,"Discontinued","Current")</f>
        <v>Current</v>
      </c>
      <c r="I1146" s="6">
        <f>VLOOKUP(operations[productID],products[],4,FALSE)</f>
        <v>123</v>
      </c>
      <c r="J1146" s="6">
        <f>VLOOKUP(operations[productID],products[],5,FALSE)</f>
        <v>0</v>
      </c>
      <c r="K1146" s="6">
        <f>VLOOKUP(operations[productID],products[],6,FALSE)</f>
        <v>30</v>
      </c>
      <c r="L1146" s="10">
        <f t="array" ref="L1146">INDEX('1 orders'!I1146:I2156, MATCH(1, ('1 orders'!A1146:A2156=A1146)*('1 orders'!G1146:G2156=F1146), 0))
</f>
        <v>20</v>
      </c>
      <c r="M1146" s="10">
        <f>IFERROR(__xludf.DUMMYFUNCTION("COUNTUNIQUEIFS($A$2:$A1146,$F$2:$F1146,F1146)"),26.0)</f>
        <v>26</v>
      </c>
      <c r="N1146" s="10">
        <f t="shared" si="1"/>
        <v>16</v>
      </c>
      <c r="O1146" s="26">
        <f>IF(operations[sinceLastOrder]=0,0,operations[orderQuantity] / operations[sinceLastOrder])</f>
        <v>1.25</v>
      </c>
      <c r="P1146" s="9">
        <v>145.63</v>
      </c>
      <c r="Q1146" s="7" t="s">
        <v>15</v>
      </c>
      <c r="R1146" s="10">
        <f>operations[arrivedDate]-operations[shippedDate]</f>
        <v>4</v>
      </c>
    </row>
    <row r="1147" ht="15.75" customHeight="1">
      <c r="A1147" s="6">
        <v>10684.0</v>
      </c>
      <c r="B1147" s="24">
        <v>45195.0</v>
      </c>
      <c r="C1147" s="24">
        <v>45223.0</v>
      </c>
      <c r="D1147" s="24">
        <v>45199.0</v>
      </c>
      <c r="E1147" s="24">
        <v>45203.0</v>
      </c>
      <c r="F1147" s="6">
        <v>47.0</v>
      </c>
      <c r="G1147" s="9" t="str">
        <f>VLOOKUP(operations[productID],products[],2,FALSE)</f>
        <v>Zaanse koeken</v>
      </c>
      <c r="H1147" s="9" t="str">
        <f>IF(VLOOKUP(operations[productID],products[],7,FALSE)=1,"Discontinued","Current")</f>
        <v>Current</v>
      </c>
      <c r="I1147" s="6">
        <f>VLOOKUP(operations[productID],products[],4,FALSE)</f>
        <v>36</v>
      </c>
      <c r="J1147" s="6">
        <f>VLOOKUP(operations[productID],products[],5,FALSE)</f>
        <v>0</v>
      </c>
      <c r="K1147" s="6">
        <f>VLOOKUP(operations[productID],products[],6,FALSE)</f>
        <v>0</v>
      </c>
      <c r="L1147" s="10">
        <f t="array" ref="L1147">INDEX('1 orders'!I1147:I2156, MATCH(1, ('1 orders'!A1147:A2156=A1147)*('1 orders'!G1147:G2156=F1147), 0))
</f>
        <v>40</v>
      </c>
      <c r="M1147" s="10">
        <f>IFERROR(__xludf.DUMMYFUNCTION("COUNTUNIQUEIFS($A$2:$A1147,$F$2:$F1147,F1147)"),10.0)</f>
        <v>10</v>
      </c>
      <c r="N1147" s="10">
        <f t="shared" si="1"/>
        <v>22</v>
      </c>
      <c r="O1147" s="26">
        <f>IF(operations[sinceLastOrder]=0,0,operations[orderQuantity] / operations[sinceLastOrder])</f>
        <v>1.818181818</v>
      </c>
      <c r="P1147" s="9">
        <v>145.63</v>
      </c>
      <c r="Q1147" s="7" t="s">
        <v>15</v>
      </c>
      <c r="R1147" s="10">
        <f>operations[arrivedDate]-operations[shippedDate]</f>
        <v>4</v>
      </c>
    </row>
    <row r="1148" ht="15.75" customHeight="1">
      <c r="A1148" s="6">
        <v>10684.0</v>
      </c>
      <c r="B1148" s="24">
        <v>45195.0</v>
      </c>
      <c r="C1148" s="24">
        <v>45223.0</v>
      </c>
      <c r="D1148" s="24">
        <v>45199.0</v>
      </c>
      <c r="E1148" s="24">
        <v>45203.0</v>
      </c>
      <c r="F1148" s="6">
        <v>60.0</v>
      </c>
      <c r="G1148" s="9" t="str">
        <f>VLOOKUP(operations[productID],products[],2,FALSE)</f>
        <v>Camembert Pierrot</v>
      </c>
      <c r="H1148" s="9" t="str">
        <f>IF(VLOOKUP(operations[productID],products[],7,FALSE)=1,"Discontinued","Current")</f>
        <v>Current</v>
      </c>
      <c r="I1148" s="6">
        <f>VLOOKUP(operations[productID],products[],4,FALSE)</f>
        <v>19</v>
      </c>
      <c r="J1148" s="6">
        <f>VLOOKUP(operations[productID],products[],5,FALSE)</f>
        <v>0</v>
      </c>
      <c r="K1148" s="6">
        <f>VLOOKUP(operations[productID],products[],6,FALSE)</f>
        <v>0</v>
      </c>
      <c r="L1148" s="10">
        <f t="array" ref="L1148">INDEX('1 orders'!I1148:I2156, MATCH(1, ('1 orders'!A1148:A2156=A1148)*('1 orders'!G1148:G2156=F1148), 0))
</f>
        <v>30</v>
      </c>
      <c r="M1148" s="10">
        <f>IFERROR(__xludf.DUMMYFUNCTION("COUNTUNIQUEIFS($A$2:$A1148,$F$2:$F1148,F1148)"),28.0)</f>
        <v>28</v>
      </c>
      <c r="N1148" s="10">
        <f t="shared" si="1"/>
        <v>21</v>
      </c>
      <c r="O1148" s="26">
        <f>IF(operations[sinceLastOrder]=0,0,operations[orderQuantity] / operations[sinceLastOrder])</f>
        <v>1.428571429</v>
      </c>
      <c r="P1148" s="9">
        <v>145.63</v>
      </c>
      <c r="Q1148" s="7" t="s">
        <v>15</v>
      </c>
      <c r="R1148" s="10">
        <f>operations[arrivedDate]-operations[shippedDate]</f>
        <v>4</v>
      </c>
    </row>
    <row r="1149" ht="15.75" customHeight="1">
      <c r="A1149" s="6">
        <v>10685.0</v>
      </c>
      <c r="B1149" s="24">
        <v>45198.0</v>
      </c>
      <c r="C1149" s="24">
        <v>45212.0</v>
      </c>
      <c r="D1149" s="24">
        <v>45202.0</v>
      </c>
      <c r="E1149" s="24">
        <v>45222.0</v>
      </c>
      <c r="F1149" s="6">
        <v>10.0</v>
      </c>
      <c r="G1149" s="9" t="str">
        <f>VLOOKUP(operations[productID],products[],2,FALSE)</f>
        <v>Ikura</v>
      </c>
      <c r="H1149" s="9" t="str">
        <f>IF(VLOOKUP(operations[productID],products[],7,FALSE)=1,"Discontinued","Current")</f>
        <v>Current</v>
      </c>
      <c r="I1149" s="6">
        <f>VLOOKUP(operations[productID],products[],4,FALSE)</f>
        <v>31</v>
      </c>
      <c r="J1149" s="6">
        <f>VLOOKUP(operations[productID],products[],5,FALSE)</f>
        <v>0</v>
      </c>
      <c r="K1149" s="6">
        <f>VLOOKUP(operations[productID],products[],6,FALSE)</f>
        <v>0</v>
      </c>
      <c r="L1149" s="10">
        <f t="array" ref="L1149">INDEX('1 orders'!I1149:I2156, MATCH(1, ('1 orders'!A1149:A2156=A1149)*('1 orders'!G1149:G2156=F1149), 0))
</f>
        <v>20</v>
      </c>
      <c r="M1149" s="10">
        <f>IFERROR(__xludf.DUMMYFUNCTION("COUNTUNIQUEIFS($A$2:$A1149,$F$2:$F1149,F1149)"),16.0)</f>
        <v>16</v>
      </c>
      <c r="N1149" s="10">
        <f t="shared" si="1"/>
        <v>7</v>
      </c>
      <c r="O1149" s="26">
        <f>IF(operations[sinceLastOrder]=0,0,operations[orderQuantity] / operations[sinceLastOrder])</f>
        <v>2.857142857</v>
      </c>
      <c r="P1149" s="9">
        <v>33.75</v>
      </c>
      <c r="Q1149" s="7" t="s">
        <v>17</v>
      </c>
      <c r="R1149" s="10">
        <f>operations[arrivedDate]-operations[shippedDate]</f>
        <v>20</v>
      </c>
    </row>
    <row r="1150" ht="15.75" customHeight="1">
      <c r="A1150" s="6">
        <v>10685.0</v>
      </c>
      <c r="B1150" s="24">
        <v>45198.0</v>
      </c>
      <c r="C1150" s="24">
        <v>45212.0</v>
      </c>
      <c r="D1150" s="24">
        <v>45202.0</v>
      </c>
      <c r="E1150" s="24">
        <v>45222.0</v>
      </c>
      <c r="F1150" s="6">
        <v>41.0</v>
      </c>
      <c r="G1150" s="9" t="str">
        <f>VLOOKUP(operations[productID],products[],2,FALSE)</f>
        <v>Jack's New England Clam Chowder</v>
      </c>
      <c r="H1150" s="9" t="str">
        <f>IF(VLOOKUP(operations[productID],products[],7,FALSE)=1,"Discontinued","Current")</f>
        <v>Current</v>
      </c>
      <c r="I1150" s="6">
        <f>VLOOKUP(operations[productID],products[],4,FALSE)</f>
        <v>85</v>
      </c>
      <c r="J1150" s="6">
        <f>VLOOKUP(operations[productID],products[],5,FALSE)</f>
        <v>0</v>
      </c>
      <c r="K1150" s="6">
        <f>VLOOKUP(operations[productID],products[],6,FALSE)</f>
        <v>10</v>
      </c>
      <c r="L1150" s="10">
        <f t="array" ref="L1150">INDEX('1 orders'!I1150:I2156, MATCH(1, ('1 orders'!A1150:A2156=A1150)*('1 orders'!G1150:G2156=F1150), 0))
</f>
        <v>4</v>
      </c>
      <c r="M1150" s="10">
        <f>IFERROR(__xludf.DUMMYFUNCTION("COUNTUNIQUEIFS($A$2:$A1150,$F$2:$F1150,F1150)"),21.0)</f>
        <v>21</v>
      </c>
      <c r="N1150" s="10">
        <f t="shared" si="1"/>
        <v>6</v>
      </c>
      <c r="O1150" s="26">
        <f>IF(operations[sinceLastOrder]=0,0,operations[orderQuantity] / operations[sinceLastOrder])</f>
        <v>0.6666666667</v>
      </c>
      <c r="P1150" s="9">
        <v>33.75</v>
      </c>
      <c r="Q1150" s="7" t="s">
        <v>17</v>
      </c>
      <c r="R1150" s="10">
        <f>operations[arrivedDate]-operations[shippedDate]</f>
        <v>20</v>
      </c>
    </row>
    <row r="1151" ht="15.75" customHeight="1">
      <c r="A1151" s="6">
        <v>10685.0</v>
      </c>
      <c r="B1151" s="24">
        <v>45198.0</v>
      </c>
      <c r="C1151" s="24">
        <v>45212.0</v>
      </c>
      <c r="D1151" s="24">
        <v>45202.0</v>
      </c>
      <c r="E1151" s="24">
        <v>45222.0</v>
      </c>
      <c r="F1151" s="6">
        <v>47.0</v>
      </c>
      <c r="G1151" s="9" t="str">
        <f>VLOOKUP(operations[productID],products[],2,FALSE)</f>
        <v>Zaanse koeken</v>
      </c>
      <c r="H1151" s="9" t="str">
        <f>IF(VLOOKUP(operations[productID],products[],7,FALSE)=1,"Discontinued","Current")</f>
        <v>Current</v>
      </c>
      <c r="I1151" s="6">
        <f>VLOOKUP(operations[productID],products[],4,FALSE)</f>
        <v>36</v>
      </c>
      <c r="J1151" s="6">
        <f>VLOOKUP(operations[productID],products[],5,FALSE)</f>
        <v>0</v>
      </c>
      <c r="K1151" s="6">
        <f>VLOOKUP(operations[productID],products[],6,FALSE)</f>
        <v>0</v>
      </c>
      <c r="L1151" s="10">
        <f t="array" ref="L1151">INDEX('1 orders'!I1151:I2156, MATCH(1, ('1 orders'!A1151:A2156=A1151)*('1 orders'!G1151:G2156=F1151), 0))
</f>
        <v>15</v>
      </c>
      <c r="M1151" s="10">
        <f>IFERROR(__xludf.DUMMYFUNCTION("COUNTUNIQUEIFS($A$2:$A1151,$F$2:$F1151,F1151)"),11.0)</f>
        <v>11</v>
      </c>
      <c r="N1151" s="10">
        <f t="shared" si="1"/>
        <v>3</v>
      </c>
      <c r="O1151" s="26">
        <f>IF(operations[sinceLastOrder]=0,0,operations[orderQuantity] / operations[sinceLastOrder])</f>
        <v>5</v>
      </c>
      <c r="P1151" s="9">
        <v>33.75</v>
      </c>
      <c r="Q1151" s="7" t="s">
        <v>17</v>
      </c>
      <c r="R1151" s="10">
        <f>operations[arrivedDate]-operations[shippedDate]</f>
        <v>20</v>
      </c>
    </row>
    <row r="1152" ht="15.75" customHeight="1">
      <c r="A1152" s="6">
        <v>10686.0</v>
      </c>
      <c r="B1152" s="24">
        <v>45199.0</v>
      </c>
      <c r="C1152" s="24">
        <v>45227.0</v>
      </c>
      <c r="D1152" s="24">
        <v>45207.0</v>
      </c>
      <c r="E1152" s="24">
        <v>45218.0</v>
      </c>
      <c r="F1152" s="6">
        <v>17.0</v>
      </c>
      <c r="G1152" s="9" t="str">
        <f>VLOOKUP(operations[productID],products[],2,FALSE)</f>
        <v>Alice Mutton</v>
      </c>
      <c r="H1152" s="9" t="str">
        <f>IF(VLOOKUP(operations[productID],products[],7,FALSE)=1,"Discontinued","Current")</f>
        <v>Discontinued</v>
      </c>
      <c r="I1152" s="6">
        <f>VLOOKUP(operations[productID],products[],4,FALSE)</f>
        <v>0</v>
      </c>
      <c r="J1152" s="6">
        <f>VLOOKUP(operations[productID],products[],5,FALSE)</f>
        <v>0</v>
      </c>
      <c r="K1152" s="6">
        <f>VLOOKUP(operations[productID],products[],6,FALSE)</f>
        <v>0</v>
      </c>
      <c r="L1152" s="10">
        <f t="array" ref="L1152">INDEX('1 orders'!I1152:I2156, MATCH(1, ('1 orders'!A1152:A2156=A1152)*('1 orders'!G1152:G2156=F1152), 0))
</f>
        <v>30</v>
      </c>
      <c r="M1152" s="10">
        <f>IFERROR(__xludf.DUMMYFUNCTION("COUNTUNIQUEIFS($A$2:$A1152,$F$2:$F1152,F1152)"),19.0)</f>
        <v>19</v>
      </c>
      <c r="N1152" s="10">
        <f t="shared" si="1"/>
        <v>70</v>
      </c>
      <c r="O1152" s="26">
        <f>IF(operations[sinceLastOrder]=0,0,operations[orderQuantity] / operations[sinceLastOrder])</f>
        <v>0.4285714286</v>
      </c>
      <c r="P1152" s="9">
        <v>96.5</v>
      </c>
      <c r="Q1152" s="7" t="s">
        <v>15</v>
      </c>
      <c r="R1152" s="10">
        <f>operations[arrivedDate]-operations[shippedDate]</f>
        <v>11</v>
      </c>
    </row>
    <row r="1153" ht="15.75" customHeight="1">
      <c r="A1153" s="6">
        <v>10686.0</v>
      </c>
      <c r="B1153" s="24">
        <v>45199.0</v>
      </c>
      <c r="C1153" s="24">
        <v>45227.0</v>
      </c>
      <c r="D1153" s="24">
        <v>45207.0</v>
      </c>
      <c r="E1153" s="24">
        <v>45218.0</v>
      </c>
      <c r="F1153" s="6">
        <v>26.0</v>
      </c>
      <c r="G1153" s="9" t="str">
        <f>VLOOKUP(operations[productID],products[],2,FALSE)</f>
        <v>NuNuCa Nuß-Nougat-Creme</v>
      </c>
      <c r="H1153" s="9" t="str">
        <f>IF(VLOOKUP(operations[productID],products[],7,FALSE)=1,"Discontinued","Current")</f>
        <v>Current</v>
      </c>
      <c r="I1153" s="6">
        <f>VLOOKUP(operations[productID],products[],4,FALSE)</f>
        <v>15</v>
      </c>
      <c r="J1153" s="6">
        <f>VLOOKUP(operations[productID],products[],5,FALSE)</f>
        <v>0</v>
      </c>
      <c r="K1153" s="6">
        <f>VLOOKUP(operations[productID],products[],6,FALSE)</f>
        <v>0</v>
      </c>
      <c r="L1153" s="10">
        <f t="array" ref="L1153">INDEX('1 orders'!I1153:I2156, MATCH(1, ('1 orders'!A1153:A2156=A1153)*('1 orders'!G1153:G2156=F1153), 0))
</f>
        <v>15</v>
      </c>
      <c r="M1153" s="10">
        <f>IFERROR(__xludf.DUMMYFUNCTION("COUNTUNIQUEIFS($A$2:$A1153,$F$2:$F1153,F1153)"),18.0)</f>
        <v>18</v>
      </c>
      <c r="N1153" s="10">
        <f t="shared" si="1"/>
        <v>8</v>
      </c>
      <c r="O1153" s="26">
        <f>IF(operations[sinceLastOrder]=0,0,operations[orderQuantity] / operations[sinceLastOrder])</f>
        <v>1.875</v>
      </c>
      <c r="P1153" s="9">
        <v>96.5</v>
      </c>
      <c r="Q1153" s="7" t="s">
        <v>15</v>
      </c>
      <c r="R1153" s="10">
        <f>operations[arrivedDate]-operations[shippedDate]</f>
        <v>11</v>
      </c>
    </row>
    <row r="1154" ht="15.75" customHeight="1">
      <c r="A1154" s="6">
        <v>10687.0</v>
      </c>
      <c r="B1154" s="24">
        <v>45199.0</v>
      </c>
      <c r="C1154" s="24">
        <v>45227.0</v>
      </c>
      <c r="D1154" s="24">
        <v>45229.0</v>
      </c>
      <c r="E1154" s="24">
        <v>45245.0</v>
      </c>
      <c r="F1154" s="6">
        <v>9.0</v>
      </c>
      <c r="G1154" s="9" t="str">
        <f>VLOOKUP(operations[productID],products[],2,FALSE)</f>
        <v>Mishi Kobe Niku</v>
      </c>
      <c r="H1154" s="9" t="str">
        <f>IF(VLOOKUP(operations[productID],products[],7,FALSE)=1,"Discontinued","Current")</f>
        <v>Discontinued</v>
      </c>
      <c r="I1154" s="6">
        <f>VLOOKUP(operations[productID],products[],4,FALSE)</f>
        <v>29</v>
      </c>
      <c r="J1154" s="6">
        <f>VLOOKUP(operations[productID],products[],5,FALSE)</f>
        <v>0</v>
      </c>
      <c r="K1154" s="6">
        <f>VLOOKUP(operations[productID],products[],6,FALSE)</f>
        <v>0</v>
      </c>
      <c r="L1154" s="10">
        <f t="array" ref="L1154">INDEX('1 orders'!I1154:I2156, MATCH(1, ('1 orders'!A1154:A2156=A1154)*('1 orders'!G1154:G2156=F1154), 0))
</f>
        <v>50</v>
      </c>
      <c r="M1154" s="10">
        <f>IFERROR(__xludf.DUMMYFUNCTION("COUNTUNIQUEIFS($A$2:$A1154,$F$2:$F1154,F1154)"),3.0)</f>
        <v>3</v>
      </c>
      <c r="N1154" s="10">
        <f t="shared" si="1"/>
        <v>160</v>
      </c>
      <c r="O1154" s="26">
        <f>IF(operations[sinceLastOrder]=0,0,operations[orderQuantity] / operations[sinceLastOrder])</f>
        <v>0.3125</v>
      </c>
      <c r="P1154" s="9">
        <v>296.43</v>
      </c>
      <c r="Q1154" s="7" t="s">
        <v>17</v>
      </c>
      <c r="R1154" s="10">
        <f>operations[arrivedDate]-operations[shippedDate]</f>
        <v>16</v>
      </c>
    </row>
    <row r="1155" ht="15.75" customHeight="1">
      <c r="A1155" s="6">
        <v>10687.0</v>
      </c>
      <c r="B1155" s="24">
        <v>45199.0</v>
      </c>
      <c r="C1155" s="24">
        <v>45227.0</v>
      </c>
      <c r="D1155" s="24">
        <v>45229.0</v>
      </c>
      <c r="E1155" s="24">
        <v>45245.0</v>
      </c>
      <c r="F1155" s="6">
        <v>29.0</v>
      </c>
      <c r="G1155" s="9" t="str">
        <f>VLOOKUP(operations[productID],products[],2,FALSE)</f>
        <v>Thüringer Rostbratwurst</v>
      </c>
      <c r="H1155" s="9" t="str">
        <f>IF(VLOOKUP(operations[productID],products[],7,FALSE)=1,"Discontinued","Current")</f>
        <v>Discontinued</v>
      </c>
      <c r="I1155" s="6">
        <f>VLOOKUP(operations[productID],products[],4,FALSE)</f>
        <v>0</v>
      </c>
      <c r="J1155" s="6">
        <f>VLOOKUP(operations[productID],products[],5,FALSE)</f>
        <v>0</v>
      </c>
      <c r="K1155" s="6">
        <f>VLOOKUP(operations[productID],products[],6,FALSE)</f>
        <v>0</v>
      </c>
      <c r="L1155" s="10">
        <f t="array" ref="L1155">INDEX('1 orders'!I1155:I2156, MATCH(1, ('1 orders'!A1155:A2156=A1155)*('1 orders'!G1155:G2156=F1155), 0))
</f>
        <v>10</v>
      </c>
      <c r="M1155" s="10">
        <f>IFERROR(__xludf.DUMMYFUNCTION("COUNTUNIQUEIFS($A$2:$A1155,$F$2:$F1155,F1155)"),16.0)</f>
        <v>16</v>
      </c>
      <c r="N1155" s="10">
        <f t="shared" si="1"/>
        <v>18</v>
      </c>
      <c r="O1155" s="26">
        <f>IF(operations[sinceLastOrder]=0,0,operations[orderQuantity] / operations[sinceLastOrder])</f>
        <v>0.5555555556</v>
      </c>
      <c r="P1155" s="9">
        <v>296.43</v>
      </c>
      <c r="Q1155" s="7" t="s">
        <v>17</v>
      </c>
      <c r="R1155" s="10">
        <f>operations[arrivedDate]-operations[shippedDate]</f>
        <v>16</v>
      </c>
    </row>
    <row r="1156" ht="15.75" customHeight="1">
      <c r="A1156" s="6">
        <v>10687.0</v>
      </c>
      <c r="B1156" s="24">
        <v>45199.0</v>
      </c>
      <c r="C1156" s="24">
        <v>45227.0</v>
      </c>
      <c r="D1156" s="24">
        <v>45229.0</v>
      </c>
      <c r="E1156" s="24">
        <v>45245.0</v>
      </c>
      <c r="F1156" s="6">
        <v>36.0</v>
      </c>
      <c r="G1156" s="9" t="str">
        <f>VLOOKUP(operations[productID],products[],2,FALSE)</f>
        <v>Inlagd Sill</v>
      </c>
      <c r="H1156" s="9" t="str">
        <f>IF(VLOOKUP(operations[productID],products[],7,FALSE)=1,"Discontinued","Current")</f>
        <v>Current</v>
      </c>
      <c r="I1156" s="6">
        <f>VLOOKUP(operations[productID],products[],4,FALSE)</f>
        <v>112</v>
      </c>
      <c r="J1156" s="6">
        <f>VLOOKUP(operations[productID],products[],5,FALSE)</f>
        <v>0</v>
      </c>
      <c r="K1156" s="6">
        <f>VLOOKUP(operations[productID],products[],6,FALSE)</f>
        <v>20</v>
      </c>
      <c r="L1156" s="10">
        <f t="array" ref="L1156">INDEX('1 orders'!I1156:I2156, MATCH(1, ('1 orders'!A1156:A2156=A1156)*('1 orders'!G1156:G2156=F1156), 0))
</f>
        <v>6</v>
      </c>
      <c r="M1156" s="10">
        <f>IFERROR(__xludf.DUMMYFUNCTION("COUNTUNIQUEIFS($A$2:$A1156,$F$2:$F1156,F1156)"),18.0)</f>
        <v>18</v>
      </c>
      <c r="N1156" s="10">
        <f t="shared" si="1"/>
        <v>15</v>
      </c>
      <c r="O1156" s="26">
        <f>IF(operations[sinceLastOrder]=0,0,operations[orderQuantity] / operations[sinceLastOrder])</f>
        <v>0.4</v>
      </c>
      <c r="P1156" s="9">
        <v>296.43</v>
      </c>
      <c r="Q1156" s="7" t="s">
        <v>17</v>
      </c>
      <c r="R1156" s="10">
        <f>operations[arrivedDate]-operations[shippedDate]</f>
        <v>16</v>
      </c>
    </row>
    <row r="1157" ht="15.75" customHeight="1">
      <c r="A1157" s="6">
        <v>10688.0</v>
      </c>
      <c r="B1157" s="24">
        <v>45200.0</v>
      </c>
      <c r="C1157" s="24">
        <v>45214.0</v>
      </c>
      <c r="D1157" s="24">
        <v>45206.0</v>
      </c>
      <c r="E1157" s="24">
        <v>45218.0</v>
      </c>
      <c r="F1157" s="6">
        <v>10.0</v>
      </c>
      <c r="G1157" s="9" t="str">
        <f>VLOOKUP(operations[productID],products[],2,FALSE)</f>
        <v>Ikura</v>
      </c>
      <c r="H1157" s="9" t="str">
        <f>IF(VLOOKUP(operations[productID],products[],7,FALSE)=1,"Discontinued","Current")</f>
        <v>Current</v>
      </c>
      <c r="I1157" s="6">
        <f>VLOOKUP(operations[productID],products[],4,FALSE)</f>
        <v>31</v>
      </c>
      <c r="J1157" s="6">
        <f>VLOOKUP(operations[productID],products[],5,FALSE)</f>
        <v>0</v>
      </c>
      <c r="K1157" s="6">
        <f>VLOOKUP(operations[productID],products[],6,FALSE)</f>
        <v>0</v>
      </c>
      <c r="L1157" s="10">
        <f t="array" ref="L1157">INDEX('1 orders'!I1157:I2156, MATCH(1, ('1 orders'!A1157:A2156=A1157)*('1 orders'!G1157:G2156=F1157), 0))
</f>
        <v>18</v>
      </c>
      <c r="M1157" s="10">
        <f>IFERROR(__xludf.DUMMYFUNCTION("COUNTUNIQUEIFS($A$2:$A1157,$F$2:$F1157,F1157)"),17.0)</f>
        <v>17</v>
      </c>
      <c r="N1157" s="10">
        <f t="shared" si="1"/>
        <v>2</v>
      </c>
      <c r="O1157" s="26">
        <f>IF(operations[sinceLastOrder]=0,0,operations[orderQuantity] / operations[sinceLastOrder])</f>
        <v>9</v>
      </c>
      <c r="P1157" s="9">
        <v>299.09</v>
      </c>
      <c r="Q1157" s="7" t="s">
        <v>17</v>
      </c>
      <c r="R1157" s="10">
        <f>operations[arrivedDate]-operations[shippedDate]</f>
        <v>12</v>
      </c>
    </row>
    <row r="1158" ht="15.75" customHeight="1">
      <c r="A1158" s="6">
        <v>10688.0</v>
      </c>
      <c r="B1158" s="24">
        <v>45200.0</v>
      </c>
      <c r="C1158" s="24">
        <v>45214.0</v>
      </c>
      <c r="D1158" s="24">
        <v>45206.0</v>
      </c>
      <c r="E1158" s="24">
        <v>45218.0</v>
      </c>
      <c r="F1158" s="6">
        <v>28.0</v>
      </c>
      <c r="G1158" s="9" t="str">
        <f>VLOOKUP(operations[productID],products[],2,FALSE)</f>
        <v>Rössle Sauerkraut</v>
      </c>
      <c r="H1158" s="9" t="str">
        <f>IF(VLOOKUP(operations[productID],products[],7,FALSE)=1,"Discontinued","Current")</f>
        <v>Discontinued</v>
      </c>
      <c r="I1158" s="6">
        <f>VLOOKUP(operations[productID],products[],4,FALSE)</f>
        <v>26</v>
      </c>
      <c r="J1158" s="6">
        <f>VLOOKUP(operations[productID],products[],5,FALSE)</f>
        <v>0</v>
      </c>
      <c r="K1158" s="6">
        <f>VLOOKUP(operations[productID],products[],6,FALSE)</f>
        <v>0</v>
      </c>
      <c r="L1158" s="10">
        <f t="array" ref="L1158">INDEX('1 orders'!I1158:I2156, MATCH(1, ('1 orders'!A1158:A2156=A1158)*('1 orders'!G1158:G2156=F1158), 0))
</f>
        <v>60</v>
      </c>
      <c r="M1158" s="10">
        <f>IFERROR(__xludf.DUMMYFUNCTION("COUNTUNIQUEIFS($A$2:$A1158,$F$2:$F1158,F1158)"),22.0)</f>
        <v>22</v>
      </c>
      <c r="N1158" s="10">
        <f t="shared" si="1"/>
        <v>34</v>
      </c>
      <c r="O1158" s="26">
        <f>IF(operations[sinceLastOrder]=0,0,operations[orderQuantity] / operations[sinceLastOrder])</f>
        <v>1.764705882</v>
      </c>
      <c r="P1158" s="9">
        <v>299.09</v>
      </c>
      <c r="Q1158" s="7" t="s">
        <v>17</v>
      </c>
      <c r="R1158" s="10">
        <f>operations[arrivedDate]-operations[shippedDate]</f>
        <v>12</v>
      </c>
    </row>
    <row r="1159" ht="15.75" customHeight="1">
      <c r="A1159" s="6">
        <v>10688.0</v>
      </c>
      <c r="B1159" s="24">
        <v>45200.0</v>
      </c>
      <c r="C1159" s="24">
        <v>45214.0</v>
      </c>
      <c r="D1159" s="24">
        <v>45206.0</v>
      </c>
      <c r="E1159" s="24">
        <v>45218.0</v>
      </c>
      <c r="F1159" s="6">
        <v>34.0</v>
      </c>
      <c r="G1159" s="9" t="str">
        <f>VLOOKUP(operations[productID],products[],2,FALSE)</f>
        <v>Sasquatch Ale</v>
      </c>
      <c r="H1159" s="9" t="str">
        <f>IF(VLOOKUP(operations[productID],products[],7,FALSE)=1,"Discontinued","Current")</f>
        <v>Current</v>
      </c>
      <c r="I1159" s="6">
        <f>VLOOKUP(operations[productID],products[],4,FALSE)</f>
        <v>111</v>
      </c>
      <c r="J1159" s="6">
        <f>VLOOKUP(operations[productID],products[],5,FALSE)</f>
        <v>0</v>
      </c>
      <c r="K1159" s="6">
        <f>VLOOKUP(operations[productID],products[],6,FALSE)</f>
        <v>15</v>
      </c>
      <c r="L1159" s="10">
        <f t="array" ref="L1159">INDEX('1 orders'!I1159:I2156, MATCH(1, ('1 orders'!A1159:A2156=A1159)*('1 orders'!G1159:G2156=F1159), 0))
</f>
        <v>14</v>
      </c>
      <c r="M1159" s="10">
        <f>IFERROR(__xludf.DUMMYFUNCTION("COUNTUNIQUEIFS($A$2:$A1159,$F$2:$F1159,F1159)"),10.0)</f>
        <v>10</v>
      </c>
      <c r="N1159" s="10">
        <f t="shared" si="1"/>
        <v>104</v>
      </c>
      <c r="O1159" s="26">
        <f>IF(operations[sinceLastOrder]=0,0,operations[orderQuantity] / operations[sinceLastOrder])</f>
        <v>0.1346153846</v>
      </c>
      <c r="P1159" s="9">
        <v>299.09</v>
      </c>
      <c r="Q1159" s="7" t="s">
        <v>17</v>
      </c>
      <c r="R1159" s="10">
        <f>operations[arrivedDate]-operations[shippedDate]</f>
        <v>12</v>
      </c>
    </row>
    <row r="1160" ht="15.75" customHeight="1">
      <c r="A1160" s="6">
        <v>10689.0</v>
      </c>
      <c r="B1160" s="24">
        <v>45200.0</v>
      </c>
      <c r="C1160" s="24">
        <v>45228.0</v>
      </c>
      <c r="D1160" s="24">
        <v>45206.0</v>
      </c>
      <c r="E1160" s="24">
        <v>45217.0</v>
      </c>
      <c r="F1160" s="6">
        <v>1.0</v>
      </c>
      <c r="G1160" s="9" t="str">
        <f>VLOOKUP(operations[productID],products[],2,FALSE)</f>
        <v>Chai</v>
      </c>
      <c r="H1160" s="9" t="str">
        <f>IF(VLOOKUP(operations[productID],products[],7,FALSE)=1,"Discontinued","Current")</f>
        <v>Current</v>
      </c>
      <c r="I1160" s="6">
        <f>VLOOKUP(operations[productID],products[],4,FALSE)</f>
        <v>39</v>
      </c>
      <c r="J1160" s="6">
        <f>VLOOKUP(operations[productID],products[],5,FALSE)</f>
        <v>0</v>
      </c>
      <c r="K1160" s="6">
        <f>VLOOKUP(operations[productID],products[],6,FALSE)</f>
        <v>10</v>
      </c>
      <c r="L1160" s="10">
        <f t="array" ref="L1160">INDEX('1 orders'!I1160:I2156, MATCH(1, ('1 orders'!A1160:A2156=A1160)*('1 orders'!G1160:G2156=F1160), 0))
</f>
        <v>35</v>
      </c>
      <c r="M1160" s="10">
        <f>IFERROR(__xludf.DUMMYFUNCTION("COUNTUNIQUEIFS($A$2:$A1160,$F$2:$F1160,F1160)"),18.0)</f>
        <v>18</v>
      </c>
      <c r="N1160" s="10">
        <f t="shared" si="1"/>
        <v>35</v>
      </c>
      <c r="O1160" s="26">
        <f>IF(operations[sinceLastOrder]=0,0,operations[orderQuantity] / operations[sinceLastOrder])</f>
        <v>1</v>
      </c>
      <c r="P1160" s="9">
        <v>13.42</v>
      </c>
      <c r="Q1160" s="7" t="s">
        <v>17</v>
      </c>
      <c r="R1160" s="10">
        <f>operations[arrivedDate]-operations[shippedDate]</f>
        <v>11</v>
      </c>
    </row>
    <row r="1161" ht="15.75" customHeight="1">
      <c r="A1161" s="6">
        <v>10690.0</v>
      </c>
      <c r="B1161" s="24">
        <v>45201.0</v>
      </c>
      <c r="C1161" s="24">
        <v>45229.0</v>
      </c>
      <c r="D1161" s="24">
        <v>45202.0</v>
      </c>
      <c r="E1161" s="24">
        <v>45216.0</v>
      </c>
      <c r="F1161" s="6">
        <v>56.0</v>
      </c>
      <c r="G1161" s="9" t="str">
        <f>VLOOKUP(operations[productID],products[],2,FALSE)</f>
        <v>Gnocchi di nonna Alice</v>
      </c>
      <c r="H1161" s="9" t="str">
        <f>IF(VLOOKUP(operations[productID],products[],7,FALSE)=1,"Discontinued","Current")</f>
        <v>Current</v>
      </c>
      <c r="I1161" s="6">
        <f>VLOOKUP(operations[productID],products[],4,FALSE)</f>
        <v>21</v>
      </c>
      <c r="J1161" s="6">
        <f>VLOOKUP(operations[productID],products[],5,FALSE)</f>
        <v>10</v>
      </c>
      <c r="K1161" s="6">
        <f>VLOOKUP(operations[productID],products[],6,FALSE)</f>
        <v>30</v>
      </c>
      <c r="L1161" s="10">
        <f t="array" ref="L1161">INDEX('1 orders'!I1161:I2156, MATCH(1, ('1 orders'!A1161:A2156=A1161)*('1 orders'!G1161:G2156=F1161), 0))
</f>
        <v>20</v>
      </c>
      <c r="M1161" s="10">
        <f>IFERROR(__xludf.DUMMYFUNCTION("COUNTUNIQUEIFS($A$2:$A1161,$F$2:$F1161,F1161)"),30.0)</f>
        <v>30</v>
      </c>
      <c r="N1161" s="10">
        <f t="shared" si="1"/>
        <v>22</v>
      </c>
      <c r="O1161" s="26">
        <f>IF(operations[sinceLastOrder]=0,0,operations[orderQuantity] / operations[sinceLastOrder])</f>
        <v>0.9090909091</v>
      </c>
      <c r="P1161" s="9">
        <v>15.8</v>
      </c>
      <c r="Q1161" s="7" t="s">
        <v>15</v>
      </c>
      <c r="R1161" s="10">
        <f>operations[arrivedDate]-operations[shippedDate]</f>
        <v>14</v>
      </c>
    </row>
    <row r="1162" ht="15.75" customHeight="1">
      <c r="A1162" s="6">
        <v>10690.0</v>
      </c>
      <c r="B1162" s="24">
        <v>45201.0</v>
      </c>
      <c r="C1162" s="24">
        <v>45229.0</v>
      </c>
      <c r="D1162" s="24">
        <v>45202.0</v>
      </c>
      <c r="E1162" s="24">
        <v>45216.0</v>
      </c>
      <c r="F1162" s="6">
        <v>77.0</v>
      </c>
      <c r="G1162" s="9" t="str">
        <f>VLOOKUP(operations[productID],products[],2,FALSE)</f>
        <v>Original Frankfurter grüne Soße</v>
      </c>
      <c r="H1162" s="9" t="str">
        <f>IF(VLOOKUP(operations[productID],products[],7,FALSE)=1,"Discontinued","Current")</f>
        <v>Current</v>
      </c>
      <c r="I1162" s="6">
        <f>VLOOKUP(operations[productID],products[],4,FALSE)</f>
        <v>32</v>
      </c>
      <c r="J1162" s="6">
        <f>VLOOKUP(operations[productID],products[],5,FALSE)</f>
        <v>0</v>
      </c>
      <c r="K1162" s="6">
        <f>VLOOKUP(operations[productID],products[],6,FALSE)</f>
        <v>15</v>
      </c>
      <c r="L1162" s="10">
        <f t="array" ref="L1162">INDEX('1 orders'!I1162:I2156, MATCH(1, ('1 orders'!A1162:A2156=A1162)*('1 orders'!G1162:G2156=F1162), 0))
</f>
        <v>30</v>
      </c>
      <c r="M1162" s="10">
        <f>IFERROR(__xludf.DUMMYFUNCTION("COUNTUNIQUEIFS($A$2:$A1162,$F$2:$F1162,F1162)"),21.0)</f>
        <v>21</v>
      </c>
      <c r="N1162" s="10">
        <f t="shared" si="1"/>
        <v>27</v>
      </c>
      <c r="O1162" s="26">
        <f>IF(operations[sinceLastOrder]=0,0,operations[orderQuantity] / operations[sinceLastOrder])</f>
        <v>1.111111111</v>
      </c>
      <c r="P1162" s="9">
        <v>15.8</v>
      </c>
      <c r="Q1162" s="7" t="s">
        <v>15</v>
      </c>
      <c r="R1162" s="10">
        <f>operations[arrivedDate]-operations[shippedDate]</f>
        <v>14</v>
      </c>
    </row>
    <row r="1163" ht="15.75" customHeight="1">
      <c r="A1163" s="6">
        <v>10691.0</v>
      </c>
      <c r="B1163" s="24">
        <v>45202.0</v>
      </c>
      <c r="C1163" s="24">
        <v>45244.0</v>
      </c>
      <c r="D1163" s="24">
        <v>45221.0</v>
      </c>
      <c r="E1163" s="24">
        <v>45230.0</v>
      </c>
      <c r="F1163" s="6">
        <v>1.0</v>
      </c>
      <c r="G1163" s="9" t="str">
        <f>VLOOKUP(operations[productID],products[],2,FALSE)</f>
        <v>Chai</v>
      </c>
      <c r="H1163" s="9" t="str">
        <f>IF(VLOOKUP(operations[productID],products[],7,FALSE)=1,"Discontinued","Current")</f>
        <v>Current</v>
      </c>
      <c r="I1163" s="6">
        <f>VLOOKUP(operations[productID],products[],4,FALSE)</f>
        <v>39</v>
      </c>
      <c r="J1163" s="6">
        <f>VLOOKUP(operations[productID],products[],5,FALSE)</f>
        <v>0</v>
      </c>
      <c r="K1163" s="6">
        <f>VLOOKUP(operations[productID],products[],6,FALSE)</f>
        <v>10</v>
      </c>
      <c r="L1163" s="10">
        <f t="array" ref="L1163">INDEX('1 orders'!I1163:I2156, MATCH(1, ('1 orders'!A1163:A2156=A1163)*('1 orders'!G1163:G2156=F1163), 0))
</f>
        <v>30</v>
      </c>
      <c r="M1163" s="10">
        <f>IFERROR(__xludf.DUMMYFUNCTION("COUNTUNIQUEIFS($A$2:$A1163,$F$2:$F1163,F1163)"),19.0)</f>
        <v>19</v>
      </c>
      <c r="N1163" s="10">
        <f t="shared" si="1"/>
        <v>2</v>
      </c>
      <c r="O1163" s="26">
        <f>IF(operations[sinceLastOrder]=0,0,operations[orderQuantity] / operations[sinceLastOrder])</f>
        <v>15</v>
      </c>
      <c r="P1163" s="9">
        <v>810.05</v>
      </c>
      <c r="Q1163" s="7" t="s">
        <v>17</v>
      </c>
      <c r="R1163" s="10">
        <f>operations[arrivedDate]-operations[shippedDate]</f>
        <v>9</v>
      </c>
    </row>
    <row r="1164" ht="15.75" customHeight="1">
      <c r="A1164" s="6">
        <v>10691.0</v>
      </c>
      <c r="B1164" s="24">
        <v>45202.0</v>
      </c>
      <c r="C1164" s="24">
        <v>45244.0</v>
      </c>
      <c r="D1164" s="24">
        <v>45221.0</v>
      </c>
      <c r="E1164" s="24">
        <v>45230.0</v>
      </c>
      <c r="F1164" s="6">
        <v>29.0</v>
      </c>
      <c r="G1164" s="9" t="str">
        <f>VLOOKUP(operations[productID],products[],2,FALSE)</f>
        <v>Thüringer Rostbratwurst</v>
      </c>
      <c r="H1164" s="9" t="str">
        <f>IF(VLOOKUP(operations[productID],products[],7,FALSE)=1,"Discontinued","Current")</f>
        <v>Discontinued</v>
      </c>
      <c r="I1164" s="6">
        <f>VLOOKUP(operations[productID],products[],4,FALSE)</f>
        <v>0</v>
      </c>
      <c r="J1164" s="6">
        <f>VLOOKUP(operations[productID],products[],5,FALSE)</f>
        <v>0</v>
      </c>
      <c r="K1164" s="6">
        <f>VLOOKUP(operations[productID],products[],6,FALSE)</f>
        <v>0</v>
      </c>
      <c r="L1164" s="10">
        <f t="array" ref="L1164">INDEX('1 orders'!I1164:I2156, MATCH(1, ('1 orders'!A1164:A2156=A1164)*('1 orders'!G1164:G2156=F1164), 0))
</f>
        <v>40</v>
      </c>
      <c r="M1164" s="10">
        <f>IFERROR(__xludf.DUMMYFUNCTION("COUNTUNIQUEIFS($A$2:$A1164,$F$2:$F1164,F1164)"),17.0)</f>
        <v>17</v>
      </c>
      <c r="N1164" s="10">
        <f t="shared" si="1"/>
        <v>3</v>
      </c>
      <c r="O1164" s="26">
        <f>IF(operations[sinceLastOrder]=0,0,operations[orderQuantity] / operations[sinceLastOrder])</f>
        <v>13.33333333</v>
      </c>
      <c r="P1164" s="9">
        <v>810.05</v>
      </c>
      <c r="Q1164" s="7" t="s">
        <v>17</v>
      </c>
      <c r="R1164" s="10">
        <f>operations[arrivedDate]-operations[shippedDate]</f>
        <v>9</v>
      </c>
    </row>
    <row r="1165" ht="15.75" customHeight="1">
      <c r="A1165" s="6">
        <v>10691.0</v>
      </c>
      <c r="B1165" s="24">
        <v>45202.0</v>
      </c>
      <c r="C1165" s="24">
        <v>45244.0</v>
      </c>
      <c r="D1165" s="24">
        <v>45221.0</v>
      </c>
      <c r="E1165" s="24">
        <v>45230.0</v>
      </c>
      <c r="F1165" s="6">
        <v>43.0</v>
      </c>
      <c r="G1165" s="9" t="str">
        <f>VLOOKUP(operations[productID],products[],2,FALSE)</f>
        <v>Ipoh Coffee</v>
      </c>
      <c r="H1165" s="9" t="str">
        <f>IF(VLOOKUP(operations[productID],products[],7,FALSE)=1,"Discontinued","Current")</f>
        <v>Current</v>
      </c>
      <c r="I1165" s="6">
        <f>VLOOKUP(operations[productID],products[],4,FALSE)</f>
        <v>17</v>
      </c>
      <c r="J1165" s="6">
        <f>VLOOKUP(operations[productID],products[],5,FALSE)</f>
        <v>10</v>
      </c>
      <c r="K1165" s="6">
        <f>VLOOKUP(operations[productID],products[],6,FALSE)</f>
        <v>25</v>
      </c>
      <c r="L1165" s="10">
        <f t="array" ref="L1165">INDEX('1 orders'!I1165:I2156, MATCH(1, ('1 orders'!A1165:A2156=A1165)*('1 orders'!G1165:G2156=F1165), 0))
</f>
        <v>40</v>
      </c>
      <c r="M1165" s="10">
        <f>IFERROR(__xludf.DUMMYFUNCTION("COUNTUNIQUEIFS($A$2:$A1165,$F$2:$F1165,F1165)"),15.0)</f>
        <v>15</v>
      </c>
      <c r="N1165" s="10">
        <f t="shared" si="1"/>
        <v>15</v>
      </c>
      <c r="O1165" s="26">
        <f>IF(operations[sinceLastOrder]=0,0,operations[orderQuantity] / operations[sinceLastOrder])</f>
        <v>2.666666667</v>
      </c>
      <c r="P1165" s="9">
        <v>810.05</v>
      </c>
      <c r="Q1165" s="7" t="s">
        <v>17</v>
      </c>
      <c r="R1165" s="10">
        <f>operations[arrivedDate]-operations[shippedDate]</f>
        <v>9</v>
      </c>
    </row>
    <row r="1166" ht="15.75" customHeight="1">
      <c r="A1166" s="6">
        <v>10691.0</v>
      </c>
      <c r="B1166" s="24">
        <v>45202.0</v>
      </c>
      <c r="C1166" s="24">
        <v>45244.0</v>
      </c>
      <c r="D1166" s="24">
        <v>45221.0</v>
      </c>
      <c r="E1166" s="24">
        <v>45230.0</v>
      </c>
      <c r="F1166" s="6">
        <v>44.0</v>
      </c>
      <c r="G1166" s="9" t="str">
        <f>VLOOKUP(operations[productID],products[],2,FALSE)</f>
        <v>Gula Malacca</v>
      </c>
      <c r="H1166" s="9" t="str">
        <f>IF(VLOOKUP(operations[productID],products[],7,FALSE)=1,"Discontinued","Current")</f>
        <v>Current</v>
      </c>
      <c r="I1166" s="6">
        <f>VLOOKUP(operations[productID],products[],4,FALSE)</f>
        <v>27</v>
      </c>
      <c r="J1166" s="6">
        <f>VLOOKUP(operations[productID],products[],5,FALSE)</f>
        <v>0</v>
      </c>
      <c r="K1166" s="6">
        <f>VLOOKUP(operations[productID],products[],6,FALSE)</f>
        <v>15</v>
      </c>
      <c r="L1166" s="10">
        <f t="array" ref="L1166">INDEX('1 orders'!I1166:I2156, MATCH(1, ('1 orders'!A1166:A2156=A1166)*('1 orders'!G1166:G2156=F1166), 0))
</f>
        <v>24</v>
      </c>
      <c r="M1166" s="10">
        <f>IFERROR(__xludf.DUMMYFUNCTION("COUNTUNIQUEIFS($A$2:$A1166,$F$2:$F1166,F1166)"),16.0)</f>
        <v>16</v>
      </c>
      <c r="N1166" s="10">
        <f t="shared" si="1"/>
        <v>11</v>
      </c>
      <c r="O1166" s="26">
        <f>IF(operations[sinceLastOrder]=0,0,operations[orderQuantity] / operations[sinceLastOrder])</f>
        <v>2.181818182</v>
      </c>
      <c r="P1166" s="9">
        <v>810.05</v>
      </c>
      <c r="Q1166" s="7" t="s">
        <v>17</v>
      </c>
      <c r="R1166" s="10">
        <f>operations[arrivedDate]-operations[shippedDate]</f>
        <v>9</v>
      </c>
    </row>
    <row r="1167" ht="15.75" customHeight="1">
      <c r="A1167" s="6">
        <v>10691.0</v>
      </c>
      <c r="B1167" s="24">
        <v>45202.0</v>
      </c>
      <c r="C1167" s="24">
        <v>45244.0</v>
      </c>
      <c r="D1167" s="24">
        <v>45221.0</v>
      </c>
      <c r="E1167" s="24">
        <v>45230.0</v>
      </c>
      <c r="F1167" s="6">
        <v>62.0</v>
      </c>
      <c r="G1167" s="9" t="str">
        <f>VLOOKUP(operations[productID],products[],2,FALSE)</f>
        <v>Tarte au sucre</v>
      </c>
      <c r="H1167" s="9" t="str">
        <f>IF(VLOOKUP(operations[productID],products[],7,FALSE)=1,"Discontinued","Current")</f>
        <v>Current</v>
      </c>
      <c r="I1167" s="6">
        <f>VLOOKUP(operations[productID],products[],4,FALSE)</f>
        <v>17</v>
      </c>
      <c r="J1167" s="6">
        <f>VLOOKUP(operations[productID],products[],5,FALSE)</f>
        <v>0</v>
      </c>
      <c r="K1167" s="6">
        <f>VLOOKUP(operations[productID],products[],6,FALSE)</f>
        <v>0</v>
      </c>
      <c r="L1167" s="10">
        <f t="array" ref="L1167">INDEX('1 orders'!I1167:I2156, MATCH(1, ('1 orders'!A1167:A2156=A1167)*('1 orders'!G1167:G2156=F1167), 0))
</f>
        <v>48</v>
      </c>
      <c r="M1167" s="10">
        <f>IFERROR(__xludf.DUMMYFUNCTION("COUNTUNIQUEIFS($A$2:$A1167,$F$2:$F1167,F1167)"),26.0)</f>
        <v>26</v>
      </c>
      <c r="N1167" s="10">
        <f t="shared" si="1"/>
        <v>16</v>
      </c>
      <c r="O1167" s="26">
        <f>IF(operations[sinceLastOrder]=0,0,operations[orderQuantity] / operations[sinceLastOrder])</f>
        <v>3</v>
      </c>
      <c r="P1167" s="9">
        <v>810.05</v>
      </c>
      <c r="Q1167" s="7" t="s">
        <v>17</v>
      </c>
      <c r="R1167" s="10">
        <f>operations[arrivedDate]-operations[shippedDate]</f>
        <v>9</v>
      </c>
    </row>
    <row r="1168" ht="15.75" customHeight="1">
      <c r="A1168" s="6">
        <v>10692.0</v>
      </c>
      <c r="B1168" s="24">
        <v>45202.0</v>
      </c>
      <c r="C1168" s="24">
        <v>45230.0</v>
      </c>
      <c r="D1168" s="24">
        <v>45212.0</v>
      </c>
      <c r="E1168" s="24">
        <v>45221.0</v>
      </c>
      <c r="F1168" s="6">
        <v>63.0</v>
      </c>
      <c r="G1168" s="9" t="str">
        <f>VLOOKUP(operations[productID],products[],2,FALSE)</f>
        <v>Vegie-spread</v>
      </c>
      <c r="H1168" s="9" t="str">
        <f>IF(VLOOKUP(operations[productID],products[],7,FALSE)=1,"Discontinued","Current")</f>
        <v>Current</v>
      </c>
      <c r="I1168" s="6">
        <f>VLOOKUP(operations[productID],products[],4,FALSE)</f>
        <v>24</v>
      </c>
      <c r="J1168" s="6">
        <f>VLOOKUP(operations[productID],products[],5,FALSE)</f>
        <v>0</v>
      </c>
      <c r="K1168" s="6">
        <f>VLOOKUP(operations[productID],products[],6,FALSE)</f>
        <v>5</v>
      </c>
      <c r="L1168" s="10">
        <f t="array" ref="L1168">INDEX('1 orders'!I1168:I2156, MATCH(1, ('1 orders'!A1168:A2156=A1168)*('1 orders'!G1168:G2156=F1168), 0))
</f>
        <v>20</v>
      </c>
      <c r="M1168" s="10">
        <f>IFERROR(__xludf.DUMMYFUNCTION("COUNTUNIQUEIFS($A$2:$A1168,$F$2:$F1168,F1168)"),9.0)</f>
        <v>9</v>
      </c>
      <c r="N1168" s="10">
        <f t="shared" si="1"/>
        <v>84</v>
      </c>
      <c r="O1168" s="26">
        <f>IF(operations[sinceLastOrder]=0,0,operations[orderQuantity] / operations[sinceLastOrder])</f>
        <v>0.2380952381</v>
      </c>
      <c r="P1168" s="9">
        <v>61.02</v>
      </c>
      <c r="Q1168" s="7" t="s">
        <v>17</v>
      </c>
      <c r="R1168" s="10">
        <f>operations[arrivedDate]-operations[shippedDate]</f>
        <v>9</v>
      </c>
    </row>
    <row r="1169" ht="15.75" customHeight="1">
      <c r="A1169" s="6">
        <v>10693.0</v>
      </c>
      <c r="B1169" s="24">
        <v>45205.0</v>
      </c>
      <c r="C1169" s="24">
        <v>45219.0</v>
      </c>
      <c r="D1169" s="24">
        <v>45209.0</v>
      </c>
      <c r="E1169" s="24">
        <v>45222.0</v>
      </c>
      <c r="F1169" s="6">
        <v>9.0</v>
      </c>
      <c r="G1169" s="9" t="str">
        <f>VLOOKUP(operations[productID],products[],2,FALSE)</f>
        <v>Mishi Kobe Niku</v>
      </c>
      <c r="H1169" s="9" t="str">
        <f>IF(VLOOKUP(operations[productID],products[],7,FALSE)=1,"Discontinued","Current")</f>
        <v>Discontinued</v>
      </c>
      <c r="I1169" s="6">
        <f>VLOOKUP(operations[productID],products[],4,FALSE)</f>
        <v>29</v>
      </c>
      <c r="J1169" s="6">
        <f>VLOOKUP(operations[productID],products[],5,FALSE)</f>
        <v>0</v>
      </c>
      <c r="K1169" s="6">
        <f>VLOOKUP(operations[productID],products[],6,FALSE)</f>
        <v>0</v>
      </c>
      <c r="L1169" s="10">
        <f t="array" ref="L1169">INDEX('1 orders'!I1169:I2156, MATCH(1, ('1 orders'!A1169:A2156=A1169)*('1 orders'!G1169:G2156=F1169), 0))
</f>
        <v>6</v>
      </c>
      <c r="M1169" s="10">
        <f>IFERROR(__xludf.DUMMYFUNCTION("COUNTUNIQUEIFS($A$2:$A1169,$F$2:$F1169,F1169)"),4.0)</f>
        <v>4</v>
      </c>
      <c r="N1169" s="10">
        <f t="shared" si="1"/>
        <v>6</v>
      </c>
      <c r="O1169" s="26">
        <f>IF(operations[sinceLastOrder]=0,0,operations[orderQuantity] / operations[sinceLastOrder])</f>
        <v>1</v>
      </c>
      <c r="P1169" s="9">
        <v>139.34</v>
      </c>
      <c r="Q1169" s="7" t="s">
        <v>13</v>
      </c>
      <c r="R1169" s="10">
        <f>operations[arrivedDate]-operations[shippedDate]</f>
        <v>13</v>
      </c>
    </row>
    <row r="1170" ht="15.75" customHeight="1">
      <c r="A1170" s="6">
        <v>10693.0</v>
      </c>
      <c r="B1170" s="24">
        <v>45205.0</v>
      </c>
      <c r="C1170" s="24">
        <v>45219.0</v>
      </c>
      <c r="D1170" s="24">
        <v>45209.0</v>
      </c>
      <c r="E1170" s="24">
        <v>45222.0</v>
      </c>
      <c r="F1170" s="6">
        <v>54.0</v>
      </c>
      <c r="G1170" s="9" t="str">
        <f>VLOOKUP(operations[productID],products[],2,FALSE)</f>
        <v>Tourtière</v>
      </c>
      <c r="H1170" s="9" t="str">
        <f>IF(VLOOKUP(operations[productID],products[],7,FALSE)=1,"Discontinued","Current")</f>
        <v>Current</v>
      </c>
      <c r="I1170" s="6">
        <f>VLOOKUP(operations[productID],products[],4,FALSE)</f>
        <v>21</v>
      </c>
      <c r="J1170" s="6">
        <f>VLOOKUP(operations[productID],products[],5,FALSE)</f>
        <v>0</v>
      </c>
      <c r="K1170" s="6">
        <f>VLOOKUP(operations[productID],products[],6,FALSE)</f>
        <v>10</v>
      </c>
      <c r="L1170" s="10">
        <f t="array" ref="L1170">INDEX('1 orders'!I1170:I2156, MATCH(1, ('1 orders'!A1170:A2156=A1170)*('1 orders'!G1170:G2156=F1170), 0))
</f>
        <v>60</v>
      </c>
      <c r="M1170" s="10">
        <f>IFERROR(__xludf.DUMMYFUNCTION("COUNTUNIQUEIFS($A$2:$A1170,$F$2:$F1170,F1170)"),25.0)</f>
        <v>25</v>
      </c>
      <c r="N1170" s="10">
        <f t="shared" si="1"/>
        <v>13</v>
      </c>
      <c r="O1170" s="26">
        <f>IF(operations[sinceLastOrder]=0,0,operations[orderQuantity] / operations[sinceLastOrder])</f>
        <v>4.615384615</v>
      </c>
      <c r="P1170" s="9">
        <v>139.34</v>
      </c>
      <c r="Q1170" s="7" t="s">
        <v>13</v>
      </c>
      <c r="R1170" s="10">
        <f>operations[arrivedDate]-operations[shippedDate]</f>
        <v>13</v>
      </c>
    </row>
    <row r="1171" ht="15.75" customHeight="1">
      <c r="A1171" s="6">
        <v>10693.0</v>
      </c>
      <c r="B1171" s="24">
        <v>45205.0</v>
      </c>
      <c r="C1171" s="24">
        <v>45219.0</v>
      </c>
      <c r="D1171" s="24">
        <v>45209.0</v>
      </c>
      <c r="E1171" s="24">
        <v>45222.0</v>
      </c>
      <c r="F1171" s="6">
        <v>69.0</v>
      </c>
      <c r="G1171" s="9" t="str">
        <f>VLOOKUP(operations[productID],products[],2,FALSE)</f>
        <v>Gudbrandsdalsost</v>
      </c>
      <c r="H1171" s="9" t="str">
        <f>IF(VLOOKUP(operations[productID],products[],7,FALSE)=1,"Discontinued","Current")</f>
        <v>Current</v>
      </c>
      <c r="I1171" s="6">
        <f>VLOOKUP(operations[productID],products[],4,FALSE)</f>
        <v>26</v>
      </c>
      <c r="J1171" s="6">
        <f>VLOOKUP(operations[productID],products[],5,FALSE)</f>
        <v>0</v>
      </c>
      <c r="K1171" s="6">
        <f>VLOOKUP(operations[productID],products[],6,FALSE)</f>
        <v>15</v>
      </c>
      <c r="L1171" s="10">
        <f t="array" ref="L1171">INDEX('1 orders'!I1171:I2156, MATCH(1, ('1 orders'!A1171:A2156=A1171)*('1 orders'!G1171:G2156=F1171), 0))
</f>
        <v>30</v>
      </c>
      <c r="M1171" s="10">
        <f>IFERROR(__xludf.DUMMYFUNCTION("COUNTUNIQUEIFS($A$2:$A1171,$F$2:$F1171,F1171)"),19.0)</f>
        <v>19</v>
      </c>
      <c r="N1171" s="10">
        <f t="shared" si="1"/>
        <v>24</v>
      </c>
      <c r="O1171" s="26">
        <f>IF(operations[sinceLastOrder]=0,0,operations[orderQuantity] / operations[sinceLastOrder])</f>
        <v>1.25</v>
      </c>
      <c r="P1171" s="9">
        <v>139.34</v>
      </c>
      <c r="Q1171" s="7" t="s">
        <v>13</v>
      </c>
      <c r="R1171" s="10">
        <f>operations[arrivedDate]-operations[shippedDate]</f>
        <v>13</v>
      </c>
    </row>
    <row r="1172" ht="15.75" customHeight="1">
      <c r="A1172" s="6">
        <v>10693.0</v>
      </c>
      <c r="B1172" s="24">
        <v>45205.0</v>
      </c>
      <c r="C1172" s="24">
        <v>45219.0</v>
      </c>
      <c r="D1172" s="24">
        <v>45209.0</v>
      </c>
      <c r="E1172" s="24">
        <v>45222.0</v>
      </c>
      <c r="F1172" s="6">
        <v>73.0</v>
      </c>
      <c r="G1172" s="9" t="str">
        <f>VLOOKUP(operations[productID],products[],2,FALSE)</f>
        <v>Röd Kaviar</v>
      </c>
      <c r="H1172" s="9" t="str">
        <f>IF(VLOOKUP(operations[productID],products[],7,FALSE)=1,"Discontinued","Current")</f>
        <v>Current</v>
      </c>
      <c r="I1172" s="6">
        <f>VLOOKUP(operations[productID],products[],4,FALSE)</f>
        <v>101</v>
      </c>
      <c r="J1172" s="6">
        <f>VLOOKUP(operations[productID],products[],5,FALSE)</f>
        <v>0</v>
      </c>
      <c r="K1172" s="6">
        <f>VLOOKUP(operations[productID],products[],6,FALSE)</f>
        <v>5</v>
      </c>
      <c r="L1172" s="10">
        <f t="array" ref="L1172">INDEX('1 orders'!I1172:I2156, MATCH(1, ('1 orders'!A1172:A2156=A1172)*('1 orders'!G1172:G2156=F1172), 0))
</f>
        <v>15</v>
      </c>
      <c r="M1172" s="10">
        <f>IFERROR(__xludf.DUMMYFUNCTION("COUNTUNIQUEIFS($A$2:$A1172,$F$2:$F1172,F1172)"),10.0)</f>
        <v>10</v>
      </c>
      <c r="N1172" s="10">
        <f t="shared" si="1"/>
        <v>20</v>
      </c>
      <c r="O1172" s="26">
        <f>IF(operations[sinceLastOrder]=0,0,operations[orderQuantity] / operations[sinceLastOrder])</f>
        <v>0.75</v>
      </c>
      <c r="P1172" s="9">
        <v>139.34</v>
      </c>
      <c r="Q1172" s="7" t="s">
        <v>13</v>
      </c>
      <c r="R1172" s="10">
        <f>operations[arrivedDate]-operations[shippedDate]</f>
        <v>13</v>
      </c>
    </row>
    <row r="1173" ht="15.75" customHeight="1">
      <c r="A1173" s="6">
        <v>10694.0</v>
      </c>
      <c r="B1173" s="24">
        <v>45205.0</v>
      </c>
      <c r="C1173" s="24">
        <v>45233.0</v>
      </c>
      <c r="D1173" s="24">
        <v>45208.0</v>
      </c>
      <c r="E1173" s="24">
        <v>45214.0</v>
      </c>
      <c r="F1173" s="6">
        <v>7.0</v>
      </c>
      <c r="G1173" s="9" t="str">
        <f>VLOOKUP(operations[productID],products[],2,FALSE)</f>
        <v>Uncle Bob's Organic Dried Pears</v>
      </c>
      <c r="H1173" s="9" t="str">
        <f>IF(VLOOKUP(operations[productID],products[],7,FALSE)=1,"Discontinued","Current")</f>
        <v>Current</v>
      </c>
      <c r="I1173" s="6">
        <f>VLOOKUP(operations[productID],products[],4,FALSE)</f>
        <v>15</v>
      </c>
      <c r="J1173" s="6">
        <f>VLOOKUP(operations[productID],products[],5,FALSE)</f>
        <v>0</v>
      </c>
      <c r="K1173" s="6">
        <f>VLOOKUP(operations[productID],products[],6,FALSE)</f>
        <v>10</v>
      </c>
      <c r="L1173" s="10">
        <f t="array" ref="L1173">INDEX('1 orders'!I1173:I2156, MATCH(1, ('1 orders'!A1173:A2156=A1173)*('1 orders'!G1173:G2156=F1173), 0))
</f>
        <v>90</v>
      </c>
      <c r="M1173" s="10">
        <f>IFERROR(__xludf.DUMMYFUNCTION("COUNTUNIQUEIFS($A$2:$A1173,$F$2:$F1173,F1173)"),10.0)</f>
        <v>10</v>
      </c>
      <c r="N1173" s="10">
        <f t="shared" si="1"/>
        <v>52</v>
      </c>
      <c r="O1173" s="26">
        <f>IF(operations[sinceLastOrder]=0,0,operations[orderQuantity] / operations[sinceLastOrder])</f>
        <v>1.730769231</v>
      </c>
      <c r="P1173" s="9">
        <v>398.36</v>
      </c>
      <c r="Q1173" s="7" t="s">
        <v>13</v>
      </c>
      <c r="R1173" s="10">
        <f>operations[arrivedDate]-operations[shippedDate]</f>
        <v>6</v>
      </c>
    </row>
    <row r="1174" ht="15.75" customHeight="1">
      <c r="A1174" s="6">
        <v>10694.0</v>
      </c>
      <c r="B1174" s="24">
        <v>45205.0</v>
      </c>
      <c r="C1174" s="24">
        <v>45233.0</v>
      </c>
      <c r="D1174" s="24">
        <v>45208.0</v>
      </c>
      <c r="E1174" s="24">
        <v>45214.0</v>
      </c>
      <c r="F1174" s="6">
        <v>59.0</v>
      </c>
      <c r="G1174" s="9" t="str">
        <f>VLOOKUP(operations[productID],products[],2,FALSE)</f>
        <v>Raclette Courdavault</v>
      </c>
      <c r="H1174" s="9" t="str">
        <f>IF(VLOOKUP(operations[productID],products[],7,FALSE)=1,"Discontinued","Current")</f>
        <v>Current</v>
      </c>
      <c r="I1174" s="6">
        <f>VLOOKUP(operations[productID],products[],4,FALSE)</f>
        <v>79</v>
      </c>
      <c r="J1174" s="6">
        <f>VLOOKUP(operations[productID],products[],5,FALSE)</f>
        <v>0</v>
      </c>
      <c r="K1174" s="6">
        <f>VLOOKUP(operations[productID],products[],6,FALSE)</f>
        <v>0</v>
      </c>
      <c r="L1174" s="10">
        <f t="array" ref="L1174">INDEX('1 orders'!I1174:I2156, MATCH(1, ('1 orders'!A1174:A2156=A1174)*('1 orders'!G1174:G2156=F1174), 0))
</f>
        <v>25</v>
      </c>
      <c r="M1174" s="10">
        <f>IFERROR(__xludf.DUMMYFUNCTION("COUNTUNIQUEIFS($A$2:$A1174,$F$2:$F1174,F1174)"),30.0)</f>
        <v>30</v>
      </c>
      <c r="N1174" s="10">
        <f t="shared" si="1"/>
        <v>13</v>
      </c>
      <c r="O1174" s="26">
        <f>IF(operations[sinceLastOrder]=0,0,operations[orderQuantity] / operations[sinceLastOrder])</f>
        <v>1.923076923</v>
      </c>
      <c r="P1174" s="9">
        <v>398.36</v>
      </c>
      <c r="Q1174" s="7" t="s">
        <v>13</v>
      </c>
      <c r="R1174" s="10">
        <f>operations[arrivedDate]-operations[shippedDate]</f>
        <v>6</v>
      </c>
    </row>
    <row r="1175" ht="15.75" customHeight="1">
      <c r="A1175" s="6">
        <v>10694.0</v>
      </c>
      <c r="B1175" s="24">
        <v>45205.0</v>
      </c>
      <c r="C1175" s="24">
        <v>45233.0</v>
      </c>
      <c r="D1175" s="24">
        <v>45208.0</v>
      </c>
      <c r="E1175" s="24">
        <v>45214.0</v>
      </c>
      <c r="F1175" s="6">
        <v>70.0</v>
      </c>
      <c r="G1175" s="9" t="str">
        <f>VLOOKUP(operations[productID],products[],2,FALSE)</f>
        <v>Outback Lager</v>
      </c>
      <c r="H1175" s="9" t="str">
        <f>IF(VLOOKUP(operations[productID],products[],7,FALSE)=1,"Discontinued","Current")</f>
        <v>Current</v>
      </c>
      <c r="I1175" s="6">
        <f>VLOOKUP(operations[productID],products[],4,FALSE)</f>
        <v>15</v>
      </c>
      <c r="J1175" s="6">
        <f>VLOOKUP(operations[productID],products[],5,FALSE)</f>
        <v>10</v>
      </c>
      <c r="K1175" s="6">
        <f>VLOOKUP(operations[productID],products[],6,FALSE)</f>
        <v>30</v>
      </c>
      <c r="L1175" s="10">
        <f t="array" ref="L1175">INDEX('1 orders'!I1175:I2156, MATCH(1, ('1 orders'!A1175:A2156=A1175)*('1 orders'!G1175:G2156=F1175), 0))
</f>
        <v>50</v>
      </c>
      <c r="M1175" s="10">
        <f>IFERROR(__xludf.DUMMYFUNCTION("COUNTUNIQUEIFS($A$2:$A1175,$F$2:$F1175,F1175)"),19.0)</f>
        <v>19</v>
      </c>
      <c r="N1175" s="10">
        <f t="shared" si="1"/>
        <v>31</v>
      </c>
      <c r="O1175" s="26">
        <f>IF(operations[sinceLastOrder]=0,0,operations[orderQuantity] / operations[sinceLastOrder])</f>
        <v>1.612903226</v>
      </c>
      <c r="P1175" s="9">
        <v>398.36</v>
      </c>
      <c r="Q1175" s="7" t="s">
        <v>13</v>
      </c>
      <c r="R1175" s="10">
        <f>operations[arrivedDate]-operations[shippedDate]</f>
        <v>6</v>
      </c>
    </row>
    <row r="1176" ht="15.75" customHeight="1">
      <c r="A1176" s="6">
        <v>10695.0</v>
      </c>
      <c r="B1176" s="24">
        <v>45206.0</v>
      </c>
      <c r="C1176" s="24">
        <v>45248.0</v>
      </c>
      <c r="D1176" s="24">
        <v>45213.0</v>
      </c>
      <c r="E1176" s="24">
        <v>45223.0</v>
      </c>
      <c r="F1176" s="6">
        <v>8.0</v>
      </c>
      <c r="G1176" s="9" t="str">
        <f>VLOOKUP(operations[productID],products[],2,FALSE)</f>
        <v>Northwoods Cranberry Sauce</v>
      </c>
      <c r="H1176" s="9" t="str">
        <f>IF(VLOOKUP(operations[productID],products[],7,FALSE)=1,"Discontinued","Current")</f>
        <v>Current</v>
      </c>
      <c r="I1176" s="6">
        <f>VLOOKUP(operations[productID],products[],4,FALSE)</f>
        <v>6</v>
      </c>
      <c r="J1176" s="6">
        <f>VLOOKUP(operations[productID],products[],5,FALSE)</f>
        <v>0</v>
      </c>
      <c r="K1176" s="6">
        <f>VLOOKUP(operations[productID],products[],6,FALSE)</f>
        <v>0</v>
      </c>
      <c r="L1176" s="10">
        <f t="array" ref="L1176">INDEX('1 orders'!I1176:I2156, MATCH(1, ('1 orders'!A1176:A2156=A1176)*('1 orders'!G1176:G2156=F1176), 0))
</f>
        <v>10</v>
      </c>
      <c r="M1176" s="10">
        <f>IFERROR(__xludf.DUMMYFUNCTION("COUNTUNIQUEIFS($A$2:$A1176,$F$2:$F1176,F1176)"),5.0)</f>
        <v>5</v>
      </c>
      <c r="N1176" s="10">
        <f t="shared" si="1"/>
        <v>160</v>
      </c>
      <c r="O1176" s="26">
        <f>IF(operations[sinceLastOrder]=0,0,operations[orderQuantity] / operations[sinceLastOrder])</f>
        <v>0.0625</v>
      </c>
      <c r="P1176" s="9">
        <v>16.72</v>
      </c>
      <c r="Q1176" s="7" t="s">
        <v>15</v>
      </c>
      <c r="R1176" s="10">
        <f>operations[arrivedDate]-operations[shippedDate]</f>
        <v>10</v>
      </c>
    </row>
    <row r="1177" ht="15.75" customHeight="1">
      <c r="A1177" s="6">
        <v>10695.0</v>
      </c>
      <c r="B1177" s="24">
        <v>45206.0</v>
      </c>
      <c r="C1177" s="24">
        <v>45248.0</v>
      </c>
      <c r="D1177" s="24">
        <v>45213.0</v>
      </c>
      <c r="E1177" s="24">
        <v>45223.0</v>
      </c>
      <c r="F1177" s="6">
        <v>12.0</v>
      </c>
      <c r="G1177" s="9" t="str">
        <f>VLOOKUP(operations[productID],products[],2,FALSE)</f>
        <v>Queso Manchego La Pastora</v>
      </c>
      <c r="H1177" s="9" t="str">
        <f>IF(VLOOKUP(operations[productID],products[],7,FALSE)=1,"Discontinued","Current")</f>
        <v>Current</v>
      </c>
      <c r="I1177" s="6">
        <f>VLOOKUP(operations[productID],products[],4,FALSE)</f>
        <v>86</v>
      </c>
      <c r="J1177" s="6">
        <f>VLOOKUP(operations[productID],products[],5,FALSE)</f>
        <v>0</v>
      </c>
      <c r="K1177" s="6">
        <f>VLOOKUP(operations[productID],products[],6,FALSE)</f>
        <v>0</v>
      </c>
      <c r="L1177" s="10">
        <f t="array" ref="L1177">INDEX('1 orders'!I1177:I2156, MATCH(1, ('1 orders'!A1177:A2156=A1177)*('1 orders'!G1177:G2156=F1177), 0))
</f>
        <v>4</v>
      </c>
      <c r="M1177" s="10">
        <f>IFERROR(__xludf.DUMMYFUNCTION("COUNTUNIQUEIFS($A$2:$A1177,$F$2:$F1177,F1177)"),7.0)</f>
        <v>7</v>
      </c>
      <c r="N1177" s="10">
        <f t="shared" si="1"/>
        <v>14</v>
      </c>
      <c r="O1177" s="26">
        <f>IF(operations[sinceLastOrder]=0,0,operations[orderQuantity] / operations[sinceLastOrder])</f>
        <v>0.2857142857</v>
      </c>
      <c r="P1177" s="9">
        <v>16.72</v>
      </c>
      <c r="Q1177" s="7" t="s">
        <v>15</v>
      </c>
      <c r="R1177" s="10">
        <f>operations[arrivedDate]-operations[shippedDate]</f>
        <v>10</v>
      </c>
    </row>
    <row r="1178" ht="15.75" customHeight="1">
      <c r="A1178" s="6">
        <v>10695.0</v>
      </c>
      <c r="B1178" s="24">
        <v>45206.0</v>
      </c>
      <c r="C1178" s="24">
        <v>45248.0</v>
      </c>
      <c r="D1178" s="24">
        <v>45213.0</v>
      </c>
      <c r="E1178" s="24">
        <v>45223.0</v>
      </c>
      <c r="F1178" s="6">
        <v>24.0</v>
      </c>
      <c r="G1178" s="9" t="str">
        <f>VLOOKUP(operations[productID],products[],2,FALSE)</f>
        <v>Brigadeiros Maravilhosos da Lilian</v>
      </c>
      <c r="H1178" s="9" t="str">
        <f>IF(VLOOKUP(operations[productID],products[],7,FALSE)=1,"Discontinued","Current")</f>
        <v>Discontinued</v>
      </c>
      <c r="I1178" s="6">
        <f>VLOOKUP(operations[productID],products[],4,FALSE)</f>
        <v>20</v>
      </c>
      <c r="J1178" s="6">
        <f>VLOOKUP(operations[productID],products[],5,FALSE)</f>
        <v>0</v>
      </c>
      <c r="K1178" s="6">
        <f>VLOOKUP(operations[productID],products[],6,FALSE)</f>
        <v>0</v>
      </c>
      <c r="L1178" s="10">
        <f t="array" ref="L1178">INDEX('1 orders'!I1178:I2156, MATCH(1, ('1 orders'!A1178:A2156=A1178)*('1 orders'!G1178:G2156=F1178), 0))
</f>
        <v>20</v>
      </c>
      <c r="M1178" s="10">
        <f>IFERROR(__xludf.DUMMYFUNCTION("COUNTUNIQUEIFS($A$2:$A1178,$F$2:$F1178,F1178)"),27.0)</f>
        <v>27</v>
      </c>
      <c r="N1178" s="10">
        <f t="shared" si="1"/>
        <v>40</v>
      </c>
      <c r="O1178" s="26">
        <f>IF(operations[sinceLastOrder]=0,0,operations[orderQuantity] / operations[sinceLastOrder])</f>
        <v>0.5</v>
      </c>
      <c r="P1178" s="9">
        <v>16.72</v>
      </c>
      <c r="Q1178" s="7" t="s">
        <v>15</v>
      </c>
      <c r="R1178" s="10">
        <f>operations[arrivedDate]-operations[shippedDate]</f>
        <v>10</v>
      </c>
    </row>
    <row r="1179" ht="15.75" customHeight="1">
      <c r="A1179" s="6">
        <v>10696.0</v>
      </c>
      <c r="B1179" s="24">
        <v>45207.0</v>
      </c>
      <c r="C1179" s="24">
        <v>45249.0</v>
      </c>
      <c r="D1179" s="24">
        <v>45213.0</v>
      </c>
      <c r="E1179" s="24">
        <v>45229.0</v>
      </c>
      <c r="F1179" s="6">
        <v>17.0</v>
      </c>
      <c r="G1179" s="9" t="str">
        <f>VLOOKUP(operations[productID],products[],2,FALSE)</f>
        <v>Alice Mutton</v>
      </c>
      <c r="H1179" s="9" t="str">
        <f>IF(VLOOKUP(operations[productID],products[],7,FALSE)=1,"Discontinued","Current")</f>
        <v>Discontinued</v>
      </c>
      <c r="I1179" s="6">
        <f>VLOOKUP(operations[productID],products[],4,FALSE)</f>
        <v>0</v>
      </c>
      <c r="J1179" s="6">
        <f>VLOOKUP(operations[productID],products[],5,FALSE)</f>
        <v>0</v>
      </c>
      <c r="K1179" s="6">
        <f>VLOOKUP(operations[productID],products[],6,FALSE)</f>
        <v>0</v>
      </c>
      <c r="L1179" s="10">
        <f t="array" ref="L1179">INDEX('1 orders'!I1179:I2156, MATCH(1, ('1 orders'!A1179:A2156=A1179)*('1 orders'!G1179:G2156=F1179), 0))
</f>
        <v>20</v>
      </c>
      <c r="M1179" s="10">
        <f>IFERROR(__xludf.DUMMYFUNCTION("COUNTUNIQUEIFS($A$2:$A1179,$F$2:$F1179,F1179)"),20.0)</f>
        <v>20</v>
      </c>
      <c r="N1179" s="10">
        <f t="shared" si="1"/>
        <v>8</v>
      </c>
      <c r="O1179" s="26">
        <f>IF(operations[sinceLastOrder]=0,0,operations[orderQuantity] / operations[sinceLastOrder])</f>
        <v>2.5</v>
      </c>
      <c r="P1179" s="9">
        <v>102.55</v>
      </c>
      <c r="Q1179" s="7" t="s">
        <v>13</v>
      </c>
      <c r="R1179" s="10">
        <f>operations[arrivedDate]-operations[shippedDate]</f>
        <v>16</v>
      </c>
    </row>
    <row r="1180" ht="15.75" customHeight="1">
      <c r="A1180" s="6">
        <v>10696.0</v>
      </c>
      <c r="B1180" s="24">
        <v>45207.0</v>
      </c>
      <c r="C1180" s="24">
        <v>45249.0</v>
      </c>
      <c r="D1180" s="24">
        <v>45213.0</v>
      </c>
      <c r="E1180" s="24">
        <v>45229.0</v>
      </c>
      <c r="F1180" s="6">
        <v>46.0</v>
      </c>
      <c r="G1180" s="9" t="str">
        <f>VLOOKUP(operations[productID],products[],2,FALSE)</f>
        <v>Spegesild</v>
      </c>
      <c r="H1180" s="9" t="str">
        <f>IF(VLOOKUP(operations[productID],products[],7,FALSE)=1,"Discontinued","Current")</f>
        <v>Current</v>
      </c>
      <c r="I1180" s="6">
        <f>VLOOKUP(operations[productID],products[],4,FALSE)</f>
        <v>95</v>
      </c>
      <c r="J1180" s="6">
        <f>VLOOKUP(operations[productID],products[],5,FALSE)</f>
        <v>0</v>
      </c>
      <c r="K1180" s="6">
        <f>VLOOKUP(operations[productID],products[],6,FALSE)</f>
        <v>0</v>
      </c>
      <c r="L1180" s="10">
        <f t="array" ref="L1180">INDEX('1 orders'!I1180:I2156, MATCH(1, ('1 orders'!A1180:A2156=A1180)*('1 orders'!G1180:G2156=F1180), 0))
</f>
        <v>18</v>
      </c>
      <c r="M1180" s="10">
        <f>IFERROR(__xludf.DUMMYFUNCTION("COUNTUNIQUEIFS($A$2:$A1180,$F$2:$F1180,F1180)"),16.0)</f>
        <v>16</v>
      </c>
      <c r="N1180" s="10">
        <f t="shared" si="1"/>
        <v>22</v>
      </c>
      <c r="O1180" s="26">
        <f>IF(operations[sinceLastOrder]=0,0,operations[orderQuantity] / operations[sinceLastOrder])</f>
        <v>0.8181818182</v>
      </c>
      <c r="P1180" s="9">
        <v>102.55</v>
      </c>
      <c r="Q1180" s="7" t="s">
        <v>13</v>
      </c>
      <c r="R1180" s="10">
        <f>operations[arrivedDate]-operations[shippedDate]</f>
        <v>16</v>
      </c>
    </row>
    <row r="1181" ht="15.75" customHeight="1">
      <c r="A1181" s="6">
        <v>10697.0</v>
      </c>
      <c r="B1181" s="24">
        <v>45207.0</v>
      </c>
      <c r="C1181" s="24">
        <v>45235.0</v>
      </c>
      <c r="D1181" s="24">
        <v>45213.0</v>
      </c>
      <c r="E1181" s="24">
        <v>45224.0</v>
      </c>
      <c r="F1181" s="6">
        <v>19.0</v>
      </c>
      <c r="G1181" s="9" t="str">
        <f>VLOOKUP(operations[productID],products[],2,FALSE)</f>
        <v>Teatime Chocolate Biscuits</v>
      </c>
      <c r="H1181" s="9" t="str">
        <f>IF(VLOOKUP(operations[productID],products[],7,FALSE)=1,"Discontinued","Current")</f>
        <v>Current</v>
      </c>
      <c r="I1181" s="6">
        <f>VLOOKUP(operations[productID],products[],4,FALSE)</f>
        <v>25</v>
      </c>
      <c r="J1181" s="6">
        <f>VLOOKUP(operations[productID],products[],5,FALSE)</f>
        <v>0</v>
      </c>
      <c r="K1181" s="6">
        <f>VLOOKUP(operations[productID],products[],6,FALSE)</f>
        <v>5</v>
      </c>
      <c r="L1181" s="10">
        <f t="array" ref="L1181">INDEX('1 orders'!I1181:I2156, MATCH(1, ('1 orders'!A1181:A2156=A1181)*('1 orders'!G1181:G2156=F1181), 0))
</f>
        <v>7</v>
      </c>
      <c r="M1181" s="10">
        <f>IFERROR(__xludf.DUMMYFUNCTION("COUNTUNIQUEIFS($A$2:$A1181,$F$2:$F1181,F1181)"),22.0)</f>
        <v>22</v>
      </c>
      <c r="N1181" s="10">
        <f t="shared" si="1"/>
        <v>13</v>
      </c>
      <c r="O1181" s="26">
        <f>IF(operations[sinceLastOrder]=0,0,operations[orderQuantity] / operations[sinceLastOrder])</f>
        <v>0.5384615385</v>
      </c>
      <c r="P1181" s="9">
        <v>45.52</v>
      </c>
      <c r="Q1181" s="7" t="s">
        <v>15</v>
      </c>
      <c r="R1181" s="10">
        <f>operations[arrivedDate]-operations[shippedDate]</f>
        <v>11</v>
      </c>
    </row>
    <row r="1182" ht="15.75" customHeight="1">
      <c r="A1182" s="6">
        <v>10697.0</v>
      </c>
      <c r="B1182" s="24">
        <v>45207.0</v>
      </c>
      <c r="C1182" s="24">
        <v>45235.0</v>
      </c>
      <c r="D1182" s="24">
        <v>45213.0</v>
      </c>
      <c r="E1182" s="24">
        <v>45224.0</v>
      </c>
      <c r="F1182" s="6">
        <v>35.0</v>
      </c>
      <c r="G1182" s="9" t="str">
        <f>VLOOKUP(operations[productID],products[],2,FALSE)</f>
        <v>Cold Brew Nitro</v>
      </c>
      <c r="H1182" s="9" t="str">
        <f>IF(VLOOKUP(operations[productID],products[],7,FALSE)=1,"Discontinued","Current")</f>
        <v>Current</v>
      </c>
      <c r="I1182" s="6">
        <f>VLOOKUP(operations[productID],products[],4,FALSE)</f>
        <v>20</v>
      </c>
      <c r="J1182" s="6">
        <f>VLOOKUP(operations[productID],products[],5,FALSE)</f>
        <v>0</v>
      </c>
      <c r="K1182" s="6">
        <f>VLOOKUP(operations[productID],products[],6,FALSE)</f>
        <v>15</v>
      </c>
      <c r="L1182" s="10">
        <f t="array" ref="L1182">INDEX('1 orders'!I1182:I2156, MATCH(1, ('1 orders'!A1182:A2156=A1182)*('1 orders'!G1182:G2156=F1182), 0))
</f>
        <v>9</v>
      </c>
      <c r="M1182" s="10">
        <f>IFERROR(__xludf.DUMMYFUNCTION("COUNTUNIQUEIFS($A$2:$A1182,$F$2:$F1182,F1182)"),20.0)</f>
        <v>20</v>
      </c>
      <c r="N1182" s="10">
        <f t="shared" si="1"/>
        <v>62</v>
      </c>
      <c r="O1182" s="26">
        <f>IF(operations[sinceLastOrder]=0,0,operations[orderQuantity] / operations[sinceLastOrder])</f>
        <v>0.1451612903</v>
      </c>
      <c r="P1182" s="9">
        <v>45.52</v>
      </c>
      <c r="Q1182" s="7" t="s">
        <v>15</v>
      </c>
      <c r="R1182" s="10">
        <f>operations[arrivedDate]-operations[shippedDate]</f>
        <v>11</v>
      </c>
    </row>
    <row r="1183" ht="15.75" customHeight="1">
      <c r="A1183" s="6">
        <v>10697.0</v>
      </c>
      <c r="B1183" s="24">
        <v>45207.0</v>
      </c>
      <c r="C1183" s="24">
        <v>45235.0</v>
      </c>
      <c r="D1183" s="24">
        <v>45213.0</v>
      </c>
      <c r="E1183" s="24">
        <v>45224.0</v>
      </c>
      <c r="F1183" s="6">
        <v>58.0</v>
      </c>
      <c r="G1183" s="9" t="str">
        <f>VLOOKUP(operations[productID],products[],2,FALSE)</f>
        <v>Escargots de Bourgogne</v>
      </c>
      <c r="H1183" s="9" t="str">
        <f>IF(VLOOKUP(operations[productID],products[],7,FALSE)=1,"Discontinued","Current")</f>
        <v>Current</v>
      </c>
      <c r="I1183" s="6">
        <f>VLOOKUP(operations[productID],products[],4,FALSE)</f>
        <v>62</v>
      </c>
      <c r="J1183" s="6">
        <f>VLOOKUP(operations[productID],products[],5,FALSE)</f>
        <v>0</v>
      </c>
      <c r="K1183" s="6">
        <f>VLOOKUP(operations[productID],products[],6,FALSE)</f>
        <v>20</v>
      </c>
      <c r="L1183" s="10">
        <f t="array" ref="L1183">INDEX('1 orders'!I1183:I2156, MATCH(1, ('1 orders'!A1183:A2156=A1183)*('1 orders'!G1183:G2156=F1183), 0))
</f>
        <v>30</v>
      </c>
      <c r="M1183" s="10">
        <f>IFERROR(__xludf.DUMMYFUNCTION("COUNTUNIQUEIFS($A$2:$A1183,$F$2:$F1183,F1183)"),10.0)</f>
        <v>10</v>
      </c>
      <c r="N1183" s="10">
        <f t="shared" si="1"/>
        <v>19</v>
      </c>
      <c r="O1183" s="26">
        <f>IF(operations[sinceLastOrder]=0,0,operations[orderQuantity] / operations[sinceLastOrder])</f>
        <v>1.578947368</v>
      </c>
      <c r="P1183" s="9">
        <v>45.52</v>
      </c>
      <c r="Q1183" s="7" t="s">
        <v>15</v>
      </c>
      <c r="R1183" s="10">
        <f>operations[arrivedDate]-operations[shippedDate]</f>
        <v>11</v>
      </c>
    </row>
    <row r="1184" ht="15.75" customHeight="1">
      <c r="A1184" s="6">
        <v>10697.0</v>
      </c>
      <c r="B1184" s="24">
        <v>45207.0</v>
      </c>
      <c r="C1184" s="24">
        <v>45235.0</v>
      </c>
      <c r="D1184" s="24">
        <v>45213.0</v>
      </c>
      <c r="E1184" s="24">
        <v>45224.0</v>
      </c>
      <c r="F1184" s="6">
        <v>70.0</v>
      </c>
      <c r="G1184" s="9" t="str">
        <f>VLOOKUP(operations[productID],products[],2,FALSE)</f>
        <v>Outback Lager</v>
      </c>
      <c r="H1184" s="9" t="str">
        <f>IF(VLOOKUP(operations[productID],products[],7,FALSE)=1,"Discontinued","Current")</f>
        <v>Current</v>
      </c>
      <c r="I1184" s="6">
        <f>VLOOKUP(operations[productID],products[],4,FALSE)</f>
        <v>15</v>
      </c>
      <c r="J1184" s="6">
        <f>VLOOKUP(operations[productID],products[],5,FALSE)</f>
        <v>10</v>
      </c>
      <c r="K1184" s="6">
        <f>VLOOKUP(operations[productID],products[],6,FALSE)</f>
        <v>30</v>
      </c>
      <c r="L1184" s="10">
        <f t="array" ref="L1184">INDEX('1 orders'!I1184:I2156, MATCH(1, ('1 orders'!A1184:A2156=A1184)*('1 orders'!G1184:G2156=F1184), 0))
</f>
        <v>30</v>
      </c>
      <c r="M1184" s="10">
        <f>IFERROR(__xludf.DUMMYFUNCTION("COUNTUNIQUEIFS($A$2:$A1184,$F$2:$F1184,F1184)"),20.0)</f>
        <v>20</v>
      </c>
      <c r="N1184" s="10">
        <f t="shared" si="1"/>
        <v>2</v>
      </c>
      <c r="O1184" s="26">
        <f>IF(operations[sinceLastOrder]=0,0,operations[orderQuantity] / operations[sinceLastOrder])</f>
        <v>15</v>
      </c>
      <c r="P1184" s="9">
        <v>45.52</v>
      </c>
      <c r="Q1184" s="7" t="s">
        <v>15</v>
      </c>
      <c r="R1184" s="10">
        <f>operations[arrivedDate]-operations[shippedDate]</f>
        <v>11</v>
      </c>
    </row>
    <row r="1185" ht="15.75" customHeight="1">
      <c r="A1185" s="6">
        <v>10698.0</v>
      </c>
      <c r="B1185" s="24">
        <v>45208.0</v>
      </c>
      <c r="C1185" s="24">
        <v>45236.0</v>
      </c>
      <c r="D1185" s="24">
        <v>45216.0</v>
      </c>
      <c r="E1185" s="24">
        <v>45224.0</v>
      </c>
      <c r="F1185" s="6">
        <v>11.0</v>
      </c>
      <c r="G1185" s="9" t="str">
        <f>VLOOKUP(operations[productID],products[],2,FALSE)</f>
        <v>Queso Cabrales</v>
      </c>
      <c r="H1185" s="9" t="str">
        <f>IF(VLOOKUP(operations[productID],products[],7,FALSE)=1,"Discontinued","Current")</f>
        <v>Current</v>
      </c>
      <c r="I1185" s="6">
        <f>VLOOKUP(operations[productID],products[],4,FALSE)</f>
        <v>22</v>
      </c>
      <c r="J1185" s="6">
        <f>VLOOKUP(operations[productID],products[],5,FALSE)</f>
        <v>30</v>
      </c>
      <c r="K1185" s="6">
        <f>VLOOKUP(operations[productID],products[],6,FALSE)</f>
        <v>30</v>
      </c>
      <c r="L1185" s="10">
        <f t="array" ref="L1185">INDEX('1 orders'!I1185:I2156, MATCH(1, ('1 orders'!A1185:A2156=A1185)*('1 orders'!G1185:G2156=F1185), 0))
</f>
        <v>15</v>
      </c>
      <c r="M1185" s="10">
        <f>IFERROR(__xludf.DUMMYFUNCTION("COUNTUNIQUEIFS($A$2:$A1185,$F$2:$F1185,F1185)"),22.0)</f>
        <v>22</v>
      </c>
      <c r="N1185" s="10">
        <f t="shared" si="1"/>
        <v>51</v>
      </c>
      <c r="O1185" s="26">
        <f>IF(operations[sinceLastOrder]=0,0,operations[orderQuantity] / operations[sinceLastOrder])</f>
        <v>0.2941176471</v>
      </c>
      <c r="P1185" s="9">
        <v>272.47</v>
      </c>
      <c r="Q1185" s="7" t="s">
        <v>15</v>
      </c>
      <c r="R1185" s="10">
        <f>operations[arrivedDate]-operations[shippedDate]</f>
        <v>8</v>
      </c>
    </row>
    <row r="1186" ht="15.75" customHeight="1">
      <c r="A1186" s="6">
        <v>10698.0</v>
      </c>
      <c r="B1186" s="24">
        <v>45208.0</v>
      </c>
      <c r="C1186" s="24">
        <v>45236.0</v>
      </c>
      <c r="D1186" s="24">
        <v>45216.0</v>
      </c>
      <c r="E1186" s="24">
        <v>45224.0</v>
      </c>
      <c r="F1186" s="6">
        <v>17.0</v>
      </c>
      <c r="G1186" s="9" t="str">
        <f>VLOOKUP(operations[productID],products[],2,FALSE)</f>
        <v>Alice Mutton</v>
      </c>
      <c r="H1186" s="9" t="str">
        <f>IF(VLOOKUP(operations[productID],products[],7,FALSE)=1,"Discontinued","Current")</f>
        <v>Discontinued</v>
      </c>
      <c r="I1186" s="6">
        <f>VLOOKUP(operations[productID],products[],4,FALSE)</f>
        <v>0</v>
      </c>
      <c r="J1186" s="6">
        <f>VLOOKUP(operations[productID],products[],5,FALSE)</f>
        <v>0</v>
      </c>
      <c r="K1186" s="6">
        <f>VLOOKUP(operations[productID],products[],6,FALSE)</f>
        <v>0</v>
      </c>
      <c r="L1186" s="10">
        <f t="array" ref="L1186">INDEX('1 orders'!I1186:I2156, MATCH(1, ('1 orders'!A1186:A2156=A1186)*('1 orders'!G1186:G2156=F1186), 0))
</f>
        <v>8</v>
      </c>
      <c r="M1186" s="10">
        <f>IFERROR(__xludf.DUMMYFUNCTION("COUNTUNIQUEIFS($A$2:$A1186,$F$2:$F1186,F1186)"),21.0)</f>
        <v>21</v>
      </c>
      <c r="N1186" s="10">
        <f t="shared" si="1"/>
        <v>1</v>
      </c>
      <c r="O1186" s="26">
        <f>IF(operations[sinceLastOrder]=0,0,operations[orderQuantity] / operations[sinceLastOrder])</f>
        <v>8</v>
      </c>
      <c r="P1186" s="9">
        <v>272.47</v>
      </c>
      <c r="Q1186" s="7" t="s">
        <v>15</v>
      </c>
      <c r="R1186" s="10">
        <f>operations[arrivedDate]-operations[shippedDate]</f>
        <v>8</v>
      </c>
    </row>
    <row r="1187" ht="15.75" customHeight="1">
      <c r="A1187" s="6">
        <v>10698.0</v>
      </c>
      <c r="B1187" s="24">
        <v>45208.0</v>
      </c>
      <c r="C1187" s="24">
        <v>45236.0</v>
      </c>
      <c r="D1187" s="24">
        <v>45216.0</v>
      </c>
      <c r="E1187" s="24">
        <v>45224.0</v>
      </c>
      <c r="F1187" s="6">
        <v>29.0</v>
      </c>
      <c r="G1187" s="9" t="str">
        <f>VLOOKUP(operations[productID],products[],2,FALSE)</f>
        <v>Thüringer Rostbratwurst</v>
      </c>
      <c r="H1187" s="9" t="str">
        <f>IF(VLOOKUP(operations[productID],products[],7,FALSE)=1,"Discontinued","Current")</f>
        <v>Discontinued</v>
      </c>
      <c r="I1187" s="6">
        <f>VLOOKUP(operations[productID],products[],4,FALSE)</f>
        <v>0</v>
      </c>
      <c r="J1187" s="6">
        <f>VLOOKUP(operations[productID],products[],5,FALSE)</f>
        <v>0</v>
      </c>
      <c r="K1187" s="6">
        <f>VLOOKUP(operations[productID],products[],6,FALSE)</f>
        <v>0</v>
      </c>
      <c r="L1187" s="10">
        <f t="array" ref="L1187">INDEX('1 orders'!I1187:I2156, MATCH(1, ('1 orders'!A1187:A2156=A1187)*('1 orders'!G1187:G2156=F1187), 0))
</f>
        <v>12</v>
      </c>
      <c r="M1187" s="10">
        <f>IFERROR(__xludf.DUMMYFUNCTION("COUNTUNIQUEIFS($A$2:$A1187,$F$2:$F1187,F1187)"),18.0)</f>
        <v>18</v>
      </c>
      <c r="N1187" s="10">
        <f t="shared" si="1"/>
        <v>6</v>
      </c>
      <c r="O1187" s="26">
        <f>IF(operations[sinceLastOrder]=0,0,operations[orderQuantity] / operations[sinceLastOrder])</f>
        <v>2</v>
      </c>
      <c r="P1187" s="9">
        <v>272.47</v>
      </c>
      <c r="Q1187" s="7" t="s">
        <v>15</v>
      </c>
      <c r="R1187" s="10">
        <f>operations[arrivedDate]-operations[shippedDate]</f>
        <v>8</v>
      </c>
    </row>
    <row r="1188" ht="15.75" customHeight="1">
      <c r="A1188" s="6">
        <v>10698.0</v>
      </c>
      <c r="B1188" s="24">
        <v>45208.0</v>
      </c>
      <c r="C1188" s="24">
        <v>45236.0</v>
      </c>
      <c r="D1188" s="24">
        <v>45216.0</v>
      </c>
      <c r="E1188" s="24">
        <v>45224.0</v>
      </c>
      <c r="F1188" s="6">
        <v>65.0</v>
      </c>
      <c r="G1188" s="9" t="str">
        <f>VLOOKUP(operations[productID],products[],2,FALSE)</f>
        <v>Louisiana Fiery Hot Pepper Sauce</v>
      </c>
      <c r="H1188" s="9" t="str">
        <f>IF(VLOOKUP(operations[productID],products[],7,FALSE)=1,"Discontinued","Current")</f>
        <v>Current</v>
      </c>
      <c r="I1188" s="6">
        <f>VLOOKUP(operations[productID],products[],4,FALSE)</f>
        <v>76</v>
      </c>
      <c r="J1188" s="6">
        <f>VLOOKUP(operations[productID],products[],5,FALSE)</f>
        <v>0</v>
      </c>
      <c r="K1188" s="6">
        <f>VLOOKUP(operations[productID],products[],6,FALSE)</f>
        <v>0</v>
      </c>
      <c r="L1188" s="10">
        <f t="array" ref="L1188">INDEX('1 orders'!I1188:I2156, MATCH(1, ('1 orders'!A1188:A2156=A1188)*('1 orders'!G1188:G2156=F1188), 0))
</f>
        <v>65</v>
      </c>
      <c r="M1188" s="10">
        <f>IFERROR(__xludf.DUMMYFUNCTION("COUNTUNIQUEIFS($A$2:$A1188,$F$2:$F1188,F1188)"),22.0)</f>
        <v>22</v>
      </c>
      <c r="N1188" s="10">
        <f t="shared" si="1"/>
        <v>22</v>
      </c>
      <c r="O1188" s="26">
        <f>IF(operations[sinceLastOrder]=0,0,operations[orderQuantity] / operations[sinceLastOrder])</f>
        <v>2.954545455</v>
      </c>
      <c r="P1188" s="9">
        <v>272.47</v>
      </c>
      <c r="Q1188" s="7" t="s">
        <v>15</v>
      </c>
      <c r="R1188" s="10">
        <f>operations[arrivedDate]-operations[shippedDate]</f>
        <v>8</v>
      </c>
    </row>
    <row r="1189" ht="15.75" customHeight="1">
      <c r="A1189" s="6">
        <v>10698.0</v>
      </c>
      <c r="B1189" s="24">
        <v>45208.0</v>
      </c>
      <c r="C1189" s="24">
        <v>45236.0</v>
      </c>
      <c r="D1189" s="24">
        <v>45216.0</v>
      </c>
      <c r="E1189" s="24">
        <v>45224.0</v>
      </c>
      <c r="F1189" s="6">
        <v>70.0</v>
      </c>
      <c r="G1189" s="9" t="str">
        <f>VLOOKUP(operations[productID],products[],2,FALSE)</f>
        <v>Outback Lager</v>
      </c>
      <c r="H1189" s="9" t="str">
        <f>IF(VLOOKUP(operations[productID],products[],7,FALSE)=1,"Discontinued","Current")</f>
        <v>Current</v>
      </c>
      <c r="I1189" s="6">
        <f>VLOOKUP(operations[productID],products[],4,FALSE)</f>
        <v>15</v>
      </c>
      <c r="J1189" s="6">
        <f>VLOOKUP(operations[productID],products[],5,FALSE)</f>
        <v>10</v>
      </c>
      <c r="K1189" s="6">
        <f>VLOOKUP(operations[productID],products[],6,FALSE)</f>
        <v>30</v>
      </c>
      <c r="L1189" s="10">
        <f t="array" ref="L1189">INDEX('1 orders'!I1189:I2156, MATCH(1, ('1 orders'!A1189:A2156=A1189)*('1 orders'!G1189:G2156=F1189), 0))
</f>
        <v>8</v>
      </c>
      <c r="M1189" s="10">
        <f>IFERROR(__xludf.DUMMYFUNCTION("COUNTUNIQUEIFS($A$2:$A1189,$F$2:$F1189,F1189)"),21.0)</f>
        <v>21</v>
      </c>
      <c r="N1189" s="10">
        <f t="shared" si="1"/>
        <v>1</v>
      </c>
      <c r="O1189" s="26">
        <f>IF(operations[sinceLastOrder]=0,0,operations[orderQuantity] / operations[sinceLastOrder])</f>
        <v>8</v>
      </c>
      <c r="P1189" s="9">
        <v>272.47</v>
      </c>
      <c r="Q1189" s="7" t="s">
        <v>15</v>
      </c>
      <c r="R1189" s="10">
        <f>operations[arrivedDate]-operations[shippedDate]</f>
        <v>8</v>
      </c>
    </row>
    <row r="1190" ht="15.75" customHeight="1">
      <c r="A1190" s="6">
        <v>10699.0</v>
      </c>
      <c r="B1190" s="24">
        <v>45208.0</v>
      </c>
      <c r="C1190" s="24">
        <v>45236.0</v>
      </c>
      <c r="D1190" s="24">
        <v>45212.0</v>
      </c>
      <c r="E1190" s="24">
        <v>45217.0</v>
      </c>
      <c r="F1190" s="6">
        <v>47.0</v>
      </c>
      <c r="G1190" s="9" t="str">
        <f>VLOOKUP(operations[productID],products[],2,FALSE)</f>
        <v>Zaanse koeken</v>
      </c>
      <c r="H1190" s="9" t="str">
        <f>IF(VLOOKUP(operations[productID],products[],7,FALSE)=1,"Discontinued","Current")</f>
        <v>Current</v>
      </c>
      <c r="I1190" s="6">
        <f>VLOOKUP(operations[productID],products[],4,FALSE)</f>
        <v>36</v>
      </c>
      <c r="J1190" s="6">
        <f>VLOOKUP(operations[productID],products[],5,FALSE)</f>
        <v>0</v>
      </c>
      <c r="K1190" s="6">
        <f>VLOOKUP(operations[productID],products[],6,FALSE)</f>
        <v>0</v>
      </c>
      <c r="L1190" s="10">
        <f t="array" ref="L1190">INDEX('1 orders'!I1190:I2156, MATCH(1, ('1 orders'!A1190:A2156=A1190)*('1 orders'!G1190:G2156=F1190), 0))
</f>
        <v>12</v>
      </c>
      <c r="M1190" s="10">
        <f>IFERROR(__xludf.DUMMYFUNCTION("COUNTUNIQUEIFS($A$2:$A1190,$F$2:$F1190,F1190)"),12.0)</f>
        <v>12</v>
      </c>
      <c r="N1190" s="10">
        <f t="shared" si="1"/>
        <v>10</v>
      </c>
      <c r="O1190" s="26">
        <f>IF(operations[sinceLastOrder]=0,0,operations[orderQuantity] / operations[sinceLastOrder])</f>
        <v>1.2</v>
      </c>
      <c r="P1190" s="9">
        <v>0.58</v>
      </c>
      <c r="Q1190" s="7" t="s">
        <v>13</v>
      </c>
      <c r="R1190" s="10">
        <f>operations[arrivedDate]-operations[shippedDate]</f>
        <v>5</v>
      </c>
    </row>
    <row r="1191" ht="15.75" customHeight="1">
      <c r="A1191" s="6">
        <v>10700.0</v>
      </c>
      <c r="B1191" s="24">
        <v>45209.0</v>
      </c>
      <c r="C1191" s="24">
        <v>45237.0</v>
      </c>
      <c r="D1191" s="24">
        <v>45215.0</v>
      </c>
      <c r="E1191" s="24">
        <v>45228.0</v>
      </c>
      <c r="F1191" s="6">
        <v>1.0</v>
      </c>
      <c r="G1191" s="9" t="str">
        <f>VLOOKUP(operations[productID],products[],2,FALSE)</f>
        <v>Chai</v>
      </c>
      <c r="H1191" s="9" t="str">
        <f>IF(VLOOKUP(operations[productID],products[],7,FALSE)=1,"Discontinued","Current")</f>
        <v>Current</v>
      </c>
      <c r="I1191" s="6">
        <f>VLOOKUP(operations[productID],products[],4,FALSE)</f>
        <v>39</v>
      </c>
      <c r="J1191" s="6">
        <f>VLOOKUP(operations[productID],products[],5,FALSE)</f>
        <v>0</v>
      </c>
      <c r="K1191" s="6">
        <f>VLOOKUP(operations[productID],products[],6,FALSE)</f>
        <v>10</v>
      </c>
      <c r="L1191" s="10">
        <f t="array" ref="L1191">INDEX('1 orders'!I1191:I2156, MATCH(1, ('1 orders'!A1191:A2156=A1191)*('1 orders'!G1191:G2156=F1191), 0))
</f>
        <v>5</v>
      </c>
      <c r="M1191" s="10">
        <f>IFERROR(__xludf.DUMMYFUNCTION("COUNTUNIQUEIFS($A$2:$A1191,$F$2:$F1191,F1191)"),20.0)</f>
        <v>20</v>
      </c>
      <c r="N1191" s="10">
        <f t="shared" si="1"/>
        <v>7</v>
      </c>
      <c r="O1191" s="26">
        <f>IF(operations[sinceLastOrder]=0,0,operations[orderQuantity] / operations[sinceLastOrder])</f>
        <v>0.7142857143</v>
      </c>
      <c r="P1191" s="9">
        <v>65.1</v>
      </c>
      <c r="Q1191" s="7" t="s">
        <v>15</v>
      </c>
      <c r="R1191" s="10">
        <f>operations[arrivedDate]-operations[shippedDate]</f>
        <v>13</v>
      </c>
    </row>
    <row r="1192" ht="15.75" customHeight="1">
      <c r="A1192" s="6">
        <v>10700.0</v>
      </c>
      <c r="B1192" s="24">
        <v>45209.0</v>
      </c>
      <c r="C1192" s="24">
        <v>45237.0</v>
      </c>
      <c r="D1192" s="24">
        <v>45215.0</v>
      </c>
      <c r="E1192" s="24">
        <v>45228.0</v>
      </c>
      <c r="F1192" s="6">
        <v>34.0</v>
      </c>
      <c r="G1192" s="9" t="str">
        <f>VLOOKUP(operations[productID],products[],2,FALSE)</f>
        <v>Sasquatch Ale</v>
      </c>
      <c r="H1192" s="9" t="str">
        <f>IF(VLOOKUP(operations[productID],products[],7,FALSE)=1,"Discontinued","Current")</f>
        <v>Current</v>
      </c>
      <c r="I1192" s="6">
        <f>VLOOKUP(operations[productID],products[],4,FALSE)</f>
        <v>111</v>
      </c>
      <c r="J1192" s="6">
        <f>VLOOKUP(operations[productID],products[],5,FALSE)</f>
        <v>0</v>
      </c>
      <c r="K1192" s="6">
        <f>VLOOKUP(operations[productID],products[],6,FALSE)</f>
        <v>15</v>
      </c>
      <c r="L1192" s="10">
        <f t="array" ref="L1192">INDEX('1 orders'!I1192:I2156, MATCH(1, ('1 orders'!A1192:A2156=A1192)*('1 orders'!G1192:G2156=F1192), 0))
</f>
        <v>12</v>
      </c>
      <c r="M1192" s="10">
        <f>IFERROR(__xludf.DUMMYFUNCTION("COUNTUNIQUEIFS($A$2:$A1192,$F$2:$F1192,F1192)"),11.0)</f>
        <v>11</v>
      </c>
      <c r="N1192" s="10">
        <f t="shared" si="1"/>
        <v>9</v>
      </c>
      <c r="O1192" s="26">
        <f>IF(operations[sinceLastOrder]=0,0,operations[orderQuantity] / operations[sinceLastOrder])</f>
        <v>1.333333333</v>
      </c>
      <c r="P1192" s="9">
        <v>65.1</v>
      </c>
      <c r="Q1192" s="7" t="s">
        <v>15</v>
      </c>
      <c r="R1192" s="10">
        <f>operations[arrivedDate]-operations[shippedDate]</f>
        <v>13</v>
      </c>
    </row>
    <row r="1193" ht="15.75" customHeight="1">
      <c r="A1193" s="6">
        <v>10700.0</v>
      </c>
      <c r="B1193" s="24">
        <v>45209.0</v>
      </c>
      <c r="C1193" s="24">
        <v>45237.0</v>
      </c>
      <c r="D1193" s="24">
        <v>45215.0</v>
      </c>
      <c r="E1193" s="24">
        <v>45228.0</v>
      </c>
      <c r="F1193" s="6">
        <v>68.0</v>
      </c>
      <c r="G1193" s="9" t="str">
        <f>VLOOKUP(operations[productID],products[],2,FALSE)</f>
        <v>Scottish Longbreads</v>
      </c>
      <c r="H1193" s="9" t="str">
        <f>IF(VLOOKUP(operations[productID],products[],7,FALSE)=1,"Discontinued","Current")</f>
        <v>Current</v>
      </c>
      <c r="I1193" s="6">
        <f>VLOOKUP(operations[productID],products[],4,FALSE)</f>
        <v>6</v>
      </c>
      <c r="J1193" s="6">
        <f>VLOOKUP(operations[productID],products[],5,FALSE)</f>
        <v>10</v>
      </c>
      <c r="K1193" s="6">
        <f>VLOOKUP(operations[productID],products[],6,FALSE)</f>
        <v>15</v>
      </c>
      <c r="L1193" s="10">
        <f t="array" ref="L1193">INDEX('1 orders'!I1193:I2156, MATCH(1, ('1 orders'!A1193:A2156=A1193)*('1 orders'!G1193:G2156=F1193), 0))
</f>
        <v>40</v>
      </c>
      <c r="M1193" s="10">
        <f>IFERROR(__xludf.DUMMYFUNCTION("COUNTUNIQUEIFS($A$2:$A1193,$F$2:$F1193,F1193)"),20.0)</f>
        <v>20</v>
      </c>
      <c r="N1193" s="10">
        <f t="shared" si="1"/>
        <v>31</v>
      </c>
      <c r="O1193" s="26">
        <f>IF(operations[sinceLastOrder]=0,0,operations[orderQuantity] / operations[sinceLastOrder])</f>
        <v>1.290322581</v>
      </c>
      <c r="P1193" s="9">
        <v>65.1</v>
      </c>
      <c r="Q1193" s="7" t="s">
        <v>15</v>
      </c>
      <c r="R1193" s="10">
        <f>operations[arrivedDate]-operations[shippedDate]</f>
        <v>13</v>
      </c>
    </row>
    <row r="1194" ht="15.75" customHeight="1">
      <c r="A1194" s="6">
        <v>10700.0</v>
      </c>
      <c r="B1194" s="24">
        <v>45209.0</v>
      </c>
      <c r="C1194" s="24">
        <v>45237.0</v>
      </c>
      <c r="D1194" s="24">
        <v>45215.0</v>
      </c>
      <c r="E1194" s="24">
        <v>45228.0</v>
      </c>
      <c r="F1194" s="6">
        <v>71.0</v>
      </c>
      <c r="G1194" s="9" t="str">
        <f>VLOOKUP(operations[productID],products[],2,FALSE)</f>
        <v>Flotemysost</v>
      </c>
      <c r="H1194" s="9" t="str">
        <f>IF(VLOOKUP(operations[productID],products[],7,FALSE)=1,"Discontinued","Current")</f>
        <v>Current</v>
      </c>
      <c r="I1194" s="6">
        <f>VLOOKUP(operations[productID],products[],4,FALSE)</f>
        <v>26</v>
      </c>
      <c r="J1194" s="6">
        <f>VLOOKUP(operations[productID],products[],5,FALSE)</f>
        <v>0</v>
      </c>
      <c r="K1194" s="6">
        <f>VLOOKUP(operations[productID],products[],6,FALSE)</f>
        <v>0</v>
      </c>
      <c r="L1194" s="10">
        <f t="array" ref="L1194">INDEX('1 orders'!I1194:I2156, MATCH(1, ('1 orders'!A1194:A2156=A1194)*('1 orders'!G1194:G2156=F1194), 0))
</f>
        <v>60</v>
      </c>
      <c r="M1194" s="10">
        <f>IFERROR(__xludf.DUMMYFUNCTION("COUNTUNIQUEIFS($A$2:$A1194,$F$2:$F1194,F1194)"),27.0)</f>
        <v>27</v>
      </c>
      <c r="N1194" s="10">
        <f t="shared" si="1"/>
        <v>23</v>
      </c>
      <c r="O1194" s="26">
        <f>IF(operations[sinceLastOrder]=0,0,operations[orderQuantity] / operations[sinceLastOrder])</f>
        <v>2.608695652</v>
      </c>
      <c r="P1194" s="9">
        <v>65.1</v>
      </c>
      <c r="Q1194" s="7" t="s">
        <v>15</v>
      </c>
      <c r="R1194" s="10">
        <f>operations[arrivedDate]-operations[shippedDate]</f>
        <v>13</v>
      </c>
    </row>
    <row r="1195" ht="15.75" customHeight="1">
      <c r="A1195" s="6">
        <v>10701.0</v>
      </c>
      <c r="B1195" s="24">
        <v>45212.0</v>
      </c>
      <c r="C1195" s="24">
        <v>45226.0</v>
      </c>
      <c r="D1195" s="24">
        <v>45214.0</v>
      </c>
      <c r="E1195" s="24">
        <v>45226.0</v>
      </c>
      <c r="F1195" s="6">
        <v>59.0</v>
      </c>
      <c r="G1195" s="9" t="str">
        <f>VLOOKUP(operations[productID],products[],2,FALSE)</f>
        <v>Raclette Courdavault</v>
      </c>
      <c r="H1195" s="9" t="str">
        <f>IF(VLOOKUP(operations[productID],products[],7,FALSE)=1,"Discontinued","Current")</f>
        <v>Current</v>
      </c>
      <c r="I1195" s="6">
        <f>VLOOKUP(operations[productID],products[],4,FALSE)</f>
        <v>79</v>
      </c>
      <c r="J1195" s="6">
        <f>VLOOKUP(operations[productID],products[],5,FALSE)</f>
        <v>0</v>
      </c>
      <c r="K1195" s="6">
        <f>VLOOKUP(operations[productID],products[],6,FALSE)</f>
        <v>0</v>
      </c>
      <c r="L1195" s="10">
        <f t="array" ref="L1195">INDEX('1 orders'!I1195:I2156, MATCH(1, ('1 orders'!A1195:A2156=A1195)*('1 orders'!G1195:G2156=F1195), 0))
</f>
        <v>42</v>
      </c>
      <c r="M1195" s="10">
        <f>IFERROR(__xludf.DUMMYFUNCTION("COUNTUNIQUEIFS($A$2:$A1195,$F$2:$F1195,F1195)"),31.0)</f>
        <v>31</v>
      </c>
      <c r="N1195" s="10">
        <f t="shared" si="1"/>
        <v>7</v>
      </c>
      <c r="O1195" s="26">
        <f>IF(operations[sinceLastOrder]=0,0,operations[orderQuantity] / operations[sinceLastOrder])</f>
        <v>6</v>
      </c>
      <c r="P1195" s="9">
        <v>220.31</v>
      </c>
      <c r="Q1195" s="7" t="s">
        <v>13</v>
      </c>
      <c r="R1195" s="10">
        <f>operations[arrivedDate]-operations[shippedDate]</f>
        <v>12</v>
      </c>
    </row>
    <row r="1196" ht="15.75" customHeight="1">
      <c r="A1196" s="6">
        <v>10701.0</v>
      </c>
      <c r="B1196" s="24">
        <v>45212.0</v>
      </c>
      <c r="C1196" s="24">
        <v>45226.0</v>
      </c>
      <c r="D1196" s="24">
        <v>45214.0</v>
      </c>
      <c r="E1196" s="24">
        <v>45226.0</v>
      </c>
      <c r="F1196" s="6">
        <v>71.0</v>
      </c>
      <c r="G1196" s="9" t="str">
        <f>VLOOKUP(operations[productID],products[],2,FALSE)</f>
        <v>Flotemysost</v>
      </c>
      <c r="H1196" s="9" t="str">
        <f>IF(VLOOKUP(operations[productID],products[],7,FALSE)=1,"Discontinued","Current")</f>
        <v>Current</v>
      </c>
      <c r="I1196" s="6">
        <f>VLOOKUP(operations[productID],products[],4,FALSE)</f>
        <v>26</v>
      </c>
      <c r="J1196" s="6">
        <f>VLOOKUP(operations[productID],products[],5,FALSE)</f>
        <v>0</v>
      </c>
      <c r="K1196" s="6">
        <f>VLOOKUP(operations[productID],products[],6,FALSE)</f>
        <v>0</v>
      </c>
      <c r="L1196" s="10">
        <f t="array" ref="L1196">INDEX('1 orders'!I1196:I2156, MATCH(1, ('1 orders'!A1196:A2156=A1196)*('1 orders'!G1196:G2156=F1196), 0))
</f>
        <v>20</v>
      </c>
      <c r="M1196" s="10">
        <f>IFERROR(__xludf.DUMMYFUNCTION("COUNTUNIQUEIFS($A$2:$A1196,$F$2:$F1196,F1196)"),28.0)</f>
        <v>28</v>
      </c>
      <c r="N1196" s="10">
        <f t="shared" si="1"/>
        <v>3</v>
      </c>
      <c r="O1196" s="26">
        <f>IF(operations[sinceLastOrder]=0,0,operations[orderQuantity] / operations[sinceLastOrder])</f>
        <v>6.666666667</v>
      </c>
      <c r="P1196" s="9">
        <v>220.31</v>
      </c>
      <c r="Q1196" s="7" t="s">
        <v>13</v>
      </c>
      <c r="R1196" s="10">
        <f>operations[arrivedDate]-operations[shippedDate]</f>
        <v>12</v>
      </c>
    </row>
    <row r="1197" ht="15.75" customHeight="1">
      <c r="A1197" s="6">
        <v>10701.0</v>
      </c>
      <c r="B1197" s="24">
        <v>45212.0</v>
      </c>
      <c r="C1197" s="24">
        <v>45226.0</v>
      </c>
      <c r="D1197" s="24">
        <v>45214.0</v>
      </c>
      <c r="E1197" s="24">
        <v>45226.0</v>
      </c>
      <c r="F1197" s="6">
        <v>76.0</v>
      </c>
      <c r="G1197" s="9" t="str">
        <f>VLOOKUP(operations[productID],products[],2,FALSE)</f>
        <v>Lakkalikööri</v>
      </c>
      <c r="H1197" s="9" t="str">
        <f>IF(VLOOKUP(operations[productID],products[],7,FALSE)=1,"Discontinued","Current")</f>
        <v>Current</v>
      </c>
      <c r="I1197" s="6">
        <f>VLOOKUP(operations[productID],products[],4,FALSE)</f>
        <v>57</v>
      </c>
      <c r="J1197" s="6">
        <f>VLOOKUP(operations[productID],products[],5,FALSE)</f>
        <v>0</v>
      </c>
      <c r="K1197" s="6">
        <f>VLOOKUP(operations[productID],products[],6,FALSE)</f>
        <v>20</v>
      </c>
      <c r="L1197" s="10">
        <f t="array" ref="L1197">INDEX('1 orders'!I1197:I2156, MATCH(1, ('1 orders'!A1197:A2156=A1197)*('1 orders'!G1197:G2156=F1197), 0))
</f>
        <v>35</v>
      </c>
      <c r="M1197" s="10">
        <f>IFERROR(__xludf.DUMMYFUNCTION("COUNTUNIQUEIFS($A$2:$A1197,$F$2:$F1197,F1197)"),22.0)</f>
        <v>22</v>
      </c>
      <c r="N1197" s="10">
        <f t="shared" si="1"/>
        <v>32</v>
      </c>
      <c r="O1197" s="26">
        <f>IF(operations[sinceLastOrder]=0,0,operations[orderQuantity] / operations[sinceLastOrder])</f>
        <v>1.09375</v>
      </c>
      <c r="P1197" s="9">
        <v>220.31</v>
      </c>
      <c r="Q1197" s="7" t="s">
        <v>13</v>
      </c>
      <c r="R1197" s="10">
        <f>operations[arrivedDate]-operations[shippedDate]</f>
        <v>12</v>
      </c>
    </row>
    <row r="1198" ht="15.75" customHeight="1">
      <c r="A1198" s="6">
        <v>10702.0</v>
      </c>
      <c r="B1198" s="24">
        <v>45212.0</v>
      </c>
      <c r="C1198" s="24">
        <v>45254.0</v>
      </c>
      <c r="D1198" s="24">
        <v>45220.0</v>
      </c>
      <c r="E1198" s="24">
        <v>45221.0</v>
      </c>
      <c r="F1198" s="6">
        <v>3.0</v>
      </c>
      <c r="G1198" s="9" t="str">
        <f>VLOOKUP(operations[productID],products[],2,FALSE)</f>
        <v>Aniseed Syrup</v>
      </c>
      <c r="H1198" s="9" t="str">
        <f>IF(VLOOKUP(operations[productID],products[],7,FALSE)=1,"Discontinued","Current")</f>
        <v>Current</v>
      </c>
      <c r="I1198" s="6">
        <f>VLOOKUP(operations[productID],products[],4,FALSE)</f>
        <v>13</v>
      </c>
      <c r="J1198" s="6">
        <f>VLOOKUP(operations[productID],products[],5,FALSE)</f>
        <v>70</v>
      </c>
      <c r="K1198" s="6">
        <f>VLOOKUP(operations[productID],products[],6,FALSE)</f>
        <v>25</v>
      </c>
      <c r="L1198" s="10">
        <f t="array" ref="L1198">INDEX('1 orders'!I1198:I2156, MATCH(1, ('1 orders'!A1198:A2156=A1198)*('1 orders'!G1198:G2156=F1198), 0))
</f>
        <v>6</v>
      </c>
      <c r="M1198" s="10">
        <f>IFERROR(__xludf.DUMMYFUNCTION("COUNTUNIQUEIFS($A$2:$A1198,$F$2:$F1198,F1198)"),6.0)</f>
        <v>6</v>
      </c>
      <c r="N1198" s="10">
        <f t="shared" si="1"/>
        <v>98</v>
      </c>
      <c r="O1198" s="26">
        <f>IF(operations[sinceLastOrder]=0,0,operations[orderQuantity] / operations[sinceLastOrder])</f>
        <v>0.0612244898</v>
      </c>
      <c r="P1198" s="9">
        <v>23.94</v>
      </c>
      <c r="Q1198" s="7" t="s">
        <v>15</v>
      </c>
      <c r="R1198" s="10">
        <f>operations[arrivedDate]-operations[shippedDate]</f>
        <v>1</v>
      </c>
    </row>
    <row r="1199" ht="15.75" customHeight="1">
      <c r="A1199" s="6">
        <v>10702.0</v>
      </c>
      <c r="B1199" s="24">
        <v>45212.0</v>
      </c>
      <c r="C1199" s="24">
        <v>45254.0</v>
      </c>
      <c r="D1199" s="24">
        <v>45220.0</v>
      </c>
      <c r="E1199" s="24">
        <v>45221.0</v>
      </c>
      <c r="F1199" s="6">
        <v>76.0</v>
      </c>
      <c r="G1199" s="9" t="str">
        <f>VLOOKUP(operations[productID],products[],2,FALSE)</f>
        <v>Lakkalikööri</v>
      </c>
      <c r="H1199" s="9" t="str">
        <f>IF(VLOOKUP(operations[productID],products[],7,FALSE)=1,"Discontinued","Current")</f>
        <v>Current</v>
      </c>
      <c r="I1199" s="6">
        <f>VLOOKUP(operations[productID],products[],4,FALSE)</f>
        <v>57</v>
      </c>
      <c r="J1199" s="6">
        <f>VLOOKUP(operations[productID],products[],5,FALSE)</f>
        <v>0</v>
      </c>
      <c r="K1199" s="6">
        <f>VLOOKUP(operations[productID],products[],6,FALSE)</f>
        <v>20</v>
      </c>
      <c r="L1199" s="10">
        <f t="array" ref="L1199">INDEX('1 orders'!I1199:I2156, MATCH(1, ('1 orders'!A1199:A2156=A1199)*('1 orders'!G1199:G2156=F1199), 0))
</f>
        <v>15</v>
      </c>
      <c r="M1199" s="10">
        <f>IFERROR(__xludf.DUMMYFUNCTION("COUNTUNIQUEIFS($A$2:$A1199,$F$2:$F1199,F1199)"),23.0)</f>
        <v>23</v>
      </c>
      <c r="N1199" s="10">
        <f t="shared" si="1"/>
        <v>0</v>
      </c>
      <c r="O1199" s="26">
        <f>IF(operations[sinceLastOrder]=0,0,operations[orderQuantity] / operations[sinceLastOrder])</f>
        <v>0</v>
      </c>
      <c r="P1199" s="9">
        <v>23.94</v>
      </c>
      <c r="Q1199" s="7" t="s">
        <v>15</v>
      </c>
      <c r="R1199" s="10">
        <f>operations[arrivedDate]-operations[shippedDate]</f>
        <v>1</v>
      </c>
    </row>
    <row r="1200" ht="15.75" customHeight="1">
      <c r="A1200" s="6">
        <v>10703.0</v>
      </c>
      <c r="B1200" s="24">
        <v>45213.0</v>
      </c>
      <c r="C1200" s="24">
        <v>45241.0</v>
      </c>
      <c r="D1200" s="24">
        <v>45219.0</v>
      </c>
      <c r="E1200" s="24">
        <v>45232.0</v>
      </c>
      <c r="F1200" s="6">
        <v>2.0</v>
      </c>
      <c r="G1200" s="9" t="str">
        <f>VLOOKUP(operations[productID],products[],2,FALSE)</f>
        <v>Chang</v>
      </c>
      <c r="H1200" s="9" t="str">
        <f>IF(VLOOKUP(operations[productID],products[],7,FALSE)=1,"Discontinued","Current")</f>
        <v>Current</v>
      </c>
      <c r="I1200" s="6">
        <f>VLOOKUP(operations[productID],products[],4,FALSE)</f>
        <v>17</v>
      </c>
      <c r="J1200" s="6">
        <f>VLOOKUP(operations[productID],products[],5,FALSE)</f>
        <v>40</v>
      </c>
      <c r="K1200" s="6">
        <f>VLOOKUP(operations[productID],products[],6,FALSE)</f>
        <v>25</v>
      </c>
      <c r="L1200" s="10">
        <f t="array" ref="L1200">INDEX('1 orders'!I1200:I2156, MATCH(1, ('1 orders'!A1200:A2156=A1200)*('1 orders'!G1200:G2156=F1200), 0))
</f>
        <v>5</v>
      </c>
      <c r="M1200" s="10">
        <f>IFERROR(__xludf.DUMMYFUNCTION("COUNTUNIQUEIFS($A$2:$A1200,$F$2:$F1200,F1200)"),19.0)</f>
        <v>19</v>
      </c>
      <c r="N1200" s="10">
        <f t="shared" si="1"/>
        <v>53</v>
      </c>
      <c r="O1200" s="26">
        <f>IF(operations[sinceLastOrder]=0,0,operations[orderQuantity] / operations[sinceLastOrder])</f>
        <v>0.09433962264</v>
      </c>
      <c r="P1200" s="9">
        <v>152.3</v>
      </c>
      <c r="Q1200" s="7" t="s">
        <v>17</v>
      </c>
      <c r="R1200" s="10">
        <f>operations[arrivedDate]-operations[shippedDate]</f>
        <v>13</v>
      </c>
    </row>
    <row r="1201" ht="15.75" customHeight="1">
      <c r="A1201" s="6">
        <v>10703.0</v>
      </c>
      <c r="B1201" s="24">
        <v>45213.0</v>
      </c>
      <c r="C1201" s="24">
        <v>45241.0</v>
      </c>
      <c r="D1201" s="24">
        <v>45219.0</v>
      </c>
      <c r="E1201" s="24">
        <v>45232.0</v>
      </c>
      <c r="F1201" s="6">
        <v>59.0</v>
      </c>
      <c r="G1201" s="9" t="str">
        <f>VLOOKUP(operations[productID],products[],2,FALSE)</f>
        <v>Raclette Courdavault</v>
      </c>
      <c r="H1201" s="9" t="str">
        <f>IF(VLOOKUP(operations[productID],products[],7,FALSE)=1,"Discontinued","Current")</f>
        <v>Current</v>
      </c>
      <c r="I1201" s="6">
        <f>VLOOKUP(operations[productID],products[],4,FALSE)</f>
        <v>79</v>
      </c>
      <c r="J1201" s="6">
        <f>VLOOKUP(operations[productID],products[],5,FALSE)</f>
        <v>0</v>
      </c>
      <c r="K1201" s="6">
        <f>VLOOKUP(operations[productID],products[],6,FALSE)</f>
        <v>0</v>
      </c>
      <c r="L1201" s="10">
        <f t="array" ref="L1201">INDEX('1 orders'!I1201:I2156, MATCH(1, ('1 orders'!A1201:A2156=A1201)*('1 orders'!G1201:G2156=F1201), 0))
</f>
        <v>35</v>
      </c>
      <c r="M1201" s="10">
        <f>IFERROR(__xludf.DUMMYFUNCTION("COUNTUNIQUEIFS($A$2:$A1201,$F$2:$F1201,F1201)"),32.0)</f>
        <v>32</v>
      </c>
      <c r="N1201" s="10">
        <f t="shared" si="1"/>
        <v>1</v>
      </c>
      <c r="O1201" s="26">
        <f>IF(operations[sinceLastOrder]=0,0,operations[orderQuantity] / operations[sinceLastOrder])</f>
        <v>35</v>
      </c>
      <c r="P1201" s="9">
        <v>152.3</v>
      </c>
      <c r="Q1201" s="7" t="s">
        <v>17</v>
      </c>
      <c r="R1201" s="10">
        <f>operations[arrivedDate]-operations[shippedDate]</f>
        <v>13</v>
      </c>
    </row>
    <row r="1202" ht="15.75" customHeight="1">
      <c r="A1202" s="6">
        <v>10703.0</v>
      </c>
      <c r="B1202" s="24">
        <v>45213.0</v>
      </c>
      <c r="C1202" s="24">
        <v>45241.0</v>
      </c>
      <c r="D1202" s="24">
        <v>45219.0</v>
      </c>
      <c r="E1202" s="24">
        <v>45232.0</v>
      </c>
      <c r="F1202" s="6">
        <v>73.0</v>
      </c>
      <c r="G1202" s="9" t="str">
        <f>VLOOKUP(operations[productID],products[],2,FALSE)</f>
        <v>Röd Kaviar</v>
      </c>
      <c r="H1202" s="9" t="str">
        <f>IF(VLOOKUP(operations[productID],products[],7,FALSE)=1,"Discontinued","Current")</f>
        <v>Current</v>
      </c>
      <c r="I1202" s="6">
        <f>VLOOKUP(operations[productID],products[],4,FALSE)</f>
        <v>101</v>
      </c>
      <c r="J1202" s="6">
        <f>VLOOKUP(operations[productID],products[],5,FALSE)</f>
        <v>0</v>
      </c>
      <c r="K1202" s="6">
        <f>VLOOKUP(operations[productID],products[],6,FALSE)</f>
        <v>5</v>
      </c>
      <c r="L1202" s="10">
        <f t="array" ref="L1202">INDEX('1 orders'!I1202:I2156, MATCH(1, ('1 orders'!A1202:A2156=A1202)*('1 orders'!G1202:G2156=F1202), 0))
</f>
        <v>35</v>
      </c>
      <c r="M1202" s="10">
        <f>IFERROR(__xludf.DUMMYFUNCTION("COUNTUNIQUEIFS($A$2:$A1202,$F$2:$F1202,F1202)"),11.0)</f>
        <v>11</v>
      </c>
      <c r="N1202" s="10">
        <f t="shared" si="1"/>
        <v>8</v>
      </c>
      <c r="O1202" s="26">
        <f>IF(operations[sinceLastOrder]=0,0,operations[orderQuantity] / operations[sinceLastOrder])</f>
        <v>4.375</v>
      </c>
      <c r="P1202" s="9">
        <v>152.3</v>
      </c>
      <c r="Q1202" s="7" t="s">
        <v>17</v>
      </c>
      <c r="R1202" s="10">
        <f>operations[arrivedDate]-operations[shippedDate]</f>
        <v>13</v>
      </c>
    </row>
    <row r="1203" ht="15.75" customHeight="1">
      <c r="A1203" s="6">
        <v>10704.0</v>
      </c>
      <c r="B1203" s="24">
        <v>45213.0</v>
      </c>
      <c r="C1203" s="24">
        <v>45241.0</v>
      </c>
      <c r="D1203" s="24">
        <v>45237.0</v>
      </c>
      <c r="E1203" s="24">
        <v>45250.0</v>
      </c>
      <c r="F1203" s="6">
        <v>4.0</v>
      </c>
      <c r="G1203" s="9" t="str">
        <f>VLOOKUP(operations[productID],products[],2,FALSE)</f>
        <v>Chef Anton's Cajun Seasoning</v>
      </c>
      <c r="H1203" s="9" t="str">
        <f>IF(VLOOKUP(operations[productID],products[],7,FALSE)=1,"Discontinued","Current")</f>
        <v>Current</v>
      </c>
      <c r="I1203" s="6">
        <f>VLOOKUP(operations[productID],products[],4,FALSE)</f>
        <v>53</v>
      </c>
      <c r="J1203" s="6">
        <f>VLOOKUP(operations[productID],products[],5,FALSE)</f>
        <v>0</v>
      </c>
      <c r="K1203" s="6">
        <f>VLOOKUP(operations[productID],products[],6,FALSE)</f>
        <v>0</v>
      </c>
      <c r="L1203" s="10">
        <f t="array" ref="L1203">INDEX('1 orders'!I1203:I2156, MATCH(1, ('1 orders'!A1203:A2156=A1203)*('1 orders'!G1203:G2156=F1203), 0))
</f>
        <v>6</v>
      </c>
      <c r="M1203" s="10">
        <f>IFERROR(__xludf.DUMMYFUNCTION("COUNTUNIQUEIFS($A$2:$A1203,$F$2:$F1203,F1203)"),14.0)</f>
        <v>14</v>
      </c>
      <c r="N1203" s="10">
        <f t="shared" si="1"/>
        <v>42</v>
      </c>
      <c r="O1203" s="26">
        <f>IF(operations[sinceLastOrder]=0,0,operations[orderQuantity] / operations[sinceLastOrder])</f>
        <v>0.1428571429</v>
      </c>
      <c r="P1203" s="9">
        <v>4.78</v>
      </c>
      <c r="Q1203" s="7" t="s">
        <v>15</v>
      </c>
      <c r="R1203" s="10">
        <f>operations[arrivedDate]-operations[shippedDate]</f>
        <v>13</v>
      </c>
    </row>
    <row r="1204" ht="15.75" customHeight="1">
      <c r="A1204" s="6">
        <v>10704.0</v>
      </c>
      <c r="B1204" s="24">
        <v>45213.0</v>
      </c>
      <c r="C1204" s="24">
        <v>45241.0</v>
      </c>
      <c r="D1204" s="24">
        <v>45237.0</v>
      </c>
      <c r="E1204" s="24">
        <v>45250.0</v>
      </c>
      <c r="F1204" s="6">
        <v>24.0</v>
      </c>
      <c r="G1204" s="9" t="str">
        <f>VLOOKUP(operations[productID],products[],2,FALSE)</f>
        <v>Brigadeiros Maravilhosos da Lilian</v>
      </c>
      <c r="H1204" s="9" t="str">
        <f>IF(VLOOKUP(operations[productID],products[],7,FALSE)=1,"Discontinued","Current")</f>
        <v>Discontinued</v>
      </c>
      <c r="I1204" s="6">
        <f>VLOOKUP(operations[productID],products[],4,FALSE)</f>
        <v>20</v>
      </c>
      <c r="J1204" s="6">
        <f>VLOOKUP(operations[productID],products[],5,FALSE)</f>
        <v>0</v>
      </c>
      <c r="K1204" s="6">
        <f>VLOOKUP(operations[productID],products[],6,FALSE)</f>
        <v>0</v>
      </c>
      <c r="L1204" s="10">
        <f t="array" ref="L1204">INDEX('1 orders'!I1204:I2156, MATCH(1, ('1 orders'!A1204:A2156=A1204)*('1 orders'!G1204:G2156=F1204), 0))
</f>
        <v>35</v>
      </c>
      <c r="M1204" s="10">
        <f>IFERROR(__xludf.DUMMYFUNCTION("COUNTUNIQUEIFS($A$2:$A1204,$F$2:$F1204,F1204)"),28.0)</f>
        <v>28</v>
      </c>
      <c r="N1204" s="10">
        <f t="shared" si="1"/>
        <v>7</v>
      </c>
      <c r="O1204" s="26">
        <f>IF(operations[sinceLastOrder]=0,0,operations[orderQuantity] / operations[sinceLastOrder])</f>
        <v>5</v>
      </c>
      <c r="P1204" s="9">
        <v>4.78</v>
      </c>
      <c r="Q1204" s="7" t="s">
        <v>15</v>
      </c>
      <c r="R1204" s="10">
        <f>operations[arrivedDate]-operations[shippedDate]</f>
        <v>13</v>
      </c>
    </row>
    <row r="1205" ht="15.75" customHeight="1">
      <c r="A1205" s="6">
        <v>10704.0</v>
      </c>
      <c r="B1205" s="24">
        <v>45213.0</v>
      </c>
      <c r="C1205" s="24">
        <v>45241.0</v>
      </c>
      <c r="D1205" s="24">
        <v>45237.0</v>
      </c>
      <c r="E1205" s="24">
        <v>45250.0</v>
      </c>
      <c r="F1205" s="6">
        <v>48.0</v>
      </c>
      <c r="G1205" s="9" t="str">
        <f>VLOOKUP(operations[productID],products[],2,FALSE)</f>
        <v>Chocolade</v>
      </c>
      <c r="H1205" s="9" t="str">
        <f>IF(VLOOKUP(operations[productID],products[],7,FALSE)=1,"Discontinued","Current")</f>
        <v>Current</v>
      </c>
      <c r="I1205" s="6">
        <f>VLOOKUP(operations[productID],products[],4,FALSE)</f>
        <v>15</v>
      </c>
      <c r="J1205" s="6">
        <f>VLOOKUP(operations[productID],products[],5,FALSE)</f>
        <v>70</v>
      </c>
      <c r="K1205" s="6">
        <f>VLOOKUP(operations[productID],products[],6,FALSE)</f>
        <v>25</v>
      </c>
      <c r="L1205" s="10">
        <f t="array" ref="L1205">INDEX('1 orders'!I1205:I2156, MATCH(1, ('1 orders'!A1205:A2156=A1205)*('1 orders'!G1205:G2156=F1205), 0))
</f>
        <v>24</v>
      </c>
      <c r="M1205" s="10">
        <f>IFERROR(__xludf.DUMMYFUNCTION("COUNTUNIQUEIFS($A$2:$A1205,$F$2:$F1205,F1205)"),5.0)</f>
        <v>5</v>
      </c>
      <c r="N1205" s="10">
        <f t="shared" si="1"/>
        <v>88</v>
      </c>
      <c r="O1205" s="26">
        <f>IF(operations[sinceLastOrder]=0,0,operations[orderQuantity] / operations[sinceLastOrder])</f>
        <v>0.2727272727</v>
      </c>
      <c r="P1205" s="9">
        <v>4.78</v>
      </c>
      <c r="Q1205" s="7" t="s">
        <v>15</v>
      </c>
      <c r="R1205" s="10">
        <f>operations[arrivedDate]-operations[shippedDate]</f>
        <v>13</v>
      </c>
    </row>
    <row r="1206" ht="15.75" customHeight="1">
      <c r="A1206" s="6">
        <v>10705.0</v>
      </c>
      <c r="B1206" s="24">
        <v>45214.0</v>
      </c>
      <c r="C1206" s="24">
        <v>45242.0</v>
      </c>
      <c r="D1206" s="24">
        <v>45248.0</v>
      </c>
      <c r="E1206" s="24">
        <v>45260.0</v>
      </c>
      <c r="F1206" s="6">
        <v>31.0</v>
      </c>
      <c r="G1206" s="9" t="str">
        <f>VLOOKUP(operations[productID],products[],2,FALSE)</f>
        <v>Gorgonzola Telino</v>
      </c>
      <c r="H1206" s="9" t="str">
        <f>IF(VLOOKUP(operations[productID],products[],7,FALSE)=1,"Discontinued","Current")</f>
        <v>Current</v>
      </c>
      <c r="I1206" s="6">
        <f>VLOOKUP(operations[productID],products[],4,FALSE)</f>
        <v>0</v>
      </c>
      <c r="J1206" s="6">
        <f>VLOOKUP(operations[productID],products[],5,FALSE)</f>
        <v>70</v>
      </c>
      <c r="K1206" s="6">
        <f>VLOOKUP(operations[productID],products[],6,FALSE)</f>
        <v>20</v>
      </c>
      <c r="L1206" s="10">
        <f t="array" ref="L1206">INDEX('1 orders'!I1206:I2156, MATCH(1, ('1 orders'!A1206:A2156=A1206)*('1 orders'!G1206:G2156=F1206), 0))
</f>
        <v>20</v>
      </c>
      <c r="M1206" s="10">
        <f>IFERROR(__xludf.DUMMYFUNCTION("COUNTUNIQUEIFS($A$2:$A1206,$F$2:$F1206,F1206)"),30.0)</f>
        <v>30</v>
      </c>
      <c r="N1206" s="10">
        <f t="shared" si="1"/>
        <v>21</v>
      </c>
      <c r="O1206" s="26">
        <f>IF(operations[sinceLastOrder]=0,0,operations[orderQuantity] / operations[sinceLastOrder])</f>
        <v>0.9523809524</v>
      </c>
      <c r="P1206" s="9">
        <v>3.52</v>
      </c>
      <c r="Q1206" s="7" t="s">
        <v>17</v>
      </c>
      <c r="R1206" s="10">
        <f>operations[arrivedDate]-operations[shippedDate]</f>
        <v>12</v>
      </c>
    </row>
    <row r="1207" ht="15.75" customHeight="1">
      <c r="A1207" s="6">
        <v>10705.0</v>
      </c>
      <c r="B1207" s="24">
        <v>45214.0</v>
      </c>
      <c r="C1207" s="24">
        <v>45242.0</v>
      </c>
      <c r="D1207" s="24">
        <v>45248.0</v>
      </c>
      <c r="E1207" s="24">
        <v>45260.0</v>
      </c>
      <c r="F1207" s="6">
        <v>32.0</v>
      </c>
      <c r="G1207" s="9" t="str">
        <f>VLOOKUP(operations[productID],products[],2,FALSE)</f>
        <v>Mascarpone Fabioli</v>
      </c>
      <c r="H1207" s="9" t="str">
        <f>IF(VLOOKUP(operations[productID],products[],7,FALSE)=1,"Discontinued","Current")</f>
        <v>Current</v>
      </c>
      <c r="I1207" s="6">
        <f>VLOOKUP(operations[productID],products[],4,FALSE)</f>
        <v>9</v>
      </c>
      <c r="J1207" s="6">
        <f>VLOOKUP(operations[productID],products[],5,FALSE)</f>
        <v>40</v>
      </c>
      <c r="K1207" s="6">
        <f>VLOOKUP(operations[productID],products[],6,FALSE)</f>
        <v>25</v>
      </c>
      <c r="L1207" s="10">
        <f t="array" ref="L1207">INDEX('1 orders'!I1207:I2156, MATCH(1, ('1 orders'!A1207:A2156=A1207)*('1 orders'!G1207:G2156=F1207), 0))
</f>
        <v>4</v>
      </c>
      <c r="M1207" s="10">
        <f>IFERROR(__xludf.DUMMYFUNCTION("COUNTUNIQUEIFS($A$2:$A1207,$F$2:$F1207,F1207)"),7.0)</f>
        <v>7</v>
      </c>
      <c r="N1207" s="10">
        <f t="shared" si="1"/>
        <v>119</v>
      </c>
      <c r="O1207" s="26">
        <f>IF(operations[sinceLastOrder]=0,0,operations[orderQuantity] / operations[sinceLastOrder])</f>
        <v>0.03361344538</v>
      </c>
      <c r="P1207" s="9">
        <v>3.52</v>
      </c>
      <c r="Q1207" s="7" t="s">
        <v>17</v>
      </c>
      <c r="R1207" s="10">
        <f>operations[arrivedDate]-operations[shippedDate]</f>
        <v>12</v>
      </c>
    </row>
    <row r="1208" ht="15.75" customHeight="1">
      <c r="A1208" s="6">
        <v>10706.0</v>
      </c>
      <c r="B1208" s="24">
        <v>45215.0</v>
      </c>
      <c r="C1208" s="24">
        <v>45243.0</v>
      </c>
      <c r="D1208" s="24">
        <v>45220.0</v>
      </c>
      <c r="E1208" s="24">
        <v>45234.0</v>
      </c>
      <c r="F1208" s="6">
        <v>16.0</v>
      </c>
      <c r="G1208" s="9" t="str">
        <f>VLOOKUP(operations[productID],products[],2,FALSE)</f>
        <v>Pavlova</v>
      </c>
      <c r="H1208" s="9" t="str">
        <f>IF(VLOOKUP(operations[productID],products[],7,FALSE)=1,"Discontinued","Current")</f>
        <v>Current</v>
      </c>
      <c r="I1208" s="6">
        <f>VLOOKUP(operations[productID],products[],4,FALSE)</f>
        <v>29</v>
      </c>
      <c r="J1208" s="6">
        <f>VLOOKUP(operations[productID],products[],5,FALSE)</f>
        <v>0</v>
      </c>
      <c r="K1208" s="6">
        <f>VLOOKUP(operations[productID],products[],6,FALSE)</f>
        <v>10</v>
      </c>
      <c r="L1208" s="10">
        <f t="array" ref="L1208">INDEX('1 orders'!I1208:I2156, MATCH(1, ('1 orders'!A1208:A2156=A1208)*('1 orders'!G1208:G2156=F1208), 0))
</f>
        <v>20</v>
      </c>
      <c r="M1208" s="10">
        <f>IFERROR(__xludf.DUMMYFUNCTION("COUNTUNIQUEIFS($A$2:$A1208,$F$2:$F1208,F1208)"),24.0)</f>
        <v>24</v>
      </c>
      <c r="N1208" s="10">
        <f t="shared" si="1"/>
        <v>22</v>
      </c>
      <c r="O1208" s="26">
        <f>IF(operations[sinceLastOrder]=0,0,operations[orderQuantity] / operations[sinceLastOrder])</f>
        <v>0.9090909091</v>
      </c>
      <c r="P1208" s="9">
        <v>135.63</v>
      </c>
      <c r="Q1208" s="7" t="s">
        <v>13</v>
      </c>
      <c r="R1208" s="10">
        <f>operations[arrivedDate]-operations[shippedDate]</f>
        <v>14</v>
      </c>
    </row>
    <row r="1209" ht="15.75" customHeight="1">
      <c r="A1209" s="6">
        <v>10706.0</v>
      </c>
      <c r="B1209" s="24">
        <v>45215.0</v>
      </c>
      <c r="C1209" s="24">
        <v>45243.0</v>
      </c>
      <c r="D1209" s="24">
        <v>45220.0</v>
      </c>
      <c r="E1209" s="24">
        <v>45234.0</v>
      </c>
      <c r="F1209" s="6">
        <v>43.0</v>
      </c>
      <c r="G1209" s="9" t="str">
        <f>VLOOKUP(operations[productID],products[],2,FALSE)</f>
        <v>Ipoh Coffee</v>
      </c>
      <c r="H1209" s="9" t="str">
        <f>IF(VLOOKUP(operations[productID],products[],7,FALSE)=1,"Discontinued","Current")</f>
        <v>Current</v>
      </c>
      <c r="I1209" s="6">
        <f>VLOOKUP(operations[productID],products[],4,FALSE)</f>
        <v>17</v>
      </c>
      <c r="J1209" s="6">
        <f>VLOOKUP(operations[productID],products[],5,FALSE)</f>
        <v>10</v>
      </c>
      <c r="K1209" s="6">
        <f>VLOOKUP(operations[productID],products[],6,FALSE)</f>
        <v>25</v>
      </c>
      <c r="L1209" s="10">
        <f t="array" ref="L1209">INDEX('1 orders'!I1209:I2156, MATCH(1, ('1 orders'!A1209:A2156=A1209)*('1 orders'!G1209:G2156=F1209), 0))
</f>
        <v>24</v>
      </c>
      <c r="M1209" s="10">
        <f>IFERROR(__xludf.DUMMYFUNCTION("COUNTUNIQUEIFS($A$2:$A1209,$F$2:$F1209,F1209)"),16.0)</f>
        <v>16</v>
      </c>
      <c r="N1209" s="10">
        <f t="shared" si="1"/>
        <v>13</v>
      </c>
      <c r="O1209" s="26">
        <f>IF(operations[sinceLastOrder]=0,0,operations[orderQuantity] / operations[sinceLastOrder])</f>
        <v>1.846153846</v>
      </c>
      <c r="P1209" s="9">
        <v>135.63</v>
      </c>
      <c r="Q1209" s="7" t="s">
        <v>13</v>
      </c>
      <c r="R1209" s="10">
        <f>operations[arrivedDate]-operations[shippedDate]</f>
        <v>14</v>
      </c>
    </row>
    <row r="1210" ht="15.75" customHeight="1">
      <c r="A1210" s="6">
        <v>10706.0</v>
      </c>
      <c r="B1210" s="24">
        <v>45215.0</v>
      </c>
      <c r="C1210" s="24">
        <v>45243.0</v>
      </c>
      <c r="D1210" s="24">
        <v>45220.0</v>
      </c>
      <c r="E1210" s="24">
        <v>45234.0</v>
      </c>
      <c r="F1210" s="6">
        <v>59.0</v>
      </c>
      <c r="G1210" s="9" t="str">
        <f>VLOOKUP(operations[productID],products[],2,FALSE)</f>
        <v>Raclette Courdavault</v>
      </c>
      <c r="H1210" s="9" t="str">
        <f>IF(VLOOKUP(operations[productID],products[],7,FALSE)=1,"Discontinued","Current")</f>
        <v>Current</v>
      </c>
      <c r="I1210" s="6">
        <f>VLOOKUP(operations[productID],products[],4,FALSE)</f>
        <v>79</v>
      </c>
      <c r="J1210" s="6">
        <f>VLOOKUP(operations[productID],products[],5,FALSE)</f>
        <v>0</v>
      </c>
      <c r="K1210" s="6">
        <f>VLOOKUP(operations[productID],products[],6,FALSE)</f>
        <v>0</v>
      </c>
      <c r="L1210" s="10">
        <f t="array" ref="L1210">INDEX('1 orders'!I1210:I2156, MATCH(1, ('1 orders'!A1210:A2156=A1210)*('1 orders'!G1210:G2156=F1210), 0))
</f>
        <v>8</v>
      </c>
      <c r="M1210" s="10">
        <f>IFERROR(__xludf.DUMMYFUNCTION("COUNTUNIQUEIFS($A$2:$A1210,$F$2:$F1210,F1210)"),33.0)</f>
        <v>33</v>
      </c>
      <c r="N1210" s="10">
        <f t="shared" si="1"/>
        <v>2</v>
      </c>
      <c r="O1210" s="26">
        <f>IF(operations[sinceLastOrder]=0,0,operations[orderQuantity] / operations[sinceLastOrder])</f>
        <v>4</v>
      </c>
      <c r="P1210" s="9">
        <v>135.63</v>
      </c>
      <c r="Q1210" s="7" t="s">
        <v>13</v>
      </c>
      <c r="R1210" s="10">
        <f>operations[arrivedDate]-operations[shippedDate]</f>
        <v>14</v>
      </c>
    </row>
    <row r="1211" ht="15.75" customHeight="1">
      <c r="A1211" s="6">
        <v>10707.0</v>
      </c>
      <c r="B1211" s="24">
        <v>45215.0</v>
      </c>
      <c r="C1211" s="24">
        <v>45229.0</v>
      </c>
      <c r="D1211" s="24">
        <v>45222.0</v>
      </c>
      <c r="E1211" s="24">
        <v>45231.0</v>
      </c>
      <c r="F1211" s="6">
        <v>55.0</v>
      </c>
      <c r="G1211" s="9" t="str">
        <f>VLOOKUP(operations[productID],products[],2,FALSE)</f>
        <v>Pâté chinois</v>
      </c>
      <c r="H1211" s="9" t="str">
        <f>IF(VLOOKUP(operations[productID],products[],7,FALSE)=1,"Discontinued","Current")</f>
        <v>Current</v>
      </c>
      <c r="I1211" s="6">
        <f>VLOOKUP(operations[productID],products[],4,FALSE)</f>
        <v>115</v>
      </c>
      <c r="J1211" s="6">
        <f>VLOOKUP(operations[productID],products[],5,FALSE)</f>
        <v>0</v>
      </c>
      <c r="K1211" s="6">
        <f>VLOOKUP(operations[productID],products[],6,FALSE)</f>
        <v>20</v>
      </c>
      <c r="L1211" s="10">
        <f t="array" ref="L1211">INDEX('1 orders'!I1211:I2156, MATCH(1, ('1 orders'!A1211:A2156=A1211)*('1 orders'!G1211:G2156=F1211), 0))
</f>
        <v>21</v>
      </c>
      <c r="M1211" s="10">
        <f>IFERROR(__xludf.DUMMYFUNCTION("COUNTUNIQUEIFS($A$2:$A1211,$F$2:$F1211,F1211)"),19.0)</f>
        <v>19</v>
      </c>
      <c r="N1211" s="10">
        <f t="shared" si="1"/>
        <v>31</v>
      </c>
      <c r="O1211" s="26">
        <f>IF(operations[sinceLastOrder]=0,0,operations[orderQuantity] / operations[sinceLastOrder])</f>
        <v>0.6774193548</v>
      </c>
      <c r="P1211" s="9">
        <v>21.74</v>
      </c>
      <c r="Q1211" s="7" t="s">
        <v>13</v>
      </c>
      <c r="R1211" s="10">
        <f>operations[arrivedDate]-operations[shippedDate]</f>
        <v>9</v>
      </c>
    </row>
    <row r="1212" ht="15.75" customHeight="1">
      <c r="A1212" s="6">
        <v>10707.0</v>
      </c>
      <c r="B1212" s="24">
        <v>45215.0</v>
      </c>
      <c r="C1212" s="24">
        <v>45229.0</v>
      </c>
      <c r="D1212" s="24">
        <v>45222.0</v>
      </c>
      <c r="E1212" s="24">
        <v>45231.0</v>
      </c>
      <c r="F1212" s="6">
        <v>57.0</v>
      </c>
      <c r="G1212" s="9" t="str">
        <f>VLOOKUP(operations[productID],products[],2,FALSE)</f>
        <v>Ravioli Angelo</v>
      </c>
      <c r="H1212" s="9" t="str">
        <f>IF(VLOOKUP(operations[productID],products[],7,FALSE)=1,"Discontinued","Current")</f>
        <v>Current</v>
      </c>
      <c r="I1212" s="6">
        <f>VLOOKUP(operations[productID],products[],4,FALSE)</f>
        <v>36</v>
      </c>
      <c r="J1212" s="6">
        <f>VLOOKUP(operations[productID],products[],5,FALSE)</f>
        <v>0</v>
      </c>
      <c r="K1212" s="6">
        <f>VLOOKUP(operations[productID],products[],6,FALSE)</f>
        <v>20</v>
      </c>
      <c r="L1212" s="10">
        <f t="array" ref="L1212">INDEX('1 orders'!I1212:I2156, MATCH(1, ('1 orders'!A1212:A2156=A1212)*('1 orders'!G1212:G2156=F1212), 0))
</f>
        <v>40</v>
      </c>
      <c r="M1212" s="10">
        <f>IFERROR(__xludf.DUMMYFUNCTION("COUNTUNIQUEIFS($A$2:$A1212,$F$2:$F1212,F1212)"),13.0)</f>
        <v>13</v>
      </c>
      <c r="N1212" s="10">
        <f t="shared" si="1"/>
        <v>97</v>
      </c>
      <c r="O1212" s="26">
        <f>IF(operations[sinceLastOrder]=0,0,operations[orderQuantity] / operations[sinceLastOrder])</f>
        <v>0.412371134</v>
      </c>
      <c r="P1212" s="9">
        <v>21.74</v>
      </c>
      <c r="Q1212" s="7" t="s">
        <v>13</v>
      </c>
      <c r="R1212" s="10">
        <f>operations[arrivedDate]-operations[shippedDate]</f>
        <v>9</v>
      </c>
    </row>
    <row r="1213" ht="15.75" customHeight="1">
      <c r="A1213" s="6">
        <v>10707.0</v>
      </c>
      <c r="B1213" s="24">
        <v>45215.0</v>
      </c>
      <c r="C1213" s="24">
        <v>45229.0</v>
      </c>
      <c r="D1213" s="24">
        <v>45222.0</v>
      </c>
      <c r="E1213" s="24">
        <v>45231.0</v>
      </c>
      <c r="F1213" s="6">
        <v>70.0</v>
      </c>
      <c r="G1213" s="9" t="str">
        <f>VLOOKUP(operations[productID],products[],2,FALSE)</f>
        <v>Outback Lager</v>
      </c>
      <c r="H1213" s="9" t="str">
        <f>IF(VLOOKUP(operations[productID],products[],7,FALSE)=1,"Discontinued","Current")</f>
        <v>Current</v>
      </c>
      <c r="I1213" s="6">
        <f>VLOOKUP(operations[productID],products[],4,FALSE)</f>
        <v>15</v>
      </c>
      <c r="J1213" s="6">
        <f>VLOOKUP(operations[productID],products[],5,FALSE)</f>
        <v>10</v>
      </c>
      <c r="K1213" s="6">
        <f>VLOOKUP(operations[productID],products[],6,FALSE)</f>
        <v>30</v>
      </c>
      <c r="L1213" s="10">
        <f t="array" ref="L1213">INDEX('1 orders'!I1213:I2156, MATCH(1, ('1 orders'!A1213:A2156=A1213)*('1 orders'!G1213:G2156=F1213), 0))
</f>
        <v>28</v>
      </c>
      <c r="M1213" s="10">
        <f>IFERROR(__xludf.DUMMYFUNCTION("COUNTUNIQUEIFS($A$2:$A1213,$F$2:$F1213,F1213)"),22.0)</f>
        <v>22</v>
      </c>
      <c r="N1213" s="10">
        <f t="shared" si="1"/>
        <v>7</v>
      </c>
      <c r="O1213" s="26">
        <f>IF(operations[sinceLastOrder]=0,0,operations[orderQuantity] / operations[sinceLastOrder])</f>
        <v>4</v>
      </c>
      <c r="P1213" s="9">
        <v>21.74</v>
      </c>
      <c r="Q1213" s="7" t="s">
        <v>13</v>
      </c>
      <c r="R1213" s="10">
        <f>operations[arrivedDate]-operations[shippedDate]</f>
        <v>9</v>
      </c>
    </row>
    <row r="1214" ht="15.75" customHeight="1">
      <c r="A1214" s="6">
        <v>10708.0</v>
      </c>
      <c r="B1214" s="24">
        <v>45216.0</v>
      </c>
      <c r="C1214" s="24">
        <v>45258.0</v>
      </c>
      <c r="D1214" s="24">
        <v>45235.0</v>
      </c>
      <c r="E1214" s="24">
        <v>45253.0</v>
      </c>
      <c r="F1214" s="6">
        <v>5.0</v>
      </c>
      <c r="G1214" s="9" t="str">
        <f>VLOOKUP(operations[productID],products[],2,FALSE)</f>
        <v>Chef Anton's Gumbo Mix</v>
      </c>
      <c r="H1214" s="9" t="str">
        <f>IF(VLOOKUP(operations[productID],products[],7,FALSE)=1,"Discontinued","Current")</f>
        <v>Discontinued</v>
      </c>
      <c r="I1214" s="6">
        <f>VLOOKUP(operations[productID],products[],4,FALSE)</f>
        <v>0</v>
      </c>
      <c r="J1214" s="6">
        <f>VLOOKUP(operations[productID],products[],5,FALSE)</f>
        <v>0</v>
      </c>
      <c r="K1214" s="6">
        <f>VLOOKUP(operations[productID],products[],6,FALSE)</f>
        <v>0</v>
      </c>
      <c r="L1214" s="10">
        <f t="array" ref="L1214">INDEX('1 orders'!I1214:I2156, MATCH(1, ('1 orders'!A1214:A2156=A1214)*('1 orders'!G1214:G2156=F1214), 0))
</f>
        <v>4</v>
      </c>
      <c r="M1214" s="10">
        <f>IFERROR(__xludf.DUMMYFUNCTION("COUNTUNIQUEIFS($A$2:$A1214,$F$2:$F1214,F1214)"),6.0)</f>
        <v>6</v>
      </c>
      <c r="N1214" s="10">
        <f t="shared" si="1"/>
        <v>60</v>
      </c>
      <c r="O1214" s="26">
        <f>IF(operations[sinceLastOrder]=0,0,operations[orderQuantity] / operations[sinceLastOrder])</f>
        <v>0.06666666667</v>
      </c>
      <c r="P1214" s="9">
        <v>2.96</v>
      </c>
      <c r="Q1214" s="7" t="s">
        <v>17</v>
      </c>
      <c r="R1214" s="10">
        <f>operations[arrivedDate]-operations[shippedDate]</f>
        <v>18</v>
      </c>
    </row>
    <row r="1215" ht="15.75" customHeight="1">
      <c r="A1215" s="6">
        <v>10708.0</v>
      </c>
      <c r="B1215" s="24">
        <v>45216.0</v>
      </c>
      <c r="C1215" s="24">
        <v>45258.0</v>
      </c>
      <c r="D1215" s="24">
        <v>45235.0</v>
      </c>
      <c r="E1215" s="24">
        <v>45253.0</v>
      </c>
      <c r="F1215" s="6">
        <v>36.0</v>
      </c>
      <c r="G1215" s="9" t="str">
        <f>VLOOKUP(operations[productID],products[],2,FALSE)</f>
        <v>Inlagd Sill</v>
      </c>
      <c r="H1215" s="9" t="str">
        <f>IF(VLOOKUP(operations[productID],products[],7,FALSE)=1,"Discontinued","Current")</f>
        <v>Current</v>
      </c>
      <c r="I1215" s="6">
        <f>VLOOKUP(operations[productID],products[],4,FALSE)</f>
        <v>112</v>
      </c>
      <c r="J1215" s="6">
        <f>VLOOKUP(operations[productID],products[],5,FALSE)</f>
        <v>0</v>
      </c>
      <c r="K1215" s="6">
        <f>VLOOKUP(operations[productID],products[],6,FALSE)</f>
        <v>20</v>
      </c>
      <c r="L1215" s="10">
        <f t="array" ref="L1215">INDEX('1 orders'!I1215:I2156, MATCH(1, ('1 orders'!A1215:A2156=A1215)*('1 orders'!G1215:G2156=F1215), 0))
</f>
        <v>5</v>
      </c>
      <c r="M1215" s="10">
        <f>IFERROR(__xludf.DUMMYFUNCTION("COUNTUNIQUEIFS($A$2:$A1215,$F$2:$F1215,F1215)"),19.0)</f>
        <v>19</v>
      </c>
      <c r="N1215" s="10">
        <f t="shared" si="1"/>
        <v>17</v>
      </c>
      <c r="O1215" s="26">
        <f>IF(operations[sinceLastOrder]=0,0,operations[orderQuantity] / operations[sinceLastOrder])</f>
        <v>0.2941176471</v>
      </c>
      <c r="P1215" s="9">
        <v>2.96</v>
      </c>
      <c r="Q1215" s="7" t="s">
        <v>17</v>
      </c>
      <c r="R1215" s="10">
        <f>operations[arrivedDate]-operations[shippedDate]</f>
        <v>18</v>
      </c>
    </row>
    <row r="1216" ht="15.75" customHeight="1">
      <c r="A1216" s="6">
        <v>10709.0</v>
      </c>
      <c r="B1216" s="24">
        <v>45216.0</v>
      </c>
      <c r="C1216" s="24">
        <v>45244.0</v>
      </c>
      <c r="D1216" s="24">
        <v>45250.0</v>
      </c>
      <c r="E1216" s="24">
        <v>45268.0</v>
      </c>
      <c r="F1216" s="6">
        <v>8.0</v>
      </c>
      <c r="G1216" s="9" t="str">
        <f>VLOOKUP(operations[productID],products[],2,FALSE)</f>
        <v>Northwoods Cranberry Sauce</v>
      </c>
      <c r="H1216" s="9" t="str">
        <f>IF(VLOOKUP(operations[productID],products[],7,FALSE)=1,"Discontinued","Current")</f>
        <v>Current</v>
      </c>
      <c r="I1216" s="6">
        <f>VLOOKUP(operations[productID],products[],4,FALSE)</f>
        <v>6</v>
      </c>
      <c r="J1216" s="6">
        <f>VLOOKUP(operations[productID],products[],5,FALSE)</f>
        <v>0</v>
      </c>
      <c r="K1216" s="6">
        <f>VLOOKUP(operations[productID],products[],6,FALSE)</f>
        <v>0</v>
      </c>
      <c r="L1216" s="10">
        <f t="array" ref="L1216">INDEX('1 orders'!I1216:I2156, MATCH(1, ('1 orders'!A1216:A2156=A1216)*('1 orders'!G1216:G2156=F1216), 0))
</f>
        <v>40</v>
      </c>
      <c r="M1216" s="10">
        <f>IFERROR(__xludf.DUMMYFUNCTION("COUNTUNIQUEIFS($A$2:$A1216,$F$2:$F1216,F1216)"),6.0)</f>
        <v>6</v>
      </c>
      <c r="N1216" s="10">
        <f t="shared" si="1"/>
        <v>10</v>
      </c>
      <c r="O1216" s="26">
        <f>IF(operations[sinceLastOrder]=0,0,operations[orderQuantity] / operations[sinceLastOrder])</f>
        <v>4</v>
      </c>
      <c r="P1216" s="9">
        <v>210.8</v>
      </c>
      <c r="Q1216" s="7" t="s">
        <v>13</v>
      </c>
      <c r="R1216" s="10">
        <f>operations[arrivedDate]-operations[shippedDate]</f>
        <v>18</v>
      </c>
    </row>
    <row r="1217" ht="15.75" customHeight="1">
      <c r="A1217" s="6">
        <v>10709.0</v>
      </c>
      <c r="B1217" s="24">
        <v>45216.0</v>
      </c>
      <c r="C1217" s="24">
        <v>45244.0</v>
      </c>
      <c r="D1217" s="24">
        <v>45250.0</v>
      </c>
      <c r="E1217" s="24">
        <v>45268.0</v>
      </c>
      <c r="F1217" s="6">
        <v>51.0</v>
      </c>
      <c r="G1217" s="9" t="str">
        <f>VLOOKUP(operations[productID],products[],2,FALSE)</f>
        <v>Manjimup Dried Apples</v>
      </c>
      <c r="H1217" s="9" t="str">
        <f>IF(VLOOKUP(operations[productID],products[],7,FALSE)=1,"Discontinued","Current")</f>
        <v>Current</v>
      </c>
      <c r="I1217" s="6">
        <f>VLOOKUP(operations[productID],products[],4,FALSE)</f>
        <v>20</v>
      </c>
      <c r="J1217" s="6">
        <f>VLOOKUP(operations[productID],products[],5,FALSE)</f>
        <v>0</v>
      </c>
      <c r="K1217" s="6">
        <f>VLOOKUP(operations[productID],products[],6,FALSE)</f>
        <v>10</v>
      </c>
      <c r="L1217" s="10">
        <f t="array" ref="L1217">INDEX('1 orders'!I1217:I2156, MATCH(1, ('1 orders'!A1217:A2156=A1217)*('1 orders'!G1217:G2156=F1217), 0))
</f>
        <v>28</v>
      </c>
      <c r="M1217" s="10">
        <f>IFERROR(__xludf.DUMMYFUNCTION("COUNTUNIQUEIFS($A$2:$A1217,$F$2:$F1217,F1217)"),19.0)</f>
        <v>19</v>
      </c>
      <c r="N1217" s="10">
        <f t="shared" si="1"/>
        <v>36</v>
      </c>
      <c r="O1217" s="26">
        <f>IF(operations[sinceLastOrder]=0,0,operations[orderQuantity] / operations[sinceLastOrder])</f>
        <v>0.7777777778</v>
      </c>
      <c r="P1217" s="9">
        <v>210.8</v>
      </c>
      <c r="Q1217" s="7" t="s">
        <v>13</v>
      </c>
      <c r="R1217" s="10">
        <f>operations[arrivedDate]-operations[shippedDate]</f>
        <v>18</v>
      </c>
    </row>
    <row r="1218" ht="15.75" customHeight="1">
      <c r="A1218" s="6">
        <v>10709.0</v>
      </c>
      <c r="B1218" s="24">
        <v>45216.0</v>
      </c>
      <c r="C1218" s="24">
        <v>45244.0</v>
      </c>
      <c r="D1218" s="24">
        <v>45250.0</v>
      </c>
      <c r="E1218" s="24">
        <v>45268.0</v>
      </c>
      <c r="F1218" s="6">
        <v>60.0</v>
      </c>
      <c r="G1218" s="9" t="str">
        <f>VLOOKUP(operations[productID],products[],2,FALSE)</f>
        <v>Camembert Pierrot</v>
      </c>
      <c r="H1218" s="9" t="str">
        <f>IF(VLOOKUP(operations[productID],products[],7,FALSE)=1,"Discontinued","Current")</f>
        <v>Current</v>
      </c>
      <c r="I1218" s="6">
        <f>VLOOKUP(operations[productID],products[],4,FALSE)</f>
        <v>19</v>
      </c>
      <c r="J1218" s="6">
        <f>VLOOKUP(operations[productID],products[],5,FALSE)</f>
        <v>0</v>
      </c>
      <c r="K1218" s="6">
        <f>VLOOKUP(operations[productID],products[],6,FALSE)</f>
        <v>0</v>
      </c>
      <c r="L1218" s="10">
        <f t="array" ref="L1218">INDEX('1 orders'!I1218:I2156, MATCH(1, ('1 orders'!A1218:A2156=A1218)*('1 orders'!G1218:G2156=F1218), 0))
</f>
        <v>10</v>
      </c>
      <c r="M1218" s="10">
        <f>IFERROR(__xludf.DUMMYFUNCTION("COUNTUNIQUEIFS($A$2:$A1218,$F$2:$F1218,F1218)"),29.0)</f>
        <v>29</v>
      </c>
      <c r="N1218" s="10">
        <f t="shared" si="1"/>
        <v>21</v>
      </c>
      <c r="O1218" s="26">
        <f>IF(operations[sinceLastOrder]=0,0,operations[orderQuantity] / operations[sinceLastOrder])</f>
        <v>0.4761904762</v>
      </c>
      <c r="P1218" s="9">
        <v>210.8</v>
      </c>
      <c r="Q1218" s="7" t="s">
        <v>13</v>
      </c>
      <c r="R1218" s="10">
        <f>operations[arrivedDate]-operations[shippedDate]</f>
        <v>18</v>
      </c>
    </row>
    <row r="1219" ht="15.75" customHeight="1">
      <c r="A1219" s="6">
        <v>10710.0</v>
      </c>
      <c r="B1219" s="24">
        <v>45219.0</v>
      </c>
      <c r="C1219" s="24">
        <v>45247.0</v>
      </c>
      <c r="D1219" s="24">
        <v>45222.0</v>
      </c>
      <c r="E1219" s="24">
        <v>45226.0</v>
      </c>
      <c r="F1219" s="6">
        <v>19.0</v>
      </c>
      <c r="G1219" s="9" t="str">
        <f>VLOOKUP(operations[productID],products[],2,FALSE)</f>
        <v>Teatime Chocolate Biscuits</v>
      </c>
      <c r="H1219" s="9" t="str">
        <f>IF(VLOOKUP(operations[productID],products[],7,FALSE)=1,"Discontinued","Current")</f>
        <v>Current</v>
      </c>
      <c r="I1219" s="6">
        <f>VLOOKUP(operations[productID],products[],4,FALSE)</f>
        <v>25</v>
      </c>
      <c r="J1219" s="6">
        <f>VLOOKUP(operations[productID],products[],5,FALSE)</f>
        <v>0</v>
      </c>
      <c r="K1219" s="6">
        <f>VLOOKUP(operations[productID],products[],6,FALSE)</f>
        <v>5</v>
      </c>
      <c r="L1219" s="10">
        <f t="array" ref="L1219">INDEX('1 orders'!I1219:I2156, MATCH(1, ('1 orders'!A1219:A2156=A1219)*('1 orders'!G1219:G2156=F1219), 0))
</f>
        <v>5</v>
      </c>
      <c r="M1219" s="10">
        <f>IFERROR(__xludf.DUMMYFUNCTION("COUNTUNIQUEIFS($A$2:$A1219,$F$2:$F1219,F1219)"),23.0)</f>
        <v>23</v>
      </c>
      <c r="N1219" s="10">
        <f t="shared" si="1"/>
        <v>12</v>
      </c>
      <c r="O1219" s="26">
        <f>IF(operations[sinceLastOrder]=0,0,operations[orderQuantity] / operations[sinceLastOrder])</f>
        <v>0.4166666667</v>
      </c>
      <c r="P1219" s="9">
        <v>4.98</v>
      </c>
      <c r="Q1219" s="7" t="s">
        <v>15</v>
      </c>
      <c r="R1219" s="10">
        <f>operations[arrivedDate]-operations[shippedDate]</f>
        <v>4</v>
      </c>
    </row>
    <row r="1220" ht="15.75" customHeight="1">
      <c r="A1220" s="6">
        <v>10710.0</v>
      </c>
      <c r="B1220" s="24">
        <v>45219.0</v>
      </c>
      <c r="C1220" s="24">
        <v>45247.0</v>
      </c>
      <c r="D1220" s="24">
        <v>45222.0</v>
      </c>
      <c r="E1220" s="24">
        <v>45226.0</v>
      </c>
      <c r="F1220" s="6">
        <v>47.0</v>
      </c>
      <c r="G1220" s="9" t="str">
        <f>VLOOKUP(operations[productID],products[],2,FALSE)</f>
        <v>Zaanse koeken</v>
      </c>
      <c r="H1220" s="9" t="str">
        <f>IF(VLOOKUP(operations[productID],products[],7,FALSE)=1,"Discontinued","Current")</f>
        <v>Current</v>
      </c>
      <c r="I1220" s="6">
        <f>VLOOKUP(operations[productID],products[],4,FALSE)</f>
        <v>36</v>
      </c>
      <c r="J1220" s="6">
        <f>VLOOKUP(operations[productID],products[],5,FALSE)</f>
        <v>0</v>
      </c>
      <c r="K1220" s="6">
        <f>VLOOKUP(operations[productID],products[],6,FALSE)</f>
        <v>0</v>
      </c>
      <c r="L1220" s="10">
        <f t="array" ref="L1220">INDEX('1 orders'!I1220:I2156, MATCH(1, ('1 orders'!A1220:A2156=A1220)*('1 orders'!G1220:G2156=F1220), 0))
</f>
        <v>5</v>
      </c>
      <c r="M1220" s="10">
        <f>IFERROR(__xludf.DUMMYFUNCTION("COUNTUNIQUEIFS($A$2:$A1220,$F$2:$F1220,F1220)"),13.0)</f>
        <v>13</v>
      </c>
      <c r="N1220" s="10">
        <f t="shared" si="1"/>
        <v>11</v>
      </c>
      <c r="O1220" s="26">
        <f>IF(operations[sinceLastOrder]=0,0,operations[orderQuantity] / operations[sinceLastOrder])</f>
        <v>0.4545454545</v>
      </c>
      <c r="P1220" s="9">
        <v>4.98</v>
      </c>
      <c r="Q1220" s="7" t="s">
        <v>15</v>
      </c>
      <c r="R1220" s="10">
        <f>operations[arrivedDate]-operations[shippedDate]</f>
        <v>4</v>
      </c>
    </row>
    <row r="1221" ht="15.75" customHeight="1">
      <c r="A1221" s="6">
        <v>10711.0</v>
      </c>
      <c r="B1221" s="24">
        <v>45220.0</v>
      </c>
      <c r="C1221" s="24">
        <v>45262.0</v>
      </c>
      <c r="D1221" s="24">
        <v>45228.0</v>
      </c>
      <c r="E1221" s="24">
        <v>45246.0</v>
      </c>
      <c r="F1221" s="6">
        <v>19.0</v>
      </c>
      <c r="G1221" s="9" t="str">
        <f>VLOOKUP(operations[productID],products[],2,FALSE)</f>
        <v>Teatime Chocolate Biscuits</v>
      </c>
      <c r="H1221" s="9" t="str">
        <f>IF(VLOOKUP(operations[productID],products[],7,FALSE)=1,"Discontinued","Current")</f>
        <v>Current</v>
      </c>
      <c r="I1221" s="6">
        <f>VLOOKUP(operations[productID],products[],4,FALSE)</f>
        <v>25</v>
      </c>
      <c r="J1221" s="6">
        <f>VLOOKUP(operations[productID],products[],5,FALSE)</f>
        <v>0</v>
      </c>
      <c r="K1221" s="6">
        <f>VLOOKUP(operations[productID],products[],6,FALSE)</f>
        <v>5</v>
      </c>
      <c r="L1221" s="10">
        <f t="array" ref="L1221">INDEX('1 orders'!I1221:I2156, MATCH(1, ('1 orders'!A1221:A2156=A1221)*('1 orders'!G1221:G2156=F1221), 0))
</f>
        <v>12</v>
      </c>
      <c r="M1221" s="10">
        <f>IFERROR(__xludf.DUMMYFUNCTION("COUNTUNIQUEIFS($A$2:$A1221,$F$2:$F1221,F1221)"),24.0)</f>
        <v>24</v>
      </c>
      <c r="N1221" s="10">
        <f t="shared" si="1"/>
        <v>1</v>
      </c>
      <c r="O1221" s="26">
        <f>IF(operations[sinceLastOrder]=0,0,operations[orderQuantity] / operations[sinceLastOrder])</f>
        <v>12</v>
      </c>
      <c r="P1221" s="9">
        <v>52.41</v>
      </c>
      <c r="Q1221" s="7" t="s">
        <v>17</v>
      </c>
      <c r="R1221" s="10">
        <f>operations[arrivedDate]-operations[shippedDate]</f>
        <v>18</v>
      </c>
    </row>
    <row r="1222" ht="15.75" customHeight="1">
      <c r="A1222" s="6">
        <v>10711.0</v>
      </c>
      <c r="B1222" s="24">
        <v>45220.0</v>
      </c>
      <c r="C1222" s="24">
        <v>45262.0</v>
      </c>
      <c r="D1222" s="24">
        <v>45228.0</v>
      </c>
      <c r="E1222" s="24">
        <v>45246.0</v>
      </c>
      <c r="F1222" s="6">
        <v>41.0</v>
      </c>
      <c r="G1222" s="9" t="str">
        <f>VLOOKUP(operations[productID],products[],2,FALSE)</f>
        <v>Jack's New England Clam Chowder</v>
      </c>
      <c r="H1222" s="9" t="str">
        <f>IF(VLOOKUP(operations[productID],products[],7,FALSE)=1,"Discontinued","Current")</f>
        <v>Current</v>
      </c>
      <c r="I1222" s="6">
        <f>VLOOKUP(operations[productID],products[],4,FALSE)</f>
        <v>85</v>
      </c>
      <c r="J1222" s="6">
        <f>VLOOKUP(operations[productID],products[],5,FALSE)</f>
        <v>0</v>
      </c>
      <c r="K1222" s="6">
        <f>VLOOKUP(operations[productID],products[],6,FALSE)</f>
        <v>10</v>
      </c>
      <c r="L1222" s="10">
        <f t="array" ref="L1222">INDEX('1 orders'!I1222:I2156, MATCH(1, ('1 orders'!A1222:A2156=A1222)*('1 orders'!G1222:G2156=F1222), 0))
</f>
        <v>42</v>
      </c>
      <c r="M1222" s="10">
        <f>IFERROR(__xludf.DUMMYFUNCTION("COUNTUNIQUEIFS($A$2:$A1222,$F$2:$F1222,F1222)"),22.0)</f>
        <v>22</v>
      </c>
      <c r="N1222" s="10">
        <f t="shared" si="1"/>
        <v>22</v>
      </c>
      <c r="O1222" s="26">
        <f>IF(operations[sinceLastOrder]=0,0,operations[orderQuantity] / operations[sinceLastOrder])</f>
        <v>1.909090909</v>
      </c>
      <c r="P1222" s="9">
        <v>52.41</v>
      </c>
      <c r="Q1222" s="7" t="s">
        <v>17</v>
      </c>
      <c r="R1222" s="10">
        <f>operations[arrivedDate]-operations[shippedDate]</f>
        <v>18</v>
      </c>
    </row>
    <row r="1223" ht="15.75" customHeight="1">
      <c r="A1223" s="6">
        <v>10711.0</v>
      </c>
      <c r="B1223" s="24">
        <v>45220.0</v>
      </c>
      <c r="C1223" s="24">
        <v>45262.0</v>
      </c>
      <c r="D1223" s="24">
        <v>45228.0</v>
      </c>
      <c r="E1223" s="24">
        <v>45246.0</v>
      </c>
      <c r="F1223" s="6">
        <v>53.0</v>
      </c>
      <c r="G1223" s="9" t="str">
        <f>VLOOKUP(operations[productID],products[],2,FALSE)</f>
        <v>Perth Pasties</v>
      </c>
      <c r="H1223" s="9" t="str">
        <f>IF(VLOOKUP(operations[productID],products[],7,FALSE)=1,"Discontinued","Current")</f>
        <v>Discontinued</v>
      </c>
      <c r="I1223" s="6">
        <f>VLOOKUP(operations[productID],products[],4,FALSE)</f>
        <v>0</v>
      </c>
      <c r="J1223" s="6">
        <f>VLOOKUP(operations[productID],products[],5,FALSE)</f>
        <v>0</v>
      </c>
      <c r="K1223" s="6">
        <f>VLOOKUP(operations[productID],products[],6,FALSE)</f>
        <v>0</v>
      </c>
      <c r="L1223" s="10">
        <f t="array" ref="L1223">INDEX('1 orders'!I1223:I2156, MATCH(1, ('1 orders'!A1223:A2156=A1223)*('1 orders'!G1223:G2156=F1223), 0))
</f>
        <v>120</v>
      </c>
      <c r="M1223" s="10">
        <f>IFERROR(__xludf.DUMMYFUNCTION("COUNTUNIQUEIFS($A$2:$A1223,$F$2:$F1223,F1223)"),21.0)</f>
        <v>21</v>
      </c>
      <c r="N1223" s="10">
        <f t="shared" si="1"/>
        <v>32</v>
      </c>
      <c r="O1223" s="26">
        <f>IF(operations[sinceLastOrder]=0,0,operations[orderQuantity] / operations[sinceLastOrder])</f>
        <v>3.75</v>
      </c>
      <c r="P1223" s="9">
        <v>52.41</v>
      </c>
      <c r="Q1223" s="7" t="s">
        <v>17</v>
      </c>
      <c r="R1223" s="10">
        <f>operations[arrivedDate]-operations[shippedDate]</f>
        <v>18</v>
      </c>
    </row>
    <row r="1224" ht="15.75" customHeight="1">
      <c r="A1224" s="6">
        <v>10712.0</v>
      </c>
      <c r="B1224" s="24">
        <v>45220.0</v>
      </c>
      <c r="C1224" s="24">
        <v>45248.0</v>
      </c>
      <c r="D1224" s="24">
        <v>45230.0</v>
      </c>
      <c r="E1224" s="24">
        <v>45241.0</v>
      </c>
      <c r="F1224" s="6">
        <v>53.0</v>
      </c>
      <c r="G1224" s="9" t="str">
        <f>VLOOKUP(operations[productID],products[],2,FALSE)</f>
        <v>Perth Pasties</v>
      </c>
      <c r="H1224" s="9" t="str">
        <f>IF(VLOOKUP(operations[productID],products[],7,FALSE)=1,"Discontinued","Current")</f>
        <v>Discontinued</v>
      </c>
      <c r="I1224" s="6">
        <f>VLOOKUP(operations[productID],products[],4,FALSE)</f>
        <v>0</v>
      </c>
      <c r="J1224" s="6">
        <f>VLOOKUP(operations[productID],products[],5,FALSE)</f>
        <v>0</v>
      </c>
      <c r="K1224" s="6">
        <f>VLOOKUP(operations[productID],products[],6,FALSE)</f>
        <v>0</v>
      </c>
      <c r="L1224" s="10">
        <f t="array" ref="L1224">INDEX('1 orders'!I1224:I2156, MATCH(1, ('1 orders'!A1224:A2156=A1224)*('1 orders'!G1224:G2156=F1224), 0))
</f>
        <v>3</v>
      </c>
      <c r="M1224" s="10">
        <f>IFERROR(__xludf.DUMMYFUNCTION("COUNTUNIQUEIFS($A$2:$A1224,$F$2:$F1224,F1224)"),22.0)</f>
        <v>22</v>
      </c>
      <c r="N1224" s="10">
        <f t="shared" si="1"/>
        <v>0</v>
      </c>
      <c r="O1224" s="26">
        <f>IF(operations[sinceLastOrder]=0,0,operations[orderQuantity] / operations[sinceLastOrder])</f>
        <v>0</v>
      </c>
      <c r="P1224" s="9">
        <v>89.93</v>
      </c>
      <c r="Q1224" s="7" t="s">
        <v>15</v>
      </c>
      <c r="R1224" s="10">
        <f>operations[arrivedDate]-operations[shippedDate]</f>
        <v>11</v>
      </c>
    </row>
    <row r="1225" ht="15.75" customHeight="1">
      <c r="A1225" s="6">
        <v>10712.0</v>
      </c>
      <c r="B1225" s="24">
        <v>45220.0</v>
      </c>
      <c r="C1225" s="24">
        <v>45248.0</v>
      </c>
      <c r="D1225" s="24">
        <v>45230.0</v>
      </c>
      <c r="E1225" s="24">
        <v>45241.0</v>
      </c>
      <c r="F1225" s="6">
        <v>56.0</v>
      </c>
      <c r="G1225" s="9" t="str">
        <f>VLOOKUP(operations[productID],products[],2,FALSE)</f>
        <v>Gnocchi di nonna Alice</v>
      </c>
      <c r="H1225" s="9" t="str">
        <f>IF(VLOOKUP(operations[productID],products[],7,FALSE)=1,"Discontinued","Current")</f>
        <v>Current</v>
      </c>
      <c r="I1225" s="6">
        <f>VLOOKUP(operations[productID],products[],4,FALSE)</f>
        <v>21</v>
      </c>
      <c r="J1225" s="6">
        <f>VLOOKUP(operations[productID],products[],5,FALSE)</f>
        <v>10</v>
      </c>
      <c r="K1225" s="6">
        <f>VLOOKUP(operations[productID],products[],6,FALSE)</f>
        <v>30</v>
      </c>
      <c r="L1225" s="10">
        <f t="array" ref="L1225">INDEX('1 orders'!I1225:I2156, MATCH(1, ('1 orders'!A1225:A2156=A1225)*('1 orders'!G1225:G2156=F1225), 0))
</f>
        <v>30</v>
      </c>
      <c r="M1225" s="10">
        <f>IFERROR(__xludf.DUMMYFUNCTION("COUNTUNIQUEIFS($A$2:$A1225,$F$2:$F1225,F1225)"),31.0)</f>
        <v>31</v>
      </c>
      <c r="N1225" s="10">
        <f t="shared" si="1"/>
        <v>19</v>
      </c>
      <c r="O1225" s="26">
        <f>IF(operations[sinceLastOrder]=0,0,operations[orderQuantity] / operations[sinceLastOrder])</f>
        <v>1.578947368</v>
      </c>
      <c r="P1225" s="9">
        <v>89.93</v>
      </c>
      <c r="Q1225" s="7" t="s">
        <v>15</v>
      </c>
      <c r="R1225" s="10">
        <f>operations[arrivedDate]-operations[shippedDate]</f>
        <v>11</v>
      </c>
    </row>
    <row r="1226" ht="15.75" customHeight="1">
      <c r="A1226" s="6">
        <v>10713.0</v>
      </c>
      <c r="B1226" s="24">
        <v>45221.0</v>
      </c>
      <c r="C1226" s="24">
        <v>45249.0</v>
      </c>
      <c r="D1226" s="24">
        <v>45223.0</v>
      </c>
      <c r="E1226" s="24">
        <v>45238.0</v>
      </c>
      <c r="F1226" s="6">
        <v>10.0</v>
      </c>
      <c r="G1226" s="9" t="str">
        <f>VLOOKUP(operations[productID],products[],2,FALSE)</f>
        <v>Ikura</v>
      </c>
      <c r="H1226" s="9" t="str">
        <f>IF(VLOOKUP(operations[productID],products[],7,FALSE)=1,"Discontinued","Current")</f>
        <v>Current</v>
      </c>
      <c r="I1226" s="6">
        <f>VLOOKUP(operations[productID],products[],4,FALSE)</f>
        <v>31</v>
      </c>
      <c r="J1226" s="6">
        <f>VLOOKUP(operations[productID],products[],5,FALSE)</f>
        <v>0</v>
      </c>
      <c r="K1226" s="6">
        <f>VLOOKUP(operations[productID],products[],6,FALSE)</f>
        <v>0</v>
      </c>
      <c r="L1226" s="10">
        <f t="array" ref="L1226">INDEX('1 orders'!I1226:I2156, MATCH(1, ('1 orders'!A1226:A2156=A1226)*('1 orders'!G1226:G2156=F1226), 0))
</f>
        <v>18</v>
      </c>
      <c r="M1226" s="10">
        <f>IFERROR(__xludf.DUMMYFUNCTION("COUNTUNIQUEIFS($A$2:$A1226,$F$2:$F1226,F1226)"),18.0)</f>
        <v>18</v>
      </c>
      <c r="N1226" s="10">
        <f t="shared" si="1"/>
        <v>21</v>
      </c>
      <c r="O1226" s="26">
        <f>IF(operations[sinceLastOrder]=0,0,operations[orderQuantity] / operations[sinceLastOrder])</f>
        <v>0.8571428571</v>
      </c>
      <c r="P1226" s="9">
        <v>167.05</v>
      </c>
      <c r="Q1226" s="7" t="s">
        <v>15</v>
      </c>
      <c r="R1226" s="10">
        <f>operations[arrivedDate]-operations[shippedDate]</f>
        <v>15</v>
      </c>
    </row>
    <row r="1227" ht="15.75" customHeight="1">
      <c r="A1227" s="6">
        <v>10713.0</v>
      </c>
      <c r="B1227" s="24">
        <v>45221.0</v>
      </c>
      <c r="C1227" s="24">
        <v>45249.0</v>
      </c>
      <c r="D1227" s="24">
        <v>45223.0</v>
      </c>
      <c r="E1227" s="24">
        <v>45238.0</v>
      </c>
      <c r="F1227" s="6">
        <v>26.0</v>
      </c>
      <c r="G1227" s="9" t="str">
        <f>VLOOKUP(operations[productID],products[],2,FALSE)</f>
        <v>NuNuCa Nuß-Nougat-Creme</v>
      </c>
      <c r="H1227" s="9" t="str">
        <f>IF(VLOOKUP(operations[productID],products[],7,FALSE)=1,"Discontinued","Current")</f>
        <v>Current</v>
      </c>
      <c r="I1227" s="6">
        <f>VLOOKUP(operations[productID],products[],4,FALSE)</f>
        <v>15</v>
      </c>
      <c r="J1227" s="6">
        <f>VLOOKUP(operations[productID],products[],5,FALSE)</f>
        <v>0</v>
      </c>
      <c r="K1227" s="6">
        <f>VLOOKUP(operations[productID],products[],6,FALSE)</f>
        <v>0</v>
      </c>
      <c r="L1227" s="10">
        <f t="array" ref="L1227">INDEX('1 orders'!I1227:I2156, MATCH(1, ('1 orders'!A1227:A2156=A1227)*('1 orders'!G1227:G2156=F1227), 0))
</f>
        <v>30</v>
      </c>
      <c r="M1227" s="10">
        <f>IFERROR(__xludf.DUMMYFUNCTION("COUNTUNIQUEIFS($A$2:$A1227,$F$2:$F1227,F1227)"),19.0)</f>
        <v>19</v>
      </c>
      <c r="N1227" s="10">
        <f t="shared" si="1"/>
        <v>22</v>
      </c>
      <c r="O1227" s="26">
        <f>IF(operations[sinceLastOrder]=0,0,operations[orderQuantity] / operations[sinceLastOrder])</f>
        <v>1.363636364</v>
      </c>
      <c r="P1227" s="9">
        <v>167.05</v>
      </c>
      <c r="Q1227" s="7" t="s">
        <v>15</v>
      </c>
      <c r="R1227" s="10">
        <f>operations[arrivedDate]-operations[shippedDate]</f>
        <v>15</v>
      </c>
    </row>
    <row r="1228" ht="15.75" customHeight="1">
      <c r="A1228" s="6">
        <v>10713.0</v>
      </c>
      <c r="B1228" s="24">
        <v>45221.0</v>
      </c>
      <c r="C1228" s="24">
        <v>45249.0</v>
      </c>
      <c r="D1228" s="24">
        <v>45223.0</v>
      </c>
      <c r="E1228" s="24">
        <v>45238.0</v>
      </c>
      <c r="F1228" s="6">
        <v>45.0</v>
      </c>
      <c r="G1228" s="9" t="str">
        <f>VLOOKUP(operations[productID],products[],2,FALSE)</f>
        <v>Rogede sild</v>
      </c>
      <c r="H1228" s="9" t="str">
        <f>IF(VLOOKUP(operations[productID],products[],7,FALSE)=1,"Discontinued","Current")</f>
        <v>Current</v>
      </c>
      <c r="I1228" s="6">
        <f>VLOOKUP(operations[productID],products[],4,FALSE)</f>
        <v>5</v>
      </c>
      <c r="J1228" s="6">
        <f>VLOOKUP(operations[productID],products[],5,FALSE)</f>
        <v>70</v>
      </c>
      <c r="K1228" s="6">
        <f>VLOOKUP(operations[productID],products[],6,FALSE)</f>
        <v>15</v>
      </c>
      <c r="L1228" s="10">
        <f t="array" ref="L1228">INDEX('1 orders'!I1228:I2156, MATCH(1, ('1 orders'!A1228:A2156=A1228)*('1 orders'!G1228:G2156=F1228), 0))
</f>
        <v>110</v>
      </c>
      <c r="M1228" s="10">
        <f>IFERROR(__xludf.DUMMYFUNCTION("COUNTUNIQUEIFS($A$2:$A1228,$F$2:$F1228,F1228)"),6.0)</f>
        <v>6</v>
      </c>
      <c r="N1228" s="10">
        <f t="shared" si="1"/>
        <v>63</v>
      </c>
      <c r="O1228" s="26">
        <f>IF(operations[sinceLastOrder]=0,0,operations[orderQuantity] / operations[sinceLastOrder])</f>
        <v>1.746031746</v>
      </c>
      <c r="P1228" s="9">
        <v>167.05</v>
      </c>
      <c r="Q1228" s="7" t="s">
        <v>15</v>
      </c>
      <c r="R1228" s="10">
        <f>operations[arrivedDate]-operations[shippedDate]</f>
        <v>15</v>
      </c>
    </row>
    <row r="1229" ht="15.75" customHeight="1">
      <c r="A1229" s="6">
        <v>10713.0</v>
      </c>
      <c r="B1229" s="24">
        <v>45221.0</v>
      </c>
      <c r="C1229" s="24">
        <v>45249.0</v>
      </c>
      <c r="D1229" s="24">
        <v>45223.0</v>
      </c>
      <c r="E1229" s="24">
        <v>45238.0</v>
      </c>
      <c r="F1229" s="6">
        <v>46.0</v>
      </c>
      <c r="G1229" s="9" t="str">
        <f>VLOOKUP(operations[productID],products[],2,FALSE)</f>
        <v>Spegesild</v>
      </c>
      <c r="H1229" s="9" t="str">
        <f>IF(VLOOKUP(operations[productID],products[],7,FALSE)=1,"Discontinued","Current")</f>
        <v>Current</v>
      </c>
      <c r="I1229" s="6">
        <f>VLOOKUP(operations[productID],products[],4,FALSE)</f>
        <v>95</v>
      </c>
      <c r="J1229" s="6">
        <f>VLOOKUP(operations[productID],products[],5,FALSE)</f>
        <v>0</v>
      </c>
      <c r="K1229" s="6">
        <f>VLOOKUP(operations[productID],products[],6,FALSE)</f>
        <v>0</v>
      </c>
      <c r="L1229" s="10">
        <f t="array" ref="L1229">INDEX('1 orders'!I1229:I2156, MATCH(1, ('1 orders'!A1229:A2156=A1229)*('1 orders'!G1229:G2156=F1229), 0))
</f>
        <v>24</v>
      </c>
      <c r="M1229" s="10">
        <f>IFERROR(__xludf.DUMMYFUNCTION("COUNTUNIQUEIFS($A$2:$A1229,$F$2:$F1229,F1229)"),17.0)</f>
        <v>17</v>
      </c>
      <c r="N1229" s="10">
        <f t="shared" si="1"/>
        <v>14</v>
      </c>
      <c r="O1229" s="26">
        <f>IF(operations[sinceLastOrder]=0,0,operations[orderQuantity] / operations[sinceLastOrder])</f>
        <v>1.714285714</v>
      </c>
      <c r="P1229" s="9">
        <v>167.05</v>
      </c>
      <c r="Q1229" s="7" t="s">
        <v>15</v>
      </c>
      <c r="R1229" s="10">
        <f>operations[arrivedDate]-operations[shippedDate]</f>
        <v>15</v>
      </c>
    </row>
    <row r="1230" ht="15.75" customHeight="1">
      <c r="A1230" s="6">
        <v>10714.0</v>
      </c>
      <c r="B1230" s="24">
        <v>45221.0</v>
      </c>
      <c r="C1230" s="24">
        <v>45249.0</v>
      </c>
      <c r="D1230" s="24">
        <v>45226.0</v>
      </c>
      <c r="E1230" s="24">
        <v>45243.0</v>
      </c>
      <c r="F1230" s="6">
        <v>2.0</v>
      </c>
      <c r="G1230" s="9" t="str">
        <f>VLOOKUP(operations[productID],products[],2,FALSE)</f>
        <v>Chang</v>
      </c>
      <c r="H1230" s="9" t="str">
        <f>IF(VLOOKUP(operations[productID],products[],7,FALSE)=1,"Discontinued","Current")</f>
        <v>Current</v>
      </c>
      <c r="I1230" s="6">
        <f>VLOOKUP(operations[productID],products[],4,FALSE)</f>
        <v>17</v>
      </c>
      <c r="J1230" s="6">
        <f>VLOOKUP(operations[productID],products[],5,FALSE)</f>
        <v>40</v>
      </c>
      <c r="K1230" s="6">
        <f>VLOOKUP(operations[productID],products[],6,FALSE)</f>
        <v>25</v>
      </c>
      <c r="L1230" s="10">
        <f t="array" ref="L1230">INDEX('1 orders'!I1230:I2156, MATCH(1, ('1 orders'!A1230:A2156=A1230)*('1 orders'!G1230:G2156=F1230), 0))
</f>
        <v>30</v>
      </c>
      <c r="M1230" s="10">
        <f>IFERROR(__xludf.DUMMYFUNCTION("COUNTUNIQUEIFS($A$2:$A1230,$F$2:$F1230,F1230)"),20.0)</f>
        <v>20</v>
      </c>
      <c r="N1230" s="10">
        <f t="shared" si="1"/>
        <v>8</v>
      </c>
      <c r="O1230" s="26">
        <f>IF(operations[sinceLastOrder]=0,0,operations[orderQuantity] / operations[sinceLastOrder])</f>
        <v>3.75</v>
      </c>
      <c r="P1230" s="9">
        <v>24.49</v>
      </c>
      <c r="Q1230" s="7" t="s">
        <v>13</v>
      </c>
      <c r="R1230" s="10">
        <f>operations[arrivedDate]-operations[shippedDate]</f>
        <v>17</v>
      </c>
    </row>
    <row r="1231" ht="15.75" customHeight="1">
      <c r="A1231" s="6">
        <v>10714.0</v>
      </c>
      <c r="B1231" s="24">
        <v>45221.0</v>
      </c>
      <c r="C1231" s="24">
        <v>45249.0</v>
      </c>
      <c r="D1231" s="24">
        <v>45226.0</v>
      </c>
      <c r="E1231" s="24">
        <v>45243.0</v>
      </c>
      <c r="F1231" s="6">
        <v>17.0</v>
      </c>
      <c r="G1231" s="9" t="str">
        <f>VLOOKUP(operations[productID],products[],2,FALSE)</f>
        <v>Alice Mutton</v>
      </c>
      <c r="H1231" s="9" t="str">
        <f>IF(VLOOKUP(operations[productID],products[],7,FALSE)=1,"Discontinued","Current")</f>
        <v>Discontinued</v>
      </c>
      <c r="I1231" s="6">
        <f>VLOOKUP(operations[productID],products[],4,FALSE)</f>
        <v>0</v>
      </c>
      <c r="J1231" s="6">
        <f>VLOOKUP(operations[productID],products[],5,FALSE)</f>
        <v>0</v>
      </c>
      <c r="K1231" s="6">
        <f>VLOOKUP(operations[productID],products[],6,FALSE)</f>
        <v>0</v>
      </c>
      <c r="L1231" s="10">
        <f t="array" ref="L1231">INDEX('1 orders'!I1231:I2156, MATCH(1, ('1 orders'!A1231:A2156=A1231)*('1 orders'!G1231:G2156=F1231), 0))
</f>
        <v>27</v>
      </c>
      <c r="M1231" s="10">
        <f>IFERROR(__xludf.DUMMYFUNCTION("COUNTUNIQUEIFS($A$2:$A1231,$F$2:$F1231,F1231)"),22.0)</f>
        <v>22</v>
      </c>
      <c r="N1231" s="10">
        <f t="shared" si="1"/>
        <v>13</v>
      </c>
      <c r="O1231" s="26">
        <f>IF(operations[sinceLastOrder]=0,0,operations[orderQuantity] / operations[sinceLastOrder])</f>
        <v>2.076923077</v>
      </c>
      <c r="P1231" s="9">
        <v>24.49</v>
      </c>
      <c r="Q1231" s="7" t="s">
        <v>13</v>
      </c>
      <c r="R1231" s="10">
        <f>operations[arrivedDate]-operations[shippedDate]</f>
        <v>17</v>
      </c>
    </row>
    <row r="1232" ht="15.75" customHeight="1">
      <c r="A1232" s="6">
        <v>10714.0</v>
      </c>
      <c r="B1232" s="24">
        <v>45221.0</v>
      </c>
      <c r="C1232" s="24">
        <v>45249.0</v>
      </c>
      <c r="D1232" s="24">
        <v>45226.0</v>
      </c>
      <c r="E1232" s="24">
        <v>45243.0</v>
      </c>
      <c r="F1232" s="6">
        <v>47.0</v>
      </c>
      <c r="G1232" s="9" t="str">
        <f>VLOOKUP(operations[productID],products[],2,FALSE)</f>
        <v>Zaanse koeken</v>
      </c>
      <c r="H1232" s="9" t="str">
        <f>IF(VLOOKUP(operations[productID],products[],7,FALSE)=1,"Discontinued","Current")</f>
        <v>Current</v>
      </c>
      <c r="I1232" s="6">
        <f>VLOOKUP(operations[productID],products[],4,FALSE)</f>
        <v>36</v>
      </c>
      <c r="J1232" s="6">
        <f>VLOOKUP(operations[productID],products[],5,FALSE)</f>
        <v>0</v>
      </c>
      <c r="K1232" s="6">
        <f>VLOOKUP(operations[productID],products[],6,FALSE)</f>
        <v>0</v>
      </c>
      <c r="L1232" s="10">
        <f t="array" ref="L1232">INDEX('1 orders'!I1232:I2156, MATCH(1, ('1 orders'!A1232:A2156=A1232)*('1 orders'!G1232:G2156=F1232), 0))
</f>
        <v>50</v>
      </c>
      <c r="M1232" s="10">
        <f>IFERROR(__xludf.DUMMYFUNCTION("COUNTUNIQUEIFS($A$2:$A1232,$F$2:$F1232,F1232)"),14.0)</f>
        <v>14</v>
      </c>
      <c r="N1232" s="10">
        <f t="shared" si="1"/>
        <v>2</v>
      </c>
      <c r="O1232" s="26">
        <f>IF(operations[sinceLastOrder]=0,0,operations[orderQuantity] / operations[sinceLastOrder])</f>
        <v>25</v>
      </c>
      <c r="P1232" s="9">
        <v>24.49</v>
      </c>
      <c r="Q1232" s="7" t="s">
        <v>13</v>
      </c>
      <c r="R1232" s="10">
        <f>operations[arrivedDate]-operations[shippedDate]</f>
        <v>17</v>
      </c>
    </row>
    <row r="1233" ht="15.75" customHeight="1">
      <c r="A1233" s="6">
        <v>10714.0</v>
      </c>
      <c r="B1233" s="24">
        <v>45221.0</v>
      </c>
      <c r="C1233" s="24">
        <v>45249.0</v>
      </c>
      <c r="D1233" s="24">
        <v>45226.0</v>
      </c>
      <c r="E1233" s="24">
        <v>45243.0</v>
      </c>
      <c r="F1233" s="6">
        <v>56.0</v>
      </c>
      <c r="G1233" s="9" t="str">
        <f>VLOOKUP(operations[productID],products[],2,FALSE)</f>
        <v>Gnocchi di nonna Alice</v>
      </c>
      <c r="H1233" s="9" t="str">
        <f>IF(VLOOKUP(operations[productID],products[],7,FALSE)=1,"Discontinued","Current")</f>
        <v>Current</v>
      </c>
      <c r="I1233" s="6">
        <f>VLOOKUP(operations[productID],products[],4,FALSE)</f>
        <v>21</v>
      </c>
      <c r="J1233" s="6">
        <f>VLOOKUP(operations[productID],products[],5,FALSE)</f>
        <v>10</v>
      </c>
      <c r="K1233" s="6">
        <f>VLOOKUP(operations[productID],products[],6,FALSE)</f>
        <v>30</v>
      </c>
      <c r="L1233" s="10">
        <f t="array" ref="L1233">INDEX('1 orders'!I1233:I2156, MATCH(1, ('1 orders'!A1233:A2156=A1233)*('1 orders'!G1233:G2156=F1233), 0))
</f>
        <v>18</v>
      </c>
      <c r="M1233" s="10">
        <f>IFERROR(__xludf.DUMMYFUNCTION("COUNTUNIQUEIFS($A$2:$A1233,$F$2:$F1233,F1233)"),32.0)</f>
        <v>32</v>
      </c>
      <c r="N1233" s="10">
        <f t="shared" si="1"/>
        <v>1</v>
      </c>
      <c r="O1233" s="26">
        <f>IF(operations[sinceLastOrder]=0,0,operations[orderQuantity] / operations[sinceLastOrder])</f>
        <v>18</v>
      </c>
      <c r="P1233" s="9">
        <v>24.49</v>
      </c>
      <c r="Q1233" s="7" t="s">
        <v>13</v>
      </c>
      <c r="R1233" s="10">
        <f>operations[arrivedDate]-operations[shippedDate]</f>
        <v>17</v>
      </c>
    </row>
    <row r="1234" ht="15.75" customHeight="1">
      <c r="A1234" s="6">
        <v>10714.0</v>
      </c>
      <c r="B1234" s="24">
        <v>45221.0</v>
      </c>
      <c r="C1234" s="24">
        <v>45249.0</v>
      </c>
      <c r="D1234" s="24">
        <v>45226.0</v>
      </c>
      <c r="E1234" s="24">
        <v>45243.0</v>
      </c>
      <c r="F1234" s="6">
        <v>58.0</v>
      </c>
      <c r="G1234" s="9" t="str">
        <f>VLOOKUP(operations[productID],products[],2,FALSE)</f>
        <v>Escargots de Bourgogne</v>
      </c>
      <c r="H1234" s="9" t="str">
        <f>IF(VLOOKUP(operations[productID],products[],7,FALSE)=1,"Discontinued","Current")</f>
        <v>Current</v>
      </c>
      <c r="I1234" s="6">
        <f>VLOOKUP(operations[productID],products[],4,FALSE)</f>
        <v>62</v>
      </c>
      <c r="J1234" s="6">
        <f>VLOOKUP(operations[productID],products[],5,FALSE)</f>
        <v>0</v>
      </c>
      <c r="K1234" s="6">
        <f>VLOOKUP(operations[productID],products[],6,FALSE)</f>
        <v>20</v>
      </c>
      <c r="L1234" s="10">
        <f t="array" ref="L1234">INDEX('1 orders'!I1234:I2156, MATCH(1, ('1 orders'!A1234:A2156=A1234)*('1 orders'!G1234:G2156=F1234), 0))
</f>
        <v>12</v>
      </c>
      <c r="M1234" s="10">
        <f>IFERROR(__xludf.DUMMYFUNCTION("COUNTUNIQUEIFS($A$2:$A1234,$F$2:$F1234,F1234)"),11.0)</f>
        <v>11</v>
      </c>
      <c r="N1234" s="10">
        <f t="shared" si="1"/>
        <v>14</v>
      </c>
      <c r="O1234" s="26">
        <f>IF(operations[sinceLastOrder]=0,0,operations[orderQuantity] / operations[sinceLastOrder])</f>
        <v>0.8571428571</v>
      </c>
      <c r="P1234" s="9">
        <v>24.49</v>
      </c>
      <c r="Q1234" s="7" t="s">
        <v>13</v>
      </c>
      <c r="R1234" s="10">
        <f>operations[arrivedDate]-operations[shippedDate]</f>
        <v>17</v>
      </c>
    </row>
    <row r="1235" ht="15.75" customHeight="1">
      <c r="A1235" s="6">
        <v>10715.0</v>
      </c>
      <c r="B1235" s="24">
        <v>45222.0</v>
      </c>
      <c r="C1235" s="24">
        <v>45236.0</v>
      </c>
      <c r="D1235" s="24">
        <v>45228.0</v>
      </c>
      <c r="E1235" s="24">
        <v>45232.0</v>
      </c>
      <c r="F1235" s="6">
        <v>10.0</v>
      </c>
      <c r="G1235" s="9" t="str">
        <f>VLOOKUP(operations[productID],products[],2,FALSE)</f>
        <v>Ikura</v>
      </c>
      <c r="H1235" s="9" t="str">
        <f>IF(VLOOKUP(operations[productID],products[],7,FALSE)=1,"Discontinued","Current")</f>
        <v>Current</v>
      </c>
      <c r="I1235" s="6">
        <f>VLOOKUP(operations[productID],products[],4,FALSE)</f>
        <v>31</v>
      </c>
      <c r="J1235" s="6">
        <f>VLOOKUP(operations[productID],products[],5,FALSE)</f>
        <v>0</v>
      </c>
      <c r="K1235" s="6">
        <f>VLOOKUP(operations[productID],products[],6,FALSE)</f>
        <v>0</v>
      </c>
      <c r="L1235" s="10">
        <f t="array" ref="L1235">INDEX('1 orders'!I1235:I2156, MATCH(1, ('1 orders'!A1235:A2156=A1235)*('1 orders'!G1235:G2156=F1235), 0))
</f>
        <v>21</v>
      </c>
      <c r="M1235" s="10">
        <f>IFERROR(__xludf.DUMMYFUNCTION("COUNTUNIQUEIFS($A$2:$A1235,$F$2:$F1235,F1235)"),19.0)</f>
        <v>19</v>
      </c>
      <c r="N1235" s="10">
        <f t="shared" si="1"/>
        <v>1</v>
      </c>
      <c r="O1235" s="26">
        <f>IF(operations[sinceLastOrder]=0,0,operations[orderQuantity] / operations[sinceLastOrder])</f>
        <v>21</v>
      </c>
      <c r="P1235" s="9">
        <v>63.2</v>
      </c>
      <c r="Q1235" s="7" t="s">
        <v>15</v>
      </c>
      <c r="R1235" s="10">
        <f>operations[arrivedDate]-operations[shippedDate]</f>
        <v>4</v>
      </c>
    </row>
    <row r="1236" ht="15.75" customHeight="1">
      <c r="A1236" s="6">
        <v>10715.0</v>
      </c>
      <c r="B1236" s="24">
        <v>45222.0</v>
      </c>
      <c r="C1236" s="24">
        <v>45236.0</v>
      </c>
      <c r="D1236" s="24">
        <v>45228.0</v>
      </c>
      <c r="E1236" s="24">
        <v>45232.0</v>
      </c>
      <c r="F1236" s="6">
        <v>71.0</v>
      </c>
      <c r="G1236" s="9" t="str">
        <f>VLOOKUP(operations[productID],products[],2,FALSE)</f>
        <v>Flotemysost</v>
      </c>
      <c r="H1236" s="9" t="str">
        <f>IF(VLOOKUP(operations[productID],products[],7,FALSE)=1,"Discontinued","Current")</f>
        <v>Current</v>
      </c>
      <c r="I1236" s="6">
        <f>VLOOKUP(operations[productID],products[],4,FALSE)</f>
        <v>26</v>
      </c>
      <c r="J1236" s="6">
        <f>VLOOKUP(operations[productID],products[],5,FALSE)</f>
        <v>0</v>
      </c>
      <c r="K1236" s="6">
        <f>VLOOKUP(operations[productID],products[],6,FALSE)</f>
        <v>0</v>
      </c>
      <c r="L1236" s="10">
        <f t="array" ref="L1236">INDEX('1 orders'!I1236:I2156, MATCH(1, ('1 orders'!A1236:A2156=A1236)*('1 orders'!G1236:G2156=F1236), 0))
</f>
        <v>30</v>
      </c>
      <c r="M1236" s="10">
        <f>IFERROR(__xludf.DUMMYFUNCTION("COUNTUNIQUEIFS($A$2:$A1236,$F$2:$F1236,F1236)"),29.0)</f>
        <v>29</v>
      </c>
      <c r="N1236" s="10">
        <f t="shared" si="1"/>
        <v>10</v>
      </c>
      <c r="O1236" s="26">
        <f>IF(operations[sinceLastOrder]=0,0,operations[orderQuantity] / operations[sinceLastOrder])</f>
        <v>3</v>
      </c>
      <c r="P1236" s="9">
        <v>63.2</v>
      </c>
      <c r="Q1236" s="7" t="s">
        <v>15</v>
      </c>
      <c r="R1236" s="10">
        <f>operations[arrivedDate]-operations[shippedDate]</f>
        <v>4</v>
      </c>
    </row>
    <row r="1237" ht="15.75" customHeight="1">
      <c r="A1237" s="6">
        <v>10716.0</v>
      </c>
      <c r="B1237" s="24">
        <v>45223.0</v>
      </c>
      <c r="C1237" s="24">
        <v>45251.0</v>
      </c>
      <c r="D1237" s="24">
        <v>45226.0</v>
      </c>
      <c r="E1237" s="24">
        <v>45242.0</v>
      </c>
      <c r="F1237" s="6">
        <v>21.0</v>
      </c>
      <c r="G1237" s="9" t="str">
        <f>VLOOKUP(operations[productID],products[],2,FALSE)</f>
        <v>Sir Rodney's Scones</v>
      </c>
      <c r="H1237" s="9" t="str">
        <f>IF(VLOOKUP(operations[productID],products[],7,FALSE)=1,"Discontinued","Current")</f>
        <v>Current</v>
      </c>
      <c r="I1237" s="6">
        <f>VLOOKUP(operations[productID],products[],4,FALSE)</f>
        <v>3</v>
      </c>
      <c r="J1237" s="6">
        <f>VLOOKUP(operations[productID],products[],5,FALSE)</f>
        <v>40</v>
      </c>
      <c r="K1237" s="6">
        <f>VLOOKUP(operations[productID],products[],6,FALSE)</f>
        <v>5</v>
      </c>
      <c r="L1237" s="10">
        <f t="array" ref="L1237">INDEX('1 orders'!I1237:I2156, MATCH(1, ('1 orders'!A1237:A2156=A1237)*('1 orders'!G1237:G2156=F1237), 0))
</f>
        <v>5</v>
      </c>
      <c r="M1237" s="10">
        <f>IFERROR(__xludf.DUMMYFUNCTION("COUNTUNIQUEIFS($A$2:$A1237,$F$2:$F1237,F1237)"),24.0)</f>
        <v>24</v>
      </c>
      <c r="N1237" s="10">
        <f t="shared" si="1"/>
        <v>29</v>
      </c>
      <c r="O1237" s="26">
        <f>IF(operations[sinceLastOrder]=0,0,operations[orderQuantity] / operations[sinceLastOrder])</f>
        <v>0.1724137931</v>
      </c>
      <c r="P1237" s="9">
        <v>22.57</v>
      </c>
      <c r="Q1237" s="7" t="s">
        <v>17</v>
      </c>
      <c r="R1237" s="10">
        <f>operations[arrivedDate]-operations[shippedDate]</f>
        <v>16</v>
      </c>
    </row>
    <row r="1238" ht="15.75" customHeight="1">
      <c r="A1238" s="6">
        <v>10716.0</v>
      </c>
      <c r="B1238" s="24">
        <v>45223.0</v>
      </c>
      <c r="C1238" s="24">
        <v>45251.0</v>
      </c>
      <c r="D1238" s="24">
        <v>45226.0</v>
      </c>
      <c r="E1238" s="24">
        <v>45242.0</v>
      </c>
      <c r="F1238" s="6">
        <v>51.0</v>
      </c>
      <c r="G1238" s="9" t="str">
        <f>VLOOKUP(operations[productID],products[],2,FALSE)</f>
        <v>Manjimup Dried Apples</v>
      </c>
      <c r="H1238" s="9" t="str">
        <f>IF(VLOOKUP(operations[productID],products[],7,FALSE)=1,"Discontinued","Current")</f>
        <v>Current</v>
      </c>
      <c r="I1238" s="6">
        <f>VLOOKUP(operations[productID],products[],4,FALSE)</f>
        <v>20</v>
      </c>
      <c r="J1238" s="6">
        <f>VLOOKUP(operations[productID],products[],5,FALSE)</f>
        <v>0</v>
      </c>
      <c r="K1238" s="6">
        <f>VLOOKUP(operations[productID],products[],6,FALSE)</f>
        <v>10</v>
      </c>
      <c r="L1238" s="10">
        <f t="array" ref="L1238">INDEX('1 orders'!I1238:I2156, MATCH(1, ('1 orders'!A1238:A2156=A1238)*('1 orders'!G1238:G2156=F1238), 0))
</f>
        <v>7</v>
      </c>
      <c r="M1238" s="10">
        <f>IFERROR(__xludf.DUMMYFUNCTION("COUNTUNIQUEIFS($A$2:$A1238,$F$2:$F1238,F1238)"),20.0)</f>
        <v>20</v>
      </c>
      <c r="N1238" s="10">
        <f t="shared" si="1"/>
        <v>7</v>
      </c>
      <c r="O1238" s="26">
        <f>IF(operations[sinceLastOrder]=0,0,operations[orderQuantity] / operations[sinceLastOrder])</f>
        <v>1</v>
      </c>
      <c r="P1238" s="9">
        <v>22.57</v>
      </c>
      <c r="Q1238" s="7" t="s">
        <v>17</v>
      </c>
      <c r="R1238" s="10">
        <f>operations[arrivedDate]-operations[shippedDate]</f>
        <v>16</v>
      </c>
    </row>
    <row r="1239" ht="15.75" customHeight="1">
      <c r="A1239" s="6">
        <v>10716.0</v>
      </c>
      <c r="B1239" s="24">
        <v>45223.0</v>
      </c>
      <c r="C1239" s="24">
        <v>45251.0</v>
      </c>
      <c r="D1239" s="24">
        <v>45226.0</v>
      </c>
      <c r="E1239" s="24">
        <v>45242.0</v>
      </c>
      <c r="F1239" s="6">
        <v>61.0</v>
      </c>
      <c r="G1239" s="9" t="str">
        <f>VLOOKUP(operations[productID],products[],2,FALSE)</f>
        <v>Sirop d'érable</v>
      </c>
      <c r="H1239" s="9" t="str">
        <f>IF(VLOOKUP(operations[productID],products[],7,FALSE)=1,"Discontinued","Current")</f>
        <v>Current</v>
      </c>
      <c r="I1239" s="6">
        <f>VLOOKUP(operations[productID],products[],4,FALSE)</f>
        <v>113</v>
      </c>
      <c r="J1239" s="6">
        <f>VLOOKUP(operations[productID],products[],5,FALSE)</f>
        <v>0</v>
      </c>
      <c r="K1239" s="6">
        <f>VLOOKUP(operations[productID],products[],6,FALSE)</f>
        <v>25</v>
      </c>
      <c r="L1239" s="10">
        <f t="array" ref="L1239">INDEX('1 orders'!I1239:I2156, MATCH(1, ('1 orders'!A1239:A2156=A1239)*('1 orders'!G1239:G2156=F1239), 0))
</f>
        <v>10</v>
      </c>
      <c r="M1239" s="10">
        <f>IFERROR(__xludf.DUMMYFUNCTION("COUNTUNIQUEIFS($A$2:$A1239,$F$2:$F1239,F1239)"),10.0)</f>
        <v>10</v>
      </c>
      <c r="N1239" s="10">
        <f t="shared" si="1"/>
        <v>63</v>
      </c>
      <c r="O1239" s="26">
        <f>IF(operations[sinceLastOrder]=0,0,operations[orderQuantity] / operations[sinceLastOrder])</f>
        <v>0.1587301587</v>
      </c>
      <c r="P1239" s="9">
        <v>22.57</v>
      </c>
      <c r="Q1239" s="7" t="s">
        <v>17</v>
      </c>
      <c r="R1239" s="10">
        <f>operations[arrivedDate]-operations[shippedDate]</f>
        <v>16</v>
      </c>
    </row>
    <row r="1240" ht="15.75" customHeight="1">
      <c r="A1240" s="6">
        <v>10717.0</v>
      </c>
      <c r="B1240" s="24">
        <v>45223.0</v>
      </c>
      <c r="C1240" s="24">
        <v>45251.0</v>
      </c>
      <c r="D1240" s="24">
        <v>45228.0</v>
      </c>
      <c r="E1240" s="24">
        <v>45236.0</v>
      </c>
      <c r="F1240" s="6">
        <v>21.0</v>
      </c>
      <c r="G1240" s="9" t="str">
        <f>VLOOKUP(operations[productID],products[],2,FALSE)</f>
        <v>Sir Rodney's Scones</v>
      </c>
      <c r="H1240" s="9" t="str">
        <f>IF(VLOOKUP(operations[productID],products[],7,FALSE)=1,"Discontinued","Current")</f>
        <v>Current</v>
      </c>
      <c r="I1240" s="6">
        <f>VLOOKUP(operations[productID],products[],4,FALSE)</f>
        <v>3</v>
      </c>
      <c r="J1240" s="6">
        <f>VLOOKUP(operations[productID],products[],5,FALSE)</f>
        <v>40</v>
      </c>
      <c r="K1240" s="6">
        <f>VLOOKUP(operations[productID],products[],6,FALSE)</f>
        <v>5</v>
      </c>
      <c r="L1240" s="10">
        <f t="array" ref="L1240">INDEX('1 orders'!I1240:I2156, MATCH(1, ('1 orders'!A1240:A2156=A1240)*('1 orders'!G1240:G2156=F1240), 0))
</f>
        <v>32</v>
      </c>
      <c r="M1240" s="10">
        <f>IFERROR(__xludf.DUMMYFUNCTION("COUNTUNIQUEIFS($A$2:$A1240,$F$2:$F1240,F1240)"),25.0)</f>
        <v>25</v>
      </c>
      <c r="N1240" s="10">
        <f t="shared" si="1"/>
        <v>0</v>
      </c>
      <c r="O1240" s="26">
        <f>IF(operations[sinceLastOrder]=0,0,operations[orderQuantity] / operations[sinceLastOrder])</f>
        <v>0</v>
      </c>
      <c r="P1240" s="9">
        <v>59.25</v>
      </c>
      <c r="Q1240" s="7" t="s">
        <v>17</v>
      </c>
      <c r="R1240" s="10">
        <f>operations[arrivedDate]-operations[shippedDate]</f>
        <v>8</v>
      </c>
    </row>
    <row r="1241" ht="15.75" customHeight="1">
      <c r="A1241" s="6">
        <v>10717.0</v>
      </c>
      <c r="B1241" s="24">
        <v>45223.0</v>
      </c>
      <c r="C1241" s="24">
        <v>45251.0</v>
      </c>
      <c r="D1241" s="24">
        <v>45228.0</v>
      </c>
      <c r="E1241" s="24">
        <v>45236.0</v>
      </c>
      <c r="F1241" s="6">
        <v>54.0</v>
      </c>
      <c r="G1241" s="9" t="str">
        <f>VLOOKUP(operations[productID],products[],2,FALSE)</f>
        <v>Tourtière</v>
      </c>
      <c r="H1241" s="9" t="str">
        <f>IF(VLOOKUP(operations[productID],products[],7,FALSE)=1,"Discontinued","Current")</f>
        <v>Current</v>
      </c>
      <c r="I1241" s="6">
        <f>VLOOKUP(operations[productID],products[],4,FALSE)</f>
        <v>21</v>
      </c>
      <c r="J1241" s="6">
        <f>VLOOKUP(operations[productID],products[],5,FALSE)</f>
        <v>0</v>
      </c>
      <c r="K1241" s="6">
        <f>VLOOKUP(operations[productID],products[],6,FALSE)</f>
        <v>10</v>
      </c>
      <c r="L1241" s="10">
        <f t="array" ref="L1241">INDEX('1 orders'!I1241:I2156, MATCH(1, ('1 orders'!A1241:A2156=A1241)*('1 orders'!G1241:G2156=F1241), 0))
</f>
        <v>15</v>
      </c>
      <c r="M1241" s="10">
        <f>IFERROR(__xludf.DUMMYFUNCTION("COUNTUNIQUEIFS($A$2:$A1241,$F$2:$F1241,F1241)"),26.0)</f>
        <v>26</v>
      </c>
      <c r="N1241" s="10">
        <f t="shared" si="1"/>
        <v>18</v>
      </c>
      <c r="O1241" s="26">
        <f>IF(operations[sinceLastOrder]=0,0,operations[orderQuantity] / operations[sinceLastOrder])</f>
        <v>0.8333333333</v>
      </c>
      <c r="P1241" s="9">
        <v>59.25</v>
      </c>
      <c r="Q1241" s="7" t="s">
        <v>17</v>
      </c>
      <c r="R1241" s="10">
        <f>operations[arrivedDate]-operations[shippedDate]</f>
        <v>8</v>
      </c>
    </row>
    <row r="1242" ht="15.75" customHeight="1">
      <c r="A1242" s="6">
        <v>10717.0</v>
      </c>
      <c r="B1242" s="24">
        <v>45223.0</v>
      </c>
      <c r="C1242" s="24">
        <v>45251.0</v>
      </c>
      <c r="D1242" s="24">
        <v>45228.0</v>
      </c>
      <c r="E1242" s="24">
        <v>45236.0</v>
      </c>
      <c r="F1242" s="6">
        <v>69.0</v>
      </c>
      <c r="G1242" s="9" t="str">
        <f>VLOOKUP(operations[productID],products[],2,FALSE)</f>
        <v>Gudbrandsdalsost</v>
      </c>
      <c r="H1242" s="9" t="str">
        <f>IF(VLOOKUP(operations[productID],products[],7,FALSE)=1,"Discontinued","Current")</f>
        <v>Current</v>
      </c>
      <c r="I1242" s="6">
        <f>VLOOKUP(operations[productID],products[],4,FALSE)</f>
        <v>26</v>
      </c>
      <c r="J1242" s="6">
        <f>VLOOKUP(operations[productID],products[],5,FALSE)</f>
        <v>0</v>
      </c>
      <c r="K1242" s="6">
        <f>VLOOKUP(operations[productID],products[],6,FALSE)</f>
        <v>15</v>
      </c>
      <c r="L1242" s="10">
        <f t="array" ref="L1242">INDEX('1 orders'!I1242:I2156, MATCH(1, ('1 orders'!A1242:A2156=A1242)*('1 orders'!G1242:G2156=F1242), 0))
</f>
        <v>25</v>
      </c>
      <c r="M1242" s="10">
        <f>IFERROR(__xludf.DUMMYFUNCTION("COUNTUNIQUEIFS($A$2:$A1242,$F$2:$F1242,F1242)"),20.0)</f>
        <v>20</v>
      </c>
      <c r="N1242" s="10">
        <f t="shared" si="1"/>
        <v>18</v>
      </c>
      <c r="O1242" s="26">
        <f>IF(operations[sinceLastOrder]=0,0,operations[orderQuantity] / operations[sinceLastOrder])</f>
        <v>1.388888889</v>
      </c>
      <c r="P1242" s="9">
        <v>59.25</v>
      </c>
      <c r="Q1242" s="7" t="s">
        <v>17</v>
      </c>
      <c r="R1242" s="10">
        <f>operations[arrivedDate]-operations[shippedDate]</f>
        <v>8</v>
      </c>
    </row>
    <row r="1243" ht="15.75" customHeight="1">
      <c r="A1243" s="6">
        <v>10718.0</v>
      </c>
      <c r="B1243" s="24">
        <v>45226.0</v>
      </c>
      <c r="C1243" s="24">
        <v>45254.0</v>
      </c>
      <c r="D1243" s="24">
        <v>45228.0</v>
      </c>
      <c r="E1243" s="24">
        <v>45233.0</v>
      </c>
      <c r="F1243" s="6">
        <v>12.0</v>
      </c>
      <c r="G1243" s="9" t="str">
        <f>VLOOKUP(operations[productID],products[],2,FALSE)</f>
        <v>Queso Manchego La Pastora</v>
      </c>
      <c r="H1243" s="9" t="str">
        <f>IF(VLOOKUP(operations[productID],products[],7,FALSE)=1,"Discontinued","Current")</f>
        <v>Current</v>
      </c>
      <c r="I1243" s="6">
        <f>VLOOKUP(operations[productID],products[],4,FALSE)</f>
        <v>86</v>
      </c>
      <c r="J1243" s="6">
        <f>VLOOKUP(operations[productID],products[],5,FALSE)</f>
        <v>0</v>
      </c>
      <c r="K1243" s="6">
        <f>VLOOKUP(operations[productID],products[],6,FALSE)</f>
        <v>0</v>
      </c>
      <c r="L1243" s="10">
        <f t="array" ref="L1243">INDEX('1 orders'!I1243:I2156, MATCH(1, ('1 orders'!A1243:A2156=A1243)*('1 orders'!G1243:G2156=F1243), 0))
</f>
        <v>36</v>
      </c>
      <c r="M1243" s="10">
        <f>IFERROR(__xludf.DUMMYFUNCTION("COUNTUNIQUEIFS($A$2:$A1243,$F$2:$F1243,F1243)"),8.0)</f>
        <v>8</v>
      </c>
      <c r="N1243" s="10">
        <f t="shared" si="1"/>
        <v>20</v>
      </c>
      <c r="O1243" s="26">
        <f>IF(operations[sinceLastOrder]=0,0,operations[orderQuantity] / operations[sinceLastOrder])</f>
        <v>1.8</v>
      </c>
      <c r="P1243" s="9">
        <v>170.88</v>
      </c>
      <c r="Q1243" s="7" t="s">
        <v>13</v>
      </c>
      <c r="R1243" s="10">
        <f>operations[arrivedDate]-operations[shippedDate]</f>
        <v>5</v>
      </c>
    </row>
    <row r="1244" ht="15.75" customHeight="1">
      <c r="A1244" s="6">
        <v>10718.0</v>
      </c>
      <c r="B1244" s="24">
        <v>45226.0</v>
      </c>
      <c r="C1244" s="24">
        <v>45254.0</v>
      </c>
      <c r="D1244" s="24">
        <v>45228.0</v>
      </c>
      <c r="E1244" s="24">
        <v>45233.0</v>
      </c>
      <c r="F1244" s="6">
        <v>16.0</v>
      </c>
      <c r="G1244" s="9" t="str">
        <f>VLOOKUP(operations[productID],products[],2,FALSE)</f>
        <v>Pavlova</v>
      </c>
      <c r="H1244" s="9" t="str">
        <f>IF(VLOOKUP(operations[productID],products[],7,FALSE)=1,"Discontinued","Current")</f>
        <v>Current</v>
      </c>
      <c r="I1244" s="6">
        <f>VLOOKUP(operations[productID],products[],4,FALSE)</f>
        <v>29</v>
      </c>
      <c r="J1244" s="6">
        <f>VLOOKUP(operations[productID],products[],5,FALSE)</f>
        <v>0</v>
      </c>
      <c r="K1244" s="6">
        <f>VLOOKUP(operations[productID],products[],6,FALSE)</f>
        <v>10</v>
      </c>
      <c r="L1244" s="10">
        <f t="array" ref="L1244">INDEX('1 orders'!I1244:I2156, MATCH(1, ('1 orders'!A1244:A2156=A1244)*('1 orders'!G1244:G2156=F1244), 0))
</f>
        <v>20</v>
      </c>
      <c r="M1244" s="10">
        <f>IFERROR(__xludf.DUMMYFUNCTION("COUNTUNIQUEIFS($A$2:$A1244,$F$2:$F1244,F1244)"),25.0)</f>
        <v>25</v>
      </c>
      <c r="N1244" s="10">
        <f t="shared" si="1"/>
        <v>11</v>
      </c>
      <c r="O1244" s="26">
        <f>IF(operations[sinceLastOrder]=0,0,operations[orderQuantity] / operations[sinceLastOrder])</f>
        <v>1.818181818</v>
      </c>
      <c r="P1244" s="9">
        <v>170.88</v>
      </c>
      <c r="Q1244" s="7" t="s">
        <v>13</v>
      </c>
      <c r="R1244" s="10">
        <f>operations[arrivedDate]-operations[shippedDate]</f>
        <v>5</v>
      </c>
    </row>
    <row r="1245" ht="15.75" customHeight="1">
      <c r="A1245" s="6">
        <v>10718.0</v>
      </c>
      <c r="B1245" s="24">
        <v>45226.0</v>
      </c>
      <c r="C1245" s="24">
        <v>45254.0</v>
      </c>
      <c r="D1245" s="24">
        <v>45228.0</v>
      </c>
      <c r="E1245" s="24">
        <v>45233.0</v>
      </c>
      <c r="F1245" s="6">
        <v>36.0</v>
      </c>
      <c r="G1245" s="9" t="str">
        <f>VLOOKUP(operations[productID],products[],2,FALSE)</f>
        <v>Inlagd Sill</v>
      </c>
      <c r="H1245" s="9" t="str">
        <f>IF(VLOOKUP(operations[productID],products[],7,FALSE)=1,"Discontinued","Current")</f>
        <v>Current</v>
      </c>
      <c r="I1245" s="6">
        <f>VLOOKUP(operations[productID],products[],4,FALSE)</f>
        <v>112</v>
      </c>
      <c r="J1245" s="6">
        <f>VLOOKUP(operations[productID],products[],5,FALSE)</f>
        <v>0</v>
      </c>
      <c r="K1245" s="6">
        <f>VLOOKUP(operations[productID],products[],6,FALSE)</f>
        <v>20</v>
      </c>
      <c r="L1245" s="10">
        <f t="array" ref="L1245">INDEX('1 orders'!I1245:I2156, MATCH(1, ('1 orders'!A1245:A2156=A1245)*('1 orders'!G1245:G2156=F1245), 0))
</f>
        <v>40</v>
      </c>
      <c r="M1245" s="10">
        <f>IFERROR(__xludf.DUMMYFUNCTION("COUNTUNIQUEIFS($A$2:$A1245,$F$2:$F1245,F1245)"),20.0)</f>
        <v>20</v>
      </c>
      <c r="N1245" s="10">
        <f t="shared" si="1"/>
        <v>10</v>
      </c>
      <c r="O1245" s="26">
        <f>IF(operations[sinceLastOrder]=0,0,operations[orderQuantity] / operations[sinceLastOrder])</f>
        <v>4</v>
      </c>
      <c r="P1245" s="9">
        <v>170.88</v>
      </c>
      <c r="Q1245" s="7" t="s">
        <v>13</v>
      </c>
      <c r="R1245" s="10">
        <f>operations[arrivedDate]-operations[shippedDate]</f>
        <v>5</v>
      </c>
    </row>
    <row r="1246" ht="15.75" customHeight="1">
      <c r="A1246" s="6">
        <v>10718.0</v>
      </c>
      <c r="B1246" s="24">
        <v>45226.0</v>
      </c>
      <c r="C1246" s="24">
        <v>45254.0</v>
      </c>
      <c r="D1246" s="24">
        <v>45228.0</v>
      </c>
      <c r="E1246" s="24">
        <v>45233.0</v>
      </c>
      <c r="F1246" s="6">
        <v>62.0</v>
      </c>
      <c r="G1246" s="9" t="str">
        <f>VLOOKUP(operations[productID],products[],2,FALSE)</f>
        <v>Tarte au sucre</v>
      </c>
      <c r="H1246" s="9" t="str">
        <f>IF(VLOOKUP(operations[productID],products[],7,FALSE)=1,"Discontinued","Current")</f>
        <v>Current</v>
      </c>
      <c r="I1246" s="6">
        <f>VLOOKUP(operations[productID],products[],4,FALSE)</f>
        <v>17</v>
      </c>
      <c r="J1246" s="6">
        <f>VLOOKUP(operations[productID],products[],5,FALSE)</f>
        <v>0</v>
      </c>
      <c r="K1246" s="6">
        <f>VLOOKUP(operations[productID],products[],6,FALSE)</f>
        <v>0</v>
      </c>
      <c r="L1246" s="10">
        <f t="array" ref="L1246">INDEX('1 orders'!I1246:I2156, MATCH(1, ('1 orders'!A1246:A2156=A1246)*('1 orders'!G1246:G2156=F1246), 0))
</f>
        <v>20</v>
      </c>
      <c r="M1246" s="10">
        <f>IFERROR(__xludf.DUMMYFUNCTION("COUNTUNIQUEIFS($A$2:$A1246,$F$2:$F1246,F1246)"),27.0)</f>
        <v>27</v>
      </c>
      <c r="N1246" s="10">
        <f t="shared" si="1"/>
        <v>24</v>
      </c>
      <c r="O1246" s="26">
        <f>IF(operations[sinceLastOrder]=0,0,operations[orderQuantity] / operations[sinceLastOrder])</f>
        <v>0.8333333333</v>
      </c>
      <c r="P1246" s="9">
        <v>170.88</v>
      </c>
      <c r="Q1246" s="7" t="s">
        <v>13</v>
      </c>
      <c r="R1246" s="10">
        <f>operations[arrivedDate]-operations[shippedDate]</f>
        <v>5</v>
      </c>
    </row>
    <row r="1247" ht="15.75" customHeight="1">
      <c r="A1247" s="6">
        <v>10719.0</v>
      </c>
      <c r="B1247" s="24">
        <v>45226.0</v>
      </c>
      <c r="C1247" s="24">
        <v>45254.0</v>
      </c>
      <c r="D1247" s="24">
        <v>45235.0</v>
      </c>
      <c r="E1247" s="24">
        <v>45250.0</v>
      </c>
      <c r="F1247" s="6">
        <v>18.0</v>
      </c>
      <c r="G1247" s="9" t="str">
        <f>VLOOKUP(operations[productID],products[],2,FALSE)</f>
        <v>Carnarvon Tigers</v>
      </c>
      <c r="H1247" s="9" t="str">
        <f>IF(VLOOKUP(operations[productID],products[],7,FALSE)=1,"Discontinued","Current")</f>
        <v>Current</v>
      </c>
      <c r="I1247" s="6">
        <f>VLOOKUP(operations[productID],products[],4,FALSE)</f>
        <v>42</v>
      </c>
      <c r="J1247" s="6">
        <f>VLOOKUP(operations[productID],products[],5,FALSE)</f>
        <v>0</v>
      </c>
      <c r="K1247" s="6">
        <f>VLOOKUP(operations[productID],products[],6,FALSE)</f>
        <v>0</v>
      </c>
      <c r="L1247" s="10">
        <f t="array" ref="L1247">INDEX('1 orders'!I1247:I2156, MATCH(1, ('1 orders'!A1247:A2156=A1247)*('1 orders'!G1247:G2156=F1247), 0))
</f>
        <v>12</v>
      </c>
      <c r="M1247" s="10">
        <f>IFERROR(__xludf.DUMMYFUNCTION("COUNTUNIQUEIFS($A$2:$A1247,$F$2:$F1247,F1247)"),14.0)</f>
        <v>14</v>
      </c>
      <c r="N1247" s="10">
        <f t="shared" si="1"/>
        <v>62</v>
      </c>
      <c r="O1247" s="26">
        <f>IF(operations[sinceLastOrder]=0,0,operations[orderQuantity] / operations[sinceLastOrder])</f>
        <v>0.1935483871</v>
      </c>
      <c r="P1247" s="9">
        <v>51.44</v>
      </c>
      <c r="Q1247" s="7" t="s">
        <v>17</v>
      </c>
      <c r="R1247" s="10">
        <f>operations[arrivedDate]-operations[shippedDate]</f>
        <v>15</v>
      </c>
    </row>
    <row r="1248" ht="15.75" customHeight="1">
      <c r="A1248" s="6">
        <v>10719.0</v>
      </c>
      <c r="B1248" s="24">
        <v>45226.0</v>
      </c>
      <c r="C1248" s="24">
        <v>45254.0</v>
      </c>
      <c r="D1248" s="24">
        <v>45235.0</v>
      </c>
      <c r="E1248" s="24">
        <v>45250.0</v>
      </c>
      <c r="F1248" s="6">
        <v>30.0</v>
      </c>
      <c r="G1248" s="9" t="str">
        <f>VLOOKUP(operations[productID],products[],2,FALSE)</f>
        <v>Nord-Ost Matjeshering</v>
      </c>
      <c r="H1248" s="9" t="str">
        <f>IF(VLOOKUP(operations[productID],products[],7,FALSE)=1,"Discontinued","Current")</f>
        <v>Current</v>
      </c>
      <c r="I1248" s="6">
        <f>VLOOKUP(operations[productID],products[],4,FALSE)</f>
        <v>10</v>
      </c>
      <c r="J1248" s="6">
        <f>VLOOKUP(operations[productID],products[],5,FALSE)</f>
        <v>0</v>
      </c>
      <c r="K1248" s="6">
        <f>VLOOKUP(operations[productID],products[],6,FALSE)</f>
        <v>15</v>
      </c>
      <c r="L1248" s="10">
        <f t="array" ref="L1248">INDEX('1 orders'!I1248:I2156, MATCH(1, ('1 orders'!A1248:A2156=A1248)*('1 orders'!G1248:G2156=F1248), 0))
</f>
        <v>3</v>
      </c>
      <c r="M1248" s="10">
        <f>IFERROR(__xludf.DUMMYFUNCTION("COUNTUNIQUEIFS($A$2:$A1248,$F$2:$F1248,F1248)"),18.0)</f>
        <v>18</v>
      </c>
      <c r="N1248" s="10">
        <f t="shared" si="1"/>
        <v>56</v>
      </c>
      <c r="O1248" s="26">
        <f>IF(operations[sinceLastOrder]=0,0,operations[orderQuantity] / operations[sinceLastOrder])</f>
        <v>0.05357142857</v>
      </c>
      <c r="P1248" s="9">
        <v>51.44</v>
      </c>
      <c r="Q1248" s="7" t="s">
        <v>17</v>
      </c>
      <c r="R1248" s="10">
        <f>operations[arrivedDate]-operations[shippedDate]</f>
        <v>15</v>
      </c>
    </row>
    <row r="1249" ht="15.75" customHeight="1">
      <c r="A1249" s="6">
        <v>10719.0</v>
      </c>
      <c r="B1249" s="24">
        <v>45226.0</v>
      </c>
      <c r="C1249" s="24">
        <v>45254.0</v>
      </c>
      <c r="D1249" s="24">
        <v>45235.0</v>
      </c>
      <c r="E1249" s="24">
        <v>45250.0</v>
      </c>
      <c r="F1249" s="6">
        <v>54.0</v>
      </c>
      <c r="G1249" s="9" t="str">
        <f>VLOOKUP(operations[productID],products[],2,FALSE)</f>
        <v>Tourtière</v>
      </c>
      <c r="H1249" s="9" t="str">
        <f>IF(VLOOKUP(operations[productID],products[],7,FALSE)=1,"Discontinued","Current")</f>
        <v>Current</v>
      </c>
      <c r="I1249" s="6">
        <f>VLOOKUP(operations[productID],products[],4,FALSE)</f>
        <v>21</v>
      </c>
      <c r="J1249" s="6">
        <f>VLOOKUP(operations[productID],products[],5,FALSE)</f>
        <v>0</v>
      </c>
      <c r="K1249" s="6">
        <f>VLOOKUP(operations[productID],products[],6,FALSE)</f>
        <v>10</v>
      </c>
      <c r="L1249" s="10">
        <f t="array" ref="L1249">INDEX('1 orders'!I1249:I2156, MATCH(1, ('1 orders'!A1249:A2156=A1249)*('1 orders'!G1249:G2156=F1249), 0))
</f>
        <v>40</v>
      </c>
      <c r="M1249" s="10">
        <f>IFERROR(__xludf.DUMMYFUNCTION("COUNTUNIQUEIFS($A$2:$A1249,$F$2:$F1249,F1249)"),27.0)</f>
        <v>27</v>
      </c>
      <c r="N1249" s="10">
        <f t="shared" si="1"/>
        <v>3</v>
      </c>
      <c r="O1249" s="26">
        <f>IF(operations[sinceLastOrder]=0,0,operations[orderQuantity] / operations[sinceLastOrder])</f>
        <v>13.33333333</v>
      </c>
      <c r="P1249" s="9">
        <v>51.44</v>
      </c>
      <c r="Q1249" s="7" t="s">
        <v>17</v>
      </c>
      <c r="R1249" s="10">
        <f>operations[arrivedDate]-operations[shippedDate]</f>
        <v>15</v>
      </c>
    </row>
    <row r="1250" ht="15.75" customHeight="1">
      <c r="A1250" s="6">
        <v>10720.0</v>
      </c>
      <c r="B1250" s="24">
        <v>45227.0</v>
      </c>
      <c r="C1250" s="24">
        <v>45241.0</v>
      </c>
      <c r="D1250" s="24">
        <v>45235.0</v>
      </c>
      <c r="E1250" s="24">
        <v>45255.0</v>
      </c>
      <c r="F1250" s="6">
        <v>35.0</v>
      </c>
      <c r="G1250" s="9" t="str">
        <f>VLOOKUP(operations[productID],products[],2,FALSE)</f>
        <v>Cold Brew Nitro</v>
      </c>
      <c r="H1250" s="9" t="str">
        <f>IF(VLOOKUP(operations[productID],products[],7,FALSE)=1,"Discontinued","Current")</f>
        <v>Current</v>
      </c>
      <c r="I1250" s="6">
        <f>VLOOKUP(operations[productID],products[],4,FALSE)</f>
        <v>20</v>
      </c>
      <c r="J1250" s="6">
        <f>VLOOKUP(operations[productID],products[],5,FALSE)</f>
        <v>0</v>
      </c>
      <c r="K1250" s="6">
        <f>VLOOKUP(operations[productID],products[],6,FALSE)</f>
        <v>15</v>
      </c>
      <c r="L1250" s="10">
        <f t="array" ref="L1250">INDEX('1 orders'!I1250:I2156, MATCH(1, ('1 orders'!A1250:A2156=A1250)*('1 orders'!G1250:G2156=F1250), 0))
</f>
        <v>21</v>
      </c>
      <c r="M1250" s="10">
        <f>IFERROR(__xludf.DUMMYFUNCTION("COUNTUNIQUEIFS($A$2:$A1250,$F$2:$F1250,F1250)"),21.0)</f>
        <v>21</v>
      </c>
      <c r="N1250" s="10">
        <f t="shared" si="1"/>
        <v>20</v>
      </c>
      <c r="O1250" s="26">
        <f>IF(operations[sinceLastOrder]=0,0,operations[orderQuantity] / operations[sinceLastOrder])</f>
        <v>1.05</v>
      </c>
      <c r="P1250" s="9">
        <v>9.53</v>
      </c>
      <c r="Q1250" s="7" t="s">
        <v>17</v>
      </c>
      <c r="R1250" s="10">
        <f>operations[arrivedDate]-operations[shippedDate]</f>
        <v>20</v>
      </c>
    </row>
    <row r="1251" ht="15.75" customHeight="1">
      <c r="A1251" s="6">
        <v>10720.0</v>
      </c>
      <c r="B1251" s="24">
        <v>45227.0</v>
      </c>
      <c r="C1251" s="24">
        <v>45241.0</v>
      </c>
      <c r="D1251" s="24">
        <v>45235.0</v>
      </c>
      <c r="E1251" s="24">
        <v>45255.0</v>
      </c>
      <c r="F1251" s="6">
        <v>71.0</v>
      </c>
      <c r="G1251" s="9" t="str">
        <f>VLOOKUP(operations[productID],products[],2,FALSE)</f>
        <v>Flotemysost</v>
      </c>
      <c r="H1251" s="9" t="str">
        <f>IF(VLOOKUP(operations[productID],products[],7,FALSE)=1,"Discontinued","Current")</f>
        <v>Current</v>
      </c>
      <c r="I1251" s="6">
        <f>VLOOKUP(operations[productID],products[],4,FALSE)</f>
        <v>26</v>
      </c>
      <c r="J1251" s="6">
        <f>VLOOKUP(operations[productID],products[],5,FALSE)</f>
        <v>0</v>
      </c>
      <c r="K1251" s="6">
        <f>VLOOKUP(operations[productID],products[],6,FALSE)</f>
        <v>0</v>
      </c>
      <c r="L1251" s="10">
        <f t="array" ref="L1251">INDEX('1 orders'!I1251:I2156, MATCH(1, ('1 orders'!A1251:A2156=A1251)*('1 orders'!G1251:G2156=F1251), 0))
</f>
        <v>8</v>
      </c>
      <c r="M1251" s="10">
        <f>IFERROR(__xludf.DUMMYFUNCTION("COUNTUNIQUEIFS($A$2:$A1251,$F$2:$F1251,F1251)"),30.0)</f>
        <v>30</v>
      </c>
      <c r="N1251" s="10">
        <f t="shared" si="1"/>
        <v>5</v>
      </c>
      <c r="O1251" s="26">
        <f>IF(operations[sinceLastOrder]=0,0,operations[orderQuantity] / operations[sinceLastOrder])</f>
        <v>1.6</v>
      </c>
      <c r="P1251" s="9">
        <v>9.53</v>
      </c>
      <c r="Q1251" s="7" t="s">
        <v>17</v>
      </c>
      <c r="R1251" s="10">
        <f>operations[arrivedDate]-operations[shippedDate]</f>
        <v>20</v>
      </c>
    </row>
    <row r="1252" ht="15.75" customHeight="1">
      <c r="A1252" s="6">
        <v>10721.0</v>
      </c>
      <c r="B1252" s="24">
        <v>45228.0</v>
      </c>
      <c r="C1252" s="24">
        <v>45256.0</v>
      </c>
      <c r="D1252" s="24">
        <v>45230.0</v>
      </c>
      <c r="E1252" s="24">
        <v>45234.0</v>
      </c>
      <c r="F1252" s="6">
        <v>44.0</v>
      </c>
      <c r="G1252" s="9" t="str">
        <f>VLOOKUP(operations[productID],products[],2,FALSE)</f>
        <v>Gula Malacca</v>
      </c>
      <c r="H1252" s="9" t="str">
        <f>IF(VLOOKUP(operations[productID],products[],7,FALSE)=1,"Discontinued","Current")</f>
        <v>Current</v>
      </c>
      <c r="I1252" s="6">
        <f>VLOOKUP(operations[productID],products[],4,FALSE)</f>
        <v>27</v>
      </c>
      <c r="J1252" s="6">
        <f>VLOOKUP(operations[productID],products[],5,FALSE)</f>
        <v>0</v>
      </c>
      <c r="K1252" s="6">
        <f>VLOOKUP(operations[productID],products[],6,FALSE)</f>
        <v>15</v>
      </c>
      <c r="L1252" s="10">
        <f t="array" ref="L1252">INDEX('1 orders'!I1252:I2156, MATCH(1, ('1 orders'!A1252:A2156=A1252)*('1 orders'!G1252:G2156=F1252), 0))
</f>
        <v>50</v>
      </c>
      <c r="M1252" s="10">
        <f>IFERROR(__xludf.DUMMYFUNCTION("COUNTUNIQUEIFS($A$2:$A1252,$F$2:$F1252,F1252)"),17.0)</f>
        <v>17</v>
      </c>
      <c r="N1252" s="10">
        <f t="shared" si="1"/>
        <v>26</v>
      </c>
      <c r="O1252" s="26">
        <f>IF(operations[sinceLastOrder]=0,0,operations[orderQuantity] / operations[sinceLastOrder])</f>
        <v>1.923076923</v>
      </c>
      <c r="P1252" s="9">
        <v>48.92</v>
      </c>
      <c r="Q1252" s="7" t="s">
        <v>13</v>
      </c>
      <c r="R1252" s="10">
        <f>operations[arrivedDate]-operations[shippedDate]</f>
        <v>4</v>
      </c>
    </row>
    <row r="1253" ht="15.75" customHeight="1">
      <c r="A1253" s="6">
        <v>10722.0</v>
      </c>
      <c r="B1253" s="24">
        <v>45228.0</v>
      </c>
      <c r="C1253" s="24">
        <v>45270.0</v>
      </c>
      <c r="D1253" s="24">
        <v>45234.0</v>
      </c>
      <c r="E1253" s="24">
        <v>45245.0</v>
      </c>
      <c r="F1253" s="6">
        <v>2.0</v>
      </c>
      <c r="G1253" s="9" t="str">
        <f>VLOOKUP(operations[productID],products[],2,FALSE)</f>
        <v>Chang</v>
      </c>
      <c r="H1253" s="9" t="str">
        <f>IF(VLOOKUP(operations[productID],products[],7,FALSE)=1,"Discontinued","Current")</f>
        <v>Current</v>
      </c>
      <c r="I1253" s="6">
        <f>VLOOKUP(operations[productID],products[],4,FALSE)</f>
        <v>17</v>
      </c>
      <c r="J1253" s="6">
        <f>VLOOKUP(operations[productID],products[],5,FALSE)</f>
        <v>40</v>
      </c>
      <c r="K1253" s="6">
        <f>VLOOKUP(operations[productID],products[],6,FALSE)</f>
        <v>25</v>
      </c>
      <c r="L1253" s="10">
        <f t="array" ref="L1253">INDEX('1 orders'!I1253:I2156, MATCH(1, ('1 orders'!A1253:A2156=A1253)*('1 orders'!G1253:G2156=F1253), 0))
</f>
        <v>3</v>
      </c>
      <c r="M1253" s="10">
        <f>IFERROR(__xludf.DUMMYFUNCTION("COUNTUNIQUEIFS($A$2:$A1253,$F$2:$F1253,F1253)"),21.0)</f>
        <v>21</v>
      </c>
      <c r="N1253" s="10">
        <f t="shared" si="1"/>
        <v>7</v>
      </c>
      <c r="O1253" s="26">
        <f>IF(operations[sinceLastOrder]=0,0,operations[orderQuantity] / operations[sinceLastOrder])</f>
        <v>0.4285714286</v>
      </c>
      <c r="P1253" s="9">
        <v>74.58</v>
      </c>
      <c r="Q1253" s="7" t="s">
        <v>15</v>
      </c>
      <c r="R1253" s="10">
        <f>operations[arrivedDate]-operations[shippedDate]</f>
        <v>11</v>
      </c>
    </row>
    <row r="1254" ht="15.75" customHeight="1">
      <c r="A1254" s="6">
        <v>10722.0</v>
      </c>
      <c r="B1254" s="24">
        <v>45228.0</v>
      </c>
      <c r="C1254" s="24">
        <v>45270.0</v>
      </c>
      <c r="D1254" s="24">
        <v>45234.0</v>
      </c>
      <c r="E1254" s="24">
        <v>45245.0</v>
      </c>
      <c r="F1254" s="6">
        <v>31.0</v>
      </c>
      <c r="G1254" s="9" t="str">
        <f>VLOOKUP(operations[productID],products[],2,FALSE)</f>
        <v>Gorgonzola Telino</v>
      </c>
      <c r="H1254" s="9" t="str">
        <f>IF(VLOOKUP(operations[productID],products[],7,FALSE)=1,"Discontinued","Current")</f>
        <v>Current</v>
      </c>
      <c r="I1254" s="6">
        <f>VLOOKUP(operations[productID],products[],4,FALSE)</f>
        <v>0</v>
      </c>
      <c r="J1254" s="6">
        <f>VLOOKUP(operations[productID],products[],5,FALSE)</f>
        <v>70</v>
      </c>
      <c r="K1254" s="6">
        <f>VLOOKUP(operations[productID],products[],6,FALSE)</f>
        <v>20</v>
      </c>
      <c r="L1254" s="10">
        <f t="array" ref="L1254">INDEX('1 orders'!I1254:I2156, MATCH(1, ('1 orders'!A1254:A2156=A1254)*('1 orders'!G1254:G2156=F1254), 0))
</f>
        <v>50</v>
      </c>
      <c r="M1254" s="10">
        <f>IFERROR(__xludf.DUMMYFUNCTION("COUNTUNIQUEIFS($A$2:$A1254,$F$2:$F1254,F1254)"),31.0)</f>
        <v>31</v>
      </c>
      <c r="N1254" s="10">
        <f t="shared" si="1"/>
        <v>14</v>
      </c>
      <c r="O1254" s="26">
        <f>IF(operations[sinceLastOrder]=0,0,operations[orderQuantity] / operations[sinceLastOrder])</f>
        <v>3.571428571</v>
      </c>
      <c r="P1254" s="9">
        <v>74.58</v>
      </c>
      <c r="Q1254" s="7" t="s">
        <v>15</v>
      </c>
      <c r="R1254" s="10">
        <f>operations[arrivedDate]-operations[shippedDate]</f>
        <v>11</v>
      </c>
    </row>
    <row r="1255" ht="15.75" customHeight="1">
      <c r="A1255" s="6">
        <v>10722.0</v>
      </c>
      <c r="B1255" s="24">
        <v>45228.0</v>
      </c>
      <c r="C1255" s="24">
        <v>45270.0</v>
      </c>
      <c r="D1255" s="24">
        <v>45234.0</v>
      </c>
      <c r="E1255" s="24">
        <v>45245.0</v>
      </c>
      <c r="F1255" s="6">
        <v>68.0</v>
      </c>
      <c r="G1255" s="9" t="str">
        <f>VLOOKUP(operations[productID],products[],2,FALSE)</f>
        <v>Scottish Longbreads</v>
      </c>
      <c r="H1255" s="9" t="str">
        <f>IF(VLOOKUP(operations[productID],products[],7,FALSE)=1,"Discontinued","Current")</f>
        <v>Current</v>
      </c>
      <c r="I1255" s="6">
        <f>VLOOKUP(operations[productID],products[],4,FALSE)</f>
        <v>6</v>
      </c>
      <c r="J1255" s="6">
        <f>VLOOKUP(operations[productID],products[],5,FALSE)</f>
        <v>10</v>
      </c>
      <c r="K1255" s="6">
        <f>VLOOKUP(operations[productID],products[],6,FALSE)</f>
        <v>15</v>
      </c>
      <c r="L1255" s="10">
        <f t="array" ref="L1255">INDEX('1 orders'!I1255:I2156, MATCH(1, ('1 orders'!A1255:A2156=A1255)*('1 orders'!G1255:G2156=F1255), 0))
</f>
        <v>45</v>
      </c>
      <c r="M1255" s="10">
        <f>IFERROR(__xludf.DUMMYFUNCTION("COUNTUNIQUEIFS($A$2:$A1255,$F$2:$F1255,F1255)"),21.0)</f>
        <v>21</v>
      </c>
      <c r="N1255" s="10">
        <f t="shared" si="1"/>
        <v>19</v>
      </c>
      <c r="O1255" s="26">
        <f>IF(operations[sinceLastOrder]=0,0,operations[orderQuantity] / operations[sinceLastOrder])</f>
        <v>2.368421053</v>
      </c>
      <c r="P1255" s="9">
        <v>74.58</v>
      </c>
      <c r="Q1255" s="7" t="s">
        <v>15</v>
      </c>
      <c r="R1255" s="10">
        <f>operations[arrivedDate]-operations[shippedDate]</f>
        <v>11</v>
      </c>
    </row>
    <row r="1256" ht="15.75" customHeight="1">
      <c r="A1256" s="6">
        <v>10722.0</v>
      </c>
      <c r="B1256" s="24">
        <v>45228.0</v>
      </c>
      <c r="C1256" s="24">
        <v>45270.0</v>
      </c>
      <c r="D1256" s="24">
        <v>45234.0</v>
      </c>
      <c r="E1256" s="24">
        <v>45245.0</v>
      </c>
      <c r="F1256" s="6">
        <v>75.0</v>
      </c>
      <c r="G1256" s="9" t="str">
        <f>VLOOKUP(operations[productID],products[],2,FALSE)</f>
        <v>Rhönbräu Klosterbier</v>
      </c>
      <c r="H1256" s="9" t="str">
        <f>IF(VLOOKUP(operations[productID],products[],7,FALSE)=1,"Discontinued","Current")</f>
        <v>Current</v>
      </c>
      <c r="I1256" s="6">
        <f>VLOOKUP(operations[productID],products[],4,FALSE)</f>
        <v>125</v>
      </c>
      <c r="J1256" s="6">
        <f>VLOOKUP(operations[productID],products[],5,FALSE)</f>
        <v>0</v>
      </c>
      <c r="K1256" s="6">
        <f>VLOOKUP(operations[productID],products[],6,FALSE)</f>
        <v>25</v>
      </c>
      <c r="L1256" s="10">
        <f t="array" ref="L1256">INDEX('1 orders'!I1256:I2156, MATCH(1, ('1 orders'!A1256:A2156=A1256)*('1 orders'!G1256:G2156=F1256), 0))
</f>
        <v>42</v>
      </c>
      <c r="M1256" s="10">
        <f>IFERROR(__xludf.DUMMYFUNCTION("COUNTUNIQUEIFS($A$2:$A1256,$F$2:$F1256,F1256)"),26.0)</f>
        <v>26</v>
      </c>
      <c r="N1256" s="10">
        <f t="shared" si="1"/>
        <v>34</v>
      </c>
      <c r="O1256" s="26">
        <f>IF(operations[sinceLastOrder]=0,0,operations[orderQuantity] / operations[sinceLastOrder])</f>
        <v>1.235294118</v>
      </c>
      <c r="P1256" s="9">
        <v>74.58</v>
      </c>
      <c r="Q1256" s="7" t="s">
        <v>15</v>
      </c>
      <c r="R1256" s="10">
        <f>operations[arrivedDate]-operations[shippedDate]</f>
        <v>11</v>
      </c>
    </row>
    <row r="1257" ht="15.75" customHeight="1">
      <c r="A1257" s="6">
        <v>10723.0</v>
      </c>
      <c r="B1257" s="24">
        <v>45229.0</v>
      </c>
      <c r="C1257" s="24">
        <v>45257.0</v>
      </c>
      <c r="D1257" s="24">
        <v>45255.0</v>
      </c>
      <c r="E1257" s="24">
        <v>45266.0</v>
      </c>
      <c r="F1257" s="6">
        <v>26.0</v>
      </c>
      <c r="G1257" s="9" t="str">
        <f>VLOOKUP(operations[productID],products[],2,FALSE)</f>
        <v>NuNuCa Nuß-Nougat-Creme</v>
      </c>
      <c r="H1257" s="9" t="str">
        <f>IF(VLOOKUP(operations[productID],products[],7,FALSE)=1,"Discontinued","Current")</f>
        <v>Current</v>
      </c>
      <c r="I1257" s="6">
        <f>VLOOKUP(operations[productID],products[],4,FALSE)</f>
        <v>15</v>
      </c>
      <c r="J1257" s="6">
        <f>VLOOKUP(operations[productID],products[],5,FALSE)</f>
        <v>0</v>
      </c>
      <c r="K1257" s="6">
        <f>VLOOKUP(operations[productID],products[],6,FALSE)</f>
        <v>0</v>
      </c>
      <c r="L1257" s="10">
        <f t="array" ref="L1257">INDEX('1 orders'!I1257:I2156, MATCH(1, ('1 orders'!A1257:A2156=A1257)*('1 orders'!G1257:G2156=F1257), 0))
</f>
        <v>15</v>
      </c>
      <c r="M1257" s="10">
        <f>IFERROR(__xludf.DUMMYFUNCTION("COUNTUNIQUEIFS($A$2:$A1257,$F$2:$F1257,F1257)"),20.0)</f>
        <v>20</v>
      </c>
      <c r="N1257" s="10">
        <f t="shared" si="1"/>
        <v>8</v>
      </c>
      <c r="O1257" s="26">
        <f>IF(operations[sinceLastOrder]=0,0,operations[orderQuantity] / operations[sinceLastOrder])</f>
        <v>1.875</v>
      </c>
      <c r="P1257" s="9">
        <v>21.72</v>
      </c>
      <c r="Q1257" s="7" t="s">
        <v>15</v>
      </c>
      <c r="R1257" s="10">
        <f>operations[arrivedDate]-operations[shippedDate]</f>
        <v>11</v>
      </c>
    </row>
    <row r="1258" ht="15.75" customHeight="1">
      <c r="A1258" s="6">
        <v>10724.0</v>
      </c>
      <c r="B1258" s="24">
        <v>45229.0</v>
      </c>
      <c r="C1258" s="24">
        <v>45271.0</v>
      </c>
      <c r="D1258" s="24">
        <v>45235.0</v>
      </c>
      <c r="E1258" s="24">
        <v>45248.0</v>
      </c>
      <c r="F1258" s="6">
        <v>10.0</v>
      </c>
      <c r="G1258" s="9" t="str">
        <f>VLOOKUP(operations[productID],products[],2,FALSE)</f>
        <v>Ikura</v>
      </c>
      <c r="H1258" s="9" t="str">
        <f>IF(VLOOKUP(operations[productID],products[],7,FALSE)=1,"Discontinued","Current")</f>
        <v>Current</v>
      </c>
      <c r="I1258" s="6">
        <f>VLOOKUP(operations[productID],products[],4,FALSE)</f>
        <v>31</v>
      </c>
      <c r="J1258" s="6">
        <f>VLOOKUP(operations[productID],products[],5,FALSE)</f>
        <v>0</v>
      </c>
      <c r="K1258" s="6">
        <f>VLOOKUP(operations[productID],products[],6,FALSE)</f>
        <v>0</v>
      </c>
      <c r="L1258" s="10">
        <f t="array" ref="L1258">INDEX('1 orders'!I1258:I2156, MATCH(1, ('1 orders'!A1258:A2156=A1258)*('1 orders'!G1258:G2156=F1258), 0))
</f>
        <v>16</v>
      </c>
      <c r="M1258" s="10">
        <f>IFERROR(__xludf.DUMMYFUNCTION("COUNTUNIQUEIFS($A$2:$A1258,$F$2:$F1258,F1258)"),20.0)</f>
        <v>20</v>
      </c>
      <c r="N1258" s="10">
        <f t="shared" si="1"/>
        <v>7</v>
      </c>
      <c r="O1258" s="26">
        <f>IF(operations[sinceLastOrder]=0,0,operations[orderQuantity] / operations[sinceLastOrder])</f>
        <v>2.285714286</v>
      </c>
      <c r="P1258" s="9">
        <v>57.75</v>
      </c>
      <c r="Q1258" s="7" t="s">
        <v>17</v>
      </c>
      <c r="R1258" s="10">
        <f>operations[arrivedDate]-operations[shippedDate]</f>
        <v>13</v>
      </c>
    </row>
    <row r="1259" ht="15.75" customHeight="1">
      <c r="A1259" s="6">
        <v>10724.0</v>
      </c>
      <c r="B1259" s="24">
        <v>45229.0</v>
      </c>
      <c r="C1259" s="24">
        <v>45271.0</v>
      </c>
      <c r="D1259" s="24">
        <v>45235.0</v>
      </c>
      <c r="E1259" s="24">
        <v>45248.0</v>
      </c>
      <c r="F1259" s="6">
        <v>61.0</v>
      </c>
      <c r="G1259" s="9" t="str">
        <f>VLOOKUP(operations[productID],products[],2,FALSE)</f>
        <v>Sirop d'érable</v>
      </c>
      <c r="H1259" s="9" t="str">
        <f>IF(VLOOKUP(operations[productID],products[],7,FALSE)=1,"Discontinued","Current")</f>
        <v>Current</v>
      </c>
      <c r="I1259" s="6">
        <f>VLOOKUP(operations[productID],products[],4,FALSE)</f>
        <v>113</v>
      </c>
      <c r="J1259" s="6">
        <f>VLOOKUP(operations[productID],products[],5,FALSE)</f>
        <v>0</v>
      </c>
      <c r="K1259" s="6">
        <f>VLOOKUP(operations[productID],products[],6,FALSE)</f>
        <v>25</v>
      </c>
      <c r="L1259" s="10">
        <f t="array" ref="L1259">INDEX('1 orders'!I1259:I2156, MATCH(1, ('1 orders'!A1259:A2156=A1259)*('1 orders'!G1259:G2156=F1259), 0))
</f>
        <v>5</v>
      </c>
      <c r="M1259" s="10">
        <f>IFERROR(__xludf.DUMMYFUNCTION("COUNTUNIQUEIFS($A$2:$A1259,$F$2:$F1259,F1259)"),11.0)</f>
        <v>11</v>
      </c>
      <c r="N1259" s="10">
        <f t="shared" si="1"/>
        <v>6</v>
      </c>
      <c r="O1259" s="26">
        <f>IF(operations[sinceLastOrder]=0,0,operations[orderQuantity] / operations[sinceLastOrder])</f>
        <v>0.8333333333</v>
      </c>
      <c r="P1259" s="9">
        <v>57.75</v>
      </c>
      <c r="Q1259" s="7" t="s">
        <v>17</v>
      </c>
      <c r="R1259" s="10">
        <f>operations[arrivedDate]-operations[shippedDate]</f>
        <v>13</v>
      </c>
    </row>
    <row r="1260" ht="15.75" customHeight="1">
      <c r="A1260" s="6">
        <v>10725.0</v>
      </c>
      <c r="B1260" s="24">
        <v>45230.0</v>
      </c>
      <c r="C1260" s="24">
        <v>45258.0</v>
      </c>
      <c r="D1260" s="24">
        <v>45235.0</v>
      </c>
      <c r="E1260" s="24">
        <v>45254.0</v>
      </c>
      <c r="F1260" s="6">
        <v>41.0</v>
      </c>
      <c r="G1260" s="9" t="str">
        <f>VLOOKUP(operations[productID],products[],2,FALSE)</f>
        <v>Jack's New England Clam Chowder</v>
      </c>
      <c r="H1260" s="9" t="str">
        <f>IF(VLOOKUP(operations[productID],products[],7,FALSE)=1,"Discontinued","Current")</f>
        <v>Current</v>
      </c>
      <c r="I1260" s="6">
        <f>VLOOKUP(operations[productID],products[],4,FALSE)</f>
        <v>85</v>
      </c>
      <c r="J1260" s="6">
        <f>VLOOKUP(operations[productID],products[],5,FALSE)</f>
        <v>0</v>
      </c>
      <c r="K1260" s="6">
        <f>VLOOKUP(operations[productID],products[],6,FALSE)</f>
        <v>10</v>
      </c>
      <c r="L1260" s="10">
        <f t="array" ref="L1260">INDEX('1 orders'!I1260:I2156, MATCH(1, ('1 orders'!A1260:A2156=A1260)*('1 orders'!G1260:G2156=F1260), 0))
</f>
        <v>12</v>
      </c>
      <c r="M1260" s="10">
        <f>IFERROR(__xludf.DUMMYFUNCTION("COUNTUNIQUEIFS($A$2:$A1260,$F$2:$F1260,F1260)"),23.0)</f>
        <v>23</v>
      </c>
      <c r="N1260" s="10">
        <f t="shared" si="1"/>
        <v>10</v>
      </c>
      <c r="O1260" s="26">
        <f>IF(operations[sinceLastOrder]=0,0,operations[orderQuantity] / operations[sinceLastOrder])</f>
        <v>1.2</v>
      </c>
      <c r="P1260" s="9">
        <v>10.83</v>
      </c>
      <c r="Q1260" s="7" t="s">
        <v>13</v>
      </c>
      <c r="R1260" s="10">
        <f>operations[arrivedDate]-operations[shippedDate]</f>
        <v>19</v>
      </c>
    </row>
    <row r="1261" ht="15.75" customHeight="1">
      <c r="A1261" s="6">
        <v>10725.0</v>
      </c>
      <c r="B1261" s="24">
        <v>45230.0</v>
      </c>
      <c r="C1261" s="24">
        <v>45258.0</v>
      </c>
      <c r="D1261" s="24">
        <v>45235.0</v>
      </c>
      <c r="E1261" s="24">
        <v>45254.0</v>
      </c>
      <c r="F1261" s="6">
        <v>52.0</v>
      </c>
      <c r="G1261" s="9" t="str">
        <f>VLOOKUP(operations[productID],products[],2,FALSE)</f>
        <v>Filo Mix</v>
      </c>
      <c r="H1261" s="9" t="str">
        <f>IF(VLOOKUP(operations[productID],products[],7,FALSE)=1,"Discontinued","Current")</f>
        <v>Current</v>
      </c>
      <c r="I1261" s="6">
        <f>VLOOKUP(operations[productID],products[],4,FALSE)</f>
        <v>38</v>
      </c>
      <c r="J1261" s="6">
        <f>VLOOKUP(operations[productID],products[],5,FALSE)</f>
        <v>0</v>
      </c>
      <c r="K1261" s="6">
        <f>VLOOKUP(operations[productID],products[],6,FALSE)</f>
        <v>25</v>
      </c>
      <c r="L1261" s="10">
        <f t="array" ref="L1261">INDEX('1 orders'!I1261:I2156, MATCH(1, ('1 orders'!A1261:A2156=A1261)*('1 orders'!G1261:G2156=F1261), 0))
</f>
        <v>4</v>
      </c>
      <c r="M1261" s="10">
        <f>IFERROR(__xludf.DUMMYFUNCTION("COUNTUNIQUEIFS($A$2:$A1261,$F$2:$F1261,F1261)"),13.0)</f>
        <v>13</v>
      </c>
      <c r="N1261" s="10">
        <f t="shared" si="1"/>
        <v>35</v>
      </c>
      <c r="O1261" s="26">
        <f>IF(operations[sinceLastOrder]=0,0,operations[orderQuantity] / operations[sinceLastOrder])</f>
        <v>0.1142857143</v>
      </c>
      <c r="P1261" s="9">
        <v>10.83</v>
      </c>
      <c r="Q1261" s="7" t="s">
        <v>13</v>
      </c>
      <c r="R1261" s="10">
        <f>operations[arrivedDate]-operations[shippedDate]</f>
        <v>19</v>
      </c>
    </row>
    <row r="1262" ht="15.75" customHeight="1">
      <c r="A1262" s="6">
        <v>10725.0</v>
      </c>
      <c r="B1262" s="24">
        <v>45230.0</v>
      </c>
      <c r="C1262" s="24">
        <v>45258.0</v>
      </c>
      <c r="D1262" s="24">
        <v>45235.0</v>
      </c>
      <c r="E1262" s="24">
        <v>45254.0</v>
      </c>
      <c r="F1262" s="6">
        <v>55.0</v>
      </c>
      <c r="G1262" s="9" t="str">
        <f>VLOOKUP(operations[productID],products[],2,FALSE)</f>
        <v>Pâté chinois</v>
      </c>
      <c r="H1262" s="9" t="str">
        <f>IF(VLOOKUP(operations[productID],products[],7,FALSE)=1,"Discontinued","Current")</f>
        <v>Current</v>
      </c>
      <c r="I1262" s="6">
        <f>VLOOKUP(operations[productID],products[],4,FALSE)</f>
        <v>115</v>
      </c>
      <c r="J1262" s="6">
        <f>VLOOKUP(operations[productID],products[],5,FALSE)</f>
        <v>0</v>
      </c>
      <c r="K1262" s="6">
        <f>VLOOKUP(operations[productID],products[],6,FALSE)</f>
        <v>20</v>
      </c>
      <c r="L1262" s="10">
        <f t="array" ref="L1262">INDEX('1 orders'!I1262:I2156, MATCH(1, ('1 orders'!A1262:A2156=A1262)*('1 orders'!G1262:G2156=F1262), 0))
</f>
        <v>6</v>
      </c>
      <c r="M1262" s="10">
        <f>IFERROR(__xludf.DUMMYFUNCTION("COUNTUNIQUEIFS($A$2:$A1262,$F$2:$F1262,F1262)"),20.0)</f>
        <v>20</v>
      </c>
      <c r="N1262" s="10">
        <f t="shared" si="1"/>
        <v>15</v>
      </c>
      <c r="O1262" s="26">
        <f>IF(operations[sinceLastOrder]=0,0,operations[orderQuantity] / operations[sinceLastOrder])</f>
        <v>0.4</v>
      </c>
      <c r="P1262" s="9">
        <v>10.83</v>
      </c>
      <c r="Q1262" s="7" t="s">
        <v>13</v>
      </c>
      <c r="R1262" s="10">
        <f>operations[arrivedDate]-operations[shippedDate]</f>
        <v>19</v>
      </c>
    </row>
    <row r="1263" ht="15.75" customHeight="1">
      <c r="A1263" s="6">
        <v>10726.0</v>
      </c>
      <c r="B1263" s="24">
        <v>45233.0</v>
      </c>
      <c r="C1263" s="24">
        <v>45247.0</v>
      </c>
      <c r="D1263" s="24">
        <v>45265.0</v>
      </c>
      <c r="E1263" s="24">
        <v>45271.0</v>
      </c>
      <c r="F1263" s="6">
        <v>4.0</v>
      </c>
      <c r="G1263" s="9" t="str">
        <f>VLOOKUP(operations[productID],products[],2,FALSE)</f>
        <v>Chef Anton's Cajun Seasoning</v>
      </c>
      <c r="H1263" s="9" t="str">
        <f>IF(VLOOKUP(operations[productID],products[],7,FALSE)=1,"Discontinued","Current")</f>
        <v>Current</v>
      </c>
      <c r="I1263" s="6">
        <f>VLOOKUP(operations[productID],products[],4,FALSE)</f>
        <v>53</v>
      </c>
      <c r="J1263" s="6">
        <f>VLOOKUP(operations[productID],products[],5,FALSE)</f>
        <v>0</v>
      </c>
      <c r="K1263" s="6">
        <f>VLOOKUP(operations[productID],products[],6,FALSE)</f>
        <v>0</v>
      </c>
      <c r="L1263" s="10">
        <f t="array" ref="L1263">INDEX('1 orders'!I1263:I2156, MATCH(1, ('1 orders'!A1263:A2156=A1263)*('1 orders'!G1263:G2156=F1263), 0))
</f>
        <v>25</v>
      </c>
      <c r="M1263" s="10">
        <f>IFERROR(__xludf.DUMMYFUNCTION("COUNTUNIQUEIFS($A$2:$A1263,$F$2:$F1263,F1263)"),15.0)</f>
        <v>15</v>
      </c>
      <c r="N1263" s="10">
        <f t="shared" si="1"/>
        <v>20</v>
      </c>
      <c r="O1263" s="26">
        <f>IF(operations[sinceLastOrder]=0,0,operations[orderQuantity] / operations[sinceLastOrder])</f>
        <v>1.25</v>
      </c>
      <c r="P1263" s="9">
        <v>16.56</v>
      </c>
      <c r="Q1263" s="7" t="s">
        <v>15</v>
      </c>
      <c r="R1263" s="10">
        <f>operations[arrivedDate]-operations[shippedDate]</f>
        <v>6</v>
      </c>
    </row>
    <row r="1264" ht="15.75" customHeight="1">
      <c r="A1264" s="6">
        <v>10726.0</v>
      </c>
      <c r="B1264" s="24">
        <v>45233.0</v>
      </c>
      <c r="C1264" s="24">
        <v>45247.0</v>
      </c>
      <c r="D1264" s="24">
        <v>45265.0</v>
      </c>
      <c r="E1264" s="24">
        <v>45271.0</v>
      </c>
      <c r="F1264" s="6">
        <v>11.0</v>
      </c>
      <c r="G1264" s="9" t="str">
        <f>VLOOKUP(operations[productID],products[],2,FALSE)</f>
        <v>Queso Cabrales</v>
      </c>
      <c r="H1264" s="9" t="str">
        <f>IF(VLOOKUP(operations[productID],products[],7,FALSE)=1,"Discontinued","Current")</f>
        <v>Current</v>
      </c>
      <c r="I1264" s="6">
        <f>VLOOKUP(operations[productID],products[],4,FALSE)</f>
        <v>22</v>
      </c>
      <c r="J1264" s="6">
        <f>VLOOKUP(operations[productID],products[],5,FALSE)</f>
        <v>30</v>
      </c>
      <c r="K1264" s="6">
        <f>VLOOKUP(operations[productID],products[],6,FALSE)</f>
        <v>30</v>
      </c>
      <c r="L1264" s="10">
        <f t="array" ref="L1264">INDEX('1 orders'!I1264:I2156, MATCH(1, ('1 orders'!A1264:A2156=A1264)*('1 orders'!G1264:G2156=F1264), 0))
</f>
        <v>5</v>
      </c>
      <c r="M1264" s="10">
        <f>IFERROR(__xludf.DUMMYFUNCTION("COUNTUNIQUEIFS($A$2:$A1264,$F$2:$F1264,F1264)"),23.0)</f>
        <v>23</v>
      </c>
      <c r="N1264" s="10">
        <f t="shared" si="1"/>
        <v>25</v>
      </c>
      <c r="O1264" s="26">
        <f>IF(operations[sinceLastOrder]=0,0,operations[orderQuantity] / operations[sinceLastOrder])</f>
        <v>0.2</v>
      </c>
      <c r="P1264" s="9">
        <v>16.56</v>
      </c>
      <c r="Q1264" s="7" t="s">
        <v>15</v>
      </c>
      <c r="R1264" s="10">
        <f>operations[arrivedDate]-operations[shippedDate]</f>
        <v>6</v>
      </c>
    </row>
    <row r="1265" ht="15.75" customHeight="1">
      <c r="A1265" s="6">
        <v>10727.0</v>
      </c>
      <c r="B1265" s="24">
        <v>45233.0</v>
      </c>
      <c r="C1265" s="24">
        <v>45261.0</v>
      </c>
      <c r="D1265" s="24">
        <v>45265.0</v>
      </c>
      <c r="E1265" s="24">
        <v>45270.0</v>
      </c>
      <c r="F1265" s="6">
        <v>17.0</v>
      </c>
      <c r="G1265" s="9" t="str">
        <f>VLOOKUP(operations[productID],products[],2,FALSE)</f>
        <v>Alice Mutton</v>
      </c>
      <c r="H1265" s="9" t="str">
        <f>IF(VLOOKUP(operations[productID],products[],7,FALSE)=1,"Discontinued","Current")</f>
        <v>Discontinued</v>
      </c>
      <c r="I1265" s="6">
        <f>VLOOKUP(operations[productID],products[],4,FALSE)</f>
        <v>0</v>
      </c>
      <c r="J1265" s="6">
        <f>VLOOKUP(operations[productID],products[],5,FALSE)</f>
        <v>0</v>
      </c>
      <c r="K1265" s="6">
        <f>VLOOKUP(operations[productID],products[],6,FALSE)</f>
        <v>0</v>
      </c>
      <c r="L1265" s="10">
        <f t="array" ref="L1265">INDEX('1 orders'!I1265:I2156, MATCH(1, ('1 orders'!A1265:A2156=A1265)*('1 orders'!G1265:G2156=F1265), 0))
</f>
        <v>20</v>
      </c>
      <c r="M1265" s="10">
        <f>IFERROR(__xludf.DUMMYFUNCTION("COUNTUNIQUEIFS($A$2:$A1265,$F$2:$F1265,F1265)"),23.0)</f>
        <v>23</v>
      </c>
      <c r="N1265" s="10">
        <f t="shared" si="1"/>
        <v>12</v>
      </c>
      <c r="O1265" s="26">
        <f>IF(operations[sinceLastOrder]=0,0,operations[orderQuantity] / operations[sinceLastOrder])</f>
        <v>1.666666667</v>
      </c>
      <c r="P1265" s="9">
        <v>89.9</v>
      </c>
      <c r="Q1265" s="7" t="s">
        <v>15</v>
      </c>
      <c r="R1265" s="10">
        <f>operations[arrivedDate]-operations[shippedDate]</f>
        <v>5</v>
      </c>
    </row>
    <row r="1266" ht="15.75" customHeight="1">
      <c r="A1266" s="6">
        <v>10727.0</v>
      </c>
      <c r="B1266" s="24">
        <v>45233.0</v>
      </c>
      <c r="C1266" s="24">
        <v>45261.0</v>
      </c>
      <c r="D1266" s="24">
        <v>45265.0</v>
      </c>
      <c r="E1266" s="24">
        <v>45270.0</v>
      </c>
      <c r="F1266" s="6">
        <v>56.0</v>
      </c>
      <c r="G1266" s="9" t="str">
        <f>VLOOKUP(operations[productID],products[],2,FALSE)</f>
        <v>Gnocchi di nonna Alice</v>
      </c>
      <c r="H1266" s="9" t="str">
        <f>IF(VLOOKUP(operations[productID],products[],7,FALSE)=1,"Discontinued","Current")</f>
        <v>Current</v>
      </c>
      <c r="I1266" s="6">
        <f>VLOOKUP(operations[productID],products[],4,FALSE)</f>
        <v>21</v>
      </c>
      <c r="J1266" s="6">
        <f>VLOOKUP(operations[productID],products[],5,FALSE)</f>
        <v>10</v>
      </c>
      <c r="K1266" s="6">
        <f>VLOOKUP(operations[productID],products[],6,FALSE)</f>
        <v>30</v>
      </c>
      <c r="L1266" s="10">
        <f t="array" ref="L1266">INDEX('1 orders'!I1266:I2156, MATCH(1, ('1 orders'!A1266:A2156=A1266)*('1 orders'!G1266:G2156=F1266), 0))
</f>
        <v>10</v>
      </c>
      <c r="M1266" s="10">
        <f>IFERROR(__xludf.DUMMYFUNCTION("COUNTUNIQUEIFS($A$2:$A1266,$F$2:$F1266,F1266)"),33.0)</f>
        <v>33</v>
      </c>
      <c r="N1266" s="10">
        <f t="shared" si="1"/>
        <v>12</v>
      </c>
      <c r="O1266" s="26">
        <f>IF(operations[sinceLastOrder]=0,0,operations[orderQuantity] / operations[sinceLastOrder])</f>
        <v>0.8333333333</v>
      </c>
      <c r="P1266" s="9">
        <v>89.9</v>
      </c>
      <c r="Q1266" s="7" t="s">
        <v>15</v>
      </c>
      <c r="R1266" s="10">
        <f>operations[arrivedDate]-operations[shippedDate]</f>
        <v>5</v>
      </c>
    </row>
    <row r="1267" ht="15.75" customHeight="1">
      <c r="A1267" s="6">
        <v>10727.0</v>
      </c>
      <c r="B1267" s="24">
        <v>45233.0</v>
      </c>
      <c r="C1267" s="24">
        <v>45261.0</v>
      </c>
      <c r="D1267" s="24">
        <v>45265.0</v>
      </c>
      <c r="E1267" s="24">
        <v>45270.0</v>
      </c>
      <c r="F1267" s="6">
        <v>59.0</v>
      </c>
      <c r="G1267" s="9" t="str">
        <f>VLOOKUP(operations[productID],products[],2,FALSE)</f>
        <v>Raclette Courdavault</v>
      </c>
      <c r="H1267" s="9" t="str">
        <f>IF(VLOOKUP(operations[productID],products[],7,FALSE)=1,"Discontinued","Current")</f>
        <v>Current</v>
      </c>
      <c r="I1267" s="6">
        <f>VLOOKUP(operations[productID],products[],4,FALSE)</f>
        <v>79</v>
      </c>
      <c r="J1267" s="6">
        <f>VLOOKUP(operations[productID],products[],5,FALSE)</f>
        <v>0</v>
      </c>
      <c r="K1267" s="6">
        <f>VLOOKUP(operations[productID],products[],6,FALSE)</f>
        <v>0</v>
      </c>
      <c r="L1267" s="10">
        <f t="array" ref="L1267">INDEX('1 orders'!I1267:I2156, MATCH(1, ('1 orders'!A1267:A2156=A1267)*('1 orders'!G1267:G2156=F1267), 0))
</f>
        <v>10</v>
      </c>
      <c r="M1267" s="10">
        <f>IFERROR(__xludf.DUMMYFUNCTION("COUNTUNIQUEIFS($A$2:$A1267,$F$2:$F1267,F1267)"),34.0)</f>
        <v>34</v>
      </c>
      <c r="N1267" s="10">
        <f t="shared" si="1"/>
        <v>18</v>
      </c>
      <c r="O1267" s="26">
        <f>IF(operations[sinceLastOrder]=0,0,operations[orderQuantity] / operations[sinceLastOrder])</f>
        <v>0.5555555556</v>
      </c>
      <c r="P1267" s="9">
        <v>89.9</v>
      </c>
      <c r="Q1267" s="7" t="s">
        <v>15</v>
      </c>
      <c r="R1267" s="10">
        <f>operations[arrivedDate]-operations[shippedDate]</f>
        <v>5</v>
      </c>
    </row>
    <row r="1268" ht="15.75" customHeight="1">
      <c r="A1268" s="6">
        <v>10728.0</v>
      </c>
      <c r="B1268" s="24">
        <v>45234.0</v>
      </c>
      <c r="C1268" s="24">
        <v>45262.0</v>
      </c>
      <c r="D1268" s="24">
        <v>45241.0</v>
      </c>
      <c r="E1268" s="24">
        <v>45259.0</v>
      </c>
      <c r="F1268" s="6">
        <v>30.0</v>
      </c>
      <c r="G1268" s="9" t="str">
        <f>VLOOKUP(operations[productID],products[],2,FALSE)</f>
        <v>Nord-Ost Matjeshering</v>
      </c>
      <c r="H1268" s="9" t="str">
        <f>IF(VLOOKUP(operations[productID],products[],7,FALSE)=1,"Discontinued","Current")</f>
        <v>Current</v>
      </c>
      <c r="I1268" s="6">
        <f>VLOOKUP(operations[productID],products[],4,FALSE)</f>
        <v>10</v>
      </c>
      <c r="J1268" s="6">
        <f>VLOOKUP(operations[productID],products[],5,FALSE)</f>
        <v>0</v>
      </c>
      <c r="K1268" s="6">
        <f>VLOOKUP(operations[productID],products[],6,FALSE)</f>
        <v>15</v>
      </c>
      <c r="L1268" s="10">
        <f t="array" ref="L1268">INDEX('1 orders'!I1268:I2156, MATCH(1, ('1 orders'!A1268:A2156=A1268)*('1 orders'!G1268:G2156=F1268), 0))
</f>
        <v>15</v>
      </c>
      <c r="M1268" s="10">
        <f>IFERROR(__xludf.DUMMYFUNCTION("COUNTUNIQUEIFS($A$2:$A1268,$F$2:$F1268,F1268)"),19.0)</f>
        <v>19</v>
      </c>
      <c r="N1268" s="10">
        <f t="shared" si="1"/>
        <v>8</v>
      </c>
      <c r="O1268" s="26">
        <f>IF(operations[sinceLastOrder]=0,0,operations[orderQuantity] / operations[sinceLastOrder])</f>
        <v>1.875</v>
      </c>
      <c r="P1268" s="9">
        <v>58.33</v>
      </c>
      <c r="Q1268" s="7" t="s">
        <v>17</v>
      </c>
      <c r="R1268" s="10">
        <f>operations[arrivedDate]-operations[shippedDate]</f>
        <v>18</v>
      </c>
    </row>
    <row r="1269" ht="15.75" customHeight="1">
      <c r="A1269" s="6">
        <v>10728.0</v>
      </c>
      <c r="B1269" s="24">
        <v>45234.0</v>
      </c>
      <c r="C1269" s="24">
        <v>45262.0</v>
      </c>
      <c r="D1269" s="24">
        <v>45241.0</v>
      </c>
      <c r="E1269" s="24">
        <v>45259.0</v>
      </c>
      <c r="F1269" s="6">
        <v>40.0</v>
      </c>
      <c r="G1269" s="9" t="str">
        <f>VLOOKUP(operations[productID],products[],2,FALSE)</f>
        <v>Boston Crab Meat</v>
      </c>
      <c r="H1269" s="9" t="str">
        <f>IF(VLOOKUP(operations[productID],products[],7,FALSE)=1,"Discontinued","Current")</f>
        <v>Current</v>
      </c>
      <c r="I1269" s="6">
        <f>VLOOKUP(operations[productID],products[],4,FALSE)</f>
        <v>123</v>
      </c>
      <c r="J1269" s="6">
        <f>VLOOKUP(operations[productID],products[],5,FALSE)</f>
        <v>0</v>
      </c>
      <c r="K1269" s="6">
        <f>VLOOKUP(operations[productID],products[],6,FALSE)</f>
        <v>30</v>
      </c>
      <c r="L1269" s="10">
        <f t="array" ref="L1269">INDEX('1 orders'!I1269:I2156, MATCH(1, ('1 orders'!A1269:A2156=A1269)*('1 orders'!G1269:G2156=F1269), 0))
</f>
        <v>6</v>
      </c>
      <c r="M1269" s="10">
        <f>IFERROR(__xludf.DUMMYFUNCTION("COUNTUNIQUEIFS($A$2:$A1269,$F$2:$F1269,F1269)"),27.0)</f>
        <v>27</v>
      </c>
      <c r="N1269" s="10">
        <f t="shared" si="1"/>
        <v>39</v>
      </c>
      <c r="O1269" s="26">
        <f>IF(operations[sinceLastOrder]=0,0,operations[orderQuantity] / operations[sinceLastOrder])</f>
        <v>0.1538461538</v>
      </c>
      <c r="P1269" s="9">
        <v>58.33</v>
      </c>
      <c r="Q1269" s="7" t="s">
        <v>17</v>
      </c>
      <c r="R1269" s="10">
        <f>operations[arrivedDate]-operations[shippedDate]</f>
        <v>18</v>
      </c>
    </row>
    <row r="1270" ht="15.75" customHeight="1">
      <c r="A1270" s="6">
        <v>10728.0</v>
      </c>
      <c r="B1270" s="24">
        <v>45234.0</v>
      </c>
      <c r="C1270" s="24">
        <v>45262.0</v>
      </c>
      <c r="D1270" s="24">
        <v>45241.0</v>
      </c>
      <c r="E1270" s="24">
        <v>45259.0</v>
      </c>
      <c r="F1270" s="6">
        <v>55.0</v>
      </c>
      <c r="G1270" s="9" t="str">
        <f>VLOOKUP(operations[productID],products[],2,FALSE)</f>
        <v>Pâté chinois</v>
      </c>
      <c r="H1270" s="9" t="str">
        <f>IF(VLOOKUP(operations[productID],products[],7,FALSE)=1,"Discontinued","Current")</f>
        <v>Current</v>
      </c>
      <c r="I1270" s="6">
        <f>VLOOKUP(operations[productID],products[],4,FALSE)</f>
        <v>115</v>
      </c>
      <c r="J1270" s="6">
        <f>VLOOKUP(operations[productID],products[],5,FALSE)</f>
        <v>0</v>
      </c>
      <c r="K1270" s="6">
        <f>VLOOKUP(operations[productID],products[],6,FALSE)</f>
        <v>20</v>
      </c>
      <c r="L1270" s="10">
        <f t="array" ref="L1270">INDEX('1 orders'!I1270:I2156, MATCH(1, ('1 orders'!A1270:A2156=A1270)*('1 orders'!G1270:G2156=F1270), 0))
</f>
        <v>12</v>
      </c>
      <c r="M1270" s="10">
        <f>IFERROR(__xludf.DUMMYFUNCTION("COUNTUNIQUEIFS($A$2:$A1270,$F$2:$F1270,F1270)"),21.0)</f>
        <v>21</v>
      </c>
      <c r="N1270" s="10">
        <f t="shared" si="1"/>
        <v>4</v>
      </c>
      <c r="O1270" s="26">
        <f>IF(operations[sinceLastOrder]=0,0,operations[orderQuantity] / operations[sinceLastOrder])</f>
        <v>3</v>
      </c>
      <c r="P1270" s="9">
        <v>58.33</v>
      </c>
      <c r="Q1270" s="7" t="s">
        <v>17</v>
      </c>
      <c r="R1270" s="10">
        <f>operations[arrivedDate]-operations[shippedDate]</f>
        <v>18</v>
      </c>
    </row>
    <row r="1271" ht="15.75" customHeight="1">
      <c r="A1271" s="6">
        <v>10728.0</v>
      </c>
      <c r="B1271" s="24">
        <v>45234.0</v>
      </c>
      <c r="C1271" s="24">
        <v>45262.0</v>
      </c>
      <c r="D1271" s="24">
        <v>45241.0</v>
      </c>
      <c r="E1271" s="24">
        <v>45259.0</v>
      </c>
      <c r="F1271" s="6">
        <v>60.0</v>
      </c>
      <c r="G1271" s="9" t="str">
        <f>VLOOKUP(operations[productID],products[],2,FALSE)</f>
        <v>Camembert Pierrot</v>
      </c>
      <c r="H1271" s="9" t="str">
        <f>IF(VLOOKUP(operations[productID],products[],7,FALSE)=1,"Discontinued","Current")</f>
        <v>Current</v>
      </c>
      <c r="I1271" s="6">
        <f>VLOOKUP(operations[productID],products[],4,FALSE)</f>
        <v>19</v>
      </c>
      <c r="J1271" s="6">
        <f>VLOOKUP(operations[productID],products[],5,FALSE)</f>
        <v>0</v>
      </c>
      <c r="K1271" s="6">
        <f>VLOOKUP(operations[productID],products[],6,FALSE)</f>
        <v>0</v>
      </c>
      <c r="L1271" s="10">
        <f t="array" ref="L1271">INDEX('1 orders'!I1271:I2156, MATCH(1, ('1 orders'!A1271:A2156=A1271)*('1 orders'!G1271:G2156=F1271), 0))
</f>
        <v>15</v>
      </c>
      <c r="M1271" s="10">
        <f>IFERROR(__xludf.DUMMYFUNCTION("COUNTUNIQUEIFS($A$2:$A1271,$F$2:$F1271,F1271)"),30.0)</f>
        <v>30</v>
      </c>
      <c r="N1271" s="10">
        <f t="shared" si="1"/>
        <v>18</v>
      </c>
      <c r="O1271" s="26">
        <f>IF(operations[sinceLastOrder]=0,0,operations[orderQuantity] / operations[sinceLastOrder])</f>
        <v>0.8333333333</v>
      </c>
      <c r="P1271" s="9">
        <v>58.33</v>
      </c>
      <c r="Q1271" s="7" t="s">
        <v>17</v>
      </c>
      <c r="R1271" s="10">
        <f>operations[arrivedDate]-operations[shippedDate]</f>
        <v>18</v>
      </c>
    </row>
    <row r="1272" ht="15.75" customHeight="1">
      <c r="A1272" s="6">
        <v>10729.0</v>
      </c>
      <c r="B1272" s="24">
        <v>45234.0</v>
      </c>
      <c r="C1272" s="24">
        <v>45276.0</v>
      </c>
      <c r="D1272" s="24">
        <v>45244.0</v>
      </c>
      <c r="E1272" s="24">
        <v>45254.0</v>
      </c>
      <c r="F1272" s="6">
        <v>1.0</v>
      </c>
      <c r="G1272" s="9" t="str">
        <f>VLOOKUP(operations[productID],products[],2,FALSE)</f>
        <v>Chai</v>
      </c>
      <c r="H1272" s="9" t="str">
        <f>IF(VLOOKUP(operations[productID],products[],7,FALSE)=1,"Discontinued","Current")</f>
        <v>Current</v>
      </c>
      <c r="I1272" s="6">
        <f>VLOOKUP(operations[productID],products[],4,FALSE)</f>
        <v>39</v>
      </c>
      <c r="J1272" s="6">
        <f>VLOOKUP(operations[productID],products[],5,FALSE)</f>
        <v>0</v>
      </c>
      <c r="K1272" s="6">
        <f>VLOOKUP(operations[productID],products[],6,FALSE)</f>
        <v>10</v>
      </c>
      <c r="L1272" s="10">
        <f t="array" ref="L1272">INDEX('1 orders'!I1272:I2156, MATCH(1, ('1 orders'!A1272:A2156=A1272)*('1 orders'!G1272:G2156=F1272), 0))
</f>
        <v>50</v>
      </c>
      <c r="M1272" s="10">
        <f>IFERROR(__xludf.DUMMYFUNCTION("COUNTUNIQUEIFS($A$2:$A1272,$F$2:$F1272,F1272)"),21.0)</f>
        <v>21</v>
      </c>
      <c r="N1272" s="10">
        <f t="shared" si="1"/>
        <v>25</v>
      </c>
      <c r="O1272" s="26">
        <f>IF(operations[sinceLastOrder]=0,0,operations[orderQuantity] / operations[sinceLastOrder])</f>
        <v>2</v>
      </c>
      <c r="P1272" s="9">
        <v>141.06</v>
      </c>
      <c r="Q1272" s="7" t="s">
        <v>13</v>
      </c>
      <c r="R1272" s="10">
        <f>operations[arrivedDate]-operations[shippedDate]</f>
        <v>10</v>
      </c>
    </row>
    <row r="1273" ht="15.75" customHeight="1">
      <c r="A1273" s="6">
        <v>10729.0</v>
      </c>
      <c r="B1273" s="24">
        <v>45234.0</v>
      </c>
      <c r="C1273" s="24">
        <v>45276.0</v>
      </c>
      <c r="D1273" s="24">
        <v>45244.0</v>
      </c>
      <c r="E1273" s="24">
        <v>45254.0</v>
      </c>
      <c r="F1273" s="6">
        <v>21.0</v>
      </c>
      <c r="G1273" s="9" t="str">
        <f>VLOOKUP(operations[productID],products[],2,FALSE)</f>
        <v>Sir Rodney's Scones</v>
      </c>
      <c r="H1273" s="9" t="str">
        <f>IF(VLOOKUP(operations[productID],products[],7,FALSE)=1,"Discontinued","Current")</f>
        <v>Current</v>
      </c>
      <c r="I1273" s="6">
        <f>VLOOKUP(operations[productID],products[],4,FALSE)</f>
        <v>3</v>
      </c>
      <c r="J1273" s="6">
        <f>VLOOKUP(operations[productID],products[],5,FALSE)</f>
        <v>40</v>
      </c>
      <c r="K1273" s="6">
        <f>VLOOKUP(operations[productID],products[],6,FALSE)</f>
        <v>5</v>
      </c>
      <c r="L1273" s="10">
        <f t="array" ref="L1273">INDEX('1 orders'!I1273:I2156, MATCH(1, ('1 orders'!A1273:A2156=A1273)*('1 orders'!G1273:G2156=F1273), 0))
</f>
        <v>30</v>
      </c>
      <c r="M1273" s="10">
        <f>IFERROR(__xludf.DUMMYFUNCTION("COUNTUNIQUEIFS($A$2:$A1273,$F$2:$F1273,F1273)"),26.0)</f>
        <v>26</v>
      </c>
      <c r="N1273" s="10">
        <f t="shared" si="1"/>
        <v>11</v>
      </c>
      <c r="O1273" s="26">
        <f>IF(operations[sinceLastOrder]=0,0,operations[orderQuantity] / operations[sinceLastOrder])</f>
        <v>2.727272727</v>
      </c>
      <c r="P1273" s="9">
        <v>141.06</v>
      </c>
      <c r="Q1273" s="7" t="s">
        <v>13</v>
      </c>
      <c r="R1273" s="10">
        <f>operations[arrivedDate]-operations[shippedDate]</f>
        <v>10</v>
      </c>
    </row>
    <row r="1274" ht="15.75" customHeight="1">
      <c r="A1274" s="6">
        <v>10729.0</v>
      </c>
      <c r="B1274" s="24">
        <v>45234.0</v>
      </c>
      <c r="C1274" s="24">
        <v>45276.0</v>
      </c>
      <c r="D1274" s="24">
        <v>45244.0</v>
      </c>
      <c r="E1274" s="24">
        <v>45254.0</v>
      </c>
      <c r="F1274" s="6">
        <v>50.0</v>
      </c>
      <c r="G1274" s="9" t="str">
        <f>VLOOKUP(operations[productID],products[],2,FALSE)</f>
        <v>Valkoinen suklaa</v>
      </c>
      <c r="H1274" s="9" t="str">
        <f>IF(VLOOKUP(operations[productID],products[],7,FALSE)=1,"Discontinued","Current")</f>
        <v>Current</v>
      </c>
      <c r="I1274" s="6">
        <f>VLOOKUP(operations[productID],products[],4,FALSE)</f>
        <v>65</v>
      </c>
      <c r="J1274" s="6">
        <f>VLOOKUP(operations[productID],products[],5,FALSE)</f>
        <v>0</v>
      </c>
      <c r="K1274" s="6">
        <f>VLOOKUP(operations[productID],products[],6,FALSE)</f>
        <v>30</v>
      </c>
      <c r="L1274" s="10">
        <f t="array" ref="L1274">INDEX('1 orders'!I1274:I2156, MATCH(1, ('1 orders'!A1274:A2156=A1274)*('1 orders'!G1274:G2156=F1274), 0))
</f>
        <v>40</v>
      </c>
      <c r="M1274" s="10">
        <f>IFERROR(__xludf.DUMMYFUNCTION("COUNTUNIQUEIFS($A$2:$A1274,$F$2:$F1274,F1274)"),6.0)</f>
        <v>6</v>
      </c>
      <c r="N1274" s="10">
        <f t="shared" si="1"/>
        <v>77</v>
      </c>
      <c r="O1274" s="26">
        <f>IF(operations[sinceLastOrder]=0,0,operations[orderQuantity] / operations[sinceLastOrder])</f>
        <v>0.5194805195</v>
      </c>
      <c r="P1274" s="9">
        <v>141.06</v>
      </c>
      <c r="Q1274" s="7" t="s">
        <v>13</v>
      </c>
      <c r="R1274" s="10">
        <f>operations[arrivedDate]-operations[shippedDate]</f>
        <v>10</v>
      </c>
    </row>
    <row r="1275" ht="15.75" customHeight="1">
      <c r="A1275" s="6">
        <v>10730.0</v>
      </c>
      <c r="B1275" s="24">
        <v>45235.0</v>
      </c>
      <c r="C1275" s="24">
        <v>45263.0</v>
      </c>
      <c r="D1275" s="24">
        <v>45244.0</v>
      </c>
      <c r="E1275" s="24">
        <v>45247.0</v>
      </c>
      <c r="F1275" s="6">
        <v>16.0</v>
      </c>
      <c r="G1275" s="9" t="str">
        <f>VLOOKUP(operations[productID],products[],2,FALSE)</f>
        <v>Pavlova</v>
      </c>
      <c r="H1275" s="9" t="str">
        <f>IF(VLOOKUP(operations[productID],products[],7,FALSE)=1,"Discontinued","Current")</f>
        <v>Current</v>
      </c>
      <c r="I1275" s="6">
        <f>VLOOKUP(operations[productID],products[],4,FALSE)</f>
        <v>29</v>
      </c>
      <c r="J1275" s="6">
        <f>VLOOKUP(operations[productID],products[],5,FALSE)</f>
        <v>0</v>
      </c>
      <c r="K1275" s="6">
        <f>VLOOKUP(operations[productID],products[],6,FALSE)</f>
        <v>10</v>
      </c>
      <c r="L1275" s="10">
        <f t="array" ref="L1275">INDEX('1 orders'!I1275:I2156, MATCH(1, ('1 orders'!A1275:A2156=A1275)*('1 orders'!G1275:G2156=F1275), 0))
</f>
        <v>15</v>
      </c>
      <c r="M1275" s="10">
        <f>IFERROR(__xludf.DUMMYFUNCTION("COUNTUNIQUEIFS($A$2:$A1275,$F$2:$F1275,F1275)"),26.0)</f>
        <v>26</v>
      </c>
      <c r="N1275" s="10">
        <f t="shared" si="1"/>
        <v>9</v>
      </c>
      <c r="O1275" s="26">
        <f>IF(operations[sinceLastOrder]=0,0,operations[orderQuantity] / operations[sinceLastOrder])</f>
        <v>1.666666667</v>
      </c>
      <c r="P1275" s="9">
        <v>20.12</v>
      </c>
      <c r="Q1275" s="7" t="s">
        <v>15</v>
      </c>
      <c r="R1275" s="10">
        <f>operations[arrivedDate]-operations[shippedDate]</f>
        <v>3</v>
      </c>
    </row>
    <row r="1276" ht="15.75" customHeight="1">
      <c r="A1276" s="6">
        <v>10730.0</v>
      </c>
      <c r="B1276" s="24">
        <v>45235.0</v>
      </c>
      <c r="C1276" s="24">
        <v>45263.0</v>
      </c>
      <c r="D1276" s="24">
        <v>45244.0</v>
      </c>
      <c r="E1276" s="24">
        <v>45247.0</v>
      </c>
      <c r="F1276" s="6">
        <v>31.0</v>
      </c>
      <c r="G1276" s="9" t="str">
        <f>VLOOKUP(operations[productID],products[],2,FALSE)</f>
        <v>Gorgonzola Telino</v>
      </c>
      <c r="H1276" s="9" t="str">
        <f>IF(VLOOKUP(operations[productID],products[],7,FALSE)=1,"Discontinued","Current")</f>
        <v>Current</v>
      </c>
      <c r="I1276" s="6">
        <f>VLOOKUP(operations[productID],products[],4,FALSE)</f>
        <v>0</v>
      </c>
      <c r="J1276" s="6">
        <f>VLOOKUP(operations[productID],products[],5,FALSE)</f>
        <v>70</v>
      </c>
      <c r="K1276" s="6">
        <f>VLOOKUP(operations[productID],products[],6,FALSE)</f>
        <v>20</v>
      </c>
      <c r="L1276" s="10">
        <f t="array" ref="L1276">INDEX('1 orders'!I1276:I2156, MATCH(1, ('1 orders'!A1276:A2156=A1276)*('1 orders'!G1276:G2156=F1276), 0))
</f>
        <v>3</v>
      </c>
      <c r="M1276" s="10">
        <f>IFERROR(__xludf.DUMMYFUNCTION("COUNTUNIQUEIFS($A$2:$A1276,$F$2:$F1276,F1276)"),32.0)</f>
        <v>32</v>
      </c>
      <c r="N1276" s="10">
        <f t="shared" si="1"/>
        <v>7</v>
      </c>
      <c r="O1276" s="26">
        <f>IF(operations[sinceLastOrder]=0,0,operations[orderQuantity] / operations[sinceLastOrder])</f>
        <v>0.4285714286</v>
      </c>
      <c r="P1276" s="9">
        <v>20.12</v>
      </c>
      <c r="Q1276" s="7" t="s">
        <v>15</v>
      </c>
      <c r="R1276" s="10">
        <f>operations[arrivedDate]-operations[shippedDate]</f>
        <v>3</v>
      </c>
    </row>
    <row r="1277" ht="15.75" customHeight="1">
      <c r="A1277" s="6">
        <v>10730.0</v>
      </c>
      <c r="B1277" s="24">
        <v>45235.0</v>
      </c>
      <c r="C1277" s="24">
        <v>45263.0</v>
      </c>
      <c r="D1277" s="24">
        <v>45244.0</v>
      </c>
      <c r="E1277" s="24">
        <v>45247.0</v>
      </c>
      <c r="F1277" s="6">
        <v>65.0</v>
      </c>
      <c r="G1277" s="9" t="str">
        <f>VLOOKUP(operations[productID],products[],2,FALSE)</f>
        <v>Louisiana Fiery Hot Pepper Sauce</v>
      </c>
      <c r="H1277" s="9" t="str">
        <f>IF(VLOOKUP(operations[productID],products[],7,FALSE)=1,"Discontinued","Current")</f>
        <v>Current</v>
      </c>
      <c r="I1277" s="6">
        <f>VLOOKUP(operations[productID],products[],4,FALSE)</f>
        <v>76</v>
      </c>
      <c r="J1277" s="6">
        <f>VLOOKUP(operations[productID],products[],5,FALSE)</f>
        <v>0</v>
      </c>
      <c r="K1277" s="6">
        <f>VLOOKUP(operations[productID],products[],6,FALSE)</f>
        <v>0</v>
      </c>
      <c r="L1277" s="10">
        <f t="array" ref="L1277">INDEX('1 orders'!I1277:I2156, MATCH(1, ('1 orders'!A1277:A2156=A1277)*('1 orders'!G1277:G2156=F1277), 0))
</f>
        <v>10</v>
      </c>
      <c r="M1277" s="10">
        <f>IFERROR(__xludf.DUMMYFUNCTION("COUNTUNIQUEIFS($A$2:$A1277,$F$2:$F1277,F1277)"),23.0)</f>
        <v>23</v>
      </c>
      <c r="N1277" s="10">
        <f t="shared" si="1"/>
        <v>27</v>
      </c>
      <c r="O1277" s="26">
        <f>IF(operations[sinceLastOrder]=0,0,operations[orderQuantity] / operations[sinceLastOrder])</f>
        <v>0.3703703704</v>
      </c>
      <c r="P1277" s="9">
        <v>20.12</v>
      </c>
      <c r="Q1277" s="7" t="s">
        <v>15</v>
      </c>
      <c r="R1277" s="10">
        <f>operations[arrivedDate]-operations[shippedDate]</f>
        <v>3</v>
      </c>
    </row>
    <row r="1278" ht="15.75" customHeight="1">
      <c r="A1278" s="6">
        <v>10731.0</v>
      </c>
      <c r="B1278" s="24">
        <v>45236.0</v>
      </c>
      <c r="C1278" s="24">
        <v>45264.0</v>
      </c>
      <c r="D1278" s="24">
        <v>45244.0</v>
      </c>
      <c r="E1278" s="24">
        <v>45252.0</v>
      </c>
      <c r="F1278" s="6">
        <v>21.0</v>
      </c>
      <c r="G1278" s="9" t="str">
        <f>VLOOKUP(operations[productID],products[],2,FALSE)</f>
        <v>Sir Rodney's Scones</v>
      </c>
      <c r="H1278" s="9" t="str">
        <f>IF(VLOOKUP(operations[productID],products[],7,FALSE)=1,"Discontinued","Current")</f>
        <v>Current</v>
      </c>
      <c r="I1278" s="6">
        <f>VLOOKUP(operations[productID],products[],4,FALSE)</f>
        <v>3</v>
      </c>
      <c r="J1278" s="6">
        <f>VLOOKUP(operations[productID],products[],5,FALSE)</f>
        <v>40</v>
      </c>
      <c r="K1278" s="6">
        <f>VLOOKUP(operations[productID],products[],6,FALSE)</f>
        <v>5</v>
      </c>
      <c r="L1278" s="10">
        <f t="array" ref="L1278">INDEX('1 orders'!I1278:I2156, MATCH(1, ('1 orders'!A1278:A2156=A1278)*('1 orders'!G1278:G2156=F1278), 0))
</f>
        <v>40</v>
      </c>
      <c r="M1278" s="10">
        <f>IFERROR(__xludf.DUMMYFUNCTION("COUNTUNIQUEIFS($A$2:$A1278,$F$2:$F1278,F1278)"),27.0)</f>
        <v>27</v>
      </c>
      <c r="N1278" s="10">
        <f t="shared" si="1"/>
        <v>2</v>
      </c>
      <c r="O1278" s="26">
        <f>IF(operations[sinceLastOrder]=0,0,operations[orderQuantity] / operations[sinceLastOrder])</f>
        <v>20</v>
      </c>
      <c r="P1278" s="9">
        <v>96.65</v>
      </c>
      <c r="Q1278" s="7" t="s">
        <v>15</v>
      </c>
      <c r="R1278" s="10">
        <f>operations[arrivedDate]-operations[shippedDate]</f>
        <v>8</v>
      </c>
    </row>
    <row r="1279" ht="15.75" customHeight="1">
      <c r="A1279" s="6">
        <v>10731.0</v>
      </c>
      <c r="B1279" s="24">
        <v>45236.0</v>
      </c>
      <c r="C1279" s="24">
        <v>45264.0</v>
      </c>
      <c r="D1279" s="24">
        <v>45244.0</v>
      </c>
      <c r="E1279" s="24">
        <v>45252.0</v>
      </c>
      <c r="F1279" s="6">
        <v>51.0</v>
      </c>
      <c r="G1279" s="9" t="str">
        <f>VLOOKUP(operations[productID],products[],2,FALSE)</f>
        <v>Manjimup Dried Apples</v>
      </c>
      <c r="H1279" s="9" t="str">
        <f>IF(VLOOKUP(operations[productID],products[],7,FALSE)=1,"Discontinued","Current")</f>
        <v>Current</v>
      </c>
      <c r="I1279" s="6">
        <f>VLOOKUP(operations[productID],products[],4,FALSE)</f>
        <v>20</v>
      </c>
      <c r="J1279" s="6">
        <f>VLOOKUP(operations[productID],products[],5,FALSE)</f>
        <v>0</v>
      </c>
      <c r="K1279" s="6">
        <f>VLOOKUP(operations[productID],products[],6,FALSE)</f>
        <v>10</v>
      </c>
      <c r="L1279" s="10">
        <f t="array" ref="L1279">INDEX('1 orders'!I1279:I2156, MATCH(1, ('1 orders'!A1279:A2156=A1279)*('1 orders'!G1279:G2156=F1279), 0))
</f>
        <v>30</v>
      </c>
      <c r="M1279" s="10">
        <f>IFERROR(__xludf.DUMMYFUNCTION("COUNTUNIQUEIFS($A$2:$A1279,$F$2:$F1279,F1279)"),21.0)</f>
        <v>21</v>
      </c>
      <c r="N1279" s="10">
        <f t="shared" si="1"/>
        <v>13</v>
      </c>
      <c r="O1279" s="26">
        <f>IF(operations[sinceLastOrder]=0,0,operations[orderQuantity] / operations[sinceLastOrder])</f>
        <v>2.307692308</v>
      </c>
      <c r="P1279" s="9">
        <v>96.65</v>
      </c>
      <c r="Q1279" s="7" t="s">
        <v>15</v>
      </c>
      <c r="R1279" s="10">
        <f>operations[arrivedDate]-operations[shippedDate]</f>
        <v>8</v>
      </c>
    </row>
    <row r="1280" ht="15.75" customHeight="1">
      <c r="A1280" s="6">
        <v>10732.0</v>
      </c>
      <c r="B1280" s="24">
        <v>45236.0</v>
      </c>
      <c r="C1280" s="24">
        <v>45264.0</v>
      </c>
      <c r="D1280" s="24">
        <v>45237.0</v>
      </c>
      <c r="E1280" s="24">
        <v>45241.0</v>
      </c>
      <c r="F1280" s="6">
        <v>76.0</v>
      </c>
      <c r="G1280" s="9" t="str">
        <f>VLOOKUP(operations[productID],products[],2,FALSE)</f>
        <v>Lakkalikööri</v>
      </c>
      <c r="H1280" s="9" t="str">
        <f>IF(VLOOKUP(operations[productID],products[],7,FALSE)=1,"Discontinued","Current")</f>
        <v>Current</v>
      </c>
      <c r="I1280" s="6">
        <f>VLOOKUP(operations[productID],products[],4,FALSE)</f>
        <v>57</v>
      </c>
      <c r="J1280" s="6">
        <f>VLOOKUP(operations[productID],products[],5,FALSE)</f>
        <v>0</v>
      </c>
      <c r="K1280" s="6">
        <f>VLOOKUP(operations[productID],products[],6,FALSE)</f>
        <v>20</v>
      </c>
      <c r="L1280" s="10">
        <f t="array" ref="L1280">INDEX('1 orders'!I1280:I2156, MATCH(1, ('1 orders'!A1280:A2156=A1280)*('1 orders'!G1280:G2156=F1280), 0))
</f>
        <v>20</v>
      </c>
      <c r="M1280" s="10">
        <f>IFERROR(__xludf.DUMMYFUNCTION("COUNTUNIQUEIFS($A$2:$A1280,$F$2:$F1280,F1280)"),24.0)</f>
        <v>24</v>
      </c>
      <c r="N1280" s="10">
        <f t="shared" si="1"/>
        <v>24</v>
      </c>
      <c r="O1280" s="26">
        <f>IF(operations[sinceLastOrder]=0,0,operations[orderQuantity] / operations[sinceLastOrder])</f>
        <v>0.8333333333</v>
      </c>
      <c r="P1280" s="9">
        <v>16.97</v>
      </c>
      <c r="Q1280" s="7" t="s">
        <v>15</v>
      </c>
      <c r="R1280" s="10">
        <f>operations[arrivedDate]-operations[shippedDate]</f>
        <v>4</v>
      </c>
    </row>
    <row r="1281" ht="15.75" customHeight="1">
      <c r="A1281" s="6">
        <v>10733.0</v>
      </c>
      <c r="B1281" s="24">
        <v>45237.0</v>
      </c>
      <c r="C1281" s="24">
        <v>45265.0</v>
      </c>
      <c r="D1281" s="24">
        <v>45240.0</v>
      </c>
      <c r="E1281" s="24">
        <v>45251.0</v>
      </c>
      <c r="F1281" s="6">
        <v>14.0</v>
      </c>
      <c r="G1281" s="9" t="str">
        <f>VLOOKUP(operations[productID],products[],2,FALSE)</f>
        <v>Tofu</v>
      </c>
      <c r="H1281" s="9" t="str">
        <f>IF(VLOOKUP(operations[productID],products[],7,FALSE)=1,"Discontinued","Current")</f>
        <v>Current</v>
      </c>
      <c r="I1281" s="6">
        <f>VLOOKUP(operations[productID],products[],4,FALSE)</f>
        <v>35</v>
      </c>
      <c r="J1281" s="6">
        <f>VLOOKUP(operations[productID],products[],5,FALSE)</f>
        <v>0</v>
      </c>
      <c r="K1281" s="6">
        <f>VLOOKUP(operations[productID],products[],6,FALSE)</f>
        <v>0</v>
      </c>
      <c r="L1281" s="10">
        <f t="array" ref="L1281">INDEX('1 orders'!I1281:I2156, MATCH(1, ('1 orders'!A1281:A2156=A1281)*('1 orders'!G1281:G2156=F1281), 0))
</f>
        <v>16</v>
      </c>
      <c r="M1281" s="10">
        <f>IFERROR(__xludf.DUMMYFUNCTION("COUNTUNIQUEIFS($A$2:$A1281,$F$2:$F1281,F1281)"),18.0)</f>
        <v>18</v>
      </c>
      <c r="N1281" s="10">
        <f t="shared" si="1"/>
        <v>49</v>
      </c>
      <c r="O1281" s="26">
        <f>IF(operations[sinceLastOrder]=0,0,operations[orderQuantity] / operations[sinceLastOrder])</f>
        <v>0.3265306122</v>
      </c>
      <c r="P1281" s="9">
        <v>110.11</v>
      </c>
      <c r="Q1281" s="7" t="s">
        <v>13</v>
      </c>
      <c r="R1281" s="10">
        <f>operations[arrivedDate]-operations[shippedDate]</f>
        <v>11</v>
      </c>
    </row>
    <row r="1282" ht="15.75" customHeight="1">
      <c r="A1282" s="6">
        <v>10733.0</v>
      </c>
      <c r="B1282" s="24">
        <v>45237.0</v>
      </c>
      <c r="C1282" s="24">
        <v>45265.0</v>
      </c>
      <c r="D1282" s="24">
        <v>45240.0</v>
      </c>
      <c r="E1282" s="24">
        <v>45251.0</v>
      </c>
      <c r="F1282" s="6">
        <v>28.0</v>
      </c>
      <c r="G1282" s="9" t="str">
        <f>VLOOKUP(operations[productID],products[],2,FALSE)</f>
        <v>Rössle Sauerkraut</v>
      </c>
      <c r="H1282" s="9" t="str">
        <f>IF(VLOOKUP(operations[productID],products[],7,FALSE)=1,"Discontinued","Current")</f>
        <v>Discontinued</v>
      </c>
      <c r="I1282" s="6">
        <f>VLOOKUP(operations[productID],products[],4,FALSE)</f>
        <v>26</v>
      </c>
      <c r="J1282" s="6">
        <f>VLOOKUP(operations[productID],products[],5,FALSE)</f>
        <v>0</v>
      </c>
      <c r="K1282" s="6">
        <f>VLOOKUP(operations[productID],products[],6,FALSE)</f>
        <v>0</v>
      </c>
      <c r="L1282" s="10">
        <f t="array" ref="L1282">INDEX('1 orders'!I1282:I2156, MATCH(1, ('1 orders'!A1282:A2156=A1282)*('1 orders'!G1282:G2156=F1282), 0))
</f>
        <v>20</v>
      </c>
      <c r="M1282" s="10">
        <f>IFERROR(__xludf.DUMMYFUNCTION("COUNTUNIQUEIFS($A$2:$A1282,$F$2:$F1282,F1282)"),23.0)</f>
        <v>23</v>
      </c>
      <c r="N1282" s="10">
        <f t="shared" si="1"/>
        <v>37</v>
      </c>
      <c r="O1282" s="26">
        <f>IF(operations[sinceLastOrder]=0,0,operations[orderQuantity] / operations[sinceLastOrder])</f>
        <v>0.5405405405</v>
      </c>
      <c r="P1282" s="9">
        <v>110.11</v>
      </c>
      <c r="Q1282" s="7" t="s">
        <v>13</v>
      </c>
      <c r="R1282" s="10">
        <f>operations[arrivedDate]-operations[shippedDate]</f>
        <v>11</v>
      </c>
    </row>
    <row r="1283" ht="15.75" customHeight="1">
      <c r="A1283" s="6">
        <v>10733.0</v>
      </c>
      <c r="B1283" s="24">
        <v>45237.0</v>
      </c>
      <c r="C1283" s="24">
        <v>45265.0</v>
      </c>
      <c r="D1283" s="24">
        <v>45240.0</v>
      </c>
      <c r="E1283" s="24">
        <v>45251.0</v>
      </c>
      <c r="F1283" s="6">
        <v>52.0</v>
      </c>
      <c r="G1283" s="9" t="str">
        <f>VLOOKUP(operations[productID],products[],2,FALSE)</f>
        <v>Filo Mix</v>
      </c>
      <c r="H1283" s="9" t="str">
        <f>IF(VLOOKUP(operations[productID],products[],7,FALSE)=1,"Discontinued","Current")</f>
        <v>Current</v>
      </c>
      <c r="I1283" s="6">
        <f>VLOOKUP(operations[productID],products[],4,FALSE)</f>
        <v>38</v>
      </c>
      <c r="J1283" s="6">
        <f>VLOOKUP(operations[productID],products[],5,FALSE)</f>
        <v>0</v>
      </c>
      <c r="K1283" s="6">
        <f>VLOOKUP(operations[productID],products[],6,FALSE)</f>
        <v>25</v>
      </c>
      <c r="L1283" s="10">
        <f t="array" ref="L1283">INDEX('1 orders'!I1283:I2156, MATCH(1, ('1 orders'!A1283:A2156=A1283)*('1 orders'!G1283:G2156=F1283), 0))
</f>
        <v>25</v>
      </c>
      <c r="M1283" s="10">
        <f>IFERROR(__xludf.DUMMYFUNCTION("COUNTUNIQUEIFS($A$2:$A1283,$F$2:$F1283,F1283)"),14.0)</f>
        <v>14</v>
      </c>
      <c r="N1283" s="10">
        <f t="shared" si="1"/>
        <v>7</v>
      </c>
      <c r="O1283" s="26">
        <f>IF(operations[sinceLastOrder]=0,0,operations[orderQuantity] / operations[sinceLastOrder])</f>
        <v>3.571428571</v>
      </c>
      <c r="P1283" s="9">
        <v>110.11</v>
      </c>
      <c r="Q1283" s="7" t="s">
        <v>13</v>
      </c>
      <c r="R1283" s="10">
        <f>operations[arrivedDate]-operations[shippedDate]</f>
        <v>11</v>
      </c>
    </row>
    <row r="1284" ht="15.75" customHeight="1">
      <c r="A1284" s="6">
        <v>10734.0</v>
      </c>
      <c r="B1284" s="24">
        <v>45237.0</v>
      </c>
      <c r="C1284" s="24">
        <v>45265.0</v>
      </c>
      <c r="D1284" s="24">
        <v>45242.0</v>
      </c>
      <c r="E1284" s="24">
        <v>45260.0</v>
      </c>
      <c r="F1284" s="6">
        <v>6.0</v>
      </c>
      <c r="G1284" s="9" t="str">
        <f>VLOOKUP(operations[productID],products[],2,FALSE)</f>
        <v>Grandma's Boysenberry Spread</v>
      </c>
      <c r="H1284" s="9" t="str">
        <f>IF(VLOOKUP(operations[productID],products[],7,FALSE)=1,"Discontinued","Current")</f>
        <v>Current</v>
      </c>
      <c r="I1284" s="6">
        <f>VLOOKUP(operations[productID],products[],4,FALSE)</f>
        <v>120</v>
      </c>
      <c r="J1284" s="6">
        <f>VLOOKUP(operations[productID],products[],5,FALSE)</f>
        <v>0</v>
      </c>
      <c r="K1284" s="6">
        <f>VLOOKUP(operations[productID],products[],6,FALSE)</f>
        <v>25</v>
      </c>
      <c r="L1284" s="10">
        <f t="array" ref="L1284">INDEX('1 orders'!I1284:I2156, MATCH(1, ('1 orders'!A1284:A2156=A1284)*('1 orders'!G1284:G2156=F1284), 0))
</f>
        <v>30</v>
      </c>
      <c r="M1284" s="10">
        <f>IFERROR(__xludf.DUMMYFUNCTION("COUNTUNIQUEIFS($A$2:$A1284,$F$2:$F1284,F1284)"),4.0)</f>
        <v>4</v>
      </c>
      <c r="N1284" s="10">
        <f t="shared" si="1"/>
        <v>98</v>
      </c>
      <c r="O1284" s="26">
        <f>IF(operations[sinceLastOrder]=0,0,operations[orderQuantity] / operations[sinceLastOrder])</f>
        <v>0.306122449</v>
      </c>
      <c r="P1284" s="9">
        <v>1.63</v>
      </c>
      <c r="Q1284" s="7" t="s">
        <v>13</v>
      </c>
      <c r="R1284" s="10">
        <f>operations[arrivedDate]-operations[shippedDate]</f>
        <v>18</v>
      </c>
    </row>
    <row r="1285" ht="15.75" customHeight="1">
      <c r="A1285" s="6">
        <v>10734.0</v>
      </c>
      <c r="B1285" s="24">
        <v>45237.0</v>
      </c>
      <c r="C1285" s="24">
        <v>45265.0</v>
      </c>
      <c r="D1285" s="24">
        <v>45242.0</v>
      </c>
      <c r="E1285" s="24">
        <v>45260.0</v>
      </c>
      <c r="F1285" s="6">
        <v>30.0</v>
      </c>
      <c r="G1285" s="9" t="str">
        <f>VLOOKUP(operations[productID],products[],2,FALSE)</f>
        <v>Nord-Ost Matjeshering</v>
      </c>
      <c r="H1285" s="9" t="str">
        <f>IF(VLOOKUP(operations[productID],products[],7,FALSE)=1,"Discontinued","Current")</f>
        <v>Current</v>
      </c>
      <c r="I1285" s="6">
        <f>VLOOKUP(operations[productID],products[],4,FALSE)</f>
        <v>10</v>
      </c>
      <c r="J1285" s="6">
        <f>VLOOKUP(operations[productID],products[],5,FALSE)</f>
        <v>0</v>
      </c>
      <c r="K1285" s="6">
        <f>VLOOKUP(operations[productID],products[],6,FALSE)</f>
        <v>15</v>
      </c>
      <c r="L1285" s="10">
        <f t="array" ref="L1285">INDEX('1 orders'!I1285:I2156, MATCH(1, ('1 orders'!A1285:A2156=A1285)*('1 orders'!G1285:G2156=F1285), 0))
</f>
        <v>15</v>
      </c>
      <c r="M1285" s="10">
        <f>IFERROR(__xludf.DUMMYFUNCTION("COUNTUNIQUEIFS($A$2:$A1285,$F$2:$F1285,F1285)"),20.0)</f>
        <v>20</v>
      </c>
      <c r="N1285" s="10">
        <f t="shared" si="1"/>
        <v>3</v>
      </c>
      <c r="O1285" s="26">
        <f>IF(operations[sinceLastOrder]=0,0,operations[orderQuantity] / operations[sinceLastOrder])</f>
        <v>5</v>
      </c>
      <c r="P1285" s="9">
        <v>1.63</v>
      </c>
      <c r="Q1285" s="7" t="s">
        <v>13</v>
      </c>
      <c r="R1285" s="10">
        <f>operations[arrivedDate]-operations[shippedDate]</f>
        <v>18</v>
      </c>
    </row>
    <row r="1286" ht="15.75" customHeight="1">
      <c r="A1286" s="6">
        <v>10734.0</v>
      </c>
      <c r="B1286" s="24">
        <v>45237.0</v>
      </c>
      <c r="C1286" s="24">
        <v>45265.0</v>
      </c>
      <c r="D1286" s="24">
        <v>45242.0</v>
      </c>
      <c r="E1286" s="24">
        <v>45260.0</v>
      </c>
      <c r="F1286" s="6">
        <v>76.0</v>
      </c>
      <c r="G1286" s="9" t="str">
        <f>VLOOKUP(operations[productID],products[],2,FALSE)</f>
        <v>Lakkalikööri</v>
      </c>
      <c r="H1286" s="9" t="str">
        <f>IF(VLOOKUP(operations[productID],products[],7,FALSE)=1,"Discontinued","Current")</f>
        <v>Current</v>
      </c>
      <c r="I1286" s="6">
        <f>VLOOKUP(operations[productID],products[],4,FALSE)</f>
        <v>57</v>
      </c>
      <c r="J1286" s="6">
        <f>VLOOKUP(operations[productID],products[],5,FALSE)</f>
        <v>0</v>
      </c>
      <c r="K1286" s="6">
        <f>VLOOKUP(operations[productID],products[],6,FALSE)</f>
        <v>20</v>
      </c>
      <c r="L1286" s="10">
        <f t="array" ref="L1286">INDEX('1 orders'!I1286:I2156, MATCH(1, ('1 orders'!A1286:A2156=A1286)*('1 orders'!G1286:G2156=F1286), 0))
</f>
        <v>20</v>
      </c>
      <c r="M1286" s="10">
        <f>IFERROR(__xludf.DUMMYFUNCTION("COUNTUNIQUEIFS($A$2:$A1286,$F$2:$F1286,F1286)"),25.0)</f>
        <v>25</v>
      </c>
      <c r="N1286" s="10">
        <f t="shared" si="1"/>
        <v>1</v>
      </c>
      <c r="O1286" s="26">
        <f>IF(operations[sinceLastOrder]=0,0,operations[orderQuantity] / operations[sinceLastOrder])</f>
        <v>20</v>
      </c>
      <c r="P1286" s="9">
        <v>1.63</v>
      </c>
      <c r="Q1286" s="7" t="s">
        <v>13</v>
      </c>
      <c r="R1286" s="10">
        <f>operations[arrivedDate]-operations[shippedDate]</f>
        <v>18</v>
      </c>
    </row>
    <row r="1287" ht="15.75" customHeight="1">
      <c r="A1287" s="6">
        <v>10735.0</v>
      </c>
      <c r="B1287" s="24">
        <v>45240.0</v>
      </c>
      <c r="C1287" s="24">
        <v>45268.0</v>
      </c>
      <c r="D1287" s="24">
        <v>45251.0</v>
      </c>
      <c r="E1287" s="24">
        <v>45269.0</v>
      </c>
      <c r="F1287" s="6">
        <v>61.0</v>
      </c>
      <c r="G1287" s="9" t="str">
        <f>VLOOKUP(operations[productID],products[],2,FALSE)</f>
        <v>Sirop d'érable</v>
      </c>
      <c r="H1287" s="9" t="str">
        <f>IF(VLOOKUP(operations[productID],products[],7,FALSE)=1,"Discontinued","Current")</f>
        <v>Current</v>
      </c>
      <c r="I1287" s="6">
        <f>VLOOKUP(operations[productID],products[],4,FALSE)</f>
        <v>113</v>
      </c>
      <c r="J1287" s="6">
        <f>VLOOKUP(operations[productID],products[],5,FALSE)</f>
        <v>0</v>
      </c>
      <c r="K1287" s="6">
        <f>VLOOKUP(operations[productID],products[],6,FALSE)</f>
        <v>25</v>
      </c>
      <c r="L1287" s="10">
        <f t="array" ref="L1287">INDEX('1 orders'!I1287:I2156, MATCH(1, ('1 orders'!A1287:A2156=A1287)*('1 orders'!G1287:G2156=F1287), 0))
</f>
        <v>20</v>
      </c>
      <c r="M1287" s="10">
        <f>IFERROR(__xludf.DUMMYFUNCTION("COUNTUNIQUEIFS($A$2:$A1287,$F$2:$F1287,F1287)"),12.0)</f>
        <v>12</v>
      </c>
      <c r="N1287" s="10">
        <f t="shared" si="1"/>
        <v>11</v>
      </c>
      <c r="O1287" s="26">
        <f>IF(operations[sinceLastOrder]=0,0,operations[orderQuantity] / operations[sinceLastOrder])</f>
        <v>1.818181818</v>
      </c>
      <c r="P1287" s="9">
        <v>45.97</v>
      </c>
      <c r="Q1287" s="7" t="s">
        <v>17</v>
      </c>
      <c r="R1287" s="10">
        <f>operations[arrivedDate]-operations[shippedDate]</f>
        <v>18</v>
      </c>
    </row>
    <row r="1288" ht="15.75" customHeight="1">
      <c r="A1288" s="6">
        <v>10735.0</v>
      </c>
      <c r="B1288" s="24">
        <v>45240.0</v>
      </c>
      <c r="C1288" s="24">
        <v>45268.0</v>
      </c>
      <c r="D1288" s="24">
        <v>45251.0</v>
      </c>
      <c r="E1288" s="24">
        <v>45269.0</v>
      </c>
      <c r="F1288" s="6">
        <v>77.0</v>
      </c>
      <c r="G1288" s="9" t="str">
        <f>VLOOKUP(operations[productID],products[],2,FALSE)</f>
        <v>Original Frankfurter grüne Soße</v>
      </c>
      <c r="H1288" s="9" t="str">
        <f>IF(VLOOKUP(operations[productID],products[],7,FALSE)=1,"Discontinued","Current")</f>
        <v>Current</v>
      </c>
      <c r="I1288" s="6">
        <f>VLOOKUP(operations[productID],products[],4,FALSE)</f>
        <v>32</v>
      </c>
      <c r="J1288" s="6">
        <f>VLOOKUP(operations[productID],products[],5,FALSE)</f>
        <v>0</v>
      </c>
      <c r="K1288" s="6">
        <f>VLOOKUP(operations[productID],products[],6,FALSE)</f>
        <v>15</v>
      </c>
      <c r="L1288" s="10">
        <f t="array" ref="L1288">INDEX('1 orders'!I1288:I2156, MATCH(1, ('1 orders'!A1288:A2156=A1288)*('1 orders'!G1288:G2156=F1288), 0))
</f>
        <v>2</v>
      </c>
      <c r="M1288" s="10">
        <f>IFERROR(__xludf.DUMMYFUNCTION("COUNTUNIQUEIFS($A$2:$A1288,$F$2:$F1288,F1288)"),22.0)</f>
        <v>22</v>
      </c>
      <c r="N1288" s="10">
        <f t="shared" si="1"/>
        <v>39</v>
      </c>
      <c r="O1288" s="26">
        <f>IF(operations[sinceLastOrder]=0,0,operations[orderQuantity] / operations[sinceLastOrder])</f>
        <v>0.05128205128</v>
      </c>
      <c r="P1288" s="9">
        <v>45.97</v>
      </c>
      <c r="Q1288" s="7" t="s">
        <v>17</v>
      </c>
      <c r="R1288" s="10">
        <f>operations[arrivedDate]-operations[shippedDate]</f>
        <v>18</v>
      </c>
    </row>
    <row r="1289" ht="15.75" customHeight="1">
      <c r="A1289" s="6">
        <v>10736.0</v>
      </c>
      <c r="B1289" s="24">
        <v>45241.0</v>
      </c>
      <c r="C1289" s="24">
        <v>45269.0</v>
      </c>
      <c r="D1289" s="24">
        <v>45251.0</v>
      </c>
      <c r="E1289" s="24">
        <v>45264.0</v>
      </c>
      <c r="F1289" s="6">
        <v>65.0</v>
      </c>
      <c r="G1289" s="9" t="str">
        <f>VLOOKUP(operations[productID],products[],2,FALSE)</f>
        <v>Louisiana Fiery Hot Pepper Sauce</v>
      </c>
      <c r="H1289" s="9" t="str">
        <f>IF(VLOOKUP(operations[productID],products[],7,FALSE)=1,"Discontinued","Current")</f>
        <v>Current</v>
      </c>
      <c r="I1289" s="6">
        <f>VLOOKUP(operations[productID],products[],4,FALSE)</f>
        <v>76</v>
      </c>
      <c r="J1289" s="6">
        <f>VLOOKUP(operations[productID],products[],5,FALSE)</f>
        <v>0</v>
      </c>
      <c r="K1289" s="6">
        <f>VLOOKUP(operations[productID],products[],6,FALSE)</f>
        <v>0</v>
      </c>
      <c r="L1289" s="10">
        <f t="array" ref="L1289">INDEX('1 orders'!I1289:I2156, MATCH(1, ('1 orders'!A1289:A2156=A1289)*('1 orders'!G1289:G2156=F1289), 0))
</f>
        <v>40</v>
      </c>
      <c r="M1289" s="10">
        <f>IFERROR(__xludf.DUMMYFUNCTION("COUNTUNIQUEIFS($A$2:$A1289,$F$2:$F1289,F1289)"),24.0)</f>
        <v>24</v>
      </c>
      <c r="N1289" s="10">
        <f t="shared" si="1"/>
        <v>6</v>
      </c>
      <c r="O1289" s="26">
        <f>IF(operations[sinceLastOrder]=0,0,operations[orderQuantity] / operations[sinceLastOrder])</f>
        <v>6.666666667</v>
      </c>
      <c r="P1289" s="9">
        <v>44.1</v>
      </c>
      <c r="Q1289" s="7" t="s">
        <v>17</v>
      </c>
      <c r="R1289" s="10">
        <f>operations[arrivedDate]-operations[shippedDate]</f>
        <v>13</v>
      </c>
    </row>
    <row r="1290" ht="15.75" customHeight="1">
      <c r="A1290" s="6">
        <v>10736.0</v>
      </c>
      <c r="B1290" s="24">
        <v>45241.0</v>
      </c>
      <c r="C1290" s="24">
        <v>45269.0</v>
      </c>
      <c r="D1290" s="24">
        <v>45251.0</v>
      </c>
      <c r="E1290" s="24">
        <v>45264.0</v>
      </c>
      <c r="F1290" s="6">
        <v>75.0</v>
      </c>
      <c r="G1290" s="9" t="str">
        <f>VLOOKUP(operations[productID],products[],2,FALSE)</f>
        <v>Rhönbräu Klosterbier</v>
      </c>
      <c r="H1290" s="9" t="str">
        <f>IF(VLOOKUP(operations[productID],products[],7,FALSE)=1,"Discontinued","Current")</f>
        <v>Current</v>
      </c>
      <c r="I1290" s="6">
        <f>VLOOKUP(operations[productID],products[],4,FALSE)</f>
        <v>125</v>
      </c>
      <c r="J1290" s="6">
        <f>VLOOKUP(operations[productID],products[],5,FALSE)</f>
        <v>0</v>
      </c>
      <c r="K1290" s="6">
        <f>VLOOKUP(operations[productID],products[],6,FALSE)</f>
        <v>25</v>
      </c>
      <c r="L1290" s="10">
        <f t="array" ref="L1290">INDEX('1 orders'!I1290:I2156, MATCH(1, ('1 orders'!A1290:A2156=A1290)*('1 orders'!G1290:G2156=F1290), 0))
</f>
        <v>20</v>
      </c>
      <c r="M1290" s="10">
        <f>IFERROR(__xludf.DUMMYFUNCTION("COUNTUNIQUEIFS($A$2:$A1290,$F$2:$F1290,F1290)"),27.0)</f>
        <v>27</v>
      </c>
      <c r="N1290" s="10">
        <f t="shared" si="1"/>
        <v>13</v>
      </c>
      <c r="O1290" s="26">
        <f>IF(operations[sinceLastOrder]=0,0,operations[orderQuantity] / operations[sinceLastOrder])</f>
        <v>1.538461538</v>
      </c>
      <c r="P1290" s="9">
        <v>44.1</v>
      </c>
      <c r="Q1290" s="7" t="s">
        <v>17</v>
      </c>
      <c r="R1290" s="10">
        <f>operations[arrivedDate]-operations[shippedDate]</f>
        <v>13</v>
      </c>
    </row>
    <row r="1291" ht="15.75" customHeight="1">
      <c r="A1291" s="6">
        <v>10737.0</v>
      </c>
      <c r="B1291" s="24">
        <v>45241.0</v>
      </c>
      <c r="C1291" s="24">
        <v>45269.0</v>
      </c>
      <c r="D1291" s="24">
        <v>45248.0</v>
      </c>
      <c r="E1291" s="24">
        <v>45257.0</v>
      </c>
      <c r="F1291" s="6">
        <v>13.0</v>
      </c>
      <c r="G1291" s="9" t="str">
        <f>VLOOKUP(operations[productID],products[],2,FALSE)</f>
        <v>Konbu</v>
      </c>
      <c r="H1291" s="9" t="str">
        <f>IF(VLOOKUP(operations[productID],products[],7,FALSE)=1,"Discontinued","Current")</f>
        <v>Current</v>
      </c>
      <c r="I1291" s="6">
        <f>VLOOKUP(operations[productID],products[],4,FALSE)</f>
        <v>24</v>
      </c>
      <c r="J1291" s="6">
        <f>VLOOKUP(operations[productID],products[],5,FALSE)</f>
        <v>0</v>
      </c>
      <c r="K1291" s="6">
        <f>VLOOKUP(operations[productID],products[],6,FALSE)</f>
        <v>5</v>
      </c>
      <c r="L1291" s="10">
        <f t="array" ref="L1291">INDEX('1 orders'!I1291:I2156, MATCH(1, ('1 orders'!A1291:A2156=A1291)*('1 orders'!G1291:G2156=F1291), 0))
</f>
        <v>4</v>
      </c>
      <c r="M1291" s="10">
        <f>IFERROR(__xludf.DUMMYFUNCTION("COUNTUNIQUEIFS($A$2:$A1291,$F$2:$F1291,F1291)"),15.0)</f>
        <v>15</v>
      </c>
      <c r="N1291" s="10">
        <f t="shared" si="1"/>
        <v>88</v>
      </c>
      <c r="O1291" s="26">
        <f>IF(operations[sinceLastOrder]=0,0,operations[orderQuantity] / operations[sinceLastOrder])</f>
        <v>0.04545454545</v>
      </c>
      <c r="P1291" s="9">
        <v>7.79</v>
      </c>
      <c r="Q1291" s="7" t="s">
        <v>17</v>
      </c>
      <c r="R1291" s="10">
        <f>operations[arrivedDate]-operations[shippedDate]</f>
        <v>9</v>
      </c>
    </row>
    <row r="1292" ht="15.75" customHeight="1">
      <c r="A1292" s="6">
        <v>10737.0</v>
      </c>
      <c r="B1292" s="24">
        <v>45241.0</v>
      </c>
      <c r="C1292" s="24">
        <v>45269.0</v>
      </c>
      <c r="D1292" s="24">
        <v>45248.0</v>
      </c>
      <c r="E1292" s="24">
        <v>45257.0</v>
      </c>
      <c r="F1292" s="6">
        <v>41.0</v>
      </c>
      <c r="G1292" s="9" t="str">
        <f>VLOOKUP(operations[productID],products[],2,FALSE)</f>
        <v>Jack's New England Clam Chowder</v>
      </c>
      <c r="H1292" s="9" t="str">
        <f>IF(VLOOKUP(operations[productID],products[],7,FALSE)=1,"Discontinued","Current")</f>
        <v>Current</v>
      </c>
      <c r="I1292" s="6">
        <f>VLOOKUP(operations[productID],products[],4,FALSE)</f>
        <v>85</v>
      </c>
      <c r="J1292" s="6">
        <f>VLOOKUP(operations[productID],products[],5,FALSE)</f>
        <v>0</v>
      </c>
      <c r="K1292" s="6">
        <f>VLOOKUP(operations[productID],products[],6,FALSE)</f>
        <v>10</v>
      </c>
      <c r="L1292" s="10">
        <f t="array" ref="L1292">INDEX('1 orders'!I1292:I2156, MATCH(1, ('1 orders'!A1292:A2156=A1292)*('1 orders'!G1292:G2156=F1292), 0))
</f>
        <v>12</v>
      </c>
      <c r="M1292" s="10">
        <f>IFERROR(__xludf.DUMMYFUNCTION("COUNTUNIQUEIFS($A$2:$A1292,$F$2:$F1292,F1292)"),24.0)</f>
        <v>24</v>
      </c>
      <c r="N1292" s="10">
        <f t="shared" si="1"/>
        <v>11</v>
      </c>
      <c r="O1292" s="26">
        <f>IF(operations[sinceLastOrder]=0,0,operations[orderQuantity] / operations[sinceLastOrder])</f>
        <v>1.090909091</v>
      </c>
      <c r="P1292" s="9">
        <v>7.79</v>
      </c>
      <c r="Q1292" s="7" t="s">
        <v>17</v>
      </c>
      <c r="R1292" s="10">
        <f>operations[arrivedDate]-operations[shippedDate]</f>
        <v>9</v>
      </c>
    </row>
    <row r="1293" ht="15.75" customHeight="1">
      <c r="A1293" s="6">
        <v>10738.0</v>
      </c>
      <c r="B1293" s="24">
        <v>45242.0</v>
      </c>
      <c r="C1293" s="24">
        <v>45270.0</v>
      </c>
      <c r="D1293" s="24">
        <v>45248.0</v>
      </c>
      <c r="E1293" s="24">
        <v>45254.0</v>
      </c>
      <c r="F1293" s="6">
        <v>16.0</v>
      </c>
      <c r="G1293" s="9" t="str">
        <f>VLOOKUP(operations[productID],products[],2,FALSE)</f>
        <v>Pavlova</v>
      </c>
      <c r="H1293" s="9" t="str">
        <f>IF(VLOOKUP(operations[productID],products[],7,FALSE)=1,"Discontinued","Current")</f>
        <v>Current</v>
      </c>
      <c r="I1293" s="6">
        <f>VLOOKUP(operations[productID],products[],4,FALSE)</f>
        <v>29</v>
      </c>
      <c r="J1293" s="6">
        <f>VLOOKUP(operations[productID],products[],5,FALSE)</f>
        <v>0</v>
      </c>
      <c r="K1293" s="6">
        <f>VLOOKUP(operations[productID],products[],6,FALSE)</f>
        <v>10</v>
      </c>
      <c r="L1293" s="10">
        <f t="array" ref="L1293">INDEX('1 orders'!I1293:I2156, MATCH(1, ('1 orders'!A1293:A2156=A1293)*('1 orders'!G1293:G2156=F1293), 0))
</f>
        <v>3</v>
      </c>
      <c r="M1293" s="10">
        <f>IFERROR(__xludf.DUMMYFUNCTION("COUNTUNIQUEIFS($A$2:$A1293,$F$2:$F1293,F1293)"),27.0)</f>
        <v>27</v>
      </c>
      <c r="N1293" s="10">
        <f t="shared" si="1"/>
        <v>7</v>
      </c>
      <c r="O1293" s="26">
        <f>IF(operations[sinceLastOrder]=0,0,operations[orderQuantity] / operations[sinceLastOrder])</f>
        <v>0.4285714286</v>
      </c>
      <c r="P1293" s="9">
        <v>2.91</v>
      </c>
      <c r="Q1293" s="7" t="s">
        <v>15</v>
      </c>
      <c r="R1293" s="10">
        <f>operations[arrivedDate]-operations[shippedDate]</f>
        <v>6</v>
      </c>
    </row>
    <row r="1294" ht="15.75" customHeight="1">
      <c r="A1294" s="6">
        <v>10739.0</v>
      </c>
      <c r="B1294" s="24">
        <v>45242.0</v>
      </c>
      <c r="C1294" s="24">
        <v>45270.0</v>
      </c>
      <c r="D1294" s="24">
        <v>45247.0</v>
      </c>
      <c r="E1294" s="24">
        <v>45254.0</v>
      </c>
      <c r="F1294" s="6">
        <v>36.0</v>
      </c>
      <c r="G1294" s="9" t="str">
        <f>VLOOKUP(operations[productID],products[],2,FALSE)</f>
        <v>Inlagd Sill</v>
      </c>
      <c r="H1294" s="9" t="str">
        <f>IF(VLOOKUP(operations[productID],products[],7,FALSE)=1,"Discontinued","Current")</f>
        <v>Current</v>
      </c>
      <c r="I1294" s="6">
        <f>VLOOKUP(operations[productID],products[],4,FALSE)</f>
        <v>112</v>
      </c>
      <c r="J1294" s="6">
        <f>VLOOKUP(operations[productID],products[],5,FALSE)</f>
        <v>0</v>
      </c>
      <c r="K1294" s="6">
        <f>VLOOKUP(operations[productID],products[],6,FALSE)</f>
        <v>20</v>
      </c>
      <c r="L1294" s="10">
        <f t="array" ref="L1294">INDEX('1 orders'!I1294:I2156, MATCH(1, ('1 orders'!A1294:A2156=A1294)*('1 orders'!G1294:G2156=F1294), 0))
</f>
        <v>6</v>
      </c>
      <c r="M1294" s="10">
        <f>IFERROR(__xludf.DUMMYFUNCTION("COUNTUNIQUEIFS($A$2:$A1294,$F$2:$F1294,F1294)"),21.0)</f>
        <v>21</v>
      </c>
      <c r="N1294" s="10">
        <f t="shared" si="1"/>
        <v>16</v>
      </c>
      <c r="O1294" s="26">
        <f>IF(operations[sinceLastOrder]=0,0,operations[orderQuantity] / operations[sinceLastOrder])</f>
        <v>0.375</v>
      </c>
      <c r="P1294" s="9">
        <v>11.08</v>
      </c>
      <c r="Q1294" s="7" t="s">
        <v>13</v>
      </c>
      <c r="R1294" s="10">
        <f>operations[arrivedDate]-operations[shippedDate]</f>
        <v>7</v>
      </c>
    </row>
    <row r="1295" ht="15.75" customHeight="1">
      <c r="A1295" s="6">
        <v>10739.0</v>
      </c>
      <c r="B1295" s="24">
        <v>45242.0</v>
      </c>
      <c r="C1295" s="24">
        <v>45270.0</v>
      </c>
      <c r="D1295" s="24">
        <v>45247.0</v>
      </c>
      <c r="E1295" s="24">
        <v>45254.0</v>
      </c>
      <c r="F1295" s="6">
        <v>52.0</v>
      </c>
      <c r="G1295" s="9" t="str">
        <f>VLOOKUP(operations[productID],products[],2,FALSE)</f>
        <v>Filo Mix</v>
      </c>
      <c r="H1295" s="9" t="str">
        <f>IF(VLOOKUP(operations[productID],products[],7,FALSE)=1,"Discontinued","Current")</f>
        <v>Current</v>
      </c>
      <c r="I1295" s="6">
        <f>VLOOKUP(operations[productID],products[],4,FALSE)</f>
        <v>38</v>
      </c>
      <c r="J1295" s="6">
        <f>VLOOKUP(operations[productID],products[],5,FALSE)</f>
        <v>0</v>
      </c>
      <c r="K1295" s="6">
        <f>VLOOKUP(operations[productID],products[],6,FALSE)</f>
        <v>25</v>
      </c>
      <c r="L1295" s="10">
        <f t="array" ref="L1295">INDEX('1 orders'!I1295:I2156, MATCH(1, ('1 orders'!A1295:A2156=A1295)*('1 orders'!G1295:G2156=F1295), 0))
</f>
        <v>18</v>
      </c>
      <c r="M1295" s="10">
        <f>IFERROR(__xludf.DUMMYFUNCTION("COUNTUNIQUEIFS($A$2:$A1295,$F$2:$F1295,F1295)"),15.0)</f>
        <v>15</v>
      </c>
      <c r="N1295" s="10">
        <f t="shared" si="1"/>
        <v>5</v>
      </c>
      <c r="O1295" s="26">
        <f>IF(operations[sinceLastOrder]=0,0,operations[orderQuantity] / operations[sinceLastOrder])</f>
        <v>3.6</v>
      </c>
      <c r="P1295" s="9">
        <v>11.08</v>
      </c>
      <c r="Q1295" s="7" t="s">
        <v>13</v>
      </c>
      <c r="R1295" s="10">
        <f>operations[arrivedDate]-operations[shippedDate]</f>
        <v>7</v>
      </c>
    </row>
    <row r="1296" ht="15.75" customHeight="1">
      <c r="A1296" s="6">
        <v>10740.0</v>
      </c>
      <c r="B1296" s="24">
        <v>45243.0</v>
      </c>
      <c r="C1296" s="24">
        <v>45271.0</v>
      </c>
      <c r="D1296" s="24">
        <v>45255.0</v>
      </c>
      <c r="E1296" s="24">
        <v>45273.0</v>
      </c>
      <c r="F1296" s="6">
        <v>28.0</v>
      </c>
      <c r="G1296" s="9" t="str">
        <f>VLOOKUP(operations[productID],products[],2,FALSE)</f>
        <v>Rössle Sauerkraut</v>
      </c>
      <c r="H1296" s="9" t="str">
        <f>IF(VLOOKUP(operations[productID],products[],7,FALSE)=1,"Discontinued","Current")</f>
        <v>Discontinued</v>
      </c>
      <c r="I1296" s="6">
        <f>VLOOKUP(operations[productID],products[],4,FALSE)</f>
        <v>26</v>
      </c>
      <c r="J1296" s="6">
        <f>VLOOKUP(operations[productID],products[],5,FALSE)</f>
        <v>0</v>
      </c>
      <c r="K1296" s="6">
        <f>VLOOKUP(operations[productID],products[],6,FALSE)</f>
        <v>0</v>
      </c>
      <c r="L1296" s="10">
        <f t="array" ref="L1296">INDEX('1 orders'!I1296:I2156, MATCH(1, ('1 orders'!A1296:A2156=A1296)*('1 orders'!G1296:G2156=F1296), 0))
</f>
        <v>5</v>
      </c>
      <c r="M1296" s="10">
        <f>IFERROR(__xludf.DUMMYFUNCTION("COUNTUNIQUEIFS($A$2:$A1296,$F$2:$F1296,F1296)"),24.0)</f>
        <v>24</v>
      </c>
      <c r="N1296" s="10">
        <f t="shared" si="1"/>
        <v>6</v>
      </c>
      <c r="O1296" s="26">
        <f>IF(operations[sinceLastOrder]=0,0,operations[orderQuantity] / operations[sinceLastOrder])</f>
        <v>0.8333333333</v>
      </c>
      <c r="P1296" s="9">
        <v>81.88</v>
      </c>
      <c r="Q1296" s="7" t="s">
        <v>17</v>
      </c>
      <c r="R1296" s="10">
        <f>operations[arrivedDate]-operations[shippedDate]</f>
        <v>18</v>
      </c>
    </row>
    <row r="1297" ht="15.75" customHeight="1">
      <c r="A1297" s="6">
        <v>10740.0</v>
      </c>
      <c r="B1297" s="24">
        <v>45243.0</v>
      </c>
      <c r="C1297" s="24">
        <v>45271.0</v>
      </c>
      <c r="D1297" s="24">
        <v>45255.0</v>
      </c>
      <c r="E1297" s="24">
        <v>45273.0</v>
      </c>
      <c r="F1297" s="6">
        <v>35.0</v>
      </c>
      <c r="G1297" s="9" t="str">
        <f>VLOOKUP(operations[productID],products[],2,FALSE)</f>
        <v>Cold Brew Nitro</v>
      </c>
      <c r="H1297" s="9" t="str">
        <f>IF(VLOOKUP(operations[productID],products[],7,FALSE)=1,"Discontinued","Current")</f>
        <v>Current</v>
      </c>
      <c r="I1297" s="6">
        <f>VLOOKUP(operations[productID],products[],4,FALSE)</f>
        <v>20</v>
      </c>
      <c r="J1297" s="6">
        <f>VLOOKUP(operations[productID],products[],5,FALSE)</f>
        <v>0</v>
      </c>
      <c r="K1297" s="6">
        <f>VLOOKUP(operations[productID],products[],6,FALSE)</f>
        <v>15</v>
      </c>
      <c r="L1297" s="10">
        <f t="array" ref="L1297">INDEX('1 orders'!I1297:I2156, MATCH(1, ('1 orders'!A1297:A2156=A1297)*('1 orders'!G1297:G2156=F1297), 0))
</f>
        <v>35</v>
      </c>
      <c r="M1297" s="10">
        <f>IFERROR(__xludf.DUMMYFUNCTION("COUNTUNIQUEIFS($A$2:$A1297,$F$2:$F1297,F1297)"),22.0)</f>
        <v>22</v>
      </c>
      <c r="N1297" s="10">
        <f t="shared" si="1"/>
        <v>16</v>
      </c>
      <c r="O1297" s="26">
        <f>IF(operations[sinceLastOrder]=0,0,operations[orderQuantity] / operations[sinceLastOrder])</f>
        <v>2.1875</v>
      </c>
      <c r="P1297" s="9">
        <v>81.88</v>
      </c>
      <c r="Q1297" s="7" t="s">
        <v>17</v>
      </c>
      <c r="R1297" s="10">
        <f>operations[arrivedDate]-operations[shippedDate]</f>
        <v>18</v>
      </c>
    </row>
    <row r="1298" ht="15.75" customHeight="1">
      <c r="A1298" s="6">
        <v>10740.0</v>
      </c>
      <c r="B1298" s="24">
        <v>45243.0</v>
      </c>
      <c r="C1298" s="24">
        <v>45271.0</v>
      </c>
      <c r="D1298" s="24">
        <v>45255.0</v>
      </c>
      <c r="E1298" s="24">
        <v>45273.0</v>
      </c>
      <c r="F1298" s="6">
        <v>45.0</v>
      </c>
      <c r="G1298" s="9" t="str">
        <f>VLOOKUP(operations[productID],products[],2,FALSE)</f>
        <v>Rogede sild</v>
      </c>
      <c r="H1298" s="9" t="str">
        <f>IF(VLOOKUP(operations[productID],products[],7,FALSE)=1,"Discontinued","Current")</f>
        <v>Current</v>
      </c>
      <c r="I1298" s="6">
        <f>VLOOKUP(operations[productID],products[],4,FALSE)</f>
        <v>5</v>
      </c>
      <c r="J1298" s="6">
        <f>VLOOKUP(operations[productID],products[],5,FALSE)</f>
        <v>70</v>
      </c>
      <c r="K1298" s="6">
        <f>VLOOKUP(operations[productID],products[],6,FALSE)</f>
        <v>15</v>
      </c>
      <c r="L1298" s="10">
        <f t="array" ref="L1298">INDEX('1 orders'!I1298:I2156, MATCH(1, ('1 orders'!A1298:A2156=A1298)*('1 orders'!G1298:G2156=F1298), 0))
</f>
        <v>40</v>
      </c>
      <c r="M1298" s="10">
        <f>IFERROR(__xludf.DUMMYFUNCTION("COUNTUNIQUEIFS($A$2:$A1298,$F$2:$F1298,F1298)"),7.0)</f>
        <v>7</v>
      </c>
      <c r="N1298" s="10">
        <f t="shared" si="1"/>
        <v>22</v>
      </c>
      <c r="O1298" s="26">
        <f>IF(operations[sinceLastOrder]=0,0,operations[orderQuantity] / operations[sinceLastOrder])</f>
        <v>1.818181818</v>
      </c>
      <c r="P1298" s="9">
        <v>81.88</v>
      </c>
      <c r="Q1298" s="7" t="s">
        <v>17</v>
      </c>
      <c r="R1298" s="10">
        <f>operations[arrivedDate]-operations[shippedDate]</f>
        <v>18</v>
      </c>
    </row>
    <row r="1299" ht="15.75" customHeight="1">
      <c r="A1299" s="6">
        <v>10740.0</v>
      </c>
      <c r="B1299" s="24">
        <v>45243.0</v>
      </c>
      <c r="C1299" s="24">
        <v>45271.0</v>
      </c>
      <c r="D1299" s="24">
        <v>45255.0</v>
      </c>
      <c r="E1299" s="24">
        <v>45273.0</v>
      </c>
      <c r="F1299" s="6">
        <v>56.0</v>
      </c>
      <c r="G1299" s="9" t="str">
        <f>VLOOKUP(operations[productID],products[],2,FALSE)</f>
        <v>Gnocchi di nonna Alice</v>
      </c>
      <c r="H1299" s="9" t="str">
        <f>IF(VLOOKUP(operations[productID],products[],7,FALSE)=1,"Discontinued","Current")</f>
        <v>Current</v>
      </c>
      <c r="I1299" s="6">
        <f>VLOOKUP(operations[productID],products[],4,FALSE)</f>
        <v>21</v>
      </c>
      <c r="J1299" s="6">
        <f>VLOOKUP(operations[productID],products[],5,FALSE)</f>
        <v>10</v>
      </c>
      <c r="K1299" s="6">
        <f>VLOOKUP(operations[productID],products[],6,FALSE)</f>
        <v>30</v>
      </c>
      <c r="L1299" s="10">
        <f t="array" ref="L1299">INDEX('1 orders'!I1299:I2156, MATCH(1, ('1 orders'!A1299:A2156=A1299)*('1 orders'!G1299:G2156=F1299), 0))
</f>
        <v>14</v>
      </c>
      <c r="M1299" s="10">
        <f>IFERROR(__xludf.DUMMYFUNCTION("COUNTUNIQUEIFS($A$2:$A1299,$F$2:$F1299,F1299)"),34.0)</f>
        <v>34</v>
      </c>
      <c r="N1299" s="10">
        <f t="shared" si="1"/>
        <v>10</v>
      </c>
      <c r="O1299" s="26">
        <f>IF(operations[sinceLastOrder]=0,0,operations[orderQuantity] / operations[sinceLastOrder])</f>
        <v>1.4</v>
      </c>
      <c r="P1299" s="9">
        <v>81.88</v>
      </c>
      <c r="Q1299" s="7" t="s">
        <v>17</v>
      </c>
      <c r="R1299" s="10">
        <f>operations[arrivedDate]-operations[shippedDate]</f>
        <v>18</v>
      </c>
    </row>
    <row r="1300" ht="15.75" customHeight="1">
      <c r="A1300" s="6">
        <v>10741.0</v>
      </c>
      <c r="B1300" s="24">
        <v>45244.0</v>
      </c>
      <c r="C1300" s="24">
        <v>45258.0</v>
      </c>
      <c r="D1300" s="24">
        <v>45248.0</v>
      </c>
      <c r="E1300" s="24">
        <v>45253.0</v>
      </c>
      <c r="F1300" s="6">
        <v>2.0</v>
      </c>
      <c r="G1300" s="9" t="str">
        <f>VLOOKUP(operations[productID],products[],2,FALSE)</f>
        <v>Chang</v>
      </c>
      <c r="H1300" s="9" t="str">
        <f>IF(VLOOKUP(operations[productID],products[],7,FALSE)=1,"Discontinued","Current")</f>
        <v>Current</v>
      </c>
      <c r="I1300" s="6">
        <f>VLOOKUP(operations[productID],products[],4,FALSE)</f>
        <v>17</v>
      </c>
      <c r="J1300" s="6">
        <f>VLOOKUP(operations[productID],products[],5,FALSE)</f>
        <v>40</v>
      </c>
      <c r="K1300" s="6">
        <f>VLOOKUP(operations[productID],products[],6,FALSE)</f>
        <v>25</v>
      </c>
      <c r="L1300" s="10">
        <f t="array" ref="L1300">INDEX('1 orders'!I1300:I2156, MATCH(1, ('1 orders'!A1300:A2156=A1300)*('1 orders'!G1300:G2156=F1300), 0))
</f>
        <v>15</v>
      </c>
      <c r="M1300" s="10">
        <f>IFERROR(__xludf.DUMMYFUNCTION("COUNTUNIQUEIFS($A$2:$A1300,$F$2:$F1300,F1300)"),22.0)</f>
        <v>22</v>
      </c>
      <c r="N1300" s="10">
        <f t="shared" si="1"/>
        <v>16</v>
      </c>
      <c r="O1300" s="26">
        <f>IF(operations[sinceLastOrder]=0,0,operations[orderQuantity] / operations[sinceLastOrder])</f>
        <v>0.9375</v>
      </c>
      <c r="P1300" s="9">
        <v>10.96</v>
      </c>
      <c r="Q1300" s="7" t="s">
        <v>13</v>
      </c>
      <c r="R1300" s="10">
        <f>operations[arrivedDate]-operations[shippedDate]</f>
        <v>5</v>
      </c>
    </row>
    <row r="1301" ht="15.75" customHeight="1">
      <c r="A1301" s="6">
        <v>10742.0</v>
      </c>
      <c r="B1301" s="24">
        <v>45244.0</v>
      </c>
      <c r="C1301" s="24">
        <v>45272.0</v>
      </c>
      <c r="D1301" s="24">
        <v>45248.0</v>
      </c>
      <c r="E1301" s="24">
        <v>45260.0</v>
      </c>
      <c r="F1301" s="6">
        <v>3.0</v>
      </c>
      <c r="G1301" s="9" t="str">
        <f>VLOOKUP(operations[productID],products[],2,FALSE)</f>
        <v>Aniseed Syrup</v>
      </c>
      <c r="H1301" s="9" t="str">
        <f>IF(VLOOKUP(operations[productID],products[],7,FALSE)=1,"Discontinued","Current")</f>
        <v>Current</v>
      </c>
      <c r="I1301" s="6">
        <f>VLOOKUP(operations[productID],products[],4,FALSE)</f>
        <v>13</v>
      </c>
      <c r="J1301" s="6">
        <f>VLOOKUP(operations[productID],products[],5,FALSE)</f>
        <v>70</v>
      </c>
      <c r="K1301" s="6">
        <f>VLOOKUP(operations[productID],products[],6,FALSE)</f>
        <v>25</v>
      </c>
      <c r="L1301" s="10">
        <f t="array" ref="L1301">INDEX('1 orders'!I1301:I2156, MATCH(1, ('1 orders'!A1301:A2156=A1301)*('1 orders'!G1301:G2156=F1301), 0))
</f>
        <v>20</v>
      </c>
      <c r="M1301" s="10">
        <f>IFERROR(__xludf.DUMMYFUNCTION("COUNTUNIQUEIFS($A$2:$A1301,$F$2:$F1301,F1301)"),7.0)</f>
        <v>7</v>
      </c>
      <c r="N1301" s="10">
        <f t="shared" si="1"/>
        <v>32</v>
      </c>
      <c r="O1301" s="26">
        <f>IF(operations[sinceLastOrder]=0,0,operations[orderQuantity] / operations[sinceLastOrder])</f>
        <v>0.625</v>
      </c>
      <c r="P1301" s="9">
        <v>243.73</v>
      </c>
      <c r="Q1301" s="7" t="s">
        <v>13</v>
      </c>
      <c r="R1301" s="10">
        <f>operations[arrivedDate]-operations[shippedDate]</f>
        <v>12</v>
      </c>
    </row>
    <row r="1302" ht="15.75" customHeight="1">
      <c r="A1302" s="6">
        <v>10742.0</v>
      </c>
      <c r="B1302" s="24">
        <v>45244.0</v>
      </c>
      <c r="C1302" s="24">
        <v>45272.0</v>
      </c>
      <c r="D1302" s="24">
        <v>45248.0</v>
      </c>
      <c r="E1302" s="24">
        <v>45260.0</v>
      </c>
      <c r="F1302" s="6">
        <v>60.0</v>
      </c>
      <c r="G1302" s="9" t="str">
        <f>VLOOKUP(operations[productID],products[],2,FALSE)</f>
        <v>Camembert Pierrot</v>
      </c>
      <c r="H1302" s="9" t="str">
        <f>IF(VLOOKUP(operations[productID],products[],7,FALSE)=1,"Discontinued","Current")</f>
        <v>Current</v>
      </c>
      <c r="I1302" s="6">
        <f>VLOOKUP(operations[productID],products[],4,FALSE)</f>
        <v>19</v>
      </c>
      <c r="J1302" s="6">
        <f>VLOOKUP(operations[productID],products[],5,FALSE)</f>
        <v>0</v>
      </c>
      <c r="K1302" s="6">
        <f>VLOOKUP(operations[productID],products[],6,FALSE)</f>
        <v>0</v>
      </c>
      <c r="L1302" s="10">
        <f t="array" ref="L1302">INDEX('1 orders'!I1302:I2156, MATCH(1, ('1 orders'!A1302:A2156=A1302)*('1 orders'!G1302:G2156=F1302), 0))
</f>
        <v>50</v>
      </c>
      <c r="M1302" s="10">
        <f>IFERROR(__xludf.DUMMYFUNCTION("COUNTUNIQUEIFS($A$2:$A1302,$F$2:$F1302,F1302)"),31.0)</f>
        <v>31</v>
      </c>
      <c r="N1302" s="10">
        <f t="shared" si="1"/>
        <v>10</v>
      </c>
      <c r="O1302" s="26">
        <f>IF(operations[sinceLastOrder]=0,0,operations[orderQuantity] / operations[sinceLastOrder])</f>
        <v>5</v>
      </c>
      <c r="P1302" s="9">
        <v>243.73</v>
      </c>
      <c r="Q1302" s="7" t="s">
        <v>13</v>
      </c>
      <c r="R1302" s="10">
        <f>operations[arrivedDate]-operations[shippedDate]</f>
        <v>12</v>
      </c>
    </row>
    <row r="1303" ht="15.75" customHeight="1">
      <c r="A1303" s="6">
        <v>10742.0</v>
      </c>
      <c r="B1303" s="24">
        <v>45244.0</v>
      </c>
      <c r="C1303" s="24">
        <v>45272.0</v>
      </c>
      <c r="D1303" s="24">
        <v>45248.0</v>
      </c>
      <c r="E1303" s="24">
        <v>45260.0</v>
      </c>
      <c r="F1303" s="6">
        <v>72.0</v>
      </c>
      <c r="G1303" s="9" t="str">
        <f>VLOOKUP(operations[productID],products[],2,FALSE)</f>
        <v>Mozzarella di Giovanni</v>
      </c>
      <c r="H1303" s="9" t="str">
        <f>IF(VLOOKUP(operations[productID],products[],7,FALSE)=1,"Discontinued","Current")</f>
        <v>Current</v>
      </c>
      <c r="I1303" s="6">
        <f>VLOOKUP(operations[productID],products[],4,FALSE)</f>
        <v>14</v>
      </c>
      <c r="J1303" s="6">
        <f>VLOOKUP(operations[productID],products[],5,FALSE)</f>
        <v>0</v>
      </c>
      <c r="K1303" s="6">
        <f>VLOOKUP(operations[productID],products[],6,FALSE)</f>
        <v>0</v>
      </c>
      <c r="L1303" s="10">
        <f t="array" ref="L1303">INDEX('1 orders'!I1303:I2156, MATCH(1, ('1 orders'!A1303:A2156=A1303)*('1 orders'!G1303:G2156=F1303), 0))
</f>
        <v>35</v>
      </c>
      <c r="M1303" s="10">
        <f>IFERROR(__xludf.DUMMYFUNCTION("COUNTUNIQUEIFS($A$2:$A1303,$F$2:$F1303,F1303)"),26.0)</f>
        <v>26</v>
      </c>
      <c r="N1303" s="10">
        <f t="shared" si="1"/>
        <v>78</v>
      </c>
      <c r="O1303" s="26">
        <f>IF(operations[sinceLastOrder]=0,0,operations[orderQuantity] / operations[sinceLastOrder])</f>
        <v>0.4487179487</v>
      </c>
      <c r="P1303" s="9">
        <v>243.73</v>
      </c>
      <c r="Q1303" s="7" t="s">
        <v>13</v>
      </c>
      <c r="R1303" s="10">
        <f>operations[arrivedDate]-operations[shippedDate]</f>
        <v>12</v>
      </c>
    </row>
    <row r="1304" ht="15.75" customHeight="1">
      <c r="A1304" s="6">
        <v>10743.0</v>
      </c>
      <c r="B1304" s="24">
        <v>45247.0</v>
      </c>
      <c r="C1304" s="24">
        <v>45275.0</v>
      </c>
      <c r="D1304" s="24">
        <v>45251.0</v>
      </c>
      <c r="E1304" s="24">
        <v>45260.0</v>
      </c>
      <c r="F1304" s="6">
        <v>46.0</v>
      </c>
      <c r="G1304" s="9" t="str">
        <f>VLOOKUP(operations[productID],products[],2,FALSE)</f>
        <v>Spegesild</v>
      </c>
      <c r="H1304" s="9" t="str">
        <f>IF(VLOOKUP(operations[productID],products[],7,FALSE)=1,"Discontinued","Current")</f>
        <v>Current</v>
      </c>
      <c r="I1304" s="6">
        <f>VLOOKUP(operations[productID],products[],4,FALSE)</f>
        <v>95</v>
      </c>
      <c r="J1304" s="6">
        <f>VLOOKUP(operations[productID],products[],5,FALSE)</f>
        <v>0</v>
      </c>
      <c r="K1304" s="6">
        <f>VLOOKUP(operations[productID],products[],6,FALSE)</f>
        <v>0</v>
      </c>
      <c r="L1304" s="10">
        <f t="array" ref="L1304">INDEX('1 orders'!I1304:I2156, MATCH(1, ('1 orders'!A1304:A2156=A1304)*('1 orders'!G1304:G2156=F1304), 0))
</f>
        <v>28</v>
      </c>
      <c r="M1304" s="10">
        <f>IFERROR(__xludf.DUMMYFUNCTION("COUNTUNIQUEIFS($A$2:$A1304,$F$2:$F1304,F1304)"),18.0)</f>
        <v>18</v>
      </c>
      <c r="N1304" s="10">
        <f t="shared" si="1"/>
        <v>26</v>
      </c>
      <c r="O1304" s="26">
        <f>IF(operations[sinceLastOrder]=0,0,operations[orderQuantity] / operations[sinceLastOrder])</f>
        <v>1.076923077</v>
      </c>
      <c r="P1304" s="9">
        <v>23.72</v>
      </c>
      <c r="Q1304" s="7" t="s">
        <v>17</v>
      </c>
      <c r="R1304" s="10">
        <f>operations[arrivedDate]-operations[shippedDate]</f>
        <v>9</v>
      </c>
    </row>
    <row r="1305" ht="15.75" customHeight="1">
      <c r="A1305" s="6">
        <v>10744.0</v>
      </c>
      <c r="B1305" s="24">
        <v>45247.0</v>
      </c>
      <c r="C1305" s="24">
        <v>45275.0</v>
      </c>
      <c r="D1305" s="24">
        <v>45254.0</v>
      </c>
      <c r="E1305" s="24">
        <v>45265.0</v>
      </c>
      <c r="F1305" s="6">
        <v>40.0</v>
      </c>
      <c r="G1305" s="9" t="str">
        <f>VLOOKUP(operations[productID],products[],2,FALSE)</f>
        <v>Boston Crab Meat</v>
      </c>
      <c r="H1305" s="9" t="str">
        <f>IF(VLOOKUP(operations[productID],products[],7,FALSE)=1,"Discontinued","Current")</f>
        <v>Current</v>
      </c>
      <c r="I1305" s="6">
        <f>VLOOKUP(operations[productID],products[],4,FALSE)</f>
        <v>123</v>
      </c>
      <c r="J1305" s="6">
        <f>VLOOKUP(operations[productID],products[],5,FALSE)</f>
        <v>0</v>
      </c>
      <c r="K1305" s="6">
        <f>VLOOKUP(operations[productID],products[],6,FALSE)</f>
        <v>30</v>
      </c>
      <c r="L1305" s="10">
        <f t="array" ref="L1305">INDEX('1 orders'!I1305:I2156, MATCH(1, ('1 orders'!A1305:A2156=A1305)*('1 orders'!G1305:G2156=F1305), 0))
</f>
        <v>50</v>
      </c>
      <c r="M1305" s="10">
        <f>IFERROR(__xludf.DUMMYFUNCTION("COUNTUNIQUEIFS($A$2:$A1305,$F$2:$F1305,F1305)"),28.0)</f>
        <v>28</v>
      </c>
      <c r="N1305" s="10">
        <f t="shared" si="1"/>
        <v>13</v>
      </c>
      <c r="O1305" s="26">
        <f>IF(operations[sinceLastOrder]=0,0,operations[orderQuantity] / operations[sinceLastOrder])</f>
        <v>3.846153846</v>
      </c>
      <c r="P1305" s="9">
        <v>69.19</v>
      </c>
      <c r="Q1305" s="7" t="s">
        <v>15</v>
      </c>
      <c r="R1305" s="10">
        <f>operations[arrivedDate]-operations[shippedDate]</f>
        <v>11</v>
      </c>
    </row>
    <row r="1306" ht="15.75" customHeight="1">
      <c r="A1306" s="6">
        <v>10745.0</v>
      </c>
      <c r="B1306" s="24">
        <v>45248.0</v>
      </c>
      <c r="C1306" s="24">
        <v>45276.0</v>
      </c>
      <c r="D1306" s="24">
        <v>45257.0</v>
      </c>
      <c r="E1306" s="24">
        <v>45262.0</v>
      </c>
      <c r="F1306" s="6">
        <v>18.0</v>
      </c>
      <c r="G1306" s="9" t="str">
        <f>VLOOKUP(operations[productID],products[],2,FALSE)</f>
        <v>Carnarvon Tigers</v>
      </c>
      <c r="H1306" s="9" t="str">
        <f>IF(VLOOKUP(operations[productID],products[],7,FALSE)=1,"Discontinued","Current")</f>
        <v>Current</v>
      </c>
      <c r="I1306" s="6">
        <f>VLOOKUP(operations[productID],products[],4,FALSE)</f>
        <v>42</v>
      </c>
      <c r="J1306" s="6">
        <f>VLOOKUP(operations[productID],products[],5,FALSE)</f>
        <v>0</v>
      </c>
      <c r="K1306" s="6">
        <f>VLOOKUP(operations[productID],products[],6,FALSE)</f>
        <v>0</v>
      </c>
      <c r="L1306" s="10">
        <f t="array" ref="L1306">INDEX('1 orders'!I1306:I2156, MATCH(1, ('1 orders'!A1306:A2156=A1306)*('1 orders'!G1306:G2156=F1306), 0))
</f>
        <v>24</v>
      </c>
      <c r="M1306" s="10">
        <f>IFERROR(__xludf.DUMMYFUNCTION("COUNTUNIQUEIFS($A$2:$A1306,$F$2:$F1306,F1306)"),15.0)</f>
        <v>15</v>
      </c>
      <c r="N1306" s="10">
        <f t="shared" si="1"/>
        <v>22</v>
      </c>
      <c r="O1306" s="26">
        <f>IF(operations[sinceLastOrder]=0,0,operations[orderQuantity] / operations[sinceLastOrder])</f>
        <v>1.090909091</v>
      </c>
      <c r="P1306" s="9">
        <v>3.52</v>
      </c>
      <c r="Q1306" s="7" t="s">
        <v>15</v>
      </c>
      <c r="R1306" s="10">
        <f>operations[arrivedDate]-operations[shippedDate]</f>
        <v>5</v>
      </c>
    </row>
    <row r="1307" ht="15.75" customHeight="1">
      <c r="A1307" s="6">
        <v>10745.0</v>
      </c>
      <c r="B1307" s="24">
        <v>45248.0</v>
      </c>
      <c r="C1307" s="24">
        <v>45276.0</v>
      </c>
      <c r="D1307" s="24">
        <v>45257.0</v>
      </c>
      <c r="E1307" s="24">
        <v>45262.0</v>
      </c>
      <c r="F1307" s="6">
        <v>44.0</v>
      </c>
      <c r="G1307" s="9" t="str">
        <f>VLOOKUP(operations[productID],products[],2,FALSE)</f>
        <v>Gula Malacca</v>
      </c>
      <c r="H1307" s="9" t="str">
        <f>IF(VLOOKUP(operations[productID],products[],7,FALSE)=1,"Discontinued","Current")</f>
        <v>Current</v>
      </c>
      <c r="I1307" s="6">
        <f>VLOOKUP(operations[productID],products[],4,FALSE)</f>
        <v>27</v>
      </c>
      <c r="J1307" s="6">
        <f>VLOOKUP(operations[productID],products[],5,FALSE)</f>
        <v>0</v>
      </c>
      <c r="K1307" s="6">
        <f>VLOOKUP(operations[productID],products[],6,FALSE)</f>
        <v>15</v>
      </c>
      <c r="L1307" s="10">
        <f t="array" ref="L1307">INDEX('1 orders'!I1307:I2156, MATCH(1, ('1 orders'!A1307:A2156=A1307)*('1 orders'!G1307:G2156=F1307), 0))
</f>
        <v>16</v>
      </c>
      <c r="M1307" s="10">
        <f>IFERROR(__xludf.DUMMYFUNCTION("COUNTUNIQUEIFS($A$2:$A1307,$F$2:$F1307,F1307)"),18.0)</f>
        <v>18</v>
      </c>
      <c r="N1307" s="10">
        <f t="shared" si="1"/>
        <v>20</v>
      </c>
      <c r="O1307" s="26">
        <f>IF(operations[sinceLastOrder]=0,0,operations[orderQuantity] / operations[sinceLastOrder])</f>
        <v>0.8</v>
      </c>
      <c r="P1307" s="9">
        <v>3.52</v>
      </c>
      <c r="Q1307" s="7" t="s">
        <v>15</v>
      </c>
      <c r="R1307" s="10">
        <f>operations[arrivedDate]-operations[shippedDate]</f>
        <v>5</v>
      </c>
    </row>
    <row r="1308" ht="15.75" customHeight="1">
      <c r="A1308" s="6">
        <v>10745.0</v>
      </c>
      <c r="B1308" s="24">
        <v>45248.0</v>
      </c>
      <c r="C1308" s="24">
        <v>45276.0</v>
      </c>
      <c r="D1308" s="24">
        <v>45257.0</v>
      </c>
      <c r="E1308" s="24">
        <v>45262.0</v>
      </c>
      <c r="F1308" s="6">
        <v>59.0</v>
      </c>
      <c r="G1308" s="9" t="str">
        <f>VLOOKUP(operations[productID],products[],2,FALSE)</f>
        <v>Raclette Courdavault</v>
      </c>
      <c r="H1308" s="9" t="str">
        <f>IF(VLOOKUP(operations[productID],products[],7,FALSE)=1,"Discontinued","Current")</f>
        <v>Current</v>
      </c>
      <c r="I1308" s="6">
        <f>VLOOKUP(operations[productID],products[],4,FALSE)</f>
        <v>79</v>
      </c>
      <c r="J1308" s="6">
        <f>VLOOKUP(operations[productID],products[],5,FALSE)</f>
        <v>0</v>
      </c>
      <c r="K1308" s="6">
        <f>VLOOKUP(operations[productID],products[],6,FALSE)</f>
        <v>0</v>
      </c>
      <c r="L1308" s="10">
        <f t="array" ref="L1308">INDEX('1 orders'!I1308:I2156, MATCH(1, ('1 orders'!A1308:A2156=A1308)*('1 orders'!G1308:G2156=F1308), 0))
</f>
        <v>45</v>
      </c>
      <c r="M1308" s="10">
        <f>IFERROR(__xludf.DUMMYFUNCTION("COUNTUNIQUEIFS($A$2:$A1308,$F$2:$F1308,F1308)"),35.0)</f>
        <v>35</v>
      </c>
      <c r="N1308" s="10">
        <f t="shared" si="1"/>
        <v>15</v>
      </c>
      <c r="O1308" s="26">
        <f>IF(operations[sinceLastOrder]=0,0,operations[orderQuantity] / operations[sinceLastOrder])</f>
        <v>3</v>
      </c>
      <c r="P1308" s="9">
        <v>3.52</v>
      </c>
      <c r="Q1308" s="7" t="s">
        <v>15</v>
      </c>
      <c r="R1308" s="10">
        <f>operations[arrivedDate]-operations[shippedDate]</f>
        <v>5</v>
      </c>
    </row>
    <row r="1309" ht="15.75" customHeight="1">
      <c r="A1309" s="6">
        <v>10745.0</v>
      </c>
      <c r="B1309" s="24">
        <v>45248.0</v>
      </c>
      <c r="C1309" s="24">
        <v>45276.0</v>
      </c>
      <c r="D1309" s="24">
        <v>45257.0</v>
      </c>
      <c r="E1309" s="24">
        <v>45262.0</v>
      </c>
      <c r="F1309" s="6">
        <v>72.0</v>
      </c>
      <c r="G1309" s="9" t="str">
        <f>VLOOKUP(operations[productID],products[],2,FALSE)</f>
        <v>Mozzarella di Giovanni</v>
      </c>
      <c r="H1309" s="9" t="str">
        <f>IF(VLOOKUP(operations[productID],products[],7,FALSE)=1,"Discontinued","Current")</f>
        <v>Current</v>
      </c>
      <c r="I1309" s="6">
        <f>VLOOKUP(operations[productID],products[],4,FALSE)</f>
        <v>14</v>
      </c>
      <c r="J1309" s="6">
        <f>VLOOKUP(operations[productID],products[],5,FALSE)</f>
        <v>0</v>
      </c>
      <c r="K1309" s="6">
        <f>VLOOKUP(operations[productID],products[],6,FALSE)</f>
        <v>0</v>
      </c>
      <c r="L1309" s="10">
        <f t="array" ref="L1309">INDEX('1 orders'!I1309:I2156, MATCH(1, ('1 orders'!A1309:A2156=A1309)*('1 orders'!G1309:G2156=F1309), 0))
</f>
        <v>7</v>
      </c>
      <c r="M1309" s="10">
        <f>IFERROR(__xludf.DUMMYFUNCTION("COUNTUNIQUEIFS($A$2:$A1309,$F$2:$F1309,F1309)"),27.0)</f>
        <v>27</v>
      </c>
      <c r="N1309" s="10">
        <f t="shared" si="1"/>
        <v>4</v>
      </c>
      <c r="O1309" s="26">
        <f>IF(operations[sinceLastOrder]=0,0,operations[orderQuantity] / operations[sinceLastOrder])</f>
        <v>1.75</v>
      </c>
      <c r="P1309" s="9">
        <v>3.52</v>
      </c>
      <c r="Q1309" s="7" t="s">
        <v>15</v>
      </c>
      <c r="R1309" s="10">
        <f>operations[arrivedDate]-operations[shippedDate]</f>
        <v>5</v>
      </c>
    </row>
    <row r="1310" ht="15.75" customHeight="1">
      <c r="A1310" s="6">
        <v>10746.0</v>
      </c>
      <c r="B1310" s="24">
        <v>45249.0</v>
      </c>
      <c r="C1310" s="24">
        <v>45277.0</v>
      </c>
      <c r="D1310" s="24">
        <v>45251.0</v>
      </c>
      <c r="E1310" s="24">
        <v>45264.0</v>
      </c>
      <c r="F1310" s="6">
        <v>13.0</v>
      </c>
      <c r="G1310" s="9" t="str">
        <f>VLOOKUP(operations[productID],products[],2,FALSE)</f>
        <v>Konbu</v>
      </c>
      <c r="H1310" s="9" t="str">
        <f>IF(VLOOKUP(operations[productID],products[],7,FALSE)=1,"Discontinued","Current")</f>
        <v>Current</v>
      </c>
      <c r="I1310" s="6">
        <f>VLOOKUP(operations[productID],products[],4,FALSE)</f>
        <v>24</v>
      </c>
      <c r="J1310" s="6">
        <f>VLOOKUP(operations[productID],products[],5,FALSE)</f>
        <v>0</v>
      </c>
      <c r="K1310" s="6">
        <f>VLOOKUP(operations[productID],products[],6,FALSE)</f>
        <v>5</v>
      </c>
      <c r="L1310" s="10">
        <f t="array" ref="L1310">INDEX('1 orders'!I1310:I2156, MATCH(1, ('1 orders'!A1310:A2156=A1310)*('1 orders'!G1310:G2156=F1310), 0))
</f>
        <v>6</v>
      </c>
      <c r="M1310" s="10">
        <f>IFERROR(__xludf.DUMMYFUNCTION("COUNTUNIQUEIFS($A$2:$A1310,$F$2:$F1310,F1310)"),16.0)</f>
        <v>16</v>
      </c>
      <c r="N1310" s="10">
        <f t="shared" si="1"/>
        <v>8</v>
      </c>
      <c r="O1310" s="26">
        <f>IF(operations[sinceLastOrder]=0,0,operations[orderQuantity] / operations[sinceLastOrder])</f>
        <v>0.75</v>
      </c>
      <c r="P1310" s="9">
        <v>31.43</v>
      </c>
      <c r="Q1310" s="7" t="s">
        <v>13</v>
      </c>
      <c r="R1310" s="10">
        <f>operations[arrivedDate]-operations[shippedDate]</f>
        <v>13</v>
      </c>
    </row>
    <row r="1311" ht="15.75" customHeight="1">
      <c r="A1311" s="6">
        <v>10746.0</v>
      </c>
      <c r="B1311" s="24">
        <v>45249.0</v>
      </c>
      <c r="C1311" s="24">
        <v>45277.0</v>
      </c>
      <c r="D1311" s="24">
        <v>45251.0</v>
      </c>
      <c r="E1311" s="24">
        <v>45264.0</v>
      </c>
      <c r="F1311" s="6">
        <v>42.0</v>
      </c>
      <c r="G1311" s="9" t="str">
        <f>VLOOKUP(operations[productID],products[],2,FALSE)</f>
        <v>Singaporean Hokkien Fried Mee</v>
      </c>
      <c r="H1311" s="9" t="str">
        <f>IF(VLOOKUP(operations[productID],products[],7,FALSE)=1,"Discontinued","Current")</f>
        <v>Discontinued</v>
      </c>
      <c r="I1311" s="6">
        <f>VLOOKUP(operations[productID],products[],4,FALSE)</f>
        <v>26</v>
      </c>
      <c r="J1311" s="6">
        <f>VLOOKUP(operations[productID],products[],5,FALSE)</f>
        <v>0</v>
      </c>
      <c r="K1311" s="6">
        <f>VLOOKUP(operations[productID],products[],6,FALSE)</f>
        <v>0</v>
      </c>
      <c r="L1311" s="10">
        <f t="array" ref="L1311">INDEX('1 orders'!I1311:I2156, MATCH(1, ('1 orders'!A1311:A2156=A1311)*('1 orders'!G1311:G2156=F1311), 0))
</f>
        <v>28</v>
      </c>
      <c r="M1311" s="10">
        <f>IFERROR(__xludf.DUMMYFUNCTION("COUNTUNIQUEIFS($A$2:$A1311,$F$2:$F1311,F1311)"),18.0)</f>
        <v>18</v>
      </c>
      <c r="N1311" s="10">
        <f t="shared" si="1"/>
        <v>56</v>
      </c>
      <c r="O1311" s="26">
        <f>IF(operations[sinceLastOrder]=0,0,operations[orderQuantity] / operations[sinceLastOrder])</f>
        <v>0.5</v>
      </c>
      <c r="P1311" s="9">
        <v>31.43</v>
      </c>
      <c r="Q1311" s="7" t="s">
        <v>13</v>
      </c>
      <c r="R1311" s="10">
        <f>operations[arrivedDate]-operations[shippedDate]</f>
        <v>13</v>
      </c>
    </row>
    <row r="1312" ht="15.75" customHeight="1">
      <c r="A1312" s="6">
        <v>10746.0</v>
      </c>
      <c r="B1312" s="24">
        <v>45249.0</v>
      </c>
      <c r="C1312" s="24">
        <v>45277.0</v>
      </c>
      <c r="D1312" s="24">
        <v>45251.0</v>
      </c>
      <c r="E1312" s="24">
        <v>45264.0</v>
      </c>
      <c r="F1312" s="6">
        <v>62.0</v>
      </c>
      <c r="G1312" s="9" t="str">
        <f>VLOOKUP(operations[productID],products[],2,FALSE)</f>
        <v>Tarte au sucre</v>
      </c>
      <c r="H1312" s="9" t="str">
        <f>IF(VLOOKUP(operations[productID],products[],7,FALSE)=1,"Discontinued","Current")</f>
        <v>Current</v>
      </c>
      <c r="I1312" s="6">
        <f>VLOOKUP(operations[productID],products[],4,FALSE)</f>
        <v>17</v>
      </c>
      <c r="J1312" s="6">
        <f>VLOOKUP(operations[productID],products[],5,FALSE)</f>
        <v>0</v>
      </c>
      <c r="K1312" s="6">
        <f>VLOOKUP(operations[productID],products[],6,FALSE)</f>
        <v>0</v>
      </c>
      <c r="L1312" s="10">
        <f t="array" ref="L1312">INDEX('1 orders'!I1312:I2156, MATCH(1, ('1 orders'!A1312:A2156=A1312)*('1 orders'!G1312:G2156=F1312), 0))
</f>
        <v>9</v>
      </c>
      <c r="M1312" s="10">
        <f>IFERROR(__xludf.DUMMYFUNCTION("COUNTUNIQUEIFS($A$2:$A1312,$F$2:$F1312,F1312)"),28.0)</f>
        <v>28</v>
      </c>
      <c r="N1312" s="10">
        <f t="shared" si="1"/>
        <v>23</v>
      </c>
      <c r="O1312" s="26">
        <f>IF(operations[sinceLastOrder]=0,0,operations[orderQuantity] / operations[sinceLastOrder])</f>
        <v>0.3913043478</v>
      </c>
      <c r="P1312" s="9">
        <v>31.43</v>
      </c>
      <c r="Q1312" s="7" t="s">
        <v>13</v>
      </c>
      <c r="R1312" s="10">
        <f>operations[arrivedDate]-operations[shippedDate]</f>
        <v>13</v>
      </c>
    </row>
    <row r="1313" ht="15.75" customHeight="1">
      <c r="A1313" s="6">
        <v>10746.0</v>
      </c>
      <c r="B1313" s="24">
        <v>45249.0</v>
      </c>
      <c r="C1313" s="24">
        <v>45277.0</v>
      </c>
      <c r="D1313" s="24">
        <v>45251.0</v>
      </c>
      <c r="E1313" s="24">
        <v>45264.0</v>
      </c>
      <c r="F1313" s="6">
        <v>69.0</v>
      </c>
      <c r="G1313" s="9" t="str">
        <f>VLOOKUP(operations[productID],products[],2,FALSE)</f>
        <v>Gudbrandsdalsost</v>
      </c>
      <c r="H1313" s="9" t="str">
        <f>IF(VLOOKUP(operations[productID],products[],7,FALSE)=1,"Discontinued","Current")</f>
        <v>Current</v>
      </c>
      <c r="I1313" s="6">
        <f>VLOOKUP(operations[productID],products[],4,FALSE)</f>
        <v>26</v>
      </c>
      <c r="J1313" s="6">
        <f>VLOOKUP(operations[productID],products[],5,FALSE)</f>
        <v>0</v>
      </c>
      <c r="K1313" s="6">
        <f>VLOOKUP(operations[productID],products[],6,FALSE)</f>
        <v>15</v>
      </c>
      <c r="L1313" s="10">
        <f t="array" ref="L1313">INDEX('1 orders'!I1313:I2156, MATCH(1, ('1 orders'!A1313:A2156=A1313)*('1 orders'!G1313:G2156=F1313), 0))
</f>
        <v>40</v>
      </c>
      <c r="M1313" s="10">
        <f>IFERROR(__xludf.DUMMYFUNCTION("COUNTUNIQUEIFS($A$2:$A1313,$F$2:$F1313,F1313)"),21.0)</f>
        <v>21</v>
      </c>
      <c r="N1313" s="10">
        <f t="shared" si="1"/>
        <v>26</v>
      </c>
      <c r="O1313" s="26">
        <f>IF(operations[sinceLastOrder]=0,0,operations[orderQuantity] / operations[sinceLastOrder])</f>
        <v>1.538461538</v>
      </c>
      <c r="P1313" s="9">
        <v>31.43</v>
      </c>
      <c r="Q1313" s="7" t="s">
        <v>13</v>
      </c>
      <c r="R1313" s="10">
        <f>operations[arrivedDate]-operations[shippedDate]</f>
        <v>13</v>
      </c>
    </row>
    <row r="1314" ht="15.75" customHeight="1">
      <c r="A1314" s="6">
        <v>10747.0</v>
      </c>
      <c r="B1314" s="24">
        <v>45249.0</v>
      </c>
      <c r="C1314" s="24">
        <v>45277.0</v>
      </c>
      <c r="D1314" s="24">
        <v>45256.0</v>
      </c>
      <c r="E1314" s="24">
        <v>45268.0</v>
      </c>
      <c r="F1314" s="6">
        <v>31.0</v>
      </c>
      <c r="G1314" s="9" t="str">
        <f>VLOOKUP(operations[productID],products[],2,FALSE)</f>
        <v>Gorgonzola Telino</v>
      </c>
      <c r="H1314" s="9" t="str">
        <f>IF(VLOOKUP(operations[productID],products[],7,FALSE)=1,"Discontinued","Current")</f>
        <v>Current</v>
      </c>
      <c r="I1314" s="6">
        <f>VLOOKUP(operations[productID],products[],4,FALSE)</f>
        <v>0</v>
      </c>
      <c r="J1314" s="6">
        <f>VLOOKUP(operations[productID],products[],5,FALSE)</f>
        <v>70</v>
      </c>
      <c r="K1314" s="6">
        <f>VLOOKUP(operations[productID],products[],6,FALSE)</f>
        <v>20</v>
      </c>
      <c r="L1314" s="10">
        <f t="array" ref="L1314">INDEX('1 orders'!I1314:I2156, MATCH(1, ('1 orders'!A1314:A2156=A1314)*('1 orders'!G1314:G2156=F1314), 0))
</f>
        <v>8</v>
      </c>
      <c r="M1314" s="10">
        <f>IFERROR(__xludf.DUMMYFUNCTION("COUNTUNIQUEIFS($A$2:$A1314,$F$2:$F1314,F1314)"),33.0)</f>
        <v>33</v>
      </c>
      <c r="N1314" s="10">
        <f t="shared" si="1"/>
        <v>14</v>
      </c>
      <c r="O1314" s="26">
        <f>IF(operations[sinceLastOrder]=0,0,operations[orderQuantity] / operations[sinceLastOrder])</f>
        <v>0.5714285714</v>
      </c>
      <c r="P1314" s="9">
        <v>117.33</v>
      </c>
      <c r="Q1314" s="7" t="s">
        <v>15</v>
      </c>
      <c r="R1314" s="10">
        <f>operations[arrivedDate]-operations[shippedDate]</f>
        <v>12</v>
      </c>
    </row>
    <row r="1315" ht="15.75" customHeight="1">
      <c r="A1315" s="6">
        <v>10747.0</v>
      </c>
      <c r="B1315" s="24">
        <v>45249.0</v>
      </c>
      <c r="C1315" s="24">
        <v>45277.0</v>
      </c>
      <c r="D1315" s="24">
        <v>45256.0</v>
      </c>
      <c r="E1315" s="24">
        <v>45268.0</v>
      </c>
      <c r="F1315" s="6">
        <v>41.0</v>
      </c>
      <c r="G1315" s="9" t="str">
        <f>VLOOKUP(operations[productID],products[],2,FALSE)</f>
        <v>Jack's New England Clam Chowder</v>
      </c>
      <c r="H1315" s="9" t="str">
        <f>IF(VLOOKUP(operations[productID],products[],7,FALSE)=1,"Discontinued","Current")</f>
        <v>Current</v>
      </c>
      <c r="I1315" s="6">
        <f>VLOOKUP(operations[productID],products[],4,FALSE)</f>
        <v>85</v>
      </c>
      <c r="J1315" s="6">
        <f>VLOOKUP(operations[productID],products[],5,FALSE)</f>
        <v>0</v>
      </c>
      <c r="K1315" s="6">
        <f>VLOOKUP(operations[productID],products[],6,FALSE)</f>
        <v>10</v>
      </c>
      <c r="L1315" s="10">
        <f t="array" ref="L1315">INDEX('1 orders'!I1315:I2156, MATCH(1, ('1 orders'!A1315:A2156=A1315)*('1 orders'!G1315:G2156=F1315), 0))
</f>
        <v>35</v>
      </c>
      <c r="M1315" s="10">
        <f>IFERROR(__xludf.DUMMYFUNCTION("COUNTUNIQUEIFS($A$2:$A1315,$F$2:$F1315,F1315)"),25.0)</f>
        <v>25</v>
      </c>
      <c r="N1315" s="10">
        <f t="shared" si="1"/>
        <v>8</v>
      </c>
      <c r="O1315" s="26">
        <f>IF(operations[sinceLastOrder]=0,0,operations[orderQuantity] / operations[sinceLastOrder])</f>
        <v>4.375</v>
      </c>
      <c r="P1315" s="9">
        <v>117.33</v>
      </c>
      <c r="Q1315" s="7" t="s">
        <v>15</v>
      </c>
      <c r="R1315" s="10">
        <f>operations[arrivedDate]-operations[shippedDate]</f>
        <v>12</v>
      </c>
    </row>
    <row r="1316" ht="15.75" customHeight="1">
      <c r="A1316" s="6">
        <v>10747.0</v>
      </c>
      <c r="B1316" s="24">
        <v>45249.0</v>
      </c>
      <c r="C1316" s="24">
        <v>45277.0</v>
      </c>
      <c r="D1316" s="24">
        <v>45256.0</v>
      </c>
      <c r="E1316" s="24">
        <v>45268.0</v>
      </c>
      <c r="F1316" s="6">
        <v>63.0</v>
      </c>
      <c r="G1316" s="9" t="str">
        <f>VLOOKUP(operations[productID],products[],2,FALSE)</f>
        <v>Vegie-spread</v>
      </c>
      <c r="H1316" s="9" t="str">
        <f>IF(VLOOKUP(operations[productID],products[],7,FALSE)=1,"Discontinued","Current")</f>
        <v>Current</v>
      </c>
      <c r="I1316" s="6">
        <f>VLOOKUP(operations[productID],products[],4,FALSE)</f>
        <v>24</v>
      </c>
      <c r="J1316" s="6">
        <f>VLOOKUP(operations[productID],products[],5,FALSE)</f>
        <v>0</v>
      </c>
      <c r="K1316" s="6">
        <f>VLOOKUP(operations[productID],products[],6,FALSE)</f>
        <v>5</v>
      </c>
      <c r="L1316" s="10">
        <f t="array" ref="L1316">INDEX('1 orders'!I1316:I2156, MATCH(1, ('1 orders'!A1316:A2156=A1316)*('1 orders'!G1316:G2156=F1316), 0))
</f>
        <v>9</v>
      </c>
      <c r="M1316" s="10">
        <f>IFERROR(__xludf.DUMMYFUNCTION("COUNTUNIQUEIFS($A$2:$A1316,$F$2:$F1316,F1316)"),10.0)</f>
        <v>10</v>
      </c>
      <c r="N1316" s="10">
        <f t="shared" si="1"/>
        <v>47</v>
      </c>
      <c r="O1316" s="26">
        <f>IF(operations[sinceLastOrder]=0,0,operations[orderQuantity] / operations[sinceLastOrder])</f>
        <v>0.1914893617</v>
      </c>
      <c r="P1316" s="9">
        <v>117.33</v>
      </c>
      <c r="Q1316" s="7" t="s">
        <v>15</v>
      </c>
      <c r="R1316" s="10">
        <f>operations[arrivedDate]-operations[shippedDate]</f>
        <v>12</v>
      </c>
    </row>
    <row r="1317" ht="15.75" customHeight="1">
      <c r="A1317" s="6">
        <v>10747.0</v>
      </c>
      <c r="B1317" s="24">
        <v>45249.0</v>
      </c>
      <c r="C1317" s="24">
        <v>45277.0</v>
      </c>
      <c r="D1317" s="24">
        <v>45256.0</v>
      </c>
      <c r="E1317" s="24">
        <v>45268.0</v>
      </c>
      <c r="F1317" s="6">
        <v>69.0</v>
      </c>
      <c r="G1317" s="9" t="str">
        <f>VLOOKUP(operations[productID],products[],2,FALSE)</f>
        <v>Gudbrandsdalsost</v>
      </c>
      <c r="H1317" s="9" t="str">
        <f>IF(VLOOKUP(operations[productID],products[],7,FALSE)=1,"Discontinued","Current")</f>
        <v>Current</v>
      </c>
      <c r="I1317" s="6">
        <f>VLOOKUP(operations[productID],products[],4,FALSE)</f>
        <v>26</v>
      </c>
      <c r="J1317" s="6">
        <f>VLOOKUP(operations[productID],products[],5,FALSE)</f>
        <v>0</v>
      </c>
      <c r="K1317" s="6">
        <f>VLOOKUP(operations[productID],products[],6,FALSE)</f>
        <v>15</v>
      </c>
      <c r="L1317" s="10">
        <f t="array" ref="L1317">INDEX('1 orders'!I1317:I2156, MATCH(1, ('1 orders'!A1317:A2156=A1317)*('1 orders'!G1317:G2156=F1317), 0))
</f>
        <v>30</v>
      </c>
      <c r="M1317" s="10">
        <f>IFERROR(__xludf.DUMMYFUNCTION("COUNTUNIQUEIFS($A$2:$A1317,$F$2:$F1317,F1317)"),22.0)</f>
        <v>22</v>
      </c>
      <c r="N1317" s="10">
        <f t="shared" si="1"/>
        <v>0</v>
      </c>
      <c r="O1317" s="26">
        <f>IF(operations[sinceLastOrder]=0,0,operations[orderQuantity] / operations[sinceLastOrder])</f>
        <v>0</v>
      </c>
      <c r="P1317" s="9">
        <v>117.33</v>
      </c>
      <c r="Q1317" s="7" t="s">
        <v>15</v>
      </c>
      <c r="R1317" s="10">
        <f>operations[arrivedDate]-operations[shippedDate]</f>
        <v>12</v>
      </c>
    </row>
    <row r="1318" ht="15.75" customHeight="1">
      <c r="A1318" s="6">
        <v>10748.0</v>
      </c>
      <c r="B1318" s="24">
        <v>45250.0</v>
      </c>
      <c r="C1318" s="24">
        <v>45278.0</v>
      </c>
      <c r="D1318" s="24">
        <v>45258.0</v>
      </c>
      <c r="E1318" s="24">
        <v>45271.0</v>
      </c>
      <c r="F1318" s="6">
        <v>23.0</v>
      </c>
      <c r="G1318" s="9" t="str">
        <f>VLOOKUP(operations[productID],products[],2,FALSE)</f>
        <v>Tunnbröd</v>
      </c>
      <c r="H1318" s="9" t="str">
        <f>IF(VLOOKUP(operations[productID],products[],7,FALSE)=1,"Discontinued","Current")</f>
        <v>Current</v>
      </c>
      <c r="I1318" s="6">
        <f>VLOOKUP(operations[productID],products[],4,FALSE)</f>
        <v>61</v>
      </c>
      <c r="J1318" s="6">
        <f>VLOOKUP(operations[productID],products[],5,FALSE)</f>
        <v>0</v>
      </c>
      <c r="K1318" s="6">
        <f>VLOOKUP(operations[productID],products[],6,FALSE)</f>
        <v>25</v>
      </c>
      <c r="L1318" s="10">
        <f t="array" ref="L1318">INDEX('1 orders'!I1318:I2156, MATCH(1, ('1 orders'!A1318:A2156=A1318)*('1 orders'!G1318:G2156=F1318), 0))
</f>
        <v>44</v>
      </c>
      <c r="M1318" s="10">
        <f>IFERROR(__xludf.DUMMYFUNCTION("COUNTUNIQUEIFS($A$2:$A1318,$F$2:$F1318,F1318)"),13.0)</f>
        <v>13</v>
      </c>
      <c r="N1318" s="10">
        <f t="shared" si="1"/>
        <v>63</v>
      </c>
      <c r="O1318" s="26">
        <f>IF(operations[sinceLastOrder]=0,0,operations[orderQuantity] / operations[sinceLastOrder])</f>
        <v>0.6984126984</v>
      </c>
      <c r="P1318" s="9">
        <v>232.55</v>
      </c>
      <c r="Q1318" s="7" t="s">
        <v>15</v>
      </c>
      <c r="R1318" s="10">
        <f>operations[arrivedDate]-operations[shippedDate]</f>
        <v>13</v>
      </c>
    </row>
    <row r="1319" ht="15.75" customHeight="1">
      <c r="A1319" s="6">
        <v>10748.0</v>
      </c>
      <c r="B1319" s="24">
        <v>45250.0</v>
      </c>
      <c r="C1319" s="24">
        <v>45278.0</v>
      </c>
      <c r="D1319" s="24">
        <v>45258.0</v>
      </c>
      <c r="E1319" s="24">
        <v>45271.0</v>
      </c>
      <c r="F1319" s="6">
        <v>40.0</v>
      </c>
      <c r="G1319" s="9" t="str">
        <f>VLOOKUP(operations[productID],products[],2,FALSE)</f>
        <v>Boston Crab Meat</v>
      </c>
      <c r="H1319" s="9" t="str">
        <f>IF(VLOOKUP(operations[productID],products[],7,FALSE)=1,"Discontinued","Current")</f>
        <v>Current</v>
      </c>
      <c r="I1319" s="6">
        <f>VLOOKUP(operations[productID],products[],4,FALSE)</f>
        <v>123</v>
      </c>
      <c r="J1319" s="6">
        <f>VLOOKUP(operations[productID],products[],5,FALSE)</f>
        <v>0</v>
      </c>
      <c r="K1319" s="6">
        <f>VLOOKUP(operations[productID],products[],6,FALSE)</f>
        <v>30</v>
      </c>
      <c r="L1319" s="10">
        <f t="array" ref="L1319">INDEX('1 orders'!I1319:I2156, MATCH(1, ('1 orders'!A1319:A2156=A1319)*('1 orders'!G1319:G2156=F1319), 0))
</f>
        <v>40</v>
      </c>
      <c r="M1319" s="10">
        <f>IFERROR(__xludf.DUMMYFUNCTION("COUNTUNIQUEIFS($A$2:$A1319,$F$2:$F1319,F1319)"),29.0)</f>
        <v>29</v>
      </c>
      <c r="N1319" s="10">
        <f t="shared" si="1"/>
        <v>3</v>
      </c>
      <c r="O1319" s="26">
        <f>IF(operations[sinceLastOrder]=0,0,operations[orderQuantity] / operations[sinceLastOrder])</f>
        <v>13.33333333</v>
      </c>
      <c r="P1319" s="9">
        <v>232.55</v>
      </c>
      <c r="Q1319" s="7" t="s">
        <v>15</v>
      </c>
      <c r="R1319" s="10">
        <f>operations[arrivedDate]-operations[shippedDate]</f>
        <v>13</v>
      </c>
    </row>
    <row r="1320" ht="15.75" customHeight="1">
      <c r="A1320" s="6">
        <v>10748.0</v>
      </c>
      <c r="B1320" s="24">
        <v>45250.0</v>
      </c>
      <c r="C1320" s="24">
        <v>45278.0</v>
      </c>
      <c r="D1320" s="24">
        <v>45258.0</v>
      </c>
      <c r="E1320" s="24">
        <v>45271.0</v>
      </c>
      <c r="F1320" s="6">
        <v>56.0</v>
      </c>
      <c r="G1320" s="9" t="str">
        <f>VLOOKUP(operations[productID],products[],2,FALSE)</f>
        <v>Gnocchi di nonna Alice</v>
      </c>
      <c r="H1320" s="9" t="str">
        <f>IF(VLOOKUP(operations[productID],products[],7,FALSE)=1,"Discontinued","Current")</f>
        <v>Current</v>
      </c>
      <c r="I1320" s="6">
        <f>VLOOKUP(operations[productID],products[],4,FALSE)</f>
        <v>21</v>
      </c>
      <c r="J1320" s="6">
        <f>VLOOKUP(operations[productID],products[],5,FALSE)</f>
        <v>10</v>
      </c>
      <c r="K1320" s="6">
        <f>VLOOKUP(operations[productID],products[],6,FALSE)</f>
        <v>30</v>
      </c>
      <c r="L1320" s="10">
        <f t="array" ref="L1320">INDEX('1 orders'!I1320:I2156, MATCH(1, ('1 orders'!A1320:A2156=A1320)*('1 orders'!G1320:G2156=F1320), 0))
</f>
        <v>28</v>
      </c>
      <c r="M1320" s="10">
        <f>IFERROR(__xludf.DUMMYFUNCTION("COUNTUNIQUEIFS($A$2:$A1320,$F$2:$F1320,F1320)"),35.0)</f>
        <v>35</v>
      </c>
      <c r="N1320" s="10">
        <f t="shared" si="1"/>
        <v>7</v>
      </c>
      <c r="O1320" s="26">
        <f>IF(operations[sinceLastOrder]=0,0,operations[orderQuantity] / operations[sinceLastOrder])</f>
        <v>4</v>
      </c>
      <c r="P1320" s="9">
        <v>232.55</v>
      </c>
      <c r="Q1320" s="7" t="s">
        <v>15</v>
      </c>
      <c r="R1320" s="10">
        <f>operations[arrivedDate]-operations[shippedDate]</f>
        <v>13</v>
      </c>
    </row>
    <row r="1321" ht="15.75" customHeight="1">
      <c r="A1321" s="6">
        <v>10749.0</v>
      </c>
      <c r="B1321" s="24">
        <v>45250.0</v>
      </c>
      <c r="C1321" s="24">
        <v>45278.0</v>
      </c>
      <c r="D1321" s="24">
        <v>45279.0</v>
      </c>
      <c r="E1321" s="24">
        <v>45288.0</v>
      </c>
      <c r="F1321" s="6">
        <v>56.0</v>
      </c>
      <c r="G1321" s="9" t="str">
        <f>VLOOKUP(operations[productID],products[],2,FALSE)</f>
        <v>Gnocchi di nonna Alice</v>
      </c>
      <c r="H1321" s="9" t="str">
        <f>IF(VLOOKUP(operations[productID],products[],7,FALSE)=1,"Discontinued","Current")</f>
        <v>Current</v>
      </c>
      <c r="I1321" s="6">
        <f>VLOOKUP(operations[productID],products[],4,FALSE)</f>
        <v>21</v>
      </c>
      <c r="J1321" s="6">
        <f>VLOOKUP(operations[productID],products[],5,FALSE)</f>
        <v>10</v>
      </c>
      <c r="K1321" s="6">
        <f>VLOOKUP(operations[productID],products[],6,FALSE)</f>
        <v>30</v>
      </c>
      <c r="L1321" s="10">
        <f t="array" ref="L1321">INDEX('1 orders'!I1321:I2156, MATCH(1, ('1 orders'!A1321:A2156=A1321)*('1 orders'!G1321:G2156=F1321), 0))
</f>
        <v>15</v>
      </c>
      <c r="M1321" s="10">
        <f>IFERROR(__xludf.DUMMYFUNCTION("COUNTUNIQUEIFS($A$2:$A1321,$F$2:$F1321,F1321)"),36.0)</f>
        <v>36</v>
      </c>
      <c r="N1321" s="10">
        <f t="shared" si="1"/>
        <v>0</v>
      </c>
      <c r="O1321" s="26">
        <f>IF(operations[sinceLastOrder]=0,0,operations[orderQuantity] / operations[sinceLastOrder])</f>
        <v>0</v>
      </c>
      <c r="P1321" s="9">
        <v>61.53</v>
      </c>
      <c r="Q1321" s="7" t="s">
        <v>17</v>
      </c>
      <c r="R1321" s="10">
        <f>operations[arrivedDate]-operations[shippedDate]</f>
        <v>9</v>
      </c>
    </row>
    <row r="1322" ht="15.75" customHeight="1">
      <c r="A1322" s="6">
        <v>10749.0</v>
      </c>
      <c r="B1322" s="24">
        <v>45250.0</v>
      </c>
      <c r="C1322" s="24">
        <v>45278.0</v>
      </c>
      <c r="D1322" s="24">
        <v>45279.0</v>
      </c>
      <c r="E1322" s="24">
        <v>45288.0</v>
      </c>
      <c r="F1322" s="6">
        <v>59.0</v>
      </c>
      <c r="G1322" s="9" t="str">
        <f>VLOOKUP(operations[productID],products[],2,FALSE)</f>
        <v>Raclette Courdavault</v>
      </c>
      <c r="H1322" s="9" t="str">
        <f>IF(VLOOKUP(operations[productID],products[],7,FALSE)=1,"Discontinued","Current")</f>
        <v>Current</v>
      </c>
      <c r="I1322" s="6">
        <f>VLOOKUP(operations[productID],products[],4,FALSE)</f>
        <v>79</v>
      </c>
      <c r="J1322" s="6">
        <f>VLOOKUP(operations[productID],products[],5,FALSE)</f>
        <v>0</v>
      </c>
      <c r="K1322" s="6">
        <f>VLOOKUP(operations[productID],products[],6,FALSE)</f>
        <v>0</v>
      </c>
      <c r="L1322" s="10">
        <f t="array" ref="L1322">INDEX('1 orders'!I1322:I2156, MATCH(1, ('1 orders'!A1322:A2156=A1322)*('1 orders'!G1322:G2156=F1322), 0))
</f>
        <v>6</v>
      </c>
      <c r="M1322" s="10">
        <f>IFERROR(__xludf.DUMMYFUNCTION("COUNTUNIQUEIFS($A$2:$A1322,$F$2:$F1322,F1322)"),36.0)</f>
        <v>36</v>
      </c>
      <c r="N1322" s="10">
        <f t="shared" si="1"/>
        <v>2</v>
      </c>
      <c r="O1322" s="26">
        <f>IF(operations[sinceLastOrder]=0,0,operations[orderQuantity] / operations[sinceLastOrder])</f>
        <v>3</v>
      </c>
      <c r="P1322" s="9">
        <v>61.53</v>
      </c>
      <c r="Q1322" s="7" t="s">
        <v>17</v>
      </c>
      <c r="R1322" s="10">
        <f>operations[arrivedDate]-operations[shippedDate]</f>
        <v>9</v>
      </c>
    </row>
    <row r="1323" ht="15.75" customHeight="1">
      <c r="A1323" s="6">
        <v>10749.0</v>
      </c>
      <c r="B1323" s="24">
        <v>45250.0</v>
      </c>
      <c r="C1323" s="24">
        <v>45278.0</v>
      </c>
      <c r="D1323" s="24">
        <v>45279.0</v>
      </c>
      <c r="E1323" s="24">
        <v>45288.0</v>
      </c>
      <c r="F1323" s="6">
        <v>76.0</v>
      </c>
      <c r="G1323" s="9" t="str">
        <f>VLOOKUP(operations[productID],products[],2,FALSE)</f>
        <v>Lakkalikööri</v>
      </c>
      <c r="H1323" s="9" t="str">
        <f>IF(VLOOKUP(operations[productID],products[],7,FALSE)=1,"Discontinued","Current")</f>
        <v>Current</v>
      </c>
      <c r="I1323" s="6">
        <f>VLOOKUP(operations[productID],products[],4,FALSE)</f>
        <v>57</v>
      </c>
      <c r="J1323" s="6">
        <f>VLOOKUP(operations[productID],products[],5,FALSE)</f>
        <v>0</v>
      </c>
      <c r="K1323" s="6">
        <f>VLOOKUP(operations[productID],products[],6,FALSE)</f>
        <v>20</v>
      </c>
      <c r="L1323" s="10">
        <f t="array" ref="L1323">INDEX('1 orders'!I1323:I2156, MATCH(1, ('1 orders'!A1323:A2156=A1323)*('1 orders'!G1323:G2156=F1323), 0))
</f>
        <v>10</v>
      </c>
      <c r="M1323" s="10">
        <f>IFERROR(__xludf.DUMMYFUNCTION("COUNTUNIQUEIFS($A$2:$A1323,$F$2:$F1323,F1323)"),26.0)</f>
        <v>26</v>
      </c>
      <c r="N1323" s="10">
        <f t="shared" si="1"/>
        <v>13</v>
      </c>
      <c r="O1323" s="26">
        <f>IF(operations[sinceLastOrder]=0,0,operations[orderQuantity] / operations[sinceLastOrder])</f>
        <v>0.7692307692</v>
      </c>
      <c r="P1323" s="9">
        <v>61.53</v>
      </c>
      <c r="Q1323" s="7" t="s">
        <v>17</v>
      </c>
      <c r="R1323" s="10">
        <f>operations[arrivedDate]-operations[shippedDate]</f>
        <v>9</v>
      </c>
    </row>
    <row r="1324" ht="15.75" customHeight="1">
      <c r="A1324" s="6">
        <v>10750.0</v>
      </c>
      <c r="B1324" s="24">
        <v>45251.0</v>
      </c>
      <c r="C1324" s="24">
        <v>45279.0</v>
      </c>
      <c r="D1324" s="24">
        <v>45254.0</v>
      </c>
      <c r="E1324" s="24">
        <v>45265.0</v>
      </c>
      <c r="F1324" s="6">
        <v>14.0</v>
      </c>
      <c r="G1324" s="9" t="str">
        <f>VLOOKUP(operations[productID],products[],2,FALSE)</f>
        <v>Tofu</v>
      </c>
      <c r="H1324" s="9" t="str">
        <f>IF(VLOOKUP(operations[productID],products[],7,FALSE)=1,"Discontinued","Current")</f>
        <v>Current</v>
      </c>
      <c r="I1324" s="6">
        <f>VLOOKUP(operations[productID],products[],4,FALSE)</f>
        <v>35</v>
      </c>
      <c r="J1324" s="6">
        <f>VLOOKUP(operations[productID],products[],5,FALSE)</f>
        <v>0</v>
      </c>
      <c r="K1324" s="6">
        <f>VLOOKUP(operations[productID],products[],6,FALSE)</f>
        <v>0</v>
      </c>
      <c r="L1324" s="10">
        <f t="array" ref="L1324">INDEX('1 orders'!I1324:I2156, MATCH(1, ('1 orders'!A1324:A2156=A1324)*('1 orders'!G1324:G2156=F1324), 0))
</f>
        <v>5</v>
      </c>
      <c r="M1324" s="10">
        <f>IFERROR(__xludf.DUMMYFUNCTION("COUNTUNIQUEIFS($A$2:$A1324,$F$2:$F1324,F1324)"),19.0)</f>
        <v>19</v>
      </c>
      <c r="N1324" s="10">
        <f t="shared" si="1"/>
        <v>14</v>
      </c>
      <c r="O1324" s="26">
        <f>IF(operations[sinceLastOrder]=0,0,operations[orderQuantity] / operations[sinceLastOrder])</f>
        <v>0.3571428571</v>
      </c>
      <c r="P1324" s="9">
        <v>79.3</v>
      </c>
      <c r="Q1324" s="7" t="s">
        <v>15</v>
      </c>
      <c r="R1324" s="10">
        <f>operations[arrivedDate]-operations[shippedDate]</f>
        <v>11</v>
      </c>
    </row>
    <row r="1325" ht="15.75" customHeight="1">
      <c r="A1325" s="6">
        <v>10750.0</v>
      </c>
      <c r="B1325" s="24">
        <v>45251.0</v>
      </c>
      <c r="C1325" s="24">
        <v>45279.0</v>
      </c>
      <c r="D1325" s="24">
        <v>45254.0</v>
      </c>
      <c r="E1325" s="24">
        <v>45265.0</v>
      </c>
      <c r="F1325" s="6">
        <v>45.0</v>
      </c>
      <c r="G1325" s="9" t="str">
        <f>VLOOKUP(operations[productID],products[],2,FALSE)</f>
        <v>Rogede sild</v>
      </c>
      <c r="H1325" s="9" t="str">
        <f>IF(VLOOKUP(operations[productID],products[],7,FALSE)=1,"Discontinued","Current")</f>
        <v>Current</v>
      </c>
      <c r="I1325" s="6">
        <f>VLOOKUP(operations[productID],products[],4,FALSE)</f>
        <v>5</v>
      </c>
      <c r="J1325" s="6">
        <f>VLOOKUP(operations[productID],products[],5,FALSE)</f>
        <v>70</v>
      </c>
      <c r="K1325" s="6">
        <f>VLOOKUP(operations[productID],products[],6,FALSE)</f>
        <v>15</v>
      </c>
      <c r="L1325" s="10">
        <f t="array" ref="L1325">INDEX('1 orders'!I1325:I2156, MATCH(1, ('1 orders'!A1325:A2156=A1325)*('1 orders'!G1325:G2156=F1325), 0))
</f>
        <v>40</v>
      </c>
      <c r="M1325" s="10">
        <f>IFERROR(__xludf.DUMMYFUNCTION("COUNTUNIQUEIFS($A$2:$A1325,$F$2:$F1325,F1325)"),8.0)</f>
        <v>8</v>
      </c>
      <c r="N1325" s="10">
        <f t="shared" si="1"/>
        <v>8</v>
      </c>
      <c r="O1325" s="26">
        <f>IF(operations[sinceLastOrder]=0,0,operations[orderQuantity] / operations[sinceLastOrder])</f>
        <v>5</v>
      </c>
      <c r="P1325" s="9">
        <v>79.3</v>
      </c>
      <c r="Q1325" s="7" t="s">
        <v>15</v>
      </c>
      <c r="R1325" s="10">
        <f>operations[arrivedDate]-operations[shippedDate]</f>
        <v>11</v>
      </c>
    </row>
    <row r="1326" ht="15.75" customHeight="1">
      <c r="A1326" s="6">
        <v>10750.0</v>
      </c>
      <c r="B1326" s="24">
        <v>45251.0</v>
      </c>
      <c r="C1326" s="24">
        <v>45279.0</v>
      </c>
      <c r="D1326" s="24">
        <v>45254.0</v>
      </c>
      <c r="E1326" s="24">
        <v>45265.0</v>
      </c>
      <c r="F1326" s="6">
        <v>59.0</v>
      </c>
      <c r="G1326" s="9" t="str">
        <f>VLOOKUP(operations[productID],products[],2,FALSE)</f>
        <v>Raclette Courdavault</v>
      </c>
      <c r="H1326" s="9" t="str">
        <f>IF(VLOOKUP(operations[productID],products[],7,FALSE)=1,"Discontinued","Current")</f>
        <v>Current</v>
      </c>
      <c r="I1326" s="6">
        <f>VLOOKUP(operations[productID],products[],4,FALSE)</f>
        <v>79</v>
      </c>
      <c r="J1326" s="6">
        <f>VLOOKUP(operations[productID],products[],5,FALSE)</f>
        <v>0</v>
      </c>
      <c r="K1326" s="6">
        <f>VLOOKUP(operations[productID],products[],6,FALSE)</f>
        <v>0</v>
      </c>
      <c r="L1326" s="10">
        <f t="array" ref="L1326">INDEX('1 orders'!I1326:I2156, MATCH(1, ('1 orders'!A1326:A2156=A1326)*('1 orders'!G1326:G2156=F1326), 0))
</f>
        <v>25</v>
      </c>
      <c r="M1326" s="10">
        <f>IFERROR(__xludf.DUMMYFUNCTION("COUNTUNIQUEIFS($A$2:$A1326,$F$2:$F1326,F1326)"),37.0)</f>
        <v>37</v>
      </c>
      <c r="N1326" s="10">
        <f t="shared" si="1"/>
        <v>1</v>
      </c>
      <c r="O1326" s="26">
        <f>IF(operations[sinceLastOrder]=0,0,operations[orderQuantity] / operations[sinceLastOrder])</f>
        <v>25</v>
      </c>
      <c r="P1326" s="9">
        <v>79.3</v>
      </c>
      <c r="Q1326" s="7" t="s">
        <v>15</v>
      </c>
      <c r="R1326" s="10">
        <f>operations[arrivedDate]-operations[shippedDate]</f>
        <v>11</v>
      </c>
    </row>
    <row r="1327" ht="15.75" customHeight="1">
      <c r="A1327" s="6">
        <v>10751.0</v>
      </c>
      <c r="B1327" s="24">
        <v>45254.0</v>
      </c>
      <c r="C1327" s="24">
        <v>45282.0</v>
      </c>
      <c r="D1327" s="24">
        <v>45263.0</v>
      </c>
      <c r="E1327" s="24">
        <v>45274.0</v>
      </c>
      <c r="F1327" s="6">
        <v>26.0</v>
      </c>
      <c r="G1327" s="9" t="str">
        <f>VLOOKUP(operations[productID],products[],2,FALSE)</f>
        <v>NuNuCa Nuß-Nougat-Creme</v>
      </c>
      <c r="H1327" s="9" t="str">
        <f>IF(VLOOKUP(operations[productID],products[],7,FALSE)=1,"Discontinued","Current")</f>
        <v>Current</v>
      </c>
      <c r="I1327" s="6">
        <f>VLOOKUP(operations[productID],products[],4,FALSE)</f>
        <v>15</v>
      </c>
      <c r="J1327" s="6">
        <f>VLOOKUP(operations[productID],products[],5,FALSE)</f>
        <v>0</v>
      </c>
      <c r="K1327" s="6">
        <f>VLOOKUP(operations[productID],products[],6,FALSE)</f>
        <v>0</v>
      </c>
      <c r="L1327" s="10">
        <f t="array" ref="L1327">INDEX('1 orders'!I1327:I2156, MATCH(1, ('1 orders'!A1327:A2156=A1327)*('1 orders'!G1327:G2156=F1327), 0))
</f>
        <v>12</v>
      </c>
      <c r="M1327" s="10">
        <f>IFERROR(__xludf.DUMMYFUNCTION("COUNTUNIQUEIFS($A$2:$A1327,$F$2:$F1327,F1327)"),21.0)</f>
        <v>21</v>
      </c>
      <c r="N1327" s="10">
        <f t="shared" si="1"/>
        <v>25</v>
      </c>
      <c r="O1327" s="26">
        <f>IF(operations[sinceLastOrder]=0,0,operations[orderQuantity] / operations[sinceLastOrder])</f>
        <v>0.48</v>
      </c>
      <c r="P1327" s="9">
        <v>130.79</v>
      </c>
      <c r="Q1327" s="7" t="s">
        <v>13</v>
      </c>
      <c r="R1327" s="10">
        <f>operations[arrivedDate]-operations[shippedDate]</f>
        <v>11</v>
      </c>
    </row>
    <row r="1328" ht="15.75" customHeight="1">
      <c r="A1328" s="6">
        <v>10751.0</v>
      </c>
      <c r="B1328" s="24">
        <v>45254.0</v>
      </c>
      <c r="C1328" s="24">
        <v>45282.0</v>
      </c>
      <c r="D1328" s="24">
        <v>45263.0</v>
      </c>
      <c r="E1328" s="24">
        <v>45274.0</v>
      </c>
      <c r="F1328" s="6">
        <v>30.0</v>
      </c>
      <c r="G1328" s="9" t="str">
        <f>VLOOKUP(operations[productID],products[],2,FALSE)</f>
        <v>Nord-Ost Matjeshering</v>
      </c>
      <c r="H1328" s="9" t="str">
        <f>IF(VLOOKUP(operations[productID],products[],7,FALSE)=1,"Discontinued","Current")</f>
        <v>Current</v>
      </c>
      <c r="I1328" s="6">
        <f>VLOOKUP(operations[productID],products[],4,FALSE)</f>
        <v>10</v>
      </c>
      <c r="J1328" s="6">
        <f>VLOOKUP(operations[productID],products[],5,FALSE)</f>
        <v>0</v>
      </c>
      <c r="K1328" s="6">
        <f>VLOOKUP(operations[productID],products[],6,FALSE)</f>
        <v>15</v>
      </c>
      <c r="L1328" s="10">
        <f t="array" ref="L1328">INDEX('1 orders'!I1328:I2156, MATCH(1, ('1 orders'!A1328:A2156=A1328)*('1 orders'!G1328:G2156=F1328), 0))
</f>
        <v>30</v>
      </c>
      <c r="M1328" s="10">
        <f>IFERROR(__xludf.DUMMYFUNCTION("COUNTUNIQUEIFS($A$2:$A1328,$F$2:$F1328,F1328)"),21.0)</f>
        <v>21</v>
      </c>
      <c r="N1328" s="10">
        <f t="shared" si="1"/>
        <v>17</v>
      </c>
      <c r="O1328" s="26">
        <f>IF(operations[sinceLastOrder]=0,0,operations[orderQuantity] / operations[sinceLastOrder])</f>
        <v>1.764705882</v>
      </c>
      <c r="P1328" s="9">
        <v>130.79</v>
      </c>
      <c r="Q1328" s="7" t="s">
        <v>13</v>
      </c>
      <c r="R1328" s="10">
        <f>operations[arrivedDate]-operations[shippedDate]</f>
        <v>11</v>
      </c>
    </row>
    <row r="1329" ht="15.75" customHeight="1">
      <c r="A1329" s="6">
        <v>10751.0</v>
      </c>
      <c r="B1329" s="24">
        <v>45254.0</v>
      </c>
      <c r="C1329" s="24">
        <v>45282.0</v>
      </c>
      <c r="D1329" s="24">
        <v>45263.0</v>
      </c>
      <c r="E1329" s="24">
        <v>45274.0</v>
      </c>
      <c r="F1329" s="6">
        <v>50.0</v>
      </c>
      <c r="G1329" s="9" t="str">
        <f>VLOOKUP(operations[productID],products[],2,FALSE)</f>
        <v>Valkoinen suklaa</v>
      </c>
      <c r="H1329" s="9" t="str">
        <f>IF(VLOOKUP(operations[productID],products[],7,FALSE)=1,"Discontinued","Current")</f>
        <v>Current</v>
      </c>
      <c r="I1329" s="6">
        <f>VLOOKUP(operations[productID],products[],4,FALSE)</f>
        <v>65</v>
      </c>
      <c r="J1329" s="6">
        <f>VLOOKUP(operations[productID],products[],5,FALSE)</f>
        <v>0</v>
      </c>
      <c r="K1329" s="6">
        <f>VLOOKUP(operations[productID],products[],6,FALSE)</f>
        <v>30</v>
      </c>
      <c r="L1329" s="10">
        <f t="array" ref="L1329">INDEX('1 orders'!I1329:I2156, MATCH(1, ('1 orders'!A1329:A2156=A1329)*('1 orders'!G1329:G2156=F1329), 0))
</f>
        <v>20</v>
      </c>
      <c r="M1329" s="10">
        <f>IFERROR(__xludf.DUMMYFUNCTION("COUNTUNIQUEIFS($A$2:$A1329,$F$2:$F1329,F1329)"),7.0)</f>
        <v>7</v>
      </c>
      <c r="N1329" s="10">
        <f t="shared" si="1"/>
        <v>20</v>
      </c>
      <c r="O1329" s="26">
        <f>IF(operations[sinceLastOrder]=0,0,operations[orderQuantity] / operations[sinceLastOrder])</f>
        <v>1</v>
      </c>
      <c r="P1329" s="9">
        <v>130.79</v>
      </c>
      <c r="Q1329" s="7" t="s">
        <v>13</v>
      </c>
      <c r="R1329" s="10">
        <f>operations[arrivedDate]-operations[shippedDate]</f>
        <v>11</v>
      </c>
    </row>
    <row r="1330" ht="15.75" customHeight="1">
      <c r="A1330" s="6">
        <v>10751.0</v>
      </c>
      <c r="B1330" s="24">
        <v>45254.0</v>
      </c>
      <c r="C1330" s="24">
        <v>45282.0</v>
      </c>
      <c r="D1330" s="24">
        <v>45263.0</v>
      </c>
      <c r="E1330" s="24">
        <v>45274.0</v>
      </c>
      <c r="F1330" s="6">
        <v>73.0</v>
      </c>
      <c r="G1330" s="9" t="str">
        <f>VLOOKUP(operations[productID],products[],2,FALSE)</f>
        <v>Röd Kaviar</v>
      </c>
      <c r="H1330" s="9" t="str">
        <f>IF(VLOOKUP(operations[productID],products[],7,FALSE)=1,"Discontinued","Current")</f>
        <v>Current</v>
      </c>
      <c r="I1330" s="6">
        <f>VLOOKUP(operations[productID],products[],4,FALSE)</f>
        <v>101</v>
      </c>
      <c r="J1330" s="6">
        <f>VLOOKUP(operations[productID],products[],5,FALSE)</f>
        <v>0</v>
      </c>
      <c r="K1330" s="6">
        <f>VLOOKUP(operations[productID],products[],6,FALSE)</f>
        <v>5</v>
      </c>
      <c r="L1330" s="10">
        <f t="array" ref="L1330">INDEX('1 orders'!I1330:I2156, MATCH(1, ('1 orders'!A1330:A2156=A1330)*('1 orders'!G1330:G2156=F1330), 0))
</f>
        <v>15</v>
      </c>
      <c r="M1330" s="10">
        <f>IFERROR(__xludf.DUMMYFUNCTION("COUNTUNIQUEIFS($A$2:$A1330,$F$2:$F1330,F1330)"),12.0)</f>
        <v>12</v>
      </c>
      <c r="N1330" s="10">
        <f t="shared" si="1"/>
        <v>41</v>
      </c>
      <c r="O1330" s="26">
        <f>IF(operations[sinceLastOrder]=0,0,operations[orderQuantity] / operations[sinceLastOrder])</f>
        <v>0.3658536585</v>
      </c>
      <c r="P1330" s="9">
        <v>130.79</v>
      </c>
      <c r="Q1330" s="7" t="s">
        <v>13</v>
      </c>
      <c r="R1330" s="10">
        <f>operations[arrivedDate]-operations[shippedDate]</f>
        <v>11</v>
      </c>
    </row>
    <row r="1331" ht="15.75" customHeight="1">
      <c r="A1331" s="6">
        <v>10752.0</v>
      </c>
      <c r="B1331" s="24">
        <v>45254.0</v>
      </c>
      <c r="C1331" s="24">
        <v>45282.0</v>
      </c>
      <c r="D1331" s="24">
        <v>45258.0</v>
      </c>
      <c r="E1331" s="24">
        <v>45267.0</v>
      </c>
      <c r="F1331" s="6">
        <v>1.0</v>
      </c>
      <c r="G1331" s="9" t="str">
        <f>VLOOKUP(operations[productID],products[],2,FALSE)</f>
        <v>Chai</v>
      </c>
      <c r="H1331" s="9" t="str">
        <f>IF(VLOOKUP(operations[productID],products[],7,FALSE)=1,"Discontinued","Current")</f>
        <v>Current</v>
      </c>
      <c r="I1331" s="6">
        <f>VLOOKUP(operations[productID],products[],4,FALSE)</f>
        <v>39</v>
      </c>
      <c r="J1331" s="6">
        <f>VLOOKUP(operations[productID],products[],5,FALSE)</f>
        <v>0</v>
      </c>
      <c r="K1331" s="6">
        <f>VLOOKUP(operations[productID],products[],6,FALSE)</f>
        <v>10</v>
      </c>
      <c r="L1331" s="10">
        <f t="array" ref="L1331">INDEX('1 orders'!I1331:I2156, MATCH(1, ('1 orders'!A1331:A2156=A1331)*('1 orders'!G1331:G2156=F1331), 0))
</f>
        <v>8</v>
      </c>
      <c r="M1331" s="10">
        <f>IFERROR(__xludf.DUMMYFUNCTION("COUNTUNIQUEIFS($A$2:$A1331,$F$2:$F1331,F1331)"),22.0)</f>
        <v>22</v>
      </c>
      <c r="N1331" s="10">
        <f t="shared" si="1"/>
        <v>20</v>
      </c>
      <c r="O1331" s="26">
        <f>IF(operations[sinceLastOrder]=0,0,operations[orderQuantity] / operations[sinceLastOrder])</f>
        <v>0.4</v>
      </c>
      <c r="P1331" s="9">
        <v>1.39</v>
      </c>
      <c r="Q1331" s="7" t="s">
        <v>13</v>
      </c>
      <c r="R1331" s="10">
        <f>operations[arrivedDate]-operations[shippedDate]</f>
        <v>9</v>
      </c>
    </row>
    <row r="1332" ht="15.75" customHeight="1">
      <c r="A1332" s="6">
        <v>10752.0</v>
      </c>
      <c r="B1332" s="24">
        <v>45254.0</v>
      </c>
      <c r="C1332" s="24">
        <v>45282.0</v>
      </c>
      <c r="D1332" s="24">
        <v>45258.0</v>
      </c>
      <c r="E1332" s="24">
        <v>45267.0</v>
      </c>
      <c r="F1332" s="6">
        <v>69.0</v>
      </c>
      <c r="G1332" s="9" t="str">
        <f>VLOOKUP(operations[productID],products[],2,FALSE)</f>
        <v>Gudbrandsdalsost</v>
      </c>
      <c r="H1332" s="9" t="str">
        <f>IF(VLOOKUP(operations[productID],products[],7,FALSE)=1,"Discontinued","Current")</f>
        <v>Current</v>
      </c>
      <c r="I1332" s="6">
        <f>VLOOKUP(operations[productID],products[],4,FALSE)</f>
        <v>26</v>
      </c>
      <c r="J1332" s="6">
        <f>VLOOKUP(operations[productID],products[],5,FALSE)</f>
        <v>0</v>
      </c>
      <c r="K1332" s="6">
        <f>VLOOKUP(operations[productID],products[],6,FALSE)</f>
        <v>15</v>
      </c>
      <c r="L1332" s="10">
        <f t="array" ref="L1332">INDEX('1 orders'!I1332:I2156, MATCH(1, ('1 orders'!A1332:A2156=A1332)*('1 orders'!G1332:G2156=F1332), 0))
</f>
        <v>3</v>
      </c>
      <c r="M1332" s="10">
        <f>IFERROR(__xludf.DUMMYFUNCTION("COUNTUNIQUEIFS($A$2:$A1332,$F$2:$F1332,F1332)"),23.0)</f>
        <v>23</v>
      </c>
      <c r="N1332" s="10">
        <f t="shared" si="1"/>
        <v>5</v>
      </c>
      <c r="O1332" s="26">
        <f>IF(operations[sinceLastOrder]=0,0,operations[orderQuantity] / operations[sinceLastOrder])</f>
        <v>0.6</v>
      </c>
      <c r="P1332" s="9">
        <v>1.39</v>
      </c>
      <c r="Q1332" s="7" t="s">
        <v>13</v>
      </c>
      <c r="R1332" s="10">
        <f>operations[arrivedDate]-operations[shippedDate]</f>
        <v>9</v>
      </c>
    </row>
    <row r="1333" ht="15.75" customHeight="1">
      <c r="A1333" s="6">
        <v>10753.0</v>
      </c>
      <c r="B1333" s="24">
        <v>45255.0</v>
      </c>
      <c r="C1333" s="24">
        <v>45283.0</v>
      </c>
      <c r="D1333" s="24">
        <v>45257.0</v>
      </c>
      <c r="E1333" s="24">
        <v>45264.0</v>
      </c>
      <c r="F1333" s="6">
        <v>45.0</v>
      </c>
      <c r="G1333" s="9" t="str">
        <f>VLOOKUP(operations[productID],products[],2,FALSE)</f>
        <v>Rogede sild</v>
      </c>
      <c r="H1333" s="9" t="str">
        <f>IF(VLOOKUP(operations[productID],products[],7,FALSE)=1,"Discontinued","Current")</f>
        <v>Current</v>
      </c>
      <c r="I1333" s="6">
        <f>VLOOKUP(operations[productID],products[],4,FALSE)</f>
        <v>5</v>
      </c>
      <c r="J1333" s="6">
        <f>VLOOKUP(operations[productID],products[],5,FALSE)</f>
        <v>70</v>
      </c>
      <c r="K1333" s="6">
        <f>VLOOKUP(operations[productID],products[],6,FALSE)</f>
        <v>15</v>
      </c>
      <c r="L1333" s="10">
        <f t="array" ref="L1333">INDEX('1 orders'!I1333:I2156, MATCH(1, ('1 orders'!A1333:A2156=A1333)*('1 orders'!G1333:G2156=F1333), 0))
</f>
        <v>4</v>
      </c>
      <c r="M1333" s="10">
        <f>IFERROR(__xludf.DUMMYFUNCTION("COUNTUNIQUEIFS($A$2:$A1333,$F$2:$F1333,F1333)"),9.0)</f>
        <v>9</v>
      </c>
      <c r="N1333" s="10">
        <f t="shared" si="1"/>
        <v>4</v>
      </c>
      <c r="O1333" s="26">
        <f>IF(operations[sinceLastOrder]=0,0,operations[orderQuantity] / operations[sinceLastOrder])</f>
        <v>1</v>
      </c>
      <c r="P1333" s="9">
        <v>7.7</v>
      </c>
      <c r="Q1333" s="7" t="s">
        <v>15</v>
      </c>
      <c r="R1333" s="10">
        <f>operations[arrivedDate]-operations[shippedDate]</f>
        <v>7</v>
      </c>
    </row>
    <row r="1334" ht="15.75" customHeight="1">
      <c r="A1334" s="6">
        <v>10753.0</v>
      </c>
      <c r="B1334" s="24">
        <v>45255.0</v>
      </c>
      <c r="C1334" s="24">
        <v>45283.0</v>
      </c>
      <c r="D1334" s="24">
        <v>45257.0</v>
      </c>
      <c r="E1334" s="24">
        <v>45264.0</v>
      </c>
      <c r="F1334" s="6">
        <v>74.0</v>
      </c>
      <c r="G1334" s="9" t="str">
        <f>VLOOKUP(operations[productID],products[],2,FALSE)</f>
        <v>Longlife Tofu</v>
      </c>
      <c r="H1334" s="9" t="str">
        <f>IF(VLOOKUP(operations[productID],products[],7,FALSE)=1,"Discontinued","Current")</f>
        <v>Current</v>
      </c>
      <c r="I1334" s="6">
        <f>VLOOKUP(operations[productID],products[],4,FALSE)</f>
        <v>4</v>
      </c>
      <c r="J1334" s="6">
        <f>VLOOKUP(operations[productID],products[],5,FALSE)</f>
        <v>20</v>
      </c>
      <c r="K1334" s="6">
        <f>VLOOKUP(operations[productID],products[],6,FALSE)</f>
        <v>5</v>
      </c>
      <c r="L1334" s="10">
        <f t="array" ref="L1334">INDEX('1 orders'!I1334:I2156, MATCH(1, ('1 orders'!A1334:A2156=A1334)*('1 orders'!G1334:G2156=F1334), 0))
</f>
        <v>5</v>
      </c>
      <c r="M1334" s="10">
        <f>IFERROR(__xludf.DUMMYFUNCTION("COUNTUNIQUEIFS($A$2:$A1334,$F$2:$F1334,F1334)"),9.0)</f>
        <v>9</v>
      </c>
      <c r="N1334" s="10">
        <f t="shared" si="1"/>
        <v>244</v>
      </c>
      <c r="O1334" s="26">
        <f>IF(operations[sinceLastOrder]=0,0,operations[orderQuantity] / operations[sinceLastOrder])</f>
        <v>0.02049180328</v>
      </c>
      <c r="P1334" s="9">
        <v>7.7</v>
      </c>
      <c r="Q1334" s="7" t="s">
        <v>15</v>
      </c>
      <c r="R1334" s="10">
        <f>operations[arrivedDate]-operations[shippedDate]</f>
        <v>7</v>
      </c>
    </row>
    <row r="1335" ht="15.75" customHeight="1">
      <c r="A1335" s="6">
        <v>10754.0</v>
      </c>
      <c r="B1335" s="24">
        <v>45255.0</v>
      </c>
      <c r="C1335" s="24">
        <v>45283.0</v>
      </c>
      <c r="D1335" s="24">
        <v>45257.0</v>
      </c>
      <c r="E1335" s="24">
        <v>45266.0</v>
      </c>
      <c r="F1335" s="6">
        <v>40.0</v>
      </c>
      <c r="G1335" s="9" t="str">
        <f>VLOOKUP(operations[productID],products[],2,FALSE)</f>
        <v>Boston Crab Meat</v>
      </c>
      <c r="H1335" s="9" t="str">
        <f>IF(VLOOKUP(operations[productID],products[],7,FALSE)=1,"Discontinued","Current")</f>
        <v>Current</v>
      </c>
      <c r="I1335" s="6">
        <f>VLOOKUP(operations[productID],products[],4,FALSE)</f>
        <v>123</v>
      </c>
      <c r="J1335" s="6">
        <f>VLOOKUP(operations[productID],products[],5,FALSE)</f>
        <v>0</v>
      </c>
      <c r="K1335" s="6">
        <f>VLOOKUP(operations[productID],products[],6,FALSE)</f>
        <v>30</v>
      </c>
      <c r="L1335" s="10">
        <f t="array" ref="L1335">INDEX('1 orders'!I1335:I2156, MATCH(1, ('1 orders'!A1335:A2156=A1335)*('1 orders'!G1335:G2156=F1335), 0))
</f>
        <v>3</v>
      </c>
      <c r="M1335" s="10">
        <f>IFERROR(__xludf.DUMMYFUNCTION("COUNTUNIQUEIFS($A$2:$A1335,$F$2:$F1335,F1335)"),30.0)</f>
        <v>30</v>
      </c>
      <c r="N1335" s="10">
        <f t="shared" si="1"/>
        <v>5</v>
      </c>
      <c r="O1335" s="26">
        <f>IF(operations[sinceLastOrder]=0,0,operations[orderQuantity] / operations[sinceLastOrder])</f>
        <v>0.6</v>
      </c>
      <c r="P1335" s="9">
        <v>2.38</v>
      </c>
      <c r="Q1335" s="7" t="s">
        <v>13</v>
      </c>
      <c r="R1335" s="10">
        <f>operations[arrivedDate]-operations[shippedDate]</f>
        <v>9</v>
      </c>
    </row>
    <row r="1336" ht="15.75" customHeight="1">
      <c r="A1336" s="6">
        <v>10755.0</v>
      </c>
      <c r="B1336" s="24">
        <v>45256.0</v>
      </c>
      <c r="C1336" s="24">
        <v>45284.0</v>
      </c>
      <c r="D1336" s="24">
        <v>45258.0</v>
      </c>
      <c r="E1336" s="24">
        <v>45266.0</v>
      </c>
      <c r="F1336" s="6">
        <v>47.0</v>
      </c>
      <c r="G1336" s="9" t="str">
        <f>VLOOKUP(operations[productID],products[],2,FALSE)</f>
        <v>Zaanse koeken</v>
      </c>
      <c r="H1336" s="9" t="str">
        <f>IF(VLOOKUP(operations[productID],products[],7,FALSE)=1,"Discontinued","Current")</f>
        <v>Current</v>
      </c>
      <c r="I1336" s="6">
        <f>VLOOKUP(operations[productID],products[],4,FALSE)</f>
        <v>36</v>
      </c>
      <c r="J1336" s="6">
        <f>VLOOKUP(operations[productID],products[],5,FALSE)</f>
        <v>0</v>
      </c>
      <c r="K1336" s="6">
        <f>VLOOKUP(operations[productID],products[],6,FALSE)</f>
        <v>0</v>
      </c>
      <c r="L1336" s="10">
        <f t="array" ref="L1336">INDEX('1 orders'!I1336:I2156, MATCH(1, ('1 orders'!A1336:A2156=A1336)*('1 orders'!G1336:G2156=F1336), 0))
</f>
        <v>30</v>
      </c>
      <c r="M1336" s="10">
        <f>IFERROR(__xludf.DUMMYFUNCTION("COUNTUNIQUEIFS($A$2:$A1336,$F$2:$F1336,F1336)"),15.0)</f>
        <v>15</v>
      </c>
      <c r="N1336" s="10">
        <f t="shared" si="1"/>
        <v>35</v>
      </c>
      <c r="O1336" s="26">
        <f>IF(operations[sinceLastOrder]=0,0,operations[orderQuantity] / operations[sinceLastOrder])</f>
        <v>0.8571428571</v>
      </c>
      <c r="P1336" s="9">
        <v>16.71</v>
      </c>
      <c r="Q1336" s="7" t="s">
        <v>17</v>
      </c>
      <c r="R1336" s="10">
        <f>operations[arrivedDate]-operations[shippedDate]</f>
        <v>8</v>
      </c>
    </row>
    <row r="1337" ht="15.75" customHeight="1">
      <c r="A1337" s="6">
        <v>10755.0</v>
      </c>
      <c r="B1337" s="24">
        <v>45256.0</v>
      </c>
      <c r="C1337" s="24">
        <v>45284.0</v>
      </c>
      <c r="D1337" s="24">
        <v>45258.0</v>
      </c>
      <c r="E1337" s="24">
        <v>45266.0</v>
      </c>
      <c r="F1337" s="6">
        <v>56.0</v>
      </c>
      <c r="G1337" s="9" t="str">
        <f>VLOOKUP(operations[productID],products[],2,FALSE)</f>
        <v>Gnocchi di nonna Alice</v>
      </c>
      <c r="H1337" s="9" t="str">
        <f>IF(VLOOKUP(operations[productID],products[],7,FALSE)=1,"Discontinued","Current")</f>
        <v>Current</v>
      </c>
      <c r="I1337" s="6">
        <f>VLOOKUP(operations[productID],products[],4,FALSE)</f>
        <v>21</v>
      </c>
      <c r="J1337" s="6">
        <f>VLOOKUP(operations[productID],products[],5,FALSE)</f>
        <v>10</v>
      </c>
      <c r="K1337" s="6">
        <f>VLOOKUP(operations[productID],products[],6,FALSE)</f>
        <v>30</v>
      </c>
      <c r="L1337" s="10">
        <f t="array" ref="L1337">INDEX('1 orders'!I1337:I2156, MATCH(1, ('1 orders'!A1337:A2156=A1337)*('1 orders'!G1337:G2156=F1337), 0))
</f>
        <v>30</v>
      </c>
      <c r="M1337" s="10">
        <f>IFERROR(__xludf.DUMMYFUNCTION("COUNTUNIQUEIFS($A$2:$A1337,$F$2:$F1337,F1337)"),37.0)</f>
        <v>37</v>
      </c>
      <c r="N1337" s="10">
        <f t="shared" si="1"/>
        <v>6</v>
      </c>
      <c r="O1337" s="26">
        <f>IF(operations[sinceLastOrder]=0,0,operations[orderQuantity] / operations[sinceLastOrder])</f>
        <v>5</v>
      </c>
      <c r="P1337" s="9">
        <v>16.71</v>
      </c>
      <c r="Q1337" s="7" t="s">
        <v>17</v>
      </c>
      <c r="R1337" s="10">
        <f>operations[arrivedDate]-operations[shippedDate]</f>
        <v>8</v>
      </c>
    </row>
    <row r="1338" ht="15.75" customHeight="1">
      <c r="A1338" s="6">
        <v>10755.0</v>
      </c>
      <c r="B1338" s="24">
        <v>45256.0</v>
      </c>
      <c r="C1338" s="24">
        <v>45284.0</v>
      </c>
      <c r="D1338" s="24">
        <v>45258.0</v>
      </c>
      <c r="E1338" s="24">
        <v>45266.0</v>
      </c>
      <c r="F1338" s="6">
        <v>57.0</v>
      </c>
      <c r="G1338" s="9" t="str">
        <f>VLOOKUP(operations[productID],products[],2,FALSE)</f>
        <v>Ravioli Angelo</v>
      </c>
      <c r="H1338" s="9" t="str">
        <f>IF(VLOOKUP(operations[productID],products[],7,FALSE)=1,"Discontinued","Current")</f>
        <v>Current</v>
      </c>
      <c r="I1338" s="6">
        <f>VLOOKUP(operations[productID],products[],4,FALSE)</f>
        <v>36</v>
      </c>
      <c r="J1338" s="6">
        <f>VLOOKUP(operations[productID],products[],5,FALSE)</f>
        <v>0</v>
      </c>
      <c r="K1338" s="6">
        <f>VLOOKUP(operations[productID],products[],6,FALSE)</f>
        <v>20</v>
      </c>
      <c r="L1338" s="10">
        <f t="array" ref="L1338">INDEX('1 orders'!I1338:I2156, MATCH(1, ('1 orders'!A1338:A2156=A1338)*('1 orders'!G1338:G2156=F1338), 0))
</f>
        <v>14</v>
      </c>
      <c r="M1338" s="10">
        <f>IFERROR(__xludf.DUMMYFUNCTION("COUNTUNIQUEIFS($A$2:$A1338,$F$2:$F1338,F1338)"),14.0)</f>
        <v>14</v>
      </c>
      <c r="N1338" s="10">
        <f t="shared" si="1"/>
        <v>41</v>
      </c>
      <c r="O1338" s="26">
        <f>IF(operations[sinceLastOrder]=0,0,operations[orderQuantity] / operations[sinceLastOrder])</f>
        <v>0.3414634146</v>
      </c>
      <c r="P1338" s="9">
        <v>16.71</v>
      </c>
      <c r="Q1338" s="7" t="s">
        <v>17</v>
      </c>
      <c r="R1338" s="10">
        <f>operations[arrivedDate]-operations[shippedDate]</f>
        <v>8</v>
      </c>
    </row>
    <row r="1339" ht="15.75" customHeight="1">
      <c r="A1339" s="6">
        <v>10755.0</v>
      </c>
      <c r="B1339" s="24">
        <v>45256.0</v>
      </c>
      <c r="C1339" s="24">
        <v>45284.0</v>
      </c>
      <c r="D1339" s="24">
        <v>45258.0</v>
      </c>
      <c r="E1339" s="24">
        <v>45266.0</v>
      </c>
      <c r="F1339" s="6">
        <v>69.0</v>
      </c>
      <c r="G1339" s="9" t="str">
        <f>VLOOKUP(operations[productID],products[],2,FALSE)</f>
        <v>Gudbrandsdalsost</v>
      </c>
      <c r="H1339" s="9" t="str">
        <f>IF(VLOOKUP(operations[productID],products[],7,FALSE)=1,"Discontinued","Current")</f>
        <v>Current</v>
      </c>
      <c r="I1339" s="6">
        <f>VLOOKUP(operations[productID],products[],4,FALSE)</f>
        <v>26</v>
      </c>
      <c r="J1339" s="6">
        <f>VLOOKUP(operations[productID],products[],5,FALSE)</f>
        <v>0</v>
      </c>
      <c r="K1339" s="6">
        <f>VLOOKUP(operations[productID],products[],6,FALSE)</f>
        <v>15</v>
      </c>
      <c r="L1339" s="10">
        <f t="array" ref="L1339">INDEX('1 orders'!I1339:I2156, MATCH(1, ('1 orders'!A1339:A2156=A1339)*('1 orders'!G1339:G2156=F1339), 0))
</f>
        <v>25</v>
      </c>
      <c r="M1339" s="10">
        <f>IFERROR(__xludf.DUMMYFUNCTION("COUNTUNIQUEIFS($A$2:$A1339,$F$2:$F1339,F1339)"),24.0)</f>
        <v>24</v>
      </c>
      <c r="N1339" s="10">
        <f t="shared" si="1"/>
        <v>2</v>
      </c>
      <c r="O1339" s="26">
        <f>IF(operations[sinceLastOrder]=0,0,operations[orderQuantity] / operations[sinceLastOrder])</f>
        <v>12.5</v>
      </c>
      <c r="P1339" s="9">
        <v>16.71</v>
      </c>
      <c r="Q1339" s="7" t="s">
        <v>17</v>
      </c>
      <c r="R1339" s="10">
        <f>operations[arrivedDate]-operations[shippedDate]</f>
        <v>8</v>
      </c>
    </row>
    <row r="1340" ht="15.75" customHeight="1">
      <c r="A1340" s="6">
        <v>10756.0</v>
      </c>
      <c r="B1340" s="24">
        <v>45257.0</v>
      </c>
      <c r="C1340" s="24">
        <v>45285.0</v>
      </c>
      <c r="D1340" s="24">
        <v>45262.0</v>
      </c>
      <c r="E1340" s="24">
        <v>45281.0</v>
      </c>
      <c r="F1340" s="6">
        <v>18.0</v>
      </c>
      <c r="G1340" s="9" t="str">
        <f>VLOOKUP(operations[productID],products[],2,FALSE)</f>
        <v>Carnarvon Tigers</v>
      </c>
      <c r="H1340" s="9" t="str">
        <f>IF(VLOOKUP(operations[productID],products[],7,FALSE)=1,"Discontinued","Current")</f>
        <v>Current</v>
      </c>
      <c r="I1340" s="6">
        <f>VLOOKUP(operations[productID],products[],4,FALSE)</f>
        <v>42</v>
      </c>
      <c r="J1340" s="6">
        <f>VLOOKUP(operations[productID],products[],5,FALSE)</f>
        <v>0</v>
      </c>
      <c r="K1340" s="6">
        <f>VLOOKUP(operations[productID],products[],6,FALSE)</f>
        <v>0</v>
      </c>
      <c r="L1340" s="10">
        <f t="array" ref="L1340">INDEX('1 orders'!I1340:I2156, MATCH(1, ('1 orders'!A1340:A2156=A1340)*('1 orders'!G1340:G2156=F1340), 0))
</f>
        <v>21</v>
      </c>
      <c r="M1340" s="10">
        <f>IFERROR(__xludf.DUMMYFUNCTION("COUNTUNIQUEIFS($A$2:$A1340,$F$2:$F1340,F1340)"),16.0)</f>
        <v>16</v>
      </c>
      <c r="N1340" s="10">
        <f t="shared" si="1"/>
        <v>9</v>
      </c>
      <c r="O1340" s="26">
        <f>IF(operations[sinceLastOrder]=0,0,operations[orderQuantity] / operations[sinceLastOrder])</f>
        <v>2.333333333</v>
      </c>
      <c r="P1340" s="9">
        <v>73.21</v>
      </c>
      <c r="Q1340" s="7" t="s">
        <v>17</v>
      </c>
      <c r="R1340" s="10">
        <f>operations[arrivedDate]-operations[shippedDate]</f>
        <v>19</v>
      </c>
    </row>
    <row r="1341" ht="15.75" customHeight="1">
      <c r="A1341" s="6">
        <v>10756.0</v>
      </c>
      <c r="B1341" s="24">
        <v>45257.0</v>
      </c>
      <c r="C1341" s="24">
        <v>45285.0</v>
      </c>
      <c r="D1341" s="24">
        <v>45262.0</v>
      </c>
      <c r="E1341" s="24">
        <v>45281.0</v>
      </c>
      <c r="F1341" s="6">
        <v>36.0</v>
      </c>
      <c r="G1341" s="9" t="str">
        <f>VLOOKUP(operations[productID],products[],2,FALSE)</f>
        <v>Inlagd Sill</v>
      </c>
      <c r="H1341" s="9" t="str">
        <f>IF(VLOOKUP(operations[productID],products[],7,FALSE)=1,"Discontinued","Current")</f>
        <v>Current</v>
      </c>
      <c r="I1341" s="6">
        <f>VLOOKUP(operations[productID],products[],4,FALSE)</f>
        <v>112</v>
      </c>
      <c r="J1341" s="6">
        <f>VLOOKUP(operations[productID],products[],5,FALSE)</f>
        <v>0</v>
      </c>
      <c r="K1341" s="6">
        <f>VLOOKUP(operations[productID],products[],6,FALSE)</f>
        <v>20</v>
      </c>
      <c r="L1341" s="10">
        <f t="array" ref="L1341">INDEX('1 orders'!I1341:I2156, MATCH(1, ('1 orders'!A1341:A2156=A1341)*('1 orders'!G1341:G2156=F1341), 0))
</f>
        <v>20</v>
      </c>
      <c r="M1341" s="10">
        <f>IFERROR(__xludf.DUMMYFUNCTION("COUNTUNIQUEIFS($A$2:$A1341,$F$2:$F1341,F1341)"),22.0)</f>
        <v>22</v>
      </c>
      <c r="N1341" s="10">
        <f t="shared" si="1"/>
        <v>15</v>
      </c>
      <c r="O1341" s="26">
        <f>IF(operations[sinceLastOrder]=0,0,operations[orderQuantity] / operations[sinceLastOrder])</f>
        <v>1.333333333</v>
      </c>
      <c r="P1341" s="9">
        <v>73.21</v>
      </c>
      <c r="Q1341" s="7" t="s">
        <v>17</v>
      </c>
      <c r="R1341" s="10">
        <f>operations[arrivedDate]-operations[shippedDate]</f>
        <v>19</v>
      </c>
    </row>
    <row r="1342" ht="15.75" customHeight="1">
      <c r="A1342" s="6">
        <v>10756.0</v>
      </c>
      <c r="B1342" s="24">
        <v>45257.0</v>
      </c>
      <c r="C1342" s="24">
        <v>45285.0</v>
      </c>
      <c r="D1342" s="24">
        <v>45262.0</v>
      </c>
      <c r="E1342" s="24">
        <v>45281.0</v>
      </c>
      <c r="F1342" s="6">
        <v>68.0</v>
      </c>
      <c r="G1342" s="9" t="str">
        <f>VLOOKUP(operations[productID],products[],2,FALSE)</f>
        <v>Scottish Longbreads</v>
      </c>
      <c r="H1342" s="9" t="str">
        <f>IF(VLOOKUP(operations[productID],products[],7,FALSE)=1,"Discontinued","Current")</f>
        <v>Current</v>
      </c>
      <c r="I1342" s="6">
        <f>VLOOKUP(operations[productID],products[],4,FALSE)</f>
        <v>6</v>
      </c>
      <c r="J1342" s="6">
        <f>VLOOKUP(operations[productID],products[],5,FALSE)</f>
        <v>10</v>
      </c>
      <c r="K1342" s="6">
        <f>VLOOKUP(operations[productID],products[],6,FALSE)</f>
        <v>15</v>
      </c>
      <c r="L1342" s="10">
        <f t="array" ref="L1342">INDEX('1 orders'!I1342:I2156, MATCH(1, ('1 orders'!A1342:A2156=A1342)*('1 orders'!G1342:G2156=F1342), 0))
</f>
        <v>6</v>
      </c>
      <c r="M1342" s="10">
        <f>IFERROR(__xludf.DUMMYFUNCTION("COUNTUNIQUEIFS($A$2:$A1342,$F$2:$F1342,F1342)"),22.0)</f>
        <v>22</v>
      </c>
      <c r="N1342" s="10">
        <f t="shared" si="1"/>
        <v>29</v>
      </c>
      <c r="O1342" s="26">
        <f>IF(operations[sinceLastOrder]=0,0,operations[orderQuantity] / operations[sinceLastOrder])</f>
        <v>0.2068965517</v>
      </c>
      <c r="P1342" s="9">
        <v>73.21</v>
      </c>
      <c r="Q1342" s="7" t="s">
        <v>17</v>
      </c>
      <c r="R1342" s="10">
        <f>operations[arrivedDate]-operations[shippedDate]</f>
        <v>19</v>
      </c>
    </row>
    <row r="1343" ht="15.75" customHeight="1">
      <c r="A1343" s="6">
        <v>10756.0</v>
      </c>
      <c r="B1343" s="24">
        <v>45257.0</v>
      </c>
      <c r="C1343" s="24">
        <v>45285.0</v>
      </c>
      <c r="D1343" s="24">
        <v>45262.0</v>
      </c>
      <c r="E1343" s="24">
        <v>45281.0</v>
      </c>
      <c r="F1343" s="6">
        <v>69.0</v>
      </c>
      <c r="G1343" s="9" t="str">
        <f>VLOOKUP(operations[productID],products[],2,FALSE)</f>
        <v>Gudbrandsdalsost</v>
      </c>
      <c r="H1343" s="9" t="str">
        <f>IF(VLOOKUP(operations[productID],products[],7,FALSE)=1,"Discontinued","Current")</f>
        <v>Current</v>
      </c>
      <c r="I1343" s="6">
        <f>VLOOKUP(operations[productID],products[],4,FALSE)</f>
        <v>26</v>
      </c>
      <c r="J1343" s="6">
        <f>VLOOKUP(operations[productID],products[],5,FALSE)</f>
        <v>0</v>
      </c>
      <c r="K1343" s="6">
        <f>VLOOKUP(operations[productID],products[],6,FALSE)</f>
        <v>15</v>
      </c>
      <c r="L1343" s="10">
        <f t="array" ref="L1343">INDEX('1 orders'!I1343:I2156, MATCH(1, ('1 orders'!A1343:A2156=A1343)*('1 orders'!G1343:G2156=F1343), 0))
</f>
        <v>20</v>
      </c>
      <c r="M1343" s="10">
        <f>IFERROR(__xludf.DUMMYFUNCTION("COUNTUNIQUEIFS($A$2:$A1343,$F$2:$F1343,F1343)"),25.0)</f>
        <v>25</v>
      </c>
      <c r="N1343" s="10">
        <f t="shared" si="1"/>
        <v>1</v>
      </c>
      <c r="O1343" s="26">
        <f>IF(operations[sinceLastOrder]=0,0,operations[orderQuantity] / operations[sinceLastOrder])</f>
        <v>20</v>
      </c>
      <c r="P1343" s="9">
        <v>73.21</v>
      </c>
      <c r="Q1343" s="7" t="s">
        <v>17</v>
      </c>
      <c r="R1343" s="10">
        <f>operations[arrivedDate]-operations[shippedDate]</f>
        <v>19</v>
      </c>
    </row>
    <row r="1344" ht="15.75" customHeight="1">
      <c r="A1344" s="6">
        <v>10757.0</v>
      </c>
      <c r="B1344" s="24">
        <v>45257.0</v>
      </c>
      <c r="C1344" s="24">
        <v>45285.0</v>
      </c>
      <c r="D1344" s="24">
        <v>45275.0</v>
      </c>
      <c r="E1344" s="24">
        <v>45287.0</v>
      </c>
      <c r="F1344" s="6">
        <v>34.0</v>
      </c>
      <c r="G1344" s="9" t="str">
        <f>VLOOKUP(operations[productID],products[],2,FALSE)</f>
        <v>Sasquatch Ale</v>
      </c>
      <c r="H1344" s="9" t="str">
        <f>IF(VLOOKUP(operations[productID],products[],7,FALSE)=1,"Discontinued","Current")</f>
        <v>Current</v>
      </c>
      <c r="I1344" s="6">
        <f>VLOOKUP(operations[productID],products[],4,FALSE)</f>
        <v>111</v>
      </c>
      <c r="J1344" s="6">
        <f>VLOOKUP(operations[productID],products[],5,FALSE)</f>
        <v>0</v>
      </c>
      <c r="K1344" s="6">
        <f>VLOOKUP(operations[productID],products[],6,FALSE)</f>
        <v>15</v>
      </c>
      <c r="L1344" s="10">
        <f t="array" ref="L1344">INDEX('1 orders'!I1344:I2156, MATCH(1, ('1 orders'!A1344:A2156=A1344)*('1 orders'!G1344:G2156=F1344), 0))
</f>
        <v>30</v>
      </c>
      <c r="M1344" s="10">
        <f>IFERROR(__xludf.DUMMYFUNCTION("COUNTUNIQUEIFS($A$2:$A1344,$F$2:$F1344,F1344)"),12.0)</f>
        <v>12</v>
      </c>
      <c r="N1344" s="10">
        <f t="shared" si="1"/>
        <v>48</v>
      </c>
      <c r="O1344" s="26">
        <f>IF(operations[sinceLastOrder]=0,0,operations[orderQuantity] / operations[sinceLastOrder])</f>
        <v>0.625</v>
      </c>
      <c r="P1344" s="9">
        <v>8.19</v>
      </c>
      <c r="Q1344" s="7" t="s">
        <v>15</v>
      </c>
      <c r="R1344" s="10">
        <f>operations[arrivedDate]-operations[shippedDate]</f>
        <v>12</v>
      </c>
    </row>
    <row r="1345" ht="15.75" customHeight="1">
      <c r="A1345" s="6">
        <v>10757.0</v>
      </c>
      <c r="B1345" s="24">
        <v>45257.0</v>
      </c>
      <c r="C1345" s="24">
        <v>45285.0</v>
      </c>
      <c r="D1345" s="24">
        <v>45275.0</v>
      </c>
      <c r="E1345" s="24">
        <v>45287.0</v>
      </c>
      <c r="F1345" s="6">
        <v>59.0</v>
      </c>
      <c r="G1345" s="9" t="str">
        <f>VLOOKUP(operations[productID],products[],2,FALSE)</f>
        <v>Raclette Courdavault</v>
      </c>
      <c r="H1345" s="9" t="str">
        <f>IF(VLOOKUP(operations[productID],products[],7,FALSE)=1,"Discontinued","Current")</f>
        <v>Current</v>
      </c>
      <c r="I1345" s="6">
        <f>VLOOKUP(operations[productID],products[],4,FALSE)</f>
        <v>79</v>
      </c>
      <c r="J1345" s="6">
        <f>VLOOKUP(operations[productID],products[],5,FALSE)</f>
        <v>0</v>
      </c>
      <c r="K1345" s="6">
        <f>VLOOKUP(operations[productID],products[],6,FALSE)</f>
        <v>0</v>
      </c>
      <c r="L1345" s="10">
        <f t="array" ref="L1345">INDEX('1 orders'!I1345:I2156, MATCH(1, ('1 orders'!A1345:A2156=A1345)*('1 orders'!G1345:G2156=F1345), 0))
</f>
        <v>7</v>
      </c>
      <c r="M1345" s="10">
        <f>IFERROR(__xludf.DUMMYFUNCTION("COUNTUNIQUEIFS($A$2:$A1345,$F$2:$F1345,F1345)"),38.0)</f>
        <v>38</v>
      </c>
      <c r="N1345" s="10">
        <f t="shared" si="1"/>
        <v>6</v>
      </c>
      <c r="O1345" s="26">
        <f>IF(operations[sinceLastOrder]=0,0,operations[orderQuantity] / operations[sinceLastOrder])</f>
        <v>1.166666667</v>
      </c>
      <c r="P1345" s="9">
        <v>8.19</v>
      </c>
      <c r="Q1345" s="7" t="s">
        <v>15</v>
      </c>
      <c r="R1345" s="10">
        <f>operations[arrivedDate]-operations[shippedDate]</f>
        <v>12</v>
      </c>
    </row>
    <row r="1346" ht="15.75" customHeight="1">
      <c r="A1346" s="6">
        <v>10757.0</v>
      </c>
      <c r="B1346" s="24">
        <v>45257.0</v>
      </c>
      <c r="C1346" s="24">
        <v>45285.0</v>
      </c>
      <c r="D1346" s="24">
        <v>45275.0</v>
      </c>
      <c r="E1346" s="24">
        <v>45287.0</v>
      </c>
      <c r="F1346" s="6">
        <v>62.0</v>
      </c>
      <c r="G1346" s="9" t="str">
        <f>VLOOKUP(operations[productID],products[],2,FALSE)</f>
        <v>Tarte au sucre</v>
      </c>
      <c r="H1346" s="9" t="str">
        <f>IF(VLOOKUP(operations[productID],products[],7,FALSE)=1,"Discontinued","Current")</f>
        <v>Current</v>
      </c>
      <c r="I1346" s="6">
        <f>VLOOKUP(operations[productID],products[],4,FALSE)</f>
        <v>17</v>
      </c>
      <c r="J1346" s="6">
        <f>VLOOKUP(operations[productID],products[],5,FALSE)</f>
        <v>0</v>
      </c>
      <c r="K1346" s="6">
        <f>VLOOKUP(operations[productID],products[],6,FALSE)</f>
        <v>0</v>
      </c>
      <c r="L1346" s="10">
        <f t="array" ref="L1346">INDEX('1 orders'!I1346:I2156, MATCH(1, ('1 orders'!A1346:A2156=A1346)*('1 orders'!G1346:G2156=F1346), 0))
</f>
        <v>30</v>
      </c>
      <c r="M1346" s="10">
        <f>IFERROR(__xludf.DUMMYFUNCTION("COUNTUNIQUEIFS($A$2:$A1346,$F$2:$F1346,F1346)"),29.0)</f>
        <v>29</v>
      </c>
      <c r="N1346" s="10">
        <f t="shared" si="1"/>
        <v>8</v>
      </c>
      <c r="O1346" s="26">
        <f>IF(operations[sinceLastOrder]=0,0,operations[orderQuantity] / operations[sinceLastOrder])</f>
        <v>3.75</v>
      </c>
      <c r="P1346" s="9">
        <v>8.19</v>
      </c>
      <c r="Q1346" s="7" t="s">
        <v>15</v>
      </c>
      <c r="R1346" s="10">
        <f>operations[arrivedDate]-operations[shippedDate]</f>
        <v>12</v>
      </c>
    </row>
    <row r="1347" ht="15.75" customHeight="1">
      <c r="A1347" s="6">
        <v>10757.0</v>
      </c>
      <c r="B1347" s="24">
        <v>45257.0</v>
      </c>
      <c r="C1347" s="24">
        <v>45285.0</v>
      </c>
      <c r="D1347" s="24">
        <v>45275.0</v>
      </c>
      <c r="E1347" s="24">
        <v>45287.0</v>
      </c>
      <c r="F1347" s="6">
        <v>64.0</v>
      </c>
      <c r="G1347" s="9" t="str">
        <f>VLOOKUP(operations[productID],products[],2,FALSE)</f>
        <v>Lukas' leckere Sauerteigweggla</v>
      </c>
      <c r="H1347" s="9" t="str">
        <f>IF(VLOOKUP(operations[productID],products[],7,FALSE)=1,"Discontinued","Current")</f>
        <v>Current</v>
      </c>
      <c r="I1347" s="6">
        <f>VLOOKUP(operations[productID],products[],4,FALSE)</f>
        <v>22</v>
      </c>
      <c r="J1347" s="6">
        <f>VLOOKUP(operations[productID],products[],5,FALSE)</f>
        <v>80</v>
      </c>
      <c r="K1347" s="6">
        <f>VLOOKUP(operations[productID],products[],6,FALSE)</f>
        <v>30</v>
      </c>
      <c r="L1347" s="10">
        <f t="array" ref="L1347">INDEX('1 orders'!I1347:I2156, MATCH(1, ('1 orders'!A1347:A2156=A1347)*('1 orders'!G1347:G2156=F1347), 0))
</f>
        <v>24</v>
      </c>
      <c r="M1347" s="10">
        <f>IFERROR(__xludf.DUMMYFUNCTION("COUNTUNIQUEIFS($A$2:$A1347,$F$2:$F1347,F1347)"),17.0)</f>
        <v>17</v>
      </c>
      <c r="N1347" s="10">
        <f t="shared" si="1"/>
        <v>63</v>
      </c>
      <c r="O1347" s="26">
        <f>IF(operations[sinceLastOrder]=0,0,operations[orderQuantity] / operations[sinceLastOrder])</f>
        <v>0.380952381</v>
      </c>
      <c r="P1347" s="9">
        <v>8.19</v>
      </c>
      <c r="Q1347" s="7" t="s">
        <v>15</v>
      </c>
      <c r="R1347" s="10">
        <f>operations[arrivedDate]-operations[shippedDate]</f>
        <v>12</v>
      </c>
    </row>
    <row r="1348" ht="15.75" customHeight="1">
      <c r="A1348" s="6">
        <v>10758.0</v>
      </c>
      <c r="B1348" s="24">
        <v>45258.0</v>
      </c>
      <c r="C1348" s="24">
        <v>45286.0</v>
      </c>
      <c r="D1348" s="24">
        <v>45264.0</v>
      </c>
      <c r="E1348" s="24">
        <v>45277.0</v>
      </c>
      <c r="F1348" s="6">
        <v>26.0</v>
      </c>
      <c r="G1348" s="9" t="str">
        <f>VLOOKUP(operations[productID],products[],2,FALSE)</f>
        <v>NuNuCa Nuß-Nougat-Creme</v>
      </c>
      <c r="H1348" s="9" t="str">
        <f>IF(VLOOKUP(operations[productID],products[],7,FALSE)=1,"Discontinued","Current")</f>
        <v>Current</v>
      </c>
      <c r="I1348" s="6">
        <f>VLOOKUP(operations[productID],products[],4,FALSE)</f>
        <v>15</v>
      </c>
      <c r="J1348" s="6">
        <f>VLOOKUP(operations[productID],products[],5,FALSE)</f>
        <v>0</v>
      </c>
      <c r="K1348" s="6">
        <f>VLOOKUP(operations[productID],products[],6,FALSE)</f>
        <v>0</v>
      </c>
      <c r="L1348" s="10">
        <f t="array" ref="L1348">INDEX('1 orders'!I1348:I2156, MATCH(1, ('1 orders'!A1348:A2156=A1348)*('1 orders'!G1348:G2156=F1348), 0))
</f>
        <v>20</v>
      </c>
      <c r="M1348" s="10">
        <f>IFERROR(__xludf.DUMMYFUNCTION("COUNTUNIQUEIFS($A$2:$A1348,$F$2:$F1348,F1348)"),22.0)</f>
        <v>22</v>
      </c>
      <c r="N1348" s="10">
        <f t="shared" si="1"/>
        <v>4</v>
      </c>
      <c r="O1348" s="26">
        <f>IF(operations[sinceLastOrder]=0,0,operations[orderQuantity] / operations[sinceLastOrder])</f>
        <v>5</v>
      </c>
      <c r="P1348" s="9">
        <v>138.17</v>
      </c>
      <c r="Q1348" s="7" t="s">
        <v>13</v>
      </c>
      <c r="R1348" s="10">
        <f>operations[arrivedDate]-operations[shippedDate]</f>
        <v>13</v>
      </c>
    </row>
    <row r="1349" ht="15.75" customHeight="1">
      <c r="A1349" s="6">
        <v>10758.0</v>
      </c>
      <c r="B1349" s="24">
        <v>45258.0</v>
      </c>
      <c r="C1349" s="24">
        <v>45286.0</v>
      </c>
      <c r="D1349" s="24">
        <v>45264.0</v>
      </c>
      <c r="E1349" s="24">
        <v>45277.0</v>
      </c>
      <c r="F1349" s="6">
        <v>52.0</v>
      </c>
      <c r="G1349" s="9" t="str">
        <f>VLOOKUP(operations[productID],products[],2,FALSE)</f>
        <v>Filo Mix</v>
      </c>
      <c r="H1349" s="9" t="str">
        <f>IF(VLOOKUP(operations[productID],products[],7,FALSE)=1,"Discontinued","Current")</f>
        <v>Current</v>
      </c>
      <c r="I1349" s="6">
        <f>VLOOKUP(operations[productID],products[],4,FALSE)</f>
        <v>38</v>
      </c>
      <c r="J1349" s="6">
        <f>VLOOKUP(operations[productID],products[],5,FALSE)</f>
        <v>0</v>
      </c>
      <c r="K1349" s="6">
        <f>VLOOKUP(operations[productID],products[],6,FALSE)</f>
        <v>25</v>
      </c>
      <c r="L1349" s="10">
        <f t="array" ref="L1349">INDEX('1 orders'!I1349:I2156, MATCH(1, ('1 orders'!A1349:A2156=A1349)*('1 orders'!G1349:G2156=F1349), 0))
</f>
        <v>60</v>
      </c>
      <c r="M1349" s="10">
        <f>IFERROR(__xludf.DUMMYFUNCTION("COUNTUNIQUEIFS($A$2:$A1349,$F$2:$F1349,F1349)"),16.0)</f>
        <v>16</v>
      </c>
      <c r="N1349" s="10">
        <f t="shared" si="1"/>
        <v>16</v>
      </c>
      <c r="O1349" s="26">
        <f>IF(operations[sinceLastOrder]=0,0,operations[orderQuantity] / operations[sinceLastOrder])</f>
        <v>3.75</v>
      </c>
      <c r="P1349" s="9">
        <v>138.17</v>
      </c>
      <c r="Q1349" s="7" t="s">
        <v>13</v>
      </c>
      <c r="R1349" s="10">
        <f>operations[arrivedDate]-operations[shippedDate]</f>
        <v>13</v>
      </c>
    </row>
    <row r="1350" ht="15.75" customHeight="1">
      <c r="A1350" s="6">
        <v>10758.0</v>
      </c>
      <c r="B1350" s="24">
        <v>45258.0</v>
      </c>
      <c r="C1350" s="24">
        <v>45286.0</v>
      </c>
      <c r="D1350" s="24">
        <v>45264.0</v>
      </c>
      <c r="E1350" s="24">
        <v>45277.0</v>
      </c>
      <c r="F1350" s="6">
        <v>70.0</v>
      </c>
      <c r="G1350" s="9" t="str">
        <f>VLOOKUP(operations[productID],products[],2,FALSE)</f>
        <v>Outback Lager</v>
      </c>
      <c r="H1350" s="9" t="str">
        <f>IF(VLOOKUP(operations[productID],products[],7,FALSE)=1,"Discontinued","Current")</f>
        <v>Current</v>
      </c>
      <c r="I1350" s="6">
        <f>VLOOKUP(operations[productID],products[],4,FALSE)</f>
        <v>15</v>
      </c>
      <c r="J1350" s="6">
        <f>VLOOKUP(operations[productID],products[],5,FALSE)</f>
        <v>10</v>
      </c>
      <c r="K1350" s="6">
        <f>VLOOKUP(operations[productID],products[],6,FALSE)</f>
        <v>30</v>
      </c>
      <c r="L1350" s="10">
        <f t="array" ref="L1350">INDEX('1 orders'!I1350:I2156, MATCH(1, ('1 orders'!A1350:A2156=A1350)*('1 orders'!G1350:G2156=F1350), 0))
</f>
        <v>40</v>
      </c>
      <c r="M1350" s="10">
        <f>IFERROR(__xludf.DUMMYFUNCTION("COUNTUNIQUEIFS($A$2:$A1350,$F$2:$F1350,F1350)"),23.0)</f>
        <v>23</v>
      </c>
      <c r="N1350" s="10">
        <f t="shared" si="1"/>
        <v>43</v>
      </c>
      <c r="O1350" s="26">
        <f>IF(operations[sinceLastOrder]=0,0,operations[orderQuantity] / operations[sinceLastOrder])</f>
        <v>0.9302325581</v>
      </c>
      <c r="P1350" s="9">
        <v>138.17</v>
      </c>
      <c r="Q1350" s="7" t="s">
        <v>13</v>
      </c>
      <c r="R1350" s="10">
        <f>operations[arrivedDate]-operations[shippedDate]</f>
        <v>13</v>
      </c>
    </row>
    <row r="1351" ht="15.75" customHeight="1">
      <c r="A1351" s="6">
        <v>10759.0</v>
      </c>
      <c r="B1351" s="24">
        <v>45258.0</v>
      </c>
      <c r="C1351" s="24">
        <v>45286.0</v>
      </c>
      <c r="D1351" s="24">
        <v>45272.0</v>
      </c>
      <c r="E1351" s="24">
        <v>45286.0</v>
      </c>
      <c r="F1351" s="6">
        <v>32.0</v>
      </c>
      <c r="G1351" s="9" t="str">
        <f>VLOOKUP(operations[productID],products[],2,FALSE)</f>
        <v>Mascarpone Fabioli</v>
      </c>
      <c r="H1351" s="9" t="str">
        <f>IF(VLOOKUP(operations[productID],products[],7,FALSE)=1,"Discontinued","Current")</f>
        <v>Current</v>
      </c>
      <c r="I1351" s="6">
        <f>VLOOKUP(operations[productID],products[],4,FALSE)</f>
        <v>9</v>
      </c>
      <c r="J1351" s="6">
        <f>VLOOKUP(operations[productID],products[],5,FALSE)</f>
        <v>40</v>
      </c>
      <c r="K1351" s="6">
        <f>VLOOKUP(operations[productID],products[],6,FALSE)</f>
        <v>25</v>
      </c>
      <c r="L1351" s="10">
        <f t="array" ref="L1351">INDEX('1 orders'!I1351:I2156, MATCH(1, ('1 orders'!A1351:A2156=A1351)*('1 orders'!G1351:G2156=F1351), 0))
</f>
        <v>10</v>
      </c>
      <c r="M1351" s="10">
        <f>IFERROR(__xludf.DUMMYFUNCTION("COUNTUNIQUEIFS($A$2:$A1351,$F$2:$F1351,F1351)"),8.0)</f>
        <v>8</v>
      </c>
      <c r="N1351" s="10">
        <f t="shared" si="1"/>
        <v>44</v>
      </c>
      <c r="O1351" s="26">
        <f>IF(operations[sinceLastOrder]=0,0,operations[orderQuantity] / operations[sinceLastOrder])</f>
        <v>0.2272727273</v>
      </c>
      <c r="P1351" s="9">
        <v>11.99</v>
      </c>
      <c r="Q1351" s="7" t="s">
        <v>13</v>
      </c>
      <c r="R1351" s="10">
        <f>operations[arrivedDate]-operations[shippedDate]</f>
        <v>14</v>
      </c>
    </row>
    <row r="1352" ht="15.75" customHeight="1">
      <c r="A1352" s="6">
        <v>10760.0</v>
      </c>
      <c r="B1352" s="24">
        <v>45261.0</v>
      </c>
      <c r="C1352" s="24">
        <v>45289.0</v>
      </c>
      <c r="D1352" s="24">
        <v>45270.0</v>
      </c>
      <c r="E1352" s="24">
        <v>45281.0</v>
      </c>
      <c r="F1352" s="6">
        <v>25.0</v>
      </c>
      <c r="G1352" s="9" t="str">
        <f>VLOOKUP(operations[productID],products[],2,FALSE)</f>
        <v>HM Köstliche Kaiserschmarrn Knödelchen</v>
      </c>
      <c r="H1352" s="9" t="str">
        <f>IF(VLOOKUP(operations[productID],products[],7,FALSE)=1,"Discontinued","Current")</f>
        <v>Current</v>
      </c>
      <c r="I1352" s="6">
        <f>VLOOKUP(operations[productID],products[],4,FALSE)</f>
        <v>76</v>
      </c>
      <c r="J1352" s="6">
        <f>VLOOKUP(operations[productID],products[],5,FALSE)</f>
        <v>0</v>
      </c>
      <c r="K1352" s="6">
        <f>VLOOKUP(operations[productID],products[],6,FALSE)</f>
        <v>30</v>
      </c>
      <c r="L1352" s="10">
        <f t="array" ref="L1352">INDEX('1 orders'!I1352:I2156, MATCH(1, ('1 orders'!A1352:A2156=A1352)*('1 orders'!G1352:G2156=F1352), 0))
</f>
        <v>12</v>
      </c>
      <c r="M1352" s="10">
        <f>IFERROR(__xludf.DUMMYFUNCTION("COUNTUNIQUEIFS($A$2:$A1352,$F$2:$F1352,F1352)"),8.0)</f>
        <v>8</v>
      </c>
      <c r="N1352" s="10">
        <f t="shared" si="1"/>
        <v>230</v>
      </c>
      <c r="O1352" s="26">
        <f>IF(operations[sinceLastOrder]=0,0,operations[orderQuantity] / operations[sinceLastOrder])</f>
        <v>0.05217391304</v>
      </c>
      <c r="P1352" s="9">
        <v>155.64</v>
      </c>
      <c r="Q1352" s="7" t="s">
        <v>15</v>
      </c>
      <c r="R1352" s="10">
        <f>operations[arrivedDate]-operations[shippedDate]</f>
        <v>11</v>
      </c>
    </row>
    <row r="1353" ht="15.75" customHeight="1">
      <c r="A1353" s="6">
        <v>10760.0</v>
      </c>
      <c r="B1353" s="24">
        <v>45261.0</v>
      </c>
      <c r="C1353" s="24">
        <v>45289.0</v>
      </c>
      <c r="D1353" s="24">
        <v>45270.0</v>
      </c>
      <c r="E1353" s="24">
        <v>45281.0</v>
      </c>
      <c r="F1353" s="6">
        <v>27.0</v>
      </c>
      <c r="G1353" s="9" t="str">
        <f>VLOOKUP(operations[productID],products[],2,FALSE)</f>
        <v>Schoggi Schokolade</v>
      </c>
      <c r="H1353" s="9" t="str">
        <f>IF(VLOOKUP(operations[productID],products[],7,FALSE)=1,"Discontinued","Current")</f>
        <v>Current</v>
      </c>
      <c r="I1353" s="6">
        <f>VLOOKUP(operations[productID],products[],4,FALSE)</f>
        <v>49</v>
      </c>
      <c r="J1353" s="6">
        <f>VLOOKUP(operations[productID],products[],5,FALSE)</f>
        <v>0</v>
      </c>
      <c r="K1353" s="6">
        <f>VLOOKUP(operations[productID],products[],6,FALSE)</f>
        <v>30</v>
      </c>
      <c r="L1353" s="10">
        <f t="array" ref="L1353">INDEX('1 orders'!I1353:I2156, MATCH(1, ('1 orders'!A1353:A2156=A1353)*('1 orders'!G1353:G2156=F1353), 0))
</f>
        <v>40</v>
      </c>
      <c r="M1353" s="10">
        <f>IFERROR(__xludf.DUMMYFUNCTION("COUNTUNIQUEIFS($A$2:$A1353,$F$2:$F1353,F1353)"),6.0)</f>
        <v>6</v>
      </c>
      <c r="N1353" s="10">
        <f t="shared" si="1"/>
        <v>140</v>
      </c>
      <c r="O1353" s="26">
        <f>IF(operations[sinceLastOrder]=0,0,operations[orderQuantity] / operations[sinceLastOrder])</f>
        <v>0.2857142857</v>
      </c>
      <c r="P1353" s="9">
        <v>155.64</v>
      </c>
      <c r="Q1353" s="7" t="s">
        <v>15</v>
      </c>
      <c r="R1353" s="10">
        <f>operations[arrivedDate]-operations[shippedDate]</f>
        <v>11</v>
      </c>
    </row>
    <row r="1354" ht="15.75" customHeight="1">
      <c r="A1354" s="6">
        <v>10760.0</v>
      </c>
      <c r="B1354" s="24">
        <v>45261.0</v>
      </c>
      <c r="C1354" s="24">
        <v>45289.0</v>
      </c>
      <c r="D1354" s="24">
        <v>45270.0</v>
      </c>
      <c r="E1354" s="24">
        <v>45281.0</v>
      </c>
      <c r="F1354" s="6">
        <v>43.0</v>
      </c>
      <c r="G1354" s="9" t="str">
        <f>VLOOKUP(operations[productID],products[],2,FALSE)</f>
        <v>Ipoh Coffee</v>
      </c>
      <c r="H1354" s="9" t="str">
        <f>IF(VLOOKUP(operations[productID],products[],7,FALSE)=1,"Discontinued","Current")</f>
        <v>Current</v>
      </c>
      <c r="I1354" s="6">
        <f>VLOOKUP(operations[productID],products[],4,FALSE)</f>
        <v>17</v>
      </c>
      <c r="J1354" s="6">
        <f>VLOOKUP(operations[productID],products[],5,FALSE)</f>
        <v>10</v>
      </c>
      <c r="K1354" s="6">
        <f>VLOOKUP(operations[productID],products[],6,FALSE)</f>
        <v>25</v>
      </c>
      <c r="L1354" s="10">
        <f t="array" ref="L1354">INDEX('1 orders'!I1354:I2156, MATCH(1, ('1 orders'!A1354:A2156=A1354)*('1 orders'!G1354:G2156=F1354), 0))
</f>
        <v>30</v>
      </c>
      <c r="M1354" s="10">
        <f>IFERROR(__xludf.DUMMYFUNCTION("COUNTUNIQUEIFS($A$2:$A1354,$F$2:$F1354,F1354)"),17.0)</f>
        <v>17</v>
      </c>
      <c r="N1354" s="10">
        <f t="shared" si="1"/>
        <v>46</v>
      </c>
      <c r="O1354" s="26">
        <f>IF(operations[sinceLastOrder]=0,0,operations[orderQuantity] / operations[sinceLastOrder])</f>
        <v>0.652173913</v>
      </c>
      <c r="P1354" s="9">
        <v>155.64</v>
      </c>
      <c r="Q1354" s="7" t="s">
        <v>15</v>
      </c>
      <c r="R1354" s="10">
        <f>operations[arrivedDate]-operations[shippedDate]</f>
        <v>11</v>
      </c>
    </row>
    <row r="1355" ht="15.75" customHeight="1">
      <c r="A1355" s="6">
        <v>10761.0</v>
      </c>
      <c r="B1355" s="24">
        <v>45262.0</v>
      </c>
      <c r="C1355" s="24">
        <v>45290.0</v>
      </c>
      <c r="D1355" s="24">
        <v>45268.0</v>
      </c>
      <c r="E1355" s="24">
        <v>45285.0</v>
      </c>
      <c r="F1355" s="6">
        <v>25.0</v>
      </c>
      <c r="G1355" s="9" t="str">
        <f>VLOOKUP(operations[productID],products[],2,FALSE)</f>
        <v>HM Köstliche Kaiserschmarrn Knödelchen</v>
      </c>
      <c r="H1355" s="9" t="str">
        <f>IF(VLOOKUP(operations[productID],products[],7,FALSE)=1,"Discontinued","Current")</f>
        <v>Current</v>
      </c>
      <c r="I1355" s="6">
        <f>VLOOKUP(operations[productID],products[],4,FALSE)</f>
        <v>76</v>
      </c>
      <c r="J1355" s="6">
        <f>VLOOKUP(operations[productID],products[],5,FALSE)</f>
        <v>0</v>
      </c>
      <c r="K1355" s="6">
        <f>VLOOKUP(operations[productID],products[],6,FALSE)</f>
        <v>30</v>
      </c>
      <c r="L1355" s="10">
        <f t="array" ref="L1355">INDEX('1 orders'!I1355:I2156, MATCH(1, ('1 orders'!A1355:A2156=A1355)*('1 orders'!G1355:G2156=F1355), 0))
</f>
        <v>35</v>
      </c>
      <c r="M1355" s="10">
        <f>IFERROR(__xludf.DUMMYFUNCTION("COUNTUNIQUEIFS($A$2:$A1355,$F$2:$F1355,F1355)"),9.0)</f>
        <v>9</v>
      </c>
      <c r="N1355" s="10">
        <f t="shared" si="1"/>
        <v>1</v>
      </c>
      <c r="O1355" s="26">
        <f>IF(operations[sinceLastOrder]=0,0,operations[orderQuantity] / operations[sinceLastOrder])</f>
        <v>35</v>
      </c>
      <c r="P1355" s="9">
        <v>18.66</v>
      </c>
      <c r="Q1355" s="7" t="s">
        <v>17</v>
      </c>
      <c r="R1355" s="10">
        <f>operations[arrivedDate]-operations[shippedDate]</f>
        <v>17</v>
      </c>
    </row>
    <row r="1356" ht="15.75" customHeight="1">
      <c r="A1356" s="6">
        <v>10761.0</v>
      </c>
      <c r="B1356" s="24">
        <v>45262.0</v>
      </c>
      <c r="C1356" s="24">
        <v>45290.0</v>
      </c>
      <c r="D1356" s="24">
        <v>45268.0</v>
      </c>
      <c r="E1356" s="24">
        <v>45285.0</v>
      </c>
      <c r="F1356" s="6">
        <v>75.0</v>
      </c>
      <c r="G1356" s="9" t="str">
        <f>VLOOKUP(operations[productID],products[],2,FALSE)</f>
        <v>Rhönbräu Klosterbier</v>
      </c>
      <c r="H1356" s="9" t="str">
        <f>IF(VLOOKUP(operations[productID],products[],7,FALSE)=1,"Discontinued","Current")</f>
        <v>Current</v>
      </c>
      <c r="I1356" s="6">
        <f>VLOOKUP(operations[productID],products[],4,FALSE)</f>
        <v>125</v>
      </c>
      <c r="J1356" s="6">
        <f>VLOOKUP(operations[productID],products[],5,FALSE)</f>
        <v>0</v>
      </c>
      <c r="K1356" s="6">
        <f>VLOOKUP(operations[productID],products[],6,FALSE)</f>
        <v>25</v>
      </c>
      <c r="L1356" s="10">
        <f t="array" ref="L1356">INDEX('1 orders'!I1356:I2156, MATCH(1, ('1 orders'!A1356:A2156=A1356)*('1 orders'!G1356:G2156=F1356), 0))
</f>
        <v>18</v>
      </c>
      <c r="M1356" s="10">
        <f>IFERROR(__xludf.DUMMYFUNCTION("COUNTUNIQUEIFS($A$2:$A1356,$F$2:$F1356,F1356)"),28.0)</f>
        <v>28</v>
      </c>
      <c r="N1356" s="10">
        <f t="shared" si="1"/>
        <v>21</v>
      </c>
      <c r="O1356" s="26">
        <f>IF(operations[sinceLastOrder]=0,0,operations[orderQuantity] / operations[sinceLastOrder])</f>
        <v>0.8571428571</v>
      </c>
      <c r="P1356" s="9">
        <v>18.66</v>
      </c>
      <c r="Q1356" s="7" t="s">
        <v>17</v>
      </c>
      <c r="R1356" s="10">
        <f>operations[arrivedDate]-operations[shippedDate]</f>
        <v>17</v>
      </c>
    </row>
    <row r="1357" ht="15.75" customHeight="1">
      <c r="A1357" s="6">
        <v>10762.0</v>
      </c>
      <c r="B1357" s="24">
        <v>45262.0</v>
      </c>
      <c r="C1357" s="24">
        <v>45290.0</v>
      </c>
      <c r="D1357" s="24">
        <v>45269.0</v>
      </c>
      <c r="E1357" s="24">
        <v>45275.0</v>
      </c>
      <c r="F1357" s="6">
        <v>39.0</v>
      </c>
      <c r="G1357" s="9" t="str">
        <f>VLOOKUP(operations[productID],products[],2,FALSE)</f>
        <v>Chartreuse verte</v>
      </c>
      <c r="H1357" s="9" t="str">
        <f>IF(VLOOKUP(operations[productID],products[],7,FALSE)=1,"Discontinued","Current")</f>
        <v>Current</v>
      </c>
      <c r="I1357" s="6">
        <f>VLOOKUP(operations[productID],products[],4,FALSE)</f>
        <v>69</v>
      </c>
      <c r="J1357" s="6">
        <f>VLOOKUP(operations[productID],products[],5,FALSE)</f>
        <v>0</v>
      </c>
      <c r="K1357" s="6">
        <f>VLOOKUP(operations[productID],products[],6,FALSE)</f>
        <v>5</v>
      </c>
      <c r="L1357" s="10">
        <f t="array" ref="L1357">INDEX('1 orders'!I1357:I2156, MATCH(1, ('1 orders'!A1357:A2156=A1357)*('1 orders'!G1357:G2156=F1357), 0))
</f>
        <v>16</v>
      </c>
      <c r="M1357" s="10">
        <f>IFERROR(__xludf.DUMMYFUNCTION("COUNTUNIQUEIFS($A$2:$A1357,$F$2:$F1357,F1357)"),19.0)</f>
        <v>19</v>
      </c>
      <c r="N1357" s="10">
        <f t="shared" si="1"/>
        <v>84</v>
      </c>
      <c r="O1357" s="26">
        <f>IF(operations[sinceLastOrder]=0,0,operations[orderQuantity] / operations[sinceLastOrder])</f>
        <v>0.1904761905</v>
      </c>
      <c r="P1357" s="9">
        <v>328.74</v>
      </c>
      <c r="Q1357" s="7" t="s">
        <v>15</v>
      </c>
      <c r="R1357" s="10">
        <f>operations[arrivedDate]-operations[shippedDate]</f>
        <v>6</v>
      </c>
    </row>
    <row r="1358" ht="15.75" customHeight="1">
      <c r="A1358" s="6">
        <v>10762.0</v>
      </c>
      <c r="B1358" s="24">
        <v>45262.0</v>
      </c>
      <c r="C1358" s="24">
        <v>45290.0</v>
      </c>
      <c r="D1358" s="24">
        <v>45269.0</v>
      </c>
      <c r="E1358" s="24">
        <v>45275.0</v>
      </c>
      <c r="F1358" s="6">
        <v>47.0</v>
      </c>
      <c r="G1358" s="9" t="str">
        <f>VLOOKUP(operations[productID],products[],2,FALSE)</f>
        <v>Zaanse koeken</v>
      </c>
      <c r="H1358" s="9" t="str">
        <f>IF(VLOOKUP(operations[productID],products[],7,FALSE)=1,"Discontinued","Current")</f>
        <v>Current</v>
      </c>
      <c r="I1358" s="6">
        <f>VLOOKUP(operations[productID],products[],4,FALSE)</f>
        <v>36</v>
      </c>
      <c r="J1358" s="6">
        <f>VLOOKUP(operations[productID],products[],5,FALSE)</f>
        <v>0</v>
      </c>
      <c r="K1358" s="6">
        <f>VLOOKUP(operations[productID],products[],6,FALSE)</f>
        <v>0</v>
      </c>
      <c r="L1358" s="10">
        <f t="array" ref="L1358">INDEX('1 orders'!I1358:I2156, MATCH(1, ('1 orders'!A1358:A2156=A1358)*('1 orders'!G1358:G2156=F1358), 0))
</f>
        <v>30</v>
      </c>
      <c r="M1358" s="10">
        <f>IFERROR(__xludf.DUMMYFUNCTION("COUNTUNIQUEIFS($A$2:$A1358,$F$2:$F1358,F1358)"),16.0)</f>
        <v>16</v>
      </c>
      <c r="N1358" s="10">
        <f t="shared" si="1"/>
        <v>6</v>
      </c>
      <c r="O1358" s="26">
        <f>IF(operations[sinceLastOrder]=0,0,operations[orderQuantity] / operations[sinceLastOrder])</f>
        <v>5</v>
      </c>
      <c r="P1358" s="9">
        <v>328.74</v>
      </c>
      <c r="Q1358" s="7" t="s">
        <v>15</v>
      </c>
      <c r="R1358" s="10">
        <f>operations[arrivedDate]-operations[shippedDate]</f>
        <v>6</v>
      </c>
    </row>
    <row r="1359" ht="15.75" customHeight="1">
      <c r="A1359" s="6">
        <v>10762.0</v>
      </c>
      <c r="B1359" s="24">
        <v>45262.0</v>
      </c>
      <c r="C1359" s="24">
        <v>45290.0</v>
      </c>
      <c r="D1359" s="24">
        <v>45269.0</v>
      </c>
      <c r="E1359" s="24">
        <v>45275.0</v>
      </c>
      <c r="F1359" s="6">
        <v>51.0</v>
      </c>
      <c r="G1359" s="9" t="str">
        <f>VLOOKUP(operations[productID],products[],2,FALSE)</f>
        <v>Manjimup Dried Apples</v>
      </c>
      <c r="H1359" s="9" t="str">
        <f>IF(VLOOKUP(operations[productID],products[],7,FALSE)=1,"Discontinued","Current")</f>
        <v>Current</v>
      </c>
      <c r="I1359" s="6">
        <f>VLOOKUP(operations[productID],products[],4,FALSE)</f>
        <v>20</v>
      </c>
      <c r="J1359" s="6">
        <f>VLOOKUP(operations[productID],products[],5,FALSE)</f>
        <v>0</v>
      </c>
      <c r="K1359" s="6">
        <f>VLOOKUP(operations[productID],products[],6,FALSE)</f>
        <v>10</v>
      </c>
      <c r="L1359" s="10">
        <f t="array" ref="L1359">INDEX('1 orders'!I1359:I2156, MATCH(1, ('1 orders'!A1359:A2156=A1359)*('1 orders'!G1359:G2156=F1359), 0))
</f>
        <v>28</v>
      </c>
      <c r="M1359" s="10">
        <f>IFERROR(__xludf.DUMMYFUNCTION("COUNTUNIQUEIFS($A$2:$A1359,$F$2:$F1359,F1359)"),22.0)</f>
        <v>22</v>
      </c>
      <c r="N1359" s="10">
        <f t="shared" si="1"/>
        <v>26</v>
      </c>
      <c r="O1359" s="26">
        <f>IF(operations[sinceLastOrder]=0,0,operations[orderQuantity] / operations[sinceLastOrder])</f>
        <v>1.076923077</v>
      </c>
      <c r="P1359" s="9">
        <v>328.74</v>
      </c>
      <c r="Q1359" s="7" t="s">
        <v>15</v>
      </c>
      <c r="R1359" s="10">
        <f>operations[arrivedDate]-operations[shippedDate]</f>
        <v>6</v>
      </c>
    </row>
    <row r="1360" ht="15.75" customHeight="1">
      <c r="A1360" s="6">
        <v>10762.0</v>
      </c>
      <c r="B1360" s="24">
        <v>45262.0</v>
      </c>
      <c r="C1360" s="24">
        <v>45290.0</v>
      </c>
      <c r="D1360" s="24">
        <v>45269.0</v>
      </c>
      <c r="E1360" s="24">
        <v>45275.0</v>
      </c>
      <c r="F1360" s="6">
        <v>56.0</v>
      </c>
      <c r="G1360" s="9" t="str">
        <f>VLOOKUP(operations[productID],products[],2,FALSE)</f>
        <v>Gnocchi di nonna Alice</v>
      </c>
      <c r="H1360" s="9" t="str">
        <f>IF(VLOOKUP(operations[productID],products[],7,FALSE)=1,"Discontinued","Current")</f>
        <v>Current</v>
      </c>
      <c r="I1360" s="6">
        <f>VLOOKUP(operations[productID],products[],4,FALSE)</f>
        <v>21</v>
      </c>
      <c r="J1360" s="6">
        <f>VLOOKUP(operations[productID],products[],5,FALSE)</f>
        <v>10</v>
      </c>
      <c r="K1360" s="6">
        <f>VLOOKUP(operations[productID],products[],6,FALSE)</f>
        <v>30</v>
      </c>
      <c r="L1360" s="10">
        <f t="array" ref="L1360">INDEX('1 orders'!I1360:I2156, MATCH(1, ('1 orders'!A1360:A2156=A1360)*('1 orders'!G1360:G2156=F1360), 0))
</f>
        <v>60</v>
      </c>
      <c r="M1360" s="10">
        <f>IFERROR(__xludf.DUMMYFUNCTION("COUNTUNIQUEIFS($A$2:$A1360,$F$2:$F1360,F1360)"),38.0)</f>
        <v>38</v>
      </c>
      <c r="N1360" s="10">
        <f t="shared" si="1"/>
        <v>6</v>
      </c>
      <c r="O1360" s="26">
        <f>IF(operations[sinceLastOrder]=0,0,operations[orderQuantity] / operations[sinceLastOrder])</f>
        <v>10</v>
      </c>
      <c r="P1360" s="9">
        <v>328.74</v>
      </c>
      <c r="Q1360" s="7" t="s">
        <v>15</v>
      </c>
      <c r="R1360" s="10">
        <f>operations[arrivedDate]-operations[shippedDate]</f>
        <v>6</v>
      </c>
    </row>
    <row r="1361" ht="15.75" customHeight="1">
      <c r="A1361" s="6">
        <v>10763.0</v>
      </c>
      <c r="B1361" s="24">
        <v>45263.0</v>
      </c>
      <c r="C1361" s="24">
        <v>45291.0</v>
      </c>
      <c r="D1361" s="24">
        <v>45268.0</v>
      </c>
      <c r="E1361" s="24">
        <v>45276.0</v>
      </c>
      <c r="F1361" s="6">
        <v>21.0</v>
      </c>
      <c r="G1361" s="9" t="str">
        <f>VLOOKUP(operations[productID],products[],2,FALSE)</f>
        <v>Sir Rodney's Scones</v>
      </c>
      <c r="H1361" s="9" t="str">
        <f>IF(VLOOKUP(operations[productID],products[],7,FALSE)=1,"Discontinued","Current")</f>
        <v>Current</v>
      </c>
      <c r="I1361" s="6">
        <f>VLOOKUP(operations[productID],products[],4,FALSE)</f>
        <v>3</v>
      </c>
      <c r="J1361" s="6">
        <f>VLOOKUP(operations[productID],products[],5,FALSE)</f>
        <v>40</v>
      </c>
      <c r="K1361" s="6">
        <f>VLOOKUP(operations[productID],products[],6,FALSE)</f>
        <v>5</v>
      </c>
      <c r="L1361" s="10">
        <f t="array" ref="L1361">INDEX('1 orders'!I1361:I2156, MATCH(1, ('1 orders'!A1361:A2156=A1361)*('1 orders'!G1361:G2156=F1361), 0))
</f>
        <v>40</v>
      </c>
      <c r="M1361" s="10">
        <f>IFERROR(__xludf.DUMMYFUNCTION("COUNTUNIQUEIFS($A$2:$A1361,$F$2:$F1361,F1361)"),28.0)</f>
        <v>28</v>
      </c>
      <c r="N1361" s="10">
        <f t="shared" si="1"/>
        <v>27</v>
      </c>
      <c r="O1361" s="26">
        <f>IF(operations[sinceLastOrder]=0,0,operations[orderQuantity] / operations[sinceLastOrder])</f>
        <v>1.481481481</v>
      </c>
      <c r="P1361" s="9">
        <v>37.35</v>
      </c>
      <c r="Q1361" s="7" t="s">
        <v>13</v>
      </c>
      <c r="R1361" s="10">
        <f>operations[arrivedDate]-operations[shippedDate]</f>
        <v>8</v>
      </c>
    </row>
    <row r="1362" ht="15.75" customHeight="1">
      <c r="A1362" s="6">
        <v>10763.0</v>
      </c>
      <c r="B1362" s="24">
        <v>45263.0</v>
      </c>
      <c r="C1362" s="24">
        <v>45291.0</v>
      </c>
      <c r="D1362" s="24">
        <v>45268.0</v>
      </c>
      <c r="E1362" s="24">
        <v>45276.0</v>
      </c>
      <c r="F1362" s="6">
        <v>22.0</v>
      </c>
      <c r="G1362" s="9" t="str">
        <f>VLOOKUP(operations[productID],products[],2,FALSE)</f>
        <v>Gustaf's Knäckebröd</v>
      </c>
      <c r="H1362" s="9" t="str">
        <f>IF(VLOOKUP(operations[productID],products[],7,FALSE)=1,"Discontinued","Current")</f>
        <v>Current</v>
      </c>
      <c r="I1362" s="6">
        <f>VLOOKUP(operations[productID],products[],4,FALSE)</f>
        <v>104</v>
      </c>
      <c r="J1362" s="6">
        <f>VLOOKUP(operations[productID],products[],5,FALSE)</f>
        <v>0</v>
      </c>
      <c r="K1362" s="6">
        <f>VLOOKUP(operations[productID],products[],6,FALSE)</f>
        <v>25</v>
      </c>
      <c r="L1362" s="10">
        <f t="array" ref="L1362">INDEX('1 orders'!I1362:I2156, MATCH(1, ('1 orders'!A1362:A2156=A1362)*('1 orders'!G1362:G2156=F1362), 0))
</f>
        <v>6</v>
      </c>
      <c r="M1362" s="10">
        <f>IFERROR(__xludf.DUMMYFUNCTION("COUNTUNIQUEIFS($A$2:$A1362,$F$2:$F1362,F1362)"),9.0)</f>
        <v>9</v>
      </c>
      <c r="N1362" s="10">
        <f t="shared" si="1"/>
        <v>93</v>
      </c>
      <c r="O1362" s="26">
        <f>IF(operations[sinceLastOrder]=0,0,operations[orderQuantity] / operations[sinceLastOrder])</f>
        <v>0.06451612903</v>
      </c>
      <c r="P1362" s="9">
        <v>37.35</v>
      </c>
      <c r="Q1362" s="7" t="s">
        <v>13</v>
      </c>
      <c r="R1362" s="10">
        <f>operations[arrivedDate]-operations[shippedDate]</f>
        <v>8</v>
      </c>
    </row>
    <row r="1363" ht="15.75" customHeight="1">
      <c r="A1363" s="6">
        <v>10763.0</v>
      </c>
      <c r="B1363" s="24">
        <v>45263.0</v>
      </c>
      <c r="C1363" s="24">
        <v>45291.0</v>
      </c>
      <c r="D1363" s="24">
        <v>45268.0</v>
      </c>
      <c r="E1363" s="24">
        <v>45276.0</v>
      </c>
      <c r="F1363" s="6">
        <v>24.0</v>
      </c>
      <c r="G1363" s="9" t="str">
        <f>VLOOKUP(operations[productID],products[],2,FALSE)</f>
        <v>Brigadeiros Maravilhosos da Lilian</v>
      </c>
      <c r="H1363" s="9" t="str">
        <f>IF(VLOOKUP(operations[productID],products[],7,FALSE)=1,"Discontinued","Current")</f>
        <v>Discontinued</v>
      </c>
      <c r="I1363" s="6">
        <f>VLOOKUP(operations[productID],products[],4,FALSE)</f>
        <v>20</v>
      </c>
      <c r="J1363" s="6">
        <f>VLOOKUP(operations[productID],products[],5,FALSE)</f>
        <v>0</v>
      </c>
      <c r="K1363" s="6">
        <f>VLOOKUP(operations[productID],products[],6,FALSE)</f>
        <v>0</v>
      </c>
      <c r="L1363" s="10">
        <f t="array" ref="L1363">INDEX('1 orders'!I1363:I2156, MATCH(1, ('1 orders'!A1363:A2156=A1363)*('1 orders'!G1363:G2156=F1363), 0))
</f>
        <v>20</v>
      </c>
      <c r="M1363" s="10">
        <f>IFERROR(__xludf.DUMMYFUNCTION("COUNTUNIQUEIFS($A$2:$A1363,$F$2:$F1363,F1363)"),29.0)</f>
        <v>29</v>
      </c>
      <c r="N1363" s="10">
        <f t="shared" si="1"/>
        <v>50</v>
      </c>
      <c r="O1363" s="26">
        <f>IF(operations[sinceLastOrder]=0,0,operations[orderQuantity] / operations[sinceLastOrder])</f>
        <v>0.4</v>
      </c>
      <c r="P1363" s="9">
        <v>37.35</v>
      </c>
      <c r="Q1363" s="7" t="s">
        <v>13</v>
      </c>
      <c r="R1363" s="10">
        <f>operations[arrivedDate]-operations[shippedDate]</f>
        <v>8</v>
      </c>
    </row>
    <row r="1364" ht="15.75" customHeight="1">
      <c r="A1364" s="6">
        <v>10764.0</v>
      </c>
      <c r="B1364" s="24">
        <v>45263.0</v>
      </c>
      <c r="C1364" s="24">
        <v>45291.0</v>
      </c>
      <c r="D1364" s="24">
        <v>45268.0</v>
      </c>
      <c r="E1364" s="24">
        <v>45281.0</v>
      </c>
      <c r="F1364" s="6">
        <v>3.0</v>
      </c>
      <c r="G1364" s="9" t="str">
        <f>VLOOKUP(operations[productID],products[],2,FALSE)</f>
        <v>Aniseed Syrup</v>
      </c>
      <c r="H1364" s="9" t="str">
        <f>IF(VLOOKUP(operations[productID],products[],7,FALSE)=1,"Discontinued","Current")</f>
        <v>Current</v>
      </c>
      <c r="I1364" s="6">
        <f>VLOOKUP(operations[productID],products[],4,FALSE)</f>
        <v>13</v>
      </c>
      <c r="J1364" s="6">
        <f>VLOOKUP(operations[productID],products[],5,FALSE)</f>
        <v>70</v>
      </c>
      <c r="K1364" s="6">
        <f>VLOOKUP(operations[productID],products[],6,FALSE)</f>
        <v>25</v>
      </c>
      <c r="L1364" s="10">
        <f t="array" ref="L1364">INDEX('1 orders'!I1364:I2156, MATCH(1, ('1 orders'!A1364:A2156=A1364)*('1 orders'!G1364:G2156=F1364), 0))
</f>
        <v>20</v>
      </c>
      <c r="M1364" s="10">
        <f>IFERROR(__xludf.DUMMYFUNCTION("COUNTUNIQUEIFS($A$2:$A1364,$F$2:$F1364,F1364)"),8.0)</f>
        <v>8</v>
      </c>
      <c r="N1364" s="10">
        <f t="shared" si="1"/>
        <v>19</v>
      </c>
      <c r="O1364" s="26">
        <f>IF(operations[sinceLastOrder]=0,0,operations[orderQuantity] / operations[sinceLastOrder])</f>
        <v>1.052631579</v>
      </c>
      <c r="P1364" s="9">
        <v>145.45</v>
      </c>
      <c r="Q1364" s="7" t="s">
        <v>13</v>
      </c>
      <c r="R1364" s="10">
        <f>operations[arrivedDate]-operations[shippedDate]</f>
        <v>13</v>
      </c>
    </row>
    <row r="1365" ht="15.75" customHeight="1">
      <c r="A1365" s="6">
        <v>10764.0</v>
      </c>
      <c r="B1365" s="24">
        <v>45263.0</v>
      </c>
      <c r="C1365" s="24">
        <v>45291.0</v>
      </c>
      <c r="D1365" s="24">
        <v>45268.0</v>
      </c>
      <c r="E1365" s="24">
        <v>45281.0</v>
      </c>
      <c r="F1365" s="6">
        <v>39.0</v>
      </c>
      <c r="G1365" s="9" t="str">
        <f>VLOOKUP(operations[productID],products[],2,FALSE)</f>
        <v>Chartreuse verte</v>
      </c>
      <c r="H1365" s="9" t="str">
        <f>IF(VLOOKUP(operations[productID],products[],7,FALSE)=1,"Discontinued","Current")</f>
        <v>Current</v>
      </c>
      <c r="I1365" s="6">
        <f>VLOOKUP(operations[productID],products[],4,FALSE)</f>
        <v>69</v>
      </c>
      <c r="J1365" s="6">
        <f>VLOOKUP(operations[productID],products[],5,FALSE)</f>
        <v>0</v>
      </c>
      <c r="K1365" s="6">
        <f>VLOOKUP(operations[productID],products[],6,FALSE)</f>
        <v>5</v>
      </c>
      <c r="L1365" s="10">
        <f t="array" ref="L1365">INDEX('1 orders'!I1365:I2156, MATCH(1, ('1 orders'!A1365:A2156=A1365)*('1 orders'!G1365:G2156=F1365), 0))
</f>
        <v>130</v>
      </c>
      <c r="M1365" s="10">
        <f>IFERROR(__xludf.DUMMYFUNCTION("COUNTUNIQUEIFS($A$2:$A1365,$F$2:$F1365,F1365)"),20.0)</f>
        <v>20</v>
      </c>
      <c r="N1365" s="10">
        <f t="shared" si="1"/>
        <v>1</v>
      </c>
      <c r="O1365" s="26">
        <f>IF(operations[sinceLastOrder]=0,0,operations[orderQuantity] / operations[sinceLastOrder])</f>
        <v>130</v>
      </c>
      <c r="P1365" s="9">
        <v>145.45</v>
      </c>
      <c r="Q1365" s="7" t="s">
        <v>13</v>
      </c>
      <c r="R1365" s="10">
        <f>operations[arrivedDate]-operations[shippedDate]</f>
        <v>13</v>
      </c>
    </row>
    <row r="1366" ht="15.75" customHeight="1">
      <c r="A1366" s="6">
        <v>10765.0</v>
      </c>
      <c r="B1366" s="24">
        <v>45264.0</v>
      </c>
      <c r="C1366" s="24">
        <v>45292.0</v>
      </c>
      <c r="D1366" s="24">
        <v>45269.0</v>
      </c>
      <c r="E1366" s="24">
        <v>45276.0</v>
      </c>
      <c r="F1366" s="6">
        <v>65.0</v>
      </c>
      <c r="G1366" s="9" t="str">
        <f>VLOOKUP(operations[productID],products[],2,FALSE)</f>
        <v>Louisiana Fiery Hot Pepper Sauce</v>
      </c>
      <c r="H1366" s="9" t="str">
        <f>IF(VLOOKUP(operations[productID],products[],7,FALSE)=1,"Discontinued","Current")</f>
        <v>Current</v>
      </c>
      <c r="I1366" s="6">
        <f>VLOOKUP(operations[productID],products[],4,FALSE)</f>
        <v>76</v>
      </c>
      <c r="J1366" s="6">
        <f>VLOOKUP(operations[productID],products[],5,FALSE)</f>
        <v>0</v>
      </c>
      <c r="K1366" s="6">
        <f>VLOOKUP(operations[productID],products[],6,FALSE)</f>
        <v>0</v>
      </c>
      <c r="L1366" s="10">
        <f t="array" ref="L1366">INDEX('1 orders'!I1366:I2156, MATCH(1, ('1 orders'!A1366:A2156=A1366)*('1 orders'!G1366:G2156=F1366), 0))
</f>
        <v>80</v>
      </c>
      <c r="M1366" s="10">
        <f>IFERROR(__xludf.DUMMYFUNCTION("COUNTUNIQUEIFS($A$2:$A1366,$F$2:$F1366,F1366)"),25.0)</f>
        <v>25</v>
      </c>
      <c r="N1366" s="10">
        <f t="shared" si="1"/>
        <v>23</v>
      </c>
      <c r="O1366" s="26">
        <f>IF(operations[sinceLastOrder]=0,0,operations[orderQuantity] / operations[sinceLastOrder])</f>
        <v>3.47826087</v>
      </c>
      <c r="P1366" s="9">
        <v>42.74</v>
      </c>
      <c r="Q1366" s="7" t="s">
        <v>13</v>
      </c>
      <c r="R1366" s="10">
        <f>operations[arrivedDate]-operations[shippedDate]</f>
        <v>7</v>
      </c>
    </row>
    <row r="1367" ht="15.75" customHeight="1">
      <c r="A1367" s="6">
        <v>10766.0</v>
      </c>
      <c r="B1367" s="24">
        <v>45265.0</v>
      </c>
      <c r="C1367" s="24">
        <v>45293.0</v>
      </c>
      <c r="D1367" s="24">
        <v>45269.0</v>
      </c>
      <c r="E1367" s="24">
        <v>45270.0</v>
      </c>
      <c r="F1367" s="6">
        <v>2.0</v>
      </c>
      <c r="G1367" s="9" t="str">
        <f>VLOOKUP(operations[productID],products[],2,FALSE)</f>
        <v>Chang</v>
      </c>
      <c r="H1367" s="9" t="str">
        <f>IF(VLOOKUP(operations[productID],products[],7,FALSE)=1,"Discontinued","Current")</f>
        <v>Current</v>
      </c>
      <c r="I1367" s="6">
        <f>VLOOKUP(operations[productID],products[],4,FALSE)</f>
        <v>17</v>
      </c>
      <c r="J1367" s="6">
        <f>VLOOKUP(operations[productID],products[],5,FALSE)</f>
        <v>40</v>
      </c>
      <c r="K1367" s="6">
        <f>VLOOKUP(operations[productID],products[],6,FALSE)</f>
        <v>25</v>
      </c>
      <c r="L1367" s="10">
        <f t="array" ref="L1367">INDEX('1 orders'!I1367:I2156, MATCH(1, ('1 orders'!A1367:A2156=A1367)*('1 orders'!G1367:G2156=F1367), 0))
</f>
        <v>40</v>
      </c>
      <c r="M1367" s="10">
        <f>IFERROR(__xludf.DUMMYFUNCTION("COUNTUNIQUEIFS($A$2:$A1367,$F$2:$F1367,F1367)"),23.0)</f>
        <v>23</v>
      </c>
      <c r="N1367" s="10">
        <f t="shared" si="1"/>
        <v>21</v>
      </c>
      <c r="O1367" s="26">
        <f>IF(operations[sinceLastOrder]=0,0,operations[orderQuantity] / operations[sinceLastOrder])</f>
        <v>1.904761905</v>
      </c>
      <c r="P1367" s="9">
        <v>157.55</v>
      </c>
      <c r="Q1367" s="7" t="s">
        <v>15</v>
      </c>
      <c r="R1367" s="10">
        <f>operations[arrivedDate]-operations[shippedDate]</f>
        <v>1</v>
      </c>
    </row>
    <row r="1368" ht="15.75" customHeight="1">
      <c r="A1368" s="6">
        <v>10766.0</v>
      </c>
      <c r="B1368" s="24">
        <v>45265.0</v>
      </c>
      <c r="C1368" s="24">
        <v>45293.0</v>
      </c>
      <c r="D1368" s="24">
        <v>45269.0</v>
      </c>
      <c r="E1368" s="24">
        <v>45270.0</v>
      </c>
      <c r="F1368" s="6">
        <v>7.0</v>
      </c>
      <c r="G1368" s="9" t="str">
        <f>VLOOKUP(operations[productID],products[],2,FALSE)</f>
        <v>Uncle Bob's Organic Dried Pears</v>
      </c>
      <c r="H1368" s="9" t="str">
        <f>IF(VLOOKUP(operations[productID],products[],7,FALSE)=1,"Discontinued","Current")</f>
        <v>Current</v>
      </c>
      <c r="I1368" s="6">
        <f>VLOOKUP(operations[productID],products[],4,FALSE)</f>
        <v>15</v>
      </c>
      <c r="J1368" s="6">
        <f>VLOOKUP(operations[productID],products[],5,FALSE)</f>
        <v>0</v>
      </c>
      <c r="K1368" s="6">
        <f>VLOOKUP(operations[productID],products[],6,FALSE)</f>
        <v>10</v>
      </c>
      <c r="L1368" s="10">
        <f t="array" ref="L1368">INDEX('1 orders'!I1368:I2156, MATCH(1, ('1 orders'!A1368:A2156=A1368)*('1 orders'!G1368:G2156=F1368), 0))
</f>
        <v>35</v>
      </c>
      <c r="M1368" s="10">
        <f>IFERROR(__xludf.DUMMYFUNCTION("COUNTUNIQUEIFS($A$2:$A1368,$F$2:$F1368,F1368)"),11.0)</f>
        <v>11</v>
      </c>
      <c r="N1368" s="10">
        <f t="shared" si="1"/>
        <v>60</v>
      </c>
      <c r="O1368" s="26">
        <f>IF(operations[sinceLastOrder]=0,0,operations[orderQuantity] / operations[sinceLastOrder])</f>
        <v>0.5833333333</v>
      </c>
      <c r="P1368" s="9">
        <v>157.55</v>
      </c>
      <c r="Q1368" s="7" t="s">
        <v>15</v>
      </c>
      <c r="R1368" s="10">
        <f>operations[arrivedDate]-operations[shippedDate]</f>
        <v>1</v>
      </c>
    </row>
    <row r="1369" ht="15.75" customHeight="1">
      <c r="A1369" s="6">
        <v>10766.0</v>
      </c>
      <c r="B1369" s="24">
        <v>45265.0</v>
      </c>
      <c r="C1369" s="24">
        <v>45293.0</v>
      </c>
      <c r="D1369" s="24">
        <v>45269.0</v>
      </c>
      <c r="E1369" s="24">
        <v>45270.0</v>
      </c>
      <c r="F1369" s="6">
        <v>68.0</v>
      </c>
      <c r="G1369" s="9" t="str">
        <f>VLOOKUP(operations[productID],products[],2,FALSE)</f>
        <v>Scottish Longbreads</v>
      </c>
      <c r="H1369" s="9" t="str">
        <f>IF(VLOOKUP(operations[productID],products[],7,FALSE)=1,"Discontinued","Current")</f>
        <v>Current</v>
      </c>
      <c r="I1369" s="6">
        <f>VLOOKUP(operations[productID],products[],4,FALSE)</f>
        <v>6</v>
      </c>
      <c r="J1369" s="6">
        <f>VLOOKUP(operations[productID],products[],5,FALSE)</f>
        <v>10</v>
      </c>
      <c r="K1369" s="6">
        <f>VLOOKUP(operations[productID],products[],6,FALSE)</f>
        <v>15</v>
      </c>
      <c r="L1369" s="10">
        <f t="array" ref="L1369">INDEX('1 orders'!I1369:I2156, MATCH(1, ('1 orders'!A1369:A2156=A1369)*('1 orders'!G1369:G2156=F1369), 0))
</f>
        <v>40</v>
      </c>
      <c r="M1369" s="10">
        <f>IFERROR(__xludf.DUMMYFUNCTION("COUNTUNIQUEIFS($A$2:$A1369,$F$2:$F1369,F1369)"),23.0)</f>
        <v>23</v>
      </c>
      <c r="N1369" s="10">
        <f t="shared" si="1"/>
        <v>8</v>
      </c>
      <c r="O1369" s="26">
        <f>IF(operations[sinceLastOrder]=0,0,operations[orderQuantity] / operations[sinceLastOrder])</f>
        <v>5</v>
      </c>
      <c r="P1369" s="9">
        <v>157.55</v>
      </c>
      <c r="Q1369" s="7" t="s">
        <v>15</v>
      </c>
      <c r="R1369" s="10">
        <f>operations[arrivedDate]-operations[shippedDate]</f>
        <v>1</v>
      </c>
    </row>
    <row r="1370" ht="15.75" customHeight="1">
      <c r="A1370" s="6">
        <v>10767.0</v>
      </c>
      <c r="B1370" s="24">
        <v>45265.0</v>
      </c>
      <c r="C1370" s="24">
        <v>45293.0</v>
      </c>
      <c r="D1370" s="24">
        <v>45275.0</v>
      </c>
      <c r="E1370" s="24">
        <v>45288.0</v>
      </c>
      <c r="F1370" s="6">
        <v>42.0</v>
      </c>
      <c r="G1370" s="9" t="str">
        <f>VLOOKUP(operations[productID],products[],2,FALSE)</f>
        <v>Singaporean Hokkien Fried Mee</v>
      </c>
      <c r="H1370" s="9" t="str">
        <f>IF(VLOOKUP(operations[productID],products[],7,FALSE)=1,"Discontinued","Current")</f>
        <v>Discontinued</v>
      </c>
      <c r="I1370" s="6">
        <f>VLOOKUP(operations[productID],products[],4,FALSE)</f>
        <v>26</v>
      </c>
      <c r="J1370" s="6">
        <f>VLOOKUP(operations[productID],products[],5,FALSE)</f>
        <v>0</v>
      </c>
      <c r="K1370" s="6">
        <f>VLOOKUP(operations[productID],products[],6,FALSE)</f>
        <v>0</v>
      </c>
      <c r="L1370" s="10">
        <f t="array" ref="L1370">INDEX('1 orders'!I1370:I2156, MATCH(1, ('1 orders'!A1370:A2156=A1370)*('1 orders'!G1370:G2156=F1370), 0))
</f>
        <v>2</v>
      </c>
      <c r="M1370" s="10">
        <f>IFERROR(__xludf.DUMMYFUNCTION("COUNTUNIQUEIFS($A$2:$A1370,$F$2:$F1370,F1370)"),19.0)</f>
        <v>19</v>
      </c>
      <c r="N1370" s="10">
        <f t="shared" si="1"/>
        <v>16</v>
      </c>
      <c r="O1370" s="26">
        <f>IF(operations[sinceLastOrder]=0,0,operations[orderQuantity] / operations[sinceLastOrder])</f>
        <v>0.125</v>
      </c>
      <c r="P1370" s="9">
        <v>1.59</v>
      </c>
      <c r="Q1370" s="7" t="s">
        <v>13</v>
      </c>
      <c r="R1370" s="10">
        <f>operations[arrivedDate]-operations[shippedDate]</f>
        <v>13</v>
      </c>
    </row>
    <row r="1371" ht="15.75" customHeight="1">
      <c r="A1371" s="6">
        <v>10768.0</v>
      </c>
      <c r="B1371" s="24">
        <v>45268.0</v>
      </c>
      <c r="C1371" s="24">
        <v>45296.0</v>
      </c>
      <c r="D1371" s="24">
        <v>45275.0</v>
      </c>
      <c r="E1371" s="24">
        <v>45285.0</v>
      </c>
      <c r="F1371" s="6">
        <v>22.0</v>
      </c>
      <c r="G1371" s="9" t="str">
        <f>VLOOKUP(operations[productID],products[],2,FALSE)</f>
        <v>Gustaf's Knäckebröd</v>
      </c>
      <c r="H1371" s="9" t="str">
        <f>IF(VLOOKUP(operations[productID],products[],7,FALSE)=1,"Discontinued","Current")</f>
        <v>Current</v>
      </c>
      <c r="I1371" s="6">
        <f>VLOOKUP(operations[productID],products[],4,FALSE)</f>
        <v>104</v>
      </c>
      <c r="J1371" s="6">
        <f>VLOOKUP(operations[productID],products[],5,FALSE)</f>
        <v>0</v>
      </c>
      <c r="K1371" s="6">
        <f>VLOOKUP(operations[productID],products[],6,FALSE)</f>
        <v>25</v>
      </c>
      <c r="L1371" s="10">
        <f t="array" ref="L1371">INDEX('1 orders'!I1371:I2156, MATCH(1, ('1 orders'!A1371:A2156=A1371)*('1 orders'!G1371:G2156=F1371), 0))
</f>
        <v>4</v>
      </c>
      <c r="M1371" s="10">
        <f>IFERROR(__xludf.DUMMYFUNCTION("COUNTUNIQUEIFS($A$2:$A1371,$F$2:$F1371,F1371)"),10.0)</f>
        <v>10</v>
      </c>
      <c r="N1371" s="10">
        <f t="shared" si="1"/>
        <v>5</v>
      </c>
      <c r="O1371" s="26">
        <f>IF(operations[sinceLastOrder]=0,0,operations[orderQuantity] / operations[sinceLastOrder])</f>
        <v>0.8</v>
      </c>
      <c r="P1371" s="9">
        <v>146.32</v>
      </c>
      <c r="Q1371" s="7" t="s">
        <v>17</v>
      </c>
      <c r="R1371" s="10">
        <f>operations[arrivedDate]-operations[shippedDate]</f>
        <v>10</v>
      </c>
    </row>
    <row r="1372" ht="15.75" customHeight="1">
      <c r="A1372" s="6">
        <v>10768.0</v>
      </c>
      <c r="B1372" s="24">
        <v>45268.0</v>
      </c>
      <c r="C1372" s="24">
        <v>45296.0</v>
      </c>
      <c r="D1372" s="24">
        <v>45275.0</v>
      </c>
      <c r="E1372" s="24">
        <v>45285.0</v>
      </c>
      <c r="F1372" s="6">
        <v>31.0</v>
      </c>
      <c r="G1372" s="9" t="str">
        <f>VLOOKUP(operations[productID],products[],2,FALSE)</f>
        <v>Gorgonzola Telino</v>
      </c>
      <c r="H1372" s="9" t="str">
        <f>IF(VLOOKUP(operations[productID],products[],7,FALSE)=1,"Discontinued","Current")</f>
        <v>Current</v>
      </c>
      <c r="I1372" s="6">
        <f>VLOOKUP(operations[productID],products[],4,FALSE)</f>
        <v>0</v>
      </c>
      <c r="J1372" s="6">
        <f>VLOOKUP(operations[productID],products[],5,FALSE)</f>
        <v>70</v>
      </c>
      <c r="K1372" s="6">
        <f>VLOOKUP(operations[productID],products[],6,FALSE)</f>
        <v>20</v>
      </c>
      <c r="L1372" s="10">
        <f t="array" ref="L1372">INDEX('1 orders'!I1372:I2156, MATCH(1, ('1 orders'!A1372:A2156=A1372)*('1 orders'!G1372:G2156=F1372), 0))
</f>
        <v>50</v>
      </c>
      <c r="M1372" s="10">
        <f>IFERROR(__xludf.DUMMYFUNCTION("COUNTUNIQUEIFS($A$2:$A1372,$F$2:$F1372,F1372)"),34.0)</f>
        <v>34</v>
      </c>
      <c r="N1372" s="10">
        <f t="shared" si="1"/>
        <v>19</v>
      </c>
      <c r="O1372" s="26">
        <f>IF(operations[sinceLastOrder]=0,0,operations[orderQuantity] / operations[sinceLastOrder])</f>
        <v>2.631578947</v>
      </c>
      <c r="P1372" s="9">
        <v>146.32</v>
      </c>
      <c r="Q1372" s="7" t="s">
        <v>17</v>
      </c>
      <c r="R1372" s="10">
        <f>operations[arrivedDate]-operations[shippedDate]</f>
        <v>10</v>
      </c>
    </row>
    <row r="1373" ht="15.75" customHeight="1">
      <c r="A1373" s="6">
        <v>10768.0</v>
      </c>
      <c r="B1373" s="24">
        <v>45268.0</v>
      </c>
      <c r="C1373" s="24">
        <v>45296.0</v>
      </c>
      <c r="D1373" s="24">
        <v>45275.0</v>
      </c>
      <c r="E1373" s="24">
        <v>45285.0</v>
      </c>
      <c r="F1373" s="6">
        <v>60.0</v>
      </c>
      <c r="G1373" s="9" t="str">
        <f>VLOOKUP(operations[productID],products[],2,FALSE)</f>
        <v>Camembert Pierrot</v>
      </c>
      <c r="H1373" s="9" t="str">
        <f>IF(VLOOKUP(operations[productID],products[],7,FALSE)=1,"Discontinued","Current")</f>
        <v>Current</v>
      </c>
      <c r="I1373" s="6">
        <f>VLOOKUP(operations[productID],products[],4,FALSE)</f>
        <v>19</v>
      </c>
      <c r="J1373" s="6">
        <f>VLOOKUP(operations[productID],products[],5,FALSE)</f>
        <v>0</v>
      </c>
      <c r="K1373" s="6">
        <f>VLOOKUP(operations[productID],products[],6,FALSE)</f>
        <v>0</v>
      </c>
      <c r="L1373" s="10">
        <f t="array" ref="L1373">INDEX('1 orders'!I1373:I2156, MATCH(1, ('1 orders'!A1373:A2156=A1373)*('1 orders'!G1373:G2156=F1373), 0))
</f>
        <v>15</v>
      </c>
      <c r="M1373" s="10">
        <f>IFERROR(__xludf.DUMMYFUNCTION("COUNTUNIQUEIFS($A$2:$A1373,$F$2:$F1373,F1373)"),32.0)</f>
        <v>32</v>
      </c>
      <c r="N1373" s="10">
        <f t="shared" si="1"/>
        <v>24</v>
      </c>
      <c r="O1373" s="26">
        <f>IF(operations[sinceLastOrder]=0,0,operations[orderQuantity] / operations[sinceLastOrder])</f>
        <v>0.625</v>
      </c>
      <c r="P1373" s="9">
        <v>146.32</v>
      </c>
      <c r="Q1373" s="7" t="s">
        <v>17</v>
      </c>
      <c r="R1373" s="10">
        <f>operations[arrivedDate]-operations[shippedDate]</f>
        <v>10</v>
      </c>
    </row>
    <row r="1374" ht="15.75" customHeight="1">
      <c r="A1374" s="6">
        <v>10768.0</v>
      </c>
      <c r="B1374" s="24">
        <v>45268.0</v>
      </c>
      <c r="C1374" s="24">
        <v>45296.0</v>
      </c>
      <c r="D1374" s="24">
        <v>45275.0</v>
      </c>
      <c r="E1374" s="24">
        <v>45285.0</v>
      </c>
      <c r="F1374" s="6">
        <v>71.0</v>
      </c>
      <c r="G1374" s="9" t="str">
        <f>VLOOKUP(operations[productID],products[],2,FALSE)</f>
        <v>Flotemysost</v>
      </c>
      <c r="H1374" s="9" t="str">
        <f>IF(VLOOKUP(operations[productID],products[],7,FALSE)=1,"Discontinued","Current")</f>
        <v>Current</v>
      </c>
      <c r="I1374" s="6">
        <f>VLOOKUP(operations[productID],products[],4,FALSE)</f>
        <v>26</v>
      </c>
      <c r="J1374" s="6">
        <f>VLOOKUP(operations[productID],products[],5,FALSE)</f>
        <v>0</v>
      </c>
      <c r="K1374" s="6">
        <f>VLOOKUP(operations[productID],products[],6,FALSE)</f>
        <v>0</v>
      </c>
      <c r="L1374" s="10">
        <f t="array" ref="L1374">INDEX('1 orders'!I1374:I2156, MATCH(1, ('1 orders'!A1374:A2156=A1374)*('1 orders'!G1374:G2156=F1374), 0))
</f>
        <v>12</v>
      </c>
      <c r="M1374" s="10">
        <f>IFERROR(__xludf.DUMMYFUNCTION("COUNTUNIQUEIFS($A$2:$A1374,$F$2:$F1374,F1374)"),31.0)</f>
        <v>31</v>
      </c>
      <c r="N1374" s="10">
        <f t="shared" si="1"/>
        <v>41</v>
      </c>
      <c r="O1374" s="26">
        <f>IF(operations[sinceLastOrder]=0,0,operations[orderQuantity] / operations[sinceLastOrder])</f>
        <v>0.2926829268</v>
      </c>
      <c r="P1374" s="9">
        <v>146.32</v>
      </c>
      <c r="Q1374" s="7" t="s">
        <v>17</v>
      </c>
      <c r="R1374" s="10">
        <f>operations[arrivedDate]-operations[shippedDate]</f>
        <v>10</v>
      </c>
    </row>
    <row r="1375" ht="15.75" customHeight="1">
      <c r="A1375" s="6">
        <v>10769.0</v>
      </c>
      <c r="B1375" s="24">
        <v>45268.0</v>
      </c>
      <c r="C1375" s="24">
        <v>45296.0</v>
      </c>
      <c r="D1375" s="24">
        <v>45272.0</v>
      </c>
      <c r="E1375" s="24">
        <v>45282.0</v>
      </c>
      <c r="F1375" s="6">
        <v>41.0</v>
      </c>
      <c r="G1375" s="9" t="str">
        <f>VLOOKUP(operations[productID],products[],2,FALSE)</f>
        <v>Jack's New England Clam Chowder</v>
      </c>
      <c r="H1375" s="9" t="str">
        <f>IF(VLOOKUP(operations[productID],products[],7,FALSE)=1,"Discontinued","Current")</f>
        <v>Current</v>
      </c>
      <c r="I1375" s="6">
        <f>VLOOKUP(operations[productID],products[],4,FALSE)</f>
        <v>85</v>
      </c>
      <c r="J1375" s="6">
        <f>VLOOKUP(operations[productID],products[],5,FALSE)</f>
        <v>0</v>
      </c>
      <c r="K1375" s="6">
        <f>VLOOKUP(operations[productID],products[],6,FALSE)</f>
        <v>10</v>
      </c>
      <c r="L1375" s="10">
        <f t="array" ref="L1375">INDEX('1 orders'!I1375:I2156, MATCH(1, ('1 orders'!A1375:A2156=A1375)*('1 orders'!G1375:G2156=F1375), 0))
</f>
        <v>30</v>
      </c>
      <c r="M1375" s="10">
        <f>IFERROR(__xludf.DUMMYFUNCTION("COUNTUNIQUEIFS($A$2:$A1375,$F$2:$F1375,F1375)"),26.0)</f>
        <v>26</v>
      </c>
      <c r="N1375" s="10">
        <f t="shared" si="1"/>
        <v>19</v>
      </c>
      <c r="O1375" s="26">
        <f>IF(operations[sinceLastOrder]=0,0,operations[orderQuantity] / operations[sinceLastOrder])</f>
        <v>1.578947368</v>
      </c>
      <c r="P1375" s="9">
        <v>65.06</v>
      </c>
      <c r="Q1375" s="7" t="s">
        <v>15</v>
      </c>
      <c r="R1375" s="10">
        <f>operations[arrivedDate]-operations[shippedDate]</f>
        <v>10</v>
      </c>
    </row>
    <row r="1376" ht="15.75" customHeight="1">
      <c r="A1376" s="6">
        <v>10769.0</v>
      </c>
      <c r="B1376" s="24">
        <v>45268.0</v>
      </c>
      <c r="C1376" s="24">
        <v>45296.0</v>
      </c>
      <c r="D1376" s="24">
        <v>45272.0</v>
      </c>
      <c r="E1376" s="24">
        <v>45282.0</v>
      </c>
      <c r="F1376" s="6">
        <v>52.0</v>
      </c>
      <c r="G1376" s="9" t="str">
        <f>VLOOKUP(operations[productID],products[],2,FALSE)</f>
        <v>Filo Mix</v>
      </c>
      <c r="H1376" s="9" t="str">
        <f>IF(VLOOKUP(operations[productID],products[],7,FALSE)=1,"Discontinued","Current")</f>
        <v>Current</v>
      </c>
      <c r="I1376" s="6">
        <f>VLOOKUP(operations[productID],products[],4,FALSE)</f>
        <v>38</v>
      </c>
      <c r="J1376" s="6">
        <f>VLOOKUP(operations[productID],products[],5,FALSE)</f>
        <v>0</v>
      </c>
      <c r="K1376" s="6">
        <f>VLOOKUP(operations[productID],products[],6,FALSE)</f>
        <v>25</v>
      </c>
      <c r="L1376" s="10">
        <f t="array" ref="L1376">INDEX('1 orders'!I1376:I2156, MATCH(1, ('1 orders'!A1376:A2156=A1376)*('1 orders'!G1376:G2156=F1376), 0))
</f>
        <v>15</v>
      </c>
      <c r="M1376" s="10">
        <f>IFERROR(__xludf.DUMMYFUNCTION("COUNTUNIQUEIFS($A$2:$A1376,$F$2:$F1376,F1376)"),17.0)</f>
        <v>17</v>
      </c>
      <c r="N1376" s="10">
        <f t="shared" si="1"/>
        <v>10</v>
      </c>
      <c r="O1376" s="26">
        <f>IF(operations[sinceLastOrder]=0,0,operations[orderQuantity] / operations[sinceLastOrder])</f>
        <v>1.5</v>
      </c>
      <c r="P1376" s="9">
        <v>65.06</v>
      </c>
      <c r="Q1376" s="7" t="s">
        <v>15</v>
      </c>
      <c r="R1376" s="10">
        <f>operations[arrivedDate]-operations[shippedDate]</f>
        <v>10</v>
      </c>
    </row>
    <row r="1377" ht="15.75" customHeight="1">
      <c r="A1377" s="6">
        <v>10769.0</v>
      </c>
      <c r="B1377" s="24">
        <v>45268.0</v>
      </c>
      <c r="C1377" s="24">
        <v>45296.0</v>
      </c>
      <c r="D1377" s="24">
        <v>45272.0</v>
      </c>
      <c r="E1377" s="24">
        <v>45282.0</v>
      </c>
      <c r="F1377" s="6">
        <v>61.0</v>
      </c>
      <c r="G1377" s="9" t="str">
        <f>VLOOKUP(operations[productID],products[],2,FALSE)</f>
        <v>Sirop d'érable</v>
      </c>
      <c r="H1377" s="9" t="str">
        <f>IF(VLOOKUP(operations[productID],products[],7,FALSE)=1,"Discontinued","Current")</f>
        <v>Current</v>
      </c>
      <c r="I1377" s="6">
        <f>VLOOKUP(operations[productID],products[],4,FALSE)</f>
        <v>113</v>
      </c>
      <c r="J1377" s="6">
        <f>VLOOKUP(operations[productID],products[],5,FALSE)</f>
        <v>0</v>
      </c>
      <c r="K1377" s="6">
        <f>VLOOKUP(operations[productID],products[],6,FALSE)</f>
        <v>25</v>
      </c>
      <c r="L1377" s="10">
        <f t="array" ref="L1377">INDEX('1 orders'!I1377:I2156, MATCH(1, ('1 orders'!A1377:A2156=A1377)*('1 orders'!G1377:G2156=F1377), 0))
</f>
        <v>20</v>
      </c>
      <c r="M1377" s="10">
        <f>IFERROR(__xludf.DUMMYFUNCTION("COUNTUNIQUEIFS($A$2:$A1377,$F$2:$F1377,F1377)"),13.0)</f>
        <v>13</v>
      </c>
      <c r="N1377" s="10">
        <f t="shared" si="1"/>
        <v>28</v>
      </c>
      <c r="O1377" s="26">
        <f>IF(operations[sinceLastOrder]=0,0,operations[orderQuantity] / operations[sinceLastOrder])</f>
        <v>0.7142857143</v>
      </c>
      <c r="P1377" s="9">
        <v>65.06</v>
      </c>
      <c r="Q1377" s="7" t="s">
        <v>15</v>
      </c>
      <c r="R1377" s="10">
        <f>operations[arrivedDate]-operations[shippedDate]</f>
        <v>10</v>
      </c>
    </row>
    <row r="1378" ht="15.75" customHeight="1">
      <c r="A1378" s="6">
        <v>10769.0</v>
      </c>
      <c r="B1378" s="24">
        <v>45268.0</v>
      </c>
      <c r="C1378" s="24">
        <v>45296.0</v>
      </c>
      <c r="D1378" s="24">
        <v>45272.0</v>
      </c>
      <c r="E1378" s="24">
        <v>45282.0</v>
      </c>
      <c r="F1378" s="6">
        <v>62.0</v>
      </c>
      <c r="G1378" s="9" t="str">
        <f>VLOOKUP(operations[productID],products[],2,FALSE)</f>
        <v>Tarte au sucre</v>
      </c>
      <c r="H1378" s="9" t="str">
        <f>IF(VLOOKUP(operations[productID],products[],7,FALSE)=1,"Discontinued","Current")</f>
        <v>Current</v>
      </c>
      <c r="I1378" s="6">
        <f>VLOOKUP(operations[productID],products[],4,FALSE)</f>
        <v>17</v>
      </c>
      <c r="J1378" s="6">
        <f>VLOOKUP(operations[productID],products[],5,FALSE)</f>
        <v>0</v>
      </c>
      <c r="K1378" s="6">
        <f>VLOOKUP(operations[productID],products[],6,FALSE)</f>
        <v>0</v>
      </c>
      <c r="L1378" s="10">
        <f t="array" ref="L1378">INDEX('1 orders'!I1378:I2156, MATCH(1, ('1 orders'!A1378:A2156=A1378)*('1 orders'!G1378:G2156=F1378), 0))
</f>
        <v>15</v>
      </c>
      <c r="M1378" s="10">
        <f>IFERROR(__xludf.DUMMYFUNCTION("COUNTUNIQUEIFS($A$2:$A1378,$F$2:$F1378,F1378)"),30.0)</f>
        <v>30</v>
      </c>
      <c r="N1378" s="10">
        <f t="shared" si="1"/>
        <v>11</v>
      </c>
      <c r="O1378" s="26">
        <f>IF(operations[sinceLastOrder]=0,0,operations[orderQuantity] / operations[sinceLastOrder])</f>
        <v>1.363636364</v>
      </c>
      <c r="P1378" s="9">
        <v>65.06</v>
      </c>
      <c r="Q1378" s="7" t="s">
        <v>15</v>
      </c>
      <c r="R1378" s="10">
        <f>operations[arrivedDate]-operations[shippedDate]</f>
        <v>10</v>
      </c>
    </row>
    <row r="1379" ht="15.75" customHeight="1">
      <c r="A1379" s="6">
        <v>10770.0</v>
      </c>
      <c r="B1379" s="24">
        <v>45269.0</v>
      </c>
      <c r="C1379" s="24">
        <v>45297.0</v>
      </c>
      <c r="D1379" s="24">
        <v>45277.0</v>
      </c>
      <c r="E1379" s="24">
        <v>45295.0</v>
      </c>
      <c r="F1379" s="6">
        <v>11.0</v>
      </c>
      <c r="G1379" s="9" t="str">
        <f>VLOOKUP(operations[productID],products[],2,FALSE)</f>
        <v>Queso Cabrales</v>
      </c>
      <c r="H1379" s="9" t="str">
        <f>IF(VLOOKUP(operations[productID],products[],7,FALSE)=1,"Discontinued","Current")</f>
        <v>Current</v>
      </c>
      <c r="I1379" s="6">
        <f>VLOOKUP(operations[productID],products[],4,FALSE)</f>
        <v>22</v>
      </c>
      <c r="J1379" s="6">
        <f>VLOOKUP(operations[productID],products[],5,FALSE)</f>
        <v>30</v>
      </c>
      <c r="K1379" s="6">
        <f>VLOOKUP(operations[productID],products[],6,FALSE)</f>
        <v>30</v>
      </c>
      <c r="L1379" s="10">
        <f t="array" ref="L1379">INDEX('1 orders'!I1379:I2156, MATCH(1, ('1 orders'!A1379:A2156=A1379)*('1 orders'!G1379:G2156=F1379), 0))
</f>
        <v>15</v>
      </c>
      <c r="M1379" s="10">
        <f>IFERROR(__xludf.DUMMYFUNCTION("COUNTUNIQUEIFS($A$2:$A1379,$F$2:$F1379,F1379)"),24.0)</f>
        <v>24</v>
      </c>
      <c r="N1379" s="10">
        <f t="shared" si="1"/>
        <v>36</v>
      </c>
      <c r="O1379" s="26">
        <f>IF(operations[sinceLastOrder]=0,0,operations[orderQuantity] / operations[sinceLastOrder])</f>
        <v>0.4166666667</v>
      </c>
      <c r="P1379" s="9">
        <v>5.32</v>
      </c>
      <c r="Q1379" s="7" t="s">
        <v>13</v>
      </c>
      <c r="R1379" s="10">
        <f>operations[arrivedDate]-operations[shippedDate]</f>
        <v>18</v>
      </c>
    </row>
    <row r="1380" ht="15.75" customHeight="1">
      <c r="A1380" s="6">
        <v>10771.0</v>
      </c>
      <c r="B1380" s="24">
        <v>45270.0</v>
      </c>
      <c r="C1380" s="24">
        <v>45298.0</v>
      </c>
      <c r="D1380" s="24">
        <v>45293.0</v>
      </c>
      <c r="E1380" s="24">
        <v>45306.0</v>
      </c>
      <c r="F1380" s="6">
        <v>71.0</v>
      </c>
      <c r="G1380" s="9" t="str">
        <f>VLOOKUP(operations[productID],products[],2,FALSE)</f>
        <v>Flotemysost</v>
      </c>
      <c r="H1380" s="9" t="str">
        <f>IF(VLOOKUP(operations[productID],products[],7,FALSE)=1,"Discontinued","Current")</f>
        <v>Current</v>
      </c>
      <c r="I1380" s="6">
        <f>VLOOKUP(operations[productID],products[],4,FALSE)</f>
        <v>26</v>
      </c>
      <c r="J1380" s="6">
        <f>VLOOKUP(operations[productID],products[],5,FALSE)</f>
        <v>0</v>
      </c>
      <c r="K1380" s="6">
        <f>VLOOKUP(operations[productID],products[],6,FALSE)</f>
        <v>0</v>
      </c>
      <c r="L1380" s="10">
        <f t="array" ref="L1380">INDEX('1 orders'!I1380:I2156, MATCH(1, ('1 orders'!A1380:A2156=A1380)*('1 orders'!G1380:G2156=F1380), 0))
</f>
        <v>16</v>
      </c>
      <c r="M1380" s="10">
        <f>IFERROR(__xludf.DUMMYFUNCTION("COUNTUNIQUEIFS($A$2:$A1380,$F$2:$F1380,F1380)"),32.0)</f>
        <v>32</v>
      </c>
      <c r="N1380" s="10">
        <f t="shared" si="1"/>
        <v>2</v>
      </c>
      <c r="O1380" s="26">
        <f>IF(operations[sinceLastOrder]=0,0,operations[orderQuantity] / operations[sinceLastOrder])</f>
        <v>8</v>
      </c>
      <c r="P1380" s="9">
        <v>11.19</v>
      </c>
      <c r="Q1380" s="7" t="s">
        <v>17</v>
      </c>
      <c r="R1380" s="10">
        <f>operations[arrivedDate]-operations[shippedDate]</f>
        <v>13</v>
      </c>
    </row>
    <row r="1381" ht="15.75" customHeight="1">
      <c r="A1381" s="6">
        <v>10772.0</v>
      </c>
      <c r="B1381" s="24">
        <v>45270.0</v>
      </c>
      <c r="C1381" s="24">
        <v>45298.0</v>
      </c>
      <c r="D1381" s="24">
        <v>45279.0</v>
      </c>
      <c r="E1381" s="24">
        <v>45288.0</v>
      </c>
      <c r="F1381" s="6">
        <v>29.0</v>
      </c>
      <c r="G1381" s="9" t="str">
        <f>VLOOKUP(operations[productID],products[],2,FALSE)</f>
        <v>Thüringer Rostbratwurst</v>
      </c>
      <c r="H1381" s="9" t="str">
        <f>IF(VLOOKUP(operations[productID],products[],7,FALSE)=1,"Discontinued","Current")</f>
        <v>Discontinued</v>
      </c>
      <c r="I1381" s="6">
        <f>VLOOKUP(operations[productID],products[],4,FALSE)</f>
        <v>0</v>
      </c>
      <c r="J1381" s="6">
        <f>VLOOKUP(operations[productID],products[],5,FALSE)</f>
        <v>0</v>
      </c>
      <c r="K1381" s="6">
        <f>VLOOKUP(operations[productID],products[],6,FALSE)</f>
        <v>0</v>
      </c>
      <c r="L1381" s="10">
        <f t="array" ref="L1381">INDEX('1 orders'!I1381:I2156, MATCH(1, ('1 orders'!A1381:A2156=A1381)*('1 orders'!G1381:G2156=F1381), 0))
</f>
        <v>18</v>
      </c>
      <c r="M1381" s="10">
        <f>IFERROR(__xludf.DUMMYFUNCTION("COUNTUNIQUEIFS($A$2:$A1381,$F$2:$F1381,F1381)"),19.0)</f>
        <v>19</v>
      </c>
      <c r="N1381" s="10">
        <f t="shared" si="1"/>
        <v>62</v>
      </c>
      <c r="O1381" s="26">
        <f>IF(operations[sinceLastOrder]=0,0,operations[orderQuantity] / operations[sinceLastOrder])</f>
        <v>0.2903225806</v>
      </c>
      <c r="P1381" s="9">
        <v>91.28</v>
      </c>
      <c r="Q1381" s="7" t="s">
        <v>17</v>
      </c>
      <c r="R1381" s="10">
        <f>operations[arrivedDate]-operations[shippedDate]</f>
        <v>9</v>
      </c>
    </row>
    <row r="1382" ht="15.75" customHeight="1">
      <c r="A1382" s="6">
        <v>10772.0</v>
      </c>
      <c r="B1382" s="24">
        <v>45270.0</v>
      </c>
      <c r="C1382" s="24">
        <v>45298.0</v>
      </c>
      <c r="D1382" s="24">
        <v>45279.0</v>
      </c>
      <c r="E1382" s="24">
        <v>45288.0</v>
      </c>
      <c r="F1382" s="6">
        <v>59.0</v>
      </c>
      <c r="G1382" s="9" t="str">
        <f>VLOOKUP(operations[productID],products[],2,FALSE)</f>
        <v>Raclette Courdavault</v>
      </c>
      <c r="H1382" s="9" t="str">
        <f>IF(VLOOKUP(operations[productID],products[],7,FALSE)=1,"Discontinued","Current")</f>
        <v>Current</v>
      </c>
      <c r="I1382" s="6">
        <f>VLOOKUP(operations[productID],products[],4,FALSE)</f>
        <v>79</v>
      </c>
      <c r="J1382" s="6">
        <f>VLOOKUP(operations[productID],products[],5,FALSE)</f>
        <v>0</v>
      </c>
      <c r="K1382" s="6">
        <f>VLOOKUP(operations[productID],products[],6,FALSE)</f>
        <v>0</v>
      </c>
      <c r="L1382" s="10">
        <f t="array" ref="L1382">INDEX('1 orders'!I1382:I2156, MATCH(1, ('1 orders'!A1382:A2156=A1382)*('1 orders'!G1382:G2156=F1382), 0))
</f>
        <v>25</v>
      </c>
      <c r="M1382" s="10">
        <f>IFERROR(__xludf.DUMMYFUNCTION("COUNTUNIQUEIFS($A$2:$A1382,$F$2:$F1382,F1382)"),39.0)</f>
        <v>39</v>
      </c>
      <c r="N1382" s="10">
        <f t="shared" si="1"/>
        <v>13</v>
      </c>
      <c r="O1382" s="26">
        <f>IF(operations[sinceLastOrder]=0,0,operations[orderQuantity] / operations[sinceLastOrder])</f>
        <v>1.923076923</v>
      </c>
      <c r="P1382" s="9">
        <v>91.28</v>
      </c>
      <c r="Q1382" s="7" t="s">
        <v>17</v>
      </c>
      <c r="R1382" s="10">
        <f>operations[arrivedDate]-operations[shippedDate]</f>
        <v>9</v>
      </c>
    </row>
    <row r="1383" ht="15.75" customHeight="1">
      <c r="A1383" s="6">
        <v>10773.0</v>
      </c>
      <c r="B1383" s="24">
        <v>45271.0</v>
      </c>
      <c r="C1383" s="24">
        <v>45299.0</v>
      </c>
      <c r="D1383" s="24">
        <v>45276.0</v>
      </c>
      <c r="E1383" s="24">
        <v>45286.0</v>
      </c>
      <c r="F1383" s="6">
        <v>17.0</v>
      </c>
      <c r="G1383" s="9" t="str">
        <f>VLOOKUP(operations[productID],products[],2,FALSE)</f>
        <v>Alice Mutton</v>
      </c>
      <c r="H1383" s="9" t="str">
        <f>IF(VLOOKUP(operations[productID],products[],7,FALSE)=1,"Discontinued","Current")</f>
        <v>Discontinued</v>
      </c>
      <c r="I1383" s="6">
        <f>VLOOKUP(operations[productID],products[],4,FALSE)</f>
        <v>0</v>
      </c>
      <c r="J1383" s="6">
        <f>VLOOKUP(operations[productID],products[],5,FALSE)</f>
        <v>0</v>
      </c>
      <c r="K1383" s="6">
        <f>VLOOKUP(operations[productID],products[],6,FALSE)</f>
        <v>0</v>
      </c>
      <c r="L1383" s="10">
        <f t="array" ref="L1383">INDEX('1 orders'!I1383:I2156, MATCH(1, ('1 orders'!A1383:A2156=A1383)*('1 orders'!G1383:G2156=F1383), 0))
</f>
        <v>33</v>
      </c>
      <c r="M1383" s="10">
        <f>IFERROR(__xludf.DUMMYFUNCTION("COUNTUNIQUEIFS($A$2:$A1383,$F$2:$F1383,F1383)"),24.0)</f>
        <v>24</v>
      </c>
      <c r="N1383" s="10">
        <f t="shared" si="1"/>
        <v>38</v>
      </c>
      <c r="O1383" s="26">
        <f>IF(operations[sinceLastOrder]=0,0,operations[orderQuantity] / operations[sinceLastOrder])</f>
        <v>0.8684210526</v>
      </c>
      <c r="P1383" s="9">
        <v>96.43</v>
      </c>
      <c r="Q1383" s="7" t="s">
        <v>13</v>
      </c>
      <c r="R1383" s="10">
        <f>operations[arrivedDate]-operations[shippedDate]</f>
        <v>10</v>
      </c>
    </row>
    <row r="1384" ht="15.75" customHeight="1">
      <c r="A1384" s="6">
        <v>10773.0</v>
      </c>
      <c r="B1384" s="24">
        <v>45271.0</v>
      </c>
      <c r="C1384" s="24">
        <v>45299.0</v>
      </c>
      <c r="D1384" s="24">
        <v>45276.0</v>
      </c>
      <c r="E1384" s="24">
        <v>45286.0</v>
      </c>
      <c r="F1384" s="6">
        <v>31.0</v>
      </c>
      <c r="G1384" s="9" t="str">
        <f>VLOOKUP(operations[productID],products[],2,FALSE)</f>
        <v>Gorgonzola Telino</v>
      </c>
      <c r="H1384" s="9" t="str">
        <f>IF(VLOOKUP(operations[productID],products[],7,FALSE)=1,"Discontinued","Current")</f>
        <v>Current</v>
      </c>
      <c r="I1384" s="6">
        <f>VLOOKUP(operations[productID],products[],4,FALSE)</f>
        <v>0</v>
      </c>
      <c r="J1384" s="6">
        <f>VLOOKUP(operations[productID],products[],5,FALSE)</f>
        <v>70</v>
      </c>
      <c r="K1384" s="6">
        <f>VLOOKUP(operations[productID],products[],6,FALSE)</f>
        <v>20</v>
      </c>
      <c r="L1384" s="10">
        <f t="array" ref="L1384">INDEX('1 orders'!I1384:I2156, MATCH(1, ('1 orders'!A1384:A2156=A1384)*('1 orders'!G1384:G2156=F1384), 0))
</f>
        <v>70</v>
      </c>
      <c r="M1384" s="10">
        <f>IFERROR(__xludf.DUMMYFUNCTION("COUNTUNIQUEIFS($A$2:$A1384,$F$2:$F1384,F1384)"),35.0)</f>
        <v>35</v>
      </c>
      <c r="N1384" s="10">
        <f t="shared" si="1"/>
        <v>3</v>
      </c>
      <c r="O1384" s="26">
        <f>IF(operations[sinceLastOrder]=0,0,operations[orderQuantity] / operations[sinceLastOrder])</f>
        <v>23.33333333</v>
      </c>
      <c r="P1384" s="9">
        <v>96.43</v>
      </c>
      <c r="Q1384" s="7" t="s">
        <v>13</v>
      </c>
      <c r="R1384" s="10">
        <f>operations[arrivedDate]-operations[shippedDate]</f>
        <v>10</v>
      </c>
    </row>
    <row r="1385" ht="15.75" customHeight="1">
      <c r="A1385" s="6">
        <v>10773.0</v>
      </c>
      <c r="B1385" s="24">
        <v>45271.0</v>
      </c>
      <c r="C1385" s="24">
        <v>45299.0</v>
      </c>
      <c r="D1385" s="24">
        <v>45276.0</v>
      </c>
      <c r="E1385" s="24">
        <v>45286.0</v>
      </c>
      <c r="F1385" s="6">
        <v>75.0</v>
      </c>
      <c r="G1385" s="9" t="str">
        <f>VLOOKUP(operations[productID],products[],2,FALSE)</f>
        <v>Rhönbräu Klosterbier</v>
      </c>
      <c r="H1385" s="9" t="str">
        <f>IF(VLOOKUP(operations[productID],products[],7,FALSE)=1,"Discontinued","Current")</f>
        <v>Current</v>
      </c>
      <c r="I1385" s="6">
        <f>VLOOKUP(operations[productID],products[],4,FALSE)</f>
        <v>125</v>
      </c>
      <c r="J1385" s="6">
        <f>VLOOKUP(operations[productID],products[],5,FALSE)</f>
        <v>0</v>
      </c>
      <c r="K1385" s="6">
        <f>VLOOKUP(operations[productID],products[],6,FALSE)</f>
        <v>25</v>
      </c>
      <c r="L1385" s="10">
        <f t="array" ref="L1385">INDEX('1 orders'!I1385:I2156, MATCH(1, ('1 orders'!A1385:A2156=A1385)*('1 orders'!G1385:G2156=F1385), 0))
</f>
        <v>7</v>
      </c>
      <c r="M1385" s="10">
        <f>IFERROR(__xludf.DUMMYFUNCTION("COUNTUNIQUEIFS($A$2:$A1385,$F$2:$F1385,F1385)"),29.0)</f>
        <v>29</v>
      </c>
      <c r="N1385" s="10">
        <f t="shared" si="1"/>
        <v>9</v>
      </c>
      <c r="O1385" s="26">
        <f>IF(operations[sinceLastOrder]=0,0,operations[orderQuantity] / operations[sinceLastOrder])</f>
        <v>0.7777777778</v>
      </c>
      <c r="P1385" s="9">
        <v>96.43</v>
      </c>
      <c r="Q1385" s="7" t="s">
        <v>13</v>
      </c>
      <c r="R1385" s="10">
        <f>operations[arrivedDate]-operations[shippedDate]</f>
        <v>10</v>
      </c>
    </row>
    <row r="1386" ht="15.75" customHeight="1">
      <c r="A1386" s="6">
        <v>10774.0</v>
      </c>
      <c r="B1386" s="24">
        <v>45271.0</v>
      </c>
      <c r="C1386" s="24">
        <v>45285.0</v>
      </c>
      <c r="D1386" s="24">
        <v>45272.0</v>
      </c>
      <c r="E1386" s="24">
        <v>45282.0</v>
      </c>
      <c r="F1386" s="6">
        <v>31.0</v>
      </c>
      <c r="G1386" s="9" t="str">
        <f>VLOOKUP(operations[productID],products[],2,FALSE)</f>
        <v>Gorgonzola Telino</v>
      </c>
      <c r="H1386" s="9" t="str">
        <f>IF(VLOOKUP(operations[productID],products[],7,FALSE)=1,"Discontinued","Current")</f>
        <v>Current</v>
      </c>
      <c r="I1386" s="6">
        <f>VLOOKUP(operations[productID],products[],4,FALSE)</f>
        <v>0</v>
      </c>
      <c r="J1386" s="6">
        <f>VLOOKUP(operations[productID],products[],5,FALSE)</f>
        <v>70</v>
      </c>
      <c r="K1386" s="6">
        <f>VLOOKUP(operations[productID],products[],6,FALSE)</f>
        <v>20</v>
      </c>
      <c r="L1386" s="10">
        <f t="array" ref="L1386">INDEX('1 orders'!I1386:I2156, MATCH(1, ('1 orders'!A1386:A2156=A1386)*('1 orders'!G1386:G2156=F1386), 0))
</f>
        <v>2</v>
      </c>
      <c r="M1386" s="10">
        <f>IFERROR(__xludf.DUMMYFUNCTION("COUNTUNIQUEIFS($A$2:$A1386,$F$2:$F1386,F1386)"),36.0)</f>
        <v>36</v>
      </c>
      <c r="N1386" s="10">
        <f t="shared" si="1"/>
        <v>0</v>
      </c>
      <c r="O1386" s="26">
        <f>IF(operations[sinceLastOrder]=0,0,operations[orderQuantity] / operations[sinceLastOrder])</f>
        <v>0</v>
      </c>
      <c r="P1386" s="9">
        <v>48.2</v>
      </c>
      <c r="Q1386" s="7" t="s">
        <v>15</v>
      </c>
      <c r="R1386" s="10">
        <f>operations[arrivedDate]-operations[shippedDate]</f>
        <v>10</v>
      </c>
    </row>
    <row r="1387" ht="15.75" customHeight="1">
      <c r="A1387" s="6">
        <v>10774.0</v>
      </c>
      <c r="B1387" s="24">
        <v>45271.0</v>
      </c>
      <c r="C1387" s="24">
        <v>45285.0</v>
      </c>
      <c r="D1387" s="24">
        <v>45272.0</v>
      </c>
      <c r="E1387" s="24">
        <v>45282.0</v>
      </c>
      <c r="F1387" s="6">
        <v>66.0</v>
      </c>
      <c r="G1387" s="9" t="str">
        <f>VLOOKUP(operations[productID],products[],2,FALSE)</f>
        <v>Louisiana Hot Spiced Okra</v>
      </c>
      <c r="H1387" s="9" t="str">
        <f>IF(VLOOKUP(operations[productID],products[],7,FALSE)=1,"Discontinued","Current")</f>
        <v>Current</v>
      </c>
      <c r="I1387" s="6">
        <f>VLOOKUP(operations[productID],products[],4,FALSE)</f>
        <v>4</v>
      </c>
      <c r="J1387" s="6">
        <f>VLOOKUP(operations[productID],products[],5,FALSE)</f>
        <v>100</v>
      </c>
      <c r="K1387" s="6">
        <f>VLOOKUP(operations[productID],products[],6,FALSE)</f>
        <v>20</v>
      </c>
      <c r="L1387" s="10">
        <f t="array" ref="L1387">INDEX('1 orders'!I1387:I2156, MATCH(1, ('1 orders'!A1387:A2156=A1387)*('1 orders'!G1387:G2156=F1387), 0))
</f>
        <v>50</v>
      </c>
      <c r="M1387" s="10">
        <f>IFERROR(__xludf.DUMMYFUNCTION("COUNTUNIQUEIFS($A$2:$A1387,$F$2:$F1387,F1387)"),7.0)</f>
        <v>7</v>
      </c>
      <c r="N1387" s="10">
        <f t="shared" si="1"/>
        <v>77</v>
      </c>
      <c r="O1387" s="26">
        <f>IF(operations[sinceLastOrder]=0,0,operations[orderQuantity] / operations[sinceLastOrder])</f>
        <v>0.6493506494</v>
      </c>
      <c r="P1387" s="9">
        <v>48.2</v>
      </c>
      <c r="Q1387" s="7" t="s">
        <v>15</v>
      </c>
      <c r="R1387" s="10">
        <f>operations[arrivedDate]-operations[shippedDate]</f>
        <v>10</v>
      </c>
    </row>
    <row r="1388" ht="15.75" customHeight="1">
      <c r="A1388" s="6">
        <v>10775.0</v>
      </c>
      <c r="B1388" s="24">
        <v>45272.0</v>
      </c>
      <c r="C1388" s="24">
        <v>45300.0</v>
      </c>
      <c r="D1388" s="24">
        <v>45286.0</v>
      </c>
      <c r="E1388" s="24">
        <v>45298.0</v>
      </c>
      <c r="F1388" s="6">
        <v>10.0</v>
      </c>
      <c r="G1388" s="9" t="str">
        <f>VLOOKUP(operations[productID],products[],2,FALSE)</f>
        <v>Ikura</v>
      </c>
      <c r="H1388" s="9" t="str">
        <f>IF(VLOOKUP(operations[productID],products[],7,FALSE)=1,"Discontinued","Current")</f>
        <v>Current</v>
      </c>
      <c r="I1388" s="6">
        <f>VLOOKUP(operations[productID],products[],4,FALSE)</f>
        <v>31</v>
      </c>
      <c r="J1388" s="6">
        <f>VLOOKUP(operations[productID],products[],5,FALSE)</f>
        <v>0</v>
      </c>
      <c r="K1388" s="6">
        <f>VLOOKUP(operations[productID],products[],6,FALSE)</f>
        <v>0</v>
      </c>
      <c r="L1388" s="10">
        <f t="array" ref="L1388">INDEX('1 orders'!I1388:I2156, MATCH(1, ('1 orders'!A1388:A2156=A1388)*('1 orders'!G1388:G2156=F1388), 0))
</f>
        <v>6</v>
      </c>
      <c r="M1388" s="10">
        <f>IFERROR(__xludf.DUMMYFUNCTION("COUNTUNIQUEIFS($A$2:$A1388,$F$2:$F1388,F1388)"),21.0)</f>
        <v>21</v>
      </c>
      <c r="N1388" s="10">
        <f t="shared" si="1"/>
        <v>43</v>
      </c>
      <c r="O1388" s="26">
        <f>IF(operations[sinceLastOrder]=0,0,operations[orderQuantity] / operations[sinceLastOrder])</f>
        <v>0.1395348837</v>
      </c>
      <c r="P1388" s="9">
        <v>20.25</v>
      </c>
      <c r="Q1388" s="7" t="s">
        <v>15</v>
      </c>
      <c r="R1388" s="10">
        <f>operations[arrivedDate]-operations[shippedDate]</f>
        <v>12</v>
      </c>
    </row>
    <row r="1389" ht="15.75" customHeight="1">
      <c r="A1389" s="6">
        <v>10775.0</v>
      </c>
      <c r="B1389" s="24">
        <v>45272.0</v>
      </c>
      <c r="C1389" s="24">
        <v>45300.0</v>
      </c>
      <c r="D1389" s="24">
        <v>45286.0</v>
      </c>
      <c r="E1389" s="24">
        <v>45298.0</v>
      </c>
      <c r="F1389" s="6">
        <v>67.0</v>
      </c>
      <c r="G1389" s="9" t="str">
        <f>VLOOKUP(operations[productID],products[],2,FALSE)</f>
        <v>Laughing Lumberjack Lager</v>
      </c>
      <c r="H1389" s="9" t="str">
        <f>IF(VLOOKUP(operations[productID],products[],7,FALSE)=1,"Discontinued","Current")</f>
        <v>Current</v>
      </c>
      <c r="I1389" s="6">
        <f>VLOOKUP(operations[productID],products[],4,FALSE)</f>
        <v>52</v>
      </c>
      <c r="J1389" s="6">
        <f>VLOOKUP(operations[productID],products[],5,FALSE)</f>
        <v>0</v>
      </c>
      <c r="K1389" s="6">
        <f>VLOOKUP(operations[productID],products[],6,FALSE)</f>
        <v>10</v>
      </c>
      <c r="L1389" s="10">
        <f t="array" ref="L1389">INDEX('1 orders'!I1389:I2156, MATCH(1, ('1 orders'!A1389:A2156=A1389)*('1 orders'!G1389:G2156=F1389), 0))
</f>
        <v>3</v>
      </c>
      <c r="M1389" s="10">
        <f>IFERROR(__xludf.DUMMYFUNCTION("COUNTUNIQUEIFS($A$2:$A1389,$F$2:$F1389,F1389)"),5.0)</f>
        <v>5</v>
      </c>
      <c r="N1389" s="10">
        <f t="shared" si="1"/>
        <v>87</v>
      </c>
      <c r="O1389" s="26">
        <f>IF(operations[sinceLastOrder]=0,0,operations[orderQuantity] / operations[sinceLastOrder])</f>
        <v>0.03448275862</v>
      </c>
      <c r="P1389" s="9">
        <v>20.25</v>
      </c>
      <c r="Q1389" s="7" t="s">
        <v>15</v>
      </c>
      <c r="R1389" s="10">
        <f>operations[arrivedDate]-operations[shippedDate]</f>
        <v>12</v>
      </c>
    </row>
    <row r="1390" ht="15.75" customHeight="1">
      <c r="A1390" s="6">
        <v>10776.0</v>
      </c>
      <c r="B1390" s="24">
        <v>45275.0</v>
      </c>
      <c r="C1390" s="24">
        <v>45303.0</v>
      </c>
      <c r="D1390" s="24">
        <v>45278.0</v>
      </c>
      <c r="E1390" s="24">
        <v>45292.0</v>
      </c>
      <c r="F1390" s="6">
        <v>31.0</v>
      </c>
      <c r="G1390" s="9" t="str">
        <f>VLOOKUP(operations[productID],products[],2,FALSE)</f>
        <v>Gorgonzola Telino</v>
      </c>
      <c r="H1390" s="9" t="str">
        <f>IF(VLOOKUP(operations[productID],products[],7,FALSE)=1,"Discontinued","Current")</f>
        <v>Current</v>
      </c>
      <c r="I1390" s="6">
        <f>VLOOKUP(operations[productID],products[],4,FALSE)</f>
        <v>0</v>
      </c>
      <c r="J1390" s="6">
        <f>VLOOKUP(operations[productID],products[],5,FALSE)</f>
        <v>70</v>
      </c>
      <c r="K1390" s="6">
        <f>VLOOKUP(operations[productID],products[],6,FALSE)</f>
        <v>20</v>
      </c>
      <c r="L1390" s="10">
        <f t="array" ref="L1390">INDEX('1 orders'!I1390:I2156, MATCH(1, ('1 orders'!A1390:A2156=A1390)*('1 orders'!G1390:G2156=F1390), 0))
</f>
        <v>16</v>
      </c>
      <c r="M1390" s="10">
        <f>IFERROR(__xludf.DUMMYFUNCTION("COUNTUNIQUEIFS($A$2:$A1390,$F$2:$F1390,F1390)"),37.0)</f>
        <v>37</v>
      </c>
      <c r="N1390" s="10">
        <f t="shared" si="1"/>
        <v>4</v>
      </c>
      <c r="O1390" s="26">
        <f>IF(operations[sinceLastOrder]=0,0,operations[orderQuantity] / operations[sinceLastOrder])</f>
        <v>4</v>
      </c>
      <c r="P1390" s="9">
        <v>351.53</v>
      </c>
      <c r="Q1390" s="7" t="s">
        <v>13</v>
      </c>
      <c r="R1390" s="10">
        <f>operations[arrivedDate]-operations[shippedDate]</f>
        <v>14</v>
      </c>
    </row>
    <row r="1391" ht="15.75" customHeight="1">
      <c r="A1391" s="6">
        <v>10776.0</v>
      </c>
      <c r="B1391" s="24">
        <v>45275.0</v>
      </c>
      <c r="C1391" s="24">
        <v>45303.0</v>
      </c>
      <c r="D1391" s="24">
        <v>45278.0</v>
      </c>
      <c r="E1391" s="24">
        <v>45292.0</v>
      </c>
      <c r="F1391" s="6">
        <v>42.0</v>
      </c>
      <c r="G1391" s="9" t="str">
        <f>VLOOKUP(operations[productID],products[],2,FALSE)</f>
        <v>Singaporean Hokkien Fried Mee</v>
      </c>
      <c r="H1391" s="9" t="str">
        <f>IF(VLOOKUP(operations[productID],products[],7,FALSE)=1,"Discontinued","Current")</f>
        <v>Discontinued</v>
      </c>
      <c r="I1391" s="6">
        <f>VLOOKUP(operations[productID],products[],4,FALSE)</f>
        <v>26</v>
      </c>
      <c r="J1391" s="6">
        <f>VLOOKUP(operations[productID],products[],5,FALSE)</f>
        <v>0</v>
      </c>
      <c r="K1391" s="6">
        <f>VLOOKUP(operations[productID],products[],6,FALSE)</f>
        <v>0</v>
      </c>
      <c r="L1391" s="10">
        <f t="array" ref="L1391">INDEX('1 orders'!I1391:I2156, MATCH(1, ('1 orders'!A1391:A2156=A1391)*('1 orders'!G1391:G2156=F1391), 0))
</f>
        <v>12</v>
      </c>
      <c r="M1391" s="10">
        <f>IFERROR(__xludf.DUMMYFUNCTION("COUNTUNIQUEIFS($A$2:$A1391,$F$2:$F1391,F1391)"),20.0)</f>
        <v>20</v>
      </c>
      <c r="N1391" s="10">
        <f t="shared" si="1"/>
        <v>10</v>
      </c>
      <c r="O1391" s="26">
        <f>IF(operations[sinceLastOrder]=0,0,operations[orderQuantity] / operations[sinceLastOrder])</f>
        <v>1.2</v>
      </c>
      <c r="P1391" s="9">
        <v>351.53</v>
      </c>
      <c r="Q1391" s="7" t="s">
        <v>13</v>
      </c>
      <c r="R1391" s="10">
        <f>operations[arrivedDate]-operations[shippedDate]</f>
        <v>14</v>
      </c>
    </row>
    <row r="1392" ht="15.75" customHeight="1">
      <c r="A1392" s="6">
        <v>10776.0</v>
      </c>
      <c r="B1392" s="24">
        <v>45275.0</v>
      </c>
      <c r="C1392" s="24">
        <v>45303.0</v>
      </c>
      <c r="D1392" s="24">
        <v>45278.0</v>
      </c>
      <c r="E1392" s="24">
        <v>45292.0</v>
      </c>
      <c r="F1392" s="6">
        <v>45.0</v>
      </c>
      <c r="G1392" s="9" t="str">
        <f>VLOOKUP(operations[productID],products[],2,FALSE)</f>
        <v>Rogede sild</v>
      </c>
      <c r="H1392" s="9" t="str">
        <f>IF(VLOOKUP(operations[productID],products[],7,FALSE)=1,"Discontinued","Current")</f>
        <v>Current</v>
      </c>
      <c r="I1392" s="6">
        <f>VLOOKUP(operations[productID],products[],4,FALSE)</f>
        <v>5</v>
      </c>
      <c r="J1392" s="6">
        <f>VLOOKUP(operations[productID],products[],5,FALSE)</f>
        <v>70</v>
      </c>
      <c r="K1392" s="6">
        <f>VLOOKUP(operations[productID],products[],6,FALSE)</f>
        <v>15</v>
      </c>
      <c r="L1392" s="10">
        <f t="array" ref="L1392">INDEX('1 orders'!I1392:I2156, MATCH(1, ('1 orders'!A1392:A2156=A1392)*('1 orders'!G1392:G2156=F1392), 0))
</f>
        <v>27</v>
      </c>
      <c r="M1392" s="10">
        <f>IFERROR(__xludf.DUMMYFUNCTION("COUNTUNIQUEIFS($A$2:$A1392,$F$2:$F1392,F1392)"),10.0)</f>
        <v>10</v>
      </c>
      <c r="N1392" s="10">
        <f t="shared" si="1"/>
        <v>20</v>
      </c>
      <c r="O1392" s="26">
        <f>IF(operations[sinceLastOrder]=0,0,operations[orderQuantity] / operations[sinceLastOrder])</f>
        <v>1.35</v>
      </c>
      <c r="P1392" s="9">
        <v>351.53</v>
      </c>
      <c r="Q1392" s="7" t="s">
        <v>13</v>
      </c>
      <c r="R1392" s="10">
        <f>operations[arrivedDate]-operations[shippedDate]</f>
        <v>14</v>
      </c>
    </row>
    <row r="1393" ht="15.75" customHeight="1">
      <c r="A1393" s="6">
        <v>10776.0</v>
      </c>
      <c r="B1393" s="24">
        <v>45275.0</v>
      </c>
      <c r="C1393" s="24">
        <v>45303.0</v>
      </c>
      <c r="D1393" s="24">
        <v>45278.0</v>
      </c>
      <c r="E1393" s="24">
        <v>45292.0</v>
      </c>
      <c r="F1393" s="6">
        <v>51.0</v>
      </c>
      <c r="G1393" s="9" t="str">
        <f>VLOOKUP(operations[productID],products[],2,FALSE)</f>
        <v>Manjimup Dried Apples</v>
      </c>
      <c r="H1393" s="9" t="str">
        <f>IF(VLOOKUP(operations[productID],products[],7,FALSE)=1,"Discontinued","Current")</f>
        <v>Current</v>
      </c>
      <c r="I1393" s="6">
        <f>VLOOKUP(operations[productID],products[],4,FALSE)</f>
        <v>20</v>
      </c>
      <c r="J1393" s="6">
        <f>VLOOKUP(operations[productID],products[],5,FALSE)</f>
        <v>0</v>
      </c>
      <c r="K1393" s="6">
        <f>VLOOKUP(operations[productID],products[],6,FALSE)</f>
        <v>10</v>
      </c>
      <c r="L1393" s="10">
        <f t="array" ref="L1393">INDEX('1 orders'!I1393:I2156, MATCH(1, ('1 orders'!A1393:A2156=A1393)*('1 orders'!G1393:G2156=F1393), 0))
</f>
        <v>120</v>
      </c>
      <c r="M1393" s="10">
        <f>IFERROR(__xludf.DUMMYFUNCTION("COUNTUNIQUEIFS($A$2:$A1393,$F$2:$F1393,F1393)"),23.0)</f>
        <v>23</v>
      </c>
      <c r="N1393" s="10">
        <f t="shared" si="1"/>
        <v>13</v>
      </c>
      <c r="O1393" s="26">
        <f>IF(operations[sinceLastOrder]=0,0,operations[orderQuantity] / operations[sinceLastOrder])</f>
        <v>9.230769231</v>
      </c>
      <c r="P1393" s="9">
        <v>351.53</v>
      </c>
      <c r="Q1393" s="7" t="s">
        <v>13</v>
      </c>
      <c r="R1393" s="10">
        <f>operations[arrivedDate]-operations[shippedDate]</f>
        <v>14</v>
      </c>
    </row>
    <row r="1394" ht="15.75" customHeight="1">
      <c r="A1394" s="6">
        <v>10777.0</v>
      </c>
      <c r="B1394" s="24">
        <v>45275.0</v>
      </c>
      <c r="C1394" s="24">
        <v>45289.0</v>
      </c>
      <c r="D1394" s="24">
        <v>45312.0</v>
      </c>
      <c r="E1394" s="24">
        <v>45332.0</v>
      </c>
      <c r="F1394" s="6">
        <v>42.0</v>
      </c>
      <c r="G1394" s="9" t="str">
        <f>VLOOKUP(operations[productID],products[],2,FALSE)</f>
        <v>Singaporean Hokkien Fried Mee</v>
      </c>
      <c r="H1394" s="9" t="str">
        <f>IF(VLOOKUP(operations[productID],products[],7,FALSE)=1,"Discontinued","Current")</f>
        <v>Discontinued</v>
      </c>
      <c r="I1394" s="6">
        <f>VLOOKUP(operations[productID],products[],4,FALSE)</f>
        <v>26</v>
      </c>
      <c r="J1394" s="6">
        <f>VLOOKUP(operations[productID],products[],5,FALSE)</f>
        <v>0</v>
      </c>
      <c r="K1394" s="6">
        <f>VLOOKUP(operations[productID],products[],6,FALSE)</f>
        <v>0</v>
      </c>
      <c r="L1394" s="10">
        <f t="array" ref="L1394">INDEX('1 orders'!I1394:I2156, MATCH(1, ('1 orders'!A1394:A2156=A1394)*('1 orders'!G1394:G2156=F1394), 0))
</f>
        <v>20</v>
      </c>
      <c r="M1394" s="10">
        <f>IFERROR(__xludf.DUMMYFUNCTION("COUNTUNIQUEIFS($A$2:$A1394,$F$2:$F1394,F1394)"),21.0)</f>
        <v>21</v>
      </c>
      <c r="N1394" s="10">
        <f t="shared" si="1"/>
        <v>0</v>
      </c>
      <c r="O1394" s="26">
        <f>IF(operations[sinceLastOrder]=0,0,operations[orderQuantity] / operations[sinceLastOrder])</f>
        <v>0</v>
      </c>
      <c r="P1394" s="9">
        <v>3.01</v>
      </c>
      <c r="Q1394" s="7" t="s">
        <v>17</v>
      </c>
      <c r="R1394" s="10">
        <f>operations[arrivedDate]-operations[shippedDate]</f>
        <v>20</v>
      </c>
    </row>
    <row r="1395" ht="15.75" customHeight="1">
      <c r="A1395" s="6">
        <v>10778.0</v>
      </c>
      <c r="B1395" s="24">
        <v>45276.0</v>
      </c>
      <c r="C1395" s="24">
        <v>45304.0</v>
      </c>
      <c r="D1395" s="24">
        <v>45284.0</v>
      </c>
      <c r="E1395" s="24">
        <v>45290.0</v>
      </c>
      <c r="F1395" s="6">
        <v>41.0</v>
      </c>
      <c r="G1395" s="9" t="str">
        <f>VLOOKUP(operations[productID],products[],2,FALSE)</f>
        <v>Jack's New England Clam Chowder</v>
      </c>
      <c r="H1395" s="9" t="str">
        <f>IF(VLOOKUP(operations[productID],products[],7,FALSE)=1,"Discontinued","Current")</f>
        <v>Current</v>
      </c>
      <c r="I1395" s="6">
        <f>VLOOKUP(operations[productID],products[],4,FALSE)</f>
        <v>85</v>
      </c>
      <c r="J1395" s="6">
        <f>VLOOKUP(operations[productID],products[],5,FALSE)</f>
        <v>0</v>
      </c>
      <c r="K1395" s="6">
        <f>VLOOKUP(operations[productID],products[],6,FALSE)</f>
        <v>10</v>
      </c>
      <c r="L1395" s="10">
        <f t="array" ref="L1395">INDEX('1 orders'!I1395:I2156, MATCH(1, ('1 orders'!A1395:A2156=A1395)*('1 orders'!G1395:G2156=F1395), 0))
</f>
        <v>10</v>
      </c>
      <c r="M1395" s="10">
        <f>IFERROR(__xludf.DUMMYFUNCTION("COUNTUNIQUEIFS($A$2:$A1395,$F$2:$F1395,F1395)"),27.0)</f>
        <v>27</v>
      </c>
      <c r="N1395" s="10">
        <f t="shared" si="1"/>
        <v>8</v>
      </c>
      <c r="O1395" s="26">
        <f>IF(operations[sinceLastOrder]=0,0,operations[orderQuantity] / operations[sinceLastOrder])</f>
        <v>1.25</v>
      </c>
      <c r="P1395" s="9">
        <v>6.79</v>
      </c>
      <c r="Q1395" s="7" t="s">
        <v>15</v>
      </c>
      <c r="R1395" s="10">
        <f>operations[arrivedDate]-operations[shippedDate]</f>
        <v>6</v>
      </c>
    </row>
    <row r="1396" ht="15.75" customHeight="1">
      <c r="A1396" s="6">
        <v>10779.0</v>
      </c>
      <c r="B1396" s="24">
        <v>45276.0</v>
      </c>
      <c r="C1396" s="24">
        <v>45304.0</v>
      </c>
      <c r="D1396" s="24">
        <v>45305.0</v>
      </c>
      <c r="E1396" s="24">
        <v>45310.0</v>
      </c>
      <c r="F1396" s="6">
        <v>16.0</v>
      </c>
      <c r="G1396" s="9" t="str">
        <f>VLOOKUP(operations[productID],products[],2,FALSE)</f>
        <v>Pavlova</v>
      </c>
      <c r="H1396" s="9" t="str">
        <f>IF(VLOOKUP(operations[productID],products[],7,FALSE)=1,"Discontinued","Current")</f>
        <v>Current</v>
      </c>
      <c r="I1396" s="6">
        <f>VLOOKUP(operations[productID],products[],4,FALSE)</f>
        <v>29</v>
      </c>
      <c r="J1396" s="6">
        <f>VLOOKUP(operations[productID],products[],5,FALSE)</f>
        <v>0</v>
      </c>
      <c r="K1396" s="6">
        <f>VLOOKUP(operations[productID],products[],6,FALSE)</f>
        <v>10</v>
      </c>
      <c r="L1396" s="10">
        <f t="array" ref="L1396">INDEX('1 orders'!I1396:I2156, MATCH(1, ('1 orders'!A1396:A2156=A1396)*('1 orders'!G1396:G2156=F1396), 0))
</f>
        <v>20</v>
      </c>
      <c r="M1396" s="10">
        <f>IFERROR(__xludf.DUMMYFUNCTION("COUNTUNIQUEIFS($A$2:$A1396,$F$2:$F1396,F1396)"),28.0)</f>
        <v>28</v>
      </c>
      <c r="N1396" s="10">
        <f t="shared" si="1"/>
        <v>34</v>
      </c>
      <c r="O1396" s="26">
        <f>IF(operations[sinceLastOrder]=0,0,operations[orderQuantity] / operations[sinceLastOrder])</f>
        <v>0.5882352941</v>
      </c>
      <c r="P1396" s="9">
        <v>58.13</v>
      </c>
      <c r="Q1396" s="7" t="s">
        <v>17</v>
      </c>
      <c r="R1396" s="10">
        <f>operations[arrivedDate]-operations[shippedDate]</f>
        <v>5</v>
      </c>
    </row>
    <row r="1397" ht="15.75" customHeight="1">
      <c r="A1397" s="6">
        <v>10779.0</v>
      </c>
      <c r="B1397" s="24">
        <v>45276.0</v>
      </c>
      <c r="C1397" s="24">
        <v>45304.0</v>
      </c>
      <c r="D1397" s="24">
        <v>45305.0</v>
      </c>
      <c r="E1397" s="24">
        <v>45310.0</v>
      </c>
      <c r="F1397" s="6">
        <v>62.0</v>
      </c>
      <c r="G1397" s="9" t="str">
        <f>VLOOKUP(operations[productID],products[],2,FALSE)</f>
        <v>Tarte au sucre</v>
      </c>
      <c r="H1397" s="9" t="str">
        <f>IF(VLOOKUP(operations[productID],products[],7,FALSE)=1,"Discontinued","Current")</f>
        <v>Current</v>
      </c>
      <c r="I1397" s="6">
        <f>VLOOKUP(operations[productID],products[],4,FALSE)</f>
        <v>17</v>
      </c>
      <c r="J1397" s="6">
        <f>VLOOKUP(operations[productID],products[],5,FALSE)</f>
        <v>0</v>
      </c>
      <c r="K1397" s="6">
        <f>VLOOKUP(operations[productID],products[],6,FALSE)</f>
        <v>0</v>
      </c>
      <c r="L1397" s="10">
        <f t="array" ref="L1397">INDEX('1 orders'!I1397:I2156, MATCH(1, ('1 orders'!A1397:A2156=A1397)*('1 orders'!G1397:G2156=F1397), 0))
</f>
        <v>20</v>
      </c>
      <c r="M1397" s="10">
        <f>IFERROR(__xludf.DUMMYFUNCTION("COUNTUNIQUEIFS($A$2:$A1397,$F$2:$F1397,F1397)"),31.0)</f>
        <v>31</v>
      </c>
      <c r="N1397" s="10">
        <f t="shared" si="1"/>
        <v>8</v>
      </c>
      <c r="O1397" s="26">
        <f>IF(operations[sinceLastOrder]=0,0,operations[orderQuantity] / operations[sinceLastOrder])</f>
        <v>2.5</v>
      </c>
      <c r="P1397" s="9">
        <v>58.13</v>
      </c>
      <c r="Q1397" s="7" t="s">
        <v>17</v>
      </c>
      <c r="R1397" s="10">
        <f>operations[arrivedDate]-operations[shippedDate]</f>
        <v>5</v>
      </c>
    </row>
    <row r="1398" ht="15.75" customHeight="1">
      <c r="A1398" s="6">
        <v>10780.0</v>
      </c>
      <c r="B1398" s="24">
        <v>45276.0</v>
      </c>
      <c r="C1398" s="24">
        <v>45290.0</v>
      </c>
      <c r="D1398" s="24">
        <v>45285.0</v>
      </c>
      <c r="E1398" s="24">
        <v>45295.0</v>
      </c>
      <c r="F1398" s="6">
        <v>70.0</v>
      </c>
      <c r="G1398" s="9" t="str">
        <f>VLOOKUP(operations[productID],products[],2,FALSE)</f>
        <v>Outback Lager</v>
      </c>
      <c r="H1398" s="9" t="str">
        <f>IF(VLOOKUP(operations[productID],products[],7,FALSE)=1,"Discontinued","Current")</f>
        <v>Current</v>
      </c>
      <c r="I1398" s="6">
        <f>VLOOKUP(operations[productID],products[],4,FALSE)</f>
        <v>15</v>
      </c>
      <c r="J1398" s="6">
        <f>VLOOKUP(operations[productID],products[],5,FALSE)</f>
        <v>10</v>
      </c>
      <c r="K1398" s="6">
        <f>VLOOKUP(operations[productID],products[],6,FALSE)</f>
        <v>30</v>
      </c>
      <c r="L1398" s="10">
        <f t="array" ref="L1398">INDEX('1 orders'!I1398:I2156, MATCH(1, ('1 orders'!A1398:A2156=A1398)*('1 orders'!G1398:G2156=F1398), 0))
</f>
        <v>35</v>
      </c>
      <c r="M1398" s="10">
        <f>IFERROR(__xludf.DUMMYFUNCTION("COUNTUNIQUEIFS($A$2:$A1398,$F$2:$F1398,F1398)"),24.0)</f>
        <v>24</v>
      </c>
      <c r="N1398" s="10">
        <f t="shared" si="1"/>
        <v>18</v>
      </c>
      <c r="O1398" s="26">
        <f>IF(operations[sinceLastOrder]=0,0,operations[orderQuantity] / operations[sinceLastOrder])</f>
        <v>1.944444444</v>
      </c>
      <c r="P1398" s="9">
        <v>42.13</v>
      </c>
      <c r="Q1398" s="7" t="s">
        <v>15</v>
      </c>
      <c r="R1398" s="10">
        <f>operations[arrivedDate]-operations[shippedDate]</f>
        <v>10</v>
      </c>
    </row>
    <row r="1399" ht="15.75" customHeight="1">
      <c r="A1399" s="6">
        <v>10780.0</v>
      </c>
      <c r="B1399" s="24">
        <v>45276.0</v>
      </c>
      <c r="C1399" s="24">
        <v>45290.0</v>
      </c>
      <c r="D1399" s="24">
        <v>45285.0</v>
      </c>
      <c r="E1399" s="24">
        <v>45295.0</v>
      </c>
      <c r="F1399" s="6">
        <v>77.0</v>
      </c>
      <c r="G1399" s="9" t="str">
        <f>VLOOKUP(operations[productID],products[],2,FALSE)</f>
        <v>Original Frankfurter grüne Soße</v>
      </c>
      <c r="H1399" s="9" t="str">
        <f>IF(VLOOKUP(operations[productID],products[],7,FALSE)=1,"Discontinued","Current")</f>
        <v>Current</v>
      </c>
      <c r="I1399" s="6">
        <f>VLOOKUP(operations[productID],products[],4,FALSE)</f>
        <v>32</v>
      </c>
      <c r="J1399" s="6">
        <f>VLOOKUP(operations[productID],products[],5,FALSE)</f>
        <v>0</v>
      </c>
      <c r="K1399" s="6">
        <f>VLOOKUP(operations[productID],products[],6,FALSE)</f>
        <v>15</v>
      </c>
      <c r="L1399" s="10">
        <f t="array" ref="L1399">INDEX('1 orders'!I1399:I2156, MATCH(1, ('1 orders'!A1399:A2156=A1399)*('1 orders'!G1399:G2156=F1399), 0))
</f>
        <v>15</v>
      </c>
      <c r="M1399" s="10">
        <f>IFERROR(__xludf.DUMMYFUNCTION("COUNTUNIQUEIFS($A$2:$A1399,$F$2:$F1399,F1399)"),23.0)</f>
        <v>23</v>
      </c>
      <c r="N1399" s="10">
        <f t="shared" si="1"/>
        <v>36</v>
      </c>
      <c r="O1399" s="26">
        <f>IF(operations[sinceLastOrder]=0,0,operations[orderQuantity] / operations[sinceLastOrder])</f>
        <v>0.4166666667</v>
      </c>
      <c r="P1399" s="9">
        <v>42.13</v>
      </c>
      <c r="Q1399" s="7" t="s">
        <v>15</v>
      </c>
      <c r="R1399" s="10">
        <f>operations[arrivedDate]-operations[shippedDate]</f>
        <v>10</v>
      </c>
    </row>
    <row r="1400" ht="15.75" customHeight="1">
      <c r="A1400" s="6">
        <v>10781.0</v>
      </c>
      <c r="B1400" s="24">
        <v>45277.0</v>
      </c>
      <c r="C1400" s="24">
        <v>45305.0</v>
      </c>
      <c r="D1400" s="24">
        <v>45279.0</v>
      </c>
      <c r="E1400" s="24">
        <v>45292.0</v>
      </c>
      <c r="F1400" s="6">
        <v>54.0</v>
      </c>
      <c r="G1400" s="9" t="str">
        <f>VLOOKUP(operations[productID],products[],2,FALSE)</f>
        <v>Tourtière</v>
      </c>
      <c r="H1400" s="9" t="str">
        <f>IF(VLOOKUP(operations[productID],products[],7,FALSE)=1,"Discontinued","Current")</f>
        <v>Current</v>
      </c>
      <c r="I1400" s="6">
        <f>VLOOKUP(operations[productID],products[],4,FALSE)</f>
        <v>21</v>
      </c>
      <c r="J1400" s="6">
        <f>VLOOKUP(operations[productID],products[],5,FALSE)</f>
        <v>0</v>
      </c>
      <c r="K1400" s="6">
        <f>VLOOKUP(operations[productID],products[],6,FALSE)</f>
        <v>10</v>
      </c>
      <c r="L1400" s="10">
        <f t="array" ref="L1400">INDEX('1 orders'!I1400:I2156, MATCH(1, ('1 orders'!A1400:A2156=A1400)*('1 orders'!G1400:G2156=F1400), 0))
</f>
        <v>3</v>
      </c>
      <c r="M1400" s="10">
        <f>IFERROR(__xludf.DUMMYFUNCTION("COUNTUNIQUEIFS($A$2:$A1400,$F$2:$F1400,F1400)"),28.0)</f>
        <v>28</v>
      </c>
      <c r="N1400" s="10">
        <f t="shared" si="1"/>
        <v>51</v>
      </c>
      <c r="O1400" s="26">
        <f>IF(operations[sinceLastOrder]=0,0,operations[orderQuantity] / operations[sinceLastOrder])</f>
        <v>0.05882352941</v>
      </c>
      <c r="P1400" s="9">
        <v>73.16</v>
      </c>
      <c r="Q1400" s="7" t="s">
        <v>13</v>
      </c>
      <c r="R1400" s="10">
        <f>operations[arrivedDate]-operations[shippedDate]</f>
        <v>13</v>
      </c>
    </row>
    <row r="1401" ht="15.75" customHeight="1">
      <c r="A1401" s="6">
        <v>10781.0</v>
      </c>
      <c r="B1401" s="24">
        <v>45277.0</v>
      </c>
      <c r="C1401" s="24">
        <v>45305.0</v>
      </c>
      <c r="D1401" s="24">
        <v>45279.0</v>
      </c>
      <c r="E1401" s="24">
        <v>45292.0</v>
      </c>
      <c r="F1401" s="6">
        <v>56.0</v>
      </c>
      <c r="G1401" s="9" t="str">
        <f>VLOOKUP(operations[productID],products[],2,FALSE)</f>
        <v>Gnocchi di nonna Alice</v>
      </c>
      <c r="H1401" s="9" t="str">
        <f>IF(VLOOKUP(operations[productID],products[],7,FALSE)=1,"Discontinued","Current")</f>
        <v>Current</v>
      </c>
      <c r="I1401" s="6">
        <f>VLOOKUP(operations[productID],products[],4,FALSE)</f>
        <v>21</v>
      </c>
      <c r="J1401" s="6">
        <f>VLOOKUP(operations[productID],products[],5,FALSE)</f>
        <v>10</v>
      </c>
      <c r="K1401" s="6">
        <f>VLOOKUP(operations[productID],products[],6,FALSE)</f>
        <v>30</v>
      </c>
      <c r="L1401" s="10">
        <f t="array" ref="L1401">INDEX('1 orders'!I1401:I2156, MATCH(1, ('1 orders'!A1401:A2156=A1401)*('1 orders'!G1401:G2156=F1401), 0))
</f>
        <v>20</v>
      </c>
      <c r="M1401" s="10">
        <f>IFERROR(__xludf.DUMMYFUNCTION("COUNTUNIQUEIFS($A$2:$A1401,$F$2:$F1401,F1401)"),39.0)</f>
        <v>39</v>
      </c>
      <c r="N1401" s="10">
        <f t="shared" si="1"/>
        <v>15</v>
      </c>
      <c r="O1401" s="26">
        <f>IF(operations[sinceLastOrder]=0,0,operations[orderQuantity] / operations[sinceLastOrder])</f>
        <v>1.333333333</v>
      </c>
      <c r="P1401" s="9">
        <v>73.16</v>
      </c>
      <c r="Q1401" s="7" t="s">
        <v>13</v>
      </c>
      <c r="R1401" s="10">
        <f>operations[arrivedDate]-operations[shippedDate]</f>
        <v>13</v>
      </c>
    </row>
    <row r="1402" ht="15.75" customHeight="1">
      <c r="A1402" s="6">
        <v>10781.0</v>
      </c>
      <c r="B1402" s="24">
        <v>45277.0</v>
      </c>
      <c r="C1402" s="24">
        <v>45305.0</v>
      </c>
      <c r="D1402" s="24">
        <v>45279.0</v>
      </c>
      <c r="E1402" s="24">
        <v>45292.0</v>
      </c>
      <c r="F1402" s="6">
        <v>74.0</v>
      </c>
      <c r="G1402" s="9" t="str">
        <f>VLOOKUP(operations[productID],products[],2,FALSE)</f>
        <v>Longlife Tofu</v>
      </c>
      <c r="H1402" s="9" t="str">
        <f>IF(VLOOKUP(operations[productID],products[],7,FALSE)=1,"Discontinued","Current")</f>
        <v>Current</v>
      </c>
      <c r="I1402" s="6">
        <f>VLOOKUP(operations[productID],products[],4,FALSE)</f>
        <v>4</v>
      </c>
      <c r="J1402" s="6">
        <f>VLOOKUP(operations[productID],products[],5,FALSE)</f>
        <v>20</v>
      </c>
      <c r="K1402" s="6">
        <f>VLOOKUP(operations[productID],products[],6,FALSE)</f>
        <v>5</v>
      </c>
      <c r="L1402" s="10">
        <f t="array" ref="L1402">INDEX('1 orders'!I1402:I2156, MATCH(1, ('1 orders'!A1402:A2156=A1402)*('1 orders'!G1402:G2156=F1402), 0))
</f>
        <v>35</v>
      </c>
      <c r="M1402" s="10">
        <f>IFERROR(__xludf.DUMMYFUNCTION("COUNTUNIQUEIFS($A$2:$A1402,$F$2:$F1402,F1402)"),10.0)</f>
        <v>10</v>
      </c>
      <c r="N1402" s="10">
        <f t="shared" si="1"/>
        <v>22</v>
      </c>
      <c r="O1402" s="26">
        <f>IF(operations[sinceLastOrder]=0,0,operations[orderQuantity] / operations[sinceLastOrder])</f>
        <v>1.590909091</v>
      </c>
      <c r="P1402" s="9">
        <v>73.16</v>
      </c>
      <c r="Q1402" s="7" t="s">
        <v>13</v>
      </c>
      <c r="R1402" s="10">
        <f>operations[arrivedDate]-operations[shippedDate]</f>
        <v>13</v>
      </c>
    </row>
    <row r="1403" ht="15.75" customHeight="1">
      <c r="A1403" s="6">
        <v>10782.0</v>
      </c>
      <c r="B1403" s="24">
        <v>45277.0</v>
      </c>
      <c r="C1403" s="24">
        <v>45305.0</v>
      </c>
      <c r="D1403" s="24">
        <v>45282.0</v>
      </c>
      <c r="E1403" s="24">
        <v>45295.0</v>
      </c>
      <c r="F1403" s="6">
        <v>31.0</v>
      </c>
      <c r="G1403" s="9" t="str">
        <f>VLOOKUP(operations[productID],products[],2,FALSE)</f>
        <v>Gorgonzola Telino</v>
      </c>
      <c r="H1403" s="9" t="str">
        <f>IF(VLOOKUP(operations[productID],products[],7,FALSE)=1,"Discontinued","Current")</f>
        <v>Current</v>
      </c>
      <c r="I1403" s="6">
        <f>VLOOKUP(operations[productID],products[],4,FALSE)</f>
        <v>0</v>
      </c>
      <c r="J1403" s="6">
        <f>VLOOKUP(operations[productID],products[],5,FALSE)</f>
        <v>70</v>
      </c>
      <c r="K1403" s="6">
        <f>VLOOKUP(operations[productID],products[],6,FALSE)</f>
        <v>20</v>
      </c>
      <c r="L1403" s="10">
        <f t="array" ref="L1403">INDEX('1 orders'!I1403:I2156, MATCH(1, ('1 orders'!A1403:A2156=A1403)*('1 orders'!G1403:G2156=F1403), 0))
</f>
        <v>1</v>
      </c>
      <c r="M1403" s="10">
        <f>IFERROR(__xludf.DUMMYFUNCTION("COUNTUNIQUEIFS($A$2:$A1403,$F$2:$F1403,F1403)"),38.0)</f>
        <v>38</v>
      </c>
      <c r="N1403" s="10">
        <f t="shared" si="1"/>
        <v>2</v>
      </c>
      <c r="O1403" s="26">
        <f>IF(operations[sinceLastOrder]=0,0,operations[orderQuantity] / operations[sinceLastOrder])</f>
        <v>0.5</v>
      </c>
      <c r="P1403" s="9">
        <v>1.1</v>
      </c>
      <c r="Q1403" s="7" t="s">
        <v>13</v>
      </c>
      <c r="R1403" s="10">
        <f>operations[arrivedDate]-operations[shippedDate]</f>
        <v>13</v>
      </c>
    </row>
    <row r="1404" ht="15.75" customHeight="1">
      <c r="A1404" s="6">
        <v>10783.0</v>
      </c>
      <c r="B1404" s="24">
        <v>45278.0</v>
      </c>
      <c r="C1404" s="24">
        <v>45306.0</v>
      </c>
      <c r="D1404" s="24">
        <v>45279.0</v>
      </c>
      <c r="E1404" s="24">
        <v>45296.0</v>
      </c>
      <c r="F1404" s="6">
        <v>31.0</v>
      </c>
      <c r="G1404" s="9" t="str">
        <f>VLOOKUP(operations[productID],products[],2,FALSE)</f>
        <v>Gorgonzola Telino</v>
      </c>
      <c r="H1404" s="9" t="str">
        <f>IF(VLOOKUP(operations[productID],products[],7,FALSE)=1,"Discontinued","Current")</f>
        <v>Current</v>
      </c>
      <c r="I1404" s="6">
        <f>VLOOKUP(operations[productID],products[],4,FALSE)</f>
        <v>0</v>
      </c>
      <c r="J1404" s="6">
        <f>VLOOKUP(operations[productID],products[],5,FALSE)</f>
        <v>70</v>
      </c>
      <c r="K1404" s="6">
        <f>VLOOKUP(operations[productID],products[],6,FALSE)</f>
        <v>20</v>
      </c>
      <c r="L1404" s="10">
        <f t="array" ref="L1404">INDEX('1 orders'!I1404:I2156, MATCH(1, ('1 orders'!A1404:A2156=A1404)*('1 orders'!G1404:G2156=F1404), 0))
</f>
        <v>10</v>
      </c>
      <c r="M1404" s="10">
        <f>IFERROR(__xludf.DUMMYFUNCTION("COUNTUNIQUEIFS($A$2:$A1404,$F$2:$F1404,F1404)"),39.0)</f>
        <v>39</v>
      </c>
      <c r="N1404" s="10">
        <f t="shared" si="1"/>
        <v>1</v>
      </c>
      <c r="O1404" s="26">
        <f>IF(operations[sinceLastOrder]=0,0,operations[orderQuantity] / operations[sinceLastOrder])</f>
        <v>10</v>
      </c>
      <c r="P1404" s="9">
        <v>124.98</v>
      </c>
      <c r="Q1404" s="7" t="s">
        <v>17</v>
      </c>
      <c r="R1404" s="10">
        <f>operations[arrivedDate]-operations[shippedDate]</f>
        <v>17</v>
      </c>
    </row>
    <row r="1405" ht="15.75" customHeight="1">
      <c r="A1405" s="6">
        <v>10783.0</v>
      </c>
      <c r="B1405" s="24">
        <v>45278.0</v>
      </c>
      <c r="C1405" s="24">
        <v>45306.0</v>
      </c>
      <c r="D1405" s="24">
        <v>45279.0</v>
      </c>
      <c r="E1405" s="24">
        <v>45296.0</v>
      </c>
      <c r="F1405" s="6">
        <v>38.0</v>
      </c>
      <c r="G1405" s="9" t="str">
        <f>VLOOKUP(operations[productID],products[],2,FALSE)</f>
        <v>Côte de Blaye</v>
      </c>
      <c r="H1405" s="9" t="str">
        <f>IF(VLOOKUP(operations[productID],products[],7,FALSE)=1,"Discontinued","Current")</f>
        <v>Current</v>
      </c>
      <c r="I1405" s="6">
        <f>VLOOKUP(operations[productID],products[],4,FALSE)</f>
        <v>17</v>
      </c>
      <c r="J1405" s="6">
        <f>VLOOKUP(operations[productID],products[],5,FALSE)</f>
        <v>0</v>
      </c>
      <c r="K1405" s="6">
        <f>VLOOKUP(operations[productID],products[],6,FALSE)</f>
        <v>15</v>
      </c>
      <c r="L1405" s="10">
        <f t="array" ref="L1405">INDEX('1 orders'!I1405:I2156, MATCH(1, ('1 orders'!A1405:A2156=A1405)*('1 orders'!G1405:G2156=F1405), 0))
</f>
        <v>5</v>
      </c>
      <c r="M1405" s="10">
        <f>IFERROR(__xludf.DUMMYFUNCTION("COUNTUNIQUEIFS($A$2:$A1405,$F$2:$F1405,F1405)"),14.0)</f>
        <v>14</v>
      </c>
      <c r="N1405" s="10">
        <f t="shared" si="1"/>
        <v>92</v>
      </c>
      <c r="O1405" s="26">
        <f>IF(operations[sinceLastOrder]=0,0,operations[orderQuantity] / operations[sinceLastOrder])</f>
        <v>0.05434782609</v>
      </c>
      <c r="P1405" s="9">
        <v>124.98</v>
      </c>
      <c r="Q1405" s="7" t="s">
        <v>17</v>
      </c>
      <c r="R1405" s="10">
        <f>operations[arrivedDate]-operations[shippedDate]</f>
        <v>17</v>
      </c>
    </row>
    <row r="1406" ht="15.75" customHeight="1">
      <c r="A1406" s="6">
        <v>10784.0</v>
      </c>
      <c r="B1406" s="24">
        <v>45278.0</v>
      </c>
      <c r="C1406" s="24">
        <v>45306.0</v>
      </c>
      <c r="D1406" s="24">
        <v>45282.0</v>
      </c>
      <c r="E1406" s="24">
        <v>45292.0</v>
      </c>
      <c r="F1406" s="6">
        <v>36.0</v>
      </c>
      <c r="G1406" s="9" t="str">
        <f>VLOOKUP(operations[productID],products[],2,FALSE)</f>
        <v>Inlagd Sill</v>
      </c>
      <c r="H1406" s="9" t="str">
        <f>IF(VLOOKUP(operations[productID],products[],7,FALSE)=1,"Discontinued","Current")</f>
        <v>Current</v>
      </c>
      <c r="I1406" s="6">
        <f>VLOOKUP(operations[productID],products[],4,FALSE)</f>
        <v>112</v>
      </c>
      <c r="J1406" s="6">
        <f>VLOOKUP(operations[productID],products[],5,FALSE)</f>
        <v>0</v>
      </c>
      <c r="K1406" s="6">
        <f>VLOOKUP(operations[productID],products[],6,FALSE)</f>
        <v>20</v>
      </c>
      <c r="L1406" s="10">
        <f t="array" ref="L1406">INDEX('1 orders'!I1406:I2156, MATCH(1, ('1 orders'!A1406:A2156=A1406)*('1 orders'!G1406:G2156=F1406), 0))
</f>
        <v>30</v>
      </c>
      <c r="M1406" s="10">
        <f>IFERROR(__xludf.DUMMYFUNCTION("COUNTUNIQUEIFS($A$2:$A1406,$F$2:$F1406,F1406)"),23.0)</f>
        <v>23</v>
      </c>
      <c r="N1406" s="10">
        <f t="shared" si="1"/>
        <v>21</v>
      </c>
      <c r="O1406" s="26">
        <f>IF(operations[sinceLastOrder]=0,0,operations[orderQuantity] / operations[sinceLastOrder])</f>
        <v>1.428571429</v>
      </c>
      <c r="P1406" s="9">
        <v>70.09</v>
      </c>
      <c r="Q1406" s="7" t="s">
        <v>13</v>
      </c>
      <c r="R1406" s="10">
        <f>operations[arrivedDate]-operations[shippedDate]</f>
        <v>10</v>
      </c>
    </row>
    <row r="1407" ht="15.75" customHeight="1">
      <c r="A1407" s="6">
        <v>10784.0</v>
      </c>
      <c r="B1407" s="24">
        <v>45278.0</v>
      </c>
      <c r="C1407" s="24">
        <v>45306.0</v>
      </c>
      <c r="D1407" s="24">
        <v>45282.0</v>
      </c>
      <c r="E1407" s="24">
        <v>45292.0</v>
      </c>
      <c r="F1407" s="6">
        <v>39.0</v>
      </c>
      <c r="G1407" s="9" t="str">
        <f>VLOOKUP(operations[productID],products[],2,FALSE)</f>
        <v>Chartreuse verte</v>
      </c>
      <c r="H1407" s="9" t="str">
        <f>IF(VLOOKUP(operations[productID],products[],7,FALSE)=1,"Discontinued","Current")</f>
        <v>Current</v>
      </c>
      <c r="I1407" s="6">
        <f>VLOOKUP(operations[productID],products[],4,FALSE)</f>
        <v>69</v>
      </c>
      <c r="J1407" s="6">
        <f>VLOOKUP(operations[productID],products[],5,FALSE)</f>
        <v>0</v>
      </c>
      <c r="K1407" s="6">
        <f>VLOOKUP(operations[productID],products[],6,FALSE)</f>
        <v>5</v>
      </c>
      <c r="L1407" s="10">
        <f t="array" ref="L1407">INDEX('1 orders'!I1407:I2156, MATCH(1, ('1 orders'!A1407:A2156=A1407)*('1 orders'!G1407:G2156=F1407), 0))
</f>
        <v>2</v>
      </c>
      <c r="M1407" s="10">
        <f>IFERROR(__xludf.DUMMYFUNCTION("COUNTUNIQUEIFS($A$2:$A1407,$F$2:$F1407,F1407)"),21.0)</f>
        <v>21</v>
      </c>
      <c r="N1407" s="10">
        <f t="shared" si="1"/>
        <v>15</v>
      </c>
      <c r="O1407" s="26">
        <f>IF(operations[sinceLastOrder]=0,0,operations[orderQuantity] / operations[sinceLastOrder])</f>
        <v>0.1333333333</v>
      </c>
      <c r="P1407" s="9">
        <v>70.09</v>
      </c>
      <c r="Q1407" s="7" t="s">
        <v>13</v>
      </c>
      <c r="R1407" s="10">
        <f>operations[arrivedDate]-operations[shippedDate]</f>
        <v>10</v>
      </c>
    </row>
    <row r="1408" ht="15.75" customHeight="1">
      <c r="A1408" s="6">
        <v>10784.0</v>
      </c>
      <c r="B1408" s="24">
        <v>45278.0</v>
      </c>
      <c r="C1408" s="24">
        <v>45306.0</v>
      </c>
      <c r="D1408" s="24">
        <v>45282.0</v>
      </c>
      <c r="E1408" s="24">
        <v>45292.0</v>
      </c>
      <c r="F1408" s="6">
        <v>72.0</v>
      </c>
      <c r="G1408" s="9" t="str">
        <f>VLOOKUP(operations[productID],products[],2,FALSE)</f>
        <v>Mozzarella di Giovanni</v>
      </c>
      <c r="H1408" s="9" t="str">
        <f>IF(VLOOKUP(operations[productID],products[],7,FALSE)=1,"Discontinued","Current")</f>
        <v>Current</v>
      </c>
      <c r="I1408" s="6">
        <f>VLOOKUP(operations[productID],products[],4,FALSE)</f>
        <v>14</v>
      </c>
      <c r="J1408" s="6">
        <f>VLOOKUP(operations[productID],products[],5,FALSE)</f>
        <v>0</v>
      </c>
      <c r="K1408" s="6">
        <f>VLOOKUP(operations[productID],products[],6,FALSE)</f>
        <v>0</v>
      </c>
      <c r="L1408" s="10">
        <f t="array" ref="L1408">INDEX('1 orders'!I1408:I2156, MATCH(1, ('1 orders'!A1408:A2156=A1408)*('1 orders'!G1408:G2156=F1408), 0))
</f>
        <v>30</v>
      </c>
      <c r="M1408" s="10">
        <f>IFERROR(__xludf.DUMMYFUNCTION("COUNTUNIQUEIFS($A$2:$A1408,$F$2:$F1408,F1408)"),28.0)</f>
        <v>28</v>
      </c>
      <c r="N1408" s="10">
        <f t="shared" si="1"/>
        <v>30</v>
      </c>
      <c r="O1408" s="26">
        <f>IF(operations[sinceLastOrder]=0,0,operations[orderQuantity] / operations[sinceLastOrder])</f>
        <v>1</v>
      </c>
      <c r="P1408" s="9">
        <v>70.09</v>
      </c>
      <c r="Q1408" s="7" t="s">
        <v>13</v>
      </c>
      <c r="R1408" s="10">
        <f>operations[arrivedDate]-operations[shippedDate]</f>
        <v>10</v>
      </c>
    </row>
    <row r="1409" ht="15.75" customHeight="1">
      <c r="A1409" s="6">
        <v>10785.0</v>
      </c>
      <c r="B1409" s="24">
        <v>45278.0</v>
      </c>
      <c r="C1409" s="24">
        <v>45306.0</v>
      </c>
      <c r="D1409" s="24">
        <v>45284.0</v>
      </c>
      <c r="E1409" s="24">
        <v>45298.0</v>
      </c>
      <c r="F1409" s="6">
        <v>10.0</v>
      </c>
      <c r="G1409" s="9" t="str">
        <f>VLOOKUP(operations[productID],products[],2,FALSE)</f>
        <v>Ikura</v>
      </c>
      <c r="H1409" s="9" t="str">
        <f>IF(VLOOKUP(operations[productID],products[],7,FALSE)=1,"Discontinued","Current")</f>
        <v>Current</v>
      </c>
      <c r="I1409" s="6">
        <f>VLOOKUP(operations[productID],products[],4,FALSE)</f>
        <v>31</v>
      </c>
      <c r="J1409" s="6">
        <f>VLOOKUP(operations[productID],products[],5,FALSE)</f>
        <v>0</v>
      </c>
      <c r="K1409" s="6">
        <f>VLOOKUP(operations[productID],products[],6,FALSE)</f>
        <v>0</v>
      </c>
      <c r="L1409" s="10">
        <f t="array" ref="L1409">INDEX('1 orders'!I1409:I2156, MATCH(1, ('1 orders'!A1409:A2156=A1409)*('1 orders'!G1409:G2156=F1409), 0))
</f>
        <v>10</v>
      </c>
      <c r="M1409" s="10">
        <f>IFERROR(__xludf.DUMMYFUNCTION("COUNTUNIQUEIFS($A$2:$A1409,$F$2:$F1409,F1409)"),22.0)</f>
        <v>22</v>
      </c>
      <c r="N1409" s="10">
        <f t="shared" si="1"/>
        <v>6</v>
      </c>
      <c r="O1409" s="26">
        <f>IF(operations[sinceLastOrder]=0,0,operations[orderQuantity] / operations[sinceLastOrder])</f>
        <v>1.666666667</v>
      </c>
      <c r="P1409" s="9">
        <v>1.51</v>
      </c>
      <c r="Q1409" s="7" t="s">
        <v>13</v>
      </c>
      <c r="R1409" s="10">
        <f>operations[arrivedDate]-operations[shippedDate]</f>
        <v>14</v>
      </c>
    </row>
    <row r="1410" ht="15.75" customHeight="1">
      <c r="A1410" s="6">
        <v>10785.0</v>
      </c>
      <c r="B1410" s="24">
        <v>45278.0</v>
      </c>
      <c r="C1410" s="24">
        <v>45306.0</v>
      </c>
      <c r="D1410" s="24">
        <v>45284.0</v>
      </c>
      <c r="E1410" s="24">
        <v>45298.0</v>
      </c>
      <c r="F1410" s="6">
        <v>75.0</v>
      </c>
      <c r="G1410" s="9" t="str">
        <f>VLOOKUP(operations[productID],products[],2,FALSE)</f>
        <v>Rhönbräu Klosterbier</v>
      </c>
      <c r="H1410" s="9" t="str">
        <f>IF(VLOOKUP(operations[productID],products[],7,FALSE)=1,"Discontinued","Current")</f>
        <v>Current</v>
      </c>
      <c r="I1410" s="6">
        <f>VLOOKUP(operations[productID],products[],4,FALSE)</f>
        <v>125</v>
      </c>
      <c r="J1410" s="6">
        <f>VLOOKUP(operations[productID],products[],5,FALSE)</f>
        <v>0</v>
      </c>
      <c r="K1410" s="6">
        <f>VLOOKUP(operations[productID],products[],6,FALSE)</f>
        <v>25</v>
      </c>
      <c r="L1410" s="10">
        <f t="array" ref="L1410">INDEX('1 orders'!I1410:I2156, MATCH(1, ('1 orders'!A1410:A2156=A1410)*('1 orders'!G1410:G2156=F1410), 0))
</f>
        <v>10</v>
      </c>
      <c r="M1410" s="10">
        <f>IFERROR(__xludf.DUMMYFUNCTION("COUNTUNIQUEIFS($A$2:$A1410,$F$2:$F1410,F1410)"),30.0)</f>
        <v>30</v>
      </c>
      <c r="N1410" s="10">
        <f t="shared" si="1"/>
        <v>7</v>
      </c>
      <c r="O1410" s="26">
        <f>IF(operations[sinceLastOrder]=0,0,operations[orderQuantity] / operations[sinceLastOrder])</f>
        <v>1.428571429</v>
      </c>
      <c r="P1410" s="9">
        <v>1.51</v>
      </c>
      <c r="Q1410" s="7" t="s">
        <v>13</v>
      </c>
      <c r="R1410" s="10">
        <f>operations[arrivedDate]-operations[shippedDate]</f>
        <v>14</v>
      </c>
    </row>
    <row r="1411" ht="15.75" customHeight="1">
      <c r="A1411" s="6">
        <v>10786.0</v>
      </c>
      <c r="B1411" s="24">
        <v>45279.0</v>
      </c>
      <c r="C1411" s="24">
        <v>45307.0</v>
      </c>
      <c r="D1411" s="24">
        <v>45283.0</v>
      </c>
      <c r="E1411" s="24">
        <v>45299.0</v>
      </c>
      <c r="F1411" s="6">
        <v>8.0</v>
      </c>
      <c r="G1411" s="9" t="str">
        <f>VLOOKUP(operations[productID],products[],2,FALSE)</f>
        <v>Northwoods Cranberry Sauce</v>
      </c>
      <c r="H1411" s="9" t="str">
        <f>IF(VLOOKUP(operations[productID],products[],7,FALSE)=1,"Discontinued","Current")</f>
        <v>Current</v>
      </c>
      <c r="I1411" s="6">
        <f>VLOOKUP(operations[productID],products[],4,FALSE)</f>
        <v>6</v>
      </c>
      <c r="J1411" s="6">
        <f>VLOOKUP(operations[productID],products[],5,FALSE)</f>
        <v>0</v>
      </c>
      <c r="K1411" s="6">
        <f>VLOOKUP(operations[productID],products[],6,FALSE)</f>
        <v>0</v>
      </c>
      <c r="L1411" s="10">
        <f t="array" ref="L1411">INDEX('1 orders'!I1411:I2156, MATCH(1, ('1 orders'!A1411:A2156=A1411)*('1 orders'!G1411:G2156=F1411), 0))
</f>
        <v>30</v>
      </c>
      <c r="M1411" s="10">
        <f>IFERROR(__xludf.DUMMYFUNCTION("COUNTUNIQUEIFS($A$2:$A1411,$F$2:$F1411,F1411)"),7.0)</f>
        <v>7</v>
      </c>
      <c r="N1411" s="10">
        <f t="shared" si="1"/>
        <v>63</v>
      </c>
      <c r="O1411" s="26">
        <f>IF(operations[sinceLastOrder]=0,0,operations[orderQuantity] / operations[sinceLastOrder])</f>
        <v>0.4761904762</v>
      </c>
      <c r="P1411" s="9">
        <v>110.87</v>
      </c>
      <c r="Q1411" s="7" t="s">
        <v>15</v>
      </c>
      <c r="R1411" s="10">
        <f>operations[arrivedDate]-operations[shippedDate]</f>
        <v>16</v>
      </c>
    </row>
    <row r="1412" ht="15.75" customHeight="1">
      <c r="A1412" s="6">
        <v>10786.0</v>
      </c>
      <c r="B1412" s="24">
        <v>45279.0</v>
      </c>
      <c r="C1412" s="24">
        <v>45307.0</v>
      </c>
      <c r="D1412" s="24">
        <v>45283.0</v>
      </c>
      <c r="E1412" s="24">
        <v>45299.0</v>
      </c>
      <c r="F1412" s="6">
        <v>30.0</v>
      </c>
      <c r="G1412" s="9" t="str">
        <f>VLOOKUP(operations[productID],products[],2,FALSE)</f>
        <v>Nord-Ost Matjeshering</v>
      </c>
      <c r="H1412" s="9" t="str">
        <f>IF(VLOOKUP(operations[productID],products[],7,FALSE)=1,"Discontinued","Current")</f>
        <v>Current</v>
      </c>
      <c r="I1412" s="6">
        <f>VLOOKUP(operations[productID],products[],4,FALSE)</f>
        <v>10</v>
      </c>
      <c r="J1412" s="6">
        <f>VLOOKUP(operations[productID],products[],5,FALSE)</f>
        <v>0</v>
      </c>
      <c r="K1412" s="6">
        <f>VLOOKUP(operations[productID],products[],6,FALSE)</f>
        <v>15</v>
      </c>
      <c r="L1412" s="10">
        <f t="array" ref="L1412">INDEX('1 orders'!I1412:I2156, MATCH(1, ('1 orders'!A1412:A2156=A1412)*('1 orders'!G1412:G2156=F1412), 0))
</f>
        <v>15</v>
      </c>
      <c r="M1412" s="10">
        <f>IFERROR(__xludf.DUMMYFUNCTION("COUNTUNIQUEIFS($A$2:$A1412,$F$2:$F1412,F1412)"),22.0)</f>
        <v>22</v>
      </c>
      <c r="N1412" s="10">
        <f t="shared" si="1"/>
        <v>25</v>
      </c>
      <c r="O1412" s="26">
        <f>IF(operations[sinceLastOrder]=0,0,operations[orderQuantity] / operations[sinceLastOrder])</f>
        <v>0.6</v>
      </c>
      <c r="P1412" s="9">
        <v>110.87</v>
      </c>
      <c r="Q1412" s="7" t="s">
        <v>15</v>
      </c>
      <c r="R1412" s="10">
        <f>operations[arrivedDate]-operations[shippedDate]</f>
        <v>16</v>
      </c>
    </row>
    <row r="1413" ht="15.75" customHeight="1">
      <c r="A1413" s="6">
        <v>10786.0</v>
      </c>
      <c r="B1413" s="24">
        <v>45279.0</v>
      </c>
      <c r="C1413" s="24">
        <v>45307.0</v>
      </c>
      <c r="D1413" s="24">
        <v>45283.0</v>
      </c>
      <c r="E1413" s="24">
        <v>45299.0</v>
      </c>
      <c r="F1413" s="6">
        <v>75.0</v>
      </c>
      <c r="G1413" s="9" t="str">
        <f>VLOOKUP(operations[productID],products[],2,FALSE)</f>
        <v>Rhönbräu Klosterbier</v>
      </c>
      <c r="H1413" s="9" t="str">
        <f>IF(VLOOKUP(operations[productID],products[],7,FALSE)=1,"Discontinued","Current")</f>
        <v>Current</v>
      </c>
      <c r="I1413" s="6">
        <f>VLOOKUP(operations[productID],products[],4,FALSE)</f>
        <v>125</v>
      </c>
      <c r="J1413" s="6">
        <f>VLOOKUP(operations[productID],products[],5,FALSE)</f>
        <v>0</v>
      </c>
      <c r="K1413" s="6">
        <f>VLOOKUP(operations[productID],products[],6,FALSE)</f>
        <v>25</v>
      </c>
      <c r="L1413" s="10">
        <f t="array" ref="L1413">INDEX('1 orders'!I1413:I2156, MATCH(1, ('1 orders'!A1413:A2156=A1413)*('1 orders'!G1413:G2156=F1413), 0))
</f>
        <v>42</v>
      </c>
      <c r="M1413" s="10">
        <f>IFERROR(__xludf.DUMMYFUNCTION("COUNTUNIQUEIFS($A$2:$A1413,$F$2:$F1413,F1413)"),31.0)</f>
        <v>31</v>
      </c>
      <c r="N1413" s="10">
        <f t="shared" si="1"/>
        <v>1</v>
      </c>
      <c r="O1413" s="26">
        <f>IF(operations[sinceLastOrder]=0,0,operations[orderQuantity] / operations[sinceLastOrder])</f>
        <v>42</v>
      </c>
      <c r="P1413" s="9">
        <v>110.87</v>
      </c>
      <c r="Q1413" s="7" t="s">
        <v>15</v>
      </c>
      <c r="R1413" s="10">
        <f>operations[arrivedDate]-operations[shippedDate]</f>
        <v>16</v>
      </c>
    </row>
    <row r="1414" ht="15.75" customHeight="1">
      <c r="A1414" s="6">
        <v>10787.0</v>
      </c>
      <c r="B1414" s="24">
        <v>45279.0</v>
      </c>
      <c r="C1414" s="24">
        <v>45293.0</v>
      </c>
      <c r="D1414" s="24">
        <v>45286.0</v>
      </c>
      <c r="E1414" s="24">
        <v>45292.0</v>
      </c>
      <c r="F1414" s="6">
        <v>2.0</v>
      </c>
      <c r="G1414" s="9" t="str">
        <f>VLOOKUP(operations[productID],products[],2,FALSE)</f>
        <v>Chang</v>
      </c>
      <c r="H1414" s="9" t="str">
        <f>IF(VLOOKUP(operations[productID],products[],7,FALSE)=1,"Discontinued","Current")</f>
        <v>Current</v>
      </c>
      <c r="I1414" s="6">
        <f>VLOOKUP(operations[productID],products[],4,FALSE)</f>
        <v>17</v>
      </c>
      <c r="J1414" s="6">
        <f>VLOOKUP(operations[productID],products[],5,FALSE)</f>
        <v>40</v>
      </c>
      <c r="K1414" s="6">
        <f>VLOOKUP(operations[productID],products[],6,FALSE)</f>
        <v>25</v>
      </c>
      <c r="L1414" s="10">
        <f t="array" ref="L1414">INDEX('1 orders'!I1414:I2156, MATCH(1, ('1 orders'!A1414:A2156=A1414)*('1 orders'!G1414:G2156=F1414), 0))
</f>
        <v>15</v>
      </c>
      <c r="M1414" s="10">
        <f>IFERROR(__xludf.DUMMYFUNCTION("COUNTUNIQUEIFS($A$2:$A1414,$F$2:$F1414,F1414)"),24.0)</f>
        <v>24</v>
      </c>
      <c r="N1414" s="10">
        <f t="shared" si="1"/>
        <v>14</v>
      </c>
      <c r="O1414" s="26">
        <f>IF(operations[sinceLastOrder]=0,0,operations[orderQuantity] / operations[sinceLastOrder])</f>
        <v>1.071428571</v>
      </c>
      <c r="P1414" s="9">
        <v>249.93</v>
      </c>
      <c r="Q1414" s="7" t="s">
        <v>15</v>
      </c>
      <c r="R1414" s="10">
        <f>operations[arrivedDate]-operations[shippedDate]</f>
        <v>6</v>
      </c>
    </row>
    <row r="1415" ht="15.75" customHeight="1">
      <c r="A1415" s="6">
        <v>10787.0</v>
      </c>
      <c r="B1415" s="24">
        <v>45279.0</v>
      </c>
      <c r="C1415" s="24">
        <v>45293.0</v>
      </c>
      <c r="D1415" s="24">
        <v>45286.0</v>
      </c>
      <c r="E1415" s="24">
        <v>45292.0</v>
      </c>
      <c r="F1415" s="6">
        <v>29.0</v>
      </c>
      <c r="G1415" s="9" t="str">
        <f>VLOOKUP(operations[productID],products[],2,FALSE)</f>
        <v>Thüringer Rostbratwurst</v>
      </c>
      <c r="H1415" s="9" t="str">
        <f>IF(VLOOKUP(operations[productID],products[],7,FALSE)=1,"Discontinued","Current")</f>
        <v>Discontinued</v>
      </c>
      <c r="I1415" s="6">
        <f>VLOOKUP(operations[productID],products[],4,FALSE)</f>
        <v>0</v>
      </c>
      <c r="J1415" s="6">
        <f>VLOOKUP(operations[productID],products[],5,FALSE)</f>
        <v>0</v>
      </c>
      <c r="K1415" s="6">
        <f>VLOOKUP(operations[productID],products[],6,FALSE)</f>
        <v>0</v>
      </c>
      <c r="L1415" s="10">
        <f t="array" ref="L1415">INDEX('1 orders'!I1415:I2156, MATCH(1, ('1 orders'!A1415:A2156=A1415)*('1 orders'!G1415:G2156=F1415), 0))
</f>
        <v>20</v>
      </c>
      <c r="M1415" s="10">
        <f>IFERROR(__xludf.DUMMYFUNCTION("COUNTUNIQUEIFS($A$2:$A1415,$F$2:$F1415,F1415)"),20.0)</f>
        <v>20</v>
      </c>
      <c r="N1415" s="10">
        <f t="shared" si="1"/>
        <v>9</v>
      </c>
      <c r="O1415" s="26">
        <f>IF(operations[sinceLastOrder]=0,0,operations[orderQuantity] / operations[sinceLastOrder])</f>
        <v>2.222222222</v>
      </c>
      <c r="P1415" s="9">
        <v>249.93</v>
      </c>
      <c r="Q1415" s="7" t="s">
        <v>15</v>
      </c>
      <c r="R1415" s="10">
        <f>operations[arrivedDate]-operations[shippedDate]</f>
        <v>6</v>
      </c>
    </row>
    <row r="1416" ht="15.75" customHeight="1">
      <c r="A1416" s="6">
        <v>10788.0</v>
      </c>
      <c r="B1416" s="24">
        <v>45282.0</v>
      </c>
      <c r="C1416" s="24">
        <v>45310.0</v>
      </c>
      <c r="D1416" s="24">
        <v>45310.0</v>
      </c>
      <c r="E1416" s="24">
        <v>45319.0</v>
      </c>
      <c r="F1416" s="6">
        <v>19.0</v>
      </c>
      <c r="G1416" s="9" t="str">
        <f>VLOOKUP(operations[productID],products[],2,FALSE)</f>
        <v>Teatime Chocolate Biscuits</v>
      </c>
      <c r="H1416" s="9" t="str">
        <f>IF(VLOOKUP(operations[productID],products[],7,FALSE)=1,"Discontinued","Current")</f>
        <v>Current</v>
      </c>
      <c r="I1416" s="6">
        <f>VLOOKUP(operations[productID],products[],4,FALSE)</f>
        <v>25</v>
      </c>
      <c r="J1416" s="6">
        <f>VLOOKUP(operations[productID],products[],5,FALSE)</f>
        <v>0</v>
      </c>
      <c r="K1416" s="6">
        <f>VLOOKUP(operations[productID],products[],6,FALSE)</f>
        <v>5</v>
      </c>
      <c r="L1416" s="10">
        <f t="array" ref="L1416">INDEX('1 orders'!I1416:I2156, MATCH(1, ('1 orders'!A1416:A2156=A1416)*('1 orders'!G1416:G2156=F1416), 0))
</f>
        <v>50</v>
      </c>
      <c r="M1416" s="10">
        <f>IFERROR(__xludf.DUMMYFUNCTION("COUNTUNIQUEIFS($A$2:$A1416,$F$2:$F1416,F1416)"),25.0)</f>
        <v>25</v>
      </c>
      <c r="N1416" s="10">
        <f t="shared" si="1"/>
        <v>62</v>
      </c>
      <c r="O1416" s="26">
        <f>IF(operations[sinceLastOrder]=0,0,operations[orderQuantity] / operations[sinceLastOrder])</f>
        <v>0.8064516129</v>
      </c>
      <c r="P1416" s="9">
        <v>42.7</v>
      </c>
      <c r="Q1416" s="7" t="s">
        <v>17</v>
      </c>
      <c r="R1416" s="10">
        <f>operations[arrivedDate]-operations[shippedDate]</f>
        <v>9</v>
      </c>
    </row>
    <row r="1417" ht="15.75" customHeight="1">
      <c r="A1417" s="6">
        <v>10788.0</v>
      </c>
      <c r="B1417" s="24">
        <v>45282.0</v>
      </c>
      <c r="C1417" s="24">
        <v>45310.0</v>
      </c>
      <c r="D1417" s="24">
        <v>45310.0</v>
      </c>
      <c r="E1417" s="24">
        <v>45319.0</v>
      </c>
      <c r="F1417" s="6">
        <v>75.0</v>
      </c>
      <c r="G1417" s="9" t="str">
        <f>VLOOKUP(operations[productID],products[],2,FALSE)</f>
        <v>Rhönbräu Klosterbier</v>
      </c>
      <c r="H1417" s="9" t="str">
        <f>IF(VLOOKUP(operations[productID],products[],7,FALSE)=1,"Discontinued","Current")</f>
        <v>Current</v>
      </c>
      <c r="I1417" s="6">
        <f>VLOOKUP(operations[productID],products[],4,FALSE)</f>
        <v>125</v>
      </c>
      <c r="J1417" s="6">
        <f>VLOOKUP(operations[productID],products[],5,FALSE)</f>
        <v>0</v>
      </c>
      <c r="K1417" s="6">
        <f>VLOOKUP(operations[productID],products[],6,FALSE)</f>
        <v>25</v>
      </c>
      <c r="L1417" s="10">
        <f t="array" ref="L1417">INDEX('1 orders'!I1417:I2156, MATCH(1, ('1 orders'!A1417:A2156=A1417)*('1 orders'!G1417:G2156=F1417), 0))
</f>
        <v>40</v>
      </c>
      <c r="M1417" s="10">
        <f>IFERROR(__xludf.DUMMYFUNCTION("COUNTUNIQUEIFS($A$2:$A1417,$F$2:$F1417,F1417)"),32.0)</f>
        <v>32</v>
      </c>
      <c r="N1417" s="10">
        <f t="shared" si="1"/>
        <v>3</v>
      </c>
      <c r="O1417" s="26">
        <f>IF(operations[sinceLastOrder]=0,0,operations[orderQuantity] / operations[sinceLastOrder])</f>
        <v>13.33333333</v>
      </c>
      <c r="P1417" s="9">
        <v>42.7</v>
      </c>
      <c r="Q1417" s="7" t="s">
        <v>17</v>
      </c>
      <c r="R1417" s="10">
        <f>operations[arrivedDate]-operations[shippedDate]</f>
        <v>9</v>
      </c>
    </row>
    <row r="1418" ht="15.75" customHeight="1">
      <c r="A1418" s="6">
        <v>10789.0</v>
      </c>
      <c r="B1418" s="24">
        <v>45282.0</v>
      </c>
      <c r="C1418" s="24">
        <v>45310.0</v>
      </c>
      <c r="D1418" s="24">
        <v>45291.0</v>
      </c>
      <c r="E1418" s="24">
        <v>45298.0</v>
      </c>
      <c r="F1418" s="6">
        <v>18.0</v>
      </c>
      <c r="G1418" s="9" t="str">
        <f>VLOOKUP(operations[productID],products[],2,FALSE)</f>
        <v>Carnarvon Tigers</v>
      </c>
      <c r="H1418" s="9" t="str">
        <f>IF(VLOOKUP(operations[productID],products[],7,FALSE)=1,"Discontinued","Current")</f>
        <v>Current</v>
      </c>
      <c r="I1418" s="6">
        <f>VLOOKUP(operations[productID],products[],4,FALSE)</f>
        <v>42</v>
      </c>
      <c r="J1418" s="6">
        <f>VLOOKUP(operations[productID],products[],5,FALSE)</f>
        <v>0</v>
      </c>
      <c r="K1418" s="6">
        <f>VLOOKUP(operations[productID],products[],6,FALSE)</f>
        <v>0</v>
      </c>
      <c r="L1418" s="10">
        <f t="array" ref="L1418">INDEX('1 orders'!I1418:I2156, MATCH(1, ('1 orders'!A1418:A2156=A1418)*('1 orders'!G1418:G2156=F1418), 0))
</f>
        <v>30</v>
      </c>
      <c r="M1418" s="10">
        <f>IFERROR(__xludf.DUMMYFUNCTION("COUNTUNIQUEIFS($A$2:$A1418,$F$2:$F1418,F1418)"),17.0)</f>
        <v>17</v>
      </c>
      <c r="N1418" s="10">
        <f t="shared" si="1"/>
        <v>25</v>
      </c>
      <c r="O1418" s="26">
        <f>IF(operations[sinceLastOrder]=0,0,operations[orderQuantity] / operations[sinceLastOrder])</f>
        <v>1.2</v>
      </c>
      <c r="P1418" s="9">
        <v>100.6</v>
      </c>
      <c r="Q1418" s="7" t="s">
        <v>17</v>
      </c>
      <c r="R1418" s="10">
        <f>operations[arrivedDate]-operations[shippedDate]</f>
        <v>7</v>
      </c>
    </row>
    <row r="1419" ht="15.75" customHeight="1">
      <c r="A1419" s="6">
        <v>10789.0</v>
      </c>
      <c r="B1419" s="24">
        <v>45282.0</v>
      </c>
      <c r="C1419" s="24">
        <v>45310.0</v>
      </c>
      <c r="D1419" s="24">
        <v>45291.0</v>
      </c>
      <c r="E1419" s="24">
        <v>45298.0</v>
      </c>
      <c r="F1419" s="6">
        <v>35.0</v>
      </c>
      <c r="G1419" s="9" t="str">
        <f>VLOOKUP(operations[productID],products[],2,FALSE)</f>
        <v>Cold Brew Nitro</v>
      </c>
      <c r="H1419" s="9" t="str">
        <f>IF(VLOOKUP(operations[productID],products[],7,FALSE)=1,"Discontinued","Current")</f>
        <v>Current</v>
      </c>
      <c r="I1419" s="6">
        <f>VLOOKUP(operations[productID],products[],4,FALSE)</f>
        <v>20</v>
      </c>
      <c r="J1419" s="6">
        <f>VLOOKUP(operations[productID],products[],5,FALSE)</f>
        <v>0</v>
      </c>
      <c r="K1419" s="6">
        <f>VLOOKUP(operations[productID],products[],6,FALSE)</f>
        <v>15</v>
      </c>
      <c r="L1419" s="10">
        <f t="array" ref="L1419">INDEX('1 orders'!I1419:I2156, MATCH(1, ('1 orders'!A1419:A2156=A1419)*('1 orders'!G1419:G2156=F1419), 0))
</f>
        <v>15</v>
      </c>
      <c r="M1419" s="10">
        <f>IFERROR(__xludf.DUMMYFUNCTION("COUNTUNIQUEIFS($A$2:$A1419,$F$2:$F1419,F1419)"),23.0)</f>
        <v>23</v>
      </c>
      <c r="N1419" s="10">
        <f t="shared" si="1"/>
        <v>39</v>
      </c>
      <c r="O1419" s="26">
        <f>IF(operations[sinceLastOrder]=0,0,operations[orderQuantity] / operations[sinceLastOrder])</f>
        <v>0.3846153846</v>
      </c>
      <c r="P1419" s="9">
        <v>100.6</v>
      </c>
      <c r="Q1419" s="7" t="s">
        <v>17</v>
      </c>
      <c r="R1419" s="10">
        <f>operations[arrivedDate]-operations[shippedDate]</f>
        <v>7</v>
      </c>
    </row>
    <row r="1420" ht="15.75" customHeight="1">
      <c r="A1420" s="6">
        <v>10789.0</v>
      </c>
      <c r="B1420" s="24">
        <v>45282.0</v>
      </c>
      <c r="C1420" s="24">
        <v>45310.0</v>
      </c>
      <c r="D1420" s="24">
        <v>45291.0</v>
      </c>
      <c r="E1420" s="24">
        <v>45298.0</v>
      </c>
      <c r="F1420" s="6">
        <v>63.0</v>
      </c>
      <c r="G1420" s="9" t="str">
        <f>VLOOKUP(operations[productID],products[],2,FALSE)</f>
        <v>Vegie-spread</v>
      </c>
      <c r="H1420" s="9" t="str">
        <f>IF(VLOOKUP(operations[productID],products[],7,FALSE)=1,"Discontinued","Current")</f>
        <v>Current</v>
      </c>
      <c r="I1420" s="6">
        <f>VLOOKUP(operations[productID],products[],4,FALSE)</f>
        <v>24</v>
      </c>
      <c r="J1420" s="6">
        <f>VLOOKUP(operations[productID],products[],5,FALSE)</f>
        <v>0</v>
      </c>
      <c r="K1420" s="6">
        <f>VLOOKUP(operations[productID],products[],6,FALSE)</f>
        <v>5</v>
      </c>
      <c r="L1420" s="10">
        <f t="array" ref="L1420">INDEX('1 orders'!I1420:I2156, MATCH(1, ('1 orders'!A1420:A2156=A1420)*('1 orders'!G1420:G2156=F1420), 0))
</f>
        <v>30</v>
      </c>
      <c r="M1420" s="10">
        <f>IFERROR(__xludf.DUMMYFUNCTION("COUNTUNIQUEIFS($A$2:$A1420,$F$2:$F1420,F1420)"),11.0)</f>
        <v>11</v>
      </c>
      <c r="N1420" s="10">
        <f t="shared" si="1"/>
        <v>33</v>
      </c>
      <c r="O1420" s="26">
        <f>IF(operations[sinceLastOrder]=0,0,operations[orderQuantity] / operations[sinceLastOrder])</f>
        <v>0.9090909091</v>
      </c>
      <c r="P1420" s="9">
        <v>100.6</v>
      </c>
      <c r="Q1420" s="7" t="s">
        <v>17</v>
      </c>
      <c r="R1420" s="10">
        <f>operations[arrivedDate]-operations[shippedDate]</f>
        <v>7</v>
      </c>
    </row>
    <row r="1421" ht="15.75" customHeight="1">
      <c r="A1421" s="6">
        <v>10789.0</v>
      </c>
      <c r="B1421" s="24">
        <v>45282.0</v>
      </c>
      <c r="C1421" s="24">
        <v>45310.0</v>
      </c>
      <c r="D1421" s="24">
        <v>45291.0</v>
      </c>
      <c r="E1421" s="24">
        <v>45298.0</v>
      </c>
      <c r="F1421" s="6">
        <v>68.0</v>
      </c>
      <c r="G1421" s="9" t="str">
        <f>VLOOKUP(operations[productID],products[],2,FALSE)</f>
        <v>Scottish Longbreads</v>
      </c>
      <c r="H1421" s="9" t="str">
        <f>IF(VLOOKUP(operations[productID],products[],7,FALSE)=1,"Discontinued","Current")</f>
        <v>Current</v>
      </c>
      <c r="I1421" s="6">
        <f>VLOOKUP(operations[productID],products[],4,FALSE)</f>
        <v>6</v>
      </c>
      <c r="J1421" s="6">
        <f>VLOOKUP(operations[productID],products[],5,FALSE)</f>
        <v>10</v>
      </c>
      <c r="K1421" s="6">
        <f>VLOOKUP(operations[productID],products[],6,FALSE)</f>
        <v>15</v>
      </c>
      <c r="L1421" s="10">
        <f t="array" ref="L1421">INDEX('1 orders'!I1421:I2156, MATCH(1, ('1 orders'!A1421:A2156=A1421)*('1 orders'!G1421:G2156=F1421), 0))
</f>
        <v>18</v>
      </c>
      <c r="M1421" s="10">
        <f>IFERROR(__xludf.DUMMYFUNCTION("COUNTUNIQUEIFS($A$2:$A1421,$F$2:$F1421,F1421)"),24.0)</f>
        <v>24</v>
      </c>
      <c r="N1421" s="10">
        <f t="shared" si="1"/>
        <v>17</v>
      </c>
      <c r="O1421" s="26">
        <f>IF(operations[sinceLastOrder]=0,0,operations[orderQuantity] / operations[sinceLastOrder])</f>
        <v>1.058823529</v>
      </c>
      <c r="P1421" s="9">
        <v>100.6</v>
      </c>
      <c r="Q1421" s="7" t="s">
        <v>17</v>
      </c>
      <c r="R1421" s="10">
        <f>operations[arrivedDate]-operations[shippedDate]</f>
        <v>7</v>
      </c>
    </row>
    <row r="1422" ht="15.75" customHeight="1">
      <c r="A1422" s="6">
        <v>10790.0</v>
      </c>
      <c r="B1422" s="24">
        <v>45282.0</v>
      </c>
      <c r="C1422" s="24">
        <v>45310.0</v>
      </c>
      <c r="D1422" s="24">
        <v>45286.0</v>
      </c>
      <c r="E1422" s="24">
        <v>45303.0</v>
      </c>
      <c r="F1422" s="6">
        <v>7.0</v>
      </c>
      <c r="G1422" s="9" t="str">
        <f>VLOOKUP(operations[productID],products[],2,FALSE)</f>
        <v>Uncle Bob's Organic Dried Pears</v>
      </c>
      <c r="H1422" s="9" t="str">
        <f>IF(VLOOKUP(operations[productID],products[],7,FALSE)=1,"Discontinued","Current")</f>
        <v>Current</v>
      </c>
      <c r="I1422" s="6">
        <f>VLOOKUP(operations[productID],products[],4,FALSE)</f>
        <v>15</v>
      </c>
      <c r="J1422" s="6">
        <f>VLOOKUP(operations[productID],products[],5,FALSE)</f>
        <v>0</v>
      </c>
      <c r="K1422" s="6">
        <f>VLOOKUP(operations[productID],products[],6,FALSE)</f>
        <v>10</v>
      </c>
      <c r="L1422" s="10">
        <f t="array" ref="L1422">INDEX('1 orders'!I1422:I2156, MATCH(1, ('1 orders'!A1422:A2156=A1422)*('1 orders'!G1422:G2156=F1422), 0))
</f>
        <v>3</v>
      </c>
      <c r="M1422" s="10">
        <f>IFERROR(__xludf.DUMMYFUNCTION("COUNTUNIQUEIFS($A$2:$A1422,$F$2:$F1422,F1422)"),12.0)</f>
        <v>12</v>
      </c>
      <c r="N1422" s="10">
        <f t="shared" si="1"/>
        <v>17</v>
      </c>
      <c r="O1422" s="26">
        <f>IF(operations[sinceLastOrder]=0,0,operations[orderQuantity] / operations[sinceLastOrder])</f>
        <v>0.1764705882</v>
      </c>
      <c r="P1422" s="9">
        <v>28.23</v>
      </c>
      <c r="Q1422" s="7" t="s">
        <v>15</v>
      </c>
      <c r="R1422" s="10">
        <f>operations[arrivedDate]-operations[shippedDate]</f>
        <v>17</v>
      </c>
    </row>
    <row r="1423" ht="15.75" customHeight="1">
      <c r="A1423" s="6">
        <v>10790.0</v>
      </c>
      <c r="B1423" s="24">
        <v>45282.0</v>
      </c>
      <c r="C1423" s="24">
        <v>45310.0</v>
      </c>
      <c r="D1423" s="24">
        <v>45286.0</v>
      </c>
      <c r="E1423" s="24">
        <v>45303.0</v>
      </c>
      <c r="F1423" s="6">
        <v>56.0</v>
      </c>
      <c r="G1423" s="9" t="str">
        <f>VLOOKUP(operations[productID],products[],2,FALSE)</f>
        <v>Gnocchi di nonna Alice</v>
      </c>
      <c r="H1423" s="9" t="str">
        <f>IF(VLOOKUP(operations[productID],products[],7,FALSE)=1,"Discontinued","Current")</f>
        <v>Current</v>
      </c>
      <c r="I1423" s="6">
        <f>VLOOKUP(operations[productID],products[],4,FALSE)</f>
        <v>21</v>
      </c>
      <c r="J1423" s="6">
        <f>VLOOKUP(operations[productID],products[],5,FALSE)</f>
        <v>10</v>
      </c>
      <c r="K1423" s="6">
        <f>VLOOKUP(operations[productID],products[],6,FALSE)</f>
        <v>30</v>
      </c>
      <c r="L1423" s="10">
        <f t="array" ref="L1423">INDEX('1 orders'!I1423:I2156, MATCH(1, ('1 orders'!A1423:A2156=A1423)*('1 orders'!G1423:G2156=F1423), 0))
</f>
        <v>20</v>
      </c>
      <c r="M1423" s="10">
        <f>IFERROR(__xludf.DUMMYFUNCTION("COUNTUNIQUEIFS($A$2:$A1423,$F$2:$F1423,F1423)"),40.0)</f>
        <v>40</v>
      </c>
      <c r="N1423" s="10">
        <f t="shared" si="1"/>
        <v>5</v>
      </c>
      <c r="O1423" s="26">
        <f>IF(operations[sinceLastOrder]=0,0,operations[orderQuantity] / operations[sinceLastOrder])</f>
        <v>4</v>
      </c>
      <c r="P1423" s="9">
        <v>28.23</v>
      </c>
      <c r="Q1423" s="7" t="s">
        <v>15</v>
      </c>
      <c r="R1423" s="10">
        <f>operations[arrivedDate]-operations[shippedDate]</f>
        <v>17</v>
      </c>
    </row>
    <row r="1424" ht="15.75" customHeight="1">
      <c r="A1424" s="6">
        <v>10791.0</v>
      </c>
      <c r="B1424" s="24">
        <v>45283.0</v>
      </c>
      <c r="C1424" s="24">
        <v>45311.0</v>
      </c>
      <c r="D1424" s="24">
        <v>45292.0</v>
      </c>
      <c r="E1424" s="24">
        <v>45301.0</v>
      </c>
      <c r="F1424" s="6">
        <v>29.0</v>
      </c>
      <c r="G1424" s="9" t="str">
        <f>VLOOKUP(operations[productID],products[],2,FALSE)</f>
        <v>Thüringer Rostbratwurst</v>
      </c>
      <c r="H1424" s="9" t="str">
        <f>IF(VLOOKUP(operations[productID],products[],7,FALSE)=1,"Discontinued","Current")</f>
        <v>Discontinued</v>
      </c>
      <c r="I1424" s="6">
        <f>VLOOKUP(operations[productID],products[],4,FALSE)</f>
        <v>0</v>
      </c>
      <c r="J1424" s="6">
        <f>VLOOKUP(operations[productID],products[],5,FALSE)</f>
        <v>0</v>
      </c>
      <c r="K1424" s="6">
        <f>VLOOKUP(operations[productID],products[],6,FALSE)</f>
        <v>0</v>
      </c>
      <c r="L1424" s="10">
        <f t="array" ref="L1424">INDEX('1 orders'!I1424:I2156, MATCH(1, ('1 orders'!A1424:A2156=A1424)*('1 orders'!G1424:G2156=F1424), 0))
</f>
        <v>14</v>
      </c>
      <c r="M1424" s="10">
        <f>IFERROR(__xludf.DUMMYFUNCTION("COUNTUNIQUEIFS($A$2:$A1424,$F$2:$F1424,F1424)"),21.0)</f>
        <v>21</v>
      </c>
      <c r="N1424" s="10">
        <f t="shared" si="1"/>
        <v>4</v>
      </c>
      <c r="O1424" s="26">
        <f>IF(operations[sinceLastOrder]=0,0,operations[orderQuantity] / operations[sinceLastOrder])</f>
        <v>3.5</v>
      </c>
      <c r="P1424" s="9">
        <v>16.85</v>
      </c>
      <c r="Q1424" s="7" t="s">
        <v>17</v>
      </c>
      <c r="R1424" s="10">
        <f>operations[arrivedDate]-operations[shippedDate]</f>
        <v>9</v>
      </c>
    </row>
    <row r="1425" ht="15.75" customHeight="1">
      <c r="A1425" s="6">
        <v>10791.0</v>
      </c>
      <c r="B1425" s="24">
        <v>45283.0</v>
      </c>
      <c r="C1425" s="24">
        <v>45311.0</v>
      </c>
      <c r="D1425" s="24">
        <v>45292.0</v>
      </c>
      <c r="E1425" s="24">
        <v>45301.0</v>
      </c>
      <c r="F1425" s="6">
        <v>41.0</v>
      </c>
      <c r="G1425" s="9" t="str">
        <f>VLOOKUP(operations[productID],products[],2,FALSE)</f>
        <v>Jack's New England Clam Chowder</v>
      </c>
      <c r="H1425" s="9" t="str">
        <f>IF(VLOOKUP(operations[productID],products[],7,FALSE)=1,"Discontinued","Current")</f>
        <v>Current</v>
      </c>
      <c r="I1425" s="6">
        <f>VLOOKUP(operations[productID],products[],4,FALSE)</f>
        <v>85</v>
      </c>
      <c r="J1425" s="6">
        <f>VLOOKUP(operations[productID],products[],5,FALSE)</f>
        <v>0</v>
      </c>
      <c r="K1425" s="6">
        <f>VLOOKUP(operations[productID],products[],6,FALSE)</f>
        <v>10</v>
      </c>
      <c r="L1425" s="10">
        <f t="array" ref="L1425">INDEX('1 orders'!I1425:I2156, MATCH(1, ('1 orders'!A1425:A2156=A1425)*('1 orders'!G1425:G2156=F1425), 0))
</f>
        <v>20</v>
      </c>
      <c r="M1425" s="10">
        <f>IFERROR(__xludf.DUMMYFUNCTION("COUNTUNIQUEIFS($A$2:$A1425,$F$2:$F1425,F1425)"),28.0)</f>
        <v>28</v>
      </c>
      <c r="N1425" s="10">
        <f t="shared" si="1"/>
        <v>7</v>
      </c>
      <c r="O1425" s="26">
        <f>IF(operations[sinceLastOrder]=0,0,operations[orderQuantity] / operations[sinceLastOrder])</f>
        <v>2.857142857</v>
      </c>
      <c r="P1425" s="9">
        <v>16.85</v>
      </c>
      <c r="Q1425" s="7" t="s">
        <v>17</v>
      </c>
      <c r="R1425" s="10">
        <f>operations[arrivedDate]-operations[shippedDate]</f>
        <v>9</v>
      </c>
    </row>
    <row r="1426" ht="15.75" customHeight="1">
      <c r="A1426" s="6">
        <v>10792.0</v>
      </c>
      <c r="B1426" s="24">
        <v>45283.0</v>
      </c>
      <c r="C1426" s="24">
        <v>45311.0</v>
      </c>
      <c r="D1426" s="24">
        <v>45291.0</v>
      </c>
      <c r="E1426" s="24">
        <v>45301.0</v>
      </c>
      <c r="F1426" s="6">
        <v>2.0</v>
      </c>
      <c r="G1426" s="9" t="str">
        <f>VLOOKUP(operations[productID],products[],2,FALSE)</f>
        <v>Chang</v>
      </c>
      <c r="H1426" s="9" t="str">
        <f>IF(VLOOKUP(operations[productID],products[],7,FALSE)=1,"Discontinued","Current")</f>
        <v>Current</v>
      </c>
      <c r="I1426" s="6">
        <f>VLOOKUP(operations[productID],products[],4,FALSE)</f>
        <v>17</v>
      </c>
      <c r="J1426" s="6">
        <f>VLOOKUP(operations[productID],products[],5,FALSE)</f>
        <v>40</v>
      </c>
      <c r="K1426" s="6">
        <f>VLOOKUP(operations[productID],products[],6,FALSE)</f>
        <v>25</v>
      </c>
      <c r="L1426" s="10">
        <f t="array" ref="L1426">INDEX('1 orders'!I1426:I2156, MATCH(1, ('1 orders'!A1426:A2156=A1426)*('1 orders'!G1426:G2156=F1426), 0))
</f>
        <v>10</v>
      </c>
      <c r="M1426" s="10">
        <f>IFERROR(__xludf.DUMMYFUNCTION("COUNTUNIQUEIFS($A$2:$A1426,$F$2:$F1426,F1426)"),25.0)</f>
        <v>25</v>
      </c>
      <c r="N1426" s="10">
        <f t="shared" si="1"/>
        <v>4</v>
      </c>
      <c r="O1426" s="26">
        <f>IF(operations[sinceLastOrder]=0,0,operations[orderQuantity] / operations[sinceLastOrder])</f>
        <v>2.5</v>
      </c>
      <c r="P1426" s="9">
        <v>23.79</v>
      </c>
      <c r="Q1426" s="7" t="s">
        <v>13</v>
      </c>
      <c r="R1426" s="10">
        <f>operations[arrivedDate]-operations[shippedDate]</f>
        <v>10</v>
      </c>
    </row>
    <row r="1427" ht="15.75" customHeight="1">
      <c r="A1427" s="6">
        <v>10792.0</v>
      </c>
      <c r="B1427" s="24">
        <v>45283.0</v>
      </c>
      <c r="C1427" s="24">
        <v>45311.0</v>
      </c>
      <c r="D1427" s="24">
        <v>45291.0</v>
      </c>
      <c r="E1427" s="24">
        <v>45301.0</v>
      </c>
      <c r="F1427" s="6">
        <v>54.0</v>
      </c>
      <c r="G1427" s="9" t="str">
        <f>VLOOKUP(operations[productID],products[],2,FALSE)</f>
        <v>Tourtière</v>
      </c>
      <c r="H1427" s="9" t="str">
        <f>IF(VLOOKUP(operations[productID],products[],7,FALSE)=1,"Discontinued","Current")</f>
        <v>Current</v>
      </c>
      <c r="I1427" s="6">
        <f>VLOOKUP(operations[productID],products[],4,FALSE)</f>
        <v>21</v>
      </c>
      <c r="J1427" s="6">
        <f>VLOOKUP(operations[productID],products[],5,FALSE)</f>
        <v>0</v>
      </c>
      <c r="K1427" s="6">
        <f>VLOOKUP(operations[productID],products[],6,FALSE)</f>
        <v>10</v>
      </c>
      <c r="L1427" s="10">
        <f t="array" ref="L1427">INDEX('1 orders'!I1427:I2156, MATCH(1, ('1 orders'!A1427:A2156=A1427)*('1 orders'!G1427:G2156=F1427), 0))
</f>
        <v>3</v>
      </c>
      <c r="M1427" s="10">
        <f>IFERROR(__xludf.DUMMYFUNCTION("COUNTUNIQUEIFS($A$2:$A1427,$F$2:$F1427,F1427)"),29.0)</f>
        <v>29</v>
      </c>
      <c r="N1427" s="10">
        <f t="shared" si="1"/>
        <v>6</v>
      </c>
      <c r="O1427" s="26">
        <f>IF(operations[sinceLastOrder]=0,0,operations[orderQuantity] / operations[sinceLastOrder])</f>
        <v>0.5</v>
      </c>
      <c r="P1427" s="9">
        <v>23.79</v>
      </c>
      <c r="Q1427" s="7" t="s">
        <v>13</v>
      </c>
      <c r="R1427" s="10">
        <f>operations[arrivedDate]-operations[shippedDate]</f>
        <v>10</v>
      </c>
    </row>
    <row r="1428" ht="15.75" customHeight="1">
      <c r="A1428" s="6">
        <v>10792.0</v>
      </c>
      <c r="B1428" s="24">
        <v>45283.0</v>
      </c>
      <c r="C1428" s="24">
        <v>45311.0</v>
      </c>
      <c r="D1428" s="24">
        <v>45291.0</v>
      </c>
      <c r="E1428" s="24">
        <v>45301.0</v>
      </c>
      <c r="F1428" s="6">
        <v>68.0</v>
      </c>
      <c r="G1428" s="9" t="str">
        <f>VLOOKUP(operations[productID],products[],2,FALSE)</f>
        <v>Scottish Longbreads</v>
      </c>
      <c r="H1428" s="9" t="str">
        <f>IF(VLOOKUP(operations[productID],products[],7,FALSE)=1,"Discontinued","Current")</f>
        <v>Current</v>
      </c>
      <c r="I1428" s="6">
        <f>VLOOKUP(operations[productID],products[],4,FALSE)</f>
        <v>6</v>
      </c>
      <c r="J1428" s="6">
        <f>VLOOKUP(operations[productID],products[],5,FALSE)</f>
        <v>10</v>
      </c>
      <c r="K1428" s="6">
        <f>VLOOKUP(operations[productID],products[],6,FALSE)</f>
        <v>15</v>
      </c>
      <c r="L1428" s="10">
        <f t="array" ref="L1428">INDEX('1 orders'!I1428:I2156, MATCH(1, ('1 orders'!A1428:A2156=A1428)*('1 orders'!G1428:G2156=F1428), 0))
</f>
        <v>15</v>
      </c>
      <c r="M1428" s="10">
        <f>IFERROR(__xludf.DUMMYFUNCTION("COUNTUNIQUEIFS($A$2:$A1428,$F$2:$F1428,F1428)"),25.0)</f>
        <v>25</v>
      </c>
      <c r="N1428" s="10">
        <f t="shared" si="1"/>
        <v>1</v>
      </c>
      <c r="O1428" s="26">
        <f>IF(operations[sinceLastOrder]=0,0,operations[orderQuantity] / operations[sinceLastOrder])</f>
        <v>15</v>
      </c>
      <c r="P1428" s="9">
        <v>23.79</v>
      </c>
      <c r="Q1428" s="7" t="s">
        <v>13</v>
      </c>
      <c r="R1428" s="10">
        <f>operations[arrivedDate]-operations[shippedDate]</f>
        <v>10</v>
      </c>
    </row>
    <row r="1429" ht="15.75" customHeight="1">
      <c r="A1429" s="6">
        <v>10793.0</v>
      </c>
      <c r="B1429" s="24">
        <v>45284.0</v>
      </c>
      <c r="C1429" s="24">
        <v>45312.0</v>
      </c>
      <c r="D1429" s="24">
        <v>45299.0</v>
      </c>
      <c r="E1429" s="24">
        <v>45306.0</v>
      </c>
      <c r="F1429" s="6">
        <v>41.0</v>
      </c>
      <c r="G1429" s="9" t="str">
        <f>VLOOKUP(operations[productID],products[],2,FALSE)</f>
        <v>Jack's New England Clam Chowder</v>
      </c>
      <c r="H1429" s="9" t="str">
        <f>IF(VLOOKUP(operations[productID],products[],7,FALSE)=1,"Discontinued","Current")</f>
        <v>Current</v>
      </c>
      <c r="I1429" s="6">
        <f>VLOOKUP(operations[productID],products[],4,FALSE)</f>
        <v>85</v>
      </c>
      <c r="J1429" s="6">
        <f>VLOOKUP(operations[productID],products[],5,FALSE)</f>
        <v>0</v>
      </c>
      <c r="K1429" s="6">
        <f>VLOOKUP(operations[productID],products[],6,FALSE)</f>
        <v>10</v>
      </c>
      <c r="L1429" s="10">
        <f t="array" ref="L1429">INDEX('1 orders'!I1429:I2156, MATCH(1, ('1 orders'!A1429:A2156=A1429)*('1 orders'!G1429:G2156=F1429), 0))
</f>
        <v>14</v>
      </c>
      <c r="M1429" s="10">
        <f>IFERROR(__xludf.DUMMYFUNCTION("COUNTUNIQUEIFS($A$2:$A1429,$F$2:$F1429,F1429)"),29.0)</f>
        <v>29</v>
      </c>
      <c r="N1429" s="10">
        <f t="shared" si="1"/>
        <v>1</v>
      </c>
      <c r="O1429" s="26">
        <f>IF(operations[sinceLastOrder]=0,0,operations[orderQuantity] / operations[sinceLastOrder])</f>
        <v>14</v>
      </c>
      <c r="P1429" s="9">
        <v>4.52</v>
      </c>
      <c r="Q1429" s="7" t="s">
        <v>13</v>
      </c>
      <c r="R1429" s="10">
        <f>operations[arrivedDate]-operations[shippedDate]</f>
        <v>7</v>
      </c>
    </row>
    <row r="1430" ht="15.75" customHeight="1">
      <c r="A1430" s="6">
        <v>10793.0</v>
      </c>
      <c r="B1430" s="24">
        <v>45284.0</v>
      </c>
      <c r="C1430" s="24">
        <v>45312.0</v>
      </c>
      <c r="D1430" s="24">
        <v>45299.0</v>
      </c>
      <c r="E1430" s="24">
        <v>45306.0</v>
      </c>
      <c r="F1430" s="6">
        <v>52.0</v>
      </c>
      <c r="G1430" s="9" t="str">
        <f>VLOOKUP(operations[productID],products[],2,FALSE)</f>
        <v>Filo Mix</v>
      </c>
      <c r="H1430" s="9" t="str">
        <f>IF(VLOOKUP(operations[productID],products[],7,FALSE)=1,"Discontinued","Current")</f>
        <v>Current</v>
      </c>
      <c r="I1430" s="6">
        <f>VLOOKUP(operations[productID],products[],4,FALSE)</f>
        <v>38</v>
      </c>
      <c r="J1430" s="6">
        <f>VLOOKUP(operations[productID],products[],5,FALSE)</f>
        <v>0</v>
      </c>
      <c r="K1430" s="6">
        <f>VLOOKUP(operations[productID],products[],6,FALSE)</f>
        <v>25</v>
      </c>
      <c r="L1430" s="10">
        <f t="array" ref="L1430">INDEX('1 orders'!I1430:I2156, MATCH(1, ('1 orders'!A1430:A2156=A1430)*('1 orders'!G1430:G2156=F1430), 0))
</f>
        <v>8</v>
      </c>
      <c r="M1430" s="10">
        <f>IFERROR(__xludf.DUMMYFUNCTION("COUNTUNIQUEIFS($A$2:$A1430,$F$2:$F1430,F1430)"),18.0)</f>
        <v>18</v>
      </c>
      <c r="N1430" s="10">
        <f t="shared" si="1"/>
        <v>16</v>
      </c>
      <c r="O1430" s="26">
        <f>IF(operations[sinceLastOrder]=0,0,operations[orderQuantity] / operations[sinceLastOrder])</f>
        <v>0.5</v>
      </c>
      <c r="P1430" s="9">
        <v>4.52</v>
      </c>
      <c r="Q1430" s="7" t="s">
        <v>13</v>
      </c>
      <c r="R1430" s="10">
        <f>operations[arrivedDate]-operations[shippedDate]</f>
        <v>7</v>
      </c>
    </row>
    <row r="1431" ht="15.75" customHeight="1">
      <c r="A1431" s="6">
        <v>10794.0</v>
      </c>
      <c r="B1431" s="24">
        <v>45284.0</v>
      </c>
      <c r="C1431" s="24">
        <v>45312.0</v>
      </c>
      <c r="D1431" s="24">
        <v>45293.0</v>
      </c>
      <c r="E1431" s="24">
        <v>45306.0</v>
      </c>
      <c r="F1431" s="6">
        <v>14.0</v>
      </c>
      <c r="G1431" s="9" t="str">
        <f>VLOOKUP(operations[productID],products[],2,FALSE)</f>
        <v>Tofu</v>
      </c>
      <c r="H1431" s="9" t="str">
        <f>IF(VLOOKUP(operations[productID],products[],7,FALSE)=1,"Discontinued","Current")</f>
        <v>Current</v>
      </c>
      <c r="I1431" s="6">
        <f>VLOOKUP(operations[productID],products[],4,FALSE)</f>
        <v>35</v>
      </c>
      <c r="J1431" s="6">
        <f>VLOOKUP(operations[productID],products[],5,FALSE)</f>
        <v>0</v>
      </c>
      <c r="K1431" s="6">
        <f>VLOOKUP(operations[productID],products[],6,FALSE)</f>
        <v>0</v>
      </c>
      <c r="L1431" s="10">
        <f t="array" ref="L1431">INDEX('1 orders'!I1431:I2156, MATCH(1, ('1 orders'!A1431:A2156=A1431)*('1 orders'!G1431:G2156=F1431), 0))
</f>
        <v>15</v>
      </c>
      <c r="M1431" s="10">
        <f>IFERROR(__xludf.DUMMYFUNCTION("COUNTUNIQUEIFS($A$2:$A1431,$F$2:$F1431,F1431)"),20.0)</f>
        <v>20</v>
      </c>
      <c r="N1431" s="10">
        <f t="shared" si="1"/>
        <v>33</v>
      </c>
      <c r="O1431" s="26">
        <f>IF(operations[sinceLastOrder]=0,0,operations[orderQuantity] / operations[sinceLastOrder])</f>
        <v>0.4545454545</v>
      </c>
      <c r="P1431" s="9">
        <v>21.49</v>
      </c>
      <c r="Q1431" s="7" t="s">
        <v>15</v>
      </c>
      <c r="R1431" s="10">
        <f>operations[arrivedDate]-operations[shippedDate]</f>
        <v>13</v>
      </c>
    </row>
    <row r="1432" ht="15.75" customHeight="1">
      <c r="A1432" s="6">
        <v>10794.0</v>
      </c>
      <c r="B1432" s="24">
        <v>45284.0</v>
      </c>
      <c r="C1432" s="24">
        <v>45312.0</v>
      </c>
      <c r="D1432" s="24">
        <v>45293.0</v>
      </c>
      <c r="E1432" s="24">
        <v>45306.0</v>
      </c>
      <c r="F1432" s="6">
        <v>54.0</v>
      </c>
      <c r="G1432" s="9" t="str">
        <f>VLOOKUP(operations[productID],products[],2,FALSE)</f>
        <v>Tourtière</v>
      </c>
      <c r="H1432" s="9" t="str">
        <f>IF(VLOOKUP(operations[productID],products[],7,FALSE)=1,"Discontinued","Current")</f>
        <v>Current</v>
      </c>
      <c r="I1432" s="6">
        <f>VLOOKUP(operations[productID],products[],4,FALSE)</f>
        <v>21</v>
      </c>
      <c r="J1432" s="6">
        <f>VLOOKUP(operations[productID],products[],5,FALSE)</f>
        <v>0</v>
      </c>
      <c r="K1432" s="6">
        <f>VLOOKUP(operations[productID],products[],6,FALSE)</f>
        <v>10</v>
      </c>
      <c r="L1432" s="10">
        <f t="array" ref="L1432">INDEX('1 orders'!I1432:I2156, MATCH(1, ('1 orders'!A1432:A2156=A1432)*('1 orders'!G1432:G2156=F1432), 0))
</f>
        <v>6</v>
      </c>
      <c r="M1432" s="10">
        <f>IFERROR(__xludf.DUMMYFUNCTION("COUNTUNIQUEIFS($A$2:$A1432,$F$2:$F1432,F1432)"),30.0)</f>
        <v>30</v>
      </c>
      <c r="N1432" s="10">
        <f t="shared" si="1"/>
        <v>1</v>
      </c>
      <c r="O1432" s="26">
        <f>IF(operations[sinceLastOrder]=0,0,operations[orderQuantity] / operations[sinceLastOrder])</f>
        <v>6</v>
      </c>
      <c r="P1432" s="9">
        <v>21.49</v>
      </c>
      <c r="Q1432" s="7" t="s">
        <v>15</v>
      </c>
      <c r="R1432" s="10">
        <f>operations[arrivedDate]-operations[shippedDate]</f>
        <v>13</v>
      </c>
    </row>
    <row r="1433" ht="15.75" customHeight="1">
      <c r="A1433" s="6">
        <v>10795.0</v>
      </c>
      <c r="B1433" s="24">
        <v>45284.0</v>
      </c>
      <c r="C1433" s="24">
        <v>45312.0</v>
      </c>
      <c r="D1433" s="24">
        <v>45311.0</v>
      </c>
      <c r="E1433" s="24">
        <v>45325.0</v>
      </c>
      <c r="F1433" s="6">
        <v>16.0</v>
      </c>
      <c r="G1433" s="9" t="str">
        <f>VLOOKUP(operations[productID],products[],2,FALSE)</f>
        <v>Pavlova</v>
      </c>
      <c r="H1433" s="9" t="str">
        <f>IF(VLOOKUP(operations[productID],products[],7,FALSE)=1,"Discontinued","Current")</f>
        <v>Current</v>
      </c>
      <c r="I1433" s="6">
        <f>VLOOKUP(operations[productID],products[],4,FALSE)</f>
        <v>29</v>
      </c>
      <c r="J1433" s="6">
        <f>VLOOKUP(operations[productID],products[],5,FALSE)</f>
        <v>0</v>
      </c>
      <c r="K1433" s="6">
        <f>VLOOKUP(operations[productID],products[],6,FALSE)</f>
        <v>10</v>
      </c>
      <c r="L1433" s="10">
        <f t="array" ref="L1433">INDEX('1 orders'!I1433:I2156, MATCH(1, ('1 orders'!A1433:A2156=A1433)*('1 orders'!G1433:G2156=F1433), 0))
</f>
        <v>65</v>
      </c>
      <c r="M1433" s="10">
        <f>IFERROR(__xludf.DUMMYFUNCTION("COUNTUNIQUEIFS($A$2:$A1433,$F$2:$F1433,F1433)"),29.0)</f>
        <v>29</v>
      </c>
      <c r="N1433" s="10">
        <f t="shared" si="1"/>
        <v>8</v>
      </c>
      <c r="O1433" s="26">
        <f>IF(operations[sinceLastOrder]=0,0,operations[orderQuantity] / operations[sinceLastOrder])</f>
        <v>8.125</v>
      </c>
      <c r="P1433" s="9">
        <v>126.66</v>
      </c>
      <c r="Q1433" s="7" t="s">
        <v>17</v>
      </c>
      <c r="R1433" s="10">
        <f>operations[arrivedDate]-operations[shippedDate]</f>
        <v>14</v>
      </c>
    </row>
    <row r="1434" ht="15.75" customHeight="1">
      <c r="A1434" s="6">
        <v>10795.0</v>
      </c>
      <c r="B1434" s="24">
        <v>45284.0</v>
      </c>
      <c r="C1434" s="24">
        <v>45312.0</v>
      </c>
      <c r="D1434" s="24">
        <v>45311.0</v>
      </c>
      <c r="E1434" s="24">
        <v>45325.0</v>
      </c>
      <c r="F1434" s="6">
        <v>17.0</v>
      </c>
      <c r="G1434" s="9" t="str">
        <f>VLOOKUP(operations[productID],products[],2,FALSE)</f>
        <v>Alice Mutton</v>
      </c>
      <c r="H1434" s="9" t="str">
        <f>IF(VLOOKUP(operations[productID],products[],7,FALSE)=1,"Discontinued","Current")</f>
        <v>Discontinued</v>
      </c>
      <c r="I1434" s="6">
        <f>VLOOKUP(operations[productID],products[],4,FALSE)</f>
        <v>0</v>
      </c>
      <c r="J1434" s="6">
        <f>VLOOKUP(operations[productID],products[],5,FALSE)</f>
        <v>0</v>
      </c>
      <c r="K1434" s="6">
        <f>VLOOKUP(operations[productID],products[],6,FALSE)</f>
        <v>0</v>
      </c>
      <c r="L1434" s="10">
        <f t="array" ref="L1434">INDEX('1 orders'!I1434:I2156, MATCH(1, ('1 orders'!A1434:A2156=A1434)*('1 orders'!G1434:G2156=F1434), 0))
</f>
        <v>35</v>
      </c>
      <c r="M1434" s="10">
        <f>IFERROR(__xludf.DUMMYFUNCTION("COUNTUNIQUEIFS($A$2:$A1434,$F$2:$F1434,F1434)"),25.0)</f>
        <v>25</v>
      </c>
      <c r="N1434" s="10">
        <f t="shared" si="1"/>
        <v>13</v>
      </c>
      <c r="O1434" s="26">
        <f>IF(operations[sinceLastOrder]=0,0,operations[orderQuantity] / operations[sinceLastOrder])</f>
        <v>2.692307692</v>
      </c>
      <c r="P1434" s="9">
        <v>126.66</v>
      </c>
      <c r="Q1434" s="7" t="s">
        <v>17</v>
      </c>
      <c r="R1434" s="10">
        <f>operations[arrivedDate]-operations[shippedDate]</f>
        <v>14</v>
      </c>
    </row>
    <row r="1435" ht="15.75" customHeight="1">
      <c r="A1435" s="6">
        <v>10796.0</v>
      </c>
      <c r="B1435" s="24">
        <v>45285.0</v>
      </c>
      <c r="C1435" s="24">
        <v>45313.0</v>
      </c>
      <c r="D1435" s="24">
        <v>45305.0</v>
      </c>
      <c r="E1435" s="24">
        <v>45316.0</v>
      </c>
      <c r="F1435" s="6">
        <v>26.0</v>
      </c>
      <c r="G1435" s="9" t="str">
        <f>VLOOKUP(operations[productID],products[],2,FALSE)</f>
        <v>NuNuCa Nuß-Nougat-Creme</v>
      </c>
      <c r="H1435" s="9" t="str">
        <f>IF(VLOOKUP(operations[productID],products[],7,FALSE)=1,"Discontinued","Current")</f>
        <v>Current</v>
      </c>
      <c r="I1435" s="6">
        <f>VLOOKUP(operations[productID],products[],4,FALSE)</f>
        <v>15</v>
      </c>
      <c r="J1435" s="6">
        <f>VLOOKUP(operations[productID],products[],5,FALSE)</f>
        <v>0</v>
      </c>
      <c r="K1435" s="6">
        <f>VLOOKUP(operations[productID],products[],6,FALSE)</f>
        <v>0</v>
      </c>
      <c r="L1435" s="10">
        <f t="array" ref="L1435">INDEX('1 orders'!I1435:I2156, MATCH(1, ('1 orders'!A1435:A2156=A1435)*('1 orders'!G1435:G2156=F1435), 0))
</f>
        <v>21</v>
      </c>
      <c r="M1435" s="10">
        <f>IFERROR(__xludf.DUMMYFUNCTION("COUNTUNIQUEIFS($A$2:$A1435,$F$2:$F1435,F1435)"),23.0)</f>
        <v>23</v>
      </c>
      <c r="N1435" s="10">
        <f t="shared" si="1"/>
        <v>27</v>
      </c>
      <c r="O1435" s="26">
        <f>IF(operations[sinceLastOrder]=0,0,operations[orderQuantity] / operations[sinceLastOrder])</f>
        <v>0.7777777778</v>
      </c>
      <c r="P1435" s="9">
        <v>26.52</v>
      </c>
      <c r="Q1435" s="7" t="s">
        <v>15</v>
      </c>
      <c r="R1435" s="10">
        <f>operations[arrivedDate]-operations[shippedDate]</f>
        <v>11</v>
      </c>
    </row>
    <row r="1436" ht="15.75" customHeight="1">
      <c r="A1436" s="6">
        <v>10796.0</v>
      </c>
      <c r="B1436" s="24">
        <v>45285.0</v>
      </c>
      <c r="C1436" s="24">
        <v>45313.0</v>
      </c>
      <c r="D1436" s="24">
        <v>45305.0</v>
      </c>
      <c r="E1436" s="24">
        <v>45316.0</v>
      </c>
      <c r="F1436" s="6">
        <v>44.0</v>
      </c>
      <c r="G1436" s="9" t="str">
        <f>VLOOKUP(operations[productID],products[],2,FALSE)</f>
        <v>Gula Malacca</v>
      </c>
      <c r="H1436" s="9" t="str">
        <f>IF(VLOOKUP(operations[productID],products[],7,FALSE)=1,"Discontinued","Current")</f>
        <v>Current</v>
      </c>
      <c r="I1436" s="6">
        <f>VLOOKUP(operations[productID],products[],4,FALSE)</f>
        <v>27</v>
      </c>
      <c r="J1436" s="6">
        <f>VLOOKUP(operations[productID],products[],5,FALSE)</f>
        <v>0</v>
      </c>
      <c r="K1436" s="6">
        <f>VLOOKUP(operations[productID],products[],6,FALSE)</f>
        <v>15</v>
      </c>
      <c r="L1436" s="10">
        <f t="array" ref="L1436">INDEX('1 orders'!I1436:I2156, MATCH(1, ('1 orders'!A1436:A2156=A1436)*('1 orders'!G1436:G2156=F1436), 0))
</f>
        <v>10</v>
      </c>
      <c r="M1436" s="10">
        <f>IFERROR(__xludf.DUMMYFUNCTION("COUNTUNIQUEIFS($A$2:$A1436,$F$2:$F1436,F1436)"),19.0)</f>
        <v>19</v>
      </c>
      <c r="N1436" s="10">
        <f t="shared" si="1"/>
        <v>37</v>
      </c>
      <c r="O1436" s="26">
        <f>IF(operations[sinceLastOrder]=0,0,operations[orderQuantity] / operations[sinceLastOrder])</f>
        <v>0.2702702703</v>
      </c>
      <c r="P1436" s="9">
        <v>26.52</v>
      </c>
      <c r="Q1436" s="7" t="s">
        <v>15</v>
      </c>
      <c r="R1436" s="10">
        <f>operations[arrivedDate]-operations[shippedDate]</f>
        <v>11</v>
      </c>
    </row>
    <row r="1437" ht="15.75" customHeight="1">
      <c r="A1437" s="6">
        <v>10796.0</v>
      </c>
      <c r="B1437" s="24">
        <v>45285.0</v>
      </c>
      <c r="C1437" s="24">
        <v>45313.0</v>
      </c>
      <c r="D1437" s="24">
        <v>45305.0</v>
      </c>
      <c r="E1437" s="24">
        <v>45316.0</v>
      </c>
      <c r="F1437" s="6">
        <v>64.0</v>
      </c>
      <c r="G1437" s="9" t="str">
        <f>VLOOKUP(operations[productID],products[],2,FALSE)</f>
        <v>Lukas' leckere Sauerteigweggla</v>
      </c>
      <c r="H1437" s="9" t="str">
        <f>IF(VLOOKUP(operations[productID],products[],7,FALSE)=1,"Discontinued","Current")</f>
        <v>Current</v>
      </c>
      <c r="I1437" s="6">
        <f>VLOOKUP(operations[productID],products[],4,FALSE)</f>
        <v>22</v>
      </c>
      <c r="J1437" s="6">
        <f>VLOOKUP(operations[productID],products[],5,FALSE)</f>
        <v>80</v>
      </c>
      <c r="K1437" s="6">
        <f>VLOOKUP(operations[productID],products[],6,FALSE)</f>
        <v>30</v>
      </c>
      <c r="L1437" s="10">
        <f t="array" ref="L1437">INDEX('1 orders'!I1437:I2156, MATCH(1, ('1 orders'!A1437:A2156=A1437)*('1 orders'!G1437:G2156=F1437), 0))
</f>
        <v>35</v>
      </c>
      <c r="M1437" s="10">
        <f>IFERROR(__xludf.DUMMYFUNCTION("COUNTUNIQUEIFS($A$2:$A1437,$F$2:$F1437,F1437)"),18.0)</f>
        <v>18</v>
      </c>
      <c r="N1437" s="10">
        <f t="shared" si="1"/>
        <v>28</v>
      </c>
      <c r="O1437" s="26">
        <f>IF(operations[sinceLastOrder]=0,0,operations[orderQuantity] / operations[sinceLastOrder])</f>
        <v>1.25</v>
      </c>
      <c r="P1437" s="9">
        <v>26.52</v>
      </c>
      <c r="Q1437" s="7" t="s">
        <v>15</v>
      </c>
      <c r="R1437" s="10">
        <f>operations[arrivedDate]-operations[shippedDate]</f>
        <v>11</v>
      </c>
    </row>
    <row r="1438" ht="15.75" customHeight="1">
      <c r="A1438" s="6">
        <v>10796.0</v>
      </c>
      <c r="B1438" s="24">
        <v>45285.0</v>
      </c>
      <c r="C1438" s="24">
        <v>45313.0</v>
      </c>
      <c r="D1438" s="24">
        <v>45305.0</v>
      </c>
      <c r="E1438" s="24">
        <v>45316.0</v>
      </c>
      <c r="F1438" s="6">
        <v>69.0</v>
      </c>
      <c r="G1438" s="9" t="str">
        <f>VLOOKUP(operations[productID],products[],2,FALSE)</f>
        <v>Gudbrandsdalsost</v>
      </c>
      <c r="H1438" s="9" t="str">
        <f>IF(VLOOKUP(operations[productID],products[],7,FALSE)=1,"Discontinued","Current")</f>
        <v>Current</v>
      </c>
      <c r="I1438" s="6">
        <f>VLOOKUP(operations[productID],products[],4,FALSE)</f>
        <v>26</v>
      </c>
      <c r="J1438" s="6">
        <f>VLOOKUP(operations[productID],products[],5,FALSE)</f>
        <v>0</v>
      </c>
      <c r="K1438" s="6">
        <f>VLOOKUP(operations[productID],products[],6,FALSE)</f>
        <v>15</v>
      </c>
      <c r="L1438" s="10">
        <f t="array" ref="L1438">INDEX('1 orders'!I1438:I2156, MATCH(1, ('1 orders'!A1438:A2156=A1438)*('1 orders'!G1438:G2156=F1438), 0))
</f>
        <v>24</v>
      </c>
      <c r="M1438" s="10">
        <f>IFERROR(__xludf.DUMMYFUNCTION("COUNTUNIQUEIFS($A$2:$A1438,$F$2:$F1438,F1438)"),26.0)</f>
        <v>26</v>
      </c>
      <c r="N1438" s="10">
        <f t="shared" si="1"/>
        <v>28</v>
      </c>
      <c r="O1438" s="26">
        <f>IF(operations[sinceLastOrder]=0,0,operations[orderQuantity] / operations[sinceLastOrder])</f>
        <v>0.8571428571</v>
      </c>
      <c r="P1438" s="9">
        <v>26.52</v>
      </c>
      <c r="Q1438" s="7" t="s">
        <v>15</v>
      </c>
      <c r="R1438" s="10">
        <f>operations[arrivedDate]-operations[shippedDate]</f>
        <v>11</v>
      </c>
    </row>
    <row r="1439" ht="15.75" customHeight="1">
      <c r="A1439" s="6">
        <v>10797.0</v>
      </c>
      <c r="B1439" s="24">
        <v>45285.0</v>
      </c>
      <c r="C1439" s="24">
        <v>45313.0</v>
      </c>
      <c r="D1439" s="24">
        <v>45296.0</v>
      </c>
      <c r="E1439" s="24">
        <v>45302.0</v>
      </c>
      <c r="F1439" s="6">
        <v>11.0</v>
      </c>
      <c r="G1439" s="9" t="str">
        <f>VLOOKUP(operations[productID],products[],2,FALSE)</f>
        <v>Queso Cabrales</v>
      </c>
      <c r="H1439" s="9" t="str">
        <f>IF(VLOOKUP(operations[productID],products[],7,FALSE)=1,"Discontinued","Current")</f>
        <v>Current</v>
      </c>
      <c r="I1439" s="6">
        <f>VLOOKUP(operations[productID],products[],4,FALSE)</f>
        <v>22</v>
      </c>
      <c r="J1439" s="6">
        <f>VLOOKUP(operations[productID],products[],5,FALSE)</f>
        <v>30</v>
      </c>
      <c r="K1439" s="6">
        <f>VLOOKUP(operations[productID],products[],6,FALSE)</f>
        <v>30</v>
      </c>
      <c r="L1439" s="10">
        <f t="array" ref="L1439">INDEX('1 orders'!I1439:I2156, MATCH(1, ('1 orders'!A1439:A2156=A1439)*('1 orders'!G1439:G2156=F1439), 0))
</f>
        <v>20</v>
      </c>
      <c r="M1439" s="10">
        <f>IFERROR(__xludf.DUMMYFUNCTION("COUNTUNIQUEIFS($A$2:$A1439,$F$2:$F1439,F1439)"),25.0)</f>
        <v>25</v>
      </c>
      <c r="N1439" s="10">
        <f t="shared" si="1"/>
        <v>16</v>
      </c>
      <c r="O1439" s="26">
        <f>IF(operations[sinceLastOrder]=0,0,operations[orderQuantity] / operations[sinceLastOrder])</f>
        <v>1.25</v>
      </c>
      <c r="P1439" s="9">
        <v>33.35</v>
      </c>
      <c r="Q1439" s="7" t="s">
        <v>17</v>
      </c>
      <c r="R1439" s="10">
        <f>operations[arrivedDate]-operations[shippedDate]</f>
        <v>6</v>
      </c>
    </row>
    <row r="1440" ht="15.75" customHeight="1">
      <c r="A1440" s="6">
        <v>10798.0</v>
      </c>
      <c r="B1440" s="24">
        <v>45286.0</v>
      </c>
      <c r="C1440" s="24">
        <v>45314.0</v>
      </c>
      <c r="D1440" s="24">
        <v>45296.0</v>
      </c>
      <c r="E1440" s="24">
        <v>45301.0</v>
      </c>
      <c r="F1440" s="6">
        <v>62.0</v>
      </c>
      <c r="G1440" s="9" t="str">
        <f>VLOOKUP(operations[productID],products[],2,FALSE)</f>
        <v>Tarte au sucre</v>
      </c>
      <c r="H1440" s="9" t="str">
        <f>IF(VLOOKUP(operations[productID],products[],7,FALSE)=1,"Discontinued","Current")</f>
        <v>Current</v>
      </c>
      <c r="I1440" s="6">
        <f>VLOOKUP(operations[productID],products[],4,FALSE)</f>
        <v>17</v>
      </c>
      <c r="J1440" s="6">
        <f>VLOOKUP(operations[productID],products[],5,FALSE)</f>
        <v>0</v>
      </c>
      <c r="K1440" s="6">
        <f>VLOOKUP(operations[productID],products[],6,FALSE)</f>
        <v>0</v>
      </c>
      <c r="L1440" s="10">
        <f t="array" ref="L1440">INDEX('1 orders'!I1440:I2156, MATCH(1, ('1 orders'!A1440:A2156=A1440)*('1 orders'!G1440:G2156=F1440), 0))
</f>
        <v>2</v>
      </c>
      <c r="M1440" s="10">
        <f>IFERROR(__xludf.DUMMYFUNCTION("COUNTUNIQUEIFS($A$2:$A1440,$F$2:$F1440,F1440)"),32.0)</f>
        <v>32</v>
      </c>
      <c r="N1440" s="10">
        <f t="shared" si="1"/>
        <v>10</v>
      </c>
      <c r="O1440" s="26">
        <f>IF(operations[sinceLastOrder]=0,0,operations[orderQuantity] / operations[sinceLastOrder])</f>
        <v>0.2</v>
      </c>
      <c r="P1440" s="9">
        <v>2.33</v>
      </c>
      <c r="Q1440" s="7" t="s">
        <v>15</v>
      </c>
      <c r="R1440" s="10">
        <f>operations[arrivedDate]-operations[shippedDate]</f>
        <v>5</v>
      </c>
    </row>
    <row r="1441" ht="15.75" customHeight="1">
      <c r="A1441" s="6">
        <v>10798.0</v>
      </c>
      <c r="B1441" s="24">
        <v>45286.0</v>
      </c>
      <c r="C1441" s="24">
        <v>45314.0</v>
      </c>
      <c r="D1441" s="24">
        <v>45296.0</v>
      </c>
      <c r="E1441" s="24">
        <v>45301.0</v>
      </c>
      <c r="F1441" s="6">
        <v>72.0</v>
      </c>
      <c r="G1441" s="9" t="str">
        <f>VLOOKUP(operations[productID],products[],2,FALSE)</f>
        <v>Mozzarella di Giovanni</v>
      </c>
      <c r="H1441" s="9" t="str">
        <f>IF(VLOOKUP(operations[productID],products[],7,FALSE)=1,"Discontinued","Current")</f>
        <v>Current</v>
      </c>
      <c r="I1441" s="6">
        <f>VLOOKUP(operations[productID],products[],4,FALSE)</f>
        <v>14</v>
      </c>
      <c r="J1441" s="6">
        <f>VLOOKUP(operations[productID],products[],5,FALSE)</f>
        <v>0</v>
      </c>
      <c r="K1441" s="6">
        <f>VLOOKUP(operations[productID],products[],6,FALSE)</f>
        <v>0</v>
      </c>
      <c r="L1441" s="10">
        <f t="array" ref="L1441">INDEX('1 orders'!I1441:I2156, MATCH(1, ('1 orders'!A1441:A2156=A1441)*('1 orders'!G1441:G2156=F1441), 0))
</f>
        <v>10</v>
      </c>
      <c r="M1441" s="10">
        <f>IFERROR(__xludf.DUMMYFUNCTION("COUNTUNIQUEIFS($A$2:$A1441,$F$2:$F1441,F1441)"),29.0)</f>
        <v>29</v>
      </c>
      <c r="N1441" s="10">
        <f t="shared" si="1"/>
        <v>8</v>
      </c>
      <c r="O1441" s="26">
        <f>IF(operations[sinceLastOrder]=0,0,operations[orderQuantity] / operations[sinceLastOrder])</f>
        <v>1.25</v>
      </c>
      <c r="P1441" s="9">
        <v>2.33</v>
      </c>
      <c r="Q1441" s="7" t="s">
        <v>15</v>
      </c>
      <c r="R1441" s="10">
        <f>operations[arrivedDate]-operations[shippedDate]</f>
        <v>5</v>
      </c>
    </row>
    <row r="1442" ht="15.75" customHeight="1">
      <c r="A1442" s="6">
        <v>10799.0</v>
      </c>
      <c r="B1442" s="24">
        <v>45286.0</v>
      </c>
      <c r="C1442" s="24">
        <v>45328.0</v>
      </c>
      <c r="D1442" s="24">
        <v>45296.0</v>
      </c>
      <c r="E1442" s="24">
        <v>45300.0</v>
      </c>
      <c r="F1442" s="6">
        <v>13.0</v>
      </c>
      <c r="G1442" s="9" t="str">
        <f>VLOOKUP(operations[productID],products[],2,FALSE)</f>
        <v>Konbu</v>
      </c>
      <c r="H1442" s="9" t="str">
        <f>IF(VLOOKUP(operations[productID],products[],7,FALSE)=1,"Discontinued","Current")</f>
        <v>Current</v>
      </c>
      <c r="I1442" s="6">
        <f>VLOOKUP(operations[productID],products[],4,FALSE)</f>
        <v>24</v>
      </c>
      <c r="J1442" s="6">
        <f>VLOOKUP(operations[productID],products[],5,FALSE)</f>
        <v>0</v>
      </c>
      <c r="K1442" s="6">
        <f>VLOOKUP(operations[productID],products[],6,FALSE)</f>
        <v>5</v>
      </c>
      <c r="L1442" s="10">
        <f t="array" ref="L1442">INDEX('1 orders'!I1442:I2156, MATCH(1, ('1 orders'!A1442:A2156=A1442)*('1 orders'!G1442:G2156=F1442), 0))
</f>
        <v>20</v>
      </c>
      <c r="M1442" s="10">
        <f>IFERROR(__xludf.DUMMYFUNCTION("COUNTUNIQUEIFS($A$2:$A1442,$F$2:$F1442,F1442)"),17.0)</f>
        <v>17</v>
      </c>
      <c r="N1442" s="10">
        <f t="shared" si="1"/>
        <v>37</v>
      </c>
      <c r="O1442" s="26">
        <f>IF(operations[sinceLastOrder]=0,0,operations[orderQuantity] / operations[sinceLastOrder])</f>
        <v>0.5405405405</v>
      </c>
      <c r="P1442" s="9">
        <v>30.76</v>
      </c>
      <c r="Q1442" s="7" t="s">
        <v>13</v>
      </c>
      <c r="R1442" s="10">
        <f>operations[arrivedDate]-operations[shippedDate]</f>
        <v>4</v>
      </c>
    </row>
    <row r="1443" ht="15.75" customHeight="1">
      <c r="A1443" s="6">
        <v>10799.0</v>
      </c>
      <c r="B1443" s="24">
        <v>45286.0</v>
      </c>
      <c r="C1443" s="24">
        <v>45328.0</v>
      </c>
      <c r="D1443" s="24">
        <v>45296.0</v>
      </c>
      <c r="E1443" s="24">
        <v>45300.0</v>
      </c>
      <c r="F1443" s="6">
        <v>24.0</v>
      </c>
      <c r="G1443" s="9" t="str">
        <f>VLOOKUP(operations[productID],products[],2,FALSE)</f>
        <v>Brigadeiros Maravilhosos da Lilian</v>
      </c>
      <c r="H1443" s="9" t="str">
        <f>IF(VLOOKUP(operations[productID],products[],7,FALSE)=1,"Discontinued","Current")</f>
        <v>Discontinued</v>
      </c>
      <c r="I1443" s="6">
        <f>VLOOKUP(operations[productID],products[],4,FALSE)</f>
        <v>20</v>
      </c>
      <c r="J1443" s="6">
        <f>VLOOKUP(operations[productID],products[],5,FALSE)</f>
        <v>0</v>
      </c>
      <c r="K1443" s="6">
        <f>VLOOKUP(operations[productID],products[],6,FALSE)</f>
        <v>0</v>
      </c>
      <c r="L1443" s="10">
        <f t="array" ref="L1443">INDEX('1 orders'!I1443:I2156, MATCH(1, ('1 orders'!A1443:A2156=A1443)*('1 orders'!G1443:G2156=F1443), 0))
</f>
        <v>20</v>
      </c>
      <c r="M1443" s="10">
        <f>IFERROR(__xludf.DUMMYFUNCTION("COUNTUNIQUEIFS($A$2:$A1443,$F$2:$F1443,F1443)"),30.0)</f>
        <v>30</v>
      </c>
      <c r="N1443" s="10">
        <f t="shared" si="1"/>
        <v>23</v>
      </c>
      <c r="O1443" s="26">
        <f>IF(operations[sinceLastOrder]=0,0,operations[orderQuantity] / operations[sinceLastOrder])</f>
        <v>0.8695652174</v>
      </c>
      <c r="P1443" s="9">
        <v>30.76</v>
      </c>
      <c r="Q1443" s="7" t="s">
        <v>13</v>
      </c>
      <c r="R1443" s="10">
        <f>operations[arrivedDate]-operations[shippedDate]</f>
        <v>4</v>
      </c>
    </row>
    <row r="1444" ht="15.75" customHeight="1">
      <c r="A1444" s="6">
        <v>10799.0</v>
      </c>
      <c r="B1444" s="24">
        <v>45286.0</v>
      </c>
      <c r="C1444" s="24">
        <v>45328.0</v>
      </c>
      <c r="D1444" s="24">
        <v>45296.0</v>
      </c>
      <c r="E1444" s="24">
        <v>45300.0</v>
      </c>
      <c r="F1444" s="6">
        <v>59.0</v>
      </c>
      <c r="G1444" s="9" t="str">
        <f>VLOOKUP(operations[productID],products[],2,FALSE)</f>
        <v>Raclette Courdavault</v>
      </c>
      <c r="H1444" s="9" t="str">
        <f>IF(VLOOKUP(operations[productID],products[],7,FALSE)=1,"Discontinued","Current")</f>
        <v>Current</v>
      </c>
      <c r="I1444" s="6">
        <f>VLOOKUP(operations[productID],products[],4,FALSE)</f>
        <v>79</v>
      </c>
      <c r="J1444" s="6">
        <f>VLOOKUP(operations[productID],products[],5,FALSE)</f>
        <v>0</v>
      </c>
      <c r="K1444" s="6">
        <f>VLOOKUP(operations[productID],products[],6,FALSE)</f>
        <v>0</v>
      </c>
      <c r="L1444" s="10">
        <f t="array" ref="L1444">INDEX('1 orders'!I1444:I2156, MATCH(1, ('1 orders'!A1444:A2156=A1444)*('1 orders'!G1444:G2156=F1444), 0))
</f>
        <v>25</v>
      </c>
      <c r="M1444" s="10">
        <f>IFERROR(__xludf.DUMMYFUNCTION("COUNTUNIQUEIFS($A$2:$A1444,$F$2:$F1444,F1444)"),40.0)</f>
        <v>40</v>
      </c>
      <c r="N1444" s="10">
        <f t="shared" si="1"/>
        <v>16</v>
      </c>
      <c r="O1444" s="26">
        <f>IF(operations[sinceLastOrder]=0,0,operations[orderQuantity] / operations[sinceLastOrder])</f>
        <v>1.5625</v>
      </c>
      <c r="P1444" s="9">
        <v>30.76</v>
      </c>
      <c r="Q1444" s="7" t="s">
        <v>13</v>
      </c>
      <c r="R1444" s="10">
        <f>operations[arrivedDate]-operations[shippedDate]</f>
        <v>4</v>
      </c>
    </row>
    <row r="1445" ht="15.75" customHeight="1">
      <c r="A1445" s="6">
        <v>10800.0</v>
      </c>
      <c r="B1445" s="24">
        <v>45286.0</v>
      </c>
      <c r="C1445" s="24">
        <v>45314.0</v>
      </c>
      <c r="D1445" s="24">
        <v>45296.0</v>
      </c>
      <c r="E1445" s="24">
        <v>45303.0</v>
      </c>
      <c r="F1445" s="6">
        <v>11.0</v>
      </c>
      <c r="G1445" s="9" t="str">
        <f>VLOOKUP(operations[productID],products[],2,FALSE)</f>
        <v>Queso Cabrales</v>
      </c>
      <c r="H1445" s="9" t="str">
        <f>IF(VLOOKUP(operations[productID],products[],7,FALSE)=1,"Discontinued","Current")</f>
        <v>Current</v>
      </c>
      <c r="I1445" s="6">
        <f>VLOOKUP(operations[productID],products[],4,FALSE)</f>
        <v>22</v>
      </c>
      <c r="J1445" s="6">
        <f>VLOOKUP(operations[productID],products[],5,FALSE)</f>
        <v>30</v>
      </c>
      <c r="K1445" s="6">
        <f>VLOOKUP(operations[productID],products[],6,FALSE)</f>
        <v>30</v>
      </c>
      <c r="L1445" s="10">
        <f t="array" ref="L1445">INDEX('1 orders'!I1445:I2156, MATCH(1, ('1 orders'!A1445:A2156=A1445)*('1 orders'!G1445:G2156=F1445), 0))
</f>
        <v>50</v>
      </c>
      <c r="M1445" s="10">
        <f>IFERROR(__xludf.DUMMYFUNCTION("COUNTUNIQUEIFS($A$2:$A1445,$F$2:$F1445,F1445)"),26.0)</f>
        <v>26</v>
      </c>
      <c r="N1445" s="10">
        <f t="shared" si="1"/>
        <v>1</v>
      </c>
      <c r="O1445" s="26">
        <f>IF(operations[sinceLastOrder]=0,0,operations[orderQuantity] / operations[sinceLastOrder])</f>
        <v>50</v>
      </c>
      <c r="P1445" s="9">
        <v>137.44</v>
      </c>
      <c r="Q1445" s="7" t="s">
        <v>13</v>
      </c>
      <c r="R1445" s="10">
        <f>operations[arrivedDate]-operations[shippedDate]</f>
        <v>7</v>
      </c>
    </row>
    <row r="1446" ht="15.75" customHeight="1">
      <c r="A1446" s="6">
        <v>10800.0</v>
      </c>
      <c r="B1446" s="24">
        <v>45286.0</v>
      </c>
      <c r="C1446" s="24">
        <v>45314.0</v>
      </c>
      <c r="D1446" s="24">
        <v>45296.0</v>
      </c>
      <c r="E1446" s="24">
        <v>45303.0</v>
      </c>
      <c r="F1446" s="6">
        <v>51.0</v>
      </c>
      <c r="G1446" s="9" t="str">
        <f>VLOOKUP(operations[productID],products[],2,FALSE)</f>
        <v>Manjimup Dried Apples</v>
      </c>
      <c r="H1446" s="9" t="str">
        <f>IF(VLOOKUP(operations[productID],products[],7,FALSE)=1,"Discontinued","Current")</f>
        <v>Current</v>
      </c>
      <c r="I1446" s="6">
        <f>VLOOKUP(operations[productID],products[],4,FALSE)</f>
        <v>20</v>
      </c>
      <c r="J1446" s="6">
        <f>VLOOKUP(operations[productID],products[],5,FALSE)</f>
        <v>0</v>
      </c>
      <c r="K1446" s="6">
        <f>VLOOKUP(operations[productID],products[],6,FALSE)</f>
        <v>10</v>
      </c>
      <c r="L1446" s="10">
        <f t="array" ref="L1446">INDEX('1 orders'!I1446:I2156, MATCH(1, ('1 orders'!A1446:A2156=A1446)*('1 orders'!G1446:G2156=F1446), 0))
</f>
        <v>10</v>
      </c>
      <c r="M1446" s="10">
        <f>IFERROR(__xludf.DUMMYFUNCTION("COUNTUNIQUEIFS($A$2:$A1446,$F$2:$F1446,F1446)"),24.0)</f>
        <v>24</v>
      </c>
      <c r="N1446" s="10">
        <f t="shared" si="1"/>
        <v>11</v>
      </c>
      <c r="O1446" s="26">
        <f>IF(operations[sinceLastOrder]=0,0,operations[orderQuantity] / operations[sinceLastOrder])</f>
        <v>0.9090909091</v>
      </c>
      <c r="P1446" s="9">
        <v>137.44</v>
      </c>
      <c r="Q1446" s="7" t="s">
        <v>13</v>
      </c>
      <c r="R1446" s="10">
        <f>operations[arrivedDate]-operations[shippedDate]</f>
        <v>7</v>
      </c>
    </row>
    <row r="1447" ht="15.75" customHeight="1">
      <c r="A1447" s="6">
        <v>10800.0</v>
      </c>
      <c r="B1447" s="24">
        <v>45286.0</v>
      </c>
      <c r="C1447" s="24">
        <v>45314.0</v>
      </c>
      <c r="D1447" s="24">
        <v>45296.0</v>
      </c>
      <c r="E1447" s="24">
        <v>45303.0</v>
      </c>
      <c r="F1447" s="6">
        <v>54.0</v>
      </c>
      <c r="G1447" s="9" t="str">
        <f>VLOOKUP(operations[productID],products[],2,FALSE)</f>
        <v>Tourtière</v>
      </c>
      <c r="H1447" s="9" t="str">
        <f>IF(VLOOKUP(operations[productID],products[],7,FALSE)=1,"Discontinued","Current")</f>
        <v>Current</v>
      </c>
      <c r="I1447" s="6">
        <f>VLOOKUP(operations[productID],products[],4,FALSE)</f>
        <v>21</v>
      </c>
      <c r="J1447" s="6">
        <f>VLOOKUP(operations[productID],products[],5,FALSE)</f>
        <v>0</v>
      </c>
      <c r="K1447" s="6">
        <f>VLOOKUP(operations[productID],products[],6,FALSE)</f>
        <v>10</v>
      </c>
      <c r="L1447" s="10">
        <f t="array" ref="L1447">INDEX('1 orders'!I1447:I2156, MATCH(1, ('1 orders'!A1447:A2156=A1447)*('1 orders'!G1447:G2156=F1447), 0))
</f>
        <v>7</v>
      </c>
      <c r="M1447" s="10">
        <f>IFERROR(__xludf.DUMMYFUNCTION("COUNTUNIQUEIFS($A$2:$A1447,$F$2:$F1447,F1447)"),31.0)</f>
        <v>31</v>
      </c>
      <c r="N1447" s="10">
        <f t="shared" si="1"/>
        <v>2</v>
      </c>
      <c r="O1447" s="26">
        <f>IF(operations[sinceLastOrder]=0,0,operations[orderQuantity] / operations[sinceLastOrder])</f>
        <v>3.5</v>
      </c>
      <c r="P1447" s="9">
        <v>137.44</v>
      </c>
      <c r="Q1447" s="7" t="s">
        <v>13</v>
      </c>
      <c r="R1447" s="10">
        <f>operations[arrivedDate]-operations[shippedDate]</f>
        <v>7</v>
      </c>
    </row>
    <row r="1448" ht="15.75" customHeight="1">
      <c r="A1448" s="6">
        <v>10801.0</v>
      </c>
      <c r="B1448" s="24">
        <v>45289.0</v>
      </c>
      <c r="C1448" s="24">
        <v>45317.0</v>
      </c>
      <c r="D1448" s="24">
        <v>45291.0</v>
      </c>
      <c r="E1448" s="24">
        <v>45303.0</v>
      </c>
      <c r="F1448" s="6">
        <v>17.0</v>
      </c>
      <c r="G1448" s="9" t="str">
        <f>VLOOKUP(operations[productID],products[],2,FALSE)</f>
        <v>Alice Mutton</v>
      </c>
      <c r="H1448" s="9" t="str">
        <f>IF(VLOOKUP(operations[productID],products[],7,FALSE)=1,"Discontinued","Current")</f>
        <v>Discontinued</v>
      </c>
      <c r="I1448" s="6">
        <f>VLOOKUP(operations[productID],products[],4,FALSE)</f>
        <v>0</v>
      </c>
      <c r="J1448" s="6">
        <f>VLOOKUP(operations[productID],products[],5,FALSE)</f>
        <v>0</v>
      </c>
      <c r="K1448" s="6">
        <f>VLOOKUP(operations[productID],products[],6,FALSE)</f>
        <v>0</v>
      </c>
      <c r="L1448" s="10">
        <f t="array" ref="L1448">INDEX('1 orders'!I1448:I2156, MATCH(1, ('1 orders'!A1448:A2156=A1448)*('1 orders'!G1448:G2156=F1448), 0))
</f>
        <v>40</v>
      </c>
      <c r="M1448" s="10">
        <f>IFERROR(__xludf.DUMMYFUNCTION("COUNTUNIQUEIFS($A$2:$A1448,$F$2:$F1448,F1448)"),26.0)</f>
        <v>26</v>
      </c>
      <c r="N1448" s="10">
        <f t="shared" si="1"/>
        <v>5</v>
      </c>
      <c r="O1448" s="26">
        <f>IF(operations[sinceLastOrder]=0,0,operations[orderQuantity] / operations[sinceLastOrder])</f>
        <v>8</v>
      </c>
      <c r="P1448" s="9">
        <v>97.09</v>
      </c>
      <c r="Q1448" s="7" t="s">
        <v>17</v>
      </c>
      <c r="R1448" s="10">
        <f>operations[arrivedDate]-operations[shippedDate]</f>
        <v>12</v>
      </c>
    </row>
    <row r="1449" ht="15.75" customHeight="1">
      <c r="A1449" s="6">
        <v>10801.0</v>
      </c>
      <c r="B1449" s="24">
        <v>45289.0</v>
      </c>
      <c r="C1449" s="24">
        <v>45317.0</v>
      </c>
      <c r="D1449" s="24">
        <v>45291.0</v>
      </c>
      <c r="E1449" s="24">
        <v>45303.0</v>
      </c>
      <c r="F1449" s="6">
        <v>29.0</v>
      </c>
      <c r="G1449" s="9" t="str">
        <f>VLOOKUP(operations[productID],products[],2,FALSE)</f>
        <v>Thüringer Rostbratwurst</v>
      </c>
      <c r="H1449" s="9" t="str">
        <f>IF(VLOOKUP(operations[productID],products[],7,FALSE)=1,"Discontinued","Current")</f>
        <v>Discontinued</v>
      </c>
      <c r="I1449" s="6">
        <f>VLOOKUP(operations[productID],products[],4,FALSE)</f>
        <v>0</v>
      </c>
      <c r="J1449" s="6">
        <f>VLOOKUP(operations[productID],products[],5,FALSE)</f>
        <v>0</v>
      </c>
      <c r="K1449" s="6">
        <f>VLOOKUP(operations[productID],products[],6,FALSE)</f>
        <v>0</v>
      </c>
      <c r="L1449" s="10">
        <f t="array" ref="L1449">INDEX('1 orders'!I1449:I2156, MATCH(1, ('1 orders'!A1449:A2156=A1449)*('1 orders'!G1449:G2156=F1449), 0))
</f>
        <v>20</v>
      </c>
      <c r="M1449" s="10">
        <f>IFERROR(__xludf.DUMMYFUNCTION("COUNTUNIQUEIFS($A$2:$A1449,$F$2:$F1449,F1449)"),22.0)</f>
        <v>22</v>
      </c>
      <c r="N1449" s="10">
        <f t="shared" si="1"/>
        <v>6</v>
      </c>
      <c r="O1449" s="26">
        <f>IF(operations[sinceLastOrder]=0,0,operations[orderQuantity] / operations[sinceLastOrder])</f>
        <v>3.333333333</v>
      </c>
      <c r="P1449" s="9">
        <v>97.09</v>
      </c>
      <c r="Q1449" s="7" t="s">
        <v>17</v>
      </c>
      <c r="R1449" s="10">
        <f>operations[arrivedDate]-operations[shippedDate]</f>
        <v>12</v>
      </c>
    </row>
    <row r="1450" ht="15.75" customHeight="1">
      <c r="A1450" s="6">
        <v>10802.0</v>
      </c>
      <c r="B1450" s="24">
        <v>45289.0</v>
      </c>
      <c r="C1450" s="24">
        <v>45317.0</v>
      </c>
      <c r="D1450" s="24">
        <v>45293.0</v>
      </c>
      <c r="E1450" s="24">
        <v>45306.0</v>
      </c>
      <c r="F1450" s="6">
        <v>30.0</v>
      </c>
      <c r="G1450" s="9" t="str">
        <f>VLOOKUP(operations[productID],products[],2,FALSE)</f>
        <v>Nord-Ost Matjeshering</v>
      </c>
      <c r="H1450" s="9" t="str">
        <f>IF(VLOOKUP(operations[productID],products[],7,FALSE)=1,"Discontinued","Current")</f>
        <v>Current</v>
      </c>
      <c r="I1450" s="6">
        <f>VLOOKUP(operations[productID],products[],4,FALSE)</f>
        <v>10</v>
      </c>
      <c r="J1450" s="6">
        <f>VLOOKUP(operations[productID],products[],5,FALSE)</f>
        <v>0</v>
      </c>
      <c r="K1450" s="6">
        <f>VLOOKUP(operations[productID],products[],6,FALSE)</f>
        <v>15</v>
      </c>
      <c r="L1450" s="10">
        <f t="array" ref="L1450">INDEX('1 orders'!I1450:I2156, MATCH(1, ('1 orders'!A1450:A2156=A1450)*('1 orders'!G1450:G2156=F1450), 0))
</f>
        <v>25</v>
      </c>
      <c r="M1450" s="10">
        <f>IFERROR(__xludf.DUMMYFUNCTION("COUNTUNIQUEIFS($A$2:$A1450,$F$2:$F1450,F1450)"),23.0)</f>
        <v>23</v>
      </c>
      <c r="N1450" s="10">
        <f t="shared" si="1"/>
        <v>10</v>
      </c>
      <c r="O1450" s="26">
        <f>IF(operations[sinceLastOrder]=0,0,operations[orderQuantity] / operations[sinceLastOrder])</f>
        <v>2.5</v>
      </c>
      <c r="P1450" s="9">
        <v>257.26</v>
      </c>
      <c r="Q1450" s="7" t="s">
        <v>17</v>
      </c>
      <c r="R1450" s="10">
        <f>operations[arrivedDate]-operations[shippedDate]</f>
        <v>13</v>
      </c>
    </row>
    <row r="1451" ht="15.75" customHeight="1">
      <c r="A1451" s="6">
        <v>10802.0</v>
      </c>
      <c r="B1451" s="24">
        <v>45289.0</v>
      </c>
      <c r="C1451" s="24">
        <v>45317.0</v>
      </c>
      <c r="D1451" s="24">
        <v>45293.0</v>
      </c>
      <c r="E1451" s="24">
        <v>45306.0</v>
      </c>
      <c r="F1451" s="6">
        <v>51.0</v>
      </c>
      <c r="G1451" s="9" t="str">
        <f>VLOOKUP(operations[productID],products[],2,FALSE)</f>
        <v>Manjimup Dried Apples</v>
      </c>
      <c r="H1451" s="9" t="str">
        <f>IF(VLOOKUP(operations[productID],products[],7,FALSE)=1,"Discontinued","Current")</f>
        <v>Current</v>
      </c>
      <c r="I1451" s="6">
        <f>VLOOKUP(operations[productID],products[],4,FALSE)</f>
        <v>20</v>
      </c>
      <c r="J1451" s="6">
        <f>VLOOKUP(operations[productID],products[],5,FALSE)</f>
        <v>0</v>
      </c>
      <c r="K1451" s="6">
        <f>VLOOKUP(operations[productID],products[],6,FALSE)</f>
        <v>10</v>
      </c>
      <c r="L1451" s="10">
        <f t="array" ref="L1451">INDEX('1 orders'!I1451:I2156, MATCH(1, ('1 orders'!A1451:A2156=A1451)*('1 orders'!G1451:G2156=F1451), 0))
</f>
        <v>30</v>
      </c>
      <c r="M1451" s="10">
        <f>IFERROR(__xludf.DUMMYFUNCTION("COUNTUNIQUEIFS($A$2:$A1451,$F$2:$F1451,F1451)"),25.0)</f>
        <v>25</v>
      </c>
      <c r="N1451" s="10">
        <f t="shared" si="1"/>
        <v>3</v>
      </c>
      <c r="O1451" s="26">
        <f>IF(operations[sinceLastOrder]=0,0,operations[orderQuantity] / operations[sinceLastOrder])</f>
        <v>10</v>
      </c>
      <c r="P1451" s="9">
        <v>257.26</v>
      </c>
      <c r="Q1451" s="7" t="s">
        <v>17</v>
      </c>
      <c r="R1451" s="10">
        <f>operations[arrivedDate]-operations[shippedDate]</f>
        <v>13</v>
      </c>
    </row>
    <row r="1452" ht="15.75" customHeight="1">
      <c r="A1452" s="6">
        <v>10802.0</v>
      </c>
      <c r="B1452" s="24">
        <v>45289.0</v>
      </c>
      <c r="C1452" s="24">
        <v>45317.0</v>
      </c>
      <c r="D1452" s="24">
        <v>45293.0</v>
      </c>
      <c r="E1452" s="24">
        <v>45306.0</v>
      </c>
      <c r="F1452" s="6">
        <v>55.0</v>
      </c>
      <c r="G1452" s="9" t="str">
        <f>VLOOKUP(operations[productID],products[],2,FALSE)</f>
        <v>Pâté chinois</v>
      </c>
      <c r="H1452" s="9" t="str">
        <f>IF(VLOOKUP(operations[productID],products[],7,FALSE)=1,"Discontinued","Current")</f>
        <v>Current</v>
      </c>
      <c r="I1452" s="6">
        <f>VLOOKUP(operations[productID],products[],4,FALSE)</f>
        <v>115</v>
      </c>
      <c r="J1452" s="6">
        <f>VLOOKUP(operations[productID],products[],5,FALSE)</f>
        <v>0</v>
      </c>
      <c r="K1452" s="6">
        <f>VLOOKUP(operations[productID],products[],6,FALSE)</f>
        <v>20</v>
      </c>
      <c r="L1452" s="10">
        <f t="array" ref="L1452">INDEX('1 orders'!I1452:I2156, MATCH(1, ('1 orders'!A1452:A2156=A1452)*('1 orders'!G1452:G2156=F1452), 0))
</f>
        <v>60</v>
      </c>
      <c r="M1452" s="10">
        <f>IFERROR(__xludf.DUMMYFUNCTION("COUNTUNIQUEIFS($A$2:$A1452,$F$2:$F1452,F1452)"),22.0)</f>
        <v>22</v>
      </c>
      <c r="N1452" s="10">
        <f t="shared" si="1"/>
        <v>55</v>
      </c>
      <c r="O1452" s="26">
        <f>IF(operations[sinceLastOrder]=0,0,operations[orderQuantity] / operations[sinceLastOrder])</f>
        <v>1.090909091</v>
      </c>
      <c r="P1452" s="9">
        <v>257.26</v>
      </c>
      <c r="Q1452" s="7" t="s">
        <v>17</v>
      </c>
      <c r="R1452" s="10">
        <f>operations[arrivedDate]-operations[shippedDate]</f>
        <v>13</v>
      </c>
    </row>
    <row r="1453" ht="15.75" customHeight="1">
      <c r="A1453" s="6">
        <v>10802.0</v>
      </c>
      <c r="B1453" s="24">
        <v>45289.0</v>
      </c>
      <c r="C1453" s="24">
        <v>45317.0</v>
      </c>
      <c r="D1453" s="24">
        <v>45293.0</v>
      </c>
      <c r="E1453" s="24">
        <v>45306.0</v>
      </c>
      <c r="F1453" s="6">
        <v>62.0</v>
      </c>
      <c r="G1453" s="9" t="str">
        <f>VLOOKUP(operations[productID],products[],2,FALSE)</f>
        <v>Tarte au sucre</v>
      </c>
      <c r="H1453" s="9" t="str">
        <f>IF(VLOOKUP(operations[productID],products[],7,FALSE)=1,"Discontinued","Current")</f>
        <v>Current</v>
      </c>
      <c r="I1453" s="6">
        <f>VLOOKUP(operations[productID],products[],4,FALSE)</f>
        <v>17</v>
      </c>
      <c r="J1453" s="6">
        <f>VLOOKUP(operations[productID],products[],5,FALSE)</f>
        <v>0</v>
      </c>
      <c r="K1453" s="6">
        <f>VLOOKUP(operations[productID],products[],6,FALSE)</f>
        <v>0</v>
      </c>
      <c r="L1453" s="10">
        <f t="array" ref="L1453">INDEX('1 orders'!I1453:I2156, MATCH(1, ('1 orders'!A1453:A2156=A1453)*('1 orders'!G1453:G2156=F1453), 0))
</f>
        <v>5</v>
      </c>
      <c r="M1453" s="10">
        <f>IFERROR(__xludf.DUMMYFUNCTION("COUNTUNIQUEIFS($A$2:$A1453,$F$2:$F1453,F1453)"),33.0)</f>
        <v>33</v>
      </c>
      <c r="N1453" s="10">
        <f t="shared" si="1"/>
        <v>3</v>
      </c>
      <c r="O1453" s="26">
        <f>IF(operations[sinceLastOrder]=0,0,operations[orderQuantity] / operations[sinceLastOrder])</f>
        <v>1.666666667</v>
      </c>
      <c r="P1453" s="9">
        <v>257.26</v>
      </c>
      <c r="Q1453" s="7" t="s">
        <v>17</v>
      </c>
      <c r="R1453" s="10">
        <f>operations[arrivedDate]-operations[shippedDate]</f>
        <v>13</v>
      </c>
    </row>
    <row r="1454" ht="15.75" customHeight="1">
      <c r="A1454" s="6">
        <v>10803.0</v>
      </c>
      <c r="B1454" s="24">
        <v>45290.0</v>
      </c>
      <c r="C1454" s="24">
        <v>45318.0</v>
      </c>
      <c r="D1454" s="24">
        <v>45297.0</v>
      </c>
      <c r="E1454" s="24">
        <v>45313.0</v>
      </c>
      <c r="F1454" s="6">
        <v>19.0</v>
      </c>
      <c r="G1454" s="9" t="str">
        <f>VLOOKUP(operations[productID],products[],2,FALSE)</f>
        <v>Teatime Chocolate Biscuits</v>
      </c>
      <c r="H1454" s="9" t="str">
        <f>IF(VLOOKUP(operations[productID],products[],7,FALSE)=1,"Discontinued","Current")</f>
        <v>Current</v>
      </c>
      <c r="I1454" s="6">
        <f>VLOOKUP(operations[productID],products[],4,FALSE)</f>
        <v>25</v>
      </c>
      <c r="J1454" s="6">
        <f>VLOOKUP(operations[productID],products[],5,FALSE)</f>
        <v>0</v>
      </c>
      <c r="K1454" s="6">
        <f>VLOOKUP(operations[productID],products[],6,FALSE)</f>
        <v>5</v>
      </c>
      <c r="L1454" s="10">
        <f t="array" ref="L1454">INDEX('1 orders'!I1454:I2156, MATCH(1, ('1 orders'!A1454:A2156=A1454)*('1 orders'!G1454:G2156=F1454), 0))
</f>
        <v>24</v>
      </c>
      <c r="M1454" s="10">
        <f>IFERROR(__xludf.DUMMYFUNCTION("COUNTUNIQUEIFS($A$2:$A1454,$F$2:$F1454,F1454)"),26.0)</f>
        <v>26</v>
      </c>
      <c r="N1454" s="10">
        <f t="shared" si="1"/>
        <v>8</v>
      </c>
      <c r="O1454" s="26">
        <f>IF(operations[sinceLastOrder]=0,0,operations[orderQuantity] / operations[sinceLastOrder])</f>
        <v>3</v>
      </c>
      <c r="P1454" s="9">
        <v>55.23</v>
      </c>
      <c r="Q1454" s="7" t="s">
        <v>15</v>
      </c>
      <c r="R1454" s="10">
        <f>operations[arrivedDate]-operations[shippedDate]</f>
        <v>16</v>
      </c>
    </row>
    <row r="1455" ht="15.75" customHeight="1">
      <c r="A1455" s="6">
        <v>10803.0</v>
      </c>
      <c r="B1455" s="24">
        <v>45290.0</v>
      </c>
      <c r="C1455" s="24">
        <v>45318.0</v>
      </c>
      <c r="D1455" s="24">
        <v>45297.0</v>
      </c>
      <c r="E1455" s="24">
        <v>45313.0</v>
      </c>
      <c r="F1455" s="6">
        <v>25.0</v>
      </c>
      <c r="G1455" s="9" t="str">
        <f>VLOOKUP(operations[productID],products[],2,FALSE)</f>
        <v>HM Köstliche Kaiserschmarrn Knödelchen</v>
      </c>
      <c r="H1455" s="9" t="str">
        <f>IF(VLOOKUP(operations[productID],products[],7,FALSE)=1,"Discontinued","Current")</f>
        <v>Current</v>
      </c>
      <c r="I1455" s="6">
        <f>VLOOKUP(operations[productID],products[],4,FALSE)</f>
        <v>76</v>
      </c>
      <c r="J1455" s="6">
        <f>VLOOKUP(operations[productID],products[],5,FALSE)</f>
        <v>0</v>
      </c>
      <c r="K1455" s="6">
        <f>VLOOKUP(operations[productID],products[],6,FALSE)</f>
        <v>30</v>
      </c>
      <c r="L1455" s="10">
        <f t="array" ref="L1455">INDEX('1 orders'!I1455:I2156, MATCH(1, ('1 orders'!A1455:A2156=A1455)*('1 orders'!G1455:G2156=F1455), 0))
</f>
        <v>15</v>
      </c>
      <c r="M1455" s="10">
        <f>IFERROR(__xludf.DUMMYFUNCTION("COUNTUNIQUEIFS($A$2:$A1455,$F$2:$F1455,F1455)"),10.0)</f>
        <v>10</v>
      </c>
      <c r="N1455" s="10">
        <f t="shared" si="1"/>
        <v>28</v>
      </c>
      <c r="O1455" s="26">
        <f>IF(operations[sinceLastOrder]=0,0,operations[orderQuantity] / operations[sinceLastOrder])</f>
        <v>0.5357142857</v>
      </c>
      <c r="P1455" s="9">
        <v>55.23</v>
      </c>
      <c r="Q1455" s="7" t="s">
        <v>15</v>
      </c>
      <c r="R1455" s="10">
        <f>operations[arrivedDate]-operations[shippedDate]</f>
        <v>16</v>
      </c>
    </row>
    <row r="1456" ht="15.75" customHeight="1">
      <c r="A1456" s="6">
        <v>10803.0</v>
      </c>
      <c r="B1456" s="24">
        <v>45290.0</v>
      </c>
      <c r="C1456" s="24">
        <v>45318.0</v>
      </c>
      <c r="D1456" s="24">
        <v>45297.0</v>
      </c>
      <c r="E1456" s="24">
        <v>45313.0</v>
      </c>
      <c r="F1456" s="6">
        <v>59.0</v>
      </c>
      <c r="G1456" s="9" t="str">
        <f>VLOOKUP(operations[productID],products[],2,FALSE)</f>
        <v>Raclette Courdavault</v>
      </c>
      <c r="H1456" s="9" t="str">
        <f>IF(VLOOKUP(operations[productID],products[],7,FALSE)=1,"Discontinued","Current")</f>
        <v>Current</v>
      </c>
      <c r="I1456" s="6">
        <f>VLOOKUP(operations[productID],products[],4,FALSE)</f>
        <v>79</v>
      </c>
      <c r="J1456" s="6">
        <f>VLOOKUP(operations[productID],products[],5,FALSE)</f>
        <v>0</v>
      </c>
      <c r="K1456" s="6">
        <f>VLOOKUP(operations[productID],products[],6,FALSE)</f>
        <v>0</v>
      </c>
      <c r="L1456" s="10">
        <f t="array" ref="L1456">INDEX('1 orders'!I1456:I2156, MATCH(1, ('1 orders'!A1456:A2156=A1456)*('1 orders'!G1456:G2156=F1456), 0))
</f>
        <v>15</v>
      </c>
      <c r="M1456" s="10">
        <f>IFERROR(__xludf.DUMMYFUNCTION("COUNTUNIQUEIFS($A$2:$A1456,$F$2:$F1456,F1456)"),41.0)</f>
        <v>41</v>
      </c>
      <c r="N1456" s="10">
        <f t="shared" si="1"/>
        <v>4</v>
      </c>
      <c r="O1456" s="26">
        <f>IF(operations[sinceLastOrder]=0,0,operations[orderQuantity] / operations[sinceLastOrder])</f>
        <v>3.75</v>
      </c>
      <c r="P1456" s="9">
        <v>55.23</v>
      </c>
      <c r="Q1456" s="7" t="s">
        <v>15</v>
      </c>
      <c r="R1456" s="10">
        <f>operations[arrivedDate]-operations[shippedDate]</f>
        <v>16</v>
      </c>
    </row>
    <row r="1457" ht="15.75" customHeight="1">
      <c r="A1457" s="6">
        <v>10804.0</v>
      </c>
      <c r="B1457" s="24">
        <v>45290.0</v>
      </c>
      <c r="C1457" s="24">
        <v>45318.0</v>
      </c>
      <c r="D1457" s="24">
        <v>45298.0</v>
      </c>
      <c r="E1457" s="24">
        <v>45309.0</v>
      </c>
      <c r="F1457" s="6">
        <v>10.0</v>
      </c>
      <c r="G1457" s="9" t="str">
        <f>VLOOKUP(operations[productID],products[],2,FALSE)</f>
        <v>Ikura</v>
      </c>
      <c r="H1457" s="9" t="str">
        <f>IF(VLOOKUP(operations[productID],products[],7,FALSE)=1,"Discontinued","Current")</f>
        <v>Current</v>
      </c>
      <c r="I1457" s="6">
        <f>VLOOKUP(operations[productID],products[],4,FALSE)</f>
        <v>31</v>
      </c>
      <c r="J1457" s="6">
        <f>VLOOKUP(operations[productID],products[],5,FALSE)</f>
        <v>0</v>
      </c>
      <c r="K1457" s="6">
        <f>VLOOKUP(operations[productID],products[],6,FALSE)</f>
        <v>0</v>
      </c>
      <c r="L1457" s="10">
        <f t="array" ref="L1457">INDEX('1 orders'!I1457:I2156, MATCH(1, ('1 orders'!A1457:A2156=A1457)*('1 orders'!G1457:G2156=F1457), 0))
</f>
        <v>36</v>
      </c>
      <c r="M1457" s="10">
        <f>IFERROR(__xludf.DUMMYFUNCTION("COUNTUNIQUEIFS($A$2:$A1457,$F$2:$F1457,F1457)"),23.0)</f>
        <v>23</v>
      </c>
      <c r="N1457" s="10">
        <f t="shared" si="1"/>
        <v>12</v>
      </c>
      <c r="O1457" s="26">
        <f>IF(operations[sinceLastOrder]=0,0,operations[orderQuantity] / operations[sinceLastOrder])</f>
        <v>3</v>
      </c>
      <c r="P1457" s="9">
        <v>27.33</v>
      </c>
      <c r="Q1457" s="7" t="s">
        <v>17</v>
      </c>
      <c r="R1457" s="10">
        <f>operations[arrivedDate]-operations[shippedDate]</f>
        <v>11</v>
      </c>
    </row>
    <row r="1458" ht="15.75" customHeight="1">
      <c r="A1458" s="6">
        <v>10804.0</v>
      </c>
      <c r="B1458" s="24">
        <v>45290.0</v>
      </c>
      <c r="C1458" s="24">
        <v>45318.0</v>
      </c>
      <c r="D1458" s="24">
        <v>45298.0</v>
      </c>
      <c r="E1458" s="24">
        <v>45309.0</v>
      </c>
      <c r="F1458" s="6">
        <v>28.0</v>
      </c>
      <c r="G1458" s="9" t="str">
        <f>VLOOKUP(operations[productID],products[],2,FALSE)</f>
        <v>Rössle Sauerkraut</v>
      </c>
      <c r="H1458" s="9" t="str">
        <f>IF(VLOOKUP(operations[productID],products[],7,FALSE)=1,"Discontinued","Current")</f>
        <v>Discontinued</v>
      </c>
      <c r="I1458" s="6">
        <f>VLOOKUP(operations[productID],products[],4,FALSE)</f>
        <v>26</v>
      </c>
      <c r="J1458" s="6">
        <f>VLOOKUP(operations[productID],products[],5,FALSE)</f>
        <v>0</v>
      </c>
      <c r="K1458" s="6">
        <f>VLOOKUP(operations[productID],products[],6,FALSE)</f>
        <v>0</v>
      </c>
      <c r="L1458" s="10">
        <f t="array" ref="L1458">INDEX('1 orders'!I1458:I2156, MATCH(1, ('1 orders'!A1458:A2156=A1458)*('1 orders'!G1458:G2156=F1458), 0))
</f>
        <v>24</v>
      </c>
      <c r="M1458" s="10">
        <f>IFERROR(__xludf.DUMMYFUNCTION("COUNTUNIQUEIFS($A$2:$A1458,$F$2:$F1458,F1458)"),25.0)</f>
        <v>25</v>
      </c>
      <c r="N1458" s="10">
        <f t="shared" si="1"/>
        <v>47</v>
      </c>
      <c r="O1458" s="26">
        <f>IF(operations[sinceLastOrder]=0,0,operations[orderQuantity] / operations[sinceLastOrder])</f>
        <v>0.5106382979</v>
      </c>
      <c r="P1458" s="9">
        <v>27.33</v>
      </c>
      <c r="Q1458" s="7" t="s">
        <v>17</v>
      </c>
      <c r="R1458" s="10">
        <f>operations[arrivedDate]-operations[shippedDate]</f>
        <v>11</v>
      </c>
    </row>
    <row r="1459" ht="15.75" customHeight="1">
      <c r="A1459" s="6">
        <v>10804.0</v>
      </c>
      <c r="B1459" s="24">
        <v>45290.0</v>
      </c>
      <c r="C1459" s="24">
        <v>45318.0</v>
      </c>
      <c r="D1459" s="24">
        <v>45298.0</v>
      </c>
      <c r="E1459" s="24">
        <v>45309.0</v>
      </c>
      <c r="F1459" s="6">
        <v>49.0</v>
      </c>
      <c r="G1459" s="9" t="str">
        <f>VLOOKUP(operations[productID],products[],2,FALSE)</f>
        <v>Maxilaku</v>
      </c>
      <c r="H1459" s="9" t="str">
        <f>IF(VLOOKUP(operations[productID],products[],7,FALSE)=1,"Discontinued","Current")</f>
        <v>Current</v>
      </c>
      <c r="I1459" s="6">
        <f>VLOOKUP(operations[productID],products[],4,FALSE)</f>
        <v>10</v>
      </c>
      <c r="J1459" s="6">
        <f>VLOOKUP(operations[productID],products[],5,FALSE)</f>
        <v>60</v>
      </c>
      <c r="K1459" s="6">
        <f>VLOOKUP(operations[productID],products[],6,FALSE)</f>
        <v>15</v>
      </c>
      <c r="L1459" s="10">
        <f t="array" ref="L1459">INDEX('1 orders'!I1459:I2156, MATCH(1, ('1 orders'!A1459:A2156=A1459)*('1 orders'!G1459:G2156=F1459), 0))
</f>
        <v>4</v>
      </c>
      <c r="M1459" s="10">
        <f>IFERROR(__xludf.DUMMYFUNCTION("COUNTUNIQUEIFS($A$2:$A1459,$F$2:$F1459,F1459)"),13.0)</f>
        <v>13</v>
      </c>
      <c r="N1459" s="10">
        <f t="shared" si="1"/>
        <v>155</v>
      </c>
      <c r="O1459" s="26">
        <f>IF(operations[sinceLastOrder]=0,0,operations[orderQuantity] / operations[sinceLastOrder])</f>
        <v>0.02580645161</v>
      </c>
      <c r="P1459" s="9">
        <v>27.33</v>
      </c>
      <c r="Q1459" s="7" t="s">
        <v>17</v>
      </c>
      <c r="R1459" s="10">
        <f>operations[arrivedDate]-operations[shippedDate]</f>
        <v>11</v>
      </c>
    </row>
    <row r="1460" ht="15.75" customHeight="1">
      <c r="A1460" s="6">
        <v>10805.0</v>
      </c>
      <c r="B1460" s="24">
        <v>45290.0</v>
      </c>
      <c r="C1460" s="24">
        <v>45318.0</v>
      </c>
      <c r="D1460" s="24">
        <v>45300.0</v>
      </c>
      <c r="E1460" s="24">
        <v>45317.0</v>
      </c>
      <c r="F1460" s="6">
        <v>34.0</v>
      </c>
      <c r="G1460" s="9" t="str">
        <f>VLOOKUP(operations[productID],products[],2,FALSE)</f>
        <v>Sasquatch Ale</v>
      </c>
      <c r="H1460" s="9" t="str">
        <f>IF(VLOOKUP(operations[productID],products[],7,FALSE)=1,"Discontinued","Current")</f>
        <v>Current</v>
      </c>
      <c r="I1460" s="6">
        <f>VLOOKUP(operations[productID],products[],4,FALSE)</f>
        <v>111</v>
      </c>
      <c r="J1460" s="6">
        <f>VLOOKUP(operations[productID],products[],5,FALSE)</f>
        <v>0</v>
      </c>
      <c r="K1460" s="6">
        <f>VLOOKUP(operations[productID],products[],6,FALSE)</f>
        <v>15</v>
      </c>
      <c r="L1460" s="10">
        <f t="array" ref="L1460">INDEX('1 orders'!I1460:I2156, MATCH(1, ('1 orders'!A1460:A2156=A1460)*('1 orders'!G1460:G2156=F1460), 0))
</f>
        <v>10</v>
      </c>
      <c r="M1460" s="10">
        <f>IFERROR(__xludf.DUMMYFUNCTION("COUNTUNIQUEIFS($A$2:$A1460,$F$2:$F1460,F1460)"),13.0)</f>
        <v>13</v>
      </c>
      <c r="N1460" s="10">
        <f t="shared" si="1"/>
        <v>33</v>
      </c>
      <c r="O1460" s="26">
        <f>IF(operations[sinceLastOrder]=0,0,operations[orderQuantity] / operations[sinceLastOrder])</f>
        <v>0.303030303</v>
      </c>
      <c r="P1460" s="9">
        <v>237.34</v>
      </c>
      <c r="Q1460" s="7" t="s">
        <v>13</v>
      </c>
      <c r="R1460" s="10">
        <f>operations[arrivedDate]-operations[shippedDate]</f>
        <v>17</v>
      </c>
    </row>
    <row r="1461" ht="15.75" customHeight="1">
      <c r="A1461" s="6">
        <v>10805.0</v>
      </c>
      <c r="B1461" s="24">
        <v>45290.0</v>
      </c>
      <c r="C1461" s="24">
        <v>45318.0</v>
      </c>
      <c r="D1461" s="24">
        <v>45300.0</v>
      </c>
      <c r="E1461" s="24">
        <v>45317.0</v>
      </c>
      <c r="F1461" s="6">
        <v>38.0</v>
      </c>
      <c r="G1461" s="9" t="str">
        <f>VLOOKUP(operations[productID],products[],2,FALSE)</f>
        <v>Côte de Blaye</v>
      </c>
      <c r="H1461" s="9" t="str">
        <f>IF(VLOOKUP(operations[productID],products[],7,FALSE)=1,"Discontinued","Current")</f>
        <v>Current</v>
      </c>
      <c r="I1461" s="6">
        <f>VLOOKUP(operations[productID],products[],4,FALSE)</f>
        <v>17</v>
      </c>
      <c r="J1461" s="6">
        <f>VLOOKUP(operations[productID],products[],5,FALSE)</f>
        <v>0</v>
      </c>
      <c r="K1461" s="6">
        <f>VLOOKUP(operations[productID],products[],6,FALSE)</f>
        <v>15</v>
      </c>
      <c r="L1461" s="10">
        <f t="array" ref="L1461">INDEX('1 orders'!I1461:I2156, MATCH(1, ('1 orders'!A1461:A2156=A1461)*('1 orders'!G1461:G2156=F1461), 0))
</f>
        <v>10</v>
      </c>
      <c r="M1461" s="10">
        <f>IFERROR(__xludf.DUMMYFUNCTION("COUNTUNIQUEIFS($A$2:$A1461,$F$2:$F1461,F1461)"),15.0)</f>
        <v>15</v>
      </c>
      <c r="N1461" s="10">
        <f t="shared" si="1"/>
        <v>12</v>
      </c>
      <c r="O1461" s="26">
        <f>IF(operations[sinceLastOrder]=0,0,operations[orderQuantity] / operations[sinceLastOrder])</f>
        <v>0.8333333333</v>
      </c>
      <c r="P1461" s="9">
        <v>237.34</v>
      </c>
      <c r="Q1461" s="7" t="s">
        <v>13</v>
      </c>
      <c r="R1461" s="10">
        <f>operations[arrivedDate]-operations[shippedDate]</f>
        <v>17</v>
      </c>
    </row>
    <row r="1462" ht="15.75" customHeight="1">
      <c r="A1462" s="6">
        <v>10806.0</v>
      </c>
      <c r="B1462" s="24">
        <v>45291.0</v>
      </c>
      <c r="C1462" s="24">
        <v>45319.0</v>
      </c>
      <c r="D1462" s="24">
        <v>45296.0</v>
      </c>
      <c r="E1462" s="24">
        <v>45305.0</v>
      </c>
      <c r="F1462" s="6">
        <v>2.0</v>
      </c>
      <c r="G1462" s="9" t="str">
        <f>VLOOKUP(operations[productID],products[],2,FALSE)</f>
        <v>Chang</v>
      </c>
      <c r="H1462" s="9" t="str">
        <f>IF(VLOOKUP(operations[productID],products[],7,FALSE)=1,"Discontinued","Current")</f>
        <v>Current</v>
      </c>
      <c r="I1462" s="6">
        <f>VLOOKUP(operations[productID],products[],4,FALSE)</f>
        <v>17</v>
      </c>
      <c r="J1462" s="6">
        <f>VLOOKUP(operations[productID],products[],5,FALSE)</f>
        <v>40</v>
      </c>
      <c r="K1462" s="6">
        <f>VLOOKUP(operations[productID],products[],6,FALSE)</f>
        <v>25</v>
      </c>
      <c r="L1462" s="10">
        <f t="array" ref="L1462">INDEX('1 orders'!I1462:I2156, MATCH(1, ('1 orders'!A1462:A2156=A1462)*('1 orders'!G1462:G2156=F1462), 0))
</f>
        <v>20</v>
      </c>
      <c r="M1462" s="10">
        <f>IFERROR(__xludf.DUMMYFUNCTION("COUNTUNIQUEIFS($A$2:$A1462,$F$2:$F1462,F1462)"),26.0)</f>
        <v>26</v>
      </c>
      <c r="N1462" s="10">
        <f t="shared" si="1"/>
        <v>8</v>
      </c>
      <c r="O1462" s="26">
        <f>IF(operations[sinceLastOrder]=0,0,operations[orderQuantity] / operations[sinceLastOrder])</f>
        <v>2.5</v>
      </c>
      <c r="P1462" s="9">
        <v>22.11</v>
      </c>
      <c r="Q1462" s="7" t="s">
        <v>17</v>
      </c>
      <c r="R1462" s="10">
        <f>operations[arrivedDate]-operations[shippedDate]</f>
        <v>9</v>
      </c>
    </row>
    <row r="1463" ht="15.75" customHeight="1">
      <c r="A1463" s="6">
        <v>10806.0</v>
      </c>
      <c r="B1463" s="24">
        <v>45291.0</v>
      </c>
      <c r="C1463" s="24">
        <v>45319.0</v>
      </c>
      <c r="D1463" s="24">
        <v>45296.0</v>
      </c>
      <c r="E1463" s="24">
        <v>45305.0</v>
      </c>
      <c r="F1463" s="6">
        <v>65.0</v>
      </c>
      <c r="G1463" s="9" t="str">
        <f>VLOOKUP(operations[productID],products[],2,FALSE)</f>
        <v>Louisiana Fiery Hot Pepper Sauce</v>
      </c>
      <c r="H1463" s="9" t="str">
        <f>IF(VLOOKUP(operations[productID],products[],7,FALSE)=1,"Discontinued","Current")</f>
        <v>Current</v>
      </c>
      <c r="I1463" s="6">
        <f>VLOOKUP(operations[productID],products[],4,FALSE)</f>
        <v>76</v>
      </c>
      <c r="J1463" s="6">
        <f>VLOOKUP(operations[productID],products[],5,FALSE)</f>
        <v>0</v>
      </c>
      <c r="K1463" s="6">
        <f>VLOOKUP(operations[productID],products[],6,FALSE)</f>
        <v>0</v>
      </c>
      <c r="L1463" s="10">
        <f t="array" ref="L1463">INDEX('1 orders'!I1463:I2156, MATCH(1, ('1 orders'!A1463:A2156=A1463)*('1 orders'!G1463:G2156=F1463), 0))
</f>
        <v>2</v>
      </c>
      <c r="M1463" s="10">
        <f>IFERROR(__xludf.DUMMYFUNCTION("COUNTUNIQUEIFS($A$2:$A1463,$F$2:$F1463,F1463)"),26.0)</f>
        <v>26</v>
      </c>
      <c r="N1463" s="10">
        <f t="shared" si="1"/>
        <v>27</v>
      </c>
      <c r="O1463" s="26">
        <f>IF(operations[sinceLastOrder]=0,0,operations[orderQuantity] / operations[sinceLastOrder])</f>
        <v>0.07407407407</v>
      </c>
      <c r="P1463" s="9">
        <v>22.11</v>
      </c>
      <c r="Q1463" s="7" t="s">
        <v>17</v>
      </c>
      <c r="R1463" s="10">
        <f>operations[arrivedDate]-operations[shippedDate]</f>
        <v>9</v>
      </c>
    </row>
    <row r="1464" ht="15.75" customHeight="1">
      <c r="A1464" s="6">
        <v>10806.0</v>
      </c>
      <c r="B1464" s="24">
        <v>45291.0</v>
      </c>
      <c r="C1464" s="24">
        <v>45319.0</v>
      </c>
      <c r="D1464" s="24">
        <v>45296.0</v>
      </c>
      <c r="E1464" s="24">
        <v>45305.0</v>
      </c>
      <c r="F1464" s="6">
        <v>74.0</v>
      </c>
      <c r="G1464" s="9" t="str">
        <f>VLOOKUP(operations[productID],products[],2,FALSE)</f>
        <v>Longlife Tofu</v>
      </c>
      <c r="H1464" s="9" t="str">
        <f>IF(VLOOKUP(operations[productID],products[],7,FALSE)=1,"Discontinued","Current")</f>
        <v>Current</v>
      </c>
      <c r="I1464" s="6">
        <f>VLOOKUP(operations[productID],products[],4,FALSE)</f>
        <v>4</v>
      </c>
      <c r="J1464" s="6">
        <f>VLOOKUP(operations[productID],products[],5,FALSE)</f>
        <v>20</v>
      </c>
      <c r="K1464" s="6">
        <f>VLOOKUP(operations[productID],products[],6,FALSE)</f>
        <v>5</v>
      </c>
      <c r="L1464" s="10">
        <f t="array" ref="L1464">INDEX('1 orders'!I1464:I2156, MATCH(1, ('1 orders'!A1464:A2156=A1464)*('1 orders'!G1464:G2156=F1464), 0))
</f>
        <v>15</v>
      </c>
      <c r="M1464" s="10">
        <f>IFERROR(__xludf.DUMMYFUNCTION("COUNTUNIQUEIFS($A$2:$A1464,$F$2:$F1464,F1464)"),11.0)</f>
        <v>11</v>
      </c>
      <c r="N1464" s="10">
        <f t="shared" si="1"/>
        <v>14</v>
      </c>
      <c r="O1464" s="26">
        <f>IF(operations[sinceLastOrder]=0,0,operations[orderQuantity] / operations[sinceLastOrder])</f>
        <v>1.071428571</v>
      </c>
      <c r="P1464" s="9">
        <v>22.11</v>
      </c>
      <c r="Q1464" s="7" t="s">
        <v>17</v>
      </c>
      <c r="R1464" s="10">
        <f>operations[arrivedDate]-operations[shippedDate]</f>
        <v>9</v>
      </c>
    </row>
    <row r="1465" ht="15.75" customHeight="1">
      <c r="A1465" s="6">
        <v>10807.0</v>
      </c>
      <c r="B1465" s="24">
        <v>45291.0</v>
      </c>
      <c r="C1465" s="24">
        <v>45319.0</v>
      </c>
      <c r="D1465" s="24">
        <v>45321.0</v>
      </c>
      <c r="E1465" s="24">
        <v>45326.0</v>
      </c>
      <c r="F1465" s="6">
        <v>40.0</v>
      </c>
      <c r="G1465" s="9" t="str">
        <f>VLOOKUP(operations[productID],products[],2,FALSE)</f>
        <v>Boston Crab Meat</v>
      </c>
      <c r="H1465" s="9" t="str">
        <f>IF(VLOOKUP(operations[productID],products[],7,FALSE)=1,"Discontinued","Current")</f>
        <v>Current</v>
      </c>
      <c r="I1465" s="6">
        <f>VLOOKUP(operations[productID],products[],4,FALSE)</f>
        <v>123</v>
      </c>
      <c r="J1465" s="6">
        <f>VLOOKUP(operations[productID],products[],5,FALSE)</f>
        <v>0</v>
      </c>
      <c r="K1465" s="6">
        <f>VLOOKUP(operations[productID],products[],6,FALSE)</f>
        <v>30</v>
      </c>
      <c r="L1465" s="10">
        <f t="array" ref="L1465">INDEX('1 orders'!I1465:I2156, MATCH(1, ('1 orders'!A1465:A2156=A1465)*('1 orders'!G1465:G2156=F1465), 0))
</f>
        <v>1</v>
      </c>
      <c r="M1465" s="10">
        <f>IFERROR(__xludf.DUMMYFUNCTION("COUNTUNIQUEIFS($A$2:$A1465,$F$2:$F1465,F1465)"),31.0)</f>
        <v>31</v>
      </c>
      <c r="N1465" s="10">
        <f t="shared" si="1"/>
        <v>36</v>
      </c>
      <c r="O1465" s="26">
        <f>IF(operations[sinceLastOrder]=0,0,operations[orderQuantity] / operations[sinceLastOrder])</f>
        <v>0.02777777778</v>
      </c>
      <c r="P1465" s="9">
        <v>1.36</v>
      </c>
      <c r="Q1465" s="7" t="s">
        <v>15</v>
      </c>
      <c r="R1465" s="10">
        <f>operations[arrivedDate]-operations[shippedDate]</f>
        <v>5</v>
      </c>
    </row>
    <row r="1466" ht="15.75" customHeight="1">
      <c r="A1466" s="6">
        <v>10808.0</v>
      </c>
      <c r="B1466" s="24">
        <v>45292.0</v>
      </c>
      <c r="C1466" s="24">
        <v>45320.0</v>
      </c>
      <c r="D1466" s="24">
        <v>45300.0</v>
      </c>
      <c r="E1466" s="24">
        <v>45314.0</v>
      </c>
      <c r="F1466" s="6">
        <v>56.0</v>
      </c>
      <c r="G1466" s="9" t="str">
        <f>VLOOKUP(operations[productID],products[],2,FALSE)</f>
        <v>Gnocchi di nonna Alice</v>
      </c>
      <c r="H1466" s="9" t="str">
        <f>IF(VLOOKUP(operations[productID],products[],7,FALSE)=1,"Discontinued","Current")</f>
        <v>Current</v>
      </c>
      <c r="I1466" s="6">
        <f>VLOOKUP(operations[productID],products[],4,FALSE)</f>
        <v>21</v>
      </c>
      <c r="J1466" s="6">
        <f>VLOOKUP(operations[productID],products[],5,FALSE)</f>
        <v>10</v>
      </c>
      <c r="K1466" s="6">
        <f>VLOOKUP(operations[productID],products[],6,FALSE)</f>
        <v>30</v>
      </c>
      <c r="L1466" s="10">
        <f t="array" ref="L1466">INDEX('1 orders'!I1466:I2156, MATCH(1, ('1 orders'!A1466:A2156=A1466)*('1 orders'!G1466:G2156=F1466), 0))
</f>
        <v>20</v>
      </c>
      <c r="M1466" s="10">
        <f>IFERROR(__xludf.DUMMYFUNCTION("COUNTUNIQUEIFS($A$2:$A1466,$F$2:$F1466,F1466)"),41.0)</f>
        <v>41</v>
      </c>
      <c r="N1466" s="10">
        <f t="shared" si="1"/>
        <v>10</v>
      </c>
      <c r="O1466" s="26">
        <f>IF(operations[sinceLastOrder]=0,0,operations[orderQuantity] / operations[sinceLastOrder])</f>
        <v>2</v>
      </c>
      <c r="P1466" s="9">
        <v>45.53</v>
      </c>
      <c r="Q1466" s="7" t="s">
        <v>13</v>
      </c>
      <c r="R1466" s="10">
        <f>operations[arrivedDate]-operations[shippedDate]</f>
        <v>14</v>
      </c>
    </row>
    <row r="1467" ht="15.75" customHeight="1">
      <c r="A1467" s="6">
        <v>10808.0</v>
      </c>
      <c r="B1467" s="24">
        <v>45292.0</v>
      </c>
      <c r="C1467" s="24">
        <v>45320.0</v>
      </c>
      <c r="D1467" s="24">
        <v>45300.0</v>
      </c>
      <c r="E1467" s="24">
        <v>45314.0</v>
      </c>
      <c r="F1467" s="6">
        <v>76.0</v>
      </c>
      <c r="G1467" s="9" t="str">
        <f>VLOOKUP(operations[productID],products[],2,FALSE)</f>
        <v>Lakkalikööri</v>
      </c>
      <c r="H1467" s="9" t="str">
        <f>IF(VLOOKUP(operations[productID],products[],7,FALSE)=1,"Discontinued","Current")</f>
        <v>Current</v>
      </c>
      <c r="I1467" s="6">
        <f>VLOOKUP(operations[productID],products[],4,FALSE)</f>
        <v>57</v>
      </c>
      <c r="J1467" s="6">
        <f>VLOOKUP(operations[productID],products[],5,FALSE)</f>
        <v>0</v>
      </c>
      <c r="K1467" s="6">
        <f>VLOOKUP(operations[productID],products[],6,FALSE)</f>
        <v>20</v>
      </c>
      <c r="L1467" s="10">
        <f t="array" ref="L1467">INDEX('1 orders'!I1467:I2156, MATCH(1, ('1 orders'!A1467:A2156=A1467)*('1 orders'!G1467:G2156=F1467), 0))
</f>
        <v>50</v>
      </c>
      <c r="M1467" s="10">
        <f>IFERROR(__xludf.DUMMYFUNCTION("COUNTUNIQUEIFS($A$2:$A1467,$F$2:$F1467,F1467)"),27.0)</f>
        <v>27</v>
      </c>
      <c r="N1467" s="10">
        <f t="shared" si="1"/>
        <v>42</v>
      </c>
      <c r="O1467" s="26">
        <f>IF(operations[sinceLastOrder]=0,0,operations[orderQuantity] / operations[sinceLastOrder])</f>
        <v>1.19047619</v>
      </c>
      <c r="P1467" s="9">
        <v>45.53</v>
      </c>
      <c r="Q1467" s="7" t="s">
        <v>13</v>
      </c>
      <c r="R1467" s="10">
        <f>operations[arrivedDate]-operations[shippedDate]</f>
        <v>14</v>
      </c>
    </row>
    <row r="1468" ht="15.75" customHeight="1">
      <c r="A1468" s="6">
        <v>10809.0</v>
      </c>
      <c r="B1468" s="24">
        <v>45292.0</v>
      </c>
      <c r="C1468" s="24">
        <v>45320.0</v>
      </c>
      <c r="D1468" s="24">
        <v>45298.0</v>
      </c>
      <c r="E1468" s="24">
        <v>45311.0</v>
      </c>
      <c r="F1468" s="6">
        <v>52.0</v>
      </c>
      <c r="G1468" s="9" t="str">
        <f>VLOOKUP(operations[productID],products[],2,FALSE)</f>
        <v>Filo Mix</v>
      </c>
      <c r="H1468" s="9" t="str">
        <f>IF(VLOOKUP(operations[productID],products[],7,FALSE)=1,"Discontinued","Current")</f>
        <v>Current</v>
      </c>
      <c r="I1468" s="6">
        <f>VLOOKUP(operations[productID],products[],4,FALSE)</f>
        <v>38</v>
      </c>
      <c r="J1468" s="6">
        <f>VLOOKUP(operations[productID],products[],5,FALSE)</f>
        <v>0</v>
      </c>
      <c r="K1468" s="6">
        <f>VLOOKUP(operations[productID],products[],6,FALSE)</f>
        <v>25</v>
      </c>
      <c r="L1468" s="10">
        <f t="array" ref="L1468">INDEX('1 orders'!I1468:I2156, MATCH(1, ('1 orders'!A1468:A2156=A1468)*('1 orders'!G1468:G2156=F1468), 0))
</f>
        <v>20</v>
      </c>
      <c r="M1468" s="10">
        <f>IFERROR(__xludf.DUMMYFUNCTION("COUNTUNIQUEIFS($A$2:$A1468,$F$2:$F1468,F1468)"),19.0)</f>
        <v>19</v>
      </c>
      <c r="N1468" s="10">
        <f t="shared" si="1"/>
        <v>8</v>
      </c>
      <c r="O1468" s="26">
        <f>IF(operations[sinceLastOrder]=0,0,operations[orderQuantity] / operations[sinceLastOrder])</f>
        <v>2.5</v>
      </c>
      <c r="P1468" s="9">
        <v>4.87</v>
      </c>
      <c r="Q1468" s="7" t="s">
        <v>15</v>
      </c>
      <c r="R1468" s="10">
        <f>operations[arrivedDate]-operations[shippedDate]</f>
        <v>13</v>
      </c>
    </row>
    <row r="1469" ht="15.75" customHeight="1">
      <c r="A1469" s="6">
        <v>10810.0</v>
      </c>
      <c r="B1469" s="24">
        <v>45292.0</v>
      </c>
      <c r="C1469" s="24">
        <v>45320.0</v>
      </c>
      <c r="D1469" s="24">
        <v>45298.0</v>
      </c>
      <c r="E1469" s="24">
        <v>45312.0</v>
      </c>
      <c r="F1469" s="6">
        <v>13.0</v>
      </c>
      <c r="G1469" s="9" t="str">
        <f>VLOOKUP(operations[productID],products[],2,FALSE)</f>
        <v>Konbu</v>
      </c>
      <c r="H1469" s="9" t="str">
        <f>IF(VLOOKUP(operations[productID],products[],7,FALSE)=1,"Discontinued","Current")</f>
        <v>Current</v>
      </c>
      <c r="I1469" s="6">
        <f>VLOOKUP(operations[productID],products[],4,FALSE)</f>
        <v>24</v>
      </c>
      <c r="J1469" s="6">
        <f>VLOOKUP(operations[productID],products[],5,FALSE)</f>
        <v>0</v>
      </c>
      <c r="K1469" s="6">
        <f>VLOOKUP(operations[productID],products[],6,FALSE)</f>
        <v>5</v>
      </c>
      <c r="L1469" s="10">
        <f t="array" ref="L1469">INDEX('1 orders'!I1469:I2156, MATCH(1, ('1 orders'!A1469:A2156=A1469)*('1 orders'!G1469:G2156=F1469), 0))
</f>
        <v>7</v>
      </c>
      <c r="M1469" s="10">
        <f>IFERROR(__xludf.DUMMYFUNCTION("COUNTUNIQUEIFS($A$2:$A1469,$F$2:$F1469,F1469)"),18.0)</f>
        <v>18</v>
      </c>
      <c r="N1469" s="10">
        <f t="shared" si="1"/>
        <v>6</v>
      </c>
      <c r="O1469" s="26">
        <f>IF(operations[sinceLastOrder]=0,0,operations[orderQuantity] / operations[sinceLastOrder])</f>
        <v>1.166666667</v>
      </c>
      <c r="P1469" s="9">
        <v>4.33</v>
      </c>
      <c r="Q1469" s="7" t="s">
        <v>13</v>
      </c>
      <c r="R1469" s="10">
        <f>operations[arrivedDate]-operations[shippedDate]</f>
        <v>14</v>
      </c>
    </row>
    <row r="1470" ht="15.75" customHeight="1">
      <c r="A1470" s="6">
        <v>10810.0</v>
      </c>
      <c r="B1470" s="24">
        <v>45292.0</v>
      </c>
      <c r="C1470" s="24">
        <v>45320.0</v>
      </c>
      <c r="D1470" s="24">
        <v>45298.0</v>
      </c>
      <c r="E1470" s="24">
        <v>45312.0</v>
      </c>
      <c r="F1470" s="6">
        <v>25.0</v>
      </c>
      <c r="G1470" s="9" t="str">
        <f>VLOOKUP(operations[productID],products[],2,FALSE)</f>
        <v>HM Köstliche Kaiserschmarrn Knödelchen</v>
      </c>
      <c r="H1470" s="9" t="str">
        <f>IF(VLOOKUP(operations[productID],products[],7,FALSE)=1,"Discontinued","Current")</f>
        <v>Current</v>
      </c>
      <c r="I1470" s="6">
        <f>VLOOKUP(operations[productID],products[],4,FALSE)</f>
        <v>76</v>
      </c>
      <c r="J1470" s="6">
        <f>VLOOKUP(operations[productID],products[],5,FALSE)</f>
        <v>0</v>
      </c>
      <c r="K1470" s="6">
        <f>VLOOKUP(operations[productID],products[],6,FALSE)</f>
        <v>30</v>
      </c>
      <c r="L1470" s="10">
        <f t="array" ref="L1470">INDEX('1 orders'!I1470:I2156, MATCH(1, ('1 orders'!A1470:A2156=A1470)*('1 orders'!G1470:G2156=F1470), 0))
</f>
        <v>5</v>
      </c>
      <c r="M1470" s="10">
        <f>IFERROR(__xludf.DUMMYFUNCTION("COUNTUNIQUEIFS($A$2:$A1470,$F$2:$F1470,F1470)"),11.0)</f>
        <v>11</v>
      </c>
      <c r="N1470" s="10">
        <f t="shared" si="1"/>
        <v>2</v>
      </c>
      <c r="O1470" s="26">
        <f>IF(operations[sinceLastOrder]=0,0,operations[orderQuantity] / operations[sinceLastOrder])</f>
        <v>2.5</v>
      </c>
      <c r="P1470" s="9">
        <v>4.33</v>
      </c>
      <c r="Q1470" s="7" t="s">
        <v>13</v>
      </c>
      <c r="R1470" s="10">
        <f>operations[arrivedDate]-operations[shippedDate]</f>
        <v>14</v>
      </c>
    </row>
    <row r="1471" ht="15.75" customHeight="1">
      <c r="A1471" s="6">
        <v>10810.0</v>
      </c>
      <c r="B1471" s="24">
        <v>45292.0</v>
      </c>
      <c r="C1471" s="24">
        <v>45320.0</v>
      </c>
      <c r="D1471" s="24">
        <v>45298.0</v>
      </c>
      <c r="E1471" s="24">
        <v>45312.0</v>
      </c>
      <c r="F1471" s="6">
        <v>70.0</v>
      </c>
      <c r="G1471" s="9" t="str">
        <f>VLOOKUP(operations[productID],products[],2,FALSE)</f>
        <v>Outback Lager</v>
      </c>
      <c r="H1471" s="9" t="str">
        <f>IF(VLOOKUP(operations[productID],products[],7,FALSE)=1,"Discontinued","Current")</f>
        <v>Current</v>
      </c>
      <c r="I1471" s="6">
        <f>VLOOKUP(operations[productID],products[],4,FALSE)</f>
        <v>15</v>
      </c>
      <c r="J1471" s="6">
        <f>VLOOKUP(operations[productID],products[],5,FALSE)</f>
        <v>10</v>
      </c>
      <c r="K1471" s="6">
        <f>VLOOKUP(operations[productID],products[],6,FALSE)</f>
        <v>30</v>
      </c>
      <c r="L1471" s="10">
        <f t="array" ref="L1471">INDEX('1 orders'!I1471:I2156, MATCH(1, ('1 orders'!A1471:A2156=A1471)*('1 orders'!G1471:G2156=F1471), 0))
</f>
        <v>5</v>
      </c>
      <c r="M1471" s="10">
        <f>IFERROR(__xludf.DUMMYFUNCTION("COUNTUNIQUEIFS($A$2:$A1471,$F$2:$F1471,F1471)"),25.0)</f>
        <v>25</v>
      </c>
      <c r="N1471" s="10">
        <f t="shared" si="1"/>
        <v>16</v>
      </c>
      <c r="O1471" s="26">
        <f>IF(operations[sinceLastOrder]=0,0,operations[orderQuantity] / operations[sinceLastOrder])</f>
        <v>0.3125</v>
      </c>
      <c r="P1471" s="9">
        <v>4.33</v>
      </c>
      <c r="Q1471" s="7" t="s">
        <v>13</v>
      </c>
      <c r="R1471" s="10">
        <f>operations[arrivedDate]-operations[shippedDate]</f>
        <v>14</v>
      </c>
    </row>
    <row r="1472" ht="15.75" customHeight="1">
      <c r="A1472" s="6">
        <v>10811.0</v>
      </c>
      <c r="B1472" s="24">
        <v>45293.0</v>
      </c>
      <c r="C1472" s="24">
        <v>45321.0</v>
      </c>
      <c r="D1472" s="24">
        <v>45299.0</v>
      </c>
      <c r="E1472" s="24">
        <v>45310.0</v>
      </c>
      <c r="F1472" s="6">
        <v>19.0</v>
      </c>
      <c r="G1472" s="9" t="str">
        <f>VLOOKUP(operations[productID],products[],2,FALSE)</f>
        <v>Teatime Chocolate Biscuits</v>
      </c>
      <c r="H1472" s="9" t="str">
        <f>IF(VLOOKUP(operations[productID],products[],7,FALSE)=1,"Discontinued","Current")</f>
        <v>Current</v>
      </c>
      <c r="I1472" s="6">
        <f>VLOOKUP(operations[productID],products[],4,FALSE)</f>
        <v>25</v>
      </c>
      <c r="J1472" s="6">
        <f>VLOOKUP(operations[productID],products[],5,FALSE)</f>
        <v>0</v>
      </c>
      <c r="K1472" s="6">
        <f>VLOOKUP(operations[productID],products[],6,FALSE)</f>
        <v>5</v>
      </c>
      <c r="L1472" s="10">
        <f t="array" ref="L1472">INDEX('1 orders'!I1472:I2156, MATCH(1, ('1 orders'!A1472:A2156=A1472)*('1 orders'!G1472:G2156=F1472), 0))
</f>
        <v>15</v>
      </c>
      <c r="M1472" s="10">
        <f>IFERROR(__xludf.DUMMYFUNCTION("COUNTUNIQUEIFS($A$2:$A1472,$F$2:$F1472,F1472)"),27.0)</f>
        <v>27</v>
      </c>
      <c r="N1472" s="10">
        <f t="shared" si="1"/>
        <v>3</v>
      </c>
      <c r="O1472" s="26">
        <f>IF(operations[sinceLastOrder]=0,0,operations[orderQuantity] / operations[sinceLastOrder])</f>
        <v>5</v>
      </c>
      <c r="P1472" s="9">
        <v>31.22</v>
      </c>
      <c r="Q1472" s="7" t="s">
        <v>15</v>
      </c>
      <c r="R1472" s="10">
        <f>operations[arrivedDate]-operations[shippedDate]</f>
        <v>11</v>
      </c>
    </row>
    <row r="1473" ht="15.75" customHeight="1">
      <c r="A1473" s="6">
        <v>10811.0</v>
      </c>
      <c r="B1473" s="24">
        <v>45293.0</v>
      </c>
      <c r="C1473" s="24">
        <v>45321.0</v>
      </c>
      <c r="D1473" s="24">
        <v>45299.0</v>
      </c>
      <c r="E1473" s="24">
        <v>45310.0</v>
      </c>
      <c r="F1473" s="6">
        <v>23.0</v>
      </c>
      <c r="G1473" s="9" t="str">
        <f>VLOOKUP(operations[productID],products[],2,FALSE)</f>
        <v>Tunnbröd</v>
      </c>
      <c r="H1473" s="9" t="str">
        <f>IF(VLOOKUP(operations[productID],products[],7,FALSE)=1,"Discontinued","Current")</f>
        <v>Current</v>
      </c>
      <c r="I1473" s="6">
        <f>VLOOKUP(operations[productID],products[],4,FALSE)</f>
        <v>61</v>
      </c>
      <c r="J1473" s="6">
        <f>VLOOKUP(operations[productID],products[],5,FALSE)</f>
        <v>0</v>
      </c>
      <c r="K1473" s="6">
        <f>VLOOKUP(operations[productID],products[],6,FALSE)</f>
        <v>25</v>
      </c>
      <c r="L1473" s="10">
        <f t="array" ref="L1473">INDEX('1 orders'!I1473:I2156, MATCH(1, ('1 orders'!A1473:A2156=A1473)*('1 orders'!G1473:G2156=F1473), 0))
</f>
        <v>18</v>
      </c>
      <c r="M1473" s="10">
        <f>IFERROR(__xludf.DUMMYFUNCTION("COUNTUNIQUEIFS($A$2:$A1473,$F$2:$F1473,F1473)"),14.0)</f>
        <v>14</v>
      </c>
      <c r="N1473" s="10">
        <f t="shared" si="1"/>
        <v>43</v>
      </c>
      <c r="O1473" s="26">
        <f>IF(operations[sinceLastOrder]=0,0,operations[orderQuantity] / operations[sinceLastOrder])</f>
        <v>0.4186046512</v>
      </c>
      <c r="P1473" s="9">
        <v>31.22</v>
      </c>
      <c r="Q1473" s="7" t="s">
        <v>15</v>
      </c>
      <c r="R1473" s="10">
        <f>operations[arrivedDate]-operations[shippedDate]</f>
        <v>11</v>
      </c>
    </row>
    <row r="1474" ht="15.75" customHeight="1">
      <c r="A1474" s="6">
        <v>10811.0</v>
      </c>
      <c r="B1474" s="24">
        <v>45293.0</v>
      </c>
      <c r="C1474" s="24">
        <v>45321.0</v>
      </c>
      <c r="D1474" s="24">
        <v>45299.0</v>
      </c>
      <c r="E1474" s="24">
        <v>45310.0</v>
      </c>
      <c r="F1474" s="6">
        <v>40.0</v>
      </c>
      <c r="G1474" s="9" t="str">
        <f>VLOOKUP(operations[productID],products[],2,FALSE)</f>
        <v>Boston Crab Meat</v>
      </c>
      <c r="H1474" s="9" t="str">
        <f>IF(VLOOKUP(operations[productID],products[],7,FALSE)=1,"Discontinued","Current")</f>
        <v>Current</v>
      </c>
      <c r="I1474" s="6">
        <f>VLOOKUP(operations[productID],products[],4,FALSE)</f>
        <v>123</v>
      </c>
      <c r="J1474" s="6">
        <f>VLOOKUP(operations[productID],products[],5,FALSE)</f>
        <v>0</v>
      </c>
      <c r="K1474" s="6">
        <f>VLOOKUP(operations[productID],products[],6,FALSE)</f>
        <v>30</v>
      </c>
      <c r="L1474" s="10">
        <f t="array" ref="L1474">INDEX('1 orders'!I1474:I2156, MATCH(1, ('1 orders'!A1474:A2156=A1474)*('1 orders'!G1474:G2156=F1474), 0))
</f>
        <v>30</v>
      </c>
      <c r="M1474" s="10">
        <f>IFERROR(__xludf.DUMMYFUNCTION("COUNTUNIQUEIFS($A$2:$A1474,$F$2:$F1474,F1474)"),32.0)</f>
        <v>32</v>
      </c>
      <c r="N1474" s="10">
        <f t="shared" si="1"/>
        <v>2</v>
      </c>
      <c r="O1474" s="26">
        <f>IF(operations[sinceLastOrder]=0,0,operations[orderQuantity] / operations[sinceLastOrder])</f>
        <v>15</v>
      </c>
      <c r="P1474" s="9">
        <v>31.22</v>
      </c>
      <c r="Q1474" s="7" t="s">
        <v>15</v>
      </c>
      <c r="R1474" s="10">
        <f>operations[arrivedDate]-operations[shippedDate]</f>
        <v>11</v>
      </c>
    </row>
    <row r="1475" ht="15.75" customHeight="1">
      <c r="A1475" s="6">
        <v>10812.0</v>
      </c>
      <c r="B1475" s="24">
        <v>45293.0</v>
      </c>
      <c r="C1475" s="24">
        <v>45321.0</v>
      </c>
      <c r="D1475" s="24">
        <v>45303.0</v>
      </c>
      <c r="E1475" s="24">
        <v>45307.0</v>
      </c>
      <c r="F1475" s="6">
        <v>31.0</v>
      </c>
      <c r="G1475" s="9" t="str">
        <f>VLOOKUP(operations[productID],products[],2,FALSE)</f>
        <v>Gorgonzola Telino</v>
      </c>
      <c r="H1475" s="9" t="str">
        <f>IF(VLOOKUP(operations[productID],products[],7,FALSE)=1,"Discontinued","Current")</f>
        <v>Current</v>
      </c>
      <c r="I1475" s="6">
        <f>VLOOKUP(operations[productID],products[],4,FALSE)</f>
        <v>0</v>
      </c>
      <c r="J1475" s="6">
        <f>VLOOKUP(operations[productID],products[],5,FALSE)</f>
        <v>70</v>
      </c>
      <c r="K1475" s="6">
        <f>VLOOKUP(operations[productID],products[],6,FALSE)</f>
        <v>20</v>
      </c>
      <c r="L1475" s="10">
        <f t="array" ref="L1475">INDEX('1 orders'!I1475:I2156, MATCH(1, ('1 orders'!A1475:A2156=A1475)*('1 orders'!G1475:G2156=F1475), 0))
</f>
        <v>16</v>
      </c>
      <c r="M1475" s="10">
        <f>IFERROR(__xludf.DUMMYFUNCTION("COUNTUNIQUEIFS($A$2:$A1475,$F$2:$F1475,F1475)"),40.0)</f>
        <v>40</v>
      </c>
      <c r="N1475" s="10">
        <f t="shared" si="1"/>
        <v>15</v>
      </c>
      <c r="O1475" s="26">
        <f>IF(operations[sinceLastOrder]=0,0,operations[orderQuantity] / operations[sinceLastOrder])</f>
        <v>1.066666667</v>
      </c>
      <c r="P1475" s="9">
        <v>59.78</v>
      </c>
      <c r="Q1475" s="7" t="s">
        <v>15</v>
      </c>
      <c r="R1475" s="10">
        <f>operations[arrivedDate]-operations[shippedDate]</f>
        <v>4</v>
      </c>
    </row>
    <row r="1476" ht="15.75" customHeight="1">
      <c r="A1476" s="6">
        <v>10812.0</v>
      </c>
      <c r="B1476" s="24">
        <v>45293.0</v>
      </c>
      <c r="C1476" s="24">
        <v>45321.0</v>
      </c>
      <c r="D1476" s="24">
        <v>45303.0</v>
      </c>
      <c r="E1476" s="24">
        <v>45307.0</v>
      </c>
      <c r="F1476" s="6">
        <v>72.0</v>
      </c>
      <c r="G1476" s="9" t="str">
        <f>VLOOKUP(operations[productID],products[],2,FALSE)</f>
        <v>Mozzarella di Giovanni</v>
      </c>
      <c r="H1476" s="9" t="str">
        <f>IF(VLOOKUP(operations[productID],products[],7,FALSE)=1,"Discontinued","Current")</f>
        <v>Current</v>
      </c>
      <c r="I1476" s="6">
        <f>VLOOKUP(operations[productID],products[],4,FALSE)</f>
        <v>14</v>
      </c>
      <c r="J1476" s="6">
        <f>VLOOKUP(operations[productID],products[],5,FALSE)</f>
        <v>0</v>
      </c>
      <c r="K1476" s="6">
        <f>VLOOKUP(operations[productID],products[],6,FALSE)</f>
        <v>0</v>
      </c>
      <c r="L1476" s="10">
        <f t="array" ref="L1476">INDEX('1 orders'!I1476:I2156, MATCH(1, ('1 orders'!A1476:A2156=A1476)*('1 orders'!G1476:G2156=F1476), 0))
</f>
        <v>40</v>
      </c>
      <c r="M1476" s="10">
        <f>IFERROR(__xludf.DUMMYFUNCTION("COUNTUNIQUEIFS($A$2:$A1476,$F$2:$F1476,F1476)"),30.0)</f>
        <v>30</v>
      </c>
      <c r="N1476" s="10">
        <f t="shared" si="1"/>
        <v>7</v>
      </c>
      <c r="O1476" s="26">
        <f>IF(operations[sinceLastOrder]=0,0,operations[orderQuantity] / operations[sinceLastOrder])</f>
        <v>5.714285714</v>
      </c>
      <c r="P1476" s="9">
        <v>59.78</v>
      </c>
      <c r="Q1476" s="7" t="s">
        <v>15</v>
      </c>
      <c r="R1476" s="10">
        <f>operations[arrivedDate]-operations[shippedDate]</f>
        <v>4</v>
      </c>
    </row>
    <row r="1477" ht="15.75" customHeight="1">
      <c r="A1477" s="6">
        <v>10812.0</v>
      </c>
      <c r="B1477" s="24">
        <v>45293.0</v>
      </c>
      <c r="C1477" s="24">
        <v>45321.0</v>
      </c>
      <c r="D1477" s="24">
        <v>45303.0</v>
      </c>
      <c r="E1477" s="24">
        <v>45307.0</v>
      </c>
      <c r="F1477" s="6">
        <v>77.0</v>
      </c>
      <c r="G1477" s="9" t="str">
        <f>VLOOKUP(operations[productID],products[],2,FALSE)</f>
        <v>Original Frankfurter grüne Soße</v>
      </c>
      <c r="H1477" s="9" t="str">
        <f>IF(VLOOKUP(operations[productID],products[],7,FALSE)=1,"Discontinued","Current")</f>
        <v>Current</v>
      </c>
      <c r="I1477" s="6">
        <f>VLOOKUP(operations[productID],products[],4,FALSE)</f>
        <v>32</v>
      </c>
      <c r="J1477" s="6">
        <f>VLOOKUP(operations[productID],products[],5,FALSE)</f>
        <v>0</v>
      </c>
      <c r="K1477" s="6">
        <f>VLOOKUP(operations[productID],products[],6,FALSE)</f>
        <v>15</v>
      </c>
      <c r="L1477" s="10">
        <f t="array" ref="L1477">INDEX('1 orders'!I1477:I2156, MATCH(1, ('1 orders'!A1477:A2156=A1477)*('1 orders'!G1477:G2156=F1477), 0))
</f>
        <v>20</v>
      </c>
      <c r="M1477" s="10">
        <f>IFERROR(__xludf.DUMMYFUNCTION("COUNTUNIQUEIFS($A$2:$A1477,$F$2:$F1477,F1477)"),24.0)</f>
        <v>24</v>
      </c>
      <c r="N1477" s="10">
        <f t="shared" si="1"/>
        <v>17</v>
      </c>
      <c r="O1477" s="26">
        <f>IF(operations[sinceLastOrder]=0,0,operations[orderQuantity] / operations[sinceLastOrder])</f>
        <v>1.176470588</v>
      </c>
      <c r="P1477" s="9">
        <v>59.78</v>
      </c>
      <c r="Q1477" s="7" t="s">
        <v>15</v>
      </c>
      <c r="R1477" s="10">
        <f>operations[arrivedDate]-operations[shippedDate]</f>
        <v>4</v>
      </c>
    </row>
    <row r="1478" ht="15.75" customHeight="1">
      <c r="A1478" s="6">
        <v>10813.0</v>
      </c>
      <c r="B1478" s="24">
        <v>45296.0</v>
      </c>
      <c r="C1478" s="24">
        <v>45324.0</v>
      </c>
      <c r="D1478" s="24">
        <v>45300.0</v>
      </c>
      <c r="E1478" s="24">
        <v>45317.0</v>
      </c>
      <c r="F1478" s="6">
        <v>2.0</v>
      </c>
      <c r="G1478" s="9" t="str">
        <f>VLOOKUP(operations[productID],products[],2,FALSE)</f>
        <v>Chang</v>
      </c>
      <c r="H1478" s="9" t="str">
        <f>IF(VLOOKUP(operations[productID],products[],7,FALSE)=1,"Discontinued","Current")</f>
        <v>Current</v>
      </c>
      <c r="I1478" s="6">
        <f>VLOOKUP(operations[productID],products[],4,FALSE)</f>
        <v>17</v>
      </c>
      <c r="J1478" s="6">
        <f>VLOOKUP(operations[productID],products[],5,FALSE)</f>
        <v>40</v>
      </c>
      <c r="K1478" s="6">
        <f>VLOOKUP(operations[productID],products[],6,FALSE)</f>
        <v>25</v>
      </c>
      <c r="L1478" s="10">
        <f t="array" ref="L1478">INDEX('1 orders'!I1478:I2156, MATCH(1, ('1 orders'!A1478:A2156=A1478)*('1 orders'!G1478:G2156=F1478), 0))
</f>
        <v>12</v>
      </c>
      <c r="M1478" s="10">
        <f>IFERROR(__xludf.DUMMYFUNCTION("COUNTUNIQUEIFS($A$2:$A1478,$F$2:$F1478,F1478)"),27.0)</f>
        <v>27</v>
      </c>
      <c r="N1478" s="10">
        <f t="shared" si="1"/>
        <v>5</v>
      </c>
      <c r="O1478" s="26">
        <f>IF(operations[sinceLastOrder]=0,0,operations[orderQuantity] / operations[sinceLastOrder])</f>
        <v>2.4</v>
      </c>
      <c r="P1478" s="9">
        <v>47.38</v>
      </c>
      <c r="Q1478" s="7" t="s">
        <v>15</v>
      </c>
      <c r="R1478" s="10">
        <f>operations[arrivedDate]-operations[shippedDate]</f>
        <v>17</v>
      </c>
    </row>
    <row r="1479" ht="15.75" customHeight="1">
      <c r="A1479" s="6">
        <v>10813.0</v>
      </c>
      <c r="B1479" s="24">
        <v>45296.0</v>
      </c>
      <c r="C1479" s="24">
        <v>45324.0</v>
      </c>
      <c r="D1479" s="24">
        <v>45300.0</v>
      </c>
      <c r="E1479" s="24">
        <v>45317.0</v>
      </c>
      <c r="F1479" s="6">
        <v>46.0</v>
      </c>
      <c r="G1479" s="9" t="str">
        <f>VLOOKUP(operations[productID],products[],2,FALSE)</f>
        <v>Spegesild</v>
      </c>
      <c r="H1479" s="9" t="str">
        <f>IF(VLOOKUP(operations[productID],products[],7,FALSE)=1,"Discontinued","Current")</f>
        <v>Current</v>
      </c>
      <c r="I1479" s="6">
        <f>VLOOKUP(operations[productID],products[],4,FALSE)</f>
        <v>95</v>
      </c>
      <c r="J1479" s="6">
        <f>VLOOKUP(operations[productID],products[],5,FALSE)</f>
        <v>0</v>
      </c>
      <c r="K1479" s="6">
        <f>VLOOKUP(operations[productID],products[],6,FALSE)</f>
        <v>0</v>
      </c>
      <c r="L1479" s="10">
        <f t="array" ref="L1479">INDEX('1 orders'!I1479:I2156, MATCH(1, ('1 orders'!A1479:A2156=A1479)*('1 orders'!G1479:G2156=F1479), 0))
</f>
        <v>35</v>
      </c>
      <c r="M1479" s="10">
        <f>IFERROR(__xludf.DUMMYFUNCTION("COUNTUNIQUEIFS($A$2:$A1479,$F$2:$F1479,F1479)"),19.0)</f>
        <v>19</v>
      </c>
      <c r="N1479" s="10">
        <f t="shared" si="1"/>
        <v>49</v>
      </c>
      <c r="O1479" s="26">
        <f>IF(operations[sinceLastOrder]=0,0,operations[orderQuantity] / operations[sinceLastOrder])</f>
        <v>0.7142857143</v>
      </c>
      <c r="P1479" s="9">
        <v>47.38</v>
      </c>
      <c r="Q1479" s="7" t="s">
        <v>15</v>
      </c>
      <c r="R1479" s="10">
        <f>operations[arrivedDate]-operations[shippedDate]</f>
        <v>17</v>
      </c>
    </row>
    <row r="1480" ht="15.75" customHeight="1">
      <c r="A1480" s="6">
        <v>10814.0</v>
      </c>
      <c r="B1480" s="24">
        <v>45296.0</v>
      </c>
      <c r="C1480" s="24">
        <v>45324.0</v>
      </c>
      <c r="D1480" s="24">
        <v>45305.0</v>
      </c>
      <c r="E1480" s="24">
        <v>45311.0</v>
      </c>
      <c r="F1480" s="6">
        <v>41.0</v>
      </c>
      <c r="G1480" s="9" t="str">
        <f>VLOOKUP(operations[productID],products[],2,FALSE)</f>
        <v>Jack's New England Clam Chowder</v>
      </c>
      <c r="H1480" s="9" t="str">
        <f>IF(VLOOKUP(operations[productID],products[],7,FALSE)=1,"Discontinued","Current")</f>
        <v>Current</v>
      </c>
      <c r="I1480" s="6">
        <f>VLOOKUP(operations[productID],products[],4,FALSE)</f>
        <v>85</v>
      </c>
      <c r="J1480" s="6">
        <f>VLOOKUP(operations[productID],products[],5,FALSE)</f>
        <v>0</v>
      </c>
      <c r="K1480" s="6">
        <f>VLOOKUP(operations[productID],products[],6,FALSE)</f>
        <v>10</v>
      </c>
      <c r="L1480" s="10">
        <f t="array" ref="L1480">INDEX('1 orders'!I1480:I2156, MATCH(1, ('1 orders'!A1480:A2156=A1480)*('1 orders'!G1480:G2156=F1480), 0))
</f>
        <v>20</v>
      </c>
      <c r="M1480" s="10">
        <f>IFERROR(__xludf.DUMMYFUNCTION("COUNTUNIQUEIFS($A$2:$A1480,$F$2:$F1480,F1480)"),30.0)</f>
        <v>30</v>
      </c>
      <c r="N1480" s="10">
        <f t="shared" si="1"/>
        <v>12</v>
      </c>
      <c r="O1480" s="26">
        <f>IF(operations[sinceLastOrder]=0,0,operations[orderQuantity] / operations[sinceLastOrder])</f>
        <v>1.666666667</v>
      </c>
      <c r="P1480" s="9">
        <v>130.94</v>
      </c>
      <c r="Q1480" s="7" t="s">
        <v>13</v>
      </c>
      <c r="R1480" s="10">
        <f>operations[arrivedDate]-operations[shippedDate]</f>
        <v>6</v>
      </c>
    </row>
    <row r="1481" ht="15.75" customHeight="1">
      <c r="A1481" s="6">
        <v>10814.0</v>
      </c>
      <c r="B1481" s="24">
        <v>45296.0</v>
      </c>
      <c r="C1481" s="24">
        <v>45324.0</v>
      </c>
      <c r="D1481" s="24">
        <v>45305.0</v>
      </c>
      <c r="E1481" s="24">
        <v>45311.0</v>
      </c>
      <c r="F1481" s="6">
        <v>43.0</v>
      </c>
      <c r="G1481" s="9" t="str">
        <f>VLOOKUP(operations[productID],products[],2,FALSE)</f>
        <v>Ipoh Coffee</v>
      </c>
      <c r="H1481" s="9" t="str">
        <f>IF(VLOOKUP(operations[productID],products[],7,FALSE)=1,"Discontinued","Current")</f>
        <v>Current</v>
      </c>
      <c r="I1481" s="6">
        <f>VLOOKUP(operations[productID],products[],4,FALSE)</f>
        <v>17</v>
      </c>
      <c r="J1481" s="6">
        <f>VLOOKUP(operations[productID],products[],5,FALSE)</f>
        <v>10</v>
      </c>
      <c r="K1481" s="6">
        <f>VLOOKUP(operations[productID],products[],6,FALSE)</f>
        <v>25</v>
      </c>
      <c r="L1481" s="10">
        <f t="array" ref="L1481">INDEX('1 orders'!I1481:I2156, MATCH(1, ('1 orders'!A1481:A2156=A1481)*('1 orders'!G1481:G2156=F1481), 0))
</f>
        <v>20</v>
      </c>
      <c r="M1481" s="10">
        <f>IFERROR(__xludf.DUMMYFUNCTION("COUNTUNIQUEIFS($A$2:$A1481,$F$2:$F1481,F1481)"),18.0)</f>
        <v>18</v>
      </c>
      <c r="N1481" s="10">
        <f t="shared" si="1"/>
        <v>35</v>
      </c>
      <c r="O1481" s="26">
        <f>IF(operations[sinceLastOrder]=0,0,operations[orderQuantity] / operations[sinceLastOrder])</f>
        <v>0.5714285714</v>
      </c>
      <c r="P1481" s="9">
        <v>130.94</v>
      </c>
      <c r="Q1481" s="7" t="s">
        <v>13</v>
      </c>
      <c r="R1481" s="10">
        <f>operations[arrivedDate]-operations[shippedDate]</f>
        <v>6</v>
      </c>
    </row>
    <row r="1482" ht="15.75" customHeight="1">
      <c r="A1482" s="6">
        <v>10814.0</v>
      </c>
      <c r="B1482" s="24">
        <v>45296.0</v>
      </c>
      <c r="C1482" s="24">
        <v>45324.0</v>
      </c>
      <c r="D1482" s="24">
        <v>45305.0</v>
      </c>
      <c r="E1482" s="24">
        <v>45311.0</v>
      </c>
      <c r="F1482" s="6">
        <v>48.0</v>
      </c>
      <c r="G1482" s="9" t="str">
        <f>VLOOKUP(operations[productID],products[],2,FALSE)</f>
        <v>Chocolade</v>
      </c>
      <c r="H1482" s="9" t="str">
        <f>IF(VLOOKUP(operations[productID],products[],7,FALSE)=1,"Discontinued","Current")</f>
        <v>Current</v>
      </c>
      <c r="I1482" s="6">
        <f>VLOOKUP(operations[productID],products[],4,FALSE)</f>
        <v>15</v>
      </c>
      <c r="J1482" s="6">
        <f>VLOOKUP(operations[productID],products[],5,FALSE)</f>
        <v>70</v>
      </c>
      <c r="K1482" s="6">
        <f>VLOOKUP(operations[productID],products[],6,FALSE)</f>
        <v>25</v>
      </c>
      <c r="L1482" s="10">
        <f t="array" ref="L1482">INDEX('1 orders'!I1482:I2156, MATCH(1, ('1 orders'!A1482:A2156=A1482)*('1 orders'!G1482:G2156=F1482), 0))
</f>
        <v>8</v>
      </c>
      <c r="M1482" s="10">
        <f>IFERROR(__xludf.DUMMYFUNCTION("COUNTUNIQUEIFS($A$2:$A1482,$F$2:$F1482,F1482)"),6.0)</f>
        <v>6</v>
      </c>
      <c r="N1482" s="10">
        <f t="shared" si="1"/>
        <v>83</v>
      </c>
      <c r="O1482" s="26">
        <f>IF(operations[sinceLastOrder]=0,0,operations[orderQuantity] / operations[sinceLastOrder])</f>
        <v>0.09638554217</v>
      </c>
      <c r="P1482" s="9">
        <v>130.94</v>
      </c>
      <c r="Q1482" s="7" t="s">
        <v>13</v>
      </c>
      <c r="R1482" s="10">
        <f>operations[arrivedDate]-operations[shippedDate]</f>
        <v>6</v>
      </c>
    </row>
    <row r="1483" ht="15.75" customHeight="1">
      <c r="A1483" s="6">
        <v>10814.0</v>
      </c>
      <c r="B1483" s="24">
        <v>45296.0</v>
      </c>
      <c r="C1483" s="24">
        <v>45324.0</v>
      </c>
      <c r="D1483" s="24">
        <v>45305.0</v>
      </c>
      <c r="E1483" s="24">
        <v>45311.0</v>
      </c>
      <c r="F1483" s="6">
        <v>61.0</v>
      </c>
      <c r="G1483" s="9" t="str">
        <f>VLOOKUP(operations[productID],products[],2,FALSE)</f>
        <v>Sirop d'érable</v>
      </c>
      <c r="H1483" s="9" t="str">
        <f>IF(VLOOKUP(operations[productID],products[],7,FALSE)=1,"Discontinued","Current")</f>
        <v>Current</v>
      </c>
      <c r="I1483" s="6">
        <f>VLOOKUP(operations[productID],products[],4,FALSE)</f>
        <v>113</v>
      </c>
      <c r="J1483" s="6">
        <f>VLOOKUP(operations[productID],products[],5,FALSE)</f>
        <v>0</v>
      </c>
      <c r="K1483" s="6">
        <f>VLOOKUP(operations[productID],products[],6,FALSE)</f>
        <v>25</v>
      </c>
      <c r="L1483" s="10">
        <f t="array" ref="L1483">INDEX('1 orders'!I1483:I2156, MATCH(1, ('1 orders'!A1483:A2156=A1483)*('1 orders'!G1483:G2156=F1483), 0))
</f>
        <v>30</v>
      </c>
      <c r="M1483" s="10">
        <f>IFERROR(__xludf.DUMMYFUNCTION("COUNTUNIQUEIFS($A$2:$A1483,$F$2:$F1483,F1483)"),14.0)</f>
        <v>14</v>
      </c>
      <c r="N1483" s="10">
        <f t="shared" si="1"/>
        <v>28</v>
      </c>
      <c r="O1483" s="26">
        <f>IF(operations[sinceLastOrder]=0,0,operations[orderQuantity] / operations[sinceLastOrder])</f>
        <v>1.071428571</v>
      </c>
      <c r="P1483" s="9">
        <v>130.94</v>
      </c>
      <c r="Q1483" s="7" t="s">
        <v>13</v>
      </c>
      <c r="R1483" s="10">
        <f>operations[arrivedDate]-operations[shippedDate]</f>
        <v>6</v>
      </c>
    </row>
    <row r="1484" ht="15.75" customHeight="1">
      <c r="A1484" s="6">
        <v>10815.0</v>
      </c>
      <c r="B1484" s="24">
        <v>45296.0</v>
      </c>
      <c r="C1484" s="24">
        <v>45324.0</v>
      </c>
      <c r="D1484" s="24">
        <v>45305.0</v>
      </c>
      <c r="E1484" s="24">
        <v>45319.0</v>
      </c>
      <c r="F1484" s="6">
        <v>33.0</v>
      </c>
      <c r="G1484" s="9" t="str">
        <f>VLOOKUP(operations[productID],products[],2,FALSE)</f>
        <v>Geitost</v>
      </c>
      <c r="H1484" s="9" t="str">
        <f>IF(VLOOKUP(operations[productID],products[],7,FALSE)=1,"Discontinued","Current")</f>
        <v>Current</v>
      </c>
      <c r="I1484" s="6">
        <f>VLOOKUP(operations[productID],products[],4,FALSE)</f>
        <v>112</v>
      </c>
      <c r="J1484" s="6">
        <f>VLOOKUP(operations[productID],products[],5,FALSE)</f>
        <v>0</v>
      </c>
      <c r="K1484" s="6">
        <f>VLOOKUP(operations[productID],products[],6,FALSE)</f>
        <v>20</v>
      </c>
      <c r="L1484" s="10">
        <f t="array" ref="L1484">INDEX('1 orders'!I1484:I2156, MATCH(1, ('1 orders'!A1484:A2156=A1484)*('1 orders'!G1484:G2156=F1484), 0))
</f>
        <v>16</v>
      </c>
      <c r="M1484" s="10">
        <f>IFERROR(__xludf.DUMMYFUNCTION("COUNTUNIQUEIFS($A$2:$A1484,$F$2:$F1484,F1484)"),23.0)</f>
        <v>23</v>
      </c>
      <c r="N1484" s="10">
        <f t="shared" si="1"/>
        <v>102</v>
      </c>
      <c r="O1484" s="26">
        <f>IF(operations[sinceLastOrder]=0,0,operations[orderQuantity] / operations[sinceLastOrder])</f>
        <v>0.1568627451</v>
      </c>
      <c r="P1484" s="9">
        <v>14.62</v>
      </c>
      <c r="Q1484" s="7" t="s">
        <v>13</v>
      </c>
      <c r="R1484" s="10">
        <f>operations[arrivedDate]-operations[shippedDate]</f>
        <v>14</v>
      </c>
    </row>
    <row r="1485" ht="15.75" customHeight="1">
      <c r="A1485" s="6">
        <v>10816.0</v>
      </c>
      <c r="B1485" s="24">
        <v>45297.0</v>
      </c>
      <c r="C1485" s="24">
        <v>45325.0</v>
      </c>
      <c r="D1485" s="24">
        <v>45326.0</v>
      </c>
      <c r="E1485" s="24">
        <v>45341.0</v>
      </c>
      <c r="F1485" s="6">
        <v>38.0</v>
      </c>
      <c r="G1485" s="9" t="str">
        <f>VLOOKUP(operations[productID],products[],2,FALSE)</f>
        <v>Côte de Blaye</v>
      </c>
      <c r="H1485" s="9" t="str">
        <f>IF(VLOOKUP(operations[productID],products[],7,FALSE)=1,"Discontinued","Current")</f>
        <v>Current</v>
      </c>
      <c r="I1485" s="6">
        <f>VLOOKUP(operations[productID],products[],4,FALSE)</f>
        <v>17</v>
      </c>
      <c r="J1485" s="6">
        <f>VLOOKUP(operations[productID],products[],5,FALSE)</f>
        <v>0</v>
      </c>
      <c r="K1485" s="6">
        <f>VLOOKUP(operations[productID],products[],6,FALSE)</f>
        <v>15</v>
      </c>
      <c r="L1485" s="10">
        <f t="array" ref="L1485">INDEX('1 orders'!I1485:I2156, MATCH(1, ('1 orders'!A1485:A2156=A1485)*('1 orders'!G1485:G2156=F1485), 0))
</f>
        <v>30</v>
      </c>
      <c r="M1485" s="10">
        <f>IFERROR(__xludf.DUMMYFUNCTION("COUNTUNIQUEIFS($A$2:$A1485,$F$2:$F1485,F1485)"),16.0)</f>
        <v>16</v>
      </c>
      <c r="N1485" s="10">
        <f t="shared" si="1"/>
        <v>7</v>
      </c>
      <c r="O1485" s="26">
        <f>IF(operations[sinceLastOrder]=0,0,operations[orderQuantity] / operations[sinceLastOrder])</f>
        <v>4.285714286</v>
      </c>
      <c r="P1485" s="9">
        <v>719.78</v>
      </c>
      <c r="Q1485" s="7" t="s">
        <v>17</v>
      </c>
      <c r="R1485" s="10">
        <f>operations[arrivedDate]-operations[shippedDate]</f>
        <v>15</v>
      </c>
    </row>
    <row r="1486" ht="15.75" customHeight="1">
      <c r="A1486" s="6">
        <v>10816.0</v>
      </c>
      <c r="B1486" s="24">
        <v>45297.0</v>
      </c>
      <c r="C1486" s="24">
        <v>45325.0</v>
      </c>
      <c r="D1486" s="24">
        <v>45326.0</v>
      </c>
      <c r="E1486" s="24">
        <v>45341.0</v>
      </c>
      <c r="F1486" s="6">
        <v>62.0</v>
      </c>
      <c r="G1486" s="9" t="str">
        <f>VLOOKUP(operations[productID],products[],2,FALSE)</f>
        <v>Tarte au sucre</v>
      </c>
      <c r="H1486" s="9" t="str">
        <f>IF(VLOOKUP(operations[productID],products[],7,FALSE)=1,"Discontinued","Current")</f>
        <v>Current</v>
      </c>
      <c r="I1486" s="6">
        <f>VLOOKUP(operations[productID],products[],4,FALSE)</f>
        <v>17</v>
      </c>
      <c r="J1486" s="6">
        <f>VLOOKUP(operations[productID],products[],5,FALSE)</f>
        <v>0</v>
      </c>
      <c r="K1486" s="6">
        <f>VLOOKUP(operations[productID],products[],6,FALSE)</f>
        <v>0</v>
      </c>
      <c r="L1486" s="10">
        <f t="array" ref="L1486">INDEX('1 orders'!I1486:I2156, MATCH(1, ('1 orders'!A1486:A2156=A1486)*('1 orders'!G1486:G2156=F1486), 0))
</f>
        <v>20</v>
      </c>
      <c r="M1486" s="10">
        <f>IFERROR(__xludf.DUMMYFUNCTION("COUNTUNIQUEIFS($A$2:$A1486,$F$2:$F1486,F1486)"),34.0)</f>
        <v>34</v>
      </c>
      <c r="N1486" s="10">
        <f t="shared" si="1"/>
        <v>8</v>
      </c>
      <c r="O1486" s="26">
        <f>IF(operations[sinceLastOrder]=0,0,operations[orderQuantity] / operations[sinceLastOrder])</f>
        <v>2.5</v>
      </c>
      <c r="P1486" s="9">
        <v>719.78</v>
      </c>
      <c r="Q1486" s="7" t="s">
        <v>17</v>
      </c>
      <c r="R1486" s="10">
        <f>operations[arrivedDate]-operations[shippedDate]</f>
        <v>15</v>
      </c>
    </row>
    <row r="1487" ht="15.75" customHeight="1">
      <c r="A1487" s="6">
        <v>10817.0</v>
      </c>
      <c r="B1487" s="24">
        <v>45297.0</v>
      </c>
      <c r="C1487" s="24">
        <v>45311.0</v>
      </c>
      <c r="D1487" s="24">
        <v>45304.0</v>
      </c>
      <c r="E1487" s="24">
        <v>45313.0</v>
      </c>
      <c r="F1487" s="6">
        <v>26.0</v>
      </c>
      <c r="G1487" s="9" t="str">
        <f>VLOOKUP(operations[productID],products[],2,FALSE)</f>
        <v>NuNuCa Nuß-Nougat-Creme</v>
      </c>
      <c r="H1487" s="9" t="str">
        <f>IF(VLOOKUP(operations[productID],products[],7,FALSE)=1,"Discontinued","Current")</f>
        <v>Current</v>
      </c>
      <c r="I1487" s="6">
        <f>VLOOKUP(operations[productID],products[],4,FALSE)</f>
        <v>15</v>
      </c>
      <c r="J1487" s="6">
        <f>VLOOKUP(operations[productID],products[],5,FALSE)</f>
        <v>0</v>
      </c>
      <c r="K1487" s="6">
        <f>VLOOKUP(operations[productID],products[],6,FALSE)</f>
        <v>0</v>
      </c>
      <c r="L1487" s="10">
        <f t="array" ref="L1487">INDEX('1 orders'!I1487:I2156, MATCH(1, ('1 orders'!A1487:A2156=A1487)*('1 orders'!G1487:G2156=F1487), 0))
</f>
        <v>40</v>
      </c>
      <c r="M1487" s="10">
        <f>IFERROR(__xludf.DUMMYFUNCTION("COUNTUNIQUEIFS($A$2:$A1487,$F$2:$F1487,F1487)"),24.0)</f>
        <v>24</v>
      </c>
      <c r="N1487" s="10">
        <f t="shared" si="1"/>
        <v>12</v>
      </c>
      <c r="O1487" s="26">
        <f>IF(operations[sinceLastOrder]=0,0,operations[orderQuantity] / operations[sinceLastOrder])</f>
        <v>3.333333333</v>
      </c>
      <c r="P1487" s="9">
        <v>306.07</v>
      </c>
      <c r="Q1487" s="7" t="s">
        <v>17</v>
      </c>
      <c r="R1487" s="10">
        <f>operations[arrivedDate]-operations[shippedDate]</f>
        <v>9</v>
      </c>
    </row>
    <row r="1488" ht="15.75" customHeight="1">
      <c r="A1488" s="6">
        <v>10817.0</v>
      </c>
      <c r="B1488" s="24">
        <v>45297.0</v>
      </c>
      <c r="C1488" s="24">
        <v>45311.0</v>
      </c>
      <c r="D1488" s="24">
        <v>45304.0</v>
      </c>
      <c r="E1488" s="24">
        <v>45313.0</v>
      </c>
      <c r="F1488" s="6">
        <v>38.0</v>
      </c>
      <c r="G1488" s="9" t="str">
        <f>VLOOKUP(operations[productID],products[],2,FALSE)</f>
        <v>Côte de Blaye</v>
      </c>
      <c r="H1488" s="9" t="str">
        <f>IF(VLOOKUP(operations[productID],products[],7,FALSE)=1,"Discontinued","Current")</f>
        <v>Current</v>
      </c>
      <c r="I1488" s="6">
        <f>VLOOKUP(operations[productID],products[],4,FALSE)</f>
        <v>17</v>
      </c>
      <c r="J1488" s="6">
        <f>VLOOKUP(operations[productID],products[],5,FALSE)</f>
        <v>0</v>
      </c>
      <c r="K1488" s="6">
        <f>VLOOKUP(operations[productID],products[],6,FALSE)</f>
        <v>15</v>
      </c>
      <c r="L1488" s="10">
        <f t="array" ref="L1488">INDEX('1 orders'!I1488:I2156, MATCH(1, ('1 orders'!A1488:A2156=A1488)*('1 orders'!G1488:G2156=F1488), 0))
</f>
        <v>30</v>
      </c>
      <c r="M1488" s="10">
        <f>IFERROR(__xludf.DUMMYFUNCTION("COUNTUNIQUEIFS($A$2:$A1488,$F$2:$F1488,F1488)"),17.0)</f>
        <v>17</v>
      </c>
      <c r="N1488" s="10">
        <f t="shared" si="1"/>
        <v>0</v>
      </c>
      <c r="O1488" s="26">
        <f>IF(operations[sinceLastOrder]=0,0,operations[orderQuantity] / operations[sinceLastOrder])</f>
        <v>0</v>
      </c>
      <c r="P1488" s="9">
        <v>306.07</v>
      </c>
      <c r="Q1488" s="7" t="s">
        <v>17</v>
      </c>
      <c r="R1488" s="10">
        <f>operations[arrivedDate]-operations[shippedDate]</f>
        <v>9</v>
      </c>
    </row>
    <row r="1489" ht="15.75" customHeight="1">
      <c r="A1489" s="6">
        <v>10817.0</v>
      </c>
      <c r="B1489" s="24">
        <v>45297.0</v>
      </c>
      <c r="C1489" s="24">
        <v>45311.0</v>
      </c>
      <c r="D1489" s="24">
        <v>45304.0</v>
      </c>
      <c r="E1489" s="24">
        <v>45313.0</v>
      </c>
      <c r="F1489" s="6">
        <v>40.0</v>
      </c>
      <c r="G1489" s="9" t="str">
        <f>VLOOKUP(operations[productID],products[],2,FALSE)</f>
        <v>Boston Crab Meat</v>
      </c>
      <c r="H1489" s="9" t="str">
        <f>IF(VLOOKUP(operations[productID],products[],7,FALSE)=1,"Discontinued","Current")</f>
        <v>Current</v>
      </c>
      <c r="I1489" s="6">
        <f>VLOOKUP(operations[productID],products[],4,FALSE)</f>
        <v>123</v>
      </c>
      <c r="J1489" s="6">
        <f>VLOOKUP(operations[productID],products[],5,FALSE)</f>
        <v>0</v>
      </c>
      <c r="K1489" s="6">
        <f>VLOOKUP(operations[productID],products[],6,FALSE)</f>
        <v>30</v>
      </c>
      <c r="L1489" s="10">
        <f t="array" ref="L1489">INDEX('1 orders'!I1489:I2156, MATCH(1, ('1 orders'!A1489:A2156=A1489)*('1 orders'!G1489:G2156=F1489), 0))
</f>
        <v>60</v>
      </c>
      <c r="M1489" s="10">
        <f>IFERROR(__xludf.DUMMYFUNCTION("COUNTUNIQUEIFS($A$2:$A1489,$F$2:$F1489,F1489)"),33.0)</f>
        <v>33</v>
      </c>
      <c r="N1489" s="10">
        <f t="shared" si="1"/>
        <v>4</v>
      </c>
      <c r="O1489" s="26">
        <f>IF(operations[sinceLastOrder]=0,0,operations[orderQuantity] / operations[sinceLastOrder])</f>
        <v>15</v>
      </c>
      <c r="P1489" s="9">
        <v>306.07</v>
      </c>
      <c r="Q1489" s="7" t="s">
        <v>17</v>
      </c>
      <c r="R1489" s="10">
        <f>operations[arrivedDate]-operations[shippedDate]</f>
        <v>9</v>
      </c>
    </row>
    <row r="1490" ht="15.75" customHeight="1">
      <c r="A1490" s="6">
        <v>10817.0</v>
      </c>
      <c r="B1490" s="24">
        <v>45297.0</v>
      </c>
      <c r="C1490" s="24">
        <v>45311.0</v>
      </c>
      <c r="D1490" s="24">
        <v>45304.0</v>
      </c>
      <c r="E1490" s="24">
        <v>45313.0</v>
      </c>
      <c r="F1490" s="6">
        <v>62.0</v>
      </c>
      <c r="G1490" s="9" t="str">
        <f>VLOOKUP(operations[productID],products[],2,FALSE)</f>
        <v>Tarte au sucre</v>
      </c>
      <c r="H1490" s="9" t="str">
        <f>IF(VLOOKUP(operations[productID],products[],7,FALSE)=1,"Discontinued","Current")</f>
        <v>Current</v>
      </c>
      <c r="I1490" s="6">
        <f>VLOOKUP(operations[productID],products[],4,FALSE)</f>
        <v>17</v>
      </c>
      <c r="J1490" s="6">
        <f>VLOOKUP(operations[productID],products[],5,FALSE)</f>
        <v>0</v>
      </c>
      <c r="K1490" s="6">
        <f>VLOOKUP(operations[productID],products[],6,FALSE)</f>
        <v>0</v>
      </c>
      <c r="L1490" s="10">
        <f t="array" ref="L1490">INDEX('1 orders'!I1490:I2156, MATCH(1, ('1 orders'!A1490:A2156=A1490)*('1 orders'!G1490:G2156=F1490), 0))
</f>
        <v>25</v>
      </c>
      <c r="M1490" s="10">
        <f>IFERROR(__xludf.DUMMYFUNCTION("COUNTUNIQUEIFS($A$2:$A1490,$F$2:$F1490,F1490)"),35.0)</f>
        <v>35</v>
      </c>
      <c r="N1490" s="10">
        <f t="shared" si="1"/>
        <v>0</v>
      </c>
      <c r="O1490" s="26">
        <f>IF(operations[sinceLastOrder]=0,0,operations[orderQuantity] / operations[sinceLastOrder])</f>
        <v>0</v>
      </c>
      <c r="P1490" s="9">
        <v>306.07</v>
      </c>
      <c r="Q1490" s="7" t="s">
        <v>17</v>
      </c>
      <c r="R1490" s="10">
        <f>operations[arrivedDate]-operations[shippedDate]</f>
        <v>9</v>
      </c>
    </row>
    <row r="1491" ht="15.75" customHeight="1">
      <c r="A1491" s="6">
        <v>10818.0</v>
      </c>
      <c r="B1491" s="24">
        <v>45298.0</v>
      </c>
      <c r="C1491" s="24">
        <v>45326.0</v>
      </c>
      <c r="D1491" s="24">
        <v>45303.0</v>
      </c>
      <c r="E1491" s="24">
        <v>45313.0</v>
      </c>
      <c r="F1491" s="6">
        <v>32.0</v>
      </c>
      <c r="G1491" s="9" t="str">
        <f>VLOOKUP(operations[productID],products[],2,FALSE)</f>
        <v>Mascarpone Fabioli</v>
      </c>
      <c r="H1491" s="9" t="str">
        <f>IF(VLOOKUP(operations[productID],products[],7,FALSE)=1,"Discontinued","Current")</f>
        <v>Current</v>
      </c>
      <c r="I1491" s="6">
        <f>VLOOKUP(operations[productID],products[],4,FALSE)</f>
        <v>9</v>
      </c>
      <c r="J1491" s="6">
        <f>VLOOKUP(operations[productID],products[],5,FALSE)</f>
        <v>40</v>
      </c>
      <c r="K1491" s="6">
        <f>VLOOKUP(operations[productID],products[],6,FALSE)</f>
        <v>25</v>
      </c>
      <c r="L1491" s="10">
        <f t="array" ref="L1491">INDEX('1 orders'!I1491:I2156, MATCH(1, ('1 orders'!A1491:A2156=A1491)*('1 orders'!G1491:G2156=F1491), 0))
</f>
        <v>20</v>
      </c>
      <c r="M1491" s="10">
        <f>IFERROR(__xludf.DUMMYFUNCTION("COUNTUNIQUEIFS($A$2:$A1491,$F$2:$F1491,F1491)"),9.0)</f>
        <v>9</v>
      </c>
      <c r="N1491" s="10">
        <f t="shared" si="1"/>
        <v>40</v>
      </c>
      <c r="O1491" s="26">
        <f>IF(operations[sinceLastOrder]=0,0,operations[orderQuantity] / operations[sinceLastOrder])</f>
        <v>0.5</v>
      </c>
      <c r="P1491" s="9">
        <v>65.48</v>
      </c>
      <c r="Q1491" s="7" t="s">
        <v>13</v>
      </c>
      <c r="R1491" s="10">
        <f>operations[arrivedDate]-operations[shippedDate]</f>
        <v>10</v>
      </c>
    </row>
    <row r="1492" ht="15.75" customHeight="1">
      <c r="A1492" s="6">
        <v>10818.0</v>
      </c>
      <c r="B1492" s="24">
        <v>45298.0</v>
      </c>
      <c r="C1492" s="24">
        <v>45326.0</v>
      </c>
      <c r="D1492" s="24">
        <v>45303.0</v>
      </c>
      <c r="E1492" s="24">
        <v>45313.0</v>
      </c>
      <c r="F1492" s="6">
        <v>41.0</v>
      </c>
      <c r="G1492" s="9" t="str">
        <f>VLOOKUP(operations[productID],products[],2,FALSE)</f>
        <v>Jack's New England Clam Chowder</v>
      </c>
      <c r="H1492" s="9" t="str">
        <f>IF(VLOOKUP(operations[productID],products[],7,FALSE)=1,"Discontinued","Current")</f>
        <v>Current</v>
      </c>
      <c r="I1492" s="6">
        <f>VLOOKUP(operations[productID],products[],4,FALSE)</f>
        <v>85</v>
      </c>
      <c r="J1492" s="6">
        <f>VLOOKUP(operations[productID],products[],5,FALSE)</f>
        <v>0</v>
      </c>
      <c r="K1492" s="6">
        <f>VLOOKUP(operations[productID],products[],6,FALSE)</f>
        <v>10</v>
      </c>
      <c r="L1492" s="10">
        <f t="array" ref="L1492">INDEX('1 orders'!I1492:I2156, MATCH(1, ('1 orders'!A1492:A2156=A1492)*('1 orders'!G1492:G2156=F1492), 0))
</f>
        <v>20</v>
      </c>
      <c r="M1492" s="10">
        <f>IFERROR(__xludf.DUMMYFUNCTION("COUNTUNIQUEIFS($A$2:$A1492,$F$2:$F1492,F1492)"),31.0)</f>
        <v>31</v>
      </c>
      <c r="N1492" s="10">
        <f t="shared" si="1"/>
        <v>2</v>
      </c>
      <c r="O1492" s="26">
        <f>IF(operations[sinceLastOrder]=0,0,operations[orderQuantity] / operations[sinceLastOrder])</f>
        <v>10</v>
      </c>
      <c r="P1492" s="9">
        <v>65.48</v>
      </c>
      <c r="Q1492" s="7" t="s">
        <v>13</v>
      </c>
      <c r="R1492" s="10">
        <f>operations[arrivedDate]-operations[shippedDate]</f>
        <v>10</v>
      </c>
    </row>
    <row r="1493" ht="15.75" customHeight="1">
      <c r="A1493" s="6">
        <v>10819.0</v>
      </c>
      <c r="B1493" s="24">
        <v>45298.0</v>
      </c>
      <c r="C1493" s="24">
        <v>45326.0</v>
      </c>
      <c r="D1493" s="24">
        <v>45307.0</v>
      </c>
      <c r="E1493" s="24">
        <v>45317.0</v>
      </c>
      <c r="F1493" s="6">
        <v>43.0</v>
      </c>
      <c r="G1493" s="9" t="str">
        <f>VLOOKUP(operations[productID],products[],2,FALSE)</f>
        <v>Ipoh Coffee</v>
      </c>
      <c r="H1493" s="9" t="str">
        <f>IF(VLOOKUP(operations[productID],products[],7,FALSE)=1,"Discontinued","Current")</f>
        <v>Current</v>
      </c>
      <c r="I1493" s="6">
        <f>VLOOKUP(operations[productID],products[],4,FALSE)</f>
        <v>17</v>
      </c>
      <c r="J1493" s="6">
        <f>VLOOKUP(operations[productID],products[],5,FALSE)</f>
        <v>10</v>
      </c>
      <c r="K1493" s="6">
        <f>VLOOKUP(operations[productID],products[],6,FALSE)</f>
        <v>25</v>
      </c>
      <c r="L1493" s="10">
        <f t="array" ref="L1493">INDEX('1 orders'!I1493:I2156, MATCH(1, ('1 orders'!A1493:A2156=A1493)*('1 orders'!G1493:G2156=F1493), 0))
</f>
        <v>7</v>
      </c>
      <c r="M1493" s="10">
        <f>IFERROR(__xludf.DUMMYFUNCTION("COUNTUNIQUEIFS($A$2:$A1493,$F$2:$F1493,F1493)"),19.0)</f>
        <v>19</v>
      </c>
      <c r="N1493" s="10">
        <f t="shared" si="1"/>
        <v>2</v>
      </c>
      <c r="O1493" s="26">
        <f>IF(operations[sinceLastOrder]=0,0,operations[orderQuantity] / operations[sinceLastOrder])</f>
        <v>3.5</v>
      </c>
      <c r="P1493" s="9">
        <v>19.76</v>
      </c>
      <c r="Q1493" s="7" t="s">
        <v>13</v>
      </c>
      <c r="R1493" s="10">
        <f>operations[arrivedDate]-operations[shippedDate]</f>
        <v>10</v>
      </c>
    </row>
    <row r="1494" ht="15.75" customHeight="1">
      <c r="A1494" s="6">
        <v>10819.0</v>
      </c>
      <c r="B1494" s="24">
        <v>45298.0</v>
      </c>
      <c r="C1494" s="24">
        <v>45326.0</v>
      </c>
      <c r="D1494" s="24">
        <v>45307.0</v>
      </c>
      <c r="E1494" s="24">
        <v>45317.0</v>
      </c>
      <c r="F1494" s="6">
        <v>75.0</v>
      </c>
      <c r="G1494" s="9" t="str">
        <f>VLOOKUP(operations[productID],products[],2,FALSE)</f>
        <v>Rhönbräu Klosterbier</v>
      </c>
      <c r="H1494" s="9" t="str">
        <f>IF(VLOOKUP(operations[productID],products[],7,FALSE)=1,"Discontinued","Current")</f>
        <v>Current</v>
      </c>
      <c r="I1494" s="6">
        <f>VLOOKUP(operations[productID],products[],4,FALSE)</f>
        <v>125</v>
      </c>
      <c r="J1494" s="6">
        <f>VLOOKUP(operations[productID],products[],5,FALSE)</f>
        <v>0</v>
      </c>
      <c r="K1494" s="6">
        <f>VLOOKUP(operations[productID],products[],6,FALSE)</f>
        <v>25</v>
      </c>
      <c r="L1494" s="10">
        <f t="array" ref="L1494">INDEX('1 orders'!I1494:I2156, MATCH(1, ('1 orders'!A1494:A2156=A1494)*('1 orders'!G1494:G2156=F1494), 0))
</f>
        <v>20</v>
      </c>
      <c r="M1494" s="10">
        <f>IFERROR(__xludf.DUMMYFUNCTION("COUNTUNIQUEIFS($A$2:$A1494,$F$2:$F1494,F1494)"),33.0)</f>
        <v>33</v>
      </c>
      <c r="N1494" s="10">
        <f t="shared" si="1"/>
        <v>16</v>
      </c>
      <c r="O1494" s="26">
        <f>IF(operations[sinceLastOrder]=0,0,operations[orderQuantity] / operations[sinceLastOrder])</f>
        <v>1.25</v>
      </c>
      <c r="P1494" s="9">
        <v>19.76</v>
      </c>
      <c r="Q1494" s="7" t="s">
        <v>13</v>
      </c>
      <c r="R1494" s="10">
        <f>operations[arrivedDate]-operations[shippedDate]</f>
        <v>10</v>
      </c>
    </row>
    <row r="1495" ht="15.75" customHeight="1">
      <c r="A1495" s="6">
        <v>10820.0</v>
      </c>
      <c r="B1495" s="24">
        <v>45298.0</v>
      </c>
      <c r="C1495" s="24">
        <v>45326.0</v>
      </c>
      <c r="D1495" s="24">
        <v>45304.0</v>
      </c>
      <c r="E1495" s="24">
        <v>45322.0</v>
      </c>
      <c r="F1495" s="6">
        <v>56.0</v>
      </c>
      <c r="G1495" s="9" t="str">
        <f>VLOOKUP(operations[productID],products[],2,FALSE)</f>
        <v>Gnocchi di nonna Alice</v>
      </c>
      <c r="H1495" s="9" t="str">
        <f>IF(VLOOKUP(operations[productID],products[],7,FALSE)=1,"Discontinued","Current")</f>
        <v>Current</v>
      </c>
      <c r="I1495" s="6">
        <f>VLOOKUP(operations[productID],products[],4,FALSE)</f>
        <v>21</v>
      </c>
      <c r="J1495" s="6">
        <f>VLOOKUP(operations[productID],products[],5,FALSE)</f>
        <v>10</v>
      </c>
      <c r="K1495" s="6">
        <f>VLOOKUP(operations[productID],products[],6,FALSE)</f>
        <v>30</v>
      </c>
      <c r="L1495" s="10">
        <f t="array" ref="L1495">INDEX('1 orders'!I1495:I2156, MATCH(1, ('1 orders'!A1495:A2156=A1495)*('1 orders'!G1495:G2156=F1495), 0))
</f>
        <v>30</v>
      </c>
      <c r="M1495" s="10">
        <f>IFERROR(__xludf.DUMMYFUNCTION("COUNTUNIQUEIFS($A$2:$A1495,$F$2:$F1495,F1495)"),42.0)</f>
        <v>42</v>
      </c>
      <c r="N1495" s="10">
        <f t="shared" si="1"/>
        <v>6</v>
      </c>
      <c r="O1495" s="26">
        <f>IF(operations[sinceLastOrder]=0,0,operations[orderQuantity] / operations[sinceLastOrder])</f>
        <v>5</v>
      </c>
      <c r="P1495" s="9">
        <v>37.52</v>
      </c>
      <c r="Q1495" s="7" t="s">
        <v>17</v>
      </c>
      <c r="R1495" s="10">
        <f>operations[arrivedDate]-operations[shippedDate]</f>
        <v>18</v>
      </c>
    </row>
    <row r="1496" ht="15.75" customHeight="1">
      <c r="A1496" s="6">
        <v>10821.0</v>
      </c>
      <c r="B1496" s="24">
        <v>45299.0</v>
      </c>
      <c r="C1496" s="24">
        <v>45327.0</v>
      </c>
      <c r="D1496" s="24">
        <v>45306.0</v>
      </c>
      <c r="E1496" s="24">
        <v>45318.0</v>
      </c>
      <c r="F1496" s="6">
        <v>35.0</v>
      </c>
      <c r="G1496" s="9" t="str">
        <f>VLOOKUP(operations[productID],products[],2,FALSE)</f>
        <v>Cold Brew Nitro</v>
      </c>
      <c r="H1496" s="9" t="str">
        <f>IF(VLOOKUP(operations[productID],products[],7,FALSE)=1,"Discontinued","Current")</f>
        <v>Current</v>
      </c>
      <c r="I1496" s="6">
        <f>VLOOKUP(operations[productID],products[],4,FALSE)</f>
        <v>20</v>
      </c>
      <c r="J1496" s="6">
        <f>VLOOKUP(operations[productID],products[],5,FALSE)</f>
        <v>0</v>
      </c>
      <c r="K1496" s="6">
        <f>VLOOKUP(operations[productID],products[],6,FALSE)</f>
        <v>15</v>
      </c>
      <c r="L1496" s="10">
        <f t="array" ref="L1496">INDEX('1 orders'!I1496:I2156, MATCH(1, ('1 orders'!A1496:A2156=A1496)*('1 orders'!G1496:G2156=F1496), 0))
</f>
        <v>20</v>
      </c>
      <c r="M1496" s="10">
        <f>IFERROR(__xludf.DUMMYFUNCTION("COUNTUNIQUEIFS($A$2:$A1496,$F$2:$F1496,F1496)"),24.0)</f>
        <v>24</v>
      </c>
      <c r="N1496" s="10">
        <f t="shared" si="1"/>
        <v>17</v>
      </c>
      <c r="O1496" s="26">
        <f>IF(operations[sinceLastOrder]=0,0,operations[orderQuantity] / operations[sinceLastOrder])</f>
        <v>1.176470588</v>
      </c>
      <c r="P1496" s="9">
        <v>36.68</v>
      </c>
      <c r="Q1496" s="7" t="s">
        <v>15</v>
      </c>
      <c r="R1496" s="10">
        <f>operations[arrivedDate]-operations[shippedDate]</f>
        <v>12</v>
      </c>
    </row>
    <row r="1497" ht="15.75" customHeight="1">
      <c r="A1497" s="6">
        <v>10821.0</v>
      </c>
      <c r="B1497" s="24">
        <v>45299.0</v>
      </c>
      <c r="C1497" s="24">
        <v>45327.0</v>
      </c>
      <c r="D1497" s="24">
        <v>45306.0</v>
      </c>
      <c r="E1497" s="24">
        <v>45318.0</v>
      </c>
      <c r="F1497" s="6">
        <v>51.0</v>
      </c>
      <c r="G1497" s="9" t="str">
        <f>VLOOKUP(operations[productID],products[],2,FALSE)</f>
        <v>Manjimup Dried Apples</v>
      </c>
      <c r="H1497" s="9" t="str">
        <f>IF(VLOOKUP(operations[productID],products[],7,FALSE)=1,"Discontinued","Current")</f>
        <v>Current</v>
      </c>
      <c r="I1497" s="6">
        <f>VLOOKUP(operations[productID],products[],4,FALSE)</f>
        <v>20</v>
      </c>
      <c r="J1497" s="6">
        <f>VLOOKUP(operations[productID],products[],5,FALSE)</f>
        <v>0</v>
      </c>
      <c r="K1497" s="6">
        <f>VLOOKUP(operations[productID],products[],6,FALSE)</f>
        <v>10</v>
      </c>
      <c r="L1497" s="10">
        <f t="array" ref="L1497">INDEX('1 orders'!I1497:I2156, MATCH(1, ('1 orders'!A1497:A2156=A1497)*('1 orders'!G1497:G2156=F1497), 0))
</f>
        <v>6</v>
      </c>
      <c r="M1497" s="10">
        <f>IFERROR(__xludf.DUMMYFUNCTION("COUNTUNIQUEIFS($A$2:$A1497,$F$2:$F1497,F1497)"),26.0)</f>
        <v>26</v>
      </c>
      <c r="N1497" s="10">
        <f t="shared" si="1"/>
        <v>10</v>
      </c>
      <c r="O1497" s="26">
        <f>IF(operations[sinceLastOrder]=0,0,operations[orderQuantity] / operations[sinceLastOrder])</f>
        <v>0.6</v>
      </c>
      <c r="P1497" s="9">
        <v>36.68</v>
      </c>
      <c r="Q1497" s="7" t="s">
        <v>15</v>
      </c>
      <c r="R1497" s="10">
        <f>operations[arrivedDate]-operations[shippedDate]</f>
        <v>12</v>
      </c>
    </row>
    <row r="1498" ht="15.75" customHeight="1">
      <c r="A1498" s="6">
        <v>10822.0</v>
      </c>
      <c r="B1498" s="24">
        <v>45299.0</v>
      </c>
      <c r="C1498" s="24">
        <v>45327.0</v>
      </c>
      <c r="D1498" s="24">
        <v>45307.0</v>
      </c>
      <c r="E1498" s="24">
        <v>45322.0</v>
      </c>
      <c r="F1498" s="6">
        <v>62.0</v>
      </c>
      <c r="G1498" s="9" t="str">
        <f>VLOOKUP(operations[productID],products[],2,FALSE)</f>
        <v>Tarte au sucre</v>
      </c>
      <c r="H1498" s="9" t="str">
        <f>IF(VLOOKUP(operations[productID],products[],7,FALSE)=1,"Discontinued","Current")</f>
        <v>Current</v>
      </c>
      <c r="I1498" s="6">
        <f>VLOOKUP(operations[productID],products[],4,FALSE)</f>
        <v>17</v>
      </c>
      <c r="J1498" s="6">
        <f>VLOOKUP(operations[productID],products[],5,FALSE)</f>
        <v>0</v>
      </c>
      <c r="K1498" s="6">
        <f>VLOOKUP(operations[productID],products[],6,FALSE)</f>
        <v>0</v>
      </c>
      <c r="L1498" s="10">
        <f t="array" ref="L1498">INDEX('1 orders'!I1498:I2156, MATCH(1, ('1 orders'!A1498:A2156=A1498)*('1 orders'!G1498:G2156=F1498), 0))
</f>
        <v>3</v>
      </c>
      <c r="M1498" s="10">
        <f>IFERROR(__xludf.DUMMYFUNCTION("COUNTUNIQUEIFS($A$2:$A1498,$F$2:$F1498,F1498)"),36.0)</f>
        <v>36</v>
      </c>
      <c r="N1498" s="10">
        <f t="shared" si="1"/>
        <v>2</v>
      </c>
      <c r="O1498" s="26">
        <f>IF(operations[sinceLastOrder]=0,0,operations[orderQuantity] / operations[sinceLastOrder])</f>
        <v>1.5</v>
      </c>
      <c r="P1498" s="9">
        <v>7.0</v>
      </c>
      <c r="Q1498" s="7" t="s">
        <v>13</v>
      </c>
      <c r="R1498" s="10">
        <f>operations[arrivedDate]-operations[shippedDate]</f>
        <v>15</v>
      </c>
    </row>
    <row r="1499" ht="15.75" customHeight="1">
      <c r="A1499" s="6">
        <v>10822.0</v>
      </c>
      <c r="B1499" s="24">
        <v>45299.0</v>
      </c>
      <c r="C1499" s="24">
        <v>45327.0</v>
      </c>
      <c r="D1499" s="24">
        <v>45307.0</v>
      </c>
      <c r="E1499" s="24">
        <v>45322.0</v>
      </c>
      <c r="F1499" s="6">
        <v>70.0</v>
      </c>
      <c r="G1499" s="9" t="str">
        <f>VLOOKUP(operations[productID],products[],2,FALSE)</f>
        <v>Outback Lager</v>
      </c>
      <c r="H1499" s="9" t="str">
        <f>IF(VLOOKUP(operations[productID],products[],7,FALSE)=1,"Discontinued","Current")</f>
        <v>Current</v>
      </c>
      <c r="I1499" s="6">
        <f>VLOOKUP(operations[productID],products[],4,FALSE)</f>
        <v>15</v>
      </c>
      <c r="J1499" s="6">
        <f>VLOOKUP(operations[productID],products[],5,FALSE)</f>
        <v>10</v>
      </c>
      <c r="K1499" s="6">
        <f>VLOOKUP(operations[productID],products[],6,FALSE)</f>
        <v>30</v>
      </c>
      <c r="L1499" s="10">
        <f t="array" ref="L1499">INDEX('1 orders'!I1499:I2156, MATCH(1, ('1 orders'!A1499:A2156=A1499)*('1 orders'!G1499:G2156=F1499), 0))
</f>
        <v>6</v>
      </c>
      <c r="M1499" s="10">
        <f>IFERROR(__xludf.DUMMYFUNCTION("COUNTUNIQUEIFS($A$2:$A1499,$F$2:$F1499,F1499)"),26.0)</f>
        <v>26</v>
      </c>
      <c r="N1499" s="10">
        <f t="shared" si="1"/>
        <v>7</v>
      </c>
      <c r="O1499" s="26">
        <f>IF(operations[sinceLastOrder]=0,0,operations[orderQuantity] / operations[sinceLastOrder])</f>
        <v>0.8571428571</v>
      </c>
      <c r="P1499" s="9">
        <v>7.0</v>
      </c>
      <c r="Q1499" s="7" t="s">
        <v>13</v>
      </c>
      <c r="R1499" s="10">
        <f>operations[arrivedDate]-operations[shippedDate]</f>
        <v>15</v>
      </c>
    </row>
    <row r="1500" ht="15.75" customHeight="1">
      <c r="A1500" s="6">
        <v>10823.0</v>
      </c>
      <c r="B1500" s="24">
        <v>45300.0</v>
      </c>
      <c r="C1500" s="24">
        <v>45328.0</v>
      </c>
      <c r="D1500" s="24">
        <v>45304.0</v>
      </c>
      <c r="E1500" s="24">
        <v>45317.0</v>
      </c>
      <c r="F1500" s="6">
        <v>11.0</v>
      </c>
      <c r="G1500" s="9" t="str">
        <f>VLOOKUP(operations[productID],products[],2,FALSE)</f>
        <v>Queso Cabrales</v>
      </c>
      <c r="H1500" s="9" t="str">
        <f>IF(VLOOKUP(operations[productID],products[],7,FALSE)=1,"Discontinued","Current")</f>
        <v>Current</v>
      </c>
      <c r="I1500" s="6">
        <f>VLOOKUP(operations[productID],products[],4,FALSE)</f>
        <v>22</v>
      </c>
      <c r="J1500" s="6">
        <f>VLOOKUP(operations[productID],products[],5,FALSE)</f>
        <v>30</v>
      </c>
      <c r="K1500" s="6">
        <f>VLOOKUP(operations[productID],products[],6,FALSE)</f>
        <v>30</v>
      </c>
      <c r="L1500" s="10">
        <f t="array" ref="L1500">INDEX('1 orders'!I1500:I2156, MATCH(1, ('1 orders'!A1500:A2156=A1500)*('1 orders'!G1500:G2156=F1500), 0))
</f>
        <v>20</v>
      </c>
      <c r="M1500" s="10">
        <f>IFERROR(__xludf.DUMMYFUNCTION("COUNTUNIQUEIFS($A$2:$A1500,$F$2:$F1500,F1500)"),27.0)</f>
        <v>27</v>
      </c>
      <c r="N1500" s="10">
        <f t="shared" si="1"/>
        <v>14</v>
      </c>
      <c r="O1500" s="26">
        <f>IF(operations[sinceLastOrder]=0,0,operations[orderQuantity] / operations[sinceLastOrder])</f>
        <v>1.428571429</v>
      </c>
      <c r="P1500" s="9">
        <v>163.97</v>
      </c>
      <c r="Q1500" s="7" t="s">
        <v>17</v>
      </c>
      <c r="R1500" s="10">
        <f>operations[arrivedDate]-operations[shippedDate]</f>
        <v>13</v>
      </c>
    </row>
    <row r="1501" ht="15.75" customHeight="1">
      <c r="A1501" s="6">
        <v>10823.0</v>
      </c>
      <c r="B1501" s="24">
        <v>45300.0</v>
      </c>
      <c r="C1501" s="24">
        <v>45328.0</v>
      </c>
      <c r="D1501" s="24">
        <v>45304.0</v>
      </c>
      <c r="E1501" s="24">
        <v>45317.0</v>
      </c>
      <c r="F1501" s="6">
        <v>57.0</v>
      </c>
      <c r="G1501" s="9" t="str">
        <f>VLOOKUP(operations[productID],products[],2,FALSE)</f>
        <v>Ravioli Angelo</v>
      </c>
      <c r="H1501" s="9" t="str">
        <f>IF(VLOOKUP(operations[productID],products[],7,FALSE)=1,"Discontinued","Current")</f>
        <v>Current</v>
      </c>
      <c r="I1501" s="6">
        <f>VLOOKUP(operations[productID],products[],4,FALSE)</f>
        <v>36</v>
      </c>
      <c r="J1501" s="6">
        <f>VLOOKUP(operations[productID],products[],5,FALSE)</f>
        <v>0</v>
      </c>
      <c r="K1501" s="6">
        <f>VLOOKUP(operations[productID],products[],6,FALSE)</f>
        <v>20</v>
      </c>
      <c r="L1501" s="10">
        <f t="array" ref="L1501">INDEX('1 orders'!I1501:I2156, MATCH(1, ('1 orders'!A1501:A2156=A1501)*('1 orders'!G1501:G2156=F1501), 0))
</f>
        <v>15</v>
      </c>
      <c r="M1501" s="10">
        <f>IFERROR(__xludf.DUMMYFUNCTION("COUNTUNIQUEIFS($A$2:$A1501,$F$2:$F1501,F1501)"),15.0)</f>
        <v>15</v>
      </c>
      <c r="N1501" s="10">
        <f t="shared" si="1"/>
        <v>44</v>
      </c>
      <c r="O1501" s="26">
        <f>IF(operations[sinceLastOrder]=0,0,operations[orderQuantity] / operations[sinceLastOrder])</f>
        <v>0.3409090909</v>
      </c>
      <c r="P1501" s="9">
        <v>163.97</v>
      </c>
      <c r="Q1501" s="7" t="s">
        <v>17</v>
      </c>
      <c r="R1501" s="10">
        <f>operations[arrivedDate]-operations[shippedDate]</f>
        <v>13</v>
      </c>
    </row>
    <row r="1502" ht="15.75" customHeight="1">
      <c r="A1502" s="6">
        <v>10823.0</v>
      </c>
      <c r="B1502" s="24">
        <v>45300.0</v>
      </c>
      <c r="C1502" s="24">
        <v>45328.0</v>
      </c>
      <c r="D1502" s="24">
        <v>45304.0</v>
      </c>
      <c r="E1502" s="24">
        <v>45317.0</v>
      </c>
      <c r="F1502" s="6">
        <v>59.0</v>
      </c>
      <c r="G1502" s="9" t="str">
        <f>VLOOKUP(operations[productID],products[],2,FALSE)</f>
        <v>Raclette Courdavault</v>
      </c>
      <c r="H1502" s="9" t="str">
        <f>IF(VLOOKUP(operations[productID],products[],7,FALSE)=1,"Discontinued","Current")</f>
        <v>Current</v>
      </c>
      <c r="I1502" s="6">
        <f>VLOOKUP(operations[productID],products[],4,FALSE)</f>
        <v>79</v>
      </c>
      <c r="J1502" s="6">
        <f>VLOOKUP(operations[productID],products[],5,FALSE)</f>
        <v>0</v>
      </c>
      <c r="K1502" s="6">
        <f>VLOOKUP(operations[productID],products[],6,FALSE)</f>
        <v>0</v>
      </c>
      <c r="L1502" s="10">
        <f t="array" ref="L1502">INDEX('1 orders'!I1502:I2156, MATCH(1, ('1 orders'!A1502:A2156=A1502)*('1 orders'!G1502:G2156=F1502), 0))
</f>
        <v>40</v>
      </c>
      <c r="M1502" s="10">
        <f>IFERROR(__xludf.DUMMYFUNCTION("COUNTUNIQUEIFS($A$2:$A1502,$F$2:$F1502,F1502)"),42.0)</f>
        <v>42</v>
      </c>
      <c r="N1502" s="10">
        <f t="shared" si="1"/>
        <v>10</v>
      </c>
      <c r="O1502" s="26">
        <f>IF(operations[sinceLastOrder]=0,0,operations[orderQuantity] / operations[sinceLastOrder])</f>
        <v>4</v>
      </c>
      <c r="P1502" s="9">
        <v>163.97</v>
      </c>
      <c r="Q1502" s="7" t="s">
        <v>17</v>
      </c>
      <c r="R1502" s="10">
        <f>operations[arrivedDate]-operations[shippedDate]</f>
        <v>13</v>
      </c>
    </row>
    <row r="1503" ht="15.75" customHeight="1">
      <c r="A1503" s="6">
        <v>10823.0</v>
      </c>
      <c r="B1503" s="24">
        <v>45300.0</v>
      </c>
      <c r="C1503" s="24">
        <v>45328.0</v>
      </c>
      <c r="D1503" s="24">
        <v>45304.0</v>
      </c>
      <c r="E1503" s="24">
        <v>45317.0</v>
      </c>
      <c r="F1503" s="6">
        <v>77.0</v>
      </c>
      <c r="G1503" s="9" t="str">
        <f>VLOOKUP(operations[productID],products[],2,FALSE)</f>
        <v>Original Frankfurter grüne Soße</v>
      </c>
      <c r="H1503" s="9" t="str">
        <f>IF(VLOOKUP(operations[productID],products[],7,FALSE)=1,"Discontinued","Current")</f>
        <v>Current</v>
      </c>
      <c r="I1503" s="6">
        <f>VLOOKUP(operations[productID],products[],4,FALSE)</f>
        <v>32</v>
      </c>
      <c r="J1503" s="6">
        <f>VLOOKUP(operations[productID],products[],5,FALSE)</f>
        <v>0</v>
      </c>
      <c r="K1503" s="6">
        <f>VLOOKUP(operations[productID],products[],6,FALSE)</f>
        <v>15</v>
      </c>
      <c r="L1503" s="10">
        <f t="array" ref="L1503">INDEX('1 orders'!I1503:I2156, MATCH(1, ('1 orders'!A1503:A2156=A1503)*('1 orders'!G1503:G2156=F1503), 0))
</f>
        <v>15</v>
      </c>
      <c r="M1503" s="10">
        <f>IFERROR(__xludf.DUMMYFUNCTION("COUNTUNIQUEIFS($A$2:$A1503,$F$2:$F1503,F1503)"),25.0)</f>
        <v>25</v>
      </c>
      <c r="N1503" s="10">
        <f t="shared" si="1"/>
        <v>7</v>
      </c>
      <c r="O1503" s="26">
        <f>IF(operations[sinceLastOrder]=0,0,operations[orderQuantity] / operations[sinceLastOrder])</f>
        <v>2.142857143</v>
      </c>
      <c r="P1503" s="9">
        <v>163.97</v>
      </c>
      <c r="Q1503" s="7" t="s">
        <v>17</v>
      </c>
      <c r="R1503" s="10">
        <f>operations[arrivedDate]-operations[shippedDate]</f>
        <v>13</v>
      </c>
    </row>
    <row r="1504" ht="15.75" customHeight="1">
      <c r="A1504" s="6">
        <v>10824.0</v>
      </c>
      <c r="B1504" s="24">
        <v>45300.0</v>
      </c>
      <c r="C1504" s="24">
        <v>45328.0</v>
      </c>
      <c r="D1504" s="24">
        <v>45321.0</v>
      </c>
      <c r="E1504" s="24">
        <v>45331.0</v>
      </c>
      <c r="F1504" s="6">
        <v>41.0</v>
      </c>
      <c r="G1504" s="9" t="str">
        <f>VLOOKUP(operations[productID],products[],2,FALSE)</f>
        <v>Jack's New England Clam Chowder</v>
      </c>
      <c r="H1504" s="9" t="str">
        <f>IF(VLOOKUP(operations[productID],products[],7,FALSE)=1,"Discontinued","Current")</f>
        <v>Current</v>
      </c>
      <c r="I1504" s="6">
        <f>VLOOKUP(operations[productID],products[],4,FALSE)</f>
        <v>85</v>
      </c>
      <c r="J1504" s="6">
        <f>VLOOKUP(operations[productID],products[],5,FALSE)</f>
        <v>0</v>
      </c>
      <c r="K1504" s="6">
        <f>VLOOKUP(operations[productID],products[],6,FALSE)</f>
        <v>10</v>
      </c>
      <c r="L1504" s="10">
        <f t="array" ref="L1504">INDEX('1 orders'!I1504:I2156, MATCH(1, ('1 orders'!A1504:A2156=A1504)*('1 orders'!G1504:G2156=F1504), 0))
</f>
        <v>12</v>
      </c>
      <c r="M1504" s="10">
        <f>IFERROR(__xludf.DUMMYFUNCTION("COUNTUNIQUEIFS($A$2:$A1504,$F$2:$F1504,F1504)"),32.0)</f>
        <v>32</v>
      </c>
      <c r="N1504" s="10">
        <f t="shared" si="1"/>
        <v>2</v>
      </c>
      <c r="O1504" s="26">
        <f>IF(operations[sinceLastOrder]=0,0,operations[orderQuantity] / operations[sinceLastOrder])</f>
        <v>6</v>
      </c>
      <c r="P1504" s="9">
        <v>1.23</v>
      </c>
      <c r="Q1504" s="7" t="s">
        <v>15</v>
      </c>
      <c r="R1504" s="10">
        <f>operations[arrivedDate]-operations[shippedDate]</f>
        <v>10</v>
      </c>
    </row>
    <row r="1505" ht="15.75" customHeight="1">
      <c r="A1505" s="6">
        <v>10824.0</v>
      </c>
      <c r="B1505" s="24">
        <v>45300.0</v>
      </c>
      <c r="C1505" s="24">
        <v>45328.0</v>
      </c>
      <c r="D1505" s="24">
        <v>45321.0</v>
      </c>
      <c r="E1505" s="24">
        <v>45331.0</v>
      </c>
      <c r="F1505" s="6">
        <v>70.0</v>
      </c>
      <c r="G1505" s="9" t="str">
        <f>VLOOKUP(operations[productID],products[],2,FALSE)</f>
        <v>Outback Lager</v>
      </c>
      <c r="H1505" s="9" t="str">
        <f>IF(VLOOKUP(operations[productID],products[],7,FALSE)=1,"Discontinued","Current")</f>
        <v>Current</v>
      </c>
      <c r="I1505" s="6">
        <f>VLOOKUP(operations[productID],products[],4,FALSE)</f>
        <v>15</v>
      </c>
      <c r="J1505" s="6">
        <f>VLOOKUP(operations[productID],products[],5,FALSE)</f>
        <v>10</v>
      </c>
      <c r="K1505" s="6">
        <f>VLOOKUP(operations[productID],products[],6,FALSE)</f>
        <v>30</v>
      </c>
      <c r="L1505" s="10">
        <f t="array" ref="L1505">INDEX('1 orders'!I1505:I2156, MATCH(1, ('1 orders'!A1505:A2156=A1505)*('1 orders'!G1505:G2156=F1505), 0))
</f>
        <v>9</v>
      </c>
      <c r="M1505" s="10">
        <f>IFERROR(__xludf.DUMMYFUNCTION("COUNTUNIQUEIFS($A$2:$A1505,$F$2:$F1505,F1505)"),27.0)</f>
        <v>27</v>
      </c>
      <c r="N1505" s="10">
        <f t="shared" si="1"/>
        <v>1</v>
      </c>
      <c r="O1505" s="26">
        <f>IF(operations[sinceLastOrder]=0,0,operations[orderQuantity] / operations[sinceLastOrder])</f>
        <v>9</v>
      </c>
      <c r="P1505" s="9">
        <v>1.23</v>
      </c>
      <c r="Q1505" s="7" t="s">
        <v>15</v>
      </c>
      <c r="R1505" s="10">
        <f>operations[arrivedDate]-operations[shippedDate]</f>
        <v>10</v>
      </c>
    </row>
    <row r="1506" ht="15.75" customHeight="1">
      <c r="A1506" s="6">
        <v>10825.0</v>
      </c>
      <c r="B1506" s="24">
        <v>45300.0</v>
      </c>
      <c r="C1506" s="24">
        <v>45328.0</v>
      </c>
      <c r="D1506" s="24">
        <v>45305.0</v>
      </c>
      <c r="E1506" s="24">
        <v>45308.0</v>
      </c>
      <c r="F1506" s="6">
        <v>26.0</v>
      </c>
      <c r="G1506" s="9" t="str">
        <f>VLOOKUP(operations[productID],products[],2,FALSE)</f>
        <v>NuNuCa Nuß-Nougat-Creme</v>
      </c>
      <c r="H1506" s="9" t="str">
        <f>IF(VLOOKUP(operations[productID],products[],7,FALSE)=1,"Discontinued","Current")</f>
        <v>Current</v>
      </c>
      <c r="I1506" s="6">
        <f>VLOOKUP(operations[productID],products[],4,FALSE)</f>
        <v>15</v>
      </c>
      <c r="J1506" s="6">
        <f>VLOOKUP(operations[productID],products[],5,FALSE)</f>
        <v>0</v>
      </c>
      <c r="K1506" s="6">
        <f>VLOOKUP(operations[productID],products[],6,FALSE)</f>
        <v>0</v>
      </c>
      <c r="L1506" s="10">
        <f t="array" ref="L1506">INDEX('1 orders'!I1506:I2156, MATCH(1, ('1 orders'!A1506:A2156=A1506)*('1 orders'!G1506:G2156=F1506), 0))
</f>
        <v>12</v>
      </c>
      <c r="M1506" s="10">
        <f>IFERROR(__xludf.DUMMYFUNCTION("COUNTUNIQUEIFS($A$2:$A1506,$F$2:$F1506,F1506)"),25.0)</f>
        <v>25</v>
      </c>
      <c r="N1506" s="10">
        <f t="shared" si="1"/>
        <v>3</v>
      </c>
      <c r="O1506" s="26">
        <f>IF(operations[sinceLastOrder]=0,0,operations[orderQuantity] / operations[sinceLastOrder])</f>
        <v>4</v>
      </c>
      <c r="P1506" s="9">
        <v>79.25</v>
      </c>
      <c r="Q1506" s="7" t="s">
        <v>15</v>
      </c>
      <c r="R1506" s="10">
        <f>operations[arrivedDate]-operations[shippedDate]</f>
        <v>3</v>
      </c>
    </row>
    <row r="1507" ht="15.75" customHeight="1">
      <c r="A1507" s="6">
        <v>10825.0</v>
      </c>
      <c r="B1507" s="24">
        <v>45300.0</v>
      </c>
      <c r="C1507" s="24">
        <v>45328.0</v>
      </c>
      <c r="D1507" s="24">
        <v>45305.0</v>
      </c>
      <c r="E1507" s="24">
        <v>45308.0</v>
      </c>
      <c r="F1507" s="6">
        <v>53.0</v>
      </c>
      <c r="G1507" s="9" t="str">
        <f>VLOOKUP(operations[productID],products[],2,FALSE)</f>
        <v>Perth Pasties</v>
      </c>
      <c r="H1507" s="9" t="str">
        <f>IF(VLOOKUP(operations[productID],products[],7,FALSE)=1,"Discontinued","Current")</f>
        <v>Discontinued</v>
      </c>
      <c r="I1507" s="6">
        <f>VLOOKUP(operations[productID],products[],4,FALSE)</f>
        <v>0</v>
      </c>
      <c r="J1507" s="6">
        <f>VLOOKUP(operations[productID],products[],5,FALSE)</f>
        <v>0</v>
      </c>
      <c r="K1507" s="6">
        <f>VLOOKUP(operations[productID],products[],6,FALSE)</f>
        <v>0</v>
      </c>
      <c r="L1507" s="10">
        <f t="array" ref="L1507">INDEX('1 orders'!I1507:I2156, MATCH(1, ('1 orders'!A1507:A2156=A1507)*('1 orders'!G1507:G2156=F1507), 0))
</f>
        <v>20</v>
      </c>
      <c r="M1507" s="10">
        <f>IFERROR(__xludf.DUMMYFUNCTION("COUNTUNIQUEIFS($A$2:$A1507,$F$2:$F1507,F1507)"),23.0)</f>
        <v>23</v>
      </c>
      <c r="N1507" s="10">
        <f t="shared" si="1"/>
        <v>80</v>
      </c>
      <c r="O1507" s="26">
        <f>IF(operations[sinceLastOrder]=0,0,operations[orderQuantity] / operations[sinceLastOrder])</f>
        <v>0.25</v>
      </c>
      <c r="P1507" s="9">
        <v>79.25</v>
      </c>
      <c r="Q1507" s="7" t="s">
        <v>15</v>
      </c>
      <c r="R1507" s="10">
        <f>operations[arrivedDate]-operations[shippedDate]</f>
        <v>3</v>
      </c>
    </row>
    <row r="1508" ht="15.75" customHeight="1">
      <c r="A1508" s="6">
        <v>10826.0</v>
      </c>
      <c r="B1508" s="24">
        <v>45303.0</v>
      </c>
      <c r="C1508" s="24">
        <v>45331.0</v>
      </c>
      <c r="D1508" s="24">
        <v>45328.0</v>
      </c>
      <c r="E1508" s="24">
        <v>45331.0</v>
      </c>
      <c r="F1508" s="6">
        <v>31.0</v>
      </c>
      <c r="G1508" s="9" t="str">
        <f>VLOOKUP(operations[productID],products[],2,FALSE)</f>
        <v>Gorgonzola Telino</v>
      </c>
      <c r="H1508" s="9" t="str">
        <f>IF(VLOOKUP(operations[productID],products[],7,FALSE)=1,"Discontinued","Current")</f>
        <v>Current</v>
      </c>
      <c r="I1508" s="6">
        <f>VLOOKUP(operations[productID],products[],4,FALSE)</f>
        <v>0</v>
      </c>
      <c r="J1508" s="6">
        <f>VLOOKUP(operations[productID],products[],5,FALSE)</f>
        <v>70</v>
      </c>
      <c r="K1508" s="6">
        <f>VLOOKUP(operations[productID],products[],6,FALSE)</f>
        <v>20</v>
      </c>
      <c r="L1508" s="10">
        <f t="array" ref="L1508">INDEX('1 orders'!I1508:I2156, MATCH(1, ('1 orders'!A1508:A2156=A1508)*('1 orders'!G1508:G2156=F1508), 0))
</f>
        <v>35</v>
      </c>
      <c r="M1508" s="10">
        <f>IFERROR(__xludf.DUMMYFUNCTION("COUNTUNIQUEIFS($A$2:$A1508,$F$2:$F1508,F1508)"),41.0)</f>
        <v>41</v>
      </c>
      <c r="N1508" s="10">
        <f t="shared" si="1"/>
        <v>10</v>
      </c>
      <c r="O1508" s="26">
        <f>IF(operations[sinceLastOrder]=0,0,operations[orderQuantity] / operations[sinceLastOrder])</f>
        <v>3.5</v>
      </c>
      <c r="P1508" s="9">
        <v>7.09</v>
      </c>
      <c r="Q1508" s="7" t="s">
        <v>15</v>
      </c>
      <c r="R1508" s="10">
        <f>operations[arrivedDate]-operations[shippedDate]</f>
        <v>3</v>
      </c>
    </row>
    <row r="1509" ht="15.75" customHeight="1">
      <c r="A1509" s="6">
        <v>10826.0</v>
      </c>
      <c r="B1509" s="24">
        <v>45303.0</v>
      </c>
      <c r="C1509" s="24">
        <v>45331.0</v>
      </c>
      <c r="D1509" s="24">
        <v>45328.0</v>
      </c>
      <c r="E1509" s="24">
        <v>45331.0</v>
      </c>
      <c r="F1509" s="6">
        <v>57.0</v>
      </c>
      <c r="G1509" s="9" t="str">
        <f>VLOOKUP(operations[productID],products[],2,FALSE)</f>
        <v>Ravioli Angelo</v>
      </c>
      <c r="H1509" s="9" t="str">
        <f>IF(VLOOKUP(operations[productID],products[],7,FALSE)=1,"Discontinued","Current")</f>
        <v>Current</v>
      </c>
      <c r="I1509" s="6">
        <f>VLOOKUP(operations[productID],products[],4,FALSE)</f>
        <v>36</v>
      </c>
      <c r="J1509" s="6">
        <f>VLOOKUP(operations[productID],products[],5,FALSE)</f>
        <v>0</v>
      </c>
      <c r="K1509" s="6">
        <f>VLOOKUP(operations[productID],products[],6,FALSE)</f>
        <v>20</v>
      </c>
      <c r="L1509" s="10">
        <f t="array" ref="L1509">INDEX('1 orders'!I1509:I2156, MATCH(1, ('1 orders'!A1509:A2156=A1509)*('1 orders'!G1509:G2156=F1509), 0))
</f>
        <v>15</v>
      </c>
      <c r="M1509" s="10">
        <f>IFERROR(__xludf.DUMMYFUNCTION("COUNTUNIQUEIFS($A$2:$A1509,$F$2:$F1509,F1509)"),16.0)</f>
        <v>16</v>
      </c>
      <c r="N1509" s="10">
        <f t="shared" si="1"/>
        <v>3</v>
      </c>
      <c r="O1509" s="26">
        <f>IF(operations[sinceLastOrder]=0,0,operations[orderQuantity] / operations[sinceLastOrder])</f>
        <v>5</v>
      </c>
      <c r="P1509" s="9">
        <v>7.09</v>
      </c>
      <c r="Q1509" s="7" t="s">
        <v>15</v>
      </c>
      <c r="R1509" s="10">
        <f>operations[arrivedDate]-operations[shippedDate]</f>
        <v>3</v>
      </c>
    </row>
    <row r="1510" ht="15.75" customHeight="1">
      <c r="A1510" s="6">
        <v>10827.0</v>
      </c>
      <c r="B1510" s="24">
        <v>45303.0</v>
      </c>
      <c r="C1510" s="24">
        <v>45317.0</v>
      </c>
      <c r="D1510" s="24">
        <v>45328.0</v>
      </c>
      <c r="E1510" s="24">
        <v>45338.0</v>
      </c>
      <c r="F1510" s="6">
        <v>10.0</v>
      </c>
      <c r="G1510" s="9" t="str">
        <f>VLOOKUP(operations[productID],products[],2,FALSE)</f>
        <v>Ikura</v>
      </c>
      <c r="H1510" s="9" t="str">
        <f>IF(VLOOKUP(operations[productID],products[],7,FALSE)=1,"Discontinued","Current")</f>
        <v>Current</v>
      </c>
      <c r="I1510" s="6">
        <f>VLOOKUP(operations[productID],products[],4,FALSE)</f>
        <v>31</v>
      </c>
      <c r="J1510" s="6">
        <f>VLOOKUP(operations[productID],products[],5,FALSE)</f>
        <v>0</v>
      </c>
      <c r="K1510" s="6">
        <f>VLOOKUP(operations[productID],products[],6,FALSE)</f>
        <v>0</v>
      </c>
      <c r="L1510" s="10">
        <f t="array" ref="L1510">INDEX('1 orders'!I1510:I2156, MATCH(1, ('1 orders'!A1510:A2156=A1510)*('1 orders'!G1510:G2156=F1510), 0))
</f>
        <v>15</v>
      </c>
      <c r="M1510" s="10">
        <f>IFERROR(__xludf.DUMMYFUNCTION("COUNTUNIQUEIFS($A$2:$A1510,$F$2:$F1510,F1510)"),24.0)</f>
        <v>24</v>
      </c>
      <c r="N1510" s="10">
        <f t="shared" si="1"/>
        <v>13</v>
      </c>
      <c r="O1510" s="26">
        <f>IF(operations[sinceLastOrder]=0,0,operations[orderQuantity] / operations[sinceLastOrder])</f>
        <v>1.153846154</v>
      </c>
      <c r="P1510" s="9">
        <v>63.54</v>
      </c>
      <c r="Q1510" s="7" t="s">
        <v>17</v>
      </c>
      <c r="R1510" s="10">
        <f>operations[arrivedDate]-operations[shippedDate]</f>
        <v>10</v>
      </c>
    </row>
    <row r="1511" ht="15.75" customHeight="1">
      <c r="A1511" s="6">
        <v>10827.0</v>
      </c>
      <c r="B1511" s="24">
        <v>45303.0</v>
      </c>
      <c r="C1511" s="24">
        <v>45317.0</v>
      </c>
      <c r="D1511" s="24">
        <v>45328.0</v>
      </c>
      <c r="E1511" s="24">
        <v>45338.0</v>
      </c>
      <c r="F1511" s="6">
        <v>39.0</v>
      </c>
      <c r="G1511" s="9" t="str">
        <f>VLOOKUP(operations[productID],products[],2,FALSE)</f>
        <v>Chartreuse verte</v>
      </c>
      <c r="H1511" s="9" t="str">
        <f>IF(VLOOKUP(operations[productID],products[],7,FALSE)=1,"Discontinued","Current")</f>
        <v>Current</v>
      </c>
      <c r="I1511" s="6">
        <f>VLOOKUP(operations[productID],products[],4,FALSE)</f>
        <v>69</v>
      </c>
      <c r="J1511" s="6">
        <f>VLOOKUP(operations[productID],products[],5,FALSE)</f>
        <v>0</v>
      </c>
      <c r="K1511" s="6">
        <f>VLOOKUP(operations[productID],products[],6,FALSE)</f>
        <v>5</v>
      </c>
      <c r="L1511" s="10">
        <f t="array" ref="L1511">INDEX('1 orders'!I1511:I2156, MATCH(1, ('1 orders'!A1511:A2156=A1511)*('1 orders'!G1511:G2156=F1511), 0))
</f>
        <v>21</v>
      </c>
      <c r="M1511" s="10">
        <f>IFERROR(__xludf.DUMMYFUNCTION("COUNTUNIQUEIFS($A$2:$A1511,$F$2:$F1511,F1511)"),22.0)</f>
        <v>22</v>
      </c>
      <c r="N1511" s="10">
        <f t="shared" si="1"/>
        <v>25</v>
      </c>
      <c r="O1511" s="26">
        <f>IF(operations[sinceLastOrder]=0,0,operations[orderQuantity] / operations[sinceLastOrder])</f>
        <v>0.84</v>
      </c>
      <c r="P1511" s="9">
        <v>63.54</v>
      </c>
      <c r="Q1511" s="7" t="s">
        <v>17</v>
      </c>
      <c r="R1511" s="10">
        <f>operations[arrivedDate]-operations[shippedDate]</f>
        <v>10</v>
      </c>
    </row>
    <row r="1512" ht="15.75" customHeight="1">
      <c r="A1512" s="6">
        <v>10828.0</v>
      </c>
      <c r="B1512" s="24">
        <v>45304.0</v>
      </c>
      <c r="C1512" s="24">
        <v>45318.0</v>
      </c>
      <c r="D1512" s="24">
        <v>45326.0</v>
      </c>
      <c r="E1512" s="24">
        <v>45338.0</v>
      </c>
      <c r="F1512" s="6">
        <v>20.0</v>
      </c>
      <c r="G1512" s="9" t="str">
        <f>VLOOKUP(operations[productID],products[],2,FALSE)</f>
        <v>Sir Rodney's Marmalade</v>
      </c>
      <c r="H1512" s="9" t="str">
        <f>IF(VLOOKUP(operations[productID],products[],7,FALSE)=1,"Discontinued","Current")</f>
        <v>Current</v>
      </c>
      <c r="I1512" s="6">
        <f>VLOOKUP(operations[productID],products[],4,FALSE)</f>
        <v>40</v>
      </c>
      <c r="J1512" s="6">
        <f>VLOOKUP(operations[productID],products[],5,FALSE)</f>
        <v>0</v>
      </c>
      <c r="K1512" s="6">
        <f>VLOOKUP(operations[productID],products[],6,FALSE)</f>
        <v>0</v>
      </c>
      <c r="L1512" s="10">
        <f t="array" ref="L1512">INDEX('1 orders'!I1512:I2156, MATCH(1, ('1 orders'!A1512:A2156=A1512)*('1 orders'!G1512:G2156=F1512), 0))
</f>
        <v>5</v>
      </c>
      <c r="M1512" s="10">
        <f>IFERROR(__xludf.DUMMYFUNCTION("COUNTUNIQUEIFS($A$2:$A1512,$F$2:$F1512,F1512)"),10.0)</f>
        <v>10</v>
      </c>
      <c r="N1512" s="10">
        <f t="shared" si="1"/>
        <v>127</v>
      </c>
      <c r="O1512" s="26">
        <f>IF(operations[sinceLastOrder]=0,0,operations[orderQuantity] / operations[sinceLastOrder])</f>
        <v>0.03937007874</v>
      </c>
      <c r="P1512" s="9">
        <v>90.85</v>
      </c>
      <c r="Q1512" s="7" t="s">
        <v>15</v>
      </c>
      <c r="R1512" s="10">
        <f>operations[arrivedDate]-operations[shippedDate]</f>
        <v>12</v>
      </c>
    </row>
    <row r="1513" ht="15.75" customHeight="1">
      <c r="A1513" s="6">
        <v>10828.0</v>
      </c>
      <c r="B1513" s="24">
        <v>45304.0</v>
      </c>
      <c r="C1513" s="24">
        <v>45318.0</v>
      </c>
      <c r="D1513" s="24">
        <v>45326.0</v>
      </c>
      <c r="E1513" s="24">
        <v>45338.0</v>
      </c>
      <c r="F1513" s="6">
        <v>38.0</v>
      </c>
      <c r="G1513" s="9" t="str">
        <f>VLOOKUP(operations[productID],products[],2,FALSE)</f>
        <v>Côte de Blaye</v>
      </c>
      <c r="H1513" s="9" t="str">
        <f>IF(VLOOKUP(operations[productID],products[],7,FALSE)=1,"Discontinued","Current")</f>
        <v>Current</v>
      </c>
      <c r="I1513" s="6">
        <f>VLOOKUP(operations[productID],products[],4,FALSE)</f>
        <v>17</v>
      </c>
      <c r="J1513" s="6">
        <f>VLOOKUP(operations[productID],products[],5,FALSE)</f>
        <v>0</v>
      </c>
      <c r="K1513" s="6">
        <f>VLOOKUP(operations[productID],products[],6,FALSE)</f>
        <v>15</v>
      </c>
      <c r="L1513" s="10">
        <f t="array" ref="L1513">INDEX('1 orders'!I1513:I2156, MATCH(1, ('1 orders'!A1513:A2156=A1513)*('1 orders'!G1513:G2156=F1513), 0))
</f>
        <v>2</v>
      </c>
      <c r="M1513" s="10">
        <f>IFERROR(__xludf.DUMMYFUNCTION("COUNTUNIQUEIFS($A$2:$A1513,$F$2:$F1513,F1513)"),18.0)</f>
        <v>18</v>
      </c>
      <c r="N1513" s="10">
        <f t="shared" si="1"/>
        <v>7</v>
      </c>
      <c r="O1513" s="26">
        <f>IF(operations[sinceLastOrder]=0,0,operations[orderQuantity] / operations[sinceLastOrder])</f>
        <v>0.2857142857</v>
      </c>
      <c r="P1513" s="9">
        <v>90.85</v>
      </c>
      <c r="Q1513" s="7" t="s">
        <v>15</v>
      </c>
      <c r="R1513" s="10">
        <f>operations[arrivedDate]-operations[shippedDate]</f>
        <v>12</v>
      </c>
    </row>
    <row r="1514" ht="15.75" customHeight="1">
      <c r="A1514" s="6">
        <v>10829.0</v>
      </c>
      <c r="B1514" s="24">
        <v>45304.0</v>
      </c>
      <c r="C1514" s="24">
        <v>45332.0</v>
      </c>
      <c r="D1514" s="24">
        <v>45314.0</v>
      </c>
      <c r="E1514" s="24">
        <v>45321.0</v>
      </c>
      <c r="F1514" s="6">
        <v>2.0</v>
      </c>
      <c r="G1514" s="9" t="str">
        <f>VLOOKUP(operations[productID],products[],2,FALSE)</f>
        <v>Chang</v>
      </c>
      <c r="H1514" s="9" t="str">
        <f>IF(VLOOKUP(operations[productID],products[],7,FALSE)=1,"Discontinued","Current")</f>
        <v>Current</v>
      </c>
      <c r="I1514" s="6">
        <f>VLOOKUP(operations[productID],products[],4,FALSE)</f>
        <v>17</v>
      </c>
      <c r="J1514" s="6">
        <f>VLOOKUP(operations[productID],products[],5,FALSE)</f>
        <v>40</v>
      </c>
      <c r="K1514" s="6">
        <f>VLOOKUP(operations[productID],products[],6,FALSE)</f>
        <v>25</v>
      </c>
      <c r="L1514" s="10">
        <f t="array" ref="L1514">INDEX('1 orders'!I1514:I2156, MATCH(1, ('1 orders'!A1514:A2156=A1514)*('1 orders'!G1514:G2156=F1514), 0))
</f>
        <v>10</v>
      </c>
      <c r="M1514" s="10">
        <f>IFERROR(__xludf.DUMMYFUNCTION("COUNTUNIQUEIFS($A$2:$A1514,$F$2:$F1514,F1514)"),28.0)</f>
        <v>28</v>
      </c>
      <c r="N1514" s="10">
        <f t="shared" si="1"/>
        <v>8</v>
      </c>
      <c r="O1514" s="26">
        <f>IF(operations[sinceLastOrder]=0,0,operations[orderQuantity] / operations[sinceLastOrder])</f>
        <v>1.25</v>
      </c>
      <c r="P1514" s="9">
        <v>154.72</v>
      </c>
      <c r="Q1514" s="7" t="s">
        <v>15</v>
      </c>
      <c r="R1514" s="10">
        <f>operations[arrivedDate]-operations[shippedDate]</f>
        <v>7</v>
      </c>
    </row>
    <row r="1515" ht="15.75" customHeight="1">
      <c r="A1515" s="6">
        <v>10829.0</v>
      </c>
      <c r="B1515" s="24">
        <v>45304.0</v>
      </c>
      <c r="C1515" s="24">
        <v>45332.0</v>
      </c>
      <c r="D1515" s="24">
        <v>45314.0</v>
      </c>
      <c r="E1515" s="24">
        <v>45321.0</v>
      </c>
      <c r="F1515" s="6">
        <v>8.0</v>
      </c>
      <c r="G1515" s="9" t="str">
        <f>VLOOKUP(operations[productID],products[],2,FALSE)</f>
        <v>Northwoods Cranberry Sauce</v>
      </c>
      <c r="H1515" s="9" t="str">
        <f>IF(VLOOKUP(operations[productID],products[],7,FALSE)=1,"Discontinued","Current")</f>
        <v>Current</v>
      </c>
      <c r="I1515" s="6">
        <f>VLOOKUP(operations[productID],products[],4,FALSE)</f>
        <v>6</v>
      </c>
      <c r="J1515" s="6">
        <f>VLOOKUP(operations[productID],products[],5,FALSE)</f>
        <v>0</v>
      </c>
      <c r="K1515" s="6">
        <f>VLOOKUP(operations[productID],products[],6,FALSE)</f>
        <v>0</v>
      </c>
      <c r="L1515" s="10">
        <f t="array" ref="L1515">INDEX('1 orders'!I1515:I2156, MATCH(1, ('1 orders'!A1515:A2156=A1515)*('1 orders'!G1515:G2156=F1515), 0))
</f>
        <v>20</v>
      </c>
      <c r="M1515" s="10">
        <f>IFERROR(__xludf.DUMMYFUNCTION("COUNTUNIQUEIFS($A$2:$A1515,$F$2:$F1515,F1515)"),8.0)</f>
        <v>8</v>
      </c>
      <c r="N1515" s="10">
        <f t="shared" si="1"/>
        <v>25</v>
      </c>
      <c r="O1515" s="26">
        <f>IF(operations[sinceLastOrder]=0,0,operations[orderQuantity] / operations[sinceLastOrder])</f>
        <v>0.8</v>
      </c>
      <c r="P1515" s="9">
        <v>154.72</v>
      </c>
      <c r="Q1515" s="7" t="s">
        <v>15</v>
      </c>
      <c r="R1515" s="10">
        <f>operations[arrivedDate]-operations[shippedDate]</f>
        <v>7</v>
      </c>
    </row>
    <row r="1516" ht="15.75" customHeight="1">
      <c r="A1516" s="6">
        <v>10829.0</v>
      </c>
      <c r="B1516" s="24">
        <v>45304.0</v>
      </c>
      <c r="C1516" s="24">
        <v>45332.0</v>
      </c>
      <c r="D1516" s="24">
        <v>45314.0</v>
      </c>
      <c r="E1516" s="24">
        <v>45321.0</v>
      </c>
      <c r="F1516" s="6">
        <v>13.0</v>
      </c>
      <c r="G1516" s="9" t="str">
        <f>VLOOKUP(operations[productID],products[],2,FALSE)</f>
        <v>Konbu</v>
      </c>
      <c r="H1516" s="9" t="str">
        <f>IF(VLOOKUP(operations[productID],products[],7,FALSE)=1,"Discontinued","Current")</f>
        <v>Current</v>
      </c>
      <c r="I1516" s="6">
        <f>VLOOKUP(operations[productID],products[],4,FALSE)</f>
        <v>24</v>
      </c>
      <c r="J1516" s="6">
        <f>VLOOKUP(operations[productID],products[],5,FALSE)</f>
        <v>0</v>
      </c>
      <c r="K1516" s="6">
        <f>VLOOKUP(operations[productID],products[],6,FALSE)</f>
        <v>5</v>
      </c>
      <c r="L1516" s="10">
        <f t="array" ref="L1516">INDEX('1 orders'!I1516:I2156, MATCH(1, ('1 orders'!A1516:A2156=A1516)*('1 orders'!G1516:G2156=F1516), 0))
</f>
        <v>10</v>
      </c>
      <c r="M1516" s="10">
        <f>IFERROR(__xludf.DUMMYFUNCTION("COUNTUNIQUEIFS($A$2:$A1516,$F$2:$F1516,F1516)"),19.0)</f>
        <v>19</v>
      </c>
      <c r="N1516" s="10">
        <f t="shared" si="1"/>
        <v>12</v>
      </c>
      <c r="O1516" s="26">
        <f>IF(operations[sinceLastOrder]=0,0,operations[orderQuantity] / operations[sinceLastOrder])</f>
        <v>0.8333333333</v>
      </c>
      <c r="P1516" s="9">
        <v>154.72</v>
      </c>
      <c r="Q1516" s="7" t="s">
        <v>15</v>
      </c>
      <c r="R1516" s="10">
        <f>operations[arrivedDate]-operations[shippedDate]</f>
        <v>7</v>
      </c>
    </row>
    <row r="1517" ht="15.75" customHeight="1">
      <c r="A1517" s="6">
        <v>10829.0</v>
      </c>
      <c r="B1517" s="24">
        <v>45304.0</v>
      </c>
      <c r="C1517" s="24">
        <v>45332.0</v>
      </c>
      <c r="D1517" s="24">
        <v>45314.0</v>
      </c>
      <c r="E1517" s="24">
        <v>45321.0</v>
      </c>
      <c r="F1517" s="6">
        <v>60.0</v>
      </c>
      <c r="G1517" s="9" t="str">
        <f>VLOOKUP(operations[productID],products[],2,FALSE)</f>
        <v>Camembert Pierrot</v>
      </c>
      <c r="H1517" s="9" t="str">
        <f>IF(VLOOKUP(operations[productID],products[],7,FALSE)=1,"Discontinued","Current")</f>
        <v>Current</v>
      </c>
      <c r="I1517" s="6">
        <f>VLOOKUP(operations[productID],products[],4,FALSE)</f>
        <v>19</v>
      </c>
      <c r="J1517" s="6">
        <f>VLOOKUP(operations[productID],products[],5,FALSE)</f>
        <v>0</v>
      </c>
      <c r="K1517" s="6">
        <f>VLOOKUP(operations[productID],products[],6,FALSE)</f>
        <v>0</v>
      </c>
      <c r="L1517" s="10">
        <f t="array" ref="L1517">INDEX('1 orders'!I1517:I2156, MATCH(1, ('1 orders'!A1517:A2156=A1517)*('1 orders'!G1517:G2156=F1517), 0))
</f>
        <v>21</v>
      </c>
      <c r="M1517" s="10">
        <f>IFERROR(__xludf.DUMMYFUNCTION("COUNTUNIQUEIFS($A$2:$A1517,$F$2:$F1517,F1517)"),33.0)</f>
        <v>33</v>
      </c>
      <c r="N1517" s="10">
        <f t="shared" si="1"/>
        <v>36</v>
      </c>
      <c r="O1517" s="26">
        <f>IF(operations[sinceLastOrder]=0,0,operations[orderQuantity] / operations[sinceLastOrder])</f>
        <v>0.5833333333</v>
      </c>
      <c r="P1517" s="9">
        <v>154.72</v>
      </c>
      <c r="Q1517" s="7" t="s">
        <v>15</v>
      </c>
      <c r="R1517" s="10">
        <f>operations[arrivedDate]-operations[shippedDate]</f>
        <v>7</v>
      </c>
    </row>
    <row r="1518" ht="15.75" customHeight="1">
      <c r="A1518" s="6">
        <v>10830.0</v>
      </c>
      <c r="B1518" s="24">
        <v>45304.0</v>
      </c>
      <c r="C1518" s="24">
        <v>45346.0</v>
      </c>
      <c r="D1518" s="24">
        <v>45312.0</v>
      </c>
      <c r="E1518" s="24">
        <v>45329.0</v>
      </c>
      <c r="F1518" s="6">
        <v>6.0</v>
      </c>
      <c r="G1518" s="9" t="str">
        <f>VLOOKUP(operations[productID],products[],2,FALSE)</f>
        <v>Grandma's Boysenberry Spread</v>
      </c>
      <c r="H1518" s="9" t="str">
        <f>IF(VLOOKUP(operations[productID],products[],7,FALSE)=1,"Discontinued","Current")</f>
        <v>Current</v>
      </c>
      <c r="I1518" s="6">
        <f>VLOOKUP(operations[productID],products[],4,FALSE)</f>
        <v>120</v>
      </c>
      <c r="J1518" s="6">
        <f>VLOOKUP(operations[productID],products[],5,FALSE)</f>
        <v>0</v>
      </c>
      <c r="K1518" s="6">
        <f>VLOOKUP(operations[productID],products[],6,FALSE)</f>
        <v>25</v>
      </c>
      <c r="L1518" s="10">
        <f t="array" ref="L1518">INDEX('1 orders'!I1518:I2156, MATCH(1, ('1 orders'!A1518:A2156=A1518)*('1 orders'!G1518:G2156=F1518), 0))
</f>
        <v>6</v>
      </c>
      <c r="M1518" s="10">
        <f>IFERROR(__xludf.DUMMYFUNCTION("COUNTUNIQUEIFS($A$2:$A1518,$F$2:$F1518,F1518)"),5.0)</f>
        <v>5</v>
      </c>
      <c r="N1518" s="10">
        <f t="shared" si="1"/>
        <v>67</v>
      </c>
      <c r="O1518" s="26">
        <f>IF(operations[sinceLastOrder]=0,0,operations[orderQuantity] / operations[sinceLastOrder])</f>
        <v>0.08955223881</v>
      </c>
      <c r="P1518" s="9">
        <v>81.83</v>
      </c>
      <c r="Q1518" s="7" t="s">
        <v>17</v>
      </c>
      <c r="R1518" s="10">
        <f>operations[arrivedDate]-operations[shippedDate]</f>
        <v>17</v>
      </c>
    </row>
    <row r="1519" ht="15.75" customHeight="1">
      <c r="A1519" s="6">
        <v>10830.0</v>
      </c>
      <c r="B1519" s="24">
        <v>45304.0</v>
      </c>
      <c r="C1519" s="24">
        <v>45346.0</v>
      </c>
      <c r="D1519" s="24">
        <v>45312.0</v>
      </c>
      <c r="E1519" s="24">
        <v>45329.0</v>
      </c>
      <c r="F1519" s="6">
        <v>39.0</v>
      </c>
      <c r="G1519" s="9" t="str">
        <f>VLOOKUP(operations[productID],products[],2,FALSE)</f>
        <v>Chartreuse verte</v>
      </c>
      <c r="H1519" s="9" t="str">
        <f>IF(VLOOKUP(operations[productID],products[],7,FALSE)=1,"Discontinued","Current")</f>
        <v>Current</v>
      </c>
      <c r="I1519" s="6">
        <f>VLOOKUP(operations[productID],products[],4,FALSE)</f>
        <v>69</v>
      </c>
      <c r="J1519" s="6">
        <f>VLOOKUP(operations[productID],products[],5,FALSE)</f>
        <v>0</v>
      </c>
      <c r="K1519" s="6">
        <f>VLOOKUP(operations[productID],products[],6,FALSE)</f>
        <v>5</v>
      </c>
      <c r="L1519" s="10">
        <f t="array" ref="L1519">INDEX('1 orders'!I1519:I2156, MATCH(1, ('1 orders'!A1519:A2156=A1519)*('1 orders'!G1519:G2156=F1519), 0))
</f>
        <v>28</v>
      </c>
      <c r="M1519" s="10">
        <f>IFERROR(__xludf.DUMMYFUNCTION("COUNTUNIQUEIFS($A$2:$A1519,$F$2:$F1519,F1519)"),23.0)</f>
        <v>23</v>
      </c>
      <c r="N1519" s="10">
        <f t="shared" si="1"/>
        <v>1</v>
      </c>
      <c r="O1519" s="26">
        <f>IF(operations[sinceLastOrder]=0,0,operations[orderQuantity] / operations[sinceLastOrder])</f>
        <v>28</v>
      </c>
      <c r="P1519" s="9">
        <v>81.83</v>
      </c>
      <c r="Q1519" s="7" t="s">
        <v>17</v>
      </c>
      <c r="R1519" s="10">
        <f>operations[arrivedDate]-operations[shippedDate]</f>
        <v>17</v>
      </c>
    </row>
    <row r="1520" ht="15.75" customHeight="1">
      <c r="A1520" s="6">
        <v>10830.0</v>
      </c>
      <c r="B1520" s="24">
        <v>45304.0</v>
      </c>
      <c r="C1520" s="24">
        <v>45346.0</v>
      </c>
      <c r="D1520" s="24">
        <v>45312.0</v>
      </c>
      <c r="E1520" s="24">
        <v>45329.0</v>
      </c>
      <c r="F1520" s="6">
        <v>60.0</v>
      </c>
      <c r="G1520" s="9" t="str">
        <f>VLOOKUP(operations[productID],products[],2,FALSE)</f>
        <v>Camembert Pierrot</v>
      </c>
      <c r="H1520" s="9" t="str">
        <f>IF(VLOOKUP(operations[productID],products[],7,FALSE)=1,"Discontinued","Current")</f>
        <v>Current</v>
      </c>
      <c r="I1520" s="6">
        <f>VLOOKUP(operations[productID],products[],4,FALSE)</f>
        <v>19</v>
      </c>
      <c r="J1520" s="6">
        <f>VLOOKUP(operations[productID],products[],5,FALSE)</f>
        <v>0</v>
      </c>
      <c r="K1520" s="6">
        <f>VLOOKUP(operations[productID],products[],6,FALSE)</f>
        <v>0</v>
      </c>
      <c r="L1520" s="10">
        <f t="array" ref="L1520">INDEX('1 orders'!I1520:I2156, MATCH(1, ('1 orders'!A1520:A2156=A1520)*('1 orders'!G1520:G2156=F1520), 0))
</f>
        <v>30</v>
      </c>
      <c r="M1520" s="10">
        <f>IFERROR(__xludf.DUMMYFUNCTION("COUNTUNIQUEIFS($A$2:$A1520,$F$2:$F1520,F1520)"),34.0)</f>
        <v>34</v>
      </c>
      <c r="N1520" s="10">
        <f t="shared" si="1"/>
        <v>0</v>
      </c>
      <c r="O1520" s="26">
        <f>IF(operations[sinceLastOrder]=0,0,operations[orderQuantity] / operations[sinceLastOrder])</f>
        <v>0</v>
      </c>
      <c r="P1520" s="9">
        <v>81.83</v>
      </c>
      <c r="Q1520" s="7" t="s">
        <v>17</v>
      </c>
      <c r="R1520" s="10">
        <f>operations[arrivedDate]-operations[shippedDate]</f>
        <v>17</v>
      </c>
    </row>
    <row r="1521" ht="15.75" customHeight="1">
      <c r="A1521" s="6">
        <v>10830.0</v>
      </c>
      <c r="B1521" s="24">
        <v>45304.0</v>
      </c>
      <c r="C1521" s="24">
        <v>45346.0</v>
      </c>
      <c r="D1521" s="24">
        <v>45312.0</v>
      </c>
      <c r="E1521" s="24">
        <v>45329.0</v>
      </c>
      <c r="F1521" s="6">
        <v>68.0</v>
      </c>
      <c r="G1521" s="9" t="str">
        <f>VLOOKUP(operations[productID],products[],2,FALSE)</f>
        <v>Scottish Longbreads</v>
      </c>
      <c r="H1521" s="9" t="str">
        <f>IF(VLOOKUP(operations[productID],products[],7,FALSE)=1,"Discontinued","Current")</f>
        <v>Current</v>
      </c>
      <c r="I1521" s="6">
        <f>VLOOKUP(operations[productID],products[],4,FALSE)</f>
        <v>6</v>
      </c>
      <c r="J1521" s="6">
        <f>VLOOKUP(operations[productID],products[],5,FALSE)</f>
        <v>10</v>
      </c>
      <c r="K1521" s="6">
        <f>VLOOKUP(operations[productID],products[],6,FALSE)</f>
        <v>15</v>
      </c>
      <c r="L1521" s="10">
        <f t="array" ref="L1521">INDEX('1 orders'!I1521:I2156, MATCH(1, ('1 orders'!A1521:A2156=A1521)*('1 orders'!G1521:G2156=F1521), 0))
</f>
        <v>24</v>
      </c>
      <c r="M1521" s="10">
        <f>IFERROR(__xludf.DUMMYFUNCTION("COUNTUNIQUEIFS($A$2:$A1521,$F$2:$F1521,F1521)"),26.0)</f>
        <v>26</v>
      </c>
      <c r="N1521" s="10">
        <f t="shared" si="1"/>
        <v>21</v>
      </c>
      <c r="O1521" s="26">
        <f>IF(operations[sinceLastOrder]=0,0,operations[orderQuantity] / operations[sinceLastOrder])</f>
        <v>1.142857143</v>
      </c>
      <c r="P1521" s="9">
        <v>81.83</v>
      </c>
      <c r="Q1521" s="7" t="s">
        <v>17</v>
      </c>
      <c r="R1521" s="10">
        <f>operations[arrivedDate]-operations[shippedDate]</f>
        <v>17</v>
      </c>
    </row>
    <row r="1522" ht="15.75" customHeight="1">
      <c r="A1522" s="6">
        <v>10831.0</v>
      </c>
      <c r="B1522" s="24">
        <v>45305.0</v>
      </c>
      <c r="C1522" s="24">
        <v>45333.0</v>
      </c>
      <c r="D1522" s="24">
        <v>45314.0</v>
      </c>
      <c r="E1522" s="24">
        <v>45326.0</v>
      </c>
      <c r="F1522" s="6">
        <v>19.0</v>
      </c>
      <c r="G1522" s="9" t="str">
        <f>VLOOKUP(operations[productID],products[],2,FALSE)</f>
        <v>Teatime Chocolate Biscuits</v>
      </c>
      <c r="H1522" s="9" t="str">
        <f>IF(VLOOKUP(operations[productID],products[],7,FALSE)=1,"Discontinued","Current")</f>
        <v>Current</v>
      </c>
      <c r="I1522" s="6">
        <f>VLOOKUP(operations[productID],products[],4,FALSE)</f>
        <v>25</v>
      </c>
      <c r="J1522" s="6">
        <f>VLOOKUP(operations[productID],products[],5,FALSE)</f>
        <v>0</v>
      </c>
      <c r="K1522" s="6">
        <f>VLOOKUP(operations[productID],products[],6,FALSE)</f>
        <v>5</v>
      </c>
      <c r="L1522" s="10">
        <f t="array" ref="L1522">INDEX('1 orders'!I1522:I2156, MATCH(1, ('1 orders'!A1522:A2156=A1522)*('1 orders'!G1522:G2156=F1522), 0))
</f>
        <v>2</v>
      </c>
      <c r="M1522" s="10">
        <f>IFERROR(__xludf.DUMMYFUNCTION("COUNTUNIQUEIFS($A$2:$A1522,$F$2:$F1522,F1522)"),28.0)</f>
        <v>28</v>
      </c>
      <c r="N1522" s="10">
        <f t="shared" si="1"/>
        <v>12</v>
      </c>
      <c r="O1522" s="26">
        <f>IF(operations[sinceLastOrder]=0,0,operations[orderQuantity] / operations[sinceLastOrder])</f>
        <v>0.1666666667</v>
      </c>
      <c r="P1522" s="9">
        <v>72.19</v>
      </c>
      <c r="Q1522" s="7" t="s">
        <v>17</v>
      </c>
      <c r="R1522" s="10">
        <f>operations[arrivedDate]-operations[shippedDate]</f>
        <v>12</v>
      </c>
    </row>
    <row r="1523" ht="15.75" customHeight="1">
      <c r="A1523" s="6">
        <v>10831.0</v>
      </c>
      <c r="B1523" s="24">
        <v>45305.0</v>
      </c>
      <c r="C1523" s="24">
        <v>45333.0</v>
      </c>
      <c r="D1523" s="24">
        <v>45314.0</v>
      </c>
      <c r="E1523" s="24">
        <v>45326.0</v>
      </c>
      <c r="F1523" s="6">
        <v>35.0</v>
      </c>
      <c r="G1523" s="9" t="str">
        <f>VLOOKUP(operations[productID],products[],2,FALSE)</f>
        <v>Cold Brew Nitro</v>
      </c>
      <c r="H1523" s="9" t="str">
        <f>IF(VLOOKUP(operations[productID],products[],7,FALSE)=1,"Discontinued","Current")</f>
        <v>Current</v>
      </c>
      <c r="I1523" s="6">
        <f>VLOOKUP(operations[productID],products[],4,FALSE)</f>
        <v>20</v>
      </c>
      <c r="J1523" s="6">
        <f>VLOOKUP(operations[productID],products[],5,FALSE)</f>
        <v>0</v>
      </c>
      <c r="K1523" s="6">
        <f>VLOOKUP(operations[productID],products[],6,FALSE)</f>
        <v>15</v>
      </c>
      <c r="L1523" s="10">
        <f t="array" ref="L1523">INDEX('1 orders'!I1523:I2156, MATCH(1, ('1 orders'!A1523:A2156=A1523)*('1 orders'!G1523:G2156=F1523), 0))
</f>
        <v>8</v>
      </c>
      <c r="M1523" s="10">
        <f>IFERROR(__xludf.DUMMYFUNCTION("COUNTUNIQUEIFS($A$2:$A1523,$F$2:$F1523,F1523)"),25.0)</f>
        <v>25</v>
      </c>
      <c r="N1523" s="10">
        <f t="shared" si="1"/>
        <v>6</v>
      </c>
      <c r="O1523" s="26">
        <f>IF(operations[sinceLastOrder]=0,0,operations[orderQuantity] / operations[sinceLastOrder])</f>
        <v>1.333333333</v>
      </c>
      <c r="P1523" s="9">
        <v>72.19</v>
      </c>
      <c r="Q1523" s="7" t="s">
        <v>17</v>
      </c>
      <c r="R1523" s="10">
        <f>operations[arrivedDate]-operations[shippedDate]</f>
        <v>12</v>
      </c>
    </row>
    <row r="1524" ht="15.75" customHeight="1">
      <c r="A1524" s="6">
        <v>10831.0</v>
      </c>
      <c r="B1524" s="24">
        <v>45305.0</v>
      </c>
      <c r="C1524" s="24">
        <v>45333.0</v>
      </c>
      <c r="D1524" s="24">
        <v>45314.0</v>
      </c>
      <c r="E1524" s="24">
        <v>45326.0</v>
      </c>
      <c r="F1524" s="6">
        <v>38.0</v>
      </c>
      <c r="G1524" s="9" t="str">
        <f>VLOOKUP(operations[productID],products[],2,FALSE)</f>
        <v>Côte de Blaye</v>
      </c>
      <c r="H1524" s="9" t="str">
        <f>IF(VLOOKUP(operations[productID],products[],7,FALSE)=1,"Discontinued","Current")</f>
        <v>Current</v>
      </c>
      <c r="I1524" s="6">
        <f>VLOOKUP(operations[productID],products[],4,FALSE)</f>
        <v>17</v>
      </c>
      <c r="J1524" s="6">
        <f>VLOOKUP(operations[productID],products[],5,FALSE)</f>
        <v>0</v>
      </c>
      <c r="K1524" s="6">
        <f>VLOOKUP(operations[productID],products[],6,FALSE)</f>
        <v>15</v>
      </c>
      <c r="L1524" s="10">
        <f t="array" ref="L1524">INDEX('1 orders'!I1524:I2156, MATCH(1, ('1 orders'!A1524:A2156=A1524)*('1 orders'!G1524:G2156=F1524), 0))
</f>
        <v>8</v>
      </c>
      <c r="M1524" s="10">
        <f>IFERROR(__xludf.DUMMYFUNCTION("COUNTUNIQUEIFS($A$2:$A1524,$F$2:$F1524,F1524)"),19.0)</f>
        <v>19</v>
      </c>
      <c r="N1524" s="10">
        <f t="shared" si="1"/>
        <v>1</v>
      </c>
      <c r="O1524" s="26">
        <f>IF(operations[sinceLastOrder]=0,0,operations[orderQuantity] / operations[sinceLastOrder])</f>
        <v>8</v>
      </c>
      <c r="P1524" s="9">
        <v>72.19</v>
      </c>
      <c r="Q1524" s="7" t="s">
        <v>17</v>
      </c>
      <c r="R1524" s="10">
        <f>operations[arrivedDate]-operations[shippedDate]</f>
        <v>12</v>
      </c>
    </row>
    <row r="1525" ht="15.75" customHeight="1">
      <c r="A1525" s="6">
        <v>10831.0</v>
      </c>
      <c r="B1525" s="24">
        <v>45305.0</v>
      </c>
      <c r="C1525" s="24">
        <v>45333.0</v>
      </c>
      <c r="D1525" s="24">
        <v>45314.0</v>
      </c>
      <c r="E1525" s="24">
        <v>45326.0</v>
      </c>
      <c r="F1525" s="6">
        <v>43.0</v>
      </c>
      <c r="G1525" s="9" t="str">
        <f>VLOOKUP(operations[productID],products[],2,FALSE)</f>
        <v>Ipoh Coffee</v>
      </c>
      <c r="H1525" s="9" t="str">
        <f>IF(VLOOKUP(operations[productID],products[],7,FALSE)=1,"Discontinued","Current")</f>
        <v>Current</v>
      </c>
      <c r="I1525" s="6">
        <f>VLOOKUP(operations[productID],products[],4,FALSE)</f>
        <v>17</v>
      </c>
      <c r="J1525" s="6">
        <f>VLOOKUP(operations[productID],products[],5,FALSE)</f>
        <v>10</v>
      </c>
      <c r="K1525" s="6">
        <f>VLOOKUP(operations[productID],products[],6,FALSE)</f>
        <v>25</v>
      </c>
      <c r="L1525" s="10">
        <f t="array" ref="L1525">INDEX('1 orders'!I1525:I2156, MATCH(1, ('1 orders'!A1525:A2156=A1525)*('1 orders'!G1525:G2156=F1525), 0))
</f>
        <v>9</v>
      </c>
      <c r="M1525" s="10">
        <f>IFERROR(__xludf.DUMMYFUNCTION("COUNTUNIQUEIFS($A$2:$A1525,$F$2:$F1525,F1525)"),20.0)</f>
        <v>20</v>
      </c>
      <c r="N1525" s="10">
        <f t="shared" si="1"/>
        <v>7</v>
      </c>
      <c r="O1525" s="26">
        <f>IF(operations[sinceLastOrder]=0,0,operations[orderQuantity] / operations[sinceLastOrder])</f>
        <v>1.285714286</v>
      </c>
      <c r="P1525" s="9">
        <v>72.19</v>
      </c>
      <c r="Q1525" s="7" t="s">
        <v>17</v>
      </c>
      <c r="R1525" s="10">
        <f>operations[arrivedDate]-operations[shippedDate]</f>
        <v>12</v>
      </c>
    </row>
    <row r="1526" ht="15.75" customHeight="1">
      <c r="A1526" s="6">
        <v>10832.0</v>
      </c>
      <c r="B1526" s="24">
        <v>45305.0</v>
      </c>
      <c r="C1526" s="24">
        <v>45333.0</v>
      </c>
      <c r="D1526" s="24">
        <v>45310.0</v>
      </c>
      <c r="E1526" s="24">
        <v>45317.0</v>
      </c>
      <c r="F1526" s="6">
        <v>13.0</v>
      </c>
      <c r="G1526" s="9" t="str">
        <f>VLOOKUP(operations[productID],products[],2,FALSE)</f>
        <v>Konbu</v>
      </c>
      <c r="H1526" s="9" t="str">
        <f>IF(VLOOKUP(operations[productID],products[],7,FALSE)=1,"Discontinued","Current")</f>
        <v>Current</v>
      </c>
      <c r="I1526" s="6">
        <f>VLOOKUP(operations[productID],products[],4,FALSE)</f>
        <v>24</v>
      </c>
      <c r="J1526" s="6">
        <f>VLOOKUP(operations[productID],products[],5,FALSE)</f>
        <v>0</v>
      </c>
      <c r="K1526" s="6">
        <f>VLOOKUP(operations[productID],products[],6,FALSE)</f>
        <v>5</v>
      </c>
      <c r="L1526" s="10">
        <f t="array" ref="L1526">INDEX('1 orders'!I1526:I2156, MATCH(1, ('1 orders'!A1526:A2156=A1526)*('1 orders'!G1526:G2156=F1526), 0))
</f>
        <v>3</v>
      </c>
      <c r="M1526" s="10">
        <f>IFERROR(__xludf.DUMMYFUNCTION("COUNTUNIQUEIFS($A$2:$A1526,$F$2:$F1526,F1526)"),20.0)</f>
        <v>20</v>
      </c>
      <c r="N1526" s="10">
        <f t="shared" si="1"/>
        <v>1</v>
      </c>
      <c r="O1526" s="26">
        <f>IF(operations[sinceLastOrder]=0,0,operations[orderQuantity] / operations[sinceLastOrder])</f>
        <v>3</v>
      </c>
      <c r="P1526" s="9">
        <v>43.26</v>
      </c>
      <c r="Q1526" s="7" t="s">
        <v>17</v>
      </c>
      <c r="R1526" s="10">
        <f>operations[arrivedDate]-operations[shippedDate]</f>
        <v>7</v>
      </c>
    </row>
    <row r="1527" ht="15.75" customHeight="1">
      <c r="A1527" s="6">
        <v>10832.0</v>
      </c>
      <c r="B1527" s="24">
        <v>45305.0</v>
      </c>
      <c r="C1527" s="24">
        <v>45333.0</v>
      </c>
      <c r="D1527" s="24">
        <v>45310.0</v>
      </c>
      <c r="E1527" s="24">
        <v>45317.0</v>
      </c>
      <c r="F1527" s="6">
        <v>25.0</v>
      </c>
      <c r="G1527" s="9" t="str">
        <f>VLOOKUP(operations[productID],products[],2,FALSE)</f>
        <v>HM Köstliche Kaiserschmarrn Knödelchen</v>
      </c>
      <c r="H1527" s="9" t="str">
        <f>IF(VLOOKUP(operations[productID],products[],7,FALSE)=1,"Discontinued","Current")</f>
        <v>Current</v>
      </c>
      <c r="I1527" s="6">
        <f>VLOOKUP(operations[productID],products[],4,FALSE)</f>
        <v>76</v>
      </c>
      <c r="J1527" s="6">
        <f>VLOOKUP(operations[productID],products[],5,FALSE)</f>
        <v>0</v>
      </c>
      <c r="K1527" s="6">
        <f>VLOOKUP(operations[productID],products[],6,FALSE)</f>
        <v>30</v>
      </c>
      <c r="L1527" s="10">
        <f t="array" ref="L1527">INDEX('1 orders'!I1527:I2156, MATCH(1, ('1 orders'!A1527:A2156=A1527)*('1 orders'!G1527:G2156=F1527), 0))
</f>
        <v>10</v>
      </c>
      <c r="M1527" s="10">
        <f>IFERROR(__xludf.DUMMYFUNCTION("COUNTUNIQUEIFS($A$2:$A1527,$F$2:$F1527,F1527)"),12.0)</f>
        <v>12</v>
      </c>
      <c r="N1527" s="10">
        <f t="shared" si="1"/>
        <v>13</v>
      </c>
      <c r="O1527" s="26">
        <f>IF(operations[sinceLastOrder]=0,0,operations[orderQuantity] / operations[sinceLastOrder])</f>
        <v>0.7692307692</v>
      </c>
      <c r="P1527" s="9">
        <v>43.26</v>
      </c>
      <c r="Q1527" s="7" t="s">
        <v>17</v>
      </c>
      <c r="R1527" s="10">
        <f>operations[arrivedDate]-operations[shippedDate]</f>
        <v>7</v>
      </c>
    </row>
    <row r="1528" ht="15.75" customHeight="1">
      <c r="A1528" s="6">
        <v>10832.0</v>
      </c>
      <c r="B1528" s="24">
        <v>45305.0</v>
      </c>
      <c r="C1528" s="24">
        <v>45333.0</v>
      </c>
      <c r="D1528" s="24">
        <v>45310.0</v>
      </c>
      <c r="E1528" s="24">
        <v>45317.0</v>
      </c>
      <c r="F1528" s="6">
        <v>44.0</v>
      </c>
      <c r="G1528" s="9" t="str">
        <f>VLOOKUP(operations[productID],products[],2,FALSE)</f>
        <v>Gula Malacca</v>
      </c>
      <c r="H1528" s="9" t="str">
        <f>IF(VLOOKUP(operations[productID],products[],7,FALSE)=1,"Discontinued","Current")</f>
        <v>Current</v>
      </c>
      <c r="I1528" s="6">
        <f>VLOOKUP(operations[productID],products[],4,FALSE)</f>
        <v>27</v>
      </c>
      <c r="J1528" s="6">
        <f>VLOOKUP(operations[productID],products[],5,FALSE)</f>
        <v>0</v>
      </c>
      <c r="K1528" s="6">
        <f>VLOOKUP(operations[productID],products[],6,FALSE)</f>
        <v>15</v>
      </c>
      <c r="L1528" s="10">
        <f t="array" ref="L1528">INDEX('1 orders'!I1528:I2156, MATCH(1, ('1 orders'!A1528:A2156=A1528)*('1 orders'!G1528:G2156=F1528), 0))
</f>
        <v>16</v>
      </c>
      <c r="M1528" s="10">
        <f>IFERROR(__xludf.DUMMYFUNCTION("COUNTUNIQUEIFS($A$2:$A1528,$F$2:$F1528,F1528)"),20.0)</f>
        <v>20</v>
      </c>
      <c r="N1528" s="10">
        <f t="shared" si="1"/>
        <v>20</v>
      </c>
      <c r="O1528" s="26">
        <f>IF(operations[sinceLastOrder]=0,0,operations[orderQuantity] / operations[sinceLastOrder])</f>
        <v>0.8</v>
      </c>
      <c r="P1528" s="9">
        <v>43.26</v>
      </c>
      <c r="Q1528" s="7" t="s">
        <v>17</v>
      </c>
      <c r="R1528" s="10">
        <f>operations[arrivedDate]-operations[shippedDate]</f>
        <v>7</v>
      </c>
    </row>
    <row r="1529" ht="15.75" customHeight="1">
      <c r="A1529" s="6">
        <v>10832.0</v>
      </c>
      <c r="B1529" s="24">
        <v>45305.0</v>
      </c>
      <c r="C1529" s="24">
        <v>45333.0</v>
      </c>
      <c r="D1529" s="24">
        <v>45310.0</v>
      </c>
      <c r="E1529" s="24">
        <v>45317.0</v>
      </c>
      <c r="F1529" s="6">
        <v>64.0</v>
      </c>
      <c r="G1529" s="9" t="str">
        <f>VLOOKUP(operations[productID],products[],2,FALSE)</f>
        <v>Lukas' leckere Sauerteigweggla</v>
      </c>
      <c r="H1529" s="9" t="str">
        <f>IF(VLOOKUP(operations[productID],products[],7,FALSE)=1,"Discontinued","Current")</f>
        <v>Current</v>
      </c>
      <c r="I1529" s="6">
        <f>VLOOKUP(operations[productID],products[],4,FALSE)</f>
        <v>22</v>
      </c>
      <c r="J1529" s="6">
        <f>VLOOKUP(operations[productID],products[],5,FALSE)</f>
        <v>80</v>
      </c>
      <c r="K1529" s="6">
        <f>VLOOKUP(operations[productID],products[],6,FALSE)</f>
        <v>30</v>
      </c>
      <c r="L1529" s="10">
        <f t="array" ref="L1529">INDEX('1 orders'!I1529:I2156, MATCH(1, ('1 orders'!A1529:A2156=A1529)*('1 orders'!G1529:G2156=F1529), 0))
</f>
        <v>3</v>
      </c>
      <c r="M1529" s="10">
        <f>IFERROR(__xludf.DUMMYFUNCTION("COUNTUNIQUEIFS($A$2:$A1529,$F$2:$F1529,F1529)"),19.0)</f>
        <v>19</v>
      </c>
      <c r="N1529" s="10">
        <f t="shared" si="1"/>
        <v>20</v>
      </c>
      <c r="O1529" s="26">
        <f>IF(operations[sinceLastOrder]=0,0,operations[orderQuantity] / operations[sinceLastOrder])</f>
        <v>0.15</v>
      </c>
      <c r="P1529" s="9">
        <v>43.26</v>
      </c>
      <c r="Q1529" s="7" t="s">
        <v>17</v>
      </c>
      <c r="R1529" s="10">
        <f>operations[arrivedDate]-operations[shippedDate]</f>
        <v>7</v>
      </c>
    </row>
    <row r="1530" ht="15.75" customHeight="1">
      <c r="A1530" s="6">
        <v>10833.0</v>
      </c>
      <c r="B1530" s="24">
        <v>45306.0</v>
      </c>
      <c r="C1530" s="24">
        <v>45334.0</v>
      </c>
      <c r="D1530" s="24">
        <v>45314.0</v>
      </c>
      <c r="E1530" s="24">
        <v>45320.0</v>
      </c>
      <c r="F1530" s="6">
        <v>7.0</v>
      </c>
      <c r="G1530" s="9" t="str">
        <f>VLOOKUP(operations[productID],products[],2,FALSE)</f>
        <v>Uncle Bob's Organic Dried Pears</v>
      </c>
      <c r="H1530" s="9" t="str">
        <f>IF(VLOOKUP(operations[productID],products[],7,FALSE)=1,"Discontinued","Current")</f>
        <v>Current</v>
      </c>
      <c r="I1530" s="6">
        <f>VLOOKUP(operations[productID],products[],4,FALSE)</f>
        <v>15</v>
      </c>
      <c r="J1530" s="6">
        <f>VLOOKUP(operations[productID],products[],5,FALSE)</f>
        <v>0</v>
      </c>
      <c r="K1530" s="6">
        <f>VLOOKUP(operations[productID],products[],6,FALSE)</f>
        <v>10</v>
      </c>
      <c r="L1530" s="10">
        <f t="array" ref="L1530">INDEX('1 orders'!I1530:I2156, MATCH(1, ('1 orders'!A1530:A2156=A1530)*('1 orders'!G1530:G2156=F1530), 0))
</f>
        <v>20</v>
      </c>
      <c r="M1530" s="10">
        <f>IFERROR(__xludf.DUMMYFUNCTION("COUNTUNIQUEIFS($A$2:$A1530,$F$2:$F1530,F1530)"),13.0)</f>
        <v>13</v>
      </c>
      <c r="N1530" s="10">
        <f t="shared" si="1"/>
        <v>24</v>
      </c>
      <c r="O1530" s="26">
        <f>IF(operations[sinceLastOrder]=0,0,operations[orderQuantity] / operations[sinceLastOrder])</f>
        <v>0.8333333333</v>
      </c>
      <c r="P1530" s="9">
        <v>71.49</v>
      </c>
      <c r="Q1530" s="7" t="s">
        <v>17</v>
      </c>
      <c r="R1530" s="10">
        <f>operations[arrivedDate]-operations[shippedDate]</f>
        <v>6</v>
      </c>
    </row>
    <row r="1531" ht="15.75" customHeight="1">
      <c r="A1531" s="6">
        <v>10833.0</v>
      </c>
      <c r="B1531" s="24">
        <v>45306.0</v>
      </c>
      <c r="C1531" s="24">
        <v>45334.0</v>
      </c>
      <c r="D1531" s="24">
        <v>45314.0</v>
      </c>
      <c r="E1531" s="24">
        <v>45320.0</v>
      </c>
      <c r="F1531" s="6">
        <v>31.0</v>
      </c>
      <c r="G1531" s="9" t="str">
        <f>VLOOKUP(operations[productID],products[],2,FALSE)</f>
        <v>Gorgonzola Telino</v>
      </c>
      <c r="H1531" s="9" t="str">
        <f>IF(VLOOKUP(operations[productID],products[],7,FALSE)=1,"Discontinued","Current")</f>
        <v>Current</v>
      </c>
      <c r="I1531" s="6">
        <f>VLOOKUP(operations[productID],products[],4,FALSE)</f>
        <v>0</v>
      </c>
      <c r="J1531" s="6">
        <f>VLOOKUP(operations[productID],products[],5,FALSE)</f>
        <v>70</v>
      </c>
      <c r="K1531" s="6">
        <f>VLOOKUP(operations[productID],products[],6,FALSE)</f>
        <v>20</v>
      </c>
      <c r="L1531" s="10">
        <f t="array" ref="L1531">INDEX('1 orders'!I1531:I2156, MATCH(1, ('1 orders'!A1531:A2156=A1531)*('1 orders'!G1531:G2156=F1531), 0))
</f>
        <v>9</v>
      </c>
      <c r="M1531" s="10">
        <f>IFERROR(__xludf.DUMMYFUNCTION("COUNTUNIQUEIFS($A$2:$A1531,$F$2:$F1531,F1531)"),42.0)</f>
        <v>42</v>
      </c>
      <c r="N1531" s="10">
        <f t="shared" si="1"/>
        <v>3</v>
      </c>
      <c r="O1531" s="26">
        <f>IF(operations[sinceLastOrder]=0,0,operations[orderQuantity] / operations[sinceLastOrder])</f>
        <v>3</v>
      </c>
      <c r="P1531" s="9">
        <v>71.49</v>
      </c>
      <c r="Q1531" s="7" t="s">
        <v>17</v>
      </c>
      <c r="R1531" s="10">
        <f>operations[arrivedDate]-operations[shippedDate]</f>
        <v>6</v>
      </c>
    </row>
    <row r="1532" ht="15.75" customHeight="1">
      <c r="A1532" s="6">
        <v>10833.0</v>
      </c>
      <c r="B1532" s="24">
        <v>45306.0</v>
      </c>
      <c r="C1532" s="24">
        <v>45334.0</v>
      </c>
      <c r="D1532" s="24">
        <v>45314.0</v>
      </c>
      <c r="E1532" s="24">
        <v>45320.0</v>
      </c>
      <c r="F1532" s="6">
        <v>53.0</v>
      </c>
      <c r="G1532" s="9" t="str">
        <f>VLOOKUP(operations[productID],products[],2,FALSE)</f>
        <v>Perth Pasties</v>
      </c>
      <c r="H1532" s="9" t="str">
        <f>IF(VLOOKUP(operations[productID],products[],7,FALSE)=1,"Discontinued","Current")</f>
        <v>Discontinued</v>
      </c>
      <c r="I1532" s="6">
        <f>VLOOKUP(operations[productID],products[],4,FALSE)</f>
        <v>0</v>
      </c>
      <c r="J1532" s="6">
        <f>VLOOKUP(operations[productID],products[],5,FALSE)</f>
        <v>0</v>
      </c>
      <c r="K1532" s="6">
        <f>VLOOKUP(operations[productID],products[],6,FALSE)</f>
        <v>0</v>
      </c>
      <c r="L1532" s="10">
        <f t="array" ref="L1532">INDEX('1 orders'!I1532:I2156, MATCH(1, ('1 orders'!A1532:A2156=A1532)*('1 orders'!G1532:G2156=F1532), 0))
</f>
        <v>9</v>
      </c>
      <c r="M1532" s="10">
        <f>IFERROR(__xludf.DUMMYFUNCTION("COUNTUNIQUEIFS($A$2:$A1532,$F$2:$F1532,F1532)"),24.0)</f>
        <v>24</v>
      </c>
      <c r="N1532" s="10">
        <f t="shared" si="1"/>
        <v>6</v>
      </c>
      <c r="O1532" s="26">
        <f>IF(operations[sinceLastOrder]=0,0,operations[orderQuantity] / operations[sinceLastOrder])</f>
        <v>1.5</v>
      </c>
      <c r="P1532" s="9">
        <v>71.49</v>
      </c>
      <c r="Q1532" s="7" t="s">
        <v>17</v>
      </c>
      <c r="R1532" s="10">
        <f>operations[arrivedDate]-operations[shippedDate]</f>
        <v>6</v>
      </c>
    </row>
    <row r="1533" ht="15.75" customHeight="1">
      <c r="A1533" s="6">
        <v>10834.0</v>
      </c>
      <c r="B1533" s="24">
        <v>45306.0</v>
      </c>
      <c r="C1533" s="24">
        <v>45334.0</v>
      </c>
      <c r="D1533" s="24">
        <v>45310.0</v>
      </c>
      <c r="E1533" s="24">
        <v>45329.0</v>
      </c>
      <c r="F1533" s="6">
        <v>29.0</v>
      </c>
      <c r="G1533" s="9" t="str">
        <f>VLOOKUP(operations[productID],products[],2,FALSE)</f>
        <v>Thüringer Rostbratwurst</v>
      </c>
      <c r="H1533" s="9" t="str">
        <f>IF(VLOOKUP(operations[productID],products[],7,FALSE)=1,"Discontinued","Current")</f>
        <v>Discontinued</v>
      </c>
      <c r="I1533" s="6">
        <f>VLOOKUP(operations[productID],products[],4,FALSE)</f>
        <v>0</v>
      </c>
      <c r="J1533" s="6">
        <f>VLOOKUP(operations[productID],products[],5,FALSE)</f>
        <v>0</v>
      </c>
      <c r="K1533" s="6">
        <f>VLOOKUP(operations[productID],products[],6,FALSE)</f>
        <v>0</v>
      </c>
      <c r="L1533" s="10">
        <f t="array" ref="L1533">INDEX('1 orders'!I1533:I2156, MATCH(1, ('1 orders'!A1533:A2156=A1533)*('1 orders'!G1533:G2156=F1533), 0))
</f>
        <v>8</v>
      </c>
      <c r="M1533" s="10">
        <f>IFERROR(__xludf.DUMMYFUNCTION("COUNTUNIQUEIFS($A$2:$A1533,$F$2:$F1533,F1533)"),23.0)</f>
        <v>23</v>
      </c>
      <c r="N1533" s="10">
        <f t="shared" si="1"/>
        <v>17</v>
      </c>
      <c r="O1533" s="26">
        <f>IF(operations[sinceLastOrder]=0,0,operations[orderQuantity] / operations[sinceLastOrder])</f>
        <v>0.4705882353</v>
      </c>
      <c r="P1533" s="9">
        <v>29.78</v>
      </c>
      <c r="Q1533" s="7" t="s">
        <v>13</v>
      </c>
      <c r="R1533" s="10">
        <f>operations[arrivedDate]-operations[shippedDate]</f>
        <v>19</v>
      </c>
    </row>
    <row r="1534" ht="15.75" customHeight="1">
      <c r="A1534" s="6">
        <v>10834.0</v>
      </c>
      <c r="B1534" s="24">
        <v>45306.0</v>
      </c>
      <c r="C1534" s="24">
        <v>45334.0</v>
      </c>
      <c r="D1534" s="24">
        <v>45310.0</v>
      </c>
      <c r="E1534" s="24">
        <v>45329.0</v>
      </c>
      <c r="F1534" s="6">
        <v>30.0</v>
      </c>
      <c r="G1534" s="9" t="str">
        <f>VLOOKUP(operations[productID],products[],2,FALSE)</f>
        <v>Nord-Ost Matjeshering</v>
      </c>
      <c r="H1534" s="9" t="str">
        <f>IF(VLOOKUP(operations[productID],products[],7,FALSE)=1,"Discontinued","Current")</f>
        <v>Current</v>
      </c>
      <c r="I1534" s="6">
        <f>VLOOKUP(operations[productID],products[],4,FALSE)</f>
        <v>10</v>
      </c>
      <c r="J1534" s="6">
        <f>VLOOKUP(operations[productID],products[],5,FALSE)</f>
        <v>0</v>
      </c>
      <c r="K1534" s="6">
        <f>VLOOKUP(operations[productID],products[],6,FALSE)</f>
        <v>15</v>
      </c>
      <c r="L1534" s="10">
        <f t="array" ref="L1534">INDEX('1 orders'!I1534:I2156, MATCH(1, ('1 orders'!A1534:A2156=A1534)*('1 orders'!G1534:G2156=F1534), 0))
</f>
        <v>20</v>
      </c>
      <c r="M1534" s="10">
        <f>IFERROR(__xludf.DUMMYFUNCTION("COUNTUNIQUEIFS($A$2:$A1534,$F$2:$F1534,F1534)"),24.0)</f>
        <v>24</v>
      </c>
      <c r="N1534" s="10">
        <f t="shared" si="1"/>
        <v>17</v>
      </c>
      <c r="O1534" s="26">
        <f>IF(operations[sinceLastOrder]=0,0,operations[orderQuantity] / operations[sinceLastOrder])</f>
        <v>1.176470588</v>
      </c>
      <c r="P1534" s="9">
        <v>29.78</v>
      </c>
      <c r="Q1534" s="7" t="s">
        <v>13</v>
      </c>
      <c r="R1534" s="10">
        <f>operations[arrivedDate]-operations[shippedDate]</f>
        <v>19</v>
      </c>
    </row>
    <row r="1535" ht="15.75" customHeight="1">
      <c r="A1535" s="6">
        <v>10835.0</v>
      </c>
      <c r="B1535" s="24">
        <v>45306.0</v>
      </c>
      <c r="C1535" s="24">
        <v>45334.0</v>
      </c>
      <c r="D1535" s="24">
        <v>45312.0</v>
      </c>
      <c r="E1535" s="24">
        <v>45316.0</v>
      </c>
      <c r="F1535" s="6">
        <v>59.0</v>
      </c>
      <c r="G1535" s="9" t="str">
        <f>VLOOKUP(operations[productID],products[],2,FALSE)</f>
        <v>Raclette Courdavault</v>
      </c>
      <c r="H1535" s="9" t="str">
        <f>IF(VLOOKUP(operations[productID],products[],7,FALSE)=1,"Discontinued","Current")</f>
        <v>Current</v>
      </c>
      <c r="I1535" s="6">
        <f>VLOOKUP(operations[productID],products[],4,FALSE)</f>
        <v>79</v>
      </c>
      <c r="J1535" s="6">
        <f>VLOOKUP(operations[productID],products[],5,FALSE)</f>
        <v>0</v>
      </c>
      <c r="K1535" s="6">
        <f>VLOOKUP(operations[productID],products[],6,FALSE)</f>
        <v>0</v>
      </c>
      <c r="L1535" s="10">
        <f t="array" ref="L1535">INDEX('1 orders'!I1535:I2156, MATCH(1, ('1 orders'!A1535:A2156=A1535)*('1 orders'!G1535:G2156=F1535), 0))
</f>
        <v>15</v>
      </c>
      <c r="M1535" s="10">
        <f>IFERROR(__xludf.DUMMYFUNCTION("COUNTUNIQUEIFS($A$2:$A1535,$F$2:$F1535,F1535)"),43.0)</f>
        <v>43</v>
      </c>
      <c r="N1535" s="10">
        <f t="shared" si="1"/>
        <v>6</v>
      </c>
      <c r="O1535" s="26">
        <f>IF(operations[sinceLastOrder]=0,0,operations[orderQuantity] / operations[sinceLastOrder])</f>
        <v>2.5</v>
      </c>
      <c r="P1535" s="9">
        <v>69.53</v>
      </c>
      <c r="Q1535" s="7" t="s">
        <v>13</v>
      </c>
      <c r="R1535" s="10">
        <f>operations[arrivedDate]-operations[shippedDate]</f>
        <v>4</v>
      </c>
    </row>
    <row r="1536" ht="15.75" customHeight="1">
      <c r="A1536" s="6">
        <v>10835.0</v>
      </c>
      <c r="B1536" s="24">
        <v>45306.0</v>
      </c>
      <c r="C1536" s="24">
        <v>45334.0</v>
      </c>
      <c r="D1536" s="24">
        <v>45312.0</v>
      </c>
      <c r="E1536" s="24">
        <v>45316.0</v>
      </c>
      <c r="F1536" s="6">
        <v>77.0</v>
      </c>
      <c r="G1536" s="9" t="str">
        <f>VLOOKUP(operations[productID],products[],2,FALSE)</f>
        <v>Original Frankfurter grüne Soße</v>
      </c>
      <c r="H1536" s="9" t="str">
        <f>IF(VLOOKUP(operations[productID],products[],7,FALSE)=1,"Discontinued","Current")</f>
        <v>Current</v>
      </c>
      <c r="I1536" s="6">
        <f>VLOOKUP(operations[productID],products[],4,FALSE)</f>
        <v>32</v>
      </c>
      <c r="J1536" s="6">
        <f>VLOOKUP(operations[productID],products[],5,FALSE)</f>
        <v>0</v>
      </c>
      <c r="K1536" s="6">
        <f>VLOOKUP(operations[productID],products[],6,FALSE)</f>
        <v>15</v>
      </c>
      <c r="L1536" s="10">
        <f t="array" ref="L1536">INDEX('1 orders'!I1536:I2156, MATCH(1, ('1 orders'!A1536:A2156=A1536)*('1 orders'!G1536:G2156=F1536), 0))
</f>
        <v>2</v>
      </c>
      <c r="M1536" s="10">
        <f>IFERROR(__xludf.DUMMYFUNCTION("COUNTUNIQUEIFS($A$2:$A1536,$F$2:$F1536,F1536)"),26.0)</f>
        <v>26</v>
      </c>
      <c r="N1536" s="10">
        <f t="shared" si="1"/>
        <v>6</v>
      </c>
      <c r="O1536" s="26">
        <f>IF(operations[sinceLastOrder]=0,0,operations[orderQuantity] / operations[sinceLastOrder])</f>
        <v>0.3333333333</v>
      </c>
      <c r="P1536" s="9">
        <v>69.53</v>
      </c>
      <c r="Q1536" s="7" t="s">
        <v>13</v>
      </c>
      <c r="R1536" s="10">
        <f>operations[arrivedDate]-operations[shippedDate]</f>
        <v>4</v>
      </c>
    </row>
    <row r="1537" ht="15.75" customHeight="1">
      <c r="A1537" s="6">
        <v>10836.0</v>
      </c>
      <c r="B1537" s="24">
        <v>45307.0</v>
      </c>
      <c r="C1537" s="24">
        <v>45335.0</v>
      </c>
      <c r="D1537" s="24">
        <v>45312.0</v>
      </c>
      <c r="E1537" s="24">
        <v>45323.0</v>
      </c>
      <c r="F1537" s="6">
        <v>22.0</v>
      </c>
      <c r="G1537" s="9" t="str">
        <f>VLOOKUP(operations[productID],products[],2,FALSE)</f>
        <v>Gustaf's Knäckebröd</v>
      </c>
      <c r="H1537" s="9" t="str">
        <f>IF(VLOOKUP(operations[productID],products[],7,FALSE)=1,"Discontinued","Current")</f>
        <v>Current</v>
      </c>
      <c r="I1537" s="6">
        <f>VLOOKUP(operations[productID],products[],4,FALSE)</f>
        <v>104</v>
      </c>
      <c r="J1537" s="6">
        <f>VLOOKUP(operations[productID],products[],5,FALSE)</f>
        <v>0</v>
      </c>
      <c r="K1537" s="6">
        <f>VLOOKUP(operations[productID],products[],6,FALSE)</f>
        <v>25</v>
      </c>
      <c r="L1537" s="10">
        <f t="array" ref="L1537">INDEX('1 orders'!I1537:I2156, MATCH(1, ('1 orders'!A1537:A2156=A1537)*('1 orders'!G1537:G2156=F1537), 0))
</f>
        <v>52</v>
      </c>
      <c r="M1537" s="10">
        <f>IFERROR(__xludf.DUMMYFUNCTION("COUNTUNIQUEIFS($A$2:$A1537,$F$2:$F1537,F1537)"),11.0)</f>
        <v>11</v>
      </c>
      <c r="N1537" s="10">
        <f t="shared" si="1"/>
        <v>39</v>
      </c>
      <c r="O1537" s="26">
        <f>IF(operations[sinceLastOrder]=0,0,operations[orderQuantity] / operations[sinceLastOrder])</f>
        <v>1.333333333</v>
      </c>
      <c r="P1537" s="9">
        <v>411.88</v>
      </c>
      <c r="Q1537" s="7" t="s">
        <v>15</v>
      </c>
      <c r="R1537" s="10">
        <f>operations[arrivedDate]-operations[shippedDate]</f>
        <v>11</v>
      </c>
    </row>
    <row r="1538" ht="15.75" customHeight="1">
      <c r="A1538" s="6">
        <v>10836.0</v>
      </c>
      <c r="B1538" s="24">
        <v>45307.0</v>
      </c>
      <c r="C1538" s="24">
        <v>45335.0</v>
      </c>
      <c r="D1538" s="24">
        <v>45312.0</v>
      </c>
      <c r="E1538" s="24">
        <v>45323.0</v>
      </c>
      <c r="F1538" s="6">
        <v>35.0</v>
      </c>
      <c r="G1538" s="9" t="str">
        <f>VLOOKUP(operations[productID],products[],2,FALSE)</f>
        <v>Cold Brew Nitro</v>
      </c>
      <c r="H1538" s="9" t="str">
        <f>IF(VLOOKUP(operations[productID],products[],7,FALSE)=1,"Discontinued","Current")</f>
        <v>Current</v>
      </c>
      <c r="I1538" s="6">
        <f>VLOOKUP(operations[productID],products[],4,FALSE)</f>
        <v>20</v>
      </c>
      <c r="J1538" s="6">
        <f>VLOOKUP(operations[productID],products[],5,FALSE)</f>
        <v>0</v>
      </c>
      <c r="K1538" s="6">
        <f>VLOOKUP(operations[productID],products[],6,FALSE)</f>
        <v>15</v>
      </c>
      <c r="L1538" s="10">
        <f t="array" ref="L1538">INDEX('1 orders'!I1538:I2156, MATCH(1, ('1 orders'!A1538:A2156=A1538)*('1 orders'!G1538:G2156=F1538), 0))
</f>
        <v>6</v>
      </c>
      <c r="M1538" s="10">
        <f>IFERROR(__xludf.DUMMYFUNCTION("COUNTUNIQUEIFS($A$2:$A1538,$F$2:$F1538,F1538)"),26.0)</f>
        <v>26</v>
      </c>
      <c r="N1538" s="10">
        <f t="shared" si="1"/>
        <v>2</v>
      </c>
      <c r="O1538" s="26">
        <f>IF(operations[sinceLastOrder]=0,0,operations[orderQuantity] / operations[sinceLastOrder])</f>
        <v>3</v>
      </c>
      <c r="P1538" s="9">
        <v>411.88</v>
      </c>
      <c r="Q1538" s="7" t="s">
        <v>15</v>
      </c>
      <c r="R1538" s="10">
        <f>operations[arrivedDate]-operations[shippedDate]</f>
        <v>11</v>
      </c>
    </row>
    <row r="1539" ht="15.75" customHeight="1">
      <c r="A1539" s="6">
        <v>10836.0</v>
      </c>
      <c r="B1539" s="24">
        <v>45307.0</v>
      </c>
      <c r="C1539" s="24">
        <v>45335.0</v>
      </c>
      <c r="D1539" s="24">
        <v>45312.0</v>
      </c>
      <c r="E1539" s="24">
        <v>45323.0</v>
      </c>
      <c r="F1539" s="6">
        <v>57.0</v>
      </c>
      <c r="G1539" s="9" t="str">
        <f>VLOOKUP(operations[productID],products[],2,FALSE)</f>
        <v>Ravioli Angelo</v>
      </c>
      <c r="H1539" s="9" t="str">
        <f>IF(VLOOKUP(operations[productID],products[],7,FALSE)=1,"Discontinued","Current")</f>
        <v>Current</v>
      </c>
      <c r="I1539" s="6">
        <f>VLOOKUP(operations[productID],products[],4,FALSE)</f>
        <v>36</v>
      </c>
      <c r="J1539" s="6">
        <f>VLOOKUP(operations[productID],products[],5,FALSE)</f>
        <v>0</v>
      </c>
      <c r="K1539" s="6">
        <f>VLOOKUP(operations[productID],products[],6,FALSE)</f>
        <v>20</v>
      </c>
      <c r="L1539" s="10">
        <f t="array" ref="L1539">INDEX('1 orders'!I1539:I2156, MATCH(1, ('1 orders'!A1539:A2156=A1539)*('1 orders'!G1539:G2156=F1539), 0))
</f>
        <v>24</v>
      </c>
      <c r="M1539" s="10">
        <f>IFERROR(__xludf.DUMMYFUNCTION("COUNTUNIQUEIFS($A$2:$A1539,$F$2:$F1539,F1539)"),17.0)</f>
        <v>17</v>
      </c>
      <c r="N1539" s="10">
        <f t="shared" si="1"/>
        <v>4</v>
      </c>
      <c r="O1539" s="26">
        <f>IF(operations[sinceLastOrder]=0,0,operations[orderQuantity] / operations[sinceLastOrder])</f>
        <v>6</v>
      </c>
      <c r="P1539" s="9">
        <v>411.88</v>
      </c>
      <c r="Q1539" s="7" t="s">
        <v>15</v>
      </c>
      <c r="R1539" s="10">
        <f>operations[arrivedDate]-operations[shippedDate]</f>
        <v>11</v>
      </c>
    </row>
    <row r="1540" ht="15.75" customHeight="1">
      <c r="A1540" s="6">
        <v>10836.0</v>
      </c>
      <c r="B1540" s="24">
        <v>45307.0</v>
      </c>
      <c r="C1540" s="24">
        <v>45335.0</v>
      </c>
      <c r="D1540" s="24">
        <v>45312.0</v>
      </c>
      <c r="E1540" s="24">
        <v>45323.0</v>
      </c>
      <c r="F1540" s="6">
        <v>60.0</v>
      </c>
      <c r="G1540" s="9" t="str">
        <f>VLOOKUP(operations[productID],products[],2,FALSE)</f>
        <v>Camembert Pierrot</v>
      </c>
      <c r="H1540" s="9" t="str">
        <f>IF(VLOOKUP(operations[productID],products[],7,FALSE)=1,"Discontinued","Current")</f>
        <v>Current</v>
      </c>
      <c r="I1540" s="6">
        <f>VLOOKUP(operations[productID],products[],4,FALSE)</f>
        <v>19</v>
      </c>
      <c r="J1540" s="6">
        <f>VLOOKUP(operations[productID],products[],5,FALSE)</f>
        <v>0</v>
      </c>
      <c r="K1540" s="6">
        <f>VLOOKUP(operations[productID],products[],6,FALSE)</f>
        <v>0</v>
      </c>
      <c r="L1540" s="10">
        <f t="array" ref="L1540">INDEX('1 orders'!I1540:I2156, MATCH(1, ('1 orders'!A1540:A2156=A1540)*('1 orders'!G1540:G2156=F1540), 0))
</f>
        <v>60</v>
      </c>
      <c r="M1540" s="10">
        <f>IFERROR(__xludf.DUMMYFUNCTION("COUNTUNIQUEIFS($A$2:$A1540,$F$2:$F1540,F1540)"),35.0)</f>
        <v>35</v>
      </c>
      <c r="N1540" s="10">
        <f t="shared" si="1"/>
        <v>3</v>
      </c>
      <c r="O1540" s="26">
        <f>IF(operations[sinceLastOrder]=0,0,operations[orderQuantity] / operations[sinceLastOrder])</f>
        <v>20</v>
      </c>
      <c r="P1540" s="9">
        <v>411.88</v>
      </c>
      <c r="Q1540" s="7" t="s">
        <v>15</v>
      </c>
      <c r="R1540" s="10">
        <f>operations[arrivedDate]-operations[shippedDate]</f>
        <v>11</v>
      </c>
    </row>
    <row r="1541" ht="15.75" customHeight="1">
      <c r="A1541" s="6">
        <v>10836.0</v>
      </c>
      <c r="B1541" s="24">
        <v>45307.0</v>
      </c>
      <c r="C1541" s="24">
        <v>45335.0</v>
      </c>
      <c r="D1541" s="24">
        <v>45312.0</v>
      </c>
      <c r="E1541" s="24">
        <v>45323.0</v>
      </c>
      <c r="F1541" s="6">
        <v>64.0</v>
      </c>
      <c r="G1541" s="9" t="str">
        <f>VLOOKUP(operations[productID],products[],2,FALSE)</f>
        <v>Lukas' leckere Sauerteigweggla</v>
      </c>
      <c r="H1541" s="9" t="str">
        <f>IF(VLOOKUP(operations[productID],products[],7,FALSE)=1,"Discontinued","Current")</f>
        <v>Current</v>
      </c>
      <c r="I1541" s="6">
        <f>VLOOKUP(operations[productID],products[],4,FALSE)</f>
        <v>22</v>
      </c>
      <c r="J1541" s="6">
        <f>VLOOKUP(operations[productID],products[],5,FALSE)</f>
        <v>80</v>
      </c>
      <c r="K1541" s="6">
        <f>VLOOKUP(operations[productID],products[],6,FALSE)</f>
        <v>30</v>
      </c>
      <c r="L1541" s="10">
        <f t="array" ref="L1541">INDEX('1 orders'!I1541:I2156, MATCH(1, ('1 orders'!A1541:A2156=A1541)*('1 orders'!G1541:G2156=F1541), 0))
</f>
        <v>30</v>
      </c>
      <c r="M1541" s="10">
        <f>IFERROR(__xludf.DUMMYFUNCTION("COUNTUNIQUEIFS($A$2:$A1541,$F$2:$F1541,F1541)"),20.0)</f>
        <v>20</v>
      </c>
      <c r="N1541" s="10">
        <f t="shared" si="1"/>
        <v>2</v>
      </c>
      <c r="O1541" s="26">
        <f>IF(operations[sinceLastOrder]=0,0,operations[orderQuantity] / operations[sinceLastOrder])</f>
        <v>15</v>
      </c>
      <c r="P1541" s="9">
        <v>411.88</v>
      </c>
      <c r="Q1541" s="7" t="s">
        <v>15</v>
      </c>
      <c r="R1541" s="10">
        <f>operations[arrivedDate]-operations[shippedDate]</f>
        <v>11</v>
      </c>
    </row>
    <row r="1542" ht="15.75" customHeight="1">
      <c r="A1542" s="6">
        <v>10837.0</v>
      </c>
      <c r="B1542" s="24">
        <v>45307.0</v>
      </c>
      <c r="C1542" s="24">
        <v>45335.0</v>
      </c>
      <c r="D1542" s="24">
        <v>45314.0</v>
      </c>
      <c r="E1542" s="24">
        <v>45323.0</v>
      </c>
      <c r="F1542" s="6">
        <v>13.0</v>
      </c>
      <c r="G1542" s="9" t="str">
        <f>VLOOKUP(operations[productID],products[],2,FALSE)</f>
        <v>Konbu</v>
      </c>
      <c r="H1542" s="9" t="str">
        <f>IF(VLOOKUP(operations[productID],products[],7,FALSE)=1,"Discontinued","Current")</f>
        <v>Current</v>
      </c>
      <c r="I1542" s="6">
        <f>VLOOKUP(operations[productID],products[],4,FALSE)</f>
        <v>24</v>
      </c>
      <c r="J1542" s="6">
        <f>VLOOKUP(operations[productID],products[],5,FALSE)</f>
        <v>0</v>
      </c>
      <c r="K1542" s="6">
        <f>VLOOKUP(operations[productID],products[],6,FALSE)</f>
        <v>5</v>
      </c>
      <c r="L1542" s="10">
        <f t="array" ref="L1542">INDEX('1 orders'!I1542:I2156, MATCH(1, ('1 orders'!A1542:A2156=A1542)*('1 orders'!G1542:G2156=F1542), 0))
</f>
        <v>6</v>
      </c>
      <c r="M1542" s="10">
        <f>IFERROR(__xludf.DUMMYFUNCTION("COUNTUNIQUEIFS($A$2:$A1542,$F$2:$F1542,F1542)"),21.0)</f>
        <v>21</v>
      </c>
      <c r="N1542" s="10">
        <f t="shared" si="1"/>
        <v>2</v>
      </c>
      <c r="O1542" s="26">
        <f>IF(operations[sinceLastOrder]=0,0,operations[orderQuantity] / operations[sinceLastOrder])</f>
        <v>3</v>
      </c>
      <c r="P1542" s="9">
        <v>13.32</v>
      </c>
      <c r="Q1542" s="7" t="s">
        <v>13</v>
      </c>
      <c r="R1542" s="10">
        <f>operations[arrivedDate]-operations[shippedDate]</f>
        <v>9</v>
      </c>
    </row>
    <row r="1543" ht="15.75" customHeight="1">
      <c r="A1543" s="6">
        <v>10837.0</v>
      </c>
      <c r="B1543" s="24">
        <v>45307.0</v>
      </c>
      <c r="C1543" s="24">
        <v>45335.0</v>
      </c>
      <c r="D1543" s="24">
        <v>45314.0</v>
      </c>
      <c r="E1543" s="24">
        <v>45323.0</v>
      </c>
      <c r="F1543" s="6">
        <v>40.0</v>
      </c>
      <c r="G1543" s="9" t="str">
        <f>VLOOKUP(operations[productID],products[],2,FALSE)</f>
        <v>Boston Crab Meat</v>
      </c>
      <c r="H1543" s="9" t="str">
        <f>IF(VLOOKUP(operations[productID],products[],7,FALSE)=1,"Discontinued","Current")</f>
        <v>Current</v>
      </c>
      <c r="I1543" s="6">
        <f>VLOOKUP(operations[productID],products[],4,FALSE)</f>
        <v>123</v>
      </c>
      <c r="J1543" s="6">
        <f>VLOOKUP(operations[productID],products[],5,FALSE)</f>
        <v>0</v>
      </c>
      <c r="K1543" s="6">
        <f>VLOOKUP(operations[productID],products[],6,FALSE)</f>
        <v>30</v>
      </c>
      <c r="L1543" s="10">
        <f t="array" ref="L1543">INDEX('1 orders'!I1543:I2156, MATCH(1, ('1 orders'!A1543:A2156=A1543)*('1 orders'!G1543:G2156=F1543), 0))
</f>
        <v>25</v>
      </c>
      <c r="M1543" s="10">
        <f>IFERROR(__xludf.DUMMYFUNCTION("COUNTUNIQUEIFS($A$2:$A1543,$F$2:$F1543,F1543)"),34.0)</f>
        <v>34</v>
      </c>
      <c r="N1543" s="10">
        <f t="shared" si="1"/>
        <v>10</v>
      </c>
      <c r="O1543" s="26">
        <f>IF(operations[sinceLastOrder]=0,0,operations[orderQuantity] / operations[sinceLastOrder])</f>
        <v>2.5</v>
      </c>
      <c r="P1543" s="9">
        <v>13.32</v>
      </c>
      <c r="Q1543" s="7" t="s">
        <v>13</v>
      </c>
      <c r="R1543" s="10">
        <f>operations[arrivedDate]-operations[shippedDate]</f>
        <v>9</v>
      </c>
    </row>
    <row r="1544" ht="15.75" customHeight="1">
      <c r="A1544" s="6">
        <v>10837.0</v>
      </c>
      <c r="B1544" s="24">
        <v>45307.0</v>
      </c>
      <c r="C1544" s="24">
        <v>45335.0</v>
      </c>
      <c r="D1544" s="24">
        <v>45314.0</v>
      </c>
      <c r="E1544" s="24">
        <v>45323.0</v>
      </c>
      <c r="F1544" s="6">
        <v>47.0</v>
      </c>
      <c r="G1544" s="9" t="str">
        <f>VLOOKUP(operations[productID],products[],2,FALSE)</f>
        <v>Zaanse koeken</v>
      </c>
      <c r="H1544" s="9" t="str">
        <f>IF(VLOOKUP(operations[productID],products[],7,FALSE)=1,"Discontinued","Current")</f>
        <v>Current</v>
      </c>
      <c r="I1544" s="6">
        <f>VLOOKUP(operations[productID],products[],4,FALSE)</f>
        <v>36</v>
      </c>
      <c r="J1544" s="6">
        <f>VLOOKUP(operations[productID],products[],5,FALSE)</f>
        <v>0</v>
      </c>
      <c r="K1544" s="6">
        <f>VLOOKUP(operations[productID],products[],6,FALSE)</f>
        <v>0</v>
      </c>
      <c r="L1544" s="10">
        <f t="array" ref="L1544">INDEX('1 orders'!I1544:I2156, MATCH(1, ('1 orders'!A1544:A2156=A1544)*('1 orders'!G1544:G2156=F1544), 0))
</f>
        <v>40</v>
      </c>
      <c r="M1544" s="10">
        <f>IFERROR(__xludf.DUMMYFUNCTION("COUNTUNIQUEIFS($A$2:$A1544,$F$2:$F1544,F1544)"),17.0)</f>
        <v>17</v>
      </c>
      <c r="N1544" s="10">
        <f t="shared" si="1"/>
        <v>45</v>
      </c>
      <c r="O1544" s="26">
        <f>IF(operations[sinceLastOrder]=0,0,operations[orderQuantity] / operations[sinceLastOrder])</f>
        <v>0.8888888889</v>
      </c>
      <c r="P1544" s="9">
        <v>13.32</v>
      </c>
      <c r="Q1544" s="7" t="s">
        <v>13</v>
      </c>
      <c r="R1544" s="10">
        <f>operations[arrivedDate]-operations[shippedDate]</f>
        <v>9</v>
      </c>
    </row>
    <row r="1545" ht="15.75" customHeight="1">
      <c r="A1545" s="6">
        <v>10837.0</v>
      </c>
      <c r="B1545" s="24">
        <v>45307.0</v>
      </c>
      <c r="C1545" s="24">
        <v>45335.0</v>
      </c>
      <c r="D1545" s="24">
        <v>45314.0</v>
      </c>
      <c r="E1545" s="24">
        <v>45323.0</v>
      </c>
      <c r="F1545" s="6">
        <v>76.0</v>
      </c>
      <c r="G1545" s="9" t="str">
        <f>VLOOKUP(operations[productID],products[],2,FALSE)</f>
        <v>Lakkalikööri</v>
      </c>
      <c r="H1545" s="9" t="str">
        <f>IF(VLOOKUP(operations[productID],products[],7,FALSE)=1,"Discontinued","Current")</f>
        <v>Current</v>
      </c>
      <c r="I1545" s="6">
        <f>VLOOKUP(operations[productID],products[],4,FALSE)</f>
        <v>57</v>
      </c>
      <c r="J1545" s="6">
        <f>VLOOKUP(operations[productID],products[],5,FALSE)</f>
        <v>0</v>
      </c>
      <c r="K1545" s="6">
        <f>VLOOKUP(operations[productID],products[],6,FALSE)</f>
        <v>20</v>
      </c>
      <c r="L1545" s="10">
        <f t="array" ref="L1545">INDEX('1 orders'!I1545:I2156, MATCH(1, ('1 orders'!A1545:A2156=A1545)*('1 orders'!G1545:G2156=F1545), 0))
</f>
        <v>21</v>
      </c>
      <c r="M1545" s="10">
        <f>IFERROR(__xludf.DUMMYFUNCTION("COUNTUNIQUEIFS($A$2:$A1545,$F$2:$F1545,F1545)"),28.0)</f>
        <v>28</v>
      </c>
      <c r="N1545" s="10">
        <f t="shared" si="1"/>
        <v>15</v>
      </c>
      <c r="O1545" s="26">
        <f>IF(operations[sinceLastOrder]=0,0,operations[orderQuantity] / operations[sinceLastOrder])</f>
        <v>1.4</v>
      </c>
      <c r="P1545" s="9">
        <v>13.32</v>
      </c>
      <c r="Q1545" s="7" t="s">
        <v>13</v>
      </c>
      <c r="R1545" s="10">
        <f>operations[arrivedDate]-operations[shippedDate]</f>
        <v>9</v>
      </c>
    </row>
    <row r="1546" ht="15.75" customHeight="1">
      <c r="A1546" s="6">
        <v>10838.0</v>
      </c>
      <c r="B1546" s="24">
        <v>45310.0</v>
      </c>
      <c r="C1546" s="24">
        <v>45338.0</v>
      </c>
      <c r="D1546" s="24">
        <v>45314.0</v>
      </c>
      <c r="E1546" s="24">
        <v>45327.0</v>
      </c>
      <c r="F1546" s="6">
        <v>1.0</v>
      </c>
      <c r="G1546" s="9" t="str">
        <f>VLOOKUP(operations[productID],products[],2,FALSE)</f>
        <v>Chai</v>
      </c>
      <c r="H1546" s="9" t="str">
        <f>IF(VLOOKUP(operations[productID],products[],7,FALSE)=1,"Discontinued","Current")</f>
        <v>Current</v>
      </c>
      <c r="I1546" s="6">
        <f>VLOOKUP(operations[productID],products[],4,FALSE)</f>
        <v>39</v>
      </c>
      <c r="J1546" s="6">
        <f>VLOOKUP(operations[productID],products[],5,FALSE)</f>
        <v>0</v>
      </c>
      <c r="K1546" s="6">
        <f>VLOOKUP(operations[productID],products[],6,FALSE)</f>
        <v>10</v>
      </c>
      <c r="L1546" s="10">
        <f t="array" ref="L1546">INDEX('1 orders'!I1546:I2156, MATCH(1, ('1 orders'!A1546:A2156=A1546)*('1 orders'!G1546:G2156=F1546), 0))
</f>
        <v>4</v>
      </c>
      <c r="M1546" s="10">
        <f>IFERROR(__xludf.DUMMYFUNCTION("COUNTUNIQUEIFS($A$2:$A1546,$F$2:$F1546,F1546)"),23.0)</f>
        <v>23</v>
      </c>
      <c r="N1546" s="10">
        <f t="shared" si="1"/>
        <v>56</v>
      </c>
      <c r="O1546" s="26">
        <f>IF(operations[sinceLastOrder]=0,0,operations[orderQuantity] / operations[sinceLastOrder])</f>
        <v>0.07142857143</v>
      </c>
      <c r="P1546" s="9">
        <v>59.28</v>
      </c>
      <c r="Q1546" s="7" t="s">
        <v>13</v>
      </c>
      <c r="R1546" s="10">
        <f>operations[arrivedDate]-operations[shippedDate]</f>
        <v>13</v>
      </c>
    </row>
    <row r="1547" ht="15.75" customHeight="1">
      <c r="A1547" s="6">
        <v>10838.0</v>
      </c>
      <c r="B1547" s="24">
        <v>45310.0</v>
      </c>
      <c r="C1547" s="24">
        <v>45338.0</v>
      </c>
      <c r="D1547" s="24">
        <v>45314.0</v>
      </c>
      <c r="E1547" s="24">
        <v>45327.0</v>
      </c>
      <c r="F1547" s="6">
        <v>18.0</v>
      </c>
      <c r="G1547" s="9" t="str">
        <f>VLOOKUP(operations[productID],products[],2,FALSE)</f>
        <v>Carnarvon Tigers</v>
      </c>
      <c r="H1547" s="9" t="str">
        <f>IF(VLOOKUP(operations[productID],products[],7,FALSE)=1,"Discontinued","Current")</f>
        <v>Current</v>
      </c>
      <c r="I1547" s="6">
        <f>VLOOKUP(operations[productID],products[],4,FALSE)</f>
        <v>42</v>
      </c>
      <c r="J1547" s="6">
        <f>VLOOKUP(operations[productID],products[],5,FALSE)</f>
        <v>0</v>
      </c>
      <c r="K1547" s="6">
        <f>VLOOKUP(operations[productID],products[],6,FALSE)</f>
        <v>0</v>
      </c>
      <c r="L1547" s="10">
        <f t="array" ref="L1547">INDEX('1 orders'!I1547:I2156, MATCH(1, ('1 orders'!A1547:A2156=A1547)*('1 orders'!G1547:G2156=F1547), 0))
</f>
        <v>25</v>
      </c>
      <c r="M1547" s="10">
        <f>IFERROR(__xludf.DUMMYFUNCTION("COUNTUNIQUEIFS($A$2:$A1547,$F$2:$F1547,F1547)"),18.0)</f>
        <v>18</v>
      </c>
      <c r="N1547" s="10">
        <f t="shared" si="1"/>
        <v>28</v>
      </c>
      <c r="O1547" s="26">
        <f>IF(operations[sinceLastOrder]=0,0,operations[orderQuantity] / operations[sinceLastOrder])</f>
        <v>0.8928571429</v>
      </c>
      <c r="P1547" s="9">
        <v>59.28</v>
      </c>
      <c r="Q1547" s="7" t="s">
        <v>13</v>
      </c>
      <c r="R1547" s="10">
        <f>operations[arrivedDate]-operations[shippedDate]</f>
        <v>13</v>
      </c>
    </row>
    <row r="1548" ht="15.75" customHeight="1">
      <c r="A1548" s="6">
        <v>10838.0</v>
      </c>
      <c r="B1548" s="24">
        <v>45310.0</v>
      </c>
      <c r="C1548" s="24">
        <v>45338.0</v>
      </c>
      <c r="D1548" s="24">
        <v>45314.0</v>
      </c>
      <c r="E1548" s="24">
        <v>45327.0</v>
      </c>
      <c r="F1548" s="6">
        <v>36.0</v>
      </c>
      <c r="G1548" s="9" t="str">
        <f>VLOOKUP(operations[productID],products[],2,FALSE)</f>
        <v>Inlagd Sill</v>
      </c>
      <c r="H1548" s="9" t="str">
        <f>IF(VLOOKUP(operations[productID],products[],7,FALSE)=1,"Discontinued","Current")</f>
        <v>Current</v>
      </c>
      <c r="I1548" s="6">
        <f>VLOOKUP(operations[productID],products[],4,FALSE)</f>
        <v>112</v>
      </c>
      <c r="J1548" s="6">
        <f>VLOOKUP(operations[productID],products[],5,FALSE)</f>
        <v>0</v>
      </c>
      <c r="K1548" s="6">
        <f>VLOOKUP(operations[productID],products[],6,FALSE)</f>
        <v>20</v>
      </c>
      <c r="L1548" s="10">
        <f t="array" ref="L1548">INDEX('1 orders'!I1548:I2156, MATCH(1, ('1 orders'!A1548:A2156=A1548)*('1 orders'!G1548:G2156=F1548), 0))
</f>
        <v>50</v>
      </c>
      <c r="M1548" s="10">
        <f>IFERROR(__xludf.DUMMYFUNCTION("COUNTUNIQUEIFS($A$2:$A1548,$F$2:$F1548,F1548)"),24.0)</f>
        <v>24</v>
      </c>
      <c r="N1548" s="10">
        <f t="shared" si="1"/>
        <v>32</v>
      </c>
      <c r="O1548" s="26">
        <f>IF(operations[sinceLastOrder]=0,0,operations[orderQuantity] / operations[sinceLastOrder])</f>
        <v>1.5625</v>
      </c>
      <c r="P1548" s="9">
        <v>59.28</v>
      </c>
      <c r="Q1548" s="7" t="s">
        <v>13</v>
      </c>
      <c r="R1548" s="10">
        <f>operations[arrivedDate]-operations[shippedDate]</f>
        <v>13</v>
      </c>
    </row>
    <row r="1549" ht="15.75" customHeight="1">
      <c r="A1549" s="6">
        <v>10839.0</v>
      </c>
      <c r="B1549" s="24">
        <v>45310.0</v>
      </c>
      <c r="C1549" s="24">
        <v>45338.0</v>
      </c>
      <c r="D1549" s="24">
        <v>45313.0</v>
      </c>
      <c r="E1549" s="24">
        <v>45332.0</v>
      </c>
      <c r="F1549" s="6">
        <v>58.0</v>
      </c>
      <c r="G1549" s="9" t="str">
        <f>VLOOKUP(operations[productID],products[],2,FALSE)</f>
        <v>Escargots de Bourgogne</v>
      </c>
      <c r="H1549" s="9" t="str">
        <f>IF(VLOOKUP(operations[productID],products[],7,FALSE)=1,"Discontinued","Current")</f>
        <v>Current</v>
      </c>
      <c r="I1549" s="6">
        <f>VLOOKUP(operations[productID],products[],4,FALSE)</f>
        <v>62</v>
      </c>
      <c r="J1549" s="6">
        <f>VLOOKUP(operations[productID],products[],5,FALSE)</f>
        <v>0</v>
      </c>
      <c r="K1549" s="6">
        <f>VLOOKUP(operations[productID],products[],6,FALSE)</f>
        <v>20</v>
      </c>
      <c r="L1549" s="10">
        <f t="array" ref="L1549">INDEX('1 orders'!I1549:I2156, MATCH(1, ('1 orders'!A1549:A2156=A1549)*('1 orders'!G1549:G2156=F1549), 0))
</f>
        <v>30</v>
      </c>
      <c r="M1549" s="10">
        <f>IFERROR(__xludf.DUMMYFUNCTION("COUNTUNIQUEIFS($A$2:$A1549,$F$2:$F1549,F1549)"),12.0)</f>
        <v>12</v>
      </c>
      <c r="N1549" s="10">
        <f t="shared" si="1"/>
        <v>89</v>
      </c>
      <c r="O1549" s="26">
        <f>IF(operations[sinceLastOrder]=0,0,operations[orderQuantity] / operations[sinceLastOrder])</f>
        <v>0.3370786517</v>
      </c>
      <c r="P1549" s="9">
        <v>35.43</v>
      </c>
      <c r="Q1549" s="7" t="s">
        <v>13</v>
      </c>
      <c r="R1549" s="10">
        <f>operations[arrivedDate]-operations[shippedDate]</f>
        <v>19</v>
      </c>
    </row>
    <row r="1550" ht="15.75" customHeight="1">
      <c r="A1550" s="6">
        <v>10839.0</v>
      </c>
      <c r="B1550" s="24">
        <v>45310.0</v>
      </c>
      <c r="C1550" s="24">
        <v>45338.0</v>
      </c>
      <c r="D1550" s="24">
        <v>45313.0</v>
      </c>
      <c r="E1550" s="24">
        <v>45332.0</v>
      </c>
      <c r="F1550" s="6">
        <v>72.0</v>
      </c>
      <c r="G1550" s="9" t="str">
        <f>VLOOKUP(operations[productID],products[],2,FALSE)</f>
        <v>Mozzarella di Giovanni</v>
      </c>
      <c r="H1550" s="9" t="str">
        <f>IF(VLOOKUP(operations[productID],products[],7,FALSE)=1,"Discontinued","Current")</f>
        <v>Current</v>
      </c>
      <c r="I1550" s="6">
        <f>VLOOKUP(operations[productID],products[],4,FALSE)</f>
        <v>14</v>
      </c>
      <c r="J1550" s="6">
        <f>VLOOKUP(operations[productID],products[],5,FALSE)</f>
        <v>0</v>
      </c>
      <c r="K1550" s="6">
        <f>VLOOKUP(operations[productID],products[],6,FALSE)</f>
        <v>0</v>
      </c>
      <c r="L1550" s="10">
        <f t="array" ref="L1550">INDEX('1 orders'!I1550:I2156, MATCH(1, ('1 orders'!A1550:A2156=A1550)*('1 orders'!G1550:G2156=F1550), 0))
</f>
        <v>15</v>
      </c>
      <c r="M1550" s="10">
        <f>IFERROR(__xludf.DUMMYFUNCTION("COUNTUNIQUEIFS($A$2:$A1550,$F$2:$F1550,F1550)"),31.0)</f>
        <v>31</v>
      </c>
      <c r="N1550" s="10">
        <f t="shared" si="1"/>
        <v>17</v>
      </c>
      <c r="O1550" s="26">
        <f>IF(operations[sinceLastOrder]=0,0,operations[orderQuantity] / operations[sinceLastOrder])</f>
        <v>0.8823529412</v>
      </c>
      <c r="P1550" s="9">
        <v>35.43</v>
      </c>
      <c r="Q1550" s="7" t="s">
        <v>13</v>
      </c>
      <c r="R1550" s="10">
        <f>operations[arrivedDate]-operations[shippedDate]</f>
        <v>19</v>
      </c>
    </row>
    <row r="1551" ht="15.75" customHeight="1">
      <c r="A1551" s="6">
        <v>10840.0</v>
      </c>
      <c r="B1551" s="24">
        <v>45310.0</v>
      </c>
      <c r="C1551" s="24">
        <v>45353.0</v>
      </c>
      <c r="D1551" s="24">
        <v>45338.0</v>
      </c>
      <c r="E1551" s="24">
        <v>45354.0</v>
      </c>
      <c r="F1551" s="6">
        <v>25.0</v>
      </c>
      <c r="G1551" s="9" t="str">
        <f>VLOOKUP(operations[productID],products[],2,FALSE)</f>
        <v>HM Köstliche Kaiserschmarrn Knödelchen</v>
      </c>
      <c r="H1551" s="9" t="str">
        <f>IF(VLOOKUP(operations[productID],products[],7,FALSE)=1,"Discontinued","Current")</f>
        <v>Current</v>
      </c>
      <c r="I1551" s="6">
        <f>VLOOKUP(operations[productID],products[],4,FALSE)</f>
        <v>76</v>
      </c>
      <c r="J1551" s="6">
        <f>VLOOKUP(operations[productID],products[],5,FALSE)</f>
        <v>0</v>
      </c>
      <c r="K1551" s="6">
        <f>VLOOKUP(operations[productID],products[],6,FALSE)</f>
        <v>30</v>
      </c>
      <c r="L1551" s="10">
        <f t="array" ref="L1551">INDEX('1 orders'!I1551:I2156, MATCH(1, ('1 orders'!A1551:A2156=A1551)*('1 orders'!G1551:G2156=F1551), 0))
</f>
        <v>6</v>
      </c>
      <c r="M1551" s="10">
        <f>IFERROR(__xludf.DUMMYFUNCTION("COUNTUNIQUEIFS($A$2:$A1551,$F$2:$F1551,F1551)"),13.0)</f>
        <v>13</v>
      </c>
      <c r="N1551" s="10">
        <f t="shared" si="1"/>
        <v>5</v>
      </c>
      <c r="O1551" s="26">
        <f>IF(operations[sinceLastOrder]=0,0,operations[orderQuantity] / operations[sinceLastOrder])</f>
        <v>1.2</v>
      </c>
      <c r="P1551" s="9">
        <v>2.71</v>
      </c>
      <c r="Q1551" s="7" t="s">
        <v>17</v>
      </c>
      <c r="R1551" s="10">
        <f>operations[arrivedDate]-operations[shippedDate]</f>
        <v>16</v>
      </c>
    </row>
    <row r="1552" ht="15.75" customHeight="1">
      <c r="A1552" s="6">
        <v>10840.0</v>
      </c>
      <c r="B1552" s="24">
        <v>45310.0</v>
      </c>
      <c r="C1552" s="24">
        <v>45353.0</v>
      </c>
      <c r="D1552" s="24">
        <v>45338.0</v>
      </c>
      <c r="E1552" s="24">
        <v>45354.0</v>
      </c>
      <c r="F1552" s="6">
        <v>39.0</v>
      </c>
      <c r="G1552" s="9" t="str">
        <f>VLOOKUP(operations[productID],products[],2,FALSE)</f>
        <v>Chartreuse verte</v>
      </c>
      <c r="H1552" s="9" t="str">
        <f>IF(VLOOKUP(operations[productID],products[],7,FALSE)=1,"Discontinued","Current")</f>
        <v>Current</v>
      </c>
      <c r="I1552" s="6">
        <f>VLOOKUP(operations[productID],products[],4,FALSE)</f>
        <v>69</v>
      </c>
      <c r="J1552" s="6">
        <f>VLOOKUP(operations[productID],products[],5,FALSE)</f>
        <v>0</v>
      </c>
      <c r="K1552" s="6">
        <f>VLOOKUP(operations[productID],products[],6,FALSE)</f>
        <v>5</v>
      </c>
      <c r="L1552" s="10">
        <f t="array" ref="L1552">INDEX('1 orders'!I1552:I2156, MATCH(1, ('1 orders'!A1552:A2156=A1552)*('1 orders'!G1552:G2156=F1552), 0))
</f>
        <v>10</v>
      </c>
      <c r="M1552" s="10">
        <f>IFERROR(__xludf.DUMMYFUNCTION("COUNTUNIQUEIFS($A$2:$A1552,$F$2:$F1552,F1552)"),24.0)</f>
        <v>24</v>
      </c>
      <c r="N1552" s="10">
        <f t="shared" si="1"/>
        <v>6</v>
      </c>
      <c r="O1552" s="26">
        <f>IF(operations[sinceLastOrder]=0,0,operations[orderQuantity] / operations[sinceLastOrder])</f>
        <v>1.666666667</v>
      </c>
      <c r="P1552" s="9">
        <v>2.71</v>
      </c>
      <c r="Q1552" s="7" t="s">
        <v>17</v>
      </c>
      <c r="R1552" s="10">
        <f>operations[arrivedDate]-operations[shippedDate]</f>
        <v>16</v>
      </c>
    </row>
    <row r="1553" ht="15.75" customHeight="1">
      <c r="A1553" s="6">
        <v>10841.0</v>
      </c>
      <c r="B1553" s="24">
        <v>45311.0</v>
      </c>
      <c r="C1553" s="24">
        <v>45339.0</v>
      </c>
      <c r="D1553" s="24">
        <v>45320.0</v>
      </c>
      <c r="E1553" s="24">
        <v>45335.0</v>
      </c>
      <c r="F1553" s="6">
        <v>10.0</v>
      </c>
      <c r="G1553" s="9" t="str">
        <f>VLOOKUP(operations[productID],products[],2,FALSE)</f>
        <v>Ikura</v>
      </c>
      <c r="H1553" s="9" t="str">
        <f>IF(VLOOKUP(operations[productID],products[],7,FALSE)=1,"Discontinued","Current")</f>
        <v>Current</v>
      </c>
      <c r="I1553" s="6">
        <f>VLOOKUP(operations[productID],products[],4,FALSE)</f>
        <v>31</v>
      </c>
      <c r="J1553" s="6">
        <f>VLOOKUP(operations[productID],products[],5,FALSE)</f>
        <v>0</v>
      </c>
      <c r="K1553" s="6">
        <f>VLOOKUP(operations[productID],products[],6,FALSE)</f>
        <v>0</v>
      </c>
      <c r="L1553" s="10">
        <f t="array" ref="L1553">INDEX('1 orders'!I1553:I2156, MATCH(1, ('1 orders'!A1553:A2156=A1553)*('1 orders'!G1553:G2156=F1553), 0))
</f>
        <v>16</v>
      </c>
      <c r="M1553" s="10">
        <f>IFERROR(__xludf.DUMMYFUNCTION("COUNTUNIQUEIFS($A$2:$A1553,$F$2:$F1553,F1553)"),25.0)</f>
        <v>25</v>
      </c>
      <c r="N1553" s="10">
        <f t="shared" si="1"/>
        <v>8</v>
      </c>
      <c r="O1553" s="26">
        <f>IF(operations[sinceLastOrder]=0,0,operations[orderQuantity] / operations[sinceLastOrder])</f>
        <v>2</v>
      </c>
      <c r="P1553" s="9">
        <v>424.3</v>
      </c>
      <c r="Q1553" s="7" t="s">
        <v>17</v>
      </c>
      <c r="R1553" s="10">
        <f>operations[arrivedDate]-operations[shippedDate]</f>
        <v>15</v>
      </c>
    </row>
    <row r="1554" ht="15.75" customHeight="1">
      <c r="A1554" s="6">
        <v>10841.0</v>
      </c>
      <c r="B1554" s="24">
        <v>45311.0</v>
      </c>
      <c r="C1554" s="24">
        <v>45339.0</v>
      </c>
      <c r="D1554" s="24">
        <v>45320.0</v>
      </c>
      <c r="E1554" s="24">
        <v>45335.0</v>
      </c>
      <c r="F1554" s="6">
        <v>56.0</v>
      </c>
      <c r="G1554" s="9" t="str">
        <f>VLOOKUP(operations[productID],products[],2,FALSE)</f>
        <v>Gnocchi di nonna Alice</v>
      </c>
      <c r="H1554" s="9" t="str">
        <f>IF(VLOOKUP(operations[productID],products[],7,FALSE)=1,"Discontinued","Current")</f>
        <v>Current</v>
      </c>
      <c r="I1554" s="6">
        <f>VLOOKUP(operations[productID],products[],4,FALSE)</f>
        <v>21</v>
      </c>
      <c r="J1554" s="6">
        <f>VLOOKUP(operations[productID],products[],5,FALSE)</f>
        <v>10</v>
      </c>
      <c r="K1554" s="6">
        <f>VLOOKUP(operations[productID],products[],6,FALSE)</f>
        <v>30</v>
      </c>
      <c r="L1554" s="10">
        <f t="array" ref="L1554">INDEX('1 orders'!I1554:I2156, MATCH(1, ('1 orders'!A1554:A2156=A1554)*('1 orders'!G1554:G2156=F1554), 0))
</f>
        <v>30</v>
      </c>
      <c r="M1554" s="10">
        <f>IFERROR(__xludf.DUMMYFUNCTION("COUNTUNIQUEIFS($A$2:$A1554,$F$2:$F1554,F1554)"),43.0)</f>
        <v>43</v>
      </c>
      <c r="N1554" s="10">
        <f t="shared" si="1"/>
        <v>13</v>
      </c>
      <c r="O1554" s="26">
        <f>IF(operations[sinceLastOrder]=0,0,operations[orderQuantity] / operations[sinceLastOrder])</f>
        <v>2.307692308</v>
      </c>
      <c r="P1554" s="9">
        <v>424.3</v>
      </c>
      <c r="Q1554" s="7" t="s">
        <v>17</v>
      </c>
      <c r="R1554" s="10">
        <f>operations[arrivedDate]-operations[shippedDate]</f>
        <v>15</v>
      </c>
    </row>
    <row r="1555" ht="15.75" customHeight="1">
      <c r="A1555" s="6">
        <v>10841.0</v>
      </c>
      <c r="B1555" s="24">
        <v>45311.0</v>
      </c>
      <c r="C1555" s="24">
        <v>45339.0</v>
      </c>
      <c r="D1555" s="24">
        <v>45320.0</v>
      </c>
      <c r="E1555" s="24">
        <v>45335.0</v>
      </c>
      <c r="F1555" s="6">
        <v>59.0</v>
      </c>
      <c r="G1555" s="9" t="str">
        <f>VLOOKUP(operations[productID],products[],2,FALSE)</f>
        <v>Raclette Courdavault</v>
      </c>
      <c r="H1555" s="9" t="str">
        <f>IF(VLOOKUP(operations[productID],products[],7,FALSE)=1,"Discontinued","Current")</f>
        <v>Current</v>
      </c>
      <c r="I1555" s="6">
        <f>VLOOKUP(operations[productID],products[],4,FALSE)</f>
        <v>79</v>
      </c>
      <c r="J1555" s="6">
        <f>VLOOKUP(operations[productID],products[],5,FALSE)</f>
        <v>0</v>
      </c>
      <c r="K1555" s="6">
        <f>VLOOKUP(operations[productID],products[],6,FALSE)</f>
        <v>0</v>
      </c>
      <c r="L1555" s="10">
        <f t="array" ref="L1555">INDEX('1 orders'!I1555:I2156, MATCH(1, ('1 orders'!A1555:A2156=A1555)*('1 orders'!G1555:G2156=F1555), 0))
</f>
        <v>50</v>
      </c>
      <c r="M1555" s="10">
        <f>IFERROR(__xludf.DUMMYFUNCTION("COUNTUNIQUEIFS($A$2:$A1555,$F$2:$F1555,F1555)"),44.0)</f>
        <v>44</v>
      </c>
      <c r="N1555" s="10">
        <f t="shared" si="1"/>
        <v>5</v>
      </c>
      <c r="O1555" s="26">
        <f>IF(operations[sinceLastOrder]=0,0,operations[orderQuantity] / operations[sinceLastOrder])</f>
        <v>10</v>
      </c>
      <c r="P1555" s="9">
        <v>424.3</v>
      </c>
      <c r="Q1555" s="7" t="s">
        <v>17</v>
      </c>
      <c r="R1555" s="10">
        <f>operations[arrivedDate]-operations[shippedDate]</f>
        <v>15</v>
      </c>
    </row>
    <row r="1556" ht="15.75" customHeight="1">
      <c r="A1556" s="6">
        <v>10841.0</v>
      </c>
      <c r="B1556" s="24">
        <v>45311.0</v>
      </c>
      <c r="C1556" s="24">
        <v>45339.0</v>
      </c>
      <c r="D1556" s="24">
        <v>45320.0</v>
      </c>
      <c r="E1556" s="24">
        <v>45335.0</v>
      </c>
      <c r="F1556" s="6">
        <v>77.0</v>
      </c>
      <c r="G1556" s="9" t="str">
        <f>VLOOKUP(operations[productID],products[],2,FALSE)</f>
        <v>Original Frankfurter grüne Soße</v>
      </c>
      <c r="H1556" s="9" t="str">
        <f>IF(VLOOKUP(operations[productID],products[],7,FALSE)=1,"Discontinued","Current")</f>
        <v>Current</v>
      </c>
      <c r="I1556" s="6">
        <f>VLOOKUP(operations[productID],products[],4,FALSE)</f>
        <v>32</v>
      </c>
      <c r="J1556" s="6">
        <f>VLOOKUP(operations[productID],products[],5,FALSE)</f>
        <v>0</v>
      </c>
      <c r="K1556" s="6">
        <f>VLOOKUP(operations[productID],products[],6,FALSE)</f>
        <v>15</v>
      </c>
      <c r="L1556" s="10">
        <f t="array" ref="L1556">INDEX('1 orders'!I1556:I2156, MATCH(1, ('1 orders'!A1556:A2156=A1556)*('1 orders'!G1556:G2156=F1556), 0))
</f>
        <v>15</v>
      </c>
      <c r="M1556" s="10">
        <f>IFERROR(__xludf.DUMMYFUNCTION("COUNTUNIQUEIFS($A$2:$A1556,$F$2:$F1556,F1556)"),27.0)</f>
        <v>27</v>
      </c>
      <c r="N1556" s="10">
        <f t="shared" si="1"/>
        <v>5</v>
      </c>
      <c r="O1556" s="26">
        <f>IF(operations[sinceLastOrder]=0,0,operations[orderQuantity] / operations[sinceLastOrder])</f>
        <v>3</v>
      </c>
      <c r="P1556" s="9">
        <v>424.3</v>
      </c>
      <c r="Q1556" s="7" t="s">
        <v>17</v>
      </c>
      <c r="R1556" s="10">
        <f>operations[arrivedDate]-operations[shippedDate]</f>
        <v>15</v>
      </c>
    </row>
    <row r="1557" ht="15.75" customHeight="1">
      <c r="A1557" s="6">
        <v>10842.0</v>
      </c>
      <c r="B1557" s="24">
        <v>45311.0</v>
      </c>
      <c r="C1557" s="24">
        <v>45339.0</v>
      </c>
      <c r="D1557" s="24">
        <v>45320.0</v>
      </c>
      <c r="E1557" s="24">
        <v>45336.0</v>
      </c>
      <c r="F1557" s="6">
        <v>11.0</v>
      </c>
      <c r="G1557" s="9" t="str">
        <f>VLOOKUP(operations[productID],products[],2,FALSE)</f>
        <v>Queso Cabrales</v>
      </c>
      <c r="H1557" s="9" t="str">
        <f>IF(VLOOKUP(operations[productID],products[],7,FALSE)=1,"Discontinued","Current")</f>
        <v>Current</v>
      </c>
      <c r="I1557" s="6">
        <f>VLOOKUP(operations[productID],products[],4,FALSE)</f>
        <v>22</v>
      </c>
      <c r="J1557" s="6">
        <f>VLOOKUP(operations[productID],products[],5,FALSE)</f>
        <v>30</v>
      </c>
      <c r="K1557" s="6">
        <f>VLOOKUP(operations[productID],products[],6,FALSE)</f>
        <v>30</v>
      </c>
      <c r="L1557" s="10">
        <f t="array" ref="L1557">INDEX('1 orders'!I1557:I2156, MATCH(1, ('1 orders'!A1557:A2156=A1557)*('1 orders'!G1557:G2156=F1557), 0))
</f>
        <v>15</v>
      </c>
      <c r="M1557" s="10">
        <f>IFERROR(__xludf.DUMMYFUNCTION("COUNTUNIQUEIFS($A$2:$A1557,$F$2:$F1557,F1557)"),28.0)</f>
        <v>28</v>
      </c>
      <c r="N1557" s="10">
        <f t="shared" si="1"/>
        <v>11</v>
      </c>
      <c r="O1557" s="26">
        <f>IF(operations[sinceLastOrder]=0,0,operations[orderQuantity] / operations[sinceLastOrder])</f>
        <v>1.363636364</v>
      </c>
      <c r="P1557" s="9">
        <v>54.42</v>
      </c>
      <c r="Q1557" s="7" t="s">
        <v>13</v>
      </c>
      <c r="R1557" s="10">
        <f>operations[arrivedDate]-operations[shippedDate]</f>
        <v>16</v>
      </c>
    </row>
    <row r="1558" ht="15.75" customHeight="1">
      <c r="A1558" s="6">
        <v>10842.0</v>
      </c>
      <c r="B1558" s="24">
        <v>45311.0</v>
      </c>
      <c r="C1558" s="24">
        <v>45339.0</v>
      </c>
      <c r="D1558" s="24">
        <v>45320.0</v>
      </c>
      <c r="E1558" s="24">
        <v>45336.0</v>
      </c>
      <c r="F1558" s="6">
        <v>43.0</v>
      </c>
      <c r="G1558" s="9" t="str">
        <f>VLOOKUP(operations[productID],products[],2,FALSE)</f>
        <v>Ipoh Coffee</v>
      </c>
      <c r="H1558" s="9" t="str">
        <f>IF(VLOOKUP(operations[productID],products[],7,FALSE)=1,"Discontinued","Current")</f>
        <v>Current</v>
      </c>
      <c r="I1558" s="6">
        <f>VLOOKUP(operations[productID],products[],4,FALSE)</f>
        <v>17</v>
      </c>
      <c r="J1558" s="6">
        <f>VLOOKUP(operations[productID],products[],5,FALSE)</f>
        <v>10</v>
      </c>
      <c r="K1558" s="6">
        <f>VLOOKUP(operations[productID],products[],6,FALSE)</f>
        <v>25</v>
      </c>
      <c r="L1558" s="10">
        <f t="array" ref="L1558">INDEX('1 orders'!I1558:I2156, MATCH(1, ('1 orders'!A1558:A2156=A1558)*('1 orders'!G1558:G2156=F1558), 0))
</f>
        <v>5</v>
      </c>
      <c r="M1558" s="10">
        <f>IFERROR(__xludf.DUMMYFUNCTION("COUNTUNIQUEIFS($A$2:$A1558,$F$2:$F1558,F1558)"),21.0)</f>
        <v>21</v>
      </c>
      <c r="N1558" s="10">
        <f t="shared" si="1"/>
        <v>6</v>
      </c>
      <c r="O1558" s="26">
        <f>IF(operations[sinceLastOrder]=0,0,operations[orderQuantity] / operations[sinceLastOrder])</f>
        <v>0.8333333333</v>
      </c>
      <c r="P1558" s="9">
        <v>54.42</v>
      </c>
      <c r="Q1558" s="7" t="s">
        <v>13</v>
      </c>
      <c r="R1558" s="10">
        <f>operations[arrivedDate]-operations[shippedDate]</f>
        <v>16</v>
      </c>
    </row>
    <row r="1559" ht="15.75" customHeight="1">
      <c r="A1559" s="6">
        <v>10842.0</v>
      </c>
      <c r="B1559" s="24">
        <v>45311.0</v>
      </c>
      <c r="C1559" s="24">
        <v>45339.0</v>
      </c>
      <c r="D1559" s="24">
        <v>45320.0</v>
      </c>
      <c r="E1559" s="24">
        <v>45336.0</v>
      </c>
      <c r="F1559" s="6">
        <v>68.0</v>
      </c>
      <c r="G1559" s="9" t="str">
        <f>VLOOKUP(operations[productID],products[],2,FALSE)</f>
        <v>Scottish Longbreads</v>
      </c>
      <c r="H1559" s="9" t="str">
        <f>IF(VLOOKUP(operations[productID],products[],7,FALSE)=1,"Discontinued","Current")</f>
        <v>Current</v>
      </c>
      <c r="I1559" s="6">
        <f>VLOOKUP(operations[productID],products[],4,FALSE)</f>
        <v>6</v>
      </c>
      <c r="J1559" s="6">
        <f>VLOOKUP(operations[productID],products[],5,FALSE)</f>
        <v>10</v>
      </c>
      <c r="K1559" s="6">
        <f>VLOOKUP(operations[productID],products[],6,FALSE)</f>
        <v>15</v>
      </c>
      <c r="L1559" s="10">
        <f t="array" ref="L1559">INDEX('1 orders'!I1559:I2156, MATCH(1, ('1 orders'!A1559:A2156=A1559)*('1 orders'!G1559:G2156=F1559), 0))
</f>
        <v>20</v>
      </c>
      <c r="M1559" s="10">
        <f>IFERROR(__xludf.DUMMYFUNCTION("COUNTUNIQUEIFS($A$2:$A1559,$F$2:$F1559,F1559)"),27.0)</f>
        <v>27</v>
      </c>
      <c r="N1559" s="10">
        <f t="shared" si="1"/>
        <v>7</v>
      </c>
      <c r="O1559" s="26">
        <f>IF(operations[sinceLastOrder]=0,0,operations[orderQuantity] / operations[sinceLastOrder])</f>
        <v>2.857142857</v>
      </c>
      <c r="P1559" s="9">
        <v>54.42</v>
      </c>
      <c r="Q1559" s="7" t="s">
        <v>13</v>
      </c>
      <c r="R1559" s="10">
        <f>operations[arrivedDate]-operations[shippedDate]</f>
        <v>16</v>
      </c>
    </row>
    <row r="1560" ht="15.75" customHeight="1">
      <c r="A1560" s="6">
        <v>10842.0</v>
      </c>
      <c r="B1560" s="24">
        <v>45311.0</v>
      </c>
      <c r="C1560" s="24">
        <v>45339.0</v>
      </c>
      <c r="D1560" s="24">
        <v>45320.0</v>
      </c>
      <c r="E1560" s="24">
        <v>45336.0</v>
      </c>
      <c r="F1560" s="6">
        <v>70.0</v>
      </c>
      <c r="G1560" s="9" t="str">
        <f>VLOOKUP(operations[productID],products[],2,FALSE)</f>
        <v>Outback Lager</v>
      </c>
      <c r="H1560" s="9" t="str">
        <f>IF(VLOOKUP(operations[productID],products[],7,FALSE)=1,"Discontinued","Current")</f>
        <v>Current</v>
      </c>
      <c r="I1560" s="6">
        <f>VLOOKUP(operations[productID],products[],4,FALSE)</f>
        <v>15</v>
      </c>
      <c r="J1560" s="6">
        <f>VLOOKUP(operations[productID],products[],5,FALSE)</f>
        <v>10</v>
      </c>
      <c r="K1560" s="6">
        <f>VLOOKUP(operations[productID],products[],6,FALSE)</f>
        <v>30</v>
      </c>
      <c r="L1560" s="10">
        <f t="array" ref="L1560">INDEX('1 orders'!I1560:I2156, MATCH(1, ('1 orders'!A1560:A2156=A1560)*('1 orders'!G1560:G2156=F1560), 0))
</f>
        <v>12</v>
      </c>
      <c r="M1560" s="10">
        <f>IFERROR(__xludf.DUMMYFUNCTION("COUNTUNIQUEIFS($A$2:$A1560,$F$2:$F1560,F1560)"),28.0)</f>
        <v>28</v>
      </c>
      <c r="N1560" s="10">
        <f t="shared" si="1"/>
        <v>11</v>
      </c>
      <c r="O1560" s="26">
        <f>IF(operations[sinceLastOrder]=0,0,operations[orderQuantity] / operations[sinceLastOrder])</f>
        <v>1.090909091</v>
      </c>
      <c r="P1560" s="9">
        <v>54.42</v>
      </c>
      <c r="Q1560" s="7" t="s">
        <v>13</v>
      </c>
      <c r="R1560" s="10">
        <f>operations[arrivedDate]-operations[shippedDate]</f>
        <v>16</v>
      </c>
    </row>
    <row r="1561" ht="15.75" customHeight="1">
      <c r="A1561" s="6">
        <v>10843.0</v>
      </c>
      <c r="B1561" s="24">
        <v>45312.0</v>
      </c>
      <c r="C1561" s="24">
        <v>45340.0</v>
      </c>
      <c r="D1561" s="24">
        <v>45317.0</v>
      </c>
      <c r="E1561" s="24">
        <v>45326.0</v>
      </c>
      <c r="F1561" s="6">
        <v>51.0</v>
      </c>
      <c r="G1561" s="9" t="str">
        <f>VLOOKUP(operations[productID],products[],2,FALSE)</f>
        <v>Manjimup Dried Apples</v>
      </c>
      <c r="H1561" s="9" t="str">
        <f>IF(VLOOKUP(operations[productID],products[],7,FALSE)=1,"Discontinued","Current")</f>
        <v>Current</v>
      </c>
      <c r="I1561" s="6">
        <f>VLOOKUP(operations[productID],products[],4,FALSE)</f>
        <v>20</v>
      </c>
      <c r="J1561" s="6">
        <f>VLOOKUP(operations[productID],products[],5,FALSE)</f>
        <v>0</v>
      </c>
      <c r="K1561" s="6">
        <f>VLOOKUP(operations[productID],products[],6,FALSE)</f>
        <v>10</v>
      </c>
      <c r="L1561" s="10">
        <f t="array" ref="L1561">INDEX('1 orders'!I1561:I2156, MATCH(1, ('1 orders'!A1561:A2156=A1561)*('1 orders'!G1561:G2156=F1561), 0))
</f>
        <v>4</v>
      </c>
      <c r="M1561" s="10">
        <f>IFERROR(__xludf.DUMMYFUNCTION("COUNTUNIQUEIFS($A$2:$A1561,$F$2:$F1561,F1561)"),27.0)</f>
        <v>27</v>
      </c>
      <c r="N1561" s="10">
        <f t="shared" si="1"/>
        <v>13</v>
      </c>
      <c r="O1561" s="26">
        <f>IF(operations[sinceLastOrder]=0,0,operations[orderQuantity] / operations[sinceLastOrder])</f>
        <v>0.3076923077</v>
      </c>
      <c r="P1561" s="9">
        <v>9.26</v>
      </c>
      <c r="Q1561" s="7" t="s">
        <v>17</v>
      </c>
      <c r="R1561" s="10">
        <f>operations[arrivedDate]-operations[shippedDate]</f>
        <v>9</v>
      </c>
    </row>
    <row r="1562" ht="15.75" customHeight="1">
      <c r="A1562" s="6">
        <v>10844.0</v>
      </c>
      <c r="B1562" s="24">
        <v>45312.0</v>
      </c>
      <c r="C1562" s="24">
        <v>45340.0</v>
      </c>
      <c r="D1562" s="24">
        <v>45317.0</v>
      </c>
      <c r="E1562" s="24">
        <v>45330.0</v>
      </c>
      <c r="F1562" s="6">
        <v>22.0</v>
      </c>
      <c r="G1562" s="9" t="str">
        <f>VLOOKUP(operations[productID],products[],2,FALSE)</f>
        <v>Gustaf's Knäckebröd</v>
      </c>
      <c r="H1562" s="9" t="str">
        <f>IF(VLOOKUP(operations[productID],products[],7,FALSE)=1,"Discontinued","Current")</f>
        <v>Current</v>
      </c>
      <c r="I1562" s="6">
        <f>VLOOKUP(operations[productID],products[],4,FALSE)</f>
        <v>104</v>
      </c>
      <c r="J1562" s="6">
        <f>VLOOKUP(operations[productID],products[],5,FALSE)</f>
        <v>0</v>
      </c>
      <c r="K1562" s="6">
        <f>VLOOKUP(operations[productID],products[],6,FALSE)</f>
        <v>25</v>
      </c>
      <c r="L1562" s="10">
        <f t="array" ref="L1562">INDEX('1 orders'!I1562:I2156, MATCH(1, ('1 orders'!A1562:A2156=A1562)*('1 orders'!G1562:G2156=F1562), 0))
</f>
        <v>35</v>
      </c>
      <c r="M1562" s="10">
        <f>IFERROR(__xludf.DUMMYFUNCTION("COUNTUNIQUEIFS($A$2:$A1562,$F$2:$F1562,F1562)"),12.0)</f>
        <v>12</v>
      </c>
      <c r="N1562" s="10">
        <f t="shared" si="1"/>
        <v>5</v>
      </c>
      <c r="O1562" s="26">
        <f>IF(operations[sinceLastOrder]=0,0,operations[orderQuantity] / operations[sinceLastOrder])</f>
        <v>7</v>
      </c>
      <c r="P1562" s="9">
        <v>25.22</v>
      </c>
      <c r="Q1562" s="7" t="s">
        <v>17</v>
      </c>
      <c r="R1562" s="10">
        <f>operations[arrivedDate]-operations[shippedDate]</f>
        <v>13</v>
      </c>
    </row>
    <row r="1563" ht="15.75" customHeight="1">
      <c r="A1563" s="6">
        <v>10845.0</v>
      </c>
      <c r="B1563" s="24">
        <v>45312.0</v>
      </c>
      <c r="C1563" s="24">
        <v>45326.0</v>
      </c>
      <c r="D1563" s="24">
        <v>45321.0</v>
      </c>
      <c r="E1563" s="24">
        <v>45326.0</v>
      </c>
      <c r="F1563" s="6">
        <v>23.0</v>
      </c>
      <c r="G1563" s="9" t="str">
        <f>VLOOKUP(operations[productID],products[],2,FALSE)</f>
        <v>Tunnbröd</v>
      </c>
      <c r="H1563" s="9" t="str">
        <f>IF(VLOOKUP(operations[productID],products[],7,FALSE)=1,"Discontinued","Current")</f>
        <v>Current</v>
      </c>
      <c r="I1563" s="6">
        <f>VLOOKUP(operations[productID],products[],4,FALSE)</f>
        <v>61</v>
      </c>
      <c r="J1563" s="6">
        <f>VLOOKUP(operations[productID],products[],5,FALSE)</f>
        <v>0</v>
      </c>
      <c r="K1563" s="6">
        <f>VLOOKUP(operations[productID],products[],6,FALSE)</f>
        <v>25</v>
      </c>
      <c r="L1563" s="10">
        <f t="array" ref="L1563">INDEX('1 orders'!I1563:I2156, MATCH(1, ('1 orders'!A1563:A2156=A1563)*('1 orders'!G1563:G2156=F1563), 0))
</f>
        <v>70</v>
      </c>
      <c r="M1563" s="10">
        <f>IFERROR(__xludf.DUMMYFUNCTION("COUNTUNIQUEIFS($A$2:$A1563,$F$2:$F1563,F1563)"),15.0)</f>
        <v>15</v>
      </c>
      <c r="N1563" s="10">
        <f t="shared" si="1"/>
        <v>19</v>
      </c>
      <c r="O1563" s="26">
        <f>IF(operations[sinceLastOrder]=0,0,operations[orderQuantity] / operations[sinceLastOrder])</f>
        <v>3.684210526</v>
      </c>
      <c r="P1563" s="9">
        <v>212.98</v>
      </c>
      <c r="Q1563" s="7" t="s">
        <v>15</v>
      </c>
      <c r="R1563" s="10">
        <f>operations[arrivedDate]-operations[shippedDate]</f>
        <v>5</v>
      </c>
    </row>
    <row r="1564" ht="15.75" customHeight="1">
      <c r="A1564" s="6">
        <v>10845.0</v>
      </c>
      <c r="B1564" s="24">
        <v>45312.0</v>
      </c>
      <c r="C1564" s="24">
        <v>45326.0</v>
      </c>
      <c r="D1564" s="24">
        <v>45321.0</v>
      </c>
      <c r="E1564" s="24">
        <v>45326.0</v>
      </c>
      <c r="F1564" s="6">
        <v>35.0</v>
      </c>
      <c r="G1564" s="9" t="str">
        <f>VLOOKUP(operations[productID],products[],2,FALSE)</f>
        <v>Cold Brew Nitro</v>
      </c>
      <c r="H1564" s="9" t="str">
        <f>IF(VLOOKUP(operations[productID],products[],7,FALSE)=1,"Discontinued","Current")</f>
        <v>Current</v>
      </c>
      <c r="I1564" s="6">
        <f>VLOOKUP(operations[productID],products[],4,FALSE)</f>
        <v>20</v>
      </c>
      <c r="J1564" s="6">
        <f>VLOOKUP(operations[productID],products[],5,FALSE)</f>
        <v>0</v>
      </c>
      <c r="K1564" s="6">
        <f>VLOOKUP(operations[productID],products[],6,FALSE)</f>
        <v>15</v>
      </c>
      <c r="L1564" s="10">
        <f t="array" ref="L1564">INDEX('1 orders'!I1564:I2156, MATCH(1, ('1 orders'!A1564:A2156=A1564)*('1 orders'!G1564:G2156=F1564), 0))
</f>
        <v>25</v>
      </c>
      <c r="M1564" s="10">
        <f>IFERROR(__xludf.DUMMYFUNCTION("COUNTUNIQUEIFS($A$2:$A1564,$F$2:$F1564,F1564)"),27.0)</f>
        <v>27</v>
      </c>
      <c r="N1564" s="10">
        <f t="shared" si="1"/>
        <v>5</v>
      </c>
      <c r="O1564" s="26">
        <f>IF(operations[sinceLastOrder]=0,0,operations[orderQuantity] / operations[sinceLastOrder])</f>
        <v>5</v>
      </c>
      <c r="P1564" s="9">
        <v>212.98</v>
      </c>
      <c r="Q1564" s="7" t="s">
        <v>15</v>
      </c>
      <c r="R1564" s="10">
        <f>operations[arrivedDate]-operations[shippedDate]</f>
        <v>5</v>
      </c>
    </row>
    <row r="1565" ht="15.75" customHeight="1">
      <c r="A1565" s="6">
        <v>10845.0</v>
      </c>
      <c r="B1565" s="24">
        <v>45312.0</v>
      </c>
      <c r="C1565" s="24">
        <v>45326.0</v>
      </c>
      <c r="D1565" s="24">
        <v>45321.0</v>
      </c>
      <c r="E1565" s="24">
        <v>45326.0</v>
      </c>
      <c r="F1565" s="6">
        <v>42.0</v>
      </c>
      <c r="G1565" s="9" t="str">
        <f>VLOOKUP(operations[productID],products[],2,FALSE)</f>
        <v>Singaporean Hokkien Fried Mee</v>
      </c>
      <c r="H1565" s="9" t="str">
        <f>IF(VLOOKUP(operations[productID],products[],7,FALSE)=1,"Discontinued","Current")</f>
        <v>Discontinued</v>
      </c>
      <c r="I1565" s="6">
        <f>VLOOKUP(operations[productID],products[],4,FALSE)</f>
        <v>26</v>
      </c>
      <c r="J1565" s="6">
        <f>VLOOKUP(operations[productID],products[],5,FALSE)</f>
        <v>0</v>
      </c>
      <c r="K1565" s="6">
        <f>VLOOKUP(operations[productID],products[],6,FALSE)</f>
        <v>0</v>
      </c>
      <c r="L1565" s="10">
        <f t="array" ref="L1565">INDEX('1 orders'!I1565:I2156, MATCH(1, ('1 orders'!A1565:A2156=A1565)*('1 orders'!G1565:G2156=F1565), 0))
</f>
        <v>42</v>
      </c>
      <c r="M1565" s="10">
        <f>IFERROR(__xludf.DUMMYFUNCTION("COUNTUNIQUEIFS($A$2:$A1565,$F$2:$F1565,F1565)"),22.0)</f>
        <v>22</v>
      </c>
      <c r="N1565" s="10">
        <f t="shared" si="1"/>
        <v>37</v>
      </c>
      <c r="O1565" s="26">
        <f>IF(operations[sinceLastOrder]=0,0,operations[orderQuantity] / operations[sinceLastOrder])</f>
        <v>1.135135135</v>
      </c>
      <c r="P1565" s="9">
        <v>212.98</v>
      </c>
      <c r="Q1565" s="7" t="s">
        <v>15</v>
      </c>
      <c r="R1565" s="10">
        <f>operations[arrivedDate]-operations[shippedDate]</f>
        <v>5</v>
      </c>
    </row>
    <row r="1566" ht="15.75" customHeight="1">
      <c r="A1566" s="6">
        <v>10845.0</v>
      </c>
      <c r="B1566" s="24">
        <v>45312.0</v>
      </c>
      <c r="C1566" s="24">
        <v>45326.0</v>
      </c>
      <c r="D1566" s="24">
        <v>45321.0</v>
      </c>
      <c r="E1566" s="24">
        <v>45326.0</v>
      </c>
      <c r="F1566" s="6">
        <v>58.0</v>
      </c>
      <c r="G1566" s="9" t="str">
        <f>VLOOKUP(operations[productID],products[],2,FALSE)</f>
        <v>Escargots de Bourgogne</v>
      </c>
      <c r="H1566" s="9" t="str">
        <f>IF(VLOOKUP(operations[productID],products[],7,FALSE)=1,"Discontinued","Current")</f>
        <v>Current</v>
      </c>
      <c r="I1566" s="6">
        <f>VLOOKUP(operations[productID],products[],4,FALSE)</f>
        <v>62</v>
      </c>
      <c r="J1566" s="6">
        <f>VLOOKUP(operations[productID],products[],5,FALSE)</f>
        <v>0</v>
      </c>
      <c r="K1566" s="6">
        <f>VLOOKUP(operations[productID],products[],6,FALSE)</f>
        <v>20</v>
      </c>
      <c r="L1566" s="10">
        <f t="array" ref="L1566">INDEX('1 orders'!I1566:I2156, MATCH(1, ('1 orders'!A1566:A2156=A1566)*('1 orders'!G1566:G2156=F1566), 0))
</f>
        <v>60</v>
      </c>
      <c r="M1566" s="10">
        <f>IFERROR(__xludf.DUMMYFUNCTION("COUNTUNIQUEIFS($A$2:$A1566,$F$2:$F1566,F1566)"),13.0)</f>
        <v>13</v>
      </c>
      <c r="N1566" s="10">
        <f t="shared" si="1"/>
        <v>2</v>
      </c>
      <c r="O1566" s="26">
        <f>IF(operations[sinceLastOrder]=0,0,operations[orderQuantity] / operations[sinceLastOrder])</f>
        <v>30</v>
      </c>
      <c r="P1566" s="9">
        <v>212.98</v>
      </c>
      <c r="Q1566" s="7" t="s">
        <v>15</v>
      </c>
      <c r="R1566" s="10">
        <f>operations[arrivedDate]-operations[shippedDate]</f>
        <v>5</v>
      </c>
    </row>
    <row r="1567" ht="15.75" customHeight="1">
      <c r="A1567" s="6">
        <v>10845.0</v>
      </c>
      <c r="B1567" s="24">
        <v>45312.0</v>
      </c>
      <c r="C1567" s="24">
        <v>45326.0</v>
      </c>
      <c r="D1567" s="24">
        <v>45321.0</v>
      </c>
      <c r="E1567" s="24">
        <v>45326.0</v>
      </c>
      <c r="F1567" s="6">
        <v>64.0</v>
      </c>
      <c r="G1567" s="9" t="str">
        <f>VLOOKUP(operations[productID],products[],2,FALSE)</f>
        <v>Lukas' leckere Sauerteigweggla</v>
      </c>
      <c r="H1567" s="9" t="str">
        <f>IF(VLOOKUP(operations[productID],products[],7,FALSE)=1,"Discontinued","Current")</f>
        <v>Current</v>
      </c>
      <c r="I1567" s="6">
        <f>VLOOKUP(operations[productID],products[],4,FALSE)</f>
        <v>22</v>
      </c>
      <c r="J1567" s="6">
        <f>VLOOKUP(operations[productID],products[],5,FALSE)</f>
        <v>80</v>
      </c>
      <c r="K1567" s="6">
        <f>VLOOKUP(operations[productID],products[],6,FALSE)</f>
        <v>30</v>
      </c>
      <c r="L1567" s="10">
        <f t="array" ref="L1567">INDEX('1 orders'!I1567:I2156, MATCH(1, ('1 orders'!A1567:A2156=A1567)*('1 orders'!G1567:G2156=F1567), 0))
</f>
        <v>48</v>
      </c>
      <c r="M1567" s="10">
        <f>IFERROR(__xludf.DUMMYFUNCTION("COUNTUNIQUEIFS($A$2:$A1567,$F$2:$F1567,F1567)"),21.0)</f>
        <v>21</v>
      </c>
      <c r="N1567" s="10">
        <f t="shared" si="1"/>
        <v>5</v>
      </c>
      <c r="O1567" s="26">
        <f>IF(operations[sinceLastOrder]=0,0,operations[orderQuantity] / operations[sinceLastOrder])</f>
        <v>9.6</v>
      </c>
      <c r="P1567" s="9">
        <v>212.98</v>
      </c>
      <c r="Q1567" s="7" t="s">
        <v>15</v>
      </c>
      <c r="R1567" s="10">
        <f>operations[arrivedDate]-operations[shippedDate]</f>
        <v>5</v>
      </c>
    </row>
    <row r="1568" ht="15.75" customHeight="1">
      <c r="A1568" s="6">
        <v>10846.0</v>
      </c>
      <c r="B1568" s="24">
        <v>45313.0</v>
      </c>
      <c r="C1568" s="24">
        <v>45356.0</v>
      </c>
      <c r="D1568" s="24">
        <v>45314.0</v>
      </c>
      <c r="E1568" s="24">
        <v>45328.0</v>
      </c>
      <c r="F1568" s="6">
        <v>4.0</v>
      </c>
      <c r="G1568" s="9" t="str">
        <f>VLOOKUP(operations[productID],products[],2,FALSE)</f>
        <v>Chef Anton's Cajun Seasoning</v>
      </c>
      <c r="H1568" s="9" t="str">
        <f>IF(VLOOKUP(operations[productID],products[],7,FALSE)=1,"Discontinued","Current")</f>
        <v>Current</v>
      </c>
      <c r="I1568" s="6">
        <f>VLOOKUP(operations[productID],products[],4,FALSE)</f>
        <v>53</v>
      </c>
      <c r="J1568" s="6">
        <f>VLOOKUP(operations[productID],products[],5,FALSE)</f>
        <v>0</v>
      </c>
      <c r="K1568" s="6">
        <f>VLOOKUP(operations[productID],products[],6,FALSE)</f>
        <v>0</v>
      </c>
      <c r="L1568" s="10">
        <f t="array" ref="L1568">INDEX('1 orders'!I1568:I2156, MATCH(1, ('1 orders'!A1568:A2156=A1568)*('1 orders'!G1568:G2156=F1568), 0))
</f>
        <v>21</v>
      </c>
      <c r="M1568" s="10">
        <f>IFERROR(__xludf.DUMMYFUNCTION("COUNTUNIQUEIFS($A$2:$A1568,$F$2:$F1568,F1568)"),16.0)</f>
        <v>16</v>
      </c>
      <c r="N1568" s="10">
        <f t="shared" si="1"/>
        <v>80</v>
      </c>
      <c r="O1568" s="26">
        <f>IF(operations[sinceLastOrder]=0,0,operations[orderQuantity] / operations[sinceLastOrder])</f>
        <v>0.2625</v>
      </c>
      <c r="P1568" s="9">
        <v>56.46</v>
      </c>
      <c r="Q1568" s="7" t="s">
        <v>13</v>
      </c>
      <c r="R1568" s="10">
        <f>operations[arrivedDate]-operations[shippedDate]</f>
        <v>14</v>
      </c>
    </row>
    <row r="1569" ht="15.75" customHeight="1">
      <c r="A1569" s="6">
        <v>10846.0</v>
      </c>
      <c r="B1569" s="24">
        <v>45313.0</v>
      </c>
      <c r="C1569" s="24">
        <v>45356.0</v>
      </c>
      <c r="D1569" s="24">
        <v>45314.0</v>
      </c>
      <c r="E1569" s="24">
        <v>45328.0</v>
      </c>
      <c r="F1569" s="6">
        <v>70.0</v>
      </c>
      <c r="G1569" s="9" t="str">
        <f>VLOOKUP(operations[productID],products[],2,FALSE)</f>
        <v>Outback Lager</v>
      </c>
      <c r="H1569" s="9" t="str">
        <f>IF(VLOOKUP(operations[productID],products[],7,FALSE)=1,"Discontinued","Current")</f>
        <v>Current</v>
      </c>
      <c r="I1569" s="6">
        <f>VLOOKUP(operations[productID],products[],4,FALSE)</f>
        <v>15</v>
      </c>
      <c r="J1569" s="6">
        <f>VLOOKUP(operations[productID],products[],5,FALSE)</f>
        <v>10</v>
      </c>
      <c r="K1569" s="6">
        <f>VLOOKUP(operations[productID],products[],6,FALSE)</f>
        <v>30</v>
      </c>
      <c r="L1569" s="10">
        <f t="array" ref="L1569">INDEX('1 orders'!I1569:I2156, MATCH(1, ('1 orders'!A1569:A2156=A1569)*('1 orders'!G1569:G2156=F1569), 0))
</f>
        <v>30</v>
      </c>
      <c r="M1569" s="10">
        <f>IFERROR(__xludf.DUMMYFUNCTION("COUNTUNIQUEIFS($A$2:$A1569,$F$2:$F1569,F1569)"),29.0)</f>
        <v>29</v>
      </c>
      <c r="N1569" s="10">
        <f t="shared" si="1"/>
        <v>2</v>
      </c>
      <c r="O1569" s="26">
        <f>IF(operations[sinceLastOrder]=0,0,operations[orderQuantity] / operations[sinceLastOrder])</f>
        <v>15</v>
      </c>
      <c r="P1569" s="9">
        <v>56.46</v>
      </c>
      <c r="Q1569" s="7" t="s">
        <v>13</v>
      </c>
      <c r="R1569" s="10">
        <f>operations[arrivedDate]-operations[shippedDate]</f>
        <v>14</v>
      </c>
    </row>
    <row r="1570" ht="15.75" customHeight="1">
      <c r="A1570" s="6">
        <v>10846.0</v>
      </c>
      <c r="B1570" s="24">
        <v>45313.0</v>
      </c>
      <c r="C1570" s="24">
        <v>45356.0</v>
      </c>
      <c r="D1570" s="24">
        <v>45314.0</v>
      </c>
      <c r="E1570" s="24">
        <v>45328.0</v>
      </c>
      <c r="F1570" s="6">
        <v>74.0</v>
      </c>
      <c r="G1570" s="9" t="str">
        <f>VLOOKUP(operations[productID],products[],2,FALSE)</f>
        <v>Longlife Tofu</v>
      </c>
      <c r="H1570" s="9" t="str">
        <f>IF(VLOOKUP(operations[productID],products[],7,FALSE)=1,"Discontinued","Current")</f>
        <v>Current</v>
      </c>
      <c r="I1570" s="6">
        <f>VLOOKUP(operations[productID],products[],4,FALSE)</f>
        <v>4</v>
      </c>
      <c r="J1570" s="6">
        <f>VLOOKUP(operations[productID],products[],5,FALSE)</f>
        <v>20</v>
      </c>
      <c r="K1570" s="6">
        <f>VLOOKUP(operations[productID],products[],6,FALSE)</f>
        <v>5</v>
      </c>
      <c r="L1570" s="10">
        <f t="array" ref="L1570">INDEX('1 orders'!I1570:I2156, MATCH(1, ('1 orders'!A1570:A2156=A1570)*('1 orders'!G1570:G2156=F1570), 0))
</f>
        <v>20</v>
      </c>
      <c r="M1570" s="10">
        <f>IFERROR(__xludf.DUMMYFUNCTION("COUNTUNIQUEIFS($A$2:$A1570,$F$2:$F1570,F1570)"),12.0)</f>
        <v>12</v>
      </c>
      <c r="N1570" s="10">
        <f t="shared" si="1"/>
        <v>22</v>
      </c>
      <c r="O1570" s="26">
        <f>IF(operations[sinceLastOrder]=0,0,operations[orderQuantity] / operations[sinceLastOrder])</f>
        <v>0.9090909091</v>
      </c>
      <c r="P1570" s="9">
        <v>56.46</v>
      </c>
      <c r="Q1570" s="7" t="s">
        <v>13</v>
      </c>
      <c r="R1570" s="10">
        <f>operations[arrivedDate]-operations[shippedDate]</f>
        <v>14</v>
      </c>
    </row>
    <row r="1571" ht="15.75" customHeight="1">
      <c r="A1571" s="6">
        <v>10847.0</v>
      </c>
      <c r="B1571" s="24">
        <v>45313.0</v>
      </c>
      <c r="C1571" s="24">
        <v>45327.0</v>
      </c>
      <c r="D1571" s="24">
        <v>45332.0</v>
      </c>
      <c r="E1571" s="24">
        <v>45345.0</v>
      </c>
      <c r="F1571" s="6">
        <v>1.0</v>
      </c>
      <c r="G1571" s="9" t="str">
        <f>VLOOKUP(operations[productID],products[],2,FALSE)</f>
        <v>Chai</v>
      </c>
      <c r="H1571" s="9" t="str">
        <f>IF(VLOOKUP(operations[productID],products[],7,FALSE)=1,"Discontinued","Current")</f>
        <v>Current</v>
      </c>
      <c r="I1571" s="6">
        <f>VLOOKUP(operations[productID],products[],4,FALSE)</f>
        <v>39</v>
      </c>
      <c r="J1571" s="6">
        <f>VLOOKUP(operations[productID],products[],5,FALSE)</f>
        <v>0</v>
      </c>
      <c r="K1571" s="6">
        <f>VLOOKUP(operations[productID],products[],6,FALSE)</f>
        <v>10</v>
      </c>
      <c r="L1571" s="10">
        <f t="array" ref="L1571">INDEX('1 orders'!I1571:I2156, MATCH(1, ('1 orders'!A1571:A2156=A1571)*('1 orders'!G1571:G2156=F1571), 0))
</f>
        <v>80</v>
      </c>
      <c r="M1571" s="10">
        <f>IFERROR(__xludf.DUMMYFUNCTION("COUNTUNIQUEIFS($A$2:$A1571,$F$2:$F1571,F1571)"),24.0)</f>
        <v>24</v>
      </c>
      <c r="N1571" s="10">
        <f t="shared" si="1"/>
        <v>3</v>
      </c>
      <c r="O1571" s="26">
        <f>IF(operations[sinceLastOrder]=0,0,operations[orderQuantity] / operations[sinceLastOrder])</f>
        <v>26.66666667</v>
      </c>
      <c r="P1571" s="9">
        <v>487.57</v>
      </c>
      <c r="Q1571" s="7" t="s">
        <v>13</v>
      </c>
      <c r="R1571" s="10">
        <f>operations[arrivedDate]-operations[shippedDate]</f>
        <v>13</v>
      </c>
    </row>
    <row r="1572" ht="15.75" customHeight="1">
      <c r="A1572" s="6">
        <v>10847.0</v>
      </c>
      <c r="B1572" s="24">
        <v>45313.0</v>
      </c>
      <c r="C1572" s="24">
        <v>45327.0</v>
      </c>
      <c r="D1572" s="24">
        <v>45332.0</v>
      </c>
      <c r="E1572" s="24">
        <v>45345.0</v>
      </c>
      <c r="F1572" s="6">
        <v>19.0</v>
      </c>
      <c r="G1572" s="9" t="str">
        <f>VLOOKUP(operations[productID],products[],2,FALSE)</f>
        <v>Teatime Chocolate Biscuits</v>
      </c>
      <c r="H1572" s="9" t="str">
        <f>IF(VLOOKUP(operations[productID],products[],7,FALSE)=1,"Discontinued","Current")</f>
        <v>Current</v>
      </c>
      <c r="I1572" s="6">
        <f>VLOOKUP(operations[productID],products[],4,FALSE)</f>
        <v>25</v>
      </c>
      <c r="J1572" s="6">
        <f>VLOOKUP(operations[productID],products[],5,FALSE)</f>
        <v>0</v>
      </c>
      <c r="K1572" s="6">
        <f>VLOOKUP(operations[productID],products[],6,FALSE)</f>
        <v>5</v>
      </c>
      <c r="L1572" s="10">
        <f t="array" ref="L1572">INDEX('1 orders'!I1572:I2156, MATCH(1, ('1 orders'!A1572:A2156=A1572)*('1 orders'!G1572:G2156=F1572), 0))
</f>
        <v>12</v>
      </c>
      <c r="M1572" s="10">
        <f>IFERROR(__xludf.DUMMYFUNCTION("COUNTUNIQUEIFS($A$2:$A1572,$F$2:$F1572,F1572)"),29.0)</f>
        <v>29</v>
      </c>
      <c r="N1572" s="10">
        <f t="shared" si="1"/>
        <v>8</v>
      </c>
      <c r="O1572" s="26">
        <f>IF(operations[sinceLastOrder]=0,0,operations[orderQuantity] / operations[sinceLastOrder])</f>
        <v>1.5</v>
      </c>
      <c r="P1572" s="9">
        <v>487.57</v>
      </c>
      <c r="Q1572" s="7" t="s">
        <v>13</v>
      </c>
      <c r="R1572" s="10">
        <f>operations[arrivedDate]-operations[shippedDate]</f>
        <v>13</v>
      </c>
    </row>
    <row r="1573" ht="15.75" customHeight="1">
      <c r="A1573" s="6">
        <v>10847.0</v>
      </c>
      <c r="B1573" s="24">
        <v>45313.0</v>
      </c>
      <c r="C1573" s="24">
        <v>45327.0</v>
      </c>
      <c r="D1573" s="24">
        <v>45332.0</v>
      </c>
      <c r="E1573" s="24">
        <v>45345.0</v>
      </c>
      <c r="F1573" s="6">
        <v>37.0</v>
      </c>
      <c r="G1573" s="9" t="str">
        <f>VLOOKUP(operations[productID],products[],2,FALSE)</f>
        <v>Gravad lax</v>
      </c>
      <c r="H1573" s="9" t="str">
        <f>IF(VLOOKUP(operations[productID],products[],7,FALSE)=1,"Discontinued","Current")</f>
        <v>Current</v>
      </c>
      <c r="I1573" s="6">
        <f>VLOOKUP(operations[productID],products[],4,FALSE)</f>
        <v>11</v>
      </c>
      <c r="J1573" s="6">
        <f>VLOOKUP(operations[productID],products[],5,FALSE)</f>
        <v>50</v>
      </c>
      <c r="K1573" s="6">
        <f>VLOOKUP(operations[productID],products[],6,FALSE)</f>
        <v>25</v>
      </c>
      <c r="L1573" s="10">
        <f t="array" ref="L1573">INDEX('1 orders'!I1573:I2156, MATCH(1, ('1 orders'!A1573:A2156=A1573)*('1 orders'!G1573:G2156=F1573), 0))
</f>
        <v>60</v>
      </c>
      <c r="M1573" s="10">
        <f>IFERROR(__xludf.DUMMYFUNCTION("COUNTUNIQUEIFS($A$2:$A1573,$F$2:$F1573,F1573)"),5.0)</f>
        <v>5</v>
      </c>
      <c r="N1573" s="10">
        <f t="shared" si="1"/>
        <v>266</v>
      </c>
      <c r="O1573" s="26">
        <f>IF(operations[sinceLastOrder]=0,0,operations[orderQuantity] / operations[sinceLastOrder])</f>
        <v>0.2255639098</v>
      </c>
      <c r="P1573" s="9">
        <v>487.57</v>
      </c>
      <c r="Q1573" s="7" t="s">
        <v>13</v>
      </c>
      <c r="R1573" s="10">
        <f>operations[arrivedDate]-operations[shippedDate]</f>
        <v>13</v>
      </c>
    </row>
    <row r="1574" ht="15.75" customHeight="1">
      <c r="A1574" s="6">
        <v>10847.0</v>
      </c>
      <c r="B1574" s="24">
        <v>45313.0</v>
      </c>
      <c r="C1574" s="24">
        <v>45327.0</v>
      </c>
      <c r="D1574" s="24">
        <v>45332.0</v>
      </c>
      <c r="E1574" s="24">
        <v>45345.0</v>
      </c>
      <c r="F1574" s="6">
        <v>45.0</v>
      </c>
      <c r="G1574" s="9" t="str">
        <f>VLOOKUP(operations[productID],products[],2,FALSE)</f>
        <v>Rogede sild</v>
      </c>
      <c r="H1574" s="9" t="str">
        <f>IF(VLOOKUP(operations[productID],products[],7,FALSE)=1,"Discontinued","Current")</f>
        <v>Current</v>
      </c>
      <c r="I1574" s="6">
        <f>VLOOKUP(operations[productID],products[],4,FALSE)</f>
        <v>5</v>
      </c>
      <c r="J1574" s="6">
        <f>VLOOKUP(operations[productID],products[],5,FALSE)</f>
        <v>70</v>
      </c>
      <c r="K1574" s="6">
        <f>VLOOKUP(operations[productID],products[],6,FALSE)</f>
        <v>15</v>
      </c>
      <c r="L1574" s="10">
        <f t="array" ref="L1574">INDEX('1 orders'!I1574:I2156, MATCH(1, ('1 orders'!A1574:A2156=A1574)*('1 orders'!G1574:G2156=F1574), 0))
</f>
        <v>36</v>
      </c>
      <c r="M1574" s="10">
        <f>IFERROR(__xludf.DUMMYFUNCTION("COUNTUNIQUEIFS($A$2:$A1574,$F$2:$F1574,F1574)"),11.0)</f>
        <v>11</v>
      </c>
      <c r="N1574" s="10">
        <f t="shared" si="1"/>
        <v>38</v>
      </c>
      <c r="O1574" s="26">
        <f>IF(operations[sinceLastOrder]=0,0,operations[orderQuantity] / operations[sinceLastOrder])</f>
        <v>0.9473684211</v>
      </c>
      <c r="P1574" s="9">
        <v>487.57</v>
      </c>
      <c r="Q1574" s="7" t="s">
        <v>13</v>
      </c>
      <c r="R1574" s="10">
        <f>operations[arrivedDate]-operations[shippedDate]</f>
        <v>13</v>
      </c>
    </row>
    <row r="1575" ht="15.75" customHeight="1">
      <c r="A1575" s="6">
        <v>10847.0</v>
      </c>
      <c r="B1575" s="24">
        <v>45313.0</v>
      </c>
      <c r="C1575" s="24">
        <v>45327.0</v>
      </c>
      <c r="D1575" s="24">
        <v>45332.0</v>
      </c>
      <c r="E1575" s="24">
        <v>45345.0</v>
      </c>
      <c r="F1575" s="6">
        <v>60.0</v>
      </c>
      <c r="G1575" s="9" t="str">
        <f>VLOOKUP(operations[productID],products[],2,FALSE)</f>
        <v>Camembert Pierrot</v>
      </c>
      <c r="H1575" s="9" t="str">
        <f>IF(VLOOKUP(operations[productID],products[],7,FALSE)=1,"Discontinued","Current")</f>
        <v>Current</v>
      </c>
      <c r="I1575" s="6">
        <f>VLOOKUP(operations[productID],products[],4,FALSE)</f>
        <v>19</v>
      </c>
      <c r="J1575" s="6">
        <f>VLOOKUP(operations[productID],products[],5,FALSE)</f>
        <v>0</v>
      </c>
      <c r="K1575" s="6">
        <f>VLOOKUP(operations[productID],products[],6,FALSE)</f>
        <v>0</v>
      </c>
      <c r="L1575" s="10">
        <f t="array" ref="L1575">INDEX('1 orders'!I1575:I2156, MATCH(1, ('1 orders'!A1575:A2156=A1575)*('1 orders'!G1575:G2156=F1575), 0))
</f>
        <v>45</v>
      </c>
      <c r="M1575" s="10">
        <f>IFERROR(__xludf.DUMMYFUNCTION("COUNTUNIQUEIFS($A$2:$A1575,$F$2:$F1575,F1575)"),36.0)</f>
        <v>36</v>
      </c>
      <c r="N1575" s="10">
        <f t="shared" si="1"/>
        <v>6</v>
      </c>
      <c r="O1575" s="26">
        <f>IF(operations[sinceLastOrder]=0,0,operations[orderQuantity] / operations[sinceLastOrder])</f>
        <v>7.5</v>
      </c>
      <c r="P1575" s="9">
        <v>487.57</v>
      </c>
      <c r="Q1575" s="7" t="s">
        <v>13</v>
      </c>
      <c r="R1575" s="10">
        <f>operations[arrivedDate]-operations[shippedDate]</f>
        <v>13</v>
      </c>
    </row>
    <row r="1576" ht="15.75" customHeight="1">
      <c r="A1576" s="6">
        <v>10847.0</v>
      </c>
      <c r="B1576" s="24">
        <v>45313.0</v>
      </c>
      <c r="C1576" s="24">
        <v>45327.0</v>
      </c>
      <c r="D1576" s="24">
        <v>45332.0</v>
      </c>
      <c r="E1576" s="24">
        <v>45345.0</v>
      </c>
      <c r="F1576" s="6">
        <v>71.0</v>
      </c>
      <c r="G1576" s="9" t="str">
        <f>VLOOKUP(operations[productID],products[],2,FALSE)</f>
        <v>Flotemysost</v>
      </c>
      <c r="H1576" s="9" t="str">
        <f>IF(VLOOKUP(operations[productID],products[],7,FALSE)=1,"Discontinued","Current")</f>
        <v>Current</v>
      </c>
      <c r="I1576" s="6">
        <f>VLOOKUP(operations[productID],products[],4,FALSE)</f>
        <v>26</v>
      </c>
      <c r="J1576" s="6">
        <f>VLOOKUP(operations[productID],products[],5,FALSE)</f>
        <v>0</v>
      </c>
      <c r="K1576" s="6">
        <f>VLOOKUP(operations[productID],products[],6,FALSE)</f>
        <v>0</v>
      </c>
      <c r="L1576" s="10">
        <f t="array" ref="L1576">INDEX('1 orders'!I1576:I2156, MATCH(1, ('1 orders'!A1576:A2156=A1576)*('1 orders'!G1576:G2156=F1576), 0))
</f>
        <v>55</v>
      </c>
      <c r="M1576" s="10">
        <f>IFERROR(__xludf.DUMMYFUNCTION("COUNTUNIQUEIFS($A$2:$A1576,$F$2:$F1576,F1576)"),33.0)</f>
        <v>33</v>
      </c>
      <c r="N1576" s="10">
        <f t="shared" si="1"/>
        <v>43</v>
      </c>
      <c r="O1576" s="26">
        <f>IF(operations[sinceLastOrder]=0,0,operations[orderQuantity] / operations[sinceLastOrder])</f>
        <v>1.279069767</v>
      </c>
      <c r="P1576" s="9">
        <v>487.57</v>
      </c>
      <c r="Q1576" s="7" t="s">
        <v>13</v>
      </c>
      <c r="R1576" s="10">
        <f>operations[arrivedDate]-operations[shippedDate]</f>
        <v>13</v>
      </c>
    </row>
    <row r="1577" ht="15.75" customHeight="1">
      <c r="A1577" s="6">
        <v>10848.0</v>
      </c>
      <c r="B1577" s="24">
        <v>45314.0</v>
      </c>
      <c r="C1577" s="24">
        <v>45342.0</v>
      </c>
      <c r="D1577" s="24">
        <v>45320.0</v>
      </c>
      <c r="E1577" s="24">
        <v>45330.0</v>
      </c>
      <c r="F1577" s="6">
        <v>5.0</v>
      </c>
      <c r="G1577" s="9" t="str">
        <f>VLOOKUP(operations[productID],products[],2,FALSE)</f>
        <v>Chef Anton's Gumbo Mix</v>
      </c>
      <c r="H1577" s="9" t="str">
        <f>IF(VLOOKUP(operations[productID],products[],7,FALSE)=1,"Discontinued","Current")</f>
        <v>Discontinued</v>
      </c>
      <c r="I1577" s="6">
        <f>VLOOKUP(operations[productID],products[],4,FALSE)</f>
        <v>0</v>
      </c>
      <c r="J1577" s="6">
        <f>VLOOKUP(operations[productID],products[],5,FALSE)</f>
        <v>0</v>
      </c>
      <c r="K1577" s="6">
        <f>VLOOKUP(operations[productID],products[],6,FALSE)</f>
        <v>0</v>
      </c>
      <c r="L1577" s="10">
        <f t="array" ref="L1577">INDEX('1 orders'!I1577:I2156, MATCH(1, ('1 orders'!A1577:A2156=A1577)*('1 orders'!G1577:G2156=F1577), 0))
</f>
        <v>30</v>
      </c>
      <c r="M1577" s="10">
        <f>IFERROR(__xludf.DUMMYFUNCTION("COUNTUNIQUEIFS($A$2:$A1577,$F$2:$F1577,F1577)"),7.0)</f>
        <v>7</v>
      </c>
      <c r="N1577" s="10">
        <f t="shared" si="1"/>
        <v>98</v>
      </c>
      <c r="O1577" s="26">
        <f>IF(operations[sinceLastOrder]=0,0,operations[orderQuantity] / operations[sinceLastOrder])</f>
        <v>0.306122449</v>
      </c>
      <c r="P1577" s="9">
        <v>38.24</v>
      </c>
      <c r="Q1577" s="7" t="s">
        <v>17</v>
      </c>
      <c r="R1577" s="10">
        <f>operations[arrivedDate]-operations[shippedDate]</f>
        <v>10</v>
      </c>
    </row>
    <row r="1578" ht="15.75" customHeight="1">
      <c r="A1578" s="6">
        <v>10848.0</v>
      </c>
      <c r="B1578" s="24">
        <v>45314.0</v>
      </c>
      <c r="C1578" s="24">
        <v>45342.0</v>
      </c>
      <c r="D1578" s="24">
        <v>45320.0</v>
      </c>
      <c r="E1578" s="24">
        <v>45330.0</v>
      </c>
      <c r="F1578" s="6">
        <v>9.0</v>
      </c>
      <c r="G1578" s="9" t="str">
        <f>VLOOKUP(operations[productID],products[],2,FALSE)</f>
        <v>Mishi Kobe Niku</v>
      </c>
      <c r="H1578" s="9" t="str">
        <f>IF(VLOOKUP(operations[productID],products[],7,FALSE)=1,"Discontinued","Current")</f>
        <v>Discontinued</v>
      </c>
      <c r="I1578" s="6">
        <f>VLOOKUP(operations[productID],products[],4,FALSE)</f>
        <v>29</v>
      </c>
      <c r="J1578" s="6">
        <f>VLOOKUP(operations[productID],products[],5,FALSE)</f>
        <v>0</v>
      </c>
      <c r="K1578" s="6">
        <f>VLOOKUP(operations[productID],products[],6,FALSE)</f>
        <v>0</v>
      </c>
      <c r="L1578" s="10">
        <f t="array" ref="L1578">INDEX('1 orders'!I1578:I2156, MATCH(1, ('1 orders'!A1578:A2156=A1578)*('1 orders'!G1578:G2156=F1578), 0))
</f>
        <v>3</v>
      </c>
      <c r="M1578" s="10">
        <f>IFERROR(__xludf.DUMMYFUNCTION("COUNTUNIQUEIFS($A$2:$A1578,$F$2:$F1578,F1578)"),5.0)</f>
        <v>5</v>
      </c>
      <c r="N1578" s="10">
        <f t="shared" si="1"/>
        <v>109</v>
      </c>
      <c r="O1578" s="26">
        <f>IF(operations[sinceLastOrder]=0,0,operations[orderQuantity] / operations[sinceLastOrder])</f>
        <v>0.02752293578</v>
      </c>
      <c r="P1578" s="9">
        <v>38.24</v>
      </c>
      <c r="Q1578" s="7" t="s">
        <v>17</v>
      </c>
      <c r="R1578" s="10">
        <f>operations[arrivedDate]-operations[shippedDate]</f>
        <v>10</v>
      </c>
    </row>
    <row r="1579" ht="15.75" customHeight="1">
      <c r="A1579" s="6">
        <v>10849.0</v>
      </c>
      <c r="B1579" s="24">
        <v>45314.0</v>
      </c>
      <c r="C1579" s="24">
        <v>45342.0</v>
      </c>
      <c r="D1579" s="24">
        <v>45321.0</v>
      </c>
      <c r="E1579" s="24">
        <v>45328.0</v>
      </c>
      <c r="F1579" s="6">
        <v>3.0</v>
      </c>
      <c r="G1579" s="9" t="str">
        <f>VLOOKUP(operations[productID],products[],2,FALSE)</f>
        <v>Aniseed Syrup</v>
      </c>
      <c r="H1579" s="9" t="str">
        <f>IF(VLOOKUP(operations[productID],products[],7,FALSE)=1,"Discontinued","Current")</f>
        <v>Current</v>
      </c>
      <c r="I1579" s="6">
        <f>VLOOKUP(operations[productID],products[],4,FALSE)</f>
        <v>13</v>
      </c>
      <c r="J1579" s="6">
        <f>VLOOKUP(operations[productID],products[],5,FALSE)</f>
        <v>70</v>
      </c>
      <c r="K1579" s="6">
        <f>VLOOKUP(operations[productID],products[],6,FALSE)</f>
        <v>25</v>
      </c>
      <c r="L1579" s="10">
        <f t="array" ref="L1579">INDEX('1 orders'!I1579:I2156, MATCH(1, ('1 orders'!A1579:A2156=A1579)*('1 orders'!G1579:G2156=F1579), 0))
</f>
        <v>49</v>
      </c>
      <c r="M1579" s="10">
        <f>IFERROR(__xludf.DUMMYFUNCTION("COUNTUNIQUEIFS($A$2:$A1579,$F$2:$F1579,F1579)"),9.0)</f>
        <v>9</v>
      </c>
      <c r="N1579" s="10">
        <f t="shared" si="1"/>
        <v>51</v>
      </c>
      <c r="O1579" s="26">
        <f>IF(operations[sinceLastOrder]=0,0,operations[orderQuantity] / operations[sinceLastOrder])</f>
        <v>0.9607843137</v>
      </c>
      <c r="P1579" s="9">
        <v>0.56</v>
      </c>
      <c r="Q1579" s="7" t="s">
        <v>17</v>
      </c>
      <c r="R1579" s="10">
        <f>operations[arrivedDate]-operations[shippedDate]</f>
        <v>7</v>
      </c>
    </row>
    <row r="1580" ht="15.75" customHeight="1">
      <c r="A1580" s="6">
        <v>10849.0</v>
      </c>
      <c r="B1580" s="24">
        <v>45314.0</v>
      </c>
      <c r="C1580" s="24">
        <v>45342.0</v>
      </c>
      <c r="D1580" s="24">
        <v>45321.0</v>
      </c>
      <c r="E1580" s="24">
        <v>45328.0</v>
      </c>
      <c r="F1580" s="6">
        <v>26.0</v>
      </c>
      <c r="G1580" s="9" t="str">
        <f>VLOOKUP(operations[productID],products[],2,FALSE)</f>
        <v>NuNuCa Nuß-Nougat-Creme</v>
      </c>
      <c r="H1580" s="9" t="str">
        <f>IF(VLOOKUP(operations[productID],products[],7,FALSE)=1,"Discontinued","Current")</f>
        <v>Current</v>
      </c>
      <c r="I1580" s="6">
        <f>VLOOKUP(operations[productID],products[],4,FALSE)</f>
        <v>15</v>
      </c>
      <c r="J1580" s="6">
        <f>VLOOKUP(operations[productID],products[],5,FALSE)</f>
        <v>0</v>
      </c>
      <c r="K1580" s="6">
        <f>VLOOKUP(operations[productID],products[],6,FALSE)</f>
        <v>0</v>
      </c>
      <c r="L1580" s="10">
        <f t="array" ref="L1580">INDEX('1 orders'!I1580:I2156, MATCH(1, ('1 orders'!A1580:A2156=A1580)*('1 orders'!G1580:G2156=F1580), 0))
</f>
        <v>18</v>
      </c>
      <c r="M1580" s="10">
        <f>IFERROR(__xludf.DUMMYFUNCTION("COUNTUNIQUEIFS($A$2:$A1580,$F$2:$F1580,F1580)"),26.0)</f>
        <v>26</v>
      </c>
      <c r="N1580" s="10">
        <f t="shared" si="1"/>
        <v>14</v>
      </c>
      <c r="O1580" s="26">
        <f>IF(operations[sinceLastOrder]=0,0,operations[orderQuantity] / operations[sinceLastOrder])</f>
        <v>1.285714286</v>
      </c>
      <c r="P1580" s="9">
        <v>0.56</v>
      </c>
      <c r="Q1580" s="7" t="s">
        <v>17</v>
      </c>
      <c r="R1580" s="10">
        <f>operations[arrivedDate]-operations[shippedDate]</f>
        <v>7</v>
      </c>
    </row>
    <row r="1581" ht="15.75" customHeight="1">
      <c r="A1581" s="6">
        <v>10850.0</v>
      </c>
      <c r="B1581" s="24">
        <v>45314.0</v>
      </c>
      <c r="C1581" s="24">
        <v>45357.0</v>
      </c>
      <c r="D1581" s="24">
        <v>45321.0</v>
      </c>
      <c r="E1581" s="24">
        <v>45328.0</v>
      </c>
      <c r="F1581" s="6">
        <v>25.0</v>
      </c>
      <c r="G1581" s="9" t="str">
        <f>VLOOKUP(operations[productID],products[],2,FALSE)</f>
        <v>HM Köstliche Kaiserschmarrn Knödelchen</v>
      </c>
      <c r="H1581" s="9" t="str">
        <f>IF(VLOOKUP(operations[productID],products[],7,FALSE)=1,"Discontinued","Current")</f>
        <v>Current</v>
      </c>
      <c r="I1581" s="6">
        <f>VLOOKUP(operations[productID],products[],4,FALSE)</f>
        <v>76</v>
      </c>
      <c r="J1581" s="6">
        <f>VLOOKUP(operations[productID],products[],5,FALSE)</f>
        <v>0</v>
      </c>
      <c r="K1581" s="6">
        <f>VLOOKUP(operations[productID],products[],6,FALSE)</f>
        <v>30</v>
      </c>
      <c r="L1581" s="10">
        <f t="array" ref="L1581">INDEX('1 orders'!I1581:I2156, MATCH(1, ('1 orders'!A1581:A2156=A1581)*('1 orders'!G1581:G2156=F1581), 0))
</f>
        <v>20</v>
      </c>
      <c r="M1581" s="10">
        <f>IFERROR(__xludf.DUMMYFUNCTION("COUNTUNIQUEIFS($A$2:$A1581,$F$2:$F1581,F1581)"),14.0)</f>
        <v>14</v>
      </c>
      <c r="N1581" s="10">
        <f t="shared" si="1"/>
        <v>4</v>
      </c>
      <c r="O1581" s="26">
        <f>IF(operations[sinceLastOrder]=0,0,operations[orderQuantity] / operations[sinceLastOrder])</f>
        <v>5</v>
      </c>
      <c r="P1581" s="9">
        <v>49.19</v>
      </c>
      <c r="Q1581" s="7" t="s">
        <v>15</v>
      </c>
      <c r="R1581" s="10">
        <f>operations[arrivedDate]-operations[shippedDate]</f>
        <v>7</v>
      </c>
    </row>
    <row r="1582" ht="15.75" customHeight="1">
      <c r="A1582" s="6">
        <v>10850.0</v>
      </c>
      <c r="B1582" s="24">
        <v>45314.0</v>
      </c>
      <c r="C1582" s="24">
        <v>45357.0</v>
      </c>
      <c r="D1582" s="24">
        <v>45321.0</v>
      </c>
      <c r="E1582" s="24">
        <v>45328.0</v>
      </c>
      <c r="F1582" s="6">
        <v>33.0</v>
      </c>
      <c r="G1582" s="9" t="str">
        <f>VLOOKUP(operations[productID],products[],2,FALSE)</f>
        <v>Geitost</v>
      </c>
      <c r="H1582" s="9" t="str">
        <f>IF(VLOOKUP(operations[productID],products[],7,FALSE)=1,"Discontinued","Current")</f>
        <v>Current</v>
      </c>
      <c r="I1582" s="6">
        <f>VLOOKUP(operations[productID],products[],4,FALSE)</f>
        <v>112</v>
      </c>
      <c r="J1582" s="6">
        <f>VLOOKUP(operations[productID],products[],5,FALSE)</f>
        <v>0</v>
      </c>
      <c r="K1582" s="6">
        <f>VLOOKUP(operations[productID],products[],6,FALSE)</f>
        <v>20</v>
      </c>
      <c r="L1582" s="10">
        <f t="array" ref="L1582">INDEX('1 orders'!I1582:I2156, MATCH(1, ('1 orders'!A1582:A2156=A1582)*('1 orders'!G1582:G2156=F1582), 0))
</f>
        <v>4</v>
      </c>
      <c r="M1582" s="10">
        <f>IFERROR(__xludf.DUMMYFUNCTION("COUNTUNIQUEIFS($A$2:$A1582,$F$2:$F1582,F1582)"),24.0)</f>
        <v>24</v>
      </c>
      <c r="N1582" s="10">
        <f t="shared" si="1"/>
        <v>18</v>
      </c>
      <c r="O1582" s="26">
        <f>IF(operations[sinceLastOrder]=0,0,operations[orderQuantity] / operations[sinceLastOrder])</f>
        <v>0.2222222222</v>
      </c>
      <c r="P1582" s="9">
        <v>49.19</v>
      </c>
      <c r="Q1582" s="7" t="s">
        <v>15</v>
      </c>
      <c r="R1582" s="10">
        <f>operations[arrivedDate]-operations[shippedDate]</f>
        <v>7</v>
      </c>
    </row>
    <row r="1583" ht="15.75" customHeight="1">
      <c r="A1583" s="6">
        <v>10850.0</v>
      </c>
      <c r="B1583" s="24">
        <v>45314.0</v>
      </c>
      <c r="C1583" s="24">
        <v>45357.0</v>
      </c>
      <c r="D1583" s="24">
        <v>45321.0</v>
      </c>
      <c r="E1583" s="24">
        <v>45328.0</v>
      </c>
      <c r="F1583" s="6">
        <v>70.0</v>
      </c>
      <c r="G1583" s="9" t="str">
        <f>VLOOKUP(operations[productID],products[],2,FALSE)</f>
        <v>Outback Lager</v>
      </c>
      <c r="H1583" s="9" t="str">
        <f>IF(VLOOKUP(operations[productID],products[],7,FALSE)=1,"Discontinued","Current")</f>
        <v>Current</v>
      </c>
      <c r="I1583" s="6">
        <f>VLOOKUP(operations[productID],products[],4,FALSE)</f>
        <v>15</v>
      </c>
      <c r="J1583" s="6">
        <f>VLOOKUP(operations[productID],products[],5,FALSE)</f>
        <v>10</v>
      </c>
      <c r="K1583" s="6">
        <f>VLOOKUP(operations[productID],products[],6,FALSE)</f>
        <v>30</v>
      </c>
      <c r="L1583" s="10">
        <f t="array" ref="L1583">INDEX('1 orders'!I1583:I2156, MATCH(1, ('1 orders'!A1583:A2156=A1583)*('1 orders'!G1583:G2156=F1583), 0))
</f>
        <v>30</v>
      </c>
      <c r="M1583" s="10">
        <f>IFERROR(__xludf.DUMMYFUNCTION("COUNTUNIQUEIFS($A$2:$A1583,$F$2:$F1583,F1583)"),30.0)</f>
        <v>30</v>
      </c>
      <c r="N1583" s="10">
        <f t="shared" si="1"/>
        <v>1</v>
      </c>
      <c r="O1583" s="26">
        <f>IF(operations[sinceLastOrder]=0,0,operations[orderQuantity] / operations[sinceLastOrder])</f>
        <v>30</v>
      </c>
      <c r="P1583" s="9">
        <v>49.19</v>
      </c>
      <c r="Q1583" s="7" t="s">
        <v>15</v>
      </c>
      <c r="R1583" s="10">
        <f>operations[arrivedDate]-operations[shippedDate]</f>
        <v>7</v>
      </c>
    </row>
    <row r="1584" ht="15.75" customHeight="1">
      <c r="A1584" s="6">
        <v>10851.0</v>
      </c>
      <c r="B1584" s="24">
        <v>45317.0</v>
      </c>
      <c r="C1584" s="24">
        <v>45345.0</v>
      </c>
      <c r="D1584" s="24">
        <v>45324.0</v>
      </c>
      <c r="E1584" s="24">
        <v>45338.0</v>
      </c>
      <c r="F1584" s="6">
        <v>2.0</v>
      </c>
      <c r="G1584" s="9" t="str">
        <f>VLOOKUP(operations[productID],products[],2,FALSE)</f>
        <v>Chang</v>
      </c>
      <c r="H1584" s="9" t="str">
        <f>IF(VLOOKUP(operations[productID],products[],7,FALSE)=1,"Discontinued","Current")</f>
        <v>Current</v>
      </c>
      <c r="I1584" s="6">
        <f>VLOOKUP(operations[productID],products[],4,FALSE)</f>
        <v>17</v>
      </c>
      <c r="J1584" s="6">
        <f>VLOOKUP(operations[productID],products[],5,FALSE)</f>
        <v>40</v>
      </c>
      <c r="K1584" s="6">
        <f>VLOOKUP(operations[productID],products[],6,FALSE)</f>
        <v>25</v>
      </c>
      <c r="L1584" s="10">
        <f t="array" ref="L1584">INDEX('1 orders'!I1584:I2156, MATCH(1, ('1 orders'!A1584:A2156=A1584)*('1 orders'!G1584:G2156=F1584), 0))
</f>
        <v>5</v>
      </c>
      <c r="M1584" s="10">
        <f>IFERROR(__xludf.DUMMYFUNCTION("COUNTUNIQUEIFS($A$2:$A1584,$F$2:$F1584,F1584)"),29.0)</f>
        <v>29</v>
      </c>
      <c r="N1584" s="10">
        <f t="shared" si="1"/>
        <v>13</v>
      </c>
      <c r="O1584" s="26">
        <f>IF(operations[sinceLastOrder]=0,0,operations[orderQuantity] / operations[sinceLastOrder])</f>
        <v>0.3846153846</v>
      </c>
      <c r="P1584" s="9">
        <v>160.55</v>
      </c>
      <c r="Q1584" s="7" t="s">
        <v>15</v>
      </c>
      <c r="R1584" s="10">
        <f>operations[arrivedDate]-operations[shippedDate]</f>
        <v>14</v>
      </c>
    </row>
    <row r="1585" ht="15.75" customHeight="1">
      <c r="A1585" s="6">
        <v>10851.0</v>
      </c>
      <c r="B1585" s="24">
        <v>45317.0</v>
      </c>
      <c r="C1585" s="24">
        <v>45345.0</v>
      </c>
      <c r="D1585" s="24">
        <v>45324.0</v>
      </c>
      <c r="E1585" s="24">
        <v>45338.0</v>
      </c>
      <c r="F1585" s="6">
        <v>25.0</v>
      </c>
      <c r="G1585" s="9" t="str">
        <f>VLOOKUP(operations[productID],products[],2,FALSE)</f>
        <v>HM Köstliche Kaiserschmarrn Knödelchen</v>
      </c>
      <c r="H1585" s="9" t="str">
        <f>IF(VLOOKUP(operations[productID],products[],7,FALSE)=1,"Discontinued","Current")</f>
        <v>Current</v>
      </c>
      <c r="I1585" s="6">
        <f>VLOOKUP(operations[productID],products[],4,FALSE)</f>
        <v>76</v>
      </c>
      <c r="J1585" s="6">
        <f>VLOOKUP(operations[productID],products[],5,FALSE)</f>
        <v>0</v>
      </c>
      <c r="K1585" s="6">
        <f>VLOOKUP(operations[productID],products[],6,FALSE)</f>
        <v>30</v>
      </c>
      <c r="L1585" s="10">
        <f t="array" ref="L1585">INDEX('1 orders'!I1585:I2156, MATCH(1, ('1 orders'!A1585:A2156=A1585)*('1 orders'!G1585:G2156=F1585), 0))
</f>
        <v>10</v>
      </c>
      <c r="M1585" s="10">
        <f>IFERROR(__xludf.DUMMYFUNCTION("COUNTUNIQUEIFS($A$2:$A1585,$F$2:$F1585,F1585)"),15.0)</f>
        <v>15</v>
      </c>
      <c r="N1585" s="10">
        <f t="shared" si="1"/>
        <v>3</v>
      </c>
      <c r="O1585" s="26">
        <f>IF(operations[sinceLastOrder]=0,0,operations[orderQuantity] / operations[sinceLastOrder])</f>
        <v>3.333333333</v>
      </c>
      <c r="P1585" s="9">
        <v>160.55</v>
      </c>
      <c r="Q1585" s="7" t="s">
        <v>15</v>
      </c>
      <c r="R1585" s="10">
        <f>operations[arrivedDate]-operations[shippedDate]</f>
        <v>14</v>
      </c>
    </row>
    <row r="1586" ht="15.75" customHeight="1">
      <c r="A1586" s="6">
        <v>10851.0</v>
      </c>
      <c r="B1586" s="24">
        <v>45317.0</v>
      </c>
      <c r="C1586" s="24">
        <v>45345.0</v>
      </c>
      <c r="D1586" s="24">
        <v>45324.0</v>
      </c>
      <c r="E1586" s="24">
        <v>45338.0</v>
      </c>
      <c r="F1586" s="6">
        <v>57.0</v>
      </c>
      <c r="G1586" s="9" t="str">
        <f>VLOOKUP(operations[productID],products[],2,FALSE)</f>
        <v>Ravioli Angelo</v>
      </c>
      <c r="H1586" s="9" t="str">
        <f>IF(VLOOKUP(operations[productID],products[],7,FALSE)=1,"Discontinued","Current")</f>
        <v>Current</v>
      </c>
      <c r="I1586" s="6">
        <f>VLOOKUP(operations[productID],products[],4,FALSE)</f>
        <v>36</v>
      </c>
      <c r="J1586" s="6">
        <f>VLOOKUP(operations[productID],products[],5,FALSE)</f>
        <v>0</v>
      </c>
      <c r="K1586" s="6">
        <f>VLOOKUP(operations[productID],products[],6,FALSE)</f>
        <v>20</v>
      </c>
      <c r="L1586" s="10">
        <f t="array" ref="L1586">INDEX('1 orders'!I1586:I2156, MATCH(1, ('1 orders'!A1586:A2156=A1586)*('1 orders'!G1586:G2156=F1586), 0))
</f>
        <v>10</v>
      </c>
      <c r="M1586" s="10">
        <f>IFERROR(__xludf.DUMMYFUNCTION("COUNTUNIQUEIFS($A$2:$A1586,$F$2:$F1586,F1586)"),18.0)</f>
        <v>18</v>
      </c>
      <c r="N1586" s="10">
        <f t="shared" si="1"/>
        <v>10</v>
      </c>
      <c r="O1586" s="26">
        <f>IF(operations[sinceLastOrder]=0,0,operations[orderQuantity] / operations[sinceLastOrder])</f>
        <v>1</v>
      </c>
      <c r="P1586" s="9">
        <v>160.55</v>
      </c>
      <c r="Q1586" s="7" t="s">
        <v>15</v>
      </c>
      <c r="R1586" s="10">
        <f>operations[arrivedDate]-operations[shippedDate]</f>
        <v>14</v>
      </c>
    </row>
    <row r="1587" ht="15.75" customHeight="1">
      <c r="A1587" s="6">
        <v>10851.0</v>
      </c>
      <c r="B1587" s="24">
        <v>45317.0</v>
      </c>
      <c r="C1587" s="24">
        <v>45345.0</v>
      </c>
      <c r="D1587" s="24">
        <v>45324.0</v>
      </c>
      <c r="E1587" s="24">
        <v>45338.0</v>
      </c>
      <c r="F1587" s="6">
        <v>59.0</v>
      </c>
      <c r="G1587" s="9" t="str">
        <f>VLOOKUP(operations[productID],products[],2,FALSE)</f>
        <v>Raclette Courdavault</v>
      </c>
      <c r="H1587" s="9" t="str">
        <f>IF(VLOOKUP(operations[productID],products[],7,FALSE)=1,"Discontinued","Current")</f>
        <v>Current</v>
      </c>
      <c r="I1587" s="6">
        <f>VLOOKUP(operations[productID],products[],4,FALSE)</f>
        <v>79</v>
      </c>
      <c r="J1587" s="6">
        <f>VLOOKUP(operations[productID],products[],5,FALSE)</f>
        <v>0</v>
      </c>
      <c r="K1587" s="6">
        <f>VLOOKUP(operations[productID],products[],6,FALSE)</f>
        <v>0</v>
      </c>
      <c r="L1587" s="10">
        <f t="array" ref="L1587">INDEX('1 orders'!I1587:I2156, MATCH(1, ('1 orders'!A1587:A2156=A1587)*('1 orders'!G1587:G2156=F1587), 0))
</f>
        <v>42</v>
      </c>
      <c r="M1587" s="10">
        <f>IFERROR(__xludf.DUMMYFUNCTION("COUNTUNIQUEIFS($A$2:$A1587,$F$2:$F1587,F1587)"),45.0)</f>
        <v>45</v>
      </c>
      <c r="N1587" s="10">
        <f t="shared" si="1"/>
        <v>6</v>
      </c>
      <c r="O1587" s="26">
        <f>IF(operations[sinceLastOrder]=0,0,operations[orderQuantity] / operations[sinceLastOrder])</f>
        <v>7</v>
      </c>
      <c r="P1587" s="9">
        <v>160.55</v>
      </c>
      <c r="Q1587" s="7" t="s">
        <v>15</v>
      </c>
      <c r="R1587" s="10">
        <f>operations[arrivedDate]-operations[shippedDate]</f>
        <v>14</v>
      </c>
    </row>
    <row r="1588" ht="15.75" customHeight="1">
      <c r="A1588" s="6">
        <v>10852.0</v>
      </c>
      <c r="B1588" s="24">
        <v>45317.0</v>
      </c>
      <c r="C1588" s="24">
        <v>45331.0</v>
      </c>
      <c r="D1588" s="24">
        <v>45321.0</v>
      </c>
      <c r="E1588" s="24">
        <v>45335.0</v>
      </c>
      <c r="F1588" s="6">
        <v>2.0</v>
      </c>
      <c r="G1588" s="9" t="str">
        <f>VLOOKUP(operations[productID],products[],2,FALSE)</f>
        <v>Chang</v>
      </c>
      <c r="H1588" s="9" t="str">
        <f>IF(VLOOKUP(operations[productID],products[],7,FALSE)=1,"Discontinued","Current")</f>
        <v>Current</v>
      </c>
      <c r="I1588" s="6">
        <f>VLOOKUP(operations[productID],products[],4,FALSE)</f>
        <v>17</v>
      </c>
      <c r="J1588" s="6">
        <f>VLOOKUP(operations[productID],products[],5,FALSE)</f>
        <v>40</v>
      </c>
      <c r="K1588" s="6">
        <f>VLOOKUP(operations[productID],products[],6,FALSE)</f>
        <v>25</v>
      </c>
      <c r="L1588" s="10">
        <f t="array" ref="L1588">INDEX('1 orders'!I1588:I2156, MATCH(1, ('1 orders'!A1588:A2156=A1588)*('1 orders'!G1588:G2156=F1588), 0))
</f>
        <v>15</v>
      </c>
      <c r="M1588" s="10">
        <f>IFERROR(__xludf.DUMMYFUNCTION("COUNTUNIQUEIFS($A$2:$A1588,$F$2:$F1588,F1588)"),30.0)</f>
        <v>30</v>
      </c>
      <c r="N1588" s="10">
        <f t="shared" si="1"/>
        <v>0</v>
      </c>
      <c r="O1588" s="26">
        <f>IF(operations[sinceLastOrder]=0,0,operations[orderQuantity] / operations[sinceLastOrder])</f>
        <v>0</v>
      </c>
      <c r="P1588" s="9">
        <v>174.05</v>
      </c>
      <c r="Q1588" s="7" t="s">
        <v>15</v>
      </c>
      <c r="R1588" s="10">
        <f>operations[arrivedDate]-operations[shippedDate]</f>
        <v>14</v>
      </c>
    </row>
    <row r="1589" ht="15.75" customHeight="1">
      <c r="A1589" s="6">
        <v>10852.0</v>
      </c>
      <c r="B1589" s="24">
        <v>45317.0</v>
      </c>
      <c r="C1589" s="24">
        <v>45331.0</v>
      </c>
      <c r="D1589" s="24">
        <v>45321.0</v>
      </c>
      <c r="E1589" s="24">
        <v>45335.0</v>
      </c>
      <c r="F1589" s="6">
        <v>17.0</v>
      </c>
      <c r="G1589" s="9" t="str">
        <f>VLOOKUP(operations[productID],products[],2,FALSE)</f>
        <v>Alice Mutton</v>
      </c>
      <c r="H1589" s="9" t="str">
        <f>IF(VLOOKUP(operations[productID],products[],7,FALSE)=1,"Discontinued","Current")</f>
        <v>Discontinued</v>
      </c>
      <c r="I1589" s="6">
        <f>VLOOKUP(operations[productID],products[],4,FALSE)</f>
        <v>0</v>
      </c>
      <c r="J1589" s="6">
        <f>VLOOKUP(operations[productID],products[],5,FALSE)</f>
        <v>0</v>
      </c>
      <c r="K1589" s="6">
        <f>VLOOKUP(operations[productID],products[],6,FALSE)</f>
        <v>0</v>
      </c>
      <c r="L1589" s="10">
        <f t="array" ref="L1589">INDEX('1 orders'!I1589:I2156, MATCH(1, ('1 orders'!A1589:A2156=A1589)*('1 orders'!G1589:G2156=F1589), 0))
</f>
        <v>6</v>
      </c>
      <c r="M1589" s="10">
        <f>IFERROR(__xludf.DUMMYFUNCTION("COUNTUNIQUEIFS($A$2:$A1589,$F$2:$F1589,F1589)"),27.0)</f>
        <v>27</v>
      </c>
      <c r="N1589" s="10">
        <f t="shared" si="1"/>
        <v>28</v>
      </c>
      <c r="O1589" s="26">
        <f>IF(operations[sinceLastOrder]=0,0,operations[orderQuantity] / operations[sinceLastOrder])</f>
        <v>0.2142857143</v>
      </c>
      <c r="P1589" s="9">
        <v>174.05</v>
      </c>
      <c r="Q1589" s="7" t="s">
        <v>15</v>
      </c>
      <c r="R1589" s="10">
        <f>operations[arrivedDate]-operations[shippedDate]</f>
        <v>14</v>
      </c>
    </row>
    <row r="1590" ht="15.75" customHeight="1">
      <c r="A1590" s="6">
        <v>10852.0</v>
      </c>
      <c r="B1590" s="24">
        <v>45317.0</v>
      </c>
      <c r="C1590" s="24">
        <v>45331.0</v>
      </c>
      <c r="D1590" s="24">
        <v>45321.0</v>
      </c>
      <c r="E1590" s="24">
        <v>45335.0</v>
      </c>
      <c r="F1590" s="6">
        <v>62.0</v>
      </c>
      <c r="G1590" s="9" t="str">
        <f>VLOOKUP(operations[productID],products[],2,FALSE)</f>
        <v>Tarte au sucre</v>
      </c>
      <c r="H1590" s="9" t="str">
        <f>IF(VLOOKUP(operations[productID],products[],7,FALSE)=1,"Discontinued","Current")</f>
        <v>Current</v>
      </c>
      <c r="I1590" s="6">
        <f>VLOOKUP(operations[productID],products[],4,FALSE)</f>
        <v>17</v>
      </c>
      <c r="J1590" s="6">
        <f>VLOOKUP(operations[productID],products[],5,FALSE)</f>
        <v>0</v>
      </c>
      <c r="K1590" s="6">
        <f>VLOOKUP(operations[productID],products[],6,FALSE)</f>
        <v>0</v>
      </c>
      <c r="L1590" s="10">
        <f t="array" ref="L1590">INDEX('1 orders'!I1590:I2156, MATCH(1, ('1 orders'!A1590:A2156=A1590)*('1 orders'!G1590:G2156=F1590), 0))
</f>
        <v>50</v>
      </c>
      <c r="M1590" s="10">
        <f>IFERROR(__xludf.DUMMYFUNCTION("COUNTUNIQUEIFS($A$2:$A1590,$F$2:$F1590,F1590)"),37.0)</f>
        <v>37</v>
      </c>
      <c r="N1590" s="10">
        <f t="shared" si="1"/>
        <v>18</v>
      </c>
      <c r="O1590" s="26">
        <f>IF(operations[sinceLastOrder]=0,0,operations[orderQuantity] / operations[sinceLastOrder])</f>
        <v>2.777777778</v>
      </c>
      <c r="P1590" s="9">
        <v>174.05</v>
      </c>
      <c r="Q1590" s="7" t="s">
        <v>15</v>
      </c>
      <c r="R1590" s="10">
        <f>operations[arrivedDate]-operations[shippedDate]</f>
        <v>14</v>
      </c>
    </row>
    <row r="1591" ht="15.75" customHeight="1">
      <c r="A1591" s="6">
        <v>10853.0</v>
      </c>
      <c r="B1591" s="24">
        <v>45318.0</v>
      </c>
      <c r="C1591" s="24">
        <v>45346.0</v>
      </c>
      <c r="D1591" s="24">
        <v>45325.0</v>
      </c>
      <c r="E1591" s="24">
        <v>45330.0</v>
      </c>
      <c r="F1591" s="6">
        <v>18.0</v>
      </c>
      <c r="G1591" s="9" t="str">
        <f>VLOOKUP(operations[productID],products[],2,FALSE)</f>
        <v>Carnarvon Tigers</v>
      </c>
      <c r="H1591" s="9" t="str">
        <f>IF(VLOOKUP(operations[productID],products[],7,FALSE)=1,"Discontinued","Current")</f>
        <v>Current</v>
      </c>
      <c r="I1591" s="6">
        <f>VLOOKUP(operations[productID],products[],4,FALSE)</f>
        <v>42</v>
      </c>
      <c r="J1591" s="6">
        <f>VLOOKUP(operations[productID],products[],5,FALSE)</f>
        <v>0</v>
      </c>
      <c r="K1591" s="6">
        <f>VLOOKUP(operations[productID],products[],6,FALSE)</f>
        <v>0</v>
      </c>
      <c r="L1591" s="10">
        <f t="array" ref="L1591">INDEX('1 orders'!I1591:I2156, MATCH(1, ('1 orders'!A1591:A2156=A1591)*('1 orders'!G1591:G2156=F1591), 0))
</f>
        <v>10</v>
      </c>
      <c r="M1591" s="10">
        <f>IFERROR(__xludf.DUMMYFUNCTION("COUNTUNIQUEIFS($A$2:$A1591,$F$2:$F1591,F1591)"),19.0)</f>
        <v>19</v>
      </c>
      <c r="N1591" s="10">
        <f t="shared" si="1"/>
        <v>8</v>
      </c>
      <c r="O1591" s="26">
        <f>IF(operations[sinceLastOrder]=0,0,operations[orderQuantity] / operations[sinceLastOrder])</f>
        <v>1.25</v>
      </c>
      <c r="P1591" s="9">
        <v>53.83</v>
      </c>
      <c r="Q1591" s="7" t="s">
        <v>17</v>
      </c>
      <c r="R1591" s="10">
        <f>operations[arrivedDate]-operations[shippedDate]</f>
        <v>5</v>
      </c>
    </row>
    <row r="1592" ht="15.75" customHeight="1">
      <c r="A1592" s="6">
        <v>10854.0</v>
      </c>
      <c r="B1592" s="24">
        <v>45318.0</v>
      </c>
      <c r="C1592" s="24">
        <v>45346.0</v>
      </c>
      <c r="D1592" s="24">
        <v>45327.0</v>
      </c>
      <c r="E1592" s="24">
        <v>45343.0</v>
      </c>
      <c r="F1592" s="6">
        <v>10.0</v>
      </c>
      <c r="G1592" s="9" t="str">
        <f>VLOOKUP(operations[productID],products[],2,FALSE)</f>
        <v>Ikura</v>
      </c>
      <c r="H1592" s="9" t="str">
        <f>IF(VLOOKUP(operations[productID],products[],7,FALSE)=1,"Discontinued","Current")</f>
        <v>Current</v>
      </c>
      <c r="I1592" s="6">
        <f>VLOOKUP(operations[productID],products[],4,FALSE)</f>
        <v>31</v>
      </c>
      <c r="J1592" s="6">
        <f>VLOOKUP(operations[productID],products[],5,FALSE)</f>
        <v>0</v>
      </c>
      <c r="K1592" s="6">
        <f>VLOOKUP(operations[productID],products[],6,FALSE)</f>
        <v>0</v>
      </c>
      <c r="L1592" s="10">
        <f t="array" ref="L1592">INDEX('1 orders'!I1592:I2156, MATCH(1, ('1 orders'!A1592:A2156=A1592)*('1 orders'!G1592:G2156=F1592), 0))
</f>
        <v>100</v>
      </c>
      <c r="M1592" s="10">
        <f>IFERROR(__xludf.DUMMYFUNCTION("COUNTUNIQUEIFS($A$2:$A1592,$F$2:$F1592,F1592)"),26.0)</f>
        <v>26</v>
      </c>
      <c r="N1592" s="10">
        <f t="shared" si="1"/>
        <v>7</v>
      </c>
      <c r="O1592" s="26">
        <f>IF(operations[sinceLastOrder]=0,0,operations[orderQuantity] / operations[sinceLastOrder])</f>
        <v>14.28571429</v>
      </c>
      <c r="P1592" s="9">
        <v>100.22</v>
      </c>
      <c r="Q1592" s="7" t="s">
        <v>17</v>
      </c>
      <c r="R1592" s="10">
        <f>operations[arrivedDate]-operations[shippedDate]</f>
        <v>16</v>
      </c>
    </row>
    <row r="1593" ht="15.75" customHeight="1">
      <c r="A1593" s="6">
        <v>10854.0</v>
      </c>
      <c r="B1593" s="24">
        <v>45318.0</v>
      </c>
      <c r="C1593" s="24">
        <v>45346.0</v>
      </c>
      <c r="D1593" s="24">
        <v>45327.0</v>
      </c>
      <c r="E1593" s="24">
        <v>45343.0</v>
      </c>
      <c r="F1593" s="6">
        <v>13.0</v>
      </c>
      <c r="G1593" s="9" t="str">
        <f>VLOOKUP(operations[productID],products[],2,FALSE)</f>
        <v>Konbu</v>
      </c>
      <c r="H1593" s="9" t="str">
        <f>IF(VLOOKUP(operations[productID],products[],7,FALSE)=1,"Discontinued","Current")</f>
        <v>Current</v>
      </c>
      <c r="I1593" s="6">
        <f>VLOOKUP(operations[productID],products[],4,FALSE)</f>
        <v>24</v>
      </c>
      <c r="J1593" s="6">
        <f>VLOOKUP(operations[productID],products[],5,FALSE)</f>
        <v>0</v>
      </c>
      <c r="K1593" s="6">
        <f>VLOOKUP(operations[productID],products[],6,FALSE)</f>
        <v>5</v>
      </c>
      <c r="L1593" s="10">
        <f t="array" ref="L1593">INDEX('1 orders'!I1593:I2156, MATCH(1, ('1 orders'!A1593:A2156=A1593)*('1 orders'!G1593:G2156=F1593), 0))
</f>
        <v>65</v>
      </c>
      <c r="M1593" s="10">
        <f>IFERROR(__xludf.DUMMYFUNCTION("COUNTUNIQUEIFS($A$2:$A1593,$F$2:$F1593,F1593)"),22.0)</f>
        <v>22</v>
      </c>
      <c r="N1593" s="10">
        <f t="shared" si="1"/>
        <v>11</v>
      </c>
      <c r="O1593" s="26">
        <f>IF(operations[sinceLastOrder]=0,0,operations[orderQuantity] / operations[sinceLastOrder])</f>
        <v>5.909090909</v>
      </c>
      <c r="P1593" s="9">
        <v>100.22</v>
      </c>
      <c r="Q1593" s="7" t="s">
        <v>17</v>
      </c>
      <c r="R1593" s="10">
        <f>operations[arrivedDate]-operations[shippedDate]</f>
        <v>16</v>
      </c>
    </row>
    <row r="1594" ht="15.75" customHeight="1">
      <c r="A1594" s="6">
        <v>10855.0</v>
      </c>
      <c r="B1594" s="24">
        <v>45318.0</v>
      </c>
      <c r="C1594" s="24">
        <v>45346.0</v>
      </c>
      <c r="D1594" s="24">
        <v>45326.0</v>
      </c>
      <c r="E1594" s="24">
        <v>45339.0</v>
      </c>
      <c r="F1594" s="6">
        <v>16.0</v>
      </c>
      <c r="G1594" s="9" t="str">
        <f>VLOOKUP(operations[productID],products[],2,FALSE)</f>
        <v>Pavlova</v>
      </c>
      <c r="H1594" s="9" t="str">
        <f>IF(VLOOKUP(operations[productID],products[],7,FALSE)=1,"Discontinued","Current")</f>
        <v>Current</v>
      </c>
      <c r="I1594" s="6">
        <f>VLOOKUP(operations[productID],products[],4,FALSE)</f>
        <v>29</v>
      </c>
      <c r="J1594" s="6">
        <f>VLOOKUP(operations[productID],products[],5,FALSE)</f>
        <v>0</v>
      </c>
      <c r="K1594" s="6">
        <f>VLOOKUP(operations[productID],products[],6,FALSE)</f>
        <v>10</v>
      </c>
      <c r="L1594" s="10">
        <f t="array" ref="L1594">INDEX('1 orders'!I1594:I2156, MATCH(1, ('1 orders'!A1594:A2156=A1594)*('1 orders'!G1594:G2156=F1594), 0))
</f>
        <v>50</v>
      </c>
      <c r="M1594" s="10">
        <f>IFERROR(__xludf.DUMMYFUNCTION("COUNTUNIQUEIFS($A$2:$A1594,$F$2:$F1594,F1594)"),30.0)</f>
        <v>30</v>
      </c>
      <c r="N1594" s="10">
        <f t="shared" si="1"/>
        <v>34</v>
      </c>
      <c r="O1594" s="26">
        <f>IF(operations[sinceLastOrder]=0,0,operations[orderQuantity] / operations[sinceLastOrder])</f>
        <v>1.470588235</v>
      </c>
      <c r="P1594" s="9">
        <v>170.97</v>
      </c>
      <c r="Q1594" s="7" t="s">
        <v>15</v>
      </c>
      <c r="R1594" s="10">
        <f>operations[arrivedDate]-operations[shippedDate]</f>
        <v>13</v>
      </c>
    </row>
    <row r="1595" ht="15.75" customHeight="1">
      <c r="A1595" s="6">
        <v>10855.0</v>
      </c>
      <c r="B1595" s="24">
        <v>45318.0</v>
      </c>
      <c r="C1595" s="24">
        <v>45346.0</v>
      </c>
      <c r="D1595" s="24">
        <v>45326.0</v>
      </c>
      <c r="E1595" s="24">
        <v>45339.0</v>
      </c>
      <c r="F1595" s="6">
        <v>31.0</v>
      </c>
      <c r="G1595" s="9" t="str">
        <f>VLOOKUP(operations[productID],products[],2,FALSE)</f>
        <v>Gorgonzola Telino</v>
      </c>
      <c r="H1595" s="9" t="str">
        <f>IF(VLOOKUP(operations[productID],products[],7,FALSE)=1,"Discontinued","Current")</f>
        <v>Current</v>
      </c>
      <c r="I1595" s="6">
        <f>VLOOKUP(operations[productID],products[],4,FALSE)</f>
        <v>0</v>
      </c>
      <c r="J1595" s="6">
        <f>VLOOKUP(operations[productID],products[],5,FALSE)</f>
        <v>70</v>
      </c>
      <c r="K1595" s="6">
        <f>VLOOKUP(operations[productID],products[],6,FALSE)</f>
        <v>20</v>
      </c>
      <c r="L1595" s="10">
        <f t="array" ref="L1595">INDEX('1 orders'!I1595:I2156, MATCH(1, ('1 orders'!A1595:A2156=A1595)*('1 orders'!G1595:G2156=F1595), 0))
</f>
        <v>14</v>
      </c>
      <c r="M1595" s="10">
        <f>IFERROR(__xludf.DUMMYFUNCTION("COUNTUNIQUEIFS($A$2:$A1595,$F$2:$F1595,F1595)"),43.0)</f>
        <v>43</v>
      </c>
      <c r="N1595" s="10">
        <f t="shared" si="1"/>
        <v>12</v>
      </c>
      <c r="O1595" s="26">
        <f>IF(operations[sinceLastOrder]=0,0,operations[orderQuantity] / operations[sinceLastOrder])</f>
        <v>1.166666667</v>
      </c>
      <c r="P1595" s="9">
        <v>170.97</v>
      </c>
      <c r="Q1595" s="7" t="s">
        <v>15</v>
      </c>
      <c r="R1595" s="10">
        <f>operations[arrivedDate]-operations[shippedDate]</f>
        <v>13</v>
      </c>
    </row>
    <row r="1596" ht="15.75" customHeight="1">
      <c r="A1596" s="6">
        <v>10855.0</v>
      </c>
      <c r="B1596" s="24">
        <v>45318.0</v>
      </c>
      <c r="C1596" s="24">
        <v>45346.0</v>
      </c>
      <c r="D1596" s="24">
        <v>45326.0</v>
      </c>
      <c r="E1596" s="24">
        <v>45339.0</v>
      </c>
      <c r="F1596" s="6">
        <v>56.0</v>
      </c>
      <c r="G1596" s="9" t="str">
        <f>VLOOKUP(operations[productID],products[],2,FALSE)</f>
        <v>Gnocchi di nonna Alice</v>
      </c>
      <c r="H1596" s="9" t="str">
        <f>IF(VLOOKUP(operations[productID],products[],7,FALSE)=1,"Discontinued","Current")</f>
        <v>Current</v>
      </c>
      <c r="I1596" s="6">
        <f>VLOOKUP(operations[productID],products[],4,FALSE)</f>
        <v>21</v>
      </c>
      <c r="J1596" s="6">
        <f>VLOOKUP(operations[productID],products[],5,FALSE)</f>
        <v>10</v>
      </c>
      <c r="K1596" s="6">
        <f>VLOOKUP(operations[productID],products[],6,FALSE)</f>
        <v>30</v>
      </c>
      <c r="L1596" s="10">
        <f t="array" ref="L1596">INDEX('1 orders'!I1596:I2156, MATCH(1, ('1 orders'!A1596:A2156=A1596)*('1 orders'!G1596:G2156=F1596), 0))
</f>
        <v>24</v>
      </c>
      <c r="M1596" s="10">
        <f>IFERROR(__xludf.DUMMYFUNCTION("COUNTUNIQUEIFS($A$2:$A1596,$F$2:$F1596,F1596)"),44.0)</f>
        <v>44</v>
      </c>
      <c r="N1596" s="10">
        <f t="shared" si="1"/>
        <v>7</v>
      </c>
      <c r="O1596" s="26">
        <f>IF(operations[sinceLastOrder]=0,0,operations[orderQuantity] / operations[sinceLastOrder])</f>
        <v>3.428571429</v>
      </c>
      <c r="P1596" s="9">
        <v>170.97</v>
      </c>
      <c r="Q1596" s="7" t="s">
        <v>15</v>
      </c>
      <c r="R1596" s="10">
        <f>operations[arrivedDate]-operations[shippedDate]</f>
        <v>13</v>
      </c>
    </row>
    <row r="1597" ht="15.75" customHeight="1">
      <c r="A1597" s="6">
        <v>10855.0</v>
      </c>
      <c r="B1597" s="24">
        <v>45318.0</v>
      </c>
      <c r="C1597" s="24">
        <v>45346.0</v>
      </c>
      <c r="D1597" s="24">
        <v>45326.0</v>
      </c>
      <c r="E1597" s="24">
        <v>45339.0</v>
      </c>
      <c r="F1597" s="6">
        <v>65.0</v>
      </c>
      <c r="G1597" s="9" t="str">
        <f>VLOOKUP(operations[productID],products[],2,FALSE)</f>
        <v>Louisiana Fiery Hot Pepper Sauce</v>
      </c>
      <c r="H1597" s="9" t="str">
        <f>IF(VLOOKUP(operations[productID],products[],7,FALSE)=1,"Discontinued","Current")</f>
        <v>Current</v>
      </c>
      <c r="I1597" s="6">
        <f>VLOOKUP(operations[productID],products[],4,FALSE)</f>
        <v>76</v>
      </c>
      <c r="J1597" s="6">
        <f>VLOOKUP(operations[productID],products[],5,FALSE)</f>
        <v>0</v>
      </c>
      <c r="K1597" s="6">
        <f>VLOOKUP(operations[productID],products[],6,FALSE)</f>
        <v>0</v>
      </c>
      <c r="L1597" s="10">
        <f t="array" ref="L1597">INDEX('1 orders'!I1597:I2156, MATCH(1, ('1 orders'!A1597:A2156=A1597)*('1 orders'!G1597:G2156=F1597), 0))
</f>
        <v>15</v>
      </c>
      <c r="M1597" s="10">
        <f>IFERROR(__xludf.DUMMYFUNCTION("COUNTUNIQUEIFS($A$2:$A1597,$F$2:$F1597,F1597)"),27.0)</f>
        <v>27</v>
      </c>
      <c r="N1597" s="10">
        <f t="shared" si="1"/>
        <v>27</v>
      </c>
      <c r="O1597" s="26">
        <f>IF(operations[sinceLastOrder]=0,0,operations[orderQuantity] / operations[sinceLastOrder])</f>
        <v>0.5555555556</v>
      </c>
      <c r="P1597" s="9">
        <v>170.97</v>
      </c>
      <c r="Q1597" s="7" t="s">
        <v>15</v>
      </c>
      <c r="R1597" s="10">
        <f>operations[arrivedDate]-operations[shippedDate]</f>
        <v>13</v>
      </c>
    </row>
    <row r="1598" ht="15.75" customHeight="1">
      <c r="A1598" s="6">
        <v>10856.0</v>
      </c>
      <c r="B1598" s="24">
        <v>45319.0</v>
      </c>
      <c r="C1598" s="24">
        <v>45347.0</v>
      </c>
      <c r="D1598" s="24">
        <v>45332.0</v>
      </c>
      <c r="E1598" s="24">
        <v>45346.0</v>
      </c>
      <c r="F1598" s="6">
        <v>2.0</v>
      </c>
      <c r="G1598" s="9" t="str">
        <f>VLOOKUP(operations[productID],products[],2,FALSE)</f>
        <v>Chang</v>
      </c>
      <c r="H1598" s="9" t="str">
        <f>IF(VLOOKUP(operations[productID],products[],7,FALSE)=1,"Discontinued","Current")</f>
        <v>Current</v>
      </c>
      <c r="I1598" s="6">
        <f>VLOOKUP(operations[productID],products[],4,FALSE)</f>
        <v>17</v>
      </c>
      <c r="J1598" s="6">
        <f>VLOOKUP(operations[productID],products[],5,FALSE)</f>
        <v>40</v>
      </c>
      <c r="K1598" s="6">
        <f>VLOOKUP(operations[productID],products[],6,FALSE)</f>
        <v>25</v>
      </c>
      <c r="L1598" s="10">
        <f t="array" ref="L1598">INDEX('1 orders'!I1598:I2156, MATCH(1, ('1 orders'!A1598:A2156=A1598)*('1 orders'!G1598:G2156=F1598), 0))
</f>
        <v>20</v>
      </c>
      <c r="M1598" s="10">
        <f>IFERROR(__xludf.DUMMYFUNCTION("COUNTUNIQUEIFS($A$2:$A1598,$F$2:$F1598,F1598)"),31.0)</f>
        <v>31</v>
      </c>
      <c r="N1598" s="10">
        <f t="shared" si="1"/>
        <v>2</v>
      </c>
      <c r="O1598" s="26">
        <f>IF(operations[sinceLastOrder]=0,0,operations[orderQuantity] / operations[sinceLastOrder])</f>
        <v>10</v>
      </c>
      <c r="P1598" s="9">
        <v>58.43</v>
      </c>
      <c r="Q1598" s="7" t="s">
        <v>17</v>
      </c>
      <c r="R1598" s="10">
        <f>operations[arrivedDate]-operations[shippedDate]</f>
        <v>14</v>
      </c>
    </row>
    <row r="1599" ht="15.75" customHeight="1">
      <c r="A1599" s="6">
        <v>10856.0</v>
      </c>
      <c r="B1599" s="24">
        <v>45319.0</v>
      </c>
      <c r="C1599" s="24">
        <v>45347.0</v>
      </c>
      <c r="D1599" s="24">
        <v>45332.0</v>
      </c>
      <c r="E1599" s="24">
        <v>45346.0</v>
      </c>
      <c r="F1599" s="6">
        <v>42.0</v>
      </c>
      <c r="G1599" s="9" t="str">
        <f>VLOOKUP(operations[productID],products[],2,FALSE)</f>
        <v>Singaporean Hokkien Fried Mee</v>
      </c>
      <c r="H1599" s="9" t="str">
        <f>IF(VLOOKUP(operations[productID],products[],7,FALSE)=1,"Discontinued","Current")</f>
        <v>Discontinued</v>
      </c>
      <c r="I1599" s="6">
        <f>VLOOKUP(operations[productID],products[],4,FALSE)</f>
        <v>26</v>
      </c>
      <c r="J1599" s="6">
        <f>VLOOKUP(operations[productID],products[],5,FALSE)</f>
        <v>0</v>
      </c>
      <c r="K1599" s="6">
        <f>VLOOKUP(operations[productID],products[],6,FALSE)</f>
        <v>0</v>
      </c>
      <c r="L1599" s="10">
        <f t="array" ref="L1599">INDEX('1 orders'!I1599:I2156, MATCH(1, ('1 orders'!A1599:A2156=A1599)*('1 orders'!G1599:G2156=F1599), 0))
</f>
        <v>20</v>
      </c>
      <c r="M1599" s="10">
        <f>IFERROR(__xludf.DUMMYFUNCTION("COUNTUNIQUEIFS($A$2:$A1599,$F$2:$F1599,F1599)"),23.0)</f>
        <v>23</v>
      </c>
      <c r="N1599" s="10">
        <f t="shared" si="1"/>
        <v>7</v>
      </c>
      <c r="O1599" s="26">
        <f>IF(operations[sinceLastOrder]=0,0,operations[orderQuantity] / operations[sinceLastOrder])</f>
        <v>2.857142857</v>
      </c>
      <c r="P1599" s="9">
        <v>58.43</v>
      </c>
      <c r="Q1599" s="7" t="s">
        <v>17</v>
      </c>
      <c r="R1599" s="10">
        <f>operations[arrivedDate]-operations[shippedDate]</f>
        <v>14</v>
      </c>
    </row>
    <row r="1600" ht="15.75" customHeight="1">
      <c r="A1600" s="6">
        <v>10857.0</v>
      </c>
      <c r="B1600" s="24">
        <v>45319.0</v>
      </c>
      <c r="C1600" s="24">
        <v>45347.0</v>
      </c>
      <c r="D1600" s="24">
        <v>45328.0</v>
      </c>
      <c r="E1600" s="24">
        <v>45338.0</v>
      </c>
      <c r="F1600" s="6">
        <v>3.0</v>
      </c>
      <c r="G1600" s="9" t="str">
        <f>VLOOKUP(operations[productID],products[],2,FALSE)</f>
        <v>Aniseed Syrup</v>
      </c>
      <c r="H1600" s="9" t="str">
        <f>IF(VLOOKUP(operations[productID],products[],7,FALSE)=1,"Discontinued","Current")</f>
        <v>Current</v>
      </c>
      <c r="I1600" s="6">
        <f>VLOOKUP(operations[productID],products[],4,FALSE)</f>
        <v>13</v>
      </c>
      <c r="J1600" s="6">
        <f>VLOOKUP(operations[productID],products[],5,FALSE)</f>
        <v>70</v>
      </c>
      <c r="K1600" s="6">
        <f>VLOOKUP(operations[productID],products[],6,FALSE)</f>
        <v>25</v>
      </c>
      <c r="L1600" s="10">
        <f t="array" ref="L1600">INDEX('1 orders'!I1600:I2156, MATCH(1, ('1 orders'!A1600:A2156=A1600)*('1 orders'!G1600:G2156=F1600), 0))
</f>
        <v>30</v>
      </c>
      <c r="M1600" s="10">
        <f>IFERROR(__xludf.DUMMYFUNCTION("COUNTUNIQUEIFS($A$2:$A1600,$F$2:$F1600,F1600)"),10.0)</f>
        <v>10</v>
      </c>
      <c r="N1600" s="10">
        <f t="shared" si="1"/>
        <v>5</v>
      </c>
      <c r="O1600" s="26">
        <f>IF(operations[sinceLastOrder]=0,0,operations[orderQuantity] / operations[sinceLastOrder])</f>
        <v>6</v>
      </c>
      <c r="P1600" s="9">
        <v>188.85</v>
      </c>
      <c r="Q1600" s="7" t="s">
        <v>17</v>
      </c>
      <c r="R1600" s="10">
        <f>operations[arrivedDate]-operations[shippedDate]</f>
        <v>10</v>
      </c>
    </row>
    <row r="1601" ht="15.75" customHeight="1">
      <c r="A1601" s="6">
        <v>10857.0</v>
      </c>
      <c r="B1601" s="24">
        <v>45319.0</v>
      </c>
      <c r="C1601" s="24">
        <v>45347.0</v>
      </c>
      <c r="D1601" s="24">
        <v>45328.0</v>
      </c>
      <c r="E1601" s="24">
        <v>45338.0</v>
      </c>
      <c r="F1601" s="6">
        <v>26.0</v>
      </c>
      <c r="G1601" s="9" t="str">
        <f>VLOOKUP(operations[productID],products[],2,FALSE)</f>
        <v>NuNuCa Nuß-Nougat-Creme</v>
      </c>
      <c r="H1601" s="9" t="str">
        <f>IF(VLOOKUP(operations[productID],products[],7,FALSE)=1,"Discontinued","Current")</f>
        <v>Current</v>
      </c>
      <c r="I1601" s="6">
        <f>VLOOKUP(operations[productID],products[],4,FALSE)</f>
        <v>15</v>
      </c>
      <c r="J1601" s="6">
        <f>VLOOKUP(operations[productID],products[],5,FALSE)</f>
        <v>0</v>
      </c>
      <c r="K1601" s="6">
        <f>VLOOKUP(operations[productID],products[],6,FALSE)</f>
        <v>0</v>
      </c>
      <c r="L1601" s="10">
        <f t="array" ref="L1601">INDEX('1 orders'!I1601:I2156, MATCH(1, ('1 orders'!A1601:A2156=A1601)*('1 orders'!G1601:G2156=F1601), 0))
</f>
        <v>35</v>
      </c>
      <c r="M1601" s="10">
        <f>IFERROR(__xludf.DUMMYFUNCTION("COUNTUNIQUEIFS($A$2:$A1601,$F$2:$F1601,F1601)"),27.0)</f>
        <v>27</v>
      </c>
      <c r="N1601" s="10">
        <f t="shared" si="1"/>
        <v>5</v>
      </c>
      <c r="O1601" s="26">
        <f>IF(operations[sinceLastOrder]=0,0,operations[orderQuantity] / operations[sinceLastOrder])</f>
        <v>7</v>
      </c>
      <c r="P1601" s="9">
        <v>188.85</v>
      </c>
      <c r="Q1601" s="7" t="s">
        <v>17</v>
      </c>
      <c r="R1601" s="10">
        <f>operations[arrivedDate]-operations[shippedDate]</f>
        <v>10</v>
      </c>
    </row>
    <row r="1602" ht="15.75" customHeight="1">
      <c r="A1602" s="6">
        <v>10857.0</v>
      </c>
      <c r="B1602" s="24">
        <v>45319.0</v>
      </c>
      <c r="C1602" s="24">
        <v>45347.0</v>
      </c>
      <c r="D1602" s="24">
        <v>45328.0</v>
      </c>
      <c r="E1602" s="24">
        <v>45338.0</v>
      </c>
      <c r="F1602" s="6">
        <v>29.0</v>
      </c>
      <c r="G1602" s="9" t="str">
        <f>VLOOKUP(operations[productID],products[],2,FALSE)</f>
        <v>Thüringer Rostbratwurst</v>
      </c>
      <c r="H1602" s="9" t="str">
        <f>IF(VLOOKUP(operations[productID],products[],7,FALSE)=1,"Discontinued","Current")</f>
        <v>Discontinued</v>
      </c>
      <c r="I1602" s="6">
        <f>VLOOKUP(operations[productID],products[],4,FALSE)</f>
        <v>0</v>
      </c>
      <c r="J1602" s="6">
        <f>VLOOKUP(operations[productID],products[],5,FALSE)</f>
        <v>0</v>
      </c>
      <c r="K1602" s="6">
        <f>VLOOKUP(operations[productID],products[],6,FALSE)</f>
        <v>0</v>
      </c>
      <c r="L1602" s="10">
        <f t="array" ref="L1602">INDEX('1 orders'!I1602:I2156, MATCH(1, ('1 orders'!A1602:A2156=A1602)*('1 orders'!G1602:G2156=F1602), 0))
</f>
        <v>10</v>
      </c>
      <c r="M1602" s="10">
        <f>IFERROR(__xludf.DUMMYFUNCTION("COUNTUNIQUEIFS($A$2:$A1602,$F$2:$F1602,F1602)"),24.0)</f>
        <v>24</v>
      </c>
      <c r="N1602" s="10">
        <f t="shared" si="1"/>
        <v>13</v>
      </c>
      <c r="O1602" s="26">
        <f>IF(operations[sinceLastOrder]=0,0,operations[orderQuantity] / operations[sinceLastOrder])</f>
        <v>0.7692307692</v>
      </c>
      <c r="P1602" s="9">
        <v>188.85</v>
      </c>
      <c r="Q1602" s="7" t="s">
        <v>17</v>
      </c>
      <c r="R1602" s="10">
        <f>operations[arrivedDate]-operations[shippedDate]</f>
        <v>10</v>
      </c>
    </row>
    <row r="1603" ht="15.75" customHeight="1">
      <c r="A1603" s="6">
        <v>10858.0</v>
      </c>
      <c r="B1603" s="24">
        <v>45320.0</v>
      </c>
      <c r="C1603" s="24">
        <v>45348.0</v>
      </c>
      <c r="D1603" s="24">
        <v>45325.0</v>
      </c>
      <c r="E1603" s="24">
        <v>45332.0</v>
      </c>
      <c r="F1603" s="6">
        <v>7.0</v>
      </c>
      <c r="G1603" s="9" t="str">
        <f>VLOOKUP(operations[productID],products[],2,FALSE)</f>
        <v>Uncle Bob's Organic Dried Pears</v>
      </c>
      <c r="H1603" s="9" t="str">
        <f>IF(VLOOKUP(operations[productID],products[],7,FALSE)=1,"Discontinued","Current")</f>
        <v>Current</v>
      </c>
      <c r="I1603" s="6">
        <f>VLOOKUP(operations[productID],products[],4,FALSE)</f>
        <v>15</v>
      </c>
      <c r="J1603" s="6">
        <f>VLOOKUP(operations[productID],products[],5,FALSE)</f>
        <v>0</v>
      </c>
      <c r="K1603" s="6">
        <f>VLOOKUP(operations[productID],products[],6,FALSE)</f>
        <v>10</v>
      </c>
      <c r="L1603" s="10">
        <f t="array" ref="L1603">INDEX('1 orders'!I1603:I2156, MATCH(1, ('1 orders'!A1603:A2156=A1603)*('1 orders'!G1603:G2156=F1603), 0))
</f>
        <v>5</v>
      </c>
      <c r="M1603" s="10">
        <f>IFERROR(__xludf.DUMMYFUNCTION("COUNTUNIQUEIFS($A$2:$A1603,$F$2:$F1603,F1603)"),14.0)</f>
        <v>14</v>
      </c>
      <c r="N1603" s="10">
        <f t="shared" si="1"/>
        <v>14</v>
      </c>
      <c r="O1603" s="26">
        <f>IF(operations[sinceLastOrder]=0,0,operations[orderQuantity] / operations[sinceLastOrder])</f>
        <v>0.3571428571</v>
      </c>
      <c r="P1603" s="9">
        <v>52.51</v>
      </c>
      <c r="Q1603" s="7" t="s">
        <v>15</v>
      </c>
      <c r="R1603" s="10">
        <f>operations[arrivedDate]-operations[shippedDate]</f>
        <v>7</v>
      </c>
    </row>
    <row r="1604" ht="15.75" customHeight="1">
      <c r="A1604" s="6">
        <v>10858.0</v>
      </c>
      <c r="B1604" s="24">
        <v>45320.0</v>
      </c>
      <c r="C1604" s="24">
        <v>45348.0</v>
      </c>
      <c r="D1604" s="24">
        <v>45325.0</v>
      </c>
      <c r="E1604" s="24">
        <v>45332.0</v>
      </c>
      <c r="F1604" s="6">
        <v>27.0</v>
      </c>
      <c r="G1604" s="9" t="str">
        <f>VLOOKUP(operations[productID],products[],2,FALSE)</f>
        <v>Schoggi Schokolade</v>
      </c>
      <c r="H1604" s="9" t="str">
        <f>IF(VLOOKUP(operations[productID],products[],7,FALSE)=1,"Discontinued","Current")</f>
        <v>Current</v>
      </c>
      <c r="I1604" s="6">
        <f>VLOOKUP(operations[productID],products[],4,FALSE)</f>
        <v>49</v>
      </c>
      <c r="J1604" s="6">
        <f>VLOOKUP(operations[productID],products[],5,FALSE)</f>
        <v>0</v>
      </c>
      <c r="K1604" s="6">
        <f>VLOOKUP(operations[productID],products[],6,FALSE)</f>
        <v>30</v>
      </c>
      <c r="L1604" s="10">
        <f t="array" ref="L1604">INDEX('1 orders'!I1604:I2156, MATCH(1, ('1 orders'!A1604:A2156=A1604)*('1 orders'!G1604:G2156=F1604), 0))
</f>
        <v>10</v>
      </c>
      <c r="M1604" s="10">
        <f>IFERROR(__xludf.DUMMYFUNCTION("COUNTUNIQUEIFS($A$2:$A1604,$F$2:$F1604,F1604)"),7.0)</f>
        <v>7</v>
      </c>
      <c r="N1604" s="10">
        <f t="shared" si="1"/>
        <v>59</v>
      </c>
      <c r="O1604" s="26">
        <f>IF(operations[sinceLastOrder]=0,0,operations[orderQuantity] / operations[sinceLastOrder])</f>
        <v>0.1694915254</v>
      </c>
      <c r="P1604" s="9">
        <v>52.51</v>
      </c>
      <c r="Q1604" s="7" t="s">
        <v>15</v>
      </c>
      <c r="R1604" s="10">
        <f>operations[arrivedDate]-operations[shippedDate]</f>
        <v>7</v>
      </c>
    </row>
    <row r="1605" ht="15.75" customHeight="1">
      <c r="A1605" s="6">
        <v>10858.0</v>
      </c>
      <c r="B1605" s="24">
        <v>45320.0</v>
      </c>
      <c r="C1605" s="24">
        <v>45348.0</v>
      </c>
      <c r="D1605" s="24">
        <v>45325.0</v>
      </c>
      <c r="E1605" s="24">
        <v>45332.0</v>
      </c>
      <c r="F1605" s="6">
        <v>70.0</v>
      </c>
      <c r="G1605" s="9" t="str">
        <f>VLOOKUP(operations[productID],products[],2,FALSE)</f>
        <v>Outback Lager</v>
      </c>
      <c r="H1605" s="9" t="str">
        <f>IF(VLOOKUP(operations[productID],products[],7,FALSE)=1,"Discontinued","Current")</f>
        <v>Current</v>
      </c>
      <c r="I1605" s="6">
        <f>VLOOKUP(operations[productID],products[],4,FALSE)</f>
        <v>15</v>
      </c>
      <c r="J1605" s="6">
        <f>VLOOKUP(operations[productID],products[],5,FALSE)</f>
        <v>10</v>
      </c>
      <c r="K1605" s="6">
        <f>VLOOKUP(operations[productID],products[],6,FALSE)</f>
        <v>30</v>
      </c>
      <c r="L1605" s="10">
        <f t="array" ref="L1605">INDEX('1 orders'!I1605:I2156, MATCH(1, ('1 orders'!A1605:A2156=A1605)*('1 orders'!G1605:G2156=F1605), 0))
</f>
        <v>4</v>
      </c>
      <c r="M1605" s="10">
        <f>IFERROR(__xludf.DUMMYFUNCTION("COUNTUNIQUEIFS($A$2:$A1605,$F$2:$F1605,F1605)"),31.0)</f>
        <v>31</v>
      </c>
      <c r="N1605" s="10">
        <f t="shared" si="1"/>
        <v>6</v>
      </c>
      <c r="O1605" s="26">
        <f>IF(operations[sinceLastOrder]=0,0,operations[orderQuantity] / operations[sinceLastOrder])</f>
        <v>0.6666666667</v>
      </c>
      <c r="P1605" s="9">
        <v>52.51</v>
      </c>
      <c r="Q1605" s="7" t="s">
        <v>15</v>
      </c>
      <c r="R1605" s="10">
        <f>operations[arrivedDate]-operations[shippedDate]</f>
        <v>7</v>
      </c>
    </row>
    <row r="1606" ht="15.75" customHeight="1">
      <c r="A1606" s="6">
        <v>10859.0</v>
      </c>
      <c r="B1606" s="24">
        <v>45320.0</v>
      </c>
      <c r="C1606" s="24">
        <v>45348.0</v>
      </c>
      <c r="D1606" s="24">
        <v>45324.0</v>
      </c>
      <c r="E1606" s="24">
        <v>45329.0</v>
      </c>
      <c r="F1606" s="6">
        <v>24.0</v>
      </c>
      <c r="G1606" s="9" t="str">
        <f>VLOOKUP(operations[productID],products[],2,FALSE)</f>
        <v>Brigadeiros Maravilhosos da Lilian</v>
      </c>
      <c r="H1606" s="9" t="str">
        <f>IF(VLOOKUP(operations[productID],products[],7,FALSE)=1,"Discontinued","Current")</f>
        <v>Discontinued</v>
      </c>
      <c r="I1606" s="6">
        <f>VLOOKUP(operations[productID],products[],4,FALSE)</f>
        <v>20</v>
      </c>
      <c r="J1606" s="6">
        <f>VLOOKUP(operations[productID],products[],5,FALSE)</f>
        <v>0</v>
      </c>
      <c r="K1606" s="6">
        <f>VLOOKUP(operations[productID],products[],6,FALSE)</f>
        <v>0</v>
      </c>
      <c r="L1606" s="10">
        <f t="array" ref="L1606">INDEX('1 orders'!I1606:I2156, MATCH(1, ('1 orders'!A1606:A2156=A1606)*('1 orders'!G1606:G2156=F1606), 0))
</f>
        <v>40</v>
      </c>
      <c r="M1606" s="10">
        <f>IFERROR(__xludf.DUMMYFUNCTION("COUNTUNIQUEIFS($A$2:$A1606,$F$2:$F1606,F1606)"),31.0)</f>
        <v>31</v>
      </c>
      <c r="N1606" s="10">
        <f t="shared" si="1"/>
        <v>34</v>
      </c>
      <c r="O1606" s="26">
        <f>IF(operations[sinceLastOrder]=0,0,operations[orderQuantity] / operations[sinceLastOrder])</f>
        <v>1.176470588</v>
      </c>
      <c r="P1606" s="9">
        <v>76.1</v>
      </c>
      <c r="Q1606" s="7" t="s">
        <v>17</v>
      </c>
      <c r="R1606" s="10">
        <f>operations[arrivedDate]-operations[shippedDate]</f>
        <v>5</v>
      </c>
    </row>
    <row r="1607" ht="15.75" customHeight="1">
      <c r="A1607" s="6">
        <v>10859.0</v>
      </c>
      <c r="B1607" s="24">
        <v>45320.0</v>
      </c>
      <c r="C1607" s="24">
        <v>45348.0</v>
      </c>
      <c r="D1607" s="24">
        <v>45324.0</v>
      </c>
      <c r="E1607" s="24">
        <v>45329.0</v>
      </c>
      <c r="F1607" s="6">
        <v>54.0</v>
      </c>
      <c r="G1607" s="9" t="str">
        <f>VLOOKUP(operations[productID],products[],2,FALSE)</f>
        <v>Tourtière</v>
      </c>
      <c r="H1607" s="9" t="str">
        <f>IF(VLOOKUP(operations[productID],products[],7,FALSE)=1,"Discontinued","Current")</f>
        <v>Current</v>
      </c>
      <c r="I1607" s="6">
        <f>VLOOKUP(operations[productID],products[],4,FALSE)</f>
        <v>21</v>
      </c>
      <c r="J1607" s="6">
        <f>VLOOKUP(operations[productID],products[],5,FALSE)</f>
        <v>0</v>
      </c>
      <c r="K1607" s="6">
        <f>VLOOKUP(operations[productID],products[],6,FALSE)</f>
        <v>10</v>
      </c>
      <c r="L1607" s="10">
        <f t="array" ref="L1607">INDEX('1 orders'!I1607:I2156, MATCH(1, ('1 orders'!A1607:A2156=A1607)*('1 orders'!G1607:G2156=F1607), 0))
</f>
        <v>35</v>
      </c>
      <c r="M1607" s="10">
        <f>IFERROR(__xludf.DUMMYFUNCTION("COUNTUNIQUEIFS($A$2:$A1607,$F$2:$F1607,F1607)"),32.0)</f>
        <v>32</v>
      </c>
      <c r="N1607" s="10">
        <f t="shared" si="1"/>
        <v>34</v>
      </c>
      <c r="O1607" s="26">
        <f>IF(operations[sinceLastOrder]=0,0,operations[orderQuantity] / operations[sinceLastOrder])</f>
        <v>1.029411765</v>
      </c>
      <c r="P1607" s="9">
        <v>76.1</v>
      </c>
      <c r="Q1607" s="7" t="s">
        <v>17</v>
      </c>
      <c r="R1607" s="10">
        <f>operations[arrivedDate]-operations[shippedDate]</f>
        <v>5</v>
      </c>
    </row>
    <row r="1608" ht="15.75" customHeight="1">
      <c r="A1608" s="6">
        <v>10859.0</v>
      </c>
      <c r="B1608" s="24">
        <v>45320.0</v>
      </c>
      <c r="C1608" s="24">
        <v>45348.0</v>
      </c>
      <c r="D1608" s="24">
        <v>45324.0</v>
      </c>
      <c r="E1608" s="24">
        <v>45329.0</v>
      </c>
      <c r="F1608" s="6">
        <v>64.0</v>
      </c>
      <c r="G1608" s="9" t="str">
        <f>VLOOKUP(operations[productID],products[],2,FALSE)</f>
        <v>Lukas' leckere Sauerteigweggla</v>
      </c>
      <c r="H1608" s="9" t="str">
        <f>IF(VLOOKUP(operations[productID],products[],7,FALSE)=1,"Discontinued","Current")</f>
        <v>Current</v>
      </c>
      <c r="I1608" s="6">
        <f>VLOOKUP(operations[productID],products[],4,FALSE)</f>
        <v>22</v>
      </c>
      <c r="J1608" s="6">
        <f>VLOOKUP(operations[productID],products[],5,FALSE)</f>
        <v>80</v>
      </c>
      <c r="K1608" s="6">
        <f>VLOOKUP(operations[productID],products[],6,FALSE)</f>
        <v>30</v>
      </c>
      <c r="L1608" s="10">
        <f t="array" ref="L1608">INDEX('1 orders'!I1608:I2156, MATCH(1, ('1 orders'!A1608:A2156=A1608)*('1 orders'!G1608:G2156=F1608), 0))
</f>
        <v>30</v>
      </c>
      <c r="M1608" s="10">
        <f>IFERROR(__xludf.DUMMYFUNCTION("COUNTUNIQUEIFS($A$2:$A1608,$F$2:$F1608,F1608)"),22.0)</f>
        <v>22</v>
      </c>
      <c r="N1608" s="10">
        <f t="shared" si="1"/>
        <v>8</v>
      </c>
      <c r="O1608" s="26">
        <f>IF(operations[sinceLastOrder]=0,0,operations[orderQuantity] / operations[sinceLastOrder])</f>
        <v>3.75</v>
      </c>
      <c r="P1608" s="9">
        <v>76.1</v>
      </c>
      <c r="Q1608" s="7" t="s">
        <v>17</v>
      </c>
      <c r="R1608" s="10">
        <f>operations[arrivedDate]-operations[shippedDate]</f>
        <v>5</v>
      </c>
    </row>
    <row r="1609" ht="15.75" customHeight="1">
      <c r="A1609" s="6">
        <v>10860.0</v>
      </c>
      <c r="B1609" s="24">
        <v>45320.0</v>
      </c>
      <c r="C1609" s="24">
        <v>45348.0</v>
      </c>
      <c r="D1609" s="24">
        <v>45326.0</v>
      </c>
      <c r="E1609" s="24">
        <v>45333.0</v>
      </c>
      <c r="F1609" s="6">
        <v>51.0</v>
      </c>
      <c r="G1609" s="9" t="str">
        <f>VLOOKUP(operations[productID],products[],2,FALSE)</f>
        <v>Manjimup Dried Apples</v>
      </c>
      <c r="H1609" s="9" t="str">
        <f>IF(VLOOKUP(operations[productID],products[],7,FALSE)=1,"Discontinued","Current")</f>
        <v>Current</v>
      </c>
      <c r="I1609" s="6">
        <f>VLOOKUP(operations[productID],products[],4,FALSE)</f>
        <v>20</v>
      </c>
      <c r="J1609" s="6">
        <f>VLOOKUP(operations[productID],products[],5,FALSE)</f>
        <v>0</v>
      </c>
      <c r="K1609" s="6">
        <f>VLOOKUP(operations[productID],products[],6,FALSE)</f>
        <v>10</v>
      </c>
      <c r="L1609" s="10">
        <f t="array" ref="L1609">INDEX('1 orders'!I1609:I2156, MATCH(1, ('1 orders'!A1609:A2156=A1609)*('1 orders'!G1609:G2156=F1609), 0))
</f>
        <v>3</v>
      </c>
      <c r="M1609" s="10">
        <f>IFERROR(__xludf.DUMMYFUNCTION("COUNTUNIQUEIFS($A$2:$A1609,$F$2:$F1609,F1609)"),28.0)</f>
        <v>28</v>
      </c>
      <c r="N1609" s="10">
        <f t="shared" si="1"/>
        <v>8</v>
      </c>
      <c r="O1609" s="26">
        <f>IF(operations[sinceLastOrder]=0,0,operations[orderQuantity] / operations[sinceLastOrder])</f>
        <v>0.375</v>
      </c>
      <c r="P1609" s="9">
        <v>19.26</v>
      </c>
      <c r="Q1609" s="7" t="s">
        <v>13</v>
      </c>
      <c r="R1609" s="10">
        <f>operations[arrivedDate]-operations[shippedDate]</f>
        <v>7</v>
      </c>
    </row>
    <row r="1610" ht="15.75" customHeight="1">
      <c r="A1610" s="6">
        <v>10860.0</v>
      </c>
      <c r="B1610" s="24">
        <v>45320.0</v>
      </c>
      <c r="C1610" s="24">
        <v>45348.0</v>
      </c>
      <c r="D1610" s="24">
        <v>45326.0</v>
      </c>
      <c r="E1610" s="24">
        <v>45333.0</v>
      </c>
      <c r="F1610" s="6">
        <v>76.0</v>
      </c>
      <c r="G1610" s="9" t="str">
        <f>VLOOKUP(operations[productID],products[],2,FALSE)</f>
        <v>Lakkalikööri</v>
      </c>
      <c r="H1610" s="9" t="str">
        <f>IF(VLOOKUP(operations[productID],products[],7,FALSE)=1,"Discontinued","Current")</f>
        <v>Current</v>
      </c>
      <c r="I1610" s="6">
        <f>VLOOKUP(operations[productID],products[],4,FALSE)</f>
        <v>57</v>
      </c>
      <c r="J1610" s="6">
        <f>VLOOKUP(operations[productID],products[],5,FALSE)</f>
        <v>0</v>
      </c>
      <c r="K1610" s="6">
        <f>VLOOKUP(operations[productID],products[],6,FALSE)</f>
        <v>20</v>
      </c>
      <c r="L1610" s="10">
        <f t="array" ref="L1610">INDEX('1 orders'!I1610:I2156, MATCH(1, ('1 orders'!A1610:A2156=A1610)*('1 orders'!G1610:G2156=F1610), 0))
</f>
        <v>20</v>
      </c>
      <c r="M1610" s="10">
        <f>IFERROR(__xludf.DUMMYFUNCTION("COUNTUNIQUEIFS($A$2:$A1610,$F$2:$F1610,F1610)"),29.0)</f>
        <v>29</v>
      </c>
      <c r="N1610" s="10">
        <f t="shared" si="1"/>
        <v>13</v>
      </c>
      <c r="O1610" s="26">
        <f>IF(operations[sinceLastOrder]=0,0,operations[orderQuantity] / operations[sinceLastOrder])</f>
        <v>1.538461538</v>
      </c>
      <c r="P1610" s="9">
        <v>19.26</v>
      </c>
      <c r="Q1610" s="7" t="s">
        <v>13</v>
      </c>
      <c r="R1610" s="10">
        <f>operations[arrivedDate]-operations[shippedDate]</f>
        <v>7</v>
      </c>
    </row>
    <row r="1611" ht="15.75" customHeight="1">
      <c r="A1611" s="6">
        <v>10861.0</v>
      </c>
      <c r="B1611" s="24">
        <v>45321.0</v>
      </c>
      <c r="C1611" s="24">
        <v>45349.0</v>
      </c>
      <c r="D1611" s="24">
        <v>45339.0</v>
      </c>
      <c r="E1611" s="24">
        <v>45357.0</v>
      </c>
      <c r="F1611" s="6">
        <v>17.0</v>
      </c>
      <c r="G1611" s="9" t="str">
        <f>VLOOKUP(operations[productID],products[],2,FALSE)</f>
        <v>Alice Mutton</v>
      </c>
      <c r="H1611" s="9" t="str">
        <f>IF(VLOOKUP(operations[productID],products[],7,FALSE)=1,"Discontinued","Current")</f>
        <v>Discontinued</v>
      </c>
      <c r="I1611" s="6">
        <f>VLOOKUP(operations[productID],products[],4,FALSE)</f>
        <v>0</v>
      </c>
      <c r="J1611" s="6">
        <f>VLOOKUP(operations[productID],products[],5,FALSE)</f>
        <v>0</v>
      </c>
      <c r="K1611" s="6">
        <f>VLOOKUP(operations[productID],products[],6,FALSE)</f>
        <v>0</v>
      </c>
      <c r="L1611" s="10">
        <f t="array" ref="L1611">INDEX('1 orders'!I1611:I2156, MATCH(1, ('1 orders'!A1611:A2156=A1611)*('1 orders'!G1611:G2156=F1611), 0))
</f>
        <v>42</v>
      </c>
      <c r="M1611" s="10">
        <f>IFERROR(__xludf.DUMMYFUNCTION("COUNTUNIQUEIFS($A$2:$A1611,$F$2:$F1611,F1611)"),28.0)</f>
        <v>28</v>
      </c>
      <c r="N1611" s="10">
        <f t="shared" si="1"/>
        <v>4</v>
      </c>
      <c r="O1611" s="26">
        <f>IF(operations[sinceLastOrder]=0,0,operations[orderQuantity] / operations[sinceLastOrder])</f>
        <v>10.5</v>
      </c>
      <c r="P1611" s="9">
        <v>14.93</v>
      </c>
      <c r="Q1611" s="7" t="s">
        <v>17</v>
      </c>
      <c r="R1611" s="10">
        <f>operations[arrivedDate]-operations[shippedDate]</f>
        <v>18</v>
      </c>
    </row>
    <row r="1612" ht="15.75" customHeight="1">
      <c r="A1612" s="6">
        <v>10861.0</v>
      </c>
      <c r="B1612" s="24">
        <v>45321.0</v>
      </c>
      <c r="C1612" s="24">
        <v>45349.0</v>
      </c>
      <c r="D1612" s="24">
        <v>45339.0</v>
      </c>
      <c r="E1612" s="24">
        <v>45357.0</v>
      </c>
      <c r="F1612" s="6">
        <v>18.0</v>
      </c>
      <c r="G1612" s="9" t="str">
        <f>VLOOKUP(operations[productID],products[],2,FALSE)</f>
        <v>Carnarvon Tigers</v>
      </c>
      <c r="H1612" s="9" t="str">
        <f>IF(VLOOKUP(operations[productID],products[],7,FALSE)=1,"Discontinued","Current")</f>
        <v>Current</v>
      </c>
      <c r="I1612" s="6">
        <f>VLOOKUP(operations[productID],products[],4,FALSE)</f>
        <v>42</v>
      </c>
      <c r="J1612" s="6">
        <f>VLOOKUP(operations[productID],products[],5,FALSE)</f>
        <v>0</v>
      </c>
      <c r="K1612" s="6">
        <f>VLOOKUP(operations[productID],products[],6,FALSE)</f>
        <v>0</v>
      </c>
      <c r="L1612" s="10">
        <f t="array" ref="L1612">INDEX('1 orders'!I1612:I2156, MATCH(1, ('1 orders'!A1612:A2156=A1612)*('1 orders'!G1612:G2156=F1612), 0))
</f>
        <v>20</v>
      </c>
      <c r="M1612" s="10">
        <f>IFERROR(__xludf.DUMMYFUNCTION("COUNTUNIQUEIFS($A$2:$A1612,$F$2:$F1612,F1612)"),20.0)</f>
        <v>20</v>
      </c>
      <c r="N1612" s="10">
        <f t="shared" si="1"/>
        <v>3</v>
      </c>
      <c r="O1612" s="26">
        <f>IF(operations[sinceLastOrder]=0,0,operations[orderQuantity] / operations[sinceLastOrder])</f>
        <v>6.666666667</v>
      </c>
      <c r="P1612" s="9">
        <v>14.93</v>
      </c>
      <c r="Q1612" s="7" t="s">
        <v>17</v>
      </c>
      <c r="R1612" s="10">
        <f>operations[arrivedDate]-operations[shippedDate]</f>
        <v>18</v>
      </c>
    </row>
    <row r="1613" ht="15.75" customHeight="1">
      <c r="A1613" s="6">
        <v>10861.0</v>
      </c>
      <c r="B1613" s="24">
        <v>45321.0</v>
      </c>
      <c r="C1613" s="24">
        <v>45349.0</v>
      </c>
      <c r="D1613" s="24">
        <v>45339.0</v>
      </c>
      <c r="E1613" s="24">
        <v>45357.0</v>
      </c>
      <c r="F1613" s="6">
        <v>21.0</v>
      </c>
      <c r="G1613" s="9" t="str">
        <f>VLOOKUP(operations[productID],products[],2,FALSE)</f>
        <v>Sir Rodney's Scones</v>
      </c>
      <c r="H1613" s="9" t="str">
        <f>IF(VLOOKUP(operations[productID],products[],7,FALSE)=1,"Discontinued","Current")</f>
        <v>Current</v>
      </c>
      <c r="I1613" s="6">
        <f>VLOOKUP(operations[productID],products[],4,FALSE)</f>
        <v>3</v>
      </c>
      <c r="J1613" s="6">
        <f>VLOOKUP(operations[productID],products[],5,FALSE)</f>
        <v>40</v>
      </c>
      <c r="K1613" s="6">
        <f>VLOOKUP(operations[productID],products[],6,FALSE)</f>
        <v>5</v>
      </c>
      <c r="L1613" s="10">
        <f t="array" ref="L1613">INDEX('1 orders'!I1613:I2156, MATCH(1, ('1 orders'!A1613:A2156=A1613)*('1 orders'!G1613:G2156=F1613), 0))
</f>
        <v>40</v>
      </c>
      <c r="M1613" s="10">
        <f>IFERROR(__xludf.DUMMYFUNCTION("COUNTUNIQUEIFS($A$2:$A1613,$F$2:$F1613,F1613)"),29.0)</f>
        <v>29</v>
      </c>
      <c r="N1613" s="10">
        <f t="shared" si="1"/>
        <v>58</v>
      </c>
      <c r="O1613" s="26">
        <f>IF(operations[sinceLastOrder]=0,0,operations[orderQuantity] / operations[sinceLastOrder])</f>
        <v>0.6896551724</v>
      </c>
      <c r="P1613" s="9">
        <v>14.93</v>
      </c>
      <c r="Q1613" s="7" t="s">
        <v>17</v>
      </c>
      <c r="R1613" s="10">
        <f>operations[arrivedDate]-operations[shippedDate]</f>
        <v>18</v>
      </c>
    </row>
    <row r="1614" ht="15.75" customHeight="1">
      <c r="A1614" s="6">
        <v>10861.0</v>
      </c>
      <c r="B1614" s="24">
        <v>45321.0</v>
      </c>
      <c r="C1614" s="24">
        <v>45349.0</v>
      </c>
      <c r="D1614" s="24">
        <v>45339.0</v>
      </c>
      <c r="E1614" s="24">
        <v>45357.0</v>
      </c>
      <c r="F1614" s="6">
        <v>33.0</v>
      </c>
      <c r="G1614" s="9" t="str">
        <f>VLOOKUP(operations[productID],products[],2,FALSE)</f>
        <v>Geitost</v>
      </c>
      <c r="H1614" s="9" t="str">
        <f>IF(VLOOKUP(operations[productID],products[],7,FALSE)=1,"Discontinued","Current")</f>
        <v>Current</v>
      </c>
      <c r="I1614" s="6">
        <f>VLOOKUP(operations[productID],products[],4,FALSE)</f>
        <v>112</v>
      </c>
      <c r="J1614" s="6">
        <f>VLOOKUP(operations[productID],products[],5,FALSE)</f>
        <v>0</v>
      </c>
      <c r="K1614" s="6">
        <f>VLOOKUP(operations[productID],products[],6,FALSE)</f>
        <v>20</v>
      </c>
      <c r="L1614" s="10">
        <f t="array" ref="L1614">INDEX('1 orders'!I1614:I2156, MATCH(1, ('1 orders'!A1614:A2156=A1614)*('1 orders'!G1614:G2156=F1614), 0))
</f>
        <v>35</v>
      </c>
      <c r="M1614" s="10">
        <f>IFERROR(__xludf.DUMMYFUNCTION("COUNTUNIQUEIFS($A$2:$A1614,$F$2:$F1614,F1614)"),25.0)</f>
        <v>25</v>
      </c>
      <c r="N1614" s="10">
        <f t="shared" si="1"/>
        <v>7</v>
      </c>
      <c r="O1614" s="26">
        <f>IF(operations[sinceLastOrder]=0,0,operations[orderQuantity] / operations[sinceLastOrder])</f>
        <v>5</v>
      </c>
      <c r="P1614" s="9">
        <v>14.93</v>
      </c>
      <c r="Q1614" s="7" t="s">
        <v>17</v>
      </c>
      <c r="R1614" s="10">
        <f>operations[arrivedDate]-operations[shippedDate]</f>
        <v>18</v>
      </c>
    </row>
    <row r="1615" ht="15.75" customHeight="1">
      <c r="A1615" s="6">
        <v>10861.0</v>
      </c>
      <c r="B1615" s="24">
        <v>45321.0</v>
      </c>
      <c r="C1615" s="24">
        <v>45349.0</v>
      </c>
      <c r="D1615" s="24">
        <v>45339.0</v>
      </c>
      <c r="E1615" s="24">
        <v>45357.0</v>
      </c>
      <c r="F1615" s="6">
        <v>62.0</v>
      </c>
      <c r="G1615" s="9" t="str">
        <f>VLOOKUP(operations[productID],products[],2,FALSE)</f>
        <v>Tarte au sucre</v>
      </c>
      <c r="H1615" s="9" t="str">
        <f>IF(VLOOKUP(operations[productID],products[],7,FALSE)=1,"Discontinued","Current")</f>
        <v>Current</v>
      </c>
      <c r="I1615" s="6">
        <f>VLOOKUP(operations[productID],products[],4,FALSE)</f>
        <v>17</v>
      </c>
      <c r="J1615" s="6">
        <f>VLOOKUP(operations[productID],products[],5,FALSE)</f>
        <v>0</v>
      </c>
      <c r="K1615" s="6">
        <f>VLOOKUP(operations[productID],products[],6,FALSE)</f>
        <v>0</v>
      </c>
      <c r="L1615" s="10">
        <f t="array" ref="L1615">INDEX('1 orders'!I1615:I2156, MATCH(1, ('1 orders'!A1615:A2156=A1615)*('1 orders'!G1615:G2156=F1615), 0))
</f>
        <v>3</v>
      </c>
      <c r="M1615" s="10">
        <f>IFERROR(__xludf.DUMMYFUNCTION("COUNTUNIQUEIFS($A$2:$A1615,$F$2:$F1615,F1615)"),38.0)</f>
        <v>38</v>
      </c>
      <c r="N1615" s="10">
        <f t="shared" si="1"/>
        <v>4</v>
      </c>
      <c r="O1615" s="26">
        <f>IF(operations[sinceLastOrder]=0,0,operations[orderQuantity] / operations[sinceLastOrder])</f>
        <v>0.75</v>
      </c>
      <c r="P1615" s="9">
        <v>14.93</v>
      </c>
      <c r="Q1615" s="7" t="s">
        <v>17</v>
      </c>
      <c r="R1615" s="10">
        <f>operations[arrivedDate]-operations[shippedDate]</f>
        <v>18</v>
      </c>
    </row>
    <row r="1616" ht="15.75" customHeight="1">
      <c r="A1616" s="6">
        <v>10862.0</v>
      </c>
      <c r="B1616" s="24">
        <v>45321.0</v>
      </c>
      <c r="C1616" s="24">
        <v>45364.0</v>
      </c>
      <c r="D1616" s="24">
        <v>45324.0</v>
      </c>
      <c r="E1616" s="24">
        <v>45330.0</v>
      </c>
      <c r="F1616" s="6">
        <v>11.0</v>
      </c>
      <c r="G1616" s="9" t="str">
        <f>VLOOKUP(operations[productID],products[],2,FALSE)</f>
        <v>Queso Cabrales</v>
      </c>
      <c r="H1616" s="9" t="str">
        <f>IF(VLOOKUP(operations[productID],products[],7,FALSE)=1,"Discontinued","Current")</f>
        <v>Current</v>
      </c>
      <c r="I1616" s="6">
        <f>VLOOKUP(operations[productID],products[],4,FALSE)</f>
        <v>22</v>
      </c>
      <c r="J1616" s="6">
        <f>VLOOKUP(operations[productID],products[],5,FALSE)</f>
        <v>30</v>
      </c>
      <c r="K1616" s="6">
        <f>VLOOKUP(operations[productID],products[],6,FALSE)</f>
        <v>30</v>
      </c>
      <c r="L1616" s="10">
        <f t="array" ref="L1616">INDEX('1 orders'!I1616:I2156, MATCH(1, ('1 orders'!A1616:A2156=A1616)*('1 orders'!G1616:G2156=F1616), 0))
</f>
        <v>25</v>
      </c>
      <c r="M1616" s="10">
        <f>IFERROR(__xludf.DUMMYFUNCTION("COUNTUNIQUEIFS($A$2:$A1616,$F$2:$F1616,F1616)"),29.0)</f>
        <v>29</v>
      </c>
      <c r="N1616" s="10">
        <f t="shared" si="1"/>
        <v>10</v>
      </c>
      <c r="O1616" s="26">
        <f>IF(operations[sinceLastOrder]=0,0,operations[orderQuantity] / operations[sinceLastOrder])</f>
        <v>2.5</v>
      </c>
      <c r="P1616" s="9">
        <v>53.23</v>
      </c>
      <c r="Q1616" s="7" t="s">
        <v>17</v>
      </c>
      <c r="R1616" s="10">
        <f>operations[arrivedDate]-operations[shippedDate]</f>
        <v>6</v>
      </c>
    </row>
    <row r="1617" ht="15.75" customHeight="1">
      <c r="A1617" s="6">
        <v>10862.0</v>
      </c>
      <c r="B1617" s="24">
        <v>45321.0</v>
      </c>
      <c r="C1617" s="24">
        <v>45364.0</v>
      </c>
      <c r="D1617" s="24">
        <v>45324.0</v>
      </c>
      <c r="E1617" s="24">
        <v>45330.0</v>
      </c>
      <c r="F1617" s="6">
        <v>52.0</v>
      </c>
      <c r="G1617" s="9" t="str">
        <f>VLOOKUP(operations[productID],products[],2,FALSE)</f>
        <v>Filo Mix</v>
      </c>
      <c r="H1617" s="9" t="str">
        <f>IF(VLOOKUP(operations[productID],products[],7,FALSE)=1,"Discontinued","Current")</f>
        <v>Current</v>
      </c>
      <c r="I1617" s="6">
        <f>VLOOKUP(operations[productID],products[],4,FALSE)</f>
        <v>38</v>
      </c>
      <c r="J1617" s="6">
        <f>VLOOKUP(operations[productID],products[],5,FALSE)</f>
        <v>0</v>
      </c>
      <c r="K1617" s="6">
        <f>VLOOKUP(operations[productID],products[],6,FALSE)</f>
        <v>25</v>
      </c>
      <c r="L1617" s="10">
        <f t="array" ref="L1617">INDEX('1 orders'!I1617:I2156, MATCH(1, ('1 orders'!A1617:A2156=A1617)*('1 orders'!G1617:G2156=F1617), 0))
</f>
        <v>8</v>
      </c>
      <c r="M1617" s="10">
        <f>IFERROR(__xludf.DUMMYFUNCTION("COUNTUNIQUEIFS($A$2:$A1617,$F$2:$F1617,F1617)"),20.0)</f>
        <v>20</v>
      </c>
      <c r="N1617" s="10">
        <f t="shared" si="1"/>
        <v>29</v>
      </c>
      <c r="O1617" s="26">
        <f>IF(operations[sinceLastOrder]=0,0,operations[orderQuantity] / operations[sinceLastOrder])</f>
        <v>0.275862069</v>
      </c>
      <c r="P1617" s="9">
        <v>53.23</v>
      </c>
      <c r="Q1617" s="7" t="s">
        <v>17</v>
      </c>
      <c r="R1617" s="10">
        <f>operations[arrivedDate]-operations[shippedDate]</f>
        <v>6</v>
      </c>
    </row>
    <row r="1618" ht="15.75" customHeight="1">
      <c r="A1618" s="6">
        <v>10863.0</v>
      </c>
      <c r="B1618" s="24">
        <v>45324.0</v>
      </c>
      <c r="C1618" s="24">
        <v>45353.0</v>
      </c>
      <c r="D1618" s="24">
        <v>45339.0</v>
      </c>
      <c r="E1618" s="24">
        <v>45353.0</v>
      </c>
      <c r="F1618" s="6">
        <v>1.0</v>
      </c>
      <c r="G1618" s="9" t="str">
        <f>VLOOKUP(operations[productID],products[],2,FALSE)</f>
        <v>Chai</v>
      </c>
      <c r="H1618" s="9" t="str">
        <f>IF(VLOOKUP(operations[productID],products[],7,FALSE)=1,"Discontinued","Current")</f>
        <v>Current</v>
      </c>
      <c r="I1618" s="6">
        <f>VLOOKUP(operations[productID],products[],4,FALSE)</f>
        <v>39</v>
      </c>
      <c r="J1618" s="6">
        <f>VLOOKUP(operations[productID],products[],5,FALSE)</f>
        <v>0</v>
      </c>
      <c r="K1618" s="6">
        <f>VLOOKUP(operations[productID],products[],6,FALSE)</f>
        <v>10</v>
      </c>
      <c r="L1618" s="10">
        <f t="array" ref="L1618">INDEX('1 orders'!I1618:I2156, MATCH(1, ('1 orders'!A1618:A2156=A1618)*('1 orders'!G1618:G2156=F1618), 0))
</f>
        <v>20</v>
      </c>
      <c r="M1618" s="10">
        <f>IFERROR(__xludf.DUMMYFUNCTION("COUNTUNIQUEIFS($A$2:$A1618,$F$2:$F1618,F1618)"),25.0)</f>
        <v>25</v>
      </c>
      <c r="N1618" s="10">
        <f t="shared" si="1"/>
        <v>11</v>
      </c>
      <c r="O1618" s="26">
        <f>IF(operations[sinceLastOrder]=0,0,operations[orderQuantity] / operations[sinceLastOrder])</f>
        <v>1.818181818</v>
      </c>
      <c r="P1618" s="9">
        <v>30.26</v>
      </c>
      <c r="Q1618" s="7" t="s">
        <v>17</v>
      </c>
      <c r="R1618" s="10">
        <f>operations[arrivedDate]-operations[shippedDate]</f>
        <v>14</v>
      </c>
    </row>
    <row r="1619" ht="15.75" customHeight="1">
      <c r="A1619" s="6">
        <v>10863.0</v>
      </c>
      <c r="B1619" s="24">
        <v>45324.0</v>
      </c>
      <c r="C1619" s="24">
        <v>45353.0</v>
      </c>
      <c r="D1619" s="24">
        <v>45339.0</v>
      </c>
      <c r="E1619" s="24">
        <v>45353.0</v>
      </c>
      <c r="F1619" s="6">
        <v>58.0</v>
      </c>
      <c r="G1619" s="9" t="str">
        <f>VLOOKUP(operations[productID],products[],2,FALSE)</f>
        <v>Escargots de Bourgogne</v>
      </c>
      <c r="H1619" s="9" t="str">
        <f>IF(VLOOKUP(operations[productID],products[],7,FALSE)=1,"Discontinued","Current")</f>
        <v>Current</v>
      </c>
      <c r="I1619" s="6">
        <f>VLOOKUP(operations[productID],products[],4,FALSE)</f>
        <v>62</v>
      </c>
      <c r="J1619" s="6">
        <f>VLOOKUP(operations[productID],products[],5,FALSE)</f>
        <v>0</v>
      </c>
      <c r="K1619" s="6">
        <f>VLOOKUP(operations[productID],products[],6,FALSE)</f>
        <v>20</v>
      </c>
      <c r="L1619" s="10">
        <f t="array" ref="L1619">INDEX('1 orders'!I1619:I2156, MATCH(1, ('1 orders'!A1619:A2156=A1619)*('1 orders'!G1619:G2156=F1619), 0))
</f>
        <v>12</v>
      </c>
      <c r="M1619" s="10">
        <f>IFERROR(__xludf.DUMMYFUNCTION("COUNTUNIQUEIFS($A$2:$A1619,$F$2:$F1619,F1619)"),14.0)</f>
        <v>14</v>
      </c>
      <c r="N1619" s="10">
        <f t="shared" si="1"/>
        <v>12</v>
      </c>
      <c r="O1619" s="26">
        <f>IF(operations[sinceLastOrder]=0,0,operations[orderQuantity] / operations[sinceLastOrder])</f>
        <v>1</v>
      </c>
      <c r="P1619" s="9">
        <v>30.26</v>
      </c>
      <c r="Q1619" s="7" t="s">
        <v>17</v>
      </c>
      <c r="R1619" s="10">
        <f>operations[arrivedDate]-operations[shippedDate]</f>
        <v>14</v>
      </c>
    </row>
    <row r="1620" ht="15.75" customHeight="1">
      <c r="A1620" s="6">
        <v>10864.0</v>
      </c>
      <c r="B1620" s="24">
        <v>45324.0</v>
      </c>
      <c r="C1620" s="24">
        <v>45353.0</v>
      </c>
      <c r="D1620" s="24">
        <v>45331.0</v>
      </c>
      <c r="E1620" s="24">
        <v>45341.0</v>
      </c>
      <c r="F1620" s="6">
        <v>35.0</v>
      </c>
      <c r="G1620" s="9" t="str">
        <f>VLOOKUP(operations[productID],products[],2,FALSE)</f>
        <v>Cold Brew Nitro</v>
      </c>
      <c r="H1620" s="9" t="str">
        <f>IF(VLOOKUP(operations[productID],products[],7,FALSE)=1,"Discontinued","Current")</f>
        <v>Current</v>
      </c>
      <c r="I1620" s="6">
        <f>VLOOKUP(operations[productID],products[],4,FALSE)</f>
        <v>20</v>
      </c>
      <c r="J1620" s="6">
        <f>VLOOKUP(operations[productID],products[],5,FALSE)</f>
        <v>0</v>
      </c>
      <c r="K1620" s="6">
        <f>VLOOKUP(operations[productID],products[],6,FALSE)</f>
        <v>15</v>
      </c>
      <c r="L1620" s="10">
        <f t="array" ref="L1620">INDEX('1 orders'!I1620:I2156, MATCH(1, ('1 orders'!A1620:A2156=A1620)*('1 orders'!G1620:G2156=F1620), 0))
</f>
        <v>4</v>
      </c>
      <c r="M1620" s="10">
        <f>IFERROR(__xludf.DUMMYFUNCTION("COUNTUNIQUEIFS($A$2:$A1620,$F$2:$F1620,F1620)"),28.0)</f>
        <v>28</v>
      </c>
      <c r="N1620" s="10">
        <f t="shared" si="1"/>
        <v>12</v>
      </c>
      <c r="O1620" s="26">
        <f>IF(operations[sinceLastOrder]=0,0,operations[orderQuantity] / operations[sinceLastOrder])</f>
        <v>0.3333333333</v>
      </c>
      <c r="P1620" s="9">
        <v>3.04</v>
      </c>
      <c r="Q1620" s="7" t="s">
        <v>17</v>
      </c>
      <c r="R1620" s="10">
        <f>operations[arrivedDate]-operations[shippedDate]</f>
        <v>10</v>
      </c>
    </row>
    <row r="1621" ht="15.75" customHeight="1">
      <c r="A1621" s="6">
        <v>10864.0</v>
      </c>
      <c r="B1621" s="24">
        <v>45324.0</v>
      </c>
      <c r="C1621" s="24">
        <v>45353.0</v>
      </c>
      <c r="D1621" s="24">
        <v>45331.0</v>
      </c>
      <c r="E1621" s="24">
        <v>45341.0</v>
      </c>
      <c r="F1621" s="6">
        <v>67.0</v>
      </c>
      <c r="G1621" s="9" t="str">
        <f>VLOOKUP(operations[productID],products[],2,FALSE)</f>
        <v>Laughing Lumberjack Lager</v>
      </c>
      <c r="H1621" s="9" t="str">
        <f>IF(VLOOKUP(operations[productID],products[],7,FALSE)=1,"Discontinued","Current")</f>
        <v>Current</v>
      </c>
      <c r="I1621" s="6">
        <f>VLOOKUP(operations[productID],products[],4,FALSE)</f>
        <v>52</v>
      </c>
      <c r="J1621" s="6">
        <f>VLOOKUP(operations[productID],products[],5,FALSE)</f>
        <v>0</v>
      </c>
      <c r="K1621" s="6">
        <f>VLOOKUP(operations[productID],products[],6,FALSE)</f>
        <v>10</v>
      </c>
      <c r="L1621" s="10">
        <f t="array" ref="L1621">INDEX('1 orders'!I1621:I2156, MATCH(1, ('1 orders'!A1621:A2156=A1621)*('1 orders'!G1621:G2156=F1621), 0))
</f>
        <v>15</v>
      </c>
      <c r="M1621" s="10">
        <f>IFERROR(__xludf.DUMMYFUNCTION("COUNTUNIQUEIFS($A$2:$A1621,$F$2:$F1621,F1621)"),6.0)</f>
        <v>6</v>
      </c>
      <c r="N1621" s="10">
        <f t="shared" si="1"/>
        <v>52</v>
      </c>
      <c r="O1621" s="26">
        <f>IF(operations[sinceLastOrder]=0,0,operations[orderQuantity] / operations[sinceLastOrder])</f>
        <v>0.2884615385</v>
      </c>
      <c r="P1621" s="9">
        <v>3.04</v>
      </c>
      <c r="Q1621" s="7" t="s">
        <v>17</v>
      </c>
      <c r="R1621" s="10">
        <f>operations[arrivedDate]-operations[shippedDate]</f>
        <v>10</v>
      </c>
    </row>
    <row r="1622" ht="15.75" customHeight="1">
      <c r="A1622" s="6">
        <v>10865.0</v>
      </c>
      <c r="B1622" s="24">
        <v>45324.0</v>
      </c>
      <c r="C1622" s="24">
        <v>45338.0</v>
      </c>
      <c r="D1622" s="24">
        <v>45334.0</v>
      </c>
      <c r="E1622" s="24">
        <v>45335.0</v>
      </c>
      <c r="F1622" s="6">
        <v>38.0</v>
      </c>
      <c r="G1622" s="9" t="str">
        <f>VLOOKUP(operations[productID],products[],2,FALSE)</f>
        <v>Côte de Blaye</v>
      </c>
      <c r="H1622" s="9" t="str">
        <f>IF(VLOOKUP(operations[productID],products[],7,FALSE)=1,"Discontinued","Current")</f>
        <v>Current</v>
      </c>
      <c r="I1622" s="6">
        <f>VLOOKUP(operations[productID],products[],4,FALSE)</f>
        <v>17</v>
      </c>
      <c r="J1622" s="6">
        <f>VLOOKUP(operations[productID],products[],5,FALSE)</f>
        <v>0</v>
      </c>
      <c r="K1622" s="6">
        <f>VLOOKUP(operations[productID],products[],6,FALSE)</f>
        <v>15</v>
      </c>
      <c r="L1622" s="10">
        <f t="array" ref="L1622">INDEX('1 orders'!I1622:I2156, MATCH(1, ('1 orders'!A1622:A2156=A1622)*('1 orders'!G1622:G2156=F1622), 0))
</f>
        <v>60</v>
      </c>
      <c r="M1622" s="10">
        <f>IFERROR(__xludf.DUMMYFUNCTION("COUNTUNIQUEIFS($A$2:$A1622,$F$2:$F1622,F1622)"),20.0)</f>
        <v>20</v>
      </c>
      <c r="N1622" s="10">
        <f t="shared" si="1"/>
        <v>19</v>
      </c>
      <c r="O1622" s="26">
        <f>IF(operations[sinceLastOrder]=0,0,operations[orderQuantity] / operations[sinceLastOrder])</f>
        <v>3.157894737</v>
      </c>
      <c r="P1622" s="9">
        <v>348.14</v>
      </c>
      <c r="Q1622" s="7" t="s">
        <v>15</v>
      </c>
      <c r="R1622" s="10">
        <f>operations[arrivedDate]-operations[shippedDate]</f>
        <v>1</v>
      </c>
    </row>
    <row r="1623" ht="15.75" customHeight="1">
      <c r="A1623" s="6">
        <v>10865.0</v>
      </c>
      <c r="B1623" s="24">
        <v>45324.0</v>
      </c>
      <c r="C1623" s="24">
        <v>45338.0</v>
      </c>
      <c r="D1623" s="24">
        <v>45334.0</v>
      </c>
      <c r="E1623" s="24">
        <v>45335.0</v>
      </c>
      <c r="F1623" s="6">
        <v>39.0</v>
      </c>
      <c r="G1623" s="9" t="str">
        <f>VLOOKUP(operations[productID],products[],2,FALSE)</f>
        <v>Chartreuse verte</v>
      </c>
      <c r="H1623" s="9" t="str">
        <f>IF(VLOOKUP(operations[productID],products[],7,FALSE)=1,"Discontinued","Current")</f>
        <v>Current</v>
      </c>
      <c r="I1623" s="6">
        <f>VLOOKUP(operations[productID],products[],4,FALSE)</f>
        <v>69</v>
      </c>
      <c r="J1623" s="6">
        <f>VLOOKUP(operations[productID],products[],5,FALSE)</f>
        <v>0</v>
      </c>
      <c r="K1623" s="6">
        <f>VLOOKUP(operations[productID],products[],6,FALSE)</f>
        <v>5</v>
      </c>
      <c r="L1623" s="10">
        <f t="array" ref="L1623">INDEX('1 orders'!I1623:I2156, MATCH(1, ('1 orders'!A1623:A2156=A1623)*('1 orders'!G1623:G2156=F1623), 0))
</f>
        <v>80</v>
      </c>
      <c r="M1623" s="10">
        <f>IFERROR(__xludf.DUMMYFUNCTION("COUNTUNIQUEIFS($A$2:$A1623,$F$2:$F1623,F1623)"),25.0)</f>
        <v>25</v>
      </c>
      <c r="N1623" s="10">
        <f t="shared" si="1"/>
        <v>14</v>
      </c>
      <c r="O1623" s="26">
        <f>IF(operations[sinceLastOrder]=0,0,operations[orderQuantity] / operations[sinceLastOrder])</f>
        <v>5.714285714</v>
      </c>
      <c r="P1623" s="9">
        <v>348.14</v>
      </c>
      <c r="Q1623" s="7" t="s">
        <v>15</v>
      </c>
      <c r="R1623" s="10">
        <f>operations[arrivedDate]-operations[shippedDate]</f>
        <v>1</v>
      </c>
    </row>
    <row r="1624" ht="15.75" customHeight="1">
      <c r="A1624" s="6">
        <v>10866.0</v>
      </c>
      <c r="B1624" s="24">
        <v>45325.0</v>
      </c>
      <c r="C1624" s="24">
        <v>45354.0</v>
      </c>
      <c r="D1624" s="24">
        <v>45334.0</v>
      </c>
      <c r="E1624" s="24">
        <v>45344.0</v>
      </c>
      <c r="F1624" s="6">
        <v>2.0</v>
      </c>
      <c r="G1624" s="9" t="str">
        <f>VLOOKUP(operations[productID],products[],2,FALSE)</f>
        <v>Chang</v>
      </c>
      <c r="H1624" s="9" t="str">
        <f>IF(VLOOKUP(operations[productID],products[],7,FALSE)=1,"Discontinued","Current")</f>
        <v>Current</v>
      </c>
      <c r="I1624" s="6">
        <f>VLOOKUP(operations[productID],products[],4,FALSE)</f>
        <v>17</v>
      </c>
      <c r="J1624" s="6">
        <f>VLOOKUP(operations[productID],products[],5,FALSE)</f>
        <v>40</v>
      </c>
      <c r="K1624" s="6">
        <f>VLOOKUP(operations[productID],products[],6,FALSE)</f>
        <v>25</v>
      </c>
      <c r="L1624" s="10">
        <f t="array" ref="L1624">INDEX('1 orders'!I1624:I2156, MATCH(1, ('1 orders'!A1624:A2156=A1624)*('1 orders'!G1624:G2156=F1624), 0))
</f>
        <v>21</v>
      </c>
      <c r="M1624" s="10">
        <f>IFERROR(__xludf.DUMMYFUNCTION("COUNTUNIQUEIFS($A$2:$A1624,$F$2:$F1624,F1624)"),32.0)</f>
        <v>32</v>
      </c>
      <c r="N1624" s="10">
        <f t="shared" si="1"/>
        <v>6</v>
      </c>
      <c r="O1624" s="26">
        <f>IF(operations[sinceLastOrder]=0,0,operations[orderQuantity] / operations[sinceLastOrder])</f>
        <v>3.5</v>
      </c>
      <c r="P1624" s="9">
        <v>109.11</v>
      </c>
      <c r="Q1624" s="7" t="s">
        <v>15</v>
      </c>
      <c r="R1624" s="10">
        <f>operations[arrivedDate]-operations[shippedDate]</f>
        <v>10</v>
      </c>
    </row>
    <row r="1625" ht="15.75" customHeight="1">
      <c r="A1625" s="6">
        <v>10866.0</v>
      </c>
      <c r="B1625" s="24">
        <v>45325.0</v>
      </c>
      <c r="C1625" s="24">
        <v>45354.0</v>
      </c>
      <c r="D1625" s="24">
        <v>45334.0</v>
      </c>
      <c r="E1625" s="24">
        <v>45344.0</v>
      </c>
      <c r="F1625" s="6">
        <v>24.0</v>
      </c>
      <c r="G1625" s="9" t="str">
        <f>VLOOKUP(operations[productID],products[],2,FALSE)</f>
        <v>Brigadeiros Maravilhosos da Lilian</v>
      </c>
      <c r="H1625" s="9" t="str">
        <f>IF(VLOOKUP(operations[productID],products[],7,FALSE)=1,"Discontinued","Current")</f>
        <v>Discontinued</v>
      </c>
      <c r="I1625" s="6">
        <f>VLOOKUP(operations[productID],products[],4,FALSE)</f>
        <v>20</v>
      </c>
      <c r="J1625" s="6">
        <f>VLOOKUP(operations[productID],products[],5,FALSE)</f>
        <v>0</v>
      </c>
      <c r="K1625" s="6">
        <f>VLOOKUP(operations[productID],products[],6,FALSE)</f>
        <v>0</v>
      </c>
      <c r="L1625" s="10">
        <f t="array" ref="L1625">INDEX('1 orders'!I1625:I2156, MATCH(1, ('1 orders'!A1625:A2156=A1625)*('1 orders'!G1625:G2156=F1625), 0))
</f>
        <v>6</v>
      </c>
      <c r="M1625" s="10">
        <f>IFERROR(__xludf.DUMMYFUNCTION("COUNTUNIQUEIFS($A$2:$A1625,$F$2:$F1625,F1625)"),32.0)</f>
        <v>32</v>
      </c>
      <c r="N1625" s="10">
        <f t="shared" si="1"/>
        <v>5</v>
      </c>
      <c r="O1625" s="26">
        <f>IF(operations[sinceLastOrder]=0,0,operations[orderQuantity] / operations[sinceLastOrder])</f>
        <v>1.2</v>
      </c>
      <c r="P1625" s="9">
        <v>109.11</v>
      </c>
      <c r="Q1625" s="7" t="s">
        <v>15</v>
      </c>
      <c r="R1625" s="10">
        <f>operations[arrivedDate]-operations[shippedDate]</f>
        <v>10</v>
      </c>
    </row>
    <row r="1626" ht="15.75" customHeight="1">
      <c r="A1626" s="6">
        <v>10866.0</v>
      </c>
      <c r="B1626" s="24">
        <v>45325.0</v>
      </c>
      <c r="C1626" s="24">
        <v>45354.0</v>
      </c>
      <c r="D1626" s="24">
        <v>45334.0</v>
      </c>
      <c r="E1626" s="24">
        <v>45344.0</v>
      </c>
      <c r="F1626" s="6">
        <v>30.0</v>
      </c>
      <c r="G1626" s="9" t="str">
        <f>VLOOKUP(operations[productID],products[],2,FALSE)</f>
        <v>Nord-Ost Matjeshering</v>
      </c>
      <c r="H1626" s="9" t="str">
        <f>IF(VLOOKUP(operations[productID],products[],7,FALSE)=1,"Discontinued","Current")</f>
        <v>Current</v>
      </c>
      <c r="I1626" s="6">
        <f>VLOOKUP(operations[productID],products[],4,FALSE)</f>
        <v>10</v>
      </c>
      <c r="J1626" s="6">
        <f>VLOOKUP(operations[productID],products[],5,FALSE)</f>
        <v>0</v>
      </c>
      <c r="K1626" s="6">
        <f>VLOOKUP(operations[productID],products[],6,FALSE)</f>
        <v>15</v>
      </c>
      <c r="L1626" s="10">
        <f t="array" ref="L1626">INDEX('1 orders'!I1626:I2156, MATCH(1, ('1 orders'!A1626:A2156=A1626)*('1 orders'!G1626:G2156=F1626), 0))
</f>
        <v>40</v>
      </c>
      <c r="M1626" s="10">
        <f>IFERROR(__xludf.DUMMYFUNCTION("COUNTUNIQUEIFS($A$2:$A1626,$F$2:$F1626,F1626)"),25.0)</f>
        <v>25</v>
      </c>
      <c r="N1626" s="10">
        <f t="shared" si="1"/>
        <v>19</v>
      </c>
      <c r="O1626" s="26">
        <f>IF(operations[sinceLastOrder]=0,0,operations[orderQuantity] / operations[sinceLastOrder])</f>
        <v>2.105263158</v>
      </c>
      <c r="P1626" s="9">
        <v>109.11</v>
      </c>
      <c r="Q1626" s="7" t="s">
        <v>15</v>
      </c>
      <c r="R1626" s="10">
        <f>operations[arrivedDate]-operations[shippedDate]</f>
        <v>10</v>
      </c>
    </row>
    <row r="1627" ht="15.75" customHeight="1">
      <c r="A1627" s="6">
        <v>10867.0</v>
      </c>
      <c r="B1627" s="24">
        <v>45325.0</v>
      </c>
      <c r="C1627" s="24">
        <v>45368.0</v>
      </c>
      <c r="D1627" s="24">
        <v>45333.0</v>
      </c>
      <c r="E1627" s="24">
        <v>45347.0</v>
      </c>
      <c r="F1627" s="6">
        <v>53.0</v>
      </c>
      <c r="G1627" s="9" t="str">
        <f>VLOOKUP(operations[productID],products[],2,FALSE)</f>
        <v>Perth Pasties</v>
      </c>
      <c r="H1627" s="9" t="str">
        <f>IF(VLOOKUP(operations[productID],products[],7,FALSE)=1,"Discontinued","Current")</f>
        <v>Discontinued</v>
      </c>
      <c r="I1627" s="6">
        <f>VLOOKUP(operations[productID],products[],4,FALSE)</f>
        <v>0</v>
      </c>
      <c r="J1627" s="6">
        <f>VLOOKUP(operations[productID],products[],5,FALSE)</f>
        <v>0</v>
      </c>
      <c r="K1627" s="6">
        <f>VLOOKUP(operations[productID],products[],6,FALSE)</f>
        <v>0</v>
      </c>
      <c r="L1627" s="10">
        <f t="array" ref="L1627">INDEX('1 orders'!I1627:I2156, MATCH(1, ('1 orders'!A1627:A2156=A1627)*('1 orders'!G1627:G2156=F1627), 0))
</f>
        <v>3</v>
      </c>
      <c r="M1627" s="10">
        <f>IFERROR(__xludf.DUMMYFUNCTION("COUNTUNIQUEIFS($A$2:$A1627,$F$2:$F1627,F1627)"),25.0)</f>
        <v>25</v>
      </c>
      <c r="N1627" s="10">
        <f t="shared" si="1"/>
        <v>19</v>
      </c>
      <c r="O1627" s="26">
        <f>IF(operations[sinceLastOrder]=0,0,operations[orderQuantity] / operations[sinceLastOrder])</f>
        <v>0.1578947368</v>
      </c>
      <c r="P1627" s="9">
        <v>1.93</v>
      </c>
      <c r="Q1627" s="7" t="s">
        <v>15</v>
      </c>
      <c r="R1627" s="10">
        <f>operations[arrivedDate]-operations[shippedDate]</f>
        <v>14</v>
      </c>
    </row>
    <row r="1628" ht="15.75" customHeight="1">
      <c r="A1628" s="6">
        <v>10868.0</v>
      </c>
      <c r="B1628" s="24">
        <v>45326.0</v>
      </c>
      <c r="C1628" s="24">
        <v>45355.0</v>
      </c>
      <c r="D1628" s="24">
        <v>45345.0</v>
      </c>
      <c r="E1628" s="24">
        <v>45363.0</v>
      </c>
      <c r="F1628" s="6">
        <v>26.0</v>
      </c>
      <c r="G1628" s="9" t="str">
        <f>VLOOKUP(operations[productID],products[],2,FALSE)</f>
        <v>NuNuCa Nuß-Nougat-Creme</v>
      </c>
      <c r="H1628" s="9" t="str">
        <f>IF(VLOOKUP(operations[productID],products[],7,FALSE)=1,"Discontinued","Current")</f>
        <v>Current</v>
      </c>
      <c r="I1628" s="6">
        <f>VLOOKUP(operations[productID],products[],4,FALSE)</f>
        <v>15</v>
      </c>
      <c r="J1628" s="6">
        <f>VLOOKUP(operations[productID],products[],5,FALSE)</f>
        <v>0</v>
      </c>
      <c r="K1628" s="6">
        <f>VLOOKUP(operations[productID],products[],6,FALSE)</f>
        <v>0</v>
      </c>
      <c r="L1628" s="10">
        <f t="array" ref="L1628">INDEX('1 orders'!I1628:I2156, MATCH(1, ('1 orders'!A1628:A2156=A1628)*('1 orders'!G1628:G2156=F1628), 0))
</f>
        <v>20</v>
      </c>
      <c r="M1628" s="10">
        <f>IFERROR(__xludf.DUMMYFUNCTION("COUNTUNIQUEIFS($A$2:$A1628,$F$2:$F1628,F1628)"),28.0)</f>
        <v>28</v>
      </c>
      <c r="N1628" s="10">
        <f t="shared" si="1"/>
        <v>7</v>
      </c>
      <c r="O1628" s="26">
        <f>IF(operations[sinceLastOrder]=0,0,operations[orderQuantity] / operations[sinceLastOrder])</f>
        <v>2.857142857</v>
      </c>
      <c r="P1628" s="9">
        <v>191.27</v>
      </c>
      <c r="Q1628" s="7" t="s">
        <v>17</v>
      </c>
      <c r="R1628" s="10">
        <f>operations[arrivedDate]-operations[shippedDate]</f>
        <v>18</v>
      </c>
    </row>
    <row r="1629" ht="15.75" customHeight="1">
      <c r="A1629" s="6">
        <v>10868.0</v>
      </c>
      <c r="B1629" s="24">
        <v>45326.0</v>
      </c>
      <c r="C1629" s="24">
        <v>45355.0</v>
      </c>
      <c r="D1629" s="24">
        <v>45345.0</v>
      </c>
      <c r="E1629" s="24">
        <v>45363.0</v>
      </c>
      <c r="F1629" s="6">
        <v>35.0</v>
      </c>
      <c r="G1629" s="9" t="str">
        <f>VLOOKUP(operations[productID],products[],2,FALSE)</f>
        <v>Cold Brew Nitro</v>
      </c>
      <c r="H1629" s="9" t="str">
        <f>IF(VLOOKUP(operations[productID],products[],7,FALSE)=1,"Discontinued","Current")</f>
        <v>Current</v>
      </c>
      <c r="I1629" s="6">
        <f>VLOOKUP(operations[productID],products[],4,FALSE)</f>
        <v>20</v>
      </c>
      <c r="J1629" s="6">
        <f>VLOOKUP(operations[productID],products[],5,FALSE)</f>
        <v>0</v>
      </c>
      <c r="K1629" s="6">
        <f>VLOOKUP(operations[productID],products[],6,FALSE)</f>
        <v>15</v>
      </c>
      <c r="L1629" s="10">
        <f t="array" ref="L1629">INDEX('1 orders'!I1629:I2156, MATCH(1, ('1 orders'!A1629:A2156=A1629)*('1 orders'!G1629:G2156=F1629), 0))
</f>
        <v>30</v>
      </c>
      <c r="M1629" s="10">
        <f>IFERROR(__xludf.DUMMYFUNCTION("COUNTUNIQUEIFS($A$2:$A1629,$F$2:$F1629,F1629)"),29.0)</f>
        <v>29</v>
      </c>
      <c r="N1629" s="10">
        <f t="shared" si="1"/>
        <v>2</v>
      </c>
      <c r="O1629" s="26">
        <f>IF(operations[sinceLastOrder]=0,0,operations[orderQuantity] / operations[sinceLastOrder])</f>
        <v>15</v>
      </c>
      <c r="P1629" s="9">
        <v>191.27</v>
      </c>
      <c r="Q1629" s="7" t="s">
        <v>17</v>
      </c>
      <c r="R1629" s="10">
        <f>operations[arrivedDate]-operations[shippedDate]</f>
        <v>18</v>
      </c>
    </row>
    <row r="1630" ht="15.75" customHeight="1">
      <c r="A1630" s="6">
        <v>10868.0</v>
      </c>
      <c r="B1630" s="24">
        <v>45326.0</v>
      </c>
      <c r="C1630" s="24">
        <v>45355.0</v>
      </c>
      <c r="D1630" s="24">
        <v>45345.0</v>
      </c>
      <c r="E1630" s="24">
        <v>45363.0</v>
      </c>
      <c r="F1630" s="6">
        <v>49.0</v>
      </c>
      <c r="G1630" s="9" t="str">
        <f>VLOOKUP(operations[productID],products[],2,FALSE)</f>
        <v>Maxilaku</v>
      </c>
      <c r="H1630" s="9" t="str">
        <f>IF(VLOOKUP(operations[productID],products[],7,FALSE)=1,"Discontinued","Current")</f>
        <v>Current</v>
      </c>
      <c r="I1630" s="6">
        <f>VLOOKUP(operations[productID],products[],4,FALSE)</f>
        <v>10</v>
      </c>
      <c r="J1630" s="6">
        <f>VLOOKUP(operations[productID],products[],5,FALSE)</f>
        <v>60</v>
      </c>
      <c r="K1630" s="6">
        <f>VLOOKUP(operations[productID],products[],6,FALSE)</f>
        <v>15</v>
      </c>
      <c r="L1630" s="10">
        <f t="array" ref="L1630">INDEX('1 orders'!I1630:I2156, MATCH(1, ('1 orders'!A1630:A2156=A1630)*('1 orders'!G1630:G2156=F1630), 0))
</f>
        <v>42</v>
      </c>
      <c r="M1630" s="10">
        <f>IFERROR(__xludf.DUMMYFUNCTION("COUNTUNIQUEIFS($A$2:$A1630,$F$2:$F1630,F1630)"),14.0)</f>
        <v>14</v>
      </c>
      <c r="N1630" s="10">
        <f t="shared" si="1"/>
        <v>36</v>
      </c>
      <c r="O1630" s="26">
        <f>IF(operations[sinceLastOrder]=0,0,operations[orderQuantity] / operations[sinceLastOrder])</f>
        <v>1.166666667</v>
      </c>
      <c r="P1630" s="9">
        <v>191.27</v>
      </c>
      <c r="Q1630" s="7" t="s">
        <v>17</v>
      </c>
      <c r="R1630" s="10">
        <f>operations[arrivedDate]-operations[shippedDate]</f>
        <v>18</v>
      </c>
    </row>
    <row r="1631" ht="15.75" customHeight="1">
      <c r="A1631" s="6">
        <v>10869.0</v>
      </c>
      <c r="B1631" s="24">
        <v>45326.0</v>
      </c>
      <c r="C1631" s="24">
        <v>45355.0</v>
      </c>
      <c r="D1631" s="24">
        <v>45331.0</v>
      </c>
      <c r="E1631" s="24">
        <v>45334.0</v>
      </c>
      <c r="F1631" s="6">
        <v>1.0</v>
      </c>
      <c r="G1631" s="9" t="str">
        <f>VLOOKUP(operations[productID],products[],2,FALSE)</f>
        <v>Chai</v>
      </c>
      <c r="H1631" s="9" t="str">
        <f>IF(VLOOKUP(operations[productID],products[],7,FALSE)=1,"Discontinued","Current")</f>
        <v>Current</v>
      </c>
      <c r="I1631" s="6">
        <f>VLOOKUP(operations[productID],products[],4,FALSE)</f>
        <v>39</v>
      </c>
      <c r="J1631" s="6">
        <f>VLOOKUP(operations[productID],products[],5,FALSE)</f>
        <v>0</v>
      </c>
      <c r="K1631" s="6">
        <f>VLOOKUP(operations[productID],products[],6,FALSE)</f>
        <v>10</v>
      </c>
      <c r="L1631" s="10">
        <f t="array" ref="L1631">INDEX('1 orders'!I1631:I2156, MATCH(1, ('1 orders'!A1631:A2156=A1631)*('1 orders'!G1631:G2156=F1631), 0))
</f>
        <v>40</v>
      </c>
      <c r="M1631" s="10">
        <f>IFERROR(__xludf.DUMMYFUNCTION("COUNTUNIQUEIFS($A$2:$A1631,$F$2:$F1631,F1631)"),26.0)</f>
        <v>26</v>
      </c>
      <c r="N1631" s="10">
        <f t="shared" si="1"/>
        <v>2</v>
      </c>
      <c r="O1631" s="26">
        <f>IF(operations[sinceLastOrder]=0,0,operations[orderQuantity] / operations[sinceLastOrder])</f>
        <v>20</v>
      </c>
      <c r="P1631" s="9">
        <v>143.28</v>
      </c>
      <c r="Q1631" s="7" t="s">
        <v>15</v>
      </c>
      <c r="R1631" s="10">
        <f>operations[arrivedDate]-operations[shippedDate]</f>
        <v>3</v>
      </c>
    </row>
    <row r="1632" ht="15.75" customHeight="1">
      <c r="A1632" s="6">
        <v>10869.0</v>
      </c>
      <c r="B1632" s="24">
        <v>45326.0</v>
      </c>
      <c r="C1632" s="24">
        <v>45355.0</v>
      </c>
      <c r="D1632" s="24">
        <v>45331.0</v>
      </c>
      <c r="E1632" s="24">
        <v>45334.0</v>
      </c>
      <c r="F1632" s="6">
        <v>11.0</v>
      </c>
      <c r="G1632" s="9" t="str">
        <f>VLOOKUP(operations[productID],products[],2,FALSE)</f>
        <v>Queso Cabrales</v>
      </c>
      <c r="H1632" s="9" t="str">
        <f>IF(VLOOKUP(operations[productID],products[],7,FALSE)=1,"Discontinued","Current")</f>
        <v>Current</v>
      </c>
      <c r="I1632" s="6">
        <f>VLOOKUP(operations[productID],products[],4,FALSE)</f>
        <v>22</v>
      </c>
      <c r="J1632" s="6">
        <f>VLOOKUP(operations[productID],products[],5,FALSE)</f>
        <v>30</v>
      </c>
      <c r="K1632" s="6">
        <f>VLOOKUP(operations[productID],products[],6,FALSE)</f>
        <v>30</v>
      </c>
      <c r="L1632" s="10">
        <f t="array" ref="L1632">INDEX('1 orders'!I1632:I2156, MATCH(1, ('1 orders'!A1632:A2156=A1632)*('1 orders'!G1632:G2156=F1632), 0))
</f>
        <v>10</v>
      </c>
      <c r="M1632" s="10">
        <f>IFERROR(__xludf.DUMMYFUNCTION("COUNTUNIQUEIFS($A$2:$A1632,$F$2:$F1632,F1632)"),30.0)</f>
        <v>30</v>
      </c>
      <c r="N1632" s="10">
        <f t="shared" si="1"/>
        <v>5</v>
      </c>
      <c r="O1632" s="26">
        <f>IF(operations[sinceLastOrder]=0,0,operations[orderQuantity] / operations[sinceLastOrder])</f>
        <v>2</v>
      </c>
      <c r="P1632" s="9">
        <v>143.28</v>
      </c>
      <c r="Q1632" s="7" t="s">
        <v>15</v>
      </c>
      <c r="R1632" s="10">
        <f>operations[arrivedDate]-operations[shippedDate]</f>
        <v>3</v>
      </c>
    </row>
    <row r="1633" ht="15.75" customHeight="1">
      <c r="A1633" s="6">
        <v>10869.0</v>
      </c>
      <c r="B1633" s="24">
        <v>45326.0</v>
      </c>
      <c r="C1633" s="24">
        <v>45355.0</v>
      </c>
      <c r="D1633" s="24">
        <v>45331.0</v>
      </c>
      <c r="E1633" s="24">
        <v>45334.0</v>
      </c>
      <c r="F1633" s="6">
        <v>23.0</v>
      </c>
      <c r="G1633" s="9" t="str">
        <f>VLOOKUP(operations[productID],products[],2,FALSE)</f>
        <v>Tunnbröd</v>
      </c>
      <c r="H1633" s="9" t="str">
        <f>IF(VLOOKUP(operations[productID],products[],7,FALSE)=1,"Discontinued","Current")</f>
        <v>Current</v>
      </c>
      <c r="I1633" s="6">
        <f>VLOOKUP(operations[productID],products[],4,FALSE)</f>
        <v>61</v>
      </c>
      <c r="J1633" s="6">
        <f>VLOOKUP(operations[productID],products[],5,FALSE)</f>
        <v>0</v>
      </c>
      <c r="K1633" s="6">
        <f>VLOOKUP(operations[productID],products[],6,FALSE)</f>
        <v>25</v>
      </c>
      <c r="L1633" s="10">
        <f t="array" ref="L1633">INDEX('1 orders'!I1633:I2156, MATCH(1, ('1 orders'!A1633:A2156=A1633)*('1 orders'!G1633:G2156=F1633), 0))
</f>
        <v>50</v>
      </c>
      <c r="M1633" s="10">
        <f>IFERROR(__xludf.DUMMYFUNCTION("COUNTUNIQUEIFS($A$2:$A1633,$F$2:$F1633,F1633)"),16.0)</f>
        <v>16</v>
      </c>
      <c r="N1633" s="10">
        <f t="shared" si="1"/>
        <v>14</v>
      </c>
      <c r="O1633" s="26">
        <f>IF(operations[sinceLastOrder]=0,0,operations[orderQuantity] / operations[sinceLastOrder])</f>
        <v>3.571428571</v>
      </c>
      <c r="P1633" s="9">
        <v>143.28</v>
      </c>
      <c r="Q1633" s="7" t="s">
        <v>15</v>
      </c>
      <c r="R1633" s="10">
        <f>operations[arrivedDate]-operations[shippedDate]</f>
        <v>3</v>
      </c>
    </row>
    <row r="1634" ht="15.75" customHeight="1">
      <c r="A1634" s="6">
        <v>10869.0</v>
      </c>
      <c r="B1634" s="24">
        <v>45326.0</v>
      </c>
      <c r="C1634" s="24">
        <v>45355.0</v>
      </c>
      <c r="D1634" s="24">
        <v>45331.0</v>
      </c>
      <c r="E1634" s="24">
        <v>45334.0</v>
      </c>
      <c r="F1634" s="6">
        <v>68.0</v>
      </c>
      <c r="G1634" s="9" t="str">
        <f>VLOOKUP(operations[productID],products[],2,FALSE)</f>
        <v>Scottish Longbreads</v>
      </c>
      <c r="H1634" s="9" t="str">
        <f>IF(VLOOKUP(operations[productID],products[],7,FALSE)=1,"Discontinued","Current")</f>
        <v>Current</v>
      </c>
      <c r="I1634" s="6">
        <f>VLOOKUP(operations[productID],products[],4,FALSE)</f>
        <v>6</v>
      </c>
      <c r="J1634" s="6">
        <f>VLOOKUP(operations[productID],products[],5,FALSE)</f>
        <v>10</v>
      </c>
      <c r="K1634" s="6">
        <f>VLOOKUP(operations[productID],products[],6,FALSE)</f>
        <v>15</v>
      </c>
      <c r="L1634" s="10">
        <f t="array" ref="L1634">INDEX('1 orders'!I1634:I2156, MATCH(1, ('1 orders'!A1634:A2156=A1634)*('1 orders'!G1634:G2156=F1634), 0))
</f>
        <v>20</v>
      </c>
      <c r="M1634" s="10">
        <f>IFERROR(__xludf.DUMMYFUNCTION("COUNTUNIQUEIFS($A$2:$A1634,$F$2:$F1634,F1634)"),28.0)</f>
        <v>28</v>
      </c>
      <c r="N1634" s="10">
        <f t="shared" si="1"/>
        <v>15</v>
      </c>
      <c r="O1634" s="26">
        <f>IF(operations[sinceLastOrder]=0,0,operations[orderQuantity] / operations[sinceLastOrder])</f>
        <v>1.333333333</v>
      </c>
      <c r="P1634" s="9">
        <v>143.28</v>
      </c>
      <c r="Q1634" s="7" t="s">
        <v>15</v>
      </c>
      <c r="R1634" s="10">
        <f>operations[arrivedDate]-operations[shippedDate]</f>
        <v>3</v>
      </c>
    </row>
    <row r="1635" ht="15.75" customHeight="1">
      <c r="A1635" s="6">
        <v>10870.0</v>
      </c>
      <c r="B1635" s="24">
        <v>45326.0</v>
      </c>
      <c r="C1635" s="24">
        <v>45355.0</v>
      </c>
      <c r="D1635" s="24">
        <v>45335.0</v>
      </c>
      <c r="E1635" s="24">
        <v>45347.0</v>
      </c>
      <c r="F1635" s="6">
        <v>35.0</v>
      </c>
      <c r="G1635" s="9" t="str">
        <f>VLOOKUP(operations[productID],products[],2,FALSE)</f>
        <v>Cold Brew Nitro</v>
      </c>
      <c r="H1635" s="9" t="str">
        <f>IF(VLOOKUP(operations[productID],products[],7,FALSE)=1,"Discontinued","Current")</f>
        <v>Current</v>
      </c>
      <c r="I1635" s="6">
        <f>VLOOKUP(operations[productID],products[],4,FALSE)</f>
        <v>20</v>
      </c>
      <c r="J1635" s="6">
        <f>VLOOKUP(operations[productID],products[],5,FALSE)</f>
        <v>0</v>
      </c>
      <c r="K1635" s="6">
        <f>VLOOKUP(operations[productID],products[],6,FALSE)</f>
        <v>15</v>
      </c>
      <c r="L1635" s="10">
        <f t="array" ref="L1635">INDEX('1 orders'!I1635:I2156, MATCH(1, ('1 orders'!A1635:A2156=A1635)*('1 orders'!G1635:G2156=F1635), 0))
</f>
        <v>3</v>
      </c>
      <c r="M1635" s="10">
        <f>IFERROR(__xludf.DUMMYFUNCTION("COUNTUNIQUEIFS($A$2:$A1635,$F$2:$F1635,F1635)"),30.0)</f>
        <v>30</v>
      </c>
      <c r="N1635" s="10">
        <f t="shared" si="1"/>
        <v>0</v>
      </c>
      <c r="O1635" s="26">
        <f>IF(operations[sinceLastOrder]=0,0,operations[orderQuantity] / operations[sinceLastOrder])</f>
        <v>0</v>
      </c>
      <c r="P1635" s="9">
        <v>12.04</v>
      </c>
      <c r="Q1635" s="7" t="s">
        <v>13</v>
      </c>
      <c r="R1635" s="10">
        <f>operations[arrivedDate]-operations[shippedDate]</f>
        <v>12</v>
      </c>
    </row>
    <row r="1636" ht="15.75" customHeight="1">
      <c r="A1636" s="6">
        <v>10870.0</v>
      </c>
      <c r="B1636" s="24">
        <v>45326.0</v>
      </c>
      <c r="C1636" s="24">
        <v>45355.0</v>
      </c>
      <c r="D1636" s="24">
        <v>45335.0</v>
      </c>
      <c r="E1636" s="24">
        <v>45347.0</v>
      </c>
      <c r="F1636" s="6">
        <v>51.0</v>
      </c>
      <c r="G1636" s="9" t="str">
        <f>VLOOKUP(operations[productID],products[],2,FALSE)</f>
        <v>Manjimup Dried Apples</v>
      </c>
      <c r="H1636" s="9" t="str">
        <f>IF(VLOOKUP(operations[productID],products[],7,FALSE)=1,"Discontinued","Current")</f>
        <v>Current</v>
      </c>
      <c r="I1636" s="6">
        <f>VLOOKUP(operations[productID],products[],4,FALSE)</f>
        <v>20</v>
      </c>
      <c r="J1636" s="6">
        <f>VLOOKUP(operations[productID],products[],5,FALSE)</f>
        <v>0</v>
      </c>
      <c r="K1636" s="6">
        <f>VLOOKUP(operations[productID],products[],6,FALSE)</f>
        <v>10</v>
      </c>
      <c r="L1636" s="10">
        <f t="array" ref="L1636">INDEX('1 orders'!I1636:I2156, MATCH(1, ('1 orders'!A1636:A2156=A1636)*('1 orders'!G1636:G2156=F1636), 0))
</f>
        <v>2</v>
      </c>
      <c r="M1636" s="10">
        <f>IFERROR(__xludf.DUMMYFUNCTION("COUNTUNIQUEIFS($A$2:$A1636,$F$2:$F1636,F1636)"),29.0)</f>
        <v>29</v>
      </c>
      <c r="N1636" s="10">
        <f t="shared" si="1"/>
        <v>6</v>
      </c>
      <c r="O1636" s="26">
        <f>IF(operations[sinceLastOrder]=0,0,operations[orderQuantity] / operations[sinceLastOrder])</f>
        <v>0.3333333333</v>
      </c>
      <c r="P1636" s="9">
        <v>12.04</v>
      </c>
      <c r="Q1636" s="7" t="s">
        <v>13</v>
      </c>
      <c r="R1636" s="10">
        <f>operations[arrivedDate]-operations[shippedDate]</f>
        <v>12</v>
      </c>
    </row>
    <row r="1637" ht="15.75" customHeight="1">
      <c r="A1637" s="6">
        <v>10871.0</v>
      </c>
      <c r="B1637" s="24">
        <v>45327.0</v>
      </c>
      <c r="C1637" s="24">
        <v>45356.0</v>
      </c>
      <c r="D1637" s="24">
        <v>45332.0</v>
      </c>
      <c r="E1637" s="24">
        <v>45343.0</v>
      </c>
      <c r="F1637" s="6">
        <v>6.0</v>
      </c>
      <c r="G1637" s="9" t="str">
        <f>VLOOKUP(operations[productID],products[],2,FALSE)</f>
        <v>Grandma's Boysenberry Spread</v>
      </c>
      <c r="H1637" s="9" t="str">
        <f>IF(VLOOKUP(operations[productID],products[],7,FALSE)=1,"Discontinued","Current")</f>
        <v>Current</v>
      </c>
      <c r="I1637" s="6">
        <f>VLOOKUP(operations[productID],products[],4,FALSE)</f>
        <v>120</v>
      </c>
      <c r="J1637" s="6">
        <f>VLOOKUP(operations[productID],products[],5,FALSE)</f>
        <v>0</v>
      </c>
      <c r="K1637" s="6">
        <f>VLOOKUP(operations[productID],products[],6,FALSE)</f>
        <v>25</v>
      </c>
      <c r="L1637" s="10">
        <f t="array" ref="L1637">INDEX('1 orders'!I1637:I2156, MATCH(1, ('1 orders'!A1637:A2156=A1637)*('1 orders'!G1637:G2156=F1637), 0))
</f>
        <v>50</v>
      </c>
      <c r="M1637" s="10">
        <f>IFERROR(__xludf.DUMMYFUNCTION("COUNTUNIQUEIFS($A$2:$A1637,$F$2:$F1637,F1637)"),6.0)</f>
        <v>6</v>
      </c>
      <c r="N1637" s="10">
        <f t="shared" si="1"/>
        <v>23</v>
      </c>
      <c r="O1637" s="26">
        <f>IF(operations[sinceLastOrder]=0,0,operations[orderQuantity] / operations[sinceLastOrder])</f>
        <v>2.173913043</v>
      </c>
      <c r="P1637" s="9">
        <v>112.27</v>
      </c>
      <c r="Q1637" s="7" t="s">
        <v>17</v>
      </c>
      <c r="R1637" s="10">
        <f>operations[arrivedDate]-operations[shippedDate]</f>
        <v>11</v>
      </c>
    </row>
    <row r="1638" ht="15.75" customHeight="1">
      <c r="A1638" s="6">
        <v>10871.0</v>
      </c>
      <c r="B1638" s="24">
        <v>45327.0</v>
      </c>
      <c r="C1638" s="24">
        <v>45356.0</v>
      </c>
      <c r="D1638" s="24">
        <v>45332.0</v>
      </c>
      <c r="E1638" s="24">
        <v>45343.0</v>
      </c>
      <c r="F1638" s="6">
        <v>16.0</v>
      </c>
      <c r="G1638" s="9" t="str">
        <f>VLOOKUP(operations[productID],products[],2,FALSE)</f>
        <v>Pavlova</v>
      </c>
      <c r="H1638" s="9" t="str">
        <f>IF(VLOOKUP(operations[productID],products[],7,FALSE)=1,"Discontinued","Current")</f>
        <v>Current</v>
      </c>
      <c r="I1638" s="6">
        <f>VLOOKUP(operations[productID],products[],4,FALSE)</f>
        <v>29</v>
      </c>
      <c r="J1638" s="6">
        <f>VLOOKUP(operations[productID],products[],5,FALSE)</f>
        <v>0</v>
      </c>
      <c r="K1638" s="6">
        <f>VLOOKUP(operations[productID],products[],6,FALSE)</f>
        <v>10</v>
      </c>
      <c r="L1638" s="10">
        <f t="array" ref="L1638">INDEX('1 orders'!I1638:I2156, MATCH(1, ('1 orders'!A1638:A2156=A1638)*('1 orders'!G1638:G2156=F1638), 0))
</f>
        <v>12</v>
      </c>
      <c r="M1638" s="10">
        <f>IFERROR(__xludf.DUMMYFUNCTION("COUNTUNIQUEIFS($A$2:$A1638,$F$2:$F1638,F1638)"),31.0)</f>
        <v>31</v>
      </c>
      <c r="N1638" s="10">
        <f t="shared" si="1"/>
        <v>9</v>
      </c>
      <c r="O1638" s="26">
        <f>IF(operations[sinceLastOrder]=0,0,operations[orderQuantity] / operations[sinceLastOrder])</f>
        <v>1.333333333</v>
      </c>
      <c r="P1638" s="9">
        <v>112.27</v>
      </c>
      <c r="Q1638" s="7" t="s">
        <v>17</v>
      </c>
      <c r="R1638" s="10">
        <f>operations[arrivedDate]-operations[shippedDate]</f>
        <v>11</v>
      </c>
    </row>
    <row r="1639" ht="15.75" customHeight="1">
      <c r="A1639" s="6">
        <v>10871.0</v>
      </c>
      <c r="B1639" s="24">
        <v>45327.0</v>
      </c>
      <c r="C1639" s="24">
        <v>45356.0</v>
      </c>
      <c r="D1639" s="24">
        <v>45332.0</v>
      </c>
      <c r="E1639" s="24">
        <v>45343.0</v>
      </c>
      <c r="F1639" s="6">
        <v>17.0</v>
      </c>
      <c r="G1639" s="9" t="str">
        <f>VLOOKUP(operations[productID],products[],2,FALSE)</f>
        <v>Alice Mutton</v>
      </c>
      <c r="H1639" s="9" t="str">
        <f>IF(VLOOKUP(operations[productID],products[],7,FALSE)=1,"Discontinued","Current")</f>
        <v>Discontinued</v>
      </c>
      <c r="I1639" s="6">
        <f>VLOOKUP(operations[productID],products[],4,FALSE)</f>
        <v>0</v>
      </c>
      <c r="J1639" s="6">
        <f>VLOOKUP(operations[productID],products[],5,FALSE)</f>
        <v>0</v>
      </c>
      <c r="K1639" s="6">
        <f>VLOOKUP(operations[productID],products[],6,FALSE)</f>
        <v>0</v>
      </c>
      <c r="L1639" s="10">
        <f t="array" ref="L1639">INDEX('1 orders'!I1639:I2156, MATCH(1, ('1 orders'!A1639:A2156=A1639)*('1 orders'!G1639:G2156=F1639), 0))
</f>
        <v>16</v>
      </c>
      <c r="M1639" s="10">
        <f>IFERROR(__xludf.DUMMYFUNCTION("COUNTUNIQUEIFS($A$2:$A1639,$F$2:$F1639,F1639)"),29.0)</f>
        <v>29</v>
      </c>
      <c r="N1639" s="10">
        <f t="shared" si="1"/>
        <v>6</v>
      </c>
      <c r="O1639" s="26">
        <f>IF(operations[sinceLastOrder]=0,0,operations[orderQuantity] / operations[sinceLastOrder])</f>
        <v>2.666666667</v>
      </c>
      <c r="P1639" s="9">
        <v>112.27</v>
      </c>
      <c r="Q1639" s="7" t="s">
        <v>17</v>
      </c>
      <c r="R1639" s="10">
        <f>operations[arrivedDate]-operations[shippedDate]</f>
        <v>11</v>
      </c>
    </row>
    <row r="1640" ht="15.75" customHeight="1">
      <c r="A1640" s="6">
        <v>10872.0</v>
      </c>
      <c r="B1640" s="24">
        <v>45327.0</v>
      </c>
      <c r="C1640" s="24">
        <v>45356.0</v>
      </c>
      <c r="D1640" s="24">
        <v>45331.0</v>
      </c>
      <c r="E1640" s="24">
        <v>45342.0</v>
      </c>
      <c r="F1640" s="6">
        <v>55.0</v>
      </c>
      <c r="G1640" s="9" t="str">
        <f>VLOOKUP(operations[productID],products[],2,FALSE)</f>
        <v>Pâté chinois</v>
      </c>
      <c r="H1640" s="9" t="str">
        <f>IF(VLOOKUP(operations[productID],products[],7,FALSE)=1,"Discontinued","Current")</f>
        <v>Current</v>
      </c>
      <c r="I1640" s="6">
        <f>VLOOKUP(operations[productID],products[],4,FALSE)</f>
        <v>115</v>
      </c>
      <c r="J1640" s="6">
        <f>VLOOKUP(operations[productID],products[],5,FALSE)</f>
        <v>0</v>
      </c>
      <c r="K1640" s="6">
        <f>VLOOKUP(operations[productID],products[],6,FALSE)</f>
        <v>20</v>
      </c>
      <c r="L1640" s="10">
        <f t="array" ref="L1640">INDEX('1 orders'!I1640:I2156, MATCH(1, ('1 orders'!A1640:A2156=A1640)*('1 orders'!G1640:G2156=F1640), 0))
</f>
        <v>10</v>
      </c>
      <c r="M1640" s="10">
        <f>IFERROR(__xludf.DUMMYFUNCTION("COUNTUNIQUEIFS($A$2:$A1640,$F$2:$F1640,F1640)"),23.0)</f>
        <v>23</v>
      </c>
      <c r="N1640" s="10">
        <f t="shared" si="1"/>
        <v>38</v>
      </c>
      <c r="O1640" s="26">
        <f>IF(operations[sinceLastOrder]=0,0,operations[orderQuantity] / operations[sinceLastOrder])</f>
        <v>0.2631578947</v>
      </c>
      <c r="P1640" s="9">
        <v>175.32</v>
      </c>
      <c r="Q1640" s="7" t="s">
        <v>17</v>
      </c>
      <c r="R1640" s="10">
        <f>operations[arrivedDate]-operations[shippedDate]</f>
        <v>11</v>
      </c>
    </row>
    <row r="1641" ht="15.75" customHeight="1">
      <c r="A1641" s="6">
        <v>10872.0</v>
      </c>
      <c r="B1641" s="24">
        <v>45327.0</v>
      </c>
      <c r="C1641" s="24">
        <v>45356.0</v>
      </c>
      <c r="D1641" s="24">
        <v>45331.0</v>
      </c>
      <c r="E1641" s="24">
        <v>45342.0</v>
      </c>
      <c r="F1641" s="6">
        <v>62.0</v>
      </c>
      <c r="G1641" s="9" t="str">
        <f>VLOOKUP(operations[productID],products[],2,FALSE)</f>
        <v>Tarte au sucre</v>
      </c>
      <c r="H1641" s="9" t="str">
        <f>IF(VLOOKUP(operations[productID],products[],7,FALSE)=1,"Discontinued","Current")</f>
        <v>Current</v>
      </c>
      <c r="I1641" s="6">
        <f>VLOOKUP(operations[productID],products[],4,FALSE)</f>
        <v>17</v>
      </c>
      <c r="J1641" s="6">
        <f>VLOOKUP(operations[productID],products[],5,FALSE)</f>
        <v>0</v>
      </c>
      <c r="K1641" s="6">
        <f>VLOOKUP(operations[productID],products[],6,FALSE)</f>
        <v>0</v>
      </c>
      <c r="L1641" s="10">
        <f t="array" ref="L1641">INDEX('1 orders'!I1641:I2156, MATCH(1, ('1 orders'!A1641:A2156=A1641)*('1 orders'!G1641:G2156=F1641), 0))
</f>
        <v>20</v>
      </c>
      <c r="M1641" s="10">
        <f>IFERROR(__xludf.DUMMYFUNCTION("COUNTUNIQUEIFS($A$2:$A1641,$F$2:$F1641,F1641)"),39.0)</f>
        <v>39</v>
      </c>
      <c r="N1641" s="10">
        <f t="shared" si="1"/>
        <v>6</v>
      </c>
      <c r="O1641" s="26">
        <f>IF(operations[sinceLastOrder]=0,0,operations[orderQuantity] / operations[sinceLastOrder])</f>
        <v>3.333333333</v>
      </c>
      <c r="P1641" s="9">
        <v>175.32</v>
      </c>
      <c r="Q1641" s="7" t="s">
        <v>17</v>
      </c>
      <c r="R1641" s="10">
        <f>operations[arrivedDate]-operations[shippedDate]</f>
        <v>11</v>
      </c>
    </row>
    <row r="1642" ht="15.75" customHeight="1">
      <c r="A1642" s="6">
        <v>10872.0</v>
      </c>
      <c r="B1642" s="24">
        <v>45327.0</v>
      </c>
      <c r="C1642" s="24">
        <v>45356.0</v>
      </c>
      <c r="D1642" s="24">
        <v>45331.0</v>
      </c>
      <c r="E1642" s="24">
        <v>45342.0</v>
      </c>
      <c r="F1642" s="6">
        <v>64.0</v>
      </c>
      <c r="G1642" s="9" t="str">
        <f>VLOOKUP(operations[productID],products[],2,FALSE)</f>
        <v>Lukas' leckere Sauerteigweggla</v>
      </c>
      <c r="H1642" s="9" t="str">
        <f>IF(VLOOKUP(operations[productID],products[],7,FALSE)=1,"Discontinued","Current")</f>
        <v>Current</v>
      </c>
      <c r="I1642" s="6">
        <f>VLOOKUP(operations[productID],products[],4,FALSE)</f>
        <v>22</v>
      </c>
      <c r="J1642" s="6">
        <f>VLOOKUP(operations[productID],products[],5,FALSE)</f>
        <v>80</v>
      </c>
      <c r="K1642" s="6">
        <f>VLOOKUP(operations[productID],products[],6,FALSE)</f>
        <v>30</v>
      </c>
      <c r="L1642" s="10">
        <f t="array" ref="L1642">INDEX('1 orders'!I1642:I2156, MATCH(1, ('1 orders'!A1642:A2156=A1642)*('1 orders'!G1642:G2156=F1642), 0))
</f>
        <v>15</v>
      </c>
      <c r="M1642" s="10">
        <f>IFERROR(__xludf.DUMMYFUNCTION("COUNTUNIQUEIFS($A$2:$A1642,$F$2:$F1642,F1642)"),23.0)</f>
        <v>23</v>
      </c>
      <c r="N1642" s="10">
        <f t="shared" si="1"/>
        <v>7</v>
      </c>
      <c r="O1642" s="26">
        <f>IF(operations[sinceLastOrder]=0,0,operations[orderQuantity] / operations[sinceLastOrder])</f>
        <v>2.142857143</v>
      </c>
      <c r="P1642" s="9">
        <v>175.32</v>
      </c>
      <c r="Q1642" s="7" t="s">
        <v>17</v>
      </c>
      <c r="R1642" s="10">
        <f>operations[arrivedDate]-operations[shippedDate]</f>
        <v>11</v>
      </c>
    </row>
    <row r="1643" ht="15.75" customHeight="1">
      <c r="A1643" s="6">
        <v>10872.0</v>
      </c>
      <c r="B1643" s="24">
        <v>45327.0</v>
      </c>
      <c r="C1643" s="24">
        <v>45356.0</v>
      </c>
      <c r="D1643" s="24">
        <v>45331.0</v>
      </c>
      <c r="E1643" s="24">
        <v>45342.0</v>
      </c>
      <c r="F1643" s="6">
        <v>65.0</v>
      </c>
      <c r="G1643" s="9" t="str">
        <f>VLOOKUP(operations[productID],products[],2,FALSE)</f>
        <v>Louisiana Fiery Hot Pepper Sauce</v>
      </c>
      <c r="H1643" s="9" t="str">
        <f>IF(VLOOKUP(operations[productID],products[],7,FALSE)=1,"Discontinued","Current")</f>
        <v>Current</v>
      </c>
      <c r="I1643" s="6">
        <f>VLOOKUP(operations[productID],products[],4,FALSE)</f>
        <v>76</v>
      </c>
      <c r="J1643" s="6">
        <f>VLOOKUP(operations[productID],products[],5,FALSE)</f>
        <v>0</v>
      </c>
      <c r="K1643" s="6">
        <f>VLOOKUP(operations[productID],products[],6,FALSE)</f>
        <v>0</v>
      </c>
      <c r="L1643" s="10">
        <f t="array" ref="L1643">INDEX('1 orders'!I1643:I2156, MATCH(1, ('1 orders'!A1643:A2156=A1643)*('1 orders'!G1643:G2156=F1643), 0))
</f>
        <v>21</v>
      </c>
      <c r="M1643" s="10">
        <f>IFERROR(__xludf.DUMMYFUNCTION("COUNTUNIQUEIFS($A$2:$A1643,$F$2:$F1643,F1643)"),28.0)</f>
        <v>28</v>
      </c>
      <c r="N1643" s="10">
        <f t="shared" si="1"/>
        <v>9</v>
      </c>
      <c r="O1643" s="26">
        <f>IF(operations[sinceLastOrder]=0,0,operations[orderQuantity] / operations[sinceLastOrder])</f>
        <v>2.333333333</v>
      </c>
      <c r="P1643" s="9">
        <v>175.32</v>
      </c>
      <c r="Q1643" s="7" t="s">
        <v>17</v>
      </c>
      <c r="R1643" s="10">
        <f>operations[arrivedDate]-operations[shippedDate]</f>
        <v>11</v>
      </c>
    </row>
    <row r="1644" ht="15.75" customHeight="1">
      <c r="A1644" s="6">
        <v>10873.0</v>
      </c>
      <c r="B1644" s="24">
        <v>45328.0</v>
      </c>
      <c r="C1644" s="24">
        <v>45357.0</v>
      </c>
      <c r="D1644" s="24">
        <v>45331.0</v>
      </c>
      <c r="E1644" s="24">
        <v>45343.0</v>
      </c>
      <c r="F1644" s="6">
        <v>21.0</v>
      </c>
      <c r="G1644" s="9" t="str">
        <f>VLOOKUP(operations[productID],products[],2,FALSE)</f>
        <v>Sir Rodney's Scones</v>
      </c>
      <c r="H1644" s="9" t="str">
        <f>IF(VLOOKUP(operations[productID],products[],7,FALSE)=1,"Discontinued","Current")</f>
        <v>Current</v>
      </c>
      <c r="I1644" s="6">
        <f>VLOOKUP(operations[productID],products[],4,FALSE)</f>
        <v>3</v>
      </c>
      <c r="J1644" s="6">
        <f>VLOOKUP(operations[productID],products[],5,FALSE)</f>
        <v>40</v>
      </c>
      <c r="K1644" s="6">
        <f>VLOOKUP(operations[productID],products[],6,FALSE)</f>
        <v>5</v>
      </c>
      <c r="L1644" s="10">
        <f t="array" ref="L1644">INDEX('1 orders'!I1644:I2156, MATCH(1, ('1 orders'!A1644:A2156=A1644)*('1 orders'!G1644:G2156=F1644), 0))
</f>
        <v>20</v>
      </c>
      <c r="M1644" s="10">
        <f>IFERROR(__xludf.DUMMYFUNCTION("COUNTUNIQUEIFS($A$2:$A1644,$F$2:$F1644,F1644)"),30.0)</f>
        <v>30</v>
      </c>
      <c r="N1644" s="10">
        <f t="shared" si="1"/>
        <v>7</v>
      </c>
      <c r="O1644" s="26">
        <f>IF(operations[sinceLastOrder]=0,0,operations[orderQuantity] / operations[sinceLastOrder])</f>
        <v>2.857142857</v>
      </c>
      <c r="P1644" s="9">
        <v>0.82</v>
      </c>
      <c r="Q1644" s="7" t="s">
        <v>15</v>
      </c>
      <c r="R1644" s="10">
        <f>operations[arrivedDate]-operations[shippedDate]</f>
        <v>12</v>
      </c>
    </row>
    <row r="1645" ht="15.75" customHeight="1">
      <c r="A1645" s="6">
        <v>10873.0</v>
      </c>
      <c r="B1645" s="24">
        <v>45328.0</v>
      </c>
      <c r="C1645" s="24">
        <v>45357.0</v>
      </c>
      <c r="D1645" s="24">
        <v>45331.0</v>
      </c>
      <c r="E1645" s="24">
        <v>45343.0</v>
      </c>
      <c r="F1645" s="6">
        <v>28.0</v>
      </c>
      <c r="G1645" s="9" t="str">
        <f>VLOOKUP(operations[productID],products[],2,FALSE)</f>
        <v>Rössle Sauerkraut</v>
      </c>
      <c r="H1645" s="9" t="str">
        <f>IF(VLOOKUP(operations[productID],products[],7,FALSE)=1,"Discontinued","Current")</f>
        <v>Discontinued</v>
      </c>
      <c r="I1645" s="6">
        <f>VLOOKUP(operations[productID],products[],4,FALSE)</f>
        <v>26</v>
      </c>
      <c r="J1645" s="6">
        <f>VLOOKUP(operations[productID],products[],5,FALSE)</f>
        <v>0</v>
      </c>
      <c r="K1645" s="6">
        <f>VLOOKUP(operations[productID],products[],6,FALSE)</f>
        <v>0</v>
      </c>
      <c r="L1645" s="10">
        <f t="array" ref="L1645">INDEX('1 orders'!I1645:I2156, MATCH(1, ('1 orders'!A1645:A2156=A1645)*('1 orders'!G1645:G2156=F1645), 0))
</f>
        <v>3</v>
      </c>
      <c r="M1645" s="10">
        <f>IFERROR(__xludf.DUMMYFUNCTION("COUNTUNIQUEIFS($A$2:$A1645,$F$2:$F1645,F1645)"),26.0)</f>
        <v>26</v>
      </c>
      <c r="N1645" s="10">
        <f t="shared" si="1"/>
        <v>38</v>
      </c>
      <c r="O1645" s="26">
        <f>IF(operations[sinceLastOrder]=0,0,operations[orderQuantity] / operations[sinceLastOrder])</f>
        <v>0.07894736842</v>
      </c>
      <c r="P1645" s="9">
        <v>0.82</v>
      </c>
      <c r="Q1645" s="7" t="s">
        <v>15</v>
      </c>
      <c r="R1645" s="10">
        <f>operations[arrivedDate]-operations[shippedDate]</f>
        <v>12</v>
      </c>
    </row>
    <row r="1646" ht="15.75" customHeight="1">
      <c r="A1646" s="6">
        <v>10874.0</v>
      </c>
      <c r="B1646" s="24">
        <v>45328.0</v>
      </c>
      <c r="C1646" s="24">
        <v>45357.0</v>
      </c>
      <c r="D1646" s="24">
        <v>45333.0</v>
      </c>
      <c r="E1646" s="24">
        <v>45344.0</v>
      </c>
      <c r="F1646" s="6">
        <v>10.0</v>
      </c>
      <c r="G1646" s="9" t="str">
        <f>VLOOKUP(operations[productID],products[],2,FALSE)</f>
        <v>Ikura</v>
      </c>
      <c r="H1646" s="9" t="str">
        <f>IF(VLOOKUP(operations[productID],products[],7,FALSE)=1,"Discontinued","Current")</f>
        <v>Current</v>
      </c>
      <c r="I1646" s="6">
        <f>VLOOKUP(operations[productID],products[],4,FALSE)</f>
        <v>31</v>
      </c>
      <c r="J1646" s="6">
        <f>VLOOKUP(operations[productID],products[],5,FALSE)</f>
        <v>0</v>
      </c>
      <c r="K1646" s="6">
        <f>VLOOKUP(operations[productID],products[],6,FALSE)</f>
        <v>0</v>
      </c>
      <c r="L1646" s="10">
        <f t="array" ref="L1646">INDEX('1 orders'!I1646:I2156, MATCH(1, ('1 orders'!A1646:A2156=A1646)*('1 orders'!G1646:G2156=F1646), 0))
</f>
        <v>10</v>
      </c>
      <c r="M1646" s="10">
        <f>IFERROR(__xludf.DUMMYFUNCTION("COUNTUNIQUEIFS($A$2:$A1646,$F$2:$F1646,F1646)"),27.0)</f>
        <v>27</v>
      </c>
      <c r="N1646" s="10">
        <f t="shared" si="1"/>
        <v>10</v>
      </c>
      <c r="O1646" s="26">
        <f>IF(operations[sinceLastOrder]=0,0,operations[orderQuantity] / operations[sinceLastOrder])</f>
        <v>1</v>
      </c>
      <c r="P1646" s="9">
        <v>19.58</v>
      </c>
      <c r="Q1646" s="7" t="s">
        <v>17</v>
      </c>
      <c r="R1646" s="10">
        <f>operations[arrivedDate]-operations[shippedDate]</f>
        <v>11</v>
      </c>
    </row>
    <row r="1647" ht="15.75" customHeight="1">
      <c r="A1647" s="6">
        <v>10875.0</v>
      </c>
      <c r="B1647" s="24">
        <v>45328.0</v>
      </c>
      <c r="C1647" s="24">
        <v>45357.0</v>
      </c>
      <c r="D1647" s="24">
        <v>45354.0</v>
      </c>
      <c r="E1647" s="24">
        <v>45365.0</v>
      </c>
      <c r="F1647" s="6">
        <v>19.0</v>
      </c>
      <c r="G1647" s="9" t="str">
        <f>VLOOKUP(operations[productID],products[],2,FALSE)</f>
        <v>Teatime Chocolate Biscuits</v>
      </c>
      <c r="H1647" s="9" t="str">
        <f>IF(VLOOKUP(operations[productID],products[],7,FALSE)=1,"Discontinued","Current")</f>
        <v>Current</v>
      </c>
      <c r="I1647" s="6">
        <f>VLOOKUP(operations[productID],products[],4,FALSE)</f>
        <v>25</v>
      </c>
      <c r="J1647" s="6">
        <f>VLOOKUP(operations[productID],products[],5,FALSE)</f>
        <v>0</v>
      </c>
      <c r="K1647" s="6">
        <f>VLOOKUP(operations[productID],products[],6,FALSE)</f>
        <v>5</v>
      </c>
      <c r="L1647" s="10">
        <f t="array" ref="L1647">INDEX('1 orders'!I1647:I2156, MATCH(1, ('1 orders'!A1647:A2156=A1647)*('1 orders'!G1647:G2156=F1647), 0))
</f>
        <v>25</v>
      </c>
      <c r="M1647" s="10">
        <f>IFERROR(__xludf.DUMMYFUNCTION("COUNTUNIQUEIFS($A$2:$A1647,$F$2:$F1647,F1647)"),30.0)</f>
        <v>30</v>
      </c>
      <c r="N1647" s="10">
        <f t="shared" si="1"/>
        <v>15</v>
      </c>
      <c r="O1647" s="26">
        <f>IF(operations[sinceLastOrder]=0,0,operations[orderQuantity] / operations[sinceLastOrder])</f>
        <v>1.666666667</v>
      </c>
      <c r="P1647" s="9">
        <v>32.37</v>
      </c>
      <c r="Q1647" s="7" t="s">
        <v>17</v>
      </c>
      <c r="R1647" s="10">
        <f>operations[arrivedDate]-operations[shippedDate]</f>
        <v>11</v>
      </c>
    </row>
    <row r="1648" ht="15.75" customHeight="1">
      <c r="A1648" s="6">
        <v>10875.0</v>
      </c>
      <c r="B1648" s="24">
        <v>45328.0</v>
      </c>
      <c r="C1648" s="24">
        <v>45357.0</v>
      </c>
      <c r="D1648" s="24">
        <v>45354.0</v>
      </c>
      <c r="E1648" s="24">
        <v>45365.0</v>
      </c>
      <c r="F1648" s="6">
        <v>47.0</v>
      </c>
      <c r="G1648" s="9" t="str">
        <f>VLOOKUP(operations[productID],products[],2,FALSE)</f>
        <v>Zaanse koeken</v>
      </c>
      <c r="H1648" s="9" t="str">
        <f>IF(VLOOKUP(operations[productID],products[],7,FALSE)=1,"Discontinued","Current")</f>
        <v>Current</v>
      </c>
      <c r="I1648" s="6">
        <f>VLOOKUP(operations[productID],products[],4,FALSE)</f>
        <v>36</v>
      </c>
      <c r="J1648" s="6">
        <f>VLOOKUP(operations[productID],products[],5,FALSE)</f>
        <v>0</v>
      </c>
      <c r="K1648" s="6">
        <f>VLOOKUP(operations[productID],products[],6,FALSE)</f>
        <v>0</v>
      </c>
      <c r="L1648" s="10">
        <f t="array" ref="L1648">INDEX('1 orders'!I1648:I2156, MATCH(1, ('1 orders'!A1648:A2156=A1648)*('1 orders'!G1648:G2156=F1648), 0))
</f>
        <v>21</v>
      </c>
      <c r="M1648" s="10">
        <f>IFERROR(__xludf.DUMMYFUNCTION("COUNTUNIQUEIFS($A$2:$A1648,$F$2:$F1648,F1648)"),18.0)</f>
        <v>18</v>
      </c>
      <c r="N1648" s="10">
        <f t="shared" si="1"/>
        <v>21</v>
      </c>
      <c r="O1648" s="26">
        <f>IF(operations[sinceLastOrder]=0,0,operations[orderQuantity] / operations[sinceLastOrder])</f>
        <v>1</v>
      </c>
      <c r="P1648" s="9">
        <v>32.37</v>
      </c>
      <c r="Q1648" s="7" t="s">
        <v>17</v>
      </c>
      <c r="R1648" s="10">
        <f>operations[arrivedDate]-operations[shippedDate]</f>
        <v>11</v>
      </c>
    </row>
    <row r="1649" ht="15.75" customHeight="1">
      <c r="A1649" s="6">
        <v>10875.0</v>
      </c>
      <c r="B1649" s="24">
        <v>45328.0</v>
      </c>
      <c r="C1649" s="24">
        <v>45357.0</v>
      </c>
      <c r="D1649" s="24">
        <v>45354.0</v>
      </c>
      <c r="E1649" s="24">
        <v>45365.0</v>
      </c>
      <c r="F1649" s="6">
        <v>49.0</v>
      </c>
      <c r="G1649" s="9" t="str">
        <f>VLOOKUP(operations[productID],products[],2,FALSE)</f>
        <v>Maxilaku</v>
      </c>
      <c r="H1649" s="9" t="str">
        <f>IF(VLOOKUP(operations[productID],products[],7,FALSE)=1,"Discontinued","Current")</f>
        <v>Current</v>
      </c>
      <c r="I1649" s="6">
        <f>VLOOKUP(operations[productID],products[],4,FALSE)</f>
        <v>10</v>
      </c>
      <c r="J1649" s="6">
        <f>VLOOKUP(operations[productID],products[],5,FALSE)</f>
        <v>60</v>
      </c>
      <c r="K1649" s="6">
        <f>VLOOKUP(operations[productID],products[],6,FALSE)</f>
        <v>15</v>
      </c>
      <c r="L1649" s="10">
        <f t="array" ref="L1649">INDEX('1 orders'!I1649:I2156, MATCH(1, ('1 orders'!A1649:A2156=A1649)*('1 orders'!G1649:G2156=F1649), 0))
</f>
        <v>15</v>
      </c>
      <c r="M1649" s="10">
        <f>IFERROR(__xludf.DUMMYFUNCTION("COUNTUNIQUEIFS($A$2:$A1649,$F$2:$F1649,F1649)"),15.0)</f>
        <v>15</v>
      </c>
      <c r="N1649" s="10">
        <f t="shared" si="1"/>
        <v>2</v>
      </c>
      <c r="O1649" s="26">
        <f>IF(operations[sinceLastOrder]=0,0,operations[orderQuantity] / operations[sinceLastOrder])</f>
        <v>7.5</v>
      </c>
      <c r="P1649" s="9">
        <v>32.37</v>
      </c>
      <c r="Q1649" s="7" t="s">
        <v>17</v>
      </c>
      <c r="R1649" s="10">
        <f>operations[arrivedDate]-operations[shippedDate]</f>
        <v>11</v>
      </c>
    </row>
    <row r="1650" ht="15.75" customHeight="1">
      <c r="A1650" s="6">
        <v>10876.0</v>
      </c>
      <c r="B1650" s="24">
        <v>45331.0</v>
      </c>
      <c r="C1650" s="24">
        <v>45360.0</v>
      </c>
      <c r="D1650" s="24">
        <v>45334.0</v>
      </c>
      <c r="E1650" s="24">
        <v>45339.0</v>
      </c>
      <c r="F1650" s="6">
        <v>46.0</v>
      </c>
      <c r="G1650" s="9" t="str">
        <f>VLOOKUP(operations[productID],products[],2,FALSE)</f>
        <v>Spegesild</v>
      </c>
      <c r="H1650" s="9" t="str">
        <f>IF(VLOOKUP(operations[productID],products[],7,FALSE)=1,"Discontinued","Current")</f>
        <v>Current</v>
      </c>
      <c r="I1650" s="6">
        <f>VLOOKUP(operations[productID],products[],4,FALSE)</f>
        <v>95</v>
      </c>
      <c r="J1650" s="6">
        <f>VLOOKUP(operations[productID],products[],5,FALSE)</f>
        <v>0</v>
      </c>
      <c r="K1650" s="6">
        <f>VLOOKUP(operations[productID],products[],6,FALSE)</f>
        <v>0</v>
      </c>
      <c r="L1650" s="10">
        <f t="array" ref="L1650">INDEX('1 orders'!I1650:I2156, MATCH(1, ('1 orders'!A1650:A2156=A1650)*('1 orders'!G1650:G2156=F1650), 0))
</f>
        <v>21</v>
      </c>
      <c r="M1650" s="10">
        <f>IFERROR(__xludf.DUMMYFUNCTION("COUNTUNIQUEIFS($A$2:$A1650,$F$2:$F1650,F1650)"),20.0)</f>
        <v>20</v>
      </c>
      <c r="N1650" s="10">
        <f t="shared" si="1"/>
        <v>35</v>
      </c>
      <c r="O1650" s="26">
        <f>IF(operations[sinceLastOrder]=0,0,operations[orderQuantity] / operations[sinceLastOrder])</f>
        <v>0.6</v>
      </c>
      <c r="P1650" s="9">
        <v>60.42</v>
      </c>
      <c r="Q1650" s="7" t="s">
        <v>13</v>
      </c>
      <c r="R1650" s="10">
        <f>operations[arrivedDate]-operations[shippedDate]</f>
        <v>5</v>
      </c>
    </row>
    <row r="1651" ht="15.75" customHeight="1">
      <c r="A1651" s="6">
        <v>10876.0</v>
      </c>
      <c r="B1651" s="24">
        <v>45331.0</v>
      </c>
      <c r="C1651" s="24">
        <v>45360.0</v>
      </c>
      <c r="D1651" s="24">
        <v>45334.0</v>
      </c>
      <c r="E1651" s="24">
        <v>45339.0</v>
      </c>
      <c r="F1651" s="6">
        <v>64.0</v>
      </c>
      <c r="G1651" s="9" t="str">
        <f>VLOOKUP(operations[productID],products[],2,FALSE)</f>
        <v>Lukas' leckere Sauerteigweggla</v>
      </c>
      <c r="H1651" s="9" t="str">
        <f>IF(VLOOKUP(operations[productID],products[],7,FALSE)=1,"Discontinued","Current")</f>
        <v>Current</v>
      </c>
      <c r="I1651" s="6">
        <f>VLOOKUP(operations[productID],products[],4,FALSE)</f>
        <v>22</v>
      </c>
      <c r="J1651" s="6">
        <f>VLOOKUP(operations[productID],products[],5,FALSE)</f>
        <v>80</v>
      </c>
      <c r="K1651" s="6">
        <f>VLOOKUP(operations[productID],products[],6,FALSE)</f>
        <v>30</v>
      </c>
      <c r="L1651" s="10">
        <f t="array" ref="L1651">INDEX('1 orders'!I1651:I2156, MATCH(1, ('1 orders'!A1651:A2156=A1651)*('1 orders'!G1651:G2156=F1651), 0))
</f>
        <v>20</v>
      </c>
      <c r="M1651" s="10">
        <f>IFERROR(__xludf.DUMMYFUNCTION("COUNTUNIQUEIFS($A$2:$A1651,$F$2:$F1651,F1651)"),24.0)</f>
        <v>24</v>
      </c>
      <c r="N1651" s="10">
        <f t="shared" si="1"/>
        <v>4</v>
      </c>
      <c r="O1651" s="26">
        <f>IF(operations[sinceLastOrder]=0,0,operations[orderQuantity] / operations[sinceLastOrder])</f>
        <v>5</v>
      </c>
      <c r="P1651" s="9">
        <v>60.42</v>
      </c>
      <c r="Q1651" s="7" t="s">
        <v>13</v>
      </c>
      <c r="R1651" s="10">
        <f>operations[arrivedDate]-operations[shippedDate]</f>
        <v>5</v>
      </c>
    </row>
    <row r="1652" ht="15.75" customHeight="1">
      <c r="A1652" s="6">
        <v>10877.0</v>
      </c>
      <c r="B1652" s="24">
        <v>45331.0</v>
      </c>
      <c r="C1652" s="24">
        <v>45360.0</v>
      </c>
      <c r="D1652" s="24">
        <v>45341.0</v>
      </c>
      <c r="E1652" s="24">
        <v>45357.0</v>
      </c>
      <c r="F1652" s="6">
        <v>16.0</v>
      </c>
      <c r="G1652" s="9" t="str">
        <f>VLOOKUP(operations[productID],products[],2,FALSE)</f>
        <v>Pavlova</v>
      </c>
      <c r="H1652" s="9" t="str">
        <f>IF(VLOOKUP(operations[productID],products[],7,FALSE)=1,"Discontinued","Current")</f>
        <v>Current</v>
      </c>
      <c r="I1652" s="6">
        <f>VLOOKUP(operations[productID],products[],4,FALSE)</f>
        <v>29</v>
      </c>
      <c r="J1652" s="6">
        <f>VLOOKUP(operations[productID],products[],5,FALSE)</f>
        <v>0</v>
      </c>
      <c r="K1652" s="6">
        <f>VLOOKUP(operations[productID],products[],6,FALSE)</f>
        <v>10</v>
      </c>
      <c r="L1652" s="10">
        <f t="array" ref="L1652">INDEX('1 orders'!I1652:I2156, MATCH(1, ('1 orders'!A1652:A2156=A1652)*('1 orders'!G1652:G2156=F1652), 0))
</f>
        <v>30</v>
      </c>
      <c r="M1652" s="10">
        <f>IFERROR(__xludf.DUMMYFUNCTION("COUNTUNIQUEIFS($A$2:$A1652,$F$2:$F1652,F1652)"),32.0)</f>
        <v>32</v>
      </c>
      <c r="N1652" s="10">
        <f t="shared" si="1"/>
        <v>4</v>
      </c>
      <c r="O1652" s="26">
        <f>IF(operations[sinceLastOrder]=0,0,operations[orderQuantity] / operations[sinceLastOrder])</f>
        <v>7.5</v>
      </c>
      <c r="P1652" s="9">
        <v>38.06</v>
      </c>
      <c r="Q1652" s="7" t="s">
        <v>15</v>
      </c>
      <c r="R1652" s="10">
        <f>operations[arrivedDate]-operations[shippedDate]</f>
        <v>16</v>
      </c>
    </row>
    <row r="1653" ht="15.75" customHeight="1">
      <c r="A1653" s="6">
        <v>10877.0</v>
      </c>
      <c r="B1653" s="24">
        <v>45331.0</v>
      </c>
      <c r="C1653" s="24">
        <v>45360.0</v>
      </c>
      <c r="D1653" s="24">
        <v>45341.0</v>
      </c>
      <c r="E1653" s="24">
        <v>45357.0</v>
      </c>
      <c r="F1653" s="6">
        <v>18.0</v>
      </c>
      <c r="G1653" s="9" t="str">
        <f>VLOOKUP(operations[productID],products[],2,FALSE)</f>
        <v>Carnarvon Tigers</v>
      </c>
      <c r="H1653" s="9" t="str">
        <f>IF(VLOOKUP(operations[productID],products[],7,FALSE)=1,"Discontinued","Current")</f>
        <v>Current</v>
      </c>
      <c r="I1653" s="6">
        <f>VLOOKUP(operations[productID],products[],4,FALSE)</f>
        <v>42</v>
      </c>
      <c r="J1653" s="6">
        <f>VLOOKUP(operations[productID],products[],5,FALSE)</f>
        <v>0</v>
      </c>
      <c r="K1653" s="6">
        <f>VLOOKUP(operations[productID],products[],6,FALSE)</f>
        <v>0</v>
      </c>
      <c r="L1653" s="10">
        <f t="array" ref="L1653">INDEX('1 orders'!I1653:I2156, MATCH(1, ('1 orders'!A1653:A2156=A1653)*('1 orders'!G1653:G2156=F1653), 0))
</f>
        <v>25</v>
      </c>
      <c r="M1653" s="10">
        <f>IFERROR(__xludf.DUMMYFUNCTION("COUNTUNIQUEIFS($A$2:$A1653,$F$2:$F1653,F1653)"),21.0)</f>
        <v>21</v>
      </c>
      <c r="N1653" s="10">
        <f t="shared" si="1"/>
        <v>10</v>
      </c>
      <c r="O1653" s="26">
        <f>IF(operations[sinceLastOrder]=0,0,operations[orderQuantity] / operations[sinceLastOrder])</f>
        <v>2.5</v>
      </c>
      <c r="P1653" s="9">
        <v>38.06</v>
      </c>
      <c r="Q1653" s="7" t="s">
        <v>15</v>
      </c>
      <c r="R1653" s="10">
        <f>operations[arrivedDate]-operations[shippedDate]</f>
        <v>16</v>
      </c>
    </row>
    <row r="1654" ht="15.75" customHeight="1">
      <c r="A1654" s="6">
        <v>10878.0</v>
      </c>
      <c r="B1654" s="24">
        <v>45332.0</v>
      </c>
      <c r="C1654" s="24">
        <v>45361.0</v>
      </c>
      <c r="D1654" s="24">
        <v>45334.0</v>
      </c>
      <c r="E1654" s="24">
        <v>45338.0</v>
      </c>
      <c r="F1654" s="6">
        <v>20.0</v>
      </c>
      <c r="G1654" s="9" t="str">
        <f>VLOOKUP(operations[productID],products[],2,FALSE)</f>
        <v>Sir Rodney's Marmalade</v>
      </c>
      <c r="H1654" s="9" t="str">
        <f>IF(VLOOKUP(operations[productID],products[],7,FALSE)=1,"Discontinued","Current")</f>
        <v>Current</v>
      </c>
      <c r="I1654" s="6">
        <f>VLOOKUP(operations[productID],products[],4,FALSE)</f>
        <v>40</v>
      </c>
      <c r="J1654" s="6">
        <f>VLOOKUP(operations[productID],products[],5,FALSE)</f>
        <v>0</v>
      </c>
      <c r="K1654" s="6">
        <f>VLOOKUP(operations[productID],products[],6,FALSE)</f>
        <v>0</v>
      </c>
      <c r="L1654" s="10">
        <f t="array" ref="L1654">INDEX('1 orders'!I1654:I2156, MATCH(1, ('1 orders'!A1654:A2156=A1654)*('1 orders'!G1654:G2156=F1654), 0))
</f>
        <v>20</v>
      </c>
      <c r="M1654" s="10">
        <f>IFERROR(__xludf.DUMMYFUNCTION("COUNTUNIQUEIFS($A$2:$A1654,$F$2:$F1654,F1654)"),11.0)</f>
        <v>11</v>
      </c>
      <c r="N1654" s="10">
        <f t="shared" si="1"/>
        <v>28</v>
      </c>
      <c r="O1654" s="26">
        <f>IF(operations[sinceLastOrder]=0,0,operations[orderQuantity] / operations[sinceLastOrder])</f>
        <v>0.7142857143</v>
      </c>
      <c r="P1654" s="9">
        <v>46.69</v>
      </c>
      <c r="Q1654" s="7" t="s">
        <v>15</v>
      </c>
      <c r="R1654" s="10">
        <f>operations[arrivedDate]-operations[shippedDate]</f>
        <v>4</v>
      </c>
    </row>
    <row r="1655" ht="15.75" customHeight="1">
      <c r="A1655" s="6">
        <v>10879.0</v>
      </c>
      <c r="B1655" s="24">
        <v>45332.0</v>
      </c>
      <c r="C1655" s="24">
        <v>45361.0</v>
      </c>
      <c r="D1655" s="24">
        <v>45334.0</v>
      </c>
      <c r="E1655" s="24">
        <v>45348.0</v>
      </c>
      <c r="F1655" s="6">
        <v>40.0</v>
      </c>
      <c r="G1655" s="9" t="str">
        <f>VLOOKUP(operations[productID],products[],2,FALSE)</f>
        <v>Boston Crab Meat</v>
      </c>
      <c r="H1655" s="9" t="str">
        <f>IF(VLOOKUP(operations[productID],products[],7,FALSE)=1,"Discontinued","Current")</f>
        <v>Current</v>
      </c>
      <c r="I1655" s="6">
        <f>VLOOKUP(operations[productID],products[],4,FALSE)</f>
        <v>123</v>
      </c>
      <c r="J1655" s="6">
        <f>VLOOKUP(operations[productID],products[],5,FALSE)</f>
        <v>0</v>
      </c>
      <c r="K1655" s="6">
        <f>VLOOKUP(operations[productID],products[],6,FALSE)</f>
        <v>30</v>
      </c>
      <c r="L1655" s="10">
        <f t="array" ref="L1655">INDEX('1 orders'!I1655:I2156, MATCH(1, ('1 orders'!A1655:A2156=A1655)*('1 orders'!G1655:G2156=F1655), 0))
</f>
        <v>12</v>
      </c>
      <c r="M1655" s="10">
        <f>IFERROR(__xludf.DUMMYFUNCTION("COUNTUNIQUEIFS($A$2:$A1655,$F$2:$F1655,F1655)"),35.0)</f>
        <v>35</v>
      </c>
      <c r="N1655" s="10">
        <f t="shared" si="1"/>
        <v>25</v>
      </c>
      <c r="O1655" s="26">
        <f>IF(operations[sinceLastOrder]=0,0,operations[orderQuantity] / operations[sinceLastOrder])</f>
        <v>0.48</v>
      </c>
      <c r="P1655" s="9">
        <v>8.5</v>
      </c>
      <c r="Q1655" s="7" t="s">
        <v>13</v>
      </c>
      <c r="R1655" s="10">
        <f>operations[arrivedDate]-operations[shippedDate]</f>
        <v>14</v>
      </c>
    </row>
    <row r="1656" ht="15.75" customHeight="1">
      <c r="A1656" s="6">
        <v>10879.0</v>
      </c>
      <c r="B1656" s="24">
        <v>45332.0</v>
      </c>
      <c r="C1656" s="24">
        <v>45361.0</v>
      </c>
      <c r="D1656" s="24">
        <v>45334.0</v>
      </c>
      <c r="E1656" s="24">
        <v>45348.0</v>
      </c>
      <c r="F1656" s="6">
        <v>65.0</v>
      </c>
      <c r="G1656" s="9" t="str">
        <f>VLOOKUP(operations[productID],products[],2,FALSE)</f>
        <v>Louisiana Fiery Hot Pepper Sauce</v>
      </c>
      <c r="H1656" s="9" t="str">
        <f>IF(VLOOKUP(operations[productID],products[],7,FALSE)=1,"Discontinued","Current")</f>
        <v>Current</v>
      </c>
      <c r="I1656" s="6">
        <f>VLOOKUP(operations[productID],products[],4,FALSE)</f>
        <v>76</v>
      </c>
      <c r="J1656" s="6">
        <f>VLOOKUP(operations[productID],products[],5,FALSE)</f>
        <v>0</v>
      </c>
      <c r="K1656" s="6">
        <f>VLOOKUP(operations[productID],products[],6,FALSE)</f>
        <v>0</v>
      </c>
      <c r="L1656" s="10">
        <f t="array" ref="L1656">INDEX('1 orders'!I1656:I2156, MATCH(1, ('1 orders'!A1656:A2156=A1656)*('1 orders'!G1656:G2156=F1656), 0))
</f>
        <v>10</v>
      </c>
      <c r="M1656" s="10">
        <f>IFERROR(__xludf.DUMMYFUNCTION("COUNTUNIQUEIFS($A$2:$A1656,$F$2:$F1656,F1656)"),29.0)</f>
        <v>29</v>
      </c>
      <c r="N1656" s="10">
        <f t="shared" si="1"/>
        <v>5</v>
      </c>
      <c r="O1656" s="26">
        <f>IF(operations[sinceLastOrder]=0,0,operations[orderQuantity] / operations[sinceLastOrder])</f>
        <v>2</v>
      </c>
      <c r="P1656" s="9">
        <v>8.5</v>
      </c>
      <c r="Q1656" s="7" t="s">
        <v>13</v>
      </c>
      <c r="R1656" s="10">
        <f>operations[arrivedDate]-operations[shippedDate]</f>
        <v>14</v>
      </c>
    </row>
    <row r="1657" ht="15.75" customHeight="1">
      <c r="A1657" s="6">
        <v>10879.0</v>
      </c>
      <c r="B1657" s="24">
        <v>45332.0</v>
      </c>
      <c r="C1657" s="24">
        <v>45361.0</v>
      </c>
      <c r="D1657" s="24">
        <v>45334.0</v>
      </c>
      <c r="E1657" s="24">
        <v>45348.0</v>
      </c>
      <c r="F1657" s="6">
        <v>76.0</v>
      </c>
      <c r="G1657" s="9" t="str">
        <f>VLOOKUP(operations[productID],products[],2,FALSE)</f>
        <v>Lakkalikööri</v>
      </c>
      <c r="H1657" s="9" t="str">
        <f>IF(VLOOKUP(operations[productID],products[],7,FALSE)=1,"Discontinued","Current")</f>
        <v>Current</v>
      </c>
      <c r="I1657" s="6">
        <f>VLOOKUP(operations[productID],products[],4,FALSE)</f>
        <v>57</v>
      </c>
      <c r="J1657" s="6">
        <f>VLOOKUP(operations[productID],products[],5,FALSE)</f>
        <v>0</v>
      </c>
      <c r="K1657" s="6">
        <f>VLOOKUP(operations[productID],products[],6,FALSE)</f>
        <v>20</v>
      </c>
      <c r="L1657" s="10">
        <f t="array" ref="L1657">INDEX('1 orders'!I1657:I2156, MATCH(1, ('1 orders'!A1657:A2156=A1657)*('1 orders'!G1657:G2156=F1657), 0))
</f>
        <v>10</v>
      </c>
      <c r="M1657" s="10">
        <f>IFERROR(__xludf.DUMMYFUNCTION("COUNTUNIQUEIFS($A$2:$A1657,$F$2:$F1657,F1657)"),30.0)</f>
        <v>30</v>
      </c>
      <c r="N1657" s="10">
        <f t="shared" si="1"/>
        <v>12</v>
      </c>
      <c r="O1657" s="26">
        <f>IF(operations[sinceLastOrder]=0,0,operations[orderQuantity] / operations[sinceLastOrder])</f>
        <v>0.8333333333</v>
      </c>
      <c r="P1657" s="9">
        <v>8.5</v>
      </c>
      <c r="Q1657" s="7" t="s">
        <v>13</v>
      </c>
      <c r="R1657" s="10">
        <f>operations[arrivedDate]-operations[shippedDate]</f>
        <v>14</v>
      </c>
    </row>
    <row r="1658" ht="15.75" customHeight="1">
      <c r="A1658" s="6">
        <v>10880.0</v>
      </c>
      <c r="B1658" s="24">
        <v>45332.0</v>
      </c>
      <c r="C1658" s="24">
        <v>45375.0</v>
      </c>
      <c r="D1658" s="24">
        <v>45340.0</v>
      </c>
      <c r="E1658" s="24">
        <v>45346.0</v>
      </c>
      <c r="F1658" s="6">
        <v>23.0</v>
      </c>
      <c r="G1658" s="9" t="str">
        <f>VLOOKUP(operations[productID],products[],2,FALSE)</f>
        <v>Tunnbröd</v>
      </c>
      <c r="H1658" s="9" t="str">
        <f>IF(VLOOKUP(operations[productID],products[],7,FALSE)=1,"Discontinued","Current")</f>
        <v>Current</v>
      </c>
      <c r="I1658" s="6">
        <f>VLOOKUP(operations[productID],products[],4,FALSE)</f>
        <v>61</v>
      </c>
      <c r="J1658" s="6">
        <f>VLOOKUP(operations[productID],products[],5,FALSE)</f>
        <v>0</v>
      </c>
      <c r="K1658" s="6">
        <f>VLOOKUP(operations[productID],products[],6,FALSE)</f>
        <v>25</v>
      </c>
      <c r="L1658" s="10">
        <f t="array" ref="L1658">INDEX('1 orders'!I1658:I2156, MATCH(1, ('1 orders'!A1658:A2156=A1658)*('1 orders'!G1658:G2156=F1658), 0))
</f>
        <v>30</v>
      </c>
      <c r="M1658" s="10">
        <f>IFERROR(__xludf.DUMMYFUNCTION("COUNTUNIQUEIFS($A$2:$A1658,$F$2:$F1658,F1658)"),17.0)</f>
        <v>17</v>
      </c>
      <c r="N1658" s="10">
        <f t="shared" si="1"/>
        <v>6</v>
      </c>
      <c r="O1658" s="26">
        <f>IF(operations[sinceLastOrder]=0,0,operations[orderQuantity] / operations[sinceLastOrder])</f>
        <v>5</v>
      </c>
      <c r="P1658" s="9">
        <v>88.01</v>
      </c>
      <c r="Q1658" s="7" t="s">
        <v>15</v>
      </c>
      <c r="R1658" s="10">
        <f>operations[arrivedDate]-operations[shippedDate]</f>
        <v>6</v>
      </c>
    </row>
    <row r="1659" ht="15.75" customHeight="1">
      <c r="A1659" s="6">
        <v>10880.0</v>
      </c>
      <c r="B1659" s="24">
        <v>45332.0</v>
      </c>
      <c r="C1659" s="24">
        <v>45375.0</v>
      </c>
      <c r="D1659" s="24">
        <v>45340.0</v>
      </c>
      <c r="E1659" s="24">
        <v>45346.0</v>
      </c>
      <c r="F1659" s="6">
        <v>61.0</v>
      </c>
      <c r="G1659" s="9" t="str">
        <f>VLOOKUP(operations[productID],products[],2,FALSE)</f>
        <v>Sirop d'érable</v>
      </c>
      <c r="H1659" s="9" t="str">
        <f>IF(VLOOKUP(operations[productID],products[],7,FALSE)=1,"Discontinued","Current")</f>
        <v>Current</v>
      </c>
      <c r="I1659" s="6">
        <f>VLOOKUP(operations[productID],products[],4,FALSE)</f>
        <v>113</v>
      </c>
      <c r="J1659" s="6">
        <f>VLOOKUP(operations[productID],products[],5,FALSE)</f>
        <v>0</v>
      </c>
      <c r="K1659" s="6">
        <f>VLOOKUP(operations[productID],products[],6,FALSE)</f>
        <v>25</v>
      </c>
      <c r="L1659" s="10">
        <f t="array" ref="L1659">INDEX('1 orders'!I1659:I2156, MATCH(1, ('1 orders'!A1659:A2156=A1659)*('1 orders'!G1659:G2156=F1659), 0))
</f>
        <v>30</v>
      </c>
      <c r="M1659" s="10">
        <f>IFERROR(__xludf.DUMMYFUNCTION("COUNTUNIQUEIFS($A$2:$A1659,$F$2:$F1659,F1659)"),15.0)</f>
        <v>15</v>
      </c>
      <c r="N1659" s="10">
        <f t="shared" si="1"/>
        <v>36</v>
      </c>
      <c r="O1659" s="26">
        <f>IF(operations[sinceLastOrder]=0,0,operations[orderQuantity] / operations[sinceLastOrder])</f>
        <v>0.8333333333</v>
      </c>
      <c r="P1659" s="9">
        <v>88.01</v>
      </c>
      <c r="Q1659" s="7" t="s">
        <v>15</v>
      </c>
      <c r="R1659" s="10">
        <f>operations[arrivedDate]-operations[shippedDate]</f>
        <v>6</v>
      </c>
    </row>
    <row r="1660" ht="15.75" customHeight="1">
      <c r="A1660" s="6">
        <v>10880.0</v>
      </c>
      <c r="B1660" s="24">
        <v>45332.0</v>
      </c>
      <c r="C1660" s="24">
        <v>45375.0</v>
      </c>
      <c r="D1660" s="24">
        <v>45340.0</v>
      </c>
      <c r="E1660" s="24">
        <v>45346.0</v>
      </c>
      <c r="F1660" s="6">
        <v>70.0</v>
      </c>
      <c r="G1660" s="9" t="str">
        <f>VLOOKUP(operations[productID],products[],2,FALSE)</f>
        <v>Outback Lager</v>
      </c>
      <c r="H1660" s="9" t="str">
        <f>IF(VLOOKUP(operations[productID],products[],7,FALSE)=1,"Discontinued","Current")</f>
        <v>Current</v>
      </c>
      <c r="I1660" s="6">
        <f>VLOOKUP(operations[productID],products[],4,FALSE)</f>
        <v>15</v>
      </c>
      <c r="J1660" s="6">
        <f>VLOOKUP(operations[productID],products[],5,FALSE)</f>
        <v>10</v>
      </c>
      <c r="K1660" s="6">
        <f>VLOOKUP(operations[productID],products[],6,FALSE)</f>
        <v>30</v>
      </c>
      <c r="L1660" s="10">
        <f t="array" ref="L1660">INDEX('1 orders'!I1660:I2156, MATCH(1, ('1 orders'!A1660:A2156=A1660)*('1 orders'!G1660:G2156=F1660), 0))
</f>
        <v>50</v>
      </c>
      <c r="M1660" s="10">
        <f>IFERROR(__xludf.DUMMYFUNCTION("COUNTUNIQUEIFS($A$2:$A1660,$F$2:$F1660,F1660)"),32.0)</f>
        <v>32</v>
      </c>
      <c r="N1660" s="10">
        <f t="shared" si="1"/>
        <v>12</v>
      </c>
      <c r="O1660" s="26">
        <f>IF(operations[sinceLastOrder]=0,0,operations[orderQuantity] / operations[sinceLastOrder])</f>
        <v>4.166666667</v>
      </c>
      <c r="P1660" s="9">
        <v>88.01</v>
      </c>
      <c r="Q1660" s="7" t="s">
        <v>15</v>
      </c>
      <c r="R1660" s="10">
        <f>operations[arrivedDate]-operations[shippedDate]</f>
        <v>6</v>
      </c>
    </row>
    <row r="1661" ht="15.75" customHeight="1">
      <c r="A1661" s="6">
        <v>10881.0</v>
      </c>
      <c r="B1661" s="24">
        <v>45333.0</v>
      </c>
      <c r="C1661" s="24">
        <v>45362.0</v>
      </c>
      <c r="D1661" s="24">
        <v>45340.0</v>
      </c>
      <c r="E1661" s="24">
        <v>45351.0</v>
      </c>
      <c r="F1661" s="6">
        <v>73.0</v>
      </c>
      <c r="G1661" s="9" t="str">
        <f>VLOOKUP(operations[productID],products[],2,FALSE)</f>
        <v>Röd Kaviar</v>
      </c>
      <c r="H1661" s="9" t="str">
        <f>IF(VLOOKUP(operations[productID],products[],7,FALSE)=1,"Discontinued","Current")</f>
        <v>Current</v>
      </c>
      <c r="I1661" s="6">
        <f>VLOOKUP(operations[productID],products[],4,FALSE)</f>
        <v>101</v>
      </c>
      <c r="J1661" s="6">
        <f>VLOOKUP(operations[productID],products[],5,FALSE)</f>
        <v>0</v>
      </c>
      <c r="K1661" s="6">
        <f>VLOOKUP(operations[productID],products[],6,FALSE)</f>
        <v>5</v>
      </c>
      <c r="L1661" s="10">
        <f t="array" ref="L1661">INDEX('1 orders'!I1661:I2156, MATCH(1, ('1 orders'!A1661:A2156=A1661)*('1 orders'!G1661:G2156=F1661), 0))
</f>
        <v>10</v>
      </c>
      <c r="M1661" s="10">
        <f>IFERROR(__xludf.DUMMYFUNCTION("COUNTUNIQUEIFS($A$2:$A1661,$F$2:$F1661,F1661)"),13.0)</f>
        <v>13</v>
      </c>
      <c r="N1661" s="10">
        <f t="shared" si="1"/>
        <v>79</v>
      </c>
      <c r="O1661" s="26">
        <f>IF(operations[sinceLastOrder]=0,0,operations[orderQuantity] / operations[sinceLastOrder])</f>
        <v>0.1265822785</v>
      </c>
      <c r="P1661" s="9">
        <v>2.84</v>
      </c>
      <c r="Q1661" s="7" t="s">
        <v>15</v>
      </c>
      <c r="R1661" s="10">
        <f>operations[arrivedDate]-operations[shippedDate]</f>
        <v>11</v>
      </c>
    </row>
    <row r="1662" ht="15.75" customHeight="1">
      <c r="A1662" s="6">
        <v>10882.0</v>
      </c>
      <c r="B1662" s="24">
        <v>45333.0</v>
      </c>
      <c r="C1662" s="24">
        <v>45362.0</v>
      </c>
      <c r="D1662" s="24">
        <v>45342.0</v>
      </c>
      <c r="E1662" s="24">
        <v>45355.0</v>
      </c>
      <c r="F1662" s="6">
        <v>42.0</v>
      </c>
      <c r="G1662" s="9" t="str">
        <f>VLOOKUP(operations[productID],products[],2,FALSE)</f>
        <v>Singaporean Hokkien Fried Mee</v>
      </c>
      <c r="H1662" s="9" t="str">
        <f>IF(VLOOKUP(operations[productID],products[],7,FALSE)=1,"Discontinued","Current")</f>
        <v>Discontinued</v>
      </c>
      <c r="I1662" s="6">
        <f>VLOOKUP(operations[productID],products[],4,FALSE)</f>
        <v>26</v>
      </c>
      <c r="J1662" s="6">
        <f>VLOOKUP(operations[productID],products[],5,FALSE)</f>
        <v>0</v>
      </c>
      <c r="K1662" s="6">
        <f>VLOOKUP(operations[productID],products[],6,FALSE)</f>
        <v>0</v>
      </c>
      <c r="L1662" s="10">
        <f t="array" ref="L1662">INDEX('1 orders'!I1662:I2156, MATCH(1, ('1 orders'!A1662:A2156=A1662)*('1 orders'!G1662:G2156=F1662), 0))
</f>
        <v>25</v>
      </c>
      <c r="M1662" s="10">
        <f>IFERROR(__xludf.DUMMYFUNCTION("COUNTUNIQUEIFS($A$2:$A1662,$F$2:$F1662,F1662)"),24.0)</f>
        <v>24</v>
      </c>
      <c r="N1662" s="10">
        <f t="shared" si="1"/>
        <v>14</v>
      </c>
      <c r="O1662" s="26">
        <f>IF(operations[sinceLastOrder]=0,0,operations[orderQuantity] / operations[sinceLastOrder])</f>
        <v>1.785714286</v>
      </c>
      <c r="P1662" s="9">
        <v>23.1</v>
      </c>
      <c r="Q1662" s="7" t="s">
        <v>13</v>
      </c>
      <c r="R1662" s="10">
        <f>operations[arrivedDate]-operations[shippedDate]</f>
        <v>13</v>
      </c>
    </row>
    <row r="1663" ht="15.75" customHeight="1">
      <c r="A1663" s="6">
        <v>10882.0</v>
      </c>
      <c r="B1663" s="24">
        <v>45333.0</v>
      </c>
      <c r="C1663" s="24">
        <v>45362.0</v>
      </c>
      <c r="D1663" s="24">
        <v>45342.0</v>
      </c>
      <c r="E1663" s="24">
        <v>45355.0</v>
      </c>
      <c r="F1663" s="6">
        <v>49.0</v>
      </c>
      <c r="G1663" s="9" t="str">
        <f>VLOOKUP(operations[productID],products[],2,FALSE)</f>
        <v>Maxilaku</v>
      </c>
      <c r="H1663" s="9" t="str">
        <f>IF(VLOOKUP(operations[productID],products[],7,FALSE)=1,"Discontinued","Current")</f>
        <v>Current</v>
      </c>
      <c r="I1663" s="6">
        <f>VLOOKUP(operations[productID],products[],4,FALSE)</f>
        <v>10</v>
      </c>
      <c r="J1663" s="6">
        <f>VLOOKUP(operations[productID],products[],5,FALSE)</f>
        <v>60</v>
      </c>
      <c r="K1663" s="6">
        <f>VLOOKUP(operations[productID],products[],6,FALSE)</f>
        <v>15</v>
      </c>
      <c r="L1663" s="10">
        <f t="array" ref="L1663">INDEX('1 orders'!I1663:I2156, MATCH(1, ('1 orders'!A1663:A2156=A1663)*('1 orders'!G1663:G2156=F1663), 0))
</f>
        <v>20</v>
      </c>
      <c r="M1663" s="10">
        <f>IFERROR(__xludf.DUMMYFUNCTION("COUNTUNIQUEIFS($A$2:$A1663,$F$2:$F1663,F1663)"),16.0)</f>
        <v>16</v>
      </c>
      <c r="N1663" s="10">
        <f t="shared" si="1"/>
        <v>5</v>
      </c>
      <c r="O1663" s="26">
        <f>IF(operations[sinceLastOrder]=0,0,operations[orderQuantity] / operations[sinceLastOrder])</f>
        <v>4</v>
      </c>
      <c r="P1663" s="9">
        <v>23.1</v>
      </c>
      <c r="Q1663" s="7" t="s">
        <v>13</v>
      </c>
      <c r="R1663" s="10">
        <f>operations[arrivedDate]-operations[shippedDate]</f>
        <v>13</v>
      </c>
    </row>
    <row r="1664" ht="15.75" customHeight="1">
      <c r="A1664" s="6">
        <v>10882.0</v>
      </c>
      <c r="B1664" s="24">
        <v>45333.0</v>
      </c>
      <c r="C1664" s="24">
        <v>45362.0</v>
      </c>
      <c r="D1664" s="24">
        <v>45342.0</v>
      </c>
      <c r="E1664" s="24">
        <v>45355.0</v>
      </c>
      <c r="F1664" s="6">
        <v>54.0</v>
      </c>
      <c r="G1664" s="9" t="str">
        <f>VLOOKUP(operations[productID],products[],2,FALSE)</f>
        <v>Tourtière</v>
      </c>
      <c r="H1664" s="9" t="str">
        <f>IF(VLOOKUP(operations[productID],products[],7,FALSE)=1,"Discontinued","Current")</f>
        <v>Current</v>
      </c>
      <c r="I1664" s="6">
        <f>VLOOKUP(operations[productID],products[],4,FALSE)</f>
        <v>21</v>
      </c>
      <c r="J1664" s="6">
        <f>VLOOKUP(operations[productID],products[],5,FALSE)</f>
        <v>0</v>
      </c>
      <c r="K1664" s="6">
        <f>VLOOKUP(operations[productID],products[],6,FALSE)</f>
        <v>10</v>
      </c>
      <c r="L1664" s="10">
        <f t="array" ref="L1664">INDEX('1 orders'!I1664:I2156, MATCH(1, ('1 orders'!A1664:A2156=A1664)*('1 orders'!G1664:G2156=F1664), 0))
</f>
        <v>32</v>
      </c>
      <c r="M1664" s="10">
        <f>IFERROR(__xludf.DUMMYFUNCTION("COUNTUNIQUEIFS($A$2:$A1664,$F$2:$F1664,F1664)"),33.0)</f>
        <v>33</v>
      </c>
      <c r="N1664" s="10">
        <f t="shared" si="1"/>
        <v>13</v>
      </c>
      <c r="O1664" s="26">
        <f>IF(operations[sinceLastOrder]=0,0,operations[orderQuantity] / operations[sinceLastOrder])</f>
        <v>2.461538462</v>
      </c>
      <c r="P1664" s="9">
        <v>23.1</v>
      </c>
      <c r="Q1664" s="7" t="s">
        <v>13</v>
      </c>
      <c r="R1664" s="10">
        <f>operations[arrivedDate]-operations[shippedDate]</f>
        <v>13</v>
      </c>
    </row>
    <row r="1665" ht="15.75" customHeight="1">
      <c r="A1665" s="6">
        <v>10883.0</v>
      </c>
      <c r="B1665" s="24">
        <v>45334.0</v>
      </c>
      <c r="C1665" s="24">
        <v>45363.0</v>
      </c>
      <c r="D1665" s="24">
        <v>45342.0</v>
      </c>
      <c r="E1665" s="24">
        <v>45357.0</v>
      </c>
      <c r="F1665" s="6">
        <v>24.0</v>
      </c>
      <c r="G1665" s="9" t="str">
        <f>VLOOKUP(operations[productID],products[],2,FALSE)</f>
        <v>Brigadeiros Maravilhosos da Lilian</v>
      </c>
      <c r="H1665" s="9" t="str">
        <f>IF(VLOOKUP(operations[productID],products[],7,FALSE)=1,"Discontinued","Current")</f>
        <v>Discontinued</v>
      </c>
      <c r="I1665" s="6">
        <f>VLOOKUP(operations[productID],products[],4,FALSE)</f>
        <v>20</v>
      </c>
      <c r="J1665" s="6">
        <f>VLOOKUP(operations[productID],products[],5,FALSE)</f>
        <v>0</v>
      </c>
      <c r="K1665" s="6">
        <f>VLOOKUP(operations[productID],products[],6,FALSE)</f>
        <v>0</v>
      </c>
      <c r="L1665" s="10">
        <f t="array" ref="L1665">INDEX('1 orders'!I1665:I2156, MATCH(1, ('1 orders'!A1665:A2156=A1665)*('1 orders'!G1665:G2156=F1665), 0))
</f>
        <v>8</v>
      </c>
      <c r="M1665" s="10">
        <f>IFERROR(__xludf.DUMMYFUNCTION("COUNTUNIQUEIFS($A$2:$A1665,$F$2:$F1665,F1665)"),33.0)</f>
        <v>33</v>
      </c>
      <c r="N1665" s="10">
        <f t="shared" si="1"/>
        <v>9</v>
      </c>
      <c r="O1665" s="26">
        <f>IF(operations[sinceLastOrder]=0,0,operations[orderQuantity] / operations[sinceLastOrder])</f>
        <v>0.8888888889</v>
      </c>
      <c r="P1665" s="9">
        <v>0.53</v>
      </c>
      <c r="Q1665" s="7" t="s">
        <v>13</v>
      </c>
      <c r="R1665" s="10">
        <f>operations[arrivedDate]-operations[shippedDate]</f>
        <v>15</v>
      </c>
    </row>
    <row r="1666" ht="15.75" customHeight="1">
      <c r="A1666" s="6">
        <v>10884.0</v>
      </c>
      <c r="B1666" s="24">
        <v>45334.0</v>
      </c>
      <c r="C1666" s="24">
        <v>45363.0</v>
      </c>
      <c r="D1666" s="24">
        <v>45335.0</v>
      </c>
      <c r="E1666" s="24">
        <v>45350.0</v>
      </c>
      <c r="F1666" s="6">
        <v>21.0</v>
      </c>
      <c r="G1666" s="9" t="str">
        <f>VLOOKUP(operations[productID],products[],2,FALSE)</f>
        <v>Sir Rodney's Scones</v>
      </c>
      <c r="H1666" s="9" t="str">
        <f>IF(VLOOKUP(operations[productID],products[],7,FALSE)=1,"Discontinued","Current")</f>
        <v>Current</v>
      </c>
      <c r="I1666" s="6">
        <f>VLOOKUP(operations[productID],products[],4,FALSE)</f>
        <v>3</v>
      </c>
      <c r="J1666" s="6">
        <f>VLOOKUP(operations[productID],products[],5,FALSE)</f>
        <v>40</v>
      </c>
      <c r="K1666" s="6">
        <f>VLOOKUP(operations[productID],products[],6,FALSE)</f>
        <v>5</v>
      </c>
      <c r="L1666" s="10">
        <f t="array" ref="L1666">INDEX('1 orders'!I1666:I2156, MATCH(1, ('1 orders'!A1666:A2156=A1666)*('1 orders'!G1666:G2156=F1666), 0))
</f>
        <v>40</v>
      </c>
      <c r="M1666" s="10">
        <f>IFERROR(__xludf.DUMMYFUNCTION("COUNTUNIQUEIFS($A$2:$A1666,$F$2:$F1666,F1666)"),31.0)</f>
        <v>31</v>
      </c>
      <c r="N1666" s="10">
        <f t="shared" si="1"/>
        <v>6</v>
      </c>
      <c r="O1666" s="26">
        <f>IF(operations[sinceLastOrder]=0,0,operations[orderQuantity] / operations[sinceLastOrder])</f>
        <v>6.666666667</v>
      </c>
      <c r="P1666" s="9">
        <v>90.97</v>
      </c>
      <c r="Q1666" s="7" t="s">
        <v>17</v>
      </c>
      <c r="R1666" s="10">
        <f>operations[arrivedDate]-operations[shippedDate]</f>
        <v>15</v>
      </c>
    </row>
    <row r="1667" ht="15.75" customHeight="1">
      <c r="A1667" s="6">
        <v>10884.0</v>
      </c>
      <c r="B1667" s="24">
        <v>45334.0</v>
      </c>
      <c r="C1667" s="24">
        <v>45363.0</v>
      </c>
      <c r="D1667" s="24">
        <v>45335.0</v>
      </c>
      <c r="E1667" s="24">
        <v>45350.0</v>
      </c>
      <c r="F1667" s="6">
        <v>56.0</v>
      </c>
      <c r="G1667" s="9" t="str">
        <f>VLOOKUP(operations[productID],products[],2,FALSE)</f>
        <v>Gnocchi di nonna Alice</v>
      </c>
      <c r="H1667" s="9" t="str">
        <f>IF(VLOOKUP(operations[productID],products[],7,FALSE)=1,"Discontinued","Current")</f>
        <v>Current</v>
      </c>
      <c r="I1667" s="6">
        <f>VLOOKUP(operations[productID],products[],4,FALSE)</f>
        <v>21</v>
      </c>
      <c r="J1667" s="6">
        <f>VLOOKUP(operations[productID],products[],5,FALSE)</f>
        <v>10</v>
      </c>
      <c r="K1667" s="6">
        <f>VLOOKUP(operations[productID],products[],6,FALSE)</f>
        <v>30</v>
      </c>
      <c r="L1667" s="10">
        <f t="array" ref="L1667">INDEX('1 orders'!I1667:I2156, MATCH(1, ('1 orders'!A1667:A2156=A1667)*('1 orders'!G1667:G2156=F1667), 0))
</f>
        <v>21</v>
      </c>
      <c r="M1667" s="10">
        <f>IFERROR(__xludf.DUMMYFUNCTION("COUNTUNIQUEIFS($A$2:$A1667,$F$2:$F1667,F1667)"),45.0)</f>
        <v>45</v>
      </c>
      <c r="N1667" s="10">
        <f t="shared" si="1"/>
        <v>16</v>
      </c>
      <c r="O1667" s="26">
        <f>IF(operations[sinceLastOrder]=0,0,operations[orderQuantity] / operations[sinceLastOrder])</f>
        <v>1.3125</v>
      </c>
      <c r="P1667" s="9">
        <v>90.97</v>
      </c>
      <c r="Q1667" s="7" t="s">
        <v>17</v>
      </c>
      <c r="R1667" s="10">
        <f>operations[arrivedDate]-operations[shippedDate]</f>
        <v>15</v>
      </c>
    </row>
    <row r="1668" ht="15.75" customHeight="1">
      <c r="A1668" s="6">
        <v>10884.0</v>
      </c>
      <c r="B1668" s="24">
        <v>45334.0</v>
      </c>
      <c r="C1668" s="24">
        <v>45363.0</v>
      </c>
      <c r="D1668" s="24">
        <v>45335.0</v>
      </c>
      <c r="E1668" s="24">
        <v>45350.0</v>
      </c>
      <c r="F1668" s="6">
        <v>65.0</v>
      </c>
      <c r="G1668" s="9" t="str">
        <f>VLOOKUP(operations[productID],products[],2,FALSE)</f>
        <v>Louisiana Fiery Hot Pepper Sauce</v>
      </c>
      <c r="H1668" s="9" t="str">
        <f>IF(VLOOKUP(operations[productID],products[],7,FALSE)=1,"Discontinued","Current")</f>
        <v>Current</v>
      </c>
      <c r="I1668" s="6">
        <f>VLOOKUP(operations[productID],products[],4,FALSE)</f>
        <v>76</v>
      </c>
      <c r="J1668" s="6">
        <f>VLOOKUP(operations[productID],products[],5,FALSE)</f>
        <v>0</v>
      </c>
      <c r="K1668" s="6">
        <f>VLOOKUP(operations[productID],products[],6,FALSE)</f>
        <v>0</v>
      </c>
      <c r="L1668" s="10">
        <f t="array" ref="L1668">INDEX('1 orders'!I1668:I2156, MATCH(1, ('1 orders'!A1668:A2156=A1668)*('1 orders'!G1668:G2156=F1668), 0))
</f>
        <v>12</v>
      </c>
      <c r="M1668" s="10">
        <f>IFERROR(__xludf.DUMMYFUNCTION("COUNTUNIQUEIFS($A$2:$A1668,$F$2:$F1668,F1668)"),30.0)</f>
        <v>30</v>
      </c>
      <c r="N1668" s="10">
        <f t="shared" si="1"/>
        <v>2</v>
      </c>
      <c r="O1668" s="26">
        <f>IF(operations[sinceLastOrder]=0,0,operations[orderQuantity] / operations[sinceLastOrder])</f>
        <v>6</v>
      </c>
      <c r="P1668" s="9">
        <v>90.97</v>
      </c>
      <c r="Q1668" s="7" t="s">
        <v>17</v>
      </c>
      <c r="R1668" s="10">
        <f>operations[arrivedDate]-operations[shippedDate]</f>
        <v>15</v>
      </c>
    </row>
    <row r="1669" ht="15.75" customHeight="1">
      <c r="A1669" s="6">
        <v>10885.0</v>
      </c>
      <c r="B1669" s="24">
        <v>45334.0</v>
      </c>
      <c r="C1669" s="24">
        <v>45363.0</v>
      </c>
      <c r="D1669" s="24">
        <v>45340.0</v>
      </c>
      <c r="E1669" s="24">
        <v>45353.0</v>
      </c>
      <c r="F1669" s="6">
        <v>2.0</v>
      </c>
      <c r="G1669" s="9" t="str">
        <f>VLOOKUP(operations[productID],products[],2,FALSE)</f>
        <v>Chang</v>
      </c>
      <c r="H1669" s="9" t="str">
        <f>IF(VLOOKUP(operations[productID],products[],7,FALSE)=1,"Discontinued","Current")</f>
        <v>Current</v>
      </c>
      <c r="I1669" s="6">
        <f>VLOOKUP(operations[productID],products[],4,FALSE)</f>
        <v>17</v>
      </c>
      <c r="J1669" s="6">
        <f>VLOOKUP(operations[productID],products[],5,FALSE)</f>
        <v>40</v>
      </c>
      <c r="K1669" s="6">
        <f>VLOOKUP(operations[productID],products[],6,FALSE)</f>
        <v>25</v>
      </c>
      <c r="L1669" s="10">
        <f t="array" ref="L1669">INDEX('1 orders'!I1669:I2156, MATCH(1, ('1 orders'!A1669:A2156=A1669)*('1 orders'!G1669:G2156=F1669), 0))
</f>
        <v>20</v>
      </c>
      <c r="M1669" s="10">
        <f>IFERROR(__xludf.DUMMYFUNCTION("COUNTUNIQUEIFS($A$2:$A1669,$F$2:$F1669,F1669)"),33.0)</f>
        <v>33</v>
      </c>
      <c r="N1669" s="10">
        <f t="shared" si="1"/>
        <v>9</v>
      </c>
      <c r="O1669" s="26">
        <f>IF(operations[sinceLastOrder]=0,0,operations[orderQuantity] / operations[sinceLastOrder])</f>
        <v>2.222222222</v>
      </c>
      <c r="P1669" s="9">
        <v>5.64</v>
      </c>
      <c r="Q1669" s="7" t="s">
        <v>13</v>
      </c>
      <c r="R1669" s="10">
        <f>operations[arrivedDate]-operations[shippedDate]</f>
        <v>13</v>
      </c>
    </row>
    <row r="1670" ht="15.75" customHeight="1">
      <c r="A1670" s="6">
        <v>10885.0</v>
      </c>
      <c r="B1670" s="24">
        <v>45334.0</v>
      </c>
      <c r="C1670" s="24">
        <v>45363.0</v>
      </c>
      <c r="D1670" s="24">
        <v>45340.0</v>
      </c>
      <c r="E1670" s="24">
        <v>45353.0</v>
      </c>
      <c r="F1670" s="6">
        <v>24.0</v>
      </c>
      <c r="G1670" s="9" t="str">
        <f>VLOOKUP(operations[productID],products[],2,FALSE)</f>
        <v>Brigadeiros Maravilhosos da Lilian</v>
      </c>
      <c r="H1670" s="9" t="str">
        <f>IF(VLOOKUP(operations[productID],products[],7,FALSE)=1,"Discontinued","Current")</f>
        <v>Discontinued</v>
      </c>
      <c r="I1670" s="6">
        <f>VLOOKUP(operations[productID],products[],4,FALSE)</f>
        <v>20</v>
      </c>
      <c r="J1670" s="6">
        <f>VLOOKUP(operations[productID],products[],5,FALSE)</f>
        <v>0</v>
      </c>
      <c r="K1670" s="6">
        <f>VLOOKUP(operations[productID],products[],6,FALSE)</f>
        <v>0</v>
      </c>
      <c r="L1670" s="10">
        <f t="array" ref="L1670">INDEX('1 orders'!I1670:I2156, MATCH(1, ('1 orders'!A1670:A2156=A1670)*('1 orders'!G1670:G2156=F1670), 0))
</f>
        <v>12</v>
      </c>
      <c r="M1670" s="10">
        <f>IFERROR(__xludf.DUMMYFUNCTION("COUNTUNIQUEIFS($A$2:$A1670,$F$2:$F1670,F1670)"),34.0)</f>
        <v>34</v>
      </c>
      <c r="N1670" s="10">
        <f t="shared" si="1"/>
        <v>0</v>
      </c>
      <c r="O1670" s="26">
        <f>IF(operations[sinceLastOrder]=0,0,operations[orderQuantity] / operations[sinceLastOrder])</f>
        <v>0</v>
      </c>
      <c r="P1670" s="9">
        <v>5.64</v>
      </c>
      <c r="Q1670" s="7" t="s">
        <v>13</v>
      </c>
      <c r="R1670" s="10">
        <f>operations[arrivedDate]-operations[shippedDate]</f>
        <v>13</v>
      </c>
    </row>
    <row r="1671" ht="15.75" customHeight="1">
      <c r="A1671" s="6">
        <v>10885.0</v>
      </c>
      <c r="B1671" s="24">
        <v>45334.0</v>
      </c>
      <c r="C1671" s="24">
        <v>45363.0</v>
      </c>
      <c r="D1671" s="24">
        <v>45340.0</v>
      </c>
      <c r="E1671" s="24">
        <v>45353.0</v>
      </c>
      <c r="F1671" s="6">
        <v>70.0</v>
      </c>
      <c r="G1671" s="9" t="str">
        <f>VLOOKUP(operations[productID],products[],2,FALSE)</f>
        <v>Outback Lager</v>
      </c>
      <c r="H1671" s="9" t="str">
        <f>IF(VLOOKUP(operations[productID],products[],7,FALSE)=1,"Discontinued","Current")</f>
        <v>Current</v>
      </c>
      <c r="I1671" s="6">
        <f>VLOOKUP(operations[productID],products[],4,FALSE)</f>
        <v>15</v>
      </c>
      <c r="J1671" s="6">
        <f>VLOOKUP(operations[productID],products[],5,FALSE)</f>
        <v>10</v>
      </c>
      <c r="K1671" s="6">
        <f>VLOOKUP(operations[productID],products[],6,FALSE)</f>
        <v>30</v>
      </c>
      <c r="L1671" s="10">
        <f t="array" ref="L1671">INDEX('1 orders'!I1671:I2156, MATCH(1, ('1 orders'!A1671:A2156=A1671)*('1 orders'!G1671:G2156=F1671), 0))
</f>
        <v>30</v>
      </c>
      <c r="M1671" s="10">
        <f>IFERROR(__xludf.DUMMYFUNCTION("COUNTUNIQUEIFS($A$2:$A1671,$F$2:$F1671,F1671)"),33.0)</f>
        <v>33</v>
      </c>
      <c r="N1671" s="10">
        <f t="shared" si="1"/>
        <v>2</v>
      </c>
      <c r="O1671" s="26">
        <f>IF(operations[sinceLastOrder]=0,0,operations[orderQuantity] / operations[sinceLastOrder])</f>
        <v>15</v>
      </c>
      <c r="P1671" s="9">
        <v>5.64</v>
      </c>
      <c r="Q1671" s="7" t="s">
        <v>13</v>
      </c>
      <c r="R1671" s="10">
        <f>operations[arrivedDate]-operations[shippedDate]</f>
        <v>13</v>
      </c>
    </row>
    <row r="1672" ht="15.75" customHeight="1">
      <c r="A1672" s="6">
        <v>10885.0</v>
      </c>
      <c r="B1672" s="24">
        <v>45334.0</v>
      </c>
      <c r="C1672" s="24">
        <v>45363.0</v>
      </c>
      <c r="D1672" s="24">
        <v>45340.0</v>
      </c>
      <c r="E1672" s="24">
        <v>45353.0</v>
      </c>
      <c r="F1672" s="6">
        <v>77.0</v>
      </c>
      <c r="G1672" s="9" t="str">
        <f>VLOOKUP(operations[productID],products[],2,FALSE)</f>
        <v>Original Frankfurter grüne Soße</v>
      </c>
      <c r="H1672" s="9" t="str">
        <f>IF(VLOOKUP(operations[productID],products[],7,FALSE)=1,"Discontinued","Current")</f>
        <v>Current</v>
      </c>
      <c r="I1672" s="6">
        <f>VLOOKUP(operations[productID],products[],4,FALSE)</f>
        <v>32</v>
      </c>
      <c r="J1672" s="6">
        <f>VLOOKUP(operations[productID],products[],5,FALSE)</f>
        <v>0</v>
      </c>
      <c r="K1672" s="6">
        <f>VLOOKUP(operations[productID],products[],6,FALSE)</f>
        <v>15</v>
      </c>
      <c r="L1672" s="10">
        <f t="array" ref="L1672">INDEX('1 orders'!I1672:I2156, MATCH(1, ('1 orders'!A1672:A2156=A1672)*('1 orders'!G1672:G2156=F1672), 0))
</f>
        <v>25</v>
      </c>
      <c r="M1672" s="10">
        <f>IFERROR(__xludf.DUMMYFUNCTION("COUNTUNIQUEIFS($A$2:$A1672,$F$2:$F1672,F1672)"),28.0)</f>
        <v>28</v>
      </c>
      <c r="N1672" s="10">
        <f t="shared" si="1"/>
        <v>23</v>
      </c>
      <c r="O1672" s="26">
        <f>IF(operations[sinceLastOrder]=0,0,operations[orderQuantity] / operations[sinceLastOrder])</f>
        <v>1.086956522</v>
      </c>
      <c r="P1672" s="9">
        <v>5.64</v>
      </c>
      <c r="Q1672" s="7" t="s">
        <v>13</v>
      </c>
      <c r="R1672" s="10">
        <f>operations[arrivedDate]-operations[shippedDate]</f>
        <v>13</v>
      </c>
    </row>
    <row r="1673" ht="15.75" customHeight="1">
      <c r="A1673" s="6">
        <v>10886.0</v>
      </c>
      <c r="B1673" s="24">
        <v>45335.0</v>
      </c>
      <c r="C1673" s="24">
        <v>45364.0</v>
      </c>
      <c r="D1673" s="24">
        <v>45353.0</v>
      </c>
      <c r="E1673" s="24">
        <v>45370.0</v>
      </c>
      <c r="F1673" s="6">
        <v>10.0</v>
      </c>
      <c r="G1673" s="9" t="str">
        <f>VLOOKUP(operations[productID],products[],2,FALSE)</f>
        <v>Ikura</v>
      </c>
      <c r="H1673" s="9" t="str">
        <f>IF(VLOOKUP(operations[productID],products[],7,FALSE)=1,"Discontinued","Current")</f>
        <v>Current</v>
      </c>
      <c r="I1673" s="6">
        <f>VLOOKUP(operations[productID],products[],4,FALSE)</f>
        <v>31</v>
      </c>
      <c r="J1673" s="6">
        <f>VLOOKUP(operations[productID],products[],5,FALSE)</f>
        <v>0</v>
      </c>
      <c r="K1673" s="6">
        <f>VLOOKUP(operations[productID],products[],6,FALSE)</f>
        <v>0</v>
      </c>
      <c r="L1673" s="10">
        <f t="array" ref="L1673">INDEX('1 orders'!I1673:I2156, MATCH(1, ('1 orders'!A1673:A2156=A1673)*('1 orders'!G1673:G2156=F1673), 0))
</f>
        <v>70</v>
      </c>
      <c r="M1673" s="10">
        <f>IFERROR(__xludf.DUMMYFUNCTION("COUNTUNIQUEIFS($A$2:$A1673,$F$2:$F1673,F1673)"),28.0)</f>
        <v>28</v>
      </c>
      <c r="N1673" s="10">
        <f t="shared" si="1"/>
        <v>7</v>
      </c>
      <c r="O1673" s="26">
        <f>IF(operations[sinceLastOrder]=0,0,operations[orderQuantity] / operations[sinceLastOrder])</f>
        <v>10</v>
      </c>
      <c r="P1673" s="9">
        <v>4.99</v>
      </c>
      <c r="Q1673" s="7" t="s">
        <v>15</v>
      </c>
      <c r="R1673" s="10">
        <f>operations[arrivedDate]-operations[shippedDate]</f>
        <v>17</v>
      </c>
    </row>
    <row r="1674" ht="15.75" customHeight="1">
      <c r="A1674" s="6">
        <v>10886.0</v>
      </c>
      <c r="B1674" s="24">
        <v>45335.0</v>
      </c>
      <c r="C1674" s="24">
        <v>45364.0</v>
      </c>
      <c r="D1674" s="24">
        <v>45353.0</v>
      </c>
      <c r="E1674" s="24">
        <v>45370.0</v>
      </c>
      <c r="F1674" s="6">
        <v>31.0</v>
      </c>
      <c r="G1674" s="9" t="str">
        <f>VLOOKUP(operations[productID],products[],2,FALSE)</f>
        <v>Gorgonzola Telino</v>
      </c>
      <c r="H1674" s="9" t="str">
        <f>IF(VLOOKUP(operations[productID],products[],7,FALSE)=1,"Discontinued","Current")</f>
        <v>Current</v>
      </c>
      <c r="I1674" s="6">
        <f>VLOOKUP(operations[productID],products[],4,FALSE)</f>
        <v>0</v>
      </c>
      <c r="J1674" s="6">
        <f>VLOOKUP(operations[productID],products[],5,FALSE)</f>
        <v>70</v>
      </c>
      <c r="K1674" s="6">
        <f>VLOOKUP(operations[productID],products[],6,FALSE)</f>
        <v>20</v>
      </c>
      <c r="L1674" s="10">
        <f t="array" ref="L1674">INDEX('1 orders'!I1674:I2156, MATCH(1, ('1 orders'!A1674:A2156=A1674)*('1 orders'!G1674:G2156=F1674), 0))
</f>
        <v>35</v>
      </c>
      <c r="M1674" s="10">
        <f>IFERROR(__xludf.DUMMYFUNCTION("COUNTUNIQUEIFS($A$2:$A1674,$F$2:$F1674,F1674)"),44.0)</f>
        <v>44</v>
      </c>
      <c r="N1674" s="10">
        <f t="shared" si="1"/>
        <v>17</v>
      </c>
      <c r="O1674" s="26">
        <f>IF(operations[sinceLastOrder]=0,0,operations[orderQuantity] / operations[sinceLastOrder])</f>
        <v>2.058823529</v>
      </c>
      <c r="P1674" s="9">
        <v>4.99</v>
      </c>
      <c r="Q1674" s="7" t="s">
        <v>15</v>
      </c>
      <c r="R1674" s="10">
        <f>operations[arrivedDate]-operations[shippedDate]</f>
        <v>17</v>
      </c>
    </row>
    <row r="1675" ht="15.75" customHeight="1">
      <c r="A1675" s="6">
        <v>10886.0</v>
      </c>
      <c r="B1675" s="24">
        <v>45335.0</v>
      </c>
      <c r="C1675" s="24">
        <v>45364.0</v>
      </c>
      <c r="D1675" s="24">
        <v>45353.0</v>
      </c>
      <c r="E1675" s="24">
        <v>45370.0</v>
      </c>
      <c r="F1675" s="6">
        <v>77.0</v>
      </c>
      <c r="G1675" s="9" t="str">
        <f>VLOOKUP(operations[productID],products[],2,FALSE)</f>
        <v>Original Frankfurter grüne Soße</v>
      </c>
      <c r="H1675" s="9" t="str">
        <f>IF(VLOOKUP(operations[productID],products[],7,FALSE)=1,"Discontinued","Current")</f>
        <v>Current</v>
      </c>
      <c r="I1675" s="6">
        <f>VLOOKUP(operations[productID],products[],4,FALSE)</f>
        <v>32</v>
      </c>
      <c r="J1675" s="6">
        <f>VLOOKUP(operations[productID],products[],5,FALSE)</f>
        <v>0</v>
      </c>
      <c r="K1675" s="6">
        <f>VLOOKUP(operations[productID],products[],6,FALSE)</f>
        <v>15</v>
      </c>
      <c r="L1675" s="10">
        <f t="array" ref="L1675">INDEX('1 orders'!I1675:I2156, MATCH(1, ('1 orders'!A1675:A2156=A1675)*('1 orders'!G1675:G2156=F1675), 0))
</f>
        <v>40</v>
      </c>
      <c r="M1675" s="10">
        <f>IFERROR(__xludf.DUMMYFUNCTION("COUNTUNIQUEIFS($A$2:$A1675,$F$2:$F1675,F1675)"),29.0)</f>
        <v>29</v>
      </c>
      <c r="N1675" s="10">
        <f t="shared" si="1"/>
        <v>1</v>
      </c>
      <c r="O1675" s="26">
        <f>IF(operations[sinceLastOrder]=0,0,operations[orderQuantity] / operations[sinceLastOrder])</f>
        <v>40</v>
      </c>
      <c r="P1675" s="9">
        <v>4.99</v>
      </c>
      <c r="Q1675" s="7" t="s">
        <v>15</v>
      </c>
      <c r="R1675" s="10">
        <f>operations[arrivedDate]-operations[shippedDate]</f>
        <v>17</v>
      </c>
    </row>
    <row r="1676" ht="15.75" customHeight="1">
      <c r="A1676" s="6">
        <v>10887.0</v>
      </c>
      <c r="B1676" s="24">
        <v>45335.0</v>
      </c>
      <c r="C1676" s="24">
        <v>45364.0</v>
      </c>
      <c r="D1676" s="24">
        <v>45338.0</v>
      </c>
      <c r="E1676" s="24">
        <v>45349.0</v>
      </c>
      <c r="F1676" s="6">
        <v>25.0</v>
      </c>
      <c r="G1676" s="9" t="str">
        <f>VLOOKUP(operations[productID],products[],2,FALSE)</f>
        <v>HM Köstliche Kaiserschmarrn Knödelchen</v>
      </c>
      <c r="H1676" s="9" t="str">
        <f>IF(VLOOKUP(operations[productID],products[],7,FALSE)=1,"Discontinued","Current")</f>
        <v>Current</v>
      </c>
      <c r="I1676" s="6">
        <f>VLOOKUP(operations[productID],products[],4,FALSE)</f>
        <v>76</v>
      </c>
      <c r="J1676" s="6">
        <f>VLOOKUP(operations[productID],products[],5,FALSE)</f>
        <v>0</v>
      </c>
      <c r="K1676" s="6">
        <f>VLOOKUP(operations[productID],products[],6,FALSE)</f>
        <v>30</v>
      </c>
      <c r="L1676" s="10">
        <f t="array" ref="L1676">INDEX('1 orders'!I1676:I2156, MATCH(1, ('1 orders'!A1676:A2156=A1676)*('1 orders'!G1676:G2156=F1676), 0))
</f>
        <v>5</v>
      </c>
      <c r="M1676" s="10">
        <f>IFERROR(__xludf.DUMMYFUNCTION("COUNTUNIQUEIFS($A$2:$A1676,$F$2:$F1676,F1676)"),16.0)</f>
        <v>16</v>
      </c>
      <c r="N1676" s="10">
        <f t="shared" si="1"/>
        <v>18</v>
      </c>
      <c r="O1676" s="26">
        <f>IF(operations[sinceLastOrder]=0,0,operations[orderQuantity] / operations[sinceLastOrder])</f>
        <v>0.2777777778</v>
      </c>
      <c r="P1676" s="9">
        <v>1.25</v>
      </c>
      <c r="Q1676" s="7" t="s">
        <v>13</v>
      </c>
      <c r="R1676" s="10">
        <f>operations[arrivedDate]-operations[shippedDate]</f>
        <v>11</v>
      </c>
    </row>
    <row r="1677" ht="15.75" customHeight="1">
      <c r="A1677" s="6">
        <v>10888.0</v>
      </c>
      <c r="B1677" s="24">
        <v>45338.0</v>
      </c>
      <c r="C1677" s="24">
        <v>45367.0</v>
      </c>
      <c r="D1677" s="24">
        <v>45345.0</v>
      </c>
      <c r="E1677" s="24">
        <v>45356.0</v>
      </c>
      <c r="F1677" s="6">
        <v>2.0</v>
      </c>
      <c r="G1677" s="9" t="str">
        <f>VLOOKUP(operations[productID],products[],2,FALSE)</f>
        <v>Chang</v>
      </c>
      <c r="H1677" s="9" t="str">
        <f>IF(VLOOKUP(operations[productID],products[],7,FALSE)=1,"Discontinued","Current")</f>
        <v>Current</v>
      </c>
      <c r="I1677" s="6">
        <f>VLOOKUP(operations[productID],products[],4,FALSE)</f>
        <v>17</v>
      </c>
      <c r="J1677" s="6">
        <f>VLOOKUP(operations[productID],products[],5,FALSE)</f>
        <v>40</v>
      </c>
      <c r="K1677" s="6">
        <f>VLOOKUP(operations[productID],products[],6,FALSE)</f>
        <v>25</v>
      </c>
      <c r="L1677" s="10">
        <f t="array" ref="L1677">INDEX('1 orders'!I1677:I2156, MATCH(1, ('1 orders'!A1677:A2156=A1677)*('1 orders'!G1677:G2156=F1677), 0))
</f>
        <v>20</v>
      </c>
      <c r="M1677" s="10">
        <f>IFERROR(__xludf.DUMMYFUNCTION("COUNTUNIQUEIFS($A$2:$A1677,$F$2:$F1677,F1677)"),34.0)</f>
        <v>34</v>
      </c>
      <c r="N1677" s="10">
        <f t="shared" si="1"/>
        <v>4</v>
      </c>
      <c r="O1677" s="26">
        <f>IF(operations[sinceLastOrder]=0,0,operations[orderQuantity] / operations[sinceLastOrder])</f>
        <v>5</v>
      </c>
      <c r="P1677" s="9">
        <v>51.87</v>
      </c>
      <c r="Q1677" s="7" t="s">
        <v>17</v>
      </c>
      <c r="R1677" s="10">
        <f>operations[arrivedDate]-operations[shippedDate]</f>
        <v>11</v>
      </c>
    </row>
    <row r="1678" ht="15.75" customHeight="1">
      <c r="A1678" s="6">
        <v>10888.0</v>
      </c>
      <c r="B1678" s="24">
        <v>45338.0</v>
      </c>
      <c r="C1678" s="24">
        <v>45367.0</v>
      </c>
      <c r="D1678" s="24">
        <v>45345.0</v>
      </c>
      <c r="E1678" s="24">
        <v>45356.0</v>
      </c>
      <c r="F1678" s="6">
        <v>68.0</v>
      </c>
      <c r="G1678" s="9" t="str">
        <f>VLOOKUP(operations[productID],products[],2,FALSE)</f>
        <v>Scottish Longbreads</v>
      </c>
      <c r="H1678" s="9" t="str">
        <f>IF(VLOOKUP(operations[productID],products[],7,FALSE)=1,"Discontinued","Current")</f>
        <v>Current</v>
      </c>
      <c r="I1678" s="6">
        <f>VLOOKUP(operations[productID],products[],4,FALSE)</f>
        <v>6</v>
      </c>
      <c r="J1678" s="6">
        <f>VLOOKUP(operations[productID],products[],5,FALSE)</f>
        <v>10</v>
      </c>
      <c r="K1678" s="6">
        <f>VLOOKUP(operations[productID],products[],6,FALSE)</f>
        <v>15</v>
      </c>
      <c r="L1678" s="10">
        <f t="array" ref="L1678">INDEX('1 orders'!I1678:I2156, MATCH(1, ('1 orders'!A1678:A2156=A1678)*('1 orders'!G1678:G2156=F1678), 0))
</f>
        <v>18</v>
      </c>
      <c r="M1678" s="10">
        <f>IFERROR(__xludf.DUMMYFUNCTION("COUNTUNIQUEIFS($A$2:$A1678,$F$2:$F1678,F1678)"),29.0)</f>
        <v>29</v>
      </c>
      <c r="N1678" s="10">
        <f t="shared" si="1"/>
        <v>12</v>
      </c>
      <c r="O1678" s="26">
        <f>IF(operations[sinceLastOrder]=0,0,operations[orderQuantity] / operations[sinceLastOrder])</f>
        <v>1.5</v>
      </c>
      <c r="P1678" s="9">
        <v>51.87</v>
      </c>
      <c r="Q1678" s="7" t="s">
        <v>17</v>
      </c>
      <c r="R1678" s="10">
        <f>operations[arrivedDate]-operations[shippedDate]</f>
        <v>11</v>
      </c>
    </row>
    <row r="1679" ht="15.75" customHeight="1">
      <c r="A1679" s="6">
        <v>10889.0</v>
      </c>
      <c r="B1679" s="24">
        <v>45338.0</v>
      </c>
      <c r="C1679" s="24">
        <v>45367.0</v>
      </c>
      <c r="D1679" s="24">
        <v>45345.0</v>
      </c>
      <c r="E1679" s="24">
        <v>45362.0</v>
      </c>
      <c r="F1679" s="6">
        <v>11.0</v>
      </c>
      <c r="G1679" s="9" t="str">
        <f>VLOOKUP(operations[productID],products[],2,FALSE)</f>
        <v>Queso Cabrales</v>
      </c>
      <c r="H1679" s="9" t="str">
        <f>IF(VLOOKUP(operations[productID],products[],7,FALSE)=1,"Discontinued","Current")</f>
        <v>Current</v>
      </c>
      <c r="I1679" s="6">
        <f>VLOOKUP(operations[productID],products[],4,FALSE)</f>
        <v>22</v>
      </c>
      <c r="J1679" s="6">
        <f>VLOOKUP(operations[productID],products[],5,FALSE)</f>
        <v>30</v>
      </c>
      <c r="K1679" s="6">
        <f>VLOOKUP(operations[productID],products[],6,FALSE)</f>
        <v>30</v>
      </c>
      <c r="L1679" s="10">
        <f t="array" ref="L1679">INDEX('1 orders'!I1679:I2156, MATCH(1, ('1 orders'!A1679:A2156=A1679)*('1 orders'!G1679:G2156=F1679), 0))
</f>
        <v>40</v>
      </c>
      <c r="M1679" s="10">
        <f>IFERROR(__xludf.DUMMYFUNCTION("COUNTUNIQUEIFS($A$2:$A1679,$F$2:$F1679,F1679)"),31.0)</f>
        <v>31</v>
      </c>
      <c r="N1679" s="10">
        <f t="shared" si="1"/>
        <v>12</v>
      </c>
      <c r="O1679" s="26">
        <f>IF(operations[sinceLastOrder]=0,0,operations[orderQuantity] / operations[sinceLastOrder])</f>
        <v>3.333333333</v>
      </c>
      <c r="P1679" s="9">
        <v>280.61</v>
      </c>
      <c r="Q1679" s="7" t="s">
        <v>13</v>
      </c>
      <c r="R1679" s="10">
        <f>operations[arrivedDate]-operations[shippedDate]</f>
        <v>17</v>
      </c>
    </row>
    <row r="1680" ht="15.75" customHeight="1">
      <c r="A1680" s="6">
        <v>10889.0</v>
      </c>
      <c r="B1680" s="24">
        <v>45338.0</v>
      </c>
      <c r="C1680" s="24">
        <v>45367.0</v>
      </c>
      <c r="D1680" s="24">
        <v>45345.0</v>
      </c>
      <c r="E1680" s="24">
        <v>45362.0</v>
      </c>
      <c r="F1680" s="6">
        <v>38.0</v>
      </c>
      <c r="G1680" s="9" t="str">
        <f>VLOOKUP(operations[productID],products[],2,FALSE)</f>
        <v>Côte de Blaye</v>
      </c>
      <c r="H1680" s="9" t="str">
        <f>IF(VLOOKUP(operations[productID],products[],7,FALSE)=1,"Discontinued","Current")</f>
        <v>Current</v>
      </c>
      <c r="I1680" s="6">
        <f>VLOOKUP(operations[productID],products[],4,FALSE)</f>
        <v>17</v>
      </c>
      <c r="J1680" s="6">
        <f>VLOOKUP(operations[productID],products[],5,FALSE)</f>
        <v>0</v>
      </c>
      <c r="K1680" s="6">
        <f>VLOOKUP(operations[productID],products[],6,FALSE)</f>
        <v>15</v>
      </c>
      <c r="L1680" s="10">
        <f t="array" ref="L1680">INDEX('1 orders'!I1680:I2156, MATCH(1, ('1 orders'!A1680:A2156=A1680)*('1 orders'!G1680:G2156=F1680), 0))
</f>
        <v>40</v>
      </c>
      <c r="M1680" s="10">
        <f>IFERROR(__xludf.DUMMYFUNCTION("COUNTUNIQUEIFS($A$2:$A1680,$F$2:$F1680,F1680)"),21.0)</f>
        <v>21</v>
      </c>
      <c r="N1680" s="10">
        <f t="shared" si="1"/>
        <v>14</v>
      </c>
      <c r="O1680" s="26">
        <f>IF(operations[sinceLastOrder]=0,0,operations[orderQuantity] / operations[sinceLastOrder])</f>
        <v>2.857142857</v>
      </c>
      <c r="P1680" s="9">
        <v>280.61</v>
      </c>
      <c r="Q1680" s="7" t="s">
        <v>13</v>
      </c>
      <c r="R1680" s="10">
        <f>operations[arrivedDate]-operations[shippedDate]</f>
        <v>17</v>
      </c>
    </row>
    <row r="1681" ht="15.75" customHeight="1">
      <c r="A1681" s="6">
        <v>10890.0</v>
      </c>
      <c r="B1681" s="24">
        <v>45338.0</v>
      </c>
      <c r="C1681" s="24">
        <v>45367.0</v>
      </c>
      <c r="D1681" s="24">
        <v>45340.0</v>
      </c>
      <c r="E1681" s="24">
        <v>45345.0</v>
      </c>
      <c r="F1681" s="6">
        <v>17.0</v>
      </c>
      <c r="G1681" s="9" t="str">
        <f>VLOOKUP(operations[productID],products[],2,FALSE)</f>
        <v>Alice Mutton</v>
      </c>
      <c r="H1681" s="9" t="str">
        <f>IF(VLOOKUP(operations[productID],products[],7,FALSE)=1,"Discontinued","Current")</f>
        <v>Discontinued</v>
      </c>
      <c r="I1681" s="6">
        <f>VLOOKUP(operations[productID],products[],4,FALSE)</f>
        <v>0</v>
      </c>
      <c r="J1681" s="6">
        <f>VLOOKUP(operations[productID],products[],5,FALSE)</f>
        <v>0</v>
      </c>
      <c r="K1681" s="6">
        <f>VLOOKUP(operations[productID],products[],6,FALSE)</f>
        <v>0</v>
      </c>
      <c r="L1681" s="10">
        <f t="array" ref="L1681">INDEX('1 orders'!I1681:I2156, MATCH(1, ('1 orders'!A1681:A2156=A1681)*('1 orders'!G1681:G2156=F1681), 0))
</f>
        <v>15</v>
      </c>
      <c r="M1681" s="10">
        <f>IFERROR(__xludf.DUMMYFUNCTION("COUNTUNIQUEIFS($A$2:$A1681,$F$2:$F1681,F1681)"),30.0)</f>
        <v>30</v>
      </c>
      <c r="N1681" s="10">
        <f t="shared" si="1"/>
        <v>11</v>
      </c>
      <c r="O1681" s="26">
        <f>IF(operations[sinceLastOrder]=0,0,operations[orderQuantity] / operations[sinceLastOrder])</f>
        <v>1.363636364</v>
      </c>
      <c r="P1681" s="9">
        <v>32.76</v>
      </c>
      <c r="Q1681" s="7" t="s">
        <v>15</v>
      </c>
      <c r="R1681" s="10">
        <f>operations[arrivedDate]-operations[shippedDate]</f>
        <v>5</v>
      </c>
    </row>
    <row r="1682" ht="15.75" customHeight="1">
      <c r="A1682" s="6">
        <v>10890.0</v>
      </c>
      <c r="B1682" s="24">
        <v>45338.0</v>
      </c>
      <c r="C1682" s="24">
        <v>45367.0</v>
      </c>
      <c r="D1682" s="24">
        <v>45340.0</v>
      </c>
      <c r="E1682" s="24">
        <v>45345.0</v>
      </c>
      <c r="F1682" s="6">
        <v>34.0</v>
      </c>
      <c r="G1682" s="9" t="str">
        <f>VLOOKUP(operations[productID],products[],2,FALSE)</f>
        <v>Sasquatch Ale</v>
      </c>
      <c r="H1682" s="9" t="str">
        <f>IF(VLOOKUP(operations[productID],products[],7,FALSE)=1,"Discontinued","Current")</f>
        <v>Current</v>
      </c>
      <c r="I1682" s="6">
        <f>VLOOKUP(operations[productID],products[],4,FALSE)</f>
        <v>111</v>
      </c>
      <c r="J1682" s="6">
        <f>VLOOKUP(operations[productID],products[],5,FALSE)</f>
        <v>0</v>
      </c>
      <c r="K1682" s="6">
        <f>VLOOKUP(operations[productID],products[],6,FALSE)</f>
        <v>15</v>
      </c>
      <c r="L1682" s="10">
        <f t="array" ref="L1682">INDEX('1 orders'!I1682:I2156, MATCH(1, ('1 orders'!A1682:A2156=A1682)*('1 orders'!G1682:G2156=F1682), 0))
</f>
        <v>10</v>
      </c>
      <c r="M1682" s="10">
        <f>IFERROR(__xludf.DUMMYFUNCTION("COUNTUNIQUEIFS($A$2:$A1682,$F$2:$F1682,F1682)"),14.0)</f>
        <v>14</v>
      </c>
      <c r="N1682" s="10">
        <f t="shared" si="1"/>
        <v>48</v>
      </c>
      <c r="O1682" s="26">
        <f>IF(operations[sinceLastOrder]=0,0,operations[orderQuantity] / operations[sinceLastOrder])</f>
        <v>0.2083333333</v>
      </c>
      <c r="P1682" s="9">
        <v>32.76</v>
      </c>
      <c r="Q1682" s="7" t="s">
        <v>15</v>
      </c>
      <c r="R1682" s="10">
        <f>operations[arrivedDate]-operations[shippedDate]</f>
        <v>5</v>
      </c>
    </row>
    <row r="1683" ht="15.75" customHeight="1">
      <c r="A1683" s="6">
        <v>10890.0</v>
      </c>
      <c r="B1683" s="24">
        <v>45338.0</v>
      </c>
      <c r="C1683" s="24">
        <v>45367.0</v>
      </c>
      <c r="D1683" s="24">
        <v>45340.0</v>
      </c>
      <c r="E1683" s="24">
        <v>45345.0</v>
      </c>
      <c r="F1683" s="6">
        <v>41.0</v>
      </c>
      <c r="G1683" s="9" t="str">
        <f>VLOOKUP(operations[productID],products[],2,FALSE)</f>
        <v>Jack's New England Clam Chowder</v>
      </c>
      <c r="H1683" s="9" t="str">
        <f>IF(VLOOKUP(operations[productID],products[],7,FALSE)=1,"Discontinued","Current")</f>
        <v>Current</v>
      </c>
      <c r="I1683" s="6">
        <f>VLOOKUP(operations[productID],products[],4,FALSE)</f>
        <v>85</v>
      </c>
      <c r="J1683" s="6">
        <f>VLOOKUP(operations[productID],products[],5,FALSE)</f>
        <v>0</v>
      </c>
      <c r="K1683" s="6">
        <f>VLOOKUP(operations[productID],products[],6,FALSE)</f>
        <v>10</v>
      </c>
      <c r="L1683" s="10">
        <f t="array" ref="L1683">INDEX('1 orders'!I1683:I2156, MATCH(1, ('1 orders'!A1683:A2156=A1683)*('1 orders'!G1683:G2156=F1683), 0))
</f>
        <v>14</v>
      </c>
      <c r="M1683" s="10">
        <f>IFERROR(__xludf.DUMMYFUNCTION("COUNTUNIQUEIFS($A$2:$A1683,$F$2:$F1683,F1683)"),33.0)</f>
        <v>33</v>
      </c>
      <c r="N1683" s="10">
        <f t="shared" si="1"/>
        <v>38</v>
      </c>
      <c r="O1683" s="26">
        <f>IF(operations[sinceLastOrder]=0,0,operations[orderQuantity] / operations[sinceLastOrder])</f>
        <v>0.3684210526</v>
      </c>
      <c r="P1683" s="9">
        <v>32.76</v>
      </c>
      <c r="Q1683" s="7" t="s">
        <v>15</v>
      </c>
      <c r="R1683" s="10">
        <f>operations[arrivedDate]-operations[shippedDate]</f>
        <v>5</v>
      </c>
    </row>
    <row r="1684" ht="15.75" customHeight="1">
      <c r="A1684" s="6">
        <v>10891.0</v>
      </c>
      <c r="B1684" s="24">
        <v>45339.0</v>
      </c>
      <c r="C1684" s="24">
        <v>45368.0</v>
      </c>
      <c r="D1684" s="24">
        <v>45341.0</v>
      </c>
      <c r="E1684" s="24">
        <v>45349.0</v>
      </c>
      <c r="F1684" s="6">
        <v>30.0</v>
      </c>
      <c r="G1684" s="9" t="str">
        <f>VLOOKUP(operations[productID],products[],2,FALSE)</f>
        <v>Nord-Ost Matjeshering</v>
      </c>
      <c r="H1684" s="9" t="str">
        <f>IF(VLOOKUP(operations[productID],products[],7,FALSE)=1,"Discontinued","Current")</f>
        <v>Current</v>
      </c>
      <c r="I1684" s="6">
        <f>VLOOKUP(operations[productID],products[],4,FALSE)</f>
        <v>10</v>
      </c>
      <c r="J1684" s="6">
        <f>VLOOKUP(operations[productID],products[],5,FALSE)</f>
        <v>0</v>
      </c>
      <c r="K1684" s="6">
        <f>VLOOKUP(operations[productID],products[],6,FALSE)</f>
        <v>15</v>
      </c>
      <c r="L1684" s="10">
        <f t="array" ref="L1684">INDEX('1 orders'!I1684:I2156, MATCH(1, ('1 orders'!A1684:A2156=A1684)*('1 orders'!G1684:G2156=F1684), 0))
</f>
        <v>15</v>
      </c>
      <c r="M1684" s="10">
        <f>IFERROR(__xludf.DUMMYFUNCTION("COUNTUNIQUEIFS($A$2:$A1684,$F$2:$F1684,F1684)"),26.0)</f>
        <v>26</v>
      </c>
      <c r="N1684" s="10">
        <f t="shared" si="1"/>
        <v>14</v>
      </c>
      <c r="O1684" s="26">
        <f>IF(operations[sinceLastOrder]=0,0,operations[orderQuantity] / operations[sinceLastOrder])</f>
        <v>1.071428571</v>
      </c>
      <c r="P1684" s="9">
        <v>20.37</v>
      </c>
      <c r="Q1684" s="7" t="s">
        <v>17</v>
      </c>
      <c r="R1684" s="10">
        <f>operations[arrivedDate]-operations[shippedDate]</f>
        <v>8</v>
      </c>
    </row>
    <row r="1685" ht="15.75" customHeight="1">
      <c r="A1685" s="6">
        <v>10892.0</v>
      </c>
      <c r="B1685" s="24">
        <v>45339.0</v>
      </c>
      <c r="C1685" s="24">
        <v>45368.0</v>
      </c>
      <c r="D1685" s="24">
        <v>45341.0</v>
      </c>
      <c r="E1685" s="24">
        <v>45354.0</v>
      </c>
      <c r="F1685" s="6">
        <v>59.0</v>
      </c>
      <c r="G1685" s="9" t="str">
        <f>VLOOKUP(operations[productID],products[],2,FALSE)</f>
        <v>Raclette Courdavault</v>
      </c>
      <c r="H1685" s="9" t="str">
        <f>IF(VLOOKUP(operations[productID],products[],7,FALSE)=1,"Discontinued","Current")</f>
        <v>Current</v>
      </c>
      <c r="I1685" s="6">
        <f>VLOOKUP(operations[productID],products[],4,FALSE)</f>
        <v>79</v>
      </c>
      <c r="J1685" s="6">
        <f>VLOOKUP(operations[productID],products[],5,FALSE)</f>
        <v>0</v>
      </c>
      <c r="K1685" s="6">
        <f>VLOOKUP(operations[productID],products[],6,FALSE)</f>
        <v>0</v>
      </c>
      <c r="L1685" s="10">
        <f t="array" ref="L1685">INDEX('1 orders'!I1685:I2156, MATCH(1, ('1 orders'!A1685:A2156=A1685)*('1 orders'!G1685:G2156=F1685), 0))
</f>
        <v>40</v>
      </c>
      <c r="M1685" s="10">
        <f>IFERROR(__xludf.DUMMYFUNCTION("COUNTUNIQUEIFS($A$2:$A1685,$F$2:$F1685,F1685)"),46.0)</f>
        <v>46</v>
      </c>
      <c r="N1685" s="10">
        <f t="shared" si="1"/>
        <v>22</v>
      </c>
      <c r="O1685" s="26">
        <f>IF(operations[sinceLastOrder]=0,0,operations[orderQuantity] / operations[sinceLastOrder])</f>
        <v>1.818181818</v>
      </c>
      <c r="P1685" s="9">
        <v>120.27</v>
      </c>
      <c r="Q1685" s="7" t="s">
        <v>17</v>
      </c>
      <c r="R1685" s="10">
        <f>operations[arrivedDate]-operations[shippedDate]</f>
        <v>13</v>
      </c>
    </row>
    <row r="1686" ht="15.75" customHeight="1">
      <c r="A1686" s="6">
        <v>10893.0</v>
      </c>
      <c r="B1686" s="24">
        <v>45340.0</v>
      </c>
      <c r="C1686" s="24">
        <v>45369.0</v>
      </c>
      <c r="D1686" s="24">
        <v>45342.0</v>
      </c>
      <c r="E1686" s="24">
        <v>45348.0</v>
      </c>
      <c r="F1686" s="6">
        <v>8.0</v>
      </c>
      <c r="G1686" s="9" t="str">
        <f>VLOOKUP(operations[productID],products[],2,FALSE)</f>
        <v>Northwoods Cranberry Sauce</v>
      </c>
      <c r="H1686" s="9" t="str">
        <f>IF(VLOOKUP(operations[productID],products[],7,FALSE)=1,"Discontinued","Current")</f>
        <v>Current</v>
      </c>
      <c r="I1686" s="6">
        <f>VLOOKUP(operations[productID],products[],4,FALSE)</f>
        <v>6</v>
      </c>
      <c r="J1686" s="6">
        <f>VLOOKUP(operations[productID],products[],5,FALSE)</f>
        <v>0</v>
      </c>
      <c r="K1686" s="6">
        <f>VLOOKUP(operations[productID],products[],6,FALSE)</f>
        <v>0</v>
      </c>
      <c r="L1686" s="10">
        <f t="array" ref="L1686">INDEX('1 orders'!I1686:I2156, MATCH(1, ('1 orders'!A1686:A2156=A1686)*('1 orders'!G1686:G2156=F1686), 0))
</f>
        <v>30</v>
      </c>
      <c r="M1686" s="10">
        <f>IFERROR(__xludf.DUMMYFUNCTION("COUNTUNIQUEIFS($A$2:$A1686,$F$2:$F1686,F1686)"),9.0)</f>
        <v>9</v>
      </c>
      <c r="N1686" s="10">
        <f t="shared" si="1"/>
        <v>36</v>
      </c>
      <c r="O1686" s="26">
        <f>IF(operations[sinceLastOrder]=0,0,operations[orderQuantity] / operations[sinceLastOrder])</f>
        <v>0.8333333333</v>
      </c>
      <c r="P1686" s="9">
        <v>77.78</v>
      </c>
      <c r="Q1686" s="7" t="s">
        <v>17</v>
      </c>
      <c r="R1686" s="10">
        <f>operations[arrivedDate]-operations[shippedDate]</f>
        <v>6</v>
      </c>
    </row>
    <row r="1687" ht="15.75" customHeight="1">
      <c r="A1687" s="6">
        <v>10893.0</v>
      </c>
      <c r="B1687" s="24">
        <v>45340.0</v>
      </c>
      <c r="C1687" s="24">
        <v>45369.0</v>
      </c>
      <c r="D1687" s="24">
        <v>45342.0</v>
      </c>
      <c r="E1687" s="24">
        <v>45348.0</v>
      </c>
      <c r="F1687" s="6">
        <v>24.0</v>
      </c>
      <c r="G1687" s="9" t="str">
        <f>VLOOKUP(operations[productID],products[],2,FALSE)</f>
        <v>Brigadeiros Maravilhosos da Lilian</v>
      </c>
      <c r="H1687" s="9" t="str">
        <f>IF(VLOOKUP(operations[productID],products[],7,FALSE)=1,"Discontinued","Current")</f>
        <v>Discontinued</v>
      </c>
      <c r="I1687" s="6">
        <f>VLOOKUP(operations[productID],products[],4,FALSE)</f>
        <v>20</v>
      </c>
      <c r="J1687" s="6">
        <f>VLOOKUP(operations[productID],products[],5,FALSE)</f>
        <v>0</v>
      </c>
      <c r="K1687" s="6">
        <f>VLOOKUP(operations[productID],products[],6,FALSE)</f>
        <v>0</v>
      </c>
      <c r="L1687" s="10">
        <f t="array" ref="L1687">INDEX('1 orders'!I1687:I2156, MATCH(1, ('1 orders'!A1687:A2156=A1687)*('1 orders'!G1687:G2156=F1687), 0))
</f>
        <v>10</v>
      </c>
      <c r="M1687" s="10">
        <f>IFERROR(__xludf.DUMMYFUNCTION("COUNTUNIQUEIFS($A$2:$A1687,$F$2:$F1687,F1687)"),35.0)</f>
        <v>35</v>
      </c>
      <c r="N1687" s="10">
        <f t="shared" si="1"/>
        <v>6</v>
      </c>
      <c r="O1687" s="26">
        <f>IF(operations[sinceLastOrder]=0,0,operations[orderQuantity] / operations[sinceLastOrder])</f>
        <v>1.666666667</v>
      </c>
      <c r="P1687" s="9">
        <v>77.78</v>
      </c>
      <c r="Q1687" s="7" t="s">
        <v>17</v>
      </c>
      <c r="R1687" s="10">
        <f>operations[arrivedDate]-operations[shippedDate]</f>
        <v>6</v>
      </c>
    </row>
    <row r="1688" ht="15.75" customHeight="1">
      <c r="A1688" s="6">
        <v>10893.0</v>
      </c>
      <c r="B1688" s="24">
        <v>45340.0</v>
      </c>
      <c r="C1688" s="24">
        <v>45369.0</v>
      </c>
      <c r="D1688" s="24">
        <v>45342.0</v>
      </c>
      <c r="E1688" s="24">
        <v>45348.0</v>
      </c>
      <c r="F1688" s="6">
        <v>29.0</v>
      </c>
      <c r="G1688" s="9" t="str">
        <f>VLOOKUP(operations[productID],products[],2,FALSE)</f>
        <v>Thüringer Rostbratwurst</v>
      </c>
      <c r="H1688" s="9" t="str">
        <f>IF(VLOOKUP(operations[productID],products[],7,FALSE)=1,"Discontinued","Current")</f>
        <v>Discontinued</v>
      </c>
      <c r="I1688" s="6">
        <f>VLOOKUP(operations[productID],products[],4,FALSE)</f>
        <v>0</v>
      </c>
      <c r="J1688" s="6">
        <f>VLOOKUP(operations[productID],products[],5,FALSE)</f>
        <v>0</v>
      </c>
      <c r="K1688" s="6">
        <f>VLOOKUP(operations[productID],products[],6,FALSE)</f>
        <v>0</v>
      </c>
      <c r="L1688" s="10">
        <f t="array" ref="L1688">INDEX('1 orders'!I1688:I2156, MATCH(1, ('1 orders'!A1688:A2156=A1688)*('1 orders'!G1688:G2156=F1688), 0))
</f>
        <v>24</v>
      </c>
      <c r="M1688" s="10">
        <f>IFERROR(__xludf.DUMMYFUNCTION("COUNTUNIQUEIFS($A$2:$A1688,$F$2:$F1688,F1688)"),25.0)</f>
        <v>25</v>
      </c>
      <c r="N1688" s="10">
        <f t="shared" si="1"/>
        <v>21</v>
      </c>
      <c r="O1688" s="26">
        <f>IF(operations[sinceLastOrder]=0,0,operations[orderQuantity] / operations[sinceLastOrder])</f>
        <v>1.142857143</v>
      </c>
      <c r="P1688" s="9">
        <v>77.78</v>
      </c>
      <c r="Q1688" s="7" t="s">
        <v>17</v>
      </c>
      <c r="R1688" s="10">
        <f>operations[arrivedDate]-operations[shippedDate]</f>
        <v>6</v>
      </c>
    </row>
    <row r="1689" ht="15.75" customHeight="1">
      <c r="A1689" s="6">
        <v>10893.0</v>
      </c>
      <c r="B1689" s="24">
        <v>45340.0</v>
      </c>
      <c r="C1689" s="24">
        <v>45369.0</v>
      </c>
      <c r="D1689" s="24">
        <v>45342.0</v>
      </c>
      <c r="E1689" s="24">
        <v>45348.0</v>
      </c>
      <c r="F1689" s="6">
        <v>30.0</v>
      </c>
      <c r="G1689" s="9" t="str">
        <f>VLOOKUP(operations[productID],products[],2,FALSE)</f>
        <v>Nord-Ost Matjeshering</v>
      </c>
      <c r="H1689" s="9" t="str">
        <f>IF(VLOOKUP(operations[productID],products[],7,FALSE)=1,"Discontinued","Current")</f>
        <v>Current</v>
      </c>
      <c r="I1689" s="6">
        <f>VLOOKUP(operations[productID],products[],4,FALSE)</f>
        <v>10</v>
      </c>
      <c r="J1689" s="6">
        <f>VLOOKUP(operations[productID],products[],5,FALSE)</f>
        <v>0</v>
      </c>
      <c r="K1689" s="6">
        <f>VLOOKUP(operations[productID],products[],6,FALSE)</f>
        <v>15</v>
      </c>
      <c r="L1689" s="10">
        <f t="array" ref="L1689">INDEX('1 orders'!I1689:I2156, MATCH(1, ('1 orders'!A1689:A2156=A1689)*('1 orders'!G1689:G2156=F1689), 0))
</f>
        <v>35</v>
      </c>
      <c r="M1689" s="10">
        <f>IFERROR(__xludf.DUMMYFUNCTION("COUNTUNIQUEIFS($A$2:$A1689,$F$2:$F1689,F1689)"),27.0)</f>
        <v>27</v>
      </c>
      <c r="N1689" s="10">
        <f t="shared" si="1"/>
        <v>1</v>
      </c>
      <c r="O1689" s="26">
        <f>IF(operations[sinceLastOrder]=0,0,operations[orderQuantity] / operations[sinceLastOrder])</f>
        <v>35</v>
      </c>
      <c r="P1689" s="9">
        <v>77.78</v>
      </c>
      <c r="Q1689" s="7" t="s">
        <v>17</v>
      </c>
      <c r="R1689" s="10">
        <f>operations[arrivedDate]-operations[shippedDate]</f>
        <v>6</v>
      </c>
    </row>
    <row r="1690" ht="15.75" customHeight="1">
      <c r="A1690" s="6">
        <v>10893.0</v>
      </c>
      <c r="B1690" s="24">
        <v>45340.0</v>
      </c>
      <c r="C1690" s="24">
        <v>45369.0</v>
      </c>
      <c r="D1690" s="24">
        <v>45342.0</v>
      </c>
      <c r="E1690" s="24">
        <v>45348.0</v>
      </c>
      <c r="F1690" s="6">
        <v>36.0</v>
      </c>
      <c r="G1690" s="9" t="str">
        <f>VLOOKUP(operations[productID],products[],2,FALSE)</f>
        <v>Inlagd Sill</v>
      </c>
      <c r="H1690" s="9" t="str">
        <f>IF(VLOOKUP(operations[productID],products[],7,FALSE)=1,"Discontinued","Current")</f>
        <v>Current</v>
      </c>
      <c r="I1690" s="6">
        <f>VLOOKUP(operations[productID],products[],4,FALSE)</f>
        <v>112</v>
      </c>
      <c r="J1690" s="6">
        <f>VLOOKUP(operations[productID],products[],5,FALSE)</f>
        <v>0</v>
      </c>
      <c r="K1690" s="6">
        <f>VLOOKUP(operations[productID],products[],6,FALSE)</f>
        <v>20</v>
      </c>
      <c r="L1690" s="10">
        <f t="array" ref="L1690">INDEX('1 orders'!I1690:I2156, MATCH(1, ('1 orders'!A1690:A2156=A1690)*('1 orders'!G1690:G2156=F1690), 0))
</f>
        <v>20</v>
      </c>
      <c r="M1690" s="10">
        <f>IFERROR(__xludf.DUMMYFUNCTION("COUNTUNIQUEIFS($A$2:$A1690,$F$2:$F1690,F1690)"),25.0)</f>
        <v>25</v>
      </c>
      <c r="N1690" s="10">
        <f t="shared" si="1"/>
        <v>30</v>
      </c>
      <c r="O1690" s="26">
        <f>IF(operations[sinceLastOrder]=0,0,operations[orderQuantity] / operations[sinceLastOrder])</f>
        <v>0.6666666667</v>
      </c>
      <c r="P1690" s="9">
        <v>77.78</v>
      </c>
      <c r="Q1690" s="7" t="s">
        <v>17</v>
      </c>
      <c r="R1690" s="10">
        <f>operations[arrivedDate]-operations[shippedDate]</f>
        <v>6</v>
      </c>
    </row>
    <row r="1691" ht="15.75" customHeight="1">
      <c r="A1691" s="6">
        <v>10894.0</v>
      </c>
      <c r="B1691" s="24">
        <v>45340.0</v>
      </c>
      <c r="C1691" s="24">
        <v>45369.0</v>
      </c>
      <c r="D1691" s="24">
        <v>45342.0</v>
      </c>
      <c r="E1691" s="24">
        <v>45356.0</v>
      </c>
      <c r="F1691" s="6">
        <v>13.0</v>
      </c>
      <c r="G1691" s="9" t="str">
        <f>VLOOKUP(operations[productID],products[],2,FALSE)</f>
        <v>Konbu</v>
      </c>
      <c r="H1691" s="9" t="str">
        <f>IF(VLOOKUP(operations[productID],products[],7,FALSE)=1,"Discontinued","Current")</f>
        <v>Current</v>
      </c>
      <c r="I1691" s="6">
        <f>VLOOKUP(operations[productID],products[],4,FALSE)</f>
        <v>24</v>
      </c>
      <c r="J1691" s="6">
        <f>VLOOKUP(operations[productID],products[],5,FALSE)</f>
        <v>0</v>
      </c>
      <c r="K1691" s="6">
        <f>VLOOKUP(operations[productID],products[],6,FALSE)</f>
        <v>5</v>
      </c>
      <c r="L1691" s="10">
        <f t="array" ref="L1691">INDEX('1 orders'!I1691:I2156, MATCH(1, ('1 orders'!A1691:A2156=A1691)*('1 orders'!G1691:G2156=F1691), 0))
</f>
        <v>28</v>
      </c>
      <c r="M1691" s="10">
        <f>IFERROR(__xludf.DUMMYFUNCTION("COUNTUNIQUEIFS($A$2:$A1691,$F$2:$F1691,F1691)"),23.0)</f>
        <v>23</v>
      </c>
      <c r="N1691" s="10">
        <f t="shared" si="1"/>
        <v>22</v>
      </c>
      <c r="O1691" s="26">
        <f>IF(operations[sinceLastOrder]=0,0,operations[orderQuantity] / operations[sinceLastOrder])</f>
        <v>1.272727273</v>
      </c>
      <c r="P1691" s="9">
        <v>116.13</v>
      </c>
      <c r="Q1691" s="7" t="s">
        <v>15</v>
      </c>
      <c r="R1691" s="10">
        <f>operations[arrivedDate]-operations[shippedDate]</f>
        <v>14</v>
      </c>
    </row>
    <row r="1692" ht="15.75" customHeight="1">
      <c r="A1692" s="6">
        <v>10894.0</v>
      </c>
      <c r="B1692" s="24">
        <v>45340.0</v>
      </c>
      <c r="C1692" s="24">
        <v>45369.0</v>
      </c>
      <c r="D1692" s="24">
        <v>45342.0</v>
      </c>
      <c r="E1692" s="24">
        <v>45356.0</v>
      </c>
      <c r="F1692" s="6">
        <v>69.0</v>
      </c>
      <c r="G1692" s="9" t="str">
        <f>VLOOKUP(operations[productID],products[],2,FALSE)</f>
        <v>Gudbrandsdalsost</v>
      </c>
      <c r="H1692" s="9" t="str">
        <f>IF(VLOOKUP(operations[productID],products[],7,FALSE)=1,"Discontinued","Current")</f>
        <v>Current</v>
      </c>
      <c r="I1692" s="6">
        <f>VLOOKUP(operations[productID],products[],4,FALSE)</f>
        <v>26</v>
      </c>
      <c r="J1692" s="6">
        <f>VLOOKUP(operations[productID],products[],5,FALSE)</f>
        <v>0</v>
      </c>
      <c r="K1692" s="6">
        <f>VLOOKUP(operations[productID],products[],6,FALSE)</f>
        <v>15</v>
      </c>
      <c r="L1692" s="10">
        <f t="array" ref="L1692">INDEX('1 orders'!I1692:I2156, MATCH(1, ('1 orders'!A1692:A2156=A1692)*('1 orders'!G1692:G2156=F1692), 0))
</f>
        <v>50</v>
      </c>
      <c r="M1692" s="10">
        <f>IFERROR(__xludf.DUMMYFUNCTION("COUNTUNIQUEIFS($A$2:$A1692,$F$2:$F1692,F1692)"),27.0)</f>
        <v>27</v>
      </c>
      <c r="N1692" s="10">
        <f t="shared" si="1"/>
        <v>55</v>
      </c>
      <c r="O1692" s="26">
        <f>IF(operations[sinceLastOrder]=0,0,operations[orderQuantity] / operations[sinceLastOrder])</f>
        <v>0.9090909091</v>
      </c>
      <c r="P1692" s="9">
        <v>116.13</v>
      </c>
      <c r="Q1692" s="7" t="s">
        <v>15</v>
      </c>
      <c r="R1692" s="10">
        <f>operations[arrivedDate]-operations[shippedDate]</f>
        <v>14</v>
      </c>
    </row>
    <row r="1693" ht="15.75" customHeight="1">
      <c r="A1693" s="6">
        <v>10894.0</v>
      </c>
      <c r="B1693" s="24">
        <v>45340.0</v>
      </c>
      <c r="C1693" s="24">
        <v>45369.0</v>
      </c>
      <c r="D1693" s="24">
        <v>45342.0</v>
      </c>
      <c r="E1693" s="24">
        <v>45356.0</v>
      </c>
      <c r="F1693" s="6">
        <v>75.0</v>
      </c>
      <c r="G1693" s="9" t="str">
        <f>VLOOKUP(operations[productID],products[],2,FALSE)</f>
        <v>Rhönbräu Klosterbier</v>
      </c>
      <c r="H1693" s="9" t="str">
        <f>IF(VLOOKUP(operations[productID],products[],7,FALSE)=1,"Discontinued","Current")</f>
        <v>Current</v>
      </c>
      <c r="I1693" s="6">
        <f>VLOOKUP(operations[productID],products[],4,FALSE)</f>
        <v>125</v>
      </c>
      <c r="J1693" s="6">
        <f>VLOOKUP(operations[productID],products[],5,FALSE)</f>
        <v>0</v>
      </c>
      <c r="K1693" s="6">
        <f>VLOOKUP(operations[productID],products[],6,FALSE)</f>
        <v>25</v>
      </c>
      <c r="L1693" s="10">
        <f t="array" ref="L1693">INDEX('1 orders'!I1693:I2156, MATCH(1, ('1 orders'!A1693:A2156=A1693)*('1 orders'!G1693:G2156=F1693), 0))
</f>
        <v>120</v>
      </c>
      <c r="M1693" s="10">
        <f>IFERROR(__xludf.DUMMYFUNCTION("COUNTUNIQUEIFS($A$2:$A1693,$F$2:$F1693,F1693)"),34.0)</f>
        <v>34</v>
      </c>
      <c r="N1693" s="10">
        <f t="shared" si="1"/>
        <v>42</v>
      </c>
      <c r="O1693" s="26">
        <f>IF(operations[sinceLastOrder]=0,0,operations[orderQuantity] / operations[sinceLastOrder])</f>
        <v>2.857142857</v>
      </c>
      <c r="P1693" s="9">
        <v>116.13</v>
      </c>
      <c r="Q1693" s="7" t="s">
        <v>15</v>
      </c>
      <c r="R1693" s="10">
        <f>operations[arrivedDate]-operations[shippedDate]</f>
        <v>14</v>
      </c>
    </row>
    <row r="1694" ht="15.75" customHeight="1">
      <c r="A1694" s="6">
        <v>10895.0</v>
      </c>
      <c r="B1694" s="24">
        <v>45340.0</v>
      </c>
      <c r="C1694" s="24">
        <v>45369.0</v>
      </c>
      <c r="D1694" s="24">
        <v>45345.0</v>
      </c>
      <c r="E1694" s="24">
        <v>45353.0</v>
      </c>
      <c r="F1694" s="6">
        <v>24.0</v>
      </c>
      <c r="G1694" s="9" t="str">
        <f>VLOOKUP(operations[productID],products[],2,FALSE)</f>
        <v>Brigadeiros Maravilhosos da Lilian</v>
      </c>
      <c r="H1694" s="9" t="str">
        <f>IF(VLOOKUP(operations[productID],products[],7,FALSE)=1,"Discontinued","Current")</f>
        <v>Discontinued</v>
      </c>
      <c r="I1694" s="6">
        <f>VLOOKUP(operations[productID],products[],4,FALSE)</f>
        <v>20</v>
      </c>
      <c r="J1694" s="6">
        <f>VLOOKUP(operations[productID],products[],5,FALSE)</f>
        <v>0</v>
      </c>
      <c r="K1694" s="6">
        <f>VLOOKUP(operations[productID],products[],6,FALSE)</f>
        <v>0</v>
      </c>
      <c r="L1694" s="10">
        <f t="array" ref="L1694">INDEX('1 orders'!I1694:I2156, MATCH(1, ('1 orders'!A1694:A2156=A1694)*('1 orders'!G1694:G2156=F1694), 0))
</f>
        <v>110</v>
      </c>
      <c r="M1694" s="10">
        <f>IFERROR(__xludf.DUMMYFUNCTION("COUNTUNIQUEIFS($A$2:$A1694,$F$2:$F1694,F1694)"),36.0)</f>
        <v>36</v>
      </c>
      <c r="N1694" s="10">
        <f t="shared" si="1"/>
        <v>0</v>
      </c>
      <c r="O1694" s="26">
        <f>IF(operations[sinceLastOrder]=0,0,operations[orderQuantity] / operations[sinceLastOrder])</f>
        <v>0</v>
      </c>
      <c r="P1694" s="9">
        <v>162.75</v>
      </c>
      <c r="Q1694" s="7" t="s">
        <v>15</v>
      </c>
      <c r="R1694" s="10">
        <f>operations[arrivedDate]-operations[shippedDate]</f>
        <v>8</v>
      </c>
    </row>
    <row r="1695" ht="15.75" customHeight="1">
      <c r="A1695" s="6">
        <v>10895.0</v>
      </c>
      <c r="B1695" s="24">
        <v>45340.0</v>
      </c>
      <c r="C1695" s="24">
        <v>45369.0</v>
      </c>
      <c r="D1695" s="24">
        <v>45345.0</v>
      </c>
      <c r="E1695" s="24">
        <v>45353.0</v>
      </c>
      <c r="F1695" s="6">
        <v>39.0</v>
      </c>
      <c r="G1695" s="9" t="str">
        <f>VLOOKUP(operations[productID],products[],2,FALSE)</f>
        <v>Chartreuse verte</v>
      </c>
      <c r="H1695" s="9" t="str">
        <f>IF(VLOOKUP(operations[productID],products[],7,FALSE)=1,"Discontinued","Current")</f>
        <v>Current</v>
      </c>
      <c r="I1695" s="6">
        <f>VLOOKUP(operations[productID],products[],4,FALSE)</f>
        <v>69</v>
      </c>
      <c r="J1695" s="6">
        <f>VLOOKUP(operations[productID],products[],5,FALSE)</f>
        <v>0</v>
      </c>
      <c r="K1695" s="6">
        <f>VLOOKUP(operations[productID],products[],6,FALSE)</f>
        <v>5</v>
      </c>
      <c r="L1695" s="10">
        <f t="array" ref="L1695">INDEX('1 orders'!I1695:I2156, MATCH(1, ('1 orders'!A1695:A2156=A1695)*('1 orders'!G1695:G2156=F1695), 0))
</f>
        <v>45</v>
      </c>
      <c r="M1695" s="10">
        <f>IFERROR(__xludf.DUMMYFUNCTION("COUNTUNIQUEIFS($A$2:$A1695,$F$2:$F1695,F1695)"),26.0)</f>
        <v>26</v>
      </c>
      <c r="N1695" s="10">
        <f t="shared" si="1"/>
        <v>16</v>
      </c>
      <c r="O1695" s="26">
        <f>IF(operations[sinceLastOrder]=0,0,operations[orderQuantity] / operations[sinceLastOrder])</f>
        <v>2.8125</v>
      </c>
      <c r="P1695" s="9">
        <v>162.75</v>
      </c>
      <c r="Q1695" s="7" t="s">
        <v>15</v>
      </c>
      <c r="R1695" s="10">
        <f>operations[arrivedDate]-operations[shippedDate]</f>
        <v>8</v>
      </c>
    </row>
    <row r="1696" ht="15.75" customHeight="1">
      <c r="A1696" s="6">
        <v>10895.0</v>
      </c>
      <c r="B1696" s="24">
        <v>45340.0</v>
      </c>
      <c r="C1696" s="24">
        <v>45369.0</v>
      </c>
      <c r="D1696" s="24">
        <v>45345.0</v>
      </c>
      <c r="E1696" s="24">
        <v>45353.0</v>
      </c>
      <c r="F1696" s="6">
        <v>40.0</v>
      </c>
      <c r="G1696" s="9" t="str">
        <f>VLOOKUP(operations[productID],products[],2,FALSE)</f>
        <v>Boston Crab Meat</v>
      </c>
      <c r="H1696" s="9" t="str">
        <f>IF(VLOOKUP(operations[productID],products[],7,FALSE)=1,"Discontinued","Current")</f>
        <v>Current</v>
      </c>
      <c r="I1696" s="6">
        <f>VLOOKUP(operations[productID],products[],4,FALSE)</f>
        <v>123</v>
      </c>
      <c r="J1696" s="6">
        <f>VLOOKUP(operations[productID],products[],5,FALSE)</f>
        <v>0</v>
      </c>
      <c r="K1696" s="6">
        <f>VLOOKUP(operations[productID],products[],6,FALSE)</f>
        <v>30</v>
      </c>
      <c r="L1696" s="10">
        <f t="array" ref="L1696">INDEX('1 orders'!I1696:I2156, MATCH(1, ('1 orders'!A1696:A2156=A1696)*('1 orders'!G1696:G2156=F1696), 0))
</f>
        <v>91</v>
      </c>
      <c r="M1696" s="10">
        <f>IFERROR(__xludf.DUMMYFUNCTION("COUNTUNIQUEIFS($A$2:$A1696,$F$2:$F1696,F1696)"),36.0)</f>
        <v>36</v>
      </c>
      <c r="N1696" s="10">
        <f t="shared" si="1"/>
        <v>8</v>
      </c>
      <c r="O1696" s="26">
        <f>IF(operations[sinceLastOrder]=0,0,operations[orderQuantity] / operations[sinceLastOrder])</f>
        <v>11.375</v>
      </c>
      <c r="P1696" s="9">
        <v>162.75</v>
      </c>
      <c r="Q1696" s="7" t="s">
        <v>15</v>
      </c>
      <c r="R1696" s="10">
        <f>operations[arrivedDate]-operations[shippedDate]</f>
        <v>8</v>
      </c>
    </row>
    <row r="1697" ht="15.75" customHeight="1">
      <c r="A1697" s="6">
        <v>10895.0</v>
      </c>
      <c r="B1697" s="24">
        <v>45340.0</v>
      </c>
      <c r="C1697" s="24">
        <v>45369.0</v>
      </c>
      <c r="D1697" s="24">
        <v>45345.0</v>
      </c>
      <c r="E1697" s="24">
        <v>45353.0</v>
      </c>
      <c r="F1697" s="6">
        <v>60.0</v>
      </c>
      <c r="G1697" s="9" t="str">
        <f>VLOOKUP(operations[productID],products[],2,FALSE)</f>
        <v>Camembert Pierrot</v>
      </c>
      <c r="H1697" s="9" t="str">
        <f>IF(VLOOKUP(operations[productID],products[],7,FALSE)=1,"Discontinued","Current")</f>
        <v>Current</v>
      </c>
      <c r="I1697" s="6">
        <f>VLOOKUP(operations[productID],products[],4,FALSE)</f>
        <v>19</v>
      </c>
      <c r="J1697" s="6">
        <f>VLOOKUP(operations[productID],products[],5,FALSE)</f>
        <v>0</v>
      </c>
      <c r="K1697" s="6">
        <f>VLOOKUP(operations[productID],products[],6,FALSE)</f>
        <v>0</v>
      </c>
      <c r="L1697" s="10">
        <f t="array" ref="L1697">INDEX('1 orders'!I1697:I2156, MATCH(1, ('1 orders'!A1697:A2156=A1697)*('1 orders'!G1697:G2156=F1697), 0))
</f>
        <v>100</v>
      </c>
      <c r="M1697" s="10">
        <f>IFERROR(__xludf.DUMMYFUNCTION("COUNTUNIQUEIFS($A$2:$A1697,$F$2:$F1697,F1697)"),37.0)</f>
        <v>37</v>
      </c>
      <c r="N1697" s="10">
        <f t="shared" si="1"/>
        <v>27</v>
      </c>
      <c r="O1697" s="26">
        <f>IF(operations[sinceLastOrder]=0,0,operations[orderQuantity] / operations[sinceLastOrder])</f>
        <v>3.703703704</v>
      </c>
      <c r="P1697" s="9">
        <v>162.75</v>
      </c>
      <c r="Q1697" s="7" t="s">
        <v>15</v>
      </c>
      <c r="R1697" s="10">
        <f>operations[arrivedDate]-operations[shippedDate]</f>
        <v>8</v>
      </c>
    </row>
    <row r="1698" ht="15.75" customHeight="1">
      <c r="A1698" s="6">
        <v>10896.0</v>
      </c>
      <c r="B1698" s="24">
        <v>45341.0</v>
      </c>
      <c r="C1698" s="24">
        <v>45370.0</v>
      </c>
      <c r="D1698" s="24">
        <v>45349.0</v>
      </c>
      <c r="E1698" s="24">
        <v>45359.0</v>
      </c>
      <c r="F1698" s="6">
        <v>45.0</v>
      </c>
      <c r="G1698" s="9" t="str">
        <f>VLOOKUP(operations[productID],products[],2,FALSE)</f>
        <v>Rogede sild</v>
      </c>
      <c r="H1698" s="9" t="str">
        <f>IF(VLOOKUP(operations[productID],products[],7,FALSE)=1,"Discontinued","Current")</f>
        <v>Current</v>
      </c>
      <c r="I1698" s="6">
        <f>VLOOKUP(operations[productID],products[],4,FALSE)</f>
        <v>5</v>
      </c>
      <c r="J1698" s="6">
        <f>VLOOKUP(operations[productID],products[],5,FALSE)</f>
        <v>70</v>
      </c>
      <c r="K1698" s="6">
        <f>VLOOKUP(operations[productID],products[],6,FALSE)</f>
        <v>15</v>
      </c>
      <c r="L1698" s="10">
        <f t="array" ref="L1698">INDEX('1 orders'!I1698:I2156, MATCH(1, ('1 orders'!A1698:A2156=A1698)*('1 orders'!G1698:G2156=F1698), 0))
</f>
        <v>15</v>
      </c>
      <c r="M1698" s="10">
        <f>IFERROR(__xludf.DUMMYFUNCTION("COUNTUNIQUEIFS($A$2:$A1698,$F$2:$F1698,F1698)"),12.0)</f>
        <v>12</v>
      </c>
      <c r="N1698" s="10">
        <f t="shared" si="1"/>
        <v>28</v>
      </c>
      <c r="O1698" s="26">
        <f>IF(operations[sinceLastOrder]=0,0,operations[orderQuantity] / operations[sinceLastOrder])</f>
        <v>0.5357142857</v>
      </c>
      <c r="P1698" s="9">
        <v>32.45</v>
      </c>
      <c r="Q1698" s="7" t="s">
        <v>13</v>
      </c>
      <c r="R1698" s="10">
        <f>operations[arrivedDate]-operations[shippedDate]</f>
        <v>10</v>
      </c>
    </row>
    <row r="1699" ht="15.75" customHeight="1">
      <c r="A1699" s="6">
        <v>10896.0</v>
      </c>
      <c r="B1699" s="24">
        <v>45341.0</v>
      </c>
      <c r="C1699" s="24">
        <v>45370.0</v>
      </c>
      <c r="D1699" s="24">
        <v>45349.0</v>
      </c>
      <c r="E1699" s="24">
        <v>45359.0</v>
      </c>
      <c r="F1699" s="6">
        <v>56.0</v>
      </c>
      <c r="G1699" s="9" t="str">
        <f>VLOOKUP(operations[productID],products[],2,FALSE)</f>
        <v>Gnocchi di nonna Alice</v>
      </c>
      <c r="H1699" s="9" t="str">
        <f>IF(VLOOKUP(operations[productID],products[],7,FALSE)=1,"Discontinued","Current")</f>
        <v>Current</v>
      </c>
      <c r="I1699" s="6">
        <f>VLOOKUP(operations[productID],products[],4,FALSE)</f>
        <v>21</v>
      </c>
      <c r="J1699" s="6">
        <f>VLOOKUP(operations[productID],products[],5,FALSE)</f>
        <v>10</v>
      </c>
      <c r="K1699" s="6">
        <f>VLOOKUP(operations[productID],products[],6,FALSE)</f>
        <v>30</v>
      </c>
      <c r="L1699" s="10">
        <f t="array" ref="L1699">INDEX('1 orders'!I1699:I2156, MATCH(1, ('1 orders'!A1699:A2156=A1699)*('1 orders'!G1699:G2156=F1699), 0))
</f>
        <v>16</v>
      </c>
      <c r="M1699" s="10">
        <f>IFERROR(__xludf.DUMMYFUNCTION("COUNTUNIQUEIFS($A$2:$A1699,$F$2:$F1699,F1699)"),46.0)</f>
        <v>46</v>
      </c>
      <c r="N1699" s="10">
        <f t="shared" si="1"/>
        <v>7</v>
      </c>
      <c r="O1699" s="26">
        <f>IF(operations[sinceLastOrder]=0,0,operations[orderQuantity] / operations[sinceLastOrder])</f>
        <v>2.285714286</v>
      </c>
      <c r="P1699" s="9">
        <v>32.45</v>
      </c>
      <c r="Q1699" s="7" t="s">
        <v>13</v>
      </c>
      <c r="R1699" s="10">
        <f>operations[arrivedDate]-operations[shippedDate]</f>
        <v>10</v>
      </c>
    </row>
    <row r="1700" ht="15.75" customHeight="1">
      <c r="A1700" s="6">
        <v>10897.0</v>
      </c>
      <c r="B1700" s="24">
        <v>45341.0</v>
      </c>
      <c r="C1700" s="24">
        <v>45370.0</v>
      </c>
      <c r="D1700" s="24">
        <v>45347.0</v>
      </c>
      <c r="E1700" s="24">
        <v>45362.0</v>
      </c>
      <c r="F1700" s="6">
        <v>29.0</v>
      </c>
      <c r="G1700" s="9" t="str">
        <f>VLOOKUP(operations[productID],products[],2,FALSE)</f>
        <v>Thüringer Rostbratwurst</v>
      </c>
      <c r="H1700" s="9" t="str">
        <f>IF(VLOOKUP(operations[productID],products[],7,FALSE)=1,"Discontinued","Current")</f>
        <v>Discontinued</v>
      </c>
      <c r="I1700" s="6">
        <f>VLOOKUP(operations[productID],products[],4,FALSE)</f>
        <v>0</v>
      </c>
      <c r="J1700" s="6">
        <f>VLOOKUP(operations[productID],products[],5,FALSE)</f>
        <v>0</v>
      </c>
      <c r="K1700" s="6">
        <f>VLOOKUP(operations[productID],products[],6,FALSE)</f>
        <v>0</v>
      </c>
      <c r="L1700" s="10">
        <f t="array" ref="L1700">INDEX('1 orders'!I1700:I2156, MATCH(1, ('1 orders'!A1700:A2156=A1700)*('1 orders'!G1700:G2156=F1700), 0))
</f>
        <v>80</v>
      </c>
      <c r="M1700" s="10">
        <f>IFERROR(__xludf.DUMMYFUNCTION("COUNTUNIQUEIFS($A$2:$A1700,$F$2:$F1700,F1700)"),26.0)</f>
        <v>26</v>
      </c>
      <c r="N1700" s="10">
        <f t="shared" si="1"/>
        <v>1</v>
      </c>
      <c r="O1700" s="26">
        <f>IF(operations[sinceLastOrder]=0,0,operations[orderQuantity] / operations[sinceLastOrder])</f>
        <v>80</v>
      </c>
      <c r="P1700" s="9">
        <v>603.54</v>
      </c>
      <c r="Q1700" s="7" t="s">
        <v>17</v>
      </c>
      <c r="R1700" s="10">
        <f>operations[arrivedDate]-operations[shippedDate]</f>
        <v>15</v>
      </c>
    </row>
    <row r="1701" ht="15.75" customHeight="1">
      <c r="A1701" s="6">
        <v>10897.0</v>
      </c>
      <c r="B1701" s="24">
        <v>45341.0</v>
      </c>
      <c r="C1701" s="24">
        <v>45370.0</v>
      </c>
      <c r="D1701" s="24">
        <v>45347.0</v>
      </c>
      <c r="E1701" s="24">
        <v>45362.0</v>
      </c>
      <c r="F1701" s="6">
        <v>30.0</v>
      </c>
      <c r="G1701" s="9" t="str">
        <f>VLOOKUP(operations[productID],products[],2,FALSE)</f>
        <v>Nord-Ost Matjeshering</v>
      </c>
      <c r="H1701" s="9" t="str">
        <f>IF(VLOOKUP(operations[productID],products[],7,FALSE)=1,"Discontinued","Current")</f>
        <v>Current</v>
      </c>
      <c r="I1701" s="6">
        <f>VLOOKUP(operations[productID],products[],4,FALSE)</f>
        <v>10</v>
      </c>
      <c r="J1701" s="6">
        <f>VLOOKUP(operations[productID],products[],5,FALSE)</f>
        <v>0</v>
      </c>
      <c r="K1701" s="6">
        <f>VLOOKUP(operations[productID],products[],6,FALSE)</f>
        <v>15</v>
      </c>
      <c r="L1701" s="10">
        <f t="array" ref="L1701">INDEX('1 orders'!I1701:I2156, MATCH(1, ('1 orders'!A1701:A2156=A1701)*('1 orders'!G1701:G2156=F1701), 0))
</f>
        <v>36</v>
      </c>
      <c r="M1701" s="10">
        <f>IFERROR(__xludf.DUMMYFUNCTION("COUNTUNIQUEIFS($A$2:$A1701,$F$2:$F1701,F1701)"),28.0)</f>
        <v>28</v>
      </c>
      <c r="N1701" s="10">
        <f t="shared" si="1"/>
        <v>1</v>
      </c>
      <c r="O1701" s="26">
        <f>IF(operations[sinceLastOrder]=0,0,operations[orderQuantity] / operations[sinceLastOrder])</f>
        <v>36</v>
      </c>
      <c r="P1701" s="9">
        <v>603.54</v>
      </c>
      <c r="Q1701" s="7" t="s">
        <v>17</v>
      </c>
      <c r="R1701" s="10">
        <f>operations[arrivedDate]-operations[shippedDate]</f>
        <v>15</v>
      </c>
    </row>
    <row r="1702" ht="15.75" customHeight="1">
      <c r="A1702" s="6">
        <v>10898.0</v>
      </c>
      <c r="B1702" s="24">
        <v>45342.0</v>
      </c>
      <c r="C1702" s="24">
        <v>45371.0</v>
      </c>
      <c r="D1702" s="24">
        <v>45357.0</v>
      </c>
      <c r="E1702" s="24">
        <v>45372.0</v>
      </c>
      <c r="F1702" s="6">
        <v>13.0</v>
      </c>
      <c r="G1702" s="9" t="str">
        <f>VLOOKUP(operations[productID],products[],2,FALSE)</f>
        <v>Konbu</v>
      </c>
      <c r="H1702" s="9" t="str">
        <f>IF(VLOOKUP(operations[productID],products[],7,FALSE)=1,"Discontinued","Current")</f>
        <v>Current</v>
      </c>
      <c r="I1702" s="6">
        <f>VLOOKUP(operations[productID],products[],4,FALSE)</f>
        <v>24</v>
      </c>
      <c r="J1702" s="6">
        <f>VLOOKUP(operations[productID],products[],5,FALSE)</f>
        <v>0</v>
      </c>
      <c r="K1702" s="6">
        <f>VLOOKUP(operations[productID],products[],6,FALSE)</f>
        <v>5</v>
      </c>
      <c r="L1702" s="10">
        <f t="array" ref="L1702">INDEX('1 orders'!I1702:I2156, MATCH(1, ('1 orders'!A1702:A2156=A1702)*('1 orders'!G1702:G2156=F1702), 0))
</f>
        <v>5</v>
      </c>
      <c r="M1702" s="10">
        <f>IFERROR(__xludf.DUMMYFUNCTION("COUNTUNIQUEIFS($A$2:$A1702,$F$2:$F1702,F1702)"),24.0)</f>
        <v>24</v>
      </c>
      <c r="N1702" s="10">
        <f t="shared" si="1"/>
        <v>2</v>
      </c>
      <c r="O1702" s="26">
        <f>IF(operations[sinceLastOrder]=0,0,operations[orderQuantity] / operations[sinceLastOrder])</f>
        <v>2.5</v>
      </c>
      <c r="P1702" s="9">
        <v>1.27</v>
      </c>
      <c r="Q1702" s="7" t="s">
        <v>17</v>
      </c>
      <c r="R1702" s="10">
        <f>operations[arrivedDate]-operations[shippedDate]</f>
        <v>15</v>
      </c>
    </row>
    <row r="1703" ht="15.75" customHeight="1">
      <c r="A1703" s="6">
        <v>10899.0</v>
      </c>
      <c r="B1703" s="24">
        <v>45342.0</v>
      </c>
      <c r="C1703" s="24">
        <v>45371.0</v>
      </c>
      <c r="D1703" s="24">
        <v>45348.0</v>
      </c>
      <c r="E1703" s="24">
        <v>45360.0</v>
      </c>
      <c r="F1703" s="6">
        <v>39.0</v>
      </c>
      <c r="G1703" s="9" t="str">
        <f>VLOOKUP(operations[productID],products[],2,FALSE)</f>
        <v>Chartreuse verte</v>
      </c>
      <c r="H1703" s="9" t="str">
        <f>IF(VLOOKUP(operations[productID],products[],7,FALSE)=1,"Discontinued","Current")</f>
        <v>Current</v>
      </c>
      <c r="I1703" s="6">
        <f>VLOOKUP(operations[productID],products[],4,FALSE)</f>
        <v>69</v>
      </c>
      <c r="J1703" s="6">
        <f>VLOOKUP(operations[productID],products[],5,FALSE)</f>
        <v>0</v>
      </c>
      <c r="K1703" s="6">
        <f>VLOOKUP(operations[productID],products[],6,FALSE)</f>
        <v>5</v>
      </c>
      <c r="L1703" s="10">
        <f t="array" ref="L1703">INDEX('1 orders'!I1703:I2156, MATCH(1, ('1 orders'!A1703:A2156=A1703)*('1 orders'!G1703:G2156=F1703), 0))
</f>
        <v>8</v>
      </c>
      <c r="M1703" s="10">
        <f>IFERROR(__xludf.DUMMYFUNCTION("COUNTUNIQUEIFS($A$2:$A1703,$F$2:$F1703,F1703)"),27.0)</f>
        <v>27</v>
      </c>
      <c r="N1703" s="10">
        <f t="shared" si="1"/>
        <v>2</v>
      </c>
      <c r="O1703" s="26">
        <f>IF(operations[sinceLastOrder]=0,0,operations[orderQuantity] / operations[sinceLastOrder])</f>
        <v>4</v>
      </c>
      <c r="P1703" s="9">
        <v>1.21</v>
      </c>
      <c r="Q1703" s="7" t="s">
        <v>13</v>
      </c>
      <c r="R1703" s="10">
        <f>operations[arrivedDate]-operations[shippedDate]</f>
        <v>12</v>
      </c>
    </row>
    <row r="1704" ht="15.75" customHeight="1">
      <c r="A1704" s="6">
        <v>10900.0</v>
      </c>
      <c r="B1704" s="24">
        <v>45342.0</v>
      </c>
      <c r="C1704" s="24">
        <v>45371.0</v>
      </c>
      <c r="D1704" s="24">
        <v>45355.0</v>
      </c>
      <c r="E1704" s="24">
        <v>45376.0</v>
      </c>
      <c r="F1704" s="6">
        <v>70.0</v>
      </c>
      <c r="G1704" s="9" t="str">
        <f>VLOOKUP(operations[productID],products[],2,FALSE)</f>
        <v>Outback Lager</v>
      </c>
      <c r="H1704" s="9" t="str">
        <f>IF(VLOOKUP(operations[productID],products[],7,FALSE)=1,"Discontinued","Current")</f>
        <v>Current</v>
      </c>
      <c r="I1704" s="6">
        <f>VLOOKUP(operations[productID],products[],4,FALSE)</f>
        <v>15</v>
      </c>
      <c r="J1704" s="6">
        <f>VLOOKUP(operations[productID],products[],5,FALSE)</f>
        <v>10</v>
      </c>
      <c r="K1704" s="6">
        <f>VLOOKUP(operations[productID],products[],6,FALSE)</f>
        <v>30</v>
      </c>
      <c r="L1704" s="10">
        <f t="array" ref="L1704">INDEX('1 orders'!I1704:I2156, MATCH(1, ('1 orders'!A1704:A2156=A1704)*('1 orders'!G1704:G2156=F1704), 0))
</f>
        <v>3</v>
      </c>
      <c r="M1704" s="10">
        <f>IFERROR(__xludf.DUMMYFUNCTION("COUNTUNIQUEIFS($A$2:$A1704,$F$2:$F1704,F1704)"),34.0)</f>
        <v>34</v>
      </c>
      <c r="N1704" s="10">
        <f t="shared" si="1"/>
        <v>8</v>
      </c>
      <c r="O1704" s="26">
        <f>IF(operations[sinceLastOrder]=0,0,operations[orderQuantity] / operations[sinceLastOrder])</f>
        <v>0.375</v>
      </c>
      <c r="P1704" s="9">
        <v>1.66</v>
      </c>
      <c r="Q1704" s="7" t="s">
        <v>17</v>
      </c>
      <c r="R1704" s="10">
        <f>operations[arrivedDate]-operations[shippedDate]</f>
        <v>21</v>
      </c>
    </row>
    <row r="1705" ht="15.75" customHeight="1">
      <c r="A1705" s="6">
        <v>10901.0</v>
      </c>
      <c r="B1705" s="24">
        <v>45345.0</v>
      </c>
      <c r="C1705" s="24">
        <v>45374.0</v>
      </c>
      <c r="D1705" s="24">
        <v>45348.0</v>
      </c>
      <c r="E1705" s="24">
        <v>45358.0</v>
      </c>
      <c r="F1705" s="6">
        <v>41.0</v>
      </c>
      <c r="G1705" s="9" t="str">
        <f>VLOOKUP(operations[productID],products[],2,FALSE)</f>
        <v>Jack's New England Clam Chowder</v>
      </c>
      <c r="H1705" s="9" t="str">
        <f>IF(VLOOKUP(operations[productID],products[],7,FALSE)=1,"Discontinued","Current")</f>
        <v>Current</v>
      </c>
      <c r="I1705" s="6">
        <f>VLOOKUP(operations[productID],products[],4,FALSE)</f>
        <v>85</v>
      </c>
      <c r="J1705" s="6">
        <f>VLOOKUP(operations[productID],products[],5,FALSE)</f>
        <v>0</v>
      </c>
      <c r="K1705" s="6">
        <f>VLOOKUP(operations[productID],products[],6,FALSE)</f>
        <v>10</v>
      </c>
      <c r="L1705" s="10">
        <f t="array" ref="L1705">INDEX('1 orders'!I1705:I2156, MATCH(1, ('1 orders'!A1705:A2156=A1705)*('1 orders'!G1705:G2156=F1705), 0))
</f>
        <v>30</v>
      </c>
      <c r="M1705" s="10">
        <f>IFERROR(__xludf.DUMMYFUNCTION("COUNTUNIQUEIFS($A$2:$A1705,$F$2:$F1705,F1705)"),34.0)</f>
        <v>34</v>
      </c>
      <c r="N1705" s="10">
        <f t="shared" si="1"/>
        <v>7</v>
      </c>
      <c r="O1705" s="26">
        <f>IF(operations[sinceLastOrder]=0,0,operations[orderQuantity] / operations[sinceLastOrder])</f>
        <v>4.285714286</v>
      </c>
      <c r="P1705" s="9">
        <v>62.09</v>
      </c>
      <c r="Q1705" s="7" t="s">
        <v>15</v>
      </c>
      <c r="R1705" s="10">
        <f>operations[arrivedDate]-operations[shippedDate]</f>
        <v>10</v>
      </c>
    </row>
    <row r="1706" ht="15.75" customHeight="1">
      <c r="A1706" s="6">
        <v>10901.0</v>
      </c>
      <c r="B1706" s="24">
        <v>45345.0</v>
      </c>
      <c r="C1706" s="24">
        <v>45374.0</v>
      </c>
      <c r="D1706" s="24">
        <v>45348.0</v>
      </c>
      <c r="E1706" s="24">
        <v>45358.0</v>
      </c>
      <c r="F1706" s="6">
        <v>71.0</v>
      </c>
      <c r="G1706" s="9" t="str">
        <f>VLOOKUP(operations[productID],products[],2,FALSE)</f>
        <v>Flotemysost</v>
      </c>
      <c r="H1706" s="9" t="str">
        <f>IF(VLOOKUP(operations[productID],products[],7,FALSE)=1,"Discontinued","Current")</f>
        <v>Current</v>
      </c>
      <c r="I1706" s="6">
        <f>VLOOKUP(operations[productID],products[],4,FALSE)</f>
        <v>26</v>
      </c>
      <c r="J1706" s="6">
        <f>VLOOKUP(operations[productID],products[],5,FALSE)</f>
        <v>0</v>
      </c>
      <c r="K1706" s="6">
        <f>VLOOKUP(operations[productID],products[],6,FALSE)</f>
        <v>0</v>
      </c>
      <c r="L1706" s="10">
        <f t="array" ref="L1706">INDEX('1 orders'!I1706:I2156, MATCH(1, ('1 orders'!A1706:A2156=A1706)*('1 orders'!G1706:G2156=F1706), 0))
</f>
        <v>30</v>
      </c>
      <c r="M1706" s="10">
        <f>IFERROR(__xludf.DUMMYFUNCTION("COUNTUNIQUEIFS($A$2:$A1706,$F$2:$F1706,F1706)"),34.0)</f>
        <v>34</v>
      </c>
      <c r="N1706" s="10">
        <f t="shared" si="1"/>
        <v>32</v>
      </c>
      <c r="O1706" s="26">
        <f>IF(operations[sinceLastOrder]=0,0,operations[orderQuantity] / operations[sinceLastOrder])</f>
        <v>0.9375</v>
      </c>
      <c r="P1706" s="9">
        <v>62.09</v>
      </c>
      <c r="Q1706" s="7" t="s">
        <v>15</v>
      </c>
      <c r="R1706" s="10">
        <f>operations[arrivedDate]-operations[shippedDate]</f>
        <v>10</v>
      </c>
    </row>
    <row r="1707" ht="15.75" customHeight="1">
      <c r="A1707" s="6">
        <v>10902.0</v>
      </c>
      <c r="B1707" s="24">
        <v>45345.0</v>
      </c>
      <c r="C1707" s="24">
        <v>45374.0</v>
      </c>
      <c r="D1707" s="24">
        <v>45354.0</v>
      </c>
      <c r="E1707" s="24">
        <v>45363.0</v>
      </c>
      <c r="F1707" s="6">
        <v>55.0</v>
      </c>
      <c r="G1707" s="9" t="str">
        <f>VLOOKUP(operations[productID],products[],2,FALSE)</f>
        <v>Pâté chinois</v>
      </c>
      <c r="H1707" s="9" t="str">
        <f>IF(VLOOKUP(operations[productID],products[],7,FALSE)=1,"Discontinued","Current")</f>
        <v>Current</v>
      </c>
      <c r="I1707" s="6">
        <f>VLOOKUP(operations[productID],products[],4,FALSE)</f>
        <v>115</v>
      </c>
      <c r="J1707" s="6">
        <f>VLOOKUP(operations[productID],products[],5,FALSE)</f>
        <v>0</v>
      </c>
      <c r="K1707" s="6">
        <f>VLOOKUP(operations[productID],products[],6,FALSE)</f>
        <v>20</v>
      </c>
      <c r="L1707" s="10">
        <f t="array" ref="L1707">INDEX('1 orders'!I1707:I2156, MATCH(1, ('1 orders'!A1707:A2156=A1707)*('1 orders'!G1707:G2156=F1707), 0))
</f>
        <v>30</v>
      </c>
      <c r="M1707" s="10">
        <f>IFERROR(__xludf.DUMMYFUNCTION("COUNTUNIQUEIFS($A$2:$A1707,$F$2:$F1707,F1707)"),24.0)</f>
        <v>24</v>
      </c>
      <c r="N1707" s="10">
        <f t="shared" si="1"/>
        <v>18</v>
      </c>
      <c r="O1707" s="26">
        <f>IF(operations[sinceLastOrder]=0,0,operations[orderQuantity] / operations[sinceLastOrder])</f>
        <v>1.666666667</v>
      </c>
      <c r="P1707" s="9">
        <v>44.15</v>
      </c>
      <c r="Q1707" s="7" t="s">
        <v>15</v>
      </c>
      <c r="R1707" s="10">
        <f>operations[arrivedDate]-operations[shippedDate]</f>
        <v>9</v>
      </c>
    </row>
    <row r="1708" ht="15.75" customHeight="1">
      <c r="A1708" s="6">
        <v>10902.0</v>
      </c>
      <c r="B1708" s="24">
        <v>45345.0</v>
      </c>
      <c r="C1708" s="24">
        <v>45374.0</v>
      </c>
      <c r="D1708" s="24">
        <v>45354.0</v>
      </c>
      <c r="E1708" s="24">
        <v>45363.0</v>
      </c>
      <c r="F1708" s="6">
        <v>62.0</v>
      </c>
      <c r="G1708" s="9" t="str">
        <f>VLOOKUP(operations[productID],products[],2,FALSE)</f>
        <v>Tarte au sucre</v>
      </c>
      <c r="H1708" s="9" t="str">
        <f>IF(VLOOKUP(operations[productID],products[],7,FALSE)=1,"Discontinued","Current")</f>
        <v>Current</v>
      </c>
      <c r="I1708" s="6">
        <f>VLOOKUP(operations[productID],products[],4,FALSE)</f>
        <v>17</v>
      </c>
      <c r="J1708" s="6">
        <f>VLOOKUP(operations[productID],products[],5,FALSE)</f>
        <v>0</v>
      </c>
      <c r="K1708" s="6">
        <f>VLOOKUP(operations[productID],products[],6,FALSE)</f>
        <v>0</v>
      </c>
      <c r="L1708" s="10">
        <f t="array" ref="L1708">INDEX('1 orders'!I1708:I2156, MATCH(1, ('1 orders'!A1708:A2156=A1708)*('1 orders'!G1708:G2156=F1708), 0))
</f>
        <v>6</v>
      </c>
      <c r="M1708" s="10">
        <f>IFERROR(__xludf.DUMMYFUNCTION("COUNTUNIQUEIFS($A$2:$A1708,$F$2:$F1708,F1708)"),40.0)</f>
        <v>40</v>
      </c>
      <c r="N1708" s="10">
        <f t="shared" si="1"/>
        <v>18</v>
      </c>
      <c r="O1708" s="26">
        <f>IF(operations[sinceLastOrder]=0,0,operations[orderQuantity] / operations[sinceLastOrder])</f>
        <v>0.3333333333</v>
      </c>
      <c r="P1708" s="9">
        <v>44.15</v>
      </c>
      <c r="Q1708" s="7" t="s">
        <v>15</v>
      </c>
      <c r="R1708" s="10">
        <f>operations[arrivedDate]-operations[shippedDate]</f>
        <v>9</v>
      </c>
    </row>
    <row r="1709" ht="15.75" customHeight="1">
      <c r="A1709" s="6">
        <v>10903.0</v>
      </c>
      <c r="B1709" s="24">
        <v>45346.0</v>
      </c>
      <c r="C1709" s="24">
        <v>45375.0</v>
      </c>
      <c r="D1709" s="24">
        <v>45355.0</v>
      </c>
      <c r="E1709" s="24">
        <v>45370.0</v>
      </c>
      <c r="F1709" s="6">
        <v>13.0</v>
      </c>
      <c r="G1709" s="9" t="str">
        <f>VLOOKUP(operations[productID],products[],2,FALSE)</f>
        <v>Konbu</v>
      </c>
      <c r="H1709" s="9" t="str">
        <f>IF(VLOOKUP(operations[productID],products[],7,FALSE)=1,"Discontinued","Current")</f>
        <v>Current</v>
      </c>
      <c r="I1709" s="6">
        <f>VLOOKUP(operations[productID],products[],4,FALSE)</f>
        <v>24</v>
      </c>
      <c r="J1709" s="6">
        <f>VLOOKUP(operations[productID],products[],5,FALSE)</f>
        <v>0</v>
      </c>
      <c r="K1709" s="6">
        <f>VLOOKUP(operations[productID],products[],6,FALSE)</f>
        <v>5</v>
      </c>
      <c r="L1709" s="10">
        <f t="array" ref="L1709">INDEX('1 orders'!I1709:I2156, MATCH(1, ('1 orders'!A1709:A2156=A1709)*('1 orders'!G1709:G2156=F1709), 0))
</f>
        <v>40</v>
      </c>
      <c r="M1709" s="10">
        <f>IFERROR(__xludf.DUMMYFUNCTION("COUNTUNIQUEIFS($A$2:$A1709,$F$2:$F1709,F1709)"),25.0)</f>
        <v>25</v>
      </c>
      <c r="N1709" s="10">
        <f t="shared" si="1"/>
        <v>4</v>
      </c>
      <c r="O1709" s="26">
        <f>IF(operations[sinceLastOrder]=0,0,operations[orderQuantity] / operations[sinceLastOrder])</f>
        <v>10</v>
      </c>
      <c r="P1709" s="9">
        <v>36.71</v>
      </c>
      <c r="Q1709" s="7" t="s">
        <v>13</v>
      </c>
      <c r="R1709" s="10">
        <f>operations[arrivedDate]-operations[shippedDate]</f>
        <v>15</v>
      </c>
    </row>
    <row r="1710" ht="15.75" customHeight="1">
      <c r="A1710" s="6">
        <v>10903.0</v>
      </c>
      <c r="B1710" s="24">
        <v>45346.0</v>
      </c>
      <c r="C1710" s="24">
        <v>45375.0</v>
      </c>
      <c r="D1710" s="24">
        <v>45355.0</v>
      </c>
      <c r="E1710" s="24">
        <v>45370.0</v>
      </c>
      <c r="F1710" s="6">
        <v>65.0</v>
      </c>
      <c r="G1710" s="9" t="str">
        <f>VLOOKUP(operations[productID],products[],2,FALSE)</f>
        <v>Louisiana Fiery Hot Pepper Sauce</v>
      </c>
      <c r="H1710" s="9" t="str">
        <f>IF(VLOOKUP(operations[productID],products[],7,FALSE)=1,"Discontinued","Current")</f>
        <v>Current</v>
      </c>
      <c r="I1710" s="6">
        <f>VLOOKUP(operations[productID],products[],4,FALSE)</f>
        <v>76</v>
      </c>
      <c r="J1710" s="6">
        <f>VLOOKUP(operations[productID],products[],5,FALSE)</f>
        <v>0</v>
      </c>
      <c r="K1710" s="6">
        <f>VLOOKUP(operations[productID],products[],6,FALSE)</f>
        <v>0</v>
      </c>
      <c r="L1710" s="10">
        <f t="array" ref="L1710">INDEX('1 orders'!I1710:I2156, MATCH(1, ('1 orders'!A1710:A2156=A1710)*('1 orders'!G1710:G2156=F1710), 0))
</f>
        <v>21</v>
      </c>
      <c r="M1710" s="10">
        <f>IFERROR(__xludf.DUMMYFUNCTION("COUNTUNIQUEIFS($A$2:$A1710,$F$2:$F1710,F1710)"),31.0)</f>
        <v>31</v>
      </c>
      <c r="N1710" s="10">
        <f t="shared" si="1"/>
        <v>12</v>
      </c>
      <c r="O1710" s="26">
        <f>IF(operations[sinceLastOrder]=0,0,operations[orderQuantity] / operations[sinceLastOrder])</f>
        <v>1.75</v>
      </c>
      <c r="P1710" s="9">
        <v>36.71</v>
      </c>
      <c r="Q1710" s="7" t="s">
        <v>13</v>
      </c>
      <c r="R1710" s="10">
        <f>operations[arrivedDate]-operations[shippedDate]</f>
        <v>15</v>
      </c>
    </row>
    <row r="1711" ht="15.75" customHeight="1">
      <c r="A1711" s="6">
        <v>10903.0</v>
      </c>
      <c r="B1711" s="24">
        <v>45346.0</v>
      </c>
      <c r="C1711" s="24">
        <v>45375.0</v>
      </c>
      <c r="D1711" s="24">
        <v>45355.0</v>
      </c>
      <c r="E1711" s="24">
        <v>45370.0</v>
      </c>
      <c r="F1711" s="6">
        <v>68.0</v>
      </c>
      <c r="G1711" s="9" t="str">
        <f>VLOOKUP(operations[productID],products[],2,FALSE)</f>
        <v>Scottish Longbreads</v>
      </c>
      <c r="H1711" s="9" t="str">
        <f>IF(VLOOKUP(operations[productID],products[],7,FALSE)=1,"Discontinued","Current")</f>
        <v>Current</v>
      </c>
      <c r="I1711" s="6">
        <f>VLOOKUP(operations[productID],products[],4,FALSE)</f>
        <v>6</v>
      </c>
      <c r="J1711" s="6">
        <f>VLOOKUP(operations[productID],products[],5,FALSE)</f>
        <v>10</v>
      </c>
      <c r="K1711" s="6">
        <f>VLOOKUP(operations[productID],products[],6,FALSE)</f>
        <v>15</v>
      </c>
      <c r="L1711" s="10">
        <f t="array" ref="L1711">INDEX('1 orders'!I1711:I2156, MATCH(1, ('1 orders'!A1711:A2156=A1711)*('1 orders'!G1711:G2156=F1711), 0))
</f>
        <v>20</v>
      </c>
      <c r="M1711" s="10">
        <f>IFERROR(__xludf.DUMMYFUNCTION("COUNTUNIQUEIFS($A$2:$A1711,$F$2:$F1711,F1711)"),30.0)</f>
        <v>30</v>
      </c>
      <c r="N1711" s="10">
        <f t="shared" si="1"/>
        <v>8</v>
      </c>
      <c r="O1711" s="26">
        <f>IF(operations[sinceLastOrder]=0,0,operations[orderQuantity] / operations[sinceLastOrder])</f>
        <v>2.5</v>
      </c>
      <c r="P1711" s="9">
        <v>36.71</v>
      </c>
      <c r="Q1711" s="7" t="s">
        <v>13</v>
      </c>
      <c r="R1711" s="10">
        <f>operations[arrivedDate]-operations[shippedDate]</f>
        <v>15</v>
      </c>
    </row>
    <row r="1712" ht="15.75" customHeight="1">
      <c r="A1712" s="6">
        <v>10904.0</v>
      </c>
      <c r="B1712" s="24">
        <v>45346.0</v>
      </c>
      <c r="C1712" s="24">
        <v>45375.0</v>
      </c>
      <c r="D1712" s="24">
        <v>45349.0</v>
      </c>
      <c r="E1712" s="24">
        <v>45366.0</v>
      </c>
      <c r="F1712" s="6">
        <v>58.0</v>
      </c>
      <c r="G1712" s="9" t="str">
        <f>VLOOKUP(operations[productID],products[],2,FALSE)</f>
        <v>Escargots de Bourgogne</v>
      </c>
      <c r="H1712" s="9" t="str">
        <f>IF(VLOOKUP(operations[productID],products[],7,FALSE)=1,"Discontinued","Current")</f>
        <v>Current</v>
      </c>
      <c r="I1712" s="6">
        <f>VLOOKUP(operations[productID],products[],4,FALSE)</f>
        <v>62</v>
      </c>
      <c r="J1712" s="6">
        <f>VLOOKUP(operations[productID],products[],5,FALSE)</f>
        <v>0</v>
      </c>
      <c r="K1712" s="6">
        <f>VLOOKUP(operations[productID],products[],6,FALSE)</f>
        <v>20</v>
      </c>
      <c r="L1712" s="10">
        <f t="array" ref="L1712">INDEX('1 orders'!I1712:I2156, MATCH(1, ('1 orders'!A1712:A2156=A1712)*('1 orders'!G1712:G2156=F1712), 0))
</f>
        <v>15</v>
      </c>
      <c r="M1712" s="10">
        <f>IFERROR(__xludf.DUMMYFUNCTION("COUNTUNIQUEIFS($A$2:$A1712,$F$2:$F1712,F1712)"),15.0)</f>
        <v>15</v>
      </c>
      <c r="N1712" s="10">
        <f t="shared" si="1"/>
        <v>22</v>
      </c>
      <c r="O1712" s="26">
        <f>IF(operations[sinceLastOrder]=0,0,operations[orderQuantity] / operations[sinceLastOrder])</f>
        <v>0.6818181818</v>
      </c>
      <c r="P1712" s="9">
        <v>162.95</v>
      </c>
      <c r="Q1712" s="7" t="s">
        <v>13</v>
      </c>
      <c r="R1712" s="10">
        <f>operations[arrivedDate]-operations[shippedDate]</f>
        <v>17</v>
      </c>
    </row>
    <row r="1713" ht="15.75" customHeight="1">
      <c r="A1713" s="6">
        <v>10904.0</v>
      </c>
      <c r="B1713" s="24">
        <v>45346.0</v>
      </c>
      <c r="C1713" s="24">
        <v>45375.0</v>
      </c>
      <c r="D1713" s="24">
        <v>45349.0</v>
      </c>
      <c r="E1713" s="24">
        <v>45366.0</v>
      </c>
      <c r="F1713" s="6">
        <v>62.0</v>
      </c>
      <c r="G1713" s="9" t="str">
        <f>VLOOKUP(operations[productID],products[],2,FALSE)</f>
        <v>Tarte au sucre</v>
      </c>
      <c r="H1713" s="9" t="str">
        <f>IF(VLOOKUP(operations[productID],products[],7,FALSE)=1,"Discontinued","Current")</f>
        <v>Current</v>
      </c>
      <c r="I1713" s="6">
        <f>VLOOKUP(operations[productID],products[],4,FALSE)</f>
        <v>17</v>
      </c>
      <c r="J1713" s="6">
        <f>VLOOKUP(operations[productID],products[],5,FALSE)</f>
        <v>0</v>
      </c>
      <c r="K1713" s="6">
        <f>VLOOKUP(operations[productID],products[],6,FALSE)</f>
        <v>0</v>
      </c>
      <c r="L1713" s="10">
        <f t="array" ref="L1713">INDEX('1 orders'!I1713:I2156, MATCH(1, ('1 orders'!A1713:A2156=A1713)*('1 orders'!G1713:G2156=F1713), 0))
</f>
        <v>35</v>
      </c>
      <c r="M1713" s="10">
        <f>IFERROR(__xludf.DUMMYFUNCTION("COUNTUNIQUEIFS($A$2:$A1713,$F$2:$F1713,F1713)"),41.0)</f>
        <v>41</v>
      </c>
      <c r="N1713" s="10">
        <f t="shared" si="1"/>
        <v>1</v>
      </c>
      <c r="O1713" s="26">
        <f>IF(operations[sinceLastOrder]=0,0,operations[orderQuantity] / operations[sinceLastOrder])</f>
        <v>35</v>
      </c>
      <c r="P1713" s="9">
        <v>162.95</v>
      </c>
      <c r="Q1713" s="7" t="s">
        <v>13</v>
      </c>
      <c r="R1713" s="10">
        <f>operations[arrivedDate]-operations[shippedDate]</f>
        <v>17</v>
      </c>
    </row>
    <row r="1714" ht="15.75" customHeight="1">
      <c r="A1714" s="6">
        <v>10905.0</v>
      </c>
      <c r="B1714" s="24">
        <v>45346.0</v>
      </c>
      <c r="C1714" s="24">
        <v>45375.0</v>
      </c>
      <c r="D1714" s="24">
        <v>45357.0</v>
      </c>
      <c r="E1714" s="24">
        <v>45375.0</v>
      </c>
      <c r="F1714" s="6">
        <v>1.0</v>
      </c>
      <c r="G1714" s="9" t="str">
        <f>VLOOKUP(operations[productID],products[],2,FALSE)</f>
        <v>Chai</v>
      </c>
      <c r="H1714" s="9" t="str">
        <f>IF(VLOOKUP(operations[productID],products[],7,FALSE)=1,"Discontinued","Current")</f>
        <v>Current</v>
      </c>
      <c r="I1714" s="6">
        <f>VLOOKUP(operations[productID],products[],4,FALSE)</f>
        <v>39</v>
      </c>
      <c r="J1714" s="6">
        <f>VLOOKUP(operations[productID],products[],5,FALSE)</f>
        <v>0</v>
      </c>
      <c r="K1714" s="6">
        <f>VLOOKUP(operations[productID],products[],6,FALSE)</f>
        <v>10</v>
      </c>
      <c r="L1714" s="10">
        <f t="array" ref="L1714">INDEX('1 orders'!I1714:I2156, MATCH(1, ('1 orders'!A1714:A2156=A1714)*('1 orders'!G1714:G2156=F1714), 0))
</f>
        <v>20</v>
      </c>
      <c r="M1714" s="10">
        <f>IFERROR(__xludf.DUMMYFUNCTION("COUNTUNIQUEIFS($A$2:$A1714,$F$2:$F1714,F1714)"),27.0)</f>
        <v>27</v>
      </c>
      <c r="N1714" s="10">
        <f t="shared" si="1"/>
        <v>20</v>
      </c>
      <c r="O1714" s="26">
        <f>IF(operations[sinceLastOrder]=0,0,operations[orderQuantity] / operations[sinceLastOrder])</f>
        <v>1</v>
      </c>
      <c r="P1714" s="9">
        <v>13.72</v>
      </c>
      <c r="Q1714" s="7" t="s">
        <v>17</v>
      </c>
      <c r="R1714" s="10">
        <f>operations[arrivedDate]-operations[shippedDate]</f>
        <v>18</v>
      </c>
    </row>
    <row r="1715" ht="15.75" customHeight="1">
      <c r="A1715" s="6">
        <v>10906.0</v>
      </c>
      <c r="B1715" s="24">
        <v>45347.0</v>
      </c>
      <c r="C1715" s="24">
        <v>45362.0</v>
      </c>
      <c r="D1715" s="24">
        <v>45354.0</v>
      </c>
      <c r="E1715" s="24">
        <v>45364.0</v>
      </c>
      <c r="F1715" s="6">
        <v>61.0</v>
      </c>
      <c r="G1715" s="9" t="str">
        <f>VLOOKUP(operations[productID],products[],2,FALSE)</f>
        <v>Sirop d'érable</v>
      </c>
      <c r="H1715" s="9" t="str">
        <f>IF(VLOOKUP(operations[productID],products[],7,FALSE)=1,"Discontinued","Current")</f>
        <v>Current</v>
      </c>
      <c r="I1715" s="6">
        <f>VLOOKUP(operations[productID],products[],4,FALSE)</f>
        <v>113</v>
      </c>
      <c r="J1715" s="6">
        <f>VLOOKUP(operations[productID],products[],5,FALSE)</f>
        <v>0</v>
      </c>
      <c r="K1715" s="6">
        <f>VLOOKUP(operations[productID],products[],6,FALSE)</f>
        <v>25</v>
      </c>
      <c r="L1715" s="10">
        <f t="array" ref="L1715">INDEX('1 orders'!I1715:I2156, MATCH(1, ('1 orders'!A1715:A2156=A1715)*('1 orders'!G1715:G2156=F1715), 0))
</f>
        <v>15</v>
      </c>
      <c r="M1715" s="10">
        <f>IFERROR(__xludf.DUMMYFUNCTION("COUNTUNIQUEIFS($A$2:$A1715,$F$2:$F1715,F1715)"),16.0)</f>
        <v>16</v>
      </c>
      <c r="N1715" s="10">
        <f t="shared" si="1"/>
        <v>15</v>
      </c>
      <c r="O1715" s="26">
        <f>IF(operations[sinceLastOrder]=0,0,operations[orderQuantity] / operations[sinceLastOrder])</f>
        <v>1</v>
      </c>
      <c r="P1715" s="9">
        <v>26.29</v>
      </c>
      <c r="Q1715" s="7" t="s">
        <v>13</v>
      </c>
      <c r="R1715" s="10">
        <f>operations[arrivedDate]-operations[shippedDate]</f>
        <v>10</v>
      </c>
    </row>
    <row r="1716" ht="15.75" customHeight="1">
      <c r="A1716" s="6">
        <v>10907.0</v>
      </c>
      <c r="B1716" s="24">
        <v>45347.0</v>
      </c>
      <c r="C1716" s="24">
        <v>45376.0</v>
      </c>
      <c r="D1716" s="24">
        <v>45349.0</v>
      </c>
      <c r="E1716" s="24">
        <v>45358.0</v>
      </c>
      <c r="F1716" s="6">
        <v>75.0</v>
      </c>
      <c r="G1716" s="9" t="str">
        <f>VLOOKUP(operations[productID],products[],2,FALSE)</f>
        <v>Rhönbräu Klosterbier</v>
      </c>
      <c r="H1716" s="9" t="str">
        <f>IF(VLOOKUP(operations[productID],products[],7,FALSE)=1,"Discontinued","Current")</f>
        <v>Current</v>
      </c>
      <c r="I1716" s="6">
        <f>VLOOKUP(operations[productID],products[],4,FALSE)</f>
        <v>125</v>
      </c>
      <c r="J1716" s="6">
        <f>VLOOKUP(operations[productID],products[],5,FALSE)</f>
        <v>0</v>
      </c>
      <c r="K1716" s="6">
        <f>VLOOKUP(operations[productID],products[],6,FALSE)</f>
        <v>25</v>
      </c>
      <c r="L1716" s="10">
        <f t="array" ref="L1716">INDEX('1 orders'!I1716:I2156, MATCH(1, ('1 orders'!A1716:A2156=A1716)*('1 orders'!G1716:G2156=F1716), 0))
</f>
        <v>14</v>
      </c>
      <c r="M1716" s="10">
        <f>IFERROR(__xludf.DUMMYFUNCTION("COUNTUNIQUEIFS($A$2:$A1716,$F$2:$F1716,F1716)"),35.0)</f>
        <v>35</v>
      </c>
      <c r="N1716" s="10">
        <f t="shared" si="1"/>
        <v>7</v>
      </c>
      <c r="O1716" s="26">
        <f>IF(operations[sinceLastOrder]=0,0,operations[orderQuantity] / operations[sinceLastOrder])</f>
        <v>2</v>
      </c>
      <c r="P1716" s="9">
        <v>9.19</v>
      </c>
      <c r="Q1716" s="7" t="s">
        <v>13</v>
      </c>
      <c r="R1716" s="10">
        <f>operations[arrivedDate]-operations[shippedDate]</f>
        <v>9</v>
      </c>
    </row>
    <row r="1717" ht="15.75" customHeight="1">
      <c r="A1717" s="6">
        <v>10908.0</v>
      </c>
      <c r="B1717" s="24">
        <v>45348.0</v>
      </c>
      <c r="C1717" s="24">
        <v>45377.0</v>
      </c>
      <c r="D1717" s="24">
        <v>45357.0</v>
      </c>
      <c r="E1717" s="24">
        <v>45368.0</v>
      </c>
      <c r="F1717" s="6">
        <v>7.0</v>
      </c>
      <c r="G1717" s="9" t="str">
        <f>VLOOKUP(operations[productID],products[],2,FALSE)</f>
        <v>Uncle Bob's Organic Dried Pears</v>
      </c>
      <c r="H1717" s="9" t="str">
        <f>IF(VLOOKUP(operations[productID],products[],7,FALSE)=1,"Discontinued","Current")</f>
        <v>Current</v>
      </c>
      <c r="I1717" s="6">
        <f>VLOOKUP(operations[productID],products[],4,FALSE)</f>
        <v>15</v>
      </c>
      <c r="J1717" s="6">
        <f>VLOOKUP(operations[productID],products[],5,FALSE)</f>
        <v>0</v>
      </c>
      <c r="K1717" s="6">
        <f>VLOOKUP(operations[productID],products[],6,FALSE)</f>
        <v>10</v>
      </c>
      <c r="L1717" s="10">
        <f t="array" ref="L1717">INDEX('1 orders'!I1717:I2156, MATCH(1, ('1 orders'!A1717:A2156=A1717)*('1 orders'!G1717:G2156=F1717), 0))
</f>
        <v>20</v>
      </c>
      <c r="M1717" s="10">
        <f>IFERROR(__xludf.DUMMYFUNCTION("COUNTUNIQUEIFS($A$2:$A1717,$F$2:$F1717,F1717)"),15.0)</f>
        <v>15</v>
      </c>
      <c r="N1717" s="10">
        <f t="shared" si="1"/>
        <v>28</v>
      </c>
      <c r="O1717" s="26">
        <f>IF(operations[sinceLastOrder]=0,0,operations[orderQuantity] / operations[sinceLastOrder])</f>
        <v>0.7142857143</v>
      </c>
      <c r="P1717" s="9">
        <v>32.96</v>
      </c>
      <c r="Q1717" s="7" t="s">
        <v>17</v>
      </c>
      <c r="R1717" s="10">
        <f>operations[arrivedDate]-operations[shippedDate]</f>
        <v>11</v>
      </c>
    </row>
    <row r="1718" ht="15.75" customHeight="1">
      <c r="A1718" s="6">
        <v>10908.0</v>
      </c>
      <c r="B1718" s="24">
        <v>45348.0</v>
      </c>
      <c r="C1718" s="24">
        <v>45377.0</v>
      </c>
      <c r="D1718" s="24">
        <v>45357.0</v>
      </c>
      <c r="E1718" s="24">
        <v>45368.0</v>
      </c>
      <c r="F1718" s="6">
        <v>52.0</v>
      </c>
      <c r="G1718" s="9" t="str">
        <f>VLOOKUP(operations[productID],products[],2,FALSE)</f>
        <v>Filo Mix</v>
      </c>
      <c r="H1718" s="9" t="str">
        <f>IF(VLOOKUP(operations[productID],products[],7,FALSE)=1,"Discontinued","Current")</f>
        <v>Current</v>
      </c>
      <c r="I1718" s="6">
        <f>VLOOKUP(operations[productID],products[],4,FALSE)</f>
        <v>38</v>
      </c>
      <c r="J1718" s="6">
        <f>VLOOKUP(operations[productID],products[],5,FALSE)</f>
        <v>0</v>
      </c>
      <c r="K1718" s="6">
        <f>VLOOKUP(operations[productID],products[],6,FALSE)</f>
        <v>25</v>
      </c>
      <c r="L1718" s="10">
        <f t="array" ref="L1718">INDEX('1 orders'!I1718:I2156, MATCH(1, ('1 orders'!A1718:A2156=A1718)*('1 orders'!G1718:G2156=F1718), 0))
</f>
        <v>14</v>
      </c>
      <c r="M1718" s="10">
        <f>IFERROR(__xludf.DUMMYFUNCTION("COUNTUNIQUEIFS($A$2:$A1718,$F$2:$F1718,F1718)"),21.0)</f>
        <v>21</v>
      </c>
      <c r="N1718" s="10">
        <f t="shared" si="1"/>
        <v>27</v>
      </c>
      <c r="O1718" s="26">
        <f>IF(operations[sinceLastOrder]=0,0,operations[orderQuantity] / operations[sinceLastOrder])</f>
        <v>0.5185185185</v>
      </c>
      <c r="P1718" s="9">
        <v>32.96</v>
      </c>
      <c r="Q1718" s="7" t="s">
        <v>17</v>
      </c>
      <c r="R1718" s="10">
        <f>operations[arrivedDate]-operations[shippedDate]</f>
        <v>11</v>
      </c>
    </row>
    <row r="1719" ht="15.75" customHeight="1">
      <c r="A1719" s="6">
        <v>10909.0</v>
      </c>
      <c r="B1719" s="24">
        <v>45348.0</v>
      </c>
      <c r="C1719" s="24">
        <v>45377.0</v>
      </c>
      <c r="D1719" s="24">
        <v>45361.0</v>
      </c>
      <c r="E1719" s="24">
        <v>45373.0</v>
      </c>
      <c r="F1719" s="6">
        <v>7.0</v>
      </c>
      <c r="G1719" s="9" t="str">
        <f>VLOOKUP(operations[productID],products[],2,FALSE)</f>
        <v>Uncle Bob's Organic Dried Pears</v>
      </c>
      <c r="H1719" s="9" t="str">
        <f>IF(VLOOKUP(operations[productID],products[],7,FALSE)=1,"Discontinued","Current")</f>
        <v>Current</v>
      </c>
      <c r="I1719" s="6">
        <f>VLOOKUP(operations[productID],products[],4,FALSE)</f>
        <v>15</v>
      </c>
      <c r="J1719" s="6">
        <f>VLOOKUP(operations[productID],products[],5,FALSE)</f>
        <v>0</v>
      </c>
      <c r="K1719" s="6">
        <f>VLOOKUP(operations[productID],products[],6,FALSE)</f>
        <v>10</v>
      </c>
      <c r="L1719" s="10">
        <f t="array" ref="L1719">INDEX('1 orders'!I1719:I2156, MATCH(1, ('1 orders'!A1719:A2156=A1719)*('1 orders'!G1719:G2156=F1719), 0))
</f>
        <v>12</v>
      </c>
      <c r="M1719" s="10">
        <f>IFERROR(__xludf.DUMMYFUNCTION("COUNTUNIQUEIFS($A$2:$A1719,$F$2:$F1719,F1719)"),16.0)</f>
        <v>16</v>
      </c>
      <c r="N1719" s="10">
        <f t="shared" si="1"/>
        <v>0</v>
      </c>
      <c r="O1719" s="26">
        <f>IF(operations[sinceLastOrder]=0,0,operations[orderQuantity] / operations[sinceLastOrder])</f>
        <v>0</v>
      </c>
      <c r="P1719" s="9">
        <v>53.05</v>
      </c>
      <c r="Q1719" s="7" t="s">
        <v>17</v>
      </c>
      <c r="R1719" s="10">
        <f>operations[arrivedDate]-operations[shippedDate]</f>
        <v>12</v>
      </c>
    </row>
    <row r="1720" ht="15.75" customHeight="1">
      <c r="A1720" s="6">
        <v>10909.0</v>
      </c>
      <c r="B1720" s="24">
        <v>45348.0</v>
      </c>
      <c r="C1720" s="24">
        <v>45377.0</v>
      </c>
      <c r="D1720" s="24">
        <v>45361.0</v>
      </c>
      <c r="E1720" s="24">
        <v>45373.0</v>
      </c>
      <c r="F1720" s="6">
        <v>16.0</v>
      </c>
      <c r="G1720" s="9" t="str">
        <f>VLOOKUP(operations[productID],products[],2,FALSE)</f>
        <v>Pavlova</v>
      </c>
      <c r="H1720" s="9" t="str">
        <f>IF(VLOOKUP(operations[productID],products[],7,FALSE)=1,"Discontinued","Current")</f>
        <v>Current</v>
      </c>
      <c r="I1720" s="6">
        <f>VLOOKUP(operations[productID],products[],4,FALSE)</f>
        <v>29</v>
      </c>
      <c r="J1720" s="6">
        <f>VLOOKUP(operations[productID],products[],5,FALSE)</f>
        <v>0</v>
      </c>
      <c r="K1720" s="6">
        <f>VLOOKUP(operations[productID],products[],6,FALSE)</f>
        <v>10</v>
      </c>
      <c r="L1720" s="10">
        <f t="array" ref="L1720">INDEX('1 orders'!I1720:I2156, MATCH(1, ('1 orders'!A1720:A2156=A1720)*('1 orders'!G1720:G2156=F1720), 0))
</f>
        <v>15</v>
      </c>
      <c r="M1720" s="10">
        <f>IFERROR(__xludf.DUMMYFUNCTION("COUNTUNIQUEIFS($A$2:$A1720,$F$2:$F1720,F1720)"),33.0)</f>
        <v>33</v>
      </c>
      <c r="N1720" s="10">
        <f t="shared" si="1"/>
        <v>17</v>
      </c>
      <c r="O1720" s="26">
        <f>IF(operations[sinceLastOrder]=0,0,operations[orderQuantity] / operations[sinceLastOrder])</f>
        <v>0.8823529412</v>
      </c>
      <c r="P1720" s="9">
        <v>53.05</v>
      </c>
      <c r="Q1720" s="7" t="s">
        <v>17</v>
      </c>
      <c r="R1720" s="10">
        <f>operations[arrivedDate]-operations[shippedDate]</f>
        <v>12</v>
      </c>
    </row>
    <row r="1721" ht="15.75" customHeight="1">
      <c r="A1721" s="6">
        <v>10909.0</v>
      </c>
      <c r="B1721" s="24">
        <v>45348.0</v>
      </c>
      <c r="C1721" s="24">
        <v>45377.0</v>
      </c>
      <c r="D1721" s="24">
        <v>45361.0</v>
      </c>
      <c r="E1721" s="24">
        <v>45373.0</v>
      </c>
      <c r="F1721" s="6">
        <v>41.0</v>
      </c>
      <c r="G1721" s="9" t="str">
        <f>VLOOKUP(operations[productID],products[],2,FALSE)</f>
        <v>Jack's New England Clam Chowder</v>
      </c>
      <c r="H1721" s="9" t="str">
        <f>IF(VLOOKUP(operations[productID],products[],7,FALSE)=1,"Discontinued","Current")</f>
        <v>Current</v>
      </c>
      <c r="I1721" s="6">
        <f>VLOOKUP(operations[productID],products[],4,FALSE)</f>
        <v>85</v>
      </c>
      <c r="J1721" s="6">
        <f>VLOOKUP(operations[productID],products[],5,FALSE)</f>
        <v>0</v>
      </c>
      <c r="K1721" s="6">
        <f>VLOOKUP(operations[productID],products[],6,FALSE)</f>
        <v>10</v>
      </c>
      <c r="L1721" s="10">
        <f t="array" ref="L1721">INDEX('1 orders'!I1721:I2156, MATCH(1, ('1 orders'!A1721:A2156=A1721)*('1 orders'!G1721:G2156=F1721), 0))
</f>
        <v>5</v>
      </c>
      <c r="M1721" s="10">
        <f>IFERROR(__xludf.DUMMYFUNCTION("COUNTUNIQUEIFS($A$2:$A1721,$F$2:$F1721,F1721)"),35.0)</f>
        <v>35</v>
      </c>
      <c r="N1721" s="10">
        <f t="shared" si="1"/>
        <v>3</v>
      </c>
      <c r="O1721" s="26">
        <f>IF(operations[sinceLastOrder]=0,0,operations[orderQuantity] / operations[sinceLastOrder])</f>
        <v>1.666666667</v>
      </c>
      <c r="P1721" s="9">
        <v>53.05</v>
      </c>
      <c r="Q1721" s="7" t="s">
        <v>17</v>
      </c>
      <c r="R1721" s="10">
        <f>operations[arrivedDate]-operations[shippedDate]</f>
        <v>12</v>
      </c>
    </row>
    <row r="1722" ht="15.75" customHeight="1">
      <c r="A1722" s="6">
        <v>10910.0</v>
      </c>
      <c r="B1722" s="24">
        <v>45348.0</v>
      </c>
      <c r="C1722" s="24">
        <v>45377.0</v>
      </c>
      <c r="D1722" s="24">
        <v>45355.0</v>
      </c>
      <c r="E1722" s="24">
        <v>45365.0</v>
      </c>
      <c r="F1722" s="6">
        <v>19.0</v>
      </c>
      <c r="G1722" s="9" t="str">
        <f>VLOOKUP(operations[productID],products[],2,FALSE)</f>
        <v>Teatime Chocolate Biscuits</v>
      </c>
      <c r="H1722" s="9" t="str">
        <f>IF(VLOOKUP(operations[productID],products[],7,FALSE)=1,"Discontinued","Current")</f>
        <v>Current</v>
      </c>
      <c r="I1722" s="6">
        <f>VLOOKUP(operations[productID],products[],4,FALSE)</f>
        <v>25</v>
      </c>
      <c r="J1722" s="6">
        <f>VLOOKUP(operations[productID],products[],5,FALSE)</f>
        <v>0</v>
      </c>
      <c r="K1722" s="6">
        <f>VLOOKUP(operations[productID],products[],6,FALSE)</f>
        <v>5</v>
      </c>
      <c r="L1722" s="10">
        <f t="array" ref="L1722">INDEX('1 orders'!I1722:I2156, MATCH(1, ('1 orders'!A1722:A2156=A1722)*('1 orders'!G1722:G2156=F1722), 0))
</f>
        <v>12</v>
      </c>
      <c r="M1722" s="10">
        <f>IFERROR(__xludf.DUMMYFUNCTION("COUNTUNIQUEIFS($A$2:$A1722,$F$2:$F1722,F1722)"),31.0)</f>
        <v>31</v>
      </c>
      <c r="N1722" s="10">
        <f t="shared" si="1"/>
        <v>20</v>
      </c>
      <c r="O1722" s="26">
        <f>IF(operations[sinceLastOrder]=0,0,operations[orderQuantity] / operations[sinceLastOrder])</f>
        <v>0.6</v>
      </c>
      <c r="P1722" s="9">
        <v>38.11</v>
      </c>
      <c r="Q1722" s="7" t="s">
        <v>13</v>
      </c>
      <c r="R1722" s="10">
        <f>operations[arrivedDate]-operations[shippedDate]</f>
        <v>10</v>
      </c>
    </row>
    <row r="1723" ht="15.75" customHeight="1">
      <c r="A1723" s="6">
        <v>10910.0</v>
      </c>
      <c r="B1723" s="24">
        <v>45348.0</v>
      </c>
      <c r="C1723" s="24">
        <v>45377.0</v>
      </c>
      <c r="D1723" s="24">
        <v>45355.0</v>
      </c>
      <c r="E1723" s="24">
        <v>45365.0</v>
      </c>
      <c r="F1723" s="6">
        <v>49.0</v>
      </c>
      <c r="G1723" s="9" t="str">
        <f>VLOOKUP(operations[productID],products[],2,FALSE)</f>
        <v>Maxilaku</v>
      </c>
      <c r="H1723" s="9" t="str">
        <f>IF(VLOOKUP(operations[productID],products[],7,FALSE)=1,"Discontinued","Current")</f>
        <v>Current</v>
      </c>
      <c r="I1723" s="6">
        <f>VLOOKUP(operations[productID],products[],4,FALSE)</f>
        <v>10</v>
      </c>
      <c r="J1723" s="6">
        <f>VLOOKUP(operations[productID],products[],5,FALSE)</f>
        <v>60</v>
      </c>
      <c r="K1723" s="6">
        <f>VLOOKUP(operations[productID],products[],6,FALSE)</f>
        <v>15</v>
      </c>
      <c r="L1723" s="10">
        <f t="array" ref="L1723">INDEX('1 orders'!I1723:I2156, MATCH(1, ('1 orders'!A1723:A2156=A1723)*('1 orders'!G1723:G2156=F1723), 0))
</f>
        <v>10</v>
      </c>
      <c r="M1723" s="10">
        <f>IFERROR(__xludf.DUMMYFUNCTION("COUNTUNIQUEIFS($A$2:$A1723,$F$2:$F1723,F1723)"),17.0)</f>
        <v>17</v>
      </c>
      <c r="N1723" s="10">
        <f t="shared" si="1"/>
        <v>15</v>
      </c>
      <c r="O1723" s="26">
        <f>IF(operations[sinceLastOrder]=0,0,operations[orderQuantity] / operations[sinceLastOrder])</f>
        <v>0.6666666667</v>
      </c>
      <c r="P1723" s="9">
        <v>38.11</v>
      </c>
      <c r="Q1723" s="7" t="s">
        <v>13</v>
      </c>
      <c r="R1723" s="10">
        <f>operations[arrivedDate]-operations[shippedDate]</f>
        <v>10</v>
      </c>
    </row>
    <row r="1724" ht="15.75" customHeight="1">
      <c r="A1724" s="6">
        <v>10910.0</v>
      </c>
      <c r="B1724" s="24">
        <v>45348.0</v>
      </c>
      <c r="C1724" s="24">
        <v>45377.0</v>
      </c>
      <c r="D1724" s="24">
        <v>45355.0</v>
      </c>
      <c r="E1724" s="24">
        <v>45365.0</v>
      </c>
      <c r="F1724" s="6">
        <v>61.0</v>
      </c>
      <c r="G1724" s="9" t="str">
        <f>VLOOKUP(operations[productID],products[],2,FALSE)</f>
        <v>Sirop d'érable</v>
      </c>
      <c r="H1724" s="9" t="str">
        <f>IF(VLOOKUP(operations[productID],products[],7,FALSE)=1,"Discontinued","Current")</f>
        <v>Current</v>
      </c>
      <c r="I1724" s="6">
        <f>VLOOKUP(operations[productID],products[],4,FALSE)</f>
        <v>113</v>
      </c>
      <c r="J1724" s="6">
        <f>VLOOKUP(operations[productID],products[],5,FALSE)</f>
        <v>0</v>
      </c>
      <c r="K1724" s="6">
        <f>VLOOKUP(operations[productID],products[],6,FALSE)</f>
        <v>25</v>
      </c>
      <c r="L1724" s="10">
        <f t="array" ref="L1724">INDEX('1 orders'!I1724:I2156, MATCH(1, ('1 orders'!A1724:A2156=A1724)*('1 orders'!G1724:G2156=F1724), 0))
</f>
        <v>5</v>
      </c>
      <c r="M1724" s="10">
        <f>IFERROR(__xludf.DUMMYFUNCTION("COUNTUNIQUEIFS($A$2:$A1724,$F$2:$F1724,F1724)"),17.0)</f>
        <v>17</v>
      </c>
      <c r="N1724" s="10">
        <f t="shared" si="1"/>
        <v>1</v>
      </c>
      <c r="O1724" s="26">
        <f>IF(operations[sinceLastOrder]=0,0,operations[orderQuantity] / operations[sinceLastOrder])</f>
        <v>5</v>
      </c>
      <c r="P1724" s="9">
        <v>38.11</v>
      </c>
      <c r="Q1724" s="7" t="s">
        <v>13</v>
      </c>
      <c r="R1724" s="10">
        <f>operations[arrivedDate]-operations[shippedDate]</f>
        <v>10</v>
      </c>
    </row>
    <row r="1725" ht="15.75" customHeight="1">
      <c r="A1725" s="6">
        <v>10911.0</v>
      </c>
      <c r="B1725" s="24">
        <v>45348.0</v>
      </c>
      <c r="C1725" s="24">
        <v>45377.0</v>
      </c>
      <c r="D1725" s="24">
        <v>45356.0</v>
      </c>
      <c r="E1725" s="24">
        <v>45361.0</v>
      </c>
      <c r="F1725" s="6">
        <v>1.0</v>
      </c>
      <c r="G1725" s="9" t="str">
        <f>VLOOKUP(operations[productID],products[],2,FALSE)</f>
        <v>Chai</v>
      </c>
      <c r="H1725" s="9" t="str">
        <f>IF(VLOOKUP(operations[productID],products[],7,FALSE)=1,"Discontinued","Current")</f>
        <v>Current</v>
      </c>
      <c r="I1725" s="6">
        <f>VLOOKUP(operations[productID],products[],4,FALSE)</f>
        <v>39</v>
      </c>
      <c r="J1725" s="6">
        <f>VLOOKUP(operations[productID],products[],5,FALSE)</f>
        <v>0</v>
      </c>
      <c r="K1725" s="6">
        <f>VLOOKUP(operations[productID],products[],6,FALSE)</f>
        <v>10</v>
      </c>
      <c r="L1725" s="10">
        <f t="array" ref="L1725">INDEX('1 orders'!I1725:I2156, MATCH(1, ('1 orders'!A1725:A2156=A1725)*('1 orders'!G1725:G2156=F1725), 0))
</f>
        <v>10</v>
      </c>
      <c r="M1725" s="10">
        <f>IFERROR(__xludf.DUMMYFUNCTION("COUNTUNIQUEIFS($A$2:$A1725,$F$2:$F1725,F1725)"),28.0)</f>
        <v>28</v>
      </c>
      <c r="N1725" s="10">
        <f t="shared" si="1"/>
        <v>2</v>
      </c>
      <c r="O1725" s="26">
        <f>IF(operations[sinceLastOrder]=0,0,operations[orderQuantity] / operations[sinceLastOrder])</f>
        <v>5</v>
      </c>
      <c r="P1725" s="9">
        <v>38.19</v>
      </c>
      <c r="Q1725" s="7" t="s">
        <v>15</v>
      </c>
      <c r="R1725" s="10">
        <f>operations[arrivedDate]-operations[shippedDate]</f>
        <v>5</v>
      </c>
    </row>
    <row r="1726" ht="15.75" customHeight="1">
      <c r="A1726" s="6">
        <v>10911.0</v>
      </c>
      <c r="B1726" s="24">
        <v>45348.0</v>
      </c>
      <c r="C1726" s="24">
        <v>45377.0</v>
      </c>
      <c r="D1726" s="24">
        <v>45356.0</v>
      </c>
      <c r="E1726" s="24">
        <v>45361.0</v>
      </c>
      <c r="F1726" s="6">
        <v>17.0</v>
      </c>
      <c r="G1726" s="9" t="str">
        <f>VLOOKUP(operations[productID],products[],2,FALSE)</f>
        <v>Alice Mutton</v>
      </c>
      <c r="H1726" s="9" t="str">
        <f>IF(VLOOKUP(operations[productID],products[],7,FALSE)=1,"Discontinued","Current")</f>
        <v>Discontinued</v>
      </c>
      <c r="I1726" s="6">
        <f>VLOOKUP(operations[productID],products[],4,FALSE)</f>
        <v>0</v>
      </c>
      <c r="J1726" s="6">
        <f>VLOOKUP(operations[productID],products[],5,FALSE)</f>
        <v>0</v>
      </c>
      <c r="K1726" s="6">
        <f>VLOOKUP(operations[productID],products[],6,FALSE)</f>
        <v>0</v>
      </c>
      <c r="L1726" s="10">
        <f t="array" ref="L1726">INDEX('1 orders'!I1726:I2156, MATCH(1, ('1 orders'!A1726:A2156=A1726)*('1 orders'!G1726:G2156=F1726), 0))
</f>
        <v>12</v>
      </c>
      <c r="M1726" s="10">
        <f>IFERROR(__xludf.DUMMYFUNCTION("COUNTUNIQUEIFS($A$2:$A1726,$F$2:$F1726,F1726)"),31.0)</f>
        <v>31</v>
      </c>
      <c r="N1726" s="10">
        <f t="shared" si="1"/>
        <v>10</v>
      </c>
      <c r="O1726" s="26">
        <f>IF(operations[sinceLastOrder]=0,0,operations[orderQuantity] / operations[sinceLastOrder])</f>
        <v>1.2</v>
      </c>
      <c r="P1726" s="9">
        <v>38.19</v>
      </c>
      <c r="Q1726" s="7" t="s">
        <v>15</v>
      </c>
      <c r="R1726" s="10">
        <f>operations[arrivedDate]-operations[shippedDate]</f>
        <v>5</v>
      </c>
    </row>
    <row r="1727" ht="15.75" customHeight="1">
      <c r="A1727" s="6">
        <v>10911.0</v>
      </c>
      <c r="B1727" s="24">
        <v>45348.0</v>
      </c>
      <c r="C1727" s="24">
        <v>45377.0</v>
      </c>
      <c r="D1727" s="24">
        <v>45356.0</v>
      </c>
      <c r="E1727" s="24">
        <v>45361.0</v>
      </c>
      <c r="F1727" s="6">
        <v>67.0</v>
      </c>
      <c r="G1727" s="9" t="str">
        <f>VLOOKUP(operations[productID],products[],2,FALSE)</f>
        <v>Laughing Lumberjack Lager</v>
      </c>
      <c r="H1727" s="9" t="str">
        <f>IF(VLOOKUP(operations[productID],products[],7,FALSE)=1,"Discontinued","Current")</f>
        <v>Current</v>
      </c>
      <c r="I1727" s="6">
        <f>VLOOKUP(operations[productID],products[],4,FALSE)</f>
        <v>52</v>
      </c>
      <c r="J1727" s="6">
        <f>VLOOKUP(operations[productID],products[],5,FALSE)</f>
        <v>0</v>
      </c>
      <c r="K1727" s="6">
        <f>VLOOKUP(operations[productID],products[],6,FALSE)</f>
        <v>10</v>
      </c>
      <c r="L1727" s="10">
        <f t="array" ref="L1727">INDEX('1 orders'!I1727:I2156, MATCH(1, ('1 orders'!A1727:A2156=A1727)*('1 orders'!G1727:G2156=F1727), 0))
</f>
        <v>15</v>
      </c>
      <c r="M1727" s="10">
        <f>IFERROR(__xludf.DUMMYFUNCTION("COUNTUNIQUEIFS($A$2:$A1727,$F$2:$F1727,F1727)"),7.0)</f>
        <v>7</v>
      </c>
      <c r="N1727" s="10">
        <f t="shared" si="1"/>
        <v>24</v>
      </c>
      <c r="O1727" s="26">
        <f>IF(operations[sinceLastOrder]=0,0,operations[orderQuantity] / operations[sinceLastOrder])</f>
        <v>0.625</v>
      </c>
      <c r="P1727" s="9">
        <v>38.19</v>
      </c>
      <c r="Q1727" s="7" t="s">
        <v>15</v>
      </c>
      <c r="R1727" s="10">
        <f>operations[arrivedDate]-operations[shippedDate]</f>
        <v>5</v>
      </c>
    </row>
    <row r="1728" ht="15.75" customHeight="1">
      <c r="A1728" s="6">
        <v>10912.0</v>
      </c>
      <c r="B1728" s="24">
        <v>45348.0</v>
      </c>
      <c r="C1728" s="24">
        <v>45377.0</v>
      </c>
      <c r="D1728" s="24">
        <v>45369.0</v>
      </c>
      <c r="E1728" s="24">
        <v>45383.0</v>
      </c>
      <c r="F1728" s="6">
        <v>11.0</v>
      </c>
      <c r="G1728" s="9" t="str">
        <f>VLOOKUP(operations[productID],products[],2,FALSE)</f>
        <v>Queso Cabrales</v>
      </c>
      <c r="H1728" s="9" t="str">
        <f>IF(VLOOKUP(operations[productID],products[],7,FALSE)=1,"Discontinued","Current")</f>
        <v>Current</v>
      </c>
      <c r="I1728" s="6">
        <f>VLOOKUP(operations[productID],products[],4,FALSE)</f>
        <v>22</v>
      </c>
      <c r="J1728" s="6">
        <f>VLOOKUP(operations[productID],products[],5,FALSE)</f>
        <v>30</v>
      </c>
      <c r="K1728" s="6">
        <f>VLOOKUP(operations[productID],products[],6,FALSE)</f>
        <v>30</v>
      </c>
      <c r="L1728" s="10">
        <f t="array" ref="L1728">INDEX('1 orders'!I1728:I2156, MATCH(1, ('1 orders'!A1728:A2156=A1728)*('1 orders'!G1728:G2156=F1728), 0))
</f>
        <v>40</v>
      </c>
      <c r="M1728" s="10">
        <f>IFERROR(__xludf.DUMMYFUNCTION("COUNTUNIQUEIFS($A$2:$A1728,$F$2:$F1728,F1728)"),32.0)</f>
        <v>32</v>
      </c>
      <c r="N1728" s="10">
        <f t="shared" si="1"/>
        <v>10</v>
      </c>
      <c r="O1728" s="26">
        <f>IF(operations[sinceLastOrder]=0,0,operations[orderQuantity] / operations[sinceLastOrder])</f>
        <v>4</v>
      </c>
      <c r="P1728" s="9">
        <v>580.91</v>
      </c>
      <c r="Q1728" s="7" t="s">
        <v>17</v>
      </c>
      <c r="R1728" s="10">
        <f>operations[arrivedDate]-operations[shippedDate]</f>
        <v>14</v>
      </c>
    </row>
    <row r="1729" ht="15.75" customHeight="1">
      <c r="A1729" s="6">
        <v>10912.0</v>
      </c>
      <c r="B1729" s="24">
        <v>45348.0</v>
      </c>
      <c r="C1729" s="24">
        <v>45377.0</v>
      </c>
      <c r="D1729" s="24">
        <v>45369.0</v>
      </c>
      <c r="E1729" s="24">
        <v>45383.0</v>
      </c>
      <c r="F1729" s="6">
        <v>29.0</v>
      </c>
      <c r="G1729" s="9" t="str">
        <f>VLOOKUP(operations[productID],products[],2,FALSE)</f>
        <v>Thüringer Rostbratwurst</v>
      </c>
      <c r="H1729" s="9" t="str">
        <f>IF(VLOOKUP(operations[productID],products[],7,FALSE)=1,"Discontinued","Current")</f>
        <v>Discontinued</v>
      </c>
      <c r="I1729" s="6">
        <f>VLOOKUP(operations[productID],products[],4,FALSE)</f>
        <v>0</v>
      </c>
      <c r="J1729" s="6">
        <f>VLOOKUP(operations[productID],products[],5,FALSE)</f>
        <v>0</v>
      </c>
      <c r="K1729" s="6">
        <f>VLOOKUP(operations[productID],products[],6,FALSE)</f>
        <v>0</v>
      </c>
      <c r="L1729" s="10">
        <f t="array" ref="L1729">INDEX('1 orders'!I1729:I2156, MATCH(1, ('1 orders'!A1729:A2156=A1729)*('1 orders'!G1729:G2156=F1729), 0))
</f>
        <v>60</v>
      </c>
      <c r="M1729" s="10">
        <f>IFERROR(__xludf.DUMMYFUNCTION("COUNTUNIQUEIFS($A$2:$A1729,$F$2:$F1729,F1729)"),27.0)</f>
        <v>27</v>
      </c>
      <c r="N1729" s="10">
        <f t="shared" si="1"/>
        <v>7</v>
      </c>
      <c r="O1729" s="26">
        <f>IF(operations[sinceLastOrder]=0,0,operations[orderQuantity] / operations[sinceLastOrder])</f>
        <v>8.571428571</v>
      </c>
      <c r="P1729" s="9">
        <v>580.91</v>
      </c>
      <c r="Q1729" s="7" t="s">
        <v>17</v>
      </c>
      <c r="R1729" s="10">
        <f>operations[arrivedDate]-operations[shippedDate]</f>
        <v>14</v>
      </c>
    </row>
    <row r="1730" ht="15.75" customHeight="1">
      <c r="A1730" s="6">
        <v>10913.0</v>
      </c>
      <c r="B1730" s="24">
        <v>45348.0</v>
      </c>
      <c r="C1730" s="24">
        <v>45377.0</v>
      </c>
      <c r="D1730" s="24">
        <v>45355.0</v>
      </c>
      <c r="E1730" s="24">
        <v>45368.0</v>
      </c>
      <c r="F1730" s="6">
        <v>4.0</v>
      </c>
      <c r="G1730" s="9" t="str">
        <f>VLOOKUP(operations[productID],products[],2,FALSE)</f>
        <v>Chef Anton's Cajun Seasoning</v>
      </c>
      <c r="H1730" s="9" t="str">
        <f>IF(VLOOKUP(operations[productID],products[],7,FALSE)=1,"Discontinued","Current")</f>
        <v>Current</v>
      </c>
      <c r="I1730" s="6">
        <f>VLOOKUP(operations[productID],products[],4,FALSE)</f>
        <v>53</v>
      </c>
      <c r="J1730" s="6">
        <f>VLOOKUP(operations[productID],products[],5,FALSE)</f>
        <v>0</v>
      </c>
      <c r="K1730" s="6">
        <f>VLOOKUP(operations[productID],products[],6,FALSE)</f>
        <v>0</v>
      </c>
      <c r="L1730" s="10">
        <f t="array" ref="L1730">INDEX('1 orders'!I1730:I2156, MATCH(1, ('1 orders'!A1730:A2156=A1730)*('1 orders'!G1730:G2156=F1730), 0))
</f>
        <v>30</v>
      </c>
      <c r="M1730" s="10">
        <f>IFERROR(__xludf.DUMMYFUNCTION("COUNTUNIQUEIFS($A$2:$A1730,$F$2:$F1730,F1730)"),17.0)</f>
        <v>17</v>
      </c>
      <c r="N1730" s="10">
        <f t="shared" si="1"/>
        <v>35</v>
      </c>
      <c r="O1730" s="26">
        <f>IF(operations[sinceLastOrder]=0,0,operations[orderQuantity] / operations[sinceLastOrder])</f>
        <v>0.8571428571</v>
      </c>
      <c r="P1730" s="9">
        <v>33.05</v>
      </c>
      <c r="Q1730" s="7" t="s">
        <v>15</v>
      </c>
      <c r="R1730" s="10">
        <f>operations[arrivedDate]-operations[shippedDate]</f>
        <v>13</v>
      </c>
    </row>
    <row r="1731" ht="15.75" customHeight="1">
      <c r="A1731" s="6">
        <v>10913.0</v>
      </c>
      <c r="B1731" s="24">
        <v>45348.0</v>
      </c>
      <c r="C1731" s="24">
        <v>45377.0</v>
      </c>
      <c r="D1731" s="24">
        <v>45355.0</v>
      </c>
      <c r="E1731" s="24">
        <v>45368.0</v>
      </c>
      <c r="F1731" s="6">
        <v>33.0</v>
      </c>
      <c r="G1731" s="9" t="str">
        <f>VLOOKUP(operations[productID],products[],2,FALSE)</f>
        <v>Geitost</v>
      </c>
      <c r="H1731" s="9" t="str">
        <f>IF(VLOOKUP(operations[productID],products[],7,FALSE)=1,"Discontinued","Current")</f>
        <v>Current</v>
      </c>
      <c r="I1731" s="6">
        <f>VLOOKUP(operations[productID],products[],4,FALSE)</f>
        <v>112</v>
      </c>
      <c r="J1731" s="6">
        <f>VLOOKUP(operations[productID],products[],5,FALSE)</f>
        <v>0</v>
      </c>
      <c r="K1731" s="6">
        <f>VLOOKUP(operations[productID],products[],6,FALSE)</f>
        <v>20</v>
      </c>
      <c r="L1731" s="10">
        <f t="array" ref="L1731">INDEX('1 orders'!I1731:I2156, MATCH(1, ('1 orders'!A1731:A2156=A1731)*('1 orders'!G1731:G2156=F1731), 0))
</f>
        <v>40</v>
      </c>
      <c r="M1731" s="10">
        <f>IFERROR(__xludf.DUMMYFUNCTION("COUNTUNIQUEIFS($A$2:$A1731,$F$2:$F1731,F1731)"),26.0)</f>
        <v>26</v>
      </c>
      <c r="N1731" s="10">
        <f t="shared" si="1"/>
        <v>27</v>
      </c>
      <c r="O1731" s="26">
        <f>IF(operations[sinceLastOrder]=0,0,operations[orderQuantity] / operations[sinceLastOrder])</f>
        <v>1.481481481</v>
      </c>
      <c r="P1731" s="9">
        <v>33.05</v>
      </c>
      <c r="Q1731" s="7" t="s">
        <v>15</v>
      </c>
      <c r="R1731" s="10">
        <f>operations[arrivedDate]-operations[shippedDate]</f>
        <v>13</v>
      </c>
    </row>
    <row r="1732" ht="15.75" customHeight="1">
      <c r="A1732" s="6">
        <v>10913.0</v>
      </c>
      <c r="B1732" s="24">
        <v>45348.0</v>
      </c>
      <c r="C1732" s="24">
        <v>45377.0</v>
      </c>
      <c r="D1732" s="24">
        <v>45355.0</v>
      </c>
      <c r="E1732" s="24">
        <v>45368.0</v>
      </c>
      <c r="F1732" s="6">
        <v>58.0</v>
      </c>
      <c r="G1732" s="9" t="str">
        <f>VLOOKUP(operations[productID],products[],2,FALSE)</f>
        <v>Escargots de Bourgogne</v>
      </c>
      <c r="H1732" s="9" t="str">
        <f>IF(VLOOKUP(operations[productID],products[],7,FALSE)=1,"Discontinued","Current")</f>
        <v>Current</v>
      </c>
      <c r="I1732" s="6">
        <f>VLOOKUP(operations[productID],products[],4,FALSE)</f>
        <v>62</v>
      </c>
      <c r="J1732" s="6">
        <f>VLOOKUP(operations[productID],products[],5,FALSE)</f>
        <v>0</v>
      </c>
      <c r="K1732" s="6">
        <f>VLOOKUP(operations[productID],products[],6,FALSE)</f>
        <v>20</v>
      </c>
      <c r="L1732" s="10">
        <f t="array" ref="L1732">INDEX('1 orders'!I1732:I2156, MATCH(1, ('1 orders'!A1732:A2156=A1732)*('1 orders'!G1732:G2156=F1732), 0))
</f>
        <v>15</v>
      </c>
      <c r="M1732" s="10">
        <f>IFERROR(__xludf.DUMMYFUNCTION("COUNTUNIQUEIFS($A$2:$A1732,$F$2:$F1732,F1732)"),16.0)</f>
        <v>16</v>
      </c>
      <c r="N1732" s="10">
        <f t="shared" si="1"/>
        <v>2</v>
      </c>
      <c r="O1732" s="26">
        <f>IF(operations[sinceLastOrder]=0,0,operations[orderQuantity] / operations[sinceLastOrder])</f>
        <v>7.5</v>
      </c>
      <c r="P1732" s="9">
        <v>33.05</v>
      </c>
      <c r="Q1732" s="7" t="s">
        <v>15</v>
      </c>
      <c r="R1732" s="10">
        <f>operations[arrivedDate]-operations[shippedDate]</f>
        <v>13</v>
      </c>
    </row>
    <row r="1733" ht="15.75" customHeight="1">
      <c r="A1733" s="6">
        <v>10914.0</v>
      </c>
      <c r="B1733" s="24">
        <v>45349.0</v>
      </c>
      <c r="C1733" s="24">
        <v>45378.0</v>
      </c>
      <c r="D1733" s="24">
        <v>45353.0</v>
      </c>
      <c r="E1733" s="24">
        <v>45368.0</v>
      </c>
      <c r="F1733" s="6">
        <v>71.0</v>
      </c>
      <c r="G1733" s="9" t="str">
        <f>VLOOKUP(operations[productID],products[],2,FALSE)</f>
        <v>Flotemysost</v>
      </c>
      <c r="H1733" s="9" t="str">
        <f>IF(VLOOKUP(operations[productID],products[],7,FALSE)=1,"Discontinued","Current")</f>
        <v>Current</v>
      </c>
      <c r="I1733" s="6">
        <f>VLOOKUP(operations[productID],products[],4,FALSE)</f>
        <v>26</v>
      </c>
      <c r="J1733" s="6">
        <f>VLOOKUP(operations[productID],products[],5,FALSE)</f>
        <v>0</v>
      </c>
      <c r="K1733" s="6">
        <f>VLOOKUP(operations[productID],products[],6,FALSE)</f>
        <v>0</v>
      </c>
      <c r="L1733" s="10">
        <f t="array" ref="L1733">INDEX('1 orders'!I1733:I2156, MATCH(1, ('1 orders'!A1733:A2156=A1733)*('1 orders'!G1733:G2156=F1733), 0))
</f>
        <v>25</v>
      </c>
      <c r="M1733" s="10">
        <f>IFERROR(__xludf.DUMMYFUNCTION("COUNTUNIQUEIFS($A$2:$A1733,$F$2:$F1733,F1733)"),35.0)</f>
        <v>35</v>
      </c>
      <c r="N1733" s="10">
        <f t="shared" si="1"/>
        <v>4</v>
      </c>
      <c r="O1733" s="26">
        <f>IF(operations[sinceLastOrder]=0,0,operations[orderQuantity] / operations[sinceLastOrder])</f>
        <v>6.25</v>
      </c>
      <c r="P1733" s="9">
        <v>21.19</v>
      </c>
      <c r="Q1733" s="7" t="s">
        <v>15</v>
      </c>
      <c r="R1733" s="10">
        <f>operations[arrivedDate]-operations[shippedDate]</f>
        <v>15</v>
      </c>
    </row>
    <row r="1734" ht="15.75" customHeight="1">
      <c r="A1734" s="6">
        <v>10915.0</v>
      </c>
      <c r="B1734" s="24">
        <v>45349.0</v>
      </c>
      <c r="C1734" s="24">
        <v>45378.0</v>
      </c>
      <c r="D1734" s="24">
        <v>45353.0</v>
      </c>
      <c r="E1734" s="24">
        <v>45368.0</v>
      </c>
      <c r="F1734" s="6">
        <v>17.0</v>
      </c>
      <c r="G1734" s="9" t="str">
        <f>VLOOKUP(operations[productID],products[],2,FALSE)</f>
        <v>Alice Mutton</v>
      </c>
      <c r="H1734" s="9" t="str">
        <f>IF(VLOOKUP(operations[productID],products[],7,FALSE)=1,"Discontinued","Current")</f>
        <v>Discontinued</v>
      </c>
      <c r="I1734" s="6">
        <f>VLOOKUP(operations[productID],products[],4,FALSE)</f>
        <v>0</v>
      </c>
      <c r="J1734" s="6">
        <f>VLOOKUP(operations[productID],products[],5,FALSE)</f>
        <v>0</v>
      </c>
      <c r="K1734" s="6">
        <f>VLOOKUP(operations[productID],products[],6,FALSE)</f>
        <v>0</v>
      </c>
      <c r="L1734" s="10">
        <f t="array" ref="L1734">INDEX('1 orders'!I1734:I2156, MATCH(1, ('1 orders'!A1734:A2156=A1734)*('1 orders'!G1734:G2156=F1734), 0))
</f>
        <v>10</v>
      </c>
      <c r="M1734" s="10">
        <f>IFERROR(__xludf.DUMMYFUNCTION("COUNTUNIQUEIFS($A$2:$A1734,$F$2:$F1734,F1734)"),32.0)</f>
        <v>32</v>
      </c>
      <c r="N1734" s="10">
        <f t="shared" si="1"/>
        <v>1</v>
      </c>
      <c r="O1734" s="26">
        <f>IF(operations[sinceLastOrder]=0,0,operations[orderQuantity] / operations[sinceLastOrder])</f>
        <v>10</v>
      </c>
      <c r="P1734" s="9">
        <v>3.51</v>
      </c>
      <c r="Q1734" s="7" t="s">
        <v>17</v>
      </c>
      <c r="R1734" s="10">
        <f>operations[arrivedDate]-operations[shippedDate]</f>
        <v>15</v>
      </c>
    </row>
    <row r="1735" ht="15.75" customHeight="1">
      <c r="A1735" s="6">
        <v>10915.0</v>
      </c>
      <c r="B1735" s="24">
        <v>45349.0</v>
      </c>
      <c r="C1735" s="24">
        <v>45378.0</v>
      </c>
      <c r="D1735" s="24">
        <v>45353.0</v>
      </c>
      <c r="E1735" s="24">
        <v>45368.0</v>
      </c>
      <c r="F1735" s="6">
        <v>33.0</v>
      </c>
      <c r="G1735" s="9" t="str">
        <f>VLOOKUP(operations[productID],products[],2,FALSE)</f>
        <v>Geitost</v>
      </c>
      <c r="H1735" s="9" t="str">
        <f>IF(VLOOKUP(operations[productID],products[],7,FALSE)=1,"Discontinued","Current")</f>
        <v>Current</v>
      </c>
      <c r="I1735" s="6">
        <f>VLOOKUP(operations[productID],products[],4,FALSE)</f>
        <v>112</v>
      </c>
      <c r="J1735" s="6">
        <f>VLOOKUP(operations[productID],products[],5,FALSE)</f>
        <v>0</v>
      </c>
      <c r="K1735" s="6">
        <f>VLOOKUP(operations[productID],products[],6,FALSE)</f>
        <v>20</v>
      </c>
      <c r="L1735" s="10">
        <f t="array" ref="L1735">INDEX('1 orders'!I1735:I2156, MATCH(1, ('1 orders'!A1735:A2156=A1735)*('1 orders'!G1735:G2156=F1735), 0))
</f>
        <v>30</v>
      </c>
      <c r="M1735" s="10">
        <f>IFERROR(__xludf.DUMMYFUNCTION("COUNTUNIQUEIFS($A$2:$A1735,$F$2:$F1735,F1735)"),27.0)</f>
        <v>27</v>
      </c>
      <c r="N1735" s="10">
        <f t="shared" si="1"/>
        <v>1</v>
      </c>
      <c r="O1735" s="26">
        <f>IF(operations[sinceLastOrder]=0,0,operations[orderQuantity] / operations[sinceLastOrder])</f>
        <v>30</v>
      </c>
      <c r="P1735" s="9">
        <v>3.51</v>
      </c>
      <c r="Q1735" s="7" t="s">
        <v>17</v>
      </c>
      <c r="R1735" s="10">
        <f>operations[arrivedDate]-operations[shippedDate]</f>
        <v>15</v>
      </c>
    </row>
    <row r="1736" ht="15.75" customHeight="1">
      <c r="A1736" s="6">
        <v>10915.0</v>
      </c>
      <c r="B1736" s="24">
        <v>45349.0</v>
      </c>
      <c r="C1736" s="24">
        <v>45378.0</v>
      </c>
      <c r="D1736" s="24">
        <v>45353.0</v>
      </c>
      <c r="E1736" s="24">
        <v>45368.0</v>
      </c>
      <c r="F1736" s="6">
        <v>54.0</v>
      </c>
      <c r="G1736" s="9" t="str">
        <f>VLOOKUP(operations[productID],products[],2,FALSE)</f>
        <v>Tourtière</v>
      </c>
      <c r="H1736" s="9" t="str">
        <f>IF(VLOOKUP(operations[productID],products[],7,FALSE)=1,"Discontinued","Current")</f>
        <v>Current</v>
      </c>
      <c r="I1736" s="6">
        <f>VLOOKUP(operations[productID],products[],4,FALSE)</f>
        <v>21</v>
      </c>
      <c r="J1736" s="6">
        <f>VLOOKUP(operations[productID],products[],5,FALSE)</f>
        <v>0</v>
      </c>
      <c r="K1736" s="6">
        <f>VLOOKUP(operations[productID],products[],6,FALSE)</f>
        <v>10</v>
      </c>
      <c r="L1736" s="10">
        <f t="array" ref="L1736">INDEX('1 orders'!I1736:I2156, MATCH(1, ('1 orders'!A1736:A2156=A1736)*('1 orders'!G1736:G2156=F1736), 0))
</f>
        <v>10</v>
      </c>
      <c r="M1736" s="10">
        <f>IFERROR(__xludf.DUMMYFUNCTION("COUNTUNIQUEIFS($A$2:$A1736,$F$2:$F1736,F1736)"),34.0)</f>
        <v>34</v>
      </c>
      <c r="N1736" s="10">
        <f t="shared" si="1"/>
        <v>16</v>
      </c>
      <c r="O1736" s="26">
        <f>IF(operations[sinceLastOrder]=0,0,operations[orderQuantity] / operations[sinceLastOrder])</f>
        <v>0.625</v>
      </c>
      <c r="P1736" s="9">
        <v>3.51</v>
      </c>
      <c r="Q1736" s="7" t="s">
        <v>17</v>
      </c>
      <c r="R1736" s="10">
        <f>operations[arrivedDate]-operations[shippedDate]</f>
        <v>15</v>
      </c>
    </row>
    <row r="1737" ht="15.75" customHeight="1">
      <c r="A1737" s="6">
        <v>10916.0</v>
      </c>
      <c r="B1737" s="24">
        <v>45349.0</v>
      </c>
      <c r="C1737" s="24">
        <v>45378.0</v>
      </c>
      <c r="D1737" s="24">
        <v>45360.0</v>
      </c>
      <c r="E1737" s="24">
        <v>45374.0</v>
      </c>
      <c r="F1737" s="6">
        <v>16.0</v>
      </c>
      <c r="G1737" s="9" t="str">
        <f>VLOOKUP(operations[productID],products[],2,FALSE)</f>
        <v>Pavlova</v>
      </c>
      <c r="H1737" s="9" t="str">
        <f>IF(VLOOKUP(operations[productID],products[],7,FALSE)=1,"Discontinued","Current")</f>
        <v>Current</v>
      </c>
      <c r="I1737" s="6">
        <f>VLOOKUP(operations[productID],products[],4,FALSE)</f>
        <v>29</v>
      </c>
      <c r="J1737" s="6">
        <f>VLOOKUP(operations[productID],products[],5,FALSE)</f>
        <v>0</v>
      </c>
      <c r="K1737" s="6">
        <f>VLOOKUP(operations[productID],products[],6,FALSE)</f>
        <v>10</v>
      </c>
      <c r="L1737" s="10">
        <f t="array" ref="L1737">INDEX('1 orders'!I1737:I2156, MATCH(1, ('1 orders'!A1737:A2156=A1737)*('1 orders'!G1737:G2156=F1737), 0))
</f>
        <v>6</v>
      </c>
      <c r="M1737" s="10">
        <f>IFERROR(__xludf.DUMMYFUNCTION("COUNTUNIQUEIFS($A$2:$A1737,$F$2:$F1737,F1737)"),34.0)</f>
        <v>34</v>
      </c>
      <c r="N1737" s="10">
        <f t="shared" si="1"/>
        <v>1</v>
      </c>
      <c r="O1737" s="26">
        <f>IF(operations[sinceLastOrder]=0,0,operations[orderQuantity] / operations[sinceLastOrder])</f>
        <v>6</v>
      </c>
      <c r="P1737" s="9">
        <v>63.77</v>
      </c>
      <c r="Q1737" s="7" t="s">
        <v>17</v>
      </c>
      <c r="R1737" s="10">
        <f>operations[arrivedDate]-operations[shippedDate]</f>
        <v>14</v>
      </c>
    </row>
    <row r="1738" ht="15.75" customHeight="1">
      <c r="A1738" s="6">
        <v>10916.0</v>
      </c>
      <c r="B1738" s="24">
        <v>45349.0</v>
      </c>
      <c r="C1738" s="24">
        <v>45378.0</v>
      </c>
      <c r="D1738" s="24">
        <v>45360.0</v>
      </c>
      <c r="E1738" s="24">
        <v>45374.0</v>
      </c>
      <c r="F1738" s="6">
        <v>32.0</v>
      </c>
      <c r="G1738" s="9" t="str">
        <f>VLOOKUP(operations[productID],products[],2,FALSE)</f>
        <v>Mascarpone Fabioli</v>
      </c>
      <c r="H1738" s="9" t="str">
        <f>IF(VLOOKUP(operations[productID],products[],7,FALSE)=1,"Discontinued","Current")</f>
        <v>Current</v>
      </c>
      <c r="I1738" s="6">
        <f>VLOOKUP(operations[productID],products[],4,FALSE)</f>
        <v>9</v>
      </c>
      <c r="J1738" s="6">
        <f>VLOOKUP(operations[productID],products[],5,FALSE)</f>
        <v>40</v>
      </c>
      <c r="K1738" s="6">
        <f>VLOOKUP(operations[productID],products[],6,FALSE)</f>
        <v>25</v>
      </c>
      <c r="L1738" s="10">
        <f t="array" ref="L1738">INDEX('1 orders'!I1738:I2156, MATCH(1, ('1 orders'!A1738:A2156=A1738)*('1 orders'!G1738:G2156=F1738), 0))
</f>
        <v>6</v>
      </c>
      <c r="M1738" s="10">
        <f>IFERROR(__xludf.DUMMYFUNCTION("COUNTUNIQUEIFS($A$2:$A1738,$F$2:$F1738,F1738)"),10.0)</f>
        <v>10</v>
      </c>
      <c r="N1738" s="10">
        <f t="shared" si="1"/>
        <v>51</v>
      </c>
      <c r="O1738" s="26">
        <f>IF(operations[sinceLastOrder]=0,0,operations[orderQuantity] / operations[sinceLastOrder])</f>
        <v>0.1176470588</v>
      </c>
      <c r="P1738" s="9">
        <v>63.77</v>
      </c>
      <c r="Q1738" s="7" t="s">
        <v>17</v>
      </c>
      <c r="R1738" s="10">
        <f>operations[arrivedDate]-operations[shippedDate]</f>
        <v>14</v>
      </c>
    </row>
    <row r="1739" ht="15.75" customHeight="1">
      <c r="A1739" s="6">
        <v>10916.0</v>
      </c>
      <c r="B1739" s="24">
        <v>45349.0</v>
      </c>
      <c r="C1739" s="24">
        <v>45378.0</v>
      </c>
      <c r="D1739" s="24">
        <v>45360.0</v>
      </c>
      <c r="E1739" s="24">
        <v>45374.0</v>
      </c>
      <c r="F1739" s="6">
        <v>57.0</v>
      </c>
      <c r="G1739" s="9" t="str">
        <f>VLOOKUP(operations[productID],products[],2,FALSE)</f>
        <v>Ravioli Angelo</v>
      </c>
      <c r="H1739" s="9" t="str">
        <f>IF(VLOOKUP(operations[productID],products[],7,FALSE)=1,"Discontinued","Current")</f>
        <v>Current</v>
      </c>
      <c r="I1739" s="6">
        <f>VLOOKUP(operations[productID],products[],4,FALSE)</f>
        <v>36</v>
      </c>
      <c r="J1739" s="6">
        <f>VLOOKUP(operations[productID],products[],5,FALSE)</f>
        <v>0</v>
      </c>
      <c r="K1739" s="6">
        <f>VLOOKUP(operations[productID],products[],6,FALSE)</f>
        <v>20</v>
      </c>
      <c r="L1739" s="10">
        <f t="array" ref="L1739">INDEX('1 orders'!I1739:I2156, MATCH(1, ('1 orders'!A1739:A2156=A1739)*('1 orders'!G1739:G2156=F1739), 0))
</f>
        <v>20</v>
      </c>
      <c r="M1739" s="10">
        <f>IFERROR(__xludf.DUMMYFUNCTION("COUNTUNIQUEIFS($A$2:$A1739,$F$2:$F1739,F1739)"),19.0)</f>
        <v>19</v>
      </c>
      <c r="N1739" s="10">
        <f t="shared" si="1"/>
        <v>32</v>
      </c>
      <c r="O1739" s="26">
        <f>IF(operations[sinceLastOrder]=0,0,operations[orderQuantity] / operations[sinceLastOrder])</f>
        <v>0.625</v>
      </c>
      <c r="P1739" s="9">
        <v>63.77</v>
      </c>
      <c r="Q1739" s="7" t="s">
        <v>17</v>
      </c>
      <c r="R1739" s="10">
        <f>operations[arrivedDate]-operations[shippedDate]</f>
        <v>14</v>
      </c>
    </row>
    <row r="1740" ht="15.75" customHeight="1">
      <c r="A1740" s="6">
        <v>10917.0</v>
      </c>
      <c r="B1740" s="24">
        <v>45353.0</v>
      </c>
      <c r="C1740" s="24">
        <v>45381.0</v>
      </c>
      <c r="D1740" s="24">
        <v>45362.0</v>
      </c>
      <c r="E1740" s="24">
        <v>45373.0</v>
      </c>
      <c r="F1740" s="6">
        <v>30.0</v>
      </c>
      <c r="G1740" s="9" t="str">
        <f>VLOOKUP(operations[productID],products[],2,FALSE)</f>
        <v>Nord-Ost Matjeshering</v>
      </c>
      <c r="H1740" s="9" t="str">
        <f>IF(VLOOKUP(operations[productID],products[],7,FALSE)=1,"Discontinued","Current")</f>
        <v>Current</v>
      </c>
      <c r="I1740" s="6">
        <f>VLOOKUP(operations[productID],products[],4,FALSE)</f>
        <v>10</v>
      </c>
      <c r="J1740" s="6">
        <f>VLOOKUP(operations[productID],products[],5,FALSE)</f>
        <v>0</v>
      </c>
      <c r="K1740" s="6">
        <f>VLOOKUP(operations[productID],products[],6,FALSE)</f>
        <v>15</v>
      </c>
      <c r="L1740" s="10">
        <f t="array" ref="L1740">INDEX('1 orders'!I1740:I2156, MATCH(1, ('1 orders'!A1740:A2156=A1740)*('1 orders'!G1740:G2156=F1740), 0))
</f>
        <v>1</v>
      </c>
      <c r="M1740" s="10">
        <f>IFERROR(__xludf.DUMMYFUNCTION("COUNTUNIQUEIFS($A$2:$A1740,$F$2:$F1740,F1740)"),29.0)</f>
        <v>29</v>
      </c>
      <c r="N1740" s="10">
        <f t="shared" si="1"/>
        <v>12</v>
      </c>
      <c r="O1740" s="26">
        <f>IF(operations[sinceLastOrder]=0,0,operations[orderQuantity] / operations[sinceLastOrder])</f>
        <v>0.08333333333</v>
      </c>
      <c r="P1740" s="9">
        <v>8.29</v>
      </c>
      <c r="Q1740" s="7" t="s">
        <v>17</v>
      </c>
      <c r="R1740" s="10">
        <f>operations[arrivedDate]-operations[shippedDate]</f>
        <v>11</v>
      </c>
    </row>
    <row r="1741" ht="15.75" customHeight="1">
      <c r="A1741" s="6">
        <v>10917.0</v>
      </c>
      <c r="B1741" s="24">
        <v>45353.0</v>
      </c>
      <c r="C1741" s="24">
        <v>45381.0</v>
      </c>
      <c r="D1741" s="24">
        <v>45362.0</v>
      </c>
      <c r="E1741" s="24">
        <v>45373.0</v>
      </c>
      <c r="F1741" s="6">
        <v>60.0</v>
      </c>
      <c r="G1741" s="9" t="str">
        <f>VLOOKUP(operations[productID],products[],2,FALSE)</f>
        <v>Camembert Pierrot</v>
      </c>
      <c r="H1741" s="9" t="str">
        <f>IF(VLOOKUP(operations[productID],products[],7,FALSE)=1,"Discontinued","Current")</f>
        <v>Current</v>
      </c>
      <c r="I1741" s="6">
        <f>VLOOKUP(operations[productID],products[],4,FALSE)</f>
        <v>19</v>
      </c>
      <c r="J1741" s="6">
        <f>VLOOKUP(operations[productID],products[],5,FALSE)</f>
        <v>0</v>
      </c>
      <c r="K1741" s="6">
        <f>VLOOKUP(operations[productID],products[],6,FALSE)</f>
        <v>0</v>
      </c>
      <c r="L1741" s="10">
        <f t="array" ref="L1741">INDEX('1 orders'!I1741:I2156, MATCH(1, ('1 orders'!A1741:A2156=A1741)*('1 orders'!G1741:G2156=F1741), 0))
</f>
        <v>10</v>
      </c>
      <c r="M1741" s="10">
        <f>IFERROR(__xludf.DUMMYFUNCTION("COUNTUNIQUEIFS($A$2:$A1741,$F$2:$F1741,F1741)"),38.0)</f>
        <v>38</v>
      </c>
      <c r="N1741" s="10">
        <f t="shared" si="1"/>
        <v>13</v>
      </c>
      <c r="O1741" s="26">
        <f>IF(operations[sinceLastOrder]=0,0,operations[orderQuantity] / operations[sinceLastOrder])</f>
        <v>0.7692307692</v>
      </c>
      <c r="P1741" s="9">
        <v>8.29</v>
      </c>
      <c r="Q1741" s="7" t="s">
        <v>17</v>
      </c>
      <c r="R1741" s="10">
        <f>operations[arrivedDate]-operations[shippedDate]</f>
        <v>11</v>
      </c>
    </row>
    <row r="1742" ht="15.75" customHeight="1">
      <c r="A1742" s="6">
        <v>10918.0</v>
      </c>
      <c r="B1742" s="24">
        <v>45353.0</v>
      </c>
      <c r="C1742" s="24">
        <v>45381.0</v>
      </c>
      <c r="D1742" s="24">
        <v>45362.0</v>
      </c>
      <c r="E1742" s="24">
        <v>45377.0</v>
      </c>
      <c r="F1742" s="6">
        <v>1.0</v>
      </c>
      <c r="G1742" s="9" t="str">
        <f>VLOOKUP(operations[productID],products[],2,FALSE)</f>
        <v>Chai</v>
      </c>
      <c r="H1742" s="9" t="str">
        <f>IF(VLOOKUP(operations[productID],products[],7,FALSE)=1,"Discontinued","Current")</f>
        <v>Current</v>
      </c>
      <c r="I1742" s="6">
        <f>VLOOKUP(operations[productID],products[],4,FALSE)</f>
        <v>39</v>
      </c>
      <c r="J1742" s="6">
        <f>VLOOKUP(operations[productID],products[],5,FALSE)</f>
        <v>0</v>
      </c>
      <c r="K1742" s="6">
        <f>VLOOKUP(operations[productID],products[],6,FALSE)</f>
        <v>10</v>
      </c>
      <c r="L1742" s="10">
        <f t="array" ref="L1742">INDEX('1 orders'!I1742:I2156, MATCH(1, ('1 orders'!A1742:A2156=A1742)*('1 orders'!G1742:G2156=F1742), 0))
</f>
        <v>60</v>
      </c>
      <c r="M1742" s="10">
        <f>IFERROR(__xludf.DUMMYFUNCTION("COUNTUNIQUEIFS($A$2:$A1742,$F$2:$F1742,F1742)"),29.0)</f>
        <v>29</v>
      </c>
      <c r="N1742" s="10">
        <f t="shared" si="1"/>
        <v>5</v>
      </c>
      <c r="O1742" s="26">
        <f>IF(operations[sinceLastOrder]=0,0,operations[orderQuantity] / operations[sinceLastOrder])</f>
        <v>12</v>
      </c>
      <c r="P1742" s="9">
        <v>48.83</v>
      </c>
      <c r="Q1742" s="7" t="s">
        <v>13</v>
      </c>
      <c r="R1742" s="10">
        <f>operations[arrivedDate]-operations[shippedDate]</f>
        <v>15</v>
      </c>
    </row>
    <row r="1743" ht="15.75" customHeight="1">
      <c r="A1743" s="6">
        <v>10918.0</v>
      </c>
      <c r="B1743" s="24">
        <v>45353.0</v>
      </c>
      <c r="C1743" s="24">
        <v>45381.0</v>
      </c>
      <c r="D1743" s="24">
        <v>45362.0</v>
      </c>
      <c r="E1743" s="24">
        <v>45377.0</v>
      </c>
      <c r="F1743" s="6">
        <v>60.0</v>
      </c>
      <c r="G1743" s="9" t="str">
        <f>VLOOKUP(operations[productID],products[],2,FALSE)</f>
        <v>Camembert Pierrot</v>
      </c>
      <c r="H1743" s="9" t="str">
        <f>IF(VLOOKUP(operations[productID],products[],7,FALSE)=1,"Discontinued","Current")</f>
        <v>Current</v>
      </c>
      <c r="I1743" s="6">
        <f>VLOOKUP(operations[productID],products[],4,FALSE)</f>
        <v>19</v>
      </c>
      <c r="J1743" s="6">
        <f>VLOOKUP(operations[productID],products[],5,FALSE)</f>
        <v>0</v>
      </c>
      <c r="K1743" s="6">
        <f>VLOOKUP(operations[productID],products[],6,FALSE)</f>
        <v>0</v>
      </c>
      <c r="L1743" s="10">
        <f t="array" ref="L1743">INDEX('1 orders'!I1743:I2156, MATCH(1, ('1 orders'!A1743:A2156=A1743)*('1 orders'!G1743:G2156=F1743), 0))
</f>
        <v>25</v>
      </c>
      <c r="M1743" s="10">
        <f>IFERROR(__xludf.DUMMYFUNCTION("COUNTUNIQUEIFS($A$2:$A1743,$F$2:$F1743,F1743)"),39.0)</f>
        <v>39</v>
      </c>
      <c r="N1743" s="10">
        <f t="shared" si="1"/>
        <v>0</v>
      </c>
      <c r="O1743" s="26">
        <f>IF(operations[sinceLastOrder]=0,0,operations[orderQuantity] / operations[sinceLastOrder])</f>
        <v>0</v>
      </c>
      <c r="P1743" s="9">
        <v>48.83</v>
      </c>
      <c r="Q1743" s="7" t="s">
        <v>13</v>
      </c>
      <c r="R1743" s="10">
        <f>operations[arrivedDate]-operations[shippedDate]</f>
        <v>15</v>
      </c>
    </row>
    <row r="1744" ht="15.75" customHeight="1">
      <c r="A1744" s="6">
        <v>10919.0</v>
      </c>
      <c r="B1744" s="24">
        <v>45353.0</v>
      </c>
      <c r="C1744" s="24">
        <v>45381.0</v>
      </c>
      <c r="D1744" s="24">
        <v>45355.0</v>
      </c>
      <c r="E1744" s="24">
        <v>45367.0</v>
      </c>
      <c r="F1744" s="6">
        <v>16.0</v>
      </c>
      <c r="G1744" s="9" t="str">
        <f>VLOOKUP(operations[productID],products[],2,FALSE)</f>
        <v>Pavlova</v>
      </c>
      <c r="H1744" s="9" t="str">
        <f>IF(VLOOKUP(operations[productID],products[],7,FALSE)=1,"Discontinued","Current")</f>
        <v>Current</v>
      </c>
      <c r="I1744" s="6">
        <f>VLOOKUP(operations[productID],products[],4,FALSE)</f>
        <v>29</v>
      </c>
      <c r="J1744" s="6">
        <f>VLOOKUP(operations[productID],products[],5,FALSE)</f>
        <v>0</v>
      </c>
      <c r="K1744" s="6">
        <f>VLOOKUP(operations[productID],products[],6,FALSE)</f>
        <v>10</v>
      </c>
      <c r="L1744" s="10">
        <f t="array" ref="L1744">INDEX('1 orders'!I1744:I2156, MATCH(1, ('1 orders'!A1744:A2156=A1744)*('1 orders'!G1744:G2156=F1744), 0))
</f>
        <v>24</v>
      </c>
      <c r="M1744" s="10">
        <f>IFERROR(__xludf.DUMMYFUNCTION("COUNTUNIQUEIFS($A$2:$A1744,$F$2:$F1744,F1744)"),35.0)</f>
        <v>35</v>
      </c>
      <c r="N1744" s="10">
        <f t="shared" si="1"/>
        <v>4</v>
      </c>
      <c r="O1744" s="26">
        <f>IF(operations[sinceLastOrder]=0,0,operations[orderQuantity] / operations[sinceLastOrder])</f>
        <v>6</v>
      </c>
      <c r="P1744" s="9">
        <v>19.8</v>
      </c>
      <c r="Q1744" s="7" t="s">
        <v>17</v>
      </c>
      <c r="R1744" s="10">
        <f>operations[arrivedDate]-operations[shippedDate]</f>
        <v>12</v>
      </c>
    </row>
    <row r="1745" ht="15.75" customHeight="1">
      <c r="A1745" s="6">
        <v>10919.0</v>
      </c>
      <c r="B1745" s="24">
        <v>45353.0</v>
      </c>
      <c r="C1745" s="24">
        <v>45381.0</v>
      </c>
      <c r="D1745" s="24">
        <v>45355.0</v>
      </c>
      <c r="E1745" s="24">
        <v>45367.0</v>
      </c>
      <c r="F1745" s="6">
        <v>25.0</v>
      </c>
      <c r="G1745" s="9" t="str">
        <f>VLOOKUP(operations[productID],products[],2,FALSE)</f>
        <v>HM Köstliche Kaiserschmarrn Knödelchen</v>
      </c>
      <c r="H1745" s="9" t="str">
        <f>IF(VLOOKUP(operations[productID],products[],7,FALSE)=1,"Discontinued","Current")</f>
        <v>Current</v>
      </c>
      <c r="I1745" s="6">
        <f>VLOOKUP(operations[productID],products[],4,FALSE)</f>
        <v>76</v>
      </c>
      <c r="J1745" s="6">
        <f>VLOOKUP(operations[productID],products[],5,FALSE)</f>
        <v>0</v>
      </c>
      <c r="K1745" s="6">
        <f>VLOOKUP(operations[productID],products[],6,FALSE)</f>
        <v>30</v>
      </c>
      <c r="L1745" s="10">
        <f t="array" ref="L1745">INDEX('1 orders'!I1745:I2156, MATCH(1, ('1 orders'!A1745:A2156=A1745)*('1 orders'!G1745:G2156=F1745), 0))
</f>
        <v>24</v>
      </c>
      <c r="M1745" s="10">
        <f>IFERROR(__xludf.DUMMYFUNCTION("COUNTUNIQUEIFS($A$2:$A1745,$F$2:$F1745,F1745)"),17.0)</f>
        <v>17</v>
      </c>
      <c r="N1745" s="10">
        <f t="shared" si="1"/>
        <v>18</v>
      </c>
      <c r="O1745" s="26">
        <f>IF(operations[sinceLastOrder]=0,0,operations[orderQuantity] / operations[sinceLastOrder])</f>
        <v>1.333333333</v>
      </c>
      <c r="P1745" s="9">
        <v>19.8</v>
      </c>
      <c r="Q1745" s="7" t="s">
        <v>17</v>
      </c>
      <c r="R1745" s="10">
        <f>operations[arrivedDate]-operations[shippedDate]</f>
        <v>12</v>
      </c>
    </row>
    <row r="1746" ht="15.75" customHeight="1">
      <c r="A1746" s="6">
        <v>10919.0</v>
      </c>
      <c r="B1746" s="24">
        <v>45353.0</v>
      </c>
      <c r="C1746" s="24">
        <v>45381.0</v>
      </c>
      <c r="D1746" s="24">
        <v>45355.0</v>
      </c>
      <c r="E1746" s="24">
        <v>45367.0</v>
      </c>
      <c r="F1746" s="6">
        <v>40.0</v>
      </c>
      <c r="G1746" s="9" t="str">
        <f>VLOOKUP(operations[productID],products[],2,FALSE)</f>
        <v>Boston Crab Meat</v>
      </c>
      <c r="H1746" s="9" t="str">
        <f>IF(VLOOKUP(operations[productID],products[],7,FALSE)=1,"Discontinued","Current")</f>
        <v>Current</v>
      </c>
      <c r="I1746" s="6">
        <f>VLOOKUP(operations[productID],products[],4,FALSE)</f>
        <v>123</v>
      </c>
      <c r="J1746" s="6">
        <f>VLOOKUP(operations[productID],products[],5,FALSE)</f>
        <v>0</v>
      </c>
      <c r="K1746" s="6">
        <f>VLOOKUP(operations[productID],products[],6,FALSE)</f>
        <v>30</v>
      </c>
      <c r="L1746" s="10">
        <f t="array" ref="L1746">INDEX('1 orders'!I1746:I2156, MATCH(1, ('1 orders'!A1746:A2156=A1746)*('1 orders'!G1746:G2156=F1746), 0))
</f>
        <v>20</v>
      </c>
      <c r="M1746" s="10">
        <f>IFERROR(__xludf.DUMMYFUNCTION("COUNTUNIQUEIFS($A$2:$A1746,$F$2:$F1746,F1746)"),37.0)</f>
        <v>37</v>
      </c>
      <c r="N1746" s="10">
        <f t="shared" si="1"/>
        <v>13</v>
      </c>
      <c r="O1746" s="26">
        <f>IF(operations[sinceLastOrder]=0,0,operations[orderQuantity] / operations[sinceLastOrder])</f>
        <v>1.538461538</v>
      </c>
      <c r="P1746" s="9">
        <v>19.8</v>
      </c>
      <c r="Q1746" s="7" t="s">
        <v>17</v>
      </c>
      <c r="R1746" s="10">
        <f>operations[arrivedDate]-operations[shippedDate]</f>
        <v>12</v>
      </c>
    </row>
    <row r="1747" ht="15.75" customHeight="1">
      <c r="A1747" s="6">
        <v>10920.0</v>
      </c>
      <c r="B1747" s="24">
        <v>45354.0</v>
      </c>
      <c r="C1747" s="24">
        <v>45382.0</v>
      </c>
      <c r="D1747" s="24">
        <v>45360.0</v>
      </c>
      <c r="E1747" s="24">
        <v>45368.0</v>
      </c>
      <c r="F1747" s="6">
        <v>50.0</v>
      </c>
      <c r="G1747" s="9" t="str">
        <f>VLOOKUP(operations[productID],products[],2,FALSE)</f>
        <v>Valkoinen suklaa</v>
      </c>
      <c r="H1747" s="9" t="str">
        <f>IF(VLOOKUP(operations[productID],products[],7,FALSE)=1,"Discontinued","Current")</f>
        <v>Current</v>
      </c>
      <c r="I1747" s="6">
        <f>VLOOKUP(operations[productID],products[],4,FALSE)</f>
        <v>65</v>
      </c>
      <c r="J1747" s="6">
        <f>VLOOKUP(operations[productID],products[],5,FALSE)</f>
        <v>0</v>
      </c>
      <c r="K1747" s="6">
        <f>VLOOKUP(operations[productID],products[],6,FALSE)</f>
        <v>30</v>
      </c>
      <c r="L1747" s="10">
        <f t="array" ref="L1747">INDEX('1 orders'!I1747:I2156, MATCH(1, ('1 orders'!A1747:A2156=A1747)*('1 orders'!G1747:G2156=F1747), 0))
</f>
        <v>24</v>
      </c>
      <c r="M1747" s="10">
        <f>IFERROR(__xludf.DUMMYFUNCTION("COUNTUNIQUEIFS($A$2:$A1747,$F$2:$F1747,F1747)"),8.0)</f>
        <v>8</v>
      </c>
      <c r="N1747" s="10">
        <f t="shared" si="1"/>
        <v>100</v>
      </c>
      <c r="O1747" s="26">
        <f>IF(operations[sinceLastOrder]=0,0,operations[orderQuantity] / operations[sinceLastOrder])</f>
        <v>0.24</v>
      </c>
      <c r="P1747" s="9">
        <v>29.61</v>
      </c>
      <c r="Q1747" s="7" t="s">
        <v>17</v>
      </c>
      <c r="R1747" s="10">
        <f>operations[arrivedDate]-operations[shippedDate]</f>
        <v>8</v>
      </c>
    </row>
    <row r="1748" ht="15.75" customHeight="1">
      <c r="A1748" s="6">
        <v>10921.0</v>
      </c>
      <c r="B1748" s="24">
        <v>45354.0</v>
      </c>
      <c r="C1748" s="24">
        <v>45396.0</v>
      </c>
      <c r="D1748" s="24">
        <v>45360.0</v>
      </c>
      <c r="E1748" s="24">
        <v>45369.0</v>
      </c>
      <c r="F1748" s="6">
        <v>35.0</v>
      </c>
      <c r="G1748" s="9" t="str">
        <f>VLOOKUP(operations[productID],products[],2,FALSE)</f>
        <v>Cold Brew Nitro</v>
      </c>
      <c r="H1748" s="9" t="str">
        <f>IF(VLOOKUP(operations[productID],products[],7,FALSE)=1,"Discontinued","Current")</f>
        <v>Current</v>
      </c>
      <c r="I1748" s="6">
        <f>VLOOKUP(operations[productID],products[],4,FALSE)</f>
        <v>20</v>
      </c>
      <c r="J1748" s="6">
        <f>VLOOKUP(operations[productID],products[],5,FALSE)</f>
        <v>0</v>
      </c>
      <c r="K1748" s="6">
        <f>VLOOKUP(operations[productID],products[],6,FALSE)</f>
        <v>15</v>
      </c>
      <c r="L1748" s="10">
        <f t="array" ref="L1748">INDEX('1 orders'!I1748:I2156, MATCH(1, ('1 orders'!A1748:A2156=A1748)*('1 orders'!G1748:G2156=F1748), 0))
</f>
        <v>10</v>
      </c>
      <c r="M1748" s="10">
        <f>IFERROR(__xludf.DUMMYFUNCTION("COUNTUNIQUEIFS($A$2:$A1748,$F$2:$F1748,F1748)"),31.0)</f>
        <v>31</v>
      </c>
      <c r="N1748" s="10">
        <f t="shared" si="1"/>
        <v>28</v>
      </c>
      <c r="O1748" s="26">
        <f>IF(operations[sinceLastOrder]=0,0,operations[orderQuantity] / operations[sinceLastOrder])</f>
        <v>0.3571428571</v>
      </c>
      <c r="P1748" s="9">
        <v>176.48</v>
      </c>
      <c r="Q1748" s="7" t="s">
        <v>15</v>
      </c>
      <c r="R1748" s="10">
        <f>operations[arrivedDate]-operations[shippedDate]</f>
        <v>9</v>
      </c>
    </row>
    <row r="1749" ht="15.75" customHeight="1">
      <c r="A1749" s="6">
        <v>10921.0</v>
      </c>
      <c r="B1749" s="24">
        <v>45354.0</v>
      </c>
      <c r="C1749" s="24">
        <v>45396.0</v>
      </c>
      <c r="D1749" s="24">
        <v>45360.0</v>
      </c>
      <c r="E1749" s="24">
        <v>45369.0</v>
      </c>
      <c r="F1749" s="6">
        <v>63.0</v>
      </c>
      <c r="G1749" s="9" t="str">
        <f>VLOOKUP(operations[productID],products[],2,FALSE)</f>
        <v>Vegie-spread</v>
      </c>
      <c r="H1749" s="9" t="str">
        <f>IF(VLOOKUP(operations[productID],products[],7,FALSE)=1,"Discontinued","Current")</f>
        <v>Current</v>
      </c>
      <c r="I1749" s="6">
        <f>VLOOKUP(operations[productID],products[],4,FALSE)</f>
        <v>24</v>
      </c>
      <c r="J1749" s="6">
        <f>VLOOKUP(operations[productID],products[],5,FALSE)</f>
        <v>0</v>
      </c>
      <c r="K1749" s="6">
        <f>VLOOKUP(operations[productID],products[],6,FALSE)</f>
        <v>5</v>
      </c>
      <c r="L1749" s="10">
        <f t="array" ref="L1749">INDEX('1 orders'!I1749:I2156, MATCH(1, ('1 orders'!A1749:A2156=A1749)*('1 orders'!G1749:G2156=F1749), 0))
</f>
        <v>40</v>
      </c>
      <c r="M1749" s="10">
        <f>IFERROR(__xludf.DUMMYFUNCTION("COUNTUNIQUEIFS($A$2:$A1749,$F$2:$F1749,F1749)"),12.0)</f>
        <v>12</v>
      </c>
      <c r="N1749" s="10">
        <f t="shared" si="1"/>
        <v>72</v>
      </c>
      <c r="O1749" s="26">
        <f>IF(operations[sinceLastOrder]=0,0,operations[orderQuantity] / operations[sinceLastOrder])</f>
        <v>0.5555555556</v>
      </c>
      <c r="P1749" s="9">
        <v>176.48</v>
      </c>
      <c r="Q1749" s="7" t="s">
        <v>15</v>
      </c>
      <c r="R1749" s="10">
        <f>operations[arrivedDate]-operations[shippedDate]</f>
        <v>9</v>
      </c>
    </row>
    <row r="1750" ht="15.75" customHeight="1">
      <c r="A1750" s="6">
        <v>10922.0</v>
      </c>
      <c r="B1750" s="24">
        <v>45354.0</v>
      </c>
      <c r="C1750" s="24">
        <v>45382.0</v>
      </c>
      <c r="D1750" s="24">
        <v>45356.0</v>
      </c>
      <c r="E1750" s="24">
        <v>45373.0</v>
      </c>
      <c r="F1750" s="6">
        <v>17.0</v>
      </c>
      <c r="G1750" s="9" t="str">
        <f>VLOOKUP(operations[productID],products[],2,FALSE)</f>
        <v>Alice Mutton</v>
      </c>
      <c r="H1750" s="9" t="str">
        <f>IF(VLOOKUP(operations[productID],products[],7,FALSE)=1,"Discontinued","Current")</f>
        <v>Discontinued</v>
      </c>
      <c r="I1750" s="6">
        <f>VLOOKUP(operations[productID],products[],4,FALSE)</f>
        <v>0</v>
      </c>
      <c r="J1750" s="6">
        <f>VLOOKUP(operations[productID],products[],5,FALSE)</f>
        <v>0</v>
      </c>
      <c r="K1750" s="6">
        <f>VLOOKUP(operations[productID],products[],6,FALSE)</f>
        <v>0</v>
      </c>
      <c r="L1750" s="10">
        <f t="array" ref="L1750">INDEX('1 orders'!I1750:I2156, MATCH(1, ('1 orders'!A1750:A2156=A1750)*('1 orders'!G1750:G2156=F1750), 0))
</f>
        <v>15</v>
      </c>
      <c r="M1750" s="10">
        <f>IFERROR(__xludf.DUMMYFUNCTION("COUNTUNIQUEIFS($A$2:$A1750,$F$2:$F1750,F1750)"),33.0)</f>
        <v>33</v>
      </c>
      <c r="N1750" s="10">
        <f t="shared" si="1"/>
        <v>5</v>
      </c>
      <c r="O1750" s="26">
        <f>IF(operations[sinceLastOrder]=0,0,operations[orderQuantity] / operations[sinceLastOrder])</f>
        <v>3</v>
      </c>
      <c r="P1750" s="9">
        <v>62.74</v>
      </c>
      <c r="Q1750" s="7" t="s">
        <v>13</v>
      </c>
      <c r="R1750" s="10">
        <f>operations[arrivedDate]-operations[shippedDate]</f>
        <v>17</v>
      </c>
    </row>
    <row r="1751" ht="15.75" customHeight="1">
      <c r="A1751" s="6">
        <v>10922.0</v>
      </c>
      <c r="B1751" s="24">
        <v>45354.0</v>
      </c>
      <c r="C1751" s="24">
        <v>45382.0</v>
      </c>
      <c r="D1751" s="24">
        <v>45356.0</v>
      </c>
      <c r="E1751" s="24">
        <v>45373.0</v>
      </c>
      <c r="F1751" s="6">
        <v>24.0</v>
      </c>
      <c r="G1751" s="9" t="str">
        <f>VLOOKUP(operations[productID],products[],2,FALSE)</f>
        <v>Brigadeiros Maravilhosos da Lilian</v>
      </c>
      <c r="H1751" s="9" t="str">
        <f>IF(VLOOKUP(operations[productID],products[],7,FALSE)=1,"Discontinued","Current")</f>
        <v>Discontinued</v>
      </c>
      <c r="I1751" s="6">
        <f>VLOOKUP(operations[productID],products[],4,FALSE)</f>
        <v>20</v>
      </c>
      <c r="J1751" s="6">
        <f>VLOOKUP(operations[productID],products[],5,FALSE)</f>
        <v>0</v>
      </c>
      <c r="K1751" s="6">
        <f>VLOOKUP(operations[productID],products[],6,FALSE)</f>
        <v>0</v>
      </c>
      <c r="L1751" s="10">
        <f t="array" ref="L1751">INDEX('1 orders'!I1751:I2156, MATCH(1, ('1 orders'!A1751:A2156=A1751)*('1 orders'!G1751:G2156=F1751), 0))
</f>
        <v>35</v>
      </c>
      <c r="M1751" s="10">
        <f>IFERROR(__xludf.DUMMYFUNCTION("COUNTUNIQUEIFS($A$2:$A1751,$F$2:$F1751,F1751)"),37.0)</f>
        <v>37</v>
      </c>
      <c r="N1751" s="10">
        <f t="shared" si="1"/>
        <v>14</v>
      </c>
      <c r="O1751" s="26">
        <f>IF(operations[sinceLastOrder]=0,0,operations[orderQuantity] / operations[sinceLastOrder])</f>
        <v>2.5</v>
      </c>
      <c r="P1751" s="9">
        <v>62.74</v>
      </c>
      <c r="Q1751" s="7" t="s">
        <v>13</v>
      </c>
      <c r="R1751" s="10">
        <f>operations[arrivedDate]-operations[shippedDate]</f>
        <v>17</v>
      </c>
    </row>
    <row r="1752" ht="15.75" customHeight="1">
      <c r="A1752" s="6">
        <v>10923.0</v>
      </c>
      <c r="B1752" s="24">
        <v>45354.0</v>
      </c>
      <c r="C1752" s="24">
        <v>45396.0</v>
      </c>
      <c r="D1752" s="24">
        <v>45364.0</v>
      </c>
      <c r="E1752" s="24">
        <v>45372.0</v>
      </c>
      <c r="F1752" s="6">
        <v>42.0</v>
      </c>
      <c r="G1752" s="9" t="str">
        <f>VLOOKUP(operations[productID],products[],2,FALSE)</f>
        <v>Singaporean Hokkien Fried Mee</v>
      </c>
      <c r="H1752" s="9" t="str">
        <f>IF(VLOOKUP(operations[productID],products[],7,FALSE)=1,"Discontinued","Current")</f>
        <v>Discontinued</v>
      </c>
      <c r="I1752" s="6">
        <f>VLOOKUP(operations[productID],products[],4,FALSE)</f>
        <v>26</v>
      </c>
      <c r="J1752" s="6">
        <f>VLOOKUP(operations[productID],products[],5,FALSE)</f>
        <v>0</v>
      </c>
      <c r="K1752" s="6">
        <f>VLOOKUP(operations[productID],products[],6,FALSE)</f>
        <v>0</v>
      </c>
      <c r="L1752" s="10">
        <f t="array" ref="L1752">INDEX('1 orders'!I1752:I2156, MATCH(1, ('1 orders'!A1752:A2156=A1752)*('1 orders'!G1752:G2156=F1752), 0))
</f>
        <v>10</v>
      </c>
      <c r="M1752" s="10">
        <f>IFERROR(__xludf.DUMMYFUNCTION("COUNTUNIQUEIFS($A$2:$A1752,$F$2:$F1752,F1752)"),25.0)</f>
        <v>25</v>
      </c>
      <c r="N1752" s="10">
        <f t="shared" si="1"/>
        <v>21</v>
      </c>
      <c r="O1752" s="26">
        <f>IF(operations[sinceLastOrder]=0,0,operations[orderQuantity] / operations[sinceLastOrder])</f>
        <v>0.4761904762</v>
      </c>
      <c r="P1752" s="9">
        <v>68.26</v>
      </c>
      <c r="Q1752" s="7" t="s">
        <v>13</v>
      </c>
      <c r="R1752" s="10">
        <f>operations[arrivedDate]-operations[shippedDate]</f>
        <v>8</v>
      </c>
    </row>
    <row r="1753" ht="15.75" customHeight="1">
      <c r="A1753" s="6">
        <v>10923.0</v>
      </c>
      <c r="B1753" s="24">
        <v>45354.0</v>
      </c>
      <c r="C1753" s="24">
        <v>45396.0</v>
      </c>
      <c r="D1753" s="24">
        <v>45364.0</v>
      </c>
      <c r="E1753" s="24">
        <v>45372.0</v>
      </c>
      <c r="F1753" s="6">
        <v>43.0</v>
      </c>
      <c r="G1753" s="9" t="str">
        <f>VLOOKUP(operations[productID],products[],2,FALSE)</f>
        <v>Ipoh Coffee</v>
      </c>
      <c r="H1753" s="9" t="str">
        <f>IF(VLOOKUP(operations[productID],products[],7,FALSE)=1,"Discontinued","Current")</f>
        <v>Current</v>
      </c>
      <c r="I1753" s="6">
        <f>VLOOKUP(operations[productID],products[],4,FALSE)</f>
        <v>17</v>
      </c>
      <c r="J1753" s="6">
        <f>VLOOKUP(operations[productID],products[],5,FALSE)</f>
        <v>10</v>
      </c>
      <c r="K1753" s="6">
        <f>VLOOKUP(operations[productID],products[],6,FALSE)</f>
        <v>25</v>
      </c>
      <c r="L1753" s="10">
        <f t="array" ref="L1753">INDEX('1 orders'!I1753:I2156, MATCH(1, ('1 orders'!A1753:A2156=A1753)*('1 orders'!G1753:G2156=F1753), 0))
</f>
        <v>10</v>
      </c>
      <c r="M1753" s="10">
        <f>IFERROR(__xludf.DUMMYFUNCTION("COUNTUNIQUEIFS($A$2:$A1753,$F$2:$F1753,F1753)"),22.0)</f>
        <v>22</v>
      </c>
      <c r="N1753" s="10">
        <f t="shared" si="1"/>
        <v>43</v>
      </c>
      <c r="O1753" s="26">
        <f>IF(operations[sinceLastOrder]=0,0,operations[orderQuantity] / operations[sinceLastOrder])</f>
        <v>0.2325581395</v>
      </c>
      <c r="P1753" s="9">
        <v>68.26</v>
      </c>
      <c r="Q1753" s="7" t="s">
        <v>13</v>
      </c>
      <c r="R1753" s="10">
        <f>operations[arrivedDate]-operations[shippedDate]</f>
        <v>8</v>
      </c>
    </row>
    <row r="1754" ht="15.75" customHeight="1">
      <c r="A1754" s="6">
        <v>10923.0</v>
      </c>
      <c r="B1754" s="24">
        <v>45354.0</v>
      </c>
      <c r="C1754" s="24">
        <v>45396.0</v>
      </c>
      <c r="D1754" s="24">
        <v>45364.0</v>
      </c>
      <c r="E1754" s="24">
        <v>45372.0</v>
      </c>
      <c r="F1754" s="6">
        <v>67.0</v>
      </c>
      <c r="G1754" s="9" t="str">
        <f>VLOOKUP(operations[productID],products[],2,FALSE)</f>
        <v>Laughing Lumberjack Lager</v>
      </c>
      <c r="H1754" s="9" t="str">
        <f>IF(VLOOKUP(operations[productID],products[],7,FALSE)=1,"Discontinued","Current")</f>
        <v>Current</v>
      </c>
      <c r="I1754" s="6">
        <f>VLOOKUP(operations[productID],products[],4,FALSE)</f>
        <v>52</v>
      </c>
      <c r="J1754" s="6">
        <f>VLOOKUP(operations[productID],products[],5,FALSE)</f>
        <v>0</v>
      </c>
      <c r="K1754" s="6">
        <f>VLOOKUP(operations[productID],products[],6,FALSE)</f>
        <v>10</v>
      </c>
      <c r="L1754" s="10">
        <f t="array" ref="L1754">INDEX('1 orders'!I1754:I2156, MATCH(1, ('1 orders'!A1754:A2156=A1754)*('1 orders'!G1754:G2156=F1754), 0))
</f>
        <v>24</v>
      </c>
      <c r="M1754" s="10">
        <f>IFERROR(__xludf.DUMMYFUNCTION("COUNTUNIQUEIFS($A$2:$A1754,$F$2:$F1754,F1754)"),8.0)</f>
        <v>8</v>
      </c>
      <c r="N1754" s="10">
        <f t="shared" si="1"/>
        <v>6</v>
      </c>
      <c r="O1754" s="26">
        <f>IF(operations[sinceLastOrder]=0,0,operations[orderQuantity] / operations[sinceLastOrder])</f>
        <v>4</v>
      </c>
      <c r="P1754" s="9">
        <v>68.26</v>
      </c>
      <c r="Q1754" s="7" t="s">
        <v>13</v>
      </c>
      <c r="R1754" s="10">
        <f>operations[arrivedDate]-operations[shippedDate]</f>
        <v>8</v>
      </c>
    </row>
    <row r="1755" ht="15.75" customHeight="1">
      <c r="A1755" s="6">
        <v>10924.0</v>
      </c>
      <c r="B1755" s="24">
        <v>45355.0</v>
      </c>
      <c r="C1755" s="24">
        <v>45383.0</v>
      </c>
      <c r="D1755" s="24">
        <v>45390.0</v>
      </c>
      <c r="E1755" s="24">
        <v>45402.0</v>
      </c>
      <c r="F1755" s="6">
        <v>10.0</v>
      </c>
      <c r="G1755" s="9" t="str">
        <f>VLOOKUP(operations[productID],products[],2,FALSE)</f>
        <v>Ikura</v>
      </c>
      <c r="H1755" s="9" t="str">
        <f>IF(VLOOKUP(operations[productID],products[],7,FALSE)=1,"Discontinued","Current")</f>
        <v>Current</v>
      </c>
      <c r="I1755" s="6">
        <f>VLOOKUP(operations[productID],products[],4,FALSE)</f>
        <v>31</v>
      </c>
      <c r="J1755" s="6">
        <f>VLOOKUP(operations[productID],products[],5,FALSE)</f>
        <v>0</v>
      </c>
      <c r="K1755" s="6">
        <f>VLOOKUP(operations[productID],products[],6,FALSE)</f>
        <v>0</v>
      </c>
      <c r="L1755" s="10">
        <f t="array" ref="L1755">INDEX('1 orders'!I1755:I2156, MATCH(1, ('1 orders'!A1755:A2156=A1755)*('1 orders'!G1755:G2156=F1755), 0))
</f>
        <v>20</v>
      </c>
      <c r="M1755" s="10">
        <f>IFERROR(__xludf.DUMMYFUNCTION("COUNTUNIQUEIFS($A$2:$A1755,$F$2:$F1755,F1755)"),29.0)</f>
        <v>29</v>
      </c>
      <c r="N1755" s="10">
        <f t="shared" si="1"/>
        <v>20</v>
      </c>
      <c r="O1755" s="26">
        <f>IF(operations[sinceLastOrder]=0,0,operations[orderQuantity] / operations[sinceLastOrder])</f>
        <v>1</v>
      </c>
      <c r="P1755" s="9">
        <v>151.52</v>
      </c>
      <c r="Q1755" s="7" t="s">
        <v>17</v>
      </c>
      <c r="R1755" s="10">
        <f>operations[arrivedDate]-operations[shippedDate]</f>
        <v>12</v>
      </c>
    </row>
    <row r="1756" ht="15.75" customHeight="1">
      <c r="A1756" s="6">
        <v>10924.0</v>
      </c>
      <c r="B1756" s="24">
        <v>45355.0</v>
      </c>
      <c r="C1756" s="24">
        <v>45383.0</v>
      </c>
      <c r="D1756" s="24">
        <v>45390.0</v>
      </c>
      <c r="E1756" s="24">
        <v>45402.0</v>
      </c>
      <c r="F1756" s="6">
        <v>28.0</v>
      </c>
      <c r="G1756" s="9" t="str">
        <f>VLOOKUP(operations[productID],products[],2,FALSE)</f>
        <v>Rössle Sauerkraut</v>
      </c>
      <c r="H1756" s="9" t="str">
        <f>IF(VLOOKUP(operations[productID],products[],7,FALSE)=1,"Discontinued","Current")</f>
        <v>Discontinued</v>
      </c>
      <c r="I1756" s="6">
        <f>VLOOKUP(operations[productID],products[],4,FALSE)</f>
        <v>26</v>
      </c>
      <c r="J1756" s="6">
        <f>VLOOKUP(operations[productID],products[],5,FALSE)</f>
        <v>0</v>
      </c>
      <c r="K1756" s="6">
        <f>VLOOKUP(operations[productID],products[],6,FALSE)</f>
        <v>0</v>
      </c>
      <c r="L1756" s="10">
        <f t="array" ref="L1756">INDEX('1 orders'!I1756:I2156, MATCH(1, ('1 orders'!A1756:A2156=A1756)*('1 orders'!G1756:G2156=F1756), 0))
</f>
        <v>30</v>
      </c>
      <c r="M1756" s="10">
        <f>IFERROR(__xludf.DUMMYFUNCTION("COUNTUNIQUEIFS($A$2:$A1756,$F$2:$F1756,F1756)"),27.0)</f>
        <v>27</v>
      </c>
      <c r="N1756" s="10">
        <f t="shared" si="1"/>
        <v>27</v>
      </c>
      <c r="O1756" s="26">
        <f>IF(operations[sinceLastOrder]=0,0,operations[orderQuantity] / operations[sinceLastOrder])</f>
        <v>1.111111111</v>
      </c>
      <c r="P1756" s="9">
        <v>151.52</v>
      </c>
      <c r="Q1756" s="7" t="s">
        <v>17</v>
      </c>
      <c r="R1756" s="10">
        <f>operations[arrivedDate]-operations[shippedDate]</f>
        <v>12</v>
      </c>
    </row>
    <row r="1757" ht="15.75" customHeight="1">
      <c r="A1757" s="6">
        <v>10924.0</v>
      </c>
      <c r="B1757" s="24">
        <v>45355.0</v>
      </c>
      <c r="C1757" s="24">
        <v>45383.0</v>
      </c>
      <c r="D1757" s="24">
        <v>45390.0</v>
      </c>
      <c r="E1757" s="24">
        <v>45402.0</v>
      </c>
      <c r="F1757" s="6">
        <v>75.0</v>
      </c>
      <c r="G1757" s="9" t="str">
        <f>VLOOKUP(operations[productID],products[],2,FALSE)</f>
        <v>Rhönbräu Klosterbier</v>
      </c>
      <c r="H1757" s="9" t="str">
        <f>IF(VLOOKUP(operations[productID],products[],7,FALSE)=1,"Discontinued","Current")</f>
        <v>Current</v>
      </c>
      <c r="I1757" s="6">
        <f>VLOOKUP(operations[productID],products[],4,FALSE)</f>
        <v>125</v>
      </c>
      <c r="J1757" s="6">
        <f>VLOOKUP(operations[productID],products[],5,FALSE)</f>
        <v>0</v>
      </c>
      <c r="K1757" s="6">
        <f>VLOOKUP(operations[productID],products[],6,FALSE)</f>
        <v>25</v>
      </c>
      <c r="L1757" s="10">
        <f t="array" ref="L1757">INDEX('1 orders'!I1757:I2156, MATCH(1, ('1 orders'!A1757:A2156=A1757)*('1 orders'!G1757:G2156=F1757), 0))
</f>
        <v>6</v>
      </c>
      <c r="M1757" s="10">
        <f>IFERROR(__xludf.DUMMYFUNCTION("COUNTUNIQUEIFS($A$2:$A1757,$F$2:$F1757,F1757)"),36.0)</f>
        <v>36</v>
      </c>
      <c r="N1757" s="10">
        <f t="shared" si="1"/>
        <v>8</v>
      </c>
      <c r="O1757" s="26">
        <f>IF(operations[sinceLastOrder]=0,0,operations[orderQuantity] / operations[sinceLastOrder])</f>
        <v>0.75</v>
      </c>
      <c r="P1757" s="9">
        <v>151.52</v>
      </c>
      <c r="Q1757" s="7" t="s">
        <v>17</v>
      </c>
      <c r="R1757" s="10">
        <f>operations[arrivedDate]-operations[shippedDate]</f>
        <v>12</v>
      </c>
    </row>
    <row r="1758" ht="15.75" customHeight="1">
      <c r="A1758" s="6">
        <v>10925.0</v>
      </c>
      <c r="B1758" s="24">
        <v>45355.0</v>
      </c>
      <c r="C1758" s="24">
        <v>45383.0</v>
      </c>
      <c r="D1758" s="24">
        <v>45364.0</v>
      </c>
      <c r="E1758" s="24">
        <v>45378.0</v>
      </c>
      <c r="F1758" s="6">
        <v>36.0</v>
      </c>
      <c r="G1758" s="9" t="str">
        <f>VLOOKUP(operations[productID],products[],2,FALSE)</f>
        <v>Inlagd Sill</v>
      </c>
      <c r="H1758" s="9" t="str">
        <f>IF(VLOOKUP(operations[productID],products[],7,FALSE)=1,"Discontinued","Current")</f>
        <v>Current</v>
      </c>
      <c r="I1758" s="6">
        <f>VLOOKUP(operations[productID],products[],4,FALSE)</f>
        <v>112</v>
      </c>
      <c r="J1758" s="6">
        <f>VLOOKUP(operations[productID],products[],5,FALSE)</f>
        <v>0</v>
      </c>
      <c r="K1758" s="6">
        <f>VLOOKUP(operations[productID],products[],6,FALSE)</f>
        <v>20</v>
      </c>
      <c r="L1758" s="10">
        <f t="array" ref="L1758">INDEX('1 orders'!I1758:I2156, MATCH(1, ('1 orders'!A1758:A2156=A1758)*('1 orders'!G1758:G2156=F1758), 0))
</f>
        <v>25</v>
      </c>
      <c r="M1758" s="10">
        <f>IFERROR(__xludf.DUMMYFUNCTION("COUNTUNIQUEIFS($A$2:$A1758,$F$2:$F1758,F1758)"),26.0)</f>
        <v>26</v>
      </c>
      <c r="N1758" s="10">
        <f t="shared" si="1"/>
        <v>15</v>
      </c>
      <c r="O1758" s="26">
        <f>IF(operations[sinceLastOrder]=0,0,operations[orderQuantity] / operations[sinceLastOrder])</f>
        <v>1.666666667</v>
      </c>
      <c r="P1758" s="9">
        <v>2.27</v>
      </c>
      <c r="Q1758" s="7" t="s">
        <v>15</v>
      </c>
      <c r="R1758" s="10">
        <f>operations[arrivedDate]-operations[shippedDate]</f>
        <v>14</v>
      </c>
    </row>
    <row r="1759" ht="15.75" customHeight="1">
      <c r="A1759" s="6">
        <v>10925.0</v>
      </c>
      <c r="B1759" s="24">
        <v>45355.0</v>
      </c>
      <c r="C1759" s="24">
        <v>45383.0</v>
      </c>
      <c r="D1759" s="24">
        <v>45364.0</v>
      </c>
      <c r="E1759" s="24">
        <v>45378.0</v>
      </c>
      <c r="F1759" s="6">
        <v>52.0</v>
      </c>
      <c r="G1759" s="9" t="str">
        <f>VLOOKUP(operations[productID],products[],2,FALSE)</f>
        <v>Filo Mix</v>
      </c>
      <c r="H1759" s="9" t="str">
        <f>IF(VLOOKUP(operations[productID],products[],7,FALSE)=1,"Discontinued","Current")</f>
        <v>Current</v>
      </c>
      <c r="I1759" s="6">
        <f>VLOOKUP(operations[productID],products[],4,FALSE)</f>
        <v>38</v>
      </c>
      <c r="J1759" s="6">
        <f>VLOOKUP(operations[productID],products[],5,FALSE)</f>
        <v>0</v>
      </c>
      <c r="K1759" s="6">
        <f>VLOOKUP(operations[productID],products[],6,FALSE)</f>
        <v>25</v>
      </c>
      <c r="L1759" s="10">
        <f t="array" ref="L1759">INDEX('1 orders'!I1759:I2156, MATCH(1, ('1 orders'!A1759:A2156=A1759)*('1 orders'!G1759:G2156=F1759), 0))
</f>
        <v>12</v>
      </c>
      <c r="M1759" s="10">
        <f>IFERROR(__xludf.DUMMYFUNCTION("COUNTUNIQUEIFS($A$2:$A1759,$F$2:$F1759,F1759)"),22.0)</f>
        <v>22</v>
      </c>
      <c r="N1759" s="10">
        <f t="shared" si="1"/>
        <v>7</v>
      </c>
      <c r="O1759" s="26">
        <f>IF(operations[sinceLastOrder]=0,0,operations[orderQuantity] / operations[sinceLastOrder])</f>
        <v>1.714285714</v>
      </c>
      <c r="P1759" s="9">
        <v>2.27</v>
      </c>
      <c r="Q1759" s="7" t="s">
        <v>15</v>
      </c>
      <c r="R1759" s="10">
        <f>operations[arrivedDate]-operations[shippedDate]</f>
        <v>14</v>
      </c>
    </row>
    <row r="1760" ht="15.75" customHeight="1">
      <c r="A1760" s="6">
        <v>10926.0</v>
      </c>
      <c r="B1760" s="24">
        <v>45355.0</v>
      </c>
      <c r="C1760" s="24">
        <v>45383.0</v>
      </c>
      <c r="D1760" s="24">
        <v>45362.0</v>
      </c>
      <c r="E1760" s="24">
        <v>45375.0</v>
      </c>
      <c r="F1760" s="6">
        <v>11.0</v>
      </c>
      <c r="G1760" s="9" t="str">
        <f>VLOOKUP(operations[productID],products[],2,FALSE)</f>
        <v>Queso Cabrales</v>
      </c>
      <c r="H1760" s="9" t="str">
        <f>IF(VLOOKUP(operations[productID],products[],7,FALSE)=1,"Discontinued","Current")</f>
        <v>Current</v>
      </c>
      <c r="I1760" s="6">
        <f>VLOOKUP(operations[productID],products[],4,FALSE)</f>
        <v>22</v>
      </c>
      <c r="J1760" s="6">
        <f>VLOOKUP(operations[productID],products[],5,FALSE)</f>
        <v>30</v>
      </c>
      <c r="K1760" s="6">
        <f>VLOOKUP(operations[productID],products[],6,FALSE)</f>
        <v>30</v>
      </c>
      <c r="L1760" s="10">
        <f t="array" ref="L1760">INDEX('1 orders'!I1760:I2156, MATCH(1, ('1 orders'!A1760:A2156=A1760)*('1 orders'!G1760:G2156=F1760), 0))
</f>
        <v>2</v>
      </c>
      <c r="M1760" s="10">
        <f>IFERROR(__xludf.DUMMYFUNCTION("COUNTUNIQUEIFS($A$2:$A1760,$F$2:$F1760,F1760)"),33.0)</f>
        <v>33</v>
      </c>
      <c r="N1760" s="10">
        <f t="shared" si="1"/>
        <v>7</v>
      </c>
      <c r="O1760" s="26">
        <f>IF(operations[sinceLastOrder]=0,0,operations[orderQuantity] / operations[sinceLastOrder])</f>
        <v>0.2857142857</v>
      </c>
      <c r="P1760" s="9">
        <v>39.92</v>
      </c>
      <c r="Q1760" s="7" t="s">
        <v>13</v>
      </c>
      <c r="R1760" s="10">
        <f>operations[arrivedDate]-operations[shippedDate]</f>
        <v>13</v>
      </c>
    </row>
    <row r="1761" ht="15.75" customHeight="1">
      <c r="A1761" s="6">
        <v>10926.0</v>
      </c>
      <c r="B1761" s="24">
        <v>45355.0</v>
      </c>
      <c r="C1761" s="24">
        <v>45383.0</v>
      </c>
      <c r="D1761" s="24">
        <v>45362.0</v>
      </c>
      <c r="E1761" s="24">
        <v>45375.0</v>
      </c>
      <c r="F1761" s="6">
        <v>13.0</v>
      </c>
      <c r="G1761" s="9" t="str">
        <f>VLOOKUP(operations[productID],products[],2,FALSE)</f>
        <v>Konbu</v>
      </c>
      <c r="H1761" s="9" t="str">
        <f>IF(VLOOKUP(operations[productID],products[],7,FALSE)=1,"Discontinued","Current")</f>
        <v>Current</v>
      </c>
      <c r="I1761" s="6">
        <f>VLOOKUP(operations[productID],products[],4,FALSE)</f>
        <v>24</v>
      </c>
      <c r="J1761" s="6">
        <f>VLOOKUP(operations[productID],products[],5,FALSE)</f>
        <v>0</v>
      </c>
      <c r="K1761" s="6">
        <f>VLOOKUP(operations[productID],products[],6,FALSE)</f>
        <v>5</v>
      </c>
      <c r="L1761" s="10">
        <f t="array" ref="L1761">INDEX('1 orders'!I1761:I2156, MATCH(1, ('1 orders'!A1761:A2156=A1761)*('1 orders'!G1761:G2156=F1761), 0))
</f>
        <v>10</v>
      </c>
      <c r="M1761" s="10">
        <f>IFERROR(__xludf.DUMMYFUNCTION("COUNTUNIQUEIFS($A$2:$A1761,$F$2:$F1761,F1761)"),26.0)</f>
        <v>26</v>
      </c>
      <c r="N1761" s="10">
        <f t="shared" si="1"/>
        <v>9</v>
      </c>
      <c r="O1761" s="26">
        <f>IF(operations[sinceLastOrder]=0,0,operations[orderQuantity] / operations[sinceLastOrder])</f>
        <v>1.111111111</v>
      </c>
      <c r="P1761" s="9">
        <v>39.92</v>
      </c>
      <c r="Q1761" s="7" t="s">
        <v>13</v>
      </c>
      <c r="R1761" s="10">
        <f>operations[arrivedDate]-operations[shippedDate]</f>
        <v>13</v>
      </c>
    </row>
    <row r="1762" ht="15.75" customHeight="1">
      <c r="A1762" s="6">
        <v>10926.0</v>
      </c>
      <c r="B1762" s="24">
        <v>45355.0</v>
      </c>
      <c r="C1762" s="24">
        <v>45383.0</v>
      </c>
      <c r="D1762" s="24">
        <v>45362.0</v>
      </c>
      <c r="E1762" s="24">
        <v>45375.0</v>
      </c>
      <c r="F1762" s="6">
        <v>19.0</v>
      </c>
      <c r="G1762" s="9" t="str">
        <f>VLOOKUP(operations[productID],products[],2,FALSE)</f>
        <v>Teatime Chocolate Biscuits</v>
      </c>
      <c r="H1762" s="9" t="str">
        <f>IF(VLOOKUP(operations[productID],products[],7,FALSE)=1,"Discontinued","Current")</f>
        <v>Current</v>
      </c>
      <c r="I1762" s="6">
        <f>VLOOKUP(operations[productID],products[],4,FALSE)</f>
        <v>25</v>
      </c>
      <c r="J1762" s="6">
        <f>VLOOKUP(operations[productID],products[],5,FALSE)</f>
        <v>0</v>
      </c>
      <c r="K1762" s="6">
        <f>VLOOKUP(operations[productID],products[],6,FALSE)</f>
        <v>5</v>
      </c>
      <c r="L1762" s="10">
        <f t="array" ref="L1762">INDEX('1 orders'!I1762:I2156, MATCH(1, ('1 orders'!A1762:A2156=A1762)*('1 orders'!G1762:G2156=F1762), 0))
</f>
        <v>7</v>
      </c>
      <c r="M1762" s="10">
        <f>IFERROR(__xludf.DUMMYFUNCTION("COUNTUNIQUEIFS($A$2:$A1762,$F$2:$F1762,F1762)"),32.0)</f>
        <v>32</v>
      </c>
      <c r="N1762" s="10">
        <f t="shared" si="1"/>
        <v>7</v>
      </c>
      <c r="O1762" s="26">
        <f>IF(operations[sinceLastOrder]=0,0,operations[orderQuantity] / operations[sinceLastOrder])</f>
        <v>1</v>
      </c>
      <c r="P1762" s="9">
        <v>39.92</v>
      </c>
      <c r="Q1762" s="7" t="s">
        <v>13</v>
      </c>
      <c r="R1762" s="10">
        <f>operations[arrivedDate]-operations[shippedDate]</f>
        <v>13</v>
      </c>
    </row>
    <row r="1763" ht="15.75" customHeight="1">
      <c r="A1763" s="6">
        <v>10926.0</v>
      </c>
      <c r="B1763" s="24">
        <v>45355.0</v>
      </c>
      <c r="C1763" s="24">
        <v>45383.0</v>
      </c>
      <c r="D1763" s="24">
        <v>45362.0</v>
      </c>
      <c r="E1763" s="24">
        <v>45375.0</v>
      </c>
      <c r="F1763" s="6">
        <v>72.0</v>
      </c>
      <c r="G1763" s="9" t="str">
        <f>VLOOKUP(operations[productID],products[],2,FALSE)</f>
        <v>Mozzarella di Giovanni</v>
      </c>
      <c r="H1763" s="9" t="str">
        <f>IF(VLOOKUP(operations[productID],products[],7,FALSE)=1,"Discontinued","Current")</f>
        <v>Current</v>
      </c>
      <c r="I1763" s="6">
        <f>VLOOKUP(operations[productID],products[],4,FALSE)</f>
        <v>14</v>
      </c>
      <c r="J1763" s="6">
        <f>VLOOKUP(operations[productID],products[],5,FALSE)</f>
        <v>0</v>
      </c>
      <c r="K1763" s="6">
        <f>VLOOKUP(operations[productID],products[],6,FALSE)</f>
        <v>0</v>
      </c>
      <c r="L1763" s="10">
        <f t="array" ref="L1763">INDEX('1 orders'!I1763:I2156, MATCH(1, ('1 orders'!A1763:A2156=A1763)*('1 orders'!G1763:G2156=F1763), 0))
</f>
        <v>10</v>
      </c>
      <c r="M1763" s="10">
        <f>IFERROR(__xludf.DUMMYFUNCTION("COUNTUNIQUEIFS($A$2:$A1763,$F$2:$F1763,F1763)"),32.0)</f>
        <v>32</v>
      </c>
      <c r="N1763" s="10">
        <f t="shared" si="1"/>
        <v>45</v>
      </c>
      <c r="O1763" s="26">
        <f>IF(operations[sinceLastOrder]=0,0,operations[orderQuantity] / operations[sinceLastOrder])</f>
        <v>0.2222222222</v>
      </c>
      <c r="P1763" s="9">
        <v>39.92</v>
      </c>
      <c r="Q1763" s="7" t="s">
        <v>13</v>
      </c>
      <c r="R1763" s="10">
        <f>operations[arrivedDate]-operations[shippedDate]</f>
        <v>13</v>
      </c>
    </row>
    <row r="1764" ht="15.75" customHeight="1">
      <c r="A1764" s="6">
        <v>10927.0</v>
      </c>
      <c r="B1764" s="24">
        <v>45356.0</v>
      </c>
      <c r="C1764" s="24">
        <v>45384.0</v>
      </c>
      <c r="D1764" s="24">
        <v>45390.0</v>
      </c>
      <c r="E1764" s="24">
        <v>45393.0</v>
      </c>
      <c r="F1764" s="6">
        <v>20.0</v>
      </c>
      <c r="G1764" s="9" t="str">
        <f>VLOOKUP(operations[productID],products[],2,FALSE)</f>
        <v>Sir Rodney's Marmalade</v>
      </c>
      <c r="H1764" s="9" t="str">
        <f>IF(VLOOKUP(operations[productID],products[],7,FALSE)=1,"Discontinued","Current")</f>
        <v>Current</v>
      </c>
      <c r="I1764" s="6">
        <f>VLOOKUP(operations[productID],products[],4,FALSE)</f>
        <v>40</v>
      </c>
      <c r="J1764" s="6">
        <f>VLOOKUP(operations[productID],products[],5,FALSE)</f>
        <v>0</v>
      </c>
      <c r="K1764" s="6">
        <f>VLOOKUP(operations[productID],products[],6,FALSE)</f>
        <v>0</v>
      </c>
      <c r="L1764" s="10">
        <f t="array" ref="L1764">INDEX('1 orders'!I1764:I2156, MATCH(1, ('1 orders'!A1764:A2156=A1764)*('1 orders'!G1764:G2156=F1764), 0))
</f>
        <v>5</v>
      </c>
      <c r="M1764" s="10">
        <f>IFERROR(__xludf.DUMMYFUNCTION("COUNTUNIQUEIFS($A$2:$A1764,$F$2:$F1764,F1764)"),12.0)</f>
        <v>12</v>
      </c>
      <c r="N1764" s="10">
        <f t="shared" si="1"/>
        <v>24</v>
      </c>
      <c r="O1764" s="26">
        <f>IF(operations[sinceLastOrder]=0,0,operations[orderQuantity] / operations[sinceLastOrder])</f>
        <v>0.2083333333</v>
      </c>
      <c r="P1764" s="9">
        <v>19.79</v>
      </c>
      <c r="Q1764" s="7" t="s">
        <v>15</v>
      </c>
      <c r="R1764" s="10">
        <f>operations[arrivedDate]-operations[shippedDate]</f>
        <v>3</v>
      </c>
    </row>
    <row r="1765" ht="15.75" customHeight="1">
      <c r="A1765" s="6">
        <v>10927.0</v>
      </c>
      <c r="B1765" s="24">
        <v>45356.0</v>
      </c>
      <c r="C1765" s="24">
        <v>45384.0</v>
      </c>
      <c r="D1765" s="24">
        <v>45390.0</v>
      </c>
      <c r="E1765" s="24">
        <v>45393.0</v>
      </c>
      <c r="F1765" s="6">
        <v>52.0</v>
      </c>
      <c r="G1765" s="9" t="str">
        <f>VLOOKUP(operations[productID],products[],2,FALSE)</f>
        <v>Filo Mix</v>
      </c>
      <c r="H1765" s="9" t="str">
        <f>IF(VLOOKUP(operations[productID],products[],7,FALSE)=1,"Discontinued","Current")</f>
        <v>Current</v>
      </c>
      <c r="I1765" s="6">
        <f>VLOOKUP(operations[productID],products[],4,FALSE)</f>
        <v>38</v>
      </c>
      <c r="J1765" s="6">
        <f>VLOOKUP(operations[productID],products[],5,FALSE)</f>
        <v>0</v>
      </c>
      <c r="K1765" s="6">
        <f>VLOOKUP(operations[productID],products[],6,FALSE)</f>
        <v>25</v>
      </c>
      <c r="L1765" s="10">
        <f t="array" ref="L1765">INDEX('1 orders'!I1765:I2156, MATCH(1, ('1 orders'!A1765:A2156=A1765)*('1 orders'!G1765:G2156=F1765), 0))
</f>
        <v>5</v>
      </c>
      <c r="M1765" s="10">
        <f>IFERROR(__xludf.DUMMYFUNCTION("COUNTUNIQUEIFS($A$2:$A1765,$F$2:$F1765,F1765)"),23.0)</f>
        <v>23</v>
      </c>
      <c r="N1765" s="10">
        <f t="shared" si="1"/>
        <v>1</v>
      </c>
      <c r="O1765" s="26">
        <f>IF(operations[sinceLastOrder]=0,0,operations[orderQuantity] / operations[sinceLastOrder])</f>
        <v>5</v>
      </c>
      <c r="P1765" s="9">
        <v>19.79</v>
      </c>
      <c r="Q1765" s="7" t="s">
        <v>15</v>
      </c>
      <c r="R1765" s="10">
        <f>operations[arrivedDate]-operations[shippedDate]</f>
        <v>3</v>
      </c>
    </row>
    <row r="1766" ht="15.75" customHeight="1">
      <c r="A1766" s="6">
        <v>10927.0</v>
      </c>
      <c r="B1766" s="24">
        <v>45356.0</v>
      </c>
      <c r="C1766" s="24">
        <v>45384.0</v>
      </c>
      <c r="D1766" s="24">
        <v>45390.0</v>
      </c>
      <c r="E1766" s="24">
        <v>45393.0</v>
      </c>
      <c r="F1766" s="6">
        <v>76.0</v>
      </c>
      <c r="G1766" s="9" t="str">
        <f>VLOOKUP(operations[productID],products[],2,FALSE)</f>
        <v>Lakkalikööri</v>
      </c>
      <c r="H1766" s="9" t="str">
        <f>IF(VLOOKUP(operations[productID],products[],7,FALSE)=1,"Discontinued","Current")</f>
        <v>Current</v>
      </c>
      <c r="I1766" s="6">
        <f>VLOOKUP(operations[productID],products[],4,FALSE)</f>
        <v>57</v>
      </c>
      <c r="J1766" s="6">
        <f>VLOOKUP(operations[productID],products[],5,FALSE)</f>
        <v>0</v>
      </c>
      <c r="K1766" s="6">
        <f>VLOOKUP(operations[productID],products[],6,FALSE)</f>
        <v>20</v>
      </c>
      <c r="L1766" s="10">
        <f t="array" ref="L1766">INDEX('1 orders'!I1766:I2156, MATCH(1, ('1 orders'!A1766:A2156=A1766)*('1 orders'!G1766:G2156=F1766), 0))
</f>
        <v>20</v>
      </c>
      <c r="M1766" s="10">
        <f>IFERROR(__xludf.DUMMYFUNCTION("COUNTUNIQUEIFS($A$2:$A1766,$F$2:$F1766,F1766)"),31.0)</f>
        <v>31</v>
      </c>
      <c r="N1766" s="10">
        <f t="shared" si="1"/>
        <v>24</v>
      </c>
      <c r="O1766" s="26">
        <f>IF(operations[sinceLastOrder]=0,0,operations[orderQuantity] / operations[sinceLastOrder])</f>
        <v>0.8333333333</v>
      </c>
      <c r="P1766" s="9">
        <v>19.79</v>
      </c>
      <c r="Q1766" s="7" t="s">
        <v>15</v>
      </c>
      <c r="R1766" s="10">
        <f>operations[arrivedDate]-operations[shippedDate]</f>
        <v>3</v>
      </c>
    </row>
    <row r="1767" ht="15.75" customHeight="1">
      <c r="A1767" s="6">
        <v>10928.0</v>
      </c>
      <c r="B1767" s="24">
        <v>45356.0</v>
      </c>
      <c r="C1767" s="24">
        <v>45384.0</v>
      </c>
      <c r="D1767" s="24">
        <v>45369.0</v>
      </c>
      <c r="E1767" s="24">
        <v>45374.0</v>
      </c>
      <c r="F1767" s="6">
        <v>47.0</v>
      </c>
      <c r="G1767" s="9" t="str">
        <f>VLOOKUP(operations[productID],products[],2,FALSE)</f>
        <v>Zaanse koeken</v>
      </c>
      <c r="H1767" s="9" t="str">
        <f>IF(VLOOKUP(operations[productID],products[],7,FALSE)=1,"Discontinued","Current")</f>
        <v>Current</v>
      </c>
      <c r="I1767" s="6">
        <f>VLOOKUP(operations[productID],products[],4,FALSE)</f>
        <v>36</v>
      </c>
      <c r="J1767" s="6">
        <f>VLOOKUP(operations[productID],products[],5,FALSE)</f>
        <v>0</v>
      </c>
      <c r="K1767" s="6">
        <f>VLOOKUP(operations[productID],products[],6,FALSE)</f>
        <v>0</v>
      </c>
      <c r="L1767" s="10">
        <f t="array" ref="L1767">INDEX('1 orders'!I1767:I2156, MATCH(1, ('1 orders'!A1767:A2156=A1767)*('1 orders'!G1767:G2156=F1767), 0))
</f>
        <v>5</v>
      </c>
      <c r="M1767" s="10">
        <f>IFERROR(__xludf.DUMMYFUNCTION("COUNTUNIQUEIFS($A$2:$A1767,$F$2:$F1767,F1767)"),19.0)</f>
        <v>19</v>
      </c>
      <c r="N1767" s="10">
        <f t="shared" si="1"/>
        <v>28</v>
      </c>
      <c r="O1767" s="26">
        <f>IF(operations[sinceLastOrder]=0,0,operations[orderQuantity] / operations[sinceLastOrder])</f>
        <v>0.1785714286</v>
      </c>
      <c r="P1767" s="9">
        <v>1.36</v>
      </c>
      <c r="Q1767" s="7" t="s">
        <v>15</v>
      </c>
      <c r="R1767" s="10">
        <f>operations[arrivedDate]-operations[shippedDate]</f>
        <v>5</v>
      </c>
    </row>
    <row r="1768" ht="15.75" customHeight="1">
      <c r="A1768" s="6">
        <v>10928.0</v>
      </c>
      <c r="B1768" s="24">
        <v>45356.0</v>
      </c>
      <c r="C1768" s="24">
        <v>45384.0</v>
      </c>
      <c r="D1768" s="24">
        <v>45369.0</v>
      </c>
      <c r="E1768" s="24">
        <v>45374.0</v>
      </c>
      <c r="F1768" s="6">
        <v>76.0</v>
      </c>
      <c r="G1768" s="9" t="str">
        <f>VLOOKUP(operations[productID],products[],2,FALSE)</f>
        <v>Lakkalikööri</v>
      </c>
      <c r="H1768" s="9" t="str">
        <f>IF(VLOOKUP(operations[productID],products[],7,FALSE)=1,"Discontinued","Current")</f>
        <v>Current</v>
      </c>
      <c r="I1768" s="6">
        <f>VLOOKUP(operations[productID],products[],4,FALSE)</f>
        <v>57</v>
      </c>
      <c r="J1768" s="6">
        <f>VLOOKUP(operations[productID],products[],5,FALSE)</f>
        <v>0</v>
      </c>
      <c r="K1768" s="6">
        <f>VLOOKUP(operations[productID],products[],6,FALSE)</f>
        <v>20</v>
      </c>
      <c r="L1768" s="10">
        <f t="array" ref="L1768">INDEX('1 orders'!I1768:I2156, MATCH(1, ('1 orders'!A1768:A2156=A1768)*('1 orders'!G1768:G2156=F1768), 0))
</f>
        <v>5</v>
      </c>
      <c r="M1768" s="10">
        <f>IFERROR(__xludf.DUMMYFUNCTION("COUNTUNIQUEIFS($A$2:$A1768,$F$2:$F1768,F1768)"),32.0)</f>
        <v>32</v>
      </c>
      <c r="N1768" s="10">
        <f t="shared" si="1"/>
        <v>0</v>
      </c>
      <c r="O1768" s="26">
        <f>IF(operations[sinceLastOrder]=0,0,operations[orderQuantity] / operations[sinceLastOrder])</f>
        <v>0</v>
      </c>
      <c r="P1768" s="9">
        <v>1.36</v>
      </c>
      <c r="Q1768" s="7" t="s">
        <v>15</v>
      </c>
      <c r="R1768" s="10">
        <f>operations[arrivedDate]-operations[shippedDate]</f>
        <v>5</v>
      </c>
    </row>
    <row r="1769" ht="15.75" customHeight="1">
      <c r="A1769" s="6">
        <v>10929.0</v>
      </c>
      <c r="B1769" s="24">
        <v>45356.0</v>
      </c>
      <c r="C1769" s="24">
        <v>45384.0</v>
      </c>
      <c r="D1769" s="24">
        <v>45363.0</v>
      </c>
      <c r="E1769" s="24">
        <v>45364.0</v>
      </c>
      <c r="F1769" s="6">
        <v>21.0</v>
      </c>
      <c r="G1769" s="9" t="str">
        <f>VLOOKUP(operations[productID],products[],2,FALSE)</f>
        <v>Sir Rodney's Scones</v>
      </c>
      <c r="H1769" s="9" t="str">
        <f>IF(VLOOKUP(operations[productID],products[],7,FALSE)=1,"Discontinued","Current")</f>
        <v>Current</v>
      </c>
      <c r="I1769" s="6">
        <f>VLOOKUP(operations[productID],products[],4,FALSE)</f>
        <v>3</v>
      </c>
      <c r="J1769" s="6">
        <f>VLOOKUP(operations[productID],products[],5,FALSE)</f>
        <v>40</v>
      </c>
      <c r="K1769" s="6">
        <f>VLOOKUP(operations[productID],products[],6,FALSE)</f>
        <v>5</v>
      </c>
      <c r="L1769" s="10">
        <f t="array" ref="L1769">INDEX('1 orders'!I1769:I2156, MATCH(1, ('1 orders'!A1769:A2156=A1769)*('1 orders'!G1769:G2156=F1769), 0))
</f>
        <v>60</v>
      </c>
      <c r="M1769" s="10">
        <f>IFERROR(__xludf.DUMMYFUNCTION("COUNTUNIQUEIFS($A$2:$A1769,$F$2:$F1769,F1769)"),32.0)</f>
        <v>32</v>
      </c>
      <c r="N1769" s="10">
        <f t="shared" si="1"/>
        <v>22</v>
      </c>
      <c r="O1769" s="26">
        <f>IF(operations[sinceLastOrder]=0,0,operations[orderQuantity] / operations[sinceLastOrder])</f>
        <v>2.727272727</v>
      </c>
      <c r="P1769" s="9">
        <v>33.93</v>
      </c>
      <c r="Q1769" s="7" t="s">
        <v>15</v>
      </c>
      <c r="R1769" s="10">
        <f>operations[arrivedDate]-operations[shippedDate]</f>
        <v>1</v>
      </c>
    </row>
    <row r="1770" ht="15.75" customHeight="1">
      <c r="A1770" s="6">
        <v>10929.0</v>
      </c>
      <c r="B1770" s="24">
        <v>45356.0</v>
      </c>
      <c r="C1770" s="24">
        <v>45384.0</v>
      </c>
      <c r="D1770" s="24">
        <v>45363.0</v>
      </c>
      <c r="E1770" s="24">
        <v>45364.0</v>
      </c>
      <c r="F1770" s="6">
        <v>75.0</v>
      </c>
      <c r="G1770" s="9" t="str">
        <f>VLOOKUP(operations[productID],products[],2,FALSE)</f>
        <v>Rhönbräu Klosterbier</v>
      </c>
      <c r="H1770" s="9" t="str">
        <f>IF(VLOOKUP(operations[productID],products[],7,FALSE)=1,"Discontinued","Current")</f>
        <v>Current</v>
      </c>
      <c r="I1770" s="6">
        <f>VLOOKUP(operations[productID],products[],4,FALSE)</f>
        <v>125</v>
      </c>
      <c r="J1770" s="6">
        <f>VLOOKUP(operations[productID],products[],5,FALSE)</f>
        <v>0</v>
      </c>
      <c r="K1770" s="6">
        <f>VLOOKUP(operations[productID],products[],6,FALSE)</f>
        <v>25</v>
      </c>
      <c r="L1770" s="10">
        <f t="array" ref="L1770">INDEX('1 orders'!I1770:I2156, MATCH(1, ('1 orders'!A1770:A2156=A1770)*('1 orders'!G1770:G2156=F1770), 0))
</f>
        <v>49</v>
      </c>
      <c r="M1770" s="10">
        <f>IFERROR(__xludf.DUMMYFUNCTION("COUNTUNIQUEIFS($A$2:$A1770,$F$2:$F1770,F1770)"),37.0)</f>
        <v>37</v>
      </c>
      <c r="N1770" s="10">
        <f t="shared" si="1"/>
        <v>1</v>
      </c>
      <c r="O1770" s="26">
        <f>IF(operations[sinceLastOrder]=0,0,operations[orderQuantity] / operations[sinceLastOrder])</f>
        <v>49</v>
      </c>
      <c r="P1770" s="9">
        <v>33.93</v>
      </c>
      <c r="Q1770" s="7" t="s">
        <v>15</v>
      </c>
      <c r="R1770" s="10">
        <f>operations[arrivedDate]-operations[shippedDate]</f>
        <v>1</v>
      </c>
    </row>
    <row r="1771" ht="15.75" customHeight="1">
      <c r="A1771" s="6">
        <v>10929.0</v>
      </c>
      <c r="B1771" s="24">
        <v>45356.0</v>
      </c>
      <c r="C1771" s="24">
        <v>45384.0</v>
      </c>
      <c r="D1771" s="24">
        <v>45363.0</v>
      </c>
      <c r="E1771" s="24">
        <v>45364.0</v>
      </c>
      <c r="F1771" s="6">
        <v>77.0</v>
      </c>
      <c r="G1771" s="9" t="str">
        <f>VLOOKUP(operations[productID],products[],2,FALSE)</f>
        <v>Original Frankfurter grüne Soße</v>
      </c>
      <c r="H1771" s="9" t="str">
        <f>IF(VLOOKUP(operations[productID],products[],7,FALSE)=1,"Discontinued","Current")</f>
        <v>Current</v>
      </c>
      <c r="I1771" s="6">
        <f>VLOOKUP(operations[productID],products[],4,FALSE)</f>
        <v>32</v>
      </c>
      <c r="J1771" s="6">
        <f>VLOOKUP(operations[productID],products[],5,FALSE)</f>
        <v>0</v>
      </c>
      <c r="K1771" s="6">
        <f>VLOOKUP(operations[productID],products[],6,FALSE)</f>
        <v>15</v>
      </c>
      <c r="L1771" s="10">
        <f t="array" ref="L1771">INDEX('1 orders'!I1771:I2156, MATCH(1, ('1 orders'!A1771:A2156=A1771)*('1 orders'!G1771:G2156=F1771), 0))
</f>
        <v>15</v>
      </c>
      <c r="M1771" s="10">
        <f>IFERROR(__xludf.DUMMYFUNCTION("COUNTUNIQUEIFS($A$2:$A1771,$F$2:$F1771,F1771)"),30.0)</f>
        <v>30</v>
      </c>
      <c r="N1771" s="10">
        <f t="shared" si="1"/>
        <v>21</v>
      </c>
      <c r="O1771" s="26">
        <f>IF(operations[sinceLastOrder]=0,0,operations[orderQuantity] / operations[sinceLastOrder])</f>
        <v>0.7142857143</v>
      </c>
      <c r="P1771" s="9">
        <v>33.93</v>
      </c>
      <c r="Q1771" s="7" t="s">
        <v>15</v>
      </c>
      <c r="R1771" s="10">
        <f>operations[arrivedDate]-operations[shippedDate]</f>
        <v>1</v>
      </c>
    </row>
    <row r="1772" ht="15.75" customHeight="1">
      <c r="A1772" s="6">
        <v>10930.0</v>
      </c>
      <c r="B1772" s="24">
        <v>45357.0</v>
      </c>
      <c r="C1772" s="24">
        <v>45399.0</v>
      </c>
      <c r="D1772" s="24">
        <v>45369.0</v>
      </c>
      <c r="E1772" s="24">
        <v>45383.0</v>
      </c>
      <c r="F1772" s="6">
        <v>21.0</v>
      </c>
      <c r="G1772" s="9" t="str">
        <f>VLOOKUP(operations[productID],products[],2,FALSE)</f>
        <v>Sir Rodney's Scones</v>
      </c>
      <c r="H1772" s="9" t="str">
        <f>IF(VLOOKUP(operations[productID],products[],7,FALSE)=1,"Discontinued","Current")</f>
        <v>Current</v>
      </c>
      <c r="I1772" s="6">
        <f>VLOOKUP(operations[productID],products[],4,FALSE)</f>
        <v>3</v>
      </c>
      <c r="J1772" s="6">
        <f>VLOOKUP(operations[productID],products[],5,FALSE)</f>
        <v>40</v>
      </c>
      <c r="K1772" s="6">
        <f>VLOOKUP(operations[productID],products[],6,FALSE)</f>
        <v>5</v>
      </c>
      <c r="L1772" s="10">
        <f t="array" ref="L1772">INDEX('1 orders'!I1772:I2156, MATCH(1, ('1 orders'!A1772:A2156=A1772)*('1 orders'!G1772:G2156=F1772), 0))
</f>
        <v>36</v>
      </c>
      <c r="M1772" s="10">
        <f>IFERROR(__xludf.DUMMYFUNCTION("COUNTUNIQUEIFS($A$2:$A1772,$F$2:$F1772,F1772)"),33.0)</f>
        <v>33</v>
      </c>
      <c r="N1772" s="10">
        <f t="shared" si="1"/>
        <v>1</v>
      </c>
      <c r="O1772" s="26">
        <f>IF(operations[sinceLastOrder]=0,0,operations[orderQuantity] / operations[sinceLastOrder])</f>
        <v>36</v>
      </c>
      <c r="P1772" s="9">
        <v>15.55</v>
      </c>
      <c r="Q1772" s="7" t="s">
        <v>13</v>
      </c>
      <c r="R1772" s="10">
        <f>operations[arrivedDate]-operations[shippedDate]</f>
        <v>14</v>
      </c>
    </row>
    <row r="1773" ht="15.75" customHeight="1">
      <c r="A1773" s="6">
        <v>10930.0</v>
      </c>
      <c r="B1773" s="24">
        <v>45357.0</v>
      </c>
      <c r="C1773" s="24">
        <v>45399.0</v>
      </c>
      <c r="D1773" s="24">
        <v>45369.0</v>
      </c>
      <c r="E1773" s="24">
        <v>45383.0</v>
      </c>
      <c r="F1773" s="6">
        <v>27.0</v>
      </c>
      <c r="G1773" s="9" t="str">
        <f>VLOOKUP(operations[productID],products[],2,FALSE)</f>
        <v>Schoggi Schokolade</v>
      </c>
      <c r="H1773" s="9" t="str">
        <f>IF(VLOOKUP(operations[productID],products[],7,FALSE)=1,"Discontinued","Current")</f>
        <v>Current</v>
      </c>
      <c r="I1773" s="6">
        <f>VLOOKUP(operations[productID],products[],4,FALSE)</f>
        <v>49</v>
      </c>
      <c r="J1773" s="6">
        <f>VLOOKUP(operations[productID],products[],5,FALSE)</f>
        <v>0</v>
      </c>
      <c r="K1773" s="6">
        <f>VLOOKUP(operations[productID],products[],6,FALSE)</f>
        <v>30</v>
      </c>
      <c r="L1773" s="10">
        <f t="array" ref="L1773">INDEX('1 orders'!I1773:I2156, MATCH(1, ('1 orders'!A1773:A2156=A1773)*('1 orders'!G1773:G2156=F1773), 0))
</f>
        <v>25</v>
      </c>
      <c r="M1773" s="10">
        <f>IFERROR(__xludf.DUMMYFUNCTION("COUNTUNIQUEIFS($A$2:$A1773,$F$2:$F1773,F1773)"),8.0)</f>
        <v>8</v>
      </c>
      <c r="N1773" s="10">
        <f t="shared" si="1"/>
        <v>37</v>
      </c>
      <c r="O1773" s="26">
        <f>IF(operations[sinceLastOrder]=0,0,operations[orderQuantity] / operations[sinceLastOrder])</f>
        <v>0.6756756757</v>
      </c>
      <c r="P1773" s="9">
        <v>15.55</v>
      </c>
      <c r="Q1773" s="7" t="s">
        <v>13</v>
      </c>
      <c r="R1773" s="10">
        <f>operations[arrivedDate]-operations[shippedDate]</f>
        <v>14</v>
      </c>
    </row>
    <row r="1774" ht="15.75" customHeight="1">
      <c r="A1774" s="6">
        <v>10930.0</v>
      </c>
      <c r="B1774" s="24">
        <v>45357.0</v>
      </c>
      <c r="C1774" s="24">
        <v>45399.0</v>
      </c>
      <c r="D1774" s="24">
        <v>45369.0</v>
      </c>
      <c r="E1774" s="24">
        <v>45383.0</v>
      </c>
      <c r="F1774" s="6">
        <v>55.0</v>
      </c>
      <c r="G1774" s="9" t="str">
        <f>VLOOKUP(operations[productID],products[],2,FALSE)</f>
        <v>Pâté chinois</v>
      </c>
      <c r="H1774" s="9" t="str">
        <f>IF(VLOOKUP(operations[productID],products[],7,FALSE)=1,"Discontinued","Current")</f>
        <v>Current</v>
      </c>
      <c r="I1774" s="6">
        <f>VLOOKUP(operations[productID],products[],4,FALSE)</f>
        <v>115</v>
      </c>
      <c r="J1774" s="6">
        <f>VLOOKUP(operations[productID],products[],5,FALSE)</f>
        <v>0</v>
      </c>
      <c r="K1774" s="6">
        <f>VLOOKUP(operations[productID],products[],6,FALSE)</f>
        <v>20</v>
      </c>
      <c r="L1774" s="10">
        <f t="array" ref="L1774">INDEX('1 orders'!I1774:I2156, MATCH(1, ('1 orders'!A1774:A2156=A1774)*('1 orders'!G1774:G2156=F1774), 0))
</f>
        <v>25</v>
      </c>
      <c r="M1774" s="10">
        <f>IFERROR(__xludf.DUMMYFUNCTION("COUNTUNIQUEIFS($A$2:$A1774,$F$2:$F1774,F1774)"),25.0)</f>
        <v>25</v>
      </c>
      <c r="N1774" s="10">
        <f t="shared" si="1"/>
        <v>12</v>
      </c>
      <c r="O1774" s="26">
        <f>IF(operations[sinceLastOrder]=0,0,operations[orderQuantity] / operations[sinceLastOrder])</f>
        <v>2.083333333</v>
      </c>
      <c r="P1774" s="9">
        <v>15.55</v>
      </c>
      <c r="Q1774" s="7" t="s">
        <v>13</v>
      </c>
      <c r="R1774" s="10">
        <f>operations[arrivedDate]-operations[shippedDate]</f>
        <v>14</v>
      </c>
    </row>
    <row r="1775" ht="15.75" customHeight="1">
      <c r="A1775" s="6">
        <v>10930.0</v>
      </c>
      <c r="B1775" s="24">
        <v>45357.0</v>
      </c>
      <c r="C1775" s="24">
        <v>45399.0</v>
      </c>
      <c r="D1775" s="24">
        <v>45369.0</v>
      </c>
      <c r="E1775" s="24">
        <v>45383.0</v>
      </c>
      <c r="F1775" s="6">
        <v>58.0</v>
      </c>
      <c r="G1775" s="9" t="str">
        <f>VLOOKUP(operations[productID],products[],2,FALSE)</f>
        <v>Escargots de Bourgogne</v>
      </c>
      <c r="H1775" s="9" t="str">
        <f>IF(VLOOKUP(operations[productID],products[],7,FALSE)=1,"Discontinued","Current")</f>
        <v>Current</v>
      </c>
      <c r="I1775" s="6">
        <f>VLOOKUP(operations[productID],products[],4,FALSE)</f>
        <v>62</v>
      </c>
      <c r="J1775" s="6">
        <f>VLOOKUP(operations[productID],products[],5,FALSE)</f>
        <v>0</v>
      </c>
      <c r="K1775" s="6">
        <f>VLOOKUP(operations[productID],products[],6,FALSE)</f>
        <v>20</v>
      </c>
      <c r="L1775" s="10">
        <f t="array" ref="L1775">INDEX('1 orders'!I1775:I2156, MATCH(1, ('1 orders'!A1775:A2156=A1775)*('1 orders'!G1775:G2156=F1775), 0))
</f>
        <v>30</v>
      </c>
      <c r="M1775" s="10">
        <f>IFERROR(__xludf.DUMMYFUNCTION("COUNTUNIQUEIFS($A$2:$A1775,$F$2:$F1775,F1775)"),17.0)</f>
        <v>17</v>
      </c>
      <c r="N1775" s="10">
        <f t="shared" si="1"/>
        <v>9</v>
      </c>
      <c r="O1775" s="26">
        <f>IF(operations[sinceLastOrder]=0,0,operations[orderQuantity] / operations[sinceLastOrder])</f>
        <v>3.333333333</v>
      </c>
      <c r="P1775" s="9">
        <v>15.55</v>
      </c>
      <c r="Q1775" s="7" t="s">
        <v>13</v>
      </c>
      <c r="R1775" s="10">
        <f>operations[arrivedDate]-operations[shippedDate]</f>
        <v>14</v>
      </c>
    </row>
    <row r="1776" ht="15.75" customHeight="1">
      <c r="A1776" s="6">
        <v>10931.0</v>
      </c>
      <c r="B1776" s="24">
        <v>45357.0</v>
      </c>
      <c r="C1776" s="24">
        <v>45371.0</v>
      </c>
      <c r="D1776" s="24">
        <v>45370.0</v>
      </c>
      <c r="E1776" s="24">
        <v>45382.0</v>
      </c>
      <c r="F1776" s="6">
        <v>13.0</v>
      </c>
      <c r="G1776" s="9" t="str">
        <f>VLOOKUP(operations[productID],products[],2,FALSE)</f>
        <v>Konbu</v>
      </c>
      <c r="H1776" s="9" t="str">
        <f>IF(VLOOKUP(operations[productID],products[],7,FALSE)=1,"Discontinued","Current")</f>
        <v>Current</v>
      </c>
      <c r="I1776" s="6">
        <f>VLOOKUP(operations[productID],products[],4,FALSE)</f>
        <v>24</v>
      </c>
      <c r="J1776" s="6">
        <f>VLOOKUP(operations[productID],products[],5,FALSE)</f>
        <v>0</v>
      </c>
      <c r="K1776" s="6">
        <f>VLOOKUP(operations[productID],products[],6,FALSE)</f>
        <v>5</v>
      </c>
      <c r="L1776" s="10">
        <f t="array" ref="L1776">INDEX('1 orders'!I1776:I2156, MATCH(1, ('1 orders'!A1776:A2156=A1776)*('1 orders'!G1776:G2156=F1776), 0))
</f>
        <v>42</v>
      </c>
      <c r="M1776" s="10">
        <f>IFERROR(__xludf.DUMMYFUNCTION("COUNTUNIQUEIFS($A$2:$A1776,$F$2:$F1776,F1776)"),27.0)</f>
        <v>27</v>
      </c>
      <c r="N1776" s="10">
        <f t="shared" si="1"/>
        <v>2</v>
      </c>
      <c r="O1776" s="26">
        <f>IF(operations[sinceLastOrder]=0,0,operations[orderQuantity] / operations[sinceLastOrder])</f>
        <v>21</v>
      </c>
      <c r="P1776" s="9">
        <v>13.6</v>
      </c>
      <c r="Q1776" s="7" t="s">
        <v>17</v>
      </c>
      <c r="R1776" s="10">
        <f>operations[arrivedDate]-operations[shippedDate]</f>
        <v>12</v>
      </c>
    </row>
    <row r="1777" ht="15.75" customHeight="1">
      <c r="A1777" s="6">
        <v>10931.0</v>
      </c>
      <c r="B1777" s="24">
        <v>45357.0</v>
      </c>
      <c r="C1777" s="24">
        <v>45371.0</v>
      </c>
      <c r="D1777" s="24">
        <v>45370.0</v>
      </c>
      <c r="E1777" s="24">
        <v>45382.0</v>
      </c>
      <c r="F1777" s="6">
        <v>57.0</v>
      </c>
      <c r="G1777" s="9" t="str">
        <f>VLOOKUP(operations[productID],products[],2,FALSE)</f>
        <v>Ravioli Angelo</v>
      </c>
      <c r="H1777" s="9" t="str">
        <f>IF(VLOOKUP(operations[productID],products[],7,FALSE)=1,"Discontinued","Current")</f>
        <v>Current</v>
      </c>
      <c r="I1777" s="6">
        <f>VLOOKUP(operations[productID],products[],4,FALSE)</f>
        <v>36</v>
      </c>
      <c r="J1777" s="6">
        <f>VLOOKUP(operations[productID],products[],5,FALSE)</f>
        <v>0</v>
      </c>
      <c r="K1777" s="6">
        <f>VLOOKUP(operations[productID],products[],6,FALSE)</f>
        <v>20</v>
      </c>
      <c r="L1777" s="10">
        <f t="array" ref="L1777">INDEX('1 orders'!I1777:I2156, MATCH(1, ('1 orders'!A1777:A2156=A1777)*('1 orders'!G1777:G2156=F1777), 0))
</f>
        <v>30</v>
      </c>
      <c r="M1777" s="10">
        <f>IFERROR(__xludf.DUMMYFUNCTION("COUNTUNIQUEIFS($A$2:$A1777,$F$2:$F1777,F1777)"),20.0)</f>
        <v>20</v>
      </c>
      <c r="N1777" s="10">
        <f t="shared" si="1"/>
        <v>8</v>
      </c>
      <c r="O1777" s="26">
        <f>IF(operations[sinceLastOrder]=0,0,operations[orderQuantity] / operations[sinceLastOrder])</f>
        <v>3.75</v>
      </c>
      <c r="P1777" s="9">
        <v>13.6</v>
      </c>
      <c r="Q1777" s="7" t="s">
        <v>17</v>
      </c>
      <c r="R1777" s="10">
        <f>operations[arrivedDate]-operations[shippedDate]</f>
        <v>12</v>
      </c>
    </row>
    <row r="1778" ht="15.75" customHeight="1">
      <c r="A1778" s="6">
        <v>10932.0</v>
      </c>
      <c r="B1778" s="24">
        <v>45357.0</v>
      </c>
      <c r="C1778" s="24">
        <v>45385.0</v>
      </c>
      <c r="D1778" s="24">
        <v>45375.0</v>
      </c>
      <c r="E1778" s="24">
        <v>45382.0</v>
      </c>
      <c r="F1778" s="6">
        <v>16.0</v>
      </c>
      <c r="G1778" s="9" t="str">
        <f>VLOOKUP(operations[productID],products[],2,FALSE)</f>
        <v>Pavlova</v>
      </c>
      <c r="H1778" s="9" t="str">
        <f>IF(VLOOKUP(operations[productID],products[],7,FALSE)=1,"Discontinued","Current")</f>
        <v>Current</v>
      </c>
      <c r="I1778" s="6">
        <f>VLOOKUP(operations[productID],products[],4,FALSE)</f>
        <v>29</v>
      </c>
      <c r="J1778" s="6">
        <f>VLOOKUP(operations[productID],products[],5,FALSE)</f>
        <v>0</v>
      </c>
      <c r="K1778" s="6">
        <f>VLOOKUP(operations[productID],products[],6,FALSE)</f>
        <v>10</v>
      </c>
      <c r="L1778" s="10">
        <f t="array" ref="L1778">INDEX('1 orders'!I1778:I2156, MATCH(1, ('1 orders'!A1778:A2156=A1778)*('1 orders'!G1778:G2156=F1778), 0))
</f>
        <v>30</v>
      </c>
      <c r="M1778" s="10">
        <f>IFERROR(__xludf.DUMMYFUNCTION("COUNTUNIQUEIFS($A$2:$A1778,$F$2:$F1778,F1778)"),36.0)</f>
        <v>36</v>
      </c>
      <c r="N1778" s="10">
        <f t="shared" si="1"/>
        <v>4</v>
      </c>
      <c r="O1778" s="26">
        <f>IF(operations[sinceLastOrder]=0,0,operations[orderQuantity] / operations[sinceLastOrder])</f>
        <v>7.5</v>
      </c>
      <c r="P1778" s="9">
        <v>134.64</v>
      </c>
      <c r="Q1778" s="7" t="s">
        <v>15</v>
      </c>
      <c r="R1778" s="10">
        <f>operations[arrivedDate]-operations[shippedDate]</f>
        <v>7</v>
      </c>
    </row>
    <row r="1779" ht="15.75" customHeight="1">
      <c r="A1779" s="6">
        <v>10932.0</v>
      </c>
      <c r="B1779" s="24">
        <v>45357.0</v>
      </c>
      <c r="C1779" s="24">
        <v>45385.0</v>
      </c>
      <c r="D1779" s="24">
        <v>45375.0</v>
      </c>
      <c r="E1779" s="24">
        <v>45382.0</v>
      </c>
      <c r="F1779" s="6">
        <v>62.0</v>
      </c>
      <c r="G1779" s="9" t="str">
        <f>VLOOKUP(operations[productID],products[],2,FALSE)</f>
        <v>Tarte au sucre</v>
      </c>
      <c r="H1779" s="9" t="str">
        <f>IF(VLOOKUP(operations[productID],products[],7,FALSE)=1,"Discontinued","Current")</f>
        <v>Current</v>
      </c>
      <c r="I1779" s="6">
        <f>VLOOKUP(operations[productID],products[],4,FALSE)</f>
        <v>17</v>
      </c>
      <c r="J1779" s="6">
        <f>VLOOKUP(operations[productID],products[],5,FALSE)</f>
        <v>0</v>
      </c>
      <c r="K1779" s="6">
        <f>VLOOKUP(operations[productID],products[],6,FALSE)</f>
        <v>0</v>
      </c>
      <c r="L1779" s="10">
        <f t="array" ref="L1779">INDEX('1 orders'!I1779:I2156, MATCH(1, ('1 orders'!A1779:A2156=A1779)*('1 orders'!G1779:G2156=F1779), 0))
</f>
        <v>14</v>
      </c>
      <c r="M1779" s="10">
        <f>IFERROR(__xludf.DUMMYFUNCTION("COUNTUNIQUEIFS($A$2:$A1779,$F$2:$F1779,F1779)"),42.0)</f>
        <v>42</v>
      </c>
      <c r="N1779" s="10">
        <f t="shared" si="1"/>
        <v>11</v>
      </c>
      <c r="O1779" s="26">
        <f>IF(operations[sinceLastOrder]=0,0,operations[orderQuantity] / operations[sinceLastOrder])</f>
        <v>1.272727273</v>
      </c>
      <c r="P1779" s="9">
        <v>134.64</v>
      </c>
      <c r="Q1779" s="7" t="s">
        <v>15</v>
      </c>
      <c r="R1779" s="10">
        <f>operations[arrivedDate]-operations[shippedDate]</f>
        <v>7</v>
      </c>
    </row>
    <row r="1780" ht="15.75" customHeight="1">
      <c r="A1780" s="6">
        <v>10932.0</v>
      </c>
      <c r="B1780" s="24">
        <v>45357.0</v>
      </c>
      <c r="C1780" s="24">
        <v>45385.0</v>
      </c>
      <c r="D1780" s="24">
        <v>45375.0</v>
      </c>
      <c r="E1780" s="24">
        <v>45382.0</v>
      </c>
      <c r="F1780" s="6">
        <v>72.0</v>
      </c>
      <c r="G1780" s="9" t="str">
        <f>VLOOKUP(operations[productID],products[],2,FALSE)</f>
        <v>Mozzarella di Giovanni</v>
      </c>
      <c r="H1780" s="9" t="str">
        <f>IF(VLOOKUP(operations[productID],products[],7,FALSE)=1,"Discontinued","Current")</f>
        <v>Current</v>
      </c>
      <c r="I1780" s="6">
        <f>VLOOKUP(operations[productID],products[],4,FALSE)</f>
        <v>14</v>
      </c>
      <c r="J1780" s="6">
        <f>VLOOKUP(operations[productID],products[],5,FALSE)</f>
        <v>0</v>
      </c>
      <c r="K1780" s="6">
        <f>VLOOKUP(operations[productID],products[],6,FALSE)</f>
        <v>0</v>
      </c>
      <c r="L1780" s="10">
        <f t="array" ref="L1780">INDEX('1 orders'!I1780:I2156, MATCH(1, ('1 orders'!A1780:A2156=A1780)*('1 orders'!G1780:G2156=F1780), 0))
</f>
        <v>16</v>
      </c>
      <c r="M1780" s="10">
        <f>IFERROR(__xludf.DUMMYFUNCTION("COUNTUNIQUEIFS($A$2:$A1780,$F$2:$F1780,F1780)"),33.0)</f>
        <v>33</v>
      </c>
      <c r="N1780" s="10">
        <f t="shared" si="1"/>
        <v>2</v>
      </c>
      <c r="O1780" s="26">
        <f>IF(operations[sinceLastOrder]=0,0,operations[orderQuantity] / operations[sinceLastOrder])</f>
        <v>8</v>
      </c>
      <c r="P1780" s="9">
        <v>134.64</v>
      </c>
      <c r="Q1780" s="7" t="s">
        <v>15</v>
      </c>
      <c r="R1780" s="10">
        <f>operations[arrivedDate]-operations[shippedDate]</f>
        <v>7</v>
      </c>
    </row>
    <row r="1781" ht="15.75" customHeight="1">
      <c r="A1781" s="6">
        <v>10932.0</v>
      </c>
      <c r="B1781" s="24">
        <v>45357.0</v>
      </c>
      <c r="C1781" s="24">
        <v>45385.0</v>
      </c>
      <c r="D1781" s="24">
        <v>45375.0</v>
      </c>
      <c r="E1781" s="24">
        <v>45382.0</v>
      </c>
      <c r="F1781" s="6">
        <v>75.0</v>
      </c>
      <c r="G1781" s="9" t="str">
        <f>VLOOKUP(operations[productID],products[],2,FALSE)</f>
        <v>Rhönbräu Klosterbier</v>
      </c>
      <c r="H1781" s="9" t="str">
        <f>IF(VLOOKUP(operations[productID],products[],7,FALSE)=1,"Discontinued","Current")</f>
        <v>Current</v>
      </c>
      <c r="I1781" s="6">
        <f>VLOOKUP(operations[productID],products[],4,FALSE)</f>
        <v>125</v>
      </c>
      <c r="J1781" s="6">
        <f>VLOOKUP(operations[productID],products[],5,FALSE)</f>
        <v>0</v>
      </c>
      <c r="K1781" s="6">
        <f>VLOOKUP(operations[productID],products[],6,FALSE)</f>
        <v>25</v>
      </c>
      <c r="L1781" s="10">
        <f t="array" ref="L1781">INDEX('1 orders'!I1781:I2156, MATCH(1, ('1 orders'!A1781:A2156=A1781)*('1 orders'!G1781:G2156=F1781), 0))
</f>
        <v>20</v>
      </c>
      <c r="M1781" s="10">
        <f>IFERROR(__xludf.DUMMYFUNCTION("COUNTUNIQUEIFS($A$2:$A1781,$F$2:$F1781,F1781)"),38.0)</f>
        <v>38</v>
      </c>
      <c r="N1781" s="10">
        <f t="shared" si="1"/>
        <v>1</v>
      </c>
      <c r="O1781" s="26">
        <f>IF(operations[sinceLastOrder]=0,0,operations[orderQuantity] / operations[sinceLastOrder])</f>
        <v>20</v>
      </c>
      <c r="P1781" s="9">
        <v>134.64</v>
      </c>
      <c r="Q1781" s="7" t="s">
        <v>15</v>
      </c>
      <c r="R1781" s="10">
        <f>operations[arrivedDate]-operations[shippedDate]</f>
        <v>7</v>
      </c>
    </row>
    <row r="1782" ht="15.75" customHeight="1">
      <c r="A1782" s="6">
        <v>10933.0</v>
      </c>
      <c r="B1782" s="24">
        <v>45357.0</v>
      </c>
      <c r="C1782" s="24">
        <v>45385.0</v>
      </c>
      <c r="D1782" s="24">
        <v>45367.0</v>
      </c>
      <c r="E1782" s="24">
        <v>45375.0</v>
      </c>
      <c r="F1782" s="6">
        <v>53.0</v>
      </c>
      <c r="G1782" s="9" t="str">
        <f>VLOOKUP(operations[productID],products[],2,FALSE)</f>
        <v>Perth Pasties</v>
      </c>
      <c r="H1782" s="9" t="str">
        <f>IF(VLOOKUP(operations[productID],products[],7,FALSE)=1,"Discontinued","Current")</f>
        <v>Discontinued</v>
      </c>
      <c r="I1782" s="6">
        <f>VLOOKUP(operations[productID],products[],4,FALSE)</f>
        <v>0</v>
      </c>
      <c r="J1782" s="6">
        <f>VLOOKUP(operations[productID],products[],5,FALSE)</f>
        <v>0</v>
      </c>
      <c r="K1782" s="6">
        <f>VLOOKUP(operations[productID],products[],6,FALSE)</f>
        <v>0</v>
      </c>
      <c r="L1782" s="10">
        <f t="array" ref="L1782">INDEX('1 orders'!I1782:I2156, MATCH(1, ('1 orders'!A1782:A2156=A1782)*('1 orders'!G1782:G2156=F1782), 0))
</f>
        <v>2</v>
      </c>
      <c r="M1782" s="10">
        <f>IFERROR(__xludf.DUMMYFUNCTION("COUNTUNIQUEIFS($A$2:$A1782,$F$2:$F1782,F1782)"),26.0)</f>
        <v>26</v>
      </c>
      <c r="N1782" s="10">
        <f t="shared" si="1"/>
        <v>32</v>
      </c>
      <c r="O1782" s="26">
        <f>IF(operations[sinceLastOrder]=0,0,operations[orderQuantity] / operations[sinceLastOrder])</f>
        <v>0.0625</v>
      </c>
      <c r="P1782" s="9">
        <v>54.15</v>
      </c>
      <c r="Q1782" s="7" t="s">
        <v>13</v>
      </c>
      <c r="R1782" s="10">
        <f>operations[arrivedDate]-operations[shippedDate]</f>
        <v>8</v>
      </c>
    </row>
    <row r="1783" ht="15.75" customHeight="1">
      <c r="A1783" s="6">
        <v>10933.0</v>
      </c>
      <c r="B1783" s="24">
        <v>45357.0</v>
      </c>
      <c r="C1783" s="24">
        <v>45385.0</v>
      </c>
      <c r="D1783" s="24">
        <v>45367.0</v>
      </c>
      <c r="E1783" s="24">
        <v>45375.0</v>
      </c>
      <c r="F1783" s="6">
        <v>61.0</v>
      </c>
      <c r="G1783" s="9" t="str">
        <f>VLOOKUP(operations[productID],products[],2,FALSE)</f>
        <v>Sirop d'érable</v>
      </c>
      <c r="H1783" s="9" t="str">
        <f>IF(VLOOKUP(operations[productID],products[],7,FALSE)=1,"Discontinued","Current")</f>
        <v>Current</v>
      </c>
      <c r="I1783" s="6">
        <f>VLOOKUP(operations[productID],products[],4,FALSE)</f>
        <v>113</v>
      </c>
      <c r="J1783" s="6">
        <f>VLOOKUP(operations[productID],products[],5,FALSE)</f>
        <v>0</v>
      </c>
      <c r="K1783" s="6">
        <f>VLOOKUP(operations[productID],products[],6,FALSE)</f>
        <v>25</v>
      </c>
      <c r="L1783" s="10">
        <f t="array" ref="L1783">INDEX('1 orders'!I1783:I2156, MATCH(1, ('1 orders'!A1783:A2156=A1783)*('1 orders'!G1783:G2156=F1783), 0))
</f>
        <v>30</v>
      </c>
      <c r="M1783" s="10">
        <f>IFERROR(__xludf.DUMMYFUNCTION("COUNTUNIQUEIFS($A$2:$A1783,$F$2:$F1783,F1783)"),18.0)</f>
        <v>18</v>
      </c>
      <c r="N1783" s="10">
        <f t="shared" si="1"/>
        <v>9</v>
      </c>
      <c r="O1783" s="26">
        <f>IF(operations[sinceLastOrder]=0,0,operations[orderQuantity] / operations[sinceLastOrder])</f>
        <v>3.333333333</v>
      </c>
      <c r="P1783" s="9">
        <v>54.15</v>
      </c>
      <c r="Q1783" s="7" t="s">
        <v>13</v>
      </c>
      <c r="R1783" s="10">
        <f>operations[arrivedDate]-operations[shippedDate]</f>
        <v>8</v>
      </c>
    </row>
    <row r="1784" ht="15.75" customHeight="1">
      <c r="A1784" s="6">
        <v>10934.0</v>
      </c>
      <c r="B1784" s="24">
        <v>45360.0</v>
      </c>
      <c r="C1784" s="24">
        <v>45388.0</v>
      </c>
      <c r="D1784" s="24">
        <v>45363.0</v>
      </c>
      <c r="E1784" s="24">
        <v>45366.0</v>
      </c>
      <c r="F1784" s="6">
        <v>6.0</v>
      </c>
      <c r="G1784" s="9" t="str">
        <f>VLOOKUP(operations[productID],products[],2,FALSE)</f>
        <v>Grandma's Boysenberry Spread</v>
      </c>
      <c r="H1784" s="9" t="str">
        <f>IF(VLOOKUP(operations[productID],products[],7,FALSE)=1,"Discontinued","Current")</f>
        <v>Current</v>
      </c>
      <c r="I1784" s="6">
        <f>VLOOKUP(operations[productID],products[],4,FALSE)</f>
        <v>120</v>
      </c>
      <c r="J1784" s="6">
        <f>VLOOKUP(operations[productID],products[],5,FALSE)</f>
        <v>0</v>
      </c>
      <c r="K1784" s="6">
        <f>VLOOKUP(operations[productID],products[],6,FALSE)</f>
        <v>25</v>
      </c>
      <c r="L1784" s="10">
        <f t="array" ref="L1784">INDEX('1 orders'!I1784:I2156, MATCH(1, ('1 orders'!A1784:A2156=A1784)*('1 orders'!G1784:G2156=F1784), 0))
</f>
        <v>20</v>
      </c>
      <c r="M1784" s="10">
        <f>IFERROR(__xludf.DUMMYFUNCTION("COUNTUNIQUEIFS($A$2:$A1784,$F$2:$F1784,F1784)"),7.0)</f>
        <v>7</v>
      </c>
      <c r="N1784" s="10">
        <f t="shared" si="1"/>
        <v>33</v>
      </c>
      <c r="O1784" s="26">
        <f>IF(operations[sinceLastOrder]=0,0,operations[orderQuantity] / operations[sinceLastOrder])</f>
        <v>0.6060606061</v>
      </c>
      <c r="P1784" s="9">
        <v>32.01</v>
      </c>
      <c r="Q1784" s="7" t="s">
        <v>13</v>
      </c>
      <c r="R1784" s="10">
        <f>operations[arrivedDate]-operations[shippedDate]</f>
        <v>3</v>
      </c>
    </row>
    <row r="1785" ht="15.75" customHeight="1">
      <c r="A1785" s="6">
        <v>10935.0</v>
      </c>
      <c r="B1785" s="24">
        <v>45360.0</v>
      </c>
      <c r="C1785" s="24">
        <v>45388.0</v>
      </c>
      <c r="D1785" s="24">
        <v>45369.0</v>
      </c>
      <c r="E1785" s="24">
        <v>45387.0</v>
      </c>
      <c r="F1785" s="6">
        <v>1.0</v>
      </c>
      <c r="G1785" s="9" t="str">
        <f>VLOOKUP(operations[productID],products[],2,FALSE)</f>
        <v>Chai</v>
      </c>
      <c r="H1785" s="9" t="str">
        <f>IF(VLOOKUP(operations[productID],products[],7,FALSE)=1,"Discontinued","Current")</f>
        <v>Current</v>
      </c>
      <c r="I1785" s="6">
        <f>VLOOKUP(operations[productID],products[],4,FALSE)</f>
        <v>39</v>
      </c>
      <c r="J1785" s="6">
        <f>VLOOKUP(operations[productID],products[],5,FALSE)</f>
        <v>0</v>
      </c>
      <c r="K1785" s="6">
        <f>VLOOKUP(operations[productID],products[],6,FALSE)</f>
        <v>10</v>
      </c>
      <c r="L1785" s="10">
        <f t="array" ref="L1785">INDEX('1 orders'!I1785:I2156, MATCH(1, ('1 orders'!A1785:A2156=A1785)*('1 orders'!G1785:G2156=F1785), 0))
</f>
        <v>21</v>
      </c>
      <c r="M1785" s="10">
        <f>IFERROR(__xludf.DUMMYFUNCTION("COUNTUNIQUEIFS($A$2:$A1785,$F$2:$F1785,F1785)"),30.0)</f>
        <v>30</v>
      </c>
      <c r="N1785" s="10">
        <f t="shared" si="1"/>
        <v>7</v>
      </c>
      <c r="O1785" s="26">
        <f>IF(operations[sinceLastOrder]=0,0,operations[orderQuantity] / operations[sinceLastOrder])</f>
        <v>3</v>
      </c>
      <c r="P1785" s="9">
        <v>47.59</v>
      </c>
      <c r="Q1785" s="7" t="s">
        <v>13</v>
      </c>
      <c r="R1785" s="10">
        <f>operations[arrivedDate]-operations[shippedDate]</f>
        <v>18</v>
      </c>
    </row>
    <row r="1786" ht="15.75" customHeight="1">
      <c r="A1786" s="6">
        <v>10935.0</v>
      </c>
      <c r="B1786" s="24">
        <v>45360.0</v>
      </c>
      <c r="C1786" s="24">
        <v>45388.0</v>
      </c>
      <c r="D1786" s="24">
        <v>45369.0</v>
      </c>
      <c r="E1786" s="24">
        <v>45387.0</v>
      </c>
      <c r="F1786" s="6">
        <v>18.0</v>
      </c>
      <c r="G1786" s="9" t="str">
        <f>VLOOKUP(operations[productID],products[],2,FALSE)</f>
        <v>Carnarvon Tigers</v>
      </c>
      <c r="H1786" s="9" t="str">
        <f>IF(VLOOKUP(operations[productID],products[],7,FALSE)=1,"Discontinued","Current")</f>
        <v>Current</v>
      </c>
      <c r="I1786" s="6">
        <f>VLOOKUP(operations[productID],products[],4,FALSE)</f>
        <v>42</v>
      </c>
      <c r="J1786" s="6">
        <f>VLOOKUP(operations[productID],products[],5,FALSE)</f>
        <v>0</v>
      </c>
      <c r="K1786" s="6">
        <f>VLOOKUP(operations[productID],products[],6,FALSE)</f>
        <v>0</v>
      </c>
      <c r="L1786" s="10">
        <f t="array" ref="L1786">INDEX('1 orders'!I1786:I2156, MATCH(1, ('1 orders'!A1786:A2156=A1786)*('1 orders'!G1786:G2156=F1786), 0))
</f>
        <v>4</v>
      </c>
      <c r="M1786" s="10">
        <f>IFERROR(__xludf.DUMMYFUNCTION("COUNTUNIQUEIFS($A$2:$A1786,$F$2:$F1786,F1786)"),22.0)</f>
        <v>22</v>
      </c>
      <c r="N1786" s="10">
        <f t="shared" si="1"/>
        <v>29</v>
      </c>
      <c r="O1786" s="26">
        <f>IF(operations[sinceLastOrder]=0,0,operations[orderQuantity] / operations[sinceLastOrder])</f>
        <v>0.1379310345</v>
      </c>
      <c r="P1786" s="9">
        <v>47.59</v>
      </c>
      <c r="Q1786" s="7" t="s">
        <v>13</v>
      </c>
      <c r="R1786" s="10">
        <f>operations[arrivedDate]-operations[shippedDate]</f>
        <v>18</v>
      </c>
    </row>
    <row r="1787" ht="15.75" customHeight="1">
      <c r="A1787" s="6">
        <v>10935.0</v>
      </c>
      <c r="B1787" s="24">
        <v>45360.0</v>
      </c>
      <c r="C1787" s="24">
        <v>45388.0</v>
      </c>
      <c r="D1787" s="24">
        <v>45369.0</v>
      </c>
      <c r="E1787" s="24">
        <v>45387.0</v>
      </c>
      <c r="F1787" s="6">
        <v>23.0</v>
      </c>
      <c r="G1787" s="9" t="str">
        <f>VLOOKUP(operations[productID],products[],2,FALSE)</f>
        <v>Tunnbröd</v>
      </c>
      <c r="H1787" s="9" t="str">
        <f>IF(VLOOKUP(operations[productID],products[],7,FALSE)=1,"Discontinued","Current")</f>
        <v>Current</v>
      </c>
      <c r="I1787" s="6">
        <f>VLOOKUP(operations[productID],products[],4,FALSE)</f>
        <v>61</v>
      </c>
      <c r="J1787" s="6">
        <f>VLOOKUP(operations[productID],products[],5,FALSE)</f>
        <v>0</v>
      </c>
      <c r="K1787" s="6">
        <f>VLOOKUP(operations[productID],products[],6,FALSE)</f>
        <v>25</v>
      </c>
      <c r="L1787" s="10">
        <f t="array" ref="L1787">INDEX('1 orders'!I1787:I2156, MATCH(1, ('1 orders'!A1787:A2156=A1787)*('1 orders'!G1787:G2156=F1787), 0))
</f>
        <v>8</v>
      </c>
      <c r="M1787" s="10">
        <f>IFERROR(__xludf.DUMMYFUNCTION("COUNTUNIQUEIFS($A$2:$A1787,$F$2:$F1787,F1787)"),18.0)</f>
        <v>18</v>
      </c>
      <c r="N1787" s="10">
        <f t="shared" si="1"/>
        <v>28</v>
      </c>
      <c r="O1787" s="26">
        <f>IF(operations[sinceLastOrder]=0,0,operations[orderQuantity] / operations[sinceLastOrder])</f>
        <v>0.2857142857</v>
      </c>
      <c r="P1787" s="9">
        <v>47.59</v>
      </c>
      <c r="Q1787" s="7" t="s">
        <v>13</v>
      </c>
      <c r="R1787" s="10">
        <f>operations[arrivedDate]-operations[shippedDate]</f>
        <v>18</v>
      </c>
    </row>
    <row r="1788" ht="15.75" customHeight="1">
      <c r="A1788" s="6">
        <v>10936.0</v>
      </c>
      <c r="B1788" s="24">
        <v>45360.0</v>
      </c>
      <c r="C1788" s="24">
        <v>45388.0</v>
      </c>
      <c r="D1788" s="24">
        <v>45369.0</v>
      </c>
      <c r="E1788" s="24">
        <v>45387.0</v>
      </c>
      <c r="F1788" s="6">
        <v>36.0</v>
      </c>
      <c r="G1788" s="9" t="str">
        <f>VLOOKUP(operations[productID],products[],2,FALSE)</f>
        <v>Inlagd Sill</v>
      </c>
      <c r="H1788" s="9" t="str">
        <f>IF(VLOOKUP(operations[productID],products[],7,FALSE)=1,"Discontinued","Current")</f>
        <v>Current</v>
      </c>
      <c r="I1788" s="6">
        <f>VLOOKUP(operations[productID],products[],4,FALSE)</f>
        <v>112</v>
      </c>
      <c r="J1788" s="6">
        <f>VLOOKUP(operations[productID],products[],5,FALSE)</f>
        <v>0</v>
      </c>
      <c r="K1788" s="6">
        <f>VLOOKUP(operations[productID],products[],6,FALSE)</f>
        <v>20</v>
      </c>
      <c r="L1788" s="10">
        <f t="array" ref="L1788">INDEX('1 orders'!I1788:I2156, MATCH(1, ('1 orders'!A1788:A2156=A1788)*('1 orders'!G1788:G2156=F1788), 0))
</f>
        <v>30</v>
      </c>
      <c r="M1788" s="10">
        <f>IFERROR(__xludf.DUMMYFUNCTION("COUNTUNIQUEIFS($A$2:$A1788,$F$2:$F1788,F1788)"),27.0)</f>
        <v>27</v>
      </c>
      <c r="N1788" s="10">
        <f t="shared" si="1"/>
        <v>5</v>
      </c>
      <c r="O1788" s="26">
        <f>IF(operations[sinceLastOrder]=0,0,operations[orderQuantity] / operations[sinceLastOrder])</f>
        <v>6</v>
      </c>
      <c r="P1788" s="9">
        <v>33.68</v>
      </c>
      <c r="Q1788" s="7" t="s">
        <v>17</v>
      </c>
      <c r="R1788" s="10">
        <f>operations[arrivedDate]-operations[shippedDate]</f>
        <v>18</v>
      </c>
    </row>
    <row r="1789" ht="15.75" customHeight="1">
      <c r="A1789" s="6">
        <v>10937.0</v>
      </c>
      <c r="B1789" s="24">
        <v>45361.0</v>
      </c>
      <c r="C1789" s="24">
        <v>45375.0</v>
      </c>
      <c r="D1789" s="24">
        <v>45364.0</v>
      </c>
      <c r="E1789" s="24">
        <v>45377.0</v>
      </c>
      <c r="F1789" s="6">
        <v>28.0</v>
      </c>
      <c r="G1789" s="9" t="str">
        <f>VLOOKUP(operations[productID],products[],2,FALSE)</f>
        <v>Rössle Sauerkraut</v>
      </c>
      <c r="H1789" s="9" t="str">
        <f>IF(VLOOKUP(operations[productID],products[],7,FALSE)=1,"Discontinued","Current")</f>
        <v>Discontinued</v>
      </c>
      <c r="I1789" s="6">
        <f>VLOOKUP(operations[productID],products[],4,FALSE)</f>
        <v>26</v>
      </c>
      <c r="J1789" s="6">
        <f>VLOOKUP(operations[productID],products[],5,FALSE)</f>
        <v>0</v>
      </c>
      <c r="K1789" s="6">
        <f>VLOOKUP(operations[productID],products[],6,FALSE)</f>
        <v>0</v>
      </c>
      <c r="L1789" s="10">
        <f t="array" ref="L1789">INDEX('1 orders'!I1789:I2156, MATCH(1, ('1 orders'!A1789:A2156=A1789)*('1 orders'!G1789:G2156=F1789), 0))
</f>
        <v>8</v>
      </c>
      <c r="M1789" s="10">
        <f>IFERROR(__xludf.DUMMYFUNCTION("COUNTUNIQUEIFS($A$2:$A1789,$F$2:$F1789,F1789)"),28.0)</f>
        <v>28</v>
      </c>
      <c r="N1789" s="10">
        <f t="shared" si="1"/>
        <v>6</v>
      </c>
      <c r="O1789" s="26">
        <f>IF(operations[sinceLastOrder]=0,0,operations[orderQuantity] / operations[sinceLastOrder])</f>
        <v>1.333333333</v>
      </c>
      <c r="P1789" s="9">
        <v>31.51</v>
      </c>
      <c r="Q1789" s="7" t="s">
        <v>13</v>
      </c>
      <c r="R1789" s="10">
        <f>operations[arrivedDate]-operations[shippedDate]</f>
        <v>13</v>
      </c>
    </row>
    <row r="1790" ht="15.75" customHeight="1">
      <c r="A1790" s="6">
        <v>10937.0</v>
      </c>
      <c r="B1790" s="24">
        <v>45361.0</v>
      </c>
      <c r="C1790" s="24">
        <v>45375.0</v>
      </c>
      <c r="D1790" s="24">
        <v>45364.0</v>
      </c>
      <c r="E1790" s="24">
        <v>45377.0</v>
      </c>
      <c r="F1790" s="6">
        <v>34.0</v>
      </c>
      <c r="G1790" s="9" t="str">
        <f>VLOOKUP(operations[productID],products[],2,FALSE)</f>
        <v>Sasquatch Ale</v>
      </c>
      <c r="H1790" s="9" t="str">
        <f>IF(VLOOKUP(operations[productID],products[],7,FALSE)=1,"Discontinued","Current")</f>
        <v>Current</v>
      </c>
      <c r="I1790" s="6">
        <f>VLOOKUP(operations[productID],products[],4,FALSE)</f>
        <v>111</v>
      </c>
      <c r="J1790" s="6">
        <f>VLOOKUP(operations[productID],products[],5,FALSE)</f>
        <v>0</v>
      </c>
      <c r="K1790" s="6">
        <f>VLOOKUP(operations[productID],products[],6,FALSE)</f>
        <v>15</v>
      </c>
      <c r="L1790" s="10">
        <f t="array" ref="L1790">INDEX('1 orders'!I1790:I2156, MATCH(1, ('1 orders'!A1790:A2156=A1790)*('1 orders'!G1790:G2156=F1790), 0))
</f>
        <v>20</v>
      </c>
      <c r="M1790" s="10">
        <f>IFERROR(__xludf.DUMMYFUNCTION("COUNTUNIQUEIFS($A$2:$A1790,$F$2:$F1790,F1790)"),15.0)</f>
        <v>15</v>
      </c>
      <c r="N1790" s="10">
        <f t="shared" si="1"/>
        <v>23</v>
      </c>
      <c r="O1790" s="26">
        <f>IF(operations[sinceLastOrder]=0,0,operations[orderQuantity] / operations[sinceLastOrder])</f>
        <v>0.8695652174</v>
      </c>
      <c r="P1790" s="9">
        <v>31.51</v>
      </c>
      <c r="Q1790" s="7" t="s">
        <v>13</v>
      </c>
      <c r="R1790" s="10">
        <f>operations[arrivedDate]-operations[shippedDate]</f>
        <v>13</v>
      </c>
    </row>
    <row r="1791" ht="15.75" customHeight="1">
      <c r="A1791" s="6">
        <v>10938.0</v>
      </c>
      <c r="B1791" s="24">
        <v>45361.0</v>
      </c>
      <c r="C1791" s="24">
        <v>45389.0</v>
      </c>
      <c r="D1791" s="24">
        <v>45367.0</v>
      </c>
      <c r="E1791" s="24">
        <v>45375.0</v>
      </c>
      <c r="F1791" s="6">
        <v>13.0</v>
      </c>
      <c r="G1791" s="9" t="str">
        <f>VLOOKUP(operations[productID],products[],2,FALSE)</f>
        <v>Konbu</v>
      </c>
      <c r="H1791" s="9" t="str">
        <f>IF(VLOOKUP(operations[productID],products[],7,FALSE)=1,"Discontinued","Current")</f>
        <v>Current</v>
      </c>
      <c r="I1791" s="6">
        <f>VLOOKUP(operations[productID],products[],4,FALSE)</f>
        <v>24</v>
      </c>
      <c r="J1791" s="6">
        <f>VLOOKUP(operations[productID],products[],5,FALSE)</f>
        <v>0</v>
      </c>
      <c r="K1791" s="6">
        <f>VLOOKUP(operations[productID],products[],6,FALSE)</f>
        <v>5</v>
      </c>
      <c r="L1791" s="10">
        <f t="array" ref="L1791">INDEX('1 orders'!I1791:I2156, MATCH(1, ('1 orders'!A1791:A2156=A1791)*('1 orders'!G1791:G2156=F1791), 0))
</f>
        <v>20</v>
      </c>
      <c r="M1791" s="10">
        <f>IFERROR(__xludf.DUMMYFUNCTION("COUNTUNIQUEIFS($A$2:$A1791,$F$2:$F1791,F1791)"),28.0)</f>
        <v>28</v>
      </c>
      <c r="N1791" s="10">
        <f t="shared" si="1"/>
        <v>4</v>
      </c>
      <c r="O1791" s="26">
        <f>IF(operations[sinceLastOrder]=0,0,operations[orderQuantity] / operations[sinceLastOrder])</f>
        <v>5</v>
      </c>
      <c r="P1791" s="9">
        <v>31.89</v>
      </c>
      <c r="Q1791" s="7" t="s">
        <v>17</v>
      </c>
      <c r="R1791" s="10">
        <f>operations[arrivedDate]-operations[shippedDate]</f>
        <v>8</v>
      </c>
    </row>
    <row r="1792" ht="15.75" customHeight="1">
      <c r="A1792" s="6">
        <v>10938.0</v>
      </c>
      <c r="B1792" s="24">
        <v>45361.0</v>
      </c>
      <c r="C1792" s="24">
        <v>45389.0</v>
      </c>
      <c r="D1792" s="24">
        <v>45367.0</v>
      </c>
      <c r="E1792" s="24">
        <v>45375.0</v>
      </c>
      <c r="F1792" s="6">
        <v>43.0</v>
      </c>
      <c r="G1792" s="9" t="str">
        <f>VLOOKUP(operations[productID],products[],2,FALSE)</f>
        <v>Ipoh Coffee</v>
      </c>
      <c r="H1792" s="9" t="str">
        <f>IF(VLOOKUP(operations[productID],products[],7,FALSE)=1,"Discontinued","Current")</f>
        <v>Current</v>
      </c>
      <c r="I1792" s="6">
        <f>VLOOKUP(operations[productID],products[],4,FALSE)</f>
        <v>17</v>
      </c>
      <c r="J1792" s="6">
        <f>VLOOKUP(operations[productID],products[],5,FALSE)</f>
        <v>10</v>
      </c>
      <c r="K1792" s="6">
        <f>VLOOKUP(operations[productID],products[],6,FALSE)</f>
        <v>25</v>
      </c>
      <c r="L1792" s="10">
        <f t="array" ref="L1792">INDEX('1 orders'!I1792:I2156, MATCH(1, ('1 orders'!A1792:A2156=A1792)*('1 orders'!G1792:G2156=F1792), 0))
</f>
        <v>24</v>
      </c>
      <c r="M1792" s="10">
        <f>IFERROR(__xludf.DUMMYFUNCTION("COUNTUNIQUEIFS($A$2:$A1792,$F$2:$F1792,F1792)"),23.0)</f>
        <v>23</v>
      </c>
      <c r="N1792" s="10">
        <f t="shared" si="1"/>
        <v>7</v>
      </c>
      <c r="O1792" s="26">
        <f>IF(operations[sinceLastOrder]=0,0,operations[orderQuantity] / operations[sinceLastOrder])</f>
        <v>3.428571429</v>
      </c>
      <c r="P1792" s="9">
        <v>31.89</v>
      </c>
      <c r="Q1792" s="7" t="s">
        <v>17</v>
      </c>
      <c r="R1792" s="10">
        <f>operations[arrivedDate]-operations[shippedDate]</f>
        <v>8</v>
      </c>
    </row>
    <row r="1793" ht="15.75" customHeight="1">
      <c r="A1793" s="6">
        <v>10938.0</v>
      </c>
      <c r="B1793" s="24">
        <v>45361.0</v>
      </c>
      <c r="C1793" s="24">
        <v>45389.0</v>
      </c>
      <c r="D1793" s="24">
        <v>45367.0</v>
      </c>
      <c r="E1793" s="24">
        <v>45375.0</v>
      </c>
      <c r="F1793" s="6">
        <v>60.0</v>
      </c>
      <c r="G1793" s="9" t="str">
        <f>VLOOKUP(operations[productID],products[],2,FALSE)</f>
        <v>Camembert Pierrot</v>
      </c>
      <c r="H1793" s="9" t="str">
        <f>IF(VLOOKUP(operations[productID],products[],7,FALSE)=1,"Discontinued","Current")</f>
        <v>Current</v>
      </c>
      <c r="I1793" s="6">
        <f>VLOOKUP(operations[productID],products[],4,FALSE)</f>
        <v>19</v>
      </c>
      <c r="J1793" s="6">
        <f>VLOOKUP(operations[productID],products[],5,FALSE)</f>
        <v>0</v>
      </c>
      <c r="K1793" s="6">
        <f>VLOOKUP(operations[productID],products[],6,FALSE)</f>
        <v>0</v>
      </c>
      <c r="L1793" s="10">
        <f t="array" ref="L1793">INDEX('1 orders'!I1793:I2156, MATCH(1, ('1 orders'!A1793:A2156=A1793)*('1 orders'!G1793:G2156=F1793), 0))
</f>
        <v>49</v>
      </c>
      <c r="M1793" s="10">
        <f>IFERROR(__xludf.DUMMYFUNCTION("COUNTUNIQUEIFS($A$2:$A1793,$F$2:$F1793,F1793)"),40.0)</f>
        <v>40</v>
      </c>
      <c r="N1793" s="10">
        <f t="shared" si="1"/>
        <v>8</v>
      </c>
      <c r="O1793" s="26">
        <f>IF(operations[sinceLastOrder]=0,0,operations[orderQuantity] / operations[sinceLastOrder])</f>
        <v>6.125</v>
      </c>
      <c r="P1793" s="9">
        <v>31.89</v>
      </c>
      <c r="Q1793" s="7" t="s">
        <v>17</v>
      </c>
      <c r="R1793" s="10">
        <f>operations[arrivedDate]-operations[shippedDate]</f>
        <v>8</v>
      </c>
    </row>
    <row r="1794" ht="15.75" customHeight="1">
      <c r="A1794" s="6">
        <v>10938.0</v>
      </c>
      <c r="B1794" s="24">
        <v>45361.0</v>
      </c>
      <c r="C1794" s="24">
        <v>45389.0</v>
      </c>
      <c r="D1794" s="24">
        <v>45367.0</v>
      </c>
      <c r="E1794" s="24">
        <v>45375.0</v>
      </c>
      <c r="F1794" s="6">
        <v>71.0</v>
      </c>
      <c r="G1794" s="9" t="str">
        <f>VLOOKUP(operations[productID],products[],2,FALSE)</f>
        <v>Flotemysost</v>
      </c>
      <c r="H1794" s="9" t="str">
        <f>IF(VLOOKUP(operations[productID],products[],7,FALSE)=1,"Discontinued","Current")</f>
        <v>Current</v>
      </c>
      <c r="I1794" s="6">
        <f>VLOOKUP(operations[productID],products[],4,FALSE)</f>
        <v>26</v>
      </c>
      <c r="J1794" s="6">
        <f>VLOOKUP(operations[productID],products[],5,FALSE)</f>
        <v>0</v>
      </c>
      <c r="K1794" s="6">
        <f>VLOOKUP(operations[productID],products[],6,FALSE)</f>
        <v>0</v>
      </c>
      <c r="L1794" s="10">
        <f t="array" ref="L1794">INDEX('1 orders'!I1794:I2156, MATCH(1, ('1 orders'!A1794:A2156=A1794)*('1 orders'!G1794:G2156=F1794), 0))
</f>
        <v>35</v>
      </c>
      <c r="M1794" s="10">
        <f>IFERROR(__xludf.DUMMYFUNCTION("COUNTUNIQUEIFS($A$2:$A1794,$F$2:$F1794,F1794)"),36.0)</f>
        <v>36</v>
      </c>
      <c r="N1794" s="10">
        <f t="shared" si="1"/>
        <v>12</v>
      </c>
      <c r="O1794" s="26">
        <f>IF(operations[sinceLastOrder]=0,0,operations[orderQuantity] / operations[sinceLastOrder])</f>
        <v>2.916666667</v>
      </c>
      <c r="P1794" s="9">
        <v>31.89</v>
      </c>
      <c r="Q1794" s="7" t="s">
        <v>17</v>
      </c>
      <c r="R1794" s="10">
        <f>operations[arrivedDate]-operations[shippedDate]</f>
        <v>8</v>
      </c>
    </row>
    <row r="1795" ht="15.75" customHeight="1">
      <c r="A1795" s="6">
        <v>10939.0</v>
      </c>
      <c r="B1795" s="24">
        <v>45361.0</v>
      </c>
      <c r="C1795" s="24">
        <v>45389.0</v>
      </c>
      <c r="D1795" s="24">
        <v>45364.0</v>
      </c>
      <c r="E1795" s="24">
        <v>45374.0</v>
      </c>
      <c r="F1795" s="6">
        <v>2.0</v>
      </c>
      <c r="G1795" s="9" t="str">
        <f>VLOOKUP(operations[productID],products[],2,FALSE)</f>
        <v>Chang</v>
      </c>
      <c r="H1795" s="9" t="str">
        <f>IF(VLOOKUP(operations[productID],products[],7,FALSE)=1,"Discontinued","Current")</f>
        <v>Current</v>
      </c>
      <c r="I1795" s="6">
        <f>VLOOKUP(operations[productID],products[],4,FALSE)</f>
        <v>17</v>
      </c>
      <c r="J1795" s="6">
        <f>VLOOKUP(operations[productID],products[],5,FALSE)</f>
        <v>40</v>
      </c>
      <c r="K1795" s="6">
        <f>VLOOKUP(operations[productID],products[],6,FALSE)</f>
        <v>25</v>
      </c>
      <c r="L1795" s="10">
        <f t="array" ref="L1795">INDEX('1 orders'!I1795:I2156, MATCH(1, ('1 orders'!A1795:A2156=A1795)*('1 orders'!G1795:G2156=F1795), 0))
</f>
        <v>10</v>
      </c>
      <c r="M1795" s="10">
        <f>IFERROR(__xludf.DUMMYFUNCTION("COUNTUNIQUEIFS($A$2:$A1795,$F$2:$F1795,F1795)"),35.0)</f>
        <v>35</v>
      </c>
      <c r="N1795" s="10">
        <f t="shared" si="1"/>
        <v>23</v>
      </c>
      <c r="O1795" s="26">
        <f>IF(operations[sinceLastOrder]=0,0,operations[orderQuantity] / operations[sinceLastOrder])</f>
        <v>0.4347826087</v>
      </c>
      <c r="P1795" s="9">
        <v>76.33</v>
      </c>
      <c r="Q1795" s="7" t="s">
        <v>17</v>
      </c>
      <c r="R1795" s="10">
        <f>operations[arrivedDate]-operations[shippedDate]</f>
        <v>10</v>
      </c>
    </row>
    <row r="1796" ht="15.75" customHeight="1">
      <c r="A1796" s="6">
        <v>10939.0</v>
      </c>
      <c r="B1796" s="24">
        <v>45361.0</v>
      </c>
      <c r="C1796" s="24">
        <v>45389.0</v>
      </c>
      <c r="D1796" s="24">
        <v>45364.0</v>
      </c>
      <c r="E1796" s="24">
        <v>45374.0</v>
      </c>
      <c r="F1796" s="6">
        <v>67.0</v>
      </c>
      <c r="G1796" s="9" t="str">
        <f>VLOOKUP(operations[productID],products[],2,FALSE)</f>
        <v>Laughing Lumberjack Lager</v>
      </c>
      <c r="H1796" s="9" t="str">
        <f>IF(VLOOKUP(operations[productID],products[],7,FALSE)=1,"Discontinued","Current")</f>
        <v>Current</v>
      </c>
      <c r="I1796" s="6">
        <f>VLOOKUP(operations[productID],products[],4,FALSE)</f>
        <v>52</v>
      </c>
      <c r="J1796" s="6">
        <f>VLOOKUP(operations[productID],products[],5,FALSE)</f>
        <v>0</v>
      </c>
      <c r="K1796" s="6">
        <f>VLOOKUP(operations[productID],products[],6,FALSE)</f>
        <v>10</v>
      </c>
      <c r="L1796" s="10">
        <f t="array" ref="L1796">INDEX('1 orders'!I1796:I2156, MATCH(1, ('1 orders'!A1796:A2156=A1796)*('1 orders'!G1796:G2156=F1796), 0))
</f>
        <v>40</v>
      </c>
      <c r="M1796" s="10">
        <f>IFERROR(__xludf.DUMMYFUNCTION("COUNTUNIQUEIFS($A$2:$A1796,$F$2:$F1796,F1796)"),9.0)</f>
        <v>9</v>
      </c>
      <c r="N1796" s="10">
        <f t="shared" si="1"/>
        <v>7</v>
      </c>
      <c r="O1796" s="26">
        <f>IF(operations[sinceLastOrder]=0,0,operations[orderQuantity] / operations[sinceLastOrder])</f>
        <v>5.714285714</v>
      </c>
      <c r="P1796" s="9">
        <v>76.33</v>
      </c>
      <c r="Q1796" s="7" t="s">
        <v>17</v>
      </c>
      <c r="R1796" s="10">
        <f>operations[arrivedDate]-operations[shippedDate]</f>
        <v>10</v>
      </c>
    </row>
    <row r="1797" ht="15.75" customHeight="1">
      <c r="A1797" s="6">
        <v>10940.0</v>
      </c>
      <c r="B1797" s="24">
        <v>45362.0</v>
      </c>
      <c r="C1797" s="24">
        <v>45390.0</v>
      </c>
      <c r="D1797" s="24">
        <v>45374.0</v>
      </c>
      <c r="E1797" s="24">
        <v>45380.0</v>
      </c>
      <c r="F1797" s="6">
        <v>7.0</v>
      </c>
      <c r="G1797" s="9" t="str">
        <f>VLOOKUP(operations[productID],products[],2,FALSE)</f>
        <v>Uncle Bob's Organic Dried Pears</v>
      </c>
      <c r="H1797" s="9" t="str">
        <f>IF(VLOOKUP(operations[productID],products[],7,FALSE)=1,"Discontinued","Current")</f>
        <v>Current</v>
      </c>
      <c r="I1797" s="6">
        <f>VLOOKUP(operations[productID],products[],4,FALSE)</f>
        <v>15</v>
      </c>
      <c r="J1797" s="6">
        <f>VLOOKUP(operations[productID],products[],5,FALSE)</f>
        <v>0</v>
      </c>
      <c r="K1797" s="6">
        <f>VLOOKUP(operations[productID],products[],6,FALSE)</f>
        <v>10</v>
      </c>
      <c r="L1797" s="10">
        <f t="array" ref="L1797">INDEX('1 orders'!I1797:I2156, MATCH(1, ('1 orders'!A1797:A2156=A1797)*('1 orders'!G1797:G2156=F1797), 0))
</f>
        <v>8</v>
      </c>
      <c r="M1797" s="10">
        <f>IFERROR(__xludf.DUMMYFUNCTION("COUNTUNIQUEIFS($A$2:$A1797,$F$2:$F1797,F1797)"),17.0)</f>
        <v>17</v>
      </c>
      <c r="N1797" s="10">
        <f t="shared" si="1"/>
        <v>14</v>
      </c>
      <c r="O1797" s="26">
        <f>IF(operations[sinceLastOrder]=0,0,operations[orderQuantity] / operations[sinceLastOrder])</f>
        <v>0.5714285714</v>
      </c>
      <c r="P1797" s="9">
        <v>19.77</v>
      </c>
      <c r="Q1797" s="7" t="s">
        <v>13</v>
      </c>
      <c r="R1797" s="10">
        <f>operations[arrivedDate]-operations[shippedDate]</f>
        <v>6</v>
      </c>
    </row>
    <row r="1798" ht="15.75" customHeight="1">
      <c r="A1798" s="6">
        <v>10940.0</v>
      </c>
      <c r="B1798" s="24">
        <v>45362.0</v>
      </c>
      <c r="C1798" s="24">
        <v>45390.0</v>
      </c>
      <c r="D1798" s="24">
        <v>45374.0</v>
      </c>
      <c r="E1798" s="24">
        <v>45380.0</v>
      </c>
      <c r="F1798" s="6">
        <v>13.0</v>
      </c>
      <c r="G1798" s="9" t="str">
        <f>VLOOKUP(operations[productID],products[],2,FALSE)</f>
        <v>Konbu</v>
      </c>
      <c r="H1798" s="9" t="str">
        <f>IF(VLOOKUP(operations[productID],products[],7,FALSE)=1,"Discontinued","Current")</f>
        <v>Current</v>
      </c>
      <c r="I1798" s="6">
        <f>VLOOKUP(operations[productID],products[],4,FALSE)</f>
        <v>24</v>
      </c>
      <c r="J1798" s="6">
        <f>VLOOKUP(operations[productID],products[],5,FALSE)</f>
        <v>0</v>
      </c>
      <c r="K1798" s="6">
        <f>VLOOKUP(operations[productID],products[],6,FALSE)</f>
        <v>5</v>
      </c>
      <c r="L1798" s="10">
        <f t="array" ref="L1798">INDEX('1 orders'!I1798:I2156, MATCH(1, ('1 orders'!A1798:A2156=A1798)*('1 orders'!G1798:G2156=F1798), 0))
</f>
        <v>20</v>
      </c>
      <c r="M1798" s="10">
        <f>IFERROR(__xludf.DUMMYFUNCTION("COUNTUNIQUEIFS($A$2:$A1798,$F$2:$F1798,F1798)"),29.0)</f>
        <v>29</v>
      </c>
      <c r="N1798" s="10">
        <f t="shared" si="1"/>
        <v>1</v>
      </c>
      <c r="O1798" s="26">
        <f>IF(operations[sinceLastOrder]=0,0,operations[orderQuantity] / operations[sinceLastOrder])</f>
        <v>20</v>
      </c>
      <c r="P1798" s="9">
        <v>19.77</v>
      </c>
      <c r="Q1798" s="7" t="s">
        <v>13</v>
      </c>
      <c r="R1798" s="10">
        <f>operations[arrivedDate]-operations[shippedDate]</f>
        <v>6</v>
      </c>
    </row>
    <row r="1799" ht="15.75" customHeight="1">
      <c r="A1799" s="6">
        <v>10941.0</v>
      </c>
      <c r="B1799" s="24">
        <v>45362.0</v>
      </c>
      <c r="C1799" s="24">
        <v>45390.0</v>
      </c>
      <c r="D1799" s="24">
        <v>45371.0</v>
      </c>
      <c r="E1799" s="24">
        <v>45388.0</v>
      </c>
      <c r="F1799" s="6">
        <v>31.0</v>
      </c>
      <c r="G1799" s="9" t="str">
        <f>VLOOKUP(operations[productID],products[],2,FALSE)</f>
        <v>Gorgonzola Telino</v>
      </c>
      <c r="H1799" s="9" t="str">
        <f>IF(VLOOKUP(operations[productID],products[],7,FALSE)=1,"Discontinued","Current")</f>
        <v>Current</v>
      </c>
      <c r="I1799" s="6">
        <f>VLOOKUP(operations[productID],products[],4,FALSE)</f>
        <v>0</v>
      </c>
      <c r="J1799" s="6">
        <f>VLOOKUP(operations[productID],products[],5,FALSE)</f>
        <v>70</v>
      </c>
      <c r="K1799" s="6">
        <f>VLOOKUP(operations[productID],products[],6,FALSE)</f>
        <v>20</v>
      </c>
      <c r="L1799" s="10">
        <f t="array" ref="L1799">INDEX('1 orders'!I1799:I2156, MATCH(1, ('1 orders'!A1799:A2156=A1799)*('1 orders'!G1799:G2156=F1799), 0))
</f>
        <v>44</v>
      </c>
      <c r="M1799" s="10">
        <f>IFERROR(__xludf.DUMMYFUNCTION("COUNTUNIQUEIFS($A$2:$A1799,$F$2:$F1799,F1799)"),45.0)</f>
        <v>45</v>
      </c>
      <c r="N1799" s="10">
        <f t="shared" si="1"/>
        <v>27</v>
      </c>
      <c r="O1799" s="26">
        <f>IF(operations[sinceLastOrder]=0,0,operations[orderQuantity] / operations[sinceLastOrder])</f>
        <v>1.62962963</v>
      </c>
      <c r="P1799" s="9">
        <v>400.81</v>
      </c>
      <c r="Q1799" s="7" t="s">
        <v>17</v>
      </c>
      <c r="R1799" s="10">
        <f>operations[arrivedDate]-operations[shippedDate]</f>
        <v>17</v>
      </c>
    </row>
    <row r="1800" ht="15.75" customHeight="1">
      <c r="A1800" s="6">
        <v>10941.0</v>
      </c>
      <c r="B1800" s="24">
        <v>45362.0</v>
      </c>
      <c r="C1800" s="24">
        <v>45390.0</v>
      </c>
      <c r="D1800" s="24">
        <v>45371.0</v>
      </c>
      <c r="E1800" s="24">
        <v>45388.0</v>
      </c>
      <c r="F1800" s="6">
        <v>62.0</v>
      </c>
      <c r="G1800" s="9" t="str">
        <f>VLOOKUP(operations[productID],products[],2,FALSE)</f>
        <v>Tarte au sucre</v>
      </c>
      <c r="H1800" s="9" t="str">
        <f>IF(VLOOKUP(operations[productID],products[],7,FALSE)=1,"Discontinued","Current")</f>
        <v>Current</v>
      </c>
      <c r="I1800" s="6">
        <f>VLOOKUP(operations[productID],products[],4,FALSE)</f>
        <v>17</v>
      </c>
      <c r="J1800" s="6">
        <f>VLOOKUP(operations[productID],products[],5,FALSE)</f>
        <v>0</v>
      </c>
      <c r="K1800" s="6">
        <f>VLOOKUP(operations[productID],products[],6,FALSE)</f>
        <v>0</v>
      </c>
      <c r="L1800" s="10">
        <f t="array" ref="L1800">INDEX('1 orders'!I1800:I2156, MATCH(1, ('1 orders'!A1800:A2156=A1800)*('1 orders'!G1800:G2156=F1800), 0))
</f>
        <v>30</v>
      </c>
      <c r="M1800" s="10">
        <f>IFERROR(__xludf.DUMMYFUNCTION("COUNTUNIQUEIFS($A$2:$A1800,$F$2:$F1800,F1800)"),43.0)</f>
        <v>43</v>
      </c>
      <c r="N1800" s="10">
        <f t="shared" si="1"/>
        <v>5</v>
      </c>
      <c r="O1800" s="26">
        <f>IF(operations[sinceLastOrder]=0,0,operations[orderQuantity] / operations[sinceLastOrder])</f>
        <v>6</v>
      </c>
      <c r="P1800" s="9">
        <v>400.81</v>
      </c>
      <c r="Q1800" s="7" t="s">
        <v>17</v>
      </c>
      <c r="R1800" s="10">
        <f>operations[arrivedDate]-operations[shippedDate]</f>
        <v>17</v>
      </c>
    </row>
    <row r="1801" ht="15.75" customHeight="1">
      <c r="A1801" s="6">
        <v>10941.0</v>
      </c>
      <c r="B1801" s="24">
        <v>45362.0</v>
      </c>
      <c r="C1801" s="24">
        <v>45390.0</v>
      </c>
      <c r="D1801" s="24">
        <v>45371.0</v>
      </c>
      <c r="E1801" s="24">
        <v>45388.0</v>
      </c>
      <c r="F1801" s="6">
        <v>68.0</v>
      </c>
      <c r="G1801" s="9" t="str">
        <f>VLOOKUP(operations[productID],products[],2,FALSE)</f>
        <v>Scottish Longbreads</v>
      </c>
      <c r="H1801" s="9" t="str">
        <f>IF(VLOOKUP(operations[productID],products[],7,FALSE)=1,"Discontinued","Current")</f>
        <v>Current</v>
      </c>
      <c r="I1801" s="6">
        <f>VLOOKUP(operations[productID],products[],4,FALSE)</f>
        <v>6</v>
      </c>
      <c r="J1801" s="6">
        <f>VLOOKUP(operations[productID],products[],5,FALSE)</f>
        <v>10</v>
      </c>
      <c r="K1801" s="6">
        <f>VLOOKUP(operations[productID],products[],6,FALSE)</f>
        <v>15</v>
      </c>
      <c r="L1801" s="10">
        <f t="array" ref="L1801">INDEX('1 orders'!I1801:I2156, MATCH(1, ('1 orders'!A1801:A2156=A1801)*('1 orders'!G1801:G2156=F1801), 0))
</f>
        <v>80</v>
      </c>
      <c r="M1801" s="10">
        <f>IFERROR(__xludf.DUMMYFUNCTION("COUNTUNIQUEIFS($A$2:$A1801,$F$2:$F1801,F1801)"),31.0)</f>
        <v>31</v>
      </c>
      <c r="N1801" s="10">
        <f t="shared" si="1"/>
        <v>16</v>
      </c>
      <c r="O1801" s="26">
        <f>IF(operations[sinceLastOrder]=0,0,operations[orderQuantity] / operations[sinceLastOrder])</f>
        <v>5</v>
      </c>
      <c r="P1801" s="9">
        <v>400.81</v>
      </c>
      <c r="Q1801" s="7" t="s">
        <v>17</v>
      </c>
      <c r="R1801" s="10">
        <f>operations[arrivedDate]-operations[shippedDate]</f>
        <v>17</v>
      </c>
    </row>
    <row r="1802" ht="15.75" customHeight="1">
      <c r="A1802" s="6">
        <v>10941.0</v>
      </c>
      <c r="B1802" s="24">
        <v>45362.0</v>
      </c>
      <c r="C1802" s="24">
        <v>45390.0</v>
      </c>
      <c r="D1802" s="24">
        <v>45371.0</v>
      </c>
      <c r="E1802" s="24">
        <v>45388.0</v>
      </c>
      <c r="F1802" s="6">
        <v>72.0</v>
      </c>
      <c r="G1802" s="9" t="str">
        <f>VLOOKUP(operations[productID],products[],2,FALSE)</f>
        <v>Mozzarella di Giovanni</v>
      </c>
      <c r="H1802" s="9" t="str">
        <f>IF(VLOOKUP(operations[productID],products[],7,FALSE)=1,"Discontinued","Current")</f>
        <v>Current</v>
      </c>
      <c r="I1802" s="6">
        <f>VLOOKUP(operations[productID],products[],4,FALSE)</f>
        <v>14</v>
      </c>
      <c r="J1802" s="6">
        <f>VLOOKUP(operations[productID],products[],5,FALSE)</f>
        <v>0</v>
      </c>
      <c r="K1802" s="6">
        <f>VLOOKUP(operations[productID],products[],6,FALSE)</f>
        <v>0</v>
      </c>
      <c r="L1802" s="10">
        <f t="array" ref="L1802">INDEX('1 orders'!I1802:I2156, MATCH(1, ('1 orders'!A1802:A2156=A1802)*('1 orders'!G1802:G2156=F1802), 0))
</f>
        <v>50</v>
      </c>
      <c r="M1802" s="10">
        <f>IFERROR(__xludf.DUMMYFUNCTION("COUNTUNIQUEIFS($A$2:$A1802,$F$2:$F1802,F1802)"),34.0)</f>
        <v>34</v>
      </c>
      <c r="N1802" s="10">
        <f t="shared" si="1"/>
        <v>5</v>
      </c>
      <c r="O1802" s="26">
        <f>IF(operations[sinceLastOrder]=0,0,operations[orderQuantity] / operations[sinceLastOrder])</f>
        <v>10</v>
      </c>
      <c r="P1802" s="9">
        <v>400.81</v>
      </c>
      <c r="Q1802" s="7" t="s">
        <v>17</v>
      </c>
      <c r="R1802" s="10">
        <f>operations[arrivedDate]-operations[shippedDate]</f>
        <v>17</v>
      </c>
    </row>
    <row r="1803" ht="15.75" customHeight="1">
      <c r="A1803" s="6">
        <v>10942.0</v>
      </c>
      <c r="B1803" s="24">
        <v>45362.0</v>
      </c>
      <c r="C1803" s="24">
        <v>45390.0</v>
      </c>
      <c r="D1803" s="24">
        <v>45369.0</v>
      </c>
      <c r="E1803" s="24">
        <v>45376.0</v>
      </c>
      <c r="F1803" s="6">
        <v>49.0</v>
      </c>
      <c r="G1803" s="9" t="str">
        <f>VLOOKUP(operations[productID],products[],2,FALSE)</f>
        <v>Maxilaku</v>
      </c>
      <c r="H1803" s="9" t="str">
        <f>IF(VLOOKUP(operations[productID],products[],7,FALSE)=1,"Discontinued","Current")</f>
        <v>Current</v>
      </c>
      <c r="I1803" s="6">
        <f>VLOOKUP(operations[productID],products[],4,FALSE)</f>
        <v>10</v>
      </c>
      <c r="J1803" s="6">
        <f>VLOOKUP(operations[productID],products[],5,FALSE)</f>
        <v>60</v>
      </c>
      <c r="K1803" s="6">
        <f>VLOOKUP(operations[productID],products[],6,FALSE)</f>
        <v>15</v>
      </c>
      <c r="L1803" s="10">
        <f t="array" ref="L1803">INDEX('1 orders'!I1803:I2156, MATCH(1, ('1 orders'!A1803:A2156=A1803)*('1 orders'!G1803:G2156=F1803), 0))
</f>
        <v>28</v>
      </c>
      <c r="M1803" s="10">
        <f>IFERROR(__xludf.DUMMYFUNCTION("COUNTUNIQUEIFS($A$2:$A1803,$F$2:$F1803,F1803)"),18.0)</f>
        <v>18</v>
      </c>
      <c r="N1803" s="10">
        <f t="shared" si="1"/>
        <v>14</v>
      </c>
      <c r="O1803" s="26">
        <f>IF(operations[sinceLastOrder]=0,0,operations[orderQuantity] / operations[sinceLastOrder])</f>
        <v>2</v>
      </c>
      <c r="P1803" s="9">
        <v>17.95</v>
      </c>
      <c r="Q1803" s="7" t="s">
        <v>13</v>
      </c>
      <c r="R1803" s="10">
        <f>operations[arrivedDate]-operations[shippedDate]</f>
        <v>7</v>
      </c>
    </row>
    <row r="1804" ht="15.75" customHeight="1">
      <c r="A1804" s="6">
        <v>10943.0</v>
      </c>
      <c r="B1804" s="24">
        <v>45362.0</v>
      </c>
      <c r="C1804" s="24">
        <v>45390.0</v>
      </c>
      <c r="D1804" s="24">
        <v>45370.0</v>
      </c>
      <c r="E1804" s="24">
        <v>45377.0</v>
      </c>
      <c r="F1804" s="6">
        <v>13.0</v>
      </c>
      <c r="G1804" s="9" t="str">
        <f>VLOOKUP(operations[productID],products[],2,FALSE)</f>
        <v>Konbu</v>
      </c>
      <c r="H1804" s="9" t="str">
        <f>IF(VLOOKUP(operations[productID],products[],7,FALSE)=1,"Discontinued","Current")</f>
        <v>Current</v>
      </c>
      <c r="I1804" s="6">
        <f>VLOOKUP(operations[productID],products[],4,FALSE)</f>
        <v>24</v>
      </c>
      <c r="J1804" s="6">
        <f>VLOOKUP(operations[productID],products[],5,FALSE)</f>
        <v>0</v>
      </c>
      <c r="K1804" s="6">
        <f>VLOOKUP(operations[productID],products[],6,FALSE)</f>
        <v>5</v>
      </c>
      <c r="L1804" s="10">
        <f t="array" ref="L1804">INDEX('1 orders'!I1804:I2156, MATCH(1, ('1 orders'!A1804:A2156=A1804)*('1 orders'!G1804:G2156=F1804), 0))
</f>
        <v>15</v>
      </c>
      <c r="M1804" s="10">
        <f>IFERROR(__xludf.DUMMYFUNCTION("COUNTUNIQUEIFS($A$2:$A1804,$F$2:$F1804,F1804)"),30.0)</f>
        <v>30</v>
      </c>
      <c r="N1804" s="10">
        <f t="shared" si="1"/>
        <v>0</v>
      </c>
      <c r="O1804" s="26">
        <f>IF(operations[sinceLastOrder]=0,0,operations[orderQuantity] / operations[sinceLastOrder])</f>
        <v>0</v>
      </c>
      <c r="P1804" s="9">
        <v>2.17</v>
      </c>
      <c r="Q1804" s="7" t="s">
        <v>17</v>
      </c>
      <c r="R1804" s="10">
        <f>operations[arrivedDate]-operations[shippedDate]</f>
        <v>7</v>
      </c>
    </row>
    <row r="1805" ht="15.75" customHeight="1">
      <c r="A1805" s="6">
        <v>10943.0</v>
      </c>
      <c r="B1805" s="24">
        <v>45362.0</v>
      </c>
      <c r="C1805" s="24">
        <v>45390.0</v>
      </c>
      <c r="D1805" s="24">
        <v>45370.0</v>
      </c>
      <c r="E1805" s="24">
        <v>45377.0</v>
      </c>
      <c r="F1805" s="6">
        <v>22.0</v>
      </c>
      <c r="G1805" s="9" t="str">
        <f>VLOOKUP(operations[productID],products[],2,FALSE)</f>
        <v>Gustaf's Knäckebröd</v>
      </c>
      <c r="H1805" s="9" t="str">
        <f>IF(VLOOKUP(operations[productID],products[],7,FALSE)=1,"Discontinued","Current")</f>
        <v>Current</v>
      </c>
      <c r="I1805" s="6">
        <f>VLOOKUP(operations[productID],products[],4,FALSE)</f>
        <v>104</v>
      </c>
      <c r="J1805" s="6">
        <f>VLOOKUP(operations[productID],products[],5,FALSE)</f>
        <v>0</v>
      </c>
      <c r="K1805" s="6">
        <f>VLOOKUP(operations[productID],products[],6,FALSE)</f>
        <v>25</v>
      </c>
      <c r="L1805" s="10">
        <f t="array" ref="L1805">INDEX('1 orders'!I1805:I2156, MATCH(1, ('1 orders'!A1805:A2156=A1805)*('1 orders'!G1805:G2156=F1805), 0))
</f>
        <v>21</v>
      </c>
      <c r="M1805" s="10">
        <f>IFERROR(__xludf.DUMMYFUNCTION("COUNTUNIQUEIFS($A$2:$A1805,$F$2:$F1805,F1805)"),13.0)</f>
        <v>13</v>
      </c>
      <c r="N1805" s="10">
        <f t="shared" si="1"/>
        <v>50</v>
      </c>
      <c r="O1805" s="26">
        <f>IF(operations[sinceLastOrder]=0,0,operations[orderQuantity] / operations[sinceLastOrder])</f>
        <v>0.42</v>
      </c>
      <c r="P1805" s="9">
        <v>2.17</v>
      </c>
      <c r="Q1805" s="7" t="s">
        <v>17</v>
      </c>
      <c r="R1805" s="10">
        <f>operations[arrivedDate]-operations[shippedDate]</f>
        <v>7</v>
      </c>
    </row>
    <row r="1806" ht="15.75" customHeight="1">
      <c r="A1806" s="6">
        <v>10943.0</v>
      </c>
      <c r="B1806" s="24">
        <v>45362.0</v>
      </c>
      <c r="C1806" s="24">
        <v>45390.0</v>
      </c>
      <c r="D1806" s="24">
        <v>45370.0</v>
      </c>
      <c r="E1806" s="24">
        <v>45377.0</v>
      </c>
      <c r="F1806" s="6">
        <v>46.0</v>
      </c>
      <c r="G1806" s="9" t="str">
        <f>VLOOKUP(operations[productID],products[],2,FALSE)</f>
        <v>Spegesild</v>
      </c>
      <c r="H1806" s="9" t="str">
        <f>IF(VLOOKUP(operations[productID],products[],7,FALSE)=1,"Discontinued","Current")</f>
        <v>Current</v>
      </c>
      <c r="I1806" s="6">
        <f>VLOOKUP(operations[productID],products[],4,FALSE)</f>
        <v>95</v>
      </c>
      <c r="J1806" s="6">
        <f>VLOOKUP(operations[productID],products[],5,FALSE)</f>
        <v>0</v>
      </c>
      <c r="K1806" s="6">
        <f>VLOOKUP(operations[productID],products[],6,FALSE)</f>
        <v>0</v>
      </c>
      <c r="L1806" s="10">
        <f t="array" ref="L1806">INDEX('1 orders'!I1806:I2156, MATCH(1, ('1 orders'!A1806:A2156=A1806)*('1 orders'!G1806:G2156=F1806), 0))
</f>
        <v>15</v>
      </c>
      <c r="M1806" s="10">
        <f>IFERROR(__xludf.DUMMYFUNCTION("COUNTUNIQUEIFS($A$2:$A1806,$F$2:$F1806,F1806)"),21.0)</f>
        <v>21</v>
      </c>
      <c r="N1806" s="10">
        <f t="shared" si="1"/>
        <v>31</v>
      </c>
      <c r="O1806" s="26">
        <f>IF(operations[sinceLastOrder]=0,0,operations[orderQuantity] / operations[sinceLastOrder])</f>
        <v>0.4838709677</v>
      </c>
      <c r="P1806" s="9">
        <v>2.17</v>
      </c>
      <c r="Q1806" s="7" t="s">
        <v>17</v>
      </c>
      <c r="R1806" s="10">
        <f>operations[arrivedDate]-operations[shippedDate]</f>
        <v>7</v>
      </c>
    </row>
    <row r="1807" ht="15.75" customHeight="1">
      <c r="A1807" s="6">
        <v>10944.0</v>
      </c>
      <c r="B1807" s="24">
        <v>45363.0</v>
      </c>
      <c r="C1807" s="24">
        <v>45377.0</v>
      </c>
      <c r="D1807" s="24">
        <v>45364.0</v>
      </c>
      <c r="E1807" s="24">
        <v>45376.0</v>
      </c>
      <c r="F1807" s="6">
        <v>11.0</v>
      </c>
      <c r="G1807" s="9" t="str">
        <f>VLOOKUP(operations[productID],products[],2,FALSE)</f>
        <v>Queso Cabrales</v>
      </c>
      <c r="H1807" s="9" t="str">
        <f>IF(VLOOKUP(operations[productID],products[],7,FALSE)=1,"Discontinued","Current")</f>
        <v>Current</v>
      </c>
      <c r="I1807" s="6">
        <f>VLOOKUP(operations[productID],products[],4,FALSE)</f>
        <v>22</v>
      </c>
      <c r="J1807" s="6">
        <f>VLOOKUP(operations[productID],products[],5,FALSE)</f>
        <v>30</v>
      </c>
      <c r="K1807" s="6">
        <f>VLOOKUP(operations[productID],products[],6,FALSE)</f>
        <v>30</v>
      </c>
      <c r="L1807" s="10">
        <f t="array" ref="L1807">INDEX('1 orders'!I1807:I2156, MATCH(1, ('1 orders'!A1807:A2156=A1807)*('1 orders'!G1807:G2156=F1807), 0))
</f>
        <v>5</v>
      </c>
      <c r="M1807" s="10">
        <f>IFERROR(__xludf.DUMMYFUNCTION("COUNTUNIQUEIFS($A$2:$A1807,$F$2:$F1807,F1807)"),34.0)</f>
        <v>34</v>
      </c>
      <c r="N1807" s="10">
        <f t="shared" si="1"/>
        <v>8</v>
      </c>
      <c r="O1807" s="26">
        <f>IF(operations[sinceLastOrder]=0,0,operations[orderQuantity] / operations[sinceLastOrder])</f>
        <v>0.625</v>
      </c>
      <c r="P1807" s="9">
        <v>52.92</v>
      </c>
      <c r="Q1807" s="7" t="s">
        <v>13</v>
      </c>
      <c r="R1807" s="10">
        <f>operations[arrivedDate]-operations[shippedDate]</f>
        <v>12</v>
      </c>
    </row>
    <row r="1808" ht="15.75" customHeight="1">
      <c r="A1808" s="6">
        <v>10944.0</v>
      </c>
      <c r="B1808" s="24">
        <v>45363.0</v>
      </c>
      <c r="C1808" s="24">
        <v>45377.0</v>
      </c>
      <c r="D1808" s="24">
        <v>45364.0</v>
      </c>
      <c r="E1808" s="24">
        <v>45376.0</v>
      </c>
      <c r="F1808" s="6">
        <v>44.0</v>
      </c>
      <c r="G1808" s="9" t="str">
        <f>VLOOKUP(operations[productID],products[],2,FALSE)</f>
        <v>Gula Malacca</v>
      </c>
      <c r="H1808" s="9" t="str">
        <f>IF(VLOOKUP(operations[productID],products[],7,FALSE)=1,"Discontinued","Current")</f>
        <v>Current</v>
      </c>
      <c r="I1808" s="6">
        <f>VLOOKUP(operations[productID],products[],4,FALSE)</f>
        <v>27</v>
      </c>
      <c r="J1808" s="6">
        <f>VLOOKUP(operations[productID],products[],5,FALSE)</f>
        <v>0</v>
      </c>
      <c r="K1808" s="6">
        <f>VLOOKUP(operations[productID],products[],6,FALSE)</f>
        <v>15</v>
      </c>
      <c r="L1808" s="10">
        <f t="array" ref="L1808">INDEX('1 orders'!I1808:I2156, MATCH(1, ('1 orders'!A1808:A2156=A1808)*('1 orders'!G1808:G2156=F1808), 0))
</f>
        <v>18</v>
      </c>
      <c r="M1808" s="10">
        <f>IFERROR(__xludf.DUMMYFUNCTION("COUNTUNIQUEIFS($A$2:$A1808,$F$2:$F1808,F1808)"),21.0)</f>
        <v>21</v>
      </c>
      <c r="N1808" s="10">
        <f t="shared" si="1"/>
        <v>58</v>
      </c>
      <c r="O1808" s="26">
        <f>IF(operations[sinceLastOrder]=0,0,operations[orderQuantity] / operations[sinceLastOrder])</f>
        <v>0.3103448276</v>
      </c>
      <c r="P1808" s="9">
        <v>52.92</v>
      </c>
      <c r="Q1808" s="7" t="s">
        <v>13</v>
      </c>
      <c r="R1808" s="10">
        <f>operations[arrivedDate]-operations[shippedDate]</f>
        <v>12</v>
      </c>
    </row>
    <row r="1809" ht="15.75" customHeight="1">
      <c r="A1809" s="6">
        <v>10944.0</v>
      </c>
      <c r="B1809" s="24">
        <v>45363.0</v>
      </c>
      <c r="C1809" s="24">
        <v>45377.0</v>
      </c>
      <c r="D1809" s="24">
        <v>45364.0</v>
      </c>
      <c r="E1809" s="24">
        <v>45376.0</v>
      </c>
      <c r="F1809" s="6">
        <v>56.0</v>
      </c>
      <c r="G1809" s="9" t="str">
        <f>VLOOKUP(operations[productID],products[],2,FALSE)</f>
        <v>Gnocchi di nonna Alice</v>
      </c>
      <c r="H1809" s="9" t="str">
        <f>IF(VLOOKUP(operations[productID],products[],7,FALSE)=1,"Discontinued","Current")</f>
        <v>Current</v>
      </c>
      <c r="I1809" s="6">
        <f>VLOOKUP(operations[productID],products[],4,FALSE)</f>
        <v>21</v>
      </c>
      <c r="J1809" s="6">
        <f>VLOOKUP(operations[productID],products[],5,FALSE)</f>
        <v>10</v>
      </c>
      <c r="K1809" s="6">
        <f>VLOOKUP(operations[productID],products[],6,FALSE)</f>
        <v>30</v>
      </c>
      <c r="L1809" s="10">
        <f t="array" ref="L1809">INDEX('1 orders'!I1809:I2156, MATCH(1, ('1 orders'!A1809:A2156=A1809)*('1 orders'!G1809:G2156=F1809), 0))
</f>
        <v>18</v>
      </c>
      <c r="M1809" s="10">
        <f>IFERROR(__xludf.DUMMYFUNCTION("COUNTUNIQUEIFS($A$2:$A1809,$F$2:$F1809,F1809)"),47.0)</f>
        <v>47</v>
      </c>
      <c r="N1809" s="10">
        <f t="shared" si="1"/>
        <v>22</v>
      </c>
      <c r="O1809" s="26">
        <f>IF(operations[sinceLastOrder]=0,0,operations[orderQuantity] / operations[sinceLastOrder])</f>
        <v>0.8181818182</v>
      </c>
      <c r="P1809" s="9">
        <v>52.92</v>
      </c>
      <c r="Q1809" s="7" t="s">
        <v>13</v>
      </c>
      <c r="R1809" s="10">
        <f>operations[arrivedDate]-operations[shippedDate]</f>
        <v>12</v>
      </c>
    </row>
    <row r="1810" ht="15.75" customHeight="1">
      <c r="A1810" s="6">
        <v>10945.0</v>
      </c>
      <c r="B1810" s="24">
        <v>45363.0</v>
      </c>
      <c r="C1810" s="24">
        <v>45391.0</v>
      </c>
      <c r="D1810" s="24">
        <v>45369.0</v>
      </c>
      <c r="E1810" s="24">
        <v>45370.0</v>
      </c>
      <c r="F1810" s="6">
        <v>13.0</v>
      </c>
      <c r="G1810" s="9" t="str">
        <f>VLOOKUP(operations[productID],products[],2,FALSE)</f>
        <v>Konbu</v>
      </c>
      <c r="H1810" s="9" t="str">
        <f>IF(VLOOKUP(operations[productID],products[],7,FALSE)=1,"Discontinued","Current")</f>
        <v>Current</v>
      </c>
      <c r="I1810" s="6">
        <f>VLOOKUP(operations[productID],products[],4,FALSE)</f>
        <v>24</v>
      </c>
      <c r="J1810" s="6">
        <f>VLOOKUP(operations[productID],products[],5,FALSE)</f>
        <v>0</v>
      </c>
      <c r="K1810" s="6">
        <f>VLOOKUP(operations[productID],products[],6,FALSE)</f>
        <v>5</v>
      </c>
      <c r="L1810" s="10">
        <f t="array" ref="L1810">INDEX('1 orders'!I1810:I2156, MATCH(1, ('1 orders'!A1810:A2156=A1810)*('1 orders'!G1810:G2156=F1810), 0))
</f>
        <v>20</v>
      </c>
      <c r="M1810" s="10">
        <f>IFERROR(__xludf.DUMMYFUNCTION("COUNTUNIQUEIFS($A$2:$A1810,$F$2:$F1810,F1810)"),31.0)</f>
        <v>31</v>
      </c>
      <c r="N1810" s="10">
        <f t="shared" si="1"/>
        <v>1</v>
      </c>
      <c r="O1810" s="26">
        <f>IF(operations[sinceLastOrder]=0,0,operations[orderQuantity] / operations[sinceLastOrder])</f>
        <v>20</v>
      </c>
      <c r="P1810" s="9">
        <v>10.22</v>
      </c>
      <c r="Q1810" s="7" t="s">
        <v>15</v>
      </c>
      <c r="R1810" s="10">
        <f>operations[arrivedDate]-operations[shippedDate]</f>
        <v>1</v>
      </c>
    </row>
    <row r="1811" ht="15.75" customHeight="1">
      <c r="A1811" s="6">
        <v>10945.0</v>
      </c>
      <c r="B1811" s="24">
        <v>45363.0</v>
      </c>
      <c r="C1811" s="24">
        <v>45391.0</v>
      </c>
      <c r="D1811" s="24">
        <v>45369.0</v>
      </c>
      <c r="E1811" s="24">
        <v>45370.0</v>
      </c>
      <c r="F1811" s="6">
        <v>31.0</v>
      </c>
      <c r="G1811" s="9" t="str">
        <f>VLOOKUP(operations[productID],products[],2,FALSE)</f>
        <v>Gorgonzola Telino</v>
      </c>
      <c r="H1811" s="9" t="str">
        <f>IF(VLOOKUP(operations[productID],products[],7,FALSE)=1,"Discontinued","Current")</f>
        <v>Current</v>
      </c>
      <c r="I1811" s="6">
        <f>VLOOKUP(operations[productID],products[],4,FALSE)</f>
        <v>0</v>
      </c>
      <c r="J1811" s="6">
        <f>VLOOKUP(operations[productID],products[],5,FALSE)</f>
        <v>70</v>
      </c>
      <c r="K1811" s="6">
        <f>VLOOKUP(operations[productID],products[],6,FALSE)</f>
        <v>20</v>
      </c>
      <c r="L1811" s="10">
        <f t="array" ref="L1811">INDEX('1 orders'!I1811:I2156, MATCH(1, ('1 orders'!A1811:A2156=A1811)*('1 orders'!G1811:G2156=F1811), 0))
</f>
        <v>10</v>
      </c>
      <c r="M1811" s="10">
        <f>IFERROR(__xludf.DUMMYFUNCTION("COUNTUNIQUEIFS($A$2:$A1811,$F$2:$F1811,F1811)"),46.0)</f>
        <v>46</v>
      </c>
      <c r="N1811" s="10">
        <f t="shared" si="1"/>
        <v>1</v>
      </c>
      <c r="O1811" s="26">
        <f>IF(operations[sinceLastOrder]=0,0,operations[orderQuantity] / operations[sinceLastOrder])</f>
        <v>10</v>
      </c>
      <c r="P1811" s="9">
        <v>10.22</v>
      </c>
      <c r="Q1811" s="7" t="s">
        <v>15</v>
      </c>
      <c r="R1811" s="10">
        <f>operations[arrivedDate]-operations[shippedDate]</f>
        <v>1</v>
      </c>
    </row>
    <row r="1812" ht="15.75" customHeight="1">
      <c r="A1812" s="6">
        <v>10946.0</v>
      </c>
      <c r="B1812" s="24">
        <v>45363.0</v>
      </c>
      <c r="C1812" s="24">
        <v>45391.0</v>
      </c>
      <c r="D1812" s="24">
        <v>45370.0</v>
      </c>
      <c r="E1812" s="24">
        <v>45382.0</v>
      </c>
      <c r="F1812" s="6">
        <v>10.0</v>
      </c>
      <c r="G1812" s="9" t="str">
        <f>VLOOKUP(operations[productID],products[],2,FALSE)</f>
        <v>Ikura</v>
      </c>
      <c r="H1812" s="9" t="str">
        <f>IF(VLOOKUP(operations[productID],products[],7,FALSE)=1,"Discontinued","Current")</f>
        <v>Current</v>
      </c>
      <c r="I1812" s="6">
        <f>VLOOKUP(operations[productID],products[],4,FALSE)</f>
        <v>31</v>
      </c>
      <c r="J1812" s="6">
        <f>VLOOKUP(operations[productID],products[],5,FALSE)</f>
        <v>0</v>
      </c>
      <c r="K1812" s="6">
        <f>VLOOKUP(operations[productID],products[],6,FALSE)</f>
        <v>0</v>
      </c>
      <c r="L1812" s="10">
        <f t="array" ref="L1812">INDEX('1 orders'!I1812:I2156, MATCH(1, ('1 orders'!A1812:A2156=A1812)*('1 orders'!G1812:G2156=F1812), 0))
</f>
        <v>25</v>
      </c>
      <c r="M1812" s="10">
        <f>IFERROR(__xludf.DUMMYFUNCTION("COUNTUNIQUEIFS($A$2:$A1812,$F$2:$F1812,F1812)"),30.0)</f>
        <v>30</v>
      </c>
      <c r="N1812" s="10">
        <f t="shared" si="1"/>
        <v>8</v>
      </c>
      <c r="O1812" s="26">
        <f>IF(operations[sinceLastOrder]=0,0,operations[orderQuantity] / operations[sinceLastOrder])</f>
        <v>3.125</v>
      </c>
      <c r="P1812" s="9">
        <v>27.2</v>
      </c>
      <c r="Q1812" s="7" t="s">
        <v>17</v>
      </c>
      <c r="R1812" s="10">
        <f>operations[arrivedDate]-operations[shippedDate]</f>
        <v>12</v>
      </c>
    </row>
    <row r="1813" ht="15.75" customHeight="1">
      <c r="A1813" s="6">
        <v>10946.0</v>
      </c>
      <c r="B1813" s="24">
        <v>45363.0</v>
      </c>
      <c r="C1813" s="24">
        <v>45391.0</v>
      </c>
      <c r="D1813" s="24">
        <v>45370.0</v>
      </c>
      <c r="E1813" s="24">
        <v>45382.0</v>
      </c>
      <c r="F1813" s="6">
        <v>24.0</v>
      </c>
      <c r="G1813" s="9" t="str">
        <f>VLOOKUP(operations[productID],products[],2,FALSE)</f>
        <v>Brigadeiros Maravilhosos da Lilian</v>
      </c>
      <c r="H1813" s="9" t="str">
        <f>IF(VLOOKUP(operations[productID],products[],7,FALSE)=1,"Discontinued","Current")</f>
        <v>Discontinued</v>
      </c>
      <c r="I1813" s="6">
        <f>VLOOKUP(operations[productID],products[],4,FALSE)</f>
        <v>20</v>
      </c>
      <c r="J1813" s="6">
        <f>VLOOKUP(operations[productID],products[],5,FALSE)</f>
        <v>0</v>
      </c>
      <c r="K1813" s="6">
        <f>VLOOKUP(operations[productID],products[],6,FALSE)</f>
        <v>0</v>
      </c>
      <c r="L1813" s="10">
        <f t="array" ref="L1813">INDEX('1 orders'!I1813:I2156, MATCH(1, ('1 orders'!A1813:A2156=A1813)*('1 orders'!G1813:G2156=F1813), 0))
</f>
        <v>25</v>
      </c>
      <c r="M1813" s="10">
        <f>IFERROR(__xludf.DUMMYFUNCTION("COUNTUNIQUEIFS($A$2:$A1813,$F$2:$F1813,F1813)"),38.0)</f>
        <v>38</v>
      </c>
      <c r="N1813" s="10">
        <f t="shared" si="1"/>
        <v>9</v>
      </c>
      <c r="O1813" s="26">
        <f>IF(operations[sinceLastOrder]=0,0,operations[orderQuantity] / operations[sinceLastOrder])</f>
        <v>2.777777778</v>
      </c>
      <c r="P1813" s="9">
        <v>27.2</v>
      </c>
      <c r="Q1813" s="7" t="s">
        <v>17</v>
      </c>
      <c r="R1813" s="10">
        <f>operations[arrivedDate]-operations[shippedDate]</f>
        <v>12</v>
      </c>
    </row>
    <row r="1814" ht="15.75" customHeight="1">
      <c r="A1814" s="6">
        <v>10946.0</v>
      </c>
      <c r="B1814" s="24">
        <v>45363.0</v>
      </c>
      <c r="C1814" s="24">
        <v>45391.0</v>
      </c>
      <c r="D1814" s="24">
        <v>45370.0</v>
      </c>
      <c r="E1814" s="24">
        <v>45382.0</v>
      </c>
      <c r="F1814" s="6">
        <v>77.0</v>
      </c>
      <c r="G1814" s="9" t="str">
        <f>VLOOKUP(operations[productID],products[],2,FALSE)</f>
        <v>Original Frankfurter grüne Soße</v>
      </c>
      <c r="H1814" s="9" t="str">
        <f>IF(VLOOKUP(operations[productID],products[],7,FALSE)=1,"Discontinued","Current")</f>
        <v>Current</v>
      </c>
      <c r="I1814" s="6">
        <f>VLOOKUP(operations[productID],products[],4,FALSE)</f>
        <v>32</v>
      </c>
      <c r="J1814" s="6">
        <f>VLOOKUP(operations[productID],products[],5,FALSE)</f>
        <v>0</v>
      </c>
      <c r="K1814" s="6">
        <f>VLOOKUP(operations[productID],products[],6,FALSE)</f>
        <v>15</v>
      </c>
      <c r="L1814" s="10">
        <f t="array" ref="L1814">INDEX('1 orders'!I1814:I2156, MATCH(1, ('1 orders'!A1814:A2156=A1814)*('1 orders'!G1814:G2156=F1814), 0))
</f>
        <v>40</v>
      </c>
      <c r="M1814" s="10">
        <f>IFERROR(__xludf.DUMMYFUNCTION("COUNTUNIQUEIFS($A$2:$A1814,$F$2:$F1814,F1814)"),31.0)</f>
        <v>31</v>
      </c>
      <c r="N1814" s="10">
        <f t="shared" si="1"/>
        <v>7</v>
      </c>
      <c r="O1814" s="26">
        <f>IF(operations[sinceLastOrder]=0,0,operations[orderQuantity] / operations[sinceLastOrder])</f>
        <v>5.714285714</v>
      </c>
      <c r="P1814" s="9">
        <v>27.2</v>
      </c>
      <c r="Q1814" s="7" t="s">
        <v>17</v>
      </c>
      <c r="R1814" s="10">
        <f>operations[arrivedDate]-operations[shippedDate]</f>
        <v>12</v>
      </c>
    </row>
    <row r="1815" ht="15.75" customHeight="1">
      <c r="A1815" s="6">
        <v>10947.0</v>
      </c>
      <c r="B1815" s="24">
        <v>45364.0</v>
      </c>
      <c r="C1815" s="24">
        <v>45392.0</v>
      </c>
      <c r="D1815" s="24">
        <v>45367.0</v>
      </c>
      <c r="E1815" s="24">
        <v>45374.0</v>
      </c>
      <c r="F1815" s="6">
        <v>59.0</v>
      </c>
      <c r="G1815" s="9" t="str">
        <f>VLOOKUP(operations[productID],products[],2,FALSE)</f>
        <v>Raclette Courdavault</v>
      </c>
      <c r="H1815" s="9" t="str">
        <f>IF(VLOOKUP(operations[productID],products[],7,FALSE)=1,"Discontinued","Current")</f>
        <v>Current</v>
      </c>
      <c r="I1815" s="6">
        <f>VLOOKUP(operations[productID],products[],4,FALSE)</f>
        <v>79</v>
      </c>
      <c r="J1815" s="6">
        <f>VLOOKUP(operations[productID],products[],5,FALSE)</f>
        <v>0</v>
      </c>
      <c r="K1815" s="6">
        <f>VLOOKUP(operations[productID],products[],6,FALSE)</f>
        <v>0</v>
      </c>
      <c r="L1815" s="10">
        <f t="array" ref="L1815">INDEX('1 orders'!I1815:I2156, MATCH(1, ('1 orders'!A1815:A2156=A1815)*('1 orders'!G1815:G2156=F1815), 0))
</f>
        <v>4</v>
      </c>
      <c r="M1815" s="10">
        <f>IFERROR(__xludf.DUMMYFUNCTION("COUNTUNIQUEIFS($A$2:$A1815,$F$2:$F1815,F1815)"),47.0)</f>
        <v>47</v>
      </c>
      <c r="N1815" s="10">
        <f t="shared" si="1"/>
        <v>25</v>
      </c>
      <c r="O1815" s="26">
        <f>IF(operations[sinceLastOrder]=0,0,operations[orderQuantity] / operations[sinceLastOrder])</f>
        <v>0.16</v>
      </c>
      <c r="P1815" s="9">
        <v>3.26</v>
      </c>
      <c r="Q1815" s="7" t="s">
        <v>17</v>
      </c>
      <c r="R1815" s="10">
        <f>operations[arrivedDate]-operations[shippedDate]</f>
        <v>7</v>
      </c>
    </row>
    <row r="1816" ht="15.75" customHeight="1">
      <c r="A1816" s="6">
        <v>10948.0</v>
      </c>
      <c r="B1816" s="24">
        <v>45364.0</v>
      </c>
      <c r="C1816" s="24">
        <v>45392.0</v>
      </c>
      <c r="D1816" s="24">
        <v>45370.0</v>
      </c>
      <c r="E1816" s="24">
        <v>45380.0</v>
      </c>
      <c r="F1816" s="6">
        <v>50.0</v>
      </c>
      <c r="G1816" s="9" t="str">
        <f>VLOOKUP(operations[productID],products[],2,FALSE)</f>
        <v>Valkoinen suklaa</v>
      </c>
      <c r="H1816" s="9" t="str">
        <f>IF(VLOOKUP(operations[productID],products[],7,FALSE)=1,"Discontinued","Current")</f>
        <v>Current</v>
      </c>
      <c r="I1816" s="6">
        <f>VLOOKUP(operations[productID],products[],4,FALSE)</f>
        <v>65</v>
      </c>
      <c r="J1816" s="6">
        <f>VLOOKUP(operations[productID],products[],5,FALSE)</f>
        <v>0</v>
      </c>
      <c r="K1816" s="6">
        <f>VLOOKUP(operations[productID],products[],6,FALSE)</f>
        <v>30</v>
      </c>
      <c r="L1816" s="10">
        <f t="array" ref="L1816">INDEX('1 orders'!I1816:I2156, MATCH(1, ('1 orders'!A1816:A2156=A1816)*('1 orders'!G1816:G2156=F1816), 0))
</f>
        <v>9</v>
      </c>
      <c r="M1816" s="10">
        <f>IFERROR(__xludf.DUMMYFUNCTION("COUNTUNIQUEIFS($A$2:$A1816,$F$2:$F1816,F1816)"),9.0)</f>
        <v>9</v>
      </c>
      <c r="N1816" s="10">
        <f t="shared" si="1"/>
        <v>10</v>
      </c>
      <c r="O1816" s="26">
        <f>IF(operations[sinceLastOrder]=0,0,operations[orderQuantity] / operations[sinceLastOrder])</f>
        <v>0.9</v>
      </c>
      <c r="P1816" s="9">
        <v>23.39</v>
      </c>
      <c r="Q1816" s="7" t="s">
        <v>13</v>
      </c>
      <c r="R1816" s="10">
        <f>operations[arrivedDate]-operations[shippedDate]</f>
        <v>10</v>
      </c>
    </row>
    <row r="1817" ht="15.75" customHeight="1">
      <c r="A1817" s="6">
        <v>10948.0</v>
      </c>
      <c r="B1817" s="24">
        <v>45364.0</v>
      </c>
      <c r="C1817" s="24">
        <v>45392.0</v>
      </c>
      <c r="D1817" s="24">
        <v>45370.0</v>
      </c>
      <c r="E1817" s="24">
        <v>45380.0</v>
      </c>
      <c r="F1817" s="6">
        <v>51.0</v>
      </c>
      <c r="G1817" s="9" t="str">
        <f>VLOOKUP(operations[productID],products[],2,FALSE)</f>
        <v>Manjimup Dried Apples</v>
      </c>
      <c r="H1817" s="9" t="str">
        <f>IF(VLOOKUP(operations[productID],products[],7,FALSE)=1,"Discontinued","Current")</f>
        <v>Current</v>
      </c>
      <c r="I1817" s="6">
        <f>VLOOKUP(operations[productID],products[],4,FALSE)</f>
        <v>20</v>
      </c>
      <c r="J1817" s="6">
        <f>VLOOKUP(operations[productID],products[],5,FALSE)</f>
        <v>0</v>
      </c>
      <c r="K1817" s="6">
        <f>VLOOKUP(operations[productID],products[],6,FALSE)</f>
        <v>10</v>
      </c>
      <c r="L1817" s="10">
        <f t="array" ref="L1817">INDEX('1 orders'!I1817:I2156, MATCH(1, ('1 orders'!A1817:A2156=A1817)*('1 orders'!G1817:G2156=F1817), 0))
</f>
        <v>40</v>
      </c>
      <c r="M1817" s="10">
        <f>IFERROR(__xludf.DUMMYFUNCTION("COUNTUNIQUEIFS($A$2:$A1817,$F$2:$F1817,F1817)"),30.0)</f>
        <v>30</v>
      </c>
      <c r="N1817" s="10">
        <f t="shared" si="1"/>
        <v>38</v>
      </c>
      <c r="O1817" s="26">
        <f>IF(operations[sinceLastOrder]=0,0,operations[orderQuantity] / operations[sinceLastOrder])</f>
        <v>1.052631579</v>
      </c>
      <c r="P1817" s="9">
        <v>23.39</v>
      </c>
      <c r="Q1817" s="7" t="s">
        <v>13</v>
      </c>
      <c r="R1817" s="10">
        <f>operations[arrivedDate]-operations[shippedDate]</f>
        <v>10</v>
      </c>
    </row>
    <row r="1818" ht="15.75" customHeight="1">
      <c r="A1818" s="6">
        <v>10948.0</v>
      </c>
      <c r="B1818" s="24">
        <v>45364.0</v>
      </c>
      <c r="C1818" s="24">
        <v>45392.0</v>
      </c>
      <c r="D1818" s="24">
        <v>45370.0</v>
      </c>
      <c r="E1818" s="24">
        <v>45380.0</v>
      </c>
      <c r="F1818" s="6">
        <v>55.0</v>
      </c>
      <c r="G1818" s="9" t="str">
        <f>VLOOKUP(operations[productID],products[],2,FALSE)</f>
        <v>Pâté chinois</v>
      </c>
      <c r="H1818" s="9" t="str">
        <f>IF(VLOOKUP(operations[productID],products[],7,FALSE)=1,"Discontinued","Current")</f>
        <v>Current</v>
      </c>
      <c r="I1818" s="6">
        <f>VLOOKUP(operations[productID],products[],4,FALSE)</f>
        <v>115</v>
      </c>
      <c r="J1818" s="6">
        <f>VLOOKUP(operations[productID],products[],5,FALSE)</f>
        <v>0</v>
      </c>
      <c r="K1818" s="6">
        <f>VLOOKUP(operations[productID],products[],6,FALSE)</f>
        <v>20</v>
      </c>
      <c r="L1818" s="10">
        <f t="array" ref="L1818">INDEX('1 orders'!I1818:I2156, MATCH(1, ('1 orders'!A1818:A2156=A1818)*('1 orders'!G1818:G2156=F1818), 0))
</f>
        <v>4</v>
      </c>
      <c r="M1818" s="10">
        <f>IFERROR(__xludf.DUMMYFUNCTION("COUNTUNIQUEIFS($A$2:$A1818,$F$2:$F1818,F1818)"),26.0)</f>
        <v>26</v>
      </c>
      <c r="N1818" s="10">
        <f t="shared" si="1"/>
        <v>7</v>
      </c>
      <c r="O1818" s="26">
        <f>IF(operations[sinceLastOrder]=0,0,operations[orderQuantity] / operations[sinceLastOrder])</f>
        <v>0.5714285714</v>
      </c>
      <c r="P1818" s="9">
        <v>23.39</v>
      </c>
      <c r="Q1818" s="7" t="s">
        <v>13</v>
      </c>
      <c r="R1818" s="10">
        <f>operations[arrivedDate]-operations[shippedDate]</f>
        <v>10</v>
      </c>
    </row>
    <row r="1819" ht="15.75" customHeight="1">
      <c r="A1819" s="6">
        <v>10949.0</v>
      </c>
      <c r="B1819" s="24">
        <v>45364.0</v>
      </c>
      <c r="C1819" s="24">
        <v>45392.0</v>
      </c>
      <c r="D1819" s="24">
        <v>45368.0</v>
      </c>
      <c r="E1819" s="24">
        <v>45382.0</v>
      </c>
      <c r="F1819" s="6">
        <v>6.0</v>
      </c>
      <c r="G1819" s="9" t="str">
        <f>VLOOKUP(operations[productID],products[],2,FALSE)</f>
        <v>Grandma's Boysenberry Spread</v>
      </c>
      <c r="H1819" s="9" t="str">
        <f>IF(VLOOKUP(operations[productID],products[],7,FALSE)=1,"Discontinued","Current")</f>
        <v>Current</v>
      </c>
      <c r="I1819" s="6">
        <f>VLOOKUP(operations[productID],products[],4,FALSE)</f>
        <v>120</v>
      </c>
      <c r="J1819" s="6">
        <f>VLOOKUP(operations[productID],products[],5,FALSE)</f>
        <v>0</v>
      </c>
      <c r="K1819" s="6">
        <f>VLOOKUP(operations[productID],products[],6,FALSE)</f>
        <v>25</v>
      </c>
      <c r="L1819" s="10">
        <f t="array" ref="L1819">INDEX('1 orders'!I1819:I2156, MATCH(1, ('1 orders'!A1819:A2156=A1819)*('1 orders'!G1819:G2156=F1819), 0))
</f>
        <v>12</v>
      </c>
      <c r="M1819" s="10">
        <f>IFERROR(__xludf.DUMMYFUNCTION("COUNTUNIQUEIFS($A$2:$A1819,$F$2:$F1819,F1819)"),8.0)</f>
        <v>8</v>
      </c>
      <c r="N1819" s="10">
        <f t="shared" si="1"/>
        <v>4</v>
      </c>
      <c r="O1819" s="26">
        <f>IF(operations[sinceLastOrder]=0,0,operations[orderQuantity] / operations[sinceLastOrder])</f>
        <v>3</v>
      </c>
      <c r="P1819" s="9">
        <v>74.44</v>
      </c>
      <c r="Q1819" s="7" t="s">
        <v>13</v>
      </c>
      <c r="R1819" s="10">
        <f>operations[arrivedDate]-operations[shippedDate]</f>
        <v>14</v>
      </c>
    </row>
    <row r="1820" ht="15.75" customHeight="1">
      <c r="A1820" s="6">
        <v>10949.0</v>
      </c>
      <c r="B1820" s="24">
        <v>45364.0</v>
      </c>
      <c r="C1820" s="24">
        <v>45392.0</v>
      </c>
      <c r="D1820" s="24">
        <v>45368.0</v>
      </c>
      <c r="E1820" s="24">
        <v>45382.0</v>
      </c>
      <c r="F1820" s="6">
        <v>10.0</v>
      </c>
      <c r="G1820" s="9" t="str">
        <f>VLOOKUP(operations[productID],products[],2,FALSE)</f>
        <v>Ikura</v>
      </c>
      <c r="H1820" s="9" t="str">
        <f>IF(VLOOKUP(operations[productID],products[],7,FALSE)=1,"Discontinued","Current")</f>
        <v>Current</v>
      </c>
      <c r="I1820" s="6">
        <f>VLOOKUP(operations[productID],products[],4,FALSE)</f>
        <v>31</v>
      </c>
      <c r="J1820" s="6">
        <f>VLOOKUP(operations[productID],products[],5,FALSE)</f>
        <v>0</v>
      </c>
      <c r="K1820" s="6">
        <f>VLOOKUP(operations[productID],products[],6,FALSE)</f>
        <v>0</v>
      </c>
      <c r="L1820" s="10">
        <f t="array" ref="L1820">INDEX('1 orders'!I1820:I2156, MATCH(1, ('1 orders'!A1820:A2156=A1820)*('1 orders'!G1820:G2156=F1820), 0))
</f>
        <v>30</v>
      </c>
      <c r="M1820" s="10">
        <f>IFERROR(__xludf.DUMMYFUNCTION("COUNTUNIQUEIFS($A$2:$A1820,$F$2:$F1820,F1820)"),31.0)</f>
        <v>31</v>
      </c>
      <c r="N1820" s="10">
        <f t="shared" si="1"/>
        <v>1</v>
      </c>
      <c r="O1820" s="26">
        <f>IF(operations[sinceLastOrder]=0,0,operations[orderQuantity] / operations[sinceLastOrder])</f>
        <v>30</v>
      </c>
      <c r="P1820" s="9">
        <v>74.44</v>
      </c>
      <c r="Q1820" s="7" t="s">
        <v>13</v>
      </c>
      <c r="R1820" s="10">
        <f>operations[arrivedDate]-operations[shippedDate]</f>
        <v>14</v>
      </c>
    </row>
    <row r="1821" ht="15.75" customHeight="1">
      <c r="A1821" s="6">
        <v>10949.0</v>
      </c>
      <c r="B1821" s="24">
        <v>45364.0</v>
      </c>
      <c r="C1821" s="24">
        <v>45392.0</v>
      </c>
      <c r="D1821" s="24">
        <v>45368.0</v>
      </c>
      <c r="E1821" s="24">
        <v>45382.0</v>
      </c>
      <c r="F1821" s="6">
        <v>17.0</v>
      </c>
      <c r="G1821" s="9" t="str">
        <f>VLOOKUP(operations[productID],products[],2,FALSE)</f>
        <v>Alice Mutton</v>
      </c>
      <c r="H1821" s="9" t="str">
        <f>IF(VLOOKUP(operations[productID],products[],7,FALSE)=1,"Discontinued","Current")</f>
        <v>Discontinued</v>
      </c>
      <c r="I1821" s="6">
        <f>VLOOKUP(operations[productID],products[],4,FALSE)</f>
        <v>0</v>
      </c>
      <c r="J1821" s="6">
        <f>VLOOKUP(operations[productID],products[],5,FALSE)</f>
        <v>0</v>
      </c>
      <c r="K1821" s="6">
        <f>VLOOKUP(operations[productID],products[],6,FALSE)</f>
        <v>0</v>
      </c>
      <c r="L1821" s="10">
        <f t="array" ref="L1821">INDEX('1 orders'!I1821:I2156, MATCH(1, ('1 orders'!A1821:A2156=A1821)*('1 orders'!G1821:G2156=F1821), 0))
</f>
        <v>6</v>
      </c>
      <c r="M1821" s="10">
        <f>IFERROR(__xludf.DUMMYFUNCTION("COUNTUNIQUEIFS($A$2:$A1821,$F$2:$F1821,F1821)"),34.0)</f>
        <v>34</v>
      </c>
      <c r="N1821" s="10">
        <f t="shared" si="1"/>
        <v>10</v>
      </c>
      <c r="O1821" s="26">
        <f>IF(operations[sinceLastOrder]=0,0,operations[orderQuantity] / operations[sinceLastOrder])</f>
        <v>0.6</v>
      </c>
      <c r="P1821" s="9">
        <v>74.44</v>
      </c>
      <c r="Q1821" s="7" t="s">
        <v>13</v>
      </c>
      <c r="R1821" s="10">
        <f>operations[arrivedDate]-operations[shippedDate]</f>
        <v>14</v>
      </c>
    </row>
    <row r="1822" ht="15.75" customHeight="1">
      <c r="A1822" s="6">
        <v>10949.0</v>
      </c>
      <c r="B1822" s="24">
        <v>45364.0</v>
      </c>
      <c r="C1822" s="24">
        <v>45392.0</v>
      </c>
      <c r="D1822" s="24">
        <v>45368.0</v>
      </c>
      <c r="E1822" s="24">
        <v>45382.0</v>
      </c>
      <c r="F1822" s="6">
        <v>62.0</v>
      </c>
      <c r="G1822" s="9" t="str">
        <f>VLOOKUP(operations[productID],products[],2,FALSE)</f>
        <v>Tarte au sucre</v>
      </c>
      <c r="H1822" s="9" t="str">
        <f>IF(VLOOKUP(operations[productID],products[],7,FALSE)=1,"Discontinued","Current")</f>
        <v>Current</v>
      </c>
      <c r="I1822" s="6">
        <f>VLOOKUP(operations[productID],products[],4,FALSE)</f>
        <v>17</v>
      </c>
      <c r="J1822" s="6">
        <f>VLOOKUP(operations[productID],products[],5,FALSE)</f>
        <v>0</v>
      </c>
      <c r="K1822" s="6">
        <f>VLOOKUP(operations[productID],products[],6,FALSE)</f>
        <v>0</v>
      </c>
      <c r="L1822" s="10">
        <f t="array" ref="L1822">INDEX('1 orders'!I1822:I2156, MATCH(1, ('1 orders'!A1822:A2156=A1822)*('1 orders'!G1822:G2156=F1822), 0))
</f>
        <v>60</v>
      </c>
      <c r="M1822" s="10">
        <f>IFERROR(__xludf.DUMMYFUNCTION("COUNTUNIQUEIFS($A$2:$A1822,$F$2:$F1822,F1822)"),44.0)</f>
        <v>44</v>
      </c>
      <c r="N1822" s="10">
        <f t="shared" si="1"/>
        <v>2</v>
      </c>
      <c r="O1822" s="26">
        <f>IF(operations[sinceLastOrder]=0,0,operations[orderQuantity] / operations[sinceLastOrder])</f>
        <v>30</v>
      </c>
      <c r="P1822" s="9">
        <v>74.44</v>
      </c>
      <c r="Q1822" s="7" t="s">
        <v>13</v>
      </c>
      <c r="R1822" s="10">
        <f>operations[arrivedDate]-operations[shippedDate]</f>
        <v>14</v>
      </c>
    </row>
    <row r="1823" ht="15.75" customHeight="1">
      <c r="A1823" s="6">
        <v>10950.0</v>
      </c>
      <c r="B1823" s="24">
        <v>45367.0</v>
      </c>
      <c r="C1823" s="24">
        <v>45395.0</v>
      </c>
      <c r="D1823" s="24">
        <v>45374.0</v>
      </c>
      <c r="E1823" s="24">
        <v>45386.0</v>
      </c>
      <c r="F1823" s="6">
        <v>4.0</v>
      </c>
      <c r="G1823" s="9" t="str">
        <f>VLOOKUP(operations[productID],products[],2,FALSE)</f>
        <v>Chef Anton's Cajun Seasoning</v>
      </c>
      <c r="H1823" s="9" t="str">
        <f>IF(VLOOKUP(operations[productID],products[],7,FALSE)=1,"Discontinued","Current")</f>
        <v>Current</v>
      </c>
      <c r="I1823" s="6">
        <f>VLOOKUP(operations[productID],products[],4,FALSE)</f>
        <v>53</v>
      </c>
      <c r="J1823" s="6">
        <f>VLOOKUP(operations[productID],products[],5,FALSE)</f>
        <v>0</v>
      </c>
      <c r="K1823" s="6">
        <f>VLOOKUP(operations[productID],products[],6,FALSE)</f>
        <v>0</v>
      </c>
      <c r="L1823" s="10">
        <f t="array" ref="L1823">INDEX('1 orders'!I1823:I2156, MATCH(1, ('1 orders'!A1823:A2156=A1823)*('1 orders'!G1823:G2156=F1823), 0))
</f>
        <v>5</v>
      </c>
      <c r="M1823" s="10">
        <f>IFERROR(__xludf.DUMMYFUNCTION("COUNTUNIQUEIFS($A$2:$A1823,$F$2:$F1823,F1823)"),18.0)</f>
        <v>18</v>
      </c>
      <c r="N1823" s="10">
        <f t="shared" si="1"/>
        <v>19</v>
      </c>
      <c r="O1823" s="26">
        <f>IF(operations[sinceLastOrder]=0,0,operations[orderQuantity] / operations[sinceLastOrder])</f>
        <v>0.2631578947</v>
      </c>
      <c r="P1823" s="9">
        <v>2.5</v>
      </c>
      <c r="Q1823" s="7" t="s">
        <v>17</v>
      </c>
      <c r="R1823" s="10">
        <f>operations[arrivedDate]-operations[shippedDate]</f>
        <v>12</v>
      </c>
    </row>
    <row r="1824" ht="15.75" customHeight="1">
      <c r="A1824" s="6">
        <v>10951.0</v>
      </c>
      <c r="B1824" s="24">
        <v>45367.0</v>
      </c>
      <c r="C1824" s="24">
        <v>45409.0</v>
      </c>
      <c r="D1824" s="24">
        <v>45389.0</v>
      </c>
      <c r="E1824" s="24">
        <v>45404.0</v>
      </c>
      <c r="F1824" s="6">
        <v>33.0</v>
      </c>
      <c r="G1824" s="9" t="str">
        <f>VLOOKUP(operations[productID],products[],2,FALSE)</f>
        <v>Geitost</v>
      </c>
      <c r="H1824" s="9" t="str">
        <f>IF(VLOOKUP(operations[productID],products[],7,FALSE)=1,"Discontinued","Current")</f>
        <v>Current</v>
      </c>
      <c r="I1824" s="6">
        <f>VLOOKUP(operations[productID],products[],4,FALSE)</f>
        <v>112</v>
      </c>
      <c r="J1824" s="6">
        <f>VLOOKUP(operations[productID],products[],5,FALSE)</f>
        <v>0</v>
      </c>
      <c r="K1824" s="6">
        <f>VLOOKUP(operations[productID],products[],6,FALSE)</f>
        <v>20</v>
      </c>
      <c r="L1824" s="10">
        <f t="array" ref="L1824">INDEX('1 orders'!I1824:I2156, MATCH(1, ('1 orders'!A1824:A2156=A1824)*('1 orders'!G1824:G2156=F1824), 0))
</f>
        <v>15</v>
      </c>
      <c r="M1824" s="10">
        <f>IFERROR(__xludf.DUMMYFUNCTION("COUNTUNIQUEIFS($A$2:$A1824,$F$2:$F1824,F1824)"),28.0)</f>
        <v>28</v>
      </c>
      <c r="N1824" s="10">
        <f t="shared" si="1"/>
        <v>18</v>
      </c>
      <c r="O1824" s="26">
        <f>IF(operations[sinceLastOrder]=0,0,operations[orderQuantity] / operations[sinceLastOrder])</f>
        <v>0.8333333333</v>
      </c>
      <c r="P1824" s="9">
        <v>30.85</v>
      </c>
      <c r="Q1824" s="7" t="s">
        <v>17</v>
      </c>
      <c r="R1824" s="10">
        <f>operations[arrivedDate]-operations[shippedDate]</f>
        <v>15</v>
      </c>
    </row>
    <row r="1825" ht="15.75" customHeight="1">
      <c r="A1825" s="6">
        <v>10951.0</v>
      </c>
      <c r="B1825" s="24">
        <v>45367.0</v>
      </c>
      <c r="C1825" s="24">
        <v>45409.0</v>
      </c>
      <c r="D1825" s="24">
        <v>45389.0</v>
      </c>
      <c r="E1825" s="24">
        <v>45404.0</v>
      </c>
      <c r="F1825" s="6">
        <v>41.0</v>
      </c>
      <c r="G1825" s="9" t="str">
        <f>VLOOKUP(operations[productID],products[],2,FALSE)</f>
        <v>Jack's New England Clam Chowder</v>
      </c>
      <c r="H1825" s="9" t="str">
        <f>IF(VLOOKUP(operations[productID],products[],7,FALSE)=1,"Discontinued","Current")</f>
        <v>Current</v>
      </c>
      <c r="I1825" s="6">
        <f>VLOOKUP(operations[productID],products[],4,FALSE)</f>
        <v>85</v>
      </c>
      <c r="J1825" s="6">
        <f>VLOOKUP(operations[productID],products[],5,FALSE)</f>
        <v>0</v>
      </c>
      <c r="K1825" s="6">
        <f>VLOOKUP(operations[productID],products[],6,FALSE)</f>
        <v>10</v>
      </c>
      <c r="L1825" s="10">
        <f t="array" ref="L1825">INDEX('1 orders'!I1825:I2156, MATCH(1, ('1 orders'!A1825:A2156=A1825)*('1 orders'!G1825:G2156=F1825), 0))
</f>
        <v>6</v>
      </c>
      <c r="M1825" s="10">
        <f>IFERROR(__xludf.DUMMYFUNCTION("COUNTUNIQUEIFS($A$2:$A1825,$F$2:$F1825,F1825)"),36.0)</f>
        <v>36</v>
      </c>
      <c r="N1825" s="10">
        <f t="shared" si="1"/>
        <v>19</v>
      </c>
      <c r="O1825" s="26">
        <f>IF(operations[sinceLastOrder]=0,0,operations[orderQuantity] / operations[sinceLastOrder])</f>
        <v>0.3157894737</v>
      </c>
      <c r="P1825" s="9">
        <v>30.85</v>
      </c>
      <c r="Q1825" s="7" t="s">
        <v>17</v>
      </c>
      <c r="R1825" s="10">
        <f>operations[arrivedDate]-operations[shippedDate]</f>
        <v>15</v>
      </c>
    </row>
    <row r="1826" ht="15.75" customHeight="1">
      <c r="A1826" s="6">
        <v>10951.0</v>
      </c>
      <c r="B1826" s="24">
        <v>45367.0</v>
      </c>
      <c r="C1826" s="24">
        <v>45409.0</v>
      </c>
      <c r="D1826" s="24">
        <v>45389.0</v>
      </c>
      <c r="E1826" s="24">
        <v>45404.0</v>
      </c>
      <c r="F1826" s="6">
        <v>75.0</v>
      </c>
      <c r="G1826" s="9" t="str">
        <f>VLOOKUP(operations[productID],products[],2,FALSE)</f>
        <v>Rhönbräu Klosterbier</v>
      </c>
      <c r="H1826" s="9" t="str">
        <f>IF(VLOOKUP(operations[productID],products[],7,FALSE)=1,"Discontinued","Current")</f>
        <v>Current</v>
      </c>
      <c r="I1826" s="6">
        <f>VLOOKUP(operations[productID],products[],4,FALSE)</f>
        <v>125</v>
      </c>
      <c r="J1826" s="6">
        <f>VLOOKUP(operations[productID],products[],5,FALSE)</f>
        <v>0</v>
      </c>
      <c r="K1826" s="6">
        <f>VLOOKUP(operations[productID],products[],6,FALSE)</f>
        <v>25</v>
      </c>
      <c r="L1826" s="10">
        <f t="array" ref="L1826">INDEX('1 orders'!I1826:I2156, MATCH(1, ('1 orders'!A1826:A2156=A1826)*('1 orders'!G1826:G2156=F1826), 0))
</f>
        <v>50</v>
      </c>
      <c r="M1826" s="10">
        <f>IFERROR(__xludf.DUMMYFUNCTION("COUNTUNIQUEIFS($A$2:$A1826,$F$2:$F1826,F1826)"),39.0)</f>
        <v>39</v>
      </c>
      <c r="N1826" s="10">
        <f t="shared" si="1"/>
        <v>10</v>
      </c>
      <c r="O1826" s="26">
        <f>IF(operations[sinceLastOrder]=0,0,operations[orderQuantity] / operations[sinceLastOrder])</f>
        <v>5</v>
      </c>
      <c r="P1826" s="9">
        <v>30.85</v>
      </c>
      <c r="Q1826" s="7" t="s">
        <v>17</v>
      </c>
      <c r="R1826" s="10">
        <f>operations[arrivedDate]-operations[shippedDate]</f>
        <v>15</v>
      </c>
    </row>
    <row r="1827" ht="15.75" customHeight="1">
      <c r="A1827" s="6">
        <v>10952.0</v>
      </c>
      <c r="B1827" s="24">
        <v>45367.0</v>
      </c>
      <c r="C1827" s="24">
        <v>45409.0</v>
      </c>
      <c r="D1827" s="24">
        <v>45375.0</v>
      </c>
      <c r="E1827" s="24">
        <v>45379.0</v>
      </c>
      <c r="F1827" s="6">
        <v>6.0</v>
      </c>
      <c r="G1827" s="9" t="str">
        <f>VLOOKUP(operations[productID],products[],2,FALSE)</f>
        <v>Grandma's Boysenberry Spread</v>
      </c>
      <c r="H1827" s="9" t="str">
        <f>IF(VLOOKUP(operations[productID],products[],7,FALSE)=1,"Discontinued","Current")</f>
        <v>Current</v>
      </c>
      <c r="I1827" s="6">
        <f>VLOOKUP(operations[productID],products[],4,FALSE)</f>
        <v>120</v>
      </c>
      <c r="J1827" s="6">
        <f>VLOOKUP(operations[productID],products[],5,FALSE)</f>
        <v>0</v>
      </c>
      <c r="K1827" s="6">
        <f>VLOOKUP(operations[productID],products[],6,FALSE)</f>
        <v>25</v>
      </c>
      <c r="L1827" s="10">
        <f t="array" ref="L1827">INDEX('1 orders'!I1827:I2156, MATCH(1, ('1 orders'!A1827:A2156=A1827)*('1 orders'!G1827:G2156=F1827), 0))
</f>
        <v>16</v>
      </c>
      <c r="M1827" s="10">
        <f>IFERROR(__xludf.DUMMYFUNCTION("COUNTUNIQUEIFS($A$2:$A1827,$F$2:$F1827,F1827)"),9.0)</f>
        <v>9</v>
      </c>
      <c r="N1827" s="10">
        <f t="shared" si="1"/>
        <v>3</v>
      </c>
      <c r="O1827" s="26">
        <f>IF(operations[sinceLastOrder]=0,0,operations[orderQuantity] / operations[sinceLastOrder])</f>
        <v>5.333333333</v>
      </c>
      <c r="P1827" s="9">
        <v>40.42</v>
      </c>
      <c r="Q1827" s="7" t="s">
        <v>15</v>
      </c>
      <c r="R1827" s="10">
        <f>operations[arrivedDate]-operations[shippedDate]</f>
        <v>4</v>
      </c>
    </row>
    <row r="1828" ht="15.75" customHeight="1">
      <c r="A1828" s="6">
        <v>10952.0</v>
      </c>
      <c r="B1828" s="24">
        <v>45367.0</v>
      </c>
      <c r="C1828" s="24">
        <v>45409.0</v>
      </c>
      <c r="D1828" s="24">
        <v>45375.0</v>
      </c>
      <c r="E1828" s="24">
        <v>45379.0</v>
      </c>
      <c r="F1828" s="6">
        <v>28.0</v>
      </c>
      <c r="G1828" s="9" t="str">
        <f>VLOOKUP(operations[productID],products[],2,FALSE)</f>
        <v>Rössle Sauerkraut</v>
      </c>
      <c r="H1828" s="9" t="str">
        <f>IF(VLOOKUP(operations[productID],products[],7,FALSE)=1,"Discontinued","Current")</f>
        <v>Discontinued</v>
      </c>
      <c r="I1828" s="6">
        <f>VLOOKUP(operations[productID],products[],4,FALSE)</f>
        <v>26</v>
      </c>
      <c r="J1828" s="6">
        <f>VLOOKUP(operations[productID],products[],5,FALSE)</f>
        <v>0</v>
      </c>
      <c r="K1828" s="6">
        <f>VLOOKUP(operations[productID],products[],6,FALSE)</f>
        <v>0</v>
      </c>
      <c r="L1828" s="10">
        <f t="array" ref="L1828">INDEX('1 orders'!I1828:I2156, MATCH(1, ('1 orders'!A1828:A2156=A1828)*('1 orders'!G1828:G2156=F1828), 0))
</f>
        <v>2</v>
      </c>
      <c r="M1828" s="10">
        <f>IFERROR(__xludf.DUMMYFUNCTION("COUNTUNIQUEIFS($A$2:$A1828,$F$2:$F1828,F1828)"),29.0)</f>
        <v>29</v>
      </c>
      <c r="N1828" s="10">
        <f t="shared" si="1"/>
        <v>6</v>
      </c>
      <c r="O1828" s="26">
        <f>IF(operations[sinceLastOrder]=0,0,operations[orderQuantity] / operations[sinceLastOrder])</f>
        <v>0.3333333333</v>
      </c>
      <c r="P1828" s="9">
        <v>40.42</v>
      </c>
      <c r="Q1828" s="7" t="s">
        <v>15</v>
      </c>
      <c r="R1828" s="10">
        <f>operations[arrivedDate]-operations[shippedDate]</f>
        <v>4</v>
      </c>
    </row>
    <row r="1829" ht="15.75" customHeight="1">
      <c r="A1829" s="6">
        <v>10953.0</v>
      </c>
      <c r="B1829" s="24">
        <v>45367.0</v>
      </c>
      <c r="C1829" s="24">
        <v>45381.0</v>
      </c>
      <c r="D1829" s="24">
        <v>45376.0</v>
      </c>
      <c r="E1829" s="24">
        <v>45384.0</v>
      </c>
      <c r="F1829" s="6">
        <v>20.0</v>
      </c>
      <c r="G1829" s="9" t="str">
        <f>VLOOKUP(operations[productID],products[],2,FALSE)</f>
        <v>Sir Rodney's Marmalade</v>
      </c>
      <c r="H1829" s="9" t="str">
        <f>IF(VLOOKUP(operations[productID],products[],7,FALSE)=1,"Discontinued","Current")</f>
        <v>Current</v>
      </c>
      <c r="I1829" s="6">
        <f>VLOOKUP(operations[productID],products[],4,FALSE)</f>
        <v>40</v>
      </c>
      <c r="J1829" s="6">
        <f>VLOOKUP(operations[productID],products[],5,FALSE)</f>
        <v>0</v>
      </c>
      <c r="K1829" s="6">
        <f>VLOOKUP(operations[productID],products[],6,FALSE)</f>
        <v>0</v>
      </c>
      <c r="L1829" s="10">
        <f t="array" ref="L1829">INDEX('1 orders'!I1829:I2156, MATCH(1, ('1 orders'!A1829:A2156=A1829)*('1 orders'!G1829:G2156=F1829), 0))
</f>
        <v>50</v>
      </c>
      <c r="M1829" s="10">
        <f>IFERROR(__xludf.DUMMYFUNCTION("COUNTUNIQUEIFS($A$2:$A1829,$F$2:$F1829,F1829)"),13.0)</f>
        <v>13</v>
      </c>
      <c r="N1829" s="10">
        <f t="shared" si="1"/>
        <v>11</v>
      </c>
      <c r="O1829" s="26">
        <f>IF(operations[sinceLastOrder]=0,0,operations[orderQuantity] / operations[sinceLastOrder])</f>
        <v>4.545454545</v>
      </c>
      <c r="P1829" s="9">
        <v>23.72</v>
      </c>
      <c r="Q1829" s="7" t="s">
        <v>17</v>
      </c>
      <c r="R1829" s="10">
        <f>operations[arrivedDate]-operations[shippedDate]</f>
        <v>8</v>
      </c>
    </row>
    <row r="1830" ht="15.75" customHeight="1">
      <c r="A1830" s="6">
        <v>10953.0</v>
      </c>
      <c r="B1830" s="24">
        <v>45367.0</v>
      </c>
      <c r="C1830" s="24">
        <v>45381.0</v>
      </c>
      <c r="D1830" s="24">
        <v>45376.0</v>
      </c>
      <c r="E1830" s="24">
        <v>45384.0</v>
      </c>
      <c r="F1830" s="6">
        <v>31.0</v>
      </c>
      <c r="G1830" s="9" t="str">
        <f>VLOOKUP(operations[productID],products[],2,FALSE)</f>
        <v>Gorgonzola Telino</v>
      </c>
      <c r="H1830" s="9" t="str">
        <f>IF(VLOOKUP(operations[productID],products[],7,FALSE)=1,"Discontinued","Current")</f>
        <v>Current</v>
      </c>
      <c r="I1830" s="6">
        <f>VLOOKUP(operations[productID],products[],4,FALSE)</f>
        <v>0</v>
      </c>
      <c r="J1830" s="6">
        <f>VLOOKUP(operations[productID],products[],5,FALSE)</f>
        <v>70</v>
      </c>
      <c r="K1830" s="6">
        <f>VLOOKUP(operations[productID],products[],6,FALSE)</f>
        <v>20</v>
      </c>
      <c r="L1830" s="10">
        <f t="array" ref="L1830">INDEX('1 orders'!I1830:I2156, MATCH(1, ('1 orders'!A1830:A2156=A1830)*('1 orders'!G1830:G2156=F1830), 0))
</f>
        <v>50</v>
      </c>
      <c r="M1830" s="10">
        <f>IFERROR(__xludf.DUMMYFUNCTION("COUNTUNIQUEIFS($A$2:$A1830,$F$2:$F1830,F1830)"),47.0)</f>
        <v>47</v>
      </c>
      <c r="N1830" s="10">
        <f t="shared" si="1"/>
        <v>4</v>
      </c>
      <c r="O1830" s="26">
        <f>IF(operations[sinceLastOrder]=0,0,operations[orderQuantity] / operations[sinceLastOrder])</f>
        <v>12.5</v>
      </c>
      <c r="P1830" s="9">
        <v>23.72</v>
      </c>
      <c r="Q1830" s="7" t="s">
        <v>17</v>
      </c>
      <c r="R1830" s="10">
        <f>operations[arrivedDate]-operations[shippedDate]</f>
        <v>8</v>
      </c>
    </row>
    <row r="1831" ht="15.75" customHeight="1">
      <c r="A1831" s="6">
        <v>10954.0</v>
      </c>
      <c r="B1831" s="24">
        <v>45368.0</v>
      </c>
      <c r="C1831" s="24">
        <v>45410.0</v>
      </c>
      <c r="D1831" s="24">
        <v>45371.0</v>
      </c>
      <c r="E1831" s="24">
        <v>45381.0</v>
      </c>
      <c r="F1831" s="6">
        <v>16.0</v>
      </c>
      <c r="G1831" s="9" t="str">
        <f>VLOOKUP(operations[productID],products[],2,FALSE)</f>
        <v>Pavlova</v>
      </c>
      <c r="H1831" s="9" t="str">
        <f>IF(VLOOKUP(operations[productID],products[],7,FALSE)=1,"Discontinued","Current")</f>
        <v>Current</v>
      </c>
      <c r="I1831" s="6">
        <f>VLOOKUP(operations[productID],products[],4,FALSE)</f>
        <v>29</v>
      </c>
      <c r="J1831" s="6">
        <f>VLOOKUP(operations[productID],products[],5,FALSE)</f>
        <v>0</v>
      </c>
      <c r="K1831" s="6">
        <f>VLOOKUP(operations[productID],products[],6,FALSE)</f>
        <v>10</v>
      </c>
      <c r="L1831" s="10">
        <f t="array" ref="L1831">INDEX('1 orders'!I1831:I2156, MATCH(1, ('1 orders'!A1831:A2156=A1831)*('1 orders'!G1831:G2156=F1831), 0))
</f>
        <v>28</v>
      </c>
      <c r="M1831" s="10">
        <f>IFERROR(__xludf.DUMMYFUNCTION("COUNTUNIQUEIFS($A$2:$A1831,$F$2:$F1831,F1831)"),37.0)</f>
        <v>37</v>
      </c>
      <c r="N1831" s="10">
        <f t="shared" si="1"/>
        <v>11</v>
      </c>
      <c r="O1831" s="26">
        <f>IF(operations[sinceLastOrder]=0,0,operations[orderQuantity] / operations[sinceLastOrder])</f>
        <v>2.545454545</v>
      </c>
      <c r="P1831" s="9">
        <v>27.91</v>
      </c>
      <c r="Q1831" s="7" t="s">
        <v>15</v>
      </c>
      <c r="R1831" s="10">
        <f>operations[arrivedDate]-operations[shippedDate]</f>
        <v>10</v>
      </c>
    </row>
    <row r="1832" ht="15.75" customHeight="1">
      <c r="A1832" s="6">
        <v>10954.0</v>
      </c>
      <c r="B1832" s="24">
        <v>45368.0</v>
      </c>
      <c r="C1832" s="24">
        <v>45410.0</v>
      </c>
      <c r="D1832" s="24">
        <v>45371.0</v>
      </c>
      <c r="E1832" s="24">
        <v>45381.0</v>
      </c>
      <c r="F1832" s="6">
        <v>31.0</v>
      </c>
      <c r="G1832" s="9" t="str">
        <f>VLOOKUP(operations[productID],products[],2,FALSE)</f>
        <v>Gorgonzola Telino</v>
      </c>
      <c r="H1832" s="9" t="str">
        <f>IF(VLOOKUP(operations[productID],products[],7,FALSE)=1,"Discontinued","Current")</f>
        <v>Current</v>
      </c>
      <c r="I1832" s="6">
        <f>VLOOKUP(operations[productID],products[],4,FALSE)</f>
        <v>0</v>
      </c>
      <c r="J1832" s="6">
        <f>VLOOKUP(operations[productID],products[],5,FALSE)</f>
        <v>70</v>
      </c>
      <c r="K1832" s="6">
        <f>VLOOKUP(operations[productID],products[],6,FALSE)</f>
        <v>20</v>
      </c>
      <c r="L1832" s="10">
        <f t="array" ref="L1832">INDEX('1 orders'!I1832:I2156, MATCH(1, ('1 orders'!A1832:A2156=A1832)*('1 orders'!G1832:G2156=F1832), 0))
</f>
        <v>25</v>
      </c>
      <c r="M1832" s="10">
        <f>IFERROR(__xludf.DUMMYFUNCTION("COUNTUNIQUEIFS($A$2:$A1832,$F$2:$F1832,F1832)"),48.0)</f>
        <v>48</v>
      </c>
      <c r="N1832" s="10">
        <f t="shared" si="1"/>
        <v>1</v>
      </c>
      <c r="O1832" s="26">
        <f>IF(operations[sinceLastOrder]=0,0,operations[orderQuantity] / operations[sinceLastOrder])</f>
        <v>25</v>
      </c>
      <c r="P1832" s="9">
        <v>27.91</v>
      </c>
      <c r="Q1832" s="7" t="s">
        <v>15</v>
      </c>
      <c r="R1832" s="10">
        <f>operations[arrivedDate]-operations[shippedDate]</f>
        <v>10</v>
      </c>
    </row>
    <row r="1833" ht="15.75" customHeight="1">
      <c r="A1833" s="6">
        <v>10954.0</v>
      </c>
      <c r="B1833" s="24">
        <v>45368.0</v>
      </c>
      <c r="C1833" s="24">
        <v>45410.0</v>
      </c>
      <c r="D1833" s="24">
        <v>45371.0</v>
      </c>
      <c r="E1833" s="24">
        <v>45381.0</v>
      </c>
      <c r="F1833" s="6">
        <v>45.0</v>
      </c>
      <c r="G1833" s="9" t="str">
        <f>VLOOKUP(operations[productID],products[],2,FALSE)</f>
        <v>Rogede sild</v>
      </c>
      <c r="H1833" s="9" t="str">
        <f>IF(VLOOKUP(operations[productID],products[],7,FALSE)=1,"Discontinued","Current")</f>
        <v>Current</v>
      </c>
      <c r="I1833" s="6">
        <f>VLOOKUP(operations[productID],products[],4,FALSE)</f>
        <v>5</v>
      </c>
      <c r="J1833" s="6">
        <f>VLOOKUP(operations[productID],products[],5,FALSE)</f>
        <v>70</v>
      </c>
      <c r="K1833" s="6">
        <f>VLOOKUP(operations[productID],products[],6,FALSE)</f>
        <v>15</v>
      </c>
      <c r="L1833" s="10">
        <f t="array" ref="L1833">INDEX('1 orders'!I1833:I2156, MATCH(1, ('1 orders'!A1833:A2156=A1833)*('1 orders'!G1833:G2156=F1833), 0))
</f>
        <v>30</v>
      </c>
      <c r="M1833" s="10">
        <f>IFERROR(__xludf.DUMMYFUNCTION("COUNTUNIQUEIFS($A$2:$A1833,$F$2:$F1833,F1833)"),13.0)</f>
        <v>13</v>
      </c>
      <c r="N1833" s="10">
        <f t="shared" si="1"/>
        <v>27</v>
      </c>
      <c r="O1833" s="26">
        <f>IF(operations[sinceLastOrder]=0,0,operations[orderQuantity] / operations[sinceLastOrder])</f>
        <v>1.111111111</v>
      </c>
      <c r="P1833" s="9">
        <v>27.91</v>
      </c>
      <c r="Q1833" s="7" t="s">
        <v>15</v>
      </c>
      <c r="R1833" s="10">
        <f>operations[arrivedDate]-operations[shippedDate]</f>
        <v>10</v>
      </c>
    </row>
    <row r="1834" ht="15.75" customHeight="1">
      <c r="A1834" s="6">
        <v>10954.0</v>
      </c>
      <c r="B1834" s="24">
        <v>45368.0</v>
      </c>
      <c r="C1834" s="24">
        <v>45410.0</v>
      </c>
      <c r="D1834" s="24">
        <v>45371.0</v>
      </c>
      <c r="E1834" s="24">
        <v>45381.0</v>
      </c>
      <c r="F1834" s="6">
        <v>60.0</v>
      </c>
      <c r="G1834" s="9" t="str">
        <f>VLOOKUP(operations[productID],products[],2,FALSE)</f>
        <v>Camembert Pierrot</v>
      </c>
      <c r="H1834" s="9" t="str">
        <f>IF(VLOOKUP(operations[productID],products[],7,FALSE)=1,"Discontinued","Current")</f>
        <v>Current</v>
      </c>
      <c r="I1834" s="6">
        <f>VLOOKUP(operations[productID],products[],4,FALSE)</f>
        <v>19</v>
      </c>
      <c r="J1834" s="6">
        <f>VLOOKUP(operations[productID],products[],5,FALSE)</f>
        <v>0</v>
      </c>
      <c r="K1834" s="6">
        <f>VLOOKUP(operations[productID],products[],6,FALSE)</f>
        <v>0</v>
      </c>
      <c r="L1834" s="10">
        <f t="array" ref="L1834">INDEX('1 orders'!I1834:I2156, MATCH(1, ('1 orders'!A1834:A2156=A1834)*('1 orders'!G1834:G2156=F1834), 0))
</f>
        <v>24</v>
      </c>
      <c r="M1834" s="10">
        <f>IFERROR(__xludf.DUMMYFUNCTION("COUNTUNIQUEIFS($A$2:$A1834,$F$2:$F1834,F1834)"),41.0)</f>
        <v>41</v>
      </c>
      <c r="N1834" s="10">
        <f t="shared" si="1"/>
        <v>7</v>
      </c>
      <c r="O1834" s="26">
        <f>IF(operations[sinceLastOrder]=0,0,operations[orderQuantity] / operations[sinceLastOrder])</f>
        <v>3.428571429</v>
      </c>
      <c r="P1834" s="9">
        <v>27.91</v>
      </c>
      <c r="Q1834" s="7" t="s">
        <v>15</v>
      </c>
      <c r="R1834" s="10">
        <f>operations[arrivedDate]-operations[shippedDate]</f>
        <v>10</v>
      </c>
    </row>
    <row r="1835" ht="15.75" customHeight="1">
      <c r="A1835" s="6">
        <v>10955.0</v>
      </c>
      <c r="B1835" s="24">
        <v>45368.0</v>
      </c>
      <c r="C1835" s="24">
        <v>45396.0</v>
      </c>
      <c r="D1835" s="24">
        <v>45371.0</v>
      </c>
      <c r="E1835" s="24">
        <v>45383.0</v>
      </c>
      <c r="F1835" s="6">
        <v>75.0</v>
      </c>
      <c r="G1835" s="9" t="str">
        <f>VLOOKUP(operations[productID],products[],2,FALSE)</f>
        <v>Rhönbräu Klosterbier</v>
      </c>
      <c r="H1835" s="9" t="str">
        <f>IF(VLOOKUP(operations[productID],products[],7,FALSE)=1,"Discontinued","Current")</f>
        <v>Current</v>
      </c>
      <c r="I1835" s="6">
        <f>VLOOKUP(operations[productID],products[],4,FALSE)</f>
        <v>125</v>
      </c>
      <c r="J1835" s="6">
        <f>VLOOKUP(operations[productID],products[],5,FALSE)</f>
        <v>0</v>
      </c>
      <c r="K1835" s="6">
        <f>VLOOKUP(operations[productID],products[],6,FALSE)</f>
        <v>25</v>
      </c>
      <c r="L1835" s="10">
        <f t="array" ref="L1835">INDEX('1 orders'!I1835:I2156, MATCH(1, ('1 orders'!A1835:A2156=A1835)*('1 orders'!G1835:G2156=F1835), 0))
</f>
        <v>12</v>
      </c>
      <c r="M1835" s="10">
        <f>IFERROR(__xludf.DUMMYFUNCTION("COUNTUNIQUEIFS($A$2:$A1835,$F$2:$F1835,F1835)"),40.0)</f>
        <v>40</v>
      </c>
      <c r="N1835" s="10">
        <f t="shared" si="1"/>
        <v>1</v>
      </c>
      <c r="O1835" s="26">
        <f>IF(operations[sinceLastOrder]=0,0,operations[orderQuantity] / operations[sinceLastOrder])</f>
        <v>12</v>
      </c>
      <c r="P1835" s="9">
        <v>3.26</v>
      </c>
      <c r="Q1835" s="7" t="s">
        <v>17</v>
      </c>
      <c r="R1835" s="10">
        <f>operations[arrivedDate]-operations[shippedDate]</f>
        <v>12</v>
      </c>
    </row>
    <row r="1836" ht="15.75" customHeight="1">
      <c r="A1836" s="6">
        <v>10956.0</v>
      </c>
      <c r="B1836" s="24">
        <v>45368.0</v>
      </c>
      <c r="C1836" s="24">
        <v>45410.0</v>
      </c>
      <c r="D1836" s="24">
        <v>45371.0</v>
      </c>
      <c r="E1836" s="24">
        <v>45380.0</v>
      </c>
      <c r="F1836" s="6">
        <v>21.0</v>
      </c>
      <c r="G1836" s="9" t="str">
        <f>VLOOKUP(operations[productID],products[],2,FALSE)</f>
        <v>Sir Rodney's Scones</v>
      </c>
      <c r="H1836" s="9" t="str">
        <f>IF(VLOOKUP(operations[productID],products[],7,FALSE)=1,"Discontinued","Current")</f>
        <v>Current</v>
      </c>
      <c r="I1836" s="6">
        <f>VLOOKUP(operations[productID],products[],4,FALSE)</f>
        <v>3</v>
      </c>
      <c r="J1836" s="6">
        <f>VLOOKUP(operations[productID],products[],5,FALSE)</f>
        <v>40</v>
      </c>
      <c r="K1836" s="6">
        <f>VLOOKUP(operations[productID],products[],6,FALSE)</f>
        <v>5</v>
      </c>
      <c r="L1836" s="10">
        <f t="array" ref="L1836">INDEX('1 orders'!I1836:I2156, MATCH(1, ('1 orders'!A1836:A2156=A1836)*('1 orders'!G1836:G2156=F1836), 0))
</f>
        <v>12</v>
      </c>
      <c r="M1836" s="10">
        <f>IFERROR(__xludf.DUMMYFUNCTION("COUNTUNIQUEIFS($A$2:$A1836,$F$2:$F1836,F1836)"),34.0)</f>
        <v>34</v>
      </c>
      <c r="N1836" s="10">
        <f t="shared" si="1"/>
        <v>11</v>
      </c>
      <c r="O1836" s="26">
        <f>IF(operations[sinceLastOrder]=0,0,operations[orderQuantity] / operations[sinceLastOrder])</f>
        <v>1.090909091</v>
      </c>
      <c r="P1836" s="9">
        <v>44.65</v>
      </c>
      <c r="Q1836" s="7" t="s">
        <v>17</v>
      </c>
      <c r="R1836" s="10">
        <f>operations[arrivedDate]-operations[shippedDate]</f>
        <v>9</v>
      </c>
    </row>
    <row r="1837" ht="15.75" customHeight="1">
      <c r="A1837" s="6">
        <v>10956.0</v>
      </c>
      <c r="B1837" s="24">
        <v>45368.0</v>
      </c>
      <c r="C1837" s="24">
        <v>45410.0</v>
      </c>
      <c r="D1837" s="24">
        <v>45371.0</v>
      </c>
      <c r="E1837" s="24">
        <v>45380.0</v>
      </c>
      <c r="F1837" s="6">
        <v>47.0</v>
      </c>
      <c r="G1837" s="9" t="str">
        <f>VLOOKUP(operations[productID],products[],2,FALSE)</f>
        <v>Zaanse koeken</v>
      </c>
      <c r="H1837" s="9" t="str">
        <f>IF(VLOOKUP(operations[productID],products[],7,FALSE)=1,"Discontinued","Current")</f>
        <v>Current</v>
      </c>
      <c r="I1837" s="6">
        <f>VLOOKUP(operations[productID],products[],4,FALSE)</f>
        <v>36</v>
      </c>
      <c r="J1837" s="6">
        <f>VLOOKUP(operations[productID],products[],5,FALSE)</f>
        <v>0</v>
      </c>
      <c r="K1837" s="6">
        <f>VLOOKUP(operations[productID],products[],6,FALSE)</f>
        <v>0</v>
      </c>
      <c r="L1837" s="10">
        <f t="array" ref="L1837">INDEX('1 orders'!I1837:I2156, MATCH(1, ('1 orders'!A1837:A2156=A1837)*('1 orders'!G1837:G2156=F1837), 0))
</f>
        <v>14</v>
      </c>
      <c r="M1837" s="10">
        <f>IFERROR(__xludf.DUMMYFUNCTION("COUNTUNIQUEIFS($A$2:$A1837,$F$2:$F1837,F1837)"),20.0)</f>
        <v>20</v>
      </c>
      <c r="N1837" s="10">
        <f t="shared" si="1"/>
        <v>12</v>
      </c>
      <c r="O1837" s="26">
        <f>IF(operations[sinceLastOrder]=0,0,operations[orderQuantity] / operations[sinceLastOrder])</f>
        <v>1.166666667</v>
      </c>
      <c r="P1837" s="9">
        <v>44.65</v>
      </c>
      <c r="Q1837" s="7" t="s">
        <v>17</v>
      </c>
      <c r="R1837" s="10">
        <f>operations[arrivedDate]-operations[shippedDate]</f>
        <v>9</v>
      </c>
    </row>
    <row r="1838" ht="15.75" customHeight="1">
      <c r="A1838" s="6">
        <v>10956.0</v>
      </c>
      <c r="B1838" s="24">
        <v>45368.0</v>
      </c>
      <c r="C1838" s="24">
        <v>45410.0</v>
      </c>
      <c r="D1838" s="24">
        <v>45371.0</v>
      </c>
      <c r="E1838" s="24">
        <v>45380.0</v>
      </c>
      <c r="F1838" s="6">
        <v>51.0</v>
      </c>
      <c r="G1838" s="9" t="str">
        <f>VLOOKUP(operations[productID],products[],2,FALSE)</f>
        <v>Manjimup Dried Apples</v>
      </c>
      <c r="H1838" s="9" t="str">
        <f>IF(VLOOKUP(operations[productID],products[],7,FALSE)=1,"Discontinued","Current")</f>
        <v>Current</v>
      </c>
      <c r="I1838" s="6">
        <f>VLOOKUP(operations[productID],products[],4,FALSE)</f>
        <v>20</v>
      </c>
      <c r="J1838" s="6">
        <f>VLOOKUP(operations[productID],products[],5,FALSE)</f>
        <v>0</v>
      </c>
      <c r="K1838" s="6">
        <f>VLOOKUP(operations[productID],products[],6,FALSE)</f>
        <v>10</v>
      </c>
      <c r="L1838" s="10">
        <f t="array" ref="L1838">INDEX('1 orders'!I1838:I2156, MATCH(1, ('1 orders'!A1838:A2156=A1838)*('1 orders'!G1838:G2156=F1838), 0))
</f>
        <v>8</v>
      </c>
      <c r="M1838" s="10">
        <f>IFERROR(__xludf.DUMMYFUNCTION("COUNTUNIQUEIFS($A$2:$A1838,$F$2:$F1838,F1838)"),31.0)</f>
        <v>31</v>
      </c>
      <c r="N1838" s="10">
        <f t="shared" si="1"/>
        <v>4</v>
      </c>
      <c r="O1838" s="26">
        <f>IF(operations[sinceLastOrder]=0,0,operations[orderQuantity] / operations[sinceLastOrder])</f>
        <v>2</v>
      </c>
      <c r="P1838" s="9">
        <v>44.65</v>
      </c>
      <c r="Q1838" s="7" t="s">
        <v>17</v>
      </c>
      <c r="R1838" s="10">
        <f>operations[arrivedDate]-operations[shippedDate]</f>
        <v>9</v>
      </c>
    </row>
    <row r="1839" ht="15.75" customHeight="1">
      <c r="A1839" s="6">
        <v>10957.0</v>
      </c>
      <c r="B1839" s="24">
        <v>45369.0</v>
      </c>
      <c r="C1839" s="24">
        <v>45397.0</v>
      </c>
      <c r="D1839" s="24">
        <v>45378.0</v>
      </c>
      <c r="E1839" s="24">
        <v>45390.0</v>
      </c>
      <c r="F1839" s="6">
        <v>30.0</v>
      </c>
      <c r="G1839" s="9" t="str">
        <f>VLOOKUP(operations[productID],products[],2,FALSE)</f>
        <v>Nord-Ost Matjeshering</v>
      </c>
      <c r="H1839" s="9" t="str">
        <f>IF(VLOOKUP(operations[productID],products[],7,FALSE)=1,"Discontinued","Current")</f>
        <v>Current</v>
      </c>
      <c r="I1839" s="6">
        <f>VLOOKUP(operations[productID],products[],4,FALSE)</f>
        <v>10</v>
      </c>
      <c r="J1839" s="6">
        <f>VLOOKUP(operations[productID],products[],5,FALSE)</f>
        <v>0</v>
      </c>
      <c r="K1839" s="6">
        <f>VLOOKUP(operations[productID],products[],6,FALSE)</f>
        <v>15</v>
      </c>
      <c r="L1839" s="10">
        <f t="array" ref="L1839">INDEX('1 orders'!I1839:I2156, MATCH(1, ('1 orders'!A1839:A2156=A1839)*('1 orders'!G1839:G2156=F1839), 0))
</f>
        <v>30</v>
      </c>
      <c r="M1839" s="10">
        <f>IFERROR(__xludf.DUMMYFUNCTION("COUNTUNIQUEIFS($A$2:$A1839,$F$2:$F1839,F1839)"),30.0)</f>
        <v>30</v>
      </c>
      <c r="N1839" s="10">
        <f t="shared" si="1"/>
        <v>16</v>
      </c>
      <c r="O1839" s="26">
        <f>IF(operations[sinceLastOrder]=0,0,operations[orderQuantity] / operations[sinceLastOrder])</f>
        <v>1.875</v>
      </c>
      <c r="P1839" s="9">
        <v>105.36</v>
      </c>
      <c r="Q1839" s="7" t="s">
        <v>13</v>
      </c>
      <c r="R1839" s="10">
        <f>operations[arrivedDate]-operations[shippedDate]</f>
        <v>12</v>
      </c>
    </row>
    <row r="1840" ht="15.75" customHeight="1">
      <c r="A1840" s="6">
        <v>10957.0</v>
      </c>
      <c r="B1840" s="24">
        <v>45369.0</v>
      </c>
      <c r="C1840" s="24">
        <v>45397.0</v>
      </c>
      <c r="D1840" s="24">
        <v>45378.0</v>
      </c>
      <c r="E1840" s="24">
        <v>45390.0</v>
      </c>
      <c r="F1840" s="6">
        <v>35.0</v>
      </c>
      <c r="G1840" s="9" t="str">
        <f>VLOOKUP(operations[productID],products[],2,FALSE)</f>
        <v>Cold Brew Nitro</v>
      </c>
      <c r="H1840" s="9" t="str">
        <f>IF(VLOOKUP(operations[productID],products[],7,FALSE)=1,"Discontinued","Current")</f>
        <v>Current</v>
      </c>
      <c r="I1840" s="6">
        <f>VLOOKUP(operations[productID],products[],4,FALSE)</f>
        <v>20</v>
      </c>
      <c r="J1840" s="6">
        <f>VLOOKUP(operations[productID],products[],5,FALSE)</f>
        <v>0</v>
      </c>
      <c r="K1840" s="6">
        <f>VLOOKUP(operations[productID],products[],6,FALSE)</f>
        <v>15</v>
      </c>
      <c r="L1840" s="10">
        <f t="array" ref="L1840">INDEX('1 orders'!I1840:I2156, MATCH(1, ('1 orders'!A1840:A2156=A1840)*('1 orders'!G1840:G2156=F1840), 0))
</f>
        <v>40</v>
      </c>
      <c r="M1840" s="10">
        <f>IFERROR(__xludf.DUMMYFUNCTION("COUNTUNIQUEIFS($A$2:$A1840,$F$2:$F1840,F1840)"),32.0)</f>
        <v>32</v>
      </c>
      <c r="N1840" s="10">
        <f t="shared" si="1"/>
        <v>15</v>
      </c>
      <c r="O1840" s="26">
        <f>IF(operations[sinceLastOrder]=0,0,operations[orderQuantity] / operations[sinceLastOrder])</f>
        <v>2.666666667</v>
      </c>
      <c r="P1840" s="9">
        <v>105.36</v>
      </c>
      <c r="Q1840" s="7" t="s">
        <v>13</v>
      </c>
      <c r="R1840" s="10">
        <f>operations[arrivedDate]-operations[shippedDate]</f>
        <v>12</v>
      </c>
    </row>
    <row r="1841" ht="15.75" customHeight="1">
      <c r="A1841" s="6">
        <v>10957.0</v>
      </c>
      <c r="B1841" s="24">
        <v>45369.0</v>
      </c>
      <c r="C1841" s="24">
        <v>45397.0</v>
      </c>
      <c r="D1841" s="24">
        <v>45378.0</v>
      </c>
      <c r="E1841" s="24">
        <v>45390.0</v>
      </c>
      <c r="F1841" s="6">
        <v>64.0</v>
      </c>
      <c r="G1841" s="9" t="str">
        <f>VLOOKUP(operations[productID],products[],2,FALSE)</f>
        <v>Lukas' leckere Sauerteigweggla</v>
      </c>
      <c r="H1841" s="9" t="str">
        <f>IF(VLOOKUP(operations[productID],products[],7,FALSE)=1,"Discontinued","Current")</f>
        <v>Current</v>
      </c>
      <c r="I1841" s="6">
        <f>VLOOKUP(operations[productID],products[],4,FALSE)</f>
        <v>22</v>
      </c>
      <c r="J1841" s="6">
        <f>VLOOKUP(operations[productID],products[],5,FALSE)</f>
        <v>80</v>
      </c>
      <c r="K1841" s="6">
        <f>VLOOKUP(operations[productID],products[],6,FALSE)</f>
        <v>30</v>
      </c>
      <c r="L1841" s="10">
        <f t="array" ref="L1841">INDEX('1 orders'!I1841:I2156, MATCH(1, ('1 orders'!A1841:A2156=A1841)*('1 orders'!G1841:G2156=F1841), 0))
</f>
        <v>8</v>
      </c>
      <c r="M1841" s="10">
        <f>IFERROR(__xludf.DUMMYFUNCTION("COUNTUNIQUEIFS($A$2:$A1841,$F$2:$F1841,F1841)"),25.0)</f>
        <v>25</v>
      </c>
      <c r="N1841" s="10">
        <f t="shared" si="1"/>
        <v>38</v>
      </c>
      <c r="O1841" s="26">
        <f>IF(operations[sinceLastOrder]=0,0,operations[orderQuantity] / operations[sinceLastOrder])</f>
        <v>0.2105263158</v>
      </c>
      <c r="P1841" s="9">
        <v>105.36</v>
      </c>
      <c r="Q1841" s="7" t="s">
        <v>13</v>
      </c>
      <c r="R1841" s="10">
        <f>operations[arrivedDate]-operations[shippedDate]</f>
        <v>12</v>
      </c>
    </row>
    <row r="1842" ht="15.75" customHeight="1">
      <c r="A1842" s="6">
        <v>10958.0</v>
      </c>
      <c r="B1842" s="24">
        <v>45369.0</v>
      </c>
      <c r="C1842" s="24">
        <v>45397.0</v>
      </c>
      <c r="D1842" s="24">
        <v>45378.0</v>
      </c>
      <c r="E1842" s="24">
        <v>45394.0</v>
      </c>
      <c r="F1842" s="6">
        <v>5.0</v>
      </c>
      <c r="G1842" s="9" t="str">
        <f>VLOOKUP(operations[productID],products[],2,FALSE)</f>
        <v>Chef Anton's Gumbo Mix</v>
      </c>
      <c r="H1842" s="9" t="str">
        <f>IF(VLOOKUP(operations[productID],products[],7,FALSE)=1,"Discontinued","Current")</f>
        <v>Discontinued</v>
      </c>
      <c r="I1842" s="6">
        <f>VLOOKUP(operations[productID],products[],4,FALSE)</f>
        <v>0</v>
      </c>
      <c r="J1842" s="6">
        <f>VLOOKUP(operations[productID],products[],5,FALSE)</f>
        <v>0</v>
      </c>
      <c r="K1842" s="6">
        <f>VLOOKUP(operations[productID],products[],6,FALSE)</f>
        <v>0</v>
      </c>
      <c r="L1842" s="10">
        <f t="array" ref="L1842">INDEX('1 orders'!I1842:I2156, MATCH(1, ('1 orders'!A1842:A2156=A1842)*('1 orders'!G1842:G2156=F1842), 0))
</f>
        <v>20</v>
      </c>
      <c r="M1842" s="10">
        <f>IFERROR(__xludf.DUMMYFUNCTION("COUNTUNIQUEIFS($A$2:$A1842,$F$2:$F1842,F1842)"),8.0)</f>
        <v>8</v>
      </c>
      <c r="N1842" s="10">
        <f t="shared" si="1"/>
        <v>55</v>
      </c>
      <c r="O1842" s="26">
        <f>IF(operations[sinceLastOrder]=0,0,operations[orderQuantity] / operations[sinceLastOrder])</f>
        <v>0.3636363636</v>
      </c>
      <c r="P1842" s="9">
        <v>49.56</v>
      </c>
      <c r="Q1842" s="7" t="s">
        <v>17</v>
      </c>
      <c r="R1842" s="10">
        <f>operations[arrivedDate]-operations[shippedDate]</f>
        <v>16</v>
      </c>
    </row>
    <row r="1843" ht="15.75" customHeight="1">
      <c r="A1843" s="6">
        <v>10958.0</v>
      </c>
      <c r="B1843" s="24">
        <v>45369.0</v>
      </c>
      <c r="C1843" s="24">
        <v>45397.0</v>
      </c>
      <c r="D1843" s="24">
        <v>45378.0</v>
      </c>
      <c r="E1843" s="24">
        <v>45394.0</v>
      </c>
      <c r="F1843" s="6">
        <v>7.0</v>
      </c>
      <c r="G1843" s="9" t="str">
        <f>VLOOKUP(operations[productID],products[],2,FALSE)</f>
        <v>Uncle Bob's Organic Dried Pears</v>
      </c>
      <c r="H1843" s="9" t="str">
        <f>IF(VLOOKUP(operations[productID],products[],7,FALSE)=1,"Discontinued","Current")</f>
        <v>Current</v>
      </c>
      <c r="I1843" s="6">
        <f>VLOOKUP(operations[productID],products[],4,FALSE)</f>
        <v>15</v>
      </c>
      <c r="J1843" s="6">
        <f>VLOOKUP(operations[productID],products[],5,FALSE)</f>
        <v>0</v>
      </c>
      <c r="K1843" s="6">
        <f>VLOOKUP(operations[productID],products[],6,FALSE)</f>
        <v>10</v>
      </c>
      <c r="L1843" s="10">
        <f t="array" ref="L1843">INDEX('1 orders'!I1843:I2156, MATCH(1, ('1 orders'!A1843:A2156=A1843)*('1 orders'!G1843:G2156=F1843), 0))
</f>
        <v>6</v>
      </c>
      <c r="M1843" s="10">
        <f>IFERROR(__xludf.DUMMYFUNCTION("COUNTUNIQUEIFS($A$2:$A1843,$F$2:$F1843,F1843)"),18.0)</f>
        <v>18</v>
      </c>
      <c r="N1843" s="10">
        <f t="shared" si="1"/>
        <v>7</v>
      </c>
      <c r="O1843" s="26">
        <f>IF(operations[sinceLastOrder]=0,0,operations[orderQuantity] / operations[sinceLastOrder])</f>
        <v>0.8571428571</v>
      </c>
      <c r="P1843" s="9">
        <v>49.56</v>
      </c>
      <c r="Q1843" s="7" t="s">
        <v>17</v>
      </c>
      <c r="R1843" s="10">
        <f>operations[arrivedDate]-operations[shippedDate]</f>
        <v>16</v>
      </c>
    </row>
    <row r="1844" ht="15.75" customHeight="1">
      <c r="A1844" s="6">
        <v>10958.0</v>
      </c>
      <c r="B1844" s="24">
        <v>45369.0</v>
      </c>
      <c r="C1844" s="24">
        <v>45397.0</v>
      </c>
      <c r="D1844" s="24">
        <v>45378.0</v>
      </c>
      <c r="E1844" s="24">
        <v>45394.0</v>
      </c>
      <c r="F1844" s="6">
        <v>72.0</v>
      </c>
      <c r="G1844" s="9" t="str">
        <f>VLOOKUP(operations[productID],products[],2,FALSE)</f>
        <v>Mozzarella di Giovanni</v>
      </c>
      <c r="H1844" s="9" t="str">
        <f>IF(VLOOKUP(operations[productID],products[],7,FALSE)=1,"Discontinued","Current")</f>
        <v>Current</v>
      </c>
      <c r="I1844" s="6">
        <f>VLOOKUP(operations[productID],products[],4,FALSE)</f>
        <v>14</v>
      </c>
      <c r="J1844" s="6">
        <f>VLOOKUP(operations[productID],products[],5,FALSE)</f>
        <v>0</v>
      </c>
      <c r="K1844" s="6">
        <f>VLOOKUP(operations[productID],products[],6,FALSE)</f>
        <v>0</v>
      </c>
      <c r="L1844" s="10">
        <f t="array" ref="L1844">INDEX('1 orders'!I1844:I2156, MATCH(1, ('1 orders'!A1844:A2156=A1844)*('1 orders'!G1844:G2156=F1844), 0))
</f>
        <v>5</v>
      </c>
      <c r="M1844" s="10">
        <f>IFERROR(__xludf.DUMMYFUNCTION("COUNTUNIQUEIFS($A$2:$A1844,$F$2:$F1844,F1844)"),35.0)</f>
        <v>35</v>
      </c>
      <c r="N1844" s="10">
        <f t="shared" si="1"/>
        <v>7</v>
      </c>
      <c r="O1844" s="26">
        <f>IF(operations[sinceLastOrder]=0,0,operations[orderQuantity] / operations[sinceLastOrder])</f>
        <v>0.7142857143</v>
      </c>
      <c r="P1844" s="9">
        <v>49.56</v>
      </c>
      <c r="Q1844" s="7" t="s">
        <v>17</v>
      </c>
      <c r="R1844" s="10">
        <f>operations[arrivedDate]-operations[shippedDate]</f>
        <v>16</v>
      </c>
    </row>
    <row r="1845" ht="15.75" customHeight="1">
      <c r="A1845" s="6">
        <v>10959.0</v>
      </c>
      <c r="B1845" s="24">
        <v>45369.0</v>
      </c>
      <c r="C1845" s="24">
        <v>45411.0</v>
      </c>
      <c r="D1845" s="24">
        <v>45374.0</v>
      </c>
      <c r="E1845" s="24">
        <v>45392.0</v>
      </c>
      <c r="F1845" s="6">
        <v>75.0</v>
      </c>
      <c r="G1845" s="9" t="str">
        <f>VLOOKUP(operations[productID],products[],2,FALSE)</f>
        <v>Rhönbräu Klosterbier</v>
      </c>
      <c r="H1845" s="9" t="str">
        <f>IF(VLOOKUP(operations[productID],products[],7,FALSE)=1,"Discontinued","Current")</f>
        <v>Current</v>
      </c>
      <c r="I1845" s="6">
        <f>VLOOKUP(operations[productID],products[],4,FALSE)</f>
        <v>125</v>
      </c>
      <c r="J1845" s="6">
        <f>VLOOKUP(operations[productID],products[],5,FALSE)</f>
        <v>0</v>
      </c>
      <c r="K1845" s="6">
        <f>VLOOKUP(operations[productID],products[],6,FALSE)</f>
        <v>25</v>
      </c>
      <c r="L1845" s="10">
        <f t="array" ref="L1845">INDEX('1 orders'!I1845:I2156, MATCH(1, ('1 orders'!A1845:A2156=A1845)*('1 orders'!G1845:G2156=F1845), 0))
</f>
        <v>20</v>
      </c>
      <c r="M1845" s="10">
        <f>IFERROR(__xludf.DUMMYFUNCTION("COUNTUNIQUEIFS($A$2:$A1845,$F$2:$F1845,F1845)"),41.0)</f>
        <v>41</v>
      </c>
      <c r="N1845" s="10">
        <f t="shared" si="1"/>
        <v>1</v>
      </c>
      <c r="O1845" s="26">
        <f>IF(operations[sinceLastOrder]=0,0,operations[orderQuantity] / operations[sinceLastOrder])</f>
        <v>20</v>
      </c>
      <c r="P1845" s="9">
        <v>4.98</v>
      </c>
      <c r="Q1845" s="7" t="s">
        <v>17</v>
      </c>
      <c r="R1845" s="10">
        <f>operations[arrivedDate]-operations[shippedDate]</f>
        <v>18</v>
      </c>
    </row>
    <row r="1846" ht="15.75" customHeight="1">
      <c r="A1846" s="6">
        <v>10960.0</v>
      </c>
      <c r="B1846" s="24">
        <v>45370.0</v>
      </c>
      <c r="C1846" s="24">
        <v>45384.0</v>
      </c>
      <c r="D1846" s="24">
        <v>45390.0</v>
      </c>
      <c r="E1846" s="24">
        <v>45398.0</v>
      </c>
      <c r="F1846" s="6">
        <v>24.0</v>
      </c>
      <c r="G1846" s="9" t="str">
        <f>VLOOKUP(operations[productID],products[],2,FALSE)</f>
        <v>Brigadeiros Maravilhosos da Lilian</v>
      </c>
      <c r="H1846" s="9" t="str">
        <f>IF(VLOOKUP(operations[productID],products[],7,FALSE)=1,"Discontinued","Current")</f>
        <v>Discontinued</v>
      </c>
      <c r="I1846" s="6">
        <f>VLOOKUP(operations[productID],products[],4,FALSE)</f>
        <v>20</v>
      </c>
      <c r="J1846" s="6">
        <f>VLOOKUP(operations[productID],products[],5,FALSE)</f>
        <v>0</v>
      </c>
      <c r="K1846" s="6">
        <f>VLOOKUP(operations[productID],products[],6,FALSE)</f>
        <v>0</v>
      </c>
      <c r="L1846" s="10">
        <f t="array" ref="L1846">INDEX('1 orders'!I1846:I2156, MATCH(1, ('1 orders'!A1846:A2156=A1846)*('1 orders'!G1846:G2156=F1846), 0))
</f>
        <v>10</v>
      </c>
      <c r="M1846" s="10">
        <f>IFERROR(__xludf.DUMMYFUNCTION("COUNTUNIQUEIFS($A$2:$A1846,$F$2:$F1846,F1846)"),39.0)</f>
        <v>39</v>
      </c>
      <c r="N1846" s="10">
        <f t="shared" si="1"/>
        <v>7</v>
      </c>
      <c r="O1846" s="26">
        <f>IF(operations[sinceLastOrder]=0,0,operations[orderQuantity] / operations[sinceLastOrder])</f>
        <v>1.428571429</v>
      </c>
      <c r="P1846" s="9">
        <v>2.08</v>
      </c>
      <c r="Q1846" s="7" t="s">
        <v>15</v>
      </c>
      <c r="R1846" s="10">
        <f>operations[arrivedDate]-operations[shippedDate]</f>
        <v>8</v>
      </c>
    </row>
    <row r="1847" ht="15.75" customHeight="1">
      <c r="A1847" s="6">
        <v>10960.0</v>
      </c>
      <c r="B1847" s="24">
        <v>45370.0</v>
      </c>
      <c r="C1847" s="24">
        <v>45384.0</v>
      </c>
      <c r="D1847" s="24">
        <v>45390.0</v>
      </c>
      <c r="E1847" s="24">
        <v>45398.0</v>
      </c>
      <c r="F1847" s="6">
        <v>41.0</v>
      </c>
      <c r="G1847" s="9" t="str">
        <f>VLOOKUP(operations[productID],products[],2,FALSE)</f>
        <v>Jack's New England Clam Chowder</v>
      </c>
      <c r="H1847" s="9" t="str">
        <f>IF(VLOOKUP(operations[productID],products[],7,FALSE)=1,"Discontinued","Current")</f>
        <v>Current</v>
      </c>
      <c r="I1847" s="6">
        <f>VLOOKUP(operations[productID],products[],4,FALSE)</f>
        <v>85</v>
      </c>
      <c r="J1847" s="6">
        <f>VLOOKUP(operations[productID],products[],5,FALSE)</f>
        <v>0</v>
      </c>
      <c r="K1847" s="6">
        <f>VLOOKUP(operations[productID],products[],6,FALSE)</f>
        <v>10</v>
      </c>
      <c r="L1847" s="10">
        <f t="array" ref="L1847">INDEX('1 orders'!I1847:I2156, MATCH(1, ('1 orders'!A1847:A2156=A1847)*('1 orders'!G1847:G2156=F1847), 0))
</f>
        <v>24</v>
      </c>
      <c r="M1847" s="10">
        <f>IFERROR(__xludf.DUMMYFUNCTION("COUNTUNIQUEIFS($A$2:$A1847,$F$2:$F1847,F1847)"),37.0)</f>
        <v>37</v>
      </c>
      <c r="N1847" s="10">
        <f t="shared" si="1"/>
        <v>3</v>
      </c>
      <c r="O1847" s="26">
        <f>IF(operations[sinceLastOrder]=0,0,operations[orderQuantity] / operations[sinceLastOrder])</f>
        <v>8</v>
      </c>
      <c r="P1847" s="9">
        <v>2.08</v>
      </c>
      <c r="Q1847" s="7" t="s">
        <v>15</v>
      </c>
      <c r="R1847" s="10">
        <f>operations[arrivedDate]-operations[shippedDate]</f>
        <v>8</v>
      </c>
    </row>
    <row r="1848" ht="15.75" customHeight="1">
      <c r="A1848" s="6">
        <v>10961.0</v>
      </c>
      <c r="B1848" s="24">
        <v>45370.0</v>
      </c>
      <c r="C1848" s="24">
        <v>45398.0</v>
      </c>
      <c r="D1848" s="24">
        <v>45381.0</v>
      </c>
      <c r="E1848" s="24">
        <v>45398.0</v>
      </c>
      <c r="F1848" s="6">
        <v>52.0</v>
      </c>
      <c r="G1848" s="9" t="str">
        <f>VLOOKUP(operations[productID],products[],2,FALSE)</f>
        <v>Filo Mix</v>
      </c>
      <c r="H1848" s="9" t="str">
        <f>IF(VLOOKUP(operations[productID],products[],7,FALSE)=1,"Discontinued","Current")</f>
        <v>Current</v>
      </c>
      <c r="I1848" s="6">
        <f>VLOOKUP(operations[productID],products[],4,FALSE)</f>
        <v>38</v>
      </c>
      <c r="J1848" s="6">
        <f>VLOOKUP(operations[productID],products[],5,FALSE)</f>
        <v>0</v>
      </c>
      <c r="K1848" s="6">
        <f>VLOOKUP(operations[productID],products[],6,FALSE)</f>
        <v>25</v>
      </c>
      <c r="L1848" s="10">
        <f t="array" ref="L1848">INDEX('1 orders'!I1848:I2156, MATCH(1, ('1 orders'!A1848:A2156=A1848)*('1 orders'!G1848:G2156=F1848), 0))
</f>
        <v>6</v>
      </c>
      <c r="M1848" s="10">
        <f>IFERROR(__xludf.DUMMYFUNCTION("COUNTUNIQUEIFS($A$2:$A1848,$F$2:$F1848,F1848)"),24.0)</f>
        <v>24</v>
      </c>
      <c r="N1848" s="10">
        <f t="shared" si="1"/>
        <v>14</v>
      </c>
      <c r="O1848" s="26">
        <f>IF(operations[sinceLastOrder]=0,0,operations[orderQuantity] / operations[sinceLastOrder])</f>
        <v>0.4285714286</v>
      </c>
      <c r="P1848" s="9">
        <v>104.47</v>
      </c>
      <c r="Q1848" s="7" t="s">
        <v>15</v>
      </c>
      <c r="R1848" s="10">
        <f>operations[arrivedDate]-operations[shippedDate]</f>
        <v>17</v>
      </c>
    </row>
    <row r="1849" ht="15.75" customHeight="1">
      <c r="A1849" s="6">
        <v>10961.0</v>
      </c>
      <c r="B1849" s="24">
        <v>45370.0</v>
      </c>
      <c r="C1849" s="24">
        <v>45398.0</v>
      </c>
      <c r="D1849" s="24">
        <v>45381.0</v>
      </c>
      <c r="E1849" s="24">
        <v>45398.0</v>
      </c>
      <c r="F1849" s="6">
        <v>76.0</v>
      </c>
      <c r="G1849" s="9" t="str">
        <f>VLOOKUP(operations[productID],products[],2,FALSE)</f>
        <v>Lakkalikööri</v>
      </c>
      <c r="H1849" s="9" t="str">
        <f>IF(VLOOKUP(operations[productID],products[],7,FALSE)=1,"Discontinued","Current")</f>
        <v>Current</v>
      </c>
      <c r="I1849" s="6">
        <f>VLOOKUP(operations[productID],products[],4,FALSE)</f>
        <v>57</v>
      </c>
      <c r="J1849" s="6">
        <f>VLOOKUP(operations[productID],products[],5,FALSE)</f>
        <v>0</v>
      </c>
      <c r="K1849" s="6">
        <f>VLOOKUP(operations[productID],products[],6,FALSE)</f>
        <v>20</v>
      </c>
      <c r="L1849" s="10">
        <f t="array" ref="L1849">INDEX('1 orders'!I1849:I2156, MATCH(1, ('1 orders'!A1849:A2156=A1849)*('1 orders'!G1849:G2156=F1849), 0))
</f>
        <v>60</v>
      </c>
      <c r="M1849" s="10">
        <f>IFERROR(__xludf.DUMMYFUNCTION("COUNTUNIQUEIFS($A$2:$A1849,$F$2:$F1849,F1849)"),33.0)</f>
        <v>33</v>
      </c>
      <c r="N1849" s="10">
        <f t="shared" si="1"/>
        <v>14</v>
      </c>
      <c r="O1849" s="26">
        <f>IF(operations[sinceLastOrder]=0,0,operations[orderQuantity] / operations[sinceLastOrder])</f>
        <v>4.285714286</v>
      </c>
      <c r="P1849" s="9">
        <v>104.47</v>
      </c>
      <c r="Q1849" s="7" t="s">
        <v>15</v>
      </c>
      <c r="R1849" s="10">
        <f>operations[arrivedDate]-operations[shippedDate]</f>
        <v>17</v>
      </c>
    </row>
    <row r="1850" ht="15.75" customHeight="1">
      <c r="A1850" s="6">
        <v>10962.0</v>
      </c>
      <c r="B1850" s="24">
        <v>45370.0</v>
      </c>
      <c r="C1850" s="24">
        <v>45398.0</v>
      </c>
      <c r="D1850" s="24">
        <v>45374.0</v>
      </c>
      <c r="E1850" s="24">
        <v>45380.0</v>
      </c>
      <c r="F1850" s="6">
        <v>7.0</v>
      </c>
      <c r="G1850" s="9" t="str">
        <f>VLOOKUP(operations[productID],products[],2,FALSE)</f>
        <v>Uncle Bob's Organic Dried Pears</v>
      </c>
      <c r="H1850" s="9" t="str">
        <f>IF(VLOOKUP(operations[productID],products[],7,FALSE)=1,"Discontinued","Current")</f>
        <v>Current</v>
      </c>
      <c r="I1850" s="6">
        <f>VLOOKUP(operations[productID],products[],4,FALSE)</f>
        <v>15</v>
      </c>
      <c r="J1850" s="6">
        <f>VLOOKUP(operations[productID],products[],5,FALSE)</f>
        <v>0</v>
      </c>
      <c r="K1850" s="6">
        <f>VLOOKUP(operations[productID],products[],6,FALSE)</f>
        <v>10</v>
      </c>
      <c r="L1850" s="10">
        <f t="array" ref="L1850">INDEX('1 orders'!I1850:I2156, MATCH(1, ('1 orders'!A1850:A2156=A1850)*('1 orders'!G1850:G2156=F1850), 0))
</f>
        <v>45</v>
      </c>
      <c r="M1850" s="10">
        <f>IFERROR(__xludf.DUMMYFUNCTION("COUNTUNIQUEIFS($A$2:$A1850,$F$2:$F1850,F1850)"),19.0)</f>
        <v>19</v>
      </c>
      <c r="N1850" s="10">
        <f t="shared" si="1"/>
        <v>1</v>
      </c>
      <c r="O1850" s="26">
        <f>IF(operations[sinceLastOrder]=0,0,operations[orderQuantity] / operations[sinceLastOrder])</f>
        <v>45</v>
      </c>
      <c r="P1850" s="9">
        <v>275.79</v>
      </c>
      <c r="Q1850" s="7" t="s">
        <v>17</v>
      </c>
      <c r="R1850" s="10">
        <f>operations[arrivedDate]-operations[shippedDate]</f>
        <v>6</v>
      </c>
    </row>
    <row r="1851" ht="15.75" customHeight="1">
      <c r="A1851" s="6">
        <v>10962.0</v>
      </c>
      <c r="B1851" s="24">
        <v>45370.0</v>
      </c>
      <c r="C1851" s="24">
        <v>45398.0</v>
      </c>
      <c r="D1851" s="24">
        <v>45374.0</v>
      </c>
      <c r="E1851" s="24">
        <v>45380.0</v>
      </c>
      <c r="F1851" s="6">
        <v>13.0</v>
      </c>
      <c r="G1851" s="9" t="str">
        <f>VLOOKUP(operations[productID],products[],2,FALSE)</f>
        <v>Konbu</v>
      </c>
      <c r="H1851" s="9" t="str">
        <f>IF(VLOOKUP(operations[productID],products[],7,FALSE)=1,"Discontinued","Current")</f>
        <v>Current</v>
      </c>
      <c r="I1851" s="6">
        <f>VLOOKUP(operations[productID],products[],4,FALSE)</f>
        <v>24</v>
      </c>
      <c r="J1851" s="6">
        <f>VLOOKUP(operations[productID],products[],5,FALSE)</f>
        <v>0</v>
      </c>
      <c r="K1851" s="6">
        <f>VLOOKUP(operations[productID],products[],6,FALSE)</f>
        <v>5</v>
      </c>
      <c r="L1851" s="10">
        <f t="array" ref="L1851">INDEX('1 orders'!I1851:I2156, MATCH(1, ('1 orders'!A1851:A2156=A1851)*('1 orders'!G1851:G2156=F1851), 0))
</f>
        <v>77</v>
      </c>
      <c r="M1851" s="10">
        <f>IFERROR(__xludf.DUMMYFUNCTION("COUNTUNIQUEIFS($A$2:$A1851,$F$2:$F1851,F1851)"),32.0)</f>
        <v>32</v>
      </c>
      <c r="N1851" s="10">
        <f t="shared" si="1"/>
        <v>7</v>
      </c>
      <c r="O1851" s="26">
        <f>IF(operations[sinceLastOrder]=0,0,operations[orderQuantity] / operations[sinceLastOrder])</f>
        <v>11</v>
      </c>
      <c r="P1851" s="9">
        <v>275.79</v>
      </c>
      <c r="Q1851" s="7" t="s">
        <v>17</v>
      </c>
      <c r="R1851" s="10">
        <f>operations[arrivedDate]-operations[shippedDate]</f>
        <v>6</v>
      </c>
    </row>
    <row r="1852" ht="15.75" customHeight="1">
      <c r="A1852" s="6">
        <v>10962.0</v>
      </c>
      <c r="B1852" s="24">
        <v>45370.0</v>
      </c>
      <c r="C1852" s="24">
        <v>45398.0</v>
      </c>
      <c r="D1852" s="24">
        <v>45374.0</v>
      </c>
      <c r="E1852" s="24">
        <v>45380.0</v>
      </c>
      <c r="F1852" s="6">
        <v>53.0</v>
      </c>
      <c r="G1852" s="9" t="str">
        <f>VLOOKUP(operations[productID],products[],2,FALSE)</f>
        <v>Perth Pasties</v>
      </c>
      <c r="H1852" s="9" t="str">
        <f>IF(VLOOKUP(operations[productID],products[],7,FALSE)=1,"Discontinued","Current")</f>
        <v>Discontinued</v>
      </c>
      <c r="I1852" s="6">
        <f>VLOOKUP(operations[productID],products[],4,FALSE)</f>
        <v>0</v>
      </c>
      <c r="J1852" s="6">
        <f>VLOOKUP(operations[productID],products[],5,FALSE)</f>
        <v>0</v>
      </c>
      <c r="K1852" s="6">
        <f>VLOOKUP(operations[productID],products[],6,FALSE)</f>
        <v>0</v>
      </c>
      <c r="L1852" s="10">
        <f t="array" ref="L1852">INDEX('1 orders'!I1852:I2156, MATCH(1, ('1 orders'!A1852:A2156=A1852)*('1 orders'!G1852:G2156=F1852), 0))
</f>
        <v>20</v>
      </c>
      <c r="M1852" s="10">
        <f>IFERROR(__xludf.DUMMYFUNCTION("COUNTUNIQUEIFS($A$2:$A1852,$F$2:$F1852,F1852)"),27.0)</f>
        <v>27</v>
      </c>
      <c r="N1852" s="10">
        <f t="shared" si="1"/>
        <v>13</v>
      </c>
      <c r="O1852" s="26">
        <f>IF(operations[sinceLastOrder]=0,0,operations[orderQuantity] / operations[sinceLastOrder])</f>
        <v>1.538461538</v>
      </c>
      <c r="P1852" s="9">
        <v>275.79</v>
      </c>
      <c r="Q1852" s="7" t="s">
        <v>17</v>
      </c>
      <c r="R1852" s="10">
        <f>operations[arrivedDate]-operations[shippedDate]</f>
        <v>6</v>
      </c>
    </row>
    <row r="1853" ht="15.75" customHeight="1">
      <c r="A1853" s="6">
        <v>10962.0</v>
      </c>
      <c r="B1853" s="24">
        <v>45370.0</v>
      </c>
      <c r="C1853" s="24">
        <v>45398.0</v>
      </c>
      <c r="D1853" s="24">
        <v>45374.0</v>
      </c>
      <c r="E1853" s="24">
        <v>45380.0</v>
      </c>
      <c r="F1853" s="6">
        <v>69.0</v>
      </c>
      <c r="G1853" s="9" t="str">
        <f>VLOOKUP(operations[productID],products[],2,FALSE)</f>
        <v>Gudbrandsdalsost</v>
      </c>
      <c r="H1853" s="9" t="str">
        <f>IF(VLOOKUP(operations[productID],products[],7,FALSE)=1,"Discontinued","Current")</f>
        <v>Current</v>
      </c>
      <c r="I1853" s="6">
        <f>VLOOKUP(operations[productID],products[],4,FALSE)</f>
        <v>26</v>
      </c>
      <c r="J1853" s="6">
        <f>VLOOKUP(operations[productID],products[],5,FALSE)</f>
        <v>0</v>
      </c>
      <c r="K1853" s="6">
        <f>VLOOKUP(operations[productID],products[],6,FALSE)</f>
        <v>15</v>
      </c>
      <c r="L1853" s="10">
        <f t="array" ref="L1853">INDEX('1 orders'!I1853:I2156, MATCH(1, ('1 orders'!A1853:A2156=A1853)*('1 orders'!G1853:G2156=F1853), 0))
</f>
        <v>9</v>
      </c>
      <c r="M1853" s="10">
        <f>IFERROR(__xludf.DUMMYFUNCTION("COUNTUNIQUEIFS($A$2:$A1853,$F$2:$F1853,F1853)"),28.0)</f>
        <v>28</v>
      </c>
      <c r="N1853" s="10">
        <f t="shared" si="1"/>
        <v>30</v>
      </c>
      <c r="O1853" s="26">
        <f>IF(operations[sinceLastOrder]=0,0,operations[orderQuantity] / operations[sinceLastOrder])</f>
        <v>0.3</v>
      </c>
      <c r="P1853" s="9">
        <v>275.79</v>
      </c>
      <c r="Q1853" s="7" t="s">
        <v>17</v>
      </c>
      <c r="R1853" s="10">
        <f>operations[arrivedDate]-operations[shippedDate]</f>
        <v>6</v>
      </c>
    </row>
    <row r="1854" ht="15.75" customHeight="1">
      <c r="A1854" s="6">
        <v>10962.0</v>
      </c>
      <c r="B1854" s="24">
        <v>45370.0</v>
      </c>
      <c r="C1854" s="24">
        <v>45398.0</v>
      </c>
      <c r="D1854" s="24">
        <v>45374.0</v>
      </c>
      <c r="E1854" s="24">
        <v>45380.0</v>
      </c>
      <c r="F1854" s="6">
        <v>76.0</v>
      </c>
      <c r="G1854" s="9" t="str">
        <f>VLOOKUP(operations[productID],products[],2,FALSE)</f>
        <v>Lakkalikööri</v>
      </c>
      <c r="H1854" s="9" t="str">
        <f>IF(VLOOKUP(operations[productID],products[],7,FALSE)=1,"Discontinued","Current")</f>
        <v>Current</v>
      </c>
      <c r="I1854" s="6">
        <f>VLOOKUP(operations[productID],products[],4,FALSE)</f>
        <v>57</v>
      </c>
      <c r="J1854" s="6">
        <f>VLOOKUP(operations[productID],products[],5,FALSE)</f>
        <v>0</v>
      </c>
      <c r="K1854" s="6">
        <f>VLOOKUP(operations[productID],products[],6,FALSE)</f>
        <v>20</v>
      </c>
      <c r="L1854" s="10">
        <f t="array" ref="L1854">INDEX('1 orders'!I1854:I2156, MATCH(1, ('1 orders'!A1854:A2156=A1854)*('1 orders'!G1854:G2156=F1854), 0))
</f>
        <v>44</v>
      </c>
      <c r="M1854" s="10">
        <f>IFERROR(__xludf.DUMMYFUNCTION("COUNTUNIQUEIFS($A$2:$A1854,$F$2:$F1854,F1854)"),34.0)</f>
        <v>34</v>
      </c>
      <c r="N1854" s="10">
        <f t="shared" si="1"/>
        <v>0</v>
      </c>
      <c r="O1854" s="26">
        <f>IF(operations[sinceLastOrder]=0,0,operations[orderQuantity] / operations[sinceLastOrder])</f>
        <v>0</v>
      </c>
      <c r="P1854" s="9">
        <v>275.79</v>
      </c>
      <c r="Q1854" s="7" t="s">
        <v>17</v>
      </c>
      <c r="R1854" s="10">
        <f>operations[arrivedDate]-operations[shippedDate]</f>
        <v>6</v>
      </c>
    </row>
    <row r="1855" ht="15.75" customHeight="1">
      <c r="A1855" s="6">
        <v>10963.0</v>
      </c>
      <c r="B1855" s="24">
        <v>45370.0</v>
      </c>
      <c r="C1855" s="24">
        <v>45398.0</v>
      </c>
      <c r="D1855" s="24">
        <v>45377.0</v>
      </c>
      <c r="E1855" s="24">
        <v>45388.0</v>
      </c>
      <c r="F1855" s="6">
        <v>60.0</v>
      </c>
      <c r="G1855" s="9" t="str">
        <f>VLOOKUP(operations[productID],products[],2,FALSE)</f>
        <v>Camembert Pierrot</v>
      </c>
      <c r="H1855" s="9" t="str">
        <f>IF(VLOOKUP(operations[productID],products[],7,FALSE)=1,"Discontinued","Current")</f>
        <v>Current</v>
      </c>
      <c r="I1855" s="6">
        <f>VLOOKUP(operations[productID],products[],4,FALSE)</f>
        <v>19</v>
      </c>
      <c r="J1855" s="6">
        <f>VLOOKUP(operations[productID],products[],5,FALSE)</f>
        <v>0</v>
      </c>
      <c r="K1855" s="6">
        <f>VLOOKUP(operations[productID],products[],6,FALSE)</f>
        <v>0</v>
      </c>
      <c r="L1855" s="10">
        <f t="array" ref="L1855">INDEX('1 orders'!I1855:I2156, MATCH(1, ('1 orders'!A1855:A2156=A1855)*('1 orders'!G1855:G2156=F1855), 0))
</f>
        <v>2</v>
      </c>
      <c r="M1855" s="10">
        <f>IFERROR(__xludf.DUMMYFUNCTION("COUNTUNIQUEIFS($A$2:$A1855,$F$2:$F1855,F1855)"),42.0)</f>
        <v>42</v>
      </c>
      <c r="N1855" s="10">
        <f t="shared" si="1"/>
        <v>2</v>
      </c>
      <c r="O1855" s="26">
        <f>IF(operations[sinceLastOrder]=0,0,operations[orderQuantity] / operations[sinceLastOrder])</f>
        <v>1</v>
      </c>
      <c r="P1855" s="9">
        <v>2.7</v>
      </c>
      <c r="Q1855" s="7" t="s">
        <v>13</v>
      </c>
      <c r="R1855" s="10">
        <f>operations[arrivedDate]-operations[shippedDate]</f>
        <v>11</v>
      </c>
    </row>
    <row r="1856" ht="15.75" customHeight="1">
      <c r="A1856" s="6">
        <v>10964.0</v>
      </c>
      <c r="B1856" s="24">
        <v>45371.0</v>
      </c>
      <c r="C1856" s="24">
        <v>45399.0</v>
      </c>
      <c r="D1856" s="24">
        <v>45375.0</v>
      </c>
      <c r="E1856" s="24">
        <v>45386.0</v>
      </c>
      <c r="F1856" s="6">
        <v>18.0</v>
      </c>
      <c r="G1856" s="9" t="str">
        <f>VLOOKUP(operations[productID],products[],2,FALSE)</f>
        <v>Carnarvon Tigers</v>
      </c>
      <c r="H1856" s="9" t="str">
        <f>IF(VLOOKUP(operations[productID],products[],7,FALSE)=1,"Discontinued","Current")</f>
        <v>Current</v>
      </c>
      <c r="I1856" s="6">
        <f>VLOOKUP(operations[productID],products[],4,FALSE)</f>
        <v>42</v>
      </c>
      <c r="J1856" s="6">
        <f>VLOOKUP(operations[productID],products[],5,FALSE)</f>
        <v>0</v>
      </c>
      <c r="K1856" s="6">
        <f>VLOOKUP(operations[productID],products[],6,FALSE)</f>
        <v>0</v>
      </c>
      <c r="L1856" s="10">
        <f t="array" ref="L1856">INDEX('1 orders'!I1856:I2156, MATCH(1, ('1 orders'!A1856:A2156=A1856)*('1 orders'!G1856:G2156=F1856), 0))
</f>
        <v>6</v>
      </c>
      <c r="M1856" s="10">
        <f>IFERROR(__xludf.DUMMYFUNCTION("COUNTUNIQUEIFS($A$2:$A1856,$F$2:$F1856,F1856)"),23.0)</f>
        <v>23</v>
      </c>
      <c r="N1856" s="10">
        <f t="shared" si="1"/>
        <v>11</v>
      </c>
      <c r="O1856" s="26">
        <f>IF(operations[sinceLastOrder]=0,0,operations[orderQuantity] / operations[sinceLastOrder])</f>
        <v>0.5454545455</v>
      </c>
      <c r="P1856" s="9">
        <v>87.38</v>
      </c>
      <c r="Q1856" s="7" t="s">
        <v>17</v>
      </c>
      <c r="R1856" s="10">
        <f>operations[arrivedDate]-operations[shippedDate]</f>
        <v>11</v>
      </c>
    </row>
    <row r="1857" ht="15.75" customHeight="1">
      <c r="A1857" s="6">
        <v>10964.0</v>
      </c>
      <c r="B1857" s="24">
        <v>45371.0</v>
      </c>
      <c r="C1857" s="24">
        <v>45399.0</v>
      </c>
      <c r="D1857" s="24">
        <v>45375.0</v>
      </c>
      <c r="E1857" s="24">
        <v>45386.0</v>
      </c>
      <c r="F1857" s="6">
        <v>38.0</v>
      </c>
      <c r="G1857" s="9" t="str">
        <f>VLOOKUP(operations[productID],products[],2,FALSE)</f>
        <v>Côte de Blaye</v>
      </c>
      <c r="H1857" s="9" t="str">
        <f>IF(VLOOKUP(operations[productID],products[],7,FALSE)=1,"Discontinued","Current")</f>
        <v>Current</v>
      </c>
      <c r="I1857" s="6">
        <f>VLOOKUP(operations[productID],products[],4,FALSE)</f>
        <v>17</v>
      </c>
      <c r="J1857" s="6">
        <f>VLOOKUP(operations[productID],products[],5,FALSE)</f>
        <v>0</v>
      </c>
      <c r="K1857" s="6">
        <f>VLOOKUP(operations[productID],products[],6,FALSE)</f>
        <v>15</v>
      </c>
      <c r="L1857" s="10">
        <f t="array" ref="L1857">INDEX('1 orders'!I1857:I2156, MATCH(1, ('1 orders'!A1857:A2156=A1857)*('1 orders'!G1857:G2156=F1857), 0))
</f>
        <v>5</v>
      </c>
      <c r="M1857" s="10">
        <f>IFERROR(__xludf.DUMMYFUNCTION("COUNTUNIQUEIFS($A$2:$A1857,$F$2:$F1857,F1857)"),22.0)</f>
        <v>22</v>
      </c>
      <c r="N1857" s="10">
        <f t="shared" si="1"/>
        <v>33</v>
      </c>
      <c r="O1857" s="26">
        <f>IF(operations[sinceLastOrder]=0,0,operations[orderQuantity] / operations[sinceLastOrder])</f>
        <v>0.1515151515</v>
      </c>
      <c r="P1857" s="9">
        <v>87.38</v>
      </c>
      <c r="Q1857" s="7" t="s">
        <v>17</v>
      </c>
      <c r="R1857" s="10">
        <f>operations[arrivedDate]-operations[shippedDate]</f>
        <v>11</v>
      </c>
    </row>
    <row r="1858" ht="15.75" customHeight="1">
      <c r="A1858" s="6">
        <v>10964.0</v>
      </c>
      <c r="B1858" s="24">
        <v>45371.0</v>
      </c>
      <c r="C1858" s="24">
        <v>45399.0</v>
      </c>
      <c r="D1858" s="24">
        <v>45375.0</v>
      </c>
      <c r="E1858" s="24">
        <v>45386.0</v>
      </c>
      <c r="F1858" s="6">
        <v>69.0</v>
      </c>
      <c r="G1858" s="9" t="str">
        <f>VLOOKUP(operations[productID],products[],2,FALSE)</f>
        <v>Gudbrandsdalsost</v>
      </c>
      <c r="H1858" s="9" t="str">
        <f>IF(VLOOKUP(operations[productID],products[],7,FALSE)=1,"Discontinued","Current")</f>
        <v>Current</v>
      </c>
      <c r="I1858" s="6">
        <f>VLOOKUP(operations[productID],products[],4,FALSE)</f>
        <v>26</v>
      </c>
      <c r="J1858" s="6">
        <f>VLOOKUP(operations[productID],products[],5,FALSE)</f>
        <v>0</v>
      </c>
      <c r="K1858" s="6">
        <f>VLOOKUP(operations[productID],products[],6,FALSE)</f>
        <v>15</v>
      </c>
      <c r="L1858" s="10">
        <f t="array" ref="L1858">INDEX('1 orders'!I1858:I2156, MATCH(1, ('1 orders'!A1858:A2156=A1858)*('1 orders'!G1858:G2156=F1858), 0))
</f>
        <v>10</v>
      </c>
      <c r="M1858" s="10">
        <f>IFERROR(__xludf.DUMMYFUNCTION("COUNTUNIQUEIFS($A$2:$A1858,$F$2:$F1858,F1858)"),29.0)</f>
        <v>29</v>
      </c>
      <c r="N1858" s="10">
        <f t="shared" si="1"/>
        <v>1</v>
      </c>
      <c r="O1858" s="26">
        <f>IF(operations[sinceLastOrder]=0,0,operations[orderQuantity] / operations[sinceLastOrder])</f>
        <v>10</v>
      </c>
      <c r="P1858" s="9">
        <v>87.38</v>
      </c>
      <c r="Q1858" s="7" t="s">
        <v>17</v>
      </c>
      <c r="R1858" s="10">
        <f>operations[arrivedDate]-operations[shippedDate]</f>
        <v>11</v>
      </c>
    </row>
    <row r="1859" ht="15.75" customHeight="1">
      <c r="A1859" s="6">
        <v>10965.0</v>
      </c>
      <c r="B1859" s="24">
        <v>45371.0</v>
      </c>
      <c r="C1859" s="24">
        <v>45399.0</v>
      </c>
      <c r="D1859" s="24">
        <v>45381.0</v>
      </c>
      <c r="E1859" s="24">
        <v>45394.0</v>
      </c>
      <c r="F1859" s="6">
        <v>51.0</v>
      </c>
      <c r="G1859" s="9" t="str">
        <f>VLOOKUP(operations[productID],products[],2,FALSE)</f>
        <v>Manjimup Dried Apples</v>
      </c>
      <c r="H1859" s="9" t="str">
        <f>IF(VLOOKUP(operations[productID],products[],7,FALSE)=1,"Discontinued","Current")</f>
        <v>Current</v>
      </c>
      <c r="I1859" s="6">
        <f>VLOOKUP(operations[productID],products[],4,FALSE)</f>
        <v>20</v>
      </c>
      <c r="J1859" s="6">
        <f>VLOOKUP(operations[productID],products[],5,FALSE)</f>
        <v>0</v>
      </c>
      <c r="K1859" s="6">
        <f>VLOOKUP(operations[productID],products[],6,FALSE)</f>
        <v>10</v>
      </c>
      <c r="L1859" s="10">
        <f t="array" ref="L1859">INDEX('1 orders'!I1859:I2156, MATCH(1, ('1 orders'!A1859:A2156=A1859)*('1 orders'!G1859:G2156=F1859), 0))
</f>
        <v>16</v>
      </c>
      <c r="M1859" s="10">
        <f>IFERROR(__xludf.DUMMYFUNCTION("COUNTUNIQUEIFS($A$2:$A1859,$F$2:$F1859,F1859)"),32.0)</f>
        <v>32</v>
      </c>
      <c r="N1859" s="10">
        <f t="shared" si="1"/>
        <v>3</v>
      </c>
      <c r="O1859" s="26">
        <f>IF(operations[sinceLastOrder]=0,0,operations[orderQuantity] / operations[sinceLastOrder])</f>
        <v>5.333333333</v>
      </c>
      <c r="P1859" s="9">
        <v>144.38</v>
      </c>
      <c r="Q1859" s="7" t="s">
        <v>13</v>
      </c>
      <c r="R1859" s="10">
        <f>operations[arrivedDate]-operations[shippedDate]</f>
        <v>13</v>
      </c>
    </row>
    <row r="1860" ht="15.75" customHeight="1">
      <c r="A1860" s="6">
        <v>10966.0</v>
      </c>
      <c r="B1860" s="24">
        <v>45371.0</v>
      </c>
      <c r="C1860" s="24">
        <v>45399.0</v>
      </c>
      <c r="D1860" s="24">
        <v>45390.0</v>
      </c>
      <c r="E1860" s="24">
        <v>45401.0</v>
      </c>
      <c r="F1860" s="6">
        <v>37.0</v>
      </c>
      <c r="G1860" s="9" t="str">
        <f>VLOOKUP(operations[productID],products[],2,FALSE)</f>
        <v>Gravad lax</v>
      </c>
      <c r="H1860" s="9" t="str">
        <f>IF(VLOOKUP(operations[productID],products[],7,FALSE)=1,"Discontinued","Current")</f>
        <v>Current</v>
      </c>
      <c r="I1860" s="6">
        <f>VLOOKUP(operations[productID],products[],4,FALSE)</f>
        <v>11</v>
      </c>
      <c r="J1860" s="6">
        <f>VLOOKUP(operations[productID],products[],5,FALSE)</f>
        <v>50</v>
      </c>
      <c r="K1860" s="6">
        <f>VLOOKUP(operations[productID],products[],6,FALSE)</f>
        <v>25</v>
      </c>
      <c r="L1860" s="10">
        <f t="array" ref="L1860">INDEX('1 orders'!I1860:I2156, MATCH(1, ('1 orders'!A1860:A2156=A1860)*('1 orders'!G1860:G2156=F1860), 0))
</f>
        <v>8</v>
      </c>
      <c r="M1860" s="10">
        <f>IFERROR(__xludf.DUMMYFUNCTION("COUNTUNIQUEIFS($A$2:$A1860,$F$2:$F1860,F1860)"),6.0)</f>
        <v>6</v>
      </c>
      <c r="N1860" s="10">
        <f t="shared" si="1"/>
        <v>58</v>
      </c>
      <c r="O1860" s="26">
        <f>IF(operations[sinceLastOrder]=0,0,operations[orderQuantity] / operations[sinceLastOrder])</f>
        <v>0.1379310345</v>
      </c>
      <c r="P1860" s="9">
        <v>27.19</v>
      </c>
      <c r="Q1860" s="7" t="s">
        <v>15</v>
      </c>
      <c r="R1860" s="10">
        <f>operations[arrivedDate]-operations[shippedDate]</f>
        <v>11</v>
      </c>
    </row>
    <row r="1861" ht="15.75" customHeight="1">
      <c r="A1861" s="6">
        <v>10966.0</v>
      </c>
      <c r="B1861" s="24">
        <v>45371.0</v>
      </c>
      <c r="C1861" s="24">
        <v>45399.0</v>
      </c>
      <c r="D1861" s="24">
        <v>45390.0</v>
      </c>
      <c r="E1861" s="24">
        <v>45401.0</v>
      </c>
      <c r="F1861" s="6">
        <v>56.0</v>
      </c>
      <c r="G1861" s="9" t="str">
        <f>VLOOKUP(operations[productID],products[],2,FALSE)</f>
        <v>Gnocchi di nonna Alice</v>
      </c>
      <c r="H1861" s="9" t="str">
        <f>IF(VLOOKUP(operations[productID],products[],7,FALSE)=1,"Discontinued","Current")</f>
        <v>Current</v>
      </c>
      <c r="I1861" s="6">
        <f>VLOOKUP(operations[productID],products[],4,FALSE)</f>
        <v>21</v>
      </c>
      <c r="J1861" s="6">
        <f>VLOOKUP(operations[productID],products[],5,FALSE)</f>
        <v>10</v>
      </c>
      <c r="K1861" s="6">
        <f>VLOOKUP(operations[productID],products[],6,FALSE)</f>
        <v>30</v>
      </c>
      <c r="L1861" s="10">
        <f t="array" ref="L1861">INDEX('1 orders'!I1861:I2156, MATCH(1, ('1 orders'!A1861:A2156=A1861)*('1 orders'!G1861:G2156=F1861), 0))
</f>
        <v>12</v>
      </c>
      <c r="M1861" s="10">
        <f>IFERROR(__xludf.DUMMYFUNCTION("COUNTUNIQUEIFS($A$2:$A1861,$F$2:$F1861,F1861)"),48.0)</f>
        <v>48</v>
      </c>
      <c r="N1861" s="10">
        <f t="shared" si="1"/>
        <v>8</v>
      </c>
      <c r="O1861" s="26">
        <f>IF(operations[sinceLastOrder]=0,0,operations[orderQuantity] / operations[sinceLastOrder])</f>
        <v>1.5</v>
      </c>
      <c r="P1861" s="9">
        <v>27.19</v>
      </c>
      <c r="Q1861" s="7" t="s">
        <v>15</v>
      </c>
      <c r="R1861" s="10">
        <f>operations[arrivedDate]-operations[shippedDate]</f>
        <v>11</v>
      </c>
    </row>
    <row r="1862" ht="15.75" customHeight="1">
      <c r="A1862" s="6">
        <v>10966.0</v>
      </c>
      <c r="B1862" s="24">
        <v>45371.0</v>
      </c>
      <c r="C1862" s="24">
        <v>45399.0</v>
      </c>
      <c r="D1862" s="24">
        <v>45390.0</v>
      </c>
      <c r="E1862" s="24">
        <v>45401.0</v>
      </c>
      <c r="F1862" s="6">
        <v>62.0</v>
      </c>
      <c r="G1862" s="9" t="str">
        <f>VLOOKUP(operations[productID],products[],2,FALSE)</f>
        <v>Tarte au sucre</v>
      </c>
      <c r="H1862" s="9" t="str">
        <f>IF(VLOOKUP(operations[productID],products[],7,FALSE)=1,"Discontinued","Current")</f>
        <v>Current</v>
      </c>
      <c r="I1862" s="6">
        <f>VLOOKUP(operations[productID],products[],4,FALSE)</f>
        <v>17</v>
      </c>
      <c r="J1862" s="6">
        <f>VLOOKUP(operations[productID],products[],5,FALSE)</f>
        <v>0</v>
      </c>
      <c r="K1862" s="6">
        <f>VLOOKUP(operations[productID],products[],6,FALSE)</f>
        <v>0</v>
      </c>
      <c r="L1862" s="10">
        <f t="array" ref="L1862">INDEX('1 orders'!I1862:I2156, MATCH(1, ('1 orders'!A1862:A2156=A1862)*('1 orders'!G1862:G2156=F1862), 0))
</f>
        <v>12</v>
      </c>
      <c r="M1862" s="10">
        <f>IFERROR(__xludf.DUMMYFUNCTION("COUNTUNIQUEIFS($A$2:$A1862,$F$2:$F1862,F1862)"),45.0)</f>
        <v>45</v>
      </c>
      <c r="N1862" s="10">
        <f t="shared" si="1"/>
        <v>7</v>
      </c>
      <c r="O1862" s="26">
        <f>IF(operations[sinceLastOrder]=0,0,operations[orderQuantity] / operations[sinceLastOrder])</f>
        <v>1.714285714</v>
      </c>
      <c r="P1862" s="9">
        <v>27.19</v>
      </c>
      <c r="Q1862" s="7" t="s">
        <v>15</v>
      </c>
      <c r="R1862" s="10">
        <f>operations[arrivedDate]-operations[shippedDate]</f>
        <v>11</v>
      </c>
    </row>
    <row r="1863" ht="15.75" customHeight="1">
      <c r="A1863" s="6">
        <v>10967.0</v>
      </c>
      <c r="B1863" s="24">
        <v>45374.0</v>
      </c>
      <c r="C1863" s="24">
        <v>45402.0</v>
      </c>
      <c r="D1863" s="24">
        <v>45384.0</v>
      </c>
      <c r="E1863" s="24">
        <v>45393.0</v>
      </c>
      <c r="F1863" s="6">
        <v>19.0</v>
      </c>
      <c r="G1863" s="9" t="str">
        <f>VLOOKUP(operations[productID],products[],2,FALSE)</f>
        <v>Teatime Chocolate Biscuits</v>
      </c>
      <c r="H1863" s="9" t="str">
        <f>IF(VLOOKUP(operations[productID],products[],7,FALSE)=1,"Discontinued","Current")</f>
        <v>Current</v>
      </c>
      <c r="I1863" s="6">
        <f>VLOOKUP(operations[productID],products[],4,FALSE)</f>
        <v>25</v>
      </c>
      <c r="J1863" s="6">
        <f>VLOOKUP(operations[productID],products[],5,FALSE)</f>
        <v>0</v>
      </c>
      <c r="K1863" s="6">
        <f>VLOOKUP(operations[productID],products[],6,FALSE)</f>
        <v>5</v>
      </c>
      <c r="L1863" s="10">
        <f t="array" ref="L1863">INDEX('1 orders'!I1863:I2156, MATCH(1, ('1 orders'!A1863:A2156=A1863)*('1 orders'!G1863:G2156=F1863), 0))
</f>
        <v>12</v>
      </c>
      <c r="M1863" s="10">
        <f>IFERROR(__xludf.DUMMYFUNCTION("COUNTUNIQUEIFS($A$2:$A1863,$F$2:$F1863,F1863)"),33.0)</f>
        <v>33</v>
      </c>
      <c r="N1863" s="10">
        <f t="shared" si="1"/>
        <v>19</v>
      </c>
      <c r="O1863" s="26">
        <f>IF(operations[sinceLastOrder]=0,0,operations[orderQuantity] / operations[sinceLastOrder])</f>
        <v>0.6315789474</v>
      </c>
      <c r="P1863" s="9">
        <v>62.22</v>
      </c>
      <c r="Q1863" s="7" t="s">
        <v>17</v>
      </c>
      <c r="R1863" s="10">
        <f>operations[arrivedDate]-operations[shippedDate]</f>
        <v>9</v>
      </c>
    </row>
    <row r="1864" ht="15.75" customHeight="1">
      <c r="A1864" s="6">
        <v>10967.0</v>
      </c>
      <c r="B1864" s="24">
        <v>45374.0</v>
      </c>
      <c r="C1864" s="24">
        <v>45402.0</v>
      </c>
      <c r="D1864" s="24">
        <v>45384.0</v>
      </c>
      <c r="E1864" s="24">
        <v>45393.0</v>
      </c>
      <c r="F1864" s="6">
        <v>49.0</v>
      </c>
      <c r="G1864" s="9" t="str">
        <f>VLOOKUP(operations[productID],products[],2,FALSE)</f>
        <v>Maxilaku</v>
      </c>
      <c r="H1864" s="9" t="str">
        <f>IF(VLOOKUP(operations[productID],products[],7,FALSE)=1,"Discontinued","Current")</f>
        <v>Current</v>
      </c>
      <c r="I1864" s="6">
        <f>VLOOKUP(operations[productID],products[],4,FALSE)</f>
        <v>10</v>
      </c>
      <c r="J1864" s="6">
        <f>VLOOKUP(operations[productID],products[],5,FALSE)</f>
        <v>60</v>
      </c>
      <c r="K1864" s="6">
        <f>VLOOKUP(operations[productID],products[],6,FALSE)</f>
        <v>15</v>
      </c>
      <c r="L1864" s="10">
        <f t="array" ref="L1864">INDEX('1 orders'!I1864:I2156, MATCH(1, ('1 orders'!A1864:A2156=A1864)*('1 orders'!G1864:G2156=F1864), 0))
</f>
        <v>40</v>
      </c>
      <c r="M1864" s="10">
        <f>IFERROR(__xludf.DUMMYFUNCTION("COUNTUNIQUEIFS($A$2:$A1864,$F$2:$F1864,F1864)"),19.0)</f>
        <v>19</v>
      </c>
      <c r="N1864" s="10">
        <f t="shared" si="1"/>
        <v>12</v>
      </c>
      <c r="O1864" s="26">
        <f>IF(operations[sinceLastOrder]=0,0,operations[orderQuantity] / operations[sinceLastOrder])</f>
        <v>3.333333333</v>
      </c>
      <c r="P1864" s="9">
        <v>62.22</v>
      </c>
      <c r="Q1864" s="7" t="s">
        <v>17</v>
      </c>
      <c r="R1864" s="10">
        <f>operations[arrivedDate]-operations[shippedDate]</f>
        <v>9</v>
      </c>
    </row>
    <row r="1865" ht="15.75" customHeight="1">
      <c r="A1865" s="6">
        <v>10968.0</v>
      </c>
      <c r="B1865" s="24">
        <v>45374.0</v>
      </c>
      <c r="C1865" s="24">
        <v>45402.0</v>
      </c>
      <c r="D1865" s="24">
        <v>45383.0</v>
      </c>
      <c r="E1865" s="24">
        <v>45394.0</v>
      </c>
      <c r="F1865" s="6">
        <v>12.0</v>
      </c>
      <c r="G1865" s="9" t="str">
        <f>VLOOKUP(operations[productID],products[],2,FALSE)</f>
        <v>Queso Manchego La Pastora</v>
      </c>
      <c r="H1865" s="9" t="str">
        <f>IF(VLOOKUP(operations[productID],products[],7,FALSE)=1,"Discontinued","Current")</f>
        <v>Current</v>
      </c>
      <c r="I1865" s="6">
        <f>VLOOKUP(operations[productID],products[],4,FALSE)</f>
        <v>86</v>
      </c>
      <c r="J1865" s="6">
        <f>VLOOKUP(operations[productID],products[],5,FALSE)</f>
        <v>0</v>
      </c>
      <c r="K1865" s="6">
        <f>VLOOKUP(operations[productID],products[],6,FALSE)</f>
        <v>0</v>
      </c>
      <c r="L1865" s="10">
        <f t="array" ref="L1865">INDEX('1 orders'!I1865:I2156, MATCH(1, ('1 orders'!A1865:A2156=A1865)*('1 orders'!G1865:G2156=F1865), 0))
</f>
        <v>30</v>
      </c>
      <c r="M1865" s="10">
        <f>IFERROR(__xludf.DUMMYFUNCTION("COUNTUNIQUEIFS($A$2:$A1865,$F$2:$F1865,F1865)"),9.0)</f>
        <v>9</v>
      </c>
      <c r="N1865" s="10">
        <f t="shared" si="1"/>
        <v>148</v>
      </c>
      <c r="O1865" s="26">
        <f>IF(operations[sinceLastOrder]=0,0,operations[orderQuantity] / operations[sinceLastOrder])</f>
        <v>0.2027027027</v>
      </c>
      <c r="P1865" s="9">
        <v>74.6</v>
      </c>
      <c r="Q1865" s="7" t="s">
        <v>13</v>
      </c>
      <c r="R1865" s="10">
        <f>operations[arrivedDate]-operations[shippedDate]</f>
        <v>11</v>
      </c>
    </row>
    <row r="1866" ht="15.75" customHeight="1">
      <c r="A1866" s="6">
        <v>10968.0</v>
      </c>
      <c r="B1866" s="24">
        <v>45374.0</v>
      </c>
      <c r="C1866" s="24">
        <v>45402.0</v>
      </c>
      <c r="D1866" s="24">
        <v>45383.0</v>
      </c>
      <c r="E1866" s="24">
        <v>45394.0</v>
      </c>
      <c r="F1866" s="6">
        <v>24.0</v>
      </c>
      <c r="G1866" s="9" t="str">
        <f>VLOOKUP(operations[productID],products[],2,FALSE)</f>
        <v>Brigadeiros Maravilhosos da Lilian</v>
      </c>
      <c r="H1866" s="9" t="str">
        <f>IF(VLOOKUP(operations[productID],products[],7,FALSE)=1,"Discontinued","Current")</f>
        <v>Discontinued</v>
      </c>
      <c r="I1866" s="6">
        <f>VLOOKUP(operations[productID],products[],4,FALSE)</f>
        <v>20</v>
      </c>
      <c r="J1866" s="6">
        <f>VLOOKUP(operations[productID],products[],5,FALSE)</f>
        <v>0</v>
      </c>
      <c r="K1866" s="6">
        <f>VLOOKUP(operations[productID],products[],6,FALSE)</f>
        <v>0</v>
      </c>
      <c r="L1866" s="10">
        <f t="array" ref="L1866">INDEX('1 orders'!I1866:I2156, MATCH(1, ('1 orders'!A1866:A2156=A1866)*('1 orders'!G1866:G2156=F1866), 0))
</f>
        <v>30</v>
      </c>
      <c r="M1866" s="10">
        <f>IFERROR(__xludf.DUMMYFUNCTION("COUNTUNIQUEIFS($A$2:$A1866,$F$2:$F1866,F1866)"),40.0)</f>
        <v>40</v>
      </c>
      <c r="N1866" s="10">
        <f t="shared" si="1"/>
        <v>4</v>
      </c>
      <c r="O1866" s="26">
        <f>IF(operations[sinceLastOrder]=0,0,operations[orderQuantity] / operations[sinceLastOrder])</f>
        <v>7.5</v>
      </c>
      <c r="P1866" s="9">
        <v>74.6</v>
      </c>
      <c r="Q1866" s="7" t="s">
        <v>13</v>
      </c>
      <c r="R1866" s="10">
        <f>operations[arrivedDate]-operations[shippedDate]</f>
        <v>11</v>
      </c>
    </row>
    <row r="1867" ht="15.75" customHeight="1">
      <c r="A1867" s="6">
        <v>10968.0</v>
      </c>
      <c r="B1867" s="24">
        <v>45374.0</v>
      </c>
      <c r="C1867" s="24">
        <v>45402.0</v>
      </c>
      <c r="D1867" s="24">
        <v>45383.0</v>
      </c>
      <c r="E1867" s="24">
        <v>45394.0</v>
      </c>
      <c r="F1867" s="6">
        <v>64.0</v>
      </c>
      <c r="G1867" s="9" t="str">
        <f>VLOOKUP(operations[productID],products[],2,FALSE)</f>
        <v>Lukas' leckere Sauerteigweggla</v>
      </c>
      <c r="H1867" s="9" t="str">
        <f>IF(VLOOKUP(operations[productID],products[],7,FALSE)=1,"Discontinued","Current")</f>
        <v>Current</v>
      </c>
      <c r="I1867" s="6">
        <f>VLOOKUP(operations[productID],products[],4,FALSE)</f>
        <v>22</v>
      </c>
      <c r="J1867" s="6">
        <f>VLOOKUP(operations[productID],products[],5,FALSE)</f>
        <v>80</v>
      </c>
      <c r="K1867" s="6">
        <f>VLOOKUP(operations[productID],products[],6,FALSE)</f>
        <v>30</v>
      </c>
      <c r="L1867" s="10">
        <f t="array" ref="L1867">INDEX('1 orders'!I1867:I2156, MATCH(1, ('1 orders'!A1867:A2156=A1867)*('1 orders'!G1867:G2156=F1867), 0))
</f>
        <v>4</v>
      </c>
      <c r="M1867" s="10">
        <f>IFERROR(__xludf.DUMMYFUNCTION("COUNTUNIQUEIFS($A$2:$A1867,$F$2:$F1867,F1867)"),26.0)</f>
        <v>26</v>
      </c>
      <c r="N1867" s="10">
        <f t="shared" si="1"/>
        <v>5</v>
      </c>
      <c r="O1867" s="26">
        <f>IF(operations[sinceLastOrder]=0,0,operations[orderQuantity] / operations[sinceLastOrder])</f>
        <v>0.8</v>
      </c>
      <c r="P1867" s="9">
        <v>74.6</v>
      </c>
      <c r="Q1867" s="7" t="s">
        <v>13</v>
      </c>
      <c r="R1867" s="10">
        <f>operations[arrivedDate]-operations[shippedDate]</f>
        <v>11</v>
      </c>
    </row>
    <row r="1868" ht="15.75" customHeight="1">
      <c r="A1868" s="6">
        <v>10969.0</v>
      </c>
      <c r="B1868" s="24">
        <v>45374.0</v>
      </c>
      <c r="C1868" s="24">
        <v>45402.0</v>
      </c>
      <c r="D1868" s="24">
        <v>45381.0</v>
      </c>
      <c r="E1868" s="24">
        <v>45401.0</v>
      </c>
      <c r="F1868" s="6">
        <v>46.0</v>
      </c>
      <c r="G1868" s="9" t="str">
        <f>VLOOKUP(operations[productID],products[],2,FALSE)</f>
        <v>Spegesild</v>
      </c>
      <c r="H1868" s="9" t="str">
        <f>IF(VLOOKUP(operations[productID],products[],7,FALSE)=1,"Discontinued","Current")</f>
        <v>Current</v>
      </c>
      <c r="I1868" s="6">
        <f>VLOOKUP(operations[productID],products[],4,FALSE)</f>
        <v>95</v>
      </c>
      <c r="J1868" s="6">
        <f>VLOOKUP(operations[productID],products[],5,FALSE)</f>
        <v>0</v>
      </c>
      <c r="K1868" s="6">
        <f>VLOOKUP(operations[productID],products[],6,FALSE)</f>
        <v>0</v>
      </c>
      <c r="L1868" s="10">
        <f t="array" ref="L1868">INDEX('1 orders'!I1868:I2156, MATCH(1, ('1 orders'!A1868:A2156=A1868)*('1 orders'!G1868:G2156=F1868), 0))
</f>
        <v>9</v>
      </c>
      <c r="M1868" s="10">
        <f>IFERROR(__xludf.DUMMYFUNCTION("COUNTUNIQUEIFS($A$2:$A1868,$F$2:$F1868,F1868)"),22.0)</f>
        <v>22</v>
      </c>
      <c r="N1868" s="10">
        <f t="shared" si="1"/>
        <v>12</v>
      </c>
      <c r="O1868" s="26">
        <f>IF(operations[sinceLastOrder]=0,0,operations[orderQuantity] / operations[sinceLastOrder])</f>
        <v>0.75</v>
      </c>
      <c r="P1868" s="9">
        <v>0.21</v>
      </c>
      <c r="Q1868" s="7" t="s">
        <v>17</v>
      </c>
      <c r="R1868" s="10">
        <f>operations[arrivedDate]-operations[shippedDate]</f>
        <v>20</v>
      </c>
    </row>
    <row r="1869" ht="15.75" customHeight="1">
      <c r="A1869" s="6">
        <v>10970.0</v>
      </c>
      <c r="B1869" s="24">
        <v>45375.0</v>
      </c>
      <c r="C1869" s="24">
        <v>45389.0</v>
      </c>
      <c r="D1869" s="24">
        <v>45406.0</v>
      </c>
      <c r="E1869" s="24">
        <v>45412.0</v>
      </c>
      <c r="F1869" s="6">
        <v>52.0</v>
      </c>
      <c r="G1869" s="9" t="str">
        <f>VLOOKUP(operations[productID],products[],2,FALSE)</f>
        <v>Filo Mix</v>
      </c>
      <c r="H1869" s="9" t="str">
        <f>IF(VLOOKUP(operations[productID],products[],7,FALSE)=1,"Discontinued","Current")</f>
        <v>Current</v>
      </c>
      <c r="I1869" s="6">
        <f>VLOOKUP(operations[productID],products[],4,FALSE)</f>
        <v>38</v>
      </c>
      <c r="J1869" s="6">
        <f>VLOOKUP(operations[productID],products[],5,FALSE)</f>
        <v>0</v>
      </c>
      <c r="K1869" s="6">
        <f>VLOOKUP(operations[productID],products[],6,FALSE)</f>
        <v>25</v>
      </c>
      <c r="L1869" s="10">
        <f t="array" ref="L1869">INDEX('1 orders'!I1869:I2156, MATCH(1, ('1 orders'!A1869:A2156=A1869)*('1 orders'!G1869:G2156=F1869), 0))
</f>
        <v>40</v>
      </c>
      <c r="M1869" s="10">
        <f>IFERROR(__xludf.DUMMYFUNCTION("COUNTUNIQUEIFS($A$2:$A1869,$F$2:$F1869,F1869)"),25.0)</f>
        <v>25</v>
      </c>
      <c r="N1869" s="10">
        <f t="shared" si="1"/>
        <v>5</v>
      </c>
      <c r="O1869" s="26">
        <f>IF(operations[sinceLastOrder]=0,0,operations[orderQuantity] / operations[sinceLastOrder])</f>
        <v>8</v>
      </c>
      <c r="P1869" s="9">
        <v>16.16</v>
      </c>
      <c r="Q1869" s="7" t="s">
        <v>15</v>
      </c>
      <c r="R1869" s="10">
        <f>operations[arrivedDate]-operations[shippedDate]</f>
        <v>6</v>
      </c>
    </row>
    <row r="1870" ht="15.75" customHeight="1">
      <c r="A1870" s="6">
        <v>10971.0</v>
      </c>
      <c r="B1870" s="24">
        <v>45375.0</v>
      </c>
      <c r="C1870" s="24">
        <v>45403.0</v>
      </c>
      <c r="D1870" s="24">
        <v>45384.0</v>
      </c>
      <c r="E1870" s="24">
        <v>45394.0</v>
      </c>
      <c r="F1870" s="6">
        <v>29.0</v>
      </c>
      <c r="G1870" s="9" t="str">
        <f>VLOOKUP(operations[productID],products[],2,FALSE)</f>
        <v>Thüringer Rostbratwurst</v>
      </c>
      <c r="H1870" s="9" t="str">
        <f>IF(VLOOKUP(operations[productID],products[],7,FALSE)=1,"Discontinued","Current")</f>
        <v>Discontinued</v>
      </c>
      <c r="I1870" s="6">
        <f>VLOOKUP(operations[productID],products[],4,FALSE)</f>
        <v>0</v>
      </c>
      <c r="J1870" s="6">
        <f>VLOOKUP(operations[productID],products[],5,FALSE)</f>
        <v>0</v>
      </c>
      <c r="K1870" s="6">
        <f>VLOOKUP(operations[productID],products[],6,FALSE)</f>
        <v>0</v>
      </c>
      <c r="L1870" s="10">
        <f t="array" ref="L1870">INDEX('1 orders'!I1870:I2156, MATCH(1, ('1 orders'!A1870:A2156=A1870)*('1 orders'!G1870:G2156=F1870), 0))
</f>
        <v>14</v>
      </c>
      <c r="M1870" s="10">
        <f>IFERROR(__xludf.DUMMYFUNCTION("COUNTUNIQUEIFS($A$2:$A1870,$F$2:$F1870,F1870)"),28.0)</f>
        <v>28</v>
      </c>
      <c r="N1870" s="10">
        <f t="shared" si="1"/>
        <v>27</v>
      </c>
      <c r="O1870" s="26">
        <f>IF(operations[sinceLastOrder]=0,0,operations[orderQuantity] / operations[sinceLastOrder])</f>
        <v>0.5185185185</v>
      </c>
      <c r="P1870" s="9">
        <v>121.82</v>
      </c>
      <c r="Q1870" s="7" t="s">
        <v>17</v>
      </c>
      <c r="R1870" s="10">
        <f>operations[arrivedDate]-operations[shippedDate]</f>
        <v>10</v>
      </c>
    </row>
    <row r="1871" ht="15.75" customHeight="1">
      <c r="A1871" s="6">
        <v>10972.0</v>
      </c>
      <c r="B1871" s="24">
        <v>45375.0</v>
      </c>
      <c r="C1871" s="24">
        <v>45403.0</v>
      </c>
      <c r="D1871" s="24">
        <v>45377.0</v>
      </c>
      <c r="E1871" s="24">
        <v>45387.0</v>
      </c>
      <c r="F1871" s="6">
        <v>17.0</v>
      </c>
      <c r="G1871" s="9" t="str">
        <f>VLOOKUP(operations[productID],products[],2,FALSE)</f>
        <v>Alice Mutton</v>
      </c>
      <c r="H1871" s="9" t="str">
        <f>IF(VLOOKUP(operations[productID],products[],7,FALSE)=1,"Discontinued","Current")</f>
        <v>Discontinued</v>
      </c>
      <c r="I1871" s="6">
        <f>VLOOKUP(operations[productID],products[],4,FALSE)</f>
        <v>0</v>
      </c>
      <c r="J1871" s="6">
        <f>VLOOKUP(operations[productID],products[],5,FALSE)</f>
        <v>0</v>
      </c>
      <c r="K1871" s="6">
        <f>VLOOKUP(operations[productID],products[],6,FALSE)</f>
        <v>0</v>
      </c>
      <c r="L1871" s="10">
        <f t="array" ref="L1871">INDEX('1 orders'!I1871:I2156, MATCH(1, ('1 orders'!A1871:A2156=A1871)*('1 orders'!G1871:G2156=F1871), 0))
</f>
        <v>6</v>
      </c>
      <c r="M1871" s="10">
        <f>IFERROR(__xludf.DUMMYFUNCTION("COUNTUNIQUEIFS($A$2:$A1871,$F$2:$F1871,F1871)"),35.0)</f>
        <v>35</v>
      </c>
      <c r="N1871" s="10">
        <f t="shared" si="1"/>
        <v>11</v>
      </c>
      <c r="O1871" s="26">
        <f>IF(operations[sinceLastOrder]=0,0,operations[orderQuantity] / operations[sinceLastOrder])</f>
        <v>0.5454545455</v>
      </c>
      <c r="P1871" s="9">
        <v>0.02</v>
      </c>
      <c r="Q1871" s="7" t="s">
        <v>17</v>
      </c>
      <c r="R1871" s="10">
        <f>operations[arrivedDate]-operations[shippedDate]</f>
        <v>10</v>
      </c>
    </row>
    <row r="1872" ht="15.75" customHeight="1">
      <c r="A1872" s="6">
        <v>10972.0</v>
      </c>
      <c r="B1872" s="24">
        <v>45375.0</v>
      </c>
      <c r="C1872" s="24">
        <v>45403.0</v>
      </c>
      <c r="D1872" s="24">
        <v>45377.0</v>
      </c>
      <c r="E1872" s="24">
        <v>45387.0</v>
      </c>
      <c r="F1872" s="6">
        <v>33.0</v>
      </c>
      <c r="G1872" s="9" t="str">
        <f>VLOOKUP(operations[productID],products[],2,FALSE)</f>
        <v>Geitost</v>
      </c>
      <c r="H1872" s="9" t="str">
        <f>IF(VLOOKUP(operations[productID],products[],7,FALSE)=1,"Discontinued","Current")</f>
        <v>Current</v>
      </c>
      <c r="I1872" s="6">
        <f>VLOOKUP(operations[productID],products[],4,FALSE)</f>
        <v>112</v>
      </c>
      <c r="J1872" s="6">
        <f>VLOOKUP(operations[productID],products[],5,FALSE)</f>
        <v>0</v>
      </c>
      <c r="K1872" s="6">
        <f>VLOOKUP(operations[productID],products[],6,FALSE)</f>
        <v>20</v>
      </c>
      <c r="L1872" s="10">
        <f t="array" ref="L1872">INDEX('1 orders'!I1872:I2156, MATCH(1, ('1 orders'!A1872:A2156=A1872)*('1 orders'!G1872:G2156=F1872), 0))
</f>
        <v>7</v>
      </c>
      <c r="M1872" s="10">
        <f>IFERROR(__xludf.DUMMYFUNCTION("COUNTUNIQUEIFS($A$2:$A1872,$F$2:$F1872,F1872)"),29.0)</f>
        <v>29</v>
      </c>
      <c r="N1872" s="10">
        <f t="shared" si="1"/>
        <v>8</v>
      </c>
      <c r="O1872" s="26">
        <f>IF(operations[sinceLastOrder]=0,0,operations[orderQuantity] / operations[sinceLastOrder])</f>
        <v>0.875</v>
      </c>
      <c r="P1872" s="9">
        <v>0.02</v>
      </c>
      <c r="Q1872" s="7" t="s">
        <v>17</v>
      </c>
      <c r="R1872" s="10">
        <f>operations[arrivedDate]-operations[shippedDate]</f>
        <v>10</v>
      </c>
    </row>
    <row r="1873" ht="15.75" customHeight="1">
      <c r="A1873" s="6">
        <v>10973.0</v>
      </c>
      <c r="B1873" s="24">
        <v>45375.0</v>
      </c>
      <c r="C1873" s="24">
        <v>45403.0</v>
      </c>
      <c r="D1873" s="24">
        <v>45378.0</v>
      </c>
      <c r="E1873" s="24">
        <v>45385.0</v>
      </c>
      <c r="F1873" s="6">
        <v>26.0</v>
      </c>
      <c r="G1873" s="9" t="str">
        <f>VLOOKUP(operations[productID],products[],2,FALSE)</f>
        <v>NuNuCa Nuß-Nougat-Creme</v>
      </c>
      <c r="H1873" s="9" t="str">
        <f>IF(VLOOKUP(operations[productID],products[],7,FALSE)=1,"Discontinued","Current")</f>
        <v>Current</v>
      </c>
      <c r="I1873" s="6">
        <f>VLOOKUP(operations[productID],products[],4,FALSE)</f>
        <v>15</v>
      </c>
      <c r="J1873" s="6">
        <f>VLOOKUP(operations[productID],products[],5,FALSE)</f>
        <v>0</v>
      </c>
      <c r="K1873" s="6">
        <f>VLOOKUP(operations[productID],products[],6,FALSE)</f>
        <v>0</v>
      </c>
      <c r="L1873" s="10">
        <f t="array" ref="L1873">INDEX('1 orders'!I1873:I2156, MATCH(1, ('1 orders'!A1873:A2156=A1873)*('1 orders'!G1873:G2156=F1873), 0))
</f>
        <v>5</v>
      </c>
      <c r="M1873" s="10">
        <f>IFERROR(__xludf.DUMMYFUNCTION("COUNTUNIQUEIFS($A$2:$A1873,$F$2:$F1873,F1873)"),29.0)</f>
        <v>29</v>
      </c>
      <c r="N1873" s="10">
        <f t="shared" si="1"/>
        <v>49</v>
      </c>
      <c r="O1873" s="26">
        <f>IF(operations[sinceLastOrder]=0,0,operations[orderQuantity] / operations[sinceLastOrder])</f>
        <v>0.1020408163</v>
      </c>
      <c r="P1873" s="9">
        <v>15.17</v>
      </c>
      <c r="Q1873" s="7" t="s">
        <v>17</v>
      </c>
      <c r="R1873" s="10">
        <f>operations[arrivedDate]-operations[shippedDate]</f>
        <v>7</v>
      </c>
    </row>
    <row r="1874" ht="15.75" customHeight="1">
      <c r="A1874" s="6">
        <v>10973.0</v>
      </c>
      <c r="B1874" s="24">
        <v>45375.0</v>
      </c>
      <c r="C1874" s="24">
        <v>45403.0</v>
      </c>
      <c r="D1874" s="24">
        <v>45378.0</v>
      </c>
      <c r="E1874" s="24">
        <v>45385.0</v>
      </c>
      <c r="F1874" s="6">
        <v>41.0</v>
      </c>
      <c r="G1874" s="9" t="str">
        <f>VLOOKUP(operations[productID],products[],2,FALSE)</f>
        <v>Jack's New England Clam Chowder</v>
      </c>
      <c r="H1874" s="9" t="str">
        <f>IF(VLOOKUP(operations[productID],products[],7,FALSE)=1,"Discontinued","Current")</f>
        <v>Current</v>
      </c>
      <c r="I1874" s="6">
        <f>VLOOKUP(operations[productID],products[],4,FALSE)</f>
        <v>85</v>
      </c>
      <c r="J1874" s="6">
        <f>VLOOKUP(operations[productID],products[],5,FALSE)</f>
        <v>0</v>
      </c>
      <c r="K1874" s="6">
        <f>VLOOKUP(operations[productID],products[],6,FALSE)</f>
        <v>10</v>
      </c>
      <c r="L1874" s="10">
        <f t="array" ref="L1874">INDEX('1 orders'!I1874:I2156, MATCH(1, ('1 orders'!A1874:A2156=A1874)*('1 orders'!G1874:G2156=F1874), 0))
</f>
        <v>6</v>
      </c>
      <c r="M1874" s="10">
        <f>IFERROR(__xludf.DUMMYFUNCTION("COUNTUNIQUEIFS($A$2:$A1874,$F$2:$F1874,F1874)"),38.0)</f>
        <v>38</v>
      </c>
      <c r="N1874" s="10">
        <f t="shared" si="1"/>
        <v>5</v>
      </c>
      <c r="O1874" s="26">
        <f>IF(operations[sinceLastOrder]=0,0,operations[orderQuantity] / operations[sinceLastOrder])</f>
        <v>1.2</v>
      </c>
      <c r="P1874" s="9">
        <v>15.17</v>
      </c>
      <c r="Q1874" s="7" t="s">
        <v>17</v>
      </c>
      <c r="R1874" s="10">
        <f>operations[arrivedDate]-operations[shippedDate]</f>
        <v>7</v>
      </c>
    </row>
    <row r="1875" ht="15.75" customHeight="1">
      <c r="A1875" s="6">
        <v>10973.0</v>
      </c>
      <c r="B1875" s="24">
        <v>45375.0</v>
      </c>
      <c r="C1875" s="24">
        <v>45403.0</v>
      </c>
      <c r="D1875" s="24">
        <v>45378.0</v>
      </c>
      <c r="E1875" s="24">
        <v>45385.0</v>
      </c>
      <c r="F1875" s="6">
        <v>75.0</v>
      </c>
      <c r="G1875" s="9" t="str">
        <f>VLOOKUP(operations[productID],products[],2,FALSE)</f>
        <v>Rhönbräu Klosterbier</v>
      </c>
      <c r="H1875" s="9" t="str">
        <f>IF(VLOOKUP(operations[productID],products[],7,FALSE)=1,"Discontinued","Current")</f>
        <v>Current</v>
      </c>
      <c r="I1875" s="6">
        <f>VLOOKUP(operations[productID],products[],4,FALSE)</f>
        <v>125</v>
      </c>
      <c r="J1875" s="6">
        <f>VLOOKUP(operations[productID],products[],5,FALSE)</f>
        <v>0</v>
      </c>
      <c r="K1875" s="6">
        <f>VLOOKUP(operations[productID],products[],6,FALSE)</f>
        <v>25</v>
      </c>
      <c r="L1875" s="10">
        <f t="array" ref="L1875">INDEX('1 orders'!I1875:I2156, MATCH(1, ('1 orders'!A1875:A2156=A1875)*('1 orders'!G1875:G2156=F1875), 0))
</f>
        <v>10</v>
      </c>
      <c r="M1875" s="10">
        <f>IFERROR(__xludf.DUMMYFUNCTION("COUNTUNIQUEIFS($A$2:$A1875,$F$2:$F1875,F1875)"),42.0)</f>
        <v>42</v>
      </c>
      <c r="N1875" s="10">
        <f t="shared" si="1"/>
        <v>6</v>
      </c>
      <c r="O1875" s="26">
        <f>IF(operations[sinceLastOrder]=0,0,operations[orderQuantity] / operations[sinceLastOrder])</f>
        <v>1.666666667</v>
      </c>
      <c r="P1875" s="9">
        <v>15.17</v>
      </c>
      <c r="Q1875" s="7" t="s">
        <v>17</v>
      </c>
      <c r="R1875" s="10">
        <f>operations[arrivedDate]-operations[shippedDate]</f>
        <v>7</v>
      </c>
    </row>
    <row r="1876" ht="15.75" customHeight="1">
      <c r="A1876" s="6">
        <v>10974.0</v>
      </c>
      <c r="B1876" s="24">
        <v>45376.0</v>
      </c>
      <c r="C1876" s="24">
        <v>45390.0</v>
      </c>
      <c r="D1876" s="24">
        <v>45385.0</v>
      </c>
      <c r="E1876" s="24">
        <v>45401.0</v>
      </c>
      <c r="F1876" s="6">
        <v>63.0</v>
      </c>
      <c r="G1876" s="9" t="str">
        <f>VLOOKUP(operations[productID],products[],2,FALSE)</f>
        <v>Vegie-spread</v>
      </c>
      <c r="H1876" s="9" t="str">
        <f>IF(VLOOKUP(operations[productID],products[],7,FALSE)=1,"Discontinued","Current")</f>
        <v>Current</v>
      </c>
      <c r="I1876" s="6">
        <f>VLOOKUP(operations[productID],products[],4,FALSE)</f>
        <v>24</v>
      </c>
      <c r="J1876" s="6">
        <f>VLOOKUP(operations[productID],products[],5,FALSE)</f>
        <v>0</v>
      </c>
      <c r="K1876" s="6">
        <f>VLOOKUP(operations[productID],products[],6,FALSE)</f>
        <v>5</v>
      </c>
      <c r="L1876" s="10">
        <f t="array" ref="L1876">INDEX('1 orders'!I1876:I2156, MATCH(1, ('1 orders'!A1876:A2156=A1876)*('1 orders'!G1876:G2156=F1876), 0))
</f>
        <v>10</v>
      </c>
      <c r="M1876" s="10">
        <f>IFERROR(__xludf.DUMMYFUNCTION("COUNTUNIQUEIFS($A$2:$A1876,$F$2:$F1876,F1876)"),13.0)</f>
        <v>13</v>
      </c>
      <c r="N1876" s="10">
        <f t="shared" si="1"/>
        <v>22</v>
      </c>
      <c r="O1876" s="26">
        <f>IF(operations[sinceLastOrder]=0,0,operations[orderQuantity] / operations[sinceLastOrder])</f>
        <v>0.4545454545</v>
      </c>
      <c r="P1876" s="9">
        <v>12.96</v>
      </c>
      <c r="Q1876" s="7" t="s">
        <v>13</v>
      </c>
      <c r="R1876" s="10">
        <f>operations[arrivedDate]-operations[shippedDate]</f>
        <v>16</v>
      </c>
    </row>
    <row r="1877" ht="15.75" customHeight="1">
      <c r="A1877" s="6">
        <v>10975.0</v>
      </c>
      <c r="B1877" s="24">
        <v>45376.0</v>
      </c>
      <c r="C1877" s="24">
        <v>45404.0</v>
      </c>
      <c r="D1877" s="24">
        <v>45378.0</v>
      </c>
      <c r="E1877" s="24">
        <v>45390.0</v>
      </c>
      <c r="F1877" s="6">
        <v>8.0</v>
      </c>
      <c r="G1877" s="9" t="str">
        <f>VLOOKUP(operations[productID],products[],2,FALSE)</f>
        <v>Northwoods Cranberry Sauce</v>
      </c>
      <c r="H1877" s="9" t="str">
        <f>IF(VLOOKUP(operations[productID],products[],7,FALSE)=1,"Discontinued","Current")</f>
        <v>Current</v>
      </c>
      <c r="I1877" s="6">
        <f>VLOOKUP(operations[productID],products[],4,FALSE)</f>
        <v>6</v>
      </c>
      <c r="J1877" s="6">
        <f>VLOOKUP(operations[productID],products[],5,FALSE)</f>
        <v>0</v>
      </c>
      <c r="K1877" s="6">
        <f>VLOOKUP(operations[productID],products[],6,FALSE)</f>
        <v>0</v>
      </c>
      <c r="L1877" s="10">
        <f t="array" ref="L1877">INDEX('1 orders'!I1877:I2156, MATCH(1, ('1 orders'!A1877:A2156=A1877)*('1 orders'!G1877:G2156=F1877), 0))
</f>
        <v>16</v>
      </c>
      <c r="M1877" s="10">
        <f>IFERROR(__xludf.DUMMYFUNCTION("COUNTUNIQUEIFS($A$2:$A1877,$F$2:$F1877,F1877)"),10.0)</f>
        <v>10</v>
      </c>
      <c r="N1877" s="10">
        <f t="shared" si="1"/>
        <v>36</v>
      </c>
      <c r="O1877" s="26">
        <f>IF(operations[sinceLastOrder]=0,0,operations[orderQuantity] / operations[sinceLastOrder])</f>
        <v>0.4444444444</v>
      </c>
      <c r="P1877" s="9">
        <v>32.27</v>
      </c>
      <c r="Q1877" s="7" t="s">
        <v>13</v>
      </c>
      <c r="R1877" s="10">
        <f>operations[arrivedDate]-operations[shippedDate]</f>
        <v>12</v>
      </c>
    </row>
    <row r="1878" ht="15.75" customHeight="1">
      <c r="A1878" s="6">
        <v>10975.0</v>
      </c>
      <c r="B1878" s="24">
        <v>45376.0</v>
      </c>
      <c r="C1878" s="24">
        <v>45404.0</v>
      </c>
      <c r="D1878" s="24">
        <v>45378.0</v>
      </c>
      <c r="E1878" s="24">
        <v>45390.0</v>
      </c>
      <c r="F1878" s="6">
        <v>75.0</v>
      </c>
      <c r="G1878" s="9" t="str">
        <f>VLOOKUP(operations[productID],products[],2,FALSE)</f>
        <v>Rhönbräu Klosterbier</v>
      </c>
      <c r="H1878" s="9" t="str">
        <f>IF(VLOOKUP(operations[productID],products[],7,FALSE)=1,"Discontinued","Current")</f>
        <v>Current</v>
      </c>
      <c r="I1878" s="6">
        <f>VLOOKUP(operations[productID],products[],4,FALSE)</f>
        <v>125</v>
      </c>
      <c r="J1878" s="6">
        <f>VLOOKUP(operations[productID],products[],5,FALSE)</f>
        <v>0</v>
      </c>
      <c r="K1878" s="6">
        <f>VLOOKUP(operations[productID],products[],6,FALSE)</f>
        <v>25</v>
      </c>
      <c r="L1878" s="10">
        <f t="array" ref="L1878">INDEX('1 orders'!I1878:I2156, MATCH(1, ('1 orders'!A1878:A2156=A1878)*('1 orders'!G1878:G2156=F1878), 0))
</f>
        <v>10</v>
      </c>
      <c r="M1878" s="10">
        <f>IFERROR(__xludf.DUMMYFUNCTION("COUNTUNIQUEIFS($A$2:$A1878,$F$2:$F1878,F1878)"),43.0)</f>
        <v>43</v>
      </c>
      <c r="N1878" s="10">
        <f t="shared" si="1"/>
        <v>1</v>
      </c>
      <c r="O1878" s="26">
        <f>IF(operations[sinceLastOrder]=0,0,operations[orderQuantity] / operations[sinceLastOrder])</f>
        <v>10</v>
      </c>
      <c r="P1878" s="9">
        <v>32.27</v>
      </c>
      <c r="Q1878" s="7" t="s">
        <v>13</v>
      </c>
      <c r="R1878" s="10">
        <f>operations[arrivedDate]-operations[shippedDate]</f>
        <v>12</v>
      </c>
    </row>
    <row r="1879" ht="15.75" customHeight="1">
      <c r="A1879" s="6">
        <v>10976.0</v>
      </c>
      <c r="B1879" s="24">
        <v>45376.0</v>
      </c>
      <c r="C1879" s="24">
        <v>45418.0</v>
      </c>
      <c r="D1879" s="24">
        <v>45385.0</v>
      </c>
      <c r="E1879" s="24">
        <v>45397.0</v>
      </c>
      <c r="F1879" s="6">
        <v>28.0</v>
      </c>
      <c r="G1879" s="9" t="str">
        <f>VLOOKUP(operations[productID],products[],2,FALSE)</f>
        <v>Rössle Sauerkraut</v>
      </c>
      <c r="H1879" s="9" t="str">
        <f>IF(VLOOKUP(operations[productID],products[],7,FALSE)=1,"Discontinued","Current")</f>
        <v>Discontinued</v>
      </c>
      <c r="I1879" s="6">
        <f>VLOOKUP(operations[productID],products[],4,FALSE)</f>
        <v>26</v>
      </c>
      <c r="J1879" s="6">
        <f>VLOOKUP(operations[productID],products[],5,FALSE)</f>
        <v>0</v>
      </c>
      <c r="K1879" s="6">
        <f>VLOOKUP(operations[productID],products[],6,FALSE)</f>
        <v>0</v>
      </c>
      <c r="L1879" s="10">
        <f t="array" ref="L1879">INDEX('1 orders'!I1879:I2156, MATCH(1, ('1 orders'!A1879:A2156=A1879)*('1 orders'!G1879:G2156=F1879), 0))
</f>
        <v>20</v>
      </c>
      <c r="M1879" s="10">
        <f>IFERROR(__xludf.DUMMYFUNCTION("COUNTUNIQUEIFS($A$2:$A1879,$F$2:$F1879,F1879)"),30.0)</f>
        <v>30</v>
      </c>
      <c r="N1879" s="10">
        <f t="shared" si="1"/>
        <v>9</v>
      </c>
      <c r="O1879" s="26">
        <f>IF(operations[sinceLastOrder]=0,0,operations[orderQuantity] / operations[sinceLastOrder])</f>
        <v>2.222222222</v>
      </c>
      <c r="P1879" s="9">
        <v>37.97</v>
      </c>
      <c r="Q1879" s="7" t="s">
        <v>15</v>
      </c>
      <c r="R1879" s="10">
        <f>operations[arrivedDate]-operations[shippedDate]</f>
        <v>12</v>
      </c>
    </row>
    <row r="1880" ht="15.75" customHeight="1">
      <c r="A1880" s="6">
        <v>10977.0</v>
      </c>
      <c r="B1880" s="24">
        <v>45377.0</v>
      </c>
      <c r="C1880" s="24">
        <v>45405.0</v>
      </c>
      <c r="D1880" s="24">
        <v>45392.0</v>
      </c>
      <c r="E1880" s="24">
        <v>45404.0</v>
      </c>
      <c r="F1880" s="6">
        <v>39.0</v>
      </c>
      <c r="G1880" s="9" t="str">
        <f>VLOOKUP(operations[productID],products[],2,FALSE)</f>
        <v>Chartreuse verte</v>
      </c>
      <c r="H1880" s="9" t="str">
        <f>IF(VLOOKUP(operations[productID],products[],7,FALSE)=1,"Discontinued","Current")</f>
        <v>Current</v>
      </c>
      <c r="I1880" s="6">
        <f>VLOOKUP(operations[productID],products[],4,FALSE)</f>
        <v>69</v>
      </c>
      <c r="J1880" s="6">
        <f>VLOOKUP(operations[productID],products[],5,FALSE)</f>
        <v>0</v>
      </c>
      <c r="K1880" s="6">
        <f>VLOOKUP(operations[productID],products[],6,FALSE)</f>
        <v>5</v>
      </c>
      <c r="L1880" s="10">
        <f t="array" ref="L1880">INDEX('1 orders'!I1880:I2156, MATCH(1, ('1 orders'!A1880:A2156=A1880)*('1 orders'!G1880:G2156=F1880), 0))
</f>
        <v>30</v>
      </c>
      <c r="M1880" s="10">
        <f>IFERROR(__xludf.DUMMYFUNCTION("COUNTUNIQUEIFS($A$2:$A1880,$F$2:$F1880,F1880)"),28.0)</f>
        <v>28</v>
      </c>
      <c r="N1880" s="10">
        <f t="shared" si="1"/>
        <v>35</v>
      </c>
      <c r="O1880" s="26">
        <f>IF(operations[sinceLastOrder]=0,0,operations[orderQuantity] / operations[sinceLastOrder])</f>
        <v>0.8571428571</v>
      </c>
      <c r="P1880" s="9">
        <v>208.5</v>
      </c>
      <c r="Q1880" s="7" t="s">
        <v>13</v>
      </c>
      <c r="R1880" s="10">
        <f>operations[arrivedDate]-operations[shippedDate]</f>
        <v>12</v>
      </c>
    </row>
    <row r="1881" ht="15.75" customHeight="1">
      <c r="A1881" s="6">
        <v>10977.0</v>
      </c>
      <c r="B1881" s="24">
        <v>45377.0</v>
      </c>
      <c r="C1881" s="24">
        <v>45405.0</v>
      </c>
      <c r="D1881" s="24">
        <v>45392.0</v>
      </c>
      <c r="E1881" s="24">
        <v>45404.0</v>
      </c>
      <c r="F1881" s="6">
        <v>47.0</v>
      </c>
      <c r="G1881" s="9" t="str">
        <f>VLOOKUP(operations[productID],products[],2,FALSE)</f>
        <v>Zaanse koeken</v>
      </c>
      <c r="H1881" s="9" t="str">
        <f>IF(VLOOKUP(operations[productID],products[],7,FALSE)=1,"Discontinued","Current")</f>
        <v>Current</v>
      </c>
      <c r="I1881" s="6">
        <f>VLOOKUP(operations[productID],products[],4,FALSE)</f>
        <v>36</v>
      </c>
      <c r="J1881" s="6">
        <f>VLOOKUP(operations[productID],products[],5,FALSE)</f>
        <v>0</v>
      </c>
      <c r="K1881" s="6">
        <f>VLOOKUP(operations[productID],products[],6,FALSE)</f>
        <v>0</v>
      </c>
      <c r="L1881" s="10">
        <f t="array" ref="L1881">INDEX('1 orders'!I1881:I2156, MATCH(1, ('1 orders'!A1881:A2156=A1881)*('1 orders'!G1881:G2156=F1881), 0))
</f>
        <v>30</v>
      </c>
      <c r="M1881" s="10">
        <f>IFERROR(__xludf.DUMMYFUNCTION("COUNTUNIQUEIFS($A$2:$A1881,$F$2:$F1881,F1881)"),21.0)</f>
        <v>21</v>
      </c>
      <c r="N1881" s="10">
        <f t="shared" si="1"/>
        <v>9</v>
      </c>
      <c r="O1881" s="26">
        <f>IF(operations[sinceLastOrder]=0,0,operations[orderQuantity] / operations[sinceLastOrder])</f>
        <v>3.333333333</v>
      </c>
      <c r="P1881" s="9">
        <v>208.5</v>
      </c>
      <c r="Q1881" s="7" t="s">
        <v>13</v>
      </c>
      <c r="R1881" s="10">
        <f>operations[arrivedDate]-operations[shippedDate]</f>
        <v>12</v>
      </c>
    </row>
    <row r="1882" ht="15.75" customHeight="1">
      <c r="A1882" s="6">
        <v>10977.0</v>
      </c>
      <c r="B1882" s="24">
        <v>45377.0</v>
      </c>
      <c r="C1882" s="24">
        <v>45405.0</v>
      </c>
      <c r="D1882" s="24">
        <v>45392.0</v>
      </c>
      <c r="E1882" s="24">
        <v>45404.0</v>
      </c>
      <c r="F1882" s="6">
        <v>51.0</v>
      </c>
      <c r="G1882" s="9" t="str">
        <f>VLOOKUP(operations[productID],products[],2,FALSE)</f>
        <v>Manjimup Dried Apples</v>
      </c>
      <c r="H1882" s="9" t="str">
        <f>IF(VLOOKUP(operations[productID],products[],7,FALSE)=1,"Discontinued","Current")</f>
        <v>Current</v>
      </c>
      <c r="I1882" s="6">
        <f>VLOOKUP(operations[productID],products[],4,FALSE)</f>
        <v>20</v>
      </c>
      <c r="J1882" s="6">
        <f>VLOOKUP(operations[productID],products[],5,FALSE)</f>
        <v>0</v>
      </c>
      <c r="K1882" s="6">
        <f>VLOOKUP(operations[productID],products[],6,FALSE)</f>
        <v>10</v>
      </c>
      <c r="L1882" s="10">
        <f t="array" ref="L1882">INDEX('1 orders'!I1882:I2156, MATCH(1, ('1 orders'!A1882:A2156=A1882)*('1 orders'!G1882:G2156=F1882), 0))
</f>
        <v>10</v>
      </c>
      <c r="M1882" s="10">
        <f>IFERROR(__xludf.DUMMYFUNCTION("COUNTUNIQUEIFS($A$2:$A1882,$F$2:$F1882,F1882)"),33.0)</f>
        <v>33</v>
      </c>
      <c r="N1882" s="10">
        <f t="shared" si="1"/>
        <v>6</v>
      </c>
      <c r="O1882" s="26">
        <f>IF(operations[sinceLastOrder]=0,0,operations[orderQuantity] / operations[sinceLastOrder])</f>
        <v>1.666666667</v>
      </c>
      <c r="P1882" s="9">
        <v>208.5</v>
      </c>
      <c r="Q1882" s="7" t="s">
        <v>13</v>
      </c>
      <c r="R1882" s="10">
        <f>operations[arrivedDate]-operations[shippedDate]</f>
        <v>12</v>
      </c>
    </row>
    <row r="1883" ht="15.75" customHeight="1">
      <c r="A1883" s="6">
        <v>10977.0</v>
      </c>
      <c r="B1883" s="24">
        <v>45377.0</v>
      </c>
      <c r="C1883" s="24">
        <v>45405.0</v>
      </c>
      <c r="D1883" s="24">
        <v>45392.0</v>
      </c>
      <c r="E1883" s="24">
        <v>45404.0</v>
      </c>
      <c r="F1883" s="6">
        <v>63.0</v>
      </c>
      <c r="G1883" s="9" t="str">
        <f>VLOOKUP(operations[productID],products[],2,FALSE)</f>
        <v>Vegie-spread</v>
      </c>
      <c r="H1883" s="9" t="str">
        <f>IF(VLOOKUP(operations[productID],products[],7,FALSE)=1,"Discontinued","Current")</f>
        <v>Current</v>
      </c>
      <c r="I1883" s="6">
        <f>VLOOKUP(operations[productID],products[],4,FALSE)</f>
        <v>24</v>
      </c>
      <c r="J1883" s="6">
        <f>VLOOKUP(operations[productID],products[],5,FALSE)</f>
        <v>0</v>
      </c>
      <c r="K1883" s="6">
        <f>VLOOKUP(operations[productID],products[],6,FALSE)</f>
        <v>5</v>
      </c>
      <c r="L1883" s="10">
        <f t="array" ref="L1883">INDEX('1 orders'!I1883:I2156, MATCH(1, ('1 orders'!A1883:A2156=A1883)*('1 orders'!G1883:G2156=F1883), 0))
</f>
        <v>20</v>
      </c>
      <c r="M1883" s="10">
        <f>IFERROR(__xludf.DUMMYFUNCTION("COUNTUNIQUEIFS($A$2:$A1883,$F$2:$F1883,F1883)"),14.0)</f>
        <v>14</v>
      </c>
      <c r="N1883" s="10">
        <f t="shared" si="1"/>
        <v>1</v>
      </c>
      <c r="O1883" s="26">
        <f>IF(operations[sinceLastOrder]=0,0,operations[orderQuantity] / operations[sinceLastOrder])</f>
        <v>20</v>
      </c>
      <c r="P1883" s="9">
        <v>208.5</v>
      </c>
      <c r="Q1883" s="7" t="s">
        <v>13</v>
      </c>
      <c r="R1883" s="10">
        <f>operations[arrivedDate]-operations[shippedDate]</f>
        <v>12</v>
      </c>
    </row>
    <row r="1884" ht="15.75" customHeight="1">
      <c r="A1884" s="6">
        <v>10978.0</v>
      </c>
      <c r="B1884" s="24">
        <v>45377.0</v>
      </c>
      <c r="C1884" s="24">
        <v>45405.0</v>
      </c>
      <c r="D1884" s="24">
        <v>45405.0</v>
      </c>
      <c r="E1884" s="24">
        <v>45417.0</v>
      </c>
      <c r="F1884" s="6">
        <v>8.0</v>
      </c>
      <c r="G1884" s="9" t="str">
        <f>VLOOKUP(operations[productID],products[],2,FALSE)</f>
        <v>Northwoods Cranberry Sauce</v>
      </c>
      <c r="H1884" s="9" t="str">
        <f>IF(VLOOKUP(operations[productID],products[],7,FALSE)=1,"Discontinued","Current")</f>
        <v>Current</v>
      </c>
      <c r="I1884" s="6">
        <f>VLOOKUP(operations[productID],products[],4,FALSE)</f>
        <v>6</v>
      </c>
      <c r="J1884" s="6">
        <f>VLOOKUP(operations[productID],products[],5,FALSE)</f>
        <v>0</v>
      </c>
      <c r="K1884" s="6">
        <f>VLOOKUP(operations[productID],products[],6,FALSE)</f>
        <v>0</v>
      </c>
      <c r="L1884" s="10">
        <f t="array" ref="L1884">INDEX('1 orders'!I1884:I2156, MATCH(1, ('1 orders'!A1884:A2156=A1884)*('1 orders'!G1884:G2156=F1884), 0))
</f>
        <v>20</v>
      </c>
      <c r="M1884" s="10">
        <f>IFERROR(__xludf.DUMMYFUNCTION("COUNTUNIQUEIFS($A$2:$A1884,$F$2:$F1884,F1884)"),11.0)</f>
        <v>11</v>
      </c>
      <c r="N1884" s="10">
        <f t="shared" si="1"/>
        <v>1</v>
      </c>
      <c r="O1884" s="26">
        <f>IF(operations[sinceLastOrder]=0,0,operations[orderQuantity] / operations[sinceLastOrder])</f>
        <v>20</v>
      </c>
      <c r="P1884" s="9">
        <v>32.82</v>
      </c>
      <c r="Q1884" s="7" t="s">
        <v>17</v>
      </c>
      <c r="R1884" s="10">
        <f>operations[arrivedDate]-operations[shippedDate]</f>
        <v>12</v>
      </c>
    </row>
    <row r="1885" ht="15.75" customHeight="1">
      <c r="A1885" s="6">
        <v>10978.0</v>
      </c>
      <c r="B1885" s="24">
        <v>45377.0</v>
      </c>
      <c r="C1885" s="24">
        <v>45405.0</v>
      </c>
      <c r="D1885" s="24">
        <v>45405.0</v>
      </c>
      <c r="E1885" s="24">
        <v>45417.0</v>
      </c>
      <c r="F1885" s="6">
        <v>21.0</v>
      </c>
      <c r="G1885" s="9" t="str">
        <f>VLOOKUP(operations[productID],products[],2,FALSE)</f>
        <v>Sir Rodney's Scones</v>
      </c>
      <c r="H1885" s="9" t="str">
        <f>IF(VLOOKUP(operations[productID],products[],7,FALSE)=1,"Discontinued","Current")</f>
        <v>Current</v>
      </c>
      <c r="I1885" s="6">
        <f>VLOOKUP(operations[productID],products[],4,FALSE)</f>
        <v>3</v>
      </c>
      <c r="J1885" s="6">
        <f>VLOOKUP(operations[productID],products[],5,FALSE)</f>
        <v>40</v>
      </c>
      <c r="K1885" s="6">
        <f>VLOOKUP(operations[productID],products[],6,FALSE)</f>
        <v>5</v>
      </c>
      <c r="L1885" s="10">
        <f t="array" ref="L1885">INDEX('1 orders'!I1885:I2156, MATCH(1, ('1 orders'!A1885:A2156=A1885)*('1 orders'!G1885:G2156=F1885), 0))
</f>
        <v>40</v>
      </c>
      <c r="M1885" s="10">
        <f>IFERROR(__xludf.DUMMYFUNCTION("COUNTUNIQUEIFS($A$2:$A1885,$F$2:$F1885,F1885)"),35.0)</f>
        <v>35</v>
      </c>
      <c r="N1885" s="10">
        <f t="shared" si="1"/>
        <v>9</v>
      </c>
      <c r="O1885" s="26">
        <f>IF(operations[sinceLastOrder]=0,0,operations[orderQuantity] / operations[sinceLastOrder])</f>
        <v>4.444444444</v>
      </c>
      <c r="P1885" s="9">
        <v>32.82</v>
      </c>
      <c r="Q1885" s="7" t="s">
        <v>17</v>
      </c>
      <c r="R1885" s="10">
        <f>operations[arrivedDate]-operations[shippedDate]</f>
        <v>12</v>
      </c>
    </row>
    <row r="1886" ht="15.75" customHeight="1">
      <c r="A1886" s="6">
        <v>10978.0</v>
      </c>
      <c r="B1886" s="24">
        <v>45377.0</v>
      </c>
      <c r="C1886" s="24">
        <v>45405.0</v>
      </c>
      <c r="D1886" s="24">
        <v>45405.0</v>
      </c>
      <c r="E1886" s="24">
        <v>45417.0</v>
      </c>
      <c r="F1886" s="6">
        <v>40.0</v>
      </c>
      <c r="G1886" s="9" t="str">
        <f>VLOOKUP(operations[productID],products[],2,FALSE)</f>
        <v>Boston Crab Meat</v>
      </c>
      <c r="H1886" s="9" t="str">
        <f>IF(VLOOKUP(operations[productID],products[],7,FALSE)=1,"Discontinued","Current")</f>
        <v>Current</v>
      </c>
      <c r="I1886" s="6">
        <f>VLOOKUP(operations[productID],products[],4,FALSE)</f>
        <v>123</v>
      </c>
      <c r="J1886" s="6">
        <f>VLOOKUP(operations[productID],products[],5,FALSE)</f>
        <v>0</v>
      </c>
      <c r="K1886" s="6">
        <f>VLOOKUP(operations[productID],products[],6,FALSE)</f>
        <v>30</v>
      </c>
      <c r="L1886" s="10">
        <f t="array" ref="L1886">INDEX('1 orders'!I1886:I2156, MATCH(1, ('1 orders'!A1886:A2156=A1886)*('1 orders'!G1886:G2156=F1886), 0))
</f>
        <v>10</v>
      </c>
      <c r="M1886" s="10">
        <f>IFERROR(__xludf.DUMMYFUNCTION("COUNTUNIQUEIFS($A$2:$A1886,$F$2:$F1886,F1886)"),38.0)</f>
        <v>38</v>
      </c>
      <c r="N1886" s="10">
        <f t="shared" si="1"/>
        <v>24</v>
      </c>
      <c r="O1886" s="26">
        <f>IF(operations[sinceLastOrder]=0,0,operations[orderQuantity] / operations[sinceLastOrder])</f>
        <v>0.4166666667</v>
      </c>
      <c r="P1886" s="9">
        <v>32.82</v>
      </c>
      <c r="Q1886" s="7" t="s">
        <v>17</v>
      </c>
      <c r="R1886" s="10">
        <f>operations[arrivedDate]-operations[shippedDate]</f>
        <v>12</v>
      </c>
    </row>
    <row r="1887" ht="15.75" customHeight="1">
      <c r="A1887" s="6">
        <v>10978.0</v>
      </c>
      <c r="B1887" s="24">
        <v>45377.0</v>
      </c>
      <c r="C1887" s="24">
        <v>45405.0</v>
      </c>
      <c r="D1887" s="24">
        <v>45405.0</v>
      </c>
      <c r="E1887" s="24">
        <v>45417.0</v>
      </c>
      <c r="F1887" s="6">
        <v>44.0</v>
      </c>
      <c r="G1887" s="9" t="str">
        <f>VLOOKUP(operations[productID],products[],2,FALSE)</f>
        <v>Gula Malacca</v>
      </c>
      <c r="H1887" s="9" t="str">
        <f>IF(VLOOKUP(operations[productID],products[],7,FALSE)=1,"Discontinued","Current")</f>
        <v>Current</v>
      </c>
      <c r="I1887" s="6">
        <f>VLOOKUP(operations[productID],products[],4,FALSE)</f>
        <v>27</v>
      </c>
      <c r="J1887" s="6">
        <f>VLOOKUP(operations[productID],products[],5,FALSE)</f>
        <v>0</v>
      </c>
      <c r="K1887" s="6">
        <f>VLOOKUP(operations[productID],products[],6,FALSE)</f>
        <v>15</v>
      </c>
      <c r="L1887" s="10">
        <f t="array" ref="L1887">INDEX('1 orders'!I1887:I2156, MATCH(1, ('1 orders'!A1887:A2156=A1887)*('1 orders'!G1887:G2156=F1887), 0))
</f>
        <v>6</v>
      </c>
      <c r="M1887" s="10">
        <f>IFERROR(__xludf.DUMMYFUNCTION("COUNTUNIQUEIFS($A$2:$A1887,$F$2:$F1887,F1887)"),22.0)</f>
        <v>22</v>
      </c>
      <c r="N1887" s="10">
        <f t="shared" si="1"/>
        <v>14</v>
      </c>
      <c r="O1887" s="26">
        <f>IF(operations[sinceLastOrder]=0,0,operations[orderQuantity] / operations[sinceLastOrder])</f>
        <v>0.4285714286</v>
      </c>
      <c r="P1887" s="9">
        <v>32.82</v>
      </c>
      <c r="Q1887" s="7" t="s">
        <v>17</v>
      </c>
      <c r="R1887" s="10">
        <f>operations[arrivedDate]-operations[shippedDate]</f>
        <v>12</v>
      </c>
    </row>
    <row r="1888" ht="15.75" customHeight="1">
      <c r="A1888" s="6">
        <v>10979.0</v>
      </c>
      <c r="B1888" s="24">
        <v>45377.0</v>
      </c>
      <c r="C1888" s="24">
        <v>45405.0</v>
      </c>
      <c r="D1888" s="24">
        <v>45382.0</v>
      </c>
      <c r="E1888" s="24">
        <v>45394.0</v>
      </c>
      <c r="F1888" s="6">
        <v>7.0</v>
      </c>
      <c r="G1888" s="9" t="str">
        <f>VLOOKUP(operations[productID],products[],2,FALSE)</f>
        <v>Uncle Bob's Organic Dried Pears</v>
      </c>
      <c r="H1888" s="9" t="str">
        <f>IF(VLOOKUP(operations[productID],products[],7,FALSE)=1,"Discontinued","Current")</f>
        <v>Current</v>
      </c>
      <c r="I1888" s="6">
        <f>VLOOKUP(operations[productID],products[],4,FALSE)</f>
        <v>15</v>
      </c>
      <c r="J1888" s="6">
        <f>VLOOKUP(operations[productID],products[],5,FALSE)</f>
        <v>0</v>
      </c>
      <c r="K1888" s="6">
        <f>VLOOKUP(operations[productID],products[],6,FALSE)</f>
        <v>10</v>
      </c>
      <c r="L1888" s="10">
        <f t="array" ref="L1888">INDEX('1 orders'!I1888:I2156, MATCH(1, ('1 orders'!A1888:A2156=A1888)*('1 orders'!G1888:G2156=F1888), 0))
</f>
        <v>18</v>
      </c>
      <c r="M1888" s="10">
        <f>IFERROR(__xludf.DUMMYFUNCTION("COUNTUNIQUEIFS($A$2:$A1888,$F$2:$F1888,F1888)"),20.0)</f>
        <v>20</v>
      </c>
      <c r="N1888" s="10">
        <f t="shared" si="1"/>
        <v>7</v>
      </c>
      <c r="O1888" s="26">
        <f>IF(operations[sinceLastOrder]=0,0,operations[orderQuantity] / operations[sinceLastOrder])</f>
        <v>2.571428571</v>
      </c>
      <c r="P1888" s="9">
        <v>353.07</v>
      </c>
      <c r="Q1888" s="7" t="s">
        <v>17</v>
      </c>
      <c r="R1888" s="10">
        <f>operations[arrivedDate]-operations[shippedDate]</f>
        <v>12</v>
      </c>
    </row>
    <row r="1889" ht="15.75" customHeight="1">
      <c r="A1889" s="6">
        <v>10979.0</v>
      </c>
      <c r="B1889" s="24">
        <v>45377.0</v>
      </c>
      <c r="C1889" s="24">
        <v>45405.0</v>
      </c>
      <c r="D1889" s="24">
        <v>45382.0</v>
      </c>
      <c r="E1889" s="24">
        <v>45394.0</v>
      </c>
      <c r="F1889" s="6">
        <v>12.0</v>
      </c>
      <c r="G1889" s="9" t="str">
        <f>VLOOKUP(operations[productID],products[],2,FALSE)</f>
        <v>Queso Manchego La Pastora</v>
      </c>
      <c r="H1889" s="9" t="str">
        <f>IF(VLOOKUP(operations[productID],products[],7,FALSE)=1,"Discontinued","Current")</f>
        <v>Current</v>
      </c>
      <c r="I1889" s="6">
        <f>VLOOKUP(operations[productID],products[],4,FALSE)</f>
        <v>86</v>
      </c>
      <c r="J1889" s="6">
        <f>VLOOKUP(operations[productID],products[],5,FALSE)</f>
        <v>0</v>
      </c>
      <c r="K1889" s="6">
        <f>VLOOKUP(operations[productID],products[],6,FALSE)</f>
        <v>0</v>
      </c>
      <c r="L1889" s="10">
        <f t="array" ref="L1889">INDEX('1 orders'!I1889:I2156, MATCH(1, ('1 orders'!A1889:A2156=A1889)*('1 orders'!G1889:G2156=F1889), 0))
</f>
        <v>20</v>
      </c>
      <c r="M1889" s="10">
        <f>IFERROR(__xludf.DUMMYFUNCTION("COUNTUNIQUEIFS($A$2:$A1889,$F$2:$F1889,F1889)"),10.0)</f>
        <v>10</v>
      </c>
      <c r="N1889" s="10">
        <f t="shared" si="1"/>
        <v>3</v>
      </c>
      <c r="O1889" s="26">
        <f>IF(operations[sinceLastOrder]=0,0,operations[orderQuantity] / operations[sinceLastOrder])</f>
        <v>6.666666667</v>
      </c>
      <c r="P1889" s="9">
        <v>353.07</v>
      </c>
      <c r="Q1889" s="7" t="s">
        <v>17</v>
      </c>
      <c r="R1889" s="10">
        <f>operations[arrivedDate]-operations[shippedDate]</f>
        <v>12</v>
      </c>
    </row>
    <row r="1890" ht="15.75" customHeight="1">
      <c r="A1890" s="6">
        <v>10979.0</v>
      </c>
      <c r="B1890" s="24">
        <v>45377.0</v>
      </c>
      <c r="C1890" s="24">
        <v>45405.0</v>
      </c>
      <c r="D1890" s="24">
        <v>45382.0</v>
      </c>
      <c r="E1890" s="24">
        <v>45394.0</v>
      </c>
      <c r="F1890" s="6">
        <v>24.0</v>
      </c>
      <c r="G1890" s="9" t="str">
        <f>VLOOKUP(operations[productID],products[],2,FALSE)</f>
        <v>Brigadeiros Maravilhosos da Lilian</v>
      </c>
      <c r="H1890" s="9" t="str">
        <f>IF(VLOOKUP(operations[productID],products[],7,FALSE)=1,"Discontinued","Current")</f>
        <v>Discontinued</v>
      </c>
      <c r="I1890" s="6">
        <f>VLOOKUP(operations[productID],products[],4,FALSE)</f>
        <v>20</v>
      </c>
      <c r="J1890" s="6">
        <f>VLOOKUP(operations[productID],products[],5,FALSE)</f>
        <v>0</v>
      </c>
      <c r="K1890" s="6">
        <f>VLOOKUP(operations[productID],products[],6,FALSE)</f>
        <v>0</v>
      </c>
      <c r="L1890" s="10">
        <f t="array" ref="L1890">INDEX('1 orders'!I1890:I2156, MATCH(1, ('1 orders'!A1890:A2156=A1890)*('1 orders'!G1890:G2156=F1890), 0))
</f>
        <v>80</v>
      </c>
      <c r="M1890" s="10">
        <f>IFERROR(__xludf.DUMMYFUNCTION("COUNTUNIQUEIFS($A$2:$A1890,$F$2:$F1890,F1890)"),41.0)</f>
        <v>41</v>
      </c>
      <c r="N1890" s="10">
        <f t="shared" si="1"/>
        <v>3</v>
      </c>
      <c r="O1890" s="26">
        <f>IF(operations[sinceLastOrder]=0,0,operations[orderQuantity] / operations[sinceLastOrder])</f>
        <v>26.66666667</v>
      </c>
      <c r="P1890" s="9">
        <v>353.07</v>
      </c>
      <c r="Q1890" s="7" t="s">
        <v>17</v>
      </c>
      <c r="R1890" s="10">
        <f>operations[arrivedDate]-operations[shippedDate]</f>
        <v>12</v>
      </c>
    </row>
    <row r="1891" ht="15.75" customHeight="1">
      <c r="A1891" s="6">
        <v>10979.0</v>
      </c>
      <c r="B1891" s="24">
        <v>45377.0</v>
      </c>
      <c r="C1891" s="24">
        <v>45405.0</v>
      </c>
      <c r="D1891" s="24">
        <v>45382.0</v>
      </c>
      <c r="E1891" s="24">
        <v>45394.0</v>
      </c>
      <c r="F1891" s="6">
        <v>27.0</v>
      </c>
      <c r="G1891" s="9" t="str">
        <f>VLOOKUP(operations[productID],products[],2,FALSE)</f>
        <v>Schoggi Schokolade</v>
      </c>
      <c r="H1891" s="9" t="str">
        <f>IF(VLOOKUP(operations[productID],products[],7,FALSE)=1,"Discontinued","Current")</f>
        <v>Current</v>
      </c>
      <c r="I1891" s="6">
        <f>VLOOKUP(operations[productID],products[],4,FALSE)</f>
        <v>49</v>
      </c>
      <c r="J1891" s="6">
        <f>VLOOKUP(operations[productID],products[],5,FALSE)</f>
        <v>0</v>
      </c>
      <c r="K1891" s="6">
        <f>VLOOKUP(operations[productID],products[],6,FALSE)</f>
        <v>30</v>
      </c>
      <c r="L1891" s="10">
        <f t="array" ref="L1891">INDEX('1 orders'!I1891:I2156, MATCH(1, ('1 orders'!A1891:A2156=A1891)*('1 orders'!G1891:G2156=F1891), 0))
</f>
        <v>30</v>
      </c>
      <c r="M1891" s="10">
        <f>IFERROR(__xludf.DUMMYFUNCTION("COUNTUNIQUEIFS($A$2:$A1891,$F$2:$F1891,F1891)"),9.0)</f>
        <v>9</v>
      </c>
      <c r="N1891" s="10">
        <f t="shared" si="1"/>
        <v>20</v>
      </c>
      <c r="O1891" s="26">
        <f>IF(operations[sinceLastOrder]=0,0,operations[orderQuantity] / operations[sinceLastOrder])</f>
        <v>1.5</v>
      </c>
      <c r="P1891" s="9">
        <v>353.07</v>
      </c>
      <c r="Q1891" s="7" t="s">
        <v>17</v>
      </c>
      <c r="R1891" s="10">
        <f>operations[arrivedDate]-operations[shippedDate]</f>
        <v>12</v>
      </c>
    </row>
    <row r="1892" ht="15.75" customHeight="1">
      <c r="A1892" s="6">
        <v>10979.0</v>
      </c>
      <c r="B1892" s="24">
        <v>45377.0</v>
      </c>
      <c r="C1892" s="24">
        <v>45405.0</v>
      </c>
      <c r="D1892" s="24">
        <v>45382.0</v>
      </c>
      <c r="E1892" s="24">
        <v>45394.0</v>
      </c>
      <c r="F1892" s="6">
        <v>31.0</v>
      </c>
      <c r="G1892" s="9" t="str">
        <f>VLOOKUP(operations[productID],products[],2,FALSE)</f>
        <v>Gorgonzola Telino</v>
      </c>
      <c r="H1892" s="9" t="str">
        <f>IF(VLOOKUP(operations[productID],products[],7,FALSE)=1,"Discontinued","Current")</f>
        <v>Current</v>
      </c>
      <c r="I1892" s="6">
        <f>VLOOKUP(operations[productID],products[],4,FALSE)</f>
        <v>0</v>
      </c>
      <c r="J1892" s="6">
        <f>VLOOKUP(operations[productID],products[],5,FALSE)</f>
        <v>70</v>
      </c>
      <c r="K1892" s="6">
        <f>VLOOKUP(operations[productID],products[],6,FALSE)</f>
        <v>20</v>
      </c>
      <c r="L1892" s="10">
        <f t="array" ref="L1892">INDEX('1 orders'!I1892:I2156, MATCH(1, ('1 orders'!A1892:A2156=A1892)*('1 orders'!G1892:G2156=F1892), 0))
</f>
        <v>24</v>
      </c>
      <c r="M1892" s="10">
        <f>IFERROR(__xludf.DUMMYFUNCTION("COUNTUNIQUEIFS($A$2:$A1892,$F$2:$F1892,F1892)"),49.0)</f>
        <v>49</v>
      </c>
      <c r="N1892" s="10">
        <f t="shared" si="1"/>
        <v>9</v>
      </c>
      <c r="O1892" s="26">
        <f>IF(operations[sinceLastOrder]=0,0,operations[orderQuantity] / operations[sinceLastOrder])</f>
        <v>2.666666667</v>
      </c>
      <c r="P1892" s="9">
        <v>353.07</v>
      </c>
      <c r="Q1892" s="7" t="s">
        <v>17</v>
      </c>
      <c r="R1892" s="10">
        <f>operations[arrivedDate]-operations[shippedDate]</f>
        <v>12</v>
      </c>
    </row>
    <row r="1893" ht="15.75" customHeight="1">
      <c r="A1893" s="6">
        <v>10979.0</v>
      </c>
      <c r="B1893" s="24">
        <v>45377.0</v>
      </c>
      <c r="C1893" s="24">
        <v>45405.0</v>
      </c>
      <c r="D1893" s="24">
        <v>45382.0</v>
      </c>
      <c r="E1893" s="24">
        <v>45394.0</v>
      </c>
      <c r="F1893" s="6">
        <v>63.0</v>
      </c>
      <c r="G1893" s="9" t="str">
        <f>VLOOKUP(operations[productID],products[],2,FALSE)</f>
        <v>Vegie-spread</v>
      </c>
      <c r="H1893" s="9" t="str">
        <f>IF(VLOOKUP(operations[productID],products[],7,FALSE)=1,"Discontinued","Current")</f>
        <v>Current</v>
      </c>
      <c r="I1893" s="6">
        <f>VLOOKUP(operations[productID],products[],4,FALSE)</f>
        <v>24</v>
      </c>
      <c r="J1893" s="6">
        <f>VLOOKUP(operations[productID],products[],5,FALSE)</f>
        <v>0</v>
      </c>
      <c r="K1893" s="6">
        <f>VLOOKUP(operations[productID],products[],6,FALSE)</f>
        <v>5</v>
      </c>
      <c r="L1893" s="10">
        <f t="array" ref="L1893">INDEX('1 orders'!I1893:I2156, MATCH(1, ('1 orders'!A1893:A2156=A1893)*('1 orders'!G1893:G2156=F1893), 0))
</f>
        <v>35</v>
      </c>
      <c r="M1893" s="10">
        <f>IFERROR(__xludf.DUMMYFUNCTION("COUNTUNIQUEIFS($A$2:$A1893,$F$2:$F1893,F1893)"),15.0)</f>
        <v>15</v>
      </c>
      <c r="N1893" s="10">
        <f t="shared" si="1"/>
        <v>0</v>
      </c>
      <c r="O1893" s="26">
        <f>IF(operations[sinceLastOrder]=0,0,operations[orderQuantity] / operations[sinceLastOrder])</f>
        <v>0</v>
      </c>
      <c r="P1893" s="9">
        <v>353.07</v>
      </c>
      <c r="Q1893" s="7" t="s">
        <v>17</v>
      </c>
      <c r="R1893" s="10">
        <f>operations[arrivedDate]-operations[shippedDate]</f>
        <v>12</v>
      </c>
    </row>
    <row r="1894" ht="15.75" customHeight="1">
      <c r="A1894" s="6">
        <v>10980.0</v>
      </c>
      <c r="B1894" s="24">
        <v>45378.0</v>
      </c>
      <c r="C1894" s="24">
        <v>45420.0</v>
      </c>
      <c r="D1894" s="24">
        <v>45399.0</v>
      </c>
      <c r="E1894" s="24">
        <v>45406.0</v>
      </c>
      <c r="F1894" s="6">
        <v>75.0</v>
      </c>
      <c r="G1894" s="9" t="str">
        <f>VLOOKUP(operations[productID],products[],2,FALSE)</f>
        <v>Rhönbräu Klosterbier</v>
      </c>
      <c r="H1894" s="9" t="str">
        <f>IF(VLOOKUP(operations[productID],products[],7,FALSE)=1,"Discontinued","Current")</f>
        <v>Current</v>
      </c>
      <c r="I1894" s="6">
        <f>VLOOKUP(operations[productID],products[],4,FALSE)</f>
        <v>125</v>
      </c>
      <c r="J1894" s="6">
        <f>VLOOKUP(operations[productID],products[],5,FALSE)</f>
        <v>0</v>
      </c>
      <c r="K1894" s="6">
        <f>VLOOKUP(operations[productID],products[],6,FALSE)</f>
        <v>25</v>
      </c>
      <c r="L1894" s="10">
        <f t="array" ref="L1894">INDEX('1 orders'!I1894:I2156, MATCH(1, ('1 orders'!A1894:A2156=A1894)*('1 orders'!G1894:G2156=F1894), 0))
</f>
        <v>40</v>
      </c>
      <c r="M1894" s="10">
        <f>IFERROR(__xludf.DUMMYFUNCTION("COUNTUNIQUEIFS($A$2:$A1894,$F$2:$F1894,F1894)"),44.0)</f>
        <v>44</v>
      </c>
      <c r="N1894" s="10">
        <f t="shared" si="1"/>
        <v>2</v>
      </c>
      <c r="O1894" s="26">
        <f>IF(operations[sinceLastOrder]=0,0,operations[orderQuantity] / operations[sinceLastOrder])</f>
        <v>20</v>
      </c>
      <c r="P1894" s="9">
        <v>1.26</v>
      </c>
      <c r="Q1894" s="7" t="s">
        <v>15</v>
      </c>
      <c r="R1894" s="10">
        <f>operations[arrivedDate]-operations[shippedDate]</f>
        <v>7</v>
      </c>
    </row>
    <row r="1895" ht="15.75" customHeight="1">
      <c r="A1895" s="6">
        <v>10981.0</v>
      </c>
      <c r="B1895" s="24">
        <v>45378.0</v>
      </c>
      <c r="C1895" s="24">
        <v>45406.0</v>
      </c>
      <c r="D1895" s="24">
        <v>45384.0</v>
      </c>
      <c r="E1895" s="24">
        <v>45404.0</v>
      </c>
      <c r="F1895" s="6">
        <v>38.0</v>
      </c>
      <c r="G1895" s="9" t="str">
        <f>VLOOKUP(operations[productID],products[],2,FALSE)</f>
        <v>Côte de Blaye</v>
      </c>
      <c r="H1895" s="9" t="str">
        <f>IF(VLOOKUP(operations[productID],products[],7,FALSE)=1,"Discontinued","Current")</f>
        <v>Current</v>
      </c>
      <c r="I1895" s="6">
        <f>VLOOKUP(operations[productID],products[],4,FALSE)</f>
        <v>17</v>
      </c>
      <c r="J1895" s="6">
        <f>VLOOKUP(operations[productID],products[],5,FALSE)</f>
        <v>0</v>
      </c>
      <c r="K1895" s="6">
        <f>VLOOKUP(operations[productID],products[],6,FALSE)</f>
        <v>15</v>
      </c>
      <c r="L1895" s="10">
        <f t="array" ref="L1895">INDEX('1 orders'!I1895:I2156, MATCH(1, ('1 orders'!A1895:A2156=A1895)*('1 orders'!G1895:G2156=F1895), 0))
</f>
        <v>60</v>
      </c>
      <c r="M1895" s="10">
        <f>IFERROR(__xludf.DUMMYFUNCTION("COUNTUNIQUEIFS($A$2:$A1895,$F$2:$F1895,F1895)"),23.0)</f>
        <v>23</v>
      </c>
      <c r="N1895" s="10">
        <f t="shared" si="1"/>
        <v>7</v>
      </c>
      <c r="O1895" s="26">
        <f>IF(operations[sinceLastOrder]=0,0,operations[orderQuantity] / operations[sinceLastOrder])</f>
        <v>8.571428571</v>
      </c>
      <c r="P1895" s="9">
        <v>193.37</v>
      </c>
      <c r="Q1895" s="7" t="s">
        <v>17</v>
      </c>
      <c r="R1895" s="10">
        <f>operations[arrivedDate]-operations[shippedDate]</f>
        <v>20</v>
      </c>
    </row>
    <row r="1896" ht="15.75" customHeight="1">
      <c r="A1896" s="6">
        <v>10982.0</v>
      </c>
      <c r="B1896" s="24">
        <v>45378.0</v>
      </c>
      <c r="C1896" s="24">
        <v>45406.0</v>
      </c>
      <c r="D1896" s="24">
        <v>45390.0</v>
      </c>
      <c r="E1896" s="24">
        <v>45403.0</v>
      </c>
      <c r="F1896" s="6">
        <v>7.0</v>
      </c>
      <c r="G1896" s="9" t="str">
        <f>VLOOKUP(operations[productID],products[],2,FALSE)</f>
        <v>Uncle Bob's Organic Dried Pears</v>
      </c>
      <c r="H1896" s="9" t="str">
        <f>IF(VLOOKUP(operations[productID],products[],7,FALSE)=1,"Discontinued","Current")</f>
        <v>Current</v>
      </c>
      <c r="I1896" s="6">
        <f>VLOOKUP(operations[productID],products[],4,FALSE)</f>
        <v>15</v>
      </c>
      <c r="J1896" s="6">
        <f>VLOOKUP(operations[productID],products[],5,FALSE)</f>
        <v>0</v>
      </c>
      <c r="K1896" s="6">
        <f>VLOOKUP(operations[productID],products[],6,FALSE)</f>
        <v>10</v>
      </c>
      <c r="L1896" s="10">
        <f t="array" ref="L1896">INDEX('1 orders'!I1896:I2156, MATCH(1, ('1 orders'!A1896:A2156=A1896)*('1 orders'!G1896:G2156=F1896), 0))
</f>
        <v>20</v>
      </c>
      <c r="M1896" s="10">
        <f>IFERROR(__xludf.DUMMYFUNCTION("COUNTUNIQUEIFS($A$2:$A1896,$F$2:$F1896,F1896)"),21.0)</f>
        <v>21</v>
      </c>
      <c r="N1896" s="10">
        <f t="shared" si="1"/>
        <v>1</v>
      </c>
      <c r="O1896" s="26">
        <f>IF(operations[sinceLastOrder]=0,0,operations[orderQuantity] / operations[sinceLastOrder])</f>
        <v>20</v>
      </c>
      <c r="P1896" s="9">
        <v>14.01</v>
      </c>
      <c r="Q1896" s="7" t="s">
        <v>15</v>
      </c>
      <c r="R1896" s="10">
        <f>operations[arrivedDate]-operations[shippedDate]</f>
        <v>13</v>
      </c>
    </row>
    <row r="1897" ht="15.75" customHeight="1">
      <c r="A1897" s="6">
        <v>10982.0</v>
      </c>
      <c r="B1897" s="24">
        <v>45378.0</v>
      </c>
      <c r="C1897" s="24">
        <v>45406.0</v>
      </c>
      <c r="D1897" s="24">
        <v>45390.0</v>
      </c>
      <c r="E1897" s="24">
        <v>45403.0</v>
      </c>
      <c r="F1897" s="6">
        <v>43.0</v>
      </c>
      <c r="G1897" s="9" t="str">
        <f>VLOOKUP(operations[productID],products[],2,FALSE)</f>
        <v>Ipoh Coffee</v>
      </c>
      <c r="H1897" s="9" t="str">
        <f>IF(VLOOKUP(operations[productID],products[],7,FALSE)=1,"Discontinued","Current")</f>
        <v>Current</v>
      </c>
      <c r="I1897" s="6">
        <f>VLOOKUP(operations[productID],products[],4,FALSE)</f>
        <v>17</v>
      </c>
      <c r="J1897" s="6">
        <f>VLOOKUP(operations[productID],products[],5,FALSE)</f>
        <v>10</v>
      </c>
      <c r="K1897" s="6">
        <f>VLOOKUP(operations[productID],products[],6,FALSE)</f>
        <v>25</v>
      </c>
      <c r="L1897" s="10">
        <f t="array" ref="L1897">INDEX('1 orders'!I1897:I2156, MATCH(1, ('1 orders'!A1897:A2156=A1897)*('1 orders'!G1897:G2156=F1897), 0))
</f>
        <v>9</v>
      </c>
      <c r="M1897" s="10">
        <f>IFERROR(__xludf.DUMMYFUNCTION("COUNTUNIQUEIFS($A$2:$A1897,$F$2:$F1897,F1897)"),24.0)</f>
        <v>24</v>
      </c>
      <c r="N1897" s="10">
        <f t="shared" si="1"/>
        <v>17</v>
      </c>
      <c r="O1897" s="26">
        <f>IF(operations[sinceLastOrder]=0,0,operations[orderQuantity] / operations[sinceLastOrder])</f>
        <v>0.5294117647</v>
      </c>
      <c r="P1897" s="9">
        <v>14.01</v>
      </c>
      <c r="Q1897" s="7" t="s">
        <v>15</v>
      </c>
      <c r="R1897" s="10">
        <f>operations[arrivedDate]-operations[shippedDate]</f>
        <v>13</v>
      </c>
    </row>
    <row r="1898" ht="15.75" customHeight="1">
      <c r="A1898" s="6">
        <v>10983.0</v>
      </c>
      <c r="B1898" s="24">
        <v>45378.0</v>
      </c>
      <c r="C1898" s="24">
        <v>45406.0</v>
      </c>
      <c r="D1898" s="24">
        <v>45388.0</v>
      </c>
      <c r="E1898" s="24">
        <v>45404.0</v>
      </c>
      <c r="F1898" s="6">
        <v>13.0</v>
      </c>
      <c r="G1898" s="9" t="str">
        <f>VLOOKUP(operations[productID],products[],2,FALSE)</f>
        <v>Konbu</v>
      </c>
      <c r="H1898" s="9" t="str">
        <f>IF(VLOOKUP(operations[productID],products[],7,FALSE)=1,"Discontinued","Current")</f>
        <v>Current</v>
      </c>
      <c r="I1898" s="6">
        <f>VLOOKUP(operations[productID],products[],4,FALSE)</f>
        <v>24</v>
      </c>
      <c r="J1898" s="6">
        <f>VLOOKUP(operations[productID],products[],5,FALSE)</f>
        <v>0</v>
      </c>
      <c r="K1898" s="6">
        <f>VLOOKUP(operations[productID],products[],6,FALSE)</f>
        <v>5</v>
      </c>
      <c r="L1898" s="10">
        <f t="array" ref="L1898">INDEX('1 orders'!I1898:I2156, MATCH(1, ('1 orders'!A1898:A2156=A1898)*('1 orders'!G1898:G2156=F1898), 0))
</f>
        <v>84</v>
      </c>
      <c r="M1898" s="10">
        <f>IFERROR(__xludf.DUMMYFUNCTION("COUNTUNIQUEIFS($A$2:$A1898,$F$2:$F1898,F1898)"),33.0)</f>
        <v>33</v>
      </c>
      <c r="N1898" s="10">
        <f t="shared" si="1"/>
        <v>8</v>
      </c>
      <c r="O1898" s="26">
        <f>IF(operations[sinceLastOrder]=0,0,operations[orderQuantity] / operations[sinceLastOrder])</f>
        <v>10.5</v>
      </c>
      <c r="P1898" s="9">
        <v>657.54</v>
      </c>
      <c r="Q1898" s="7" t="s">
        <v>17</v>
      </c>
      <c r="R1898" s="10">
        <f>operations[arrivedDate]-operations[shippedDate]</f>
        <v>16</v>
      </c>
    </row>
    <row r="1899" ht="15.75" customHeight="1">
      <c r="A1899" s="6">
        <v>10983.0</v>
      </c>
      <c r="B1899" s="24">
        <v>45378.0</v>
      </c>
      <c r="C1899" s="24">
        <v>45406.0</v>
      </c>
      <c r="D1899" s="24">
        <v>45388.0</v>
      </c>
      <c r="E1899" s="24">
        <v>45404.0</v>
      </c>
      <c r="F1899" s="6">
        <v>57.0</v>
      </c>
      <c r="G1899" s="9" t="str">
        <f>VLOOKUP(operations[productID],products[],2,FALSE)</f>
        <v>Ravioli Angelo</v>
      </c>
      <c r="H1899" s="9" t="str">
        <f>IF(VLOOKUP(operations[productID],products[],7,FALSE)=1,"Discontinued","Current")</f>
        <v>Current</v>
      </c>
      <c r="I1899" s="6">
        <f>VLOOKUP(operations[productID],products[],4,FALSE)</f>
        <v>36</v>
      </c>
      <c r="J1899" s="6">
        <f>VLOOKUP(operations[productID],products[],5,FALSE)</f>
        <v>0</v>
      </c>
      <c r="K1899" s="6">
        <f>VLOOKUP(operations[productID],products[],6,FALSE)</f>
        <v>20</v>
      </c>
      <c r="L1899" s="10">
        <f t="array" ref="L1899">INDEX('1 orders'!I1899:I2156, MATCH(1, ('1 orders'!A1899:A2156=A1899)*('1 orders'!G1899:G2156=F1899), 0))
</f>
        <v>15</v>
      </c>
      <c r="M1899" s="10">
        <f>IFERROR(__xludf.DUMMYFUNCTION("COUNTUNIQUEIFS($A$2:$A1899,$F$2:$F1899,F1899)"),21.0)</f>
        <v>21</v>
      </c>
      <c r="N1899" s="10">
        <f t="shared" si="1"/>
        <v>21</v>
      </c>
      <c r="O1899" s="26">
        <f>IF(operations[sinceLastOrder]=0,0,operations[orderQuantity] / operations[sinceLastOrder])</f>
        <v>0.7142857143</v>
      </c>
      <c r="P1899" s="9">
        <v>657.54</v>
      </c>
      <c r="Q1899" s="7" t="s">
        <v>17</v>
      </c>
      <c r="R1899" s="10">
        <f>operations[arrivedDate]-operations[shippedDate]</f>
        <v>16</v>
      </c>
    </row>
    <row r="1900" ht="15.75" customHeight="1">
      <c r="A1900" s="6">
        <v>10984.0</v>
      </c>
      <c r="B1900" s="24">
        <v>45381.0</v>
      </c>
      <c r="C1900" s="24">
        <v>45409.0</v>
      </c>
      <c r="D1900" s="24">
        <v>45385.0</v>
      </c>
      <c r="E1900" s="24">
        <v>45400.0</v>
      </c>
      <c r="F1900" s="6">
        <v>16.0</v>
      </c>
      <c r="G1900" s="9" t="str">
        <f>VLOOKUP(operations[productID],products[],2,FALSE)</f>
        <v>Pavlova</v>
      </c>
      <c r="H1900" s="9" t="str">
        <f>IF(VLOOKUP(operations[productID],products[],7,FALSE)=1,"Discontinued","Current")</f>
        <v>Current</v>
      </c>
      <c r="I1900" s="6">
        <f>VLOOKUP(operations[productID],products[],4,FALSE)</f>
        <v>29</v>
      </c>
      <c r="J1900" s="6">
        <f>VLOOKUP(operations[productID],products[],5,FALSE)</f>
        <v>0</v>
      </c>
      <c r="K1900" s="6">
        <f>VLOOKUP(operations[productID],products[],6,FALSE)</f>
        <v>10</v>
      </c>
      <c r="L1900" s="10">
        <f t="array" ref="L1900">INDEX('1 orders'!I1900:I2156, MATCH(1, ('1 orders'!A1900:A2156=A1900)*('1 orders'!G1900:G2156=F1900), 0))
</f>
        <v>55</v>
      </c>
      <c r="M1900" s="10">
        <f>IFERROR(__xludf.DUMMYFUNCTION("COUNTUNIQUEIFS($A$2:$A1900,$F$2:$F1900,F1900)"),38.0)</f>
        <v>38</v>
      </c>
      <c r="N1900" s="10">
        <f t="shared" si="1"/>
        <v>13</v>
      </c>
      <c r="O1900" s="26">
        <f>IF(operations[sinceLastOrder]=0,0,operations[orderQuantity] / operations[sinceLastOrder])</f>
        <v>4.230769231</v>
      </c>
      <c r="P1900" s="9">
        <v>211.22</v>
      </c>
      <c r="Q1900" s="7" t="s">
        <v>13</v>
      </c>
      <c r="R1900" s="10">
        <f>operations[arrivedDate]-operations[shippedDate]</f>
        <v>15</v>
      </c>
    </row>
    <row r="1901" ht="15.75" customHeight="1">
      <c r="A1901" s="6">
        <v>10984.0</v>
      </c>
      <c r="B1901" s="24">
        <v>45381.0</v>
      </c>
      <c r="C1901" s="24">
        <v>45409.0</v>
      </c>
      <c r="D1901" s="24">
        <v>45385.0</v>
      </c>
      <c r="E1901" s="24">
        <v>45400.0</v>
      </c>
      <c r="F1901" s="6">
        <v>24.0</v>
      </c>
      <c r="G1901" s="9" t="str">
        <f>VLOOKUP(operations[productID],products[],2,FALSE)</f>
        <v>Brigadeiros Maravilhosos da Lilian</v>
      </c>
      <c r="H1901" s="9" t="str">
        <f>IF(VLOOKUP(operations[productID],products[],7,FALSE)=1,"Discontinued","Current")</f>
        <v>Discontinued</v>
      </c>
      <c r="I1901" s="6">
        <f>VLOOKUP(operations[productID],products[],4,FALSE)</f>
        <v>20</v>
      </c>
      <c r="J1901" s="6">
        <f>VLOOKUP(operations[productID],products[],5,FALSE)</f>
        <v>0</v>
      </c>
      <c r="K1901" s="6">
        <f>VLOOKUP(operations[productID],products[],6,FALSE)</f>
        <v>0</v>
      </c>
      <c r="L1901" s="10">
        <f t="array" ref="L1901">INDEX('1 orders'!I1901:I2156, MATCH(1, ('1 orders'!A1901:A2156=A1901)*('1 orders'!G1901:G2156=F1901), 0))
</f>
        <v>20</v>
      </c>
      <c r="M1901" s="10">
        <f>IFERROR(__xludf.DUMMYFUNCTION("COUNTUNIQUEIFS($A$2:$A1901,$F$2:$F1901,F1901)"),42.0)</f>
        <v>42</v>
      </c>
      <c r="N1901" s="10">
        <f t="shared" si="1"/>
        <v>4</v>
      </c>
      <c r="O1901" s="26">
        <f>IF(operations[sinceLastOrder]=0,0,operations[orderQuantity] / operations[sinceLastOrder])</f>
        <v>5</v>
      </c>
      <c r="P1901" s="9">
        <v>211.22</v>
      </c>
      <c r="Q1901" s="7" t="s">
        <v>13</v>
      </c>
      <c r="R1901" s="10">
        <f>operations[arrivedDate]-operations[shippedDate]</f>
        <v>15</v>
      </c>
    </row>
    <row r="1902" ht="15.75" customHeight="1">
      <c r="A1902" s="6">
        <v>10984.0</v>
      </c>
      <c r="B1902" s="24">
        <v>45381.0</v>
      </c>
      <c r="C1902" s="24">
        <v>45409.0</v>
      </c>
      <c r="D1902" s="24">
        <v>45385.0</v>
      </c>
      <c r="E1902" s="24">
        <v>45400.0</v>
      </c>
      <c r="F1902" s="6">
        <v>36.0</v>
      </c>
      <c r="G1902" s="9" t="str">
        <f>VLOOKUP(operations[productID],products[],2,FALSE)</f>
        <v>Inlagd Sill</v>
      </c>
      <c r="H1902" s="9" t="str">
        <f>IF(VLOOKUP(operations[productID],products[],7,FALSE)=1,"Discontinued","Current")</f>
        <v>Current</v>
      </c>
      <c r="I1902" s="6">
        <f>VLOOKUP(operations[productID],products[],4,FALSE)</f>
        <v>112</v>
      </c>
      <c r="J1902" s="6">
        <f>VLOOKUP(operations[productID],products[],5,FALSE)</f>
        <v>0</v>
      </c>
      <c r="K1902" s="6">
        <f>VLOOKUP(operations[productID],products[],6,FALSE)</f>
        <v>20</v>
      </c>
      <c r="L1902" s="10">
        <f t="array" ref="L1902">INDEX('1 orders'!I1902:I2156, MATCH(1, ('1 orders'!A1902:A2156=A1902)*('1 orders'!G1902:G2156=F1902), 0))
</f>
        <v>40</v>
      </c>
      <c r="M1902" s="10">
        <f>IFERROR(__xludf.DUMMYFUNCTION("COUNTUNIQUEIFS($A$2:$A1902,$F$2:$F1902,F1902)"),28.0)</f>
        <v>28</v>
      </c>
      <c r="N1902" s="10">
        <f t="shared" si="1"/>
        <v>21</v>
      </c>
      <c r="O1902" s="26">
        <f>IF(operations[sinceLastOrder]=0,0,operations[orderQuantity] / operations[sinceLastOrder])</f>
        <v>1.904761905</v>
      </c>
      <c r="P1902" s="9">
        <v>211.22</v>
      </c>
      <c r="Q1902" s="7" t="s">
        <v>13</v>
      </c>
      <c r="R1902" s="10">
        <f>operations[arrivedDate]-operations[shippedDate]</f>
        <v>15</v>
      </c>
    </row>
    <row r="1903" ht="15.75" customHeight="1">
      <c r="A1903" s="6">
        <v>10985.0</v>
      </c>
      <c r="B1903" s="24">
        <v>45381.0</v>
      </c>
      <c r="C1903" s="24">
        <v>45409.0</v>
      </c>
      <c r="D1903" s="24">
        <v>45384.0</v>
      </c>
      <c r="E1903" s="24">
        <v>45394.0</v>
      </c>
      <c r="F1903" s="6">
        <v>16.0</v>
      </c>
      <c r="G1903" s="9" t="str">
        <f>VLOOKUP(operations[productID],products[],2,FALSE)</f>
        <v>Pavlova</v>
      </c>
      <c r="H1903" s="9" t="str">
        <f>IF(VLOOKUP(operations[productID],products[],7,FALSE)=1,"Discontinued","Current")</f>
        <v>Current</v>
      </c>
      <c r="I1903" s="6">
        <f>VLOOKUP(operations[productID],products[],4,FALSE)</f>
        <v>29</v>
      </c>
      <c r="J1903" s="6">
        <f>VLOOKUP(operations[productID],products[],5,FALSE)</f>
        <v>0</v>
      </c>
      <c r="K1903" s="6">
        <f>VLOOKUP(operations[productID],products[],6,FALSE)</f>
        <v>10</v>
      </c>
      <c r="L1903" s="10">
        <f t="array" ref="L1903">INDEX('1 orders'!I1903:I2156, MATCH(1, ('1 orders'!A1903:A2156=A1903)*('1 orders'!G1903:G2156=F1903), 0))
</f>
        <v>36</v>
      </c>
      <c r="M1903" s="10">
        <f>IFERROR(__xludf.DUMMYFUNCTION("COUNTUNIQUEIFS($A$2:$A1903,$F$2:$F1903,F1903)"),39.0)</f>
        <v>39</v>
      </c>
      <c r="N1903" s="10">
        <f t="shared" si="1"/>
        <v>0</v>
      </c>
      <c r="O1903" s="26">
        <f>IF(operations[sinceLastOrder]=0,0,operations[orderQuantity] / operations[sinceLastOrder])</f>
        <v>0</v>
      </c>
      <c r="P1903" s="9">
        <v>91.51</v>
      </c>
      <c r="Q1903" s="7" t="s">
        <v>15</v>
      </c>
      <c r="R1903" s="10">
        <f>operations[arrivedDate]-operations[shippedDate]</f>
        <v>10</v>
      </c>
    </row>
    <row r="1904" ht="15.75" customHeight="1">
      <c r="A1904" s="6">
        <v>10985.0</v>
      </c>
      <c r="B1904" s="24">
        <v>45381.0</v>
      </c>
      <c r="C1904" s="24">
        <v>45409.0</v>
      </c>
      <c r="D1904" s="24">
        <v>45384.0</v>
      </c>
      <c r="E1904" s="24">
        <v>45394.0</v>
      </c>
      <c r="F1904" s="6">
        <v>18.0</v>
      </c>
      <c r="G1904" s="9" t="str">
        <f>VLOOKUP(operations[productID],products[],2,FALSE)</f>
        <v>Carnarvon Tigers</v>
      </c>
      <c r="H1904" s="9" t="str">
        <f>IF(VLOOKUP(operations[productID],products[],7,FALSE)=1,"Discontinued","Current")</f>
        <v>Current</v>
      </c>
      <c r="I1904" s="6">
        <f>VLOOKUP(operations[productID],products[],4,FALSE)</f>
        <v>42</v>
      </c>
      <c r="J1904" s="6">
        <f>VLOOKUP(operations[productID],products[],5,FALSE)</f>
        <v>0</v>
      </c>
      <c r="K1904" s="6">
        <f>VLOOKUP(operations[productID],products[],6,FALSE)</f>
        <v>0</v>
      </c>
      <c r="L1904" s="10">
        <f t="array" ref="L1904">INDEX('1 orders'!I1904:I2156, MATCH(1, ('1 orders'!A1904:A2156=A1904)*('1 orders'!G1904:G2156=F1904), 0))
</f>
        <v>8</v>
      </c>
      <c r="M1904" s="10">
        <f>IFERROR(__xludf.DUMMYFUNCTION("COUNTUNIQUEIFS($A$2:$A1904,$F$2:$F1904,F1904)"),24.0)</f>
        <v>24</v>
      </c>
      <c r="N1904" s="10">
        <f t="shared" si="1"/>
        <v>10</v>
      </c>
      <c r="O1904" s="26">
        <f>IF(operations[sinceLastOrder]=0,0,operations[orderQuantity] / operations[sinceLastOrder])</f>
        <v>0.8</v>
      </c>
      <c r="P1904" s="9">
        <v>91.51</v>
      </c>
      <c r="Q1904" s="7" t="s">
        <v>15</v>
      </c>
      <c r="R1904" s="10">
        <f>operations[arrivedDate]-operations[shippedDate]</f>
        <v>10</v>
      </c>
    </row>
    <row r="1905" ht="15.75" customHeight="1">
      <c r="A1905" s="6">
        <v>10985.0</v>
      </c>
      <c r="B1905" s="24">
        <v>45381.0</v>
      </c>
      <c r="C1905" s="24">
        <v>45409.0</v>
      </c>
      <c r="D1905" s="24">
        <v>45384.0</v>
      </c>
      <c r="E1905" s="24">
        <v>45394.0</v>
      </c>
      <c r="F1905" s="6">
        <v>32.0</v>
      </c>
      <c r="G1905" s="9" t="str">
        <f>VLOOKUP(operations[productID],products[],2,FALSE)</f>
        <v>Mascarpone Fabioli</v>
      </c>
      <c r="H1905" s="9" t="str">
        <f>IF(VLOOKUP(operations[productID],products[],7,FALSE)=1,"Discontinued","Current")</f>
        <v>Current</v>
      </c>
      <c r="I1905" s="6">
        <f>VLOOKUP(operations[productID],products[],4,FALSE)</f>
        <v>9</v>
      </c>
      <c r="J1905" s="6">
        <f>VLOOKUP(operations[productID],products[],5,FALSE)</f>
        <v>40</v>
      </c>
      <c r="K1905" s="6">
        <f>VLOOKUP(operations[productID],products[],6,FALSE)</f>
        <v>25</v>
      </c>
      <c r="L1905" s="10">
        <f t="array" ref="L1905">INDEX('1 orders'!I1905:I2156, MATCH(1, ('1 orders'!A1905:A2156=A1905)*('1 orders'!G1905:G2156=F1905), 0))
</f>
        <v>35</v>
      </c>
      <c r="M1905" s="10">
        <f>IFERROR(__xludf.DUMMYFUNCTION("COUNTUNIQUEIFS($A$2:$A1905,$F$2:$F1905,F1905)"),11.0)</f>
        <v>11</v>
      </c>
      <c r="N1905" s="10">
        <f t="shared" si="1"/>
        <v>32</v>
      </c>
      <c r="O1905" s="26">
        <f>IF(operations[sinceLastOrder]=0,0,operations[orderQuantity] / operations[sinceLastOrder])</f>
        <v>1.09375</v>
      </c>
      <c r="P1905" s="9">
        <v>91.51</v>
      </c>
      <c r="Q1905" s="7" t="s">
        <v>15</v>
      </c>
      <c r="R1905" s="10">
        <f>operations[arrivedDate]-operations[shippedDate]</f>
        <v>10</v>
      </c>
    </row>
    <row r="1906" ht="15.75" customHeight="1">
      <c r="A1906" s="6">
        <v>10986.0</v>
      </c>
      <c r="B1906" s="24">
        <v>45381.0</v>
      </c>
      <c r="C1906" s="24">
        <v>45409.0</v>
      </c>
      <c r="D1906" s="24">
        <v>45403.0</v>
      </c>
      <c r="E1906" s="24">
        <v>45418.0</v>
      </c>
      <c r="F1906" s="6">
        <v>11.0</v>
      </c>
      <c r="G1906" s="9" t="str">
        <f>VLOOKUP(operations[productID],products[],2,FALSE)</f>
        <v>Queso Cabrales</v>
      </c>
      <c r="H1906" s="9" t="str">
        <f>IF(VLOOKUP(operations[productID],products[],7,FALSE)=1,"Discontinued","Current")</f>
        <v>Current</v>
      </c>
      <c r="I1906" s="6">
        <f>VLOOKUP(operations[productID],products[],4,FALSE)</f>
        <v>22</v>
      </c>
      <c r="J1906" s="6">
        <f>VLOOKUP(operations[productID],products[],5,FALSE)</f>
        <v>30</v>
      </c>
      <c r="K1906" s="6">
        <f>VLOOKUP(operations[productID],products[],6,FALSE)</f>
        <v>30</v>
      </c>
      <c r="L1906" s="10">
        <f t="array" ref="L1906">INDEX('1 orders'!I1906:I2156, MATCH(1, ('1 orders'!A1906:A2156=A1906)*('1 orders'!G1906:G2156=F1906), 0))
</f>
        <v>30</v>
      </c>
      <c r="M1906" s="10">
        <f>IFERROR(__xludf.DUMMYFUNCTION("COUNTUNIQUEIFS($A$2:$A1906,$F$2:$F1906,F1906)"),35.0)</f>
        <v>35</v>
      </c>
      <c r="N1906" s="10">
        <f t="shared" si="1"/>
        <v>18</v>
      </c>
      <c r="O1906" s="26">
        <f>IF(operations[sinceLastOrder]=0,0,operations[orderQuantity] / operations[sinceLastOrder])</f>
        <v>1.666666667</v>
      </c>
      <c r="P1906" s="9">
        <v>217.86</v>
      </c>
      <c r="Q1906" s="7" t="s">
        <v>17</v>
      </c>
      <c r="R1906" s="10">
        <f>operations[arrivedDate]-operations[shippedDate]</f>
        <v>15</v>
      </c>
    </row>
    <row r="1907" ht="15.75" customHeight="1">
      <c r="A1907" s="6">
        <v>10986.0</v>
      </c>
      <c r="B1907" s="24">
        <v>45381.0</v>
      </c>
      <c r="C1907" s="24">
        <v>45409.0</v>
      </c>
      <c r="D1907" s="24">
        <v>45403.0</v>
      </c>
      <c r="E1907" s="24">
        <v>45418.0</v>
      </c>
      <c r="F1907" s="6">
        <v>20.0</v>
      </c>
      <c r="G1907" s="9" t="str">
        <f>VLOOKUP(operations[productID],products[],2,FALSE)</f>
        <v>Sir Rodney's Marmalade</v>
      </c>
      <c r="H1907" s="9" t="str">
        <f>IF(VLOOKUP(operations[productID],products[],7,FALSE)=1,"Discontinued","Current")</f>
        <v>Current</v>
      </c>
      <c r="I1907" s="6">
        <f>VLOOKUP(operations[productID],products[],4,FALSE)</f>
        <v>40</v>
      </c>
      <c r="J1907" s="6">
        <f>VLOOKUP(operations[productID],products[],5,FALSE)</f>
        <v>0</v>
      </c>
      <c r="K1907" s="6">
        <f>VLOOKUP(operations[productID],products[],6,FALSE)</f>
        <v>0</v>
      </c>
      <c r="L1907" s="10">
        <f t="array" ref="L1907">INDEX('1 orders'!I1907:I2156, MATCH(1, ('1 orders'!A1907:A2156=A1907)*('1 orders'!G1907:G2156=F1907), 0))
</f>
        <v>15</v>
      </c>
      <c r="M1907" s="10">
        <f>IFERROR(__xludf.DUMMYFUNCTION("COUNTUNIQUEIFS($A$2:$A1907,$F$2:$F1907,F1907)"),14.0)</f>
        <v>14</v>
      </c>
      <c r="N1907" s="10">
        <f t="shared" si="1"/>
        <v>14</v>
      </c>
      <c r="O1907" s="26">
        <f>IF(operations[sinceLastOrder]=0,0,operations[orderQuantity] / operations[sinceLastOrder])</f>
        <v>1.071428571</v>
      </c>
      <c r="P1907" s="9">
        <v>217.86</v>
      </c>
      <c r="Q1907" s="7" t="s">
        <v>17</v>
      </c>
      <c r="R1907" s="10">
        <f>operations[arrivedDate]-operations[shippedDate]</f>
        <v>15</v>
      </c>
    </row>
    <row r="1908" ht="15.75" customHeight="1">
      <c r="A1908" s="6">
        <v>10986.0</v>
      </c>
      <c r="B1908" s="24">
        <v>45381.0</v>
      </c>
      <c r="C1908" s="24">
        <v>45409.0</v>
      </c>
      <c r="D1908" s="24">
        <v>45403.0</v>
      </c>
      <c r="E1908" s="24">
        <v>45418.0</v>
      </c>
      <c r="F1908" s="6">
        <v>76.0</v>
      </c>
      <c r="G1908" s="9" t="str">
        <f>VLOOKUP(operations[productID],products[],2,FALSE)</f>
        <v>Lakkalikööri</v>
      </c>
      <c r="H1908" s="9" t="str">
        <f>IF(VLOOKUP(operations[productID],products[],7,FALSE)=1,"Discontinued","Current")</f>
        <v>Current</v>
      </c>
      <c r="I1908" s="6">
        <f>VLOOKUP(operations[productID],products[],4,FALSE)</f>
        <v>57</v>
      </c>
      <c r="J1908" s="6">
        <f>VLOOKUP(operations[productID],products[],5,FALSE)</f>
        <v>0</v>
      </c>
      <c r="K1908" s="6">
        <f>VLOOKUP(operations[productID],products[],6,FALSE)</f>
        <v>20</v>
      </c>
      <c r="L1908" s="10">
        <f t="array" ref="L1908">INDEX('1 orders'!I1908:I2156, MATCH(1, ('1 orders'!A1908:A2156=A1908)*('1 orders'!G1908:G2156=F1908), 0))
</f>
        <v>10</v>
      </c>
      <c r="M1908" s="10">
        <f>IFERROR(__xludf.DUMMYFUNCTION("COUNTUNIQUEIFS($A$2:$A1908,$F$2:$F1908,F1908)"),35.0)</f>
        <v>35</v>
      </c>
      <c r="N1908" s="10">
        <f t="shared" si="1"/>
        <v>11</v>
      </c>
      <c r="O1908" s="26">
        <f>IF(operations[sinceLastOrder]=0,0,operations[orderQuantity] / operations[sinceLastOrder])</f>
        <v>0.9090909091</v>
      </c>
      <c r="P1908" s="9">
        <v>217.86</v>
      </c>
      <c r="Q1908" s="7" t="s">
        <v>17</v>
      </c>
      <c r="R1908" s="10">
        <f>operations[arrivedDate]-operations[shippedDate]</f>
        <v>15</v>
      </c>
    </row>
    <row r="1909" ht="15.75" customHeight="1">
      <c r="A1909" s="6">
        <v>10986.0</v>
      </c>
      <c r="B1909" s="24">
        <v>45381.0</v>
      </c>
      <c r="C1909" s="24">
        <v>45409.0</v>
      </c>
      <c r="D1909" s="24">
        <v>45403.0</v>
      </c>
      <c r="E1909" s="24">
        <v>45418.0</v>
      </c>
      <c r="F1909" s="6">
        <v>77.0</v>
      </c>
      <c r="G1909" s="9" t="str">
        <f>VLOOKUP(operations[productID],products[],2,FALSE)</f>
        <v>Original Frankfurter grüne Soße</v>
      </c>
      <c r="H1909" s="9" t="str">
        <f>IF(VLOOKUP(operations[productID],products[],7,FALSE)=1,"Discontinued","Current")</f>
        <v>Current</v>
      </c>
      <c r="I1909" s="6">
        <f>VLOOKUP(operations[productID],products[],4,FALSE)</f>
        <v>32</v>
      </c>
      <c r="J1909" s="6">
        <f>VLOOKUP(operations[productID],products[],5,FALSE)</f>
        <v>0</v>
      </c>
      <c r="K1909" s="6">
        <f>VLOOKUP(operations[productID],products[],6,FALSE)</f>
        <v>15</v>
      </c>
      <c r="L1909" s="10">
        <f t="array" ref="L1909">INDEX('1 orders'!I1909:I2156, MATCH(1, ('1 orders'!A1909:A2156=A1909)*('1 orders'!G1909:G2156=F1909), 0))
</f>
        <v>15</v>
      </c>
      <c r="M1909" s="10">
        <f>IFERROR(__xludf.DUMMYFUNCTION("COUNTUNIQUEIFS($A$2:$A1909,$F$2:$F1909,F1909)"),32.0)</f>
        <v>32</v>
      </c>
      <c r="N1909" s="10">
        <f t="shared" si="1"/>
        <v>18</v>
      </c>
      <c r="O1909" s="26">
        <f>IF(operations[sinceLastOrder]=0,0,operations[orderQuantity] / operations[sinceLastOrder])</f>
        <v>0.8333333333</v>
      </c>
      <c r="P1909" s="9">
        <v>217.86</v>
      </c>
      <c r="Q1909" s="7" t="s">
        <v>17</v>
      </c>
      <c r="R1909" s="10">
        <f>operations[arrivedDate]-operations[shippedDate]</f>
        <v>15</v>
      </c>
    </row>
    <row r="1910" ht="15.75" customHeight="1">
      <c r="A1910" s="6">
        <v>10987.0</v>
      </c>
      <c r="B1910" s="24">
        <v>45382.0</v>
      </c>
      <c r="C1910" s="24">
        <v>45410.0</v>
      </c>
      <c r="D1910" s="24">
        <v>45388.0</v>
      </c>
      <c r="E1910" s="24">
        <v>45391.0</v>
      </c>
      <c r="F1910" s="6">
        <v>7.0</v>
      </c>
      <c r="G1910" s="9" t="str">
        <f>VLOOKUP(operations[productID],products[],2,FALSE)</f>
        <v>Uncle Bob's Organic Dried Pears</v>
      </c>
      <c r="H1910" s="9" t="str">
        <f>IF(VLOOKUP(operations[productID],products[],7,FALSE)=1,"Discontinued","Current")</f>
        <v>Current</v>
      </c>
      <c r="I1910" s="6">
        <f>VLOOKUP(operations[productID],products[],4,FALSE)</f>
        <v>15</v>
      </c>
      <c r="J1910" s="6">
        <f>VLOOKUP(operations[productID],products[],5,FALSE)</f>
        <v>0</v>
      </c>
      <c r="K1910" s="6">
        <f>VLOOKUP(operations[productID],products[],6,FALSE)</f>
        <v>10</v>
      </c>
      <c r="L1910" s="10">
        <f t="array" ref="L1910">INDEX('1 orders'!I1910:I2156, MATCH(1, ('1 orders'!A1910:A2156=A1910)*('1 orders'!G1910:G2156=F1910), 0))
</f>
        <v>60</v>
      </c>
      <c r="M1910" s="10">
        <f>IFERROR(__xludf.DUMMYFUNCTION("COUNTUNIQUEIFS($A$2:$A1910,$F$2:$F1910,F1910)"),22.0)</f>
        <v>22</v>
      </c>
      <c r="N1910" s="10">
        <f t="shared" si="1"/>
        <v>4</v>
      </c>
      <c r="O1910" s="26">
        <f>IF(operations[sinceLastOrder]=0,0,operations[orderQuantity] / operations[sinceLastOrder])</f>
        <v>15</v>
      </c>
      <c r="P1910" s="9">
        <v>185.48</v>
      </c>
      <c r="Q1910" s="7" t="s">
        <v>15</v>
      </c>
      <c r="R1910" s="10">
        <f>operations[arrivedDate]-operations[shippedDate]</f>
        <v>3</v>
      </c>
    </row>
    <row r="1911" ht="15.75" customHeight="1">
      <c r="A1911" s="6">
        <v>10987.0</v>
      </c>
      <c r="B1911" s="24">
        <v>45382.0</v>
      </c>
      <c r="C1911" s="24">
        <v>45410.0</v>
      </c>
      <c r="D1911" s="24">
        <v>45388.0</v>
      </c>
      <c r="E1911" s="24">
        <v>45391.0</v>
      </c>
      <c r="F1911" s="6">
        <v>43.0</v>
      </c>
      <c r="G1911" s="9" t="str">
        <f>VLOOKUP(operations[productID],products[],2,FALSE)</f>
        <v>Ipoh Coffee</v>
      </c>
      <c r="H1911" s="9" t="str">
        <f>IF(VLOOKUP(operations[productID],products[],7,FALSE)=1,"Discontinued","Current")</f>
        <v>Current</v>
      </c>
      <c r="I1911" s="6">
        <f>VLOOKUP(operations[productID],products[],4,FALSE)</f>
        <v>17</v>
      </c>
      <c r="J1911" s="6">
        <f>VLOOKUP(operations[productID],products[],5,FALSE)</f>
        <v>10</v>
      </c>
      <c r="K1911" s="6">
        <f>VLOOKUP(operations[productID],products[],6,FALSE)</f>
        <v>25</v>
      </c>
      <c r="L1911" s="10">
        <f t="array" ref="L1911">INDEX('1 orders'!I1911:I2156, MATCH(1, ('1 orders'!A1911:A2156=A1911)*('1 orders'!G1911:G2156=F1911), 0))
</f>
        <v>6</v>
      </c>
      <c r="M1911" s="10">
        <f>IFERROR(__xludf.DUMMYFUNCTION("COUNTUNIQUEIFS($A$2:$A1911,$F$2:$F1911,F1911)"),25.0)</f>
        <v>25</v>
      </c>
      <c r="N1911" s="10">
        <f t="shared" si="1"/>
        <v>4</v>
      </c>
      <c r="O1911" s="26">
        <f>IF(operations[sinceLastOrder]=0,0,operations[orderQuantity] / operations[sinceLastOrder])</f>
        <v>1.5</v>
      </c>
      <c r="P1911" s="9">
        <v>185.48</v>
      </c>
      <c r="Q1911" s="7" t="s">
        <v>15</v>
      </c>
      <c r="R1911" s="10">
        <f>operations[arrivedDate]-operations[shippedDate]</f>
        <v>3</v>
      </c>
    </row>
    <row r="1912" ht="15.75" customHeight="1">
      <c r="A1912" s="6">
        <v>10987.0</v>
      </c>
      <c r="B1912" s="24">
        <v>45382.0</v>
      </c>
      <c r="C1912" s="24">
        <v>45410.0</v>
      </c>
      <c r="D1912" s="24">
        <v>45388.0</v>
      </c>
      <c r="E1912" s="24">
        <v>45391.0</v>
      </c>
      <c r="F1912" s="6">
        <v>72.0</v>
      </c>
      <c r="G1912" s="9" t="str">
        <f>VLOOKUP(operations[productID],products[],2,FALSE)</f>
        <v>Mozzarella di Giovanni</v>
      </c>
      <c r="H1912" s="9" t="str">
        <f>IF(VLOOKUP(operations[productID],products[],7,FALSE)=1,"Discontinued","Current")</f>
        <v>Current</v>
      </c>
      <c r="I1912" s="6">
        <f>VLOOKUP(operations[productID],products[],4,FALSE)</f>
        <v>14</v>
      </c>
      <c r="J1912" s="6">
        <f>VLOOKUP(operations[productID],products[],5,FALSE)</f>
        <v>0</v>
      </c>
      <c r="K1912" s="6">
        <f>VLOOKUP(operations[productID],products[],6,FALSE)</f>
        <v>0</v>
      </c>
      <c r="L1912" s="10">
        <f t="array" ref="L1912">INDEX('1 orders'!I1912:I2156, MATCH(1, ('1 orders'!A1912:A2156=A1912)*('1 orders'!G1912:G2156=F1912), 0))
</f>
        <v>20</v>
      </c>
      <c r="M1912" s="10">
        <f>IFERROR(__xludf.DUMMYFUNCTION("COUNTUNIQUEIFS($A$2:$A1912,$F$2:$F1912,F1912)"),36.0)</f>
        <v>36</v>
      </c>
      <c r="N1912" s="10">
        <f t="shared" si="1"/>
        <v>13</v>
      </c>
      <c r="O1912" s="26">
        <f>IF(operations[sinceLastOrder]=0,0,operations[orderQuantity] / operations[sinceLastOrder])</f>
        <v>1.538461538</v>
      </c>
      <c r="P1912" s="9">
        <v>185.48</v>
      </c>
      <c r="Q1912" s="7" t="s">
        <v>15</v>
      </c>
      <c r="R1912" s="10">
        <f>operations[arrivedDate]-operations[shippedDate]</f>
        <v>3</v>
      </c>
    </row>
    <row r="1913" ht="15.75" customHeight="1">
      <c r="A1913" s="6">
        <v>10988.0</v>
      </c>
      <c r="B1913" s="24">
        <v>45382.0</v>
      </c>
      <c r="C1913" s="24">
        <v>45410.0</v>
      </c>
      <c r="D1913" s="24">
        <v>45392.0</v>
      </c>
      <c r="E1913" s="24">
        <v>45411.0</v>
      </c>
      <c r="F1913" s="6">
        <v>7.0</v>
      </c>
      <c r="G1913" s="9" t="str">
        <f>VLOOKUP(operations[productID],products[],2,FALSE)</f>
        <v>Uncle Bob's Organic Dried Pears</v>
      </c>
      <c r="H1913" s="9" t="str">
        <f>IF(VLOOKUP(operations[productID],products[],7,FALSE)=1,"Discontinued","Current")</f>
        <v>Current</v>
      </c>
      <c r="I1913" s="6">
        <f>VLOOKUP(operations[productID],products[],4,FALSE)</f>
        <v>15</v>
      </c>
      <c r="J1913" s="6">
        <f>VLOOKUP(operations[productID],products[],5,FALSE)</f>
        <v>0</v>
      </c>
      <c r="K1913" s="6">
        <f>VLOOKUP(operations[productID],products[],6,FALSE)</f>
        <v>10</v>
      </c>
      <c r="L1913" s="10">
        <f t="array" ref="L1913">INDEX('1 orders'!I1913:I2156, MATCH(1, ('1 orders'!A1913:A2156=A1913)*('1 orders'!G1913:G2156=F1913), 0))
</f>
        <v>60</v>
      </c>
      <c r="M1913" s="10">
        <f>IFERROR(__xludf.DUMMYFUNCTION("COUNTUNIQUEIFS($A$2:$A1913,$F$2:$F1913,F1913)"),23.0)</f>
        <v>23</v>
      </c>
      <c r="N1913" s="10">
        <f t="shared" si="1"/>
        <v>0</v>
      </c>
      <c r="O1913" s="26">
        <f>IF(operations[sinceLastOrder]=0,0,operations[orderQuantity] / operations[sinceLastOrder])</f>
        <v>0</v>
      </c>
      <c r="P1913" s="9">
        <v>61.14</v>
      </c>
      <c r="Q1913" s="7" t="s">
        <v>17</v>
      </c>
      <c r="R1913" s="10">
        <f>operations[arrivedDate]-operations[shippedDate]</f>
        <v>19</v>
      </c>
    </row>
    <row r="1914" ht="15.75" customHeight="1">
      <c r="A1914" s="6">
        <v>10988.0</v>
      </c>
      <c r="B1914" s="24">
        <v>45382.0</v>
      </c>
      <c r="C1914" s="24">
        <v>45410.0</v>
      </c>
      <c r="D1914" s="24">
        <v>45392.0</v>
      </c>
      <c r="E1914" s="24">
        <v>45411.0</v>
      </c>
      <c r="F1914" s="6">
        <v>62.0</v>
      </c>
      <c r="G1914" s="9" t="str">
        <f>VLOOKUP(operations[productID],products[],2,FALSE)</f>
        <v>Tarte au sucre</v>
      </c>
      <c r="H1914" s="9" t="str">
        <f>IF(VLOOKUP(operations[productID],products[],7,FALSE)=1,"Discontinued","Current")</f>
        <v>Current</v>
      </c>
      <c r="I1914" s="6">
        <f>VLOOKUP(operations[productID],products[],4,FALSE)</f>
        <v>17</v>
      </c>
      <c r="J1914" s="6">
        <f>VLOOKUP(operations[productID],products[],5,FALSE)</f>
        <v>0</v>
      </c>
      <c r="K1914" s="6">
        <f>VLOOKUP(operations[productID],products[],6,FALSE)</f>
        <v>0</v>
      </c>
      <c r="L1914" s="10">
        <f t="array" ref="L1914">INDEX('1 orders'!I1914:I2156, MATCH(1, ('1 orders'!A1914:A2156=A1914)*('1 orders'!G1914:G2156=F1914), 0))
</f>
        <v>40</v>
      </c>
      <c r="M1914" s="10">
        <f>IFERROR(__xludf.DUMMYFUNCTION("COUNTUNIQUEIFS($A$2:$A1914,$F$2:$F1914,F1914)"),46.0)</f>
        <v>46</v>
      </c>
      <c r="N1914" s="10">
        <f t="shared" si="1"/>
        <v>11</v>
      </c>
      <c r="O1914" s="26">
        <f>IF(operations[sinceLastOrder]=0,0,operations[orderQuantity] / operations[sinceLastOrder])</f>
        <v>3.636363636</v>
      </c>
      <c r="P1914" s="9">
        <v>61.14</v>
      </c>
      <c r="Q1914" s="7" t="s">
        <v>17</v>
      </c>
      <c r="R1914" s="10">
        <f>operations[arrivedDate]-operations[shippedDate]</f>
        <v>19</v>
      </c>
    </row>
    <row r="1915" ht="15.75" customHeight="1">
      <c r="A1915" s="6">
        <v>10989.0</v>
      </c>
      <c r="B1915" s="24">
        <v>45382.0</v>
      </c>
      <c r="C1915" s="24">
        <v>45410.0</v>
      </c>
      <c r="D1915" s="24">
        <v>45384.0</v>
      </c>
      <c r="E1915" s="24">
        <v>45397.0</v>
      </c>
      <c r="F1915" s="6">
        <v>6.0</v>
      </c>
      <c r="G1915" s="9" t="str">
        <f>VLOOKUP(operations[productID],products[],2,FALSE)</f>
        <v>Grandma's Boysenberry Spread</v>
      </c>
      <c r="H1915" s="9" t="str">
        <f>IF(VLOOKUP(operations[productID],products[],7,FALSE)=1,"Discontinued","Current")</f>
        <v>Current</v>
      </c>
      <c r="I1915" s="6">
        <f>VLOOKUP(operations[productID],products[],4,FALSE)</f>
        <v>120</v>
      </c>
      <c r="J1915" s="6">
        <f>VLOOKUP(operations[productID],products[],5,FALSE)</f>
        <v>0</v>
      </c>
      <c r="K1915" s="6">
        <f>VLOOKUP(operations[productID],products[],6,FALSE)</f>
        <v>25</v>
      </c>
      <c r="L1915" s="10">
        <f t="array" ref="L1915">INDEX('1 orders'!I1915:I2156, MATCH(1, ('1 orders'!A1915:A2156=A1915)*('1 orders'!G1915:G2156=F1915), 0))
</f>
        <v>40</v>
      </c>
      <c r="M1915" s="10">
        <f>IFERROR(__xludf.DUMMYFUNCTION("COUNTUNIQUEIFS($A$2:$A1915,$F$2:$F1915,F1915)"),10.0)</f>
        <v>10</v>
      </c>
      <c r="N1915" s="10">
        <f t="shared" si="1"/>
        <v>15</v>
      </c>
      <c r="O1915" s="26">
        <f>IF(operations[sinceLastOrder]=0,0,operations[orderQuantity] / operations[sinceLastOrder])</f>
        <v>2.666666667</v>
      </c>
      <c r="P1915" s="9">
        <v>34.76</v>
      </c>
      <c r="Q1915" s="7" t="s">
        <v>15</v>
      </c>
      <c r="R1915" s="10">
        <f>operations[arrivedDate]-operations[shippedDate]</f>
        <v>13</v>
      </c>
    </row>
    <row r="1916" ht="15.75" customHeight="1">
      <c r="A1916" s="6">
        <v>10989.0</v>
      </c>
      <c r="B1916" s="24">
        <v>45382.0</v>
      </c>
      <c r="C1916" s="24">
        <v>45410.0</v>
      </c>
      <c r="D1916" s="24">
        <v>45384.0</v>
      </c>
      <c r="E1916" s="24">
        <v>45397.0</v>
      </c>
      <c r="F1916" s="6">
        <v>11.0</v>
      </c>
      <c r="G1916" s="9" t="str">
        <f>VLOOKUP(operations[productID],products[],2,FALSE)</f>
        <v>Queso Cabrales</v>
      </c>
      <c r="H1916" s="9" t="str">
        <f>IF(VLOOKUP(operations[productID],products[],7,FALSE)=1,"Discontinued","Current")</f>
        <v>Current</v>
      </c>
      <c r="I1916" s="6">
        <f>VLOOKUP(operations[productID],products[],4,FALSE)</f>
        <v>22</v>
      </c>
      <c r="J1916" s="6">
        <f>VLOOKUP(operations[productID],products[],5,FALSE)</f>
        <v>30</v>
      </c>
      <c r="K1916" s="6">
        <f>VLOOKUP(operations[productID],products[],6,FALSE)</f>
        <v>30</v>
      </c>
      <c r="L1916" s="10">
        <f t="array" ref="L1916">INDEX('1 orders'!I1916:I2156, MATCH(1, ('1 orders'!A1916:A2156=A1916)*('1 orders'!G1916:G2156=F1916), 0))
</f>
        <v>15</v>
      </c>
      <c r="M1916" s="10">
        <f>IFERROR(__xludf.DUMMYFUNCTION("COUNTUNIQUEIFS($A$2:$A1916,$F$2:$F1916,F1916)"),36.0)</f>
        <v>36</v>
      </c>
      <c r="N1916" s="10">
        <f t="shared" si="1"/>
        <v>1</v>
      </c>
      <c r="O1916" s="26">
        <f>IF(operations[sinceLastOrder]=0,0,operations[orderQuantity] / operations[sinceLastOrder])</f>
        <v>15</v>
      </c>
      <c r="P1916" s="9">
        <v>34.76</v>
      </c>
      <c r="Q1916" s="7" t="s">
        <v>15</v>
      </c>
      <c r="R1916" s="10">
        <f>operations[arrivedDate]-operations[shippedDate]</f>
        <v>13</v>
      </c>
    </row>
    <row r="1917" ht="15.75" customHeight="1">
      <c r="A1917" s="6">
        <v>10989.0</v>
      </c>
      <c r="B1917" s="24">
        <v>45382.0</v>
      </c>
      <c r="C1917" s="24">
        <v>45410.0</v>
      </c>
      <c r="D1917" s="24">
        <v>45384.0</v>
      </c>
      <c r="E1917" s="24">
        <v>45397.0</v>
      </c>
      <c r="F1917" s="6">
        <v>41.0</v>
      </c>
      <c r="G1917" s="9" t="str">
        <f>VLOOKUP(operations[productID],products[],2,FALSE)</f>
        <v>Jack's New England Clam Chowder</v>
      </c>
      <c r="H1917" s="9" t="str">
        <f>IF(VLOOKUP(operations[productID],products[],7,FALSE)=1,"Discontinued","Current")</f>
        <v>Current</v>
      </c>
      <c r="I1917" s="6">
        <f>VLOOKUP(operations[productID],products[],4,FALSE)</f>
        <v>85</v>
      </c>
      <c r="J1917" s="6">
        <f>VLOOKUP(operations[productID],products[],5,FALSE)</f>
        <v>0</v>
      </c>
      <c r="K1917" s="6">
        <f>VLOOKUP(operations[productID],products[],6,FALSE)</f>
        <v>10</v>
      </c>
      <c r="L1917" s="10">
        <f t="array" ref="L1917">INDEX('1 orders'!I1917:I2156, MATCH(1, ('1 orders'!A1917:A2156=A1917)*('1 orders'!G1917:G2156=F1917), 0))
</f>
        <v>4</v>
      </c>
      <c r="M1917" s="10">
        <f>IFERROR(__xludf.DUMMYFUNCTION("COUNTUNIQUEIFS($A$2:$A1917,$F$2:$F1917,F1917)"),39.0)</f>
        <v>39</v>
      </c>
      <c r="N1917" s="10">
        <f t="shared" si="1"/>
        <v>7</v>
      </c>
      <c r="O1917" s="26">
        <f>IF(operations[sinceLastOrder]=0,0,operations[orderQuantity] / operations[sinceLastOrder])</f>
        <v>0.5714285714</v>
      </c>
      <c r="P1917" s="9">
        <v>34.76</v>
      </c>
      <c r="Q1917" s="7" t="s">
        <v>15</v>
      </c>
      <c r="R1917" s="10">
        <f>operations[arrivedDate]-operations[shippedDate]</f>
        <v>13</v>
      </c>
    </row>
    <row r="1918" ht="15.75" customHeight="1">
      <c r="A1918" s="6">
        <v>10990.0</v>
      </c>
      <c r="B1918" s="24">
        <v>45383.0</v>
      </c>
      <c r="C1918" s="24">
        <v>45425.0</v>
      </c>
      <c r="D1918" s="24">
        <v>45389.0</v>
      </c>
      <c r="E1918" s="24">
        <v>45403.0</v>
      </c>
      <c r="F1918" s="6">
        <v>21.0</v>
      </c>
      <c r="G1918" s="9" t="str">
        <f>VLOOKUP(operations[productID],products[],2,FALSE)</f>
        <v>Sir Rodney's Scones</v>
      </c>
      <c r="H1918" s="9" t="str">
        <f>IF(VLOOKUP(operations[productID],products[],7,FALSE)=1,"Discontinued","Current")</f>
        <v>Current</v>
      </c>
      <c r="I1918" s="6">
        <f>VLOOKUP(operations[productID],products[],4,FALSE)</f>
        <v>3</v>
      </c>
      <c r="J1918" s="6">
        <f>VLOOKUP(operations[productID],products[],5,FALSE)</f>
        <v>40</v>
      </c>
      <c r="K1918" s="6">
        <f>VLOOKUP(operations[productID],products[],6,FALSE)</f>
        <v>5</v>
      </c>
      <c r="L1918" s="10">
        <f t="array" ref="L1918">INDEX('1 orders'!I1918:I2156, MATCH(1, ('1 orders'!A1918:A2156=A1918)*('1 orders'!G1918:G2156=F1918), 0))
</f>
        <v>65</v>
      </c>
      <c r="M1918" s="10">
        <f>IFERROR(__xludf.DUMMYFUNCTION("COUNTUNIQUEIFS($A$2:$A1918,$F$2:$F1918,F1918)"),36.0)</f>
        <v>36</v>
      </c>
      <c r="N1918" s="10">
        <f t="shared" si="1"/>
        <v>6</v>
      </c>
      <c r="O1918" s="26">
        <f>IF(operations[sinceLastOrder]=0,0,operations[orderQuantity] / operations[sinceLastOrder])</f>
        <v>10.83333333</v>
      </c>
      <c r="P1918" s="9">
        <v>117.61</v>
      </c>
      <c r="Q1918" s="7" t="s">
        <v>13</v>
      </c>
      <c r="R1918" s="10">
        <f>operations[arrivedDate]-operations[shippedDate]</f>
        <v>14</v>
      </c>
    </row>
    <row r="1919" ht="15.75" customHeight="1">
      <c r="A1919" s="6">
        <v>10990.0</v>
      </c>
      <c r="B1919" s="24">
        <v>45383.0</v>
      </c>
      <c r="C1919" s="24">
        <v>45425.0</v>
      </c>
      <c r="D1919" s="24">
        <v>45389.0</v>
      </c>
      <c r="E1919" s="24">
        <v>45403.0</v>
      </c>
      <c r="F1919" s="6">
        <v>34.0</v>
      </c>
      <c r="G1919" s="9" t="str">
        <f>VLOOKUP(operations[productID],products[],2,FALSE)</f>
        <v>Sasquatch Ale</v>
      </c>
      <c r="H1919" s="9" t="str">
        <f>IF(VLOOKUP(operations[productID],products[],7,FALSE)=1,"Discontinued","Current")</f>
        <v>Current</v>
      </c>
      <c r="I1919" s="6">
        <f>VLOOKUP(operations[productID],products[],4,FALSE)</f>
        <v>111</v>
      </c>
      <c r="J1919" s="6">
        <f>VLOOKUP(operations[productID],products[],5,FALSE)</f>
        <v>0</v>
      </c>
      <c r="K1919" s="6">
        <f>VLOOKUP(operations[productID],products[],6,FALSE)</f>
        <v>15</v>
      </c>
      <c r="L1919" s="10">
        <f t="array" ref="L1919">INDEX('1 orders'!I1919:I2156, MATCH(1, ('1 orders'!A1919:A2156=A1919)*('1 orders'!G1919:G2156=F1919), 0))
</f>
        <v>60</v>
      </c>
      <c r="M1919" s="10">
        <f>IFERROR(__xludf.DUMMYFUNCTION("COUNTUNIQUEIFS($A$2:$A1919,$F$2:$F1919,F1919)"),16.0)</f>
        <v>16</v>
      </c>
      <c r="N1919" s="10">
        <f t="shared" si="1"/>
        <v>22</v>
      </c>
      <c r="O1919" s="26">
        <f>IF(operations[sinceLastOrder]=0,0,operations[orderQuantity] / operations[sinceLastOrder])</f>
        <v>2.727272727</v>
      </c>
      <c r="P1919" s="9">
        <v>117.61</v>
      </c>
      <c r="Q1919" s="7" t="s">
        <v>13</v>
      </c>
      <c r="R1919" s="10">
        <f>operations[arrivedDate]-operations[shippedDate]</f>
        <v>14</v>
      </c>
    </row>
    <row r="1920" ht="15.75" customHeight="1">
      <c r="A1920" s="6">
        <v>10990.0</v>
      </c>
      <c r="B1920" s="24">
        <v>45383.0</v>
      </c>
      <c r="C1920" s="24">
        <v>45425.0</v>
      </c>
      <c r="D1920" s="24">
        <v>45389.0</v>
      </c>
      <c r="E1920" s="24">
        <v>45403.0</v>
      </c>
      <c r="F1920" s="6">
        <v>55.0</v>
      </c>
      <c r="G1920" s="9" t="str">
        <f>VLOOKUP(operations[productID],products[],2,FALSE)</f>
        <v>Pâté chinois</v>
      </c>
      <c r="H1920" s="9" t="str">
        <f>IF(VLOOKUP(operations[productID],products[],7,FALSE)=1,"Discontinued","Current")</f>
        <v>Current</v>
      </c>
      <c r="I1920" s="6">
        <f>VLOOKUP(operations[productID],products[],4,FALSE)</f>
        <v>115</v>
      </c>
      <c r="J1920" s="6">
        <f>VLOOKUP(operations[productID],products[],5,FALSE)</f>
        <v>0</v>
      </c>
      <c r="K1920" s="6">
        <f>VLOOKUP(operations[productID],products[],6,FALSE)</f>
        <v>20</v>
      </c>
      <c r="L1920" s="10">
        <f t="array" ref="L1920">INDEX('1 orders'!I1920:I2156, MATCH(1, ('1 orders'!A1920:A2156=A1920)*('1 orders'!G1920:G2156=F1920), 0))
</f>
        <v>65</v>
      </c>
      <c r="M1920" s="10">
        <f>IFERROR(__xludf.DUMMYFUNCTION("COUNTUNIQUEIFS($A$2:$A1920,$F$2:$F1920,F1920)"),27.0)</f>
        <v>27</v>
      </c>
      <c r="N1920" s="10">
        <f t="shared" si="1"/>
        <v>19</v>
      </c>
      <c r="O1920" s="26">
        <f>IF(operations[sinceLastOrder]=0,0,operations[orderQuantity] / operations[sinceLastOrder])</f>
        <v>3.421052632</v>
      </c>
      <c r="P1920" s="9">
        <v>117.61</v>
      </c>
      <c r="Q1920" s="7" t="s">
        <v>13</v>
      </c>
      <c r="R1920" s="10">
        <f>operations[arrivedDate]-operations[shippedDate]</f>
        <v>14</v>
      </c>
    </row>
    <row r="1921" ht="15.75" customHeight="1">
      <c r="A1921" s="6">
        <v>10990.0</v>
      </c>
      <c r="B1921" s="24">
        <v>45383.0</v>
      </c>
      <c r="C1921" s="24">
        <v>45425.0</v>
      </c>
      <c r="D1921" s="24">
        <v>45389.0</v>
      </c>
      <c r="E1921" s="24">
        <v>45403.0</v>
      </c>
      <c r="F1921" s="6">
        <v>61.0</v>
      </c>
      <c r="G1921" s="9" t="str">
        <f>VLOOKUP(operations[productID],products[],2,FALSE)</f>
        <v>Sirop d'érable</v>
      </c>
      <c r="H1921" s="9" t="str">
        <f>IF(VLOOKUP(operations[productID],products[],7,FALSE)=1,"Discontinued","Current")</f>
        <v>Current</v>
      </c>
      <c r="I1921" s="6">
        <f>VLOOKUP(operations[productID],products[],4,FALSE)</f>
        <v>113</v>
      </c>
      <c r="J1921" s="6">
        <f>VLOOKUP(operations[productID],products[],5,FALSE)</f>
        <v>0</v>
      </c>
      <c r="K1921" s="6">
        <f>VLOOKUP(operations[productID],products[],6,FALSE)</f>
        <v>25</v>
      </c>
      <c r="L1921" s="10">
        <f t="array" ref="L1921">INDEX('1 orders'!I1921:I2156, MATCH(1, ('1 orders'!A1921:A2156=A1921)*('1 orders'!G1921:G2156=F1921), 0))
</f>
        <v>66</v>
      </c>
      <c r="M1921" s="10">
        <f>IFERROR(__xludf.DUMMYFUNCTION("COUNTUNIQUEIFS($A$2:$A1921,$F$2:$F1921,F1921)"),19.0)</f>
        <v>19</v>
      </c>
      <c r="N1921" s="10">
        <f t="shared" si="1"/>
        <v>26</v>
      </c>
      <c r="O1921" s="26">
        <f>IF(operations[sinceLastOrder]=0,0,operations[orderQuantity] / operations[sinceLastOrder])</f>
        <v>2.538461538</v>
      </c>
      <c r="P1921" s="9">
        <v>117.61</v>
      </c>
      <c r="Q1921" s="7" t="s">
        <v>13</v>
      </c>
      <c r="R1921" s="10">
        <f>operations[arrivedDate]-operations[shippedDate]</f>
        <v>14</v>
      </c>
    </row>
    <row r="1922" ht="15.75" customHeight="1">
      <c r="A1922" s="6">
        <v>10991.0</v>
      </c>
      <c r="B1922" s="24">
        <v>45383.0</v>
      </c>
      <c r="C1922" s="24">
        <v>45411.0</v>
      </c>
      <c r="D1922" s="24">
        <v>45389.0</v>
      </c>
      <c r="E1922" s="24">
        <v>45393.0</v>
      </c>
      <c r="F1922" s="6">
        <v>2.0</v>
      </c>
      <c r="G1922" s="9" t="str">
        <f>VLOOKUP(operations[productID],products[],2,FALSE)</f>
        <v>Chang</v>
      </c>
      <c r="H1922" s="9" t="str">
        <f>IF(VLOOKUP(operations[productID],products[],7,FALSE)=1,"Discontinued","Current")</f>
        <v>Current</v>
      </c>
      <c r="I1922" s="6">
        <f>VLOOKUP(operations[productID],products[],4,FALSE)</f>
        <v>17</v>
      </c>
      <c r="J1922" s="6">
        <f>VLOOKUP(operations[productID],products[],5,FALSE)</f>
        <v>40</v>
      </c>
      <c r="K1922" s="6">
        <f>VLOOKUP(operations[productID],products[],6,FALSE)</f>
        <v>25</v>
      </c>
      <c r="L1922" s="10">
        <f t="array" ref="L1922">INDEX('1 orders'!I1922:I2156, MATCH(1, ('1 orders'!A1922:A2156=A1922)*('1 orders'!G1922:G2156=F1922), 0))
</f>
        <v>50</v>
      </c>
      <c r="M1922" s="10">
        <f>IFERROR(__xludf.DUMMYFUNCTION("COUNTUNIQUEIFS($A$2:$A1922,$F$2:$F1922,F1922)"),36.0)</f>
        <v>36</v>
      </c>
      <c r="N1922" s="10">
        <f t="shared" si="1"/>
        <v>22</v>
      </c>
      <c r="O1922" s="26">
        <f>IF(operations[sinceLastOrder]=0,0,operations[orderQuantity] / operations[sinceLastOrder])</f>
        <v>2.272727273</v>
      </c>
      <c r="P1922" s="9">
        <v>38.51</v>
      </c>
      <c r="Q1922" s="7" t="s">
        <v>15</v>
      </c>
      <c r="R1922" s="10">
        <f>operations[arrivedDate]-operations[shippedDate]</f>
        <v>4</v>
      </c>
    </row>
    <row r="1923" ht="15.75" customHeight="1">
      <c r="A1923" s="6">
        <v>10991.0</v>
      </c>
      <c r="B1923" s="24">
        <v>45383.0</v>
      </c>
      <c r="C1923" s="24">
        <v>45411.0</v>
      </c>
      <c r="D1923" s="24">
        <v>45389.0</v>
      </c>
      <c r="E1923" s="24">
        <v>45393.0</v>
      </c>
      <c r="F1923" s="6">
        <v>70.0</v>
      </c>
      <c r="G1923" s="9" t="str">
        <f>VLOOKUP(operations[productID],products[],2,FALSE)</f>
        <v>Outback Lager</v>
      </c>
      <c r="H1923" s="9" t="str">
        <f>IF(VLOOKUP(operations[productID],products[],7,FALSE)=1,"Discontinued","Current")</f>
        <v>Current</v>
      </c>
      <c r="I1923" s="6">
        <f>VLOOKUP(operations[productID],products[],4,FALSE)</f>
        <v>15</v>
      </c>
      <c r="J1923" s="6">
        <f>VLOOKUP(operations[productID],products[],5,FALSE)</f>
        <v>10</v>
      </c>
      <c r="K1923" s="6">
        <f>VLOOKUP(operations[productID],products[],6,FALSE)</f>
        <v>30</v>
      </c>
      <c r="L1923" s="10">
        <f t="array" ref="L1923">INDEX('1 orders'!I1923:I2156, MATCH(1, ('1 orders'!A1923:A2156=A1923)*('1 orders'!G1923:G2156=F1923), 0))
</f>
        <v>20</v>
      </c>
      <c r="M1923" s="10">
        <f>IFERROR(__xludf.DUMMYFUNCTION("COUNTUNIQUEIFS($A$2:$A1923,$F$2:$F1923,F1923)"),35.0)</f>
        <v>35</v>
      </c>
      <c r="N1923" s="10">
        <f t="shared" si="1"/>
        <v>41</v>
      </c>
      <c r="O1923" s="26">
        <f>IF(operations[sinceLastOrder]=0,0,operations[orderQuantity] / operations[sinceLastOrder])</f>
        <v>0.487804878</v>
      </c>
      <c r="P1923" s="9">
        <v>38.51</v>
      </c>
      <c r="Q1923" s="7" t="s">
        <v>15</v>
      </c>
      <c r="R1923" s="10">
        <f>operations[arrivedDate]-operations[shippedDate]</f>
        <v>4</v>
      </c>
    </row>
    <row r="1924" ht="15.75" customHeight="1">
      <c r="A1924" s="6">
        <v>10991.0</v>
      </c>
      <c r="B1924" s="24">
        <v>45383.0</v>
      </c>
      <c r="C1924" s="24">
        <v>45411.0</v>
      </c>
      <c r="D1924" s="24">
        <v>45389.0</v>
      </c>
      <c r="E1924" s="24">
        <v>45393.0</v>
      </c>
      <c r="F1924" s="6">
        <v>76.0</v>
      </c>
      <c r="G1924" s="9" t="str">
        <f>VLOOKUP(operations[productID],products[],2,FALSE)</f>
        <v>Lakkalikööri</v>
      </c>
      <c r="H1924" s="9" t="str">
        <f>IF(VLOOKUP(operations[productID],products[],7,FALSE)=1,"Discontinued","Current")</f>
        <v>Current</v>
      </c>
      <c r="I1924" s="6">
        <f>VLOOKUP(operations[productID],products[],4,FALSE)</f>
        <v>57</v>
      </c>
      <c r="J1924" s="6">
        <f>VLOOKUP(operations[productID],products[],5,FALSE)</f>
        <v>0</v>
      </c>
      <c r="K1924" s="6">
        <f>VLOOKUP(operations[productID],products[],6,FALSE)</f>
        <v>20</v>
      </c>
      <c r="L1924" s="10">
        <f t="array" ref="L1924">INDEX('1 orders'!I1924:I2156, MATCH(1, ('1 orders'!A1924:A2156=A1924)*('1 orders'!G1924:G2156=F1924), 0))
</f>
        <v>90</v>
      </c>
      <c r="M1924" s="10">
        <f>IFERROR(__xludf.DUMMYFUNCTION("COUNTUNIQUEIFS($A$2:$A1924,$F$2:$F1924,F1924)"),36.0)</f>
        <v>36</v>
      </c>
      <c r="N1924" s="10">
        <f t="shared" si="1"/>
        <v>2</v>
      </c>
      <c r="O1924" s="26">
        <f>IF(operations[sinceLastOrder]=0,0,operations[orderQuantity] / operations[sinceLastOrder])</f>
        <v>45</v>
      </c>
      <c r="P1924" s="9">
        <v>38.51</v>
      </c>
      <c r="Q1924" s="7" t="s">
        <v>15</v>
      </c>
      <c r="R1924" s="10">
        <f>operations[arrivedDate]-operations[shippedDate]</f>
        <v>4</v>
      </c>
    </row>
    <row r="1925" ht="15.75" customHeight="1">
      <c r="A1925" s="6">
        <v>10992.0</v>
      </c>
      <c r="B1925" s="24">
        <v>45383.0</v>
      </c>
      <c r="C1925" s="24">
        <v>45411.0</v>
      </c>
      <c r="D1925" s="24">
        <v>45385.0</v>
      </c>
      <c r="E1925" s="24">
        <v>45400.0</v>
      </c>
      <c r="F1925" s="6">
        <v>72.0</v>
      </c>
      <c r="G1925" s="9" t="str">
        <f>VLOOKUP(operations[productID],products[],2,FALSE)</f>
        <v>Mozzarella di Giovanni</v>
      </c>
      <c r="H1925" s="9" t="str">
        <f>IF(VLOOKUP(operations[productID],products[],7,FALSE)=1,"Discontinued","Current")</f>
        <v>Current</v>
      </c>
      <c r="I1925" s="6">
        <f>VLOOKUP(operations[productID],products[],4,FALSE)</f>
        <v>14</v>
      </c>
      <c r="J1925" s="6">
        <f>VLOOKUP(operations[productID],products[],5,FALSE)</f>
        <v>0</v>
      </c>
      <c r="K1925" s="6">
        <f>VLOOKUP(operations[productID],products[],6,FALSE)</f>
        <v>0</v>
      </c>
      <c r="L1925" s="10">
        <f t="array" ref="L1925">INDEX('1 orders'!I1925:I2156, MATCH(1, ('1 orders'!A1925:A2156=A1925)*('1 orders'!G1925:G2156=F1925), 0))
</f>
        <v>2</v>
      </c>
      <c r="M1925" s="10">
        <f>IFERROR(__xludf.DUMMYFUNCTION("COUNTUNIQUEIFS($A$2:$A1925,$F$2:$F1925,F1925)"),37.0)</f>
        <v>37</v>
      </c>
      <c r="N1925" s="10">
        <f t="shared" si="1"/>
        <v>1</v>
      </c>
      <c r="O1925" s="26">
        <f>IF(operations[sinceLastOrder]=0,0,operations[orderQuantity] / operations[sinceLastOrder])</f>
        <v>2</v>
      </c>
      <c r="P1925" s="9">
        <v>4.27</v>
      </c>
      <c r="Q1925" s="7" t="s">
        <v>13</v>
      </c>
      <c r="R1925" s="10">
        <f>operations[arrivedDate]-operations[shippedDate]</f>
        <v>15</v>
      </c>
    </row>
    <row r="1926" ht="15.75" customHeight="1">
      <c r="A1926" s="6">
        <v>10993.0</v>
      </c>
      <c r="B1926" s="24">
        <v>45383.0</v>
      </c>
      <c r="C1926" s="24">
        <v>45411.0</v>
      </c>
      <c r="D1926" s="24">
        <v>45392.0</v>
      </c>
      <c r="E1926" s="24">
        <v>45403.0</v>
      </c>
      <c r="F1926" s="6">
        <v>29.0</v>
      </c>
      <c r="G1926" s="9" t="str">
        <f>VLOOKUP(operations[productID],products[],2,FALSE)</f>
        <v>Thüringer Rostbratwurst</v>
      </c>
      <c r="H1926" s="9" t="str">
        <f>IF(VLOOKUP(operations[productID],products[],7,FALSE)=1,"Discontinued","Current")</f>
        <v>Discontinued</v>
      </c>
      <c r="I1926" s="6">
        <f>VLOOKUP(operations[productID],products[],4,FALSE)</f>
        <v>0</v>
      </c>
      <c r="J1926" s="6">
        <f>VLOOKUP(operations[productID],products[],5,FALSE)</f>
        <v>0</v>
      </c>
      <c r="K1926" s="6">
        <f>VLOOKUP(operations[productID],products[],6,FALSE)</f>
        <v>0</v>
      </c>
      <c r="L1926" s="10">
        <f t="array" ref="L1926">INDEX('1 orders'!I1926:I2156, MATCH(1, ('1 orders'!A1926:A2156=A1926)*('1 orders'!G1926:G2156=F1926), 0))
</f>
        <v>50</v>
      </c>
      <c r="M1926" s="10">
        <f>IFERROR(__xludf.DUMMYFUNCTION("COUNTUNIQUEIFS($A$2:$A1926,$F$2:$F1926,F1926)"),29.0)</f>
        <v>29</v>
      </c>
      <c r="N1926" s="10">
        <f t="shared" si="1"/>
        <v>8</v>
      </c>
      <c r="O1926" s="26">
        <f>IF(operations[sinceLastOrder]=0,0,operations[orderQuantity] / operations[sinceLastOrder])</f>
        <v>6.25</v>
      </c>
      <c r="P1926" s="9">
        <v>8.81</v>
      </c>
      <c r="Q1926" s="7" t="s">
        <v>13</v>
      </c>
      <c r="R1926" s="10">
        <f>operations[arrivedDate]-operations[shippedDate]</f>
        <v>11</v>
      </c>
    </row>
    <row r="1927" ht="15.75" customHeight="1">
      <c r="A1927" s="6">
        <v>10993.0</v>
      </c>
      <c r="B1927" s="24">
        <v>45383.0</v>
      </c>
      <c r="C1927" s="24">
        <v>45411.0</v>
      </c>
      <c r="D1927" s="24">
        <v>45392.0</v>
      </c>
      <c r="E1927" s="24">
        <v>45403.0</v>
      </c>
      <c r="F1927" s="6">
        <v>41.0</v>
      </c>
      <c r="G1927" s="9" t="str">
        <f>VLOOKUP(operations[productID],products[],2,FALSE)</f>
        <v>Jack's New England Clam Chowder</v>
      </c>
      <c r="H1927" s="9" t="str">
        <f>IF(VLOOKUP(operations[productID],products[],7,FALSE)=1,"Discontinued","Current")</f>
        <v>Current</v>
      </c>
      <c r="I1927" s="6">
        <f>VLOOKUP(operations[productID],products[],4,FALSE)</f>
        <v>85</v>
      </c>
      <c r="J1927" s="6">
        <f>VLOOKUP(operations[productID],products[],5,FALSE)</f>
        <v>0</v>
      </c>
      <c r="K1927" s="6">
        <f>VLOOKUP(operations[productID],products[],6,FALSE)</f>
        <v>10</v>
      </c>
      <c r="L1927" s="10">
        <f t="array" ref="L1927">INDEX('1 orders'!I1927:I2156, MATCH(1, ('1 orders'!A1927:A2156=A1927)*('1 orders'!G1927:G2156=F1927), 0))
</f>
        <v>35</v>
      </c>
      <c r="M1927" s="10">
        <f>IFERROR(__xludf.DUMMYFUNCTION("COUNTUNIQUEIFS($A$2:$A1927,$F$2:$F1927,F1927)"),40.0)</f>
        <v>40</v>
      </c>
      <c r="N1927" s="10">
        <f t="shared" si="1"/>
        <v>1</v>
      </c>
      <c r="O1927" s="26">
        <f>IF(operations[sinceLastOrder]=0,0,operations[orderQuantity] / operations[sinceLastOrder])</f>
        <v>35</v>
      </c>
      <c r="P1927" s="9">
        <v>8.81</v>
      </c>
      <c r="Q1927" s="7" t="s">
        <v>13</v>
      </c>
      <c r="R1927" s="10">
        <f>operations[arrivedDate]-operations[shippedDate]</f>
        <v>11</v>
      </c>
    </row>
    <row r="1928" ht="15.75" customHeight="1">
      <c r="A1928" s="6">
        <v>10994.0</v>
      </c>
      <c r="B1928" s="24">
        <v>45384.0</v>
      </c>
      <c r="C1928" s="24">
        <v>45398.0</v>
      </c>
      <c r="D1928" s="24">
        <v>45391.0</v>
      </c>
      <c r="E1928" s="24">
        <v>45403.0</v>
      </c>
      <c r="F1928" s="6">
        <v>59.0</v>
      </c>
      <c r="G1928" s="9" t="str">
        <f>VLOOKUP(operations[productID],products[],2,FALSE)</f>
        <v>Raclette Courdavault</v>
      </c>
      <c r="H1928" s="9" t="str">
        <f>IF(VLOOKUP(operations[productID],products[],7,FALSE)=1,"Discontinued","Current")</f>
        <v>Current</v>
      </c>
      <c r="I1928" s="6">
        <f>VLOOKUP(operations[productID],products[],4,FALSE)</f>
        <v>79</v>
      </c>
      <c r="J1928" s="6">
        <f>VLOOKUP(operations[productID],products[],5,FALSE)</f>
        <v>0</v>
      </c>
      <c r="K1928" s="6">
        <f>VLOOKUP(operations[productID],products[],6,FALSE)</f>
        <v>0</v>
      </c>
      <c r="L1928" s="10">
        <f t="array" ref="L1928">INDEX('1 orders'!I1928:I2156, MATCH(1, ('1 orders'!A1928:A2156=A1928)*('1 orders'!G1928:G2156=F1928), 0))
</f>
        <v>18</v>
      </c>
      <c r="M1928" s="10">
        <f>IFERROR(__xludf.DUMMYFUNCTION("COUNTUNIQUEIFS($A$2:$A1928,$F$2:$F1928,F1928)"),48.0)</f>
        <v>48</v>
      </c>
      <c r="N1928" s="10">
        <f t="shared" si="1"/>
        <v>20</v>
      </c>
      <c r="O1928" s="26">
        <f>IF(operations[sinceLastOrder]=0,0,operations[orderQuantity] / operations[sinceLastOrder])</f>
        <v>0.9</v>
      </c>
      <c r="P1928" s="9">
        <v>65.53</v>
      </c>
      <c r="Q1928" s="7" t="s">
        <v>13</v>
      </c>
      <c r="R1928" s="10">
        <f>operations[arrivedDate]-operations[shippedDate]</f>
        <v>12</v>
      </c>
    </row>
    <row r="1929" ht="15.75" customHeight="1">
      <c r="A1929" s="6">
        <v>10995.0</v>
      </c>
      <c r="B1929" s="24">
        <v>45384.0</v>
      </c>
      <c r="C1929" s="24">
        <v>45412.0</v>
      </c>
      <c r="D1929" s="24">
        <v>45388.0</v>
      </c>
      <c r="E1929" s="24">
        <v>45401.0</v>
      </c>
      <c r="F1929" s="6">
        <v>51.0</v>
      </c>
      <c r="G1929" s="9" t="str">
        <f>VLOOKUP(operations[productID],products[],2,FALSE)</f>
        <v>Manjimup Dried Apples</v>
      </c>
      <c r="H1929" s="9" t="str">
        <f>IF(VLOOKUP(operations[productID],products[],7,FALSE)=1,"Discontinued","Current")</f>
        <v>Current</v>
      </c>
      <c r="I1929" s="6">
        <f>VLOOKUP(operations[productID],products[],4,FALSE)</f>
        <v>20</v>
      </c>
      <c r="J1929" s="6">
        <f>VLOOKUP(operations[productID],products[],5,FALSE)</f>
        <v>0</v>
      </c>
      <c r="K1929" s="6">
        <f>VLOOKUP(operations[productID],products[],6,FALSE)</f>
        <v>10</v>
      </c>
      <c r="L1929" s="10">
        <f t="array" ref="L1929">INDEX('1 orders'!I1929:I2156, MATCH(1, ('1 orders'!A1929:A2156=A1929)*('1 orders'!G1929:G2156=F1929), 0))
</f>
        <v>20</v>
      </c>
      <c r="M1929" s="10">
        <f>IFERROR(__xludf.DUMMYFUNCTION("COUNTUNIQUEIFS($A$2:$A1929,$F$2:$F1929,F1929)"),34.0)</f>
        <v>34</v>
      </c>
      <c r="N1929" s="10">
        <f t="shared" si="1"/>
        <v>7</v>
      </c>
      <c r="O1929" s="26">
        <f>IF(operations[sinceLastOrder]=0,0,operations[orderQuantity] / operations[sinceLastOrder])</f>
        <v>2.857142857</v>
      </c>
      <c r="P1929" s="9">
        <v>46.0</v>
      </c>
      <c r="Q1929" s="7" t="s">
        <v>13</v>
      </c>
      <c r="R1929" s="10">
        <f>operations[arrivedDate]-operations[shippedDate]</f>
        <v>13</v>
      </c>
    </row>
    <row r="1930" ht="15.75" customHeight="1">
      <c r="A1930" s="6">
        <v>10995.0</v>
      </c>
      <c r="B1930" s="24">
        <v>45384.0</v>
      </c>
      <c r="C1930" s="24">
        <v>45412.0</v>
      </c>
      <c r="D1930" s="24">
        <v>45388.0</v>
      </c>
      <c r="E1930" s="24">
        <v>45401.0</v>
      </c>
      <c r="F1930" s="6">
        <v>60.0</v>
      </c>
      <c r="G1930" s="9" t="str">
        <f>VLOOKUP(operations[productID],products[],2,FALSE)</f>
        <v>Camembert Pierrot</v>
      </c>
      <c r="H1930" s="9" t="str">
        <f>IF(VLOOKUP(operations[productID],products[],7,FALSE)=1,"Discontinued","Current")</f>
        <v>Current</v>
      </c>
      <c r="I1930" s="6">
        <f>VLOOKUP(operations[productID],products[],4,FALSE)</f>
        <v>19</v>
      </c>
      <c r="J1930" s="6">
        <f>VLOOKUP(operations[productID],products[],5,FALSE)</f>
        <v>0</v>
      </c>
      <c r="K1930" s="6">
        <f>VLOOKUP(operations[productID],products[],6,FALSE)</f>
        <v>0</v>
      </c>
      <c r="L1930" s="10">
        <f t="array" ref="L1930">INDEX('1 orders'!I1930:I2156, MATCH(1, ('1 orders'!A1930:A2156=A1930)*('1 orders'!G1930:G2156=F1930), 0))
</f>
        <v>4</v>
      </c>
      <c r="M1930" s="10">
        <f>IFERROR(__xludf.DUMMYFUNCTION("COUNTUNIQUEIFS($A$2:$A1930,$F$2:$F1930,F1930)"),43.0)</f>
        <v>43</v>
      </c>
      <c r="N1930" s="10">
        <f t="shared" si="1"/>
        <v>14</v>
      </c>
      <c r="O1930" s="26">
        <f>IF(operations[sinceLastOrder]=0,0,operations[orderQuantity] / operations[sinceLastOrder])</f>
        <v>0.2857142857</v>
      </c>
      <c r="P1930" s="9">
        <v>46.0</v>
      </c>
      <c r="Q1930" s="7" t="s">
        <v>13</v>
      </c>
      <c r="R1930" s="10">
        <f>operations[arrivedDate]-operations[shippedDate]</f>
        <v>13</v>
      </c>
    </row>
    <row r="1931" ht="15.75" customHeight="1">
      <c r="A1931" s="6">
        <v>10996.0</v>
      </c>
      <c r="B1931" s="24">
        <v>45384.0</v>
      </c>
      <c r="C1931" s="24">
        <v>45412.0</v>
      </c>
      <c r="D1931" s="24">
        <v>45392.0</v>
      </c>
      <c r="E1931" s="24">
        <v>45401.0</v>
      </c>
      <c r="F1931" s="6">
        <v>42.0</v>
      </c>
      <c r="G1931" s="9" t="str">
        <f>VLOOKUP(operations[productID],products[],2,FALSE)</f>
        <v>Singaporean Hokkien Fried Mee</v>
      </c>
      <c r="H1931" s="9" t="str">
        <f>IF(VLOOKUP(operations[productID],products[],7,FALSE)=1,"Discontinued","Current")</f>
        <v>Discontinued</v>
      </c>
      <c r="I1931" s="6">
        <f>VLOOKUP(operations[productID],products[],4,FALSE)</f>
        <v>26</v>
      </c>
      <c r="J1931" s="6">
        <f>VLOOKUP(operations[productID],products[],5,FALSE)</f>
        <v>0</v>
      </c>
      <c r="K1931" s="6">
        <f>VLOOKUP(operations[productID],products[],6,FALSE)</f>
        <v>0</v>
      </c>
      <c r="L1931" s="10">
        <f t="array" ref="L1931">INDEX('1 orders'!I1931:I2156, MATCH(1, ('1 orders'!A1931:A2156=A1931)*('1 orders'!G1931:G2156=F1931), 0))
</f>
        <v>40</v>
      </c>
      <c r="M1931" s="10">
        <f>IFERROR(__xludf.DUMMYFUNCTION("COUNTUNIQUEIFS($A$2:$A1931,$F$2:$F1931,F1931)"),26.0)</f>
        <v>26</v>
      </c>
      <c r="N1931" s="10">
        <f t="shared" si="1"/>
        <v>30</v>
      </c>
      <c r="O1931" s="26">
        <f>IF(operations[sinceLastOrder]=0,0,operations[orderQuantity] / operations[sinceLastOrder])</f>
        <v>1.333333333</v>
      </c>
      <c r="P1931" s="9">
        <v>1.12</v>
      </c>
      <c r="Q1931" s="7" t="s">
        <v>17</v>
      </c>
      <c r="R1931" s="10">
        <f>operations[arrivedDate]-operations[shippedDate]</f>
        <v>9</v>
      </c>
    </row>
    <row r="1932" ht="15.75" customHeight="1">
      <c r="A1932" s="6">
        <v>10997.0</v>
      </c>
      <c r="B1932" s="24">
        <v>45385.0</v>
      </c>
      <c r="C1932" s="24">
        <v>45427.0</v>
      </c>
      <c r="D1932" s="24">
        <v>45395.0</v>
      </c>
      <c r="E1932" s="24">
        <v>45410.0</v>
      </c>
      <c r="F1932" s="6">
        <v>32.0</v>
      </c>
      <c r="G1932" s="9" t="str">
        <f>VLOOKUP(operations[productID],products[],2,FALSE)</f>
        <v>Mascarpone Fabioli</v>
      </c>
      <c r="H1932" s="9" t="str">
        <f>IF(VLOOKUP(operations[productID],products[],7,FALSE)=1,"Discontinued","Current")</f>
        <v>Current</v>
      </c>
      <c r="I1932" s="6">
        <f>VLOOKUP(operations[productID],products[],4,FALSE)</f>
        <v>9</v>
      </c>
      <c r="J1932" s="6">
        <f>VLOOKUP(operations[productID],products[],5,FALSE)</f>
        <v>40</v>
      </c>
      <c r="K1932" s="6">
        <f>VLOOKUP(operations[productID],products[],6,FALSE)</f>
        <v>25</v>
      </c>
      <c r="L1932" s="10">
        <f t="array" ref="L1932">INDEX('1 orders'!I1932:I2156, MATCH(1, ('1 orders'!A1932:A2156=A1932)*('1 orders'!G1932:G2156=F1932), 0))
</f>
        <v>50</v>
      </c>
      <c r="M1932" s="10">
        <f>IFERROR(__xludf.DUMMYFUNCTION("COUNTUNIQUEIFS($A$2:$A1932,$F$2:$F1932,F1932)"),12.0)</f>
        <v>12</v>
      </c>
      <c r="N1932" s="10">
        <f t="shared" si="1"/>
        <v>4</v>
      </c>
      <c r="O1932" s="26">
        <f>IF(operations[sinceLastOrder]=0,0,operations[orderQuantity] / operations[sinceLastOrder])</f>
        <v>12.5</v>
      </c>
      <c r="P1932" s="9">
        <v>73.91</v>
      </c>
      <c r="Q1932" s="7" t="s">
        <v>17</v>
      </c>
      <c r="R1932" s="10">
        <f>operations[arrivedDate]-operations[shippedDate]</f>
        <v>15</v>
      </c>
    </row>
    <row r="1933" ht="15.75" customHeight="1">
      <c r="A1933" s="6">
        <v>10997.0</v>
      </c>
      <c r="B1933" s="24">
        <v>45385.0</v>
      </c>
      <c r="C1933" s="24">
        <v>45427.0</v>
      </c>
      <c r="D1933" s="24">
        <v>45395.0</v>
      </c>
      <c r="E1933" s="24">
        <v>45410.0</v>
      </c>
      <c r="F1933" s="6">
        <v>46.0</v>
      </c>
      <c r="G1933" s="9" t="str">
        <f>VLOOKUP(operations[productID],products[],2,FALSE)</f>
        <v>Spegesild</v>
      </c>
      <c r="H1933" s="9" t="str">
        <f>IF(VLOOKUP(operations[productID],products[],7,FALSE)=1,"Discontinued","Current")</f>
        <v>Current</v>
      </c>
      <c r="I1933" s="6">
        <f>VLOOKUP(operations[productID],products[],4,FALSE)</f>
        <v>95</v>
      </c>
      <c r="J1933" s="6">
        <f>VLOOKUP(operations[productID],products[],5,FALSE)</f>
        <v>0</v>
      </c>
      <c r="K1933" s="6">
        <f>VLOOKUP(operations[productID],products[],6,FALSE)</f>
        <v>0</v>
      </c>
      <c r="L1933" s="10">
        <f t="array" ref="L1933">INDEX('1 orders'!I1933:I2156, MATCH(1, ('1 orders'!A1933:A2156=A1933)*('1 orders'!G1933:G2156=F1933), 0))
</f>
        <v>20</v>
      </c>
      <c r="M1933" s="10">
        <f>IFERROR(__xludf.DUMMYFUNCTION("COUNTUNIQUEIFS($A$2:$A1933,$F$2:$F1933,F1933)"),23.0)</f>
        <v>23</v>
      </c>
      <c r="N1933" s="10">
        <f t="shared" si="1"/>
        <v>11</v>
      </c>
      <c r="O1933" s="26">
        <f>IF(operations[sinceLastOrder]=0,0,operations[orderQuantity] / operations[sinceLastOrder])</f>
        <v>1.818181818</v>
      </c>
      <c r="P1933" s="9">
        <v>73.91</v>
      </c>
      <c r="Q1933" s="7" t="s">
        <v>17</v>
      </c>
      <c r="R1933" s="10">
        <f>operations[arrivedDate]-operations[shippedDate]</f>
        <v>15</v>
      </c>
    </row>
    <row r="1934" ht="15.75" customHeight="1">
      <c r="A1934" s="6">
        <v>10997.0</v>
      </c>
      <c r="B1934" s="24">
        <v>45385.0</v>
      </c>
      <c r="C1934" s="24">
        <v>45427.0</v>
      </c>
      <c r="D1934" s="24">
        <v>45395.0</v>
      </c>
      <c r="E1934" s="24">
        <v>45410.0</v>
      </c>
      <c r="F1934" s="6">
        <v>52.0</v>
      </c>
      <c r="G1934" s="9" t="str">
        <f>VLOOKUP(operations[productID],products[],2,FALSE)</f>
        <v>Filo Mix</v>
      </c>
      <c r="H1934" s="9" t="str">
        <f>IF(VLOOKUP(operations[productID],products[],7,FALSE)=1,"Discontinued","Current")</f>
        <v>Current</v>
      </c>
      <c r="I1934" s="6">
        <f>VLOOKUP(operations[productID],products[],4,FALSE)</f>
        <v>38</v>
      </c>
      <c r="J1934" s="6">
        <f>VLOOKUP(operations[productID],products[],5,FALSE)</f>
        <v>0</v>
      </c>
      <c r="K1934" s="6">
        <f>VLOOKUP(operations[productID],products[],6,FALSE)</f>
        <v>25</v>
      </c>
      <c r="L1934" s="10">
        <f t="array" ref="L1934">INDEX('1 orders'!I1934:I2156, MATCH(1, ('1 orders'!A1934:A2156=A1934)*('1 orders'!G1934:G2156=F1934), 0))
</f>
        <v>20</v>
      </c>
      <c r="M1934" s="10">
        <f>IFERROR(__xludf.DUMMYFUNCTION("COUNTUNIQUEIFS($A$2:$A1934,$F$2:$F1934,F1934)"),26.0)</f>
        <v>26</v>
      </c>
      <c r="N1934" s="10">
        <f t="shared" si="1"/>
        <v>10</v>
      </c>
      <c r="O1934" s="26">
        <f>IF(operations[sinceLastOrder]=0,0,operations[orderQuantity] / operations[sinceLastOrder])</f>
        <v>2</v>
      </c>
      <c r="P1934" s="9">
        <v>73.91</v>
      </c>
      <c r="Q1934" s="7" t="s">
        <v>17</v>
      </c>
      <c r="R1934" s="10">
        <f>operations[arrivedDate]-operations[shippedDate]</f>
        <v>15</v>
      </c>
    </row>
    <row r="1935" ht="15.75" customHeight="1">
      <c r="A1935" s="6">
        <v>10998.0</v>
      </c>
      <c r="B1935" s="24">
        <v>45385.0</v>
      </c>
      <c r="C1935" s="24">
        <v>45399.0</v>
      </c>
      <c r="D1935" s="24">
        <v>45399.0</v>
      </c>
      <c r="E1935" s="24">
        <v>45412.0</v>
      </c>
      <c r="F1935" s="6">
        <v>24.0</v>
      </c>
      <c r="G1935" s="9" t="str">
        <f>VLOOKUP(operations[productID],products[],2,FALSE)</f>
        <v>Brigadeiros Maravilhosos da Lilian</v>
      </c>
      <c r="H1935" s="9" t="str">
        <f>IF(VLOOKUP(operations[productID],products[],7,FALSE)=1,"Discontinued","Current")</f>
        <v>Discontinued</v>
      </c>
      <c r="I1935" s="6">
        <f>VLOOKUP(operations[productID],products[],4,FALSE)</f>
        <v>20</v>
      </c>
      <c r="J1935" s="6">
        <f>VLOOKUP(operations[productID],products[],5,FALSE)</f>
        <v>0</v>
      </c>
      <c r="K1935" s="6">
        <f>VLOOKUP(operations[productID],products[],6,FALSE)</f>
        <v>0</v>
      </c>
      <c r="L1935" s="10">
        <f t="array" ref="L1935">INDEX('1 orders'!I1935:I2156, MATCH(1, ('1 orders'!A1935:A2156=A1935)*('1 orders'!G1935:G2156=F1935), 0))
</f>
        <v>12</v>
      </c>
      <c r="M1935" s="10">
        <f>IFERROR(__xludf.DUMMYFUNCTION("COUNTUNIQUEIFS($A$2:$A1935,$F$2:$F1935,F1935)"),43.0)</f>
        <v>43</v>
      </c>
      <c r="N1935" s="10">
        <f t="shared" si="1"/>
        <v>4</v>
      </c>
      <c r="O1935" s="26">
        <f>IF(operations[sinceLastOrder]=0,0,operations[orderQuantity] / operations[sinceLastOrder])</f>
        <v>3</v>
      </c>
      <c r="P1935" s="9">
        <v>20.31</v>
      </c>
      <c r="Q1935" s="7" t="s">
        <v>17</v>
      </c>
      <c r="R1935" s="10">
        <f>operations[arrivedDate]-operations[shippedDate]</f>
        <v>13</v>
      </c>
    </row>
    <row r="1936" ht="15.75" customHeight="1">
      <c r="A1936" s="6">
        <v>10998.0</v>
      </c>
      <c r="B1936" s="24">
        <v>45385.0</v>
      </c>
      <c r="C1936" s="24">
        <v>45399.0</v>
      </c>
      <c r="D1936" s="24">
        <v>45399.0</v>
      </c>
      <c r="E1936" s="24">
        <v>45412.0</v>
      </c>
      <c r="F1936" s="6">
        <v>61.0</v>
      </c>
      <c r="G1936" s="9" t="str">
        <f>VLOOKUP(operations[productID],products[],2,FALSE)</f>
        <v>Sirop d'érable</v>
      </c>
      <c r="H1936" s="9" t="str">
        <f>IF(VLOOKUP(operations[productID],products[],7,FALSE)=1,"Discontinued","Current")</f>
        <v>Current</v>
      </c>
      <c r="I1936" s="6">
        <f>VLOOKUP(operations[productID],products[],4,FALSE)</f>
        <v>113</v>
      </c>
      <c r="J1936" s="6">
        <f>VLOOKUP(operations[productID],products[],5,FALSE)</f>
        <v>0</v>
      </c>
      <c r="K1936" s="6">
        <f>VLOOKUP(operations[productID],products[],6,FALSE)</f>
        <v>25</v>
      </c>
      <c r="L1936" s="10">
        <f t="array" ref="L1936">INDEX('1 orders'!I1936:I2156, MATCH(1, ('1 orders'!A1936:A2156=A1936)*('1 orders'!G1936:G2156=F1936), 0))
</f>
        <v>7</v>
      </c>
      <c r="M1936" s="10">
        <f>IFERROR(__xludf.DUMMYFUNCTION("COUNTUNIQUEIFS($A$2:$A1936,$F$2:$F1936,F1936)"),20.0)</f>
        <v>20</v>
      </c>
      <c r="N1936" s="10">
        <f t="shared" si="1"/>
        <v>2</v>
      </c>
      <c r="O1936" s="26">
        <f>IF(operations[sinceLastOrder]=0,0,operations[orderQuantity] / operations[sinceLastOrder])</f>
        <v>3.5</v>
      </c>
      <c r="P1936" s="9">
        <v>20.31</v>
      </c>
      <c r="Q1936" s="7" t="s">
        <v>17</v>
      </c>
      <c r="R1936" s="10">
        <f>operations[arrivedDate]-operations[shippedDate]</f>
        <v>13</v>
      </c>
    </row>
    <row r="1937" ht="15.75" customHeight="1">
      <c r="A1937" s="6">
        <v>10998.0</v>
      </c>
      <c r="B1937" s="24">
        <v>45385.0</v>
      </c>
      <c r="C1937" s="24">
        <v>45399.0</v>
      </c>
      <c r="D1937" s="24">
        <v>45399.0</v>
      </c>
      <c r="E1937" s="24">
        <v>45412.0</v>
      </c>
      <c r="F1937" s="6">
        <v>74.0</v>
      </c>
      <c r="G1937" s="9" t="str">
        <f>VLOOKUP(operations[productID],products[],2,FALSE)</f>
        <v>Longlife Tofu</v>
      </c>
      <c r="H1937" s="9" t="str">
        <f>IF(VLOOKUP(operations[productID],products[],7,FALSE)=1,"Discontinued","Current")</f>
        <v>Current</v>
      </c>
      <c r="I1937" s="6">
        <f>VLOOKUP(operations[productID],products[],4,FALSE)</f>
        <v>4</v>
      </c>
      <c r="J1937" s="6">
        <f>VLOOKUP(operations[productID],products[],5,FALSE)</f>
        <v>20</v>
      </c>
      <c r="K1937" s="6">
        <f>VLOOKUP(operations[productID],products[],6,FALSE)</f>
        <v>5</v>
      </c>
      <c r="L1937" s="10">
        <f t="array" ref="L1937">INDEX('1 orders'!I1937:I2156, MATCH(1, ('1 orders'!A1937:A2156=A1937)*('1 orders'!G1937:G2156=F1937), 0))
</f>
        <v>20</v>
      </c>
      <c r="M1937" s="10">
        <f>IFERROR(__xludf.DUMMYFUNCTION("COUNTUNIQUEIFS($A$2:$A1937,$F$2:$F1937,F1937)"),13.0)</f>
        <v>13</v>
      </c>
      <c r="N1937" s="10">
        <f t="shared" si="1"/>
        <v>72</v>
      </c>
      <c r="O1937" s="26">
        <f>IF(operations[sinceLastOrder]=0,0,operations[orderQuantity] / operations[sinceLastOrder])</f>
        <v>0.2777777778</v>
      </c>
      <c r="P1937" s="9">
        <v>20.31</v>
      </c>
      <c r="Q1937" s="7" t="s">
        <v>17</v>
      </c>
      <c r="R1937" s="10">
        <f>operations[arrivedDate]-operations[shippedDate]</f>
        <v>13</v>
      </c>
    </row>
    <row r="1938" ht="15.75" customHeight="1">
      <c r="A1938" s="6">
        <v>10998.0</v>
      </c>
      <c r="B1938" s="24">
        <v>45385.0</v>
      </c>
      <c r="C1938" s="24">
        <v>45399.0</v>
      </c>
      <c r="D1938" s="24">
        <v>45399.0</v>
      </c>
      <c r="E1938" s="24">
        <v>45412.0</v>
      </c>
      <c r="F1938" s="6">
        <v>75.0</v>
      </c>
      <c r="G1938" s="9" t="str">
        <f>VLOOKUP(operations[productID],products[],2,FALSE)</f>
        <v>Rhönbräu Klosterbier</v>
      </c>
      <c r="H1938" s="9" t="str">
        <f>IF(VLOOKUP(operations[productID],products[],7,FALSE)=1,"Discontinued","Current")</f>
        <v>Current</v>
      </c>
      <c r="I1938" s="6">
        <f>VLOOKUP(operations[productID],products[],4,FALSE)</f>
        <v>125</v>
      </c>
      <c r="J1938" s="6">
        <f>VLOOKUP(operations[productID],products[],5,FALSE)</f>
        <v>0</v>
      </c>
      <c r="K1938" s="6">
        <f>VLOOKUP(operations[productID],products[],6,FALSE)</f>
        <v>25</v>
      </c>
      <c r="L1938" s="10">
        <f t="array" ref="L1938">INDEX('1 orders'!I1938:I2156, MATCH(1, ('1 orders'!A1938:A2156=A1938)*('1 orders'!G1938:G2156=F1938), 0))
</f>
        <v>30</v>
      </c>
      <c r="M1938" s="10">
        <f>IFERROR(__xludf.DUMMYFUNCTION("COUNTUNIQUEIFS($A$2:$A1938,$F$2:$F1938,F1938)"),45.0)</f>
        <v>45</v>
      </c>
      <c r="N1938" s="10">
        <f t="shared" si="1"/>
        <v>7</v>
      </c>
      <c r="O1938" s="26">
        <f>IF(operations[sinceLastOrder]=0,0,operations[orderQuantity] / operations[sinceLastOrder])</f>
        <v>4.285714286</v>
      </c>
      <c r="P1938" s="9">
        <v>20.31</v>
      </c>
      <c r="Q1938" s="7" t="s">
        <v>17</v>
      </c>
      <c r="R1938" s="10">
        <f>operations[arrivedDate]-operations[shippedDate]</f>
        <v>13</v>
      </c>
    </row>
    <row r="1939" ht="15.75" customHeight="1">
      <c r="A1939" s="6">
        <v>10999.0</v>
      </c>
      <c r="B1939" s="24">
        <v>45385.0</v>
      </c>
      <c r="C1939" s="24">
        <v>45413.0</v>
      </c>
      <c r="D1939" s="24">
        <v>45392.0</v>
      </c>
      <c r="E1939" s="24">
        <v>45399.0</v>
      </c>
      <c r="F1939" s="6">
        <v>41.0</v>
      </c>
      <c r="G1939" s="9" t="str">
        <f>VLOOKUP(operations[productID],products[],2,FALSE)</f>
        <v>Jack's New England Clam Chowder</v>
      </c>
      <c r="H1939" s="9" t="str">
        <f>IF(VLOOKUP(operations[productID],products[],7,FALSE)=1,"Discontinued","Current")</f>
        <v>Current</v>
      </c>
      <c r="I1939" s="6">
        <f>VLOOKUP(operations[productID],products[],4,FALSE)</f>
        <v>85</v>
      </c>
      <c r="J1939" s="6">
        <f>VLOOKUP(operations[productID],products[],5,FALSE)</f>
        <v>0</v>
      </c>
      <c r="K1939" s="6">
        <f>VLOOKUP(operations[productID],products[],6,FALSE)</f>
        <v>10</v>
      </c>
      <c r="L1939" s="10">
        <f t="array" ref="L1939">INDEX('1 orders'!I1939:I2156, MATCH(1, ('1 orders'!A1939:A2156=A1939)*('1 orders'!G1939:G2156=F1939), 0))
</f>
        <v>20</v>
      </c>
      <c r="M1939" s="10">
        <f>IFERROR(__xludf.DUMMYFUNCTION("COUNTUNIQUEIFS($A$2:$A1939,$F$2:$F1939,F1939)"),41.0)</f>
        <v>41</v>
      </c>
      <c r="N1939" s="10">
        <f t="shared" si="1"/>
        <v>2</v>
      </c>
      <c r="O1939" s="26">
        <f>IF(operations[sinceLastOrder]=0,0,operations[orderQuantity] / operations[sinceLastOrder])</f>
        <v>10</v>
      </c>
      <c r="P1939" s="9">
        <v>96.35</v>
      </c>
      <c r="Q1939" s="7" t="s">
        <v>17</v>
      </c>
      <c r="R1939" s="10">
        <f>operations[arrivedDate]-operations[shippedDate]</f>
        <v>7</v>
      </c>
    </row>
    <row r="1940" ht="15.75" customHeight="1">
      <c r="A1940" s="6">
        <v>10999.0</v>
      </c>
      <c r="B1940" s="24">
        <v>45385.0</v>
      </c>
      <c r="C1940" s="24">
        <v>45413.0</v>
      </c>
      <c r="D1940" s="24">
        <v>45392.0</v>
      </c>
      <c r="E1940" s="24">
        <v>45399.0</v>
      </c>
      <c r="F1940" s="6">
        <v>51.0</v>
      </c>
      <c r="G1940" s="9" t="str">
        <f>VLOOKUP(operations[productID],products[],2,FALSE)</f>
        <v>Manjimup Dried Apples</v>
      </c>
      <c r="H1940" s="9" t="str">
        <f>IF(VLOOKUP(operations[productID],products[],7,FALSE)=1,"Discontinued","Current")</f>
        <v>Current</v>
      </c>
      <c r="I1940" s="6">
        <f>VLOOKUP(operations[productID],products[],4,FALSE)</f>
        <v>20</v>
      </c>
      <c r="J1940" s="6">
        <f>VLOOKUP(operations[productID],products[],5,FALSE)</f>
        <v>0</v>
      </c>
      <c r="K1940" s="6">
        <f>VLOOKUP(operations[productID],products[],6,FALSE)</f>
        <v>10</v>
      </c>
      <c r="L1940" s="10">
        <f t="array" ref="L1940">INDEX('1 orders'!I1940:I2156, MATCH(1, ('1 orders'!A1940:A2156=A1940)*('1 orders'!G1940:G2156=F1940), 0))
</f>
        <v>15</v>
      </c>
      <c r="M1940" s="10">
        <f>IFERROR(__xludf.DUMMYFUNCTION("COUNTUNIQUEIFS($A$2:$A1940,$F$2:$F1940,F1940)"),35.0)</f>
        <v>35</v>
      </c>
      <c r="N1940" s="10">
        <f t="shared" si="1"/>
        <v>1</v>
      </c>
      <c r="O1940" s="26">
        <f>IF(operations[sinceLastOrder]=0,0,operations[orderQuantity] / operations[sinceLastOrder])</f>
        <v>15</v>
      </c>
      <c r="P1940" s="9">
        <v>96.35</v>
      </c>
      <c r="Q1940" s="7" t="s">
        <v>17</v>
      </c>
      <c r="R1940" s="10">
        <f>operations[arrivedDate]-operations[shippedDate]</f>
        <v>7</v>
      </c>
    </row>
    <row r="1941" ht="15.75" customHeight="1">
      <c r="A1941" s="6">
        <v>10999.0</v>
      </c>
      <c r="B1941" s="24">
        <v>45385.0</v>
      </c>
      <c r="C1941" s="24">
        <v>45413.0</v>
      </c>
      <c r="D1941" s="24">
        <v>45392.0</v>
      </c>
      <c r="E1941" s="24">
        <v>45399.0</v>
      </c>
      <c r="F1941" s="6">
        <v>77.0</v>
      </c>
      <c r="G1941" s="9" t="str">
        <f>VLOOKUP(operations[productID],products[],2,FALSE)</f>
        <v>Original Frankfurter grüne Soße</v>
      </c>
      <c r="H1941" s="9" t="str">
        <f>IF(VLOOKUP(operations[productID],products[],7,FALSE)=1,"Discontinued","Current")</f>
        <v>Current</v>
      </c>
      <c r="I1941" s="6">
        <f>VLOOKUP(operations[productID],products[],4,FALSE)</f>
        <v>32</v>
      </c>
      <c r="J1941" s="6">
        <f>VLOOKUP(operations[productID],products[],5,FALSE)</f>
        <v>0</v>
      </c>
      <c r="K1941" s="6">
        <f>VLOOKUP(operations[productID],products[],6,FALSE)</f>
        <v>15</v>
      </c>
      <c r="L1941" s="10">
        <f t="array" ref="L1941">INDEX('1 orders'!I1941:I2156, MATCH(1, ('1 orders'!A1941:A2156=A1941)*('1 orders'!G1941:G2156=F1941), 0))
</f>
        <v>21</v>
      </c>
      <c r="M1941" s="10">
        <f>IFERROR(__xludf.DUMMYFUNCTION("COUNTUNIQUEIFS($A$2:$A1941,$F$2:$F1941,F1941)"),33.0)</f>
        <v>33</v>
      </c>
      <c r="N1941" s="10">
        <f t="shared" si="1"/>
        <v>4</v>
      </c>
      <c r="O1941" s="26">
        <f>IF(operations[sinceLastOrder]=0,0,operations[orderQuantity] / operations[sinceLastOrder])</f>
        <v>5.25</v>
      </c>
      <c r="P1941" s="9">
        <v>96.35</v>
      </c>
      <c r="Q1941" s="7" t="s">
        <v>17</v>
      </c>
      <c r="R1941" s="10">
        <f>operations[arrivedDate]-operations[shippedDate]</f>
        <v>7</v>
      </c>
    </row>
    <row r="1942" ht="15.75" customHeight="1">
      <c r="A1942" s="6">
        <v>11000.0</v>
      </c>
      <c r="B1942" s="24">
        <v>45388.0</v>
      </c>
      <c r="C1942" s="24">
        <v>45416.0</v>
      </c>
      <c r="D1942" s="24">
        <v>45396.0</v>
      </c>
      <c r="E1942" s="24">
        <v>45409.0</v>
      </c>
      <c r="F1942" s="6">
        <v>4.0</v>
      </c>
      <c r="G1942" s="9" t="str">
        <f>VLOOKUP(operations[productID],products[],2,FALSE)</f>
        <v>Chef Anton's Cajun Seasoning</v>
      </c>
      <c r="H1942" s="9" t="str">
        <f>IF(VLOOKUP(operations[productID],products[],7,FALSE)=1,"Discontinued","Current")</f>
        <v>Current</v>
      </c>
      <c r="I1942" s="6">
        <f>VLOOKUP(operations[productID],products[],4,FALSE)</f>
        <v>53</v>
      </c>
      <c r="J1942" s="6">
        <f>VLOOKUP(operations[productID],products[],5,FALSE)</f>
        <v>0</v>
      </c>
      <c r="K1942" s="6">
        <f>VLOOKUP(operations[productID],products[],6,FALSE)</f>
        <v>0</v>
      </c>
      <c r="L1942" s="10">
        <f t="array" ref="L1942">INDEX('1 orders'!I1942:I2156, MATCH(1, ('1 orders'!A1942:A2156=A1942)*('1 orders'!G1942:G2156=F1942), 0))
</f>
        <v>25</v>
      </c>
      <c r="M1942" s="10">
        <f>IFERROR(__xludf.DUMMYFUNCTION("COUNTUNIQUEIFS($A$2:$A1942,$F$2:$F1942,F1942)"),19.0)</f>
        <v>19</v>
      </c>
      <c r="N1942" s="10">
        <f t="shared" si="1"/>
        <v>21</v>
      </c>
      <c r="O1942" s="26">
        <f>IF(operations[sinceLastOrder]=0,0,operations[orderQuantity] / operations[sinceLastOrder])</f>
        <v>1.19047619</v>
      </c>
      <c r="P1942" s="9">
        <v>55.12</v>
      </c>
      <c r="Q1942" s="7" t="s">
        <v>13</v>
      </c>
      <c r="R1942" s="10">
        <f>operations[arrivedDate]-operations[shippedDate]</f>
        <v>13</v>
      </c>
    </row>
    <row r="1943" ht="15.75" customHeight="1">
      <c r="A1943" s="6">
        <v>11000.0</v>
      </c>
      <c r="B1943" s="24">
        <v>45388.0</v>
      </c>
      <c r="C1943" s="24">
        <v>45416.0</v>
      </c>
      <c r="D1943" s="24">
        <v>45396.0</v>
      </c>
      <c r="E1943" s="24">
        <v>45409.0</v>
      </c>
      <c r="F1943" s="6">
        <v>24.0</v>
      </c>
      <c r="G1943" s="9" t="str">
        <f>VLOOKUP(operations[productID],products[],2,FALSE)</f>
        <v>Brigadeiros Maravilhosos da Lilian</v>
      </c>
      <c r="H1943" s="9" t="str">
        <f>IF(VLOOKUP(operations[productID],products[],7,FALSE)=1,"Discontinued","Current")</f>
        <v>Discontinued</v>
      </c>
      <c r="I1943" s="6">
        <f>VLOOKUP(operations[productID],products[],4,FALSE)</f>
        <v>20</v>
      </c>
      <c r="J1943" s="6">
        <f>VLOOKUP(operations[productID],products[],5,FALSE)</f>
        <v>0</v>
      </c>
      <c r="K1943" s="6">
        <f>VLOOKUP(operations[productID],products[],6,FALSE)</f>
        <v>0</v>
      </c>
      <c r="L1943" s="10">
        <f t="array" ref="L1943">INDEX('1 orders'!I1943:I2156, MATCH(1, ('1 orders'!A1943:A2156=A1943)*('1 orders'!G1943:G2156=F1943), 0))
</f>
        <v>30</v>
      </c>
      <c r="M1943" s="10">
        <f>IFERROR(__xludf.DUMMYFUNCTION("COUNTUNIQUEIFS($A$2:$A1943,$F$2:$F1943,F1943)"),44.0)</f>
        <v>44</v>
      </c>
      <c r="N1943" s="10">
        <f t="shared" si="1"/>
        <v>3</v>
      </c>
      <c r="O1943" s="26">
        <f>IF(operations[sinceLastOrder]=0,0,operations[orderQuantity] / operations[sinceLastOrder])</f>
        <v>10</v>
      </c>
      <c r="P1943" s="9">
        <v>55.12</v>
      </c>
      <c r="Q1943" s="7" t="s">
        <v>13</v>
      </c>
      <c r="R1943" s="10">
        <f>operations[arrivedDate]-operations[shippedDate]</f>
        <v>13</v>
      </c>
    </row>
    <row r="1944" ht="15.75" customHeight="1">
      <c r="A1944" s="6">
        <v>11000.0</v>
      </c>
      <c r="B1944" s="24">
        <v>45388.0</v>
      </c>
      <c r="C1944" s="24">
        <v>45416.0</v>
      </c>
      <c r="D1944" s="24">
        <v>45396.0</v>
      </c>
      <c r="E1944" s="24">
        <v>45409.0</v>
      </c>
      <c r="F1944" s="6">
        <v>77.0</v>
      </c>
      <c r="G1944" s="9" t="str">
        <f>VLOOKUP(operations[productID],products[],2,FALSE)</f>
        <v>Original Frankfurter grüne Soße</v>
      </c>
      <c r="H1944" s="9" t="str">
        <f>IF(VLOOKUP(operations[productID],products[],7,FALSE)=1,"Discontinued","Current")</f>
        <v>Current</v>
      </c>
      <c r="I1944" s="6">
        <f>VLOOKUP(operations[productID],products[],4,FALSE)</f>
        <v>32</v>
      </c>
      <c r="J1944" s="6">
        <f>VLOOKUP(operations[productID],products[],5,FALSE)</f>
        <v>0</v>
      </c>
      <c r="K1944" s="6">
        <f>VLOOKUP(operations[productID],products[],6,FALSE)</f>
        <v>15</v>
      </c>
      <c r="L1944" s="10">
        <f t="array" ref="L1944">INDEX('1 orders'!I1944:I2156, MATCH(1, ('1 orders'!A1944:A2156=A1944)*('1 orders'!G1944:G2156=F1944), 0))
</f>
        <v>30</v>
      </c>
      <c r="M1944" s="10">
        <f>IFERROR(__xludf.DUMMYFUNCTION("COUNTUNIQUEIFS($A$2:$A1944,$F$2:$F1944,F1944)"),34.0)</f>
        <v>34</v>
      </c>
      <c r="N1944" s="10">
        <f t="shared" si="1"/>
        <v>3</v>
      </c>
      <c r="O1944" s="26">
        <f>IF(operations[sinceLastOrder]=0,0,operations[orderQuantity] / operations[sinceLastOrder])</f>
        <v>10</v>
      </c>
      <c r="P1944" s="9">
        <v>55.12</v>
      </c>
      <c r="Q1944" s="7" t="s">
        <v>13</v>
      </c>
      <c r="R1944" s="10">
        <f>operations[arrivedDate]-operations[shippedDate]</f>
        <v>13</v>
      </c>
    </row>
    <row r="1945" ht="15.75" customHeight="1">
      <c r="A1945" s="6">
        <v>11001.0</v>
      </c>
      <c r="B1945" s="24">
        <v>45388.0</v>
      </c>
      <c r="C1945" s="24">
        <v>45416.0</v>
      </c>
      <c r="D1945" s="24">
        <v>45396.0</v>
      </c>
      <c r="E1945" s="24">
        <v>45407.0</v>
      </c>
      <c r="F1945" s="6">
        <v>7.0</v>
      </c>
      <c r="G1945" s="9" t="str">
        <f>VLOOKUP(operations[productID],products[],2,FALSE)</f>
        <v>Uncle Bob's Organic Dried Pears</v>
      </c>
      <c r="H1945" s="9" t="str">
        <f>IF(VLOOKUP(operations[productID],products[],7,FALSE)=1,"Discontinued","Current")</f>
        <v>Current</v>
      </c>
      <c r="I1945" s="6">
        <f>VLOOKUP(operations[productID],products[],4,FALSE)</f>
        <v>15</v>
      </c>
      <c r="J1945" s="6">
        <f>VLOOKUP(operations[productID],products[],5,FALSE)</f>
        <v>0</v>
      </c>
      <c r="K1945" s="6">
        <f>VLOOKUP(operations[productID],products[],6,FALSE)</f>
        <v>10</v>
      </c>
      <c r="L1945" s="10">
        <f t="array" ref="L1945">INDEX('1 orders'!I1945:I2156, MATCH(1, ('1 orders'!A1945:A2156=A1945)*('1 orders'!G1945:G2156=F1945), 0))
</f>
        <v>60</v>
      </c>
      <c r="M1945" s="10">
        <f>IFERROR(__xludf.DUMMYFUNCTION("COUNTUNIQUEIFS($A$2:$A1945,$F$2:$F1945,F1945)"),24.0)</f>
        <v>24</v>
      </c>
      <c r="N1945" s="10">
        <f t="shared" si="1"/>
        <v>6</v>
      </c>
      <c r="O1945" s="26">
        <f>IF(operations[sinceLastOrder]=0,0,operations[orderQuantity] / operations[sinceLastOrder])</f>
        <v>10</v>
      </c>
      <c r="P1945" s="9">
        <v>197.3</v>
      </c>
      <c r="Q1945" s="7" t="s">
        <v>17</v>
      </c>
      <c r="R1945" s="10">
        <f>operations[arrivedDate]-operations[shippedDate]</f>
        <v>11</v>
      </c>
    </row>
    <row r="1946" ht="15.75" customHeight="1">
      <c r="A1946" s="6">
        <v>11001.0</v>
      </c>
      <c r="B1946" s="24">
        <v>45388.0</v>
      </c>
      <c r="C1946" s="24">
        <v>45416.0</v>
      </c>
      <c r="D1946" s="24">
        <v>45396.0</v>
      </c>
      <c r="E1946" s="24">
        <v>45407.0</v>
      </c>
      <c r="F1946" s="6">
        <v>22.0</v>
      </c>
      <c r="G1946" s="9" t="str">
        <f>VLOOKUP(operations[productID],products[],2,FALSE)</f>
        <v>Gustaf's Knäckebröd</v>
      </c>
      <c r="H1946" s="9" t="str">
        <f>IF(VLOOKUP(operations[productID],products[],7,FALSE)=1,"Discontinued","Current")</f>
        <v>Current</v>
      </c>
      <c r="I1946" s="6">
        <f>VLOOKUP(operations[productID],products[],4,FALSE)</f>
        <v>104</v>
      </c>
      <c r="J1946" s="6">
        <f>VLOOKUP(operations[productID],products[],5,FALSE)</f>
        <v>0</v>
      </c>
      <c r="K1946" s="6">
        <f>VLOOKUP(operations[productID],products[],6,FALSE)</f>
        <v>25</v>
      </c>
      <c r="L1946" s="10">
        <f t="array" ref="L1946">INDEX('1 orders'!I1946:I2156, MATCH(1, ('1 orders'!A1946:A2156=A1946)*('1 orders'!G1946:G2156=F1946), 0))
</f>
        <v>25</v>
      </c>
      <c r="M1946" s="10">
        <f>IFERROR(__xludf.DUMMYFUNCTION("COUNTUNIQUEIFS($A$2:$A1946,$F$2:$F1946,F1946)"),14.0)</f>
        <v>14</v>
      </c>
      <c r="N1946" s="10">
        <f t="shared" si="1"/>
        <v>26</v>
      </c>
      <c r="O1946" s="26">
        <f>IF(operations[sinceLastOrder]=0,0,operations[orderQuantity] / operations[sinceLastOrder])</f>
        <v>0.9615384615</v>
      </c>
      <c r="P1946" s="9">
        <v>197.3</v>
      </c>
      <c r="Q1946" s="7" t="s">
        <v>17</v>
      </c>
      <c r="R1946" s="10">
        <f>operations[arrivedDate]-operations[shippedDate]</f>
        <v>11</v>
      </c>
    </row>
    <row r="1947" ht="15.75" customHeight="1">
      <c r="A1947" s="6">
        <v>11001.0</v>
      </c>
      <c r="B1947" s="24">
        <v>45388.0</v>
      </c>
      <c r="C1947" s="24">
        <v>45416.0</v>
      </c>
      <c r="D1947" s="24">
        <v>45396.0</v>
      </c>
      <c r="E1947" s="24">
        <v>45407.0</v>
      </c>
      <c r="F1947" s="6">
        <v>46.0</v>
      </c>
      <c r="G1947" s="9" t="str">
        <f>VLOOKUP(operations[productID],products[],2,FALSE)</f>
        <v>Spegesild</v>
      </c>
      <c r="H1947" s="9" t="str">
        <f>IF(VLOOKUP(operations[productID],products[],7,FALSE)=1,"Discontinued","Current")</f>
        <v>Current</v>
      </c>
      <c r="I1947" s="6">
        <f>VLOOKUP(operations[productID],products[],4,FALSE)</f>
        <v>95</v>
      </c>
      <c r="J1947" s="6">
        <f>VLOOKUP(operations[productID],products[],5,FALSE)</f>
        <v>0</v>
      </c>
      <c r="K1947" s="6">
        <f>VLOOKUP(operations[productID],products[],6,FALSE)</f>
        <v>0</v>
      </c>
      <c r="L1947" s="10">
        <f t="array" ref="L1947">INDEX('1 orders'!I1947:I2156, MATCH(1, ('1 orders'!A1947:A2156=A1947)*('1 orders'!G1947:G2156=F1947), 0))
</f>
        <v>25</v>
      </c>
      <c r="M1947" s="10">
        <f>IFERROR(__xludf.DUMMYFUNCTION("COUNTUNIQUEIFS($A$2:$A1947,$F$2:$F1947,F1947)"),24.0)</f>
        <v>24</v>
      </c>
      <c r="N1947" s="10">
        <f t="shared" si="1"/>
        <v>3</v>
      </c>
      <c r="O1947" s="26">
        <f>IF(operations[sinceLastOrder]=0,0,operations[orderQuantity] / operations[sinceLastOrder])</f>
        <v>8.333333333</v>
      </c>
      <c r="P1947" s="9">
        <v>197.3</v>
      </c>
      <c r="Q1947" s="7" t="s">
        <v>17</v>
      </c>
      <c r="R1947" s="10">
        <f>operations[arrivedDate]-operations[shippedDate]</f>
        <v>11</v>
      </c>
    </row>
    <row r="1948" ht="15.75" customHeight="1">
      <c r="A1948" s="6">
        <v>11001.0</v>
      </c>
      <c r="B1948" s="24">
        <v>45388.0</v>
      </c>
      <c r="C1948" s="24">
        <v>45416.0</v>
      </c>
      <c r="D1948" s="24">
        <v>45396.0</v>
      </c>
      <c r="E1948" s="24">
        <v>45407.0</v>
      </c>
      <c r="F1948" s="6">
        <v>55.0</v>
      </c>
      <c r="G1948" s="9" t="str">
        <f>VLOOKUP(operations[productID],products[],2,FALSE)</f>
        <v>Pâté chinois</v>
      </c>
      <c r="H1948" s="9" t="str">
        <f>IF(VLOOKUP(operations[productID],products[],7,FALSE)=1,"Discontinued","Current")</f>
        <v>Current</v>
      </c>
      <c r="I1948" s="6">
        <f>VLOOKUP(operations[productID],products[],4,FALSE)</f>
        <v>115</v>
      </c>
      <c r="J1948" s="6">
        <f>VLOOKUP(operations[productID],products[],5,FALSE)</f>
        <v>0</v>
      </c>
      <c r="K1948" s="6">
        <f>VLOOKUP(operations[productID],products[],6,FALSE)</f>
        <v>20</v>
      </c>
      <c r="L1948" s="10">
        <f t="array" ref="L1948">INDEX('1 orders'!I1948:I2156, MATCH(1, ('1 orders'!A1948:A2156=A1948)*('1 orders'!G1948:G2156=F1948), 0))
</f>
        <v>6</v>
      </c>
      <c r="M1948" s="10">
        <f>IFERROR(__xludf.DUMMYFUNCTION("COUNTUNIQUEIFS($A$2:$A1948,$F$2:$F1948,F1948)"),28.0)</f>
        <v>28</v>
      </c>
      <c r="N1948" s="10">
        <f t="shared" si="1"/>
        <v>5</v>
      </c>
      <c r="O1948" s="26">
        <f>IF(operations[sinceLastOrder]=0,0,operations[orderQuantity] / operations[sinceLastOrder])</f>
        <v>1.2</v>
      </c>
      <c r="P1948" s="9">
        <v>197.3</v>
      </c>
      <c r="Q1948" s="7" t="s">
        <v>17</v>
      </c>
      <c r="R1948" s="10">
        <f>operations[arrivedDate]-operations[shippedDate]</f>
        <v>11</v>
      </c>
    </row>
    <row r="1949" ht="15.75" customHeight="1">
      <c r="A1949" s="6">
        <v>11002.0</v>
      </c>
      <c r="B1949" s="24">
        <v>45388.0</v>
      </c>
      <c r="C1949" s="24">
        <v>45416.0</v>
      </c>
      <c r="D1949" s="24">
        <v>45398.0</v>
      </c>
      <c r="E1949" s="24">
        <v>45412.0</v>
      </c>
      <c r="F1949" s="6">
        <v>13.0</v>
      </c>
      <c r="G1949" s="9" t="str">
        <f>VLOOKUP(operations[productID],products[],2,FALSE)</f>
        <v>Konbu</v>
      </c>
      <c r="H1949" s="9" t="str">
        <f>IF(VLOOKUP(operations[productID],products[],7,FALSE)=1,"Discontinued","Current")</f>
        <v>Current</v>
      </c>
      <c r="I1949" s="6">
        <f>VLOOKUP(operations[productID],products[],4,FALSE)</f>
        <v>24</v>
      </c>
      <c r="J1949" s="6">
        <f>VLOOKUP(operations[productID],products[],5,FALSE)</f>
        <v>0</v>
      </c>
      <c r="K1949" s="6">
        <f>VLOOKUP(operations[productID],products[],6,FALSE)</f>
        <v>5</v>
      </c>
      <c r="L1949" s="10">
        <f t="array" ref="L1949">INDEX('1 orders'!I1949:I2156, MATCH(1, ('1 orders'!A1949:A2156=A1949)*('1 orders'!G1949:G2156=F1949), 0))
</f>
        <v>56</v>
      </c>
      <c r="M1949" s="10">
        <f>IFERROR(__xludf.DUMMYFUNCTION("COUNTUNIQUEIFS($A$2:$A1949,$F$2:$F1949,F1949)"),34.0)</f>
        <v>34</v>
      </c>
      <c r="N1949" s="10">
        <f t="shared" si="1"/>
        <v>10</v>
      </c>
      <c r="O1949" s="26">
        <f>IF(operations[sinceLastOrder]=0,0,operations[orderQuantity] / operations[sinceLastOrder])</f>
        <v>5.6</v>
      </c>
      <c r="P1949" s="9">
        <v>141.16</v>
      </c>
      <c r="Q1949" s="7" t="s">
        <v>15</v>
      </c>
      <c r="R1949" s="10">
        <f>operations[arrivedDate]-operations[shippedDate]</f>
        <v>14</v>
      </c>
    </row>
    <row r="1950" ht="15.75" customHeight="1">
      <c r="A1950" s="6">
        <v>11002.0</v>
      </c>
      <c r="B1950" s="24">
        <v>45388.0</v>
      </c>
      <c r="C1950" s="24">
        <v>45416.0</v>
      </c>
      <c r="D1950" s="24">
        <v>45398.0</v>
      </c>
      <c r="E1950" s="24">
        <v>45412.0</v>
      </c>
      <c r="F1950" s="6">
        <v>35.0</v>
      </c>
      <c r="G1950" s="9" t="str">
        <f>VLOOKUP(operations[productID],products[],2,FALSE)</f>
        <v>Cold Brew Nitro</v>
      </c>
      <c r="H1950" s="9" t="str">
        <f>IF(VLOOKUP(operations[productID],products[],7,FALSE)=1,"Discontinued","Current")</f>
        <v>Current</v>
      </c>
      <c r="I1950" s="6">
        <f>VLOOKUP(operations[productID],products[],4,FALSE)</f>
        <v>20</v>
      </c>
      <c r="J1950" s="6">
        <f>VLOOKUP(operations[productID],products[],5,FALSE)</f>
        <v>0</v>
      </c>
      <c r="K1950" s="6">
        <f>VLOOKUP(operations[productID],products[],6,FALSE)</f>
        <v>15</v>
      </c>
      <c r="L1950" s="10">
        <f t="array" ref="L1950">INDEX('1 orders'!I1950:I2156, MATCH(1, ('1 orders'!A1950:A2156=A1950)*('1 orders'!G1950:G2156=F1950), 0))
</f>
        <v>15</v>
      </c>
      <c r="M1950" s="10">
        <f>IFERROR(__xludf.DUMMYFUNCTION("COUNTUNIQUEIFS($A$2:$A1950,$F$2:$F1950,F1950)"),33.0)</f>
        <v>33</v>
      </c>
      <c r="N1950" s="10">
        <f t="shared" si="1"/>
        <v>19</v>
      </c>
      <c r="O1950" s="26">
        <f>IF(operations[sinceLastOrder]=0,0,operations[orderQuantity] / operations[sinceLastOrder])</f>
        <v>0.7894736842</v>
      </c>
      <c r="P1950" s="9">
        <v>141.16</v>
      </c>
      <c r="Q1950" s="7" t="s">
        <v>15</v>
      </c>
      <c r="R1950" s="10">
        <f>operations[arrivedDate]-operations[shippedDate]</f>
        <v>14</v>
      </c>
    </row>
    <row r="1951" ht="15.75" customHeight="1">
      <c r="A1951" s="6">
        <v>11002.0</v>
      </c>
      <c r="B1951" s="24">
        <v>45388.0</v>
      </c>
      <c r="C1951" s="24">
        <v>45416.0</v>
      </c>
      <c r="D1951" s="24">
        <v>45398.0</v>
      </c>
      <c r="E1951" s="24">
        <v>45412.0</v>
      </c>
      <c r="F1951" s="6">
        <v>42.0</v>
      </c>
      <c r="G1951" s="9" t="str">
        <f>VLOOKUP(operations[productID],products[],2,FALSE)</f>
        <v>Singaporean Hokkien Fried Mee</v>
      </c>
      <c r="H1951" s="9" t="str">
        <f>IF(VLOOKUP(operations[productID],products[],7,FALSE)=1,"Discontinued","Current")</f>
        <v>Discontinued</v>
      </c>
      <c r="I1951" s="6">
        <f>VLOOKUP(operations[productID],products[],4,FALSE)</f>
        <v>26</v>
      </c>
      <c r="J1951" s="6">
        <f>VLOOKUP(operations[productID],products[],5,FALSE)</f>
        <v>0</v>
      </c>
      <c r="K1951" s="6">
        <f>VLOOKUP(operations[productID],products[],6,FALSE)</f>
        <v>0</v>
      </c>
      <c r="L1951" s="10">
        <f t="array" ref="L1951">INDEX('1 orders'!I1951:I2156, MATCH(1, ('1 orders'!A1951:A2156=A1951)*('1 orders'!G1951:G2156=F1951), 0))
</f>
        <v>24</v>
      </c>
      <c r="M1951" s="10">
        <f>IFERROR(__xludf.DUMMYFUNCTION("COUNTUNIQUEIFS($A$2:$A1951,$F$2:$F1951,F1951)"),27.0)</f>
        <v>27</v>
      </c>
      <c r="N1951" s="10">
        <f t="shared" si="1"/>
        <v>4</v>
      </c>
      <c r="O1951" s="26">
        <f>IF(operations[sinceLastOrder]=0,0,operations[orderQuantity] / operations[sinceLastOrder])</f>
        <v>6</v>
      </c>
      <c r="P1951" s="9">
        <v>141.16</v>
      </c>
      <c r="Q1951" s="7" t="s">
        <v>15</v>
      </c>
      <c r="R1951" s="10">
        <f>operations[arrivedDate]-operations[shippedDate]</f>
        <v>14</v>
      </c>
    </row>
    <row r="1952" ht="15.75" customHeight="1">
      <c r="A1952" s="6">
        <v>11002.0</v>
      </c>
      <c r="B1952" s="24">
        <v>45388.0</v>
      </c>
      <c r="C1952" s="24">
        <v>45416.0</v>
      </c>
      <c r="D1952" s="24">
        <v>45398.0</v>
      </c>
      <c r="E1952" s="24">
        <v>45412.0</v>
      </c>
      <c r="F1952" s="6">
        <v>55.0</v>
      </c>
      <c r="G1952" s="9" t="str">
        <f>VLOOKUP(operations[productID],products[],2,FALSE)</f>
        <v>Pâté chinois</v>
      </c>
      <c r="H1952" s="9" t="str">
        <f>IF(VLOOKUP(operations[productID],products[],7,FALSE)=1,"Discontinued","Current")</f>
        <v>Current</v>
      </c>
      <c r="I1952" s="6">
        <f>VLOOKUP(operations[productID],products[],4,FALSE)</f>
        <v>115</v>
      </c>
      <c r="J1952" s="6">
        <f>VLOOKUP(operations[productID],products[],5,FALSE)</f>
        <v>0</v>
      </c>
      <c r="K1952" s="6">
        <f>VLOOKUP(operations[productID],products[],6,FALSE)</f>
        <v>20</v>
      </c>
      <c r="L1952" s="10">
        <f t="array" ref="L1952">INDEX('1 orders'!I1952:I2156, MATCH(1, ('1 orders'!A1952:A2156=A1952)*('1 orders'!G1952:G2156=F1952), 0))
</f>
        <v>40</v>
      </c>
      <c r="M1952" s="10">
        <f>IFERROR(__xludf.DUMMYFUNCTION("COUNTUNIQUEIFS($A$2:$A1952,$F$2:$F1952,F1952)"),29.0)</f>
        <v>29</v>
      </c>
      <c r="N1952" s="10">
        <f t="shared" si="1"/>
        <v>0</v>
      </c>
      <c r="O1952" s="26">
        <f>IF(operations[sinceLastOrder]=0,0,operations[orderQuantity] / operations[sinceLastOrder])</f>
        <v>0</v>
      </c>
      <c r="P1952" s="9">
        <v>141.16</v>
      </c>
      <c r="Q1952" s="7" t="s">
        <v>15</v>
      </c>
      <c r="R1952" s="10">
        <f>operations[arrivedDate]-operations[shippedDate]</f>
        <v>14</v>
      </c>
    </row>
    <row r="1953" ht="15.75" customHeight="1">
      <c r="A1953" s="6">
        <v>11003.0</v>
      </c>
      <c r="B1953" s="24">
        <v>45388.0</v>
      </c>
      <c r="C1953" s="24">
        <v>45416.0</v>
      </c>
      <c r="D1953" s="24">
        <v>45390.0</v>
      </c>
      <c r="E1953" s="24">
        <v>45405.0</v>
      </c>
      <c r="F1953" s="6">
        <v>1.0</v>
      </c>
      <c r="G1953" s="9" t="str">
        <f>VLOOKUP(operations[productID],products[],2,FALSE)</f>
        <v>Chai</v>
      </c>
      <c r="H1953" s="9" t="str">
        <f>IF(VLOOKUP(operations[productID],products[],7,FALSE)=1,"Discontinued","Current")</f>
        <v>Current</v>
      </c>
      <c r="I1953" s="6">
        <f>VLOOKUP(operations[productID],products[],4,FALSE)</f>
        <v>39</v>
      </c>
      <c r="J1953" s="6">
        <f>VLOOKUP(operations[productID],products[],5,FALSE)</f>
        <v>0</v>
      </c>
      <c r="K1953" s="6">
        <f>VLOOKUP(operations[productID],products[],6,FALSE)</f>
        <v>10</v>
      </c>
      <c r="L1953" s="10">
        <f t="array" ref="L1953">INDEX('1 orders'!I1953:I2156, MATCH(1, ('1 orders'!A1953:A2156=A1953)*('1 orders'!G1953:G2156=F1953), 0))
</f>
        <v>4</v>
      </c>
      <c r="M1953" s="10">
        <f>IFERROR(__xludf.DUMMYFUNCTION("COUNTUNIQUEIFS($A$2:$A1953,$F$2:$F1953,F1953)"),31.0)</f>
        <v>31</v>
      </c>
      <c r="N1953" s="10">
        <f t="shared" si="1"/>
        <v>28</v>
      </c>
      <c r="O1953" s="26">
        <f>IF(operations[sinceLastOrder]=0,0,operations[orderQuantity] / operations[sinceLastOrder])</f>
        <v>0.1428571429</v>
      </c>
      <c r="P1953" s="9">
        <v>14.91</v>
      </c>
      <c r="Q1953" s="7" t="s">
        <v>13</v>
      </c>
      <c r="R1953" s="10">
        <f>operations[arrivedDate]-operations[shippedDate]</f>
        <v>15</v>
      </c>
    </row>
    <row r="1954" ht="15.75" customHeight="1">
      <c r="A1954" s="6">
        <v>11003.0</v>
      </c>
      <c r="B1954" s="24">
        <v>45388.0</v>
      </c>
      <c r="C1954" s="24">
        <v>45416.0</v>
      </c>
      <c r="D1954" s="24">
        <v>45390.0</v>
      </c>
      <c r="E1954" s="24">
        <v>45405.0</v>
      </c>
      <c r="F1954" s="6">
        <v>40.0</v>
      </c>
      <c r="G1954" s="9" t="str">
        <f>VLOOKUP(operations[productID],products[],2,FALSE)</f>
        <v>Boston Crab Meat</v>
      </c>
      <c r="H1954" s="9" t="str">
        <f>IF(VLOOKUP(operations[productID],products[],7,FALSE)=1,"Discontinued","Current")</f>
        <v>Current</v>
      </c>
      <c r="I1954" s="6">
        <f>VLOOKUP(operations[productID],products[],4,FALSE)</f>
        <v>123</v>
      </c>
      <c r="J1954" s="6">
        <f>VLOOKUP(operations[productID],products[],5,FALSE)</f>
        <v>0</v>
      </c>
      <c r="K1954" s="6">
        <f>VLOOKUP(operations[productID],products[],6,FALSE)</f>
        <v>30</v>
      </c>
      <c r="L1954" s="10">
        <f t="array" ref="L1954">INDEX('1 orders'!I1954:I2156, MATCH(1, ('1 orders'!A1954:A2156=A1954)*('1 orders'!G1954:G2156=F1954), 0))
</f>
        <v>10</v>
      </c>
      <c r="M1954" s="10">
        <f>IFERROR(__xludf.DUMMYFUNCTION("COUNTUNIQUEIFS($A$2:$A1954,$F$2:$F1954,F1954)"),39.0)</f>
        <v>39</v>
      </c>
      <c r="N1954" s="10">
        <f t="shared" si="1"/>
        <v>11</v>
      </c>
      <c r="O1954" s="26">
        <f>IF(operations[sinceLastOrder]=0,0,operations[orderQuantity] / operations[sinceLastOrder])</f>
        <v>0.9090909091</v>
      </c>
      <c r="P1954" s="9">
        <v>14.91</v>
      </c>
      <c r="Q1954" s="7" t="s">
        <v>13</v>
      </c>
      <c r="R1954" s="10">
        <f>operations[arrivedDate]-operations[shippedDate]</f>
        <v>15</v>
      </c>
    </row>
    <row r="1955" ht="15.75" customHeight="1">
      <c r="A1955" s="6">
        <v>11003.0</v>
      </c>
      <c r="B1955" s="24">
        <v>45388.0</v>
      </c>
      <c r="C1955" s="24">
        <v>45416.0</v>
      </c>
      <c r="D1955" s="24">
        <v>45390.0</v>
      </c>
      <c r="E1955" s="24">
        <v>45405.0</v>
      </c>
      <c r="F1955" s="6">
        <v>52.0</v>
      </c>
      <c r="G1955" s="9" t="str">
        <f>VLOOKUP(operations[productID],products[],2,FALSE)</f>
        <v>Filo Mix</v>
      </c>
      <c r="H1955" s="9" t="str">
        <f>IF(VLOOKUP(operations[productID],products[],7,FALSE)=1,"Discontinued","Current")</f>
        <v>Current</v>
      </c>
      <c r="I1955" s="6">
        <f>VLOOKUP(operations[productID],products[],4,FALSE)</f>
        <v>38</v>
      </c>
      <c r="J1955" s="6">
        <f>VLOOKUP(operations[productID],products[],5,FALSE)</f>
        <v>0</v>
      </c>
      <c r="K1955" s="6">
        <f>VLOOKUP(operations[productID],products[],6,FALSE)</f>
        <v>25</v>
      </c>
      <c r="L1955" s="10">
        <f t="array" ref="L1955">INDEX('1 orders'!I1955:I2156, MATCH(1, ('1 orders'!A1955:A2156=A1955)*('1 orders'!G1955:G2156=F1955), 0))
</f>
        <v>10</v>
      </c>
      <c r="M1955" s="10">
        <f>IFERROR(__xludf.DUMMYFUNCTION("COUNTUNIQUEIFS($A$2:$A1955,$F$2:$F1955,F1955)"),27.0)</f>
        <v>27</v>
      </c>
      <c r="N1955" s="10">
        <f t="shared" si="1"/>
        <v>3</v>
      </c>
      <c r="O1955" s="26">
        <f>IF(operations[sinceLastOrder]=0,0,operations[orderQuantity] / operations[sinceLastOrder])</f>
        <v>3.333333333</v>
      </c>
      <c r="P1955" s="9">
        <v>14.91</v>
      </c>
      <c r="Q1955" s="7" t="s">
        <v>13</v>
      </c>
      <c r="R1955" s="10">
        <f>operations[arrivedDate]-operations[shippedDate]</f>
        <v>15</v>
      </c>
    </row>
    <row r="1956" ht="15.75" customHeight="1">
      <c r="A1956" s="6">
        <v>11004.0</v>
      </c>
      <c r="B1956" s="24">
        <v>45389.0</v>
      </c>
      <c r="C1956" s="24">
        <v>45417.0</v>
      </c>
      <c r="D1956" s="24">
        <v>45402.0</v>
      </c>
      <c r="E1956" s="24">
        <v>45413.0</v>
      </c>
      <c r="F1956" s="6">
        <v>26.0</v>
      </c>
      <c r="G1956" s="9" t="str">
        <f>VLOOKUP(operations[productID],products[],2,FALSE)</f>
        <v>NuNuCa Nuß-Nougat-Creme</v>
      </c>
      <c r="H1956" s="9" t="str">
        <f>IF(VLOOKUP(operations[productID],products[],7,FALSE)=1,"Discontinued","Current")</f>
        <v>Current</v>
      </c>
      <c r="I1956" s="6">
        <f>VLOOKUP(operations[productID],products[],4,FALSE)</f>
        <v>15</v>
      </c>
      <c r="J1956" s="6">
        <f>VLOOKUP(operations[productID],products[],5,FALSE)</f>
        <v>0</v>
      </c>
      <c r="K1956" s="6">
        <f>VLOOKUP(operations[productID],products[],6,FALSE)</f>
        <v>0</v>
      </c>
      <c r="L1956" s="10">
        <f t="array" ref="L1956">INDEX('1 orders'!I1956:I2156, MATCH(1, ('1 orders'!A1956:A2156=A1956)*('1 orders'!G1956:G2156=F1956), 0))
</f>
        <v>6</v>
      </c>
      <c r="M1956" s="10">
        <f>IFERROR(__xludf.DUMMYFUNCTION("COUNTUNIQUEIFS($A$2:$A1956,$F$2:$F1956,F1956)"),30.0)</f>
        <v>30</v>
      </c>
      <c r="N1956" s="10">
        <f t="shared" si="1"/>
        <v>14</v>
      </c>
      <c r="O1956" s="26">
        <f>IF(operations[sinceLastOrder]=0,0,operations[orderQuantity] / operations[sinceLastOrder])</f>
        <v>0.4285714286</v>
      </c>
      <c r="P1956" s="9">
        <v>44.84</v>
      </c>
      <c r="Q1956" s="7" t="s">
        <v>15</v>
      </c>
      <c r="R1956" s="10">
        <f>operations[arrivedDate]-operations[shippedDate]</f>
        <v>11</v>
      </c>
    </row>
    <row r="1957" ht="15.75" customHeight="1">
      <c r="A1957" s="6">
        <v>11004.0</v>
      </c>
      <c r="B1957" s="24">
        <v>45389.0</v>
      </c>
      <c r="C1957" s="24">
        <v>45417.0</v>
      </c>
      <c r="D1957" s="24">
        <v>45402.0</v>
      </c>
      <c r="E1957" s="24">
        <v>45413.0</v>
      </c>
      <c r="F1957" s="6">
        <v>76.0</v>
      </c>
      <c r="G1957" s="9" t="str">
        <f>VLOOKUP(operations[productID],products[],2,FALSE)</f>
        <v>Lakkalikööri</v>
      </c>
      <c r="H1957" s="9" t="str">
        <f>IF(VLOOKUP(operations[productID],products[],7,FALSE)=1,"Discontinued","Current")</f>
        <v>Current</v>
      </c>
      <c r="I1957" s="6">
        <f>VLOOKUP(operations[productID],products[],4,FALSE)</f>
        <v>57</v>
      </c>
      <c r="J1957" s="6">
        <f>VLOOKUP(operations[productID],products[],5,FALSE)</f>
        <v>0</v>
      </c>
      <c r="K1957" s="6">
        <f>VLOOKUP(operations[productID],products[],6,FALSE)</f>
        <v>20</v>
      </c>
      <c r="L1957" s="10">
        <f t="array" ref="L1957">INDEX('1 orders'!I1957:I2156, MATCH(1, ('1 orders'!A1957:A2156=A1957)*('1 orders'!G1957:G2156=F1957), 0))
</f>
        <v>6</v>
      </c>
      <c r="M1957" s="10">
        <f>IFERROR(__xludf.DUMMYFUNCTION("COUNTUNIQUEIFS($A$2:$A1957,$F$2:$F1957,F1957)"),37.0)</f>
        <v>37</v>
      </c>
      <c r="N1957" s="10">
        <f t="shared" si="1"/>
        <v>6</v>
      </c>
      <c r="O1957" s="26">
        <f>IF(operations[sinceLastOrder]=0,0,operations[orderQuantity] / operations[sinceLastOrder])</f>
        <v>1</v>
      </c>
      <c r="P1957" s="9">
        <v>44.84</v>
      </c>
      <c r="Q1957" s="7" t="s">
        <v>15</v>
      </c>
      <c r="R1957" s="10">
        <f>operations[arrivedDate]-operations[shippedDate]</f>
        <v>11</v>
      </c>
    </row>
    <row r="1958" ht="15.75" customHeight="1">
      <c r="A1958" s="6">
        <v>11005.0</v>
      </c>
      <c r="B1958" s="24">
        <v>45389.0</v>
      </c>
      <c r="C1958" s="24">
        <v>45417.0</v>
      </c>
      <c r="D1958" s="24">
        <v>45392.0</v>
      </c>
      <c r="E1958" s="24">
        <v>45401.0</v>
      </c>
      <c r="F1958" s="6">
        <v>1.0</v>
      </c>
      <c r="G1958" s="9" t="str">
        <f>VLOOKUP(operations[productID],products[],2,FALSE)</f>
        <v>Chai</v>
      </c>
      <c r="H1958" s="9" t="str">
        <f>IF(VLOOKUP(operations[productID],products[],7,FALSE)=1,"Discontinued","Current")</f>
        <v>Current</v>
      </c>
      <c r="I1958" s="6">
        <f>VLOOKUP(operations[productID],products[],4,FALSE)</f>
        <v>39</v>
      </c>
      <c r="J1958" s="6">
        <f>VLOOKUP(operations[productID],products[],5,FALSE)</f>
        <v>0</v>
      </c>
      <c r="K1958" s="6">
        <f>VLOOKUP(operations[productID],products[],6,FALSE)</f>
        <v>10</v>
      </c>
      <c r="L1958" s="10">
        <f t="array" ref="L1958">INDEX('1 orders'!I1958:I2156, MATCH(1, ('1 orders'!A1958:A2156=A1958)*('1 orders'!G1958:G2156=F1958), 0))
</f>
        <v>2</v>
      </c>
      <c r="M1958" s="10">
        <f>IFERROR(__xludf.DUMMYFUNCTION("COUNTUNIQUEIFS($A$2:$A1958,$F$2:$F1958,F1958)"),32.0)</f>
        <v>32</v>
      </c>
      <c r="N1958" s="10">
        <f t="shared" si="1"/>
        <v>1</v>
      </c>
      <c r="O1958" s="26">
        <f>IF(operations[sinceLastOrder]=0,0,operations[orderQuantity] / operations[sinceLastOrder])</f>
        <v>2</v>
      </c>
      <c r="P1958" s="9">
        <v>0.75</v>
      </c>
      <c r="Q1958" s="7" t="s">
        <v>15</v>
      </c>
      <c r="R1958" s="10">
        <f>operations[arrivedDate]-operations[shippedDate]</f>
        <v>9</v>
      </c>
    </row>
    <row r="1959" ht="15.75" customHeight="1">
      <c r="A1959" s="6">
        <v>11005.0</v>
      </c>
      <c r="B1959" s="24">
        <v>45389.0</v>
      </c>
      <c r="C1959" s="24">
        <v>45417.0</v>
      </c>
      <c r="D1959" s="24">
        <v>45392.0</v>
      </c>
      <c r="E1959" s="24">
        <v>45401.0</v>
      </c>
      <c r="F1959" s="6">
        <v>59.0</v>
      </c>
      <c r="G1959" s="9" t="str">
        <f>VLOOKUP(operations[productID],products[],2,FALSE)</f>
        <v>Raclette Courdavault</v>
      </c>
      <c r="H1959" s="9" t="str">
        <f>IF(VLOOKUP(operations[productID],products[],7,FALSE)=1,"Discontinued","Current")</f>
        <v>Current</v>
      </c>
      <c r="I1959" s="6">
        <f>VLOOKUP(operations[productID],products[],4,FALSE)</f>
        <v>79</v>
      </c>
      <c r="J1959" s="6">
        <f>VLOOKUP(operations[productID],products[],5,FALSE)</f>
        <v>0</v>
      </c>
      <c r="K1959" s="6">
        <f>VLOOKUP(operations[productID],products[],6,FALSE)</f>
        <v>0</v>
      </c>
      <c r="L1959" s="10">
        <f t="array" ref="L1959">INDEX('1 orders'!I1959:I2156, MATCH(1, ('1 orders'!A1959:A2156=A1959)*('1 orders'!G1959:G2156=F1959), 0))
</f>
        <v>10</v>
      </c>
      <c r="M1959" s="10">
        <f>IFERROR(__xludf.DUMMYFUNCTION("COUNTUNIQUEIFS($A$2:$A1959,$F$2:$F1959,F1959)"),49.0)</f>
        <v>49</v>
      </c>
      <c r="N1959" s="10">
        <f t="shared" si="1"/>
        <v>5</v>
      </c>
      <c r="O1959" s="26">
        <f>IF(operations[sinceLastOrder]=0,0,operations[orderQuantity] / operations[sinceLastOrder])</f>
        <v>2</v>
      </c>
      <c r="P1959" s="9">
        <v>0.75</v>
      </c>
      <c r="Q1959" s="7" t="s">
        <v>15</v>
      </c>
      <c r="R1959" s="10">
        <f>operations[arrivedDate]-operations[shippedDate]</f>
        <v>9</v>
      </c>
    </row>
    <row r="1960" ht="15.75" customHeight="1">
      <c r="A1960" s="6">
        <v>11006.0</v>
      </c>
      <c r="B1960" s="24">
        <v>45389.0</v>
      </c>
      <c r="C1960" s="24">
        <v>45417.0</v>
      </c>
      <c r="D1960" s="24">
        <v>45397.0</v>
      </c>
      <c r="E1960" s="24">
        <v>45412.0</v>
      </c>
      <c r="F1960" s="6">
        <v>1.0</v>
      </c>
      <c r="G1960" s="9" t="str">
        <f>VLOOKUP(operations[productID],products[],2,FALSE)</f>
        <v>Chai</v>
      </c>
      <c r="H1960" s="9" t="str">
        <f>IF(VLOOKUP(operations[productID],products[],7,FALSE)=1,"Discontinued","Current")</f>
        <v>Current</v>
      </c>
      <c r="I1960" s="6">
        <f>VLOOKUP(operations[productID],products[],4,FALSE)</f>
        <v>39</v>
      </c>
      <c r="J1960" s="6">
        <f>VLOOKUP(operations[productID],products[],5,FALSE)</f>
        <v>0</v>
      </c>
      <c r="K1960" s="6">
        <f>VLOOKUP(operations[productID],products[],6,FALSE)</f>
        <v>10</v>
      </c>
      <c r="L1960" s="10">
        <f t="array" ref="L1960">INDEX('1 orders'!I1960:I2156, MATCH(1, ('1 orders'!A1960:A2156=A1960)*('1 orders'!G1960:G2156=F1960), 0))
</f>
        <v>8</v>
      </c>
      <c r="M1960" s="10">
        <f>IFERROR(__xludf.DUMMYFUNCTION("COUNTUNIQUEIFS($A$2:$A1960,$F$2:$F1960,F1960)"),33.0)</f>
        <v>33</v>
      </c>
      <c r="N1960" s="10">
        <f t="shared" si="1"/>
        <v>0</v>
      </c>
      <c r="O1960" s="26">
        <f>IF(operations[sinceLastOrder]=0,0,operations[orderQuantity] / operations[sinceLastOrder])</f>
        <v>0</v>
      </c>
      <c r="P1960" s="9">
        <v>25.19</v>
      </c>
      <c r="Q1960" s="7" t="s">
        <v>17</v>
      </c>
      <c r="R1960" s="10">
        <f>operations[arrivedDate]-operations[shippedDate]</f>
        <v>15</v>
      </c>
    </row>
    <row r="1961" ht="15.75" customHeight="1">
      <c r="A1961" s="6">
        <v>11006.0</v>
      </c>
      <c r="B1961" s="24">
        <v>45389.0</v>
      </c>
      <c r="C1961" s="24">
        <v>45417.0</v>
      </c>
      <c r="D1961" s="24">
        <v>45397.0</v>
      </c>
      <c r="E1961" s="24">
        <v>45412.0</v>
      </c>
      <c r="F1961" s="6">
        <v>29.0</v>
      </c>
      <c r="G1961" s="9" t="str">
        <f>VLOOKUP(operations[productID],products[],2,FALSE)</f>
        <v>Thüringer Rostbratwurst</v>
      </c>
      <c r="H1961" s="9" t="str">
        <f>IF(VLOOKUP(operations[productID],products[],7,FALSE)=1,"Discontinued","Current")</f>
        <v>Discontinued</v>
      </c>
      <c r="I1961" s="6">
        <f>VLOOKUP(operations[productID],products[],4,FALSE)</f>
        <v>0</v>
      </c>
      <c r="J1961" s="6">
        <f>VLOOKUP(operations[productID],products[],5,FALSE)</f>
        <v>0</v>
      </c>
      <c r="K1961" s="6">
        <f>VLOOKUP(operations[productID],products[],6,FALSE)</f>
        <v>0</v>
      </c>
      <c r="L1961" s="10">
        <f t="array" ref="L1961">INDEX('1 orders'!I1961:I2156, MATCH(1, ('1 orders'!A1961:A2156=A1961)*('1 orders'!G1961:G2156=F1961), 0))
</f>
        <v>2</v>
      </c>
      <c r="M1961" s="10">
        <f>IFERROR(__xludf.DUMMYFUNCTION("COUNTUNIQUEIFS($A$2:$A1961,$F$2:$F1961,F1961)"),30.0)</f>
        <v>30</v>
      </c>
      <c r="N1961" s="10">
        <f t="shared" si="1"/>
        <v>6</v>
      </c>
      <c r="O1961" s="26">
        <f>IF(operations[sinceLastOrder]=0,0,operations[orderQuantity] / operations[sinceLastOrder])</f>
        <v>0.3333333333</v>
      </c>
      <c r="P1961" s="9">
        <v>25.19</v>
      </c>
      <c r="Q1961" s="7" t="s">
        <v>17</v>
      </c>
      <c r="R1961" s="10">
        <f>operations[arrivedDate]-operations[shippedDate]</f>
        <v>15</v>
      </c>
    </row>
    <row r="1962" ht="15.75" customHeight="1">
      <c r="A1962" s="6">
        <v>11007.0</v>
      </c>
      <c r="B1962" s="24">
        <v>45390.0</v>
      </c>
      <c r="C1962" s="24">
        <v>45418.0</v>
      </c>
      <c r="D1962" s="24">
        <v>45395.0</v>
      </c>
      <c r="E1962" s="24">
        <v>45407.0</v>
      </c>
      <c r="F1962" s="6">
        <v>8.0</v>
      </c>
      <c r="G1962" s="9" t="str">
        <f>VLOOKUP(operations[productID],products[],2,FALSE)</f>
        <v>Northwoods Cranberry Sauce</v>
      </c>
      <c r="H1962" s="9" t="str">
        <f>IF(VLOOKUP(operations[productID],products[],7,FALSE)=1,"Discontinued","Current")</f>
        <v>Current</v>
      </c>
      <c r="I1962" s="6">
        <f>VLOOKUP(operations[productID],products[],4,FALSE)</f>
        <v>6</v>
      </c>
      <c r="J1962" s="6">
        <f>VLOOKUP(operations[productID],products[],5,FALSE)</f>
        <v>0</v>
      </c>
      <c r="K1962" s="6">
        <f>VLOOKUP(operations[productID],products[],6,FALSE)</f>
        <v>0</v>
      </c>
      <c r="L1962" s="10">
        <f t="array" ref="L1962">INDEX('1 orders'!I1962:I2156, MATCH(1, ('1 orders'!A1962:A2156=A1962)*('1 orders'!G1962:G2156=F1962), 0))
</f>
        <v>30</v>
      </c>
      <c r="M1962" s="10">
        <f>IFERROR(__xludf.DUMMYFUNCTION("COUNTUNIQUEIFS($A$2:$A1962,$F$2:$F1962,F1962)"),12.0)</f>
        <v>12</v>
      </c>
      <c r="N1962" s="10">
        <f t="shared" si="1"/>
        <v>13</v>
      </c>
      <c r="O1962" s="26">
        <f>IF(operations[sinceLastOrder]=0,0,operations[orderQuantity] / operations[sinceLastOrder])</f>
        <v>2.307692308</v>
      </c>
      <c r="P1962" s="9">
        <v>202.24</v>
      </c>
      <c r="Q1962" s="7" t="s">
        <v>17</v>
      </c>
      <c r="R1962" s="10">
        <f>operations[arrivedDate]-operations[shippedDate]</f>
        <v>12</v>
      </c>
    </row>
    <row r="1963" ht="15.75" customHeight="1">
      <c r="A1963" s="6">
        <v>11007.0</v>
      </c>
      <c r="B1963" s="24">
        <v>45390.0</v>
      </c>
      <c r="C1963" s="24">
        <v>45418.0</v>
      </c>
      <c r="D1963" s="24">
        <v>45395.0</v>
      </c>
      <c r="E1963" s="24">
        <v>45407.0</v>
      </c>
      <c r="F1963" s="6">
        <v>29.0</v>
      </c>
      <c r="G1963" s="9" t="str">
        <f>VLOOKUP(operations[productID],products[],2,FALSE)</f>
        <v>Thüringer Rostbratwurst</v>
      </c>
      <c r="H1963" s="9" t="str">
        <f>IF(VLOOKUP(operations[productID],products[],7,FALSE)=1,"Discontinued","Current")</f>
        <v>Discontinued</v>
      </c>
      <c r="I1963" s="6">
        <f>VLOOKUP(operations[productID],products[],4,FALSE)</f>
        <v>0</v>
      </c>
      <c r="J1963" s="6">
        <f>VLOOKUP(operations[productID],products[],5,FALSE)</f>
        <v>0</v>
      </c>
      <c r="K1963" s="6">
        <f>VLOOKUP(operations[productID],products[],6,FALSE)</f>
        <v>0</v>
      </c>
      <c r="L1963" s="10">
        <f t="array" ref="L1963">INDEX('1 orders'!I1963:I2156, MATCH(1, ('1 orders'!A1963:A2156=A1963)*('1 orders'!G1963:G2156=F1963), 0))
</f>
        <v>10</v>
      </c>
      <c r="M1963" s="10">
        <f>IFERROR(__xludf.DUMMYFUNCTION("COUNTUNIQUEIFS($A$2:$A1963,$F$2:$F1963,F1963)"),31.0)</f>
        <v>31</v>
      </c>
      <c r="N1963" s="10">
        <f t="shared" si="1"/>
        <v>1</v>
      </c>
      <c r="O1963" s="26">
        <f>IF(operations[sinceLastOrder]=0,0,operations[orderQuantity] / operations[sinceLastOrder])</f>
        <v>10</v>
      </c>
      <c r="P1963" s="9">
        <v>202.24</v>
      </c>
      <c r="Q1963" s="7" t="s">
        <v>17</v>
      </c>
      <c r="R1963" s="10">
        <f>operations[arrivedDate]-operations[shippedDate]</f>
        <v>12</v>
      </c>
    </row>
    <row r="1964" ht="15.75" customHeight="1">
      <c r="A1964" s="6">
        <v>11007.0</v>
      </c>
      <c r="B1964" s="24">
        <v>45390.0</v>
      </c>
      <c r="C1964" s="24">
        <v>45418.0</v>
      </c>
      <c r="D1964" s="24">
        <v>45395.0</v>
      </c>
      <c r="E1964" s="24">
        <v>45407.0</v>
      </c>
      <c r="F1964" s="6">
        <v>42.0</v>
      </c>
      <c r="G1964" s="9" t="str">
        <f>VLOOKUP(operations[productID],products[],2,FALSE)</f>
        <v>Singaporean Hokkien Fried Mee</v>
      </c>
      <c r="H1964" s="9" t="str">
        <f>IF(VLOOKUP(operations[productID],products[],7,FALSE)=1,"Discontinued","Current")</f>
        <v>Discontinued</v>
      </c>
      <c r="I1964" s="6">
        <f>VLOOKUP(operations[productID],products[],4,FALSE)</f>
        <v>26</v>
      </c>
      <c r="J1964" s="6">
        <f>VLOOKUP(operations[productID],products[],5,FALSE)</f>
        <v>0</v>
      </c>
      <c r="K1964" s="6">
        <f>VLOOKUP(operations[productID],products[],6,FALSE)</f>
        <v>0</v>
      </c>
      <c r="L1964" s="10">
        <f t="array" ref="L1964">INDEX('1 orders'!I1964:I2156, MATCH(1, ('1 orders'!A1964:A2156=A1964)*('1 orders'!G1964:G2156=F1964), 0))
</f>
        <v>14</v>
      </c>
      <c r="M1964" s="10">
        <f>IFERROR(__xludf.DUMMYFUNCTION("COUNTUNIQUEIFS($A$2:$A1964,$F$2:$F1964,F1964)"),28.0)</f>
        <v>28</v>
      </c>
      <c r="N1964" s="10">
        <f t="shared" si="1"/>
        <v>2</v>
      </c>
      <c r="O1964" s="26">
        <f>IF(operations[sinceLastOrder]=0,0,operations[orderQuantity] / operations[sinceLastOrder])</f>
        <v>7</v>
      </c>
      <c r="P1964" s="9">
        <v>202.24</v>
      </c>
      <c r="Q1964" s="7" t="s">
        <v>17</v>
      </c>
      <c r="R1964" s="10">
        <f>operations[arrivedDate]-operations[shippedDate]</f>
        <v>12</v>
      </c>
    </row>
    <row r="1965" ht="15.75" customHeight="1">
      <c r="A1965" s="6">
        <v>11008.0</v>
      </c>
      <c r="B1965" s="24">
        <v>45390.0</v>
      </c>
      <c r="C1965" s="24">
        <v>45418.0</v>
      </c>
      <c r="D1965" s="24"/>
      <c r="E1965" s="24"/>
      <c r="F1965" s="6">
        <v>28.0</v>
      </c>
      <c r="G1965" s="9" t="str">
        <f>VLOOKUP(operations[productID],products[],2,FALSE)</f>
        <v>Rössle Sauerkraut</v>
      </c>
      <c r="H1965" s="9" t="str">
        <f>IF(VLOOKUP(operations[productID],products[],7,FALSE)=1,"Discontinued","Current")</f>
        <v>Discontinued</v>
      </c>
      <c r="I1965" s="6">
        <f>VLOOKUP(operations[productID],products[],4,FALSE)</f>
        <v>26</v>
      </c>
      <c r="J1965" s="6">
        <f>VLOOKUP(operations[productID],products[],5,FALSE)</f>
        <v>0</v>
      </c>
      <c r="K1965" s="6">
        <f>VLOOKUP(operations[productID],products[],6,FALSE)</f>
        <v>0</v>
      </c>
      <c r="L1965" s="10">
        <f t="array" ref="L1965">INDEX('1 orders'!I1965:I2156, MATCH(1, ('1 orders'!A1965:A2156=A1965)*('1 orders'!G1965:G2156=F1965), 0))
</f>
        <v>70</v>
      </c>
      <c r="M1965" s="10">
        <f>IFERROR(__xludf.DUMMYFUNCTION("COUNTUNIQUEIFS($A$2:$A1965,$F$2:$F1965,F1965)"),31.0)</f>
        <v>31</v>
      </c>
      <c r="N1965" s="10">
        <f t="shared" si="1"/>
        <v>14</v>
      </c>
      <c r="O1965" s="26">
        <f>IF(operations[sinceLastOrder]=0,0,operations[orderQuantity] / operations[sinceLastOrder])</f>
        <v>5</v>
      </c>
      <c r="P1965" s="9">
        <v>79.46</v>
      </c>
      <c r="Q1965" s="7" t="s">
        <v>13</v>
      </c>
      <c r="R1965" s="10">
        <f>operations[arrivedDate]-operations[shippedDate]</f>
        <v>0</v>
      </c>
    </row>
    <row r="1966" ht="15.75" customHeight="1">
      <c r="A1966" s="6">
        <v>11008.0</v>
      </c>
      <c r="B1966" s="24">
        <v>45390.0</v>
      </c>
      <c r="C1966" s="24">
        <v>45418.0</v>
      </c>
      <c r="D1966" s="24"/>
      <c r="E1966" s="24"/>
      <c r="F1966" s="6">
        <v>34.0</v>
      </c>
      <c r="G1966" s="9" t="str">
        <f>VLOOKUP(operations[productID],products[],2,FALSE)</f>
        <v>Sasquatch Ale</v>
      </c>
      <c r="H1966" s="9" t="str">
        <f>IF(VLOOKUP(operations[productID],products[],7,FALSE)=1,"Discontinued","Current")</f>
        <v>Current</v>
      </c>
      <c r="I1966" s="6">
        <f>VLOOKUP(operations[productID],products[],4,FALSE)</f>
        <v>111</v>
      </c>
      <c r="J1966" s="6">
        <f>VLOOKUP(operations[productID],products[],5,FALSE)</f>
        <v>0</v>
      </c>
      <c r="K1966" s="6">
        <f>VLOOKUP(operations[productID],products[],6,FALSE)</f>
        <v>15</v>
      </c>
      <c r="L1966" s="10">
        <f t="array" ref="L1966">INDEX('1 orders'!I1966:I2156, MATCH(1, ('1 orders'!A1966:A2156=A1966)*('1 orders'!G1966:G2156=F1966), 0))
</f>
        <v>90</v>
      </c>
      <c r="M1966" s="10">
        <f>IFERROR(__xludf.DUMMYFUNCTION("COUNTUNIQUEIFS($A$2:$A1966,$F$2:$F1966,F1966)"),17.0)</f>
        <v>17</v>
      </c>
      <c r="N1966" s="10">
        <f t="shared" si="1"/>
        <v>7</v>
      </c>
      <c r="O1966" s="26">
        <f>IF(operations[sinceLastOrder]=0,0,operations[orderQuantity] / operations[sinceLastOrder])</f>
        <v>12.85714286</v>
      </c>
      <c r="P1966" s="9">
        <v>79.46</v>
      </c>
      <c r="Q1966" s="7" t="s">
        <v>13</v>
      </c>
      <c r="R1966" s="10">
        <f>operations[arrivedDate]-operations[shippedDate]</f>
        <v>0</v>
      </c>
    </row>
    <row r="1967" ht="15.75" customHeight="1">
      <c r="A1967" s="6">
        <v>11008.0</v>
      </c>
      <c r="B1967" s="24">
        <v>45390.0</v>
      </c>
      <c r="C1967" s="24">
        <v>45418.0</v>
      </c>
      <c r="D1967" s="24"/>
      <c r="E1967" s="24"/>
      <c r="F1967" s="6">
        <v>71.0</v>
      </c>
      <c r="G1967" s="9" t="str">
        <f>VLOOKUP(operations[productID],products[],2,FALSE)</f>
        <v>Flotemysost</v>
      </c>
      <c r="H1967" s="9" t="str">
        <f>IF(VLOOKUP(operations[productID],products[],7,FALSE)=1,"Discontinued","Current")</f>
        <v>Current</v>
      </c>
      <c r="I1967" s="6">
        <f>VLOOKUP(operations[productID],products[],4,FALSE)</f>
        <v>26</v>
      </c>
      <c r="J1967" s="6">
        <f>VLOOKUP(operations[productID],products[],5,FALSE)</f>
        <v>0</v>
      </c>
      <c r="K1967" s="6">
        <f>VLOOKUP(operations[productID],products[],6,FALSE)</f>
        <v>0</v>
      </c>
      <c r="L1967" s="10">
        <f t="array" ref="L1967">INDEX('1 orders'!I1967:I2156, MATCH(1, ('1 orders'!A1967:A2156=A1967)*('1 orders'!G1967:G2156=F1967), 0))
</f>
        <v>21</v>
      </c>
      <c r="M1967" s="10">
        <f>IFERROR(__xludf.DUMMYFUNCTION("COUNTUNIQUEIFS($A$2:$A1967,$F$2:$F1967,F1967)"),37.0)</f>
        <v>37</v>
      </c>
      <c r="N1967" s="10">
        <f t="shared" si="1"/>
        <v>29</v>
      </c>
      <c r="O1967" s="26">
        <f>IF(operations[sinceLastOrder]=0,0,operations[orderQuantity] / operations[sinceLastOrder])</f>
        <v>0.724137931</v>
      </c>
      <c r="P1967" s="9">
        <v>79.46</v>
      </c>
      <c r="Q1967" s="7" t="s">
        <v>13</v>
      </c>
      <c r="R1967" s="10">
        <f>operations[arrivedDate]-operations[shippedDate]</f>
        <v>0</v>
      </c>
    </row>
    <row r="1968" ht="15.75" customHeight="1">
      <c r="A1968" s="6">
        <v>11009.0</v>
      </c>
      <c r="B1968" s="24">
        <v>45390.0</v>
      </c>
      <c r="C1968" s="24">
        <v>45418.0</v>
      </c>
      <c r="D1968" s="24">
        <v>45392.0</v>
      </c>
      <c r="E1968" s="24">
        <v>45400.0</v>
      </c>
      <c r="F1968" s="6">
        <v>24.0</v>
      </c>
      <c r="G1968" s="9" t="str">
        <f>VLOOKUP(operations[productID],products[],2,FALSE)</f>
        <v>Brigadeiros Maravilhosos da Lilian</v>
      </c>
      <c r="H1968" s="9" t="str">
        <f>IF(VLOOKUP(operations[productID],products[],7,FALSE)=1,"Discontinued","Current")</f>
        <v>Discontinued</v>
      </c>
      <c r="I1968" s="6">
        <f>VLOOKUP(operations[productID],products[],4,FALSE)</f>
        <v>20</v>
      </c>
      <c r="J1968" s="6">
        <f>VLOOKUP(operations[productID],products[],5,FALSE)</f>
        <v>0</v>
      </c>
      <c r="K1968" s="6">
        <f>VLOOKUP(operations[productID],products[],6,FALSE)</f>
        <v>0</v>
      </c>
      <c r="L1968" s="10">
        <f t="array" ref="L1968">INDEX('1 orders'!I1968:I2156, MATCH(1, ('1 orders'!A1968:A2156=A1968)*('1 orders'!G1968:G2156=F1968), 0))
</f>
        <v>12</v>
      </c>
      <c r="M1968" s="10">
        <f>IFERROR(__xludf.DUMMYFUNCTION("COUNTUNIQUEIFS($A$2:$A1968,$F$2:$F1968,F1968)"),45.0)</f>
        <v>45</v>
      </c>
      <c r="N1968" s="10">
        <f t="shared" si="1"/>
        <v>2</v>
      </c>
      <c r="O1968" s="26">
        <f>IF(operations[sinceLastOrder]=0,0,operations[orderQuantity] / operations[sinceLastOrder])</f>
        <v>6</v>
      </c>
      <c r="P1968" s="9">
        <v>59.11</v>
      </c>
      <c r="Q1968" s="7" t="s">
        <v>15</v>
      </c>
      <c r="R1968" s="10">
        <f>operations[arrivedDate]-operations[shippedDate]</f>
        <v>8</v>
      </c>
    </row>
    <row r="1969" ht="15.75" customHeight="1">
      <c r="A1969" s="6">
        <v>11009.0</v>
      </c>
      <c r="B1969" s="24">
        <v>45390.0</v>
      </c>
      <c r="C1969" s="24">
        <v>45418.0</v>
      </c>
      <c r="D1969" s="24">
        <v>45392.0</v>
      </c>
      <c r="E1969" s="24">
        <v>45400.0</v>
      </c>
      <c r="F1969" s="6">
        <v>36.0</v>
      </c>
      <c r="G1969" s="9" t="str">
        <f>VLOOKUP(operations[productID],products[],2,FALSE)</f>
        <v>Inlagd Sill</v>
      </c>
      <c r="H1969" s="9" t="str">
        <f>IF(VLOOKUP(operations[productID],products[],7,FALSE)=1,"Discontinued","Current")</f>
        <v>Current</v>
      </c>
      <c r="I1969" s="6">
        <f>VLOOKUP(operations[productID],products[],4,FALSE)</f>
        <v>112</v>
      </c>
      <c r="J1969" s="6">
        <f>VLOOKUP(operations[productID],products[],5,FALSE)</f>
        <v>0</v>
      </c>
      <c r="K1969" s="6">
        <f>VLOOKUP(operations[productID],products[],6,FALSE)</f>
        <v>20</v>
      </c>
      <c r="L1969" s="10">
        <f t="array" ref="L1969">INDEX('1 orders'!I1969:I2156, MATCH(1, ('1 orders'!A1969:A2156=A1969)*('1 orders'!G1969:G2156=F1969), 0))
</f>
        <v>18</v>
      </c>
      <c r="M1969" s="10">
        <f>IFERROR(__xludf.DUMMYFUNCTION("COUNTUNIQUEIFS($A$2:$A1969,$F$2:$F1969,F1969)"),29.0)</f>
        <v>29</v>
      </c>
      <c r="N1969" s="10">
        <f t="shared" si="1"/>
        <v>9</v>
      </c>
      <c r="O1969" s="26">
        <f>IF(operations[sinceLastOrder]=0,0,operations[orderQuantity] / operations[sinceLastOrder])</f>
        <v>2</v>
      </c>
      <c r="P1969" s="9">
        <v>59.11</v>
      </c>
      <c r="Q1969" s="7" t="s">
        <v>15</v>
      </c>
      <c r="R1969" s="10">
        <f>operations[arrivedDate]-operations[shippedDate]</f>
        <v>8</v>
      </c>
    </row>
    <row r="1970" ht="15.75" customHeight="1">
      <c r="A1970" s="6">
        <v>11009.0</v>
      </c>
      <c r="B1970" s="24">
        <v>45390.0</v>
      </c>
      <c r="C1970" s="24">
        <v>45418.0</v>
      </c>
      <c r="D1970" s="24">
        <v>45392.0</v>
      </c>
      <c r="E1970" s="24">
        <v>45400.0</v>
      </c>
      <c r="F1970" s="6">
        <v>60.0</v>
      </c>
      <c r="G1970" s="9" t="str">
        <f>VLOOKUP(operations[productID],products[],2,FALSE)</f>
        <v>Camembert Pierrot</v>
      </c>
      <c r="H1970" s="9" t="str">
        <f>IF(VLOOKUP(operations[productID],products[],7,FALSE)=1,"Discontinued","Current")</f>
        <v>Current</v>
      </c>
      <c r="I1970" s="6">
        <f>VLOOKUP(operations[productID],products[],4,FALSE)</f>
        <v>19</v>
      </c>
      <c r="J1970" s="6">
        <f>VLOOKUP(operations[productID],products[],5,FALSE)</f>
        <v>0</v>
      </c>
      <c r="K1970" s="6">
        <f>VLOOKUP(operations[productID],products[],6,FALSE)</f>
        <v>0</v>
      </c>
      <c r="L1970" s="10">
        <f t="array" ref="L1970">INDEX('1 orders'!I1970:I2156, MATCH(1, ('1 orders'!A1970:A2156=A1970)*('1 orders'!G1970:G2156=F1970), 0))
</f>
        <v>9</v>
      </c>
      <c r="M1970" s="10">
        <f>IFERROR(__xludf.DUMMYFUNCTION("COUNTUNIQUEIFS($A$2:$A1970,$F$2:$F1970,F1970)"),44.0)</f>
        <v>44</v>
      </c>
      <c r="N1970" s="10">
        <f t="shared" si="1"/>
        <v>6</v>
      </c>
      <c r="O1970" s="26">
        <f>IF(operations[sinceLastOrder]=0,0,operations[orderQuantity] / operations[sinceLastOrder])</f>
        <v>1.5</v>
      </c>
      <c r="P1970" s="9">
        <v>59.11</v>
      </c>
      <c r="Q1970" s="7" t="s">
        <v>15</v>
      </c>
      <c r="R1970" s="10">
        <f>operations[arrivedDate]-operations[shippedDate]</f>
        <v>8</v>
      </c>
    </row>
    <row r="1971" ht="15.75" customHeight="1">
      <c r="A1971" s="6">
        <v>11010.0</v>
      </c>
      <c r="B1971" s="24">
        <v>45391.0</v>
      </c>
      <c r="C1971" s="24">
        <v>45419.0</v>
      </c>
      <c r="D1971" s="24">
        <v>45403.0</v>
      </c>
      <c r="E1971" s="24">
        <v>45414.0</v>
      </c>
      <c r="F1971" s="6">
        <v>7.0</v>
      </c>
      <c r="G1971" s="9" t="str">
        <f>VLOOKUP(operations[productID],products[],2,FALSE)</f>
        <v>Uncle Bob's Organic Dried Pears</v>
      </c>
      <c r="H1971" s="9" t="str">
        <f>IF(VLOOKUP(operations[productID],products[],7,FALSE)=1,"Discontinued","Current")</f>
        <v>Current</v>
      </c>
      <c r="I1971" s="6">
        <f>VLOOKUP(operations[productID],products[],4,FALSE)</f>
        <v>15</v>
      </c>
      <c r="J1971" s="6">
        <f>VLOOKUP(operations[productID],products[],5,FALSE)</f>
        <v>0</v>
      </c>
      <c r="K1971" s="6">
        <f>VLOOKUP(operations[productID],products[],6,FALSE)</f>
        <v>10</v>
      </c>
      <c r="L1971" s="10">
        <f t="array" ref="L1971">INDEX('1 orders'!I1971:I2156, MATCH(1, ('1 orders'!A1971:A2156=A1971)*('1 orders'!G1971:G2156=F1971), 0))
</f>
        <v>20</v>
      </c>
      <c r="M1971" s="10">
        <f>IFERROR(__xludf.DUMMYFUNCTION("COUNTUNIQUEIFS($A$2:$A1971,$F$2:$F1971,F1971)"),25.0)</f>
        <v>25</v>
      </c>
      <c r="N1971" s="10">
        <f t="shared" si="1"/>
        <v>3</v>
      </c>
      <c r="O1971" s="26">
        <f>IF(operations[sinceLastOrder]=0,0,operations[orderQuantity] / operations[sinceLastOrder])</f>
        <v>6.666666667</v>
      </c>
      <c r="P1971" s="9">
        <v>28.71</v>
      </c>
      <c r="Q1971" s="7" t="s">
        <v>17</v>
      </c>
      <c r="R1971" s="10">
        <f>operations[arrivedDate]-operations[shippedDate]</f>
        <v>11</v>
      </c>
    </row>
    <row r="1972" ht="15.75" customHeight="1">
      <c r="A1972" s="6">
        <v>11010.0</v>
      </c>
      <c r="B1972" s="24">
        <v>45391.0</v>
      </c>
      <c r="C1972" s="24">
        <v>45419.0</v>
      </c>
      <c r="D1972" s="24">
        <v>45403.0</v>
      </c>
      <c r="E1972" s="24">
        <v>45414.0</v>
      </c>
      <c r="F1972" s="6">
        <v>24.0</v>
      </c>
      <c r="G1972" s="9" t="str">
        <f>VLOOKUP(operations[productID],products[],2,FALSE)</f>
        <v>Brigadeiros Maravilhosos da Lilian</v>
      </c>
      <c r="H1972" s="9" t="str">
        <f>IF(VLOOKUP(operations[productID],products[],7,FALSE)=1,"Discontinued","Current")</f>
        <v>Discontinued</v>
      </c>
      <c r="I1972" s="6">
        <f>VLOOKUP(operations[productID],products[],4,FALSE)</f>
        <v>20</v>
      </c>
      <c r="J1972" s="6">
        <f>VLOOKUP(operations[productID],products[],5,FALSE)</f>
        <v>0</v>
      </c>
      <c r="K1972" s="6">
        <f>VLOOKUP(operations[productID],products[],6,FALSE)</f>
        <v>0</v>
      </c>
      <c r="L1972" s="10">
        <f t="array" ref="L1972">INDEX('1 orders'!I1972:I2156, MATCH(1, ('1 orders'!A1972:A2156=A1972)*('1 orders'!G1972:G2156=F1972), 0))
</f>
        <v>10</v>
      </c>
      <c r="M1972" s="10">
        <f>IFERROR(__xludf.DUMMYFUNCTION("COUNTUNIQUEIFS($A$2:$A1972,$F$2:$F1972,F1972)"),46.0)</f>
        <v>46</v>
      </c>
      <c r="N1972" s="10">
        <f t="shared" si="1"/>
        <v>1</v>
      </c>
      <c r="O1972" s="26">
        <f>IF(operations[sinceLastOrder]=0,0,operations[orderQuantity] / operations[sinceLastOrder])</f>
        <v>10</v>
      </c>
      <c r="P1972" s="9">
        <v>28.71</v>
      </c>
      <c r="Q1972" s="7" t="s">
        <v>17</v>
      </c>
      <c r="R1972" s="10">
        <f>operations[arrivedDate]-operations[shippedDate]</f>
        <v>11</v>
      </c>
    </row>
    <row r="1973" ht="15.75" customHeight="1">
      <c r="A1973" s="6">
        <v>11011.0</v>
      </c>
      <c r="B1973" s="24">
        <v>45391.0</v>
      </c>
      <c r="C1973" s="24">
        <v>45419.0</v>
      </c>
      <c r="D1973" s="24">
        <v>45395.0</v>
      </c>
      <c r="E1973" s="24">
        <v>45398.0</v>
      </c>
      <c r="F1973" s="6">
        <v>58.0</v>
      </c>
      <c r="G1973" s="9" t="str">
        <f>VLOOKUP(operations[productID],products[],2,FALSE)</f>
        <v>Escargots de Bourgogne</v>
      </c>
      <c r="H1973" s="9" t="str">
        <f>IF(VLOOKUP(operations[productID],products[],7,FALSE)=1,"Discontinued","Current")</f>
        <v>Current</v>
      </c>
      <c r="I1973" s="6">
        <f>VLOOKUP(operations[productID],products[],4,FALSE)</f>
        <v>62</v>
      </c>
      <c r="J1973" s="6">
        <f>VLOOKUP(operations[productID],products[],5,FALSE)</f>
        <v>0</v>
      </c>
      <c r="K1973" s="6">
        <f>VLOOKUP(operations[productID],products[],6,FALSE)</f>
        <v>20</v>
      </c>
      <c r="L1973" s="10">
        <f t="array" ref="L1973">INDEX('1 orders'!I1973:I2156, MATCH(1, ('1 orders'!A1973:A2156=A1973)*('1 orders'!G1973:G2156=F1973), 0))
</f>
        <v>40</v>
      </c>
      <c r="M1973" s="10">
        <f>IFERROR(__xludf.DUMMYFUNCTION("COUNTUNIQUEIFS($A$2:$A1973,$F$2:$F1973,F1973)"),18.0)</f>
        <v>18</v>
      </c>
      <c r="N1973" s="10">
        <f t="shared" si="1"/>
        <v>34</v>
      </c>
      <c r="O1973" s="26">
        <f>IF(operations[sinceLastOrder]=0,0,operations[orderQuantity] / operations[sinceLastOrder])</f>
        <v>1.176470588</v>
      </c>
      <c r="P1973" s="9">
        <v>1.21</v>
      </c>
      <c r="Q1973" s="7" t="s">
        <v>15</v>
      </c>
      <c r="R1973" s="10">
        <f>operations[arrivedDate]-operations[shippedDate]</f>
        <v>3</v>
      </c>
    </row>
    <row r="1974" ht="15.75" customHeight="1">
      <c r="A1974" s="6">
        <v>11011.0</v>
      </c>
      <c r="B1974" s="24">
        <v>45391.0</v>
      </c>
      <c r="C1974" s="24">
        <v>45419.0</v>
      </c>
      <c r="D1974" s="24">
        <v>45395.0</v>
      </c>
      <c r="E1974" s="24">
        <v>45398.0</v>
      </c>
      <c r="F1974" s="6">
        <v>71.0</v>
      </c>
      <c r="G1974" s="9" t="str">
        <f>VLOOKUP(operations[productID],products[],2,FALSE)</f>
        <v>Flotemysost</v>
      </c>
      <c r="H1974" s="9" t="str">
        <f>IF(VLOOKUP(operations[productID],products[],7,FALSE)=1,"Discontinued","Current")</f>
        <v>Current</v>
      </c>
      <c r="I1974" s="6">
        <f>VLOOKUP(operations[productID],products[],4,FALSE)</f>
        <v>26</v>
      </c>
      <c r="J1974" s="6">
        <f>VLOOKUP(operations[productID],products[],5,FALSE)</f>
        <v>0</v>
      </c>
      <c r="K1974" s="6">
        <f>VLOOKUP(operations[productID],products[],6,FALSE)</f>
        <v>0</v>
      </c>
      <c r="L1974" s="10">
        <f t="array" ref="L1974">INDEX('1 orders'!I1974:I2156, MATCH(1, ('1 orders'!A1974:A2156=A1974)*('1 orders'!G1974:G2156=F1974), 0))
</f>
        <v>20</v>
      </c>
      <c r="M1974" s="10">
        <f>IFERROR(__xludf.DUMMYFUNCTION("COUNTUNIQUEIFS($A$2:$A1974,$F$2:$F1974,F1974)"),38.0)</f>
        <v>38</v>
      </c>
      <c r="N1974" s="10">
        <f t="shared" si="1"/>
        <v>1</v>
      </c>
      <c r="O1974" s="26">
        <f>IF(operations[sinceLastOrder]=0,0,operations[orderQuantity] / operations[sinceLastOrder])</f>
        <v>20</v>
      </c>
      <c r="P1974" s="9">
        <v>1.21</v>
      </c>
      <c r="Q1974" s="7" t="s">
        <v>15</v>
      </c>
      <c r="R1974" s="10">
        <f>operations[arrivedDate]-operations[shippedDate]</f>
        <v>3</v>
      </c>
    </row>
    <row r="1975" ht="15.75" customHeight="1">
      <c r="A1975" s="6">
        <v>11012.0</v>
      </c>
      <c r="B1975" s="24">
        <v>45391.0</v>
      </c>
      <c r="C1975" s="24">
        <v>45405.0</v>
      </c>
      <c r="D1975" s="24">
        <v>45399.0</v>
      </c>
      <c r="E1975" s="24">
        <v>45406.0</v>
      </c>
      <c r="F1975" s="6">
        <v>19.0</v>
      </c>
      <c r="G1975" s="9" t="str">
        <f>VLOOKUP(operations[productID],products[],2,FALSE)</f>
        <v>Teatime Chocolate Biscuits</v>
      </c>
      <c r="H1975" s="9" t="str">
        <f>IF(VLOOKUP(operations[productID],products[],7,FALSE)=1,"Discontinued","Current")</f>
        <v>Current</v>
      </c>
      <c r="I1975" s="6">
        <f>VLOOKUP(operations[productID],products[],4,FALSE)</f>
        <v>25</v>
      </c>
      <c r="J1975" s="6">
        <f>VLOOKUP(operations[productID],products[],5,FALSE)</f>
        <v>0</v>
      </c>
      <c r="K1975" s="6">
        <f>VLOOKUP(operations[productID],products[],6,FALSE)</f>
        <v>5</v>
      </c>
      <c r="L1975" s="10">
        <f t="array" ref="L1975">INDEX('1 orders'!I1975:I2156, MATCH(1, ('1 orders'!A1975:A2156=A1975)*('1 orders'!G1975:G2156=F1975), 0))
</f>
        <v>50</v>
      </c>
      <c r="M1975" s="10">
        <f>IFERROR(__xludf.DUMMYFUNCTION("COUNTUNIQUEIFS($A$2:$A1975,$F$2:$F1975,F1975)"),34.0)</f>
        <v>34</v>
      </c>
      <c r="N1975" s="10">
        <f t="shared" si="1"/>
        <v>17</v>
      </c>
      <c r="O1975" s="26">
        <f>IF(operations[sinceLastOrder]=0,0,operations[orderQuantity] / operations[sinceLastOrder])</f>
        <v>2.941176471</v>
      </c>
      <c r="P1975" s="9">
        <v>242.95</v>
      </c>
      <c r="Q1975" s="7" t="s">
        <v>13</v>
      </c>
      <c r="R1975" s="10">
        <f>operations[arrivedDate]-operations[shippedDate]</f>
        <v>7</v>
      </c>
    </row>
    <row r="1976" ht="15.75" customHeight="1">
      <c r="A1976" s="6">
        <v>11012.0</v>
      </c>
      <c r="B1976" s="24">
        <v>45391.0</v>
      </c>
      <c r="C1976" s="24">
        <v>45405.0</v>
      </c>
      <c r="D1976" s="24">
        <v>45399.0</v>
      </c>
      <c r="E1976" s="24">
        <v>45406.0</v>
      </c>
      <c r="F1976" s="6">
        <v>60.0</v>
      </c>
      <c r="G1976" s="9" t="str">
        <f>VLOOKUP(operations[productID],products[],2,FALSE)</f>
        <v>Camembert Pierrot</v>
      </c>
      <c r="H1976" s="9" t="str">
        <f>IF(VLOOKUP(operations[productID],products[],7,FALSE)=1,"Discontinued","Current")</f>
        <v>Current</v>
      </c>
      <c r="I1976" s="6">
        <f>VLOOKUP(operations[productID],products[],4,FALSE)</f>
        <v>19</v>
      </c>
      <c r="J1976" s="6">
        <f>VLOOKUP(operations[productID],products[],5,FALSE)</f>
        <v>0</v>
      </c>
      <c r="K1976" s="6">
        <f>VLOOKUP(operations[productID],products[],6,FALSE)</f>
        <v>0</v>
      </c>
      <c r="L1976" s="10">
        <f t="array" ref="L1976">INDEX('1 orders'!I1976:I2156, MATCH(1, ('1 orders'!A1976:A2156=A1976)*('1 orders'!G1976:G2156=F1976), 0))
</f>
        <v>36</v>
      </c>
      <c r="M1976" s="10">
        <f>IFERROR(__xludf.DUMMYFUNCTION("COUNTUNIQUEIFS($A$2:$A1976,$F$2:$F1976,F1976)"),45.0)</f>
        <v>45</v>
      </c>
      <c r="N1976" s="10">
        <f t="shared" si="1"/>
        <v>1</v>
      </c>
      <c r="O1976" s="26">
        <f>IF(operations[sinceLastOrder]=0,0,operations[orderQuantity] / operations[sinceLastOrder])</f>
        <v>36</v>
      </c>
      <c r="P1976" s="9">
        <v>242.95</v>
      </c>
      <c r="Q1976" s="7" t="s">
        <v>13</v>
      </c>
      <c r="R1976" s="10">
        <f>operations[arrivedDate]-operations[shippedDate]</f>
        <v>7</v>
      </c>
    </row>
    <row r="1977" ht="15.75" customHeight="1">
      <c r="A1977" s="6">
        <v>11012.0</v>
      </c>
      <c r="B1977" s="24">
        <v>45391.0</v>
      </c>
      <c r="C1977" s="24">
        <v>45405.0</v>
      </c>
      <c r="D1977" s="24">
        <v>45399.0</v>
      </c>
      <c r="E1977" s="24">
        <v>45406.0</v>
      </c>
      <c r="F1977" s="6">
        <v>71.0</v>
      </c>
      <c r="G1977" s="9" t="str">
        <f>VLOOKUP(operations[productID],products[],2,FALSE)</f>
        <v>Flotemysost</v>
      </c>
      <c r="H1977" s="9" t="str">
        <f>IF(VLOOKUP(operations[productID],products[],7,FALSE)=1,"Discontinued","Current")</f>
        <v>Current</v>
      </c>
      <c r="I1977" s="6">
        <f>VLOOKUP(operations[productID],products[],4,FALSE)</f>
        <v>26</v>
      </c>
      <c r="J1977" s="6">
        <f>VLOOKUP(operations[productID],products[],5,FALSE)</f>
        <v>0</v>
      </c>
      <c r="K1977" s="6">
        <f>VLOOKUP(operations[productID],products[],6,FALSE)</f>
        <v>0</v>
      </c>
      <c r="L1977" s="10">
        <f t="array" ref="L1977">INDEX('1 orders'!I1977:I2156, MATCH(1, ('1 orders'!A1977:A2156=A1977)*('1 orders'!G1977:G2156=F1977), 0))
</f>
        <v>60</v>
      </c>
      <c r="M1977" s="10">
        <f>IFERROR(__xludf.DUMMYFUNCTION("COUNTUNIQUEIFS($A$2:$A1977,$F$2:$F1977,F1977)"),39.0)</f>
        <v>39</v>
      </c>
      <c r="N1977" s="10">
        <f t="shared" si="1"/>
        <v>0</v>
      </c>
      <c r="O1977" s="26">
        <f>IF(operations[sinceLastOrder]=0,0,operations[orderQuantity] / operations[sinceLastOrder])</f>
        <v>0</v>
      </c>
      <c r="P1977" s="9">
        <v>242.95</v>
      </c>
      <c r="Q1977" s="7" t="s">
        <v>13</v>
      </c>
      <c r="R1977" s="10">
        <f>operations[arrivedDate]-operations[shippedDate]</f>
        <v>7</v>
      </c>
    </row>
    <row r="1978" ht="15.75" customHeight="1">
      <c r="A1978" s="6">
        <v>11013.0</v>
      </c>
      <c r="B1978" s="24">
        <v>45391.0</v>
      </c>
      <c r="C1978" s="24">
        <v>45419.0</v>
      </c>
      <c r="D1978" s="24">
        <v>45392.0</v>
      </c>
      <c r="E1978" s="24">
        <v>45400.0</v>
      </c>
      <c r="F1978" s="6">
        <v>23.0</v>
      </c>
      <c r="G1978" s="9" t="str">
        <f>VLOOKUP(operations[productID],products[],2,FALSE)</f>
        <v>Tunnbröd</v>
      </c>
      <c r="H1978" s="9" t="str">
        <f>IF(VLOOKUP(operations[productID],products[],7,FALSE)=1,"Discontinued","Current")</f>
        <v>Current</v>
      </c>
      <c r="I1978" s="6">
        <f>VLOOKUP(operations[productID],products[],4,FALSE)</f>
        <v>61</v>
      </c>
      <c r="J1978" s="6">
        <f>VLOOKUP(operations[productID],products[],5,FALSE)</f>
        <v>0</v>
      </c>
      <c r="K1978" s="6">
        <f>VLOOKUP(operations[productID],products[],6,FALSE)</f>
        <v>25</v>
      </c>
      <c r="L1978" s="10">
        <f t="array" ref="L1978">INDEX('1 orders'!I1978:I2156, MATCH(1, ('1 orders'!A1978:A2156=A1978)*('1 orders'!G1978:G2156=F1978), 0))
</f>
        <v>10</v>
      </c>
      <c r="M1978" s="10">
        <f>IFERROR(__xludf.DUMMYFUNCTION("COUNTUNIQUEIFS($A$2:$A1978,$F$2:$F1978,F1978)"),19.0)</f>
        <v>19</v>
      </c>
      <c r="N1978" s="10">
        <f t="shared" si="1"/>
        <v>31</v>
      </c>
      <c r="O1978" s="26">
        <f>IF(operations[sinceLastOrder]=0,0,operations[orderQuantity] / operations[sinceLastOrder])</f>
        <v>0.3225806452</v>
      </c>
      <c r="P1978" s="9">
        <v>32.99</v>
      </c>
      <c r="Q1978" s="7" t="s">
        <v>15</v>
      </c>
      <c r="R1978" s="10">
        <f>operations[arrivedDate]-operations[shippedDate]</f>
        <v>8</v>
      </c>
    </row>
    <row r="1979" ht="15.75" customHeight="1">
      <c r="A1979" s="6">
        <v>11013.0</v>
      </c>
      <c r="B1979" s="24">
        <v>45391.0</v>
      </c>
      <c r="C1979" s="24">
        <v>45419.0</v>
      </c>
      <c r="D1979" s="24">
        <v>45392.0</v>
      </c>
      <c r="E1979" s="24">
        <v>45400.0</v>
      </c>
      <c r="F1979" s="6">
        <v>42.0</v>
      </c>
      <c r="G1979" s="9" t="str">
        <f>VLOOKUP(operations[productID],products[],2,FALSE)</f>
        <v>Singaporean Hokkien Fried Mee</v>
      </c>
      <c r="H1979" s="9" t="str">
        <f>IF(VLOOKUP(operations[productID],products[],7,FALSE)=1,"Discontinued","Current")</f>
        <v>Discontinued</v>
      </c>
      <c r="I1979" s="6">
        <f>VLOOKUP(operations[productID],products[],4,FALSE)</f>
        <v>26</v>
      </c>
      <c r="J1979" s="6">
        <f>VLOOKUP(operations[productID],products[],5,FALSE)</f>
        <v>0</v>
      </c>
      <c r="K1979" s="6">
        <f>VLOOKUP(operations[productID],products[],6,FALSE)</f>
        <v>0</v>
      </c>
      <c r="L1979" s="10">
        <f t="array" ref="L1979">INDEX('1 orders'!I1979:I2156, MATCH(1, ('1 orders'!A1979:A2156=A1979)*('1 orders'!G1979:G2156=F1979), 0))
</f>
        <v>4</v>
      </c>
      <c r="M1979" s="10">
        <f>IFERROR(__xludf.DUMMYFUNCTION("COUNTUNIQUEIFS($A$2:$A1979,$F$2:$F1979,F1979)"),29.0)</f>
        <v>29</v>
      </c>
      <c r="N1979" s="10">
        <f t="shared" si="1"/>
        <v>1</v>
      </c>
      <c r="O1979" s="26">
        <f>IF(operations[sinceLastOrder]=0,0,operations[orderQuantity] / operations[sinceLastOrder])</f>
        <v>4</v>
      </c>
      <c r="P1979" s="9">
        <v>32.99</v>
      </c>
      <c r="Q1979" s="7" t="s">
        <v>15</v>
      </c>
      <c r="R1979" s="10">
        <f>operations[arrivedDate]-operations[shippedDate]</f>
        <v>8</v>
      </c>
    </row>
    <row r="1980" ht="15.75" customHeight="1">
      <c r="A1980" s="6">
        <v>11013.0</v>
      </c>
      <c r="B1980" s="24">
        <v>45391.0</v>
      </c>
      <c r="C1980" s="24">
        <v>45419.0</v>
      </c>
      <c r="D1980" s="24">
        <v>45392.0</v>
      </c>
      <c r="E1980" s="24">
        <v>45400.0</v>
      </c>
      <c r="F1980" s="6">
        <v>45.0</v>
      </c>
      <c r="G1980" s="9" t="str">
        <f>VLOOKUP(operations[productID],products[],2,FALSE)</f>
        <v>Rogede sild</v>
      </c>
      <c r="H1980" s="9" t="str">
        <f>IF(VLOOKUP(operations[productID],products[],7,FALSE)=1,"Discontinued","Current")</f>
        <v>Current</v>
      </c>
      <c r="I1980" s="6">
        <f>VLOOKUP(operations[productID],products[],4,FALSE)</f>
        <v>5</v>
      </c>
      <c r="J1980" s="6">
        <f>VLOOKUP(operations[productID],products[],5,FALSE)</f>
        <v>70</v>
      </c>
      <c r="K1980" s="6">
        <f>VLOOKUP(operations[productID],products[],6,FALSE)</f>
        <v>15</v>
      </c>
      <c r="L1980" s="10">
        <f t="array" ref="L1980">INDEX('1 orders'!I1980:I2156, MATCH(1, ('1 orders'!A1980:A2156=A1980)*('1 orders'!G1980:G2156=F1980), 0))
</f>
        <v>20</v>
      </c>
      <c r="M1980" s="10">
        <f>IFERROR(__xludf.DUMMYFUNCTION("COUNTUNIQUEIFS($A$2:$A1980,$F$2:$F1980,F1980)"),14.0)</f>
        <v>14</v>
      </c>
      <c r="N1980" s="10">
        <f t="shared" si="1"/>
        <v>23</v>
      </c>
      <c r="O1980" s="26">
        <f>IF(operations[sinceLastOrder]=0,0,operations[orderQuantity] / operations[sinceLastOrder])</f>
        <v>0.8695652174</v>
      </c>
      <c r="P1980" s="9">
        <v>32.99</v>
      </c>
      <c r="Q1980" s="7" t="s">
        <v>15</v>
      </c>
      <c r="R1980" s="10">
        <f>operations[arrivedDate]-operations[shippedDate]</f>
        <v>8</v>
      </c>
    </row>
    <row r="1981" ht="15.75" customHeight="1">
      <c r="A1981" s="6">
        <v>11013.0</v>
      </c>
      <c r="B1981" s="24">
        <v>45391.0</v>
      </c>
      <c r="C1981" s="24">
        <v>45419.0</v>
      </c>
      <c r="D1981" s="24">
        <v>45392.0</v>
      </c>
      <c r="E1981" s="24">
        <v>45400.0</v>
      </c>
      <c r="F1981" s="6">
        <v>68.0</v>
      </c>
      <c r="G1981" s="9" t="str">
        <f>VLOOKUP(operations[productID],products[],2,FALSE)</f>
        <v>Scottish Longbreads</v>
      </c>
      <c r="H1981" s="9" t="str">
        <f>IF(VLOOKUP(operations[productID],products[],7,FALSE)=1,"Discontinued","Current")</f>
        <v>Current</v>
      </c>
      <c r="I1981" s="6">
        <f>VLOOKUP(operations[productID],products[],4,FALSE)</f>
        <v>6</v>
      </c>
      <c r="J1981" s="6">
        <f>VLOOKUP(operations[productID],products[],5,FALSE)</f>
        <v>10</v>
      </c>
      <c r="K1981" s="6">
        <f>VLOOKUP(operations[productID],products[],6,FALSE)</f>
        <v>15</v>
      </c>
      <c r="L1981" s="10">
        <f t="array" ref="L1981">INDEX('1 orders'!I1981:I2156, MATCH(1, ('1 orders'!A1981:A2156=A1981)*('1 orders'!G1981:G2156=F1981), 0))
</f>
        <v>2</v>
      </c>
      <c r="M1981" s="10">
        <f>IFERROR(__xludf.DUMMYFUNCTION("COUNTUNIQUEIFS($A$2:$A1981,$F$2:$F1981,F1981)"),32.0)</f>
        <v>32</v>
      </c>
      <c r="N1981" s="10">
        <f t="shared" si="1"/>
        <v>29</v>
      </c>
      <c r="O1981" s="26">
        <f>IF(operations[sinceLastOrder]=0,0,operations[orderQuantity] / operations[sinceLastOrder])</f>
        <v>0.06896551724</v>
      </c>
      <c r="P1981" s="9">
        <v>32.99</v>
      </c>
      <c r="Q1981" s="7" t="s">
        <v>15</v>
      </c>
      <c r="R1981" s="10">
        <f>operations[arrivedDate]-operations[shippedDate]</f>
        <v>8</v>
      </c>
    </row>
    <row r="1982" ht="15.75" customHeight="1">
      <c r="A1982" s="6">
        <v>11014.0</v>
      </c>
      <c r="B1982" s="24">
        <v>45392.0</v>
      </c>
      <c r="C1982" s="24">
        <v>45420.0</v>
      </c>
      <c r="D1982" s="24">
        <v>45397.0</v>
      </c>
      <c r="E1982" s="24">
        <v>45408.0</v>
      </c>
      <c r="F1982" s="6">
        <v>41.0</v>
      </c>
      <c r="G1982" s="9" t="str">
        <f>VLOOKUP(operations[productID],products[],2,FALSE)</f>
        <v>Jack's New England Clam Chowder</v>
      </c>
      <c r="H1982" s="9" t="str">
        <f>IF(VLOOKUP(operations[productID],products[],7,FALSE)=1,"Discontinued","Current")</f>
        <v>Current</v>
      </c>
      <c r="I1982" s="6">
        <f>VLOOKUP(operations[productID],products[],4,FALSE)</f>
        <v>85</v>
      </c>
      <c r="J1982" s="6">
        <f>VLOOKUP(operations[productID],products[],5,FALSE)</f>
        <v>0</v>
      </c>
      <c r="K1982" s="6">
        <f>VLOOKUP(operations[productID],products[],6,FALSE)</f>
        <v>10</v>
      </c>
      <c r="L1982" s="10">
        <f t="array" ref="L1982">INDEX('1 orders'!I1982:I2156, MATCH(1, ('1 orders'!A1982:A2156=A1982)*('1 orders'!G1982:G2156=F1982), 0))
</f>
        <v>28</v>
      </c>
      <c r="M1982" s="10">
        <f>IFERROR(__xludf.DUMMYFUNCTION("COUNTUNIQUEIFS($A$2:$A1982,$F$2:$F1982,F1982)"),42.0)</f>
        <v>42</v>
      </c>
      <c r="N1982" s="10">
        <f t="shared" si="1"/>
        <v>7</v>
      </c>
      <c r="O1982" s="26">
        <f>IF(operations[sinceLastOrder]=0,0,operations[orderQuantity] / operations[sinceLastOrder])</f>
        <v>4</v>
      </c>
      <c r="P1982" s="9">
        <v>23.6</v>
      </c>
      <c r="Q1982" s="7" t="s">
        <v>13</v>
      </c>
      <c r="R1982" s="10">
        <f>operations[arrivedDate]-operations[shippedDate]</f>
        <v>11</v>
      </c>
    </row>
    <row r="1983" ht="15.75" customHeight="1">
      <c r="A1983" s="6">
        <v>11015.0</v>
      </c>
      <c r="B1983" s="24">
        <v>45392.0</v>
      </c>
      <c r="C1983" s="24">
        <v>45406.0</v>
      </c>
      <c r="D1983" s="24">
        <v>45402.0</v>
      </c>
      <c r="E1983" s="24">
        <v>45417.0</v>
      </c>
      <c r="F1983" s="6">
        <v>30.0</v>
      </c>
      <c r="G1983" s="9" t="str">
        <f>VLOOKUP(operations[productID],products[],2,FALSE)</f>
        <v>Nord-Ost Matjeshering</v>
      </c>
      <c r="H1983" s="9" t="str">
        <f>IF(VLOOKUP(operations[productID],products[],7,FALSE)=1,"Discontinued","Current")</f>
        <v>Current</v>
      </c>
      <c r="I1983" s="6">
        <f>VLOOKUP(operations[productID],products[],4,FALSE)</f>
        <v>10</v>
      </c>
      <c r="J1983" s="6">
        <f>VLOOKUP(operations[productID],products[],5,FALSE)</f>
        <v>0</v>
      </c>
      <c r="K1983" s="6">
        <f>VLOOKUP(operations[productID],products[],6,FALSE)</f>
        <v>15</v>
      </c>
      <c r="L1983" s="10">
        <f t="array" ref="L1983">INDEX('1 orders'!I1983:I2156, MATCH(1, ('1 orders'!A1983:A2156=A1983)*('1 orders'!G1983:G2156=F1983), 0))
</f>
        <v>15</v>
      </c>
      <c r="M1983" s="10">
        <f>IFERROR(__xludf.DUMMYFUNCTION("COUNTUNIQUEIFS($A$2:$A1983,$F$2:$F1983,F1983)"),31.0)</f>
        <v>31</v>
      </c>
      <c r="N1983" s="10">
        <f t="shared" si="1"/>
        <v>23</v>
      </c>
      <c r="O1983" s="26">
        <f>IF(operations[sinceLastOrder]=0,0,operations[orderQuantity] / operations[sinceLastOrder])</f>
        <v>0.652173913</v>
      </c>
      <c r="P1983" s="9">
        <v>4.62</v>
      </c>
      <c r="Q1983" s="7" t="s">
        <v>17</v>
      </c>
      <c r="R1983" s="10">
        <f>operations[arrivedDate]-operations[shippedDate]</f>
        <v>15</v>
      </c>
    </row>
    <row r="1984" ht="15.75" customHeight="1">
      <c r="A1984" s="6">
        <v>11015.0</v>
      </c>
      <c r="B1984" s="24">
        <v>45392.0</v>
      </c>
      <c r="C1984" s="24">
        <v>45406.0</v>
      </c>
      <c r="D1984" s="24">
        <v>45402.0</v>
      </c>
      <c r="E1984" s="24">
        <v>45417.0</v>
      </c>
      <c r="F1984" s="6">
        <v>77.0</v>
      </c>
      <c r="G1984" s="9" t="str">
        <f>VLOOKUP(operations[productID],products[],2,FALSE)</f>
        <v>Original Frankfurter grüne Soße</v>
      </c>
      <c r="H1984" s="9" t="str">
        <f>IF(VLOOKUP(operations[productID],products[],7,FALSE)=1,"Discontinued","Current")</f>
        <v>Current</v>
      </c>
      <c r="I1984" s="6">
        <f>VLOOKUP(operations[productID],products[],4,FALSE)</f>
        <v>32</v>
      </c>
      <c r="J1984" s="6">
        <f>VLOOKUP(operations[productID],products[],5,FALSE)</f>
        <v>0</v>
      </c>
      <c r="K1984" s="6">
        <f>VLOOKUP(operations[productID],products[],6,FALSE)</f>
        <v>15</v>
      </c>
      <c r="L1984" s="10">
        <f t="array" ref="L1984">INDEX('1 orders'!I1984:I2156, MATCH(1, ('1 orders'!A1984:A2156=A1984)*('1 orders'!G1984:G2156=F1984), 0))
</f>
        <v>18</v>
      </c>
      <c r="M1984" s="10">
        <f>IFERROR(__xludf.DUMMYFUNCTION("COUNTUNIQUEIFS($A$2:$A1984,$F$2:$F1984,F1984)"),35.0)</f>
        <v>35</v>
      </c>
      <c r="N1984" s="10">
        <f t="shared" si="1"/>
        <v>4</v>
      </c>
      <c r="O1984" s="26">
        <f>IF(operations[sinceLastOrder]=0,0,operations[orderQuantity] / operations[sinceLastOrder])</f>
        <v>4.5</v>
      </c>
      <c r="P1984" s="9">
        <v>4.62</v>
      </c>
      <c r="Q1984" s="7" t="s">
        <v>17</v>
      </c>
      <c r="R1984" s="10">
        <f>operations[arrivedDate]-operations[shippedDate]</f>
        <v>15</v>
      </c>
    </row>
    <row r="1985" ht="15.75" customHeight="1">
      <c r="A1985" s="6">
        <v>11016.0</v>
      </c>
      <c r="B1985" s="24">
        <v>45392.0</v>
      </c>
      <c r="C1985" s="24">
        <v>45420.0</v>
      </c>
      <c r="D1985" s="24">
        <v>45395.0</v>
      </c>
      <c r="E1985" s="24">
        <v>45405.0</v>
      </c>
      <c r="F1985" s="6">
        <v>31.0</v>
      </c>
      <c r="G1985" s="9" t="str">
        <f>VLOOKUP(operations[productID],products[],2,FALSE)</f>
        <v>Gorgonzola Telino</v>
      </c>
      <c r="H1985" s="9" t="str">
        <f>IF(VLOOKUP(operations[productID],products[],7,FALSE)=1,"Discontinued","Current")</f>
        <v>Current</v>
      </c>
      <c r="I1985" s="6">
        <f>VLOOKUP(operations[productID],products[],4,FALSE)</f>
        <v>0</v>
      </c>
      <c r="J1985" s="6">
        <f>VLOOKUP(operations[productID],products[],5,FALSE)</f>
        <v>70</v>
      </c>
      <c r="K1985" s="6">
        <f>VLOOKUP(operations[productID],products[],6,FALSE)</f>
        <v>20</v>
      </c>
      <c r="L1985" s="10">
        <f t="array" ref="L1985">INDEX('1 orders'!I1985:I2156, MATCH(1, ('1 orders'!A1985:A2156=A1985)*('1 orders'!G1985:G2156=F1985), 0))
</f>
        <v>15</v>
      </c>
      <c r="M1985" s="10">
        <f>IFERROR(__xludf.DUMMYFUNCTION("COUNTUNIQUEIFS($A$2:$A1985,$F$2:$F1985,F1985)"),50.0)</f>
        <v>50</v>
      </c>
      <c r="N1985" s="10">
        <f t="shared" si="1"/>
        <v>15</v>
      </c>
      <c r="O1985" s="26">
        <f>IF(operations[sinceLastOrder]=0,0,operations[orderQuantity] / operations[sinceLastOrder])</f>
        <v>1</v>
      </c>
      <c r="P1985" s="9">
        <v>33.8</v>
      </c>
      <c r="Q1985" s="7" t="s">
        <v>17</v>
      </c>
      <c r="R1985" s="10">
        <f>operations[arrivedDate]-operations[shippedDate]</f>
        <v>10</v>
      </c>
    </row>
    <row r="1986" ht="15.75" customHeight="1">
      <c r="A1986" s="6">
        <v>11016.0</v>
      </c>
      <c r="B1986" s="24">
        <v>45392.0</v>
      </c>
      <c r="C1986" s="24">
        <v>45420.0</v>
      </c>
      <c r="D1986" s="24">
        <v>45395.0</v>
      </c>
      <c r="E1986" s="24">
        <v>45405.0</v>
      </c>
      <c r="F1986" s="6">
        <v>36.0</v>
      </c>
      <c r="G1986" s="9" t="str">
        <f>VLOOKUP(operations[productID],products[],2,FALSE)</f>
        <v>Inlagd Sill</v>
      </c>
      <c r="H1986" s="9" t="str">
        <f>IF(VLOOKUP(operations[productID],products[],7,FALSE)=1,"Discontinued","Current")</f>
        <v>Current</v>
      </c>
      <c r="I1986" s="6">
        <f>VLOOKUP(operations[productID],products[],4,FALSE)</f>
        <v>112</v>
      </c>
      <c r="J1986" s="6">
        <f>VLOOKUP(operations[productID],products[],5,FALSE)</f>
        <v>0</v>
      </c>
      <c r="K1986" s="6">
        <f>VLOOKUP(operations[productID],products[],6,FALSE)</f>
        <v>20</v>
      </c>
      <c r="L1986" s="10">
        <f t="array" ref="L1986">INDEX('1 orders'!I1986:I2156, MATCH(1, ('1 orders'!A1986:A2156=A1986)*('1 orders'!G1986:G2156=F1986), 0))
</f>
        <v>16</v>
      </c>
      <c r="M1986" s="10">
        <f>IFERROR(__xludf.DUMMYFUNCTION("COUNTUNIQUEIFS($A$2:$A1986,$F$2:$F1986,F1986)"),30.0)</f>
        <v>30</v>
      </c>
      <c r="N1986" s="10">
        <f t="shared" si="1"/>
        <v>2</v>
      </c>
      <c r="O1986" s="26">
        <f>IF(operations[sinceLastOrder]=0,0,operations[orderQuantity] / operations[sinceLastOrder])</f>
        <v>8</v>
      </c>
      <c r="P1986" s="9">
        <v>33.8</v>
      </c>
      <c r="Q1986" s="7" t="s">
        <v>17</v>
      </c>
      <c r="R1986" s="10">
        <f>operations[arrivedDate]-operations[shippedDate]</f>
        <v>10</v>
      </c>
    </row>
    <row r="1987" ht="15.75" customHeight="1">
      <c r="A1987" s="6">
        <v>11017.0</v>
      </c>
      <c r="B1987" s="24">
        <v>45395.0</v>
      </c>
      <c r="C1987" s="24">
        <v>45423.0</v>
      </c>
      <c r="D1987" s="24">
        <v>45402.0</v>
      </c>
      <c r="E1987" s="24">
        <v>45414.0</v>
      </c>
      <c r="F1987" s="6">
        <v>3.0</v>
      </c>
      <c r="G1987" s="9" t="str">
        <f>VLOOKUP(operations[productID],products[],2,FALSE)</f>
        <v>Aniseed Syrup</v>
      </c>
      <c r="H1987" s="9" t="str">
        <f>IF(VLOOKUP(operations[productID],products[],7,FALSE)=1,"Discontinued","Current")</f>
        <v>Current</v>
      </c>
      <c r="I1987" s="6">
        <f>VLOOKUP(operations[productID],products[],4,FALSE)</f>
        <v>13</v>
      </c>
      <c r="J1987" s="6">
        <f>VLOOKUP(operations[productID],products[],5,FALSE)</f>
        <v>70</v>
      </c>
      <c r="K1987" s="6">
        <f>VLOOKUP(operations[productID],products[],6,FALSE)</f>
        <v>25</v>
      </c>
      <c r="L1987" s="10">
        <f t="array" ref="L1987">INDEX('1 orders'!I1987:I2156, MATCH(1, ('1 orders'!A1987:A2156=A1987)*('1 orders'!G1987:G2156=F1987), 0))
</f>
        <v>25</v>
      </c>
      <c r="M1987" s="10">
        <f>IFERROR(__xludf.DUMMYFUNCTION("COUNTUNIQUEIFS($A$2:$A1987,$F$2:$F1987,F1987)"),11.0)</f>
        <v>11</v>
      </c>
      <c r="N1987" s="10">
        <f t="shared" si="1"/>
        <v>76</v>
      </c>
      <c r="O1987" s="26">
        <f>IF(operations[sinceLastOrder]=0,0,operations[orderQuantity] / operations[sinceLastOrder])</f>
        <v>0.3289473684</v>
      </c>
      <c r="P1987" s="9">
        <v>754.26</v>
      </c>
      <c r="Q1987" s="7" t="s">
        <v>17</v>
      </c>
      <c r="R1987" s="10">
        <f>operations[arrivedDate]-operations[shippedDate]</f>
        <v>12</v>
      </c>
    </row>
    <row r="1988" ht="15.75" customHeight="1">
      <c r="A1988" s="6">
        <v>11017.0</v>
      </c>
      <c r="B1988" s="24">
        <v>45395.0</v>
      </c>
      <c r="C1988" s="24">
        <v>45423.0</v>
      </c>
      <c r="D1988" s="24">
        <v>45402.0</v>
      </c>
      <c r="E1988" s="24">
        <v>45414.0</v>
      </c>
      <c r="F1988" s="6">
        <v>59.0</v>
      </c>
      <c r="G1988" s="9" t="str">
        <f>VLOOKUP(operations[productID],products[],2,FALSE)</f>
        <v>Raclette Courdavault</v>
      </c>
      <c r="H1988" s="9" t="str">
        <f>IF(VLOOKUP(operations[productID],products[],7,FALSE)=1,"Discontinued","Current")</f>
        <v>Current</v>
      </c>
      <c r="I1988" s="6">
        <f>VLOOKUP(operations[productID],products[],4,FALSE)</f>
        <v>79</v>
      </c>
      <c r="J1988" s="6">
        <f>VLOOKUP(operations[productID],products[],5,FALSE)</f>
        <v>0</v>
      </c>
      <c r="K1988" s="6">
        <f>VLOOKUP(operations[productID],products[],6,FALSE)</f>
        <v>0</v>
      </c>
      <c r="L1988" s="10">
        <f t="array" ref="L1988">INDEX('1 orders'!I1988:I2156, MATCH(1, ('1 orders'!A1988:A2156=A1988)*('1 orders'!G1988:G2156=F1988), 0))
</f>
        <v>110</v>
      </c>
      <c r="M1988" s="10">
        <f>IFERROR(__xludf.DUMMYFUNCTION("COUNTUNIQUEIFS($A$2:$A1988,$F$2:$F1988,F1988)"),50.0)</f>
        <v>50</v>
      </c>
      <c r="N1988" s="10">
        <f t="shared" si="1"/>
        <v>6</v>
      </c>
      <c r="O1988" s="26">
        <f>IF(operations[sinceLastOrder]=0,0,operations[orderQuantity] / operations[sinceLastOrder])</f>
        <v>18.33333333</v>
      </c>
      <c r="P1988" s="9">
        <v>754.26</v>
      </c>
      <c r="Q1988" s="7" t="s">
        <v>17</v>
      </c>
      <c r="R1988" s="10">
        <f>operations[arrivedDate]-operations[shippedDate]</f>
        <v>12</v>
      </c>
    </row>
    <row r="1989" ht="15.75" customHeight="1">
      <c r="A1989" s="6">
        <v>11017.0</v>
      </c>
      <c r="B1989" s="24">
        <v>45395.0</v>
      </c>
      <c r="C1989" s="24">
        <v>45423.0</v>
      </c>
      <c r="D1989" s="24">
        <v>45402.0</v>
      </c>
      <c r="E1989" s="24">
        <v>45414.0</v>
      </c>
      <c r="F1989" s="6">
        <v>70.0</v>
      </c>
      <c r="G1989" s="9" t="str">
        <f>VLOOKUP(operations[productID],products[],2,FALSE)</f>
        <v>Outback Lager</v>
      </c>
      <c r="H1989" s="9" t="str">
        <f>IF(VLOOKUP(operations[productID],products[],7,FALSE)=1,"Discontinued","Current")</f>
        <v>Current</v>
      </c>
      <c r="I1989" s="6">
        <f>VLOOKUP(operations[productID],products[],4,FALSE)</f>
        <v>15</v>
      </c>
      <c r="J1989" s="6">
        <f>VLOOKUP(operations[productID],products[],5,FALSE)</f>
        <v>10</v>
      </c>
      <c r="K1989" s="6">
        <f>VLOOKUP(operations[productID],products[],6,FALSE)</f>
        <v>30</v>
      </c>
      <c r="L1989" s="10">
        <f t="array" ref="L1989">INDEX('1 orders'!I1989:I2156, MATCH(1, ('1 orders'!A1989:A2156=A1989)*('1 orders'!G1989:G2156=F1989), 0))
</f>
        <v>30</v>
      </c>
      <c r="M1989" s="10">
        <f>IFERROR(__xludf.DUMMYFUNCTION("COUNTUNIQUEIFS($A$2:$A1989,$F$2:$F1989,F1989)"),36.0)</f>
        <v>36</v>
      </c>
      <c r="N1989" s="10">
        <f t="shared" si="1"/>
        <v>12</v>
      </c>
      <c r="O1989" s="26">
        <f>IF(operations[sinceLastOrder]=0,0,operations[orderQuantity] / operations[sinceLastOrder])</f>
        <v>2.5</v>
      </c>
      <c r="P1989" s="9">
        <v>754.26</v>
      </c>
      <c r="Q1989" s="7" t="s">
        <v>17</v>
      </c>
      <c r="R1989" s="10">
        <f>operations[arrivedDate]-operations[shippedDate]</f>
        <v>12</v>
      </c>
    </row>
    <row r="1990" ht="15.75" customHeight="1">
      <c r="A1990" s="6">
        <v>11018.0</v>
      </c>
      <c r="B1990" s="24">
        <v>45395.0</v>
      </c>
      <c r="C1990" s="24">
        <v>45423.0</v>
      </c>
      <c r="D1990" s="24">
        <v>45398.0</v>
      </c>
      <c r="E1990" s="24">
        <v>45417.0</v>
      </c>
      <c r="F1990" s="6">
        <v>12.0</v>
      </c>
      <c r="G1990" s="9" t="str">
        <f>VLOOKUP(operations[productID],products[],2,FALSE)</f>
        <v>Queso Manchego La Pastora</v>
      </c>
      <c r="H1990" s="9" t="str">
        <f>IF(VLOOKUP(operations[productID],products[],7,FALSE)=1,"Discontinued","Current")</f>
        <v>Current</v>
      </c>
      <c r="I1990" s="6">
        <f>VLOOKUP(operations[productID],products[],4,FALSE)</f>
        <v>86</v>
      </c>
      <c r="J1990" s="6">
        <f>VLOOKUP(operations[productID],products[],5,FALSE)</f>
        <v>0</v>
      </c>
      <c r="K1990" s="6">
        <f>VLOOKUP(operations[productID],products[],6,FALSE)</f>
        <v>0</v>
      </c>
      <c r="L1990" s="10">
        <f t="array" ref="L1990">INDEX('1 orders'!I1990:I2156, MATCH(1, ('1 orders'!A1990:A2156=A1990)*('1 orders'!G1990:G2156=F1990), 0))
</f>
        <v>20</v>
      </c>
      <c r="M1990" s="10">
        <f>IFERROR(__xludf.DUMMYFUNCTION("COUNTUNIQUEIFS($A$2:$A1990,$F$2:$F1990,F1990)"),11.0)</f>
        <v>11</v>
      </c>
      <c r="N1990" s="10">
        <f t="shared" si="1"/>
        <v>18</v>
      </c>
      <c r="O1990" s="26">
        <f>IF(operations[sinceLastOrder]=0,0,operations[orderQuantity] / operations[sinceLastOrder])</f>
        <v>1.111111111</v>
      </c>
      <c r="P1990" s="9">
        <v>11.65</v>
      </c>
      <c r="Q1990" s="7" t="s">
        <v>17</v>
      </c>
      <c r="R1990" s="10">
        <f>operations[arrivedDate]-operations[shippedDate]</f>
        <v>19</v>
      </c>
    </row>
    <row r="1991" ht="15.75" customHeight="1">
      <c r="A1991" s="6">
        <v>11018.0</v>
      </c>
      <c r="B1991" s="24">
        <v>45395.0</v>
      </c>
      <c r="C1991" s="24">
        <v>45423.0</v>
      </c>
      <c r="D1991" s="24">
        <v>45398.0</v>
      </c>
      <c r="E1991" s="24">
        <v>45417.0</v>
      </c>
      <c r="F1991" s="6">
        <v>18.0</v>
      </c>
      <c r="G1991" s="9" t="str">
        <f>VLOOKUP(operations[productID],products[],2,FALSE)</f>
        <v>Carnarvon Tigers</v>
      </c>
      <c r="H1991" s="9" t="str">
        <f>IF(VLOOKUP(operations[productID],products[],7,FALSE)=1,"Discontinued","Current")</f>
        <v>Current</v>
      </c>
      <c r="I1991" s="6">
        <f>VLOOKUP(operations[productID],products[],4,FALSE)</f>
        <v>42</v>
      </c>
      <c r="J1991" s="6">
        <f>VLOOKUP(operations[productID],products[],5,FALSE)</f>
        <v>0</v>
      </c>
      <c r="K1991" s="6">
        <f>VLOOKUP(operations[productID],products[],6,FALSE)</f>
        <v>0</v>
      </c>
      <c r="L1991" s="10">
        <f t="array" ref="L1991">INDEX('1 orders'!I1991:I2156, MATCH(1, ('1 orders'!A1991:A2156=A1991)*('1 orders'!G1991:G2156=F1991), 0))
</f>
        <v>10</v>
      </c>
      <c r="M1991" s="10">
        <f>IFERROR(__xludf.DUMMYFUNCTION("COUNTUNIQUEIFS($A$2:$A1991,$F$2:$F1991,F1991)"),25.0)</f>
        <v>25</v>
      </c>
      <c r="N1991" s="10">
        <f t="shared" si="1"/>
        <v>14</v>
      </c>
      <c r="O1991" s="26">
        <f>IF(operations[sinceLastOrder]=0,0,operations[orderQuantity] / operations[sinceLastOrder])</f>
        <v>0.7142857143</v>
      </c>
      <c r="P1991" s="9">
        <v>11.65</v>
      </c>
      <c r="Q1991" s="7" t="s">
        <v>17</v>
      </c>
      <c r="R1991" s="10">
        <f>operations[arrivedDate]-operations[shippedDate]</f>
        <v>19</v>
      </c>
    </row>
    <row r="1992" ht="15.75" customHeight="1">
      <c r="A1992" s="6">
        <v>11018.0</v>
      </c>
      <c r="B1992" s="24">
        <v>45395.0</v>
      </c>
      <c r="C1992" s="24">
        <v>45423.0</v>
      </c>
      <c r="D1992" s="24">
        <v>45398.0</v>
      </c>
      <c r="E1992" s="24">
        <v>45417.0</v>
      </c>
      <c r="F1992" s="6">
        <v>56.0</v>
      </c>
      <c r="G1992" s="9" t="str">
        <f>VLOOKUP(operations[productID],products[],2,FALSE)</f>
        <v>Gnocchi di nonna Alice</v>
      </c>
      <c r="H1992" s="9" t="str">
        <f>IF(VLOOKUP(operations[productID],products[],7,FALSE)=1,"Discontinued","Current")</f>
        <v>Current</v>
      </c>
      <c r="I1992" s="6">
        <f>VLOOKUP(operations[productID],products[],4,FALSE)</f>
        <v>21</v>
      </c>
      <c r="J1992" s="6">
        <f>VLOOKUP(operations[productID],products[],5,FALSE)</f>
        <v>10</v>
      </c>
      <c r="K1992" s="6">
        <f>VLOOKUP(operations[productID],products[],6,FALSE)</f>
        <v>30</v>
      </c>
      <c r="L1992" s="10">
        <f t="array" ref="L1992">INDEX('1 orders'!I1992:I2156, MATCH(1, ('1 orders'!A1992:A2156=A1992)*('1 orders'!G1992:G2156=F1992), 0))
</f>
        <v>5</v>
      </c>
      <c r="M1992" s="10">
        <f>IFERROR(__xludf.DUMMYFUNCTION("COUNTUNIQUEIFS($A$2:$A1992,$F$2:$F1992,F1992)"),49.0)</f>
        <v>49</v>
      </c>
      <c r="N1992" s="10">
        <f t="shared" si="1"/>
        <v>24</v>
      </c>
      <c r="O1992" s="26">
        <f>IF(operations[sinceLastOrder]=0,0,operations[orderQuantity] / operations[sinceLastOrder])</f>
        <v>0.2083333333</v>
      </c>
      <c r="P1992" s="9">
        <v>11.65</v>
      </c>
      <c r="Q1992" s="7" t="s">
        <v>17</v>
      </c>
      <c r="R1992" s="10">
        <f>operations[arrivedDate]-operations[shippedDate]</f>
        <v>19</v>
      </c>
    </row>
    <row r="1993" ht="15.75" customHeight="1">
      <c r="A1993" s="6">
        <v>11019.0</v>
      </c>
      <c r="B1993" s="24">
        <v>45395.0</v>
      </c>
      <c r="C1993" s="24">
        <v>45423.0</v>
      </c>
      <c r="D1993" s="24"/>
      <c r="E1993" s="24"/>
      <c r="F1993" s="6">
        <v>46.0</v>
      </c>
      <c r="G1993" s="9" t="str">
        <f>VLOOKUP(operations[productID],products[],2,FALSE)</f>
        <v>Spegesild</v>
      </c>
      <c r="H1993" s="9" t="str">
        <f>IF(VLOOKUP(operations[productID],products[],7,FALSE)=1,"Discontinued","Current")</f>
        <v>Current</v>
      </c>
      <c r="I1993" s="6">
        <f>VLOOKUP(operations[productID],products[],4,FALSE)</f>
        <v>95</v>
      </c>
      <c r="J1993" s="6">
        <f>VLOOKUP(operations[productID],products[],5,FALSE)</f>
        <v>0</v>
      </c>
      <c r="K1993" s="6">
        <f>VLOOKUP(operations[productID],products[],6,FALSE)</f>
        <v>0</v>
      </c>
      <c r="L1993" s="10">
        <f t="array" ref="L1993">INDEX('1 orders'!I1993:I2156, MATCH(1, ('1 orders'!A1993:A2156=A1993)*('1 orders'!G1993:G2156=F1993), 0))
</f>
        <v>3</v>
      </c>
      <c r="M1993" s="10">
        <f>IFERROR(__xludf.DUMMYFUNCTION("COUNTUNIQUEIFS($A$2:$A1993,$F$2:$F1993,F1993)"),25.0)</f>
        <v>25</v>
      </c>
      <c r="N1993" s="10">
        <f t="shared" si="1"/>
        <v>7</v>
      </c>
      <c r="O1993" s="26">
        <f>IF(operations[sinceLastOrder]=0,0,operations[orderQuantity] / operations[sinceLastOrder])</f>
        <v>0.4285714286</v>
      </c>
      <c r="P1993" s="9">
        <v>3.17</v>
      </c>
      <c r="Q1993" s="7" t="s">
        <v>13</v>
      </c>
      <c r="R1993" s="10">
        <f>operations[arrivedDate]-operations[shippedDate]</f>
        <v>0</v>
      </c>
    </row>
    <row r="1994" ht="15.75" customHeight="1">
      <c r="A1994" s="6">
        <v>11019.0</v>
      </c>
      <c r="B1994" s="24">
        <v>45395.0</v>
      </c>
      <c r="C1994" s="24">
        <v>45423.0</v>
      </c>
      <c r="D1994" s="24"/>
      <c r="E1994" s="24"/>
      <c r="F1994" s="6">
        <v>49.0</v>
      </c>
      <c r="G1994" s="9" t="str">
        <f>VLOOKUP(operations[productID],products[],2,FALSE)</f>
        <v>Maxilaku</v>
      </c>
      <c r="H1994" s="9" t="str">
        <f>IF(VLOOKUP(operations[productID],products[],7,FALSE)=1,"Discontinued","Current")</f>
        <v>Current</v>
      </c>
      <c r="I1994" s="6">
        <f>VLOOKUP(operations[productID],products[],4,FALSE)</f>
        <v>10</v>
      </c>
      <c r="J1994" s="6">
        <f>VLOOKUP(operations[productID],products[],5,FALSE)</f>
        <v>60</v>
      </c>
      <c r="K1994" s="6">
        <f>VLOOKUP(operations[productID],products[],6,FALSE)</f>
        <v>15</v>
      </c>
      <c r="L1994" s="10">
        <f t="array" ref="L1994">INDEX('1 orders'!I1994:I2156, MATCH(1, ('1 orders'!A1994:A2156=A1994)*('1 orders'!G1994:G2156=F1994), 0))
</f>
        <v>2</v>
      </c>
      <c r="M1994" s="10">
        <f>IFERROR(__xludf.DUMMYFUNCTION("COUNTUNIQUEIFS($A$2:$A1994,$F$2:$F1994,F1994)"),20.0)</f>
        <v>20</v>
      </c>
      <c r="N1994" s="10">
        <f t="shared" si="1"/>
        <v>21</v>
      </c>
      <c r="O1994" s="26">
        <f>IF(operations[sinceLastOrder]=0,0,operations[orderQuantity] / operations[sinceLastOrder])</f>
        <v>0.09523809524</v>
      </c>
      <c r="P1994" s="9">
        <v>3.17</v>
      </c>
      <c r="Q1994" s="7" t="s">
        <v>13</v>
      </c>
      <c r="R1994" s="10">
        <f>operations[arrivedDate]-operations[shippedDate]</f>
        <v>0</v>
      </c>
    </row>
    <row r="1995" ht="15.75" customHeight="1">
      <c r="A1995" s="6">
        <v>11020.0</v>
      </c>
      <c r="B1995" s="24">
        <v>45396.0</v>
      </c>
      <c r="C1995" s="24">
        <v>45424.0</v>
      </c>
      <c r="D1995" s="24">
        <v>45398.0</v>
      </c>
      <c r="E1995" s="24">
        <v>45407.0</v>
      </c>
      <c r="F1995" s="6">
        <v>10.0</v>
      </c>
      <c r="G1995" s="9" t="str">
        <f>VLOOKUP(operations[productID],products[],2,FALSE)</f>
        <v>Ikura</v>
      </c>
      <c r="H1995" s="9" t="str">
        <f>IF(VLOOKUP(operations[productID],products[],7,FALSE)=1,"Discontinued","Current")</f>
        <v>Current</v>
      </c>
      <c r="I1995" s="6">
        <f>VLOOKUP(operations[productID],products[],4,FALSE)</f>
        <v>31</v>
      </c>
      <c r="J1995" s="6">
        <f>VLOOKUP(operations[productID],products[],5,FALSE)</f>
        <v>0</v>
      </c>
      <c r="K1995" s="6">
        <f>VLOOKUP(operations[productID],products[],6,FALSE)</f>
        <v>0</v>
      </c>
      <c r="L1995" s="10">
        <f t="array" ref="L1995">INDEX('1 orders'!I1995:I2156, MATCH(1, ('1 orders'!A1995:A2156=A1995)*('1 orders'!G1995:G2156=F1995), 0))
</f>
        <v>24</v>
      </c>
      <c r="M1995" s="10">
        <f>IFERROR(__xludf.DUMMYFUNCTION("COUNTUNIQUEIFS($A$2:$A1995,$F$2:$F1995,F1995)"),32.0)</f>
        <v>32</v>
      </c>
      <c r="N1995" s="10">
        <f t="shared" si="1"/>
        <v>32</v>
      </c>
      <c r="O1995" s="26">
        <f>IF(operations[sinceLastOrder]=0,0,operations[orderQuantity] / operations[sinceLastOrder])</f>
        <v>0.75</v>
      </c>
      <c r="P1995" s="9">
        <v>43.3</v>
      </c>
      <c r="Q1995" s="7" t="s">
        <v>17</v>
      </c>
      <c r="R1995" s="10">
        <f>operations[arrivedDate]-operations[shippedDate]</f>
        <v>9</v>
      </c>
    </row>
    <row r="1996" ht="15.75" customHeight="1">
      <c r="A1996" s="6">
        <v>11021.0</v>
      </c>
      <c r="B1996" s="24">
        <v>45396.0</v>
      </c>
      <c r="C1996" s="24">
        <v>45424.0</v>
      </c>
      <c r="D1996" s="24">
        <v>45403.0</v>
      </c>
      <c r="E1996" s="24">
        <v>45405.0</v>
      </c>
      <c r="F1996" s="6">
        <v>2.0</v>
      </c>
      <c r="G1996" s="9" t="str">
        <f>VLOOKUP(operations[productID],products[],2,FALSE)</f>
        <v>Chang</v>
      </c>
      <c r="H1996" s="9" t="str">
        <f>IF(VLOOKUP(operations[productID],products[],7,FALSE)=1,"Discontinued","Current")</f>
        <v>Current</v>
      </c>
      <c r="I1996" s="6">
        <f>VLOOKUP(operations[productID],products[],4,FALSE)</f>
        <v>17</v>
      </c>
      <c r="J1996" s="6">
        <f>VLOOKUP(operations[productID],products[],5,FALSE)</f>
        <v>40</v>
      </c>
      <c r="K1996" s="6">
        <f>VLOOKUP(operations[productID],products[],6,FALSE)</f>
        <v>25</v>
      </c>
      <c r="L1996" s="10">
        <f t="array" ref="L1996">INDEX('1 orders'!I1996:I2156, MATCH(1, ('1 orders'!A1996:A2156=A1996)*('1 orders'!G1996:G2156=F1996), 0))
</f>
        <v>11</v>
      </c>
      <c r="M1996" s="10">
        <f>IFERROR(__xludf.DUMMYFUNCTION("COUNTUNIQUEIFS($A$2:$A1996,$F$2:$F1996,F1996)"),37.0)</f>
        <v>37</v>
      </c>
      <c r="N1996" s="10">
        <f t="shared" si="1"/>
        <v>13</v>
      </c>
      <c r="O1996" s="26">
        <f>IF(operations[sinceLastOrder]=0,0,operations[orderQuantity] / operations[sinceLastOrder])</f>
        <v>0.8461538462</v>
      </c>
      <c r="P1996" s="9">
        <v>297.18</v>
      </c>
      <c r="Q1996" s="7" t="s">
        <v>15</v>
      </c>
      <c r="R1996" s="10">
        <f>operations[arrivedDate]-operations[shippedDate]</f>
        <v>2</v>
      </c>
    </row>
    <row r="1997" ht="15.75" customHeight="1">
      <c r="A1997" s="6">
        <v>11021.0</v>
      </c>
      <c r="B1997" s="24">
        <v>45396.0</v>
      </c>
      <c r="C1997" s="24">
        <v>45424.0</v>
      </c>
      <c r="D1997" s="24">
        <v>45403.0</v>
      </c>
      <c r="E1997" s="24">
        <v>45405.0</v>
      </c>
      <c r="F1997" s="6">
        <v>20.0</v>
      </c>
      <c r="G1997" s="9" t="str">
        <f>VLOOKUP(operations[productID],products[],2,FALSE)</f>
        <v>Sir Rodney's Marmalade</v>
      </c>
      <c r="H1997" s="9" t="str">
        <f>IF(VLOOKUP(operations[productID],products[],7,FALSE)=1,"Discontinued","Current")</f>
        <v>Current</v>
      </c>
      <c r="I1997" s="6">
        <f>VLOOKUP(operations[productID],products[],4,FALSE)</f>
        <v>40</v>
      </c>
      <c r="J1997" s="6">
        <f>VLOOKUP(operations[productID],products[],5,FALSE)</f>
        <v>0</v>
      </c>
      <c r="K1997" s="6">
        <f>VLOOKUP(operations[productID],products[],6,FALSE)</f>
        <v>0</v>
      </c>
      <c r="L1997" s="10">
        <f t="array" ref="L1997">INDEX('1 orders'!I1997:I2156, MATCH(1, ('1 orders'!A1997:A2156=A1997)*('1 orders'!G1997:G2156=F1997), 0))
</f>
        <v>15</v>
      </c>
      <c r="M1997" s="10">
        <f>IFERROR(__xludf.DUMMYFUNCTION("COUNTUNIQUEIFS($A$2:$A1997,$F$2:$F1997,F1997)"),15.0)</f>
        <v>15</v>
      </c>
      <c r="N1997" s="10">
        <f t="shared" si="1"/>
        <v>15</v>
      </c>
      <c r="O1997" s="26">
        <f>IF(operations[sinceLastOrder]=0,0,operations[orderQuantity] / operations[sinceLastOrder])</f>
        <v>1</v>
      </c>
      <c r="P1997" s="9">
        <v>297.18</v>
      </c>
      <c r="Q1997" s="7" t="s">
        <v>15</v>
      </c>
      <c r="R1997" s="10">
        <f>operations[arrivedDate]-operations[shippedDate]</f>
        <v>2</v>
      </c>
    </row>
    <row r="1998" ht="15.75" customHeight="1">
      <c r="A1998" s="6">
        <v>11021.0</v>
      </c>
      <c r="B1998" s="24">
        <v>45396.0</v>
      </c>
      <c r="C1998" s="24">
        <v>45424.0</v>
      </c>
      <c r="D1998" s="24">
        <v>45403.0</v>
      </c>
      <c r="E1998" s="24">
        <v>45405.0</v>
      </c>
      <c r="F1998" s="6">
        <v>26.0</v>
      </c>
      <c r="G1998" s="9" t="str">
        <f>VLOOKUP(operations[productID],products[],2,FALSE)</f>
        <v>NuNuCa Nuß-Nougat-Creme</v>
      </c>
      <c r="H1998" s="9" t="str">
        <f>IF(VLOOKUP(operations[productID],products[],7,FALSE)=1,"Discontinued","Current")</f>
        <v>Current</v>
      </c>
      <c r="I1998" s="6">
        <f>VLOOKUP(operations[productID],products[],4,FALSE)</f>
        <v>15</v>
      </c>
      <c r="J1998" s="6">
        <f>VLOOKUP(operations[productID],products[],5,FALSE)</f>
        <v>0</v>
      </c>
      <c r="K1998" s="6">
        <f>VLOOKUP(operations[productID],products[],6,FALSE)</f>
        <v>0</v>
      </c>
      <c r="L1998" s="10">
        <f t="array" ref="L1998">INDEX('1 orders'!I1998:I2156, MATCH(1, ('1 orders'!A1998:A2156=A1998)*('1 orders'!G1998:G2156=F1998), 0))
</f>
        <v>63</v>
      </c>
      <c r="M1998" s="10">
        <f>IFERROR(__xludf.DUMMYFUNCTION("COUNTUNIQUEIFS($A$2:$A1998,$F$2:$F1998,F1998)"),31.0)</f>
        <v>31</v>
      </c>
      <c r="N1998" s="10">
        <f t="shared" si="1"/>
        <v>7</v>
      </c>
      <c r="O1998" s="26">
        <f>IF(operations[sinceLastOrder]=0,0,operations[orderQuantity] / operations[sinceLastOrder])</f>
        <v>9</v>
      </c>
      <c r="P1998" s="9">
        <v>297.18</v>
      </c>
      <c r="Q1998" s="7" t="s">
        <v>15</v>
      </c>
      <c r="R1998" s="10">
        <f>operations[arrivedDate]-operations[shippedDate]</f>
        <v>2</v>
      </c>
    </row>
    <row r="1999" ht="15.75" customHeight="1">
      <c r="A1999" s="6">
        <v>11021.0</v>
      </c>
      <c r="B1999" s="24">
        <v>45396.0</v>
      </c>
      <c r="C1999" s="24">
        <v>45424.0</v>
      </c>
      <c r="D1999" s="24">
        <v>45403.0</v>
      </c>
      <c r="E1999" s="24">
        <v>45405.0</v>
      </c>
      <c r="F1999" s="6">
        <v>51.0</v>
      </c>
      <c r="G1999" s="9" t="str">
        <f>VLOOKUP(operations[productID],products[],2,FALSE)</f>
        <v>Manjimup Dried Apples</v>
      </c>
      <c r="H1999" s="9" t="str">
        <f>IF(VLOOKUP(operations[productID],products[],7,FALSE)=1,"Discontinued","Current")</f>
        <v>Current</v>
      </c>
      <c r="I1999" s="6">
        <f>VLOOKUP(operations[productID],products[],4,FALSE)</f>
        <v>20</v>
      </c>
      <c r="J1999" s="6">
        <f>VLOOKUP(operations[productID],products[],5,FALSE)</f>
        <v>0</v>
      </c>
      <c r="K1999" s="6">
        <f>VLOOKUP(operations[productID],products[],6,FALSE)</f>
        <v>10</v>
      </c>
      <c r="L1999" s="10">
        <f t="array" ref="L1999">INDEX('1 orders'!I1999:I2156, MATCH(1, ('1 orders'!A1999:A2156=A1999)*('1 orders'!G1999:G2156=F1999), 0))
</f>
        <v>44</v>
      </c>
      <c r="M1999" s="10">
        <f>IFERROR(__xludf.DUMMYFUNCTION("COUNTUNIQUEIFS($A$2:$A1999,$F$2:$F1999,F1999)"),36.0)</f>
        <v>36</v>
      </c>
      <c r="N1999" s="10">
        <f t="shared" si="1"/>
        <v>11</v>
      </c>
      <c r="O1999" s="26">
        <f>IF(operations[sinceLastOrder]=0,0,operations[orderQuantity] / operations[sinceLastOrder])</f>
        <v>4</v>
      </c>
      <c r="P1999" s="9">
        <v>297.18</v>
      </c>
      <c r="Q1999" s="7" t="s">
        <v>15</v>
      </c>
      <c r="R1999" s="10">
        <f>operations[arrivedDate]-operations[shippedDate]</f>
        <v>2</v>
      </c>
    </row>
    <row r="2000" ht="15.75" customHeight="1">
      <c r="A2000" s="6">
        <v>11021.0</v>
      </c>
      <c r="B2000" s="24">
        <v>45396.0</v>
      </c>
      <c r="C2000" s="24">
        <v>45424.0</v>
      </c>
      <c r="D2000" s="24">
        <v>45403.0</v>
      </c>
      <c r="E2000" s="24">
        <v>45405.0</v>
      </c>
      <c r="F2000" s="6">
        <v>72.0</v>
      </c>
      <c r="G2000" s="9" t="str">
        <f>VLOOKUP(operations[productID],products[],2,FALSE)</f>
        <v>Mozzarella di Giovanni</v>
      </c>
      <c r="H2000" s="9" t="str">
        <f>IF(VLOOKUP(operations[productID],products[],7,FALSE)=1,"Discontinued","Current")</f>
        <v>Current</v>
      </c>
      <c r="I2000" s="6">
        <f>VLOOKUP(operations[productID],products[],4,FALSE)</f>
        <v>14</v>
      </c>
      <c r="J2000" s="6">
        <f>VLOOKUP(operations[productID],products[],5,FALSE)</f>
        <v>0</v>
      </c>
      <c r="K2000" s="6">
        <f>VLOOKUP(operations[productID],products[],6,FALSE)</f>
        <v>0</v>
      </c>
      <c r="L2000" s="10">
        <f t="array" ref="L2000">INDEX('1 orders'!I2000:I2156, MATCH(1, ('1 orders'!A2000:A2156=A2000)*('1 orders'!G2000:G2156=F2000), 0))
</f>
        <v>35</v>
      </c>
      <c r="M2000" s="10">
        <f>IFERROR(__xludf.DUMMYFUNCTION("COUNTUNIQUEIFS($A$2:$A2000,$F$2:$F2000,F2000)"),38.0)</f>
        <v>38</v>
      </c>
      <c r="N2000" s="10">
        <f t="shared" si="1"/>
        <v>13</v>
      </c>
      <c r="O2000" s="26">
        <f>IF(operations[sinceLastOrder]=0,0,operations[orderQuantity] / operations[sinceLastOrder])</f>
        <v>2.692307692</v>
      </c>
      <c r="P2000" s="9">
        <v>297.18</v>
      </c>
      <c r="Q2000" s="7" t="s">
        <v>15</v>
      </c>
      <c r="R2000" s="10">
        <f>operations[arrivedDate]-operations[shippedDate]</f>
        <v>2</v>
      </c>
    </row>
    <row r="2001" ht="15.75" customHeight="1">
      <c r="A2001" s="6">
        <v>11022.0</v>
      </c>
      <c r="B2001" s="24">
        <v>45396.0</v>
      </c>
      <c r="C2001" s="24">
        <v>45424.0</v>
      </c>
      <c r="D2001" s="24">
        <v>45416.0</v>
      </c>
      <c r="E2001" s="24">
        <v>45437.0</v>
      </c>
      <c r="F2001" s="6">
        <v>19.0</v>
      </c>
      <c r="G2001" s="9" t="str">
        <f>VLOOKUP(operations[productID],products[],2,FALSE)</f>
        <v>Teatime Chocolate Biscuits</v>
      </c>
      <c r="H2001" s="9" t="str">
        <f>IF(VLOOKUP(operations[productID],products[],7,FALSE)=1,"Discontinued","Current")</f>
        <v>Current</v>
      </c>
      <c r="I2001" s="6">
        <f>VLOOKUP(operations[productID],products[],4,FALSE)</f>
        <v>25</v>
      </c>
      <c r="J2001" s="6">
        <f>VLOOKUP(operations[productID],products[],5,FALSE)</f>
        <v>0</v>
      </c>
      <c r="K2001" s="6">
        <f>VLOOKUP(operations[productID],products[],6,FALSE)</f>
        <v>5</v>
      </c>
      <c r="L2001" s="10">
        <f t="array" ref="L2001">INDEX('1 orders'!I2001:I2156, MATCH(1, ('1 orders'!A2001:A2156=A2001)*('1 orders'!G2001:G2156=F2001), 0))
</f>
        <v>35</v>
      </c>
      <c r="M2001" s="10">
        <f>IFERROR(__xludf.DUMMYFUNCTION("COUNTUNIQUEIFS($A$2:$A2001,$F$2:$F2001,F2001)"),35.0)</f>
        <v>35</v>
      </c>
      <c r="N2001" s="10">
        <f t="shared" si="1"/>
        <v>5</v>
      </c>
      <c r="O2001" s="26">
        <f>IF(operations[sinceLastOrder]=0,0,operations[orderQuantity] / operations[sinceLastOrder])</f>
        <v>7</v>
      </c>
      <c r="P2001" s="9">
        <v>6.27</v>
      </c>
      <c r="Q2001" s="7" t="s">
        <v>17</v>
      </c>
      <c r="R2001" s="10">
        <f>operations[arrivedDate]-operations[shippedDate]</f>
        <v>21</v>
      </c>
    </row>
    <row r="2002" ht="15.75" customHeight="1">
      <c r="A2002" s="6">
        <v>11022.0</v>
      </c>
      <c r="B2002" s="24">
        <v>45396.0</v>
      </c>
      <c r="C2002" s="24">
        <v>45424.0</v>
      </c>
      <c r="D2002" s="24">
        <v>45416.0</v>
      </c>
      <c r="E2002" s="24">
        <v>45437.0</v>
      </c>
      <c r="F2002" s="6">
        <v>69.0</v>
      </c>
      <c r="G2002" s="9" t="str">
        <f>VLOOKUP(operations[productID],products[],2,FALSE)</f>
        <v>Gudbrandsdalsost</v>
      </c>
      <c r="H2002" s="9" t="str">
        <f>IF(VLOOKUP(operations[productID],products[],7,FALSE)=1,"Discontinued","Current")</f>
        <v>Current</v>
      </c>
      <c r="I2002" s="6">
        <f>VLOOKUP(operations[productID],products[],4,FALSE)</f>
        <v>26</v>
      </c>
      <c r="J2002" s="6">
        <f>VLOOKUP(operations[productID],products[],5,FALSE)</f>
        <v>0</v>
      </c>
      <c r="K2002" s="6">
        <f>VLOOKUP(operations[productID],products[],6,FALSE)</f>
        <v>15</v>
      </c>
      <c r="L2002" s="10">
        <f t="array" ref="L2002">INDEX('1 orders'!I2002:I2156, MATCH(1, ('1 orders'!A2002:A2156=A2002)*('1 orders'!G2002:G2156=F2002), 0))
</f>
        <v>30</v>
      </c>
      <c r="M2002" s="10">
        <f>IFERROR(__xludf.DUMMYFUNCTION("COUNTUNIQUEIFS($A$2:$A2002,$F$2:$F2002,F2002)"),30.0)</f>
        <v>30</v>
      </c>
      <c r="N2002" s="10">
        <f t="shared" si="1"/>
        <v>25</v>
      </c>
      <c r="O2002" s="26">
        <f>IF(operations[sinceLastOrder]=0,0,operations[orderQuantity] / operations[sinceLastOrder])</f>
        <v>1.2</v>
      </c>
      <c r="P2002" s="9">
        <v>6.27</v>
      </c>
      <c r="Q2002" s="7" t="s">
        <v>17</v>
      </c>
      <c r="R2002" s="10">
        <f>operations[arrivedDate]-operations[shippedDate]</f>
        <v>21</v>
      </c>
    </row>
    <row r="2003" ht="15.75" customHeight="1">
      <c r="A2003" s="6">
        <v>11023.0</v>
      </c>
      <c r="B2003" s="24">
        <v>45396.0</v>
      </c>
      <c r="C2003" s="24">
        <v>45410.0</v>
      </c>
      <c r="D2003" s="24">
        <v>45406.0</v>
      </c>
      <c r="E2003" s="24">
        <v>45415.0</v>
      </c>
      <c r="F2003" s="6">
        <v>7.0</v>
      </c>
      <c r="G2003" s="9" t="str">
        <f>VLOOKUP(operations[productID],products[],2,FALSE)</f>
        <v>Uncle Bob's Organic Dried Pears</v>
      </c>
      <c r="H2003" s="9" t="str">
        <f>IF(VLOOKUP(operations[productID],products[],7,FALSE)=1,"Discontinued","Current")</f>
        <v>Current</v>
      </c>
      <c r="I2003" s="6">
        <f>VLOOKUP(operations[productID],products[],4,FALSE)</f>
        <v>15</v>
      </c>
      <c r="J2003" s="6">
        <f>VLOOKUP(operations[productID],products[],5,FALSE)</f>
        <v>0</v>
      </c>
      <c r="K2003" s="6">
        <f>VLOOKUP(operations[productID],products[],6,FALSE)</f>
        <v>10</v>
      </c>
      <c r="L2003" s="10">
        <f t="array" ref="L2003">INDEX('1 orders'!I2003:I2156, MATCH(1, ('1 orders'!A2003:A2156=A2003)*('1 orders'!G2003:G2156=F2003), 0))
</f>
        <v>4</v>
      </c>
      <c r="M2003" s="10">
        <f>IFERROR(__xludf.DUMMYFUNCTION("COUNTUNIQUEIFS($A$2:$A2003,$F$2:$F2003,F2003)"),26.0)</f>
        <v>26</v>
      </c>
      <c r="N2003" s="10">
        <f t="shared" si="1"/>
        <v>5</v>
      </c>
      <c r="O2003" s="26">
        <f>IF(operations[sinceLastOrder]=0,0,operations[orderQuantity] / operations[sinceLastOrder])</f>
        <v>0.8</v>
      </c>
      <c r="P2003" s="9">
        <v>123.83</v>
      </c>
      <c r="Q2003" s="7" t="s">
        <v>17</v>
      </c>
      <c r="R2003" s="10">
        <f>operations[arrivedDate]-operations[shippedDate]</f>
        <v>9</v>
      </c>
    </row>
    <row r="2004" ht="15.75" customHeight="1">
      <c r="A2004" s="6">
        <v>11023.0</v>
      </c>
      <c r="B2004" s="24">
        <v>45396.0</v>
      </c>
      <c r="C2004" s="24">
        <v>45410.0</v>
      </c>
      <c r="D2004" s="24">
        <v>45406.0</v>
      </c>
      <c r="E2004" s="24">
        <v>45415.0</v>
      </c>
      <c r="F2004" s="6">
        <v>43.0</v>
      </c>
      <c r="G2004" s="9" t="str">
        <f>VLOOKUP(operations[productID],products[],2,FALSE)</f>
        <v>Ipoh Coffee</v>
      </c>
      <c r="H2004" s="9" t="str">
        <f>IF(VLOOKUP(operations[productID],products[],7,FALSE)=1,"Discontinued","Current")</f>
        <v>Current</v>
      </c>
      <c r="I2004" s="6">
        <f>VLOOKUP(operations[productID],products[],4,FALSE)</f>
        <v>17</v>
      </c>
      <c r="J2004" s="6">
        <f>VLOOKUP(operations[productID],products[],5,FALSE)</f>
        <v>10</v>
      </c>
      <c r="K2004" s="6">
        <f>VLOOKUP(operations[productID],products[],6,FALSE)</f>
        <v>25</v>
      </c>
      <c r="L2004" s="10">
        <f t="array" ref="L2004">INDEX('1 orders'!I2004:I2156, MATCH(1, ('1 orders'!A2004:A2156=A2004)*('1 orders'!G2004:G2156=F2004), 0))
</f>
        <v>30</v>
      </c>
      <c r="M2004" s="10">
        <f>IFERROR(__xludf.DUMMYFUNCTION("COUNTUNIQUEIFS($A$2:$A2004,$F$2:$F2004,F2004)"),26.0)</f>
        <v>26</v>
      </c>
      <c r="N2004" s="10">
        <f t="shared" si="1"/>
        <v>14</v>
      </c>
      <c r="O2004" s="26">
        <f>IF(operations[sinceLastOrder]=0,0,operations[orderQuantity] / operations[sinceLastOrder])</f>
        <v>2.142857143</v>
      </c>
      <c r="P2004" s="9">
        <v>123.83</v>
      </c>
      <c r="Q2004" s="7" t="s">
        <v>17</v>
      </c>
      <c r="R2004" s="10">
        <f>operations[arrivedDate]-operations[shippedDate]</f>
        <v>9</v>
      </c>
    </row>
    <row r="2005" ht="15.75" customHeight="1">
      <c r="A2005" s="6">
        <v>11024.0</v>
      </c>
      <c r="B2005" s="24">
        <v>45397.0</v>
      </c>
      <c r="C2005" s="24">
        <v>45425.0</v>
      </c>
      <c r="D2005" s="24">
        <v>45402.0</v>
      </c>
      <c r="E2005" s="24">
        <v>45409.0</v>
      </c>
      <c r="F2005" s="6">
        <v>26.0</v>
      </c>
      <c r="G2005" s="9" t="str">
        <f>VLOOKUP(operations[productID],products[],2,FALSE)</f>
        <v>NuNuCa Nuß-Nougat-Creme</v>
      </c>
      <c r="H2005" s="9" t="str">
        <f>IF(VLOOKUP(operations[productID],products[],7,FALSE)=1,"Discontinued","Current")</f>
        <v>Current</v>
      </c>
      <c r="I2005" s="6">
        <f>VLOOKUP(operations[productID],products[],4,FALSE)</f>
        <v>15</v>
      </c>
      <c r="J2005" s="6">
        <f>VLOOKUP(operations[productID],products[],5,FALSE)</f>
        <v>0</v>
      </c>
      <c r="K2005" s="6">
        <f>VLOOKUP(operations[productID],products[],6,FALSE)</f>
        <v>0</v>
      </c>
      <c r="L2005" s="10">
        <f t="array" ref="L2005">INDEX('1 orders'!I2005:I2156, MATCH(1, ('1 orders'!A2005:A2156=A2005)*('1 orders'!G2005:G2156=F2005), 0))
</f>
        <v>12</v>
      </c>
      <c r="M2005" s="10">
        <f>IFERROR(__xludf.DUMMYFUNCTION("COUNTUNIQUEIFS($A$2:$A2005,$F$2:$F2005,F2005)"),32.0)</f>
        <v>32</v>
      </c>
      <c r="N2005" s="10">
        <f t="shared" si="1"/>
        <v>1</v>
      </c>
      <c r="O2005" s="26">
        <f>IF(operations[sinceLastOrder]=0,0,operations[orderQuantity] / operations[sinceLastOrder])</f>
        <v>12</v>
      </c>
      <c r="P2005" s="9">
        <v>74.36</v>
      </c>
      <c r="Q2005" s="7" t="s">
        <v>15</v>
      </c>
      <c r="R2005" s="10">
        <f>operations[arrivedDate]-operations[shippedDate]</f>
        <v>7</v>
      </c>
    </row>
    <row r="2006" ht="15.75" customHeight="1">
      <c r="A2006" s="6">
        <v>11024.0</v>
      </c>
      <c r="B2006" s="24">
        <v>45397.0</v>
      </c>
      <c r="C2006" s="24">
        <v>45425.0</v>
      </c>
      <c r="D2006" s="24">
        <v>45402.0</v>
      </c>
      <c r="E2006" s="24">
        <v>45409.0</v>
      </c>
      <c r="F2006" s="6">
        <v>33.0</v>
      </c>
      <c r="G2006" s="9" t="str">
        <f>VLOOKUP(operations[productID],products[],2,FALSE)</f>
        <v>Geitost</v>
      </c>
      <c r="H2006" s="9" t="str">
        <f>IF(VLOOKUP(operations[productID],products[],7,FALSE)=1,"Discontinued","Current")</f>
        <v>Current</v>
      </c>
      <c r="I2006" s="6">
        <f>VLOOKUP(operations[productID],products[],4,FALSE)</f>
        <v>112</v>
      </c>
      <c r="J2006" s="6">
        <f>VLOOKUP(operations[productID],products[],5,FALSE)</f>
        <v>0</v>
      </c>
      <c r="K2006" s="6">
        <f>VLOOKUP(operations[productID],products[],6,FALSE)</f>
        <v>20</v>
      </c>
      <c r="L2006" s="10">
        <f t="array" ref="L2006">INDEX('1 orders'!I2006:I2156, MATCH(1, ('1 orders'!A2006:A2156=A2006)*('1 orders'!G2006:G2156=F2006), 0))
</f>
        <v>30</v>
      </c>
      <c r="M2006" s="10">
        <f>IFERROR(__xludf.DUMMYFUNCTION("COUNTUNIQUEIFS($A$2:$A2006,$F$2:$F2006,F2006)"),30.0)</f>
        <v>30</v>
      </c>
      <c r="N2006" s="10">
        <f t="shared" si="1"/>
        <v>22</v>
      </c>
      <c r="O2006" s="26">
        <f>IF(operations[sinceLastOrder]=0,0,operations[orderQuantity] / operations[sinceLastOrder])</f>
        <v>1.363636364</v>
      </c>
      <c r="P2006" s="9">
        <v>74.36</v>
      </c>
      <c r="Q2006" s="7" t="s">
        <v>15</v>
      </c>
      <c r="R2006" s="10">
        <f>operations[arrivedDate]-operations[shippedDate]</f>
        <v>7</v>
      </c>
    </row>
    <row r="2007" ht="15.75" customHeight="1">
      <c r="A2007" s="6">
        <v>11024.0</v>
      </c>
      <c r="B2007" s="24">
        <v>45397.0</v>
      </c>
      <c r="C2007" s="24">
        <v>45425.0</v>
      </c>
      <c r="D2007" s="24">
        <v>45402.0</v>
      </c>
      <c r="E2007" s="24">
        <v>45409.0</v>
      </c>
      <c r="F2007" s="6">
        <v>65.0</v>
      </c>
      <c r="G2007" s="9" t="str">
        <f>VLOOKUP(operations[productID],products[],2,FALSE)</f>
        <v>Louisiana Fiery Hot Pepper Sauce</v>
      </c>
      <c r="H2007" s="9" t="str">
        <f>IF(VLOOKUP(operations[productID],products[],7,FALSE)=1,"Discontinued","Current")</f>
        <v>Current</v>
      </c>
      <c r="I2007" s="6">
        <f>VLOOKUP(operations[productID],products[],4,FALSE)</f>
        <v>76</v>
      </c>
      <c r="J2007" s="6">
        <f>VLOOKUP(operations[productID],products[],5,FALSE)</f>
        <v>0</v>
      </c>
      <c r="K2007" s="6">
        <f>VLOOKUP(operations[productID],products[],6,FALSE)</f>
        <v>0</v>
      </c>
      <c r="L2007" s="10">
        <f t="array" ref="L2007">INDEX('1 orders'!I2007:I2156, MATCH(1, ('1 orders'!A2007:A2156=A2007)*('1 orders'!G2007:G2156=F2007), 0))
</f>
        <v>21</v>
      </c>
      <c r="M2007" s="10">
        <f>IFERROR(__xludf.DUMMYFUNCTION("COUNTUNIQUEIFS($A$2:$A2007,$F$2:$F2007,F2007)"),32.0)</f>
        <v>32</v>
      </c>
      <c r="N2007" s="10">
        <f t="shared" si="1"/>
        <v>51</v>
      </c>
      <c r="O2007" s="26">
        <f>IF(operations[sinceLastOrder]=0,0,operations[orderQuantity] / operations[sinceLastOrder])</f>
        <v>0.4117647059</v>
      </c>
      <c r="P2007" s="9">
        <v>74.36</v>
      </c>
      <c r="Q2007" s="7" t="s">
        <v>15</v>
      </c>
      <c r="R2007" s="10">
        <f>operations[arrivedDate]-operations[shippedDate]</f>
        <v>7</v>
      </c>
    </row>
    <row r="2008" ht="15.75" customHeight="1">
      <c r="A2008" s="6">
        <v>11024.0</v>
      </c>
      <c r="B2008" s="24">
        <v>45397.0</v>
      </c>
      <c r="C2008" s="24">
        <v>45425.0</v>
      </c>
      <c r="D2008" s="24">
        <v>45402.0</v>
      </c>
      <c r="E2008" s="24">
        <v>45409.0</v>
      </c>
      <c r="F2008" s="6">
        <v>71.0</v>
      </c>
      <c r="G2008" s="9" t="str">
        <f>VLOOKUP(operations[productID],products[],2,FALSE)</f>
        <v>Flotemysost</v>
      </c>
      <c r="H2008" s="9" t="str">
        <f>IF(VLOOKUP(operations[productID],products[],7,FALSE)=1,"Discontinued","Current")</f>
        <v>Current</v>
      </c>
      <c r="I2008" s="6">
        <f>VLOOKUP(operations[productID],products[],4,FALSE)</f>
        <v>26</v>
      </c>
      <c r="J2008" s="6">
        <f>VLOOKUP(operations[productID],products[],5,FALSE)</f>
        <v>0</v>
      </c>
      <c r="K2008" s="6">
        <f>VLOOKUP(operations[productID],products[],6,FALSE)</f>
        <v>0</v>
      </c>
      <c r="L2008" s="10">
        <f t="array" ref="L2008">INDEX('1 orders'!I2008:I2156, MATCH(1, ('1 orders'!A2008:A2156=A2008)*('1 orders'!G2008:G2156=F2008), 0))
</f>
        <v>50</v>
      </c>
      <c r="M2008" s="10">
        <f>IFERROR(__xludf.DUMMYFUNCTION("COUNTUNIQUEIFS($A$2:$A2008,$F$2:$F2008,F2008)"),40.0)</f>
        <v>40</v>
      </c>
      <c r="N2008" s="10">
        <f t="shared" si="1"/>
        <v>6</v>
      </c>
      <c r="O2008" s="26">
        <f>IF(operations[sinceLastOrder]=0,0,operations[orderQuantity] / operations[sinceLastOrder])</f>
        <v>8.333333333</v>
      </c>
      <c r="P2008" s="9">
        <v>74.36</v>
      </c>
      <c r="Q2008" s="7" t="s">
        <v>15</v>
      </c>
      <c r="R2008" s="10">
        <f>operations[arrivedDate]-operations[shippedDate]</f>
        <v>7</v>
      </c>
    </row>
    <row r="2009" ht="15.75" customHeight="1">
      <c r="A2009" s="6">
        <v>11025.0</v>
      </c>
      <c r="B2009" s="24">
        <v>45397.0</v>
      </c>
      <c r="C2009" s="24">
        <v>45425.0</v>
      </c>
      <c r="D2009" s="24">
        <v>45406.0</v>
      </c>
      <c r="E2009" s="24">
        <v>45420.0</v>
      </c>
      <c r="F2009" s="6">
        <v>1.0</v>
      </c>
      <c r="G2009" s="9" t="str">
        <f>VLOOKUP(operations[productID],products[],2,FALSE)</f>
        <v>Chai</v>
      </c>
      <c r="H2009" s="9" t="str">
        <f>IF(VLOOKUP(operations[productID],products[],7,FALSE)=1,"Discontinued","Current")</f>
        <v>Current</v>
      </c>
      <c r="I2009" s="6">
        <f>VLOOKUP(operations[productID],products[],4,FALSE)</f>
        <v>39</v>
      </c>
      <c r="J2009" s="6">
        <f>VLOOKUP(operations[productID],products[],5,FALSE)</f>
        <v>0</v>
      </c>
      <c r="K2009" s="6">
        <f>VLOOKUP(operations[productID],products[],6,FALSE)</f>
        <v>10</v>
      </c>
      <c r="L2009" s="10">
        <f t="array" ref="L2009">INDEX('1 orders'!I2009:I2156, MATCH(1, ('1 orders'!A2009:A2156=A2009)*('1 orders'!G2009:G2156=F2009), 0))
</f>
        <v>10</v>
      </c>
      <c r="M2009" s="10">
        <f>IFERROR(__xludf.DUMMYFUNCTION("COUNTUNIQUEIFS($A$2:$A2009,$F$2:$F2009,F2009)"),34.0)</f>
        <v>34</v>
      </c>
      <c r="N2009" s="10">
        <f t="shared" si="1"/>
        <v>8</v>
      </c>
      <c r="O2009" s="26">
        <f>IF(operations[sinceLastOrder]=0,0,operations[orderQuantity] / operations[sinceLastOrder])</f>
        <v>1.25</v>
      </c>
      <c r="P2009" s="9">
        <v>29.17</v>
      </c>
      <c r="Q2009" s="7" t="s">
        <v>13</v>
      </c>
      <c r="R2009" s="10">
        <f>operations[arrivedDate]-operations[shippedDate]</f>
        <v>14</v>
      </c>
    </row>
    <row r="2010" ht="15.75" customHeight="1">
      <c r="A2010" s="6">
        <v>11025.0</v>
      </c>
      <c r="B2010" s="24">
        <v>45397.0</v>
      </c>
      <c r="C2010" s="24">
        <v>45425.0</v>
      </c>
      <c r="D2010" s="24">
        <v>45406.0</v>
      </c>
      <c r="E2010" s="24">
        <v>45420.0</v>
      </c>
      <c r="F2010" s="6">
        <v>13.0</v>
      </c>
      <c r="G2010" s="9" t="str">
        <f>VLOOKUP(operations[productID],products[],2,FALSE)</f>
        <v>Konbu</v>
      </c>
      <c r="H2010" s="9" t="str">
        <f>IF(VLOOKUP(operations[productID],products[],7,FALSE)=1,"Discontinued","Current")</f>
        <v>Current</v>
      </c>
      <c r="I2010" s="6">
        <f>VLOOKUP(operations[productID],products[],4,FALSE)</f>
        <v>24</v>
      </c>
      <c r="J2010" s="6">
        <f>VLOOKUP(operations[productID],products[],5,FALSE)</f>
        <v>0</v>
      </c>
      <c r="K2010" s="6">
        <f>VLOOKUP(operations[productID],products[],6,FALSE)</f>
        <v>5</v>
      </c>
      <c r="L2010" s="10">
        <f t="array" ref="L2010">INDEX('1 orders'!I2010:I2156, MATCH(1, ('1 orders'!A2010:A2156=A2010)*('1 orders'!G2010:G2156=F2010), 0))
</f>
        <v>20</v>
      </c>
      <c r="M2010" s="10">
        <f>IFERROR(__xludf.DUMMYFUNCTION("COUNTUNIQUEIFS($A$2:$A2010,$F$2:$F2010,F2010)"),35.0)</f>
        <v>35</v>
      </c>
      <c r="N2010" s="10">
        <f t="shared" si="1"/>
        <v>9</v>
      </c>
      <c r="O2010" s="26">
        <f>IF(operations[sinceLastOrder]=0,0,operations[orderQuantity] / operations[sinceLastOrder])</f>
        <v>2.222222222</v>
      </c>
      <c r="P2010" s="9">
        <v>29.17</v>
      </c>
      <c r="Q2010" s="7" t="s">
        <v>13</v>
      </c>
      <c r="R2010" s="10">
        <f>operations[arrivedDate]-operations[shippedDate]</f>
        <v>14</v>
      </c>
    </row>
    <row r="2011" ht="15.75" customHeight="1">
      <c r="A2011" s="6">
        <v>11026.0</v>
      </c>
      <c r="B2011" s="24">
        <v>45397.0</v>
      </c>
      <c r="C2011" s="24">
        <v>45425.0</v>
      </c>
      <c r="D2011" s="24">
        <v>45410.0</v>
      </c>
      <c r="E2011" s="24">
        <v>45418.0</v>
      </c>
      <c r="F2011" s="6">
        <v>18.0</v>
      </c>
      <c r="G2011" s="9" t="str">
        <f>VLOOKUP(operations[productID],products[],2,FALSE)</f>
        <v>Carnarvon Tigers</v>
      </c>
      <c r="H2011" s="9" t="str">
        <f>IF(VLOOKUP(operations[productID],products[],7,FALSE)=1,"Discontinued","Current")</f>
        <v>Current</v>
      </c>
      <c r="I2011" s="6">
        <f>VLOOKUP(operations[productID],products[],4,FALSE)</f>
        <v>42</v>
      </c>
      <c r="J2011" s="6">
        <f>VLOOKUP(operations[productID],products[],5,FALSE)</f>
        <v>0</v>
      </c>
      <c r="K2011" s="6">
        <f>VLOOKUP(operations[productID],products[],6,FALSE)</f>
        <v>0</v>
      </c>
      <c r="L2011" s="10">
        <f t="array" ref="L2011">INDEX('1 orders'!I2011:I2156, MATCH(1, ('1 orders'!A2011:A2156=A2011)*('1 orders'!G2011:G2156=F2011), 0))
</f>
        <v>8</v>
      </c>
      <c r="M2011" s="10">
        <f>IFERROR(__xludf.DUMMYFUNCTION("COUNTUNIQUEIFS($A$2:$A2011,$F$2:$F2011,F2011)"),26.0)</f>
        <v>26</v>
      </c>
      <c r="N2011" s="10">
        <f t="shared" si="1"/>
        <v>2</v>
      </c>
      <c r="O2011" s="26">
        <f>IF(operations[sinceLastOrder]=0,0,operations[orderQuantity] / operations[sinceLastOrder])</f>
        <v>4</v>
      </c>
      <c r="P2011" s="9">
        <v>47.09</v>
      </c>
      <c r="Q2011" s="7" t="s">
        <v>15</v>
      </c>
      <c r="R2011" s="10">
        <f>operations[arrivedDate]-operations[shippedDate]</f>
        <v>8</v>
      </c>
    </row>
    <row r="2012" ht="15.75" customHeight="1">
      <c r="A2012" s="6">
        <v>11026.0</v>
      </c>
      <c r="B2012" s="24">
        <v>45397.0</v>
      </c>
      <c r="C2012" s="24">
        <v>45425.0</v>
      </c>
      <c r="D2012" s="24">
        <v>45410.0</v>
      </c>
      <c r="E2012" s="24">
        <v>45418.0</v>
      </c>
      <c r="F2012" s="6">
        <v>51.0</v>
      </c>
      <c r="G2012" s="9" t="str">
        <f>VLOOKUP(operations[productID],products[],2,FALSE)</f>
        <v>Manjimup Dried Apples</v>
      </c>
      <c r="H2012" s="9" t="str">
        <f>IF(VLOOKUP(operations[productID],products[],7,FALSE)=1,"Discontinued","Current")</f>
        <v>Current</v>
      </c>
      <c r="I2012" s="6">
        <f>VLOOKUP(operations[productID],products[],4,FALSE)</f>
        <v>20</v>
      </c>
      <c r="J2012" s="6">
        <f>VLOOKUP(operations[productID],products[],5,FALSE)</f>
        <v>0</v>
      </c>
      <c r="K2012" s="6">
        <f>VLOOKUP(operations[productID],products[],6,FALSE)</f>
        <v>10</v>
      </c>
      <c r="L2012" s="10">
        <f t="array" ref="L2012">INDEX('1 orders'!I2012:I2156, MATCH(1, ('1 orders'!A2012:A2156=A2012)*('1 orders'!G2012:G2156=F2012), 0))
</f>
        <v>10</v>
      </c>
      <c r="M2012" s="10">
        <f>IFERROR(__xludf.DUMMYFUNCTION("COUNTUNIQUEIFS($A$2:$A2012,$F$2:$F2012,F2012)"),37.0)</f>
        <v>37</v>
      </c>
      <c r="N2012" s="10">
        <f t="shared" si="1"/>
        <v>1</v>
      </c>
      <c r="O2012" s="26">
        <f>IF(operations[sinceLastOrder]=0,0,operations[orderQuantity] / operations[sinceLastOrder])</f>
        <v>10</v>
      </c>
      <c r="P2012" s="9">
        <v>47.09</v>
      </c>
      <c r="Q2012" s="7" t="s">
        <v>15</v>
      </c>
      <c r="R2012" s="10">
        <f>operations[arrivedDate]-operations[shippedDate]</f>
        <v>8</v>
      </c>
    </row>
    <row r="2013" ht="15.75" customHeight="1">
      <c r="A2013" s="6">
        <v>11027.0</v>
      </c>
      <c r="B2013" s="24">
        <v>45398.0</v>
      </c>
      <c r="C2013" s="24">
        <v>45426.0</v>
      </c>
      <c r="D2013" s="24">
        <v>45402.0</v>
      </c>
      <c r="E2013" s="24">
        <v>45412.0</v>
      </c>
      <c r="F2013" s="6">
        <v>24.0</v>
      </c>
      <c r="G2013" s="9" t="str">
        <f>VLOOKUP(operations[productID],products[],2,FALSE)</f>
        <v>Brigadeiros Maravilhosos da Lilian</v>
      </c>
      <c r="H2013" s="9" t="str">
        <f>IF(VLOOKUP(operations[productID],products[],7,FALSE)=1,"Discontinued","Current")</f>
        <v>Discontinued</v>
      </c>
      <c r="I2013" s="6">
        <f>VLOOKUP(operations[productID],products[],4,FALSE)</f>
        <v>20</v>
      </c>
      <c r="J2013" s="6">
        <f>VLOOKUP(operations[productID],products[],5,FALSE)</f>
        <v>0</v>
      </c>
      <c r="K2013" s="6">
        <f>VLOOKUP(operations[productID],products[],6,FALSE)</f>
        <v>0</v>
      </c>
      <c r="L2013" s="10">
        <f t="array" ref="L2013">INDEX('1 orders'!I2013:I2156, MATCH(1, ('1 orders'!A2013:A2156=A2013)*('1 orders'!G2013:G2156=F2013), 0))
</f>
        <v>30</v>
      </c>
      <c r="M2013" s="10">
        <f>IFERROR(__xludf.DUMMYFUNCTION("COUNTUNIQUEIFS($A$2:$A2013,$F$2:$F2013,F2013)"),47.0)</f>
        <v>47</v>
      </c>
      <c r="N2013" s="10">
        <f t="shared" si="1"/>
        <v>7</v>
      </c>
      <c r="O2013" s="26">
        <f>IF(operations[sinceLastOrder]=0,0,operations[orderQuantity] / operations[sinceLastOrder])</f>
        <v>4.285714286</v>
      </c>
      <c r="P2013" s="9">
        <v>52.52</v>
      </c>
      <c r="Q2013" s="7" t="s">
        <v>15</v>
      </c>
      <c r="R2013" s="10">
        <f>operations[arrivedDate]-operations[shippedDate]</f>
        <v>10</v>
      </c>
    </row>
    <row r="2014" ht="15.75" customHeight="1">
      <c r="A2014" s="6">
        <v>11027.0</v>
      </c>
      <c r="B2014" s="24">
        <v>45398.0</v>
      </c>
      <c r="C2014" s="24">
        <v>45426.0</v>
      </c>
      <c r="D2014" s="24">
        <v>45402.0</v>
      </c>
      <c r="E2014" s="24">
        <v>45412.0</v>
      </c>
      <c r="F2014" s="6">
        <v>62.0</v>
      </c>
      <c r="G2014" s="9" t="str">
        <f>VLOOKUP(operations[productID],products[],2,FALSE)</f>
        <v>Tarte au sucre</v>
      </c>
      <c r="H2014" s="9" t="str">
        <f>IF(VLOOKUP(operations[productID],products[],7,FALSE)=1,"Discontinued","Current")</f>
        <v>Current</v>
      </c>
      <c r="I2014" s="6">
        <f>VLOOKUP(operations[productID],products[],4,FALSE)</f>
        <v>17</v>
      </c>
      <c r="J2014" s="6">
        <f>VLOOKUP(operations[productID],products[],5,FALSE)</f>
        <v>0</v>
      </c>
      <c r="K2014" s="6">
        <f>VLOOKUP(operations[productID],products[],6,FALSE)</f>
        <v>0</v>
      </c>
      <c r="L2014" s="10">
        <f t="array" ref="L2014">INDEX('1 orders'!I2014:I2156, MATCH(1, ('1 orders'!A2014:A2156=A2014)*('1 orders'!G2014:G2156=F2014), 0))
</f>
        <v>21</v>
      </c>
      <c r="M2014" s="10">
        <f>IFERROR(__xludf.DUMMYFUNCTION("COUNTUNIQUEIFS($A$2:$A2014,$F$2:$F2014,F2014)"),47.0)</f>
        <v>47</v>
      </c>
      <c r="N2014" s="10">
        <f t="shared" si="1"/>
        <v>16</v>
      </c>
      <c r="O2014" s="26">
        <f>IF(operations[sinceLastOrder]=0,0,operations[orderQuantity] / operations[sinceLastOrder])</f>
        <v>1.3125</v>
      </c>
      <c r="P2014" s="9">
        <v>52.52</v>
      </c>
      <c r="Q2014" s="7" t="s">
        <v>15</v>
      </c>
      <c r="R2014" s="10">
        <f>operations[arrivedDate]-operations[shippedDate]</f>
        <v>10</v>
      </c>
    </row>
    <row r="2015" ht="15.75" customHeight="1">
      <c r="A2015" s="6">
        <v>11028.0</v>
      </c>
      <c r="B2015" s="24">
        <v>45398.0</v>
      </c>
      <c r="C2015" s="24">
        <v>45426.0</v>
      </c>
      <c r="D2015" s="24">
        <v>45404.0</v>
      </c>
      <c r="E2015" s="24">
        <v>45405.0</v>
      </c>
      <c r="F2015" s="6">
        <v>55.0</v>
      </c>
      <c r="G2015" s="9" t="str">
        <f>VLOOKUP(operations[productID],products[],2,FALSE)</f>
        <v>Pâté chinois</v>
      </c>
      <c r="H2015" s="9" t="str">
        <f>IF(VLOOKUP(operations[productID],products[],7,FALSE)=1,"Discontinued","Current")</f>
        <v>Current</v>
      </c>
      <c r="I2015" s="6">
        <f>VLOOKUP(operations[productID],products[],4,FALSE)</f>
        <v>115</v>
      </c>
      <c r="J2015" s="6">
        <f>VLOOKUP(operations[productID],products[],5,FALSE)</f>
        <v>0</v>
      </c>
      <c r="K2015" s="6">
        <f>VLOOKUP(operations[productID],products[],6,FALSE)</f>
        <v>20</v>
      </c>
      <c r="L2015" s="10">
        <f t="array" ref="L2015">INDEX('1 orders'!I2015:I2156, MATCH(1, ('1 orders'!A2015:A2156=A2015)*('1 orders'!G2015:G2156=F2015), 0))
</f>
        <v>35</v>
      </c>
      <c r="M2015" s="10">
        <f>IFERROR(__xludf.DUMMYFUNCTION("COUNTUNIQUEIFS($A$2:$A2015,$F$2:$F2015,F2015)"),30.0)</f>
        <v>30</v>
      </c>
      <c r="N2015" s="10">
        <f t="shared" si="1"/>
        <v>10</v>
      </c>
      <c r="O2015" s="26">
        <f>IF(operations[sinceLastOrder]=0,0,operations[orderQuantity] / operations[sinceLastOrder])</f>
        <v>3.5</v>
      </c>
      <c r="P2015" s="9">
        <v>29.59</v>
      </c>
      <c r="Q2015" s="7" t="s">
        <v>15</v>
      </c>
      <c r="R2015" s="10">
        <f>operations[arrivedDate]-operations[shippedDate]</f>
        <v>1</v>
      </c>
    </row>
    <row r="2016" ht="15.75" customHeight="1">
      <c r="A2016" s="6">
        <v>11028.0</v>
      </c>
      <c r="B2016" s="24">
        <v>45398.0</v>
      </c>
      <c r="C2016" s="24">
        <v>45426.0</v>
      </c>
      <c r="D2016" s="24">
        <v>45404.0</v>
      </c>
      <c r="E2016" s="24">
        <v>45405.0</v>
      </c>
      <c r="F2016" s="6">
        <v>59.0</v>
      </c>
      <c r="G2016" s="9" t="str">
        <f>VLOOKUP(operations[productID],products[],2,FALSE)</f>
        <v>Raclette Courdavault</v>
      </c>
      <c r="H2016" s="9" t="str">
        <f>IF(VLOOKUP(operations[productID],products[],7,FALSE)=1,"Discontinued","Current")</f>
        <v>Current</v>
      </c>
      <c r="I2016" s="6">
        <f>VLOOKUP(operations[productID],products[],4,FALSE)</f>
        <v>79</v>
      </c>
      <c r="J2016" s="6">
        <f>VLOOKUP(operations[productID],products[],5,FALSE)</f>
        <v>0</v>
      </c>
      <c r="K2016" s="6">
        <f>VLOOKUP(operations[productID],products[],6,FALSE)</f>
        <v>0</v>
      </c>
      <c r="L2016" s="10">
        <f t="array" ref="L2016">INDEX('1 orders'!I2016:I2156, MATCH(1, ('1 orders'!A2016:A2156=A2016)*('1 orders'!G2016:G2156=F2016), 0))
</f>
        <v>24</v>
      </c>
      <c r="M2016" s="10">
        <f>IFERROR(__xludf.DUMMYFUNCTION("COUNTUNIQUEIFS($A$2:$A2016,$F$2:$F2016,F2016)"),51.0)</f>
        <v>51</v>
      </c>
      <c r="N2016" s="10">
        <f t="shared" si="1"/>
        <v>3</v>
      </c>
      <c r="O2016" s="26">
        <f>IF(operations[sinceLastOrder]=0,0,operations[orderQuantity] / operations[sinceLastOrder])</f>
        <v>8</v>
      </c>
      <c r="P2016" s="9">
        <v>29.59</v>
      </c>
      <c r="Q2016" s="7" t="s">
        <v>15</v>
      </c>
      <c r="R2016" s="10">
        <f>operations[arrivedDate]-operations[shippedDate]</f>
        <v>1</v>
      </c>
    </row>
    <row r="2017" ht="15.75" customHeight="1">
      <c r="A2017" s="6">
        <v>11029.0</v>
      </c>
      <c r="B2017" s="24">
        <v>45398.0</v>
      </c>
      <c r="C2017" s="24">
        <v>45426.0</v>
      </c>
      <c r="D2017" s="24">
        <v>45409.0</v>
      </c>
      <c r="E2017" s="24">
        <v>45421.0</v>
      </c>
      <c r="F2017" s="6">
        <v>56.0</v>
      </c>
      <c r="G2017" s="9" t="str">
        <f>VLOOKUP(operations[productID],products[],2,FALSE)</f>
        <v>Gnocchi di nonna Alice</v>
      </c>
      <c r="H2017" s="9" t="str">
        <f>IF(VLOOKUP(operations[productID],products[],7,FALSE)=1,"Discontinued","Current")</f>
        <v>Current</v>
      </c>
      <c r="I2017" s="6">
        <f>VLOOKUP(operations[productID],products[],4,FALSE)</f>
        <v>21</v>
      </c>
      <c r="J2017" s="6">
        <f>VLOOKUP(operations[productID],products[],5,FALSE)</f>
        <v>10</v>
      </c>
      <c r="K2017" s="6">
        <f>VLOOKUP(operations[productID],products[],6,FALSE)</f>
        <v>30</v>
      </c>
      <c r="L2017" s="10">
        <f t="array" ref="L2017">INDEX('1 orders'!I2017:I2156, MATCH(1, ('1 orders'!A2017:A2156=A2017)*('1 orders'!G2017:G2156=F2017), 0))
</f>
        <v>20</v>
      </c>
      <c r="M2017" s="10">
        <f>IFERROR(__xludf.DUMMYFUNCTION("COUNTUNIQUEIFS($A$2:$A2017,$F$2:$F2017,F2017)"),50.0)</f>
        <v>50</v>
      </c>
      <c r="N2017" s="10">
        <f t="shared" si="1"/>
        <v>3</v>
      </c>
      <c r="O2017" s="26">
        <f>IF(operations[sinceLastOrder]=0,0,operations[orderQuantity] / operations[sinceLastOrder])</f>
        <v>6.666666667</v>
      </c>
      <c r="P2017" s="9">
        <v>47.84</v>
      </c>
      <c r="Q2017" s="7" t="s">
        <v>15</v>
      </c>
      <c r="R2017" s="10">
        <f>operations[arrivedDate]-operations[shippedDate]</f>
        <v>12</v>
      </c>
    </row>
    <row r="2018" ht="15.75" customHeight="1">
      <c r="A2018" s="6">
        <v>11029.0</v>
      </c>
      <c r="B2018" s="24">
        <v>45398.0</v>
      </c>
      <c r="C2018" s="24">
        <v>45426.0</v>
      </c>
      <c r="D2018" s="24">
        <v>45409.0</v>
      </c>
      <c r="E2018" s="24">
        <v>45421.0</v>
      </c>
      <c r="F2018" s="6">
        <v>63.0</v>
      </c>
      <c r="G2018" s="9" t="str">
        <f>VLOOKUP(operations[productID],products[],2,FALSE)</f>
        <v>Vegie-spread</v>
      </c>
      <c r="H2018" s="9" t="str">
        <f>IF(VLOOKUP(operations[productID],products[],7,FALSE)=1,"Discontinued","Current")</f>
        <v>Current</v>
      </c>
      <c r="I2018" s="6">
        <f>VLOOKUP(operations[productID],products[],4,FALSE)</f>
        <v>24</v>
      </c>
      <c r="J2018" s="6">
        <f>VLOOKUP(operations[productID],products[],5,FALSE)</f>
        <v>0</v>
      </c>
      <c r="K2018" s="6">
        <f>VLOOKUP(operations[productID],products[],6,FALSE)</f>
        <v>5</v>
      </c>
      <c r="L2018" s="10">
        <f t="array" ref="L2018">INDEX('1 orders'!I2018:I2156, MATCH(1, ('1 orders'!A2018:A2156=A2018)*('1 orders'!G2018:G2156=F2018), 0))
</f>
        <v>12</v>
      </c>
      <c r="M2018" s="10">
        <f>IFERROR(__xludf.DUMMYFUNCTION("COUNTUNIQUEIFS($A$2:$A2018,$F$2:$F2018,F2018)"),16.0)</f>
        <v>16</v>
      </c>
      <c r="N2018" s="10">
        <f t="shared" si="1"/>
        <v>21</v>
      </c>
      <c r="O2018" s="26">
        <f>IF(operations[sinceLastOrder]=0,0,operations[orderQuantity] / operations[sinceLastOrder])</f>
        <v>0.5714285714</v>
      </c>
      <c r="P2018" s="9">
        <v>47.84</v>
      </c>
      <c r="Q2018" s="7" t="s">
        <v>15</v>
      </c>
      <c r="R2018" s="10">
        <f>operations[arrivedDate]-operations[shippedDate]</f>
        <v>12</v>
      </c>
    </row>
    <row r="2019" ht="15.75" customHeight="1">
      <c r="A2019" s="6">
        <v>11030.0</v>
      </c>
      <c r="B2019" s="24">
        <v>45399.0</v>
      </c>
      <c r="C2019" s="24">
        <v>45427.0</v>
      </c>
      <c r="D2019" s="24">
        <v>45409.0</v>
      </c>
      <c r="E2019" s="24">
        <v>45426.0</v>
      </c>
      <c r="F2019" s="6">
        <v>2.0</v>
      </c>
      <c r="G2019" s="9" t="str">
        <f>VLOOKUP(operations[productID],products[],2,FALSE)</f>
        <v>Chang</v>
      </c>
      <c r="H2019" s="9" t="str">
        <f>IF(VLOOKUP(operations[productID],products[],7,FALSE)=1,"Discontinued","Current")</f>
        <v>Current</v>
      </c>
      <c r="I2019" s="6">
        <f>VLOOKUP(operations[productID],products[],4,FALSE)</f>
        <v>17</v>
      </c>
      <c r="J2019" s="6">
        <f>VLOOKUP(operations[productID],products[],5,FALSE)</f>
        <v>40</v>
      </c>
      <c r="K2019" s="6">
        <f>VLOOKUP(operations[productID],products[],6,FALSE)</f>
        <v>25</v>
      </c>
      <c r="L2019" s="10">
        <f t="array" ref="L2019">INDEX('1 orders'!I2019:I2156, MATCH(1, ('1 orders'!A2019:A2156=A2019)*('1 orders'!G2019:G2156=F2019), 0))
</f>
        <v>100</v>
      </c>
      <c r="M2019" s="10">
        <f>IFERROR(__xludf.DUMMYFUNCTION("COUNTUNIQUEIFS($A$2:$A2019,$F$2:$F2019,F2019)"),38.0)</f>
        <v>38</v>
      </c>
      <c r="N2019" s="10">
        <f t="shared" si="1"/>
        <v>3</v>
      </c>
      <c r="O2019" s="26">
        <f>IF(operations[sinceLastOrder]=0,0,operations[orderQuantity] / operations[sinceLastOrder])</f>
        <v>33.33333333</v>
      </c>
      <c r="P2019" s="9">
        <v>830.75</v>
      </c>
      <c r="Q2019" s="7" t="s">
        <v>17</v>
      </c>
      <c r="R2019" s="10">
        <f>operations[arrivedDate]-operations[shippedDate]</f>
        <v>17</v>
      </c>
    </row>
    <row r="2020" ht="15.75" customHeight="1">
      <c r="A2020" s="6">
        <v>11030.0</v>
      </c>
      <c r="B2020" s="24">
        <v>45399.0</v>
      </c>
      <c r="C2020" s="24">
        <v>45427.0</v>
      </c>
      <c r="D2020" s="24">
        <v>45409.0</v>
      </c>
      <c r="E2020" s="24">
        <v>45426.0</v>
      </c>
      <c r="F2020" s="6">
        <v>5.0</v>
      </c>
      <c r="G2020" s="9" t="str">
        <f>VLOOKUP(operations[productID],products[],2,FALSE)</f>
        <v>Chef Anton's Gumbo Mix</v>
      </c>
      <c r="H2020" s="9" t="str">
        <f>IF(VLOOKUP(operations[productID],products[],7,FALSE)=1,"Discontinued","Current")</f>
        <v>Discontinued</v>
      </c>
      <c r="I2020" s="6">
        <f>VLOOKUP(operations[productID],products[],4,FALSE)</f>
        <v>0</v>
      </c>
      <c r="J2020" s="6">
        <f>VLOOKUP(operations[productID],products[],5,FALSE)</f>
        <v>0</v>
      </c>
      <c r="K2020" s="6">
        <f>VLOOKUP(operations[productID],products[],6,FALSE)</f>
        <v>0</v>
      </c>
      <c r="L2020" s="10">
        <f t="array" ref="L2020">INDEX('1 orders'!I2020:I2156, MATCH(1, ('1 orders'!A2020:A2156=A2020)*('1 orders'!G2020:G2156=F2020), 0))
</f>
        <v>70</v>
      </c>
      <c r="M2020" s="10">
        <f>IFERROR(__xludf.DUMMYFUNCTION("COUNTUNIQUEIFS($A$2:$A2020,$F$2:$F2020,F2020)"),9.0)</f>
        <v>9</v>
      </c>
      <c r="N2020" s="10">
        <f t="shared" si="1"/>
        <v>30</v>
      </c>
      <c r="O2020" s="26">
        <f>IF(operations[sinceLastOrder]=0,0,operations[orderQuantity] / operations[sinceLastOrder])</f>
        <v>2.333333333</v>
      </c>
      <c r="P2020" s="9">
        <v>830.75</v>
      </c>
      <c r="Q2020" s="7" t="s">
        <v>17</v>
      </c>
      <c r="R2020" s="10">
        <f>operations[arrivedDate]-operations[shippedDate]</f>
        <v>17</v>
      </c>
    </row>
    <row r="2021" ht="15.75" customHeight="1">
      <c r="A2021" s="6">
        <v>11030.0</v>
      </c>
      <c r="B2021" s="24">
        <v>45399.0</v>
      </c>
      <c r="C2021" s="24">
        <v>45427.0</v>
      </c>
      <c r="D2021" s="24">
        <v>45409.0</v>
      </c>
      <c r="E2021" s="24">
        <v>45426.0</v>
      </c>
      <c r="F2021" s="6">
        <v>29.0</v>
      </c>
      <c r="G2021" s="9" t="str">
        <f>VLOOKUP(operations[productID],products[],2,FALSE)</f>
        <v>Thüringer Rostbratwurst</v>
      </c>
      <c r="H2021" s="9" t="str">
        <f>IF(VLOOKUP(operations[productID],products[],7,FALSE)=1,"Discontinued","Current")</f>
        <v>Discontinued</v>
      </c>
      <c r="I2021" s="6">
        <f>VLOOKUP(operations[productID],products[],4,FALSE)</f>
        <v>0</v>
      </c>
      <c r="J2021" s="6">
        <f>VLOOKUP(operations[productID],products[],5,FALSE)</f>
        <v>0</v>
      </c>
      <c r="K2021" s="6">
        <f>VLOOKUP(operations[productID],products[],6,FALSE)</f>
        <v>0</v>
      </c>
      <c r="L2021" s="10">
        <f t="array" ref="L2021">INDEX('1 orders'!I2021:I2156, MATCH(1, ('1 orders'!A2021:A2156=A2021)*('1 orders'!G2021:G2156=F2021), 0))
</f>
        <v>60</v>
      </c>
      <c r="M2021" s="10">
        <f>IFERROR(__xludf.DUMMYFUNCTION("COUNTUNIQUEIFS($A$2:$A2021,$F$2:$F2021,F2021)"),32.0)</f>
        <v>32</v>
      </c>
      <c r="N2021" s="10">
        <f t="shared" si="1"/>
        <v>9</v>
      </c>
      <c r="O2021" s="26">
        <f>IF(operations[sinceLastOrder]=0,0,operations[orderQuantity] / operations[sinceLastOrder])</f>
        <v>6.666666667</v>
      </c>
      <c r="P2021" s="9">
        <v>830.75</v>
      </c>
      <c r="Q2021" s="7" t="s">
        <v>17</v>
      </c>
      <c r="R2021" s="10">
        <f>operations[arrivedDate]-operations[shippedDate]</f>
        <v>17</v>
      </c>
    </row>
    <row r="2022" ht="15.75" customHeight="1">
      <c r="A2022" s="6">
        <v>11030.0</v>
      </c>
      <c r="B2022" s="24">
        <v>45399.0</v>
      </c>
      <c r="C2022" s="24">
        <v>45427.0</v>
      </c>
      <c r="D2022" s="24">
        <v>45409.0</v>
      </c>
      <c r="E2022" s="24">
        <v>45426.0</v>
      </c>
      <c r="F2022" s="6">
        <v>59.0</v>
      </c>
      <c r="G2022" s="9" t="str">
        <f>VLOOKUP(operations[productID],products[],2,FALSE)</f>
        <v>Raclette Courdavault</v>
      </c>
      <c r="H2022" s="9" t="str">
        <f>IF(VLOOKUP(operations[productID],products[],7,FALSE)=1,"Discontinued","Current")</f>
        <v>Current</v>
      </c>
      <c r="I2022" s="6">
        <f>VLOOKUP(operations[productID],products[],4,FALSE)</f>
        <v>79</v>
      </c>
      <c r="J2022" s="6">
        <f>VLOOKUP(operations[productID],products[],5,FALSE)</f>
        <v>0</v>
      </c>
      <c r="K2022" s="6">
        <f>VLOOKUP(operations[productID],products[],6,FALSE)</f>
        <v>0</v>
      </c>
      <c r="L2022" s="10">
        <f t="array" ref="L2022">INDEX('1 orders'!I2022:I2156, MATCH(1, ('1 orders'!A2022:A2156=A2022)*('1 orders'!G2022:G2156=F2022), 0))
</f>
        <v>100</v>
      </c>
      <c r="M2022" s="10">
        <f>IFERROR(__xludf.DUMMYFUNCTION("COUNTUNIQUEIFS($A$2:$A2022,$F$2:$F2022,F2022)"),52.0)</f>
        <v>52</v>
      </c>
      <c r="N2022" s="10">
        <f t="shared" si="1"/>
        <v>1</v>
      </c>
      <c r="O2022" s="26">
        <f>IF(operations[sinceLastOrder]=0,0,operations[orderQuantity] / operations[sinceLastOrder])</f>
        <v>100</v>
      </c>
      <c r="P2022" s="9">
        <v>830.75</v>
      </c>
      <c r="Q2022" s="7" t="s">
        <v>17</v>
      </c>
      <c r="R2022" s="10">
        <f>operations[arrivedDate]-operations[shippedDate]</f>
        <v>17</v>
      </c>
    </row>
    <row r="2023" ht="15.75" customHeight="1">
      <c r="A2023" s="6">
        <v>11031.0</v>
      </c>
      <c r="B2023" s="24">
        <v>45399.0</v>
      </c>
      <c r="C2023" s="24">
        <v>45427.0</v>
      </c>
      <c r="D2023" s="24">
        <v>45406.0</v>
      </c>
      <c r="E2023" s="24">
        <v>45421.0</v>
      </c>
      <c r="F2023" s="6">
        <v>1.0</v>
      </c>
      <c r="G2023" s="9" t="str">
        <f>VLOOKUP(operations[productID],products[],2,FALSE)</f>
        <v>Chai</v>
      </c>
      <c r="H2023" s="9" t="str">
        <f>IF(VLOOKUP(operations[productID],products[],7,FALSE)=1,"Discontinued","Current")</f>
        <v>Current</v>
      </c>
      <c r="I2023" s="6">
        <f>VLOOKUP(operations[productID],products[],4,FALSE)</f>
        <v>39</v>
      </c>
      <c r="J2023" s="6">
        <f>VLOOKUP(operations[productID],products[],5,FALSE)</f>
        <v>0</v>
      </c>
      <c r="K2023" s="6">
        <f>VLOOKUP(operations[productID],products[],6,FALSE)</f>
        <v>10</v>
      </c>
      <c r="L2023" s="10">
        <f t="array" ref="L2023">INDEX('1 orders'!I2023:I2156, MATCH(1, ('1 orders'!A2023:A2156=A2023)*('1 orders'!G2023:G2156=F2023), 0))
</f>
        <v>45</v>
      </c>
      <c r="M2023" s="10">
        <f>IFERROR(__xludf.DUMMYFUNCTION("COUNTUNIQUEIFS($A$2:$A2023,$F$2:$F2023,F2023)"),35.0)</f>
        <v>35</v>
      </c>
      <c r="N2023" s="10">
        <f t="shared" si="1"/>
        <v>2</v>
      </c>
      <c r="O2023" s="26">
        <f>IF(operations[sinceLastOrder]=0,0,operations[orderQuantity] / operations[sinceLastOrder])</f>
        <v>22.5</v>
      </c>
      <c r="P2023" s="9">
        <v>227.22</v>
      </c>
      <c r="Q2023" s="7" t="s">
        <v>17</v>
      </c>
      <c r="R2023" s="10">
        <f>operations[arrivedDate]-operations[shippedDate]</f>
        <v>15</v>
      </c>
    </row>
    <row r="2024" ht="15.75" customHeight="1">
      <c r="A2024" s="6">
        <v>11031.0</v>
      </c>
      <c r="B2024" s="24">
        <v>45399.0</v>
      </c>
      <c r="C2024" s="24">
        <v>45427.0</v>
      </c>
      <c r="D2024" s="24">
        <v>45406.0</v>
      </c>
      <c r="E2024" s="24">
        <v>45421.0</v>
      </c>
      <c r="F2024" s="6">
        <v>13.0</v>
      </c>
      <c r="G2024" s="9" t="str">
        <f>VLOOKUP(operations[productID],products[],2,FALSE)</f>
        <v>Konbu</v>
      </c>
      <c r="H2024" s="9" t="str">
        <f>IF(VLOOKUP(operations[productID],products[],7,FALSE)=1,"Discontinued","Current")</f>
        <v>Current</v>
      </c>
      <c r="I2024" s="6">
        <f>VLOOKUP(operations[productID],products[],4,FALSE)</f>
        <v>24</v>
      </c>
      <c r="J2024" s="6">
        <f>VLOOKUP(operations[productID],products[],5,FALSE)</f>
        <v>0</v>
      </c>
      <c r="K2024" s="6">
        <f>VLOOKUP(operations[productID],products[],6,FALSE)</f>
        <v>5</v>
      </c>
      <c r="L2024" s="10">
        <f t="array" ref="L2024">INDEX('1 orders'!I2024:I2156, MATCH(1, ('1 orders'!A2024:A2156=A2024)*('1 orders'!G2024:G2156=F2024), 0))
</f>
        <v>80</v>
      </c>
      <c r="M2024" s="10">
        <f>IFERROR(__xludf.DUMMYFUNCTION("COUNTUNIQUEIFS($A$2:$A2024,$F$2:$F2024,F2024)"),36.0)</f>
        <v>36</v>
      </c>
      <c r="N2024" s="10">
        <f t="shared" si="1"/>
        <v>2</v>
      </c>
      <c r="O2024" s="26">
        <f>IF(operations[sinceLastOrder]=0,0,operations[orderQuantity] / operations[sinceLastOrder])</f>
        <v>40</v>
      </c>
      <c r="P2024" s="9">
        <v>227.22</v>
      </c>
      <c r="Q2024" s="7" t="s">
        <v>17</v>
      </c>
      <c r="R2024" s="10">
        <f>operations[arrivedDate]-operations[shippedDate]</f>
        <v>15</v>
      </c>
    </row>
    <row r="2025" ht="15.75" customHeight="1">
      <c r="A2025" s="6">
        <v>11031.0</v>
      </c>
      <c r="B2025" s="24">
        <v>45399.0</v>
      </c>
      <c r="C2025" s="24">
        <v>45427.0</v>
      </c>
      <c r="D2025" s="24">
        <v>45406.0</v>
      </c>
      <c r="E2025" s="24">
        <v>45421.0</v>
      </c>
      <c r="F2025" s="6">
        <v>24.0</v>
      </c>
      <c r="G2025" s="9" t="str">
        <f>VLOOKUP(operations[productID],products[],2,FALSE)</f>
        <v>Brigadeiros Maravilhosos da Lilian</v>
      </c>
      <c r="H2025" s="9" t="str">
        <f>IF(VLOOKUP(operations[productID],products[],7,FALSE)=1,"Discontinued","Current")</f>
        <v>Discontinued</v>
      </c>
      <c r="I2025" s="6">
        <f>VLOOKUP(operations[productID],products[],4,FALSE)</f>
        <v>20</v>
      </c>
      <c r="J2025" s="6">
        <f>VLOOKUP(operations[productID],products[],5,FALSE)</f>
        <v>0</v>
      </c>
      <c r="K2025" s="6">
        <f>VLOOKUP(operations[productID],products[],6,FALSE)</f>
        <v>0</v>
      </c>
      <c r="L2025" s="10">
        <f t="array" ref="L2025">INDEX('1 orders'!I2025:I2156, MATCH(1, ('1 orders'!A2025:A2156=A2025)*('1 orders'!G2025:G2156=F2025), 0))
</f>
        <v>21</v>
      </c>
      <c r="M2025" s="10">
        <f>IFERROR(__xludf.DUMMYFUNCTION("COUNTUNIQUEIFS($A$2:$A2025,$F$2:$F2025,F2025)"),48.0)</f>
        <v>48</v>
      </c>
      <c r="N2025" s="10">
        <f t="shared" si="1"/>
        <v>1</v>
      </c>
      <c r="O2025" s="26">
        <f>IF(operations[sinceLastOrder]=0,0,operations[orderQuantity] / operations[sinceLastOrder])</f>
        <v>21</v>
      </c>
      <c r="P2025" s="9">
        <v>227.22</v>
      </c>
      <c r="Q2025" s="7" t="s">
        <v>17</v>
      </c>
      <c r="R2025" s="10">
        <f>operations[arrivedDate]-operations[shippedDate]</f>
        <v>15</v>
      </c>
    </row>
    <row r="2026" ht="15.75" customHeight="1">
      <c r="A2026" s="6">
        <v>11031.0</v>
      </c>
      <c r="B2026" s="24">
        <v>45399.0</v>
      </c>
      <c r="C2026" s="24">
        <v>45427.0</v>
      </c>
      <c r="D2026" s="24">
        <v>45406.0</v>
      </c>
      <c r="E2026" s="24">
        <v>45421.0</v>
      </c>
      <c r="F2026" s="6">
        <v>64.0</v>
      </c>
      <c r="G2026" s="9" t="str">
        <f>VLOOKUP(operations[productID],products[],2,FALSE)</f>
        <v>Lukas' leckere Sauerteigweggla</v>
      </c>
      <c r="H2026" s="9" t="str">
        <f>IF(VLOOKUP(operations[productID],products[],7,FALSE)=1,"Discontinued","Current")</f>
        <v>Current</v>
      </c>
      <c r="I2026" s="6">
        <f>VLOOKUP(operations[productID],products[],4,FALSE)</f>
        <v>22</v>
      </c>
      <c r="J2026" s="6">
        <f>VLOOKUP(operations[productID],products[],5,FALSE)</f>
        <v>80</v>
      </c>
      <c r="K2026" s="6">
        <f>VLOOKUP(operations[productID],products[],6,FALSE)</f>
        <v>30</v>
      </c>
      <c r="L2026" s="10">
        <f t="array" ref="L2026">INDEX('1 orders'!I2026:I2156, MATCH(1, ('1 orders'!A2026:A2156=A2026)*('1 orders'!G2026:G2156=F2026), 0))
</f>
        <v>20</v>
      </c>
      <c r="M2026" s="10">
        <f>IFERROR(__xludf.DUMMYFUNCTION("COUNTUNIQUEIFS($A$2:$A2026,$F$2:$F2026,F2026)"),27.0)</f>
        <v>27</v>
      </c>
      <c r="N2026" s="10">
        <f t="shared" si="1"/>
        <v>25</v>
      </c>
      <c r="O2026" s="26">
        <f>IF(operations[sinceLastOrder]=0,0,operations[orderQuantity] / operations[sinceLastOrder])</f>
        <v>0.8</v>
      </c>
      <c r="P2026" s="9">
        <v>227.22</v>
      </c>
      <c r="Q2026" s="7" t="s">
        <v>17</v>
      </c>
      <c r="R2026" s="10">
        <f>operations[arrivedDate]-operations[shippedDate]</f>
        <v>15</v>
      </c>
    </row>
    <row r="2027" ht="15.75" customHeight="1">
      <c r="A2027" s="6">
        <v>11031.0</v>
      </c>
      <c r="B2027" s="24">
        <v>45399.0</v>
      </c>
      <c r="C2027" s="24">
        <v>45427.0</v>
      </c>
      <c r="D2027" s="24">
        <v>45406.0</v>
      </c>
      <c r="E2027" s="24">
        <v>45421.0</v>
      </c>
      <c r="F2027" s="6">
        <v>71.0</v>
      </c>
      <c r="G2027" s="9" t="str">
        <f>VLOOKUP(operations[productID],products[],2,FALSE)</f>
        <v>Flotemysost</v>
      </c>
      <c r="H2027" s="9" t="str">
        <f>IF(VLOOKUP(operations[productID],products[],7,FALSE)=1,"Discontinued","Current")</f>
        <v>Current</v>
      </c>
      <c r="I2027" s="6">
        <f>VLOOKUP(operations[productID],products[],4,FALSE)</f>
        <v>26</v>
      </c>
      <c r="J2027" s="6">
        <f>VLOOKUP(operations[productID],products[],5,FALSE)</f>
        <v>0</v>
      </c>
      <c r="K2027" s="6">
        <f>VLOOKUP(operations[productID],products[],6,FALSE)</f>
        <v>0</v>
      </c>
      <c r="L2027" s="10">
        <f t="array" ref="L2027">INDEX('1 orders'!I2027:I2156, MATCH(1, ('1 orders'!A2027:A2156=A2027)*('1 orders'!G2027:G2156=F2027), 0))
</f>
        <v>16</v>
      </c>
      <c r="M2027" s="10">
        <f>IFERROR(__xludf.DUMMYFUNCTION("COUNTUNIQUEIFS($A$2:$A2027,$F$2:$F2027,F2027)"),41.0)</f>
        <v>41</v>
      </c>
      <c r="N2027" s="10">
        <f t="shared" si="1"/>
        <v>2</v>
      </c>
      <c r="O2027" s="26">
        <f>IF(operations[sinceLastOrder]=0,0,operations[orderQuantity] / operations[sinceLastOrder])</f>
        <v>8</v>
      </c>
      <c r="P2027" s="9">
        <v>227.22</v>
      </c>
      <c r="Q2027" s="7" t="s">
        <v>17</v>
      </c>
      <c r="R2027" s="10">
        <f>operations[arrivedDate]-operations[shippedDate]</f>
        <v>15</v>
      </c>
    </row>
    <row r="2028" ht="15.75" customHeight="1">
      <c r="A2028" s="6">
        <v>11032.0</v>
      </c>
      <c r="B2028" s="24">
        <v>45399.0</v>
      </c>
      <c r="C2028" s="24">
        <v>45427.0</v>
      </c>
      <c r="D2028" s="24">
        <v>45405.0</v>
      </c>
      <c r="E2028" s="24">
        <v>45419.0</v>
      </c>
      <c r="F2028" s="6">
        <v>36.0</v>
      </c>
      <c r="G2028" s="9" t="str">
        <f>VLOOKUP(operations[productID],products[],2,FALSE)</f>
        <v>Inlagd Sill</v>
      </c>
      <c r="H2028" s="9" t="str">
        <f>IF(VLOOKUP(operations[productID],products[],7,FALSE)=1,"Discontinued","Current")</f>
        <v>Current</v>
      </c>
      <c r="I2028" s="6">
        <f>VLOOKUP(operations[productID],products[],4,FALSE)</f>
        <v>112</v>
      </c>
      <c r="J2028" s="6">
        <f>VLOOKUP(operations[productID],products[],5,FALSE)</f>
        <v>0</v>
      </c>
      <c r="K2028" s="6">
        <f>VLOOKUP(operations[productID],products[],6,FALSE)</f>
        <v>20</v>
      </c>
      <c r="L2028" s="10">
        <f t="array" ref="L2028">INDEX('1 orders'!I2028:I2156, MATCH(1, ('1 orders'!A2028:A2156=A2028)*('1 orders'!G2028:G2156=F2028), 0))
</f>
        <v>35</v>
      </c>
      <c r="M2028" s="10">
        <f>IFERROR(__xludf.DUMMYFUNCTION("COUNTUNIQUEIFS($A$2:$A2028,$F$2:$F2028,F2028)"),31.0)</f>
        <v>31</v>
      </c>
      <c r="N2028" s="10">
        <f t="shared" si="1"/>
        <v>7</v>
      </c>
      <c r="O2028" s="26">
        <f>IF(operations[sinceLastOrder]=0,0,operations[orderQuantity] / operations[sinceLastOrder])</f>
        <v>5</v>
      </c>
      <c r="P2028" s="9">
        <v>606.19</v>
      </c>
      <c r="Q2028" s="7" t="s">
        <v>13</v>
      </c>
      <c r="R2028" s="10">
        <f>operations[arrivedDate]-operations[shippedDate]</f>
        <v>14</v>
      </c>
    </row>
    <row r="2029" ht="15.75" customHeight="1">
      <c r="A2029" s="6">
        <v>11032.0</v>
      </c>
      <c r="B2029" s="24">
        <v>45399.0</v>
      </c>
      <c r="C2029" s="24">
        <v>45427.0</v>
      </c>
      <c r="D2029" s="24">
        <v>45405.0</v>
      </c>
      <c r="E2029" s="24">
        <v>45419.0</v>
      </c>
      <c r="F2029" s="6">
        <v>38.0</v>
      </c>
      <c r="G2029" s="9" t="str">
        <f>VLOOKUP(operations[productID],products[],2,FALSE)</f>
        <v>Côte de Blaye</v>
      </c>
      <c r="H2029" s="9" t="str">
        <f>IF(VLOOKUP(operations[productID],products[],7,FALSE)=1,"Discontinued","Current")</f>
        <v>Current</v>
      </c>
      <c r="I2029" s="6">
        <f>VLOOKUP(operations[productID],products[],4,FALSE)</f>
        <v>17</v>
      </c>
      <c r="J2029" s="6">
        <f>VLOOKUP(operations[productID],products[],5,FALSE)</f>
        <v>0</v>
      </c>
      <c r="K2029" s="6">
        <f>VLOOKUP(operations[productID],products[],6,FALSE)</f>
        <v>15</v>
      </c>
      <c r="L2029" s="10">
        <f t="array" ref="L2029">INDEX('1 orders'!I2029:I2156, MATCH(1, ('1 orders'!A2029:A2156=A2029)*('1 orders'!G2029:G2156=F2029), 0))
</f>
        <v>25</v>
      </c>
      <c r="M2029" s="10">
        <f>IFERROR(__xludf.DUMMYFUNCTION("COUNTUNIQUEIFS($A$2:$A2029,$F$2:$F2029,F2029)"),24.0)</f>
        <v>24</v>
      </c>
      <c r="N2029" s="10">
        <f t="shared" si="1"/>
        <v>21</v>
      </c>
      <c r="O2029" s="26">
        <f>IF(operations[sinceLastOrder]=0,0,operations[orderQuantity] / operations[sinceLastOrder])</f>
        <v>1.19047619</v>
      </c>
      <c r="P2029" s="9">
        <v>606.19</v>
      </c>
      <c r="Q2029" s="7" t="s">
        <v>13</v>
      </c>
      <c r="R2029" s="10">
        <f>operations[arrivedDate]-operations[shippedDate]</f>
        <v>14</v>
      </c>
    </row>
    <row r="2030" ht="15.75" customHeight="1">
      <c r="A2030" s="6">
        <v>11032.0</v>
      </c>
      <c r="B2030" s="24">
        <v>45399.0</v>
      </c>
      <c r="C2030" s="24">
        <v>45427.0</v>
      </c>
      <c r="D2030" s="24">
        <v>45405.0</v>
      </c>
      <c r="E2030" s="24">
        <v>45419.0</v>
      </c>
      <c r="F2030" s="6">
        <v>59.0</v>
      </c>
      <c r="G2030" s="9" t="str">
        <f>VLOOKUP(operations[productID],products[],2,FALSE)</f>
        <v>Raclette Courdavault</v>
      </c>
      <c r="H2030" s="9" t="str">
        <f>IF(VLOOKUP(operations[productID],products[],7,FALSE)=1,"Discontinued","Current")</f>
        <v>Current</v>
      </c>
      <c r="I2030" s="6">
        <f>VLOOKUP(operations[productID],products[],4,FALSE)</f>
        <v>79</v>
      </c>
      <c r="J2030" s="6">
        <f>VLOOKUP(operations[productID],products[],5,FALSE)</f>
        <v>0</v>
      </c>
      <c r="K2030" s="6">
        <f>VLOOKUP(operations[productID],products[],6,FALSE)</f>
        <v>0</v>
      </c>
      <c r="L2030" s="10">
        <f t="array" ref="L2030">INDEX('1 orders'!I2030:I2156, MATCH(1, ('1 orders'!A2030:A2156=A2030)*('1 orders'!G2030:G2156=F2030), 0))
</f>
        <v>30</v>
      </c>
      <c r="M2030" s="10">
        <f>IFERROR(__xludf.DUMMYFUNCTION("COUNTUNIQUEIFS($A$2:$A2030,$F$2:$F2030,F2030)"),53.0)</f>
        <v>53</v>
      </c>
      <c r="N2030" s="10">
        <f t="shared" si="1"/>
        <v>0</v>
      </c>
      <c r="O2030" s="26">
        <f>IF(operations[sinceLastOrder]=0,0,operations[orderQuantity] / operations[sinceLastOrder])</f>
        <v>0</v>
      </c>
      <c r="P2030" s="9">
        <v>606.19</v>
      </c>
      <c r="Q2030" s="7" t="s">
        <v>13</v>
      </c>
      <c r="R2030" s="10">
        <f>operations[arrivedDate]-operations[shippedDate]</f>
        <v>14</v>
      </c>
    </row>
    <row r="2031" ht="15.75" customHeight="1">
      <c r="A2031" s="6">
        <v>11033.0</v>
      </c>
      <c r="B2031" s="24">
        <v>45399.0</v>
      </c>
      <c r="C2031" s="24">
        <v>45427.0</v>
      </c>
      <c r="D2031" s="24">
        <v>45405.0</v>
      </c>
      <c r="E2031" s="24">
        <v>45415.0</v>
      </c>
      <c r="F2031" s="6">
        <v>53.0</v>
      </c>
      <c r="G2031" s="9" t="str">
        <f>VLOOKUP(operations[productID],products[],2,FALSE)</f>
        <v>Perth Pasties</v>
      </c>
      <c r="H2031" s="9" t="str">
        <f>IF(VLOOKUP(operations[productID],products[],7,FALSE)=1,"Discontinued","Current")</f>
        <v>Discontinued</v>
      </c>
      <c r="I2031" s="6">
        <f>VLOOKUP(operations[productID],products[],4,FALSE)</f>
        <v>0</v>
      </c>
      <c r="J2031" s="6">
        <f>VLOOKUP(operations[productID],products[],5,FALSE)</f>
        <v>0</v>
      </c>
      <c r="K2031" s="6">
        <f>VLOOKUP(operations[productID],products[],6,FALSE)</f>
        <v>0</v>
      </c>
      <c r="L2031" s="10">
        <f t="array" ref="L2031">INDEX('1 orders'!I2031:I2156, MATCH(1, ('1 orders'!A2031:A2156=A2031)*('1 orders'!G2031:G2156=F2031), 0))
</f>
        <v>70</v>
      </c>
      <c r="M2031" s="10">
        <f>IFERROR(__xludf.DUMMYFUNCTION("COUNTUNIQUEIFS($A$2:$A2031,$F$2:$F2031,F2031)"),28.0)</f>
        <v>28</v>
      </c>
      <c r="N2031" s="10">
        <f t="shared" si="1"/>
        <v>29</v>
      </c>
      <c r="O2031" s="26">
        <f>IF(operations[sinceLastOrder]=0,0,operations[orderQuantity] / operations[sinceLastOrder])</f>
        <v>2.413793103</v>
      </c>
      <c r="P2031" s="9">
        <v>84.74</v>
      </c>
      <c r="Q2031" s="7" t="s">
        <v>13</v>
      </c>
      <c r="R2031" s="10">
        <f>operations[arrivedDate]-operations[shippedDate]</f>
        <v>10</v>
      </c>
    </row>
    <row r="2032" ht="15.75" customHeight="1">
      <c r="A2032" s="6">
        <v>11033.0</v>
      </c>
      <c r="B2032" s="24">
        <v>45399.0</v>
      </c>
      <c r="C2032" s="24">
        <v>45427.0</v>
      </c>
      <c r="D2032" s="24">
        <v>45405.0</v>
      </c>
      <c r="E2032" s="24">
        <v>45415.0</v>
      </c>
      <c r="F2032" s="6">
        <v>69.0</v>
      </c>
      <c r="G2032" s="9" t="str">
        <f>VLOOKUP(operations[productID],products[],2,FALSE)</f>
        <v>Gudbrandsdalsost</v>
      </c>
      <c r="H2032" s="9" t="str">
        <f>IF(VLOOKUP(operations[productID],products[],7,FALSE)=1,"Discontinued","Current")</f>
        <v>Current</v>
      </c>
      <c r="I2032" s="6">
        <f>VLOOKUP(operations[productID],products[],4,FALSE)</f>
        <v>26</v>
      </c>
      <c r="J2032" s="6">
        <f>VLOOKUP(operations[productID],products[],5,FALSE)</f>
        <v>0</v>
      </c>
      <c r="K2032" s="6">
        <f>VLOOKUP(operations[productID],products[],6,FALSE)</f>
        <v>15</v>
      </c>
      <c r="L2032" s="10">
        <f t="array" ref="L2032">INDEX('1 orders'!I2032:I2156, MATCH(1, ('1 orders'!A2032:A2156=A2032)*('1 orders'!G2032:G2156=F2032), 0))
</f>
        <v>36</v>
      </c>
      <c r="M2032" s="10">
        <f>IFERROR(__xludf.DUMMYFUNCTION("COUNTUNIQUEIFS($A$2:$A2032,$F$2:$F2032,F2032)"),31.0)</f>
        <v>31</v>
      </c>
      <c r="N2032" s="10">
        <f t="shared" si="1"/>
        <v>3</v>
      </c>
      <c r="O2032" s="26">
        <f>IF(operations[sinceLastOrder]=0,0,operations[orderQuantity] / operations[sinceLastOrder])</f>
        <v>12</v>
      </c>
      <c r="P2032" s="9">
        <v>84.74</v>
      </c>
      <c r="Q2032" s="7" t="s">
        <v>13</v>
      </c>
      <c r="R2032" s="10">
        <f>operations[arrivedDate]-operations[shippedDate]</f>
        <v>10</v>
      </c>
    </row>
    <row r="2033" ht="15.75" customHeight="1">
      <c r="A2033" s="6">
        <v>11034.0</v>
      </c>
      <c r="B2033" s="24">
        <v>45402.0</v>
      </c>
      <c r="C2033" s="24">
        <v>45444.0</v>
      </c>
      <c r="D2033" s="24">
        <v>45409.0</v>
      </c>
      <c r="E2033" s="24">
        <v>45420.0</v>
      </c>
      <c r="F2033" s="6">
        <v>21.0</v>
      </c>
      <c r="G2033" s="9" t="str">
        <f>VLOOKUP(operations[productID],products[],2,FALSE)</f>
        <v>Sir Rodney's Scones</v>
      </c>
      <c r="H2033" s="9" t="str">
        <f>IF(VLOOKUP(operations[productID],products[],7,FALSE)=1,"Discontinued","Current")</f>
        <v>Current</v>
      </c>
      <c r="I2033" s="6">
        <f>VLOOKUP(operations[productID],products[],4,FALSE)</f>
        <v>3</v>
      </c>
      <c r="J2033" s="6">
        <f>VLOOKUP(operations[productID],products[],5,FALSE)</f>
        <v>40</v>
      </c>
      <c r="K2033" s="6">
        <f>VLOOKUP(operations[productID],products[],6,FALSE)</f>
        <v>5</v>
      </c>
      <c r="L2033" s="10">
        <f t="array" ref="L2033">INDEX('1 orders'!I2033:I2156, MATCH(1, ('1 orders'!A2033:A2156=A2033)*('1 orders'!G2033:G2156=F2033), 0))
</f>
        <v>15</v>
      </c>
      <c r="M2033" s="10">
        <f>IFERROR(__xludf.DUMMYFUNCTION("COUNTUNIQUEIFS($A$2:$A2033,$F$2:$F2033,F2033)"),37.0)</f>
        <v>37</v>
      </c>
      <c r="N2033" s="10">
        <f t="shared" si="1"/>
        <v>19</v>
      </c>
      <c r="O2033" s="26">
        <f>IF(operations[sinceLastOrder]=0,0,operations[orderQuantity] / operations[sinceLastOrder])</f>
        <v>0.7894736842</v>
      </c>
      <c r="P2033" s="9">
        <v>40.32</v>
      </c>
      <c r="Q2033" s="7" t="s">
        <v>15</v>
      </c>
      <c r="R2033" s="10">
        <f>operations[arrivedDate]-operations[shippedDate]</f>
        <v>11</v>
      </c>
    </row>
    <row r="2034" ht="15.75" customHeight="1">
      <c r="A2034" s="6">
        <v>11034.0</v>
      </c>
      <c r="B2034" s="24">
        <v>45402.0</v>
      </c>
      <c r="C2034" s="24">
        <v>45444.0</v>
      </c>
      <c r="D2034" s="24">
        <v>45409.0</v>
      </c>
      <c r="E2034" s="24">
        <v>45420.0</v>
      </c>
      <c r="F2034" s="6">
        <v>44.0</v>
      </c>
      <c r="G2034" s="9" t="str">
        <f>VLOOKUP(operations[productID],products[],2,FALSE)</f>
        <v>Gula Malacca</v>
      </c>
      <c r="H2034" s="9" t="str">
        <f>IF(VLOOKUP(operations[productID],products[],7,FALSE)=1,"Discontinued","Current")</f>
        <v>Current</v>
      </c>
      <c r="I2034" s="6">
        <f>VLOOKUP(operations[productID],products[],4,FALSE)</f>
        <v>27</v>
      </c>
      <c r="J2034" s="6">
        <f>VLOOKUP(operations[productID],products[],5,FALSE)</f>
        <v>0</v>
      </c>
      <c r="K2034" s="6">
        <f>VLOOKUP(operations[productID],products[],6,FALSE)</f>
        <v>15</v>
      </c>
      <c r="L2034" s="10">
        <f t="array" ref="L2034">INDEX('1 orders'!I2034:I2156, MATCH(1, ('1 orders'!A2034:A2156=A2034)*('1 orders'!G2034:G2156=F2034), 0))
</f>
        <v>12</v>
      </c>
      <c r="M2034" s="10">
        <f>IFERROR(__xludf.DUMMYFUNCTION("COUNTUNIQUEIFS($A$2:$A2034,$F$2:$F2034,F2034)"),23.0)</f>
        <v>23</v>
      </c>
      <c r="N2034" s="10">
        <f t="shared" si="1"/>
        <v>25</v>
      </c>
      <c r="O2034" s="26">
        <f>IF(operations[sinceLastOrder]=0,0,operations[orderQuantity] / operations[sinceLastOrder])</f>
        <v>0.48</v>
      </c>
      <c r="P2034" s="9">
        <v>40.32</v>
      </c>
      <c r="Q2034" s="7" t="s">
        <v>15</v>
      </c>
      <c r="R2034" s="10">
        <f>operations[arrivedDate]-operations[shippedDate]</f>
        <v>11</v>
      </c>
    </row>
    <row r="2035" ht="15.75" customHeight="1">
      <c r="A2035" s="6">
        <v>11034.0</v>
      </c>
      <c r="B2035" s="24">
        <v>45402.0</v>
      </c>
      <c r="C2035" s="24">
        <v>45444.0</v>
      </c>
      <c r="D2035" s="24">
        <v>45409.0</v>
      </c>
      <c r="E2035" s="24">
        <v>45420.0</v>
      </c>
      <c r="F2035" s="6">
        <v>61.0</v>
      </c>
      <c r="G2035" s="9" t="str">
        <f>VLOOKUP(operations[productID],products[],2,FALSE)</f>
        <v>Sirop d'érable</v>
      </c>
      <c r="H2035" s="9" t="str">
        <f>IF(VLOOKUP(operations[productID],products[],7,FALSE)=1,"Discontinued","Current")</f>
        <v>Current</v>
      </c>
      <c r="I2035" s="6">
        <f>VLOOKUP(operations[productID],products[],4,FALSE)</f>
        <v>113</v>
      </c>
      <c r="J2035" s="6">
        <f>VLOOKUP(operations[productID],products[],5,FALSE)</f>
        <v>0</v>
      </c>
      <c r="K2035" s="6">
        <f>VLOOKUP(operations[productID],products[],6,FALSE)</f>
        <v>25</v>
      </c>
      <c r="L2035" s="10">
        <f t="array" ref="L2035">INDEX('1 orders'!I2035:I2156, MATCH(1, ('1 orders'!A2035:A2156=A2035)*('1 orders'!G2035:G2156=F2035), 0))
</f>
        <v>6</v>
      </c>
      <c r="M2035" s="10">
        <f>IFERROR(__xludf.DUMMYFUNCTION("COUNTUNIQUEIFS($A$2:$A2035,$F$2:$F2035,F2035)"),21.0)</f>
        <v>21</v>
      </c>
      <c r="N2035" s="10">
        <f t="shared" si="1"/>
        <v>17</v>
      </c>
      <c r="O2035" s="26">
        <f>IF(operations[sinceLastOrder]=0,0,operations[orderQuantity] / operations[sinceLastOrder])</f>
        <v>0.3529411765</v>
      </c>
      <c r="P2035" s="9">
        <v>40.32</v>
      </c>
      <c r="Q2035" s="7" t="s">
        <v>15</v>
      </c>
      <c r="R2035" s="10">
        <f>operations[arrivedDate]-operations[shippedDate]</f>
        <v>11</v>
      </c>
    </row>
    <row r="2036" ht="15.75" customHeight="1">
      <c r="A2036" s="6">
        <v>11035.0</v>
      </c>
      <c r="B2036" s="24">
        <v>45402.0</v>
      </c>
      <c r="C2036" s="24">
        <v>45430.0</v>
      </c>
      <c r="D2036" s="24">
        <v>45406.0</v>
      </c>
      <c r="E2036" s="24">
        <v>45419.0</v>
      </c>
      <c r="F2036" s="6">
        <v>1.0</v>
      </c>
      <c r="G2036" s="9" t="str">
        <f>VLOOKUP(operations[productID],products[],2,FALSE)</f>
        <v>Chai</v>
      </c>
      <c r="H2036" s="9" t="str">
        <f>IF(VLOOKUP(operations[productID],products[],7,FALSE)=1,"Discontinued","Current")</f>
        <v>Current</v>
      </c>
      <c r="I2036" s="6">
        <f>VLOOKUP(operations[productID],products[],4,FALSE)</f>
        <v>39</v>
      </c>
      <c r="J2036" s="6">
        <f>VLOOKUP(operations[productID],products[],5,FALSE)</f>
        <v>0</v>
      </c>
      <c r="K2036" s="6">
        <f>VLOOKUP(operations[productID],products[],6,FALSE)</f>
        <v>10</v>
      </c>
      <c r="L2036" s="10">
        <f t="array" ref="L2036">INDEX('1 orders'!I2036:I2156, MATCH(1, ('1 orders'!A2036:A2156=A2036)*('1 orders'!G2036:G2156=F2036), 0))
</f>
        <v>10</v>
      </c>
      <c r="M2036" s="10">
        <f>IFERROR(__xludf.DUMMYFUNCTION("COUNTUNIQUEIFS($A$2:$A2036,$F$2:$F2036,F2036)"),36.0)</f>
        <v>36</v>
      </c>
      <c r="N2036" s="10">
        <f t="shared" si="1"/>
        <v>3</v>
      </c>
      <c r="O2036" s="26">
        <f>IF(operations[sinceLastOrder]=0,0,operations[orderQuantity] / operations[sinceLastOrder])</f>
        <v>3.333333333</v>
      </c>
      <c r="P2036" s="9">
        <v>0.17</v>
      </c>
      <c r="Q2036" s="7" t="s">
        <v>17</v>
      </c>
      <c r="R2036" s="10">
        <f>operations[arrivedDate]-operations[shippedDate]</f>
        <v>13</v>
      </c>
    </row>
    <row r="2037" ht="15.75" customHeight="1">
      <c r="A2037" s="6">
        <v>11035.0</v>
      </c>
      <c r="B2037" s="24">
        <v>45402.0</v>
      </c>
      <c r="C2037" s="24">
        <v>45430.0</v>
      </c>
      <c r="D2037" s="24">
        <v>45406.0</v>
      </c>
      <c r="E2037" s="24">
        <v>45419.0</v>
      </c>
      <c r="F2037" s="6">
        <v>35.0</v>
      </c>
      <c r="G2037" s="9" t="str">
        <f>VLOOKUP(operations[productID],products[],2,FALSE)</f>
        <v>Cold Brew Nitro</v>
      </c>
      <c r="H2037" s="9" t="str">
        <f>IF(VLOOKUP(operations[productID],products[],7,FALSE)=1,"Discontinued","Current")</f>
        <v>Current</v>
      </c>
      <c r="I2037" s="6">
        <f>VLOOKUP(operations[productID],products[],4,FALSE)</f>
        <v>20</v>
      </c>
      <c r="J2037" s="6">
        <f>VLOOKUP(operations[productID],products[],5,FALSE)</f>
        <v>0</v>
      </c>
      <c r="K2037" s="6">
        <f>VLOOKUP(operations[productID],products[],6,FALSE)</f>
        <v>15</v>
      </c>
      <c r="L2037" s="10">
        <f t="array" ref="L2037">INDEX('1 orders'!I2037:I2156, MATCH(1, ('1 orders'!A2037:A2156=A2037)*('1 orders'!G2037:G2156=F2037), 0))
</f>
        <v>60</v>
      </c>
      <c r="M2037" s="10">
        <f>IFERROR(__xludf.DUMMYFUNCTION("COUNTUNIQUEIFS($A$2:$A2037,$F$2:$F2037,F2037)"),34.0)</f>
        <v>34</v>
      </c>
      <c r="N2037" s="10">
        <f t="shared" si="1"/>
        <v>14</v>
      </c>
      <c r="O2037" s="26">
        <f>IF(operations[sinceLastOrder]=0,0,operations[orderQuantity] / operations[sinceLastOrder])</f>
        <v>4.285714286</v>
      </c>
      <c r="P2037" s="9">
        <v>0.17</v>
      </c>
      <c r="Q2037" s="7" t="s">
        <v>17</v>
      </c>
      <c r="R2037" s="10">
        <f>operations[arrivedDate]-operations[shippedDate]</f>
        <v>13</v>
      </c>
    </row>
    <row r="2038" ht="15.75" customHeight="1">
      <c r="A2038" s="6">
        <v>11035.0</v>
      </c>
      <c r="B2038" s="24">
        <v>45402.0</v>
      </c>
      <c r="C2038" s="24">
        <v>45430.0</v>
      </c>
      <c r="D2038" s="24">
        <v>45406.0</v>
      </c>
      <c r="E2038" s="24">
        <v>45419.0</v>
      </c>
      <c r="F2038" s="6">
        <v>42.0</v>
      </c>
      <c r="G2038" s="9" t="str">
        <f>VLOOKUP(operations[productID],products[],2,FALSE)</f>
        <v>Singaporean Hokkien Fried Mee</v>
      </c>
      <c r="H2038" s="9" t="str">
        <f>IF(VLOOKUP(operations[productID],products[],7,FALSE)=1,"Discontinued","Current")</f>
        <v>Discontinued</v>
      </c>
      <c r="I2038" s="6">
        <f>VLOOKUP(operations[productID],products[],4,FALSE)</f>
        <v>26</v>
      </c>
      <c r="J2038" s="6">
        <f>VLOOKUP(operations[productID],products[],5,FALSE)</f>
        <v>0</v>
      </c>
      <c r="K2038" s="6">
        <f>VLOOKUP(operations[productID],products[],6,FALSE)</f>
        <v>0</v>
      </c>
      <c r="L2038" s="10">
        <f t="array" ref="L2038">INDEX('1 orders'!I2038:I2156, MATCH(1, ('1 orders'!A2038:A2156=A2038)*('1 orders'!G2038:G2156=F2038), 0))
</f>
        <v>30</v>
      </c>
      <c r="M2038" s="10">
        <f>IFERROR(__xludf.DUMMYFUNCTION("COUNTUNIQUEIFS($A$2:$A2038,$F$2:$F2038,F2038)"),30.0)</f>
        <v>30</v>
      </c>
      <c r="N2038" s="10">
        <f t="shared" si="1"/>
        <v>11</v>
      </c>
      <c r="O2038" s="26">
        <f>IF(operations[sinceLastOrder]=0,0,operations[orderQuantity] / operations[sinceLastOrder])</f>
        <v>2.727272727</v>
      </c>
      <c r="P2038" s="9">
        <v>0.17</v>
      </c>
      <c r="Q2038" s="7" t="s">
        <v>17</v>
      </c>
      <c r="R2038" s="10">
        <f>operations[arrivedDate]-operations[shippedDate]</f>
        <v>13</v>
      </c>
    </row>
    <row r="2039" ht="15.75" customHeight="1">
      <c r="A2039" s="6">
        <v>11035.0</v>
      </c>
      <c r="B2039" s="24">
        <v>45402.0</v>
      </c>
      <c r="C2039" s="24">
        <v>45430.0</v>
      </c>
      <c r="D2039" s="24">
        <v>45406.0</v>
      </c>
      <c r="E2039" s="24">
        <v>45419.0</v>
      </c>
      <c r="F2039" s="6">
        <v>54.0</v>
      </c>
      <c r="G2039" s="9" t="str">
        <f>VLOOKUP(operations[productID],products[],2,FALSE)</f>
        <v>Tourtière</v>
      </c>
      <c r="H2039" s="9" t="str">
        <f>IF(VLOOKUP(operations[productID],products[],7,FALSE)=1,"Discontinued","Current")</f>
        <v>Current</v>
      </c>
      <c r="I2039" s="6">
        <f>VLOOKUP(operations[productID],products[],4,FALSE)</f>
        <v>21</v>
      </c>
      <c r="J2039" s="6">
        <f>VLOOKUP(operations[productID],products[],5,FALSE)</f>
        <v>0</v>
      </c>
      <c r="K2039" s="6">
        <f>VLOOKUP(operations[productID],products[],6,FALSE)</f>
        <v>10</v>
      </c>
      <c r="L2039" s="10">
        <f t="array" ref="L2039">INDEX('1 orders'!I2039:I2156, MATCH(1, ('1 orders'!A2039:A2156=A2039)*('1 orders'!G2039:G2156=F2039), 0))
</f>
        <v>10</v>
      </c>
      <c r="M2039" s="10">
        <f>IFERROR(__xludf.DUMMYFUNCTION("COUNTUNIQUEIFS($A$2:$A2039,$F$2:$F2039,F2039)"),35.0)</f>
        <v>35</v>
      </c>
      <c r="N2039" s="10">
        <f t="shared" si="1"/>
        <v>53</v>
      </c>
      <c r="O2039" s="26">
        <f>IF(operations[sinceLastOrder]=0,0,operations[orderQuantity] / operations[sinceLastOrder])</f>
        <v>0.1886792453</v>
      </c>
      <c r="P2039" s="9">
        <v>0.17</v>
      </c>
      <c r="Q2039" s="7" t="s">
        <v>17</v>
      </c>
      <c r="R2039" s="10">
        <f>operations[arrivedDate]-operations[shippedDate]</f>
        <v>13</v>
      </c>
    </row>
    <row r="2040" ht="15.75" customHeight="1">
      <c r="A2040" s="6">
        <v>11036.0</v>
      </c>
      <c r="B2040" s="24">
        <v>45402.0</v>
      </c>
      <c r="C2040" s="24">
        <v>45430.0</v>
      </c>
      <c r="D2040" s="24">
        <v>45404.0</v>
      </c>
      <c r="E2040" s="24">
        <v>45407.0</v>
      </c>
      <c r="F2040" s="6">
        <v>13.0</v>
      </c>
      <c r="G2040" s="9" t="str">
        <f>VLOOKUP(operations[productID],products[],2,FALSE)</f>
        <v>Konbu</v>
      </c>
      <c r="H2040" s="9" t="str">
        <f>IF(VLOOKUP(operations[productID],products[],7,FALSE)=1,"Discontinued","Current")</f>
        <v>Current</v>
      </c>
      <c r="I2040" s="6">
        <f>VLOOKUP(operations[productID],products[],4,FALSE)</f>
        <v>24</v>
      </c>
      <c r="J2040" s="6">
        <f>VLOOKUP(operations[productID],products[],5,FALSE)</f>
        <v>0</v>
      </c>
      <c r="K2040" s="6">
        <f>VLOOKUP(operations[productID],products[],6,FALSE)</f>
        <v>5</v>
      </c>
      <c r="L2040" s="10">
        <f t="array" ref="L2040">INDEX('1 orders'!I2040:I2156, MATCH(1, ('1 orders'!A2040:A2156=A2040)*('1 orders'!G2040:G2156=F2040), 0))
</f>
        <v>7</v>
      </c>
      <c r="M2040" s="10">
        <f>IFERROR(__xludf.DUMMYFUNCTION("COUNTUNIQUEIFS($A$2:$A2040,$F$2:$F2040,F2040)"),37.0)</f>
        <v>37</v>
      </c>
      <c r="N2040" s="10">
        <f t="shared" si="1"/>
        <v>3</v>
      </c>
      <c r="O2040" s="26">
        <f>IF(operations[sinceLastOrder]=0,0,operations[orderQuantity] / operations[sinceLastOrder])</f>
        <v>2.333333333</v>
      </c>
      <c r="P2040" s="9">
        <v>149.47</v>
      </c>
      <c r="Q2040" s="7" t="s">
        <v>13</v>
      </c>
      <c r="R2040" s="10">
        <f>operations[arrivedDate]-operations[shippedDate]</f>
        <v>3</v>
      </c>
    </row>
    <row r="2041" ht="15.75" customHeight="1">
      <c r="A2041" s="6">
        <v>11036.0</v>
      </c>
      <c r="B2041" s="24">
        <v>45402.0</v>
      </c>
      <c r="C2041" s="24">
        <v>45430.0</v>
      </c>
      <c r="D2041" s="24">
        <v>45404.0</v>
      </c>
      <c r="E2041" s="24">
        <v>45407.0</v>
      </c>
      <c r="F2041" s="6">
        <v>59.0</v>
      </c>
      <c r="G2041" s="9" t="str">
        <f>VLOOKUP(operations[productID],products[],2,FALSE)</f>
        <v>Raclette Courdavault</v>
      </c>
      <c r="H2041" s="9" t="str">
        <f>IF(VLOOKUP(operations[productID],products[],7,FALSE)=1,"Discontinued","Current")</f>
        <v>Current</v>
      </c>
      <c r="I2041" s="6">
        <f>VLOOKUP(operations[productID],products[],4,FALSE)</f>
        <v>79</v>
      </c>
      <c r="J2041" s="6">
        <f>VLOOKUP(operations[productID],products[],5,FALSE)</f>
        <v>0</v>
      </c>
      <c r="K2041" s="6">
        <f>VLOOKUP(operations[productID],products[],6,FALSE)</f>
        <v>0</v>
      </c>
      <c r="L2041" s="10">
        <f t="array" ref="L2041">INDEX('1 orders'!I2041:I2156, MATCH(1, ('1 orders'!A2041:A2156=A2041)*('1 orders'!G2041:G2156=F2041), 0))
</f>
        <v>30</v>
      </c>
      <c r="M2041" s="10">
        <f>IFERROR(__xludf.DUMMYFUNCTION("COUNTUNIQUEIFS($A$2:$A2041,$F$2:$F2041,F2041)"),54.0)</f>
        <v>54</v>
      </c>
      <c r="N2041" s="10">
        <f t="shared" si="1"/>
        <v>3</v>
      </c>
      <c r="O2041" s="26">
        <f>IF(operations[sinceLastOrder]=0,0,operations[orderQuantity] / operations[sinceLastOrder])</f>
        <v>10</v>
      </c>
      <c r="P2041" s="9">
        <v>149.47</v>
      </c>
      <c r="Q2041" s="7" t="s">
        <v>13</v>
      </c>
      <c r="R2041" s="10">
        <f>operations[arrivedDate]-operations[shippedDate]</f>
        <v>3</v>
      </c>
    </row>
    <row r="2042" ht="15.75" customHeight="1">
      <c r="A2042" s="6">
        <v>11037.0</v>
      </c>
      <c r="B2042" s="24">
        <v>45403.0</v>
      </c>
      <c r="C2042" s="24">
        <v>45431.0</v>
      </c>
      <c r="D2042" s="24">
        <v>45409.0</v>
      </c>
      <c r="E2042" s="24">
        <v>45415.0</v>
      </c>
      <c r="F2042" s="6">
        <v>70.0</v>
      </c>
      <c r="G2042" s="9" t="str">
        <f>VLOOKUP(operations[productID],products[],2,FALSE)</f>
        <v>Outback Lager</v>
      </c>
      <c r="H2042" s="9" t="str">
        <f>IF(VLOOKUP(operations[productID],products[],7,FALSE)=1,"Discontinued","Current")</f>
        <v>Current</v>
      </c>
      <c r="I2042" s="6">
        <f>VLOOKUP(operations[productID],products[],4,FALSE)</f>
        <v>15</v>
      </c>
      <c r="J2042" s="6">
        <f>VLOOKUP(operations[productID],products[],5,FALSE)</f>
        <v>10</v>
      </c>
      <c r="K2042" s="6">
        <f>VLOOKUP(operations[productID],products[],6,FALSE)</f>
        <v>30</v>
      </c>
      <c r="L2042" s="10">
        <f t="array" ref="L2042">INDEX('1 orders'!I2042:I2156, MATCH(1, ('1 orders'!A2042:A2156=A2042)*('1 orders'!G2042:G2156=F2042), 0))
</f>
        <v>4</v>
      </c>
      <c r="M2042" s="10">
        <f>IFERROR(__xludf.DUMMYFUNCTION("COUNTUNIQUEIFS($A$2:$A2042,$F$2:$F2042,F2042)"),37.0)</f>
        <v>37</v>
      </c>
      <c r="N2042" s="10">
        <f t="shared" si="1"/>
        <v>8</v>
      </c>
      <c r="O2042" s="26">
        <f>IF(operations[sinceLastOrder]=0,0,operations[orderQuantity] / operations[sinceLastOrder])</f>
        <v>0.5</v>
      </c>
      <c r="P2042" s="9">
        <v>3.2</v>
      </c>
      <c r="Q2042" s="7" t="s">
        <v>15</v>
      </c>
      <c r="R2042" s="10">
        <f>operations[arrivedDate]-operations[shippedDate]</f>
        <v>6</v>
      </c>
    </row>
    <row r="2043" ht="15.75" customHeight="1">
      <c r="A2043" s="6">
        <v>11038.0</v>
      </c>
      <c r="B2043" s="24">
        <v>45403.0</v>
      </c>
      <c r="C2043" s="24">
        <v>45431.0</v>
      </c>
      <c r="D2043" s="24">
        <v>45412.0</v>
      </c>
      <c r="E2043" s="24">
        <v>45424.0</v>
      </c>
      <c r="F2043" s="6">
        <v>40.0</v>
      </c>
      <c r="G2043" s="9" t="str">
        <f>VLOOKUP(operations[productID],products[],2,FALSE)</f>
        <v>Boston Crab Meat</v>
      </c>
      <c r="H2043" s="9" t="str">
        <f>IF(VLOOKUP(operations[productID],products[],7,FALSE)=1,"Discontinued","Current")</f>
        <v>Current</v>
      </c>
      <c r="I2043" s="6">
        <f>VLOOKUP(operations[productID],products[],4,FALSE)</f>
        <v>123</v>
      </c>
      <c r="J2043" s="6">
        <f>VLOOKUP(operations[productID],products[],5,FALSE)</f>
        <v>0</v>
      </c>
      <c r="K2043" s="6">
        <f>VLOOKUP(operations[productID],products[],6,FALSE)</f>
        <v>30</v>
      </c>
      <c r="L2043" s="10">
        <f t="array" ref="L2043">INDEX('1 orders'!I2043:I2156, MATCH(1, ('1 orders'!A2043:A2156=A2043)*('1 orders'!G2043:G2156=F2043), 0))
</f>
        <v>5</v>
      </c>
      <c r="M2043" s="10">
        <f>IFERROR(__xludf.DUMMYFUNCTION("COUNTUNIQUEIFS($A$2:$A2043,$F$2:$F2043,F2043)"),40.0)</f>
        <v>40</v>
      </c>
      <c r="N2043" s="10">
        <f t="shared" si="1"/>
        <v>15</v>
      </c>
      <c r="O2043" s="26">
        <f>IF(operations[sinceLastOrder]=0,0,operations[orderQuantity] / operations[sinceLastOrder])</f>
        <v>0.3333333333</v>
      </c>
      <c r="P2043" s="9">
        <v>29.59</v>
      </c>
      <c r="Q2043" s="7" t="s">
        <v>17</v>
      </c>
      <c r="R2043" s="10">
        <f>operations[arrivedDate]-operations[shippedDate]</f>
        <v>12</v>
      </c>
    </row>
    <row r="2044" ht="15.75" customHeight="1">
      <c r="A2044" s="6">
        <v>11038.0</v>
      </c>
      <c r="B2044" s="24">
        <v>45403.0</v>
      </c>
      <c r="C2044" s="24">
        <v>45431.0</v>
      </c>
      <c r="D2044" s="24">
        <v>45412.0</v>
      </c>
      <c r="E2044" s="24">
        <v>45424.0</v>
      </c>
      <c r="F2044" s="6">
        <v>52.0</v>
      </c>
      <c r="G2044" s="9" t="str">
        <f>VLOOKUP(operations[productID],products[],2,FALSE)</f>
        <v>Filo Mix</v>
      </c>
      <c r="H2044" s="9" t="str">
        <f>IF(VLOOKUP(operations[productID],products[],7,FALSE)=1,"Discontinued","Current")</f>
        <v>Current</v>
      </c>
      <c r="I2044" s="6">
        <f>VLOOKUP(operations[productID],products[],4,FALSE)</f>
        <v>38</v>
      </c>
      <c r="J2044" s="6">
        <f>VLOOKUP(operations[productID],products[],5,FALSE)</f>
        <v>0</v>
      </c>
      <c r="K2044" s="6">
        <f>VLOOKUP(operations[productID],products[],6,FALSE)</f>
        <v>25</v>
      </c>
      <c r="L2044" s="10">
        <f t="array" ref="L2044">INDEX('1 orders'!I2044:I2156, MATCH(1, ('1 orders'!A2044:A2156=A2044)*('1 orders'!G2044:G2156=F2044), 0))
</f>
        <v>2</v>
      </c>
      <c r="M2044" s="10">
        <f>IFERROR(__xludf.DUMMYFUNCTION("COUNTUNIQUEIFS($A$2:$A2044,$F$2:$F2044,F2044)"),28.0)</f>
        <v>28</v>
      </c>
      <c r="N2044" s="10">
        <f t="shared" si="1"/>
        <v>15</v>
      </c>
      <c r="O2044" s="26">
        <f>IF(operations[sinceLastOrder]=0,0,operations[orderQuantity] / operations[sinceLastOrder])</f>
        <v>0.1333333333</v>
      </c>
      <c r="P2044" s="9">
        <v>29.59</v>
      </c>
      <c r="Q2044" s="7" t="s">
        <v>17</v>
      </c>
      <c r="R2044" s="10">
        <f>operations[arrivedDate]-operations[shippedDate]</f>
        <v>12</v>
      </c>
    </row>
    <row r="2045" ht="15.75" customHeight="1">
      <c r="A2045" s="6">
        <v>11038.0</v>
      </c>
      <c r="B2045" s="24">
        <v>45403.0</v>
      </c>
      <c r="C2045" s="24">
        <v>45431.0</v>
      </c>
      <c r="D2045" s="24">
        <v>45412.0</v>
      </c>
      <c r="E2045" s="24">
        <v>45424.0</v>
      </c>
      <c r="F2045" s="6">
        <v>71.0</v>
      </c>
      <c r="G2045" s="9" t="str">
        <f>VLOOKUP(operations[productID],products[],2,FALSE)</f>
        <v>Flotemysost</v>
      </c>
      <c r="H2045" s="9" t="str">
        <f>IF(VLOOKUP(operations[productID],products[],7,FALSE)=1,"Discontinued","Current")</f>
        <v>Current</v>
      </c>
      <c r="I2045" s="6">
        <f>VLOOKUP(operations[productID],products[],4,FALSE)</f>
        <v>26</v>
      </c>
      <c r="J2045" s="6">
        <f>VLOOKUP(operations[productID],products[],5,FALSE)</f>
        <v>0</v>
      </c>
      <c r="K2045" s="6">
        <f>VLOOKUP(operations[productID],products[],6,FALSE)</f>
        <v>0</v>
      </c>
      <c r="L2045" s="10">
        <f t="array" ref="L2045">INDEX('1 orders'!I2045:I2156, MATCH(1, ('1 orders'!A2045:A2156=A2045)*('1 orders'!G2045:G2156=F2045), 0))
</f>
        <v>30</v>
      </c>
      <c r="M2045" s="10">
        <f>IFERROR(__xludf.DUMMYFUNCTION("COUNTUNIQUEIFS($A$2:$A2045,$F$2:$F2045,F2045)"),42.0)</f>
        <v>42</v>
      </c>
      <c r="N2045" s="10">
        <f t="shared" si="1"/>
        <v>4</v>
      </c>
      <c r="O2045" s="26">
        <f>IF(operations[sinceLastOrder]=0,0,operations[orderQuantity] / operations[sinceLastOrder])</f>
        <v>7.5</v>
      </c>
      <c r="P2045" s="9">
        <v>29.59</v>
      </c>
      <c r="Q2045" s="7" t="s">
        <v>17</v>
      </c>
      <c r="R2045" s="10">
        <f>operations[arrivedDate]-operations[shippedDate]</f>
        <v>12</v>
      </c>
    </row>
    <row r="2046" ht="15.75" customHeight="1">
      <c r="A2046" s="6">
        <v>11039.0</v>
      </c>
      <c r="B2046" s="24">
        <v>45403.0</v>
      </c>
      <c r="C2046" s="24">
        <v>45431.0</v>
      </c>
      <c r="D2046" s="24"/>
      <c r="E2046" s="24"/>
      <c r="F2046" s="6">
        <v>28.0</v>
      </c>
      <c r="G2046" s="9" t="str">
        <f>VLOOKUP(operations[productID],products[],2,FALSE)</f>
        <v>Rössle Sauerkraut</v>
      </c>
      <c r="H2046" s="9" t="str">
        <f>IF(VLOOKUP(operations[productID],products[],7,FALSE)=1,"Discontinued","Current")</f>
        <v>Discontinued</v>
      </c>
      <c r="I2046" s="6">
        <f>VLOOKUP(operations[productID],products[],4,FALSE)</f>
        <v>26</v>
      </c>
      <c r="J2046" s="6">
        <f>VLOOKUP(operations[productID],products[],5,FALSE)</f>
        <v>0</v>
      </c>
      <c r="K2046" s="6">
        <f>VLOOKUP(operations[productID],products[],6,FALSE)</f>
        <v>0</v>
      </c>
      <c r="L2046" s="10">
        <f t="array" ref="L2046">INDEX('1 orders'!I2046:I2156, MATCH(1, ('1 orders'!A2046:A2156=A2046)*('1 orders'!G2046:G2156=F2046), 0))
</f>
        <v>20</v>
      </c>
      <c r="M2046" s="10">
        <f>IFERROR(__xludf.DUMMYFUNCTION("COUNTUNIQUEIFS($A$2:$A2046,$F$2:$F2046,F2046)"),32.0)</f>
        <v>32</v>
      </c>
      <c r="N2046" s="10">
        <f t="shared" si="1"/>
        <v>13</v>
      </c>
      <c r="O2046" s="26">
        <f>IF(operations[sinceLastOrder]=0,0,operations[orderQuantity] / operations[sinceLastOrder])</f>
        <v>1.538461538</v>
      </c>
      <c r="P2046" s="9">
        <v>65.0</v>
      </c>
      <c r="Q2046" s="7" t="s">
        <v>17</v>
      </c>
      <c r="R2046" s="10">
        <f>operations[arrivedDate]-operations[shippedDate]</f>
        <v>0</v>
      </c>
    </row>
    <row r="2047" ht="15.75" customHeight="1">
      <c r="A2047" s="6">
        <v>11039.0</v>
      </c>
      <c r="B2047" s="24">
        <v>45403.0</v>
      </c>
      <c r="C2047" s="24">
        <v>45431.0</v>
      </c>
      <c r="D2047" s="24"/>
      <c r="E2047" s="24"/>
      <c r="F2047" s="6">
        <v>35.0</v>
      </c>
      <c r="G2047" s="9" t="str">
        <f>VLOOKUP(operations[productID],products[],2,FALSE)</f>
        <v>Cold Brew Nitro</v>
      </c>
      <c r="H2047" s="9" t="str">
        <f>IF(VLOOKUP(operations[productID],products[],7,FALSE)=1,"Discontinued","Current")</f>
        <v>Current</v>
      </c>
      <c r="I2047" s="6">
        <f>VLOOKUP(operations[productID],products[],4,FALSE)</f>
        <v>20</v>
      </c>
      <c r="J2047" s="6">
        <f>VLOOKUP(operations[productID],products[],5,FALSE)</f>
        <v>0</v>
      </c>
      <c r="K2047" s="6">
        <f>VLOOKUP(operations[productID],products[],6,FALSE)</f>
        <v>15</v>
      </c>
      <c r="L2047" s="10">
        <f t="array" ref="L2047">INDEX('1 orders'!I2047:I2156, MATCH(1, ('1 orders'!A2047:A2156=A2047)*('1 orders'!G2047:G2156=F2047), 0))
</f>
        <v>24</v>
      </c>
      <c r="M2047" s="10">
        <f>IFERROR(__xludf.DUMMYFUNCTION("COUNTUNIQUEIFS($A$2:$A2047,$F$2:$F2047,F2047)"),35.0)</f>
        <v>35</v>
      </c>
      <c r="N2047" s="10">
        <f t="shared" si="1"/>
        <v>1</v>
      </c>
      <c r="O2047" s="26">
        <f>IF(operations[sinceLastOrder]=0,0,operations[orderQuantity] / operations[sinceLastOrder])</f>
        <v>24</v>
      </c>
      <c r="P2047" s="9">
        <v>65.0</v>
      </c>
      <c r="Q2047" s="7" t="s">
        <v>17</v>
      </c>
      <c r="R2047" s="10">
        <f>operations[arrivedDate]-operations[shippedDate]</f>
        <v>0</v>
      </c>
    </row>
    <row r="2048" ht="15.75" customHeight="1">
      <c r="A2048" s="6">
        <v>11039.0</v>
      </c>
      <c r="B2048" s="24">
        <v>45403.0</v>
      </c>
      <c r="C2048" s="24">
        <v>45431.0</v>
      </c>
      <c r="D2048" s="24"/>
      <c r="E2048" s="24"/>
      <c r="F2048" s="6">
        <v>49.0</v>
      </c>
      <c r="G2048" s="9" t="str">
        <f>VLOOKUP(operations[productID],products[],2,FALSE)</f>
        <v>Maxilaku</v>
      </c>
      <c r="H2048" s="9" t="str">
        <f>IF(VLOOKUP(operations[productID],products[],7,FALSE)=1,"Discontinued","Current")</f>
        <v>Current</v>
      </c>
      <c r="I2048" s="6">
        <f>VLOOKUP(operations[productID],products[],4,FALSE)</f>
        <v>10</v>
      </c>
      <c r="J2048" s="6">
        <f>VLOOKUP(operations[productID],products[],5,FALSE)</f>
        <v>60</v>
      </c>
      <c r="K2048" s="6">
        <f>VLOOKUP(operations[productID],products[],6,FALSE)</f>
        <v>15</v>
      </c>
      <c r="L2048" s="10">
        <f t="array" ref="L2048">INDEX('1 orders'!I2048:I2156, MATCH(1, ('1 orders'!A2048:A2156=A2048)*('1 orders'!G2048:G2156=F2048), 0))
</f>
        <v>60</v>
      </c>
      <c r="M2048" s="10">
        <f>IFERROR(__xludf.DUMMYFUNCTION("COUNTUNIQUEIFS($A$2:$A2048,$F$2:$F2048,F2048)"),21.0)</f>
        <v>21</v>
      </c>
      <c r="N2048" s="10">
        <f t="shared" si="1"/>
        <v>8</v>
      </c>
      <c r="O2048" s="26">
        <f>IF(operations[sinceLastOrder]=0,0,operations[orderQuantity] / operations[sinceLastOrder])</f>
        <v>7.5</v>
      </c>
      <c r="P2048" s="9">
        <v>65.0</v>
      </c>
      <c r="Q2048" s="7" t="s">
        <v>17</v>
      </c>
      <c r="R2048" s="10">
        <f>operations[arrivedDate]-operations[shippedDate]</f>
        <v>0</v>
      </c>
    </row>
    <row r="2049" ht="15.75" customHeight="1">
      <c r="A2049" s="6">
        <v>11039.0</v>
      </c>
      <c r="B2049" s="24">
        <v>45403.0</v>
      </c>
      <c r="C2049" s="24">
        <v>45431.0</v>
      </c>
      <c r="D2049" s="24"/>
      <c r="E2049" s="24"/>
      <c r="F2049" s="6">
        <v>57.0</v>
      </c>
      <c r="G2049" s="9" t="str">
        <f>VLOOKUP(operations[productID],products[],2,FALSE)</f>
        <v>Ravioli Angelo</v>
      </c>
      <c r="H2049" s="9" t="str">
        <f>IF(VLOOKUP(operations[productID],products[],7,FALSE)=1,"Discontinued","Current")</f>
        <v>Current</v>
      </c>
      <c r="I2049" s="6">
        <f>VLOOKUP(operations[productID],products[],4,FALSE)</f>
        <v>36</v>
      </c>
      <c r="J2049" s="6">
        <f>VLOOKUP(operations[productID],products[],5,FALSE)</f>
        <v>0</v>
      </c>
      <c r="K2049" s="6">
        <f>VLOOKUP(operations[productID],products[],6,FALSE)</f>
        <v>20</v>
      </c>
      <c r="L2049" s="10">
        <f t="array" ref="L2049">INDEX('1 orders'!I2049:I2156, MATCH(1, ('1 orders'!A2049:A2156=A2049)*('1 orders'!G2049:G2156=F2049), 0))
</f>
        <v>28</v>
      </c>
      <c r="M2049" s="10">
        <f>IFERROR(__xludf.DUMMYFUNCTION("COUNTUNIQUEIFS($A$2:$A2049,$F$2:$F2049,F2049)"),22.0)</f>
        <v>22</v>
      </c>
      <c r="N2049" s="10">
        <f t="shared" si="1"/>
        <v>25</v>
      </c>
      <c r="O2049" s="26">
        <f>IF(operations[sinceLastOrder]=0,0,operations[orderQuantity] / operations[sinceLastOrder])</f>
        <v>1.12</v>
      </c>
      <c r="P2049" s="9">
        <v>65.0</v>
      </c>
      <c r="Q2049" s="7" t="s">
        <v>17</v>
      </c>
      <c r="R2049" s="10">
        <f>operations[arrivedDate]-operations[shippedDate]</f>
        <v>0</v>
      </c>
    </row>
    <row r="2050" ht="15.75" customHeight="1">
      <c r="A2050" s="6">
        <v>11040.0</v>
      </c>
      <c r="B2050" s="24">
        <v>45404.0</v>
      </c>
      <c r="C2050" s="24">
        <v>45432.0</v>
      </c>
      <c r="D2050" s="24"/>
      <c r="E2050" s="24"/>
      <c r="F2050" s="6">
        <v>21.0</v>
      </c>
      <c r="G2050" s="9" t="str">
        <f>VLOOKUP(operations[productID],products[],2,FALSE)</f>
        <v>Sir Rodney's Scones</v>
      </c>
      <c r="H2050" s="9" t="str">
        <f>IF(VLOOKUP(operations[productID],products[],7,FALSE)=1,"Discontinued","Current")</f>
        <v>Current</v>
      </c>
      <c r="I2050" s="6">
        <f>VLOOKUP(operations[productID],products[],4,FALSE)</f>
        <v>3</v>
      </c>
      <c r="J2050" s="6">
        <f>VLOOKUP(operations[productID],products[],5,FALSE)</f>
        <v>40</v>
      </c>
      <c r="K2050" s="6">
        <f>VLOOKUP(operations[productID],products[],6,FALSE)</f>
        <v>5</v>
      </c>
      <c r="L2050" s="10">
        <f t="array" ref="L2050">INDEX('1 orders'!I2050:I2156, MATCH(1, ('1 orders'!A2050:A2156=A2050)*('1 orders'!G2050:G2156=F2050), 0))
</f>
        <v>20</v>
      </c>
      <c r="M2050" s="10">
        <f>IFERROR(__xludf.DUMMYFUNCTION("COUNTUNIQUEIFS($A$2:$A2050,$F$2:$F2050,F2050)"),38.0)</f>
        <v>38</v>
      </c>
      <c r="N2050" s="10">
        <f t="shared" si="1"/>
        <v>2</v>
      </c>
      <c r="O2050" s="26">
        <f>IF(operations[sinceLastOrder]=0,0,operations[orderQuantity] / operations[sinceLastOrder])</f>
        <v>10</v>
      </c>
      <c r="P2050" s="9">
        <v>18.84</v>
      </c>
      <c r="Q2050" s="7" t="s">
        <v>13</v>
      </c>
      <c r="R2050" s="10">
        <f>operations[arrivedDate]-operations[shippedDate]</f>
        <v>0</v>
      </c>
    </row>
    <row r="2051" ht="15.75" customHeight="1">
      <c r="A2051" s="6">
        <v>11041.0</v>
      </c>
      <c r="B2051" s="24">
        <v>45404.0</v>
      </c>
      <c r="C2051" s="24">
        <v>45432.0</v>
      </c>
      <c r="D2051" s="24">
        <v>45410.0</v>
      </c>
      <c r="E2051" s="24">
        <v>45425.0</v>
      </c>
      <c r="F2051" s="6">
        <v>2.0</v>
      </c>
      <c r="G2051" s="9" t="str">
        <f>VLOOKUP(operations[productID],products[],2,FALSE)</f>
        <v>Chang</v>
      </c>
      <c r="H2051" s="9" t="str">
        <f>IF(VLOOKUP(operations[productID],products[],7,FALSE)=1,"Discontinued","Current")</f>
        <v>Current</v>
      </c>
      <c r="I2051" s="6">
        <f>VLOOKUP(operations[productID],products[],4,FALSE)</f>
        <v>17</v>
      </c>
      <c r="J2051" s="6">
        <f>VLOOKUP(operations[productID],products[],5,FALSE)</f>
        <v>40</v>
      </c>
      <c r="K2051" s="6">
        <f>VLOOKUP(operations[productID],products[],6,FALSE)</f>
        <v>25</v>
      </c>
      <c r="L2051" s="10">
        <f t="array" ref="L2051">INDEX('1 orders'!I2051:I2156, MATCH(1, ('1 orders'!A2051:A2156=A2051)*('1 orders'!G2051:G2156=F2051), 0))
</f>
        <v>30</v>
      </c>
      <c r="M2051" s="10">
        <f>IFERROR(__xludf.DUMMYFUNCTION("COUNTUNIQUEIFS($A$2:$A2051,$F$2:$F2051,F2051)"),39.0)</f>
        <v>39</v>
      </c>
      <c r="N2051" s="10">
        <f t="shared" si="1"/>
        <v>5</v>
      </c>
      <c r="O2051" s="26">
        <f>IF(operations[sinceLastOrder]=0,0,operations[orderQuantity] / operations[sinceLastOrder])</f>
        <v>6</v>
      </c>
      <c r="P2051" s="9">
        <v>48.22</v>
      </c>
      <c r="Q2051" s="7" t="s">
        <v>17</v>
      </c>
      <c r="R2051" s="10">
        <f>operations[arrivedDate]-operations[shippedDate]</f>
        <v>15</v>
      </c>
    </row>
    <row r="2052" ht="15.75" customHeight="1">
      <c r="A2052" s="6">
        <v>11041.0</v>
      </c>
      <c r="B2052" s="24">
        <v>45404.0</v>
      </c>
      <c r="C2052" s="24">
        <v>45432.0</v>
      </c>
      <c r="D2052" s="24">
        <v>45410.0</v>
      </c>
      <c r="E2052" s="24">
        <v>45425.0</v>
      </c>
      <c r="F2052" s="6">
        <v>63.0</v>
      </c>
      <c r="G2052" s="9" t="str">
        <f>VLOOKUP(operations[productID],products[],2,FALSE)</f>
        <v>Vegie-spread</v>
      </c>
      <c r="H2052" s="9" t="str">
        <f>IF(VLOOKUP(operations[productID],products[],7,FALSE)=1,"Discontinued","Current")</f>
        <v>Current</v>
      </c>
      <c r="I2052" s="6">
        <f>VLOOKUP(operations[productID],products[],4,FALSE)</f>
        <v>24</v>
      </c>
      <c r="J2052" s="6">
        <f>VLOOKUP(operations[productID],products[],5,FALSE)</f>
        <v>0</v>
      </c>
      <c r="K2052" s="6">
        <f>VLOOKUP(operations[productID],products[],6,FALSE)</f>
        <v>5</v>
      </c>
      <c r="L2052" s="10">
        <f t="array" ref="L2052">INDEX('1 orders'!I2052:I2156, MATCH(1, ('1 orders'!A2052:A2156=A2052)*('1 orders'!G2052:G2156=F2052), 0))
</f>
        <v>30</v>
      </c>
      <c r="M2052" s="10">
        <f>IFERROR(__xludf.DUMMYFUNCTION("COUNTUNIQUEIFS($A$2:$A2052,$F$2:$F2052,F2052)"),17.0)</f>
        <v>17</v>
      </c>
      <c r="N2052" s="10">
        <f t="shared" si="1"/>
        <v>6</v>
      </c>
      <c r="O2052" s="26">
        <f>IF(operations[sinceLastOrder]=0,0,operations[orderQuantity] / operations[sinceLastOrder])</f>
        <v>5</v>
      </c>
      <c r="P2052" s="9">
        <v>48.22</v>
      </c>
      <c r="Q2052" s="7" t="s">
        <v>17</v>
      </c>
      <c r="R2052" s="10">
        <f>operations[arrivedDate]-operations[shippedDate]</f>
        <v>15</v>
      </c>
    </row>
    <row r="2053" ht="15.75" customHeight="1">
      <c r="A2053" s="6">
        <v>11042.0</v>
      </c>
      <c r="B2053" s="24">
        <v>45404.0</v>
      </c>
      <c r="C2053" s="24">
        <v>45418.0</v>
      </c>
      <c r="D2053" s="24">
        <v>45413.0</v>
      </c>
      <c r="E2053" s="24">
        <v>45429.0</v>
      </c>
      <c r="F2053" s="6">
        <v>44.0</v>
      </c>
      <c r="G2053" s="9" t="str">
        <f>VLOOKUP(operations[productID],products[],2,FALSE)</f>
        <v>Gula Malacca</v>
      </c>
      <c r="H2053" s="9" t="str">
        <f>IF(VLOOKUP(operations[productID],products[],7,FALSE)=1,"Discontinued","Current")</f>
        <v>Current</v>
      </c>
      <c r="I2053" s="6">
        <f>VLOOKUP(operations[productID],products[],4,FALSE)</f>
        <v>27</v>
      </c>
      <c r="J2053" s="6">
        <f>VLOOKUP(operations[productID],products[],5,FALSE)</f>
        <v>0</v>
      </c>
      <c r="K2053" s="6">
        <f>VLOOKUP(operations[productID],products[],6,FALSE)</f>
        <v>15</v>
      </c>
      <c r="L2053" s="10">
        <f t="array" ref="L2053">INDEX('1 orders'!I2053:I2156, MATCH(1, ('1 orders'!A2053:A2156=A2053)*('1 orders'!G2053:G2156=F2053), 0))
</f>
        <v>15</v>
      </c>
      <c r="M2053" s="10">
        <f>IFERROR(__xludf.DUMMYFUNCTION("COUNTUNIQUEIFS($A$2:$A2053,$F$2:$F2053,F2053)"),24.0)</f>
        <v>24</v>
      </c>
      <c r="N2053" s="10">
        <f t="shared" si="1"/>
        <v>2</v>
      </c>
      <c r="O2053" s="26">
        <f>IF(operations[sinceLastOrder]=0,0,operations[orderQuantity] / operations[sinceLastOrder])</f>
        <v>7.5</v>
      </c>
      <c r="P2053" s="9">
        <v>29.99</v>
      </c>
      <c r="Q2053" s="7" t="s">
        <v>15</v>
      </c>
      <c r="R2053" s="10">
        <f>operations[arrivedDate]-operations[shippedDate]</f>
        <v>16</v>
      </c>
    </row>
    <row r="2054" ht="15.75" customHeight="1">
      <c r="A2054" s="6">
        <v>11042.0</v>
      </c>
      <c r="B2054" s="24">
        <v>45404.0</v>
      </c>
      <c r="C2054" s="24">
        <v>45418.0</v>
      </c>
      <c r="D2054" s="24">
        <v>45413.0</v>
      </c>
      <c r="E2054" s="24">
        <v>45429.0</v>
      </c>
      <c r="F2054" s="6">
        <v>61.0</v>
      </c>
      <c r="G2054" s="9" t="str">
        <f>VLOOKUP(operations[productID],products[],2,FALSE)</f>
        <v>Sirop d'érable</v>
      </c>
      <c r="H2054" s="9" t="str">
        <f>IF(VLOOKUP(operations[productID],products[],7,FALSE)=1,"Discontinued","Current")</f>
        <v>Current</v>
      </c>
      <c r="I2054" s="6">
        <f>VLOOKUP(operations[productID],products[],4,FALSE)</f>
        <v>113</v>
      </c>
      <c r="J2054" s="6">
        <f>VLOOKUP(operations[productID],products[],5,FALSE)</f>
        <v>0</v>
      </c>
      <c r="K2054" s="6">
        <f>VLOOKUP(operations[productID],products[],6,FALSE)</f>
        <v>25</v>
      </c>
      <c r="L2054" s="10">
        <f t="array" ref="L2054">INDEX('1 orders'!I2054:I2156, MATCH(1, ('1 orders'!A2054:A2156=A2054)*('1 orders'!G2054:G2156=F2054), 0))
</f>
        <v>4</v>
      </c>
      <c r="M2054" s="10">
        <f>IFERROR(__xludf.DUMMYFUNCTION("COUNTUNIQUEIFS($A$2:$A2054,$F$2:$F2054,F2054)"),22.0)</f>
        <v>22</v>
      </c>
      <c r="N2054" s="10">
        <f t="shared" si="1"/>
        <v>2</v>
      </c>
      <c r="O2054" s="26">
        <f>IF(operations[sinceLastOrder]=0,0,operations[orderQuantity] / operations[sinceLastOrder])</f>
        <v>2</v>
      </c>
      <c r="P2054" s="9">
        <v>29.99</v>
      </c>
      <c r="Q2054" s="7" t="s">
        <v>15</v>
      </c>
      <c r="R2054" s="10">
        <f>operations[arrivedDate]-operations[shippedDate]</f>
        <v>16</v>
      </c>
    </row>
    <row r="2055" ht="15.75" customHeight="1">
      <c r="A2055" s="6">
        <v>11043.0</v>
      </c>
      <c r="B2055" s="24">
        <v>45404.0</v>
      </c>
      <c r="C2055" s="24">
        <v>45432.0</v>
      </c>
      <c r="D2055" s="24">
        <v>45411.0</v>
      </c>
      <c r="E2055" s="24">
        <v>45419.0</v>
      </c>
      <c r="F2055" s="6">
        <v>11.0</v>
      </c>
      <c r="G2055" s="9" t="str">
        <f>VLOOKUP(operations[productID],products[],2,FALSE)</f>
        <v>Queso Cabrales</v>
      </c>
      <c r="H2055" s="9" t="str">
        <f>IF(VLOOKUP(operations[productID],products[],7,FALSE)=1,"Discontinued","Current")</f>
        <v>Current</v>
      </c>
      <c r="I2055" s="6">
        <f>VLOOKUP(operations[productID],products[],4,FALSE)</f>
        <v>22</v>
      </c>
      <c r="J2055" s="6">
        <f>VLOOKUP(operations[productID],products[],5,FALSE)</f>
        <v>30</v>
      </c>
      <c r="K2055" s="6">
        <f>VLOOKUP(operations[productID],products[],6,FALSE)</f>
        <v>30</v>
      </c>
      <c r="L2055" s="10">
        <f t="array" ref="L2055">INDEX('1 orders'!I2055:I2156, MATCH(1, ('1 orders'!A2055:A2156=A2055)*('1 orders'!G2055:G2156=F2055), 0))
</f>
        <v>10</v>
      </c>
      <c r="M2055" s="10">
        <f>IFERROR(__xludf.DUMMYFUNCTION("COUNTUNIQUEIFS($A$2:$A2055,$F$2:$F2055,F2055)"),37.0)</f>
        <v>37</v>
      </c>
      <c r="N2055" s="10">
        <f t="shared" si="1"/>
        <v>22</v>
      </c>
      <c r="O2055" s="26">
        <f>IF(operations[sinceLastOrder]=0,0,operations[orderQuantity] / operations[sinceLastOrder])</f>
        <v>0.4545454545</v>
      </c>
      <c r="P2055" s="9">
        <v>8.8</v>
      </c>
      <c r="Q2055" s="7" t="s">
        <v>17</v>
      </c>
      <c r="R2055" s="10">
        <f>operations[arrivedDate]-operations[shippedDate]</f>
        <v>8</v>
      </c>
    </row>
    <row r="2056" ht="15.75" customHeight="1">
      <c r="A2056" s="6">
        <v>11044.0</v>
      </c>
      <c r="B2056" s="24">
        <v>45405.0</v>
      </c>
      <c r="C2056" s="24">
        <v>45433.0</v>
      </c>
      <c r="D2056" s="24">
        <v>45413.0</v>
      </c>
      <c r="E2056" s="24">
        <v>45423.0</v>
      </c>
      <c r="F2056" s="6">
        <v>62.0</v>
      </c>
      <c r="G2056" s="9" t="str">
        <f>VLOOKUP(operations[productID],products[],2,FALSE)</f>
        <v>Tarte au sucre</v>
      </c>
      <c r="H2056" s="9" t="str">
        <f>IF(VLOOKUP(operations[productID],products[],7,FALSE)=1,"Discontinued","Current")</f>
        <v>Current</v>
      </c>
      <c r="I2056" s="6">
        <f>VLOOKUP(operations[productID],products[],4,FALSE)</f>
        <v>17</v>
      </c>
      <c r="J2056" s="6">
        <f>VLOOKUP(operations[productID],products[],5,FALSE)</f>
        <v>0</v>
      </c>
      <c r="K2056" s="6">
        <f>VLOOKUP(operations[productID],products[],6,FALSE)</f>
        <v>0</v>
      </c>
      <c r="L2056" s="10">
        <f t="array" ref="L2056">INDEX('1 orders'!I2056:I2156, MATCH(1, ('1 orders'!A2056:A2156=A2056)*('1 orders'!G2056:G2156=F2056), 0))
</f>
        <v>12</v>
      </c>
      <c r="M2056" s="10">
        <f>IFERROR(__xludf.DUMMYFUNCTION("COUNTUNIQUEIFS($A$2:$A2056,$F$2:$F2056,F2056)"),48.0)</f>
        <v>48</v>
      </c>
      <c r="N2056" s="10">
        <f t="shared" si="1"/>
        <v>7</v>
      </c>
      <c r="O2056" s="26">
        <f>IF(operations[sinceLastOrder]=0,0,operations[orderQuantity] / operations[sinceLastOrder])</f>
        <v>1.714285714</v>
      </c>
      <c r="P2056" s="9">
        <v>8.72</v>
      </c>
      <c r="Q2056" s="7" t="s">
        <v>15</v>
      </c>
      <c r="R2056" s="10">
        <f>operations[arrivedDate]-operations[shippedDate]</f>
        <v>10</v>
      </c>
    </row>
    <row r="2057" ht="15.75" customHeight="1">
      <c r="A2057" s="6">
        <v>11045.0</v>
      </c>
      <c r="B2057" s="24">
        <v>45405.0</v>
      </c>
      <c r="C2057" s="24">
        <v>45433.0</v>
      </c>
      <c r="D2057" s="24"/>
      <c r="E2057" s="24"/>
      <c r="F2057" s="6">
        <v>33.0</v>
      </c>
      <c r="G2057" s="9" t="str">
        <f>VLOOKUP(operations[productID],products[],2,FALSE)</f>
        <v>Geitost</v>
      </c>
      <c r="H2057" s="9" t="str">
        <f>IF(VLOOKUP(operations[productID],products[],7,FALSE)=1,"Discontinued","Current")</f>
        <v>Current</v>
      </c>
      <c r="I2057" s="6">
        <f>VLOOKUP(operations[productID],products[],4,FALSE)</f>
        <v>112</v>
      </c>
      <c r="J2057" s="6">
        <f>VLOOKUP(operations[productID],products[],5,FALSE)</f>
        <v>0</v>
      </c>
      <c r="K2057" s="6">
        <f>VLOOKUP(operations[productID],products[],6,FALSE)</f>
        <v>20</v>
      </c>
      <c r="L2057" s="10">
        <f t="array" ref="L2057">INDEX('1 orders'!I2057:I2156, MATCH(1, ('1 orders'!A2057:A2156=A2057)*('1 orders'!G2057:G2156=F2057), 0))
</f>
        <v>15</v>
      </c>
      <c r="M2057" s="10">
        <f>IFERROR(__xludf.DUMMYFUNCTION("COUNTUNIQUEIFS($A$2:$A2057,$F$2:$F2057,F2057)"),31.0)</f>
        <v>31</v>
      </c>
      <c r="N2057" s="10">
        <f t="shared" si="1"/>
        <v>8</v>
      </c>
      <c r="O2057" s="26">
        <f>IF(operations[sinceLastOrder]=0,0,operations[orderQuantity] / operations[sinceLastOrder])</f>
        <v>1.875</v>
      </c>
      <c r="P2057" s="9">
        <v>70.58</v>
      </c>
      <c r="Q2057" s="7" t="s">
        <v>17</v>
      </c>
      <c r="R2057" s="10">
        <f>operations[arrivedDate]-operations[shippedDate]</f>
        <v>0</v>
      </c>
    </row>
    <row r="2058" ht="15.75" customHeight="1">
      <c r="A2058" s="6">
        <v>11045.0</v>
      </c>
      <c r="B2058" s="24">
        <v>45405.0</v>
      </c>
      <c r="C2058" s="24">
        <v>45433.0</v>
      </c>
      <c r="D2058" s="24"/>
      <c r="E2058" s="24"/>
      <c r="F2058" s="6">
        <v>51.0</v>
      </c>
      <c r="G2058" s="9" t="str">
        <f>VLOOKUP(operations[productID],products[],2,FALSE)</f>
        <v>Manjimup Dried Apples</v>
      </c>
      <c r="H2058" s="9" t="str">
        <f>IF(VLOOKUP(operations[productID],products[],7,FALSE)=1,"Discontinued","Current")</f>
        <v>Current</v>
      </c>
      <c r="I2058" s="6">
        <f>VLOOKUP(operations[productID],products[],4,FALSE)</f>
        <v>20</v>
      </c>
      <c r="J2058" s="6">
        <f>VLOOKUP(operations[productID],products[],5,FALSE)</f>
        <v>0</v>
      </c>
      <c r="K2058" s="6">
        <f>VLOOKUP(operations[productID],products[],6,FALSE)</f>
        <v>10</v>
      </c>
      <c r="L2058" s="10">
        <f t="array" ref="L2058">INDEX('1 orders'!I2058:I2156, MATCH(1, ('1 orders'!A2058:A2156=A2058)*('1 orders'!G2058:G2156=F2058), 0))
</f>
        <v>24</v>
      </c>
      <c r="M2058" s="10">
        <f>IFERROR(__xludf.DUMMYFUNCTION("COUNTUNIQUEIFS($A$2:$A2058,$F$2:$F2058,F2058)"),38.0)</f>
        <v>38</v>
      </c>
      <c r="N2058" s="10">
        <f t="shared" si="1"/>
        <v>8</v>
      </c>
      <c r="O2058" s="26">
        <f>IF(operations[sinceLastOrder]=0,0,operations[orderQuantity] / operations[sinceLastOrder])</f>
        <v>3</v>
      </c>
      <c r="P2058" s="9">
        <v>70.58</v>
      </c>
      <c r="Q2058" s="7" t="s">
        <v>17</v>
      </c>
      <c r="R2058" s="10">
        <f>operations[arrivedDate]-operations[shippedDate]</f>
        <v>0</v>
      </c>
    </row>
    <row r="2059" ht="15.75" customHeight="1">
      <c r="A2059" s="6">
        <v>11046.0</v>
      </c>
      <c r="B2059" s="24">
        <v>45405.0</v>
      </c>
      <c r="C2059" s="24">
        <v>45433.0</v>
      </c>
      <c r="D2059" s="24">
        <v>45406.0</v>
      </c>
      <c r="E2059" s="24">
        <v>45415.0</v>
      </c>
      <c r="F2059" s="6">
        <v>12.0</v>
      </c>
      <c r="G2059" s="9" t="str">
        <f>VLOOKUP(operations[productID],products[],2,FALSE)</f>
        <v>Queso Manchego La Pastora</v>
      </c>
      <c r="H2059" s="9" t="str">
        <f>IF(VLOOKUP(operations[productID],products[],7,FALSE)=1,"Discontinued","Current")</f>
        <v>Current</v>
      </c>
      <c r="I2059" s="6">
        <f>VLOOKUP(operations[productID],products[],4,FALSE)</f>
        <v>86</v>
      </c>
      <c r="J2059" s="6">
        <f>VLOOKUP(operations[productID],products[],5,FALSE)</f>
        <v>0</v>
      </c>
      <c r="K2059" s="6">
        <f>VLOOKUP(operations[productID],products[],6,FALSE)</f>
        <v>0</v>
      </c>
      <c r="L2059" s="10">
        <f t="array" ref="L2059">INDEX('1 orders'!I2059:I2156, MATCH(1, ('1 orders'!A2059:A2156=A2059)*('1 orders'!G2059:G2156=F2059), 0))
</f>
        <v>20</v>
      </c>
      <c r="M2059" s="10">
        <f>IFERROR(__xludf.DUMMYFUNCTION("COUNTUNIQUEIFS($A$2:$A2059,$F$2:$F2059,F2059)"),12.0)</f>
        <v>12</v>
      </c>
      <c r="N2059" s="10">
        <f t="shared" si="1"/>
        <v>10</v>
      </c>
      <c r="O2059" s="26">
        <f>IF(operations[sinceLastOrder]=0,0,operations[orderQuantity] / operations[sinceLastOrder])</f>
        <v>2</v>
      </c>
      <c r="P2059" s="9">
        <v>71.64</v>
      </c>
      <c r="Q2059" s="7" t="s">
        <v>17</v>
      </c>
      <c r="R2059" s="10">
        <f>operations[arrivedDate]-operations[shippedDate]</f>
        <v>9</v>
      </c>
    </row>
    <row r="2060" ht="15.75" customHeight="1">
      <c r="A2060" s="6">
        <v>11046.0</v>
      </c>
      <c r="B2060" s="24">
        <v>45405.0</v>
      </c>
      <c r="C2060" s="24">
        <v>45433.0</v>
      </c>
      <c r="D2060" s="24">
        <v>45406.0</v>
      </c>
      <c r="E2060" s="24">
        <v>45415.0</v>
      </c>
      <c r="F2060" s="6">
        <v>32.0</v>
      </c>
      <c r="G2060" s="9" t="str">
        <f>VLOOKUP(operations[productID],products[],2,FALSE)</f>
        <v>Mascarpone Fabioli</v>
      </c>
      <c r="H2060" s="9" t="str">
        <f>IF(VLOOKUP(operations[productID],products[],7,FALSE)=1,"Discontinued","Current")</f>
        <v>Current</v>
      </c>
      <c r="I2060" s="6">
        <f>VLOOKUP(operations[productID],products[],4,FALSE)</f>
        <v>9</v>
      </c>
      <c r="J2060" s="6">
        <f>VLOOKUP(operations[productID],products[],5,FALSE)</f>
        <v>40</v>
      </c>
      <c r="K2060" s="6">
        <f>VLOOKUP(operations[productID],products[],6,FALSE)</f>
        <v>25</v>
      </c>
      <c r="L2060" s="10">
        <f t="array" ref="L2060">INDEX('1 orders'!I2060:I2156, MATCH(1, ('1 orders'!A2060:A2156=A2060)*('1 orders'!G2060:G2156=F2060), 0))
</f>
        <v>15</v>
      </c>
      <c r="M2060" s="10">
        <f>IFERROR(__xludf.DUMMYFUNCTION("COUNTUNIQUEIFS($A$2:$A2060,$F$2:$F2060,F2060)"),13.0)</f>
        <v>13</v>
      </c>
      <c r="N2060" s="10">
        <f t="shared" si="1"/>
        <v>20</v>
      </c>
      <c r="O2060" s="26">
        <f>IF(operations[sinceLastOrder]=0,0,operations[orderQuantity] / operations[sinceLastOrder])</f>
        <v>0.75</v>
      </c>
      <c r="P2060" s="9">
        <v>71.64</v>
      </c>
      <c r="Q2060" s="7" t="s">
        <v>17</v>
      </c>
      <c r="R2060" s="10">
        <f>operations[arrivedDate]-operations[shippedDate]</f>
        <v>9</v>
      </c>
    </row>
    <row r="2061" ht="15.75" customHeight="1">
      <c r="A2061" s="6">
        <v>11046.0</v>
      </c>
      <c r="B2061" s="24">
        <v>45405.0</v>
      </c>
      <c r="C2061" s="24">
        <v>45433.0</v>
      </c>
      <c r="D2061" s="24">
        <v>45406.0</v>
      </c>
      <c r="E2061" s="24">
        <v>45415.0</v>
      </c>
      <c r="F2061" s="6">
        <v>35.0</v>
      </c>
      <c r="G2061" s="9" t="str">
        <f>VLOOKUP(operations[productID],products[],2,FALSE)</f>
        <v>Cold Brew Nitro</v>
      </c>
      <c r="H2061" s="9" t="str">
        <f>IF(VLOOKUP(operations[productID],products[],7,FALSE)=1,"Discontinued","Current")</f>
        <v>Current</v>
      </c>
      <c r="I2061" s="6">
        <f>VLOOKUP(operations[productID],products[],4,FALSE)</f>
        <v>20</v>
      </c>
      <c r="J2061" s="6">
        <f>VLOOKUP(operations[productID],products[],5,FALSE)</f>
        <v>0</v>
      </c>
      <c r="K2061" s="6">
        <f>VLOOKUP(operations[productID],products[],6,FALSE)</f>
        <v>15</v>
      </c>
      <c r="L2061" s="10">
        <f t="array" ref="L2061">INDEX('1 orders'!I2061:I2156, MATCH(1, ('1 orders'!A2061:A2156=A2061)*('1 orders'!G2061:G2156=F2061), 0))
</f>
        <v>18</v>
      </c>
      <c r="M2061" s="10">
        <f>IFERROR(__xludf.DUMMYFUNCTION("COUNTUNIQUEIFS($A$2:$A2061,$F$2:$F2061,F2061)"),36.0)</f>
        <v>36</v>
      </c>
      <c r="N2061" s="10">
        <f t="shared" si="1"/>
        <v>2</v>
      </c>
      <c r="O2061" s="26">
        <f>IF(operations[sinceLastOrder]=0,0,operations[orderQuantity] / operations[sinceLastOrder])</f>
        <v>9</v>
      </c>
      <c r="P2061" s="9">
        <v>71.64</v>
      </c>
      <c r="Q2061" s="7" t="s">
        <v>17</v>
      </c>
      <c r="R2061" s="10">
        <f>operations[arrivedDate]-operations[shippedDate]</f>
        <v>9</v>
      </c>
    </row>
    <row r="2062" ht="15.75" customHeight="1">
      <c r="A2062" s="6">
        <v>11047.0</v>
      </c>
      <c r="B2062" s="24">
        <v>45406.0</v>
      </c>
      <c r="C2062" s="24">
        <v>45434.0</v>
      </c>
      <c r="D2062" s="24">
        <v>45413.0</v>
      </c>
      <c r="E2062" s="24">
        <v>45421.0</v>
      </c>
      <c r="F2062" s="6">
        <v>1.0</v>
      </c>
      <c r="G2062" s="9" t="str">
        <f>VLOOKUP(operations[productID],products[],2,FALSE)</f>
        <v>Chai</v>
      </c>
      <c r="H2062" s="9" t="str">
        <f>IF(VLOOKUP(operations[productID],products[],7,FALSE)=1,"Discontinued","Current")</f>
        <v>Current</v>
      </c>
      <c r="I2062" s="6">
        <f>VLOOKUP(operations[productID],products[],4,FALSE)</f>
        <v>39</v>
      </c>
      <c r="J2062" s="6">
        <f>VLOOKUP(operations[productID],products[],5,FALSE)</f>
        <v>0</v>
      </c>
      <c r="K2062" s="6">
        <f>VLOOKUP(operations[productID],products[],6,FALSE)</f>
        <v>10</v>
      </c>
      <c r="L2062" s="10">
        <f t="array" ref="L2062">INDEX('1 orders'!I2062:I2156, MATCH(1, ('1 orders'!A2062:A2156=A2062)*('1 orders'!G2062:G2156=F2062), 0))
</f>
        <v>25</v>
      </c>
      <c r="M2062" s="10">
        <f>IFERROR(__xludf.DUMMYFUNCTION("COUNTUNIQUEIFS($A$2:$A2062,$F$2:$F2062,F2062)"),37.0)</f>
        <v>37</v>
      </c>
      <c r="N2062" s="10">
        <f t="shared" si="1"/>
        <v>4</v>
      </c>
      <c r="O2062" s="26">
        <f>IF(operations[sinceLastOrder]=0,0,operations[orderQuantity] / operations[sinceLastOrder])</f>
        <v>6.25</v>
      </c>
      <c r="P2062" s="9">
        <v>46.62</v>
      </c>
      <c r="Q2062" s="7" t="s">
        <v>13</v>
      </c>
      <c r="R2062" s="10">
        <f>operations[arrivedDate]-operations[shippedDate]</f>
        <v>8</v>
      </c>
    </row>
    <row r="2063" ht="15.75" customHeight="1">
      <c r="A2063" s="6">
        <v>11047.0</v>
      </c>
      <c r="B2063" s="24">
        <v>45406.0</v>
      </c>
      <c r="C2063" s="24">
        <v>45434.0</v>
      </c>
      <c r="D2063" s="24">
        <v>45413.0</v>
      </c>
      <c r="E2063" s="24">
        <v>45421.0</v>
      </c>
      <c r="F2063" s="6">
        <v>5.0</v>
      </c>
      <c r="G2063" s="9" t="str">
        <f>VLOOKUP(operations[productID],products[],2,FALSE)</f>
        <v>Chef Anton's Gumbo Mix</v>
      </c>
      <c r="H2063" s="9" t="str">
        <f>IF(VLOOKUP(operations[productID],products[],7,FALSE)=1,"Discontinued","Current")</f>
        <v>Discontinued</v>
      </c>
      <c r="I2063" s="6">
        <f>VLOOKUP(operations[productID],products[],4,FALSE)</f>
        <v>0</v>
      </c>
      <c r="J2063" s="6">
        <f>VLOOKUP(operations[productID],products[],5,FALSE)</f>
        <v>0</v>
      </c>
      <c r="K2063" s="6">
        <f>VLOOKUP(operations[productID],products[],6,FALSE)</f>
        <v>0</v>
      </c>
      <c r="L2063" s="10">
        <f t="array" ref="L2063">INDEX('1 orders'!I2063:I2156, MATCH(1, ('1 orders'!A2063:A2156=A2063)*('1 orders'!G2063:G2156=F2063), 0))
</f>
        <v>30</v>
      </c>
      <c r="M2063" s="10">
        <f>IFERROR(__xludf.DUMMYFUNCTION("COUNTUNIQUEIFS($A$2:$A2063,$F$2:$F2063,F2063)"),10.0)</f>
        <v>10</v>
      </c>
      <c r="N2063" s="10">
        <f t="shared" si="1"/>
        <v>7</v>
      </c>
      <c r="O2063" s="26">
        <f>IF(operations[sinceLastOrder]=0,0,operations[orderQuantity] / operations[sinceLastOrder])</f>
        <v>4.285714286</v>
      </c>
      <c r="P2063" s="9">
        <v>46.62</v>
      </c>
      <c r="Q2063" s="7" t="s">
        <v>13</v>
      </c>
      <c r="R2063" s="10">
        <f>operations[arrivedDate]-operations[shippedDate]</f>
        <v>8</v>
      </c>
    </row>
    <row r="2064" ht="15.75" customHeight="1">
      <c r="A2064" s="6">
        <v>11048.0</v>
      </c>
      <c r="B2064" s="24">
        <v>45406.0</v>
      </c>
      <c r="C2064" s="24">
        <v>45434.0</v>
      </c>
      <c r="D2064" s="24">
        <v>45412.0</v>
      </c>
      <c r="E2064" s="24">
        <v>45423.0</v>
      </c>
      <c r="F2064" s="6">
        <v>68.0</v>
      </c>
      <c r="G2064" s="9" t="str">
        <f>VLOOKUP(operations[productID],products[],2,FALSE)</f>
        <v>Scottish Longbreads</v>
      </c>
      <c r="H2064" s="9" t="str">
        <f>IF(VLOOKUP(operations[productID],products[],7,FALSE)=1,"Discontinued","Current")</f>
        <v>Current</v>
      </c>
      <c r="I2064" s="6">
        <f>VLOOKUP(operations[productID],products[],4,FALSE)</f>
        <v>6</v>
      </c>
      <c r="J2064" s="6">
        <f>VLOOKUP(operations[productID],products[],5,FALSE)</f>
        <v>10</v>
      </c>
      <c r="K2064" s="6">
        <f>VLOOKUP(operations[productID],products[],6,FALSE)</f>
        <v>15</v>
      </c>
      <c r="L2064" s="10">
        <f t="array" ref="L2064">INDEX('1 orders'!I2064:I2156, MATCH(1, ('1 orders'!A2064:A2156=A2064)*('1 orders'!G2064:G2156=F2064), 0))
</f>
        <v>42</v>
      </c>
      <c r="M2064" s="10">
        <f>IFERROR(__xludf.DUMMYFUNCTION("COUNTUNIQUEIFS($A$2:$A2064,$F$2:$F2064,F2064)"),33.0)</f>
        <v>33</v>
      </c>
      <c r="N2064" s="10">
        <f t="shared" si="1"/>
        <v>15</v>
      </c>
      <c r="O2064" s="26">
        <f>IF(operations[sinceLastOrder]=0,0,operations[orderQuantity] / operations[sinceLastOrder])</f>
        <v>2.8</v>
      </c>
      <c r="P2064" s="9">
        <v>24.12</v>
      </c>
      <c r="Q2064" s="7" t="s">
        <v>13</v>
      </c>
      <c r="R2064" s="10">
        <f>operations[arrivedDate]-operations[shippedDate]</f>
        <v>11</v>
      </c>
    </row>
    <row r="2065" ht="15.75" customHeight="1">
      <c r="A2065" s="6">
        <v>11049.0</v>
      </c>
      <c r="B2065" s="24">
        <v>45406.0</v>
      </c>
      <c r="C2065" s="24">
        <v>45434.0</v>
      </c>
      <c r="D2065" s="24">
        <v>45416.0</v>
      </c>
      <c r="E2065" s="24">
        <v>45432.0</v>
      </c>
      <c r="F2065" s="6">
        <v>2.0</v>
      </c>
      <c r="G2065" s="9" t="str">
        <f>VLOOKUP(operations[productID],products[],2,FALSE)</f>
        <v>Chang</v>
      </c>
      <c r="H2065" s="9" t="str">
        <f>IF(VLOOKUP(operations[productID],products[],7,FALSE)=1,"Discontinued","Current")</f>
        <v>Current</v>
      </c>
      <c r="I2065" s="6">
        <f>VLOOKUP(operations[productID],products[],4,FALSE)</f>
        <v>17</v>
      </c>
      <c r="J2065" s="6">
        <f>VLOOKUP(operations[productID],products[],5,FALSE)</f>
        <v>40</v>
      </c>
      <c r="K2065" s="6">
        <f>VLOOKUP(operations[productID],products[],6,FALSE)</f>
        <v>25</v>
      </c>
      <c r="L2065" s="10">
        <f t="array" ref="L2065">INDEX('1 orders'!I2065:I2156, MATCH(1, ('1 orders'!A2065:A2156=A2065)*('1 orders'!G2065:G2156=F2065), 0))
</f>
        <v>10</v>
      </c>
      <c r="M2065" s="10">
        <f>IFERROR(__xludf.DUMMYFUNCTION("COUNTUNIQUEIFS($A$2:$A2065,$F$2:$F2065,F2065)"),40.0)</f>
        <v>40</v>
      </c>
      <c r="N2065" s="10">
        <f t="shared" si="1"/>
        <v>2</v>
      </c>
      <c r="O2065" s="26">
        <f>IF(operations[sinceLastOrder]=0,0,operations[orderQuantity] / operations[sinceLastOrder])</f>
        <v>5</v>
      </c>
      <c r="P2065" s="9">
        <v>8.34</v>
      </c>
      <c r="Q2065" s="7" t="s">
        <v>15</v>
      </c>
      <c r="R2065" s="10">
        <f>operations[arrivedDate]-operations[shippedDate]</f>
        <v>16</v>
      </c>
    </row>
    <row r="2066" ht="15.75" customHeight="1">
      <c r="A2066" s="6">
        <v>11049.0</v>
      </c>
      <c r="B2066" s="24">
        <v>45406.0</v>
      </c>
      <c r="C2066" s="24">
        <v>45434.0</v>
      </c>
      <c r="D2066" s="24">
        <v>45416.0</v>
      </c>
      <c r="E2066" s="24">
        <v>45432.0</v>
      </c>
      <c r="F2066" s="6">
        <v>12.0</v>
      </c>
      <c r="G2066" s="9" t="str">
        <f>VLOOKUP(operations[productID],products[],2,FALSE)</f>
        <v>Queso Manchego La Pastora</v>
      </c>
      <c r="H2066" s="9" t="str">
        <f>IF(VLOOKUP(operations[productID],products[],7,FALSE)=1,"Discontinued","Current")</f>
        <v>Current</v>
      </c>
      <c r="I2066" s="6">
        <f>VLOOKUP(operations[productID],products[],4,FALSE)</f>
        <v>86</v>
      </c>
      <c r="J2066" s="6">
        <f>VLOOKUP(operations[productID],products[],5,FALSE)</f>
        <v>0</v>
      </c>
      <c r="K2066" s="6">
        <f>VLOOKUP(operations[productID],products[],6,FALSE)</f>
        <v>0</v>
      </c>
      <c r="L2066" s="10">
        <f t="array" ref="L2066">INDEX('1 orders'!I2066:I2156, MATCH(1, ('1 orders'!A2066:A2156=A2066)*('1 orders'!G2066:G2156=F2066), 0))
</f>
        <v>4</v>
      </c>
      <c r="M2066" s="10">
        <f>IFERROR(__xludf.DUMMYFUNCTION("COUNTUNIQUEIFS($A$2:$A2066,$F$2:$F2066,F2066)"),13.0)</f>
        <v>13</v>
      </c>
      <c r="N2066" s="10">
        <f t="shared" si="1"/>
        <v>1</v>
      </c>
      <c r="O2066" s="26">
        <f>IF(operations[sinceLastOrder]=0,0,operations[orderQuantity] / operations[sinceLastOrder])</f>
        <v>4</v>
      </c>
      <c r="P2066" s="9">
        <v>8.34</v>
      </c>
      <c r="Q2066" s="7" t="s">
        <v>15</v>
      </c>
      <c r="R2066" s="10">
        <f>operations[arrivedDate]-operations[shippedDate]</f>
        <v>16</v>
      </c>
    </row>
    <row r="2067" ht="15.75" customHeight="1">
      <c r="A2067" s="6">
        <v>11050.0</v>
      </c>
      <c r="B2067" s="24">
        <v>45409.0</v>
      </c>
      <c r="C2067" s="24">
        <v>45437.0</v>
      </c>
      <c r="D2067" s="24">
        <v>45417.0</v>
      </c>
      <c r="E2067" s="24">
        <v>45427.0</v>
      </c>
      <c r="F2067" s="6">
        <v>76.0</v>
      </c>
      <c r="G2067" s="9" t="str">
        <f>VLOOKUP(operations[productID],products[],2,FALSE)</f>
        <v>Lakkalikööri</v>
      </c>
      <c r="H2067" s="9" t="str">
        <f>IF(VLOOKUP(operations[productID],products[],7,FALSE)=1,"Discontinued","Current")</f>
        <v>Current</v>
      </c>
      <c r="I2067" s="6">
        <f>VLOOKUP(operations[productID],products[],4,FALSE)</f>
        <v>57</v>
      </c>
      <c r="J2067" s="6">
        <f>VLOOKUP(operations[productID],products[],5,FALSE)</f>
        <v>0</v>
      </c>
      <c r="K2067" s="6">
        <f>VLOOKUP(operations[productID],products[],6,FALSE)</f>
        <v>20</v>
      </c>
      <c r="L2067" s="10">
        <f t="array" ref="L2067">INDEX('1 orders'!I2067:I2156, MATCH(1, ('1 orders'!A2067:A2156=A2067)*('1 orders'!G2067:G2156=F2067), 0))
</f>
        <v>50</v>
      </c>
      <c r="M2067" s="10">
        <f>IFERROR(__xludf.DUMMYFUNCTION("COUNTUNIQUEIFS($A$2:$A2067,$F$2:$F2067,F2067)"),38.0)</f>
        <v>38</v>
      </c>
      <c r="N2067" s="10">
        <f t="shared" si="1"/>
        <v>20</v>
      </c>
      <c r="O2067" s="26">
        <f>IF(operations[sinceLastOrder]=0,0,operations[orderQuantity] / operations[sinceLastOrder])</f>
        <v>2.5</v>
      </c>
      <c r="P2067" s="9">
        <v>59.41</v>
      </c>
      <c r="Q2067" s="7" t="s">
        <v>17</v>
      </c>
      <c r="R2067" s="10">
        <f>operations[arrivedDate]-operations[shippedDate]</f>
        <v>10</v>
      </c>
    </row>
    <row r="2068" ht="15.75" customHeight="1">
      <c r="A2068" s="6">
        <v>11051.0</v>
      </c>
      <c r="B2068" s="24">
        <v>45409.0</v>
      </c>
      <c r="C2068" s="24">
        <v>45437.0</v>
      </c>
      <c r="D2068" s="24"/>
      <c r="E2068" s="24"/>
      <c r="F2068" s="6">
        <v>24.0</v>
      </c>
      <c r="G2068" s="9" t="str">
        <f>VLOOKUP(operations[productID],products[],2,FALSE)</f>
        <v>Brigadeiros Maravilhosos da Lilian</v>
      </c>
      <c r="H2068" s="9" t="str">
        <f>IF(VLOOKUP(operations[productID],products[],7,FALSE)=1,"Discontinued","Current")</f>
        <v>Discontinued</v>
      </c>
      <c r="I2068" s="6">
        <f>VLOOKUP(operations[productID],products[],4,FALSE)</f>
        <v>20</v>
      </c>
      <c r="J2068" s="6">
        <f>VLOOKUP(operations[productID],products[],5,FALSE)</f>
        <v>0</v>
      </c>
      <c r="K2068" s="6">
        <f>VLOOKUP(operations[productID],products[],6,FALSE)</f>
        <v>0</v>
      </c>
      <c r="L2068" s="10">
        <f t="array" ref="L2068">INDEX('1 orders'!I2068:I2156, MATCH(1, ('1 orders'!A2068:A2156=A2068)*('1 orders'!G2068:G2156=F2068), 0))
</f>
        <v>10</v>
      </c>
      <c r="M2068" s="10">
        <f>IFERROR(__xludf.DUMMYFUNCTION("COUNTUNIQUEIFS($A$2:$A2068,$F$2:$F2068,F2068)"),49.0)</f>
        <v>49</v>
      </c>
      <c r="N2068" s="10">
        <f t="shared" si="1"/>
        <v>10</v>
      </c>
      <c r="O2068" s="26">
        <f>IF(operations[sinceLastOrder]=0,0,operations[orderQuantity] / operations[sinceLastOrder])</f>
        <v>1</v>
      </c>
      <c r="P2068" s="9">
        <v>2.79</v>
      </c>
      <c r="Q2068" s="7" t="s">
        <v>13</v>
      </c>
      <c r="R2068" s="10">
        <f>operations[arrivedDate]-operations[shippedDate]</f>
        <v>0</v>
      </c>
    </row>
    <row r="2069" ht="15.75" customHeight="1">
      <c r="A2069" s="6">
        <v>11052.0</v>
      </c>
      <c r="B2069" s="24">
        <v>45409.0</v>
      </c>
      <c r="C2069" s="24">
        <v>45437.0</v>
      </c>
      <c r="D2069" s="24">
        <v>45413.0</v>
      </c>
      <c r="E2069" s="24">
        <v>45428.0</v>
      </c>
      <c r="F2069" s="6">
        <v>43.0</v>
      </c>
      <c r="G2069" s="9" t="str">
        <f>VLOOKUP(operations[productID],products[],2,FALSE)</f>
        <v>Ipoh Coffee</v>
      </c>
      <c r="H2069" s="9" t="str">
        <f>IF(VLOOKUP(operations[productID],products[],7,FALSE)=1,"Discontinued","Current")</f>
        <v>Current</v>
      </c>
      <c r="I2069" s="6">
        <f>VLOOKUP(operations[productID],products[],4,FALSE)</f>
        <v>17</v>
      </c>
      <c r="J2069" s="6">
        <f>VLOOKUP(operations[productID],products[],5,FALSE)</f>
        <v>10</v>
      </c>
      <c r="K2069" s="6">
        <f>VLOOKUP(operations[productID],products[],6,FALSE)</f>
        <v>25</v>
      </c>
      <c r="L2069" s="10">
        <f t="array" ref="L2069">INDEX('1 orders'!I2069:I2156, MATCH(1, ('1 orders'!A2069:A2156=A2069)*('1 orders'!G2069:G2156=F2069), 0))
</f>
        <v>30</v>
      </c>
      <c r="M2069" s="10">
        <f>IFERROR(__xludf.DUMMYFUNCTION("COUNTUNIQUEIFS($A$2:$A2069,$F$2:$F2069,F2069)"),27.0)</f>
        <v>27</v>
      </c>
      <c r="N2069" s="10">
        <f t="shared" si="1"/>
        <v>13</v>
      </c>
      <c r="O2069" s="26">
        <f>IF(operations[sinceLastOrder]=0,0,operations[orderQuantity] / operations[sinceLastOrder])</f>
        <v>2.307692308</v>
      </c>
      <c r="P2069" s="9">
        <v>67.26</v>
      </c>
      <c r="Q2069" s="7" t="s">
        <v>15</v>
      </c>
      <c r="R2069" s="10">
        <f>operations[arrivedDate]-operations[shippedDate]</f>
        <v>15</v>
      </c>
    </row>
    <row r="2070" ht="15.75" customHeight="1">
      <c r="A2070" s="6">
        <v>11052.0</v>
      </c>
      <c r="B2070" s="24">
        <v>45409.0</v>
      </c>
      <c r="C2070" s="24">
        <v>45437.0</v>
      </c>
      <c r="D2070" s="24">
        <v>45413.0</v>
      </c>
      <c r="E2070" s="24">
        <v>45428.0</v>
      </c>
      <c r="F2070" s="6">
        <v>61.0</v>
      </c>
      <c r="G2070" s="9" t="str">
        <f>VLOOKUP(operations[productID],products[],2,FALSE)</f>
        <v>Sirop d'érable</v>
      </c>
      <c r="H2070" s="9" t="str">
        <f>IF(VLOOKUP(operations[productID],products[],7,FALSE)=1,"Discontinued","Current")</f>
        <v>Current</v>
      </c>
      <c r="I2070" s="6">
        <f>VLOOKUP(operations[productID],products[],4,FALSE)</f>
        <v>113</v>
      </c>
      <c r="J2070" s="6">
        <f>VLOOKUP(operations[productID],products[],5,FALSE)</f>
        <v>0</v>
      </c>
      <c r="K2070" s="6">
        <f>VLOOKUP(operations[productID],products[],6,FALSE)</f>
        <v>25</v>
      </c>
      <c r="L2070" s="10">
        <f t="array" ref="L2070">INDEX('1 orders'!I2070:I2156, MATCH(1, ('1 orders'!A2070:A2156=A2070)*('1 orders'!G2070:G2156=F2070), 0))
</f>
        <v>10</v>
      </c>
      <c r="M2070" s="10">
        <f>IFERROR(__xludf.DUMMYFUNCTION("COUNTUNIQUEIFS($A$2:$A2070,$F$2:$F2070,F2070)"),23.0)</f>
        <v>23</v>
      </c>
      <c r="N2070" s="10">
        <f t="shared" si="1"/>
        <v>5</v>
      </c>
      <c r="O2070" s="26">
        <f>IF(operations[sinceLastOrder]=0,0,operations[orderQuantity] / operations[sinceLastOrder])</f>
        <v>2</v>
      </c>
      <c r="P2070" s="9">
        <v>67.26</v>
      </c>
      <c r="Q2070" s="7" t="s">
        <v>15</v>
      </c>
      <c r="R2070" s="10">
        <f>operations[arrivedDate]-operations[shippedDate]</f>
        <v>15</v>
      </c>
    </row>
    <row r="2071" ht="15.75" customHeight="1">
      <c r="A2071" s="6">
        <v>11053.0</v>
      </c>
      <c r="B2071" s="24">
        <v>45409.0</v>
      </c>
      <c r="C2071" s="24">
        <v>45437.0</v>
      </c>
      <c r="D2071" s="24">
        <v>45411.0</v>
      </c>
      <c r="E2071" s="24">
        <v>45424.0</v>
      </c>
      <c r="F2071" s="6">
        <v>18.0</v>
      </c>
      <c r="G2071" s="9" t="str">
        <f>VLOOKUP(operations[productID],products[],2,FALSE)</f>
        <v>Carnarvon Tigers</v>
      </c>
      <c r="H2071" s="9" t="str">
        <f>IF(VLOOKUP(operations[productID],products[],7,FALSE)=1,"Discontinued","Current")</f>
        <v>Current</v>
      </c>
      <c r="I2071" s="6">
        <f>VLOOKUP(operations[productID],products[],4,FALSE)</f>
        <v>42</v>
      </c>
      <c r="J2071" s="6">
        <f>VLOOKUP(operations[productID],products[],5,FALSE)</f>
        <v>0</v>
      </c>
      <c r="K2071" s="6">
        <f>VLOOKUP(operations[productID],products[],6,FALSE)</f>
        <v>0</v>
      </c>
      <c r="L2071" s="10">
        <f t="array" ref="L2071">INDEX('1 orders'!I2071:I2156, MATCH(1, ('1 orders'!A2071:A2156=A2071)*('1 orders'!G2071:G2156=F2071), 0))
</f>
        <v>35</v>
      </c>
      <c r="M2071" s="10">
        <f>IFERROR(__xludf.DUMMYFUNCTION("COUNTUNIQUEIFS($A$2:$A2071,$F$2:$F2071,F2071)"),27.0)</f>
        <v>27</v>
      </c>
      <c r="N2071" s="10">
        <f t="shared" si="1"/>
        <v>12</v>
      </c>
      <c r="O2071" s="26">
        <f>IF(operations[sinceLastOrder]=0,0,operations[orderQuantity] / operations[sinceLastOrder])</f>
        <v>2.916666667</v>
      </c>
      <c r="P2071" s="9">
        <v>53.05</v>
      </c>
      <c r="Q2071" s="7" t="s">
        <v>17</v>
      </c>
      <c r="R2071" s="10">
        <f>operations[arrivedDate]-operations[shippedDate]</f>
        <v>13</v>
      </c>
    </row>
    <row r="2072" ht="15.75" customHeight="1">
      <c r="A2072" s="6">
        <v>11053.0</v>
      </c>
      <c r="B2072" s="24">
        <v>45409.0</v>
      </c>
      <c r="C2072" s="24">
        <v>45437.0</v>
      </c>
      <c r="D2072" s="24">
        <v>45411.0</v>
      </c>
      <c r="E2072" s="24">
        <v>45424.0</v>
      </c>
      <c r="F2072" s="6">
        <v>32.0</v>
      </c>
      <c r="G2072" s="9" t="str">
        <f>VLOOKUP(operations[productID],products[],2,FALSE)</f>
        <v>Mascarpone Fabioli</v>
      </c>
      <c r="H2072" s="9" t="str">
        <f>IF(VLOOKUP(operations[productID],products[],7,FALSE)=1,"Discontinued","Current")</f>
        <v>Current</v>
      </c>
      <c r="I2072" s="6">
        <f>VLOOKUP(operations[productID],products[],4,FALSE)</f>
        <v>9</v>
      </c>
      <c r="J2072" s="6">
        <f>VLOOKUP(operations[productID],products[],5,FALSE)</f>
        <v>40</v>
      </c>
      <c r="K2072" s="6">
        <f>VLOOKUP(operations[productID],products[],6,FALSE)</f>
        <v>25</v>
      </c>
      <c r="L2072" s="10">
        <f t="array" ref="L2072">INDEX('1 orders'!I2072:I2156, MATCH(1, ('1 orders'!A2072:A2156=A2072)*('1 orders'!G2072:G2156=F2072), 0))
</f>
        <v>20</v>
      </c>
      <c r="M2072" s="10">
        <f>IFERROR(__xludf.DUMMYFUNCTION("COUNTUNIQUEIFS($A$2:$A2072,$F$2:$F2072,F2072)"),14.0)</f>
        <v>14</v>
      </c>
      <c r="N2072" s="10">
        <f t="shared" si="1"/>
        <v>4</v>
      </c>
      <c r="O2072" s="26">
        <f>IF(operations[sinceLastOrder]=0,0,operations[orderQuantity] / operations[sinceLastOrder])</f>
        <v>5</v>
      </c>
      <c r="P2072" s="9">
        <v>53.05</v>
      </c>
      <c r="Q2072" s="7" t="s">
        <v>17</v>
      </c>
      <c r="R2072" s="10">
        <f>operations[arrivedDate]-operations[shippedDate]</f>
        <v>13</v>
      </c>
    </row>
    <row r="2073" ht="15.75" customHeight="1">
      <c r="A2073" s="6">
        <v>11053.0</v>
      </c>
      <c r="B2073" s="24">
        <v>45409.0</v>
      </c>
      <c r="C2073" s="24">
        <v>45437.0</v>
      </c>
      <c r="D2073" s="24">
        <v>45411.0</v>
      </c>
      <c r="E2073" s="24">
        <v>45424.0</v>
      </c>
      <c r="F2073" s="6">
        <v>64.0</v>
      </c>
      <c r="G2073" s="9" t="str">
        <f>VLOOKUP(operations[productID],products[],2,FALSE)</f>
        <v>Lukas' leckere Sauerteigweggla</v>
      </c>
      <c r="H2073" s="9" t="str">
        <f>IF(VLOOKUP(operations[productID],products[],7,FALSE)=1,"Discontinued","Current")</f>
        <v>Current</v>
      </c>
      <c r="I2073" s="6">
        <f>VLOOKUP(operations[productID],products[],4,FALSE)</f>
        <v>22</v>
      </c>
      <c r="J2073" s="6">
        <f>VLOOKUP(operations[productID],products[],5,FALSE)</f>
        <v>80</v>
      </c>
      <c r="K2073" s="6">
        <f>VLOOKUP(operations[productID],products[],6,FALSE)</f>
        <v>30</v>
      </c>
      <c r="L2073" s="10">
        <f t="array" ref="L2073">INDEX('1 orders'!I2073:I2156, MATCH(1, ('1 orders'!A2073:A2156=A2073)*('1 orders'!G2073:G2156=F2073), 0))
</f>
        <v>25</v>
      </c>
      <c r="M2073" s="10">
        <f>IFERROR(__xludf.DUMMYFUNCTION("COUNTUNIQUEIFS($A$2:$A2073,$F$2:$F2073,F2073)"),28.0)</f>
        <v>28</v>
      </c>
      <c r="N2073" s="10">
        <f t="shared" si="1"/>
        <v>10</v>
      </c>
      <c r="O2073" s="26">
        <f>IF(operations[sinceLastOrder]=0,0,operations[orderQuantity] / operations[sinceLastOrder])</f>
        <v>2.5</v>
      </c>
      <c r="P2073" s="9">
        <v>53.05</v>
      </c>
      <c r="Q2073" s="7" t="s">
        <v>17</v>
      </c>
      <c r="R2073" s="10">
        <f>operations[arrivedDate]-operations[shippedDate]</f>
        <v>13</v>
      </c>
    </row>
    <row r="2074" ht="15.75" customHeight="1">
      <c r="A2074" s="6">
        <v>11054.0</v>
      </c>
      <c r="B2074" s="24">
        <v>45410.0</v>
      </c>
      <c r="C2074" s="24">
        <v>45438.0</v>
      </c>
      <c r="D2074" s="24"/>
      <c r="E2074" s="24"/>
      <c r="F2074" s="6">
        <v>33.0</v>
      </c>
      <c r="G2074" s="9" t="str">
        <f>VLOOKUP(operations[productID],products[],2,FALSE)</f>
        <v>Geitost</v>
      </c>
      <c r="H2074" s="9" t="str">
        <f>IF(VLOOKUP(operations[productID],products[],7,FALSE)=1,"Discontinued","Current")</f>
        <v>Current</v>
      </c>
      <c r="I2074" s="6">
        <f>VLOOKUP(operations[productID],products[],4,FALSE)</f>
        <v>112</v>
      </c>
      <c r="J2074" s="6">
        <f>VLOOKUP(operations[productID],products[],5,FALSE)</f>
        <v>0</v>
      </c>
      <c r="K2074" s="6">
        <f>VLOOKUP(operations[productID],products[],6,FALSE)</f>
        <v>20</v>
      </c>
      <c r="L2074" s="10">
        <f t="array" ref="L2074">INDEX('1 orders'!I2074:I2156, MATCH(1, ('1 orders'!A2074:A2156=A2074)*('1 orders'!G2074:G2156=F2074), 0))
</f>
        <v>10</v>
      </c>
      <c r="M2074" s="10">
        <f>IFERROR(__xludf.DUMMYFUNCTION("COUNTUNIQUEIFS($A$2:$A2074,$F$2:$F2074,F2074)"),32.0)</f>
        <v>32</v>
      </c>
      <c r="N2074" s="10">
        <f t="shared" si="1"/>
        <v>5</v>
      </c>
      <c r="O2074" s="26">
        <f>IF(operations[sinceLastOrder]=0,0,operations[orderQuantity] / operations[sinceLastOrder])</f>
        <v>2</v>
      </c>
      <c r="P2074" s="9">
        <v>0.33</v>
      </c>
      <c r="Q2074" s="7" t="s">
        <v>15</v>
      </c>
      <c r="R2074" s="10">
        <f>operations[arrivedDate]-operations[shippedDate]</f>
        <v>0</v>
      </c>
    </row>
    <row r="2075" ht="15.75" customHeight="1">
      <c r="A2075" s="6">
        <v>11054.0</v>
      </c>
      <c r="B2075" s="24">
        <v>45410.0</v>
      </c>
      <c r="C2075" s="24">
        <v>45438.0</v>
      </c>
      <c r="D2075" s="24"/>
      <c r="E2075" s="24"/>
      <c r="F2075" s="6">
        <v>67.0</v>
      </c>
      <c r="G2075" s="9" t="str">
        <f>VLOOKUP(operations[productID],products[],2,FALSE)</f>
        <v>Laughing Lumberjack Lager</v>
      </c>
      <c r="H2075" s="9" t="str">
        <f>IF(VLOOKUP(operations[productID],products[],7,FALSE)=1,"Discontinued","Current")</f>
        <v>Current</v>
      </c>
      <c r="I2075" s="6">
        <f>VLOOKUP(operations[productID],products[],4,FALSE)</f>
        <v>52</v>
      </c>
      <c r="J2075" s="6">
        <f>VLOOKUP(operations[productID],products[],5,FALSE)</f>
        <v>0</v>
      </c>
      <c r="K2075" s="6">
        <f>VLOOKUP(operations[productID],products[],6,FALSE)</f>
        <v>10</v>
      </c>
      <c r="L2075" s="10">
        <f t="array" ref="L2075">INDEX('1 orders'!I2075:I2156, MATCH(1, ('1 orders'!A2075:A2156=A2075)*('1 orders'!G2075:G2156=F2075), 0))
</f>
        <v>20</v>
      </c>
      <c r="M2075" s="10">
        <f>IFERROR(__xludf.DUMMYFUNCTION("COUNTUNIQUEIFS($A$2:$A2075,$F$2:$F2075,F2075)"),10.0)</f>
        <v>10</v>
      </c>
      <c r="N2075" s="10">
        <f t="shared" si="1"/>
        <v>49</v>
      </c>
      <c r="O2075" s="26">
        <f>IF(operations[sinceLastOrder]=0,0,operations[orderQuantity] / operations[sinceLastOrder])</f>
        <v>0.4081632653</v>
      </c>
      <c r="P2075" s="9">
        <v>0.33</v>
      </c>
      <c r="Q2075" s="7" t="s">
        <v>15</v>
      </c>
      <c r="R2075" s="10">
        <f>operations[arrivedDate]-operations[shippedDate]</f>
        <v>0</v>
      </c>
    </row>
    <row r="2076" ht="15.75" customHeight="1">
      <c r="A2076" s="6">
        <v>11055.0</v>
      </c>
      <c r="B2076" s="24">
        <v>45410.0</v>
      </c>
      <c r="C2076" s="24">
        <v>45438.0</v>
      </c>
      <c r="D2076" s="24">
        <v>45417.0</v>
      </c>
      <c r="E2076" s="24">
        <v>45432.0</v>
      </c>
      <c r="F2076" s="6">
        <v>24.0</v>
      </c>
      <c r="G2076" s="9" t="str">
        <f>VLOOKUP(operations[productID],products[],2,FALSE)</f>
        <v>Brigadeiros Maravilhosos da Lilian</v>
      </c>
      <c r="H2076" s="9" t="str">
        <f>IF(VLOOKUP(operations[productID],products[],7,FALSE)=1,"Discontinued","Current")</f>
        <v>Discontinued</v>
      </c>
      <c r="I2076" s="6">
        <f>VLOOKUP(operations[productID],products[],4,FALSE)</f>
        <v>20</v>
      </c>
      <c r="J2076" s="6">
        <f>VLOOKUP(operations[productID],products[],5,FALSE)</f>
        <v>0</v>
      </c>
      <c r="K2076" s="6">
        <f>VLOOKUP(operations[productID],products[],6,FALSE)</f>
        <v>0</v>
      </c>
      <c r="L2076" s="10">
        <f t="array" ref="L2076">INDEX('1 orders'!I2076:I2156, MATCH(1, ('1 orders'!A2076:A2156=A2076)*('1 orders'!G2076:G2156=F2076), 0))
</f>
        <v>15</v>
      </c>
      <c r="M2076" s="10">
        <f>IFERROR(__xludf.DUMMYFUNCTION("COUNTUNIQUEIFS($A$2:$A2076,$F$2:$F2076,F2076)"),50.0)</f>
        <v>50</v>
      </c>
      <c r="N2076" s="10">
        <f t="shared" si="1"/>
        <v>1</v>
      </c>
      <c r="O2076" s="26">
        <f>IF(operations[sinceLastOrder]=0,0,operations[orderQuantity] / operations[sinceLastOrder])</f>
        <v>15</v>
      </c>
      <c r="P2076" s="9">
        <v>120.92</v>
      </c>
      <c r="Q2076" s="7" t="s">
        <v>17</v>
      </c>
      <c r="R2076" s="10">
        <f>operations[arrivedDate]-operations[shippedDate]</f>
        <v>15</v>
      </c>
    </row>
    <row r="2077" ht="15.75" customHeight="1">
      <c r="A2077" s="6">
        <v>11055.0</v>
      </c>
      <c r="B2077" s="24">
        <v>45410.0</v>
      </c>
      <c r="C2077" s="24">
        <v>45438.0</v>
      </c>
      <c r="D2077" s="24">
        <v>45417.0</v>
      </c>
      <c r="E2077" s="24">
        <v>45432.0</v>
      </c>
      <c r="F2077" s="6">
        <v>25.0</v>
      </c>
      <c r="G2077" s="9" t="str">
        <f>VLOOKUP(operations[productID],products[],2,FALSE)</f>
        <v>HM Köstliche Kaiserschmarrn Knödelchen</v>
      </c>
      <c r="H2077" s="9" t="str">
        <f>IF(VLOOKUP(operations[productID],products[],7,FALSE)=1,"Discontinued","Current")</f>
        <v>Current</v>
      </c>
      <c r="I2077" s="6">
        <f>VLOOKUP(operations[productID],products[],4,FALSE)</f>
        <v>76</v>
      </c>
      <c r="J2077" s="6">
        <f>VLOOKUP(operations[productID],products[],5,FALSE)</f>
        <v>0</v>
      </c>
      <c r="K2077" s="6">
        <f>VLOOKUP(operations[productID],products[],6,FALSE)</f>
        <v>30</v>
      </c>
      <c r="L2077" s="10">
        <f t="array" ref="L2077">INDEX('1 orders'!I2077:I2156, MATCH(1, ('1 orders'!A2077:A2156=A2077)*('1 orders'!G2077:G2156=F2077), 0))
</f>
        <v>15</v>
      </c>
      <c r="M2077" s="10">
        <f>IFERROR(__xludf.DUMMYFUNCTION("COUNTUNIQUEIFS($A$2:$A2077,$F$2:$F2077,F2077)"),18.0)</f>
        <v>18</v>
      </c>
      <c r="N2077" s="10">
        <f t="shared" si="1"/>
        <v>57</v>
      </c>
      <c r="O2077" s="26">
        <f>IF(operations[sinceLastOrder]=0,0,operations[orderQuantity] / operations[sinceLastOrder])</f>
        <v>0.2631578947</v>
      </c>
      <c r="P2077" s="9">
        <v>120.92</v>
      </c>
      <c r="Q2077" s="7" t="s">
        <v>17</v>
      </c>
      <c r="R2077" s="10">
        <f>operations[arrivedDate]-operations[shippedDate]</f>
        <v>15</v>
      </c>
    </row>
    <row r="2078" ht="15.75" customHeight="1">
      <c r="A2078" s="6">
        <v>11055.0</v>
      </c>
      <c r="B2078" s="24">
        <v>45410.0</v>
      </c>
      <c r="C2078" s="24">
        <v>45438.0</v>
      </c>
      <c r="D2078" s="24">
        <v>45417.0</v>
      </c>
      <c r="E2078" s="24">
        <v>45432.0</v>
      </c>
      <c r="F2078" s="6">
        <v>51.0</v>
      </c>
      <c r="G2078" s="9" t="str">
        <f>VLOOKUP(operations[productID],products[],2,FALSE)</f>
        <v>Manjimup Dried Apples</v>
      </c>
      <c r="H2078" s="9" t="str">
        <f>IF(VLOOKUP(operations[productID],products[],7,FALSE)=1,"Discontinued","Current")</f>
        <v>Current</v>
      </c>
      <c r="I2078" s="6">
        <f>VLOOKUP(operations[productID],products[],4,FALSE)</f>
        <v>20</v>
      </c>
      <c r="J2078" s="6">
        <f>VLOOKUP(operations[productID],products[],5,FALSE)</f>
        <v>0</v>
      </c>
      <c r="K2078" s="6">
        <f>VLOOKUP(operations[productID],products[],6,FALSE)</f>
        <v>10</v>
      </c>
      <c r="L2078" s="10">
        <f t="array" ref="L2078">INDEX('1 orders'!I2078:I2156, MATCH(1, ('1 orders'!A2078:A2156=A2078)*('1 orders'!G2078:G2156=F2078), 0))
</f>
        <v>20</v>
      </c>
      <c r="M2078" s="10">
        <f>IFERROR(__xludf.DUMMYFUNCTION("COUNTUNIQUEIFS($A$2:$A2078,$F$2:$F2078,F2078)"),39.0)</f>
        <v>39</v>
      </c>
      <c r="N2078" s="10">
        <f t="shared" si="1"/>
        <v>5</v>
      </c>
      <c r="O2078" s="26">
        <f>IF(operations[sinceLastOrder]=0,0,operations[orderQuantity] / operations[sinceLastOrder])</f>
        <v>4</v>
      </c>
      <c r="P2078" s="9">
        <v>120.92</v>
      </c>
      <c r="Q2078" s="7" t="s">
        <v>17</v>
      </c>
      <c r="R2078" s="10">
        <f>operations[arrivedDate]-operations[shippedDate]</f>
        <v>15</v>
      </c>
    </row>
    <row r="2079" ht="15.75" customHeight="1">
      <c r="A2079" s="6">
        <v>11055.0</v>
      </c>
      <c r="B2079" s="24">
        <v>45410.0</v>
      </c>
      <c r="C2079" s="24">
        <v>45438.0</v>
      </c>
      <c r="D2079" s="24">
        <v>45417.0</v>
      </c>
      <c r="E2079" s="24">
        <v>45432.0</v>
      </c>
      <c r="F2079" s="6">
        <v>57.0</v>
      </c>
      <c r="G2079" s="9" t="str">
        <f>VLOOKUP(operations[productID],products[],2,FALSE)</f>
        <v>Ravioli Angelo</v>
      </c>
      <c r="H2079" s="9" t="str">
        <f>IF(VLOOKUP(operations[productID],products[],7,FALSE)=1,"Discontinued","Current")</f>
        <v>Current</v>
      </c>
      <c r="I2079" s="6">
        <f>VLOOKUP(operations[productID],products[],4,FALSE)</f>
        <v>36</v>
      </c>
      <c r="J2079" s="6">
        <f>VLOOKUP(operations[productID],products[],5,FALSE)</f>
        <v>0</v>
      </c>
      <c r="K2079" s="6">
        <f>VLOOKUP(operations[productID],products[],6,FALSE)</f>
        <v>20</v>
      </c>
      <c r="L2079" s="10">
        <f t="array" ref="L2079">INDEX('1 orders'!I2079:I2156, MATCH(1, ('1 orders'!A2079:A2156=A2079)*('1 orders'!G2079:G2156=F2079), 0))
</f>
        <v>20</v>
      </c>
      <c r="M2079" s="10">
        <f>IFERROR(__xludf.DUMMYFUNCTION("COUNTUNIQUEIFS($A$2:$A2079,$F$2:$F2079,F2079)"),23.0)</f>
        <v>23</v>
      </c>
      <c r="N2079" s="10">
        <f t="shared" si="1"/>
        <v>7</v>
      </c>
      <c r="O2079" s="26">
        <f>IF(operations[sinceLastOrder]=0,0,operations[orderQuantity] / operations[sinceLastOrder])</f>
        <v>2.857142857</v>
      </c>
      <c r="P2079" s="9">
        <v>120.92</v>
      </c>
      <c r="Q2079" s="7" t="s">
        <v>17</v>
      </c>
      <c r="R2079" s="10">
        <f>operations[arrivedDate]-operations[shippedDate]</f>
        <v>15</v>
      </c>
    </row>
    <row r="2080" ht="15.75" customHeight="1">
      <c r="A2080" s="6">
        <v>11056.0</v>
      </c>
      <c r="B2080" s="24">
        <v>45410.0</v>
      </c>
      <c r="C2080" s="24">
        <v>45424.0</v>
      </c>
      <c r="D2080" s="24">
        <v>45413.0</v>
      </c>
      <c r="E2080" s="24">
        <v>45422.0</v>
      </c>
      <c r="F2080" s="6">
        <v>7.0</v>
      </c>
      <c r="G2080" s="9" t="str">
        <f>VLOOKUP(operations[productID],products[],2,FALSE)</f>
        <v>Uncle Bob's Organic Dried Pears</v>
      </c>
      <c r="H2080" s="9" t="str">
        <f>IF(VLOOKUP(operations[productID],products[],7,FALSE)=1,"Discontinued","Current")</f>
        <v>Current</v>
      </c>
      <c r="I2080" s="6">
        <f>VLOOKUP(operations[productID],products[],4,FALSE)</f>
        <v>15</v>
      </c>
      <c r="J2080" s="6">
        <f>VLOOKUP(operations[productID],products[],5,FALSE)</f>
        <v>0</v>
      </c>
      <c r="K2080" s="6">
        <f>VLOOKUP(operations[productID],products[],6,FALSE)</f>
        <v>10</v>
      </c>
      <c r="L2080" s="10">
        <f t="array" ref="L2080">INDEX('1 orders'!I2080:I2156, MATCH(1, ('1 orders'!A2080:A2156=A2080)*('1 orders'!G2080:G2156=F2080), 0))
</f>
        <v>40</v>
      </c>
      <c r="M2080" s="10">
        <f>IFERROR(__xludf.DUMMYFUNCTION("COUNTUNIQUEIFS($A$2:$A2080,$F$2:$F2080,F2080)"),27.0)</f>
        <v>27</v>
      </c>
      <c r="N2080" s="10">
        <f t="shared" si="1"/>
        <v>14</v>
      </c>
      <c r="O2080" s="26">
        <f>IF(operations[sinceLastOrder]=0,0,operations[orderQuantity] / operations[sinceLastOrder])</f>
        <v>2.857142857</v>
      </c>
      <c r="P2080" s="9">
        <v>278.96</v>
      </c>
      <c r="Q2080" s="7" t="s">
        <v>17</v>
      </c>
      <c r="R2080" s="10">
        <f>operations[arrivedDate]-operations[shippedDate]</f>
        <v>9</v>
      </c>
    </row>
    <row r="2081" ht="15.75" customHeight="1">
      <c r="A2081" s="6">
        <v>11056.0</v>
      </c>
      <c r="B2081" s="24">
        <v>45410.0</v>
      </c>
      <c r="C2081" s="24">
        <v>45424.0</v>
      </c>
      <c r="D2081" s="24">
        <v>45413.0</v>
      </c>
      <c r="E2081" s="24">
        <v>45422.0</v>
      </c>
      <c r="F2081" s="6">
        <v>55.0</v>
      </c>
      <c r="G2081" s="9" t="str">
        <f>VLOOKUP(operations[productID],products[],2,FALSE)</f>
        <v>Pâté chinois</v>
      </c>
      <c r="H2081" s="9" t="str">
        <f>IF(VLOOKUP(operations[productID],products[],7,FALSE)=1,"Discontinued","Current")</f>
        <v>Current</v>
      </c>
      <c r="I2081" s="6">
        <f>VLOOKUP(operations[productID],products[],4,FALSE)</f>
        <v>115</v>
      </c>
      <c r="J2081" s="6">
        <f>VLOOKUP(operations[productID],products[],5,FALSE)</f>
        <v>0</v>
      </c>
      <c r="K2081" s="6">
        <f>VLOOKUP(operations[productID],products[],6,FALSE)</f>
        <v>20</v>
      </c>
      <c r="L2081" s="10">
        <f t="array" ref="L2081">INDEX('1 orders'!I2081:I2156, MATCH(1, ('1 orders'!A2081:A2156=A2081)*('1 orders'!G2081:G2156=F2081), 0))
</f>
        <v>35</v>
      </c>
      <c r="M2081" s="10">
        <f>IFERROR(__xludf.DUMMYFUNCTION("COUNTUNIQUEIFS($A$2:$A2081,$F$2:$F2081,F2081)"),31.0)</f>
        <v>31</v>
      </c>
      <c r="N2081" s="10">
        <f t="shared" si="1"/>
        <v>12</v>
      </c>
      <c r="O2081" s="26">
        <f>IF(operations[sinceLastOrder]=0,0,operations[orderQuantity] / operations[sinceLastOrder])</f>
        <v>2.916666667</v>
      </c>
      <c r="P2081" s="9">
        <v>278.96</v>
      </c>
      <c r="Q2081" s="7" t="s">
        <v>17</v>
      </c>
      <c r="R2081" s="10">
        <f>operations[arrivedDate]-operations[shippedDate]</f>
        <v>9</v>
      </c>
    </row>
    <row r="2082" ht="15.75" customHeight="1">
      <c r="A2082" s="6">
        <v>11056.0</v>
      </c>
      <c r="B2082" s="24">
        <v>45410.0</v>
      </c>
      <c r="C2082" s="24">
        <v>45424.0</v>
      </c>
      <c r="D2082" s="24">
        <v>45413.0</v>
      </c>
      <c r="E2082" s="24">
        <v>45422.0</v>
      </c>
      <c r="F2082" s="6">
        <v>60.0</v>
      </c>
      <c r="G2082" s="9" t="str">
        <f>VLOOKUP(operations[productID],products[],2,FALSE)</f>
        <v>Camembert Pierrot</v>
      </c>
      <c r="H2082" s="9" t="str">
        <f>IF(VLOOKUP(operations[productID],products[],7,FALSE)=1,"Discontinued","Current")</f>
        <v>Current</v>
      </c>
      <c r="I2082" s="6">
        <f>VLOOKUP(operations[productID],products[],4,FALSE)</f>
        <v>19</v>
      </c>
      <c r="J2082" s="6">
        <f>VLOOKUP(operations[productID],products[],5,FALSE)</f>
        <v>0</v>
      </c>
      <c r="K2082" s="6">
        <f>VLOOKUP(operations[productID],products[],6,FALSE)</f>
        <v>0</v>
      </c>
      <c r="L2082" s="10">
        <f t="array" ref="L2082">INDEX('1 orders'!I2082:I2156, MATCH(1, ('1 orders'!A2082:A2156=A2082)*('1 orders'!G2082:G2156=F2082), 0))
</f>
        <v>50</v>
      </c>
      <c r="M2082" s="10">
        <f>IFERROR(__xludf.DUMMYFUNCTION("COUNTUNIQUEIFS($A$2:$A2082,$F$2:$F2082,F2082)"),46.0)</f>
        <v>46</v>
      </c>
      <c r="N2082" s="10">
        <f t="shared" si="1"/>
        <v>19</v>
      </c>
      <c r="O2082" s="26">
        <f>IF(operations[sinceLastOrder]=0,0,operations[orderQuantity] / operations[sinceLastOrder])</f>
        <v>2.631578947</v>
      </c>
      <c r="P2082" s="9">
        <v>278.96</v>
      </c>
      <c r="Q2082" s="7" t="s">
        <v>17</v>
      </c>
      <c r="R2082" s="10">
        <f>operations[arrivedDate]-operations[shippedDate]</f>
        <v>9</v>
      </c>
    </row>
    <row r="2083" ht="15.75" customHeight="1">
      <c r="A2083" s="6">
        <v>11057.0</v>
      </c>
      <c r="B2083" s="24">
        <v>45411.0</v>
      </c>
      <c r="C2083" s="24">
        <v>45439.0</v>
      </c>
      <c r="D2083" s="24">
        <v>45413.0</v>
      </c>
      <c r="E2083" s="24">
        <v>45422.0</v>
      </c>
      <c r="F2083" s="6">
        <v>70.0</v>
      </c>
      <c r="G2083" s="9" t="str">
        <f>VLOOKUP(operations[productID],products[],2,FALSE)</f>
        <v>Outback Lager</v>
      </c>
      <c r="H2083" s="9" t="str">
        <f>IF(VLOOKUP(operations[productID],products[],7,FALSE)=1,"Discontinued","Current")</f>
        <v>Current</v>
      </c>
      <c r="I2083" s="6">
        <f>VLOOKUP(operations[productID],products[],4,FALSE)</f>
        <v>15</v>
      </c>
      <c r="J2083" s="6">
        <f>VLOOKUP(operations[productID],products[],5,FALSE)</f>
        <v>10</v>
      </c>
      <c r="K2083" s="6">
        <f>VLOOKUP(operations[productID],products[],6,FALSE)</f>
        <v>30</v>
      </c>
      <c r="L2083" s="10">
        <f t="array" ref="L2083">INDEX('1 orders'!I2083:I2156, MATCH(1, ('1 orders'!A2083:A2156=A2083)*('1 orders'!G2083:G2156=F2083), 0))
</f>
        <v>3</v>
      </c>
      <c r="M2083" s="10">
        <f>IFERROR(__xludf.DUMMYFUNCTION("COUNTUNIQUEIFS($A$2:$A2083,$F$2:$F2083,F2083)"),38.0)</f>
        <v>38</v>
      </c>
      <c r="N2083" s="10">
        <f t="shared" si="1"/>
        <v>8</v>
      </c>
      <c r="O2083" s="26">
        <f>IF(operations[sinceLastOrder]=0,0,operations[orderQuantity] / operations[sinceLastOrder])</f>
        <v>0.375</v>
      </c>
      <c r="P2083" s="9">
        <v>4.13</v>
      </c>
      <c r="Q2083" s="7" t="s">
        <v>13</v>
      </c>
      <c r="R2083" s="10">
        <f>operations[arrivedDate]-operations[shippedDate]</f>
        <v>9</v>
      </c>
    </row>
    <row r="2084" ht="15.75" customHeight="1">
      <c r="A2084" s="6">
        <v>11058.0</v>
      </c>
      <c r="B2084" s="24">
        <v>45411.0</v>
      </c>
      <c r="C2084" s="24">
        <v>45439.0</v>
      </c>
      <c r="D2084" s="24"/>
      <c r="E2084" s="24"/>
      <c r="F2084" s="6">
        <v>21.0</v>
      </c>
      <c r="G2084" s="9" t="str">
        <f>VLOOKUP(operations[productID],products[],2,FALSE)</f>
        <v>Sir Rodney's Scones</v>
      </c>
      <c r="H2084" s="9" t="str">
        <f>IF(VLOOKUP(operations[productID],products[],7,FALSE)=1,"Discontinued","Current")</f>
        <v>Current</v>
      </c>
      <c r="I2084" s="6">
        <f>VLOOKUP(operations[productID],products[],4,FALSE)</f>
        <v>3</v>
      </c>
      <c r="J2084" s="6">
        <f>VLOOKUP(operations[productID],products[],5,FALSE)</f>
        <v>40</v>
      </c>
      <c r="K2084" s="6">
        <f>VLOOKUP(operations[productID],products[],6,FALSE)</f>
        <v>5</v>
      </c>
      <c r="L2084" s="10">
        <f t="array" ref="L2084">INDEX('1 orders'!I2084:I2156, MATCH(1, ('1 orders'!A2084:A2156=A2084)*('1 orders'!G2084:G2156=F2084), 0))
</f>
        <v>3</v>
      </c>
      <c r="M2084" s="10">
        <f>IFERROR(__xludf.DUMMYFUNCTION("COUNTUNIQUEIFS($A$2:$A2084,$F$2:$F2084,F2084)"),39.0)</f>
        <v>39</v>
      </c>
      <c r="N2084" s="10">
        <f t="shared" si="1"/>
        <v>7</v>
      </c>
      <c r="O2084" s="26">
        <f>IF(operations[sinceLastOrder]=0,0,operations[orderQuantity] / operations[sinceLastOrder])</f>
        <v>0.4285714286</v>
      </c>
      <c r="P2084" s="9">
        <v>31.14</v>
      </c>
      <c r="Q2084" s="7" t="s">
        <v>13</v>
      </c>
      <c r="R2084" s="10">
        <f>operations[arrivedDate]-operations[shippedDate]</f>
        <v>0</v>
      </c>
    </row>
    <row r="2085" ht="15.75" customHeight="1">
      <c r="A2085" s="6">
        <v>11058.0</v>
      </c>
      <c r="B2085" s="24">
        <v>45411.0</v>
      </c>
      <c r="C2085" s="24">
        <v>45439.0</v>
      </c>
      <c r="D2085" s="24"/>
      <c r="E2085" s="24"/>
      <c r="F2085" s="6">
        <v>60.0</v>
      </c>
      <c r="G2085" s="9" t="str">
        <f>VLOOKUP(operations[productID],products[],2,FALSE)</f>
        <v>Camembert Pierrot</v>
      </c>
      <c r="H2085" s="9" t="str">
        <f>IF(VLOOKUP(operations[productID],products[],7,FALSE)=1,"Discontinued","Current")</f>
        <v>Current</v>
      </c>
      <c r="I2085" s="6">
        <f>VLOOKUP(operations[productID],products[],4,FALSE)</f>
        <v>19</v>
      </c>
      <c r="J2085" s="6">
        <f>VLOOKUP(operations[productID],products[],5,FALSE)</f>
        <v>0</v>
      </c>
      <c r="K2085" s="6">
        <f>VLOOKUP(operations[productID],products[],6,FALSE)</f>
        <v>0</v>
      </c>
      <c r="L2085" s="10">
        <f t="array" ref="L2085">INDEX('1 orders'!I2085:I2156, MATCH(1, ('1 orders'!A2085:A2156=A2085)*('1 orders'!G2085:G2156=F2085), 0))
</f>
        <v>21</v>
      </c>
      <c r="M2085" s="10">
        <f>IFERROR(__xludf.DUMMYFUNCTION("COUNTUNIQUEIFS($A$2:$A2085,$F$2:$F2085,F2085)"),47.0)</f>
        <v>47</v>
      </c>
      <c r="N2085" s="10">
        <f t="shared" si="1"/>
        <v>1</v>
      </c>
      <c r="O2085" s="26">
        <f>IF(operations[sinceLastOrder]=0,0,operations[orderQuantity] / operations[sinceLastOrder])</f>
        <v>21</v>
      </c>
      <c r="P2085" s="9">
        <v>31.14</v>
      </c>
      <c r="Q2085" s="7" t="s">
        <v>13</v>
      </c>
      <c r="R2085" s="10">
        <f>operations[arrivedDate]-operations[shippedDate]</f>
        <v>0</v>
      </c>
    </row>
    <row r="2086" ht="15.75" customHeight="1">
      <c r="A2086" s="6">
        <v>11058.0</v>
      </c>
      <c r="B2086" s="24">
        <v>45411.0</v>
      </c>
      <c r="C2086" s="24">
        <v>45439.0</v>
      </c>
      <c r="D2086" s="24"/>
      <c r="E2086" s="24"/>
      <c r="F2086" s="6">
        <v>61.0</v>
      </c>
      <c r="G2086" s="9" t="str">
        <f>VLOOKUP(operations[productID],products[],2,FALSE)</f>
        <v>Sirop d'érable</v>
      </c>
      <c r="H2086" s="9" t="str">
        <f>IF(VLOOKUP(operations[productID],products[],7,FALSE)=1,"Discontinued","Current")</f>
        <v>Current</v>
      </c>
      <c r="I2086" s="6">
        <f>VLOOKUP(operations[productID],products[],4,FALSE)</f>
        <v>113</v>
      </c>
      <c r="J2086" s="6">
        <f>VLOOKUP(operations[productID],products[],5,FALSE)</f>
        <v>0</v>
      </c>
      <c r="K2086" s="6">
        <f>VLOOKUP(operations[productID],products[],6,FALSE)</f>
        <v>25</v>
      </c>
      <c r="L2086" s="10">
        <f t="array" ref="L2086">INDEX('1 orders'!I2086:I2156, MATCH(1, ('1 orders'!A2086:A2156=A2086)*('1 orders'!G2086:G2156=F2086), 0))
</f>
        <v>4</v>
      </c>
      <c r="M2086" s="10">
        <f>IFERROR(__xludf.DUMMYFUNCTION("COUNTUNIQUEIFS($A$2:$A2086,$F$2:$F2086,F2086)"),24.0)</f>
        <v>24</v>
      </c>
      <c r="N2086" s="10">
        <f t="shared" si="1"/>
        <v>2</v>
      </c>
      <c r="O2086" s="26">
        <f>IF(operations[sinceLastOrder]=0,0,operations[orderQuantity] / operations[sinceLastOrder])</f>
        <v>2</v>
      </c>
      <c r="P2086" s="9">
        <v>31.14</v>
      </c>
      <c r="Q2086" s="7" t="s">
        <v>13</v>
      </c>
      <c r="R2086" s="10">
        <f>operations[arrivedDate]-operations[shippedDate]</f>
        <v>0</v>
      </c>
    </row>
    <row r="2087" ht="15.75" customHeight="1">
      <c r="A2087" s="6">
        <v>11059.0</v>
      </c>
      <c r="B2087" s="24">
        <v>45411.0</v>
      </c>
      <c r="C2087" s="24">
        <v>45453.0</v>
      </c>
      <c r="D2087" s="24"/>
      <c r="E2087" s="24"/>
      <c r="F2087" s="6">
        <v>13.0</v>
      </c>
      <c r="G2087" s="9" t="str">
        <f>VLOOKUP(operations[productID],products[],2,FALSE)</f>
        <v>Konbu</v>
      </c>
      <c r="H2087" s="9" t="str">
        <f>IF(VLOOKUP(operations[productID],products[],7,FALSE)=1,"Discontinued","Current")</f>
        <v>Current</v>
      </c>
      <c r="I2087" s="6">
        <f>VLOOKUP(operations[productID],products[],4,FALSE)</f>
        <v>24</v>
      </c>
      <c r="J2087" s="6">
        <f>VLOOKUP(operations[productID],products[],5,FALSE)</f>
        <v>0</v>
      </c>
      <c r="K2087" s="6">
        <f>VLOOKUP(operations[productID],products[],6,FALSE)</f>
        <v>5</v>
      </c>
      <c r="L2087" s="10">
        <f t="array" ref="L2087">INDEX('1 orders'!I2087:I2156, MATCH(1, ('1 orders'!A2087:A2156=A2087)*('1 orders'!G2087:G2156=F2087), 0))
</f>
        <v>30</v>
      </c>
      <c r="M2087" s="10">
        <f>IFERROR(__xludf.DUMMYFUNCTION("COUNTUNIQUEIFS($A$2:$A2087,$F$2:$F2087,F2087)"),38.0)</f>
        <v>38</v>
      </c>
      <c r="N2087" s="10">
        <f t="shared" si="1"/>
        <v>9</v>
      </c>
      <c r="O2087" s="26">
        <f>IF(operations[sinceLastOrder]=0,0,operations[orderQuantity] / operations[sinceLastOrder])</f>
        <v>3.333333333</v>
      </c>
      <c r="P2087" s="9">
        <v>85.8</v>
      </c>
      <c r="Q2087" s="7" t="s">
        <v>17</v>
      </c>
      <c r="R2087" s="10">
        <f>operations[arrivedDate]-operations[shippedDate]</f>
        <v>0</v>
      </c>
    </row>
    <row r="2088" ht="15.75" customHeight="1">
      <c r="A2088" s="6">
        <v>11059.0</v>
      </c>
      <c r="B2088" s="24">
        <v>45411.0</v>
      </c>
      <c r="C2088" s="24">
        <v>45453.0</v>
      </c>
      <c r="D2088" s="24"/>
      <c r="E2088" s="24"/>
      <c r="F2088" s="6">
        <v>17.0</v>
      </c>
      <c r="G2088" s="9" t="str">
        <f>VLOOKUP(operations[productID],products[],2,FALSE)</f>
        <v>Alice Mutton</v>
      </c>
      <c r="H2088" s="9" t="str">
        <f>IF(VLOOKUP(operations[productID],products[],7,FALSE)=1,"Discontinued","Current")</f>
        <v>Discontinued</v>
      </c>
      <c r="I2088" s="6">
        <f>VLOOKUP(operations[productID],products[],4,FALSE)</f>
        <v>0</v>
      </c>
      <c r="J2088" s="6">
        <f>VLOOKUP(operations[productID],products[],5,FALSE)</f>
        <v>0</v>
      </c>
      <c r="K2088" s="6">
        <f>VLOOKUP(operations[productID],products[],6,FALSE)</f>
        <v>0</v>
      </c>
      <c r="L2088" s="10">
        <f t="array" ref="L2088">INDEX('1 orders'!I2088:I2156, MATCH(1, ('1 orders'!A2088:A2156=A2088)*('1 orders'!G2088:G2156=F2088), 0))
</f>
        <v>12</v>
      </c>
      <c r="M2088" s="10">
        <f>IFERROR(__xludf.DUMMYFUNCTION("COUNTUNIQUEIFS($A$2:$A2088,$F$2:$F2088,F2088)"),36.0)</f>
        <v>36</v>
      </c>
      <c r="N2088" s="10">
        <f t="shared" si="1"/>
        <v>36</v>
      </c>
      <c r="O2088" s="26">
        <f>IF(operations[sinceLastOrder]=0,0,operations[orderQuantity] / operations[sinceLastOrder])</f>
        <v>0.3333333333</v>
      </c>
      <c r="P2088" s="9">
        <v>85.8</v>
      </c>
      <c r="Q2088" s="7" t="s">
        <v>17</v>
      </c>
      <c r="R2088" s="10">
        <f>operations[arrivedDate]-operations[shippedDate]</f>
        <v>0</v>
      </c>
    </row>
    <row r="2089" ht="15.75" customHeight="1">
      <c r="A2089" s="6">
        <v>11059.0</v>
      </c>
      <c r="B2089" s="24">
        <v>45411.0</v>
      </c>
      <c r="C2089" s="24">
        <v>45453.0</v>
      </c>
      <c r="D2089" s="24"/>
      <c r="E2089" s="24"/>
      <c r="F2089" s="6">
        <v>60.0</v>
      </c>
      <c r="G2089" s="9" t="str">
        <f>VLOOKUP(operations[productID],products[],2,FALSE)</f>
        <v>Camembert Pierrot</v>
      </c>
      <c r="H2089" s="9" t="str">
        <f>IF(VLOOKUP(operations[productID],products[],7,FALSE)=1,"Discontinued","Current")</f>
        <v>Current</v>
      </c>
      <c r="I2089" s="6">
        <f>VLOOKUP(operations[productID],products[],4,FALSE)</f>
        <v>19</v>
      </c>
      <c r="J2089" s="6">
        <f>VLOOKUP(operations[productID],products[],5,FALSE)</f>
        <v>0</v>
      </c>
      <c r="K2089" s="6">
        <f>VLOOKUP(operations[productID],products[],6,FALSE)</f>
        <v>0</v>
      </c>
      <c r="L2089" s="10">
        <f t="array" ref="L2089">INDEX('1 orders'!I2089:I2156, MATCH(1, ('1 orders'!A2089:A2156=A2089)*('1 orders'!G2089:G2156=F2089), 0))
</f>
        <v>35</v>
      </c>
      <c r="M2089" s="10">
        <f>IFERROR(__xludf.DUMMYFUNCTION("COUNTUNIQUEIFS($A$2:$A2089,$F$2:$F2089,F2089)"),48.0)</f>
        <v>48</v>
      </c>
      <c r="N2089" s="10">
        <f t="shared" si="1"/>
        <v>0</v>
      </c>
      <c r="O2089" s="26">
        <f>IF(operations[sinceLastOrder]=0,0,operations[orderQuantity] / operations[sinceLastOrder])</f>
        <v>0</v>
      </c>
      <c r="P2089" s="9">
        <v>85.8</v>
      </c>
      <c r="Q2089" s="7" t="s">
        <v>17</v>
      </c>
      <c r="R2089" s="10">
        <f>operations[arrivedDate]-operations[shippedDate]</f>
        <v>0</v>
      </c>
    </row>
    <row r="2090" ht="15.75" customHeight="1">
      <c r="A2090" s="6">
        <v>11060.0</v>
      </c>
      <c r="B2090" s="24">
        <v>45412.0</v>
      </c>
      <c r="C2090" s="24">
        <v>45440.0</v>
      </c>
      <c r="D2090" s="24">
        <v>45416.0</v>
      </c>
      <c r="E2090" s="24">
        <v>45427.0</v>
      </c>
      <c r="F2090" s="6">
        <v>60.0</v>
      </c>
      <c r="G2090" s="9" t="str">
        <f>VLOOKUP(operations[productID],products[],2,FALSE)</f>
        <v>Camembert Pierrot</v>
      </c>
      <c r="H2090" s="9" t="str">
        <f>IF(VLOOKUP(operations[productID],products[],7,FALSE)=1,"Discontinued","Current")</f>
        <v>Current</v>
      </c>
      <c r="I2090" s="6">
        <f>VLOOKUP(operations[productID],products[],4,FALSE)</f>
        <v>19</v>
      </c>
      <c r="J2090" s="6">
        <f>VLOOKUP(operations[productID],products[],5,FALSE)</f>
        <v>0</v>
      </c>
      <c r="K2090" s="6">
        <f>VLOOKUP(operations[productID],products[],6,FALSE)</f>
        <v>0</v>
      </c>
      <c r="L2090" s="10">
        <f t="array" ref="L2090">INDEX('1 orders'!I2090:I2156, MATCH(1, ('1 orders'!A2090:A2156=A2090)*('1 orders'!G2090:G2156=F2090), 0))
</f>
        <v>4</v>
      </c>
      <c r="M2090" s="10">
        <f>IFERROR(__xludf.DUMMYFUNCTION("COUNTUNIQUEIFS($A$2:$A2090,$F$2:$F2090,F2090)"),49.0)</f>
        <v>49</v>
      </c>
      <c r="N2090" s="10">
        <f t="shared" si="1"/>
        <v>1</v>
      </c>
      <c r="O2090" s="26">
        <f>IF(operations[sinceLastOrder]=0,0,operations[orderQuantity] / operations[sinceLastOrder])</f>
        <v>4</v>
      </c>
      <c r="P2090" s="9">
        <v>10.98</v>
      </c>
      <c r="Q2090" s="7" t="s">
        <v>17</v>
      </c>
      <c r="R2090" s="10">
        <f>operations[arrivedDate]-operations[shippedDate]</f>
        <v>11</v>
      </c>
    </row>
    <row r="2091" ht="15.75" customHeight="1">
      <c r="A2091" s="6">
        <v>11060.0</v>
      </c>
      <c r="B2091" s="24">
        <v>45412.0</v>
      </c>
      <c r="C2091" s="24">
        <v>45440.0</v>
      </c>
      <c r="D2091" s="24">
        <v>45416.0</v>
      </c>
      <c r="E2091" s="24">
        <v>45427.0</v>
      </c>
      <c r="F2091" s="6">
        <v>77.0</v>
      </c>
      <c r="G2091" s="9" t="str">
        <f>VLOOKUP(operations[productID],products[],2,FALSE)</f>
        <v>Original Frankfurter grüne Soße</v>
      </c>
      <c r="H2091" s="9" t="str">
        <f>IF(VLOOKUP(operations[productID],products[],7,FALSE)=1,"Discontinued","Current")</f>
        <v>Current</v>
      </c>
      <c r="I2091" s="6">
        <f>VLOOKUP(operations[productID],products[],4,FALSE)</f>
        <v>32</v>
      </c>
      <c r="J2091" s="6">
        <f>VLOOKUP(operations[productID],products[],5,FALSE)</f>
        <v>0</v>
      </c>
      <c r="K2091" s="6">
        <f>VLOOKUP(operations[productID],products[],6,FALSE)</f>
        <v>15</v>
      </c>
      <c r="L2091" s="10">
        <f t="array" ref="L2091">INDEX('1 orders'!I2091:I2156, MATCH(1, ('1 orders'!A2091:A2156=A2091)*('1 orders'!G2091:G2156=F2091), 0))
</f>
        <v>10</v>
      </c>
      <c r="M2091" s="10">
        <f>IFERROR(__xludf.DUMMYFUNCTION("COUNTUNIQUEIFS($A$2:$A2091,$F$2:$F2091,F2091)"),36.0)</f>
        <v>36</v>
      </c>
      <c r="N2091" s="10">
        <f t="shared" si="1"/>
        <v>20</v>
      </c>
      <c r="O2091" s="26">
        <f>IF(operations[sinceLastOrder]=0,0,operations[orderQuantity] / operations[sinceLastOrder])</f>
        <v>0.5</v>
      </c>
      <c r="P2091" s="9">
        <v>10.98</v>
      </c>
      <c r="Q2091" s="7" t="s">
        <v>17</v>
      </c>
      <c r="R2091" s="10">
        <f>operations[arrivedDate]-operations[shippedDate]</f>
        <v>11</v>
      </c>
    </row>
    <row r="2092" ht="15.75" customHeight="1">
      <c r="A2092" s="6">
        <v>11061.0</v>
      </c>
      <c r="B2092" s="24">
        <v>45412.0</v>
      </c>
      <c r="C2092" s="24">
        <v>45454.0</v>
      </c>
      <c r="D2092" s="24"/>
      <c r="E2092" s="24"/>
      <c r="F2092" s="6">
        <v>60.0</v>
      </c>
      <c r="G2092" s="9" t="str">
        <f>VLOOKUP(operations[productID],products[],2,FALSE)</f>
        <v>Camembert Pierrot</v>
      </c>
      <c r="H2092" s="9" t="str">
        <f>IF(VLOOKUP(operations[productID],products[],7,FALSE)=1,"Discontinued","Current")</f>
        <v>Current</v>
      </c>
      <c r="I2092" s="6">
        <f>VLOOKUP(operations[productID],products[],4,FALSE)</f>
        <v>19</v>
      </c>
      <c r="J2092" s="6">
        <f>VLOOKUP(operations[productID],products[],5,FALSE)</f>
        <v>0</v>
      </c>
      <c r="K2092" s="6">
        <f>VLOOKUP(operations[productID],products[],6,FALSE)</f>
        <v>0</v>
      </c>
      <c r="L2092" s="10">
        <f t="array" ref="L2092">INDEX('1 orders'!I2092:I2156, MATCH(1, ('1 orders'!A2092:A2156=A2092)*('1 orders'!G2092:G2156=F2092), 0))
</f>
        <v>15</v>
      </c>
      <c r="M2092" s="10">
        <f>IFERROR(__xludf.DUMMYFUNCTION("COUNTUNIQUEIFS($A$2:$A2092,$F$2:$F2092,F2092)"),50.0)</f>
        <v>50</v>
      </c>
      <c r="N2092" s="10">
        <f t="shared" si="1"/>
        <v>0</v>
      </c>
      <c r="O2092" s="26">
        <f>IF(operations[sinceLastOrder]=0,0,operations[orderQuantity] / operations[sinceLastOrder])</f>
        <v>0</v>
      </c>
      <c r="P2092" s="9">
        <v>14.01</v>
      </c>
      <c r="Q2092" s="7" t="s">
        <v>13</v>
      </c>
      <c r="R2092" s="10">
        <f>operations[arrivedDate]-operations[shippedDate]</f>
        <v>0</v>
      </c>
    </row>
    <row r="2093" ht="15.75" customHeight="1">
      <c r="A2093" s="6">
        <v>11062.0</v>
      </c>
      <c r="B2093" s="24">
        <v>45412.0</v>
      </c>
      <c r="C2093" s="24">
        <v>45440.0</v>
      </c>
      <c r="D2093" s="24"/>
      <c r="E2093" s="24"/>
      <c r="F2093" s="6">
        <v>53.0</v>
      </c>
      <c r="G2093" s="9" t="str">
        <f>VLOOKUP(operations[productID],products[],2,FALSE)</f>
        <v>Perth Pasties</v>
      </c>
      <c r="H2093" s="9" t="str">
        <f>IF(VLOOKUP(operations[productID],products[],7,FALSE)=1,"Discontinued","Current")</f>
        <v>Discontinued</v>
      </c>
      <c r="I2093" s="6">
        <f>VLOOKUP(operations[productID],products[],4,FALSE)</f>
        <v>0</v>
      </c>
      <c r="J2093" s="6">
        <f>VLOOKUP(operations[productID],products[],5,FALSE)</f>
        <v>0</v>
      </c>
      <c r="K2093" s="6">
        <f>VLOOKUP(operations[productID],products[],6,FALSE)</f>
        <v>0</v>
      </c>
      <c r="L2093" s="10">
        <f t="array" ref="L2093">INDEX('1 orders'!I2093:I2156, MATCH(1, ('1 orders'!A2093:A2156=A2093)*('1 orders'!G2093:G2156=F2093), 0))
</f>
        <v>10</v>
      </c>
      <c r="M2093" s="10">
        <f>IFERROR(__xludf.DUMMYFUNCTION("COUNTUNIQUEIFS($A$2:$A2093,$F$2:$F2093,F2093)"),29.0)</f>
        <v>29</v>
      </c>
      <c r="N2093" s="10">
        <f t="shared" si="1"/>
        <v>13</v>
      </c>
      <c r="O2093" s="26">
        <f>IF(operations[sinceLastOrder]=0,0,operations[orderQuantity] / operations[sinceLastOrder])</f>
        <v>0.7692307692</v>
      </c>
      <c r="P2093" s="9">
        <v>29.93</v>
      </c>
      <c r="Q2093" s="7" t="s">
        <v>17</v>
      </c>
      <c r="R2093" s="10">
        <f>operations[arrivedDate]-operations[shippedDate]</f>
        <v>0</v>
      </c>
    </row>
    <row r="2094" ht="15.75" customHeight="1">
      <c r="A2094" s="6">
        <v>11062.0</v>
      </c>
      <c r="B2094" s="24">
        <v>45412.0</v>
      </c>
      <c r="C2094" s="24">
        <v>45440.0</v>
      </c>
      <c r="D2094" s="24"/>
      <c r="E2094" s="24"/>
      <c r="F2094" s="6">
        <v>70.0</v>
      </c>
      <c r="G2094" s="9" t="str">
        <f>VLOOKUP(operations[productID],products[],2,FALSE)</f>
        <v>Outback Lager</v>
      </c>
      <c r="H2094" s="9" t="str">
        <f>IF(VLOOKUP(operations[productID],products[],7,FALSE)=1,"Discontinued","Current")</f>
        <v>Current</v>
      </c>
      <c r="I2094" s="6">
        <f>VLOOKUP(operations[productID],products[],4,FALSE)</f>
        <v>15</v>
      </c>
      <c r="J2094" s="6">
        <f>VLOOKUP(operations[productID],products[],5,FALSE)</f>
        <v>10</v>
      </c>
      <c r="K2094" s="6">
        <f>VLOOKUP(operations[productID],products[],6,FALSE)</f>
        <v>30</v>
      </c>
      <c r="L2094" s="10">
        <f t="array" ref="L2094">INDEX('1 orders'!I2094:I2156, MATCH(1, ('1 orders'!A2094:A2156=A2094)*('1 orders'!G2094:G2156=F2094), 0))
</f>
        <v>12</v>
      </c>
      <c r="M2094" s="10">
        <f>IFERROR(__xludf.DUMMYFUNCTION("COUNTUNIQUEIFS($A$2:$A2094,$F$2:$F2094,F2094)"),39.0)</f>
        <v>39</v>
      </c>
      <c r="N2094" s="10">
        <f t="shared" si="1"/>
        <v>1</v>
      </c>
      <c r="O2094" s="26">
        <f>IF(operations[sinceLastOrder]=0,0,operations[orderQuantity] / operations[sinceLastOrder])</f>
        <v>12</v>
      </c>
      <c r="P2094" s="9">
        <v>29.93</v>
      </c>
      <c r="Q2094" s="7" t="s">
        <v>17</v>
      </c>
      <c r="R2094" s="10">
        <f>operations[arrivedDate]-operations[shippedDate]</f>
        <v>0</v>
      </c>
    </row>
    <row r="2095" ht="15.75" customHeight="1">
      <c r="A2095" s="6">
        <v>11063.0</v>
      </c>
      <c r="B2095" s="24">
        <v>45412.0</v>
      </c>
      <c r="C2095" s="24">
        <v>45440.0</v>
      </c>
      <c r="D2095" s="24">
        <v>45418.0</v>
      </c>
      <c r="E2095" s="24">
        <v>45430.0</v>
      </c>
      <c r="F2095" s="6">
        <v>34.0</v>
      </c>
      <c r="G2095" s="9" t="str">
        <f>VLOOKUP(operations[productID],products[],2,FALSE)</f>
        <v>Sasquatch Ale</v>
      </c>
      <c r="H2095" s="9" t="str">
        <f>IF(VLOOKUP(operations[productID],products[],7,FALSE)=1,"Discontinued","Current")</f>
        <v>Current</v>
      </c>
      <c r="I2095" s="6">
        <f>VLOOKUP(operations[productID],products[],4,FALSE)</f>
        <v>111</v>
      </c>
      <c r="J2095" s="6">
        <f>VLOOKUP(operations[productID],products[],5,FALSE)</f>
        <v>0</v>
      </c>
      <c r="K2095" s="6">
        <f>VLOOKUP(operations[productID],products[],6,FALSE)</f>
        <v>15</v>
      </c>
      <c r="L2095" s="10">
        <f t="array" ref="L2095">INDEX('1 orders'!I2095:I2156, MATCH(1, ('1 orders'!A2095:A2156=A2095)*('1 orders'!G2095:G2156=F2095), 0))
</f>
        <v>30</v>
      </c>
      <c r="M2095" s="10">
        <f>IFERROR(__xludf.DUMMYFUNCTION("COUNTUNIQUEIFS($A$2:$A2095,$F$2:$F2095,F2095)"),18.0)</f>
        <v>18</v>
      </c>
      <c r="N2095" s="10">
        <f t="shared" si="1"/>
        <v>22</v>
      </c>
      <c r="O2095" s="26">
        <f>IF(operations[sinceLastOrder]=0,0,operations[orderQuantity] / operations[sinceLastOrder])</f>
        <v>1.363636364</v>
      </c>
      <c r="P2095" s="9">
        <v>81.73</v>
      </c>
      <c r="Q2095" s="7" t="s">
        <v>17</v>
      </c>
      <c r="R2095" s="10">
        <f>operations[arrivedDate]-operations[shippedDate]</f>
        <v>12</v>
      </c>
    </row>
    <row r="2096" ht="15.75" customHeight="1">
      <c r="A2096" s="6">
        <v>11063.0</v>
      </c>
      <c r="B2096" s="24">
        <v>45412.0</v>
      </c>
      <c r="C2096" s="24">
        <v>45440.0</v>
      </c>
      <c r="D2096" s="24">
        <v>45418.0</v>
      </c>
      <c r="E2096" s="24">
        <v>45430.0</v>
      </c>
      <c r="F2096" s="6">
        <v>40.0</v>
      </c>
      <c r="G2096" s="9" t="str">
        <f>VLOOKUP(operations[productID],products[],2,FALSE)</f>
        <v>Boston Crab Meat</v>
      </c>
      <c r="H2096" s="9" t="str">
        <f>IF(VLOOKUP(operations[productID],products[],7,FALSE)=1,"Discontinued","Current")</f>
        <v>Current</v>
      </c>
      <c r="I2096" s="6">
        <f>VLOOKUP(operations[productID],products[],4,FALSE)</f>
        <v>123</v>
      </c>
      <c r="J2096" s="6">
        <f>VLOOKUP(operations[productID],products[],5,FALSE)</f>
        <v>0</v>
      </c>
      <c r="K2096" s="6">
        <f>VLOOKUP(operations[productID],products[],6,FALSE)</f>
        <v>30</v>
      </c>
      <c r="L2096" s="10">
        <f t="array" ref="L2096">INDEX('1 orders'!I2096:I2156, MATCH(1, ('1 orders'!A2096:A2156=A2096)*('1 orders'!G2096:G2156=F2096), 0))
</f>
        <v>40</v>
      </c>
      <c r="M2096" s="10">
        <f>IFERROR(__xludf.DUMMYFUNCTION("COUNTUNIQUEIFS($A$2:$A2096,$F$2:$F2096,F2096)"),41.0)</f>
        <v>41</v>
      </c>
      <c r="N2096" s="10">
        <f t="shared" si="1"/>
        <v>9</v>
      </c>
      <c r="O2096" s="26">
        <f>IF(operations[sinceLastOrder]=0,0,operations[orderQuantity] / operations[sinceLastOrder])</f>
        <v>4.444444444</v>
      </c>
      <c r="P2096" s="9">
        <v>81.73</v>
      </c>
      <c r="Q2096" s="7" t="s">
        <v>17</v>
      </c>
      <c r="R2096" s="10">
        <f>operations[arrivedDate]-operations[shippedDate]</f>
        <v>12</v>
      </c>
    </row>
    <row r="2097" ht="15.75" customHeight="1">
      <c r="A2097" s="6">
        <v>11063.0</v>
      </c>
      <c r="B2097" s="24">
        <v>45412.0</v>
      </c>
      <c r="C2097" s="24">
        <v>45440.0</v>
      </c>
      <c r="D2097" s="24">
        <v>45418.0</v>
      </c>
      <c r="E2097" s="24">
        <v>45430.0</v>
      </c>
      <c r="F2097" s="6">
        <v>41.0</v>
      </c>
      <c r="G2097" s="9" t="str">
        <f>VLOOKUP(operations[productID],products[],2,FALSE)</f>
        <v>Jack's New England Clam Chowder</v>
      </c>
      <c r="H2097" s="9" t="str">
        <f>IF(VLOOKUP(operations[productID],products[],7,FALSE)=1,"Discontinued","Current")</f>
        <v>Current</v>
      </c>
      <c r="I2097" s="6">
        <f>VLOOKUP(operations[productID],products[],4,FALSE)</f>
        <v>85</v>
      </c>
      <c r="J2097" s="6">
        <f>VLOOKUP(operations[productID],products[],5,FALSE)</f>
        <v>0</v>
      </c>
      <c r="K2097" s="6">
        <f>VLOOKUP(operations[productID],products[],6,FALSE)</f>
        <v>10</v>
      </c>
      <c r="L2097" s="10">
        <f t="array" ref="L2097">INDEX('1 orders'!I2097:I2156, MATCH(1, ('1 orders'!A2097:A2156=A2097)*('1 orders'!G2097:G2156=F2097), 0))
</f>
        <v>30</v>
      </c>
      <c r="M2097" s="10">
        <f>IFERROR(__xludf.DUMMYFUNCTION("COUNTUNIQUEIFS($A$2:$A2097,$F$2:$F2097,F2097)"),43.0)</f>
        <v>43</v>
      </c>
      <c r="N2097" s="10">
        <f t="shared" si="1"/>
        <v>20</v>
      </c>
      <c r="O2097" s="26">
        <f>IF(operations[sinceLastOrder]=0,0,operations[orderQuantity] / operations[sinceLastOrder])</f>
        <v>1.5</v>
      </c>
      <c r="P2097" s="9">
        <v>81.73</v>
      </c>
      <c r="Q2097" s="7" t="s">
        <v>17</v>
      </c>
      <c r="R2097" s="10">
        <f>operations[arrivedDate]-operations[shippedDate]</f>
        <v>12</v>
      </c>
    </row>
    <row r="2098" ht="15.75" customHeight="1">
      <c r="A2098" s="6">
        <v>11064.0</v>
      </c>
      <c r="B2098" s="24">
        <v>45413.0</v>
      </c>
      <c r="C2098" s="24">
        <v>45441.0</v>
      </c>
      <c r="D2098" s="24">
        <v>45416.0</v>
      </c>
      <c r="E2098" s="24">
        <v>45427.0</v>
      </c>
      <c r="F2098" s="6">
        <v>17.0</v>
      </c>
      <c r="G2098" s="9" t="str">
        <f>VLOOKUP(operations[productID],products[],2,FALSE)</f>
        <v>Alice Mutton</v>
      </c>
      <c r="H2098" s="9" t="str">
        <f>IF(VLOOKUP(operations[productID],products[],7,FALSE)=1,"Discontinued","Current")</f>
        <v>Discontinued</v>
      </c>
      <c r="I2098" s="6">
        <f>VLOOKUP(operations[productID],products[],4,FALSE)</f>
        <v>0</v>
      </c>
      <c r="J2098" s="6">
        <f>VLOOKUP(operations[productID],products[],5,FALSE)</f>
        <v>0</v>
      </c>
      <c r="K2098" s="6">
        <f>VLOOKUP(operations[productID],products[],6,FALSE)</f>
        <v>0</v>
      </c>
      <c r="L2098" s="10">
        <f t="array" ref="L2098">INDEX('1 orders'!I2098:I2156, MATCH(1, ('1 orders'!A2098:A2156=A2098)*('1 orders'!G2098:G2156=F2098), 0))
</f>
        <v>77</v>
      </c>
      <c r="M2098" s="10">
        <f>IFERROR(__xludf.DUMMYFUNCTION("COUNTUNIQUEIFS($A$2:$A2098,$F$2:$F2098,F2098)"),37.0)</f>
        <v>37</v>
      </c>
      <c r="N2098" s="10">
        <f t="shared" si="1"/>
        <v>2</v>
      </c>
      <c r="O2098" s="26">
        <f>IF(operations[sinceLastOrder]=0,0,operations[orderQuantity] / operations[sinceLastOrder])</f>
        <v>38.5</v>
      </c>
      <c r="P2098" s="9">
        <v>30.09</v>
      </c>
      <c r="Q2098" s="7" t="s">
        <v>15</v>
      </c>
      <c r="R2098" s="10">
        <f>operations[arrivedDate]-operations[shippedDate]</f>
        <v>11</v>
      </c>
    </row>
    <row r="2099" ht="15.75" customHeight="1">
      <c r="A2099" s="6">
        <v>11064.0</v>
      </c>
      <c r="B2099" s="24">
        <v>45413.0</v>
      </c>
      <c r="C2099" s="24">
        <v>45441.0</v>
      </c>
      <c r="D2099" s="24">
        <v>45416.0</v>
      </c>
      <c r="E2099" s="24">
        <v>45427.0</v>
      </c>
      <c r="F2099" s="6">
        <v>41.0</v>
      </c>
      <c r="G2099" s="9" t="str">
        <f>VLOOKUP(operations[productID],products[],2,FALSE)</f>
        <v>Jack's New England Clam Chowder</v>
      </c>
      <c r="H2099" s="9" t="str">
        <f>IF(VLOOKUP(operations[productID],products[],7,FALSE)=1,"Discontinued","Current")</f>
        <v>Current</v>
      </c>
      <c r="I2099" s="6">
        <f>VLOOKUP(operations[productID],products[],4,FALSE)</f>
        <v>85</v>
      </c>
      <c r="J2099" s="6">
        <f>VLOOKUP(operations[productID],products[],5,FALSE)</f>
        <v>0</v>
      </c>
      <c r="K2099" s="6">
        <f>VLOOKUP(operations[productID],products[],6,FALSE)</f>
        <v>10</v>
      </c>
      <c r="L2099" s="10">
        <f t="array" ref="L2099">INDEX('1 orders'!I2099:I2156, MATCH(1, ('1 orders'!A2099:A2156=A2099)*('1 orders'!G2099:G2156=F2099), 0))
</f>
        <v>12</v>
      </c>
      <c r="M2099" s="10">
        <f>IFERROR(__xludf.DUMMYFUNCTION("COUNTUNIQUEIFS($A$2:$A2099,$F$2:$F2099,F2099)"),44.0)</f>
        <v>44</v>
      </c>
      <c r="N2099" s="10">
        <f t="shared" si="1"/>
        <v>1</v>
      </c>
      <c r="O2099" s="26">
        <f>IF(operations[sinceLastOrder]=0,0,operations[orderQuantity] / operations[sinceLastOrder])</f>
        <v>12</v>
      </c>
      <c r="P2099" s="9">
        <v>30.09</v>
      </c>
      <c r="Q2099" s="7" t="s">
        <v>15</v>
      </c>
      <c r="R2099" s="10">
        <f>operations[arrivedDate]-operations[shippedDate]</f>
        <v>11</v>
      </c>
    </row>
    <row r="2100" ht="15.75" customHeight="1">
      <c r="A2100" s="6">
        <v>11064.0</v>
      </c>
      <c r="B2100" s="24">
        <v>45413.0</v>
      </c>
      <c r="C2100" s="24">
        <v>45441.0</v>
      </c>
      <c r="D2100" s="24">
        <v>45416.0</v>
      </c>
      <c r="E2100" s="24">
        <v>45427.0</v>
      </c>
      <c r="F2100" s="6">
        <v>53.0</v>
      </c>
      <c r="G2100" s="9" t="str">
        <f>VLOOKUP(operations[productID],products[],2,FALSE)</f>
        <v>Perth Pasties</v>
      </c>
      <c r="H2100" s="9" t="str">
        <f>IF(VLOOKUP(operations[productID],products[],7,FALSE)=1,"Discontinued","Current")</f>
        <v>Discontinued</v>
      </c>
      <c r="I2100" s="6">
        <f>VLOOKUP(operations[productID],products[],4,FALSE)</f>
        <v>0</v>
      </c>
      <c r="J2100" s="6">
        <f>VLOOKUP(operations[productID],products[],5,FALSE)</f>
        <v>0</v>
      </c>
      <c r="K2100" s="6">
        <f>VLOOKUP(operations[productID],products[],6,FALSE)</f>
        <v>0</v>
      </c>
      <c r="L2100" s="10">
        <f t="array" ref="L2100">INDEX('1 orders'!I2100:I2156, MATCH(1, ('1 orders'!A2100:A2156=A2100)*('1 orders'!G2100:G2156=F2100), 0))
</f>
        <v>25</v>
      </c>
      <c r="M2100" s="10">
        <f>IFERROR(__xludf.DUMMYFUNCTION("COUNTUNIQUEIFS($A$2:$A2100,$F$2:$F2100,F2100)"),30.0)</f>
        <v>30</v>
      </c>
      <c r="N2100" s="10">
        <f t="shared" si="1"/>
        <v>1</v>
      </c>
      <c r="O2100" s="26">
        <f>IF(operations[sinceLastOrder]=0,0,operations[orderQuantity] / operations[sinceLastOrder])</f>
        <v>25</v>
      </c>
      <c r="P2100" s="9">
        <v>30.09</v>
      </c>
      <c r="Q2100" s="7" t="s">
        <v>15</v>
      </c>
      <c r="R2100" s="10">
        <f>operations[arrivedDate]-operations[shippedDate]</f>
        <v>11</v>
      </c>
    </row>
    <row r="2101" ht="15.75" customHeight="1">
      <c r="A2101" s="6">
        <v>11064.0</v>
      </c>
      <c r="B2101" s="24">
        <v>45413.0</v>
      </c>
      <c r="C2101" s="24">
        <v>45441.0</v>
      </c>
      <c r="D2101" s="24">
        <v>45416.0</v>
      </c>
      <c r="E2101" s="24">
        <v>45427.0</v>
      </c>
      <c r="F2101" s="6">
        <v>55.0</v>
      </c>
      <c r="G2101" s="9" t="str">
        <f>VLOOKUP(operations[productID],products[],2,FALSE)</f>
        <v>Pâté chinois</v>
      </c>
      <c r="H2101" s="9" t="str">
        <f>IF(VLOOKUP(operations[productID],products[],7,FALSE)=1,"Discontinued","Current")</f>
        <v>Current</v>
      </c>
      <c r="I2101" s="6">
        <f>VLOOKUP(operations[productID],products[],4,FALSE)</f>
        <v>115</v>
      </c>
      <c r="J2101" s="6">
        <f>VLOOKUP(operations[productID],products[],5,FALSE)</f>
        <v>0</v>
      </c>
      <c r="K2101" s="6">
        <f>VLOOKUP(operations[productID],products[],6,FALSE)</f>
        <v>20</v>
      </c>
      <c r="L2101" s="10">
        <f t="array" ref="L2101">INDEX('1 orders'!I2101:I2156, MATCH(1, ('1 orders'!A2101:A2156=A2101)*('1 orders'!G2101:G2156=F2101), 0))
</f>
        <v>4</v>
      </c>
      <c r="M2101" s="10">
        <f>IFERROR(__xludf.DUMMYFUNCTION("COUNTUNIQUEIFS($A$2:$A2101,$F$2:$F2101,F2101)"),32.0)</f>
        <v>32</v>
      </c>
      <c r="N2101" s="10">
        <f t="shared" si="1"/>
        <v>3</v>
      </c>
      <c r="O2101" s="26">
        <f>IF(operations[sinceLastOrder]=0,0,operations[orderQuantity] / operations[sinceLastOrder])</f>
        <v>1.333333333</v>
      </c>
      <c r="P2101" s="9">
        <v>30.09</v>
      </c>
      <c r="Q2101" s="7" t="s">
        <v>15</v>
      </c>
      <c r="R2101" s="10">
        <f>operations[arrivedDate]-operations[shippedDate]</f>
        <v>11</v>
      </c>
    </row>
    <row r="2102" ht="15.75" customHeight="1">
      <c r="A2102" s="6">
        <v>11064.0</v>
      </c>
      <c r="B2102" s="24">
        <v>45413.0</v>
      </c>
      <c r="C2102" s="24">
        <v>45441.0</v>
      </c>
      <c r="D2102" s="24">
        <v>45416.0</v>
      </c>
      <c r="E2102" s="24">
        <v>45427.0</v>
      </c>
      <c r="F2102" s="6">
        <v>68.0</v>
      </c>
      <c r="G2102" s="9" t="str">
        <f>VLOOKUP(operations[productID],products[],2,FALSE)</f>
        <v>Scottish Longbreads</v>
      </c>
      <c r="H2102" s="9" t="str">
        <f>IF(VLOOKUP(operations[productID],products[],7,FALSE)=1,"Discontinued","Current")</f>
        <v>Current</v>
      </c>
      <c r="I2102" s="6">
        <f>VLOOKUP(operations[productID],products[],4,FALSE)</f>
        <v>6</v>
      </c>
      <c r="J2102" s="6">
        <f>VLOOKUP(operations[productID],products[],5,FALSE)</f>
        <v>10</v>
      </c>
      <c r="K2102" s="6">
        <f>VLOOKUP(operations[productID],products[],6,FALSE)</f>
        <v>15</v>
      </c>
      <c r="L2102" s="10">
        <f t="array" ref="L2102">INDEX('1 orders'!I2102:I2156, MATCH(1, ('1 orders'!A2102:A2156=A2102)*('1 orders'!G2102:G2156=F2102), 0))
</f>
        <v>55</v>
      </c>
      <c r="M2102" s="10">
        <f>IFERROR(__xludf.DUMMYFUNCTION("COUNTUNIQUEIFS($A$2:$A2102,$F$2:$F2102,F2102)"),34.0)</f>
        <v>34</v>
      </c>
      <c r="N2102" s="10">
        <f t="shared" si="1"/>
        <v>7</v>
      </c>
      <c r="O2102" s="26">
        <f>IF(operations[sinceLastOrder]=0,0,operations[orderQuantity] / operations[sinceLastOrder])</f>
        <v>7.857142857</v>
      </c>
      <c r="P2102" s="9">
        <v>30.09</v>
      </c>
      <c r="Q2102" s="7" t="s">
        <v>15</v>
      </c>
      <c r="R2102" s="10">
        <f>operations[arrivedDate]-operations[shippedDate]</f>
        <v>11</v>
      </c>
    </row>
    <row r="2103" ht="15.75" customHeight="1">
      <c r="A2103" s="6">
        <v>11065.0</v>
      </c>
      <c r="B2103" s="24">
        <v>45413.0</v>
      </c>
      <c r="C2103" s="24">
        <v>45441.0</v>
      </c>
      <c r="D2103" s="24"/>
      <c r="E2103" s="24"/>
      <c r="F2103" s="6">
        <v>30.0</v>
      </c>
      <c r="G2103" s="9" t="str">
        <f>VLOOKUP(operations[productID],products[],2,FALSE)</f>
        <v>Nord-Ost Matjeshering</v>
      </c>
      <c r="H2103" s="9" t="str">
        <f>IF(VLOOKUP(operations[productID],products[],7,FALSE)=1,"Discontinued","Current")</f>
        <v>Current</v>
      </c>
      <c r="I2103" s="6">
        <f>VLOOKUP(operations[productID],products[],4,FALSE)</f>
        <v>10</v>
      </c>
      <c r="J2103" s="6">
        <f>VLOOKUP(operations[productID],products[],5,FALSE)</f>
        <v>0</v>
      </c>
      <c r="K2103" s="6">
        <f>VLOOKUP(operations[productID],products[],6,FALSE)</f>
        <v>15</v>
      </c>
      <c r="L2103" s="10">
        <f t="array" ref="L2103">INDEX('1 orders'!I2103:I2156, MATCH(1, ('1 orders'!A2103:A2156=A2103)*('1 orders'!G2103:G2156=F2103), 0))
</f>
        <v>4</v>
      </c>
      <c r="M2103" s="10">
        <f>IFERROR(__xludf.DUMMYFUNCTION("COUNTUNIQUEIFS($A$2:$A2103,$F$2:$F2103,F2103)"),32.0)</f>
        <v>32</v>
      </c>
      <c r="N2103" s="10">
        <f t="shared" si="1"/>
        <v>21</v>
      </c>
      <c r="O2103" s="26">
        <f>IF(operations[sinceLastOrder]=0,0,operations[orderQuantity] / operations[sinceLastOrder])</f>
        <v>0.1904761905</v>
      </c>
      <c r="P2103" s="9">
        <v>12.91</v>
      </c>
      <c r="Q2103" s="7" t="s">
        <v>15</v>
      </c>
      <c r="R2103" s="10">
        <f>operations[arrivedDate]-operations[shippedDate]</f>
        <v>0</v>
      </c>
    </row>
    <row r="2104" ht="15.75" customHeight="1">
      <c r="A2104" s="6">
        <v>11065.0</v>
      </c>
      <c r="B2104" s="24">
        <v>45413.0</v>
      </c>
      <c r="C2104" s="24">
        <v>45441.0</v>
      </c>
      <c r="D2104" s="24"/>
      <c r="E2104" s="24"/>
      <c r="F2104" s="6">
        <v>54.0</v>
      </c>
      <c r="G2104" s="9" t="str">
        <f>VLOOKUP(operations[productID],products[],2,FALSE)</f>
        <v>Tourtière</v>
      </c>
      <c r="H2104" s="9" t="str">
        <f>IF(VLOOKUP(operations[productID],products[],7,FALSE)=1,"Discontinued","Current")</f>
        <v>Current</v>
      </c>
      <c r="I2104" s="6">
        <f>VLOOKUP(operations[productID],products[],4,FALSE)</f>
        <v>21</v>
      </c>
      <c r="J2104" s="6">
        <f>VLOOKUP(operations[productID],products[],5,FALSE)</f>
        <v>0</v>
      </c>
      <c r="K2104" s="6">
        <f>VLOOKUP(operations[productID],products[],6,FALSE)</f>
        <v>10</v>
      </c>
      <c r="L2104" s="10">
        <f t="array" ref="L2104">INDEX('1 orders'!I2104:I2156, MATCH(1, ('1 orders'!A2104:A2156=A2104)*('1 orders'!G2104:G2156=F2104), 0))
</f>
        <v>20</v>
      </c>
      <c r="M2104" s="10">
        <f>IFERROR(__xludf.DUMMYFUNCTION("COUNTUNIQUEIFS($A$2:$A2104,$F$2:$F2104,F2104)"),36.0)</f>
        <v>36</v>
      </c>
      <c r="N2104" s="10">
        <f t="shared" si="1"/>
        <v>11</v>
      </c>
      <c r="O2104" s="26">
        <f>IF(operations[sinceLastOrder]=0,0,operations[orderQuantity] / operations[sinceLastOrder])</f>
        <v>1.818181818</v>
      </c>
      <c r="P2104" s="9">
        <v>12.91</v>
      </c>
      <c r="Q2104" s="7" t="s">
        <v>15</v>
      </c>
      <c r="R2104" s="10">
        <f>operations[arrivedDate]-operations[shippedDate]</f>
        <v>0</v>
      </c>
    </row>
    <row r="2105" ht="15.75" customHeight="1">
      <c r="A2105" s="6">
        <v>11066.0</v>
      </c>
      <c r="B2105" s="24">
        <v>45413.0</v>
      </c>
      <c r="C2105" s="24">
        <v>45441.0</v>
      </c>
      <c r="D2105" s="24">
        <v>45416.0</v>
      </c>
      <c r="E2105" s="24">
        <v>45433.0</v>
      </c>
      <c r="F2105" s="6">
        <v>16.0</v>
      </c>
      <c r="G2105" s="9" t="str">
        <f>VLOOKUP(operations[productID],products[],2,FALSE)</f>
        <v>Pavlova</v>
      </c>
      <c r="H2105" s="9" t="str">
        <f>IF(VLOOKUP(operations[productID],products[],7,FALSE)=1,"Discontinued","Current")</f>
        <v>Current</v>
      </c>
      <c r="I2105" s="6">
        <f>VLOOKUP(operations[productID],products[],4,FALSE)</f>
        <v>29</v>
      </c>
      <c r="J2105" s="6">
        <f>VLOOKUP(operations[productID],products[],5,FALSE)</f>
        <v>0</v>
      </c>
      <c r="K2105" s="6">
        <f>VLOOKUP(operations[productID],products[],6,FALSE)</f>
        <v>10</v>
      </c>
      <c r="L2105" s="10">
        <f t="array" ref="L2105">INDEX('1 orders'!I2105:I2156, MATCH(1, ('1 orders'!A2105:A2156=A2105)*('1 orders'!G2105:G2156=F2105), 0))
</f>
        <v>3</v>
      </c>
      <c r="M2105" s="10">
        <f>IFERROR(__xludf.DUMMYFUNCTION("COUNTUNIQUEIFS($A$2:$A2105,$F$2:$F2105,F2105)"),40.0)</f>
        <v>40</v>
      </c>
      <c r="N2105" s="10">
        <f t="shared" si="1"/>
        <v>32</v>
      </c>
      <c r="O2105" s="26">
        <f>IF(operations[sinceLastOrder]=0,0,operations[orderQuantity] / operations[sinceLastOrder])</f>
        <v>0.09375</v>
      </c>
      <c r="P2105" s="9">
        <v>44.72</v>
      </c>
      <c r="Q2105" s="7" t="s">
        <v>17</v>
      </c>
      <c r="R2105" s="10">
        <f>operations[arrivedDate]-operations[shippedDate]</f>
        <v>17</v>
      </c>
    </row>
    <row r="2106" ht="15.75" customHeight="1">
      <c r="A2106" s="6">
        <v>11066.0</v>
      </c>
      <c r="B2106" s="24">
        <v>45413.0</v>
      </c>
      <c r="C2106" s="24">
        <v>45441.0</v>
      </c>
      <c r="D2106" s="24">
        <v>45416.0</v>
      </c>
      <c r="E2106" s="24">
        <v>45433.0</v>
      </c>
      <c r="F2106" s="6">
        <v>19.0</v>
      </c>
      <c r="G2106" s="9" t="str">
        <f>VLOOKUP(operations[productID],products[],2,FALSE)</f>
        <v>Teatime Chocolate Biscuits</v>
      </c>
      <c r="H2106" s="9" t="str">
        <f>IF(VLOOKUP(operations[productID],products[],7,FALSE)=1,"Discontinued","Current")</f>
        <v>Current</v>
      </c>
      <c r="I2106" s="6">
        <f>VLOOKUP(operations[productID],products[],4,FALSE)</f>
        <v>25</v>
      </c>
      <c r="J2106" s="6">
        <f>VLOOKUP(operations[productID],products[],5,FALSE)</f>
        <v>0</v>
      </c>
      <c r="K2106" s="6">
        <f>VLOOKUP(operations[productID],products[],6,FALSE)</f>
        <v>5</v>
      </c>
      <c r="L2106" s="10">
        <f t="array" ref="L2106">INDEX('1 orders'!I2106:I2156, MATCH(1, ('1 orders'!A2106:A2156=A2106)*('1 orders'!G2106:G2156=F2106), 0))
</f>
        <v>42</v>
      </c>
      <c r="M2106" s="10">
        <f>IFERROR(__xludf.DUMMYFUNCTION("COUNTUNIQUEIFS($A$2:$A2106,$F$2:$F2106,F2106)"),36.0)</f>
        <v>36</v>
      </c>
      <c r="N2106" s="10">
        <f t="shared" si="1"/>
        <v>17</v>
      </c>
      <c r="O2106" s="26">
        <f>IF(operations[sinceLastOrder]=0,0,operations[orderQuantity] / operations[sinceLastOrder])</f>
        <v>2.470588235</v>
      </c>
      <c r="P2106" s="9">
        <v>44.72</v>
      </c>
      <c r="Q2106" s="7" t="s">
        <v>17</v>
      </c>
      <c r="R2106" s="10">
        <f>operations[arrivedDate]-operations[shippedDate]</f>
        <v>17</v>
      </c>
    </row>
    <row r="2107" ht="15.75" customHeight="1">
      <c r="A2107" s="6">
        <v>11066.0</v>
      </c>
      <c r="B2107" s="24">
        <v>45413.0</v>
      </c>
      <c r="C2107" s="24">
        <v>45441.0</v>
      </c>
      <c r="D2107" s="24">
        <v>45416.0</v>
      </c>
      <c r="E2107" s="24">
        <v>45433.0</v>
      </c>
      <c r="F2107" s="6">
        <v>34.0</v>
      </c>
      <c r="G2107" s="9" t="str">
        <f>VLOOKUP(operations[productID],products[],2,FALSE)</f>
        <v>Sasquatch Ale</v>
      </c>
      <c r="H2107" s="9" t="str">
        <f>IF(VLOOKUP(operations[productID],products[],7,FALSE)=1,"Discontinued","Current")</f>
        <v>Current</v>
      </c>
      <c r="I2107" s="6">
        <f>VLOOKUP(operations[productID],products[],4,FALSE)</f>
        <v>111</v>
      </c>
      <c r="J2107" s="6">
        <f>VLOOKUP(operations[productID],products[],5,FALSE)</f>
        <v>0</v>
      </c>
      <c r="K2107" s="6">
        <f>VLOOKUP(operations[productID],products[],6,FALSE)</f>
        <v>15</v>
      </c>
      <c r="L2107" s="10">
        <f t="array" ref="L2107">INDEX('1 orders'!I2107:I2156, MATCH(1, ('1 orders'!A2107:A2156=A2107)*('1 orders'!G2107:G2156=F2107), 0))
</f>
        <v>35</v>
      </c>
      <c r="M2107" s="10">
        <f>IFERROR(__xludf.DUMMYFUNCTION("COUNTUNIQUEIFS($A$2:$A2107,$F$2:$F2107,F2107)"),19.0)</f>
        <v>19</v>
      </c>
      <c r="N2107" s="10">
        <f t="shared" si="1"/>
        <v>1</v>
      </c>
      <c r="O2107" s="26">
        <f>IF(operations[sinceLastOrder]=0,0,operations[orderQuantity] / operations[sinceLastOrder])</f>
        <v>35</v>
      </c>
      <c r="P2107" s="9">
        <v>44.72</v>
      </c>
      <c r="Q2107" s="7" t="s">
        <v>17</v>
      </c>
      <c r="R2107" s="10">
        <f>operations[arrivedDate]-operations[shippedDate]</f>
        <v>17</v>
      </c>
    </row>
    <row r="2108" ht="15.75" customHeight="1">
      <c r="A2108" s="6">
        <v>11067.0</v>
      </c>
      <c r="B2108" s="24">
        <v>45416.0</v>
      </c>
      <c r="C2108" s="24">
        <v>45430.0</v>
      </c>
      <c r="D2108" s="24">
        <v>45418.0</v>
      </c>
      <c r="E2108" s="24">
        <v>45426.0</v>
      </c>
      <c r="F2108" s="6">
        <v>41.0</v>
      </c>
      <c r="G2108" s="9" t="str">
        <f>VLOOKUP(operations[productID],products[],2,FALSE)</f>
        <v>Jack's New England Clam Chowder</v>
      </c>
      <c r="H2108" s="9" t="str">
        <f>IF(VLOOKUP(operations[productID],products[],7,FALSE)=1,"Discontinued","Current")</f>
        <v>Current</v>
      </c>
      <c r="I2108" s="6">
        <f>VLOOKUP(operations[productID],products[],4,FALSE)</f>
        <v>85</v>
      </c>
      <c r="J2108" s="6">
        <f>VLOOKUP(operations[productID],products[],5,FALSE)</f>
        <v>0</v>
      </c>
      <c r="K2108" s="6">
        <f>VLOOKUP(operations[productID],products[],6,FALSE)</f>
        <v>10</v>
      </c>
      <c r="L2108" s="10">
        <f t="array" ref="L2108">INDEX('1 orders'!I2108:I2156, MATCH(1, ('1 orders'!A2108:A2156=A2108)*('1 orders'!G2108:G2156=F2108), 0))
</f>
        <v>9</v>
      </c>
      <c r="M2108" s="10">
        <f>IFERROR(__xludf.DUMMYFUNCTION("COUNTUNIQUEIFS($A$2:$A2108,$F$2:$F2108,F2108)"),45.0)</f>
        <v>45</v>
      </c>
      <c r="N2108" s="10">
        <f t="shared" si="1"/>
        <v>3</v>
      </c>
      <c r="O2108" s="26">
        <f>IF(operations[sinceLastOrder]=0,0,operations[orderQuantity] / operations[sinceLastOrder])</f>
        <v>3</v>
      </c>
      <c r="P2108" s="9">
        <v>7.98</v>
      </c>
      <c r="Q2108" s="7" t="s">
        <v>17</v>
      </c>
      <c r="R2108" s="10">
        <f>operations[arrivedDate]-operations[shippedDate]</f>
        <v>8</v>
      </c>
    </row>
    <row r="2109" ht="15.75" customHeight="1">
      <c r="A2109" s="6">
        <v>11068.0</v>
      </c>
      <c r="B2109" s="24">
        <v>45416.0</v>
      </c>
      <c r="C2109" s="24">
        <v>45444.0</v>
      </c>
      <c r="D2109" s="24"/>
      <c r="E2109" s="24"/>
      <c r="F2109" s="6">
        <v>28.0</v>
      </c>
      <c r="G2109" s="9" t="str">
        <f>VLOOKUP(operations[productID],products[],2,FALSE)</f>
        <v>Rössle Sauerkraut</v>
      </c>
      <c r="H2109" s="9" t="str">
        <f>IF(VLOOKUP(operations[productID],products[],7,FALSE)=1,"Discontinued","Current")</f>
        <v>Discontinued</v>
      </c>
      <c r="I2109" s="6">
        <f>VLOOKUP(operations[productID],products[],4,FALSE)</f>
        <v>26</v>
      </c>
      <c r="J2109" s="6">
        <f>VLOOKUP(operations[productID],products[],5,FALSE)</f>
        <v>0</v>
      </c>
      <c r="K2109" s="6">
        <f>VLOOKUP(operations[productID],products[],6,FALSE)</f>
        <v>0</v>
      </c>
      <c r="L2109" s="10">
        <f t="array" ref="L2109">INDEX('1 orders'!I2109:I2156, MATCH(1, ('1 orders'!A2109:A2156=A2109)*('1 orders'!G2109:G2156=F2109), 0))
</f>
        <v>8</v>
      </c>
      <c r="M2109" s="10">
        <f>IFERROR(__xludf.DUMMYFUNCTION("COUNTUNIQUEIFS($A$2:$A2109,$F$2:$F2109,F2109)"),33.0)</f>
        <v>33</v>
      </c>
      <c r="N2109" s="10">
        <f t="shared" si="1"/>
        <v>13</v>
      </c>
      <c r="O2109" s="26">
        <f>IF(operations[sinceLastOrder]=0,0,operations[orderQuantity] / operations[sinceLastOrder])</f>
        <v>0.6153846154</v>
      </c>
      <c r="P2109" s="9">
        <v>81.75</v>
      </c>
      <c r="Q2109" s="7" t="s">
        <v>17</v>
      </c>
      <c r="R2109" s="10">
        <f>operations[arrivedDate]-operations[shippedDate]</f>
        <v>0</v>
      </c>
    </row>
    <row r="2110" ht="15.75" customHeight="1">
      <c r="A2110" s="6">
        <v>11068.0</v>
      </c>
      <c r="B2110" s="24">
        <v>45416.0</v>
      </c>
      <c r="C2110" s="24">
        <v>45444.0</v>
      </c>
      <c r="D2110" s="24"/>
      <c r="E2110" s="24"/>
      <c r="F2110" s="6">
        <v>43.0</v>
      </c>
      <c r="G2110" s="9" t="str">
        <f>VLOOKUP(operations[productID],products[],2,FALSE)</f>
        <v>Ipoh Coffee</v>
      </c>
      <c r="H2110" s="9" t="str">
        <f>IF(VLOOKUP(operations[productID],products[],7,FALSE)=1,"Discontinued","Current")</f>
        <v>Current</v>
      </c>
      <c r="I2110" s="6">
        <f>VLOOKUP(operations[productID],products[],4,FALSE)</f>
        <v>17</v>
      </c>
      <c r="J2110" s="6">
        <f>VLOOKUP(operations[productID],products[],5,FALSE)</f>
        <v>10</v>
      </c>
      <c r="K2110" s="6">
        <f>VLOOKUP(operations[productID],products[],6,FALSE)</f>
        <v>25</v>
      </c>
      <c r="L2110" s="10">
        <f t="array" ref="L2110">INDEX('1 orders'!I2110:I2156, MATCH(1, ('1 orders'!A2110:A2156=A2110)*('1 orders'!G2110:G2156=F2110), 0))
</f>
        <v>36</v>
      </c>
      <c r="M2110" s="10">
        <f>IFERROR(__xludf.DUMMYFUNCTION("COUNTUNIQUEIFS($A$2:$A2110,$F$2:$F2110,F2110)"),28.0)</f>
        <v>28</v>
      </c>
      <c r="N2110" s="10">
        <f t="shared" si="1"/>
        <v>7</v>
      </c>
      <c r="O2110" s="26">
        <f>IF(operations[sinceLastOrder]=0,0,operations[orderQuantity] / operations[sinceLastOrder])</f>
        <v>5.142857143</v>
      </c>
      <c r="P2110" s="9">
        <v>81.75</v>
      </c>
      <c r="Q2110" s="7" t="s">
        <v>17</v>
      </c>
      <c r="R2110" s="10">
        <f>operations[arrivedDate]-operations[shippedDate]</f>
        <v>0</v>
      </c>
    </row>
    <row r="2111" ht="15.75" customHeight="1">
      <c r="A2111" s="6">
        <v>11068.0</v>
      </c>
      <c r="B2111" s="24">
        <v>45416.0</v>
      </c>
      <c r="C2111" s="24">
        <v>45444.0</v>
      </c>
      <c r="D2111" s="24"/>
      <c r="E2111" s="24"/>
      <c r="F2111" s="6">
        <v>77.0</v>
      </c>
      <c r="G2111" s="9" t="str">
        <f>VLOOKUP(operations[productID],products[],2,FALSE)</f>
        <v>Original Frankfurter grüne Soße</v>
      </c>
      <c r="H2111" s="9" t="str">
        <f>IF(VLOOKUP(operations[productID],products[],7,FALSE)=1,"Discontinued","Current")</f>
        <v>Current</v>
      </c>
      <c r="I2111" s="6">
        <f>VLOOKUP(operations[productID],products[],4,FALSE)</f>
        <v>32</v>
      </c>
      <c r="J2111" s="6">
        <f>VLOOKUP(operations[productID],products[],5,FALSE)</f>
        <v>0</v>
      </c>
      <c r="K2111" s="6">
        <f>VLOOKUP(operations[productID],products[],6,FALSE)</f>
        <v>15</v>
      </c>
      <c r="L2111" s="10">
        <f t="array" ref="L2111">INDEX('1 orders'!I2111:I2156, MATCH(1, ('1 orders'!A2111:A2156=A2111)*('1 orders'!G2111:G2156=F2111), 0))
</f>
        <v>28</v>
      </c>
      <c r="M2111" s="10">
        <f>IFERROR(__xludf.DUMMYFUNCTION("COUNTUNIQUEIFS($A$2:$A2111,$F$2:$F2111,F2111)"),37.0)</f>
        <v>37</v>
      </c>
      <c r="N2111" s="10">
        <f t="shared" si="1"/>
        <v>4</v>
      </c>
      <c r="O2111" s="26">
        <f>IF(operations[sinceLastOrder]=0,0,operations[orderQuantity] / operations[sinceLastOrder])</f>
        <v>7</v>
      </c>
      <c r="P2111" s="9">
        <v>81.75</v>
      </c>
      <c r="Q2111" s="7" t="s">
        <v>17</v>
      </c>
      <c r="R2111" s="10">
        <f>operations[arrivedDate]-operations[shippedDate]</f>
        <v>0</v>
      </c>
    </row>
    <row r="2112" ht="15.75" customHeight="1">
      <c r="A2112" s="6">
        <v>11069.0</v>
      </c>
      <c r="B2112" s="24">
        <v>45416.0</v>
      </c>
      <c r="C2112" s="24">
        <v>45444.0</v>
      </c>
      <c r="D2112" s="24">
        <v>45418.0</v>
      </c>
      <c r="E2112" s="24">
        <v>45436.0</v>
      </c>
      <c r="F2112" s="6">
        <v>39.0</v>
      </c>
      <c r="G2112" s="9" t="str">
        <f>VLOOKUP(operations[productID],products[],2,FALSE)</f>
        <v>Chartreuse verte</v>
      </c>
      <c r="H2112" s="9" t="str">
        <f>IF(VLOOKUP(operations[productID],products[],7,FALSE)=1,"Discontinued","Current")</f>
        <v>Current</v>
      </c>
      <c r="I2112" s="6">
        <f>VLOOKUP(operations[productID],products[],4,FALSE)</f>
        <v>69</v>
      </c>
      <c r="J2112" s="6">
        <f>VLOOKUP(operations[productID],products[],5,FALSE)</f>
        <v>0</v>
      </c>
      <c r="K2112" s="6">
        <f>VLOOKUP(operations[productID],products[],6,FALSE)</f>
        <v>5</v>
      </c>
      <c r="L2112" s="10">
        <f t="array" ref="L2112">INDEX('1 orders'!I2112:I2156, MATCH(1, ('1 orders'!A2112:A2156=A2112)*('1 orders'!G2112:G2156=F2112), 0))
</f>
        <v>20</v>
      </c>
      <c r="M2112" s="10">
        <f>IFERROR(__xludf.DUMMYFUNCTION("COUNTUNIQUEIFS($A$2:$A2112,$F$2:$F2112,F2112)"),29.0)</f>
        <v>29</v>
      </c>
      <c r="N2112" s="10">
        <f t="shared" si="1"/>
        <v>39</v>
      </c>
      <c r="O2112" s="26">
        <f>IF(operations[sinceLastOrder]=0,0,operations[orderQuantity] / operations[sinceLastOrder])</f>
        <v>0.5128205128</v>
      </c>
      <c r="P2112" s="9">
        <v>15.67</v>
      </c>
      <c r="Q2112" s="7" t="s">
        <v>17</v>
      </c>
      <c r="R2112" s="10">
        <f>operations[arrivedDate]-operations[shippedDate]</f>
        <v>18</v>
      </c>
    </row>
    <row r="2113" ht="15.75" customHeight="1">
      <c r="A2113" s="6">
        <v>11070.0</v>
      </c>
      <c r="B2113" s="24">
        <v>45417.0</v>
      </c>
      <c r="C2113" s="24">
        <v>45445.0</v>
      </c>
      <c r="D2113" s="24"/>
      <c r="E2113" s="24"/>
      <c r="F2113" s="6">
        <v>1.0</v>
      </c>
      <c r="G2113" s="9" t="str">
        <f>VLOOKUP(operations[productID],products[],2,FALSE)</f>
        <v>Chai</v>
      </c>
      <c r="H2113" s="9" t="str">
        <f>IF(VLOOKUP(operations[productID],products[],7,FALSE)=1,"Discontinued","Current")</f>
        <v>Current</v>
      </c>
      <c r="I2113" s="6">
        <f>VLOOKUP(operations[productID],products[],4,FALSE)</f>
        <v>39</v>
      </c>
      <c r="J2113" s="6">
        <f>VLOOKUP(operations[productID],products[],5,FALSE)</f>
        <v>0</v>
      </c>
      <c r="K2113" s="6">
        <f>VLOOKUP(operations[productID],products[],6,FALSE)</f>
        <v>10</v>
      </c>
      <c r="L2113" s="10">
        <f t="array" ref="L2113">INDEX('1 orders'!I2113:I2156, MATCH(1, ('1 orders'!A2113:A2156=A2113)*('1 orders'!G2113:G2156=F2113), 0))
</f>
        <v>40</v>
      </c>
      <c r="M2113" s="10">
        <f>IFERROR(__xludf.DUMMYFUNCTION("COUNTUNIQUEIFS($A$2:$A2113,$F$2:$F2113,F2113)"),38.0)</f>
        <v>38</v>
      </c>
      <c r="N2113" s="10">
        <f t="shared" si="1"/>
        <v>11</v>
      </c>
      <c r="O2113" s="26">
        <f>IF(operations[sinceLastOrder]=0,0,operations[orderQuantity] / operations[sinceLastOrder])</f>
        <v>3.636363636</v>
      </c>
      <c r="P2113" s="9">
        <v>136.0</v>
      </c>
      <c r="Q2113" s="7" t="s">
        <v>15</v>
      </c>
      <c r="R2113" s="10">
        <f>operations[arrivedDate]-operations[shippedDate]</f>
        <v>0</v>
      </c>
    </row>
    <row r="2114" ht="15.75" customHeight="1">
      <c r="A2114" s="6">
        <v>11070.0</v>
      </c>
      <c r="B2114" s="24">
        <v>45417.0</v>
      </c>
      <c r="C2114" s="24">
        <v>45445.0</v>
      </c>
      <c r="D2114" s="24"/>
      <c r="E2114" s="24"/>
      <c r="F2114" s="6">
        <v>2.0</v>
      </c>
      <c r="G2114" s="9" t="str">
        <f>VLOOKUP(operations[productID],products[],2,FALSE)</f>
        <v>Chang</v>
      </c>
      <c r="H2114" s="9" t="str">
        <f>IF(VLOOKUP(operations[productID],products[],7,FALSE)=1,"Discontinued","Current")</f>
        <v>Current</v>
      </c>
      <c r="I2114" s="6">
        <f>VLOOKUP(operations[productID],products[],4,FALSE)</f>
        <v>17</v>
      </c>
      <c r="J2114" s="6">
        <f>VLOOKUP(operations[productID],products[],5,FALSE)</f>
        <v>40</v>
      </c>
      <c r="K2114" s="6">
        <f>VLOOKUP(operations[productID],products[],6,FALSE)</f>
        <v>25</v>
      </c>
      <c r="L2114" s="10">
        <f t="array" ref="L2114">INDEX('1 orders'!I2114:I2156, MATCH(1, ('1 orders'!A2114:A2156=A2114)*('1 orders'!G2114:G2156=F2114), 0))
</f>
        <v>20</v>
      </c>
      <c r="M2114" s="10">
        <f>IFERROR(__xludf.DUMMYFUNCTION("COUNTUNIQUEIFS($A$2:$A2114,$F$2:$F2114,F2114)"),41.0)</f>
        <v>41</v>
      </c>
      <c r="N2114" s="10">
        <f t="shared" si="1"/>
        <v>11</v>
      </c>
      <c r="O2114" s="26">
        <f>IF(operations[sinceLastOrder]=0,0,operations[orderQuantity] / operations[sinceLastOrder])</f>
        <v>1.818181818</v>
      </c>
      <c r="P2114" s="9">
        <v>136.0</v>
      </c>
      <c r="Q2114" s="7" t="s">
        <v>15</v>
      </c>
      <c r="R2114" s="10">
        <f>operations[arrivedDate]-operations[shippedDate]</f>
        <v>0</v>
      </c>
    </row>
    <row r="2115" ht="15.75" customHeight="1">
      <c r="A2115" s="6">
        <v>11070.0</v>
      </c>
      <c r="B2115" s="24">
        <v>45417.0</v>
      </c>
      <c r="C2115" s="24">
        <v>45445.0</v>
      </c>
      <c r="D2115" s="24"/>
      <c r="E2115" s="24"/>
      <c r="F2115" s="6">
        <v>16.0</v>
      </c>
      <c r="G2115" s="9" t="str">
        <f>VLOOKUP(operations[productID],products[],2,FALSE)</f>
        <v>Pavlova</v>
      </c>
      <c r="H2115" s="9" t="str">
        <f>IF(VLOOKUP(operations[productID],products[],7,FALSE)=1,"Discontinued","Current")</f>
        <v>Current</v>
      </c>
      <c r="I2115" s="6">
        <f>VLOOKUP(operations[productID],products[],4,FALSE)</f>
        <v>29</v>
      </c>
      <c r="J2115" s="6">
        <f>VLOOKUP(operations[productID],products[],5,FALSE)</f>
        <v>0</v>
      </c>
      <c r="K2115" s="6">
        <f>VLOOKUP(operations[productID],products[],6,FALSE)</f>
        <v>10</v>
      </c>
      <c r="L2115" s="10">
        <f t="array" ref="L2115">INDEX('1 orders'!I2115:I2156, MATCH(1, ('1 orders'!A2115:A2156=A2115)*('1 orders'!G2115:G2156=F2115), 0))
</f>
        <v>30</v>
      </c>
      <c r="M2115" s="10">
        <f>IFERROR(__xludf.DUMMYFUNCTION("COUNTUNIQUEIFS($A$2:$A2115,$F$2:$F2115,F2115)"),41.0)</f>
        <v>41</v>
      </c>
      <c r="N2115" s="10">
        <f t="shared" si="1"/>
        <v>4</v>
      </c>
      <c r="O2115" s="26">
        <f>IF(operations[sinceLastOrder]=0,0,operations[orderQuantity] / operations[sinceLastOrder])</f>
        <v>7.5</v>
      </c>
      <c r="P2115" s="9">
        <v>136.0</v>
      </c>
      <c r="Q2115" s="7" t="s">
        <v>15</v>
      </c>
      <c r="R2115" s="10">
        <f>operations[arrivedDate]-operations[shippedDate]</f>
        <v>0</v>
      </c>
    </row>
    <row r="2116" ht="15.75" customHeight="1">
      <c r="A2116" s="6">
        <v>11070.0</v>
      </c>
      <c r="B2116" s="24">
        <v>45417.0</v>
      </c>
      <c r="C2116" s="24">
        <v>45445.0</v>
      </c>
      <c r="D2116" s="24"/>
      <c r="E2116" s="24"/>
      <c r="F2116" s="6">
        <v>31.0</v>
      </c>
      <c r="G2116" s="9" t="str">
        <f>VLOOKUP(operations[productID],products[],2,FALSE)</f>
        <v>Gorgonzola Telino</v>
      </c>
      <c r="H2116" s="9" t="str">
        <f>IF(VLOOKUP(operations[productID],products[],7,FALSE)=1,"Discontinued","Current")</f>
        <v>Current</v>
      </c>
      <c r="I2116" s="6">
        <f>VLOOKUP(operations[productID],products[],4,FALSE)</f>
        <v>0</v>
      </c>
      <c r="J2116" s="6">
        <f>VLOOKUP(operations[productID],products[],5,FALSE)</f>
        <v>70</v>
      </c>
      <c r="K2116" s="6">
        <f>VLOOKUP(operations[productID],products[],6,FALSE)</f>
        <v>20</v>
      </c>
      <c r="L2116" s="10">
        <f t="array" ref="L2116">INDEX('1 orders'!I2116:I2156, MATCH(1, ('1 orders'!A2116:A2156=A2116)*('1 orders'!G2116:G2156=F2116), 0))
</f>
        <v>20</v>
      </c>
      <c r="M2116" s="10">
        <f>IFERROR(__xludf.DUMMYFUNCTION("COUNTUNIQUEIFS($A$2:$A2116,$F$2:$F2116,F2116)"),51.0)</f>
        <v>51</v>
      </c>
      <c r="N2116" s="10">
        <f t="shared" si="1"/>
        <v>25</v>
      </c>
      <c r="O2116" s="26">
        <f>IF(operations[sinceLastOrder]=0,0,operations[orderQuantity] / operations[sinceLastOrder])</f>
        <v>0.8</v>
      </c>
      <c r="P2116" s="9">
        <v>136.0</v>
      </c>
      <c r="Q2116" s="7" t="s">
        <v>15</v>
      </c>
      <c r="R2116" s="10">
        <f>operations[arrivedDate]-operations[shippedDate]</f>
        <v>0</v>
      </c>
    </row>
    <row r="2117" ht="15.75" customHeight="1">
      <c r="A2117" s="6">
        <v>11071.0</v>
      </c>
      <c r="B2117" s="24">
        <v>45417.0</v>
      </c>
      <c r="C2117" s="24">
        <v>45445.0</v>
      </c>
      <c r="D2117" s="24"/>
      <c r="E2117" s="24"/>
      <c r="F2117" s="6">
        <v>7.0</v>
      </c>
      <c r="G2117" s="9" t="str">
        <f>VLOOKUP(operations[productID],products[],2,FALSE)</f>
        <v>Uncle Bob's Organic Dried Pears</v>
      </c>
      <c r="H2117" s="9" t="str">
        <f>IF(VLOOKUP(operations[productID],products[],7,FALSE)=1,"Discontinued","Current")</f>
        <v>Current</v>
      </c>
      <c r="I2117" s="6">
        <f>VLOOKUP(operations[productID],products[],4,FALSE)</f>
        <v>15</v>
      </c>
      <c r="J2117" s="6">
        <f>VLOOKUP(operations[productID],products[],5,FALSE)</f>
        <v>0</v>
      </c>
      <c r="K2117" s="6">
        <f>VLOOKUP(operations[productID],products[],6,FALSE)</f>
        <v>10</v>
      </c>
      <c r="L2117" s="10">
        <f t="array" ref="L2117">INDEX('1 orders'!I2117:I2156, MATCH(1, ('1 orders'!A2117:A2156=A2117)*('1 orders'!G2117:G2156=F2117), 0))
</f>
        <v>15</v>
      </c>
      <c r="M2117" s="10">
        <f>IFERROR(__xludf.DUMMYFUNCTION("COUNTUNIQUEIFS($A$2:$A2117,$F$2:$F2117,F2117)"),28.0)</f>
        <v>28</v>
      </c>
      <c r="N2117" s="10">
        <f t="shared" si="1"/>
        <v>7</v>
      </c>
      <c r="O2117" s="26">
        <f>IF(operations[sinceLastOrder]=0,0,operations[orderQuantity] / operations[sinceLastOrder])</f>
        <v>2.142857143</v>
      </c>
      <c r="P2117" s="9">
        <v>0.93</v>
      </c>
      <c r="Q2117" s="7" t="s">
        <v>15</v>
      </c>
      <c r="R2117" s="10">
        <f>operations[arrivedDate]-operations[shippedDate]</f>
        <v>0</v>
      </c>
    </row>
    <row r="2118" ht="15.75" customHeight="1">
      <c r="A2118" s="6">
        <v>11071.0</v>
      </c>
      <c r="B2118" s="24">
        <v>45417.0</v>
      </c>
      <c r="C2118" s="24">
        <v>45445.0</v>
      </c>
      <c r="D2118" s="24"/>
      <c r="E2118" s="24"/>
      <c r="F2118" s="6">
        <v>13.0</v>
      </c>
      <c r="G2118" s="9" t="str">
        <f>VLOOKUP(operations[productID],products[],2,FALSE)</f>
        <v>Konbu</v>
      </c>
      <c r="H2118" s="9" t="str">
        <f>IF(VLOOKUP(operations[productID],products[],7,FALSE)=1,"Discontinued","Current")</f>
        <v>Current</v>
      </c>
      <c r="I2118" s="6">
        <f>VLOOKUP(operations[productID],products[],4,FALSE)</f>
        <v>24</v>
      </c>
      <c r="J2118" s="6">
        <f>VLOOKUP(operations[productID],products[],5,FALSE)</f>
        <v>0</v>
      </c>
      <c r="K2118" s="6">
        <f>VLOOKUP(operations[productID],products[],6,FALSE)</f>
        <v>5</v>
      </c>
      <c r="L2118" s="10">
        <f t="array" ref="L2118">INDEX('1 orders'!I2118:I2156, MATCH(1, ('1 orders'!A2118:A2156=A2118)*('1 orders'!G2118:G2156=F2118), 0))
</f>
        <v>10</v>
      </c>
      <c r="M2118" s="10">
        <f>IFERROR(__xludf.DUMMYFUNCTION("COUNTUNIQUEIFS($A$2:$A2118,$F$2:$F2118,F2118)"),39.0)</f>
        <v>39</v>
      </c>
      <c r="N2118" s="10">
        <f t="shared" si="1"/>
        <v>6</v>
      </c>
      <c r="O2118" s="26">
        <f>IF(operations[sinceLastOrder]=0,0,operations[orderQuantity] / operations[sinceLastOrder])</f>
        <v>1.666666667</v>
      </c>
      <c r="P2118" s="9">
        <v>0.93</v>
      </c>
      <c r="Q2118" s="7" t="s">
        <v>15</v>
      </c>
      <c r="R2118" s="10">
        <f>operations[arrivedDate]-operations[shippedDate]</f>
        <v>0</v>
      </c>
    </row>
    <row r="2119" ht="15.75" customHeight="1">
      <c r="A2119" s="6">
        <v>11072.0</v>
      </c>
      <c r="B2119" s="24">
        <v>45417.0</v>
      </c>
      <c r="C2119" s="24">
        <v>45445.0</v>
      </c>
      <c r="D2119" s="24"/>
      <c r="E2119" s="24"/>
      <c r="F2119" s="6">
        <v>2.0</v>
      </c>
      <c r="G2119" s="9" t="str">
        <f>VLOOKUP(operations[productID],products[],2,FALSE)</f>
        <v>Chang</v>
      </c>
      <c r="H2119" s="9" t="str">
        <f>IF(VLOOKUP(operations[productID],products[],7,FALSE)=1,"Discontinued","Current")</f>
        <v>Current</v>
      </c>
      <c r="I2119" s="6">
        <f>VLOOKUP(operations[productID],products[],4,FALSE)</f>
        <v>17</v>
      </c>
      <c r="J2119" s="6">
        <f>VLOOKUP(operations[productID],products[],5,FALSE)</f>
        <v>40</v>
      </c>
      <c r="K2119" s="6">
        <f>VLOOKUP(operations[productID],products[],6,FALSE)</f>
        <v>25</v>
      </c>
      <c r="L2119" s="10">
        <f t="array" ref="L2119">INDEX('1 orders'!I2119:I2156, MATCH(1, ('1 orders'!A2119:A2156=A2119)*('1 orders'!G2119:G2156=F2119), 0))
</f>
        <v>8</v>
      </c>
      <c r="M2119" s="10">
        <f>IFERROR(__xludf.DUMMYFUNCTION("COUNTUNIQUEIFS($A$2:$A2119,$F$2:$F2119,F2119)"),42.0)</f>
        <v>42</v>
      </c>
      <c r="N2119" s="10">
        <f t="shared" si="1"/>
        <v>0</v>
      </c>
      <c r="O2119" s="26">
        <f>IF(operations[sinceLastOrder]=0,0,operations[orderQuantity] / operations[sinceLastOrder])</f>
        <v>0</v>
      </c>
      <c r="P2119" s="9">
        <v>258.64</v>
      </c>
      <c r="Q2119" s="7" t="s">
        <v>17</v>
      </c>
      <c r="R2119" s="10">
        <f>operations[arrivedDate]-operations[shippedDate]</f>
        <v>0</v>
      </c>
    </row>
    <row r="2120" ht="15.75" customHeight="1">
      <c r="A2120" s="6">
        <v>11072.0</v>
      </c>
      <c r="B2120" s="24">
        <v>45417.0</v>
      </c>
      <c r="C2120" s="24">
        <v>45445.0</v>
      </c>
      <c r="D2120" s="24"/>
      <c r="E2120" s="24"/>
      <c r="F2120" s="6">
        <v>41.0</v>
      </c>
      <c r="G2120" s="9" t="str">
        <f>VLOOKUP(operations[productID],products[],2,FALSE)</f>
        <v>Jack's New England Clam Chowder</v>
      </c>
      <c r="H2120" s="9" t="str">
        <f>IF(VLOOKUP(operations[productID],products[],7,FALSE)=1,"Discontinued","Current")</f>
        <v>Current</v>
      </c>
      <c r="I2120" s="6">
        <f>VLOOKUP(operations[productID],products[],4,FALSE)</f>
        <v>85</v>
      </c>
      <c r="J2120" s="6">
        <f>VLOOKUP(operations[productID],products[],5,FALSE)</f>
        <v>0</v>
      </c>
      <c r="K2120" s="6">
        <f>VLOOKUP(operations[productID],products[],6,FALSE)</f>
        <v>10</v>
      </c>
      <c r="L2120" s="10">
        <f t="array" ref="L2120">INDEX('1 orders'!I2120:I2156, MATCH(1, ('1 orders'!A2120:A2156=A2120)*('1 orders'!G2120:G2156=F2120), 0))
</f>
        <v>40</v>
      </c>
      <c r="M2120" s="10">
        <f>IFERROR(__xludf.DUMMYFUNCTION("COUNTUNIQUEIFS($A$2:$A2120,$F$2:$F2120,F2120)"),46.0)</f>
        <v>46</v>
      </c>
      <c r="N2120" s="10">
        <f t="shared" si="1"/>
        <v>1</v>
      </c>
      <c r="O2120" s="26">
        <f>IF(operations[sinceLastOrder]=0,0,operations[orderQuantity] / operations[sinceLastOrder])</f>
        <v>40</v>
      </c>
      <c r="P2120" s="9">
        <v>258.64</v>
      </c>
      <c r="Q2120" s="7" t="s">
        <v>17</v>
      </c>
      <c r="R2120" s="10">
        <f>operations[arrivedDate]-operations[shippedDate]</f>
        <v>0</v>
      </c>
    </row>
    <row r="2121" ht="15.75" customHeight="1">
      <c r="A2121" s="6">
        <v>11072.0</v>
      </c>
      <c r="B2121" s="24">
        <v>45417.0</v>
      </c>
      <c r="C2121" s="24">
        <v>45445.0</v>
      </c>
      <c r="D2121" s="24"/>
      <c r="E2121" s="24"/>
      <c r="F2121" s="6">
        <v>50.0</v>
      </c>
      <c r="G2121" s="9" t="str">
        <f>VLOOKUP(operations[productID],products[],2,FALSE)</f>
        <v>Valkoinen suklaa</v>
      </c>
      <c r="H2121" s="9" t="str">
        <f>IF(VLOOKUP(operations[productID],products[],7,FALSE)=1,"Discontinued","Current")</f>
        <v>Current</v>
      </c>
      <c r="I2121" s="6">
        <f>VLOOKUP(operations[productID],products[],4,FALSE)</f>
        <v>65</v>
      </c>
      <c r="J2121" s="6">
        <f>VLOOKUP(operations[productID],products[],5,FALSE)</f>
        <v>0</v>
      </c>
      <c r="K2121" s="6">
        <f>VLOOKUP(operations[productID],products[],6,FALSE)</f>
        <v>30</v>
      </c>
      <c r="L2121" s="10">
        <f t="array" ref="L2121">INDEX('1 orders'!I2121:I2156, MATCH(1, ('1 orders'!A2121:A2156=A2121)*('1 orders'!G2121:G2156=F2121), 0))
</f>
        <v>22</v>
      </c>
      <c r="M2121" s="10">
        <f>IFERROR(__xludf.DUMMYFUNCTION("COUNTUNIQUEIFS($A$2:$A2121,$F$2:$F2121,F2121)"),10.0)</f>
        <v>10</v>
      </c>
      <c r="N2121" s="10">
        <f t="shared" si="1"/>
        <v>53</v>
      </c>
      <c r="O2121" s="26">
        <f>IF(operations[sinceLastOrder]=0,0,operations[orderQuantity] / operations[sinceLastOrder])</f>
        <v>0.4150943396</v>
      </c>
      <c r="P2121" s="9">
        <v>258.64</v>
      </c>
      <c r="Q2121" s="7" t="s">
        <v>17</v>
      </c>
      <c r="R2121" s="10">
        <f>operations[arrivedDate]-operations[shippedDate]</f>
        <v>0</v>
      </c>
    </row>
    <row r="2122" ht="15.75" customHeight="1">
      <c r="A2122" s="6">
        <v>11072.0</v>
      </c>
      <c r="B2122" s="24">
        <v>45417.0</v>
      </c>
      <c r="C2122" s="24">
        <v>45445.0</v>
      </c>
      <c r="D2122" s="24"/>
      <c r="E2122" s="24"/>
      <c r="F2122" s="6">
        <v>64.0</v>
      </c>
      <c r="G2122" s="9" t="str">
        <f>VLOOKUP(operations[productID],products[],2,FALSE)</f>
        <v>Lukas' leckere Sauerteigweggla</v>
      </c>
      <c r="H2122" s="9" t="str">
        <f>IF(VLOOKUP(operations[productID],products[],7,FALSE)=1,"Discontinued","Current")</f>
        <v>Current</v>
      </c>
      <c r="I2122" s="6">
        <f>VLOOKUP(operations[productID],products[],4,FALSE)</f>
        <v>22</v>
      </c>
      <c r="J2122" s="6">
        <f>VLOOKUP(operations[productID],products[],5,FALSE)</f>
        <v>80</v>
      </c>
      <c r="K2122" s="6">
        <f>VLOOKUP(operations[productID],products[],6,FALSE)</f>
        <v>30</v>
      </c>
      <c r="L2122" s="10">
        <f t="array" ref="L2122">INDEX('1 orders'!I2122:I2156, MATCH(1, ('1 orders'!A2122:A2156=A2122)*('1 orders'!G2122:G2156=F2122), 0))
</f>
        <v>130</v>
      </c>
      <c r="M2122" s="10">
        <f>IFERROR(__xludf.DUMMYFUNCTION("COUNTUNIQUEIFS($A$2:$A2122,$F$2:$F2122,F2122)"),29.0)</f>
        <v>29</v>
      </c>
      <c r="N2122" s="10">
        <f t="shared" si="1"/>
        <v>8</v>
      </c>
      <c r="O2122" s="26">
        <f>IF(operations[sinceLastOrder]=0,0,operations[orderQuantity] / operations[sinceLastOrder])</f>
        <v>16.25</v>
      </c>
      <c r="P2122" s="9">
        <v>258.64</v>
      </c>
      <c r="Q2122" s="7" t="s">
        <v>17</v>
      </c>
      <c r="R2122" s="10">
        <f>operations[arrivedDate]-operations[shippedDate]</f>
        <v>0</v>
      </c>
    </row>
    <row r="2123" ht="15.75" customHeight="1">
      <c r="A2123" s="6">
        <v>11073.0</v>
      </c>
      <c r="B2123" s="24">
        <v>45417.0</v>
      </c>
      <c r="C2123" s="24">
        <v>45445.0</v>
      </c>
      <c r="D2123" s="24"/>
      <c r="E2123" s="24"/>
      <c r="F2123" s="6">
        <v>11.0</v>
      </c>
      <c r="G2123" s="9" t="str">
        <f>VLOOKUP(operations[productID],products[],2,FALSE)</f>
        <v>Queso Cabrales</v>
      </c>
      <c r="H2123" s="9" t="str">
        <f>IF(VLOOKUP(operations[productID],products[],7,FALSE)=1,"Discontinued","Current")</f>
        <v>Current</v>
      </c>
      <c r="I2123" s="6">
        <f>VLOOKUP(operations[productID],products[],4,FALSE)</f>
        <v>22</v>
      </c>
      <c r="J2123" s="6">
        <f>VLOOKUP(operations[productID],products[],5,FALSE)</f>
        <v>30</v>
      </c>
      <c r="K2123" s="6">
        <f>VLOOKUP(operations[productID],products[],6,FALSE)</f>
        <v>30</v>
      </c>
      <c r="L2123" s="10">
        <f t="array" ref="L2123">INDEX('1 orders'!I2123:I2156, MATCH(1, ('1 orders'!A2123:A2156=A2123)*('1 orders'!G2123:G2156=F2123), 0))
</f>
        <v>10</v>
      </c>
      <c r="M2123" s="10">
        <f>IFERROR(__xludf.DUMMYFUNCTION("COUNTUNIQUEIFS($A$2:$A2123,$F$2:$F2123,F2123)"),38.0)</f>
        <v>38</v>
      </c>
      <c r="N2123" s="10">
        <f t="shared" si="1"/>
        <v>13</v>
      </c>
      <c r="O2123" s="26">
        <f>IF(operations[sinceLastOrder]=0,0,operations[orderQuantity] / operations[sinceLastOrder])</f>
        <v>0.7692307692</v>
      </c>
      <c r="P2123" s="9">
        <v>24.95</v>
      </c>
      <c r="Q2123" s="7" t="s">
        <v>17</v>
      </c>
      <c r="R2123" s="10">
        <f>operations[arrivedDate]-operations[shippedDate]</f>
        <v>0</v>
      </c>
    </row>
    <row r="2124" ht="15.75" customHeight="1">
      <c r="A2124" s="6">
        <v>11073.0</v>
      </c>
      <c r="B2124" s="24">
        <v>45417.0</v>
      </c>
      <c r="C2124" s="24">
        <v>45445.0</v>
      </c>
      <c r="D2124" s="24"/>
      <c r="E2124" s="24"/>
      <c r="F2124" s="6">
        <v>24.0</v>
      </c>
      <c r="G2124" s="9" t="str">
        <f>VLOOKUP(operations[productID],products[],2,FALSE)</f>
        <v>Brigadeiros Maravilhosos da Lilian</v>
      </c>
      <c r="H2124" s="9" t="str">
        <f>IF(VLOOKUP(operations[productID],products[],7,FALSE)=1,"Discontinued","Current")</f>
        <v>Discontinued</v>
      </c>
      <c r="I2124" s="6">
        <f>VLOOKUP(operations[productID],products[],4,FALSE)</f>
        <v>20</v>
      </c>
      <c r="J2124" s="6">
        <f>VLOOKUP(operations[productID],products[],5,FALSE)</f>
        <v>0</v>
      </c>
      <c r="K2124" s="6">
        <f>VLOOKUP(operations[productID],products[],6,FALSE)</f>
        <v>0</v>
      </c>
      <c r="L2124" s="10">
        <f t="array" ref="L2124">INDEX('1 orders'!I2124:I2156, MATCH(1, ('1 orders'!A2124:A2156=A2124)*('1 orders'!G2124:G2156=F2124), 0))
</f>
        <v>20</v>
      </c>
      <c r="M2124" s="10">
        <f>IFERROR(__xludf.DUMMYFUNCTION("COUNTUNIQUEIFS($A$2:$A2124,$F$2:$F2124,F2124)"),51.0)</f>
        <v>51</v>
      </c>
      <c r="N2124" s="10">
        <f t="shared" si="1"/>
        <v>7</v>
      </c>
      <c r="O2124" s="26">
        <f>IF(operations[sinceLastOrder]=0,0,operations[orderQuantity] / operations[sinceLastOrder])</f>
        <v>2.857142857</v>
      </c>
      <c r="P2124" s="9">
        <v>24.95</v>
      </c>
      <c r="Q2124" s="7" t="s">
        <v>17</v>
      </c>
      <c r="R2124" s="10">
        <f>operations[arrivedDate]-operations[shippedDate]</f>
        <v>0</v>
      </c>
    </row>
    <row r="2125" ht="15.75" customHeight="1">
      <c r="A2125" s="6">
        <v>11074.0</v>
      </c>
      <c r="B2125" s="24">
        <v>45418.0</v>
      </c>
      <c r="C2125" s="24">
        <v>45446.0</v>
      </c>
      <c r="D2125" s="24"/>
      <c r="E2125" s="24"/>
      <c r="F2125" s="6">
        <v>16.0</v>
      </c>
      <c r="G2125" s="9" t="str">
        <f>VLOOKUP(operations[productID],products[],2,FALSE)</f>
        <v>Pavlova</v>
      </c>
      <c r="H2125" s="9" t="str">
        <f>IF(VLOOKUP(operations[productID],products[],7,FALSE)=1,"Discontinued","Current")</f>
        <v>Current</v>
      </c>
      <c r="I2125" s="6">
        <f>VLOOKUP(operations[productID],products[],4,FALSE)</f>
        <v>29</v>
      </c>
      <c r="J2125" s="6">
        <f>VLOOKUP(operations[productID],products[],5,FALSE)</f>
        <v>0</v>
      </c>
      <c r="K2125" s="6">
        <f>VLOOKUP(operations[productID],products[],6,FALSE)</f>
        <v>10</v>
      </c>
      <c r="L2125" s="10">
        <f t="array" ref="L2125">INDEX('1 orders'!I2125:I2156, MATCH(1, ('1 orders'!A2125:A2156=A2125)*('1 orders'!G2125:G2156=F2125), 0))
</f>
        <v>14</v>
      </c>
      <c r="M2125" s="10">
        <f>IFERROR(__xludf.DUMMYFUNCTION("COUNTUNIQUEIFS($A$2:$A2125,$F$2:$F2125,F2125)"),42.0)</f>
        <v>42</v>
      </c>
      <c r="N2125" s="10">
        <f t="shared" si="1"/>
        <v>1</v>
      </c>
      <c r="O2125" s="26">
        <f>IF(operations[sinceLastOrder]=0,0,operations[orderQuantity] / operations[sinceLastOrder])</f>
        <v>14</v>
      </c>
      <c r="P2125" s="9">
        <v>18.44</v>
      </c>
      <c r="Q2125" s="7" t="s">
        <v>17</v>
      </c>
      <c r="R2125" s="10">
        <f>operations[arrivedDate]-operations[shippedDate]</f>
        <v>0</v>
      </c>
    </row>
    <row r="2126" ht="15.75" customHeight="1">
      <c r="A2126" s="6">
        <v>11075.0</v>
      </c>
      <c r="B2126" s="24">
        <v>45418.0</v>
      </c>
      <c r="C2126" s="24">
        <v>45446.0</v>
      </c>
      <c r="D2126" s="24"/>
      <c r="E2126" s="24"/>
      <c r="F2126" s="6">
        <v>2.0</v>
      </c>
      <c r="G2126" s="9" t="str">
        <f>VLOOKUP(operations[productID],products[],2,FALSE)</f>
        <v>Chang</v>
      </c>
      <c r="H2126" s="9" t="str">
        <f>IF(VLOOKUP(operations[productID],products[],7,FALSE)=1,"Discontinued","Current")</f>
        <v>Current</v>
      </c>
      <c r="I2126" s="6">
        <f>VLOOKUP(operations[productID],products[],4,FALSE)</f>
        <v>17</v>
      </c>
      <c r="J2126" s="6">
        <f>VLOOKUP(operations[productID],products[],5,FALSE)</f>
        <v>40</v>
      </c>
      <c r="K2126" s="6">
        <f>VLOOKUP(operations[productID],products[],6,FALSE)</f>
        <v>25</v>
      </c>
      <c r="L2126" s="10">
        <f t="array" ref="L2126">INDEX('1 orders'!I2126:I2156, MATCH(1, ('1 orders'!A2126:A2156=A2126)*('1 orders'!G2126:G2156=F2126), 0))
</f>
        <v>10</v>
      </c>
      <c r="M2126" s="10">
        <f>IFERROR(__xludf.DUMMYFUNCTION("COUNTUNIQUEIFS($A$2:$A2126,$F$2:$F2126,F2126)"),43.0)</f>
        <v>43</v>
      </c>
      <c r="N2126" s="10">
        <f t="shared" si="1"/>
        <v>1</v>
      </c>
      <c r="O2126" s="26">
        <f>IF(operations[sinceLastOrder]=0,0,operations[orderQuantity] / operations[sinceLastOrder])</f>
        <v>10</v>
      </c>
      <c r="P2126" s="9">
        <v>6.19</v>
      </c>
      <c r="Q2126" s="7" t="s">
        <v>17</v>
      </c>
      <c r="R2126" s="10">
        <f>operations[arrivedDate]-operations[shippedDate]</f>
        <v>0</v>
      </c>
    </row>
    <row r="2127" ht="15.75" customHeight="1">
      <c r="A2127" s="6">
        <v>11075.0</v>
      </c>
      <c r="B2127" s="24">
        <v>45418.0</v>
      </c>
      <c r="C2127" s="24">
        <v>45446.0</v>
      </c>
      <c r="D2127" s="24"/>
      <c r="E2127" s="24"/>
      <c r="F2127" s="6">
        <v>46.0</v>
      </c>
      <c r="G2127" s="9" t="str">
        <f>VLOOKUP(operations[productID],products[],2,FALSE)</f>
        <v>Spegesild</v>
      </c>
      <c r="H2127" s="9" t="str">
        <f>IF(VLOOKUP(operations[productID],products[],7,FALSE)=1,"Discontinued","Current")</f>
        <v>Current</v>
      </c>
      <c r="I2127" s="6">
        <f>VLOOKUP(operations[productID],products[],4,FALSE)</f>
        <v>95</v>
      </c>
      <c r="J2127" s="6">
        <f>VLOOKUP(operations[productID],products[],5,FALSE)</f>
        <v>0</v>
      </c>
      <c r="K2127" s="6">
        <f>VLOOKUP(operations[productID],products[],6,FALSE)</f>
        <v>0</v>
      </c>
      <c r="L2127" s="10">
        <f t="array" ref="L2127">INDEX('1 orders'!I2127:I2156, MATCH(1, ('1 orders'!A2127:A2156=A2127)*('1 orders'!G2127:G2156=F2127), 0))
</f>
        <v>30</v>
      </c>
      <c r="M2127" s="10">
        <f>IFERROR(__xludf.DUMMYFUNCTION("COUNTUNIQUEIFS($A$2:$A2127,$F$2:$F2127,F2127)"),26.0)</f>
        <v>26</v>
      </c>
      <c r="N2127" s="10">
        <f t="shared" si="1"/>
        <v>23</v>
      </c>
      <c r="O2127" s="26">
        <f>IF(operations[sinceLastOrder]=0,0,operations[orderQuantity] / operations[sinceLastOrder])</f>
        <v>1.304347826</v>
      </c>
      <c r="P2127" s="9">
        <v>6.19</v>
      </c>
      <c r="Q2127" s="7" t="s">
        <v>17</v>
      </c>
      <c r="R2127" s="10">
        <f>operations[arrivedDate]-operations[shippedDate]</f>
        <v>0</v>
      </c>
    </row>
    <row r="2128" ht="15.75" customHeight="1">
      <c r="A2128" s="6">
        <v>11075.0</v>
      </c>
      <c r="B2128" s="24">
        <v>45418.0</v>
      </c>
      <c r="C2128" s="24">
        <v>45446.0</v>
      </c>
      <c r="D2128" s="24"/>
      <c r="E2128" s="24"/>
      <c r="F2128" s="6">
        <v>76.0</v>
      </c>
      <c r="G2128" s="9" t="str">
        <f>VLOOKUP(operations[productID],products[],2,FALSE)</f>
        <v>Lakkalikööri</v>
      </c>
      <c r="H2128" s="9" t="str">
        <f>IF(VLOOKUP(operations[productID],products[],7,FALSE)=1,"Discontinued","Current")</f>
        <v>Current</v>
      </c>
      <c r="I2128" s="6">
        <f>VLOOKUP(operations[productID],products[],4,FALSE)</f>
        <v>57</v>
      </c>
      <c r="J2128" s="6">
        <f>VLOOKUP(operations[productID],products[],5,FALSE)</f>
        <v>0</v>
      </c>
      <c r="K2128" s="6">
        <f>VLOOKUP(operations[productID],products[],6,FALSE)</f>
        <v>20</v>
      </c>
      <c r="L2128" s="10">
        <f t="array" ref="L2128">INDEX('1 orders'!I2128:I2156, MATCH(1, ('1 orders'!A2128:A2156=A2128)*('1 orders'!G2128:G2156=F2128), 0))
</f>
        <v>2</v>
      </c>
      <c r="M2128" s="10">
        <f>IFERROR(__xludf.DUMMYFUNCTION("COUNTUNIQUEIFS($A$2:$A2128,$F$2:$F2128,F2128)"),39.0)</f>
        <v>39</v>
      </c>
      <c r="N2128" s="10">
        <f t="shared" si="1"/>
        <v>9</v>
      </c>
      <c r="O2128" s="26">
        <f>IF(operations[sinceLastOrder]=0,0,operations[orderQuantity] / operations[sinceLastOrder])</f>
        <v>0.2222222222</v>
      </c>
      <c r="P2128" s="9">
        <v>6.19</v>
      </c>
      <c r="Q2128" s="7" t="s">
        <v>17</v>
      </c>
      <c r="R2128" s="10">
        <f>operations[arrivedDate]-operations[shippedDate]</f>
        <v>0</v>
      </c>
    </row>
    <row r="2129" ht="15.75" customHeight="1">
      <c r="A2129" s="6">
        <v>11076.0</v>
      </c>
      <c r="B2129" s="24">
        <v>45418.0</v>
      </c>
      <c r="C2129" s="24">
        <v>45446.0</v>
      </c>
      <c r="D2129" s="24"/>
      <c r="E2129" s="24"/>
      <c r="F2129" s="6">
        <v>6.0</v>
      </c>
      <c r="G2129" s="9" t="str">
        <f>VLOOKUP(operations[productID],products[],2,FALSE)</f>
        <v>Grandma's Boysenberry Spread</v>
      </c>
      <c r="H2129" s="9" t="str">
        <f>IF(VLOOKUP(operations[productID],products[],7,FALSE)=1,"Discontinued","Current")</f>
        <v>Current</v>
      </c>
      <c r="I2129" s="6">
        <f>VLOOKUP(operations[productID],products[],4,FALSE)</f>
        <v>120</v>
      </c>
      <c r="J2129" s="6">
        <f>VLOOKUP(operations[productID],products[],5,FALSE)</f>
        <v>0</v>
      </c>
      <c r="K2129" s="6">
        <f>VLOOKUP(operations[productID],products[],6,FALSE)</f>
        <v>25</v>
      </c>
      <c r="L2129" s="10">
        <f t="array" ref="L2129">INDEX('1 orders'!I2129:I2156, MATCH(1, ('1 orders'!A2129:A2156=A2129)*('1 orders'!G2129:G2156=F2129), 0))
</f>
        <v>20</v>
      </c>
      <c r="M2129" s="10">
        <f>IFERROR(__xludf.DUMMYFUNCTION("COUNTUNIQUEIFS($A$2:$A2129,$F$2:$F2129,F2129)"),11.0)</f>
        <v>11</v>
      </c>
      <c r="N2129" s="10">
        <f t="shared" si="1"/>
        <v>36</v>
      </c>
      <c r="O2129" s="26">
        <f>IF(operations[sinceLastOrder]=0,0,operations[orderQuantity] / operations[sinceLastOrder])</f>
        <v>0.5555555556</v>
      </c>
      <c r="P2129" s="9">
        <v>38.28</v>
      </c>
      <c r="Q2129" s="7" t="s">
        <v>17</v>
      </c>
      <c r="R2129" s="10">
        <f>operations[arrivedDate]-operations[shippedDate]</f>
        <v>0</v>
      </c>
    </row>
    <row r="2130" ht="15.75" customHeight="1">
      <c r="A2130" s="6">
        <v>11076.0</v>
      </c>
      <c r="B2130" s="24">
        <v>45418.0</v>
      </c>
      <c r="C2130" s="24">
        <v>45446.0</v>
      </c>
      <c r="D2130" s="24"/>
      <c r="E2130" s="24"/>
      <c r="F2130" s="6">
        <v>14.0</v>
      </c>
      <c r="G2130" s="9" t="str">
        <f>VLOOKUP(operations[productID],products[],2,FALSE)</f>
        <v>Tofu</v>
      </c>
      <c r="H2130" s="9" t="str">
        <f>IF(VLOOKUP(operations[productID],products[],7,FALSE)=1,"Discontinued","Current")</f>
        <v>Current</v>
      </c>
      <c r="I2130" s="6">
        <f>VLOOKUP(operations[productID],products[],4,FALSE)</f>
        <v>35</v>
      </c>
      <c r="J2130" s="6">
        <f>VLOOKUP(operations[productID],products[],5,FALSE)</f>
        <v>0</v>
      </c>
      <c r="K2130" s="6">
        <f>VLOOKUP(operations[productID],products[],6,FALSE)</f>
        <v>0</v>
      </c>
      <c r="L2130" s="10">
        <f t="array" ref="L2130">INDEX('1 orders'!I2130:I2156, MATCH(1, ('1 orders'!A2130:A2156=A2130)*('1 orders'!G2130:G2156=F2130), 0))
</f>
        <v>20</v>
      </c>
      <c r="M2130" s="10">
        <f>IFERROR(__xludf.DUMMYFUNCTION("COUNTUNIQUEIFS($A$2:$A2130,$F$2:$F2130,F2130)"),21.0)</f>
        <v>21</v>
      </c>
      <c r="N2130" s="10">
        <f t="shared" si="1"/>
        <v>134</v>
      </c>
      <c r="O2130" s="26">
        <f>IF(operations[sinceLastOrder]=0,0,operations[orderQuantity] / operations[sinceLastOrder])</f>
        <v>0.1492537313</v>
      </c>
      <c r="P2130" s="9">
        <v>38.28</v>
      </c>
      <c r="Q2130" s="7" t="s">
        <v>17</v>
      </c>
      <c r="R2130" s="10">
        <f>operations[arrivedDate]-operations[shippedDate]</f>
        <v>0</v>
      </c>
    </row>
    <row r="2131" ht="15.75" customHeight="1">
      <c r="A2131" s="6">
        <v>11076.0</v>
      </c>
      <c r="B2131" s="24">
        <v>45418.0</v>
      </c>
      <c r="C2131" s="24">
        <v>45446.0</v>
      </c>
      <c r="D2131" s="24"/>
      <c r="E2131" s="24"/>
      <c r="F2131" s="6">
        <v>19.0</v>
      </c>
      <c r="G2131" s="9" t="str">
        <f>VLOOKUP(operations[productID],products[],2,FALSE)</f>
        <v>Teatime Chocolate Biscuits</v>
      </c>
      <c r="H2131" s="9" t="str">
        <f>IF(VLOOKUP(operations[productID],products[],7,FALSE)=1,"Discontinued","Current")</f>
        <v>Current</v>
      </c>
      <c r="I2131" s="6">
        <f>VLOOKUP(operations[productID],products[],4,FALSE)</f>
        <v>25</v>
      </c>
      <c r="J2131" s="6">
        <f>VLOOKUP(operations[productID],products[],5,FALSE)</f>
        <v>0</v>
      </c>
      <c r="K2131" s="6">
        <f>VLOOKUP(operations[productID],products[],6,FALSE)</f>
        <v>5</v>
      </c>
      <c r="L2131" s="10">
        <f t="array" ref="L2131">INDEX('1 orders'!I2131:I2156, MATCH(1, ('1 orders'!A2131:A2156=A2131)*('1 orders'!G2131:G2156=F2131), 0))
</f>
        <v>10</v>
      </c>
      <c r="M2131" s="10">
        <f>IFERROR(__xludf.DUMMYFUNCTION("COUNTUNIQUEIFS($A$2:$A2131,$F$2:$F2131,F2131)"),37.0)</f>
        <v>37</v>
      </c>
      <c r="N2131" s="10">
        <f t="shared" si="1"/>
        <v>5</v>
      </c>
      <c r="O2131" s="26">
        <f>IF(operations[sinceLastOrder]=0,0,operations[orderQuantity] / operations[sinceLastOrder])</f>
        <v>2</v>
      </c>
      <c r="P2131" s="9">
        <v>38.28</v>
      </c>
      <c r="Q2131" s="7" t="s">
        <v>17</v>
      </c>
      <c r="R2131" s="10">
        <f>operations[arrivedDate]-operations[shippedDate]</f>
        <v>0</v>
      </c>
    </row>
    <row r="2132" ht="15.75" customHeight="1">
      <c r="A2132" s="6">
        <v>11077.0</v>
      </c>
      <c r="B2132" s="24">
        <v>45418.0</v>
      </c>
      <c r="C2132" s="24">
        <v>45446.0</v>
      </c>
      <c r="D2132" s="24"/>
      <c r="E2132" s="24"/>
      <c r="F2132" s="6">
        <v>2.0</v>
      </c>
      <c r="G2132" s="9" t="str">
        <f>VLOOKUP(operations[productID],products[],2,FALSE)</f>
        <v>Chang</v>
      </c>
      <c r="H2132" s="9" t="str">
        <f>IF(VLOOKUP(operations[productID],products[],7,FALSE)=1,"Discontinued","Current")</f>
        <v>Current</v>
      </c>
      <c r="I2132" s="6">
        <f>VLOOKUP(operations[productID],products[],4,FALSE)</f>
        <v>17</v>
      </c>
      <c r="J2132" s="6">
        <f>VLOOKUP(operations[productID],products[],5,FALSE)</f>
        <v>40</v>
      </c>
      <c r="K2132" s="6">
        <f>VLOOKUP(operations[productID],products[],6,FALSE)</f>
        <v>25</v>
      </c>
      <c r="L2132" s="10">
        <f t="array" ref="L2132">INDEX('1 orders'!I2132:I2156, MATCH(1, ('1 orders'!A2132:A2156=A2132)*('1 orders'!G2132:G2156=F2132), 0))
</f>
        <v>24</v>
      </c>
      <c r="M2132" s="10">
        <f>IFERROR(__xludf.DUMMYFUNCTION("COUNTUNIQUEIFS($A$2:$A2132,$F$2:$F2132,F2132)"),44.0)</f>
        <v>44</v>
      </c>
      <c r="N2132" s="10">
        <f t="shared" si="1"/>
        <v>0</v>
      </c>
      <c r="O2132" s="26">
        <f>IF(operations[sinceLastOrder]=0,0,operations[orderQuantity] / operations[sinceLastOrder])</f>
        <v>0</v>
      </c>
      <c r="P2132" s="9">
        <v>8.53</v>
      </c>
      <c r="Q2132" s="7" t="s">
        <v>17</v>
      </c>
      <c r="R2132" s="10">
        <f>operations[arrivedDate]-operations[shippedDate]</f>
        <v>0</v>
      </c>
    </row>
    <row r="2133" ht="15.75" customHeight="1">
      <c r="A2133" s="6">
        <v>11077.0</v>
      </c>
      <c r="B2133" s="24">
        <v>45418.0</v>
      </c>
      <c r="C2133" s="24">
        <v>45446.0</v>
      </c>
      <c r="D2133" s="24"/>
      <c r="E2133" s="24"/>
      <c r="F2133" s="6">
        <v>3.0</v>
      </c>
      <c r="G2133" s="9" t="str">
        <f>VLOOKUP(operations[productID],products[],2,FALSE)</f>
        <v>Aniseed Syrup</v>
      </c>
      <c r="H2133" s="9" t="str">
        <f>IF(VLOOKUP(operations[productID],products[],7,FALSE)=1,"Discontinued","Current")</f>
        <v>Current</v>
      </c>
      <c r="I2133" s="6">
        <f>VLOOKUP(operations[productID],products[],4,FALSE)</f>
        <v>13</v>
      </c>
      <c r="J2133" s="6">
        <f>VLOOKUP(operations[productID],products[],5,FALSE)</f>
        <v>70</v>
      </c>
      <c r="K2133" s="6">
        <f>VLOOKUP(operations[productID],products[],6,FALSE)</f>
        <v>25</v>
      </c>
      <c r="L2133" s="10">
        <f t="array" ref="L2133">INDEX('1 orders'!I2133:I2156, MATCH(1, ('1 orders'!A2133:A2156=A2133)*('1 orders'!G2133:G2156=F2133), 0))
</f>
        <v>4</v>
      </c>
      <c r="M2133" s="10">
        <f>IFERROR(__xludf.DUMMYFUNCTION("COUNTUNIQUEIFS($A$2:$A2133,$F$2:$F2133,F2133)"),12.0)</f>
        <v>12</v>
      </c>
      <c r="N2133" s="10">
        <f t="shared" si="1"/>
        <v>23</v>
      </c>
      <c r="O2133" s="26">
        <f>IF(operations[sinceLastOrder]=0,0,operations[orderQuantity] / operations[sinceLastOrder])</f>
        <v>0.1739130435</v>
      </c>
      <c r="P2133" s="9">
        <v>8.53</v>
      </c>
      <c r="Q2133" s="7" t="s">
        <v>17</v>
      </c>
      <c r="R2133" s="10">
        <f>operations[arrivedDate]-operations[shippedDate]</f>
        <v>0</v>
      </c>
    </row>
    <row r="2134" ht="15.75" customHeight="1">
      <c r="A2134" s="6">
        <v>11077.0</v>
      </c>
      <c r="B2134" s="24">
        <v>45418.0</v>
      </c>
      <c r="C2134" s="24">
        <v>45446.0</v>
      </c>
      <c r="D2134" s="24"/>
      <c r="E2134" s="24"/>
      <c r="F2134" s="6">
        <v>4.0</v>
      </c>
      <c r="G2134" s="9" t="str">
        <f>VLOOKUP(operations[productID],products[],2,FALSE)</f>
        <v>Chef Anton's Cajun Seasoning</v>
      </c>
      <c r="H2134" s="9" t="str">
        <f>IF(VLOOKUP(operations[productID],products[],7,FALSE)=1,"Discontinued","Current")</f>
        <v>Current</v>
      </c>
      <c r="I2134" s="6">
        <f>VLOOKUP(operations[productID],products[],4,FALSE)</f>
        <v>53</v>
      </c>
      <c r="J2134" s="6">
        <f>VLOOKUP(operations[productID],products[],5,FALSE)</f>
        <v>0</v>
      </c>
      <c r="K2134" s="6">
        <f>VLOOKUP(operations[productID],products[],6,FALSE)</f>
        <v>0</v>
      </c>
      <c r="L2134" s="10">
        <f t="array" ref="L2134">INDEX('1 orders'!I2134:I2156, MATCH(1, ('1 orders'!A2134:A2156=A2134)*('1 orders'!G2134:G2156=F2134), 0))
</f>
        <v>1</v>
      </c>
      <c r="M2134" s="10">
        <f>IFERROR(__xludf.DUMMYFUNCTION("COUNTUNIQUEIFS($A$2:$A2134,$F$2:$F2134,F2134)"),20.0)</f>
        <v>20</v>
      </c>
      <c r="N2134" s="10">
        <f t="shared" si="1"/>
        <v>30</v>
      </c>
      <c r="O2134" s="26">
        <f>IF(operations[sinceLastOrder]=0,0,operations[orderQuantity] / operations[sinceLastOrder])</f>
        <v>0.03333333333</v>
      </c>
      <c r="P2134" s="9">
        <v>8.53</v>
      </c>
      <c r="Q2134" s="7" t="s">
        <v>17</v>
      </c>
      <c r="R2134" s="10">
        <f>operations[arrivedDate]-operations[shippedDate]</f>
        <v>0</v>
      </c>
    </row>
    <row r="2135" ht="15.75" customHeight="1">
      <c r="A2135" s="6">
        <v>11077.0</v>
      </c>
      <c r="B2135" s="24">
        <v>45418.0</v>
      </c>
      <c r="C2135" s="24">
        <v>45446.0</v>
      </c>
      <c r="D2135" s="24"/>
      <c r="E2135" s="24"/>
      <c r="F2135" s="6">
        <v>6.0</v>
      </c>
      <c r="G2135" s="9" t="str">
        <f>VLOOKUP(operations[productID],products[],2,FALSE)</f>
        <v>Grandma's Boysenberry Spread</v>
      </c>
      <c r="H2135" s="9" t="str">
        <f>IF(VLOOKUP(operations[productID],products[],7,FALSE)=1,"Discontinued","Current")</f>
        <v>Current</v>
      </c>
      <c r="I2135" s="6">
        <f>VLOOKUP(operations[productID],products[],4,FALSE)</f>
        <v>120</v>
      </c>
      <c r="J2135" s="6">
        <f>VLOOKUP(operations[productID],products[],5,FALSE)</f>
        <v>0</v>
      </c>
      <c r="K2135" s="6">
        <f>VLOOKUP(operations[productID],products[],6,FALSE)</f>
        <v>25</v>
      </c>
      <c r="L2135" s="10">
        <f t="array" ref="L2135">INDEX('1 orders'!I2135:I2156, MATCH(1, ('1 orders'!A2135:A2156=A2135)*('1 orders'!G2135:G2156=F2135), 0))
</f>
        <v>1</v>
      </c>
      <c r="M2135" s="10">
        <f>IFERROR(__xludf.DUMMYFUNCTION("COUNTUNIQUEIFS($A$2:$A2135,$F$2:$F2135,F2135)"),12.0)</f>
        <v>12</v>
      </c>
      <c r="N2135" s="10">
        <f t="shared" si="1"/>
        <v>0</v>
      </c>
      <c r="O2135" s="26">
        <f>IF(operations[sinceLastOrder]=0,0,operations[orderQuantity] / operations[sinceLastOrder])</f>
        <v>0</v>
      </c>
      <c r="P2135" s="9">
        <v>8.53</v>
      </c>
      <c r="Q2135" s="7" t="s">
        <v>17</v>
      </c>
      <c r="R2135" s="10">
        <f>operations[arrivedDate]-operations[shippedDate]</f>
        <v>0</v>
      </c>
    </row>
    <row r="2136" ht="15.75" customHeight="1">
      <c r="A2136" s="6">
        <v>11077.0</v>
      </c>
      <c r="B2136" s="24">
        <v>45418.0</v>
      </c>
      <c r="C2136" s="24">
        <v>45446.0</v>
      </c>
      <c r="D2136" s="24"/>
      <c r="E2136" s="24"/>
      <c r="F2136" s="6">
        <v>7.0</v>
      </c>
      <c r="G2136" s="9" t="str">
        <f>VLOOKUP(operations[productID],products[],2,FALSE)</f>
        <v>Uncle Bob's Organic Dried Pears</v>
      </c>
      <c r="H2136" s="9" t="str">
        <f>IF(VLOOKUP(operations[productID],products[],7,FALSE)=1,"Discontinued","Current")</f>
        <v>Current</v>
      </c>
      <c r="I2136" s="6">
        <f>VLOOKUP(operations[productID],products[],4,FALSE)</f>
        <v>15</v>
      </c>
      <c r="J2136" s="6">
        <f>VLOOKUP(operations[productID],products[],5,FALSE)</f>
        <v>0</v>
      </c>
      <c r="K2136" s="6">
        <f>VLOOKUP(operations[productID],products[],6,FALSE)</f>
        <v>10</v>
      </c>
      <c r="L2136" s="10">
        <f t="array" ref="L2136">INDEX('1 orders'!I2136:I2156, MATCH(1, ('1 orders'!A2136:A2156=A2136)*('1 orders'!G2136:G2156=F2136), 0))
</f>
        <v>1</v>
      </c>
      <c r="M2136" s="10">
        <f>IFERROR(__xludf.DUMMYFUNCTION("COUNTUNIQUEIFS($A$2:$A2136,$F$2:$F2136,F2136)"),29.0)</f>
        <v>29</v>
      </c>
      <c r="N2136" s="10">
        <f t="shared" si="1"/>
        <v>1</v>
      </c>
      <c r="O2136" s="26">
        <f>IF(operations[sinceLastOrder]=0,0,operations[orderQuantity] / operations[sinceLastOrder])</f>
        <v>1</v>
      </c>
      <c r="P2136" s="9">
        <v>8.53</v>
      </c>
      <c r="Q2136" s="7" t="s">
        <v>17</v>
      </c>
      <c r="R2136" s="10">
        <f>operations[arrivedDate]-operations[shippedDate]</f>
        <v>0</v>
      </c>
    </row>
    <row r="2137" ht="15.75" customHeight="1">
      <c r="A2137" s="6">
        <v>11077.0</v>
      </c>
      <c r="B2137" s="24">
        <v>45418.0</v>
      </c>
      <c r="C2137" s="24">
        <v>45446.0</v>
      </c>
      <c r="D2137" s="24"/>
      <c r="E2137" s="24"/>
      <c r="F2137" s="6">
        <v>8.0</v>
      </c>
      <c r="G2137" s="9" t="str">
        <f>VLOOKUP(operations[productID],products[],2,FALSE)</f>
        <v>Northwoods Cranberry Sauce</v>
      </c>
      <c r="H2137" s="9" t="str">
        <f>IF(VLOOKUP(operations[productID],products[],7,FALSE)=1,"Discontinued","Current")</f>
        <v>Current</v>
      </c>
      <c r="I2137" s="6">
        <f>VLOOKUP(operations[productID],products[],4,FALSE)</f>
        <v>6</v>
      </c>
      <c r="J2137" s="6">
        <f>VLOOKUP(operations[productID],products[],5,FALSE)</f>
        <v>0</v>
      </c>
      <c r="K2137" s="6">
        <f>VLOOKUP(operations[productID],products[],6,FALSE)</f>
        <v>0</v>
      </c>
      <c r="L2137" s="10">
        <f t="array" ref="L2137">INDEX('1 orders'!I2137:I2156, MATCH(1, ('1 orders'!A2137:A2156=A2137)*('1 orders'!G2137:G2156=F2137), 0))
</f>
        <v>2</v>
      </c>
      <c r="M2137" s="10">
        <f>IFERROR(__xludf.DUMMYFUNCTION("COUNTUNIQUEIFS($A$2:$A2137,$F$2:$F2137,F2137)"),13.0)</f>
        <v>13</v>
      </c>
      <c r="N2137" s="10">
        <f t="shared" si="1"/>
        <v>28</v>
      </c>
      <c r="O2137" s="26">
        <f>IF(operations[sinceLastOrder]=0,0,operations[orderQuantity] / operations[sinceLastOrder])</f>
        <v>0.07142857143</v>
      </c>
      <c r="P2137" s="9">
        <v>8.53</v>
      </c>
      <c r="Q2137" s="7" t="s">
        <v>17</v>
      </c>
      <c r="R2137" s="10">
        <f>operations[arrivedDate]-operations[shippedDate]</f>
        <v>0</v>
      </c>
    </row>
    <row r="2138" ht="15.75" customHeight="1">
      <c r="A2138" s="6">
        <v>11077.0</v>
      </c>
      <c r="B2138" s="24">
        <v>45418.0</v>
      </c>
      <c r="C2138" s="24">
        <v>45446.0</v>
      </c>
      <c r="D2138" s="24"/>
      <c r="E2138" s="24"/>
      <c r="F2138" s="6">
        <v>10.0</v>
      </c>
      <c r="G2138" s="9" t="str">
        <f>VLOOKUP(operations[productID],products[],2,FALSE)</f>
        <v>Ikura</v>
      </c>
      <c r="H2138" s="9" t="str">
        <f>IF(VLOOKUP(operations[productID],products[],7,FALSE)=1,"Discontinued","Current")</f>
        <v>Current</v>
      </c>
      <c r="I2138" s="6">
        <f>VLOOKUP(operations[productID],products[],4,FALSE)</f>
        <v>31</v>
      </c>
      <c r="J2138" s="6">
        <f>VLOOKUP(operations[productID],products[],5,FALSE)</f>
        <v>0</v>
      </c>
      <c r="K2138" s="6">
        <f>VLOOKUP(operations[productID],products[],6,FALSE)</f>
        <v>0</v>
      </c>
      <c r="L2138" s="10">
        <f t="array" ref="L2138">INDEX('1 orders'!I2138:I2156, MATCH(1, ('1 orders'!A2138:A2156=A2138)*('1 orders'!G2138:G2156=F2138), 0))
</f>
        <v>1</v>
      </c>
      <c r="M2138" s="10">
        <f>IFERROR(__xludf.DUMMYFUNCTION("COUNTUNIQUEIFS($A$2:$A2138,$F$2:$F2138,F2138)"),33.0)</f>
        <v>33</v>
      </c>
      <c r="N2138" s="10">
        <f t="shared" si="1"/>
        <v>22</v>
      </c>
      <c r="O2138" s="26">
        <f>IF(operations[sinceLastOrder]=0,0,operations[orderQuantity] / operations[sinceLastOrder])</f>
        <v>0.04545454545</v>
      </c>
      <c r="P2138" s="9">
        <v>8.53</v>
      </c>
      <c r="Q2138" s="7" t="s">
        <v>17</v>
      </c>
      <c r="R2138" s="10">
        <f>operations[arrivedDate]-operations[shippedDate]</f>
        <v>0</v>
      </c>
    </row>
    <row r="2139" ht="15.75" customHeight="1">
      <c r="A2139" s="6">
        <v>11077.0</v>
      </c>
      <c r="B2139" s="24">
        <v>45418.0</v>
      </c>
      <c r="C2139" s="24">
        <v>45446.0</v>
      </c>
      <c r="D2139" s="24"/>
      <c r="E2139" s="24"/>
      <c r="F2139" s="6">
        <v>12.0</v>
      </c>
      <c r="G2139" s="9" t="str">
        <f>VLOOKUP(operations[productID],products[],2,FALSE)</f>
        <v>Queso Manchego La Pastora</v>
      </c>
      <c r="H2139" s="9" t="str">
        <f>IF(VLOOKUP(operations[productID],products[],7,FALSE)=1,"Discontinued","Current")</f>
        <v>Current</v>
      </c>
      <c r="I2139" s="6">
        <f>VLOOKUP(operations[productID],products[],4,FALSE)</f>
        <v>86</v>
      </c>
      <c r="J2139" s="6">
        <f>VLOOKUP(operations[productID],products[],5,FALSE)</f>
        <v>0</v>
      </c>
      <c r="K2139" s="6">
        <f>VLOOKUP(operations[productID],products[],6,FALSE)</f>
        <v>0</v>
      </c>
      <c r="L2139" s="10">
        <f t="array" ref="L2139">INDEX('1 orders'!I2139:I2156, MATCH(1, ('1 orders'!A2139:A2156=A2139)*('1 orders'!G2139:G2156=F2139), 0))
</f>
        <v>2</v>
      </c>
      <c r="M2139" s="10">
        <f>IFERROR(__xludf.DUMMYFUNCTION("COUNTUNIQUEIFS($A$2:$A2139,$F$2:$F2139,F2139)"),14.0)</f>
        <v>14</v>
      </c>
      <c r="N2139" s="10">
        <f t="shared" si="1"/>
        <v>12</v>
      </c>
      <c r="O2139" s="26">
        <f>IF(operations[sinceLastOrder]=0,0,operations[orderQuantity] / operations[sinceLastOrder])</f>
        <v>0.1666666667</v>
      </c>
      <c r="P2139" s="9">
        <v>8.53</v>
      </c>
      <c r="Q2139" s="7" t="s">
        <v>17</v>
      </c>
      <c r="R2139" s="10">
        <f>operations[arrivedDate]-operations[shippedDate]</f>
        <v>0</v>
      </c>
    </row>
    <row r="2140" ht="15.75" customHeight="1">
      <c r="A2140" s="6">
        <v>11077.0</v>
      </c>
      <c r="B2140" s="24">
        <v>45418.0</v>
      </c>
      <c r="C2140" s="24">
        <v>45446.0</v>
      </c>
      <c r="D2140" s="24"/>
      <c r="E2140" s="24"/>
      <c r="F2140" s="6">
        <v>13.0</v>
      </c>
      <c r="G2140" s="9" t="str">
        <f>VLOOKUP(operations[productID],products[],2,FALSE)</f>
        <v>Konbu</v>
      </c>
      <c r="H2140" s="9" t="str">
        <f>IF(VLOOKUP(operations[productID],products[],7,FALSE)=1,"Discontinued","Current")</f>
        <v>Current</v>
      </c>
      <c r="I2140" s="6">
        <f>VLOOKUP(operations[productID],products[],4,FALSE)</f>
        <v>24</v>
      </c>
      <c r="J2140" s="6">
        <f>VLOOKUP(operations[productID],products[],5,FALSE)</f>
        <v>0</v>
      </c>
      <c r="K2140" s="6">
        <f>VLOOKUP(operations[productID],products[],6,FALSE)</f>
        <v>5</v>
      </c>
      <c r="L2140" s="10">
        <f t="array" ref="L2140">INDEX('1 orders'!I2140:I2156, MATCH(1, ('1 orders'!A2140:A2156=A2140)*('1 orders'!G2140:G2156=F2140), 0))
</f>
        <v>4</v>
      </c>
      <c r="M2140" s="10">
        <f>IFERROR(__xludf.DUMMYFUNCTION("COUNTUNIQUEIFS($A$2:$A2140,$F$2:$F2140,F2140)"),40.0)</f>
        <v>40</v>
      </c>
      <c r="N2140" s="10">
        <f t="shared" si="1"/>
        <v>1</v>
      </c>
      <c r="O2140" s="26">
        <f>IF(operations[sinceLastOrder]=0,0,operations[orderQuantity] / operations[sinceLastOrder])</f>
        <v>4</v>
      </c>
      <c r="P2140" s="9">
        <v>8.53</v>
      </c>
      <c r="Q2140" s="7" t="s">
        <v>17</v>
      </c>
      <c r="R2140" s="10">
        <f>operations[arrivedDate]-operations[shippedDate]</f>
        <v>0</v>
      </c>
    </row>
    <row r="2141" ht="15.75" customHeight="1">
      <c r="A2141" s="6">
        <v>11077.0</v>
      </c>
      <c r="B2141" s="24">
        <v>45418.0</v>
      </c>
      <c r="C2141" s="24">
        <v>45446.0</v>
      </c>
      <c r="D2141" s="24"/>
      <c r="E2141" s="24"/>
      <c r="F2141" s="6">
        <v>14.0</v>
      </c>
      <c r="G2141" s="9" t="str">
        <f>VLOOKUP(operations[productID],products[],2,FALSE)</f>
        <v>Tofu</v>
      </c>
      <c r="H2141" s="9" t="str">
        <f>IF(VLOOKUP(operations[productID],products[],7,FALSE)=1,"Discontinued","Current")</f>
        <v>Current</v>
      </c>
      <c r="I2141" s="6">
        <f>VLOOKUP(operations[productID],products[],4,FALSE)</f>
        <v>35</v>
      </c>
      <c r="J2141" s="6">
        <f>VLOOKUP(operations[productID],products[],5,FALSE)</f>
        <v>0</v>
      </c>
      <c r="K2141" s="6">
        <f>VLOOKUP(operations[productID],products[],6,FALSE)</f>
        <v>0</v>
      </c>
      <c r="L2141" s="10">
        <f t="array" ref="L2141">INDEX('1 orders'!I2141:I2156, MATCH(1, ('1 orders'!A2141:A2156=A2141)*('1 orders'!G2141:G2156=F2141), 0))
</f>
        <v>1</v>
      </c>
      <c r="M2141" s="10">
        <f>IFERROR(__xludf.DUMMYFUNCTION("COUNTUNIQUEIFS($A$2:$A2141,$F$2:$F2141,F2141)"),22.0)</f>
        <v>22</v>
      </c>
      <c r="N2141" s="10">
        <f t="shared" si="1"/>
        <v>0</v>
      </c>
      <c r="O2141" s="26">
        <f>IF(operations[sinceLastOrder]=0,0,operations[orderQuantity] / operations[sinceLastOrder])</f>
        <v>0</v>
      </c>
      <c r="P2141" s="9">
        <v>8.53</v>
      </c>
      <c r="Q2141" s="7" t="s">
        <v>17</v>
      </c>
      <c r="R2141" s="10">
        <f>operations[arrivedDate]-operations[shippedDate]</f>
        <v>0</v>
      </c>
    </row>
    <row r="2142" ht="15.75" customHeight="1">
      <c r="A2142" s="6">
        <v>11077.0</v>
      </c>
      <c r="B2142" s="24">
        <v>45418.0</v>
      </c>
      <c r="C2142" s="24">
        <v>45446.0</v>
      </c>
      <c r="D2142" s="24"/>
      <c r="E2142" s="24"/>
      <c r="F2142" s="6">
        <v>16.0</v>
      </c>
      <c r="G2142" s="9" t="str">
        <f>VLOOKUP(operations[productID],products[],2,FALSE)</f>
        <v>Pavlova</v>
      </c>
      <c r="H2142" s="9" t="str">
        <f>IF(VLOOKUP(operations[productID],products[],7,FALSE)=1,"Discontinued","Current")</f>
        <v>Current</v>
      </c>
      <c r="I2142" s="6">
        <f>VLOOKUP(operations[productID],products[],4,FALSE)</f>
        <v>29</v>
      </c>
      <c r="J2142" s="6">
        <f>VLOOKUP(operations[productID],products[],5,FALSE)</f>
        <v>0</v>
      </c>
      <c r="K2142" s="6">
        <f>VLOOKUP(operations[productID],products[],6,FALSE)</f>
        <v>10</v>
      </c>
      <c r="L2142" s="10">
        <f t="array" ref="L2142">INDEX('1 orders'!I2142:I2156, MATCH(1, ('1 orders'!A2142:A2156=A2142)*('1 orders'!G2142:G2156=F2142), 0))
</f>
        <v>2</v>
      </c>
      <c r="M2142" s="10">
        <f>IFERROR(__xludf.DUMMYFUNCTION("COUNTUNIQUEIFS($A$2:$A2142,$F$2:$F2142,F2142)"),43.0)</f>
        <v>43</v>
      </c>
      <c r="N2142" s="10">
        <f t="shared" si="1"/>
        <v>0</v>
      </c>
      <c r="O2142" s="26">
        <f>IF(operations[sinceLastOrder]=0,0,operations[orderQuantity] / operations[sinceLastOrder])</f>
        <v>0</v>
      </c>
      <c r="P2142" s="9">
        <v>8.53</v>
      </c>
      <c r="Q2142" s="7" t="s">
        <v>17</v>
      </c>
      <c r="R2142" s="10">
        <f>operations[arrivedDate]-operations[shippedDate]</f>
        <v>0</v>
      </c>
    </row>
    <row r="2143" ht="15.75" customHeight="1">
      <c r="A2143" s="6">
        <v>11077.0</v>
      </c>
      <c r="B2143" s="24">
        <v>45418.0</v>
      </c>
      <c r="C2143" s="24">
        <v>45446.0</v>
      </c>
      <c r="D2143" s="24"/>
      <c r="E2143" s="24"/>
      <c r="F2143" s="6">
        <v>20.0</v>
      </c>
      <c r="G2143" s="9" t="str">
        <f>VLOOKUP(operations[productID],products[],2,FALSE)</f>
        <v>Sir Rodney's Marmalade</v>
      </c>
      <c r="H2143" s="9" t="str">
        <f>IF(VLOOKUP(operations[productID],products[],7,FALSE)=1,"Discontinued","Current")</f>
        <v>Current</v>
      </c>
      <c r="I2143" s="6">
        <f>VLOOKUP(operations[productID],products[],4,FALSE)</f>
        <v>40</v>
      </c>
      <c r="J2143" s="6">
        <f>VLOOKUP(operations[productID],products[],5,FALSE)</f>
        <v>0</v>
      </c>
      <c r="K2143" s="6">
        <f>VLOOKUP(operations[productID],products[],6,FALSE)</f>
        <v>0</v>
      </c>
      <c r="L2143" s="10">
        <f t="array" ref="L2143">INDEX('1 orders'!I2143:I2156, MATCH(1, ('1 orders'!A2143:A2156=A2143)*('1 orders'!G2143:G2156=F2143), 0))
</f>
        <v>1</v>
      </c>
      <c r="M2143" s="10">
        <f>IFERROR(__xludf.DUMMYFUNCTION("COUNTUNIQUEIFS($A$2:$A2143,$F$2:$F2143,F2143)"),16.0)</f>
        <v>16</v>
      </c>
      <c r="N2143" s="10">
        <f t="shared" si="1"/>
        <v>22</v>
      </c>
      <c r="O2143" s="26">
        <f>IF(operations[sinceLastOrder]=0,0,operations[orderQuantity] / operations[sinceLastOrder])</f>
        <v>0.04545454545</v>
      </c>
      <c r="P2143" s="9">
        <v>8.53</v>
      </c>
      <c r="Q2143" s="7" t="s">
        <v>17</v>
      </c>
      <c r="R2143" s="10">
        <f>operations[arrivedDate]-operations[shippedDate]</f>
        <v>0</v>
      </c>
    </row>
    <row r="2144" ht="15.75" customHeight="1">
      <c r="A2144" s="6">
        <v>11077.0</v>
      </c>
      <c r="B2144" s="24">
        <v>45418.0</v>
      </c>
      <c r="C2144" s="24">
        <v>45446.0</v>
      </c>
      <c r="D2144" s="24"/>
      <c r="E2144" s="24"/>
      <c r="F2144" s="6">
        <v>23.0</v>
      </c>
      <c r="G2144" s="9" t="str">
        <f>VLOOKUP(operations[productID],products[],2,FALSE)</f>
        <v>Tunnbröd</v>
      </c>
      <c r="H2144" s="9" t="str">
        <f>IF(VLOOKUP(operations[productID],products[],7,FALSE)=1,"Discontinued","Current")</f>
        <v>Current</v>
      </c>
      <c r="I2144" s="6">
        <f>VLOOKUP(operations[productID],products[],4,FALSE)</f>
        <v>61</v>
      </c>
      <c r="J2144" s="6">
        <f>VLOOKUP(operations[productID],products[],5,FALSE)</f>
        <v>0</v>
      </c>
      <c r="K2144" s="6">
        <f>VLOOKUP(operations[productID],products[],6,FALSE)</f>
        <v>25</v>
      </c>
      <c r="L2144" s="10">
        <f t="array" ref="L2144">INDEX('1 orders'!I2144:I2156, MATCH(1, ('1 orders'!A2144:A2156=A2144)*('1 orders'!G2144:G2156=F2144), 0))
</f>
        <v>2</v>
      </c>
      <c r="M2144" s="10">
        <f>IFERROR(__xludf.DUMMYFUNCTION("COUNTUNIQUEIFS($A$2:$A2144,$F$2:$F2144,F2144)"),20.0)</f>
        <v>20</v>
      </c>
      <c r="N2144" s="10">
        <f t="shared" si="1"/>
        <v>27</v>
      </c>
      <c r="O2144" s="26">
        <f>IF(operations[sinceLastOrder]=0,0,operations[orderQuantity] / operations[sinceLastOrder])</f>
        <v>0.07407407407</v>
      </c>
      <c r="P2144" s="9">
        <v>8.53</v>
      </c>
      <c r="Q2144" s="7" t="s">
        <v>17</v>
      </c>
      <c r="R2144" s="10">
        <f>operations[arrivedDate]-operations[shippedDate]</f>
        <v>0</v>
      </c>
    </row>
    <row r="2145" ht="15.75" customHeight="1">
      <c r="A2145" s="6">
        <v>11077.0</v>
      </c>
      <c r="B2145" s="24">
        <v>45418.0</v>
      </c>
      <c r="C2145" s="24">
        <v>45446.0</v>
      </c>
      <c r="D2145" s="24"/>
      <c r="E2145" s="24"/>
      <c r="F2145" s="6">
        <v>32.0</v>
      </c>
      <c r="G2145" s="9" t="str">
        <f>VLOOKUP(operations[productID],products[],2,FALSE)</f>
        <v>Mascarpone Fabioli</v>
      </c>
      <c r="H2145" s="9" t="str">
        <f>IF(VLOOKUP(operations[productID],products[],7,FALSE)=1,"Discontinued","Current")</f>
        <v>Current</v>
      </c>
      <c r="I2145" s="6">
        <f>VLOOKUP(operations[productID],products[],4,FALSE)</f>
        <v>9</v>
      </c>
      <c r="J2145" s="6">
        <f>VLOOKUP(operations[productID],products[],5,FALSE)</f>
        <v>40</v>
      </c>
      <c r="K2145" s="6">
        <f>VLOOKUP(operations[productID],products[],6,FALSE)</f>
        <v>25</v>
      </c>
      <c r="L2145" s="10">
        <f t="array" ref="L2145">INDEX('1 orders'!I2145:I2156, MATCH(1, ('1 orders'!A2145:A2156=A2145)*('1 orders'!G2145:G2156=F2145), 0))
</f>
        <v>1</v>
      </c>
      <c r="M2145" s="10">
        <f>IFERROR(__xludf.DUMMYFUNCTION("COUNTUNIQUEIFS($A$2:$A2145,$F$2:$F2145,F2145)"),15.0)</f>
        <v>15</v>
      </c>
      <c r="N2145" s="10">
        <f t="shared" si="1"/>
        <v>9</v>
      </c>
      <c r="O2145" s="26">
        <f>IF(operations[sinceLastOrder]=0,0,operations[orderQuantity] / operations[sinceLastOrder])</f>
        <v>0.1111111111</v>
      </c>
      <c r="P2145" s="9">
        <v>8.53</v>
      </c>
      <c r="Q2145" s="7" t="s">
        <v>17</v>
      </c>
      <c r="R2145" s="10">
        <f>operations[arrivedDate]-operations[shippedDate]</f>
        <v>0</v>
      </c>
    </row>
    <row r="2146" ht="15.75" customHeight="1">
      <c r="A2146" s="6">
        <v>11077.0</v>
      </c>
      <c r="B2146" s="24">
        <v>45418.0</v>
      </c>
      <c r="C2146" s="24">
        <v>45446.0</v>
      </c>
      <c r="D2146" s="24"/>
      <c r="E2146" s="24"/>
      <c r="F2146" s="6">
        <v>39.0</v>
      </c>
      <c r="G2146" s="9" t="str">
        <f>VLOOKUP(operations[productID],products[],2,FALSE)</f>
        <v>Chartreuse verte</v>
      </c>
      <c r="H2146" s="9" t="str">
        <f>IF(VLOOKUP(operations[productID],products[],7,FALSE)=1,"Discontinued","Current")</f>
        <v>Current</v>
      </c>
      <c r="I2146" s="6">
        <f>VLOOKUP(operations[productID],products[],4,FALSE)</f>
        <v>69</v>
      </c>
      <c r="J2146" s="6">
        <f>VLOOKUP(operations[productID],products[],5,FALSE)</f>
        <v>0</v>
      </c>
      <c r="K2146" s="6">
        <f>VLOOKUP(operations[productID],products[],6,FALSE)</f>
        <v>5</v>
      </c>
      <c r="L2146" s="10">
        <f t="array" ref="L2146">INDEX('1 orders'!I2146:I2156, MATCH(1, ('1 orders'!A2146:A2156=A2146)*('1 orders'!G2146:G2156=F2146), 0))
</f>
        <v>2</v>
      </c>
      <c r="M2146" s="10">
        <f>IFERROR(__xludf.DUMMYFUNCTION("COUNTUNIQUEIFS($A$2:$A2146,$F$2:$F2146,F2146)"),30.0)</f>
        <v>30</v>
      </c>
      <c r="N2146" s="10">
        <f t="shared" si="1"/>
        <v>2</v>
      </c>
      <c r="O2146" s="26">
        <f>IF(operations[sinceLastOrder]=0,0,operations[orderQuantity] / operations[sinceLastOrder])</f>
        <v>1</v>
      </c>
      <c r="P2146" s="9">
        <v>8.53</v>
      </c>
      <c r="Q2146" s="7" t="s">
        <v>17</v>
      </c>
      <c r="R2146" s="10">
        <f>operations[arrivedDate]-operations[shippedDate]</f>
        <v>0</v>
      </c>
    </row>
    <row r="2147" ht="15.75" customHeight="1">
      <c r="A2147" s="6">
        <v>11077.0</v>
      </c>
      <c r="B2147" s="24">
        <v>45418.0</v>
      </c>
      <c r="C2147" s="24">
        <v>45446.0</v>
      </c>
      <c r="D2147" s="24"/>
      <c r="E2147" s="24"/>
      <c r="F2147" s="6">
        <v>41.0</v>
      </c>
      <c r="G2147" s="9" t="str">
        <f>VLOOKUP(operations[productID],products[],2,FALSE)</f>
        <v>Jack's New England Clam Chowder</v>
      </c>
      <c r="H2147" s="9" t="str">
        <f>IF(VLOOKUP(operations[productID],products[],7,FALSE)=1,"Discontinued","Current")</f>
        <v>Current</v>
      </c>
      <c r="I2147" s="6">
        <f>VLOOKUP(operations[productID],products[],4,FALSE)</f>
        <v>85</v>
      </c>
      <c r="J2147" s="6">
        <f>VLOOKUP(operations[productID],products[],5,FALSE)</f>
        <v>0</v>
      </c>
      <c r="K2147" s="6">
        <f>VLOOKUP(operations[productID],products[],6,FALSE)</f>
        <v>10</v>
      </c>
      <c r="L2147" s="10">
        <f t="array" ref="L2147">INDEX('1 orders'!I2147:I2156, MATCH(1, ('1 orders'!A2147:A2156=A2147)*('1 orders'!G2147:G2156=F2147), 0))
</f>
        <v>3</v>
      </c>
      <c r="M2147" s="10">
        <f>IFERROR(__xludf.DUMMYFUNCTION("COUNTUNIQUEIFS($A$2:$A2147,$F$2:$F2147,F2147)"),47.0)</f>
        <v>47</v>
      </c>
      <c r="N2147" s="10">
        <f t="shared" si="1"/>
        <v>1</v>
      </c>
      <c r="O2147" s="26">
        <f>IF(operations[sinceLastOrder]=0,0,operations[orderQuantity] / operations[sinceLastOrder])</f>
        <v>3</v>
      </c>
      <c r="P2147" s="9">
        <v>8.53</v>
      </c>
      <c r="Q2147" s="7" t="s">
        <v>17</v>
      </c>
      <c r="R2147" s="10">
        <f>operations[arrivedDate]-operations[shippedDate]</f>
        <v>0</v>
      </c>
    </row>
    <row r="2148" ht="15.75" customHeight="1">
      <c r="A2148" s="6">
        <v>11077.0</v>
      </c>
      <c r="B2148" s="24">
        <v>45418.0</v>
      </c>
      <c r="C2148" s="24">
        <v>45446.0</v>
      </c>
      <c r="D2148" s="24"/>
      <c r="E2148" s="24"/>
      <c r="F2148" s="6">
        <v>46.0</v>
      </c>
      <c r="G2148" s="9" t="str">
        <f>VLOOKUP(operations[productID],products[],2,FALSE)</f>
        <v>Spegesild</v>
      </c>
      <c r="H2148" s="9" t="str">
        <f>IF(VLOOKUP(operations[productID],products[],7,FALSE)=1,"Discontinued","Current")</f>
        <v>Current</v>
      </c>
      <c r="I2148" s="6">
        <f>VLOOKUP(operations[productID],products[],4,FALSE)</f>
        <v>95</v>
      </c>
      <c r="J2148" s="6">
        <f>VLOOKUP(operations[productID],products[],5,FALSE)</f>
        <v>0</v>
      </c>
      <c r="K2148" s="6">
        <f>VLOOKUP(operations[productID],products[],6,FALSE)</f>
        <v>0</v>
      </c>
      <c r="L2148" s="10">
        <f t="array" ref="L2148">INDEX('1 orders'!I2148:I2156, MATCH(1, ('1 orders'!A2148:A2156=A2148)*('1 orders'!G2148:G2156=F2148), 0))
</f>
        <v>3</v>
      </c>
      <c r="M2148" s="10">
        <f>IFERROR(__xludf.DUMMYFUNCTION("COUNTUNIQUEIFS($A$2:$A2148,$F$2:$F2148,F2148)"),27.0)</f>
        <v>27</v>
      </c>
      <c r="N2148" s="10">
        <f t="shared" si="1"/>
        <v>0</v>
      </c>
      <c r="O2148" s="26">
        <f>IF(operations[sinceLastOrder]=0,0,operations[orderQuantity] / operations[sinceLastOrder])</f>
        <v>0</v>
      </c>
      <c r="P2148" s="9">
        <v>8.53</v>
      </c>
      <c r="Q2148" s="7" t="s">
        <v>17</v>
      </c>
      <c r="R2148" s="10">
        <f>operations[arrivedDate]-operations[shippedDate]</f>
        <v>0</v>
      </c>
    </row>
    <row r="2149" ht="15.75" customHeight="1">
      <c r="A2149" s="6">
        <v>11077.0</v>
      </c>
      <c r="B2149" s="24">
        <v>45418.0</v>
      </c>
      <c r="C2149" s="24">
        <v>45446.0</v>
      </c>
      <c r="D2149" s="24"/>
      <c r="E2149" s="24"/>
      <c r="F2149" s="6">
        <v>52.0</v>
      </c>
      <c r="G2149" s="9" t="str">
        <f>VLOOKUP(operations[productID],products[],2,FALSE)</f>
        <v>Filo Mix</v>
      </c>
      <c r="H2149" s="9" t="str">
        <f>IF(VLOOKUP(operations[productID],products[],7,FALSE)=1,"Discontinued","Current")</f>
        <v>Current</v>
      </c>
      <c r="I2149" s="6">
        <f>VLOOKUP(operations[productID],products[],4,FALSE)</f>
        <v>38</v>
      </c>
      <c r="J2149" s="6">
        <f>VLOOKUP(operations[productID],products[],5,FALSE)</f>
        <v>0</v>
      </c>
      <c r="K2149" s="6">
        <f>VLOOKUP(operations[productID],products[],6,FALSE)</f>
        <v>25</v>
      </c>
      <c r="L2149" s="10">
        <f t="array" ref="L2149">INDEX('1 orders'!I2149:I2156, MATCH(1, ('1 orders'!A2149:A2156=A2149)*('1 orders'!G2149:G2156=F2149), 0))
</f>
        <v>2</v>
      </c>
      <c r="M2149" s="10">
        <f>IFERROR(__xludf.DUMMYFUNCTION("COUNTUNIQUEIFS($A$2:$A2149,$F$2:$F2149,F2149)"),29.0)</f>
        <v>29</v>
      </c>
      <c r="N2149" s="10">
        <f t="shared" si="1"/>
        <v>15</v>
      </c>
      <c r="O2149" s="26">
        <f>IF(operations[sinceLastOrder]=0,0,operations[orderQuantity] / operations[sinceLastOrder])</f>
        <v>0.1333333333</v>
      </c>
      <c r="P2149" s="9">
        <v>8.53</v>
      </c>
      <c r="Q2149" s="7" t="s">
        <v>17</v>
      </c>
      <c r="R2149" s="10">
        <f>operations[arrivedDate]-operations[shippedDate]</f>
        <v>0</v>
      </c>
    </row>
    <row r="2150" ht="15.75" customHeight="1">
      <c r="A2150" s="6">
        <v>11077.0</v>
      </c>
      <c r="B2150" s="24">
        <v>45418.0</v>
      </c>
      <c r="C2150" s="24">
        <v>45446.0</v>
      </c>
      <c r="D2150" s="24"/>
      <c r="E2150" s="24"/>
      <c r="F2150" s="6">
        <v>55.0</v>
      </c>
      <c r="G2150" s="9" t="str">
        <f>VLOOKUP(operations[productID],products[],2,FALSE)</f>
        <v>Pâté chinois</v>
      </c>
      <c r="H2150" s="9" t="str">
        <f>IF(VLOOKUP(operations[productID],products[],7,FALSE)=1,"Discontinued","Current")</f>
        <v>Current</v>
      </c>
      <c r="I2150" s="6">
        <f>VLOOKUP(operations[productID],products[],4,FALSE)</f>
        <v>115</v>
      </c>
      <c r="J2150" s="6">
        <f>VLOOKUP(operations[productID],products[],5,FALSE)</f>
        <v>0</v>
      </c>
      <c r="K2150" s="6">
        <f>VLOOKUP(operations[productID],products[],6,FALSE)</f>
        <v>20</v>
      </c>
      <c r="L2150" s="10">
        <f t="array" ref="L2150">INDEX('1 orders'!I2150:I2156, MATCH(1, ('1 orders'!A2150:A2156=A2150)*('1 orders'!G2150:G2156=F2150), 0))
</f>
        <v>2</v>
      </c>
      <c r="M2150" s="10">
        <f>IFERROR(__xludf.DUMMYFUNCTION("COUNTUNIQUEIFS($A$2:$A2150,$F$2:$F2150,F2150)"),33.0)</f>
        <v>33</v>
      </c>
      <c r="N2150" s="10">
        <f t="shared" si="1"/>
        <v>5</v>
      </c>
      <c r="O2150" s="26">
        <f>IF(operations[sinceLastOrder]=0,0,operations[orderQuantity] / operations[sinceLastOrder])</f>
        <v>0.4</v>
      </c>
      <c r="P2150" s="9">
        <v>8.53</v>
      </c>
      <c r="Q2150" s="7" t="s">
        <v>17</v>
      </c>
      <c r="R2150" s="10">
        <f>operations[arrivedDate]-operations[shippedDate]</f>
        <v>0</v>
      </c>
    </row>
    <row r="2151" ht="15.75" customHeight="1">
      <c r="A2151" s="6">
        <v>11077.0</v>
      </c>
      <c r="B2151" s="24">
        <v>45418.0</v>
      </c>
      <c r="C2151" s="24">
        <v>45446.0</v>
      </c>
      <c r="D2151" s="24"/>
      <c r="E2151" s="24"/>
      <c r="F2151" s="6">
        <v>60.0</v>
      </c>
      <c r="G2151" s="9" t="str">
        <f>VLOOKUP(operations[productID],products[],2,FALSE)</f>
        <v>Camembert Pierrot</v>
      </c>
      <c r="H2151" s="9" t="str">
        <f>IF(VLOOKUP(operations[productID],products[],7,FALSE)=1,"Discontinued","Current")</f>
        <v>Current</v>
      </c>
      <c r="I2151" s="6">
        <f>VLOOKUP(operations[productID],products[],4,FALSE)</f>
        <v>19</v>
      </c>
      <c r="J2151" s="6">
        <f>VLOOKUP(operations[productID],products[],5,FALSE)</f>
        <v>0</v>
      </c>
      <c r="K2151" s="6">
        <f>VLOOKUP(operations[productID],products[],6,FALSE)</f>
        <v>0</v>
      </c>
      <c r="L2151" s="10">
        <f t="array" ref="L2151">INDEX('1 orders'!I2151:I2156, MATCH(1, ('1 orders'!A2151:A2156=A2151)*('1 orders'!G2151:G2156=F2151), 0))
</f>
        <v>2</v>
      </c>
      <c r="M2151" s="10">
        <f>IFERROR(__xludf.DUMMYFUNCTION("COUNTUNIQUEIFS($A$2:$A2151,$F$2:$F2151,F2151)"),51.0)</f>
        <v>51</v>
      </c>
      <c r="N2151" s="10">
        <f t="shared" si="1"/>
        <v>6</v>
      </c>
      <c r="O2151" s="26">
        <f>IF(operations[sinceLastOrder]=0,0,operations[orderQuantity] / operations[sinceLastOrder])</f>
        <v>0.3333333333</v>
      </c>
      <c r="P2151" s="9">
        <v>8.53</v>
      </c>
      <c r="Q2151" s="7" t="s">
        <v>17</v>
      </c>
      <c r="R2151" s="10">
        <f>operations[arrivedDate]-operations[shippedDate]</f>
        <v>0</v>
      </c>
    </row>
    <row r="2152" ht="15.75" customHeight="1">
      <c r="A2152" s="6">
        <v>11077.0</v>
      </c>
      <c r="B2152" s="24">
        <v>45418.0</v>
      </c>
      <c r="C2152" s="24">
        <v>45446.0</v>
      </c>
      <c r="D2152" s="24"/>
      <c r="E2152" s="24"/>
      <c r="F2152" s="6">
        <v>64.0</v>
      </c>
      <c r="G2152" s="9" t="str">
        <f>VLOOKUP(operations[productID],products[],2,FALSE)</f>
        <v>Lukas' leckere Sauerteigweggla</v>
      </c>
      <c r="H2152" s="9" t="str">
        <f>IF(VLOOKUP(operations[productID],products[],7,FALSE)=1,"Discontinued","Current")</f>
        <v>Current</v>
      </c>
      <c r="I2152" s="6">
        <f>VLOOKUP(operations[productID],products[],4,FALSE)</f>
        <v>22</v>
      </c>
      <c r="J2152" s="6">
        <f>VLOOKUP(operations[productID],products[],5,FALSE)</f>
        <v>80</v>
      </c>
      <c r="K2152" s="6">
        <f>VLOOKUP(operations[productID],products[],6,FALSE)</f>
        <v>30</v>
      </c>
      <c r="L2152" s="10">
        <f t="array" ref="L2152">INDEX('1 orders'!I2152:I2156, MATCH(1, ('1 orders'!A2152:A2156=A2152)*('1 orders'!G2152:G2156=F2152), 0))
</f>
        <v>2</v>
      </c>
      <c r="M2152" s="10">
        <f>IFERROR(__xludf.DUMMYFUNCTION("COUNTUNIQUEIFS($A$2:$A2152,$F$2:$F2152,F2152)"),30.0)</f>
        <v>30</v>
      </c>
      <c r="N2152" s="10">
        <f t="shared" si="1"/>
        <v>1</v>
      </c>
      <c r="O2152" s="26">
        <f>IF(operations[sinceLastOrder]=0,0,operations[orderQuantity] / operations[sinceLastOrder])</f>
        <v>2</v>
      </c>
      <c r="P2152" s="9">
        <v>8.53</v>
      </c>
      <c r="Q2152" s="7" t="s">
        <v>17</v>
      </c>
      <c r="R2152" s="10">
        <f>operations[arrivedDate]-operations[shippedDate]</f>
        <v>0</v>
      </c>
    </row>
    <row r="2153" ht="15.75" customHeight="1">
      <c r="A2153" s="6">
        <v>11077.0</v>
      </c>
      <c r="B2153" s="24">
        <v>45418.0</v>
      </c>
      <c r="C2153" s="24">
        <v>45446.0</v>
      </c>
      <c r="D2153" s="24"/>
      <c r="E2153" s="24"/>
      <c r="F2153" s="6">
        <v>66.0</v>
      </c>
      <c r="G2153" s="9" t="str">
        <f>VLOOKUP(operations[productID],products[],2,FALSE)</f>
        <v>Louisiana Hot Spiced Okra</v>
      </c>
      <c r="H2153" s="9" t="str">
        <f>IF(VLOOKUP(operations[productID],products[],7,FALSE)=1,"Discontinued","Current")</f>
        <v>Current</v>
      </c>
      <c r="I2153" s="6">
        <f>VLOOKUP(operations[productID],products[],4,FALSE)</f>
        <v>4</v>
      </c>
      <c r="J2153" s="6">
        <f>VLOOKUP(operations[productID],products[],5,FALSE)</f>
        <v>100</v>
      </c>
      <c r="K2153" s="6">
        <f>VLOOKUP(operations[productID],products[],6,FALSE)</f>
        <v>20</v>
      </c>
      <c r="L2153" s="10">
        <f t="array" ref="L2153">INDEX('1 orders'!I2153:I2156, MATCH(1, ('1 orders'!A2153:A2156=A2153)*('1 orders'!G2153:G2156=F2153), 0))
</f>
        <v>1</v>
      </c>
      <c r="M2153" s="10">
        <f>IFERROR(__xludf.DUMMYFUNCTION("COUNTUNIQUEIFS($A$2:$A2153,$F$2:$F2153,F2153)"),8.0)</f>
        <v>8</v>
      </c>
      <c r="N2153" s="10">
        <f t="shared" si="1"/>
        <v>147</v>
      </c>
      <c r="O2153" s="26">
        <f>IF(operations[sinceLastOrder]=0,0,operations[orderQuantity] / operations[sinceLastOrder])</f>
        <v>0.006802721088</v>
      </c>
      <c r="P2153" s="9">
        <v>8.53</v>
      </c>
      <c r="Q2153" s="7" t="s">
        <v>17</v>
      </c>
      <c r="R2153" s="10">
        <f>operations[arrivedDate]-operations[shippedDate]</f>
        <v>0</v>
      </c>
    </row>
    <row r="2154" ht="15.75" customHeight="1">
      <c r="A2154" s="6">
        <v>11077.0</v>
      </c>
      <c r="B2154" s="24">
        <v>45418.0</v>
      </c>
      <c r="C2154" s="24">
        <v>45446.0</v>
      </c>
      <c r="D2154" s="24"/>
      <c r="E2154" s="24"/>
      <c r="F2154" s="6">
        <v>73.0</v>
      </c>
      <c r="G2154" s="9" t="str">
        <f>VLOOKUP(operations[productID],products[],2,FALSE)</f>
        <v>Röd Kaviar</v>
      </c>
      <c r="H2154" s="9" t="str">
        <f>IF(VLOOKUP(operations[productID],products[],7,FALSE)=1,"Discontinued","Current")</f>
        <v>Current</v>
      </c>
      <c r="I2154" s="6">
        <f>VLOOKUP(operations[productID],products[],4,FALSE)</f>
        <v>101</v>
      </c>
      <c r="J2154" s="6">
        <f>VLOOKUP(operations[productID],products[],5,FALSE)</f>
        <v>0</v>
      </c>
      <c r="K2154" s="6">
        <f>VLOOKUP(operations[productID],products[],6,FALSE)</f>
        <v>5</v>
      </c>
      <c r="L2154" s="10">
        <f t="array" ref="L2154">INDEX('1 orders'!I2154:I2156, MATCH(1, ('1 orders'!A2154:A2156=A2154)*('1 orders'!G2154:G2156=F2154), 0))
</f>
        <v>2</v>
      </c>
      <c r="M2154" s="10">
        <f>IFERROR(__xludf.DUMMYFUNCTION("COUNTUNIQUEIFS($A$2:$A2154,$F$2:$F2154,F2154)"),14.0)</f>
        <v>14</v>
      </c>
      <c r="N2154" s="10">
        <f t="shared" si="1"/>
        <v>85</v>
      </c>
      <c r="O2154" s="26">
        <f>IF(operations[sinceLastOrder]=0,0,operations[orderQuantity] / operations[sinceLastOrder])</f>
        <v>0.02352941176</v>
      </c>
      <c r="P2154" s="9">
        <v>8.53</v>
      </c>
      <c r="Q2154" s="7" t="s">
        <v>17</v>
      </c>
      <c r="R2154" s="10">
        <f>operations[arrivedDate]-operations[shippedDate]</f>
        <v>0</v>
      </c>
    </row>
    <row r="2155" ht="15.75" customHeight="1">
      <c r="A2155" s="6">
        <v>11077.0</v>
      </c>
      <c r="B2155" s="24">
        <v>45418.0</v>
      </c>
      <c r="C2155" s="24">
        <v>45446.0</v>
      </c>
      <c r="D2155" s="24"/>
      <c r="E2155" s="24"/>
      <c r="F2155" s="6">
        <v>75.0</v>
      </c>
      <c r="G2155" s="9" t="str">
        <f>VLOOKUP(operations[productID],products[],2,FALSE)</f>
        <v>Rhönbräu Klosterbier</v>
      </c>
      <c r="H2155" s="9" t="str">
        <f>IF(VLOOKUP(operations[productID],products[],7,FALSE)=1,"Discontinued","Current")</f>
        <v>Current</v>
      </c>
      <c r="I2155" s="6">
        <f>VLOOKUP(operations[productID],products[],4,FALSE)</f>
        <v>125</v>
      </c>
      <c r="J2155" s="6">
        <f>VLOOKUP(operations[productID],products[],5,FALSE)</f>
        <v>0</v>
      </c>
      <c r="K2155" s="6">
        <f>VLOOKUP(operations[productID],products[],6,FALSE)</f>
        <v>25</v>
      </c>
      <c r="L2155" s="10">
        <f t="array" ref="L2155">INDEX('1 orders'!I2155:I2156, MATCH(1, ('1 orders'!A2155:A2156=A2155)*('1 orders'!G2155:G2156=F2155), 0))
</f>
        <v>4</v>
      </c>
      <c r="M2155" s="10">
        <f>IFERROR(__xludf.DUMMYFUNCTION("COUNTUNIQUEIFS($A$2:$A2155,$F$2:$F2155,F2155)"),46.0)</f>
        <v>46</v>
      </c>
      <c r="N2155" s="10">
        <f t="shared" si="1"/>
        <v>33</v>
      </c>
      <c r="O2155" s="26">
        <f>IF(operations[sinceLastOrder]=0,0,operations[orderQuantity] / operations[sinceLastOrder])</f>
        <v>0.1212121212</v>
      </c>
      <c r="P2155" s="9">
        <v>8.53</v>
      </c>
      <c r="Q2155" s="7" t="s">
        <v>17</v>
      </c>
      <c r="R2155" s="10">
        <f>operations[arrivedDate]-operations[shippedDate]</f>
        <v>0</v>
      </c>
    </row>
    <row r="2156" ht="15.75" customHeight="1">
      <c r="A2156" s="6">
        <v>11077.0</v>
      </c>
      <c r="B2156" s="24">
        <v>45418.0</v>
      </c>
      <c r="C2156" s="24">
        <v>45446.0</v>
      </c>
      <c r="D2156" s="24"/>
      <c r="E2156" s="24"/>
      <c r="F2156" s="6">
        <v>77.0</v>
      </c>
      <c r="G2156" s="9" t="str">
        <f>VLOOKUP(operations[productID],products[],2,FALSE)</f>
        <v>Original Frankfurter grüne Soße</v>
      </c>
      <c r="H2156" s="9" t="str">
        <f>IF(VLOOKUP(operations[productID],products[],7,FALSE)=1,"Discontinued","Current")</f>
        <v>Current</v>
      </c>
      <c r="I2156" s="6">
        <f>VLOOKUP(operations[productID],products[],4,FALSE)</f>
        <v>32</v>
      </c>
      <c r="J2156" s="6">
        <f>VLOOKUP(operations[productID],products[],5,FALSE)</f>
        <v>0</v>
      </c>
      <c r="K2156" s="6">
        <f>VLOOKUP(operations[productID],products[],6,FALSE)</f>
        <v>15</v>
      </c>
      <c r="L2156" s="10">
        <f t="array" ref="L2156">INDEX('1 orders'!I2156, MATCH(1, ('1 orders'!A2156=A2156)*('1 orders'!G2156=F2156), 0))
</f>
        <v>2</v>
      </c>
      <c r="M2156" s="10">
        <f>IFERROR(__xludf.DUMMYFUNCTION("COUNTUNIQUEIFS($A$2:$A2156,$F$2:$F2156,F2156)"),38.0)</f>
        <v>38</v>
      </c>
      <c r="N2156" s="10">
        <f t="shared" si="1"/>
        <v>2</v>
      </c>
      <c r="O2156" s="26">
        <f>IF(operations[sinceLastOrder]=0,0,operations[orderQuantity] / operations[sinceLastOrder])</f>
        <v>1</v>
      </c>
      <c r="P2156" s="9">
        <v>8.53</v>
      </c>
      <c r="Q2156" s="7" t="s">
        <v>17</v>
      </c>
      <c r="R2156" s="10">
        <f>operations[arrivedDate]-operations[shippedDate]</f>
        <v>0</v>
      </c>
    </row>
  </sheetData>
  <dataValidations>
    <dataValidation type="custom" allowBlank="1" showDropDown="1" sqref="B2:E2156">
      <formula1>OR(NOT(ISERROR(DATEVALUE(B2))), AND(ISNUMBER(B2), LEFT(CELL("format", B2))="D"))</formula1>
    </dataValidation>
    <dataValidation type="custom" allowBlank="1" showDropDown="1" sqref="A2:A2156 F2:F2156 O2:P2156">
      <formula1>AND(ISNUMBER(A2),(NOT(OR(NOT(ISERROR(DATEVALUE(A2))), AND(ISNUMBER(A2), LEFT(CELL("format", A2))="D")))))</formula1>
    </dataValidation>
    <dataValidation allowBlank="1" showDropDown="1" sqref="Q2:Q2156"/>
  </dataValidations>
  <printOptions/>
  <pageMargins bottom="0.75" footer="0.0" header="0.0" left="0.7" right="0.7" top="0.75"/>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6.56"/>
    <col customWidth="1" min="4" max="4" width="12.11"/>
    <col customWidth="1" min="5" max="5" width="1.78"/>
    <col customWidth="1" min="6" max="6" width="34.22"/>
    <col customWidth="1" min="10" max="10" width="1.78"/>
    <col customWidth="1" min="11" max="11" width="19.22"/>
    <col customWidth="1" min="12" max="12" width="12.0"/>
    <col customWidth="1" min="13" max="14" width="13.33"/>
    <col customWidth="1" min="15" max="15" width="1.78"/>
    <col customWidth="1" min="16" max="16" width="16.67"/>
    <col customWidth="1" min="17" max="17" width="29.11"/>
    <col customWidth="1" min="18" max="18" width="13.33"/>
    <col customWidth="1" min="19" max="19" width="13.0"/>
    <col customWidth="1" min="23" max="23" width="1.78"/>
    <col customWidth="1" min="24" max="24" width="15.67"/>
    <col customWidth="1" min="25" max="25" width="34.22"/>
    <col customWidth="1" min="29" max="29" width="1.78"/>
    <col customWidth="1" min="30" max="30" width="25.0"/>
    <col customWidth="1" min="31" max="31" width="10.22"/>
    <col customWidth="1" min="32" max="32" width="13.33"/>
    <col customWidth="1" min="33" max="33" width="1.78"/>
    <col customWidth="1" min="34" max="34" width="19.44"/>
    <col customWidth="1" min="35" max="35" width="14.33"/>
    <col customWidth="1" min="37" max="37" width="1.78"/>
    <col customWidth="1" min="39" max="39" width="34.22"/>
    <col customWidth="1" min="40" max="41" width="7.22"/>
    <col customWidth="1" min="42" max="42" width="11.67"/>
    <col customWidth="1" min="43" max="43" width="14.33"/>
    <col customWidth="1" min="46" max="46" width="1.78"/>
    <col customWidth="1" min="47" max="47" width="16.56"/>
    <col customWidth="1" min="48" max="48" width="14.44"/>
    <col customWidth="1" min="49" max="49" width="15.67"/>
    <col customWidth="1" min="50" max="50" width="1.78"/>
    <col customWidth="1" min="51" max="51" width="18.67"/>
    <col customWidth="1" min="52" max="52" width="13.0"/>
    <col customWidth="1" min="54" max="54" width="1.78"/>
    <col customWidth="1" min="55" max="55" width="8.56"/>
    <col customWidth="1" min="56" max="56" width="13.78"/>
    <col customWidth="1" min="57" max="57" width="1.78"/>
  </cols>
  <sheetData>
    <row r="1">
      <c r="A1" s="27" t="s">
        <v>937</v>
      </c>
      <c r="E1" s="28"/>
      <c r="F1" s="27" t="s">
        <v>938</v>
      </c>
      <c r="J1" s="28"/>
      <c r="K1" s="27" t="s">
        <v>939</v>
      </c>
      <c r="O1" s="28"/>
      <c r="P1" s="27" t="s">
        <v>940</v>
      </c>
      <c r="W1" s="28"/>
      <c r="X1" s="27" t="s">
        <v>941</v>
      </c>
      <c r="AC1" s="28"/>
      <c r="AD1" s="27" t="s">
        <v>942</v>
      </c>
      <c r="AG1" s="29"/>
      <c r="AH1" s="27" t="s">
        <v>943</v>
      </c>
      <c r="AK1" s="29"/>
      <c r="AL1" s="27" t="s">
        <v>944</v>
      </c>
      <c r="AT1" s="29"/>
      <c r="AU1" s="27" t="s">
        <v>945</v>
      </c>
      <c r="AX1" s="29"/>
      <c r="AY1" s="27" t="s">
        <v>946</v>
      </c>
      <c r="BB1" s="29"/>
      <c r="BC1" s="27" t="s">
        <v>947</v>
      </c>
      <c r="BE1" s="29"/>
      <c r="BF1" s="27" t="s">
        <v>948</v>
      </c>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row>
    <row r="2">
      <c r="A2" s="31" t="str">
        <f>IFERROR(__xludf.DUMMYFUNCTION("QUERY(revenue,""SELECT C, SUM(P) WHERE C IS NOT NULL GROUP BY C ORDER BY SUM(P) DESC LABEL C 'Customer', SUM(P) 'Revenue'"", 1)"),"Customer")</f>
        <v>Customer</v>
      </c>
      <c r="B2" s="32" t="str">
        <f>IFERROR(__xludf.DUMMYFUNCTION("""COMPUTED_VALUE"""),"Revenue")</f>
        <v>Revenue</v>
      </c>
      <c r="C2" s="33" t="s">
        <v>949</v>
      </c>
      <c r="D2" s="31" t="s">
        <v>950</v>
      </c>
      <c r="E2" s="28"/>
      <c r="F2" s="33" t="str">
        <f>IFERROR(__xludf.DUMMYFUNCTION("QUERY(revenue,""SELECT H, SUM(P) WHERE H IS NOT NULL GROUP BY H ORDER BY SUM(P) DESC LABEL H 'Product', SUM(P) 'Revenue'"", 1)"),"Product")</f>
        <v>Product</v>
      </c>
      <c r="G2" s="31" t="str">
        <f>IFERROR(__xludf.DUMMYFUNCTION("""COMPUTED_VALUE"""),"Revenue")</f>
        <v>Revenue</v>
      </c>
      <c r="H2" s="33" t="s">
        <v>949</v>
      </c>
      <c r="I2" s="31" t="s">
        <v>950</v>
      </c>
      <c r="J2" s="28"/>
      <c r="K2" s="33" t="str">
        <f>IFERROR(__xludf.DUMMYFUNCTION("QUERY(revenue,""SELECT I, SUM(P) WHERE I IS NOT NULL GROUP BY I ORDER BY SUM(P) DESC LABEL I 'Category', SUM(P) 'Revenue'"", 1)"),"Category")</f>
        <v>Category</v>
      </c>
      <c r="L2" s="33" t="str">
        <f>IFERROR(__xludf.DUMMYFUNCTION("""COMPUTED_VALUE"""),"Revenue")</f>
        <v>Revenue</v>
      </c>
      <c r="M2" s="33" t="s">
        <v>949</v>
      </c>
      <c r="N2" s="31" t="s">
        <v>950</v>
      </c>
      <c r="O2" s="28"/>
      <c r="W2" s="28"/>
      <c r="X2" s="35" t="s">
        <v>926</v>
      </c>
      <c r="Y2" s="35" t="s">
        <v>104</v>
      </c>
      <c r="Z2" s="30" t="s">
        <v>952</v>
      </c>
      <c r="AA2" s="30" t="s">
        <v>951</v>
      </c>
      <c r="AB2" s="30" t="s">
        <v>956</v>
      </c>
      <c r="AC2" s="28"/>
      <c r="AG2" s="29"/>
      <c r="AK2" s="29"/>
      <c r="AT2" s="29"/>
      <c r="AX2" s="29"/>
      <c r="BB2" s="29"/>
      <c r="BC2" s="40" t="s">
        <v>957</v>
      </c>
      <c r="BD2" s="41" t="s">
        <v>971</v>
      </c>
      <c r="BE2" s="29"/>
      <c r="BF2" s="40" t="s">
        <v>957</v>
      </c>
      <c r="BG2" s="41" t="s">
        <v>972</v>
      </c>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row>
    <row r="3">
      <c r="A3" s="30" t="str">
        <f>IFERROR(__xludf.DUMMYFUNCTION("""COMPUTED_VALUE"""),"QUICK-Stop")</f>
        <v>QUICK-Stop</v>
      </c>
      <c r="B3" s="42">
        <f>IFERROR(__xludf.DUMMYFUNCTION("""COMPUTED_VALUE"""),110277.30500000001)</f>
        <v>110277.305</v>
      </c>
      <c r="C3" s="43">
        <f t="shared" ref="C3:C91" si="1">$B3/SUM($B$3:$B$91)</f>
        <v>0.08841342465</v>
      </c>
      <c r="D3" s="43">
        <f>C3</f>
        <v>0.08841342465</v>
      </c>
      <c r="E3" s="28"/>
      <c r="F3" s="30" t="str">
        <f>IFERROR(__xludf.DUMMYFUNCTION("""COMPUTED_VALUE"""),"Côte de Blaye")</f>
        <v>Côte de Blaye</v>
      </c>
      <c r="G3" s="42">
        <f>IFERROR(__xludf.DUMMYFUNCTION("""COMPUTED_VALUE"""),141396.735)</f>
        <v>141396.735</v>
      </c>
      <c r="H3" s="43">
        <f t="shared" ref="H3:H79" si="2">$G3/SUM($G$3:$G$79)</f>
        <v>0.1133630313</v>
      </c>
      <c r="I3" s="43">
        <f>H3</f>
        <v>0.1133630313</v>
      </c>
      <c r="J3" s="28"/>
      <c r="K3" s="30" t="str">
        <f>IFERROR(__xludf.DUMMYFUNCTION("""COMPUTED_VALUE"""),"Beverages")</f>
        <v>Beverages</v>
      </c>
      <c r="L3" s="42">
        <f>IFERROR(__xludf.DUMMYFUNCTION("""COMPUTED_VALUE"""),259397.11499999996)</f>
        <v>259397.115</v>
      </c>
      <c r="M3" s="43">
        <f t="shared" ref="M3:M10" si="3">$L3/SUM($L$3:$L$10)</f>
        <v>0.2079683329</v>
      </c>
      <c r="N3" s="43">
        <f>M3</f>
        <v>0.2079683329</v>
      </c>
      <c r="O3" s="28"/>
      <c r="W3" s="28"/>
      <c r="X3" s="35" t="s">
        <v>974</v>
      </c>
      <c r="Y3" s="46" t="s">
        <v>254</v>
      </c>
      <c r="Z3" s="30">
        <v>24.0</v>
      </c>
      <c r="AA3" s="46">
        <v>141396.735</v>
      </c>
      <c r="AB3" s="45">
        <v>45399.0</v>
      </c>
      <c r="AC3" s="28"/>
      <c r="AG3" s="29"/>
      <c r="AK3" s="29"/>
      <c r="AT3" s="29"/>
      <c r="AX3" s="29"/>
      <c r="BB3" s="29"/>
      <c r="BC3" s="48">
        <v>44743.0</v>
      </c>
      <c r="BD3" s="36">
        <v>1462.0</v>
      </c>
      <c r="BE3" s="29"/>
      <c r="BF3" s="48">
        <v>44743.0</v>
      </c>
      <c r="BG3" s="46">
        <v>20559.922569599243</v>
      </c>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row>
    <row r="4">
      <c r="A4" s="30" t="str">
        <f>IFERROR(__xludf.DUMMYFUNCTION("""COMPUTED_VALUE"""),"Save-a-lot Markets")</f>
        <v>Save-a-lot Markets</v>
      </c>
      <c r="B4" s="42">
        <f>IFERROR(__xludf.DUMMYFUNCTION("""COMPUTED_VALUE"""),100031.55000000002)</f>
        <v>100031.55</v>
      </c>
      <c r="C4" s="43">
        <f t="shared" si="1"/>
        <v>0.08019902108</v>
      </c>
      <c r="D4" s="43">
        <f t="shared" ref="D4:D91" si="4">SUM($C$3:$C4)</f>
        <v>0.1686124457</v>
      </c>
      <c r="E4" s="28"/>
      <c r="F4" s="30" t="str">
        <f>IFERROR(__xludf.DUMMYFUNCTION("""COMPUTED_VALUE"""),"Thüringer Rostbratwurst")</f>
        <v>Thüringer Rostbratwurst</v>
      </c>
      <c r="G4" s="42">
        <f>IFERROR(__xludf.DUMMYFUNCTION("""COMPUTED_VALUE"""),80368.672)</f>
        <v>80368.672</v>
      </c>
      <c r="H4" s="43">
        <f t="shared" si="2"/>
        <v>0.06443455909</v>
      </c>
      <c r="I4" s="43">
        <f t="shared" ref="I4:I79" si="5">SUM($H$3:$H4)</f>
        <v>0.1777975904</v>
      </c>
      <c r="J4" s="28"/>
      <c r="K4" s="30" t="str">
        <f>IFERROR(__xludf.DUMMYFUNCTION("""COMPUTED_VALUE"""),"Dairy Products")</f>
        <v>Dairy Products</v>
      </c>
      <c r="L4" s="42">
        <f>IFERROR(__xludf.DUMMYFUNCTION("""COMPUTED_VALUE"""),233711.16499999998)</f>
        <v>233711.165</v>
      </c>
      <c r="M4" s="43">
        <f t="shared" si="3"/>
        <v>0.1873749497</v>
      </c>
      <c r="N4" s="43">
        <f t="shared" ref="N4:N10" si="6">SUM($M$3:$M4)</f>
        <v>0.3953432826</v>
      </c>
      <c r="O4" s="28"/>
      <c r="W4" s="28"/>
      <c r="X4" s="30"/>
      <c r="Y4" s="46" t="s">
        <v>320</v>
      </c>
      <c r="Z4" s="30">
        <v>54.0</v>
      </c>
      <c r="AA4" s="46">
        <v>71155.7</v>
      </c>
      <c r="AB4" s="45">
        <v>45402.0</v>
      </c>
      <c r="AC4" s="28"/>
      <c r="AG4" s="29"/>
      <c r="AK4" s="29"/>
      <c r="AT4" s="29"/>
      <c r="AX4" s="29"/>
      <c r="BB4" s="29"/>
      <c r="BC4" s="48">
        <v>44774.0</v>
      </c>
      <c r="BD4" s="36">
        <v>1322.0</v>
      </c>
      <c r="BE4" s="29"/>
      <c r="BF4" s="48">
        <v>44774.0</v>
      </c>
      <c r="BG4" s="46">
        <v>18371.976919480916</v>
      </c>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row>
    <row r="5">
      <c r="A5" s="30" t="str">
        <f>IFERROR(__xludf.DUMMYFUNCTION("""COMPUTED_VALUE"""),"Ernst Handel")</f>
        <v>Ernst Handel</v>
      </c>
      <c r="B5" s="42">
        <f>IFERROR(__xludf.DUMMYFUNCTION("""COMPUTED_VALUE"""),99656.9785)</f>
        <v>99656.9785</v>
      </c>
      <c r="C5" s="43">
        <f t="shared" si="1"/>
        <v>0.07989871315</v>
      </c>
      <c r="D5" s="43">
        <f t="shared" si="4"/>
        <v>0.2485111589</v>
      </c>
      <c r="E5" s="28"/>
      <c r="F5" s="30" t="str">
        <f>IFERROR(__xludf.DUMMYFUNCTION("""COMPUTED_VALUE"""),"Raclette Courdavault")</f>
        <v>Raclette Courdavault</v>
      </c>
      <c r="G5" s="42">
        <f>IFERROR(__xludf.DUMMYFUNCTION("""COMPUTED_VALUE"""),71155.7)</f>
        <v>71155.7</v>
      </c>
      <c r="H5" s="43">
        <f t="shared" si="2"/>
        <v>0.05704817614</v>
      </c>
      <c r="I5" s="43">
        <f t="shared" si="5"/>
        <v>0.2348457665</v>
      </c>
      <c r="J5" s="28"/>
      <c r="K5" s="30" t="str">
        <f>IFERROR(__xludf.DUMMYFUNCTION("""COMPUTED_VALUE"""),"Confections")</f>
        <v>Confections</v>
      </c>
      <c r="L5" s="42">
        <f>IFERROR(__xludf.DUMMYFUNCTION("""COMPUTED_VALUE"""),169430.16699999996)</f>
        <v>169430.167</v>
      </c>
      <c r="M5" s="43">
        <f t="shared" si="3"/>
        <v>0.1358384783</v>
      </c>
      <c r="N5" s="43">
        <f t="shared" si="6"/>
        <v>0.5311817609</v>
      </c>
      <c r="O5" s="28"/>
      <c r="W5" s="28"/>
      <c r="X5" s="30"/>
      <c r="Y5" s="46" t="s">
        <v>330</v>
      </c>
      <c r="Z5" s="30">
        <v>48.0</v>
      </c>
      <c r="AA5" s="46">
        <v>47234.97</v>
      </c>
      <c r="AB5" s="45">
        <v>45405.0</v>
      </c>
      <c r="AC5" s="28"/>
      <c r="AG5" s="29"/>
      <c r="AK5" s="29"/>
      <c r="AT5" s="29"/>
      <c r="AX5" s="29"/>
      <c r="BB5" s="29"/>
      <c r="BC5" s="48">
        <v>44805.0</v>
      </c>
      <c r="BD5" s="36">
        <v>1124.0</v>
      </c>
      <c r="BE5" s="29"/>
      <c r="BF5" s="48">
        <v>44805.0</v>
      </c>
      <c r="BG5" s="46">
        <v>19203.495612619387</v>
      </c>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row>
    <row r="6">
      <c r="A6" s="30" t="str">
        <f>IFERROR(__xludf.DUMMYFUNCTION("""COMPUTED_VALUE"""),"Hungry Owl All-Night Grocers")</f>
        <v>Hungry Owl All-Night Grocers</v>
      </c>
      <c r="B6" s="42">
        <f>IFERROR(__xludf.DUMMYFUNCTION("""COMPUTED_VALUE"""),49979.905000000006)</f>
        <v>49979.905</v>
      </c>
      <c r="C6" s="43">
        <f t="shared" si="1"/>
        <v>0.04007075222</v>
      </c>
      <c r="D6" s="43">
        <f t="shared" si="4"/>
        <v>0.2885819111</v>
      </c>
      <c r="E6" s="28"/>
      <c r="F6" s="30" t="str">
        <f>IFERROR(__xludf.DUMMYFUNCTION("""COMPUTED_VALUE"""),"Tarte au sucre")</f>
        <v>Tarte au sucre</v>
      </c>
      <c r="G6" s="42">
        <f>IFERROR(__xludf.DUMMYFUNCTION("""COMPUTED_VALUE"""),47234.97)</f>
        <v>47234.97</v>
      </c>
      <c r="H6" s="43">
        <f t="shared" si="2"/>
        <v>0.03787003555</v>
      </c>
      <c r="I6" s="43">
        <f t="shared" si="5"/>
        <v>0.2727158021</v>
      </c>
      <c r="J6" s="28"/>
      <c r="K6" s="30" t="str">
        <f>IFERROR(__xludf.DUMMYFUNCTION("""COMPUTED_VALUE"""),"Meat/Poultry")</f>
        <v>Meat/Poultry</v>
      </c>
      <c r="L6" s="42">
        <f>IFERROR(__xludf.DUMMYFUNCTION("""COMPUTED_VALUE"""),159335.5095)</f>
        <v>159335.5095</v>
      </c>
      <c r="M6" s="43">
        <f t="shared" si="3"/>
        <v>0.1277452152</v>
      </c>
      <c r="N6" s="43">
        <f t="shared" si="6"/>
        <v>0.6589269761</v>
      </c>
      <c r="O6" s="28"/>
      <c r="W6" s="28"/>
      <c r="X6" s="30"/>
      <c r="Y6" s="46" t="s">
        <v>324</v>
      </c>
      <c r="Z6" s="30">
        <v>50.0</v>
      </c>
      <c r="AA6" s="46">
        <v>46761.560000000005</v>
      </c>
      <c r="AB6" s="45">
        <v>45412.0</v>
      </c>
      <c r="AC6" s="28"/>
      <c r="AG6" s="29"/>
      <c r="AK6" s="29"/>
      <c r="AT6" s="29"/>
      <c r="AX6" s="29"/>
      <c r="BB6" s="29"/>
      <c r="BC6" s="48">
        <v>44835.0</v>
      </c>
      <c r="BD6" s="36">
        <v>1738.0</v>
      </c>
      <c r="BE6" s="29"/>
      <c r="BF6" s="48">
        <v>44835.0</v>
      </c>
      <c r="BG6" s="46">
        <v>27893.715629793383</v>
      </c>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row>
    <row r="7">
      <c r="A7" s="30" t="str">
        <f>IFERROR(__xludf.DUMMYFUNCTION("""COMPUTED_VALUE"""),"Rattlesnake Canyon Grocery")</f>
        <v>Rattlesnake Canyon Grocery</v>
      </c>
      <c r="B7" s="42">
        <f>IFERROR(__xludf.DUMMYFUNCTION("""COMPUTED_VALUE"""),49842.08)</f>
        <v>49842.08</v>
      </c>
      <c r="C7" s="43">
        <f t="shared" si="1"/>
        <v>0.03996025278</v>
      </c>
      <c r="D7" s="43">
        <f t="shared" si="4"/>
        <v>0.3285421639</v>
      </c>
      <c r="E7" s="28"/>
      <c r="F7" s="30" t="str">
        <f>IFERROR(__xludf.DUMMYFUNCTION("""COMPUTED_VALUE"""),"Camembert Pierrot")</f>
        <v>Camembert Pierrot</v>
      </c>
      <c r="G7" s="42">
        <f>IFERROR(__xludf.DUMMYFUNCTION("""COMPUTED_VALUE"""),46761.560000000005)</f>
        <v>46761.56</v>
      </c>
      <c r="H7" s="43">
        <f t="shared" si="2"/>
        <v>0.03749048511</v>
      </c>
      <c r="I7" s="43">
        <f t="shared" si="5"/>
        <v>0.3102062872</v>
      </c>
      <c r="J7" s="28"/>
      <c r="K7" s="30" t="str">
        <f>IFERROR(__xludf.DUMMYFUNCTION("""COMPUTED_VALUE"""),"Seafood")</f>
        <v>Seafood</v>
      </c>
      <c r="L7" s="42">
        <f>IFERROR(__xludf.DUMMYFUNCTION("""COMPUTED_VALUE"""),130083.4875)</f>
        <v>130083.4875</v>
      </c>
      <c r="M7" s="43">
        <f t="shared" si="3"/>
        <v>0.1042927792</v>
      </c>
      <c r="N7" s="43">
        <f t="shared" si="6"/>
        <v>0.7632197553</v>
      </c>
      <c r="O7" s="28"/>
      <c r="W7" s="28"/>
      <c r="X7" s="30"/>
      <c r="Y7" s="46" t="s">
        <v>311</v>
      </c>
      <c r="Z7" s="30">
        <v>50.0</v>
      </c>
      <c r="AA7" s="46">
        <v>42593.06</v>
      </c>
      <c r="AB7" s="45">
        <v>45398.0</v>
      </c>
      <c r="AC7" s="28"/>
      <c r="AG7" s="29"/>
      <c r="AK7" s="29"/>
      <c r="AT7" s="29"/>
      <c r="AU7" s="30"/>
      <c r="AV7" s="30"/>
      <c r="AW7" s="30"/>
      <c r="AX7" s="29"/>
      <c r="BB7" s="29"/>
      <c r="BC7" s="48">
        <v>44866.0</v>
      </c>
      <c r="BD7" s="36">
        <v>1735.0</v>
      </c>
      <c r="BE7" s="29"/>
      <c r="BF7" s="48">
        <v>44866.0</v>
      </c>
      <c r="BG7" s="46">
        <v>33039.037037818714</v>
      </c>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row>
    <row r="8">
      <c r="A8" s="30" t="str">
        <f>IFERROR(__xludf.DUMMYFUNCTION("""COMPUTED_VALUE"""),"Hanari Carnes")</f>
        <v>Hanari Carnes</v>
      </c>
      <c r="B8" s="42">
        <f>IFERROR(__xludf.DUMMYFUNCTION("""COMPUTED_VALUE"""),32841.369999999995)</f>
        <v>32841.37</v>
      </c>
      <c r="C8" s="43">
        <f t="shared" si="1"/>
        <v>0.02633015009</v>
      </c>
      <c r="D8" s="43">
        <f t="shared" si="4"/>
        <v>0.354872314</v>
      </c>
      <c r="E8" s="28"/>
      <c r="F8" s="30" t="str">
        <f>IFERROR(__xludf.DUMMYFUNCTION("""COMPUTED_VALUE"""),"Gnocchi di nonna Alice")</f>
        <v>Gnocchi di nonna Alice</v>
      </c>
      <c r="G8" s="42">
        <f>IFERROR(__xludf.DUMMYFUNCTION("""COMPUTED_VALUE"""),42593.06)</f>
        <v>42593.06</v>
      </c>
      <c r="H8" s="43">
        <f t="shared" si="2"/>
        <v>0.03414844333</v>
      </c>
      <c r="I8" s="43">
        <f t="shared" si="5"/>
        <v>0.3443547305</v>
      </c>
      <c r="J8" s="28"/>
      <c r="K8" s="30" t="str">
        <f>IFERROR(__xludf.DUMMYFUNCTION("""COMPUTED_VALUE"""),"Condiments")</f>
        <v>Condiments</v>
      </c>
      <c r="L8" s="42">
        <f>IFERROR(__xludf.DUMMYFUNCTION("""COMPUTED_VALUE"""),105161.18500000003)</f>
        <v>105161.185</v>
      </c>
      <c r="M8" s="43">
        <f t="shared" si="3"/>
        <v>0.0843116406</v>
      </c>
      <c r="N8" s="43">
        <f t="shared" si="6"/>
        <v>0.8475313959</v>
      </c>
      <c r="O8" s="28"/>
      <c r="W8" s="28"/>
      <c r="X8" s="30"/>
      <c r="Y8" s="46" t="s">
        <v>296</v>
      </c>
      <c r="Z8" s="30">
        <v>39.0</v>
      </c>
      <c r="AA8" s="46">
        <v>41819.65</v>
      </c>
      <c r="AB8" s="45">
        <v>45410.0</v>
      </c>
      <c r="AC8" s="28"/>
      <c r="AG8" s="29"/>
      <c r="AK8" s="29"/>
      <c r="AT8" s="29"/>
      <c r="AU8" s="30"/>
      <c r="AV8" s="30"/>
      <c r="AW8" s="30"/>
      <c r="AX8" s="29"/>
      <c r="BB8" s="29"/>
      <c r="BC8" s="48">
        <v>44896.0</v>
      </c>
      <c r="BD8" s="36">
        <v>2200.0</v>
      </c>
      <c r="BE8" s="29"/>
      <c r="BF8" s="48">
        <v>44896.0</v>
      </c>
      <c r="BG8" s="46">
        <v>34726.969483979185</v>
      </c>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row>
    <row r="9">
      <c r="A9" s="30" t="str">
        <f>IFERROR(__xludf.DUMMYFUNCTION("""COMPUTED_VALUE"""),"Königlich Essen")</f>
        <v>Königlich Essen</v>
      </c>
      <c r="B9" s="42">
        <f>IFERROR(__xludf.DUMMYFUNCTION("""COMPUTED_VALUE"""),30908.384000000002)</f>
        <v>30908.384</v>
      </c>
      <c r="C9" s="43">
        <f t="shared" si="1"/>
        <v>0.02478040318</v>
      </c>
      <c r="D9" s="43">
        <f t="shared" si="4"/>
        <v>0.3796527171</v>
      </c>
      <c r="E9" s="28"/>
      <c r="F9" s="30" t="str">
        <f>IFERROR(__xludf.DUMMYFUNCTION("""COMPUTED_VALUE"""),"Manjimup Dried Apples")</f>
        <v>Manjimup Dried Apples</v>
      </c>
      <c r="G9" s="42">
        <f>IFERROR(__xludf.DUMMYFUNCTION("""COMPUTED_VALUE"""),41819.65)</f>
        <v>41819.65</v>
      </c>
      <c r="H9" s="43">
        <f t="shared" si="2"/>
        <v>0.03352837172</v>
      </c>
      <c r="I9" s="43">
        <f t="shared" si="5"/>
        <v>0.3778831022</v>
      </c>
      <c r="J9" s="28"/>
      <c r="K9" s="30" t="str">
        <f>IFERROR(__xludf.DUMMYFUNCTION("""COMPUTED_VALUE"""),"Produce")</f>
        <v>Produce</v>
      </c>
      <c r="L9" s="42">
        <f>IFERROR(__xludf.DUMMYFUNCTION("""COMPUTED_VALUE"""),98847.19749999998)</f>
        <v>98847.1975</v>
      </c>
      <c r="M9" s="43">
        <f t="shared" si="3"/>
        <v>0.07924948155</v>
      </c>
      <c r="N9" s="43">
        <f t="shared" si="6"/>
        <v>0.9267808775</v>
      </c>
      <c r="O9" s="28"/>
      <c r="W9" s="28"/>
      <c r="X9" s="30"/>
      <c r="Y9" s="46" t="s">
        <v>186</v>
      </c>
      <c r="Z9" s="30">
        <v>27.0</v>
      </c>
      <c r="AA9" s="46">
        <v>29171.875</v>
      </c>
      <c r="AB9" s="45">
        <v>45409.0</v>
      </c>
      <c r="AC9" s="28"/>
      <c r="AG9" s="29"/>
      <c r="AK9" s="29"/>
      <c r="AT9" s="29"/>
      <c r="AU9" s="30"/>
      <c r="AV9" s="30"/>
      <c r="AW9" s="30"/>
      <c r="AX9" s="29"/>
      <c r="BB9" s="29"/>
      <c r="BC9" s="48">
        <v>44927.0</v>
      </c>
      <c r="BD9" s="36">
        <v>2401.0</v>
      </c>
      <c r="BE9" s="29"/>
      <c r="BF9" s="48">
        <v>44927.0</v>
      </c>
      <c r="BG9" s="46">
        <v>54730.0560368377</v>
      </c>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row>
    <row r="10">
      <c r="A10" s="30" t="str">
        <f>IFERROR(__xludf.DUMMYFUNCTION("""COMPUTED_VALUE"""),"Folk och fä HB")</f>
        <v>Folk och fä HB</v>
      </c>
      <c r="B10" s="42">
        <f>IFERROR(__xludf.DUMMYFUNCTION("""COMPUTED_VALUE"""),29567.5625)</f>
        <v>29567.5625</v>
      </c>
      <c r="C10" s="43">
        <f t="shared" si="1"/>
        <v>0.02370541662</v>
      </c>
      <c r="D10" s="43">
        <f t="shared" si="4"/>
        <v>0.4033581338</v>
      </c>
      <c r="E10" s="28"/>
      <c r="F10" s="30" t="str">
        <f>IFERROR(__xludf.DUMMYFUNCTION("""COMPUTED_VALUE"""),"Alice Mutton")</f>
        <v>Alice Mutton</v>
      </c>
      <c r="G10" s="42">
        <f>IFERROR(__xludf.DUMMYFUNCTION("""COMPUTED_VALUE"""),29995.679999999997)</f>
        <v>29995.68</v>
      </c>
      <c r="H10" s="43">
        <f t="shared" si="2"/>
        <v>0.02404865438</v>
      </c>
      <c r="I10" s="43">
        <f t="shared" si="5"/>
        <v>0.4019317566</v>
      </c>
      <c r="J10" s="28"/>
      <c r="K10" s="30" t="str">
        <f>IFERROR(__xludf.DUMMYFUNCTION("""COMPUTED_VALUE"""),"Grains/Cereals")</f>
        <v>Grains/Cereals</v>
      </c>
      <c r="L10" s="42">
        <f>IFERROR(__xludf.DUMMYFUNCTION("""COMPUTED_VALUE"""),91325.5825)</f>
        <v>91325.5825</v>
      </c>
      <c r="M10" s="43">
        <f t="shared" si="3"/>
        <v>0.07321912253</v>
      </c>
      <c r="N10" s="43">
        <f t="shared" si="6"/>
        <v>1</v>
      </c>
      <c r="O10" s="28"/>
      <c r="W10" s="28"/>
      <c r="X10" s="30"/>
      <c r="Y10" s="46" t="s">
        <v>348</v>
      </c>
      <c r="Z10" s="30">
        <v>38.0</v>
      </c>
      <c r="AA10" s="46">
        <v>24900.13</v>
      </c>
      <c r="AB10" s="45">
        <v>45396.0</v>
      </c>
      <c r="AC10" s="28"/>
      <c r="AG10" s="29"/>
      <c r="AK10" s="29"/>
      <c r="AT10" s="29"/>
      <c r="AU10" s="30"/>
      <c r="AV10" s="30"/>
      <c r="AW10" s="30"/>
      <c r="AX10" s="29"/>
      <c r="BB10" s="29"/>
      <c r="BC10" s="48">
        <v>44958.0</v>
      </c>
      <c r="BD10" s="36">
        <v>2132.0</v>
      </c>
      <c r="BE10" s="29"/>
      <c r="BF10" s="48">
        <v>44958.0</v>
      </c>
      <c r="BG10" s="46">
        <v>33703.59925352175</v>
      </c>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row>
    <row r="11">
      <c r="A11" s="30" t="str">
        <f>IFERROR(__xludf.DUMMYFUNCTION("""COMPUTED_VALUE"""),"Mère Paillarde")</f>
        <v>Mère Paillarde</v>
      </c>
      <c r="B11" s="42">
        <f>IFERROR(__xludf.DUMMYFUNCTION("""COMPUTED_VALUE"""),28872.19)</f>
        <v>28872.19</v>
      </c>
      <c r="C11" s="43">
        <f t="shared" si="1"/>
        <v>0.02314791058</v>
      </c>
      <c r="D11" s="43">
        <f t="shared" si="4"/>
        <v>0.4265060443</v>
      </c>
      <c r="E11" s="28"/>
      <c r="F11" s="30" t="str">
        <f>IFERROR(__xludf.DUMMYFUNCTION("""COMPUTED_VALUE"""),"Carnarvon Tigers")</f>
        <v>Carnarvon Tigers</v>
      </c>
      <c r="G11" s="42">
        <f>IFERROR(__xludf.DUMMYFUNCTION("""COMPUTED_VALUE"""),29171.875)</f>
        <v>29171.875</v>
      </c>
      <c r="H11" s="43">
        <f t="shared" si="2"/>
        <v>0.02338817921</v>
      </c>
      <c r="I11" s="43">
        <f t="shared" si="5"/>
        <v>0.4253199358</v>
      </c>
      <c r="J11" s="28"/>
      <c r="K11" s="30"/>
      <c r="L11" s="30"/>
      <c r="M11" s="30"/>
      <c r="N11" s="30"/>
      <c r="O11" s="28"/>
      <c r="W11" s="28"/>
      <c r="X11" s="30"/>
      <c r="Y11" s="46" t="s">
        <v>192</v>
      </c>
      <c r="Z11" s="30">
        <v>15.0</v>
      </c>
      <c r="AA11" s="46">
        <v>22485.6</v>
      </c>
      <c r="AB11" s="45">
        <v>45396.0</v>
      </c>
      <c r="AC11" s="28"/>
      <c r="AG11" s="29"/>
      <c r="AK11" s="29"/>
      <c r="AT11" s="29"/>
      <c r="AU11" s="30"/>
      <c r="AV11" s="30"/>
      <c r="AW11" s="30"/>
      <c r="AX11" s="29"/>
      <c r="BB11" s="29"/>
      <c r="BC11" s="48">
        <v>44986.0</v>
      </c>
      <c r="BD11" s="36">
        <v>1770.0</v>
      </c>
      <c r="BE11" s="29"/>
      <c r="BF11" s="48">
        <v>44986.0</v>
      </c>
      <c r="BG11" s="46">
        <v>32758.19640734522</v>
      </c>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row>
    <row r="12">
      <c r="A12" s="30" t="str">
        <f>IFERROR(__xludf.DUMMYFUNCTION("""COMPUTED_VALUE"""),"Frankenversand")</f>
        <v>Frankenversand</v>
      </c>
      <c r="B12" s="42">
        <f>IFERROR(__xludf.DUMMYFUNCTION("""COMPUTED_VALUE"""),26656.559499999996)</f>
        <v>26656.5595</v>
      </c>
      <c r="C12" s="43">
        <f t="shared" si="1"/>
        <v>0.02137155705</v>
      </c>
      <c r="D12" s="43">
        <f t="shared" si="4"/>
        <v>0.4478776014</v>
      </c>
      <c r="E12" s="28"/>
      <c r="F12" s="30" t="str">
        <f>IFERROR(__xludf.DUMMYFUNCTION("""COMPUTED_VALUE"""),"Rössle Sauerkraut")</f>
        <v>Rössle Sauerkraut</v>
      </c>
      <c r="G12" s="42">
        <f>IFERROR(__xludf.DUMMYFUNCTION("""COMPUTED_VALUE"""),25386.560000000005)</f>
        <v>25386.56</v>
      </c>
      <c r="H12" s="43">
        <f t="shared" si="2"/>
        <v>0.02035335112</v>
      </c>
      <c r="I12" s="43">
        <f t="shared" si="5"/>
        <v>0.4456732869</v>
      </c>
      <c r="J12" s="28"/>
      <c r="K12" s="30"/>
      <c r="L12" s="30"/>
      <c r="M12" s="30"/>
      <c r="N12" s="30"/>
      <c r="O12" s="28"/>
      <c r="W12" s="28"/>
      <c r="X12" s="30"/>
      <c r="Y12" s="46" t="s">
        <v>271</v>
      </c>
      <c r="Z12" s="30">
        <v>27.0</v>
      </c>
      <c r="AA12" s="46">
        <v>22119.1</v>
      </c>
      <c r="AB12" s="45">
        <v>45409.0</v>
      </c>
      <c r="AC12" s="28"/>
      <c r="AG12" s="29"/>
      <c r="AK12" s="29"/>
      <c r="AT12" s="29"/>
      <c r="AU12" s="30"/>
      <c r="AV12" s="30"/>
      <c r="AW12" s="30"/>
      <c r="AX12" s="29"/>
      <c r="BB12" s="29"/>
      <c r="BC12" s="48">
        <v>45017.0</v>
      </c>
      <c r="BD12" s="36">
        <v>1912.0</v>
      </c>
      <c r="BE12" s="29"/>
      <c r="BF12" s="48">
        <v>45017.0</v>
      </c>
      <c r="BG12" s="46">
        <v>37801.78852215282</v>
      </c>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row>
    <row r="13">
      <c r="A13" s="30" t="str">
        <f>IFERROR(__xludf.DUMMYFUNCTION("""COMPUTED_VALUE"""),"White Clover Markets")</f>
        <v>White Clover Markets</v>
      </c>
      <c r="B13" s="42">
        <f>IFERROR(__xludf.DUMMYFUNCTION("""COMPUTED_VALUE"""),26434.855)</f>
        <v>26434.855</v>
      </c>
      <c r="C13" s="43">
        <f t="shared" si="1"/>
        <v>0.02119380829</v>
      </c>
      <c r="D13" s="43">
        <f t="shared" si="4"/>
        <v>0.4690714097</v>
      </c>
      <c r="E13" s="28"/>
      <c r="F13" s="30" t="str">
        <f>IFERROR(__xludf.DUMMYFUNCTION("""COMPUTED_VALUE"""),"Mozzarella di Giovanni")</f>
        <v>Mozzarella di Giovanni</v>
      </c>
      <c r="G13" s="42">
        <f>IFERROR(__xludf.DUMMYFUNCTION("""COMPUTED_VALUE"""),24900.13)</f>
        <v>24900.13</v>
      </c>
      <c r="H13" s="43">
        <f t="shared" si="2"/>
        <v>0.01996336207</v>
      </c>
      <c r="I13" s="43">
        <f t="shared" si="5"/>
        <v>0.465636649</v>
      </c>
      <c r="J13" s="28"/>
      <c r="K13" s="30"/>
      <c r="L13" s="30"/>
      <c r="M13" s="30"/>
      <c r="N13" s="30"/>
      <c r="O13" s="28"/>
      <c r="W13" s="28"/>
      <c r="X13" s="30"/>
      <c r="Y13" s="46" t="s">
        <v>343</v>
      </c>
      <c r="Z13" s="30">
        <v>31.0</v>
      </c>
      <c r="AA13" s="46">
        <v>21942.36</v>
      </c>
      <c r="AB13" s="45">
        <v>45399.0</v>
      </c>
      <c r="AC13" s="28"/>
      <c r="AG13" s="29"/>
      <c r="AK13" s="29"/>
      <c r="AT13" s="29"/>
      <c r="AU13" s="30"/>
      <c r="AV13" s="30"/>
      <c r="AW13" s="30"/>
      <c r="AX13" s="29"/>
      <c r="BB13" s="29"/>
      <c r="BC13" s="48">
        <v>45047.0</v>
      </c>
      <c r="BD13" s="36">
        <v>2164.0</v>
      </c>
      <c r="BE13" s="29"/>
      <c r="BF13" s="48">
        <v>45047.0</v>
      </c>
      <c r="BG13" s="46">
        <v>37420.52505598377</v>
      </c>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row>
    <row r="14">
      <c r="A14" s="30" t="str">
        <f>IFERROR(__xludf.DUMMYFUNCTION("""COMPUTED_VALUE"""),"Berglunds snabbköp")</f>
        <v>Berglunds snabbköp</v>
      </c>
      <c r="B14" s="42">
        <f>IFERROR(__xludf.DUMMYFUNCTION("""COMPUTED_VALUE"""),24927.577499999996)</f>
        <v>24927.5775</v>
      </c>
      <c r="C14" s="43">
        <f t="shared" si="1"/>
        <v>0.01998536775</v>
      </c>
      <c r="D14" s="43">
        <f t="shared" si="4"/>
        <v>0.4890567774</v>
      </c>
      <c r="E14" s="28"/>
      <c r="F14" s="30" t="str">
        <f>IFERROR(__xludf.DUMMYFUNCTION("""COMPUTED_VALUE"""),"Sir Rodney's Marmalade")</f>
        <v>Sir Rodney's Marmalade</v>
      </c>
      <c r="G14" s="42">
        <f>IFERROR(__xludf.DUMMYFUNCTION("""COMPUTED_VALUE"""),22485.6)</f>
        <v>22485.6</v>
      </c>
      <c r="H14" s="43">
        <f t="shared" si="2"/>
        <v>0.01802754339</v>
      </c>
      <c r="I14" s="43">
        <f t="shared" si="5"/>
        <v>0.4836641924</v>
      </c>
      <c r="J14" s="28"/>
      <c r="K14" s="30"/>
      <c r="L14" s="30"/>
      <c r="M14" s="30"/>
      <c r="N14" s="30"/>
      <c r="O14" s="28"/>
      <c r="W14" s="28"/>
      <c r="X14" s="30"/>
      <c r="Y14" s="46" t="s">
        <v>152</v>
      </c>
      <c r="Z14" s="30">
        <v>27.0</v>
      </c>
      <c r="AA14" s="46">
        <v>21588.3</v>
      </c>
      <c r="AB14" s="45">
        <v>45410.0</v>
      </c>
      <c r="AC14" s="28"/>
      <c r="AG14" s="29"/>
      <c r="AK14" s="29"/>
      <c r="AT14" s="29"/>
      <c r="AU14" s="30"/>
      <c r="AV14" s="30"/>
      <c r="AW14" s="30"/>
      <c r="AX14" s="29"/>
      <c r="BB14" s="29"/>
      <c r="BC14" s="48">
        <v>45078.0</v>
      </c>
      <c r="BD14" s="36">
        <v>1635.0</v>
      </c>
      <c r="BE14" s="29"/>
      <c r="BF14" s="48">
        <v>45078.0</v>
      </c>
      <c r="BG14" s="46">
        <v>25736.189869372527</v>
      </c>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row>
    <row r="15">
      <c r="A15" s="30" t="str">
        <f>IFERROR(__xludf.DUMMYFUNCTION("""COMPUTED_VALUE"""),"Suprêmes délices")</f>
        <v>Suprêmes délices</v>
      </c>
      <c r="B15" s="42">
        <f>IFERROR(__xludf.DUMMYFUNCTION("""COMPUTED_VALUE"""),24088.78)</f>
        <v>24088.78</v>
      </c>
      <c r="C15" s="43">
        <f t="shared" si="1"/>
        <v>0.01931287254</v>
      </c>
      <c r="D15" s="43">
        <f t="shared" si="4"/>
        <v>0.50836965</v>
      </c>
      <c r="E15" s="28"/>
      <c r="F15" s="30" t="str">
        <f>IFERROR(__xludf.DUMMYFUNCTION("""COMPUTED_VALUE"""),"Ipoh Coffee")</f>
        <v>Ipoh Coffee</v>
      </c>
      <c r="G15" s="42">
        <f>IFERROR(__xludf.DUMMYFUNCTION("""COMPUTED_VALUE"""),22119.1)</f>
        <v>22119.1</v>
      </c>
      <c r="H15" s="43">
        <f t="shared" si="2"/>
        <v>0.01773370669</v>
      </c>
      <c r="I15" s="43">
        <f t="shared" si="5"/>
        <v>0.5013978991</v>
      </c>
      <c r="J15" s="28"/>
      <c r="K15" s="30"/>
      <c r="L15" s="30"/>
      <c r="M15" s="30"/>
      <c r="N15" s="30"/>
      <c r="O15" s="28"/>
      <c r="W15" s="28"/>
      <c r="X15" s="30"/>
      <c r="Y15" s="46" t="s">
        <v>156</v>
      </c>
      <c r="Z15" s="30">
        <v>32.0</v>
      </c>
      <c r="AA15" s="46">
        <v>20836.340000000004</v>
      </c>
      <c r="AB15" s="45">
        <v>45396.0</v>
      </c>
      <c r="AC15" s="28"/>
      <c r="AG15" s="29"/>
      <c r="AK15" s="29"/>
      <c r="AT15" s="29"/>
      <c r="AU15" s="30"/>
      <c r="AV15" s="30"/>
      <c r="AW15" s="30"/>
      <c r="AX15" s="29"/>
      <c r="BB15" s="29"/>
      <c r="BC15" s="48">
        <v>45108.0</v>
      </c>
      <c r="BD15" s="36">
        <v>2054.0</v>
      </c>
      <c r="BE15" s="29"/>
      <c r="BF15" s="48">
        <v>45108.0</v>
      </c>
      <c r="BG15" s="46">
        <v>36253.823164192116</v>
      </c>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row>
    <row r="16">
      <c r="A16" s="30" t="str">
        <f>IFERROR(__xludf.DUMMYFUNCTION("""COMPUTED_VALUE"""),"Queen Cozinha")</f>
        <v>Queen Cozinha</v>
      </c>
      <c r="B16" s="42">
        <f>IFERROR(__xludf.DUMMYFUNCTION("""COMPUTED_VALUE"""),23690.417500000003)</f>
        <v>23690.4175</v>
      </c>
      <c r="C16" s="43">
        <f t="shared" si="1"/>
        <v>0.01899349048</v>
      </c>
      <c r="D16" s="43">
        <f t="shared" si="4"/>
        <v>0.5273631404</v>
      </c>
      <c r="E16" s="28"/>
      <c r="F16" s="30" t="str">
        <f>IFERROR(__xludf.DUMMYFUNCTION("""COMPUTED_VALUE"""),"Gudbrandsdalsost")</f>
        <v>Gudbrandsdalsost</v>
      </c>
      <c r="G16" s="42">
        <f>IFERROR(__xludf.DUMMYFUNCTION("""COMPUTED_VALUE"""),21942.36)</f>
        <v>21942.36</v>
      </c>
      <c r="H16" s="43">
        <f t="shared" si="2"/>
        <v>0.01759200764</v>
      </c>
      <c r="I16" s="43">
        <f t="shared" si="5"/>
        <v>0.5189899067</v>
      </c>
      <c r="J16" s="28"/>
      <c r="K16" s="30"/>
      <c r="L16" s="30"/>
      <c r="M16" s="30"/>
      <c r="N16" s="30"/>
      <c r="O16" s="28"/>
      <c r="W16" s="28"/>
      <c r="X16" s="30"/>
      <c r="Y16" s="46" t="s">
        <v>215</v>
      </c>
      <c r="Z16" s="30">
        <v>32.0</v>
      </c>
      <c r="AA16" s="46">
        <v>19849.144500000002</v>
      </c>
      <c r="AB16" s="45">
        <v>45397.0</v>
      </c>
      <c r="AC16" s="28"/>
      <c r="AG16" s="29"/>
      <c r="AK16" s="29"/>
      <c r="AT16" s="29"/>
      <c r="AU16" s="30"/>
      <c r="AV16" s="30"/>
      <c r="AW16" s="30"/>
      <c r="AX16" s="29"/>
      <c r="BB16" s="29"/>
      <c r="BC16" s="48">
        <v>45139.0</v>
      </c>
      <c r="BD16" s="36">
        <v>1861.0</v>
      </c>
      <c r="BE16" s="29"/>
      <c r="BF16" s="48">
        <v>45139.0</v>
      </c>
      <c r="BG16" s="46">
        <v>33056.46648174082</v>
      </c>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row>
    <row r="17">
      <c r="A17" s="30" t="str">
        <f>IFERROR(__xludf.DUMMYFUNCTION("""COMPUTED_VALUE"""),"Piccolo und mehr")</f>
        <v>Piccolo und mehr</v>
      </c>
      <c r="B17" s="42">
        <f>IFERROR(__xludf.DUMMYFUNCTION("""COMPUTED_VALUE"""),23128.86)</f>
        <v>23128.86</v>
      </c>
      <c r="C17" s="43">
        <f t="shared" si="1"/>
        <v>0.01854326891</v>
      </c>
      <c r="D17" s="43">
        <f t="shared" si="4"/>
        <v>0.5459064093</v>
      </c>
      <c r="E17" s="28"/>
      <c r="F17" s="30" t="str">
        <f>IFERROR(__xludf.DUMMYFUNCTION("""COMPUTED_VALUE"""),"Uncle Bob's Organic Dried Pears")</f>
        <v>Uncle Bob's Organic Dried Pears</v>
      </c>
      <c r="G17" s="42">
        <f>IFERROR(__xludf.DUMMYFUNCTION("""COMPUTED_VALUE"""),21588.3)</f>
        <v>21588.3</v>
      </c>
      <c r="H17" s="43">
        <f t="shared" si="2"/>
        <v>0.01730814455</v>
      </c>
      <c r="I17" s="43">
        <f t="shared" si="5"/>
        <v>0.5362980513</v>
      </c>
      <c r="J17" s="28"/>
      <c r="K17" s="27" t="s">
        <v>1016</v>
      </c>
      <c r="O17" s="28"/>
      <c r="W17" s="28"/>
      <c r="X17" s="30"/>
      <c r="Y17" s="46" t="s">
        <v>347</v>
      </c>
      <c r="Z17" s="30">
        <v>42.0</v>
      </c>
      <c r="AA17" s="46">
        <v>19551.024999999998</v>
      </c>
      <c r="AB17" s="45">
        <v>45403.0</v>
      </c>
      <c r="AC17" s="28"/>
      <c r="AG17" s="29"/>
      <c r="AH17" s="30"/>
      <c r="AI17" s="36"/>
      <c r="AJ17" s="30"/>
      <c r="AK17" s="29"/>
      <c r="AT17" s="29"/>
      <c r="AU17" s="30"/>
      <c r="AV17" s="30"/>
      <c r="AW17" s="30"/>
      <c r="AX17" s="29"/>
      <c r="BB17" s="29"/>
      <c r="BC17" s="48">
        <v>45170.0</v>
      </c>
      <c r="BD17" s="36">
        <v>2343.0</v>
      </c>
      <c r="BE17" s="29"/>
      <c r="BF17" s="48">
        <v>45170.0</v>
      </c>
      <c r="BG17" s="46">
        <v>38943.774601164936</v>
      </c>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row>
    <row r="18">
      <c r="A18" s="30" t="str">
        <f>IFERROR(__xludf.DUMMYFUNCTION("""COMPUTED_VALUE"""),"HILARION-Abastos")</f>
        <v>HILARION-Abastos</v>
      </c>
      <c r="B18" s="42">
        <f>IFERROR(__xludf.DUMMYFUNCTION("""COMPUTED_VALUE"""),22768.764000000003)</f>
        <v>22768.764</v>
      </c>
      <c r="C18" s="43">
        <f t="shared" si="1"/>
        <v>0.01825456652</v>
      </c>
      <c r="D18" s="43">
        <f t="shared" si="4"/>
        <v>0.5641609759</v>
      </c>
      <c r="E18" s="28"/>
      <c r="F18" s="30" t="str">
        <f>IFERROR(__xludf.DUMMYFUNCTION("""COMPUTED_VALUE"""),"Ikura")</f>
        <v>Ikura</v>
      </c>
      <c r="G18" s="42">
        <f>IFERROR(__xludf.DUMMYFUNCTION("""COMPUTED_VALUE"""),20836.340000000004)</f>
        <v>20836.34</v>
      </c>
      <c r="H18" s="43">
        <f t="shared" si="2"/>
        <v>0.0167052702</v>
      </c>
      <c r="I18" s="43">
        <f t="shared" si="5"/>
        <v>0.5530033215</v>
      </c>
      <c r="J18" s="28"/>
      <c r="K18" s="33" t="str">
        <f>IFERROR(__xludf.DUMMYFUNCTION("QUERY(revenue,""SELECT E, SUM(P) WHERE E IS NOT NULL GROUP BY E ORDER BY SUM(P) DESC LABEL E 'Country', SUM(P) 'Revenue'"", 1)"),"Country")</f>
        <v>Country</v>
      </c>
      <c r="L18" s="33" t="str">
        <f>IFERROR(__xludf.DUMMYFUNCTION("""COMPUTED_VALUE"""),"Revenue")</f>
        <v>Revenue</v>
      </c>
      <c r="M18" s="33" t="s">
        <v>949</v>
      </c>
      <c r="N18" s="31" t="s">
        <v>950</v>
      </c>
      <c r="O18" s="28"/>
      <c r="W18" s="28"/>
      <c r="X18" s="30"/>
      <c r="Y18" s="46" t="s">
        <v>261</v>
      </c>
      <c r="Z18" s="30">
        <v>41.0</v>
      </c>
      <c r="AA18" s="46">
        <v>17910.63</v>
      </c>
      <c r="AB18" s="45">
        <v>45412.0</v>
      </c>
      <c r="AC18" s="28"/>
      <c r="AG18" s="29"/>
      <c r="AH18" s="30"/>
      <c r="AI18" s="36"/>
      <c r="AJ18" s="30"/>
      <c r="AK18" s="29"/>
      <c r="AT18" s="29"/>
      <c r="AU18" s="30"/>
      <c r="AV18" s="30"/>
      <c r="AW18" s="30"/>
      <c r="AX18" s="29"/>
      <c r="BB18" s="29"/>
      <c r="BC18" s="48">
        <v>45200.0</v>
      </c>
      <c r="BD18" s="36">
        <v>2679.0</v>
      </c>
      <c r="BE18" s="29"/>
      <c r="BF18" s="48">
        <v>45200.0</v>
      </c>
      <c r="BG18" s="46">
        <v>46223.70237854605</v>
      </c>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row>
    <row r="19">
      <c r="A19" s="30" t="str">
        <f>IFERROR(__xludf.DUMMYFUNCTION("""COMPUTED_VALUE"""),"Bon app'")</f>
        <v>Bon app'</v>
      </c>
      <c r="B19" s="42">
        <f>IFERROR(__xludf.DUMMYFUNCTION("""COMPUTED_VALUE"""),21170.502500000002)</f>
        <v>21170.5025</v>
      </c>
      <c r="C19" s="43">
        <f t="shared" si="1"/>
        <v>0.01697318072</v>
      </c>
      <c r="D19" s="43">
        <f t="shared" si="4"/>
        <v>0.5811341566</v>
      </c>
      <c r="E19" s="28"/>
      <c r="F19" s="30" t="str">
        <f>IFERROR(__xludf.DUMMYFUNCTION("""COMPUTED_VALUE"""),"NuNuCa Nuß-Nougat-Creme")</f>
        <v>NuNuCa Nuß-Nougat-Creme</v>
      </c>
      <c r="G19" s="42">
        <f>IFERROR(__xludf.DUMMYFUNCTION("""COMPUTED_VALUE"""),19849.144500000002)</f>
        <v>19849.1445</v>
      </c>
      <c r="H19" s="43">
        <f t="shared" si="2"/>
        <v>0.01591379878</v>
      </c>
      <c r="I19" s="43">
        <f t="shared" si="5"/>
        <v>0.5689171202</v>
      </c>
      <c r="J19" s="28"/>
      <c r="K19" s="30" t="str">
        <f>IFERROR(__xludf.DUMMYFUNCTION("""COMPUTED_VALUE"""),"USA")</f>
        <v>USA</v>
      </c>
      <c r="L19" s="42">
        <f>IFERROR(__xludf.DUMMYFUNCTION("""COMPUTED_VALUE"""),239069.74000000002)</f>
        <v>239069.74</v>
      </c>
      <c r="M19" s="43">
        <f t="shared" ref="M19:M39" si="7">$L19/SUM($L$19:$L$39)</f>
        <v>0.1916711189</v>
      </c>
      <c r="N19" s="43">
        <f>M19</f>
        <v>0.1916711189</v>
      </c>
      <c r="O19" s="28"/>
      <c r="W19" s="28"/>
      <c r="X19" s="30"/>
      <c r="Y19" s="46" t="s">
        <v>334</v>
      </c>
      <c r="Z19" s="30">
        <v>28.0</v>
      </c>
      <c r="AA19" s="46">
        <v>17570.9625</v>
      </c>
      <c r="AB19" s="45">
        <v>45409.0</v>
      </c>
      <c r="AC19" s="28"/>
      <c r="AG19" s="29"/>
      <c r="AH19" s="30"/>
      <c r="AI19" s="36"/>
      <c r="AJ19" s="30"/>
      <c r="AK19" s="29"/>
      <c r="AT19" s="29"/>
      <c r="AU19" s="30"/>
      <c r="AV19" s="30"/>
      <c r="AW19" s="30"/>
      <c r="AX19" s="29"/>
      <c r="BB19" s="29"/>
      <c r="BC19" s="48">
        <v>45231.0</v>
      </c>
      <c r="BD19" s="36">
        <v>1856.0</v>
      </c>
      <c r="BE19" s="29"/>
      <c r="BF19" s="48">
        <v>45231.0</v>
      </c>
      <c r="BG19" s="46">
        <v>29905.705886710322</v>
      </c>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row>
    <row r="20">
      <c r="A20" s="30" t="str">
        <f>IFERROR(__xludf.DUMMYFUNCTION("""COMPUTED_VALUE"""),"Bottom-Dollar Markets")</f>
        <v>Bottom-Dollar Markets</v>
      </c>
      <c r="B20" s="42">
        <f>IFERROR(__xludf.DUMMYFUNCTION("""COMPUTED_VALUE"""),20801.6)</f>
        <v>20801.6</v>
      </c>
      <c r="C20" s="43">
        <f t="shared" si="1"/>
        <v>0.01667741784</v>
      </c>
      <c r="D20" s="43">
        <f t="shared" si="4"/>
        <v>0.5978115744</v>
      </c>
      <c r="E20" s="28"/>
      <c r="F20" s="30" t="str">
        <f>IFERROR(__xludf.DUMMYFUNCTION("""COMPUTED_VALUE"""),"Perth Pasties")</f>
        <v>Perth Pasties</v>
      </c>
      <c r="G20" s="42">
        <f>IFERROR(__xludf.DUMMYFUNCTION("""COMPUTED_VALUE"""),19836.170000000006)</f>
        <v>19836.17</v>
      </c>
      <c r="H20" s="43">
        <f t="shared" si="2"/>
        <v>0.01590339664</v>
      </c>
      <c r="I20" s="43">
        <f t="shared" si="5"/>
        <v>0.5848205169</v>
      </c>
      <c r="J20" s="28"/>
      <c r="K20" s="30" t="str">
        <f>IFERROR(__xludf.DUMMYFUNCTION("""COMPUTED_VALUE"""),"Germany")</f>
        <v>Germany</v>
      </c>
      <c r="L20" s="42">
        <f>IFERROR(__xludf.DUMMYFUNCTION("""COMPUTED_VALUE"""),228567.80849999998)</f>
        <v>228567.8085</v>
      </c>
      <c r="M20" s="43">
        <f t="shared" si="7"/>
        <v>0.1832513291</v>
      </c>
      <c r="N20" s="43">
        <f t="shared" ref="N20:N39" si="8">SUM($M$19:$M20)</f>
        <v>0.3749224481</v>
      </c>
      <c r="O20" s="28"/>
      <c r="W20" s="28"/>
      <c r="X20" s="30"/>
      <c r="Y20" s="46" t="s">
        <v>309</v>
      </c>
      <c r="Z20" s="30">
        <v>31.0</v>
      </c>
      <c r="AA20" s="46">
        <v>17292.0</v>
      </c>
      <c r="AB20" s="45">
        <v>45410.0</v>
      </c>
      <c r="AC20" s="28"/>
      <c r="AG20" s="29"/>
      <c r="AH20" s="30"/>
      <c r="AI20" s="36"/>
      <c r="AJ20" s="30"/>
      <c r="AK20" s="29"/>
      <c r="AT20" s="29"/>
      <c r="AU20" s="30"/>
      <c r="AV20" s="30"/>
      <c r="AW20" s="30"/>
      <c r="AX20" s="29"/>
      <c r="BB20" s="29"/>
      <c r="BC20" s="48">
        <v>45261.0</v>
      </c>
      <c r="BD20" s="36">
        <v>2682.0</v>
      </c>
      <c r="BE20" s="29"/>
      <c r="BF20" s="48">
        <v>45261.0</v>
      </c>
      <c r="BG20" s="46">
        <v>51042.72661834199</v>
      </c>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row>
    <row r="21">
      <c r="A21" s="30" t="str">
        <f>IFERROR(__xludf.DUMMYFUNCTION("""COMPUTED_VALUE"""),"Richter Supermarkt")</f>
        <v>Richter Supermarkt</v>
      </c>
      <c r="B21" s="42">
        <f>IFERROR(__xludf.DUMMYFUNCTION("""COMPUTED_VALUE"""),18845.679000000004)</f>
        <v>18845.679</v>
      </c>
      <c r="C21" s="43">
        <f t="shared" si="1"/>
        <v>0.01510928309</v>
      </c>
      <c r="D21" s="43">
        <f t="shared" si="4"/>
        <v>0.6129208575</v>
      </c>
      <c r="E21" s="28"/>
      <c r="F21" s="30" t="str">
        <f>IFERROR(__xludf.DUMMYFUNCTION("""COMPUTED_VALUE"""),"Flotemysost")</f>
        <v>Flotemysost</v>
      </c>
      <c r="G21" s="42">
        <f>IFERROR(__xludf.DUMMYFUNCTION("""COMPUTED_VALUE"""),19551.024999999998)</f>
        <v>19551.025</v>
      </c>
      <c r="H21" s="43">
        <f t="shared" si="2"/>
        <v>0.01567478527</v>
      </c>
      <c r="I21" s="43">
        <f t="shared" si="5"/>
        <v>0.6004953021</v>
      </c>
      <c r="J21" s="28"/>
      <c r="K21" s="30" t="str">
        <f>IFERROR(__xludf.DUMMYFUNCTION("""COMPUTED_VALUE"""),"Austria")</f>
        <v>Austria</v>
      </c>
      <c r="L21" s="42">
        <f>IFERROR(__xludf.DUMMYFUNCTION("""COMPUTED_VALUE"""),122785.83850000001)</f>
        <v>122785.8385</v>
      </c>
      <c r="M21" s="43">
        <f t="shared" si="7"/>
        <v>0.09844198205</v>
      </c>
      <c r="N21" s="43">
        <f t="shared" si="8"/>
        <v>0.4733644301</v>
      </c>
      <c r="O21" s="28"/>
      <c r="W21" s="28"/>
      <c r="X21" s="30"/>
      <c r="Y21" s="46" t="s">
        <v>332</v>
      </c>
      <c r="Z21" s="30">
        <v>17.0</v>
      </c>
      <c r="AA21" s="46">
        <v>16701.095</v>
      </c>
      <c r="AB21" s="45">
        <v>45404.0</v>
      </c>
      <c r="AC21" s="28"/>
      <c r="AG21" s="29"/>
      <c r="AH21" s="30"/>
      <c r="AI21" s="36"/>
      <c r="AJ21" s="30"/>
      <c r="AK21" s="29"/>
      <c r="AT21" s="29"/>
      <c r="AU21" s="30"/>
      <c r="AV21" s="30"/>
      <c r="AW21" s="30"/>
      <c r="AX21" s="29"/>
      <c r="BB21" s="29"/>
      <c r="BC21" s="48">
        <v>45292.0</v>
      </c>
      <c r="BD21" s="36">
        <v>3466.0</v>
      </c>
      <c r="BE21" s="29"/>
      <c r="BF21" s="48">
        <v>45292.0</v>
      </c>
      <c r="BG21" s="46">
        <v>70076.58977441184</v>
      </c>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row>
    <row r="22">
      <c r="A22" s="30" t="str">
        <f>IFERROR(__xludf.DUMMYFUNCTION("""COMPUTED_VALUE"""),"Blondesddsl père et fils")</f>
        <v>Blondesddsl père et fils</v>
      </c>
      <c r="B22" s="42">
        <f>IFERROR(__xludf.DUMMYFUNCTION("""COMPUTED_VALUE"""),18534.08)</f>
        <v>18534.08</v>
      </c>
      <c r="C22" s="43">
        <f t="shared" si="1"/>
        <v>0.01485946257</v>
      </c>
      <c r="D22" s="43">
        <f t="shared" si="4"/>
        <v>0.6277803201</v>
      </c>
      <c r="E22" s="28"/>
      <c r="F22" s="30" t="str">
        <f>IFERROR(__xludf.DUMMYFUNCTION("""COMPUTED_VALUE"""),"Boston Crab Meat")</f>
        <v>Boston Crab Meat</v>
      </c>
      <c r="G22" s="42">
        <f>IFERROR(__xludf.DUMMYFUNCTION("""COMPUTED_VALUE"""),17910.63)</f>
        <v>17910.63</v>
      </c>
      <c r="H22" s="43">
        <f t="shared" si="2"/>
        <v>0.01435961947</v>
      </c>
      <c r="I22" s="43">
        <f t="shared" si="5"/>
        <v>0.6148549216</v>
      </c>
      <c r="J22" s="28"/>
      <c r="K22" s="30" t="str">
        <f>IFERROR(__xludf.DUMMYFUNCTION("""COMPUTED_VALUE"""),"Brazil")</f>
        <v>Brazil</v>
      </c>
      <c r="L22" s="42">
        <f>IFERROR(__xludf.DUMMYFUNCTION("""COMPUTED_VALUE"""),104898.69650000002)</f>
        <v>104898.6965</v>
      </c>
      <c r="M22" s="43">
        <f t="shared" si="7"/>
        <v>0.08410119379</v>
      </c>
      <c r="N22" s="43">
        <f t="shared" si="8"/>
        <v>0.5574656239</v>
      </c>
      <c r="O22" s="28"/>
      <c r="W22" s="28"/>
      <c r="X22" s="30"/>
      <c r="Y22" s="46" t="s">
        <v>177</v>
      </c>
      <c r="Z22" s="30">
        <v>39.0</v>
      </c>
      <c r="AA22" s="46">
        <v>16452.5125</v>
      </c>
      <c r="AB22" s="45">
        <v>45381.0</v>
      </c>
      <c r="AC22" s="28"/>
      <c r="AG22" s="29"/>
      <c r="AH22" s="30"/>
      <c r="AI22" s="36"/>
      <c r="AJ22" s="30"/>
      <c r="AK22" s="29"/>
      <c r="AT22" s="29"/>
      <c r="AU22" s="30"/>
      <c r="AV22" s="30"/>
      <c r="AW22" s="30"/>
      <c r="AX22" s="29"/>
      <c r="BB22" s="29"/>
      <c r="BC22" s="48">
        <v>45323.0</v>
      </c>
      <c r="BD22" s="36">
        <v>3115.0</v>
      </c>
      <c r="BE22" s="29"/>
      <c r="BF22" s="48">
        <v>45323.0</v>
      </c>
      <c r="BG22" s="46">
        <v>72339.64725397444</v>
      </c>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row>
    <row r="23">
      <c r="A23" s="30" t="str">
        <f>IFERROR(__xludf.DUMMYFUNCTION("""COMPUTED_VALUE"""),"Great Lakes Food Market")</f>
        <v>Great Lakes Food Market</v>
      </c>
      <c r="B23" s="42">
        <f>IFERROR(__xludf.DUMMYFUNCTION("""COMPUTED_VALUE"""),18507.45)</f>
        <v>18507.45</v>
      </c>
      <c r="C23" s="43">
        <f t="shared" si="1"/>
        <v>0.0148381123</v>
      </c>
      <c r="D23" s="43">
        <f t="shared" si="4"/>
        <v>0.6426184324</v>
      </c>
      <c r="E23" s="28"/>
      <c r="F23" s="30" t="str">
        <f>IFERROR(__xludf.DUMMYFUNCTION("""COMPUTED_VALUE"""),"Lukas' leckere Sauerteigweggla")</f>
        <v>Lukas' leckere Sauerteigweggla</v>
      </c>
      <c r="G23" s="42">
        <f>IFERROR(__xludf.DUMMYFUNCTION("""COMPUTED_VALUE"""),17570.9625)</f>
        <v>17570.9625</v>
      </c>
      <c r="H23" s="43">
        <f t="shared" si="2"/>
        <v>0.01408729538</v>
      </c>
      <c r="I23" s="43">
        <f t="shared" si="5"/>
        <v>0.628942217</v>
      </c>
      <c r="J23" s="28"/>
      <c r="K23" s="30" t="str">
        <f>IFERROR(__xludf.DUMMYFUNCTION("""COMPUTED_VALUE"""),"France")</f>
        <v>France</v>
      </c>
      <c r="L23" s="42">
        <f>IFERROR(__xludf.DUMMYFUNCTION("""COMPUTED_VALUE"""),80397.57249999998)</f>
        <v>80397.5725</v>
      </c>
      <c r="M23" s="43">
        <f t="shared" si="7"/>
        <v>0.0644577297</v>
      </c>
      <c r="N23" s="43">
        <f t="shared" si="8"/>
        <v>0.6219233536</v>
      </c>
      <c r="O23" s="28"/>
      <c r="W23" s="28"/>
      <c r="X23" s="30"/>
      <c r="Y23" s="46" t="s">
        <v>354</v>
      </c>
      <c r="Z23" s="30">
        <v>38.0</v>
      </c>
      <c r="AA23" s="46">
        <v>15729.84</v>
      </c>
      <c r="AB23" s="45">
        <v>45409.0</v>
      </c>
      <c r="AC23" s="28"/>
      <c r="AD23" s="30"/>
      <c r="AE23" s="30"/>
      <c r="AF23" s="30"/>
      <c r="AG23" s="29"/>
      <c r="AH23" s="30"/>
      <c r="AI23" s="36"/>
      <c r="AJ23" s="30"/>
      <c r="AK23" s="29"/>
      <c r="AT23" s="29"/>
      <c r="AU23" s="30"/>
      <c r="AV23" s="30"/>
      <c r="AW23" s="30"/>
      <c r="AX23" s="29"/>
      <c r="BB23" s="29"/>
      <c r="BC23" s="48">
        <v>45352.0</v>
      </c>
      <c r="BD23" s="36">
        <v>4065.0</v>
      </c>
      <c r="BE23" s="29"/>
      <c r="BF23" s="48">
        <v>45352.0</v>
      </c>
      <c r="BG23" s="46">
        <v>78295.18898623507</v>
      </c>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row>
    <row r="24">
      <c r="A24" s="30" t="str">
        <f>IFERROR(__xludf.DUMMYFUNCTION("""COMPUTED_VALUE"""),"Lehmanns Marktstand")</f>
        <v>Lehmanns Marktstand</v>
      </c>
      <c r="B24" s="42">
        <f>IFERROR(__xludf.DUMMYFUNCTION("""COMPUTED_VALUE"""),17631.435)</f>
        <v>17631.435</v>
      </c>
      <c r="C24" s="43">
        <f t="shared" si="1"/>
        <v>0.01413577843</v>
      </c>
      <c r="D24" s="43">
        <f t="shared" si="4"/>
        <v>0.6567542108</v>
      </c>
      <c r="E24" s="28"/>
      <c r="F24" s="30" t="str">
        <f>IFERROR(__xludf.DUMMYFUNCTION("""COMPUTED_VALUE"""),"Pâté chinois")</f>
        <v>Pâté chinois</v>
      </c>
      <c r="G24" s="42">
        <f>IFERROR(__xludf.DUMMYFUNCTION("""COMPUTED_VALUE"""),17292.0)</f>
        <v>17292</v>
      </c>
      <c r="H24" s="43">
        <f t="shared" si="2"/>
        <v>0.01386364075</v>
      </c>
      <c r="I24" s="43">
        <f t="shared" si="5"/>
        <v>0.6428058577</v>
      </c>
      <c r="J24" s="28"/>
      <c r="K24" s="30" t="str">
        <f>IFERROR(__xludf.DUMMYFUNCTION("""COMPUTED_VALUE"""),"UK")</f>
        <v>UK</v>
      </c>
      <c r="L24" s="42">
        <f>IFERROR(__xludf.DUMMYFUNCTION("""COMPUTED_VALUE"""),58971.310000000005)</f>
        <v>58971.31</v>
      </c>
      <c r="M24" s="43">
        <f t="shared" si="7"/>
        <v>0.04727949666</v>
      </c>
      <c r="N24" s="43">
        <f t="shared" si="8"/>
        <v>0.6692028503</v>
      </c>
      <c r="O24" s="28"/>
      <c r="W24" s="28"/>
      <c r="X24" s="30"/>
      <c r="Y24" s="46" t="s">
        <v>126</v>
      </c>
      <c r="Z24" s="30">
        <v>40.0</v>
      </c>
      <c r="AA24" s="46">
        <v>15354.66</v>
      </c>
      <c r="AB24" s="45">
        <v>45406.0</v>
      </c>
      <c r="AC24" s="28"/>
      <c r="AD24" s="30"/>
      <c r="AE24" s="30"/>
      <c r="AF24" s="30"/>
      <c r="AG24" s="29"/>
      <c r="AH24" s="30"/>
      <c r="AI24" s="36"/>
      <c r="AJ24" s="30"/>
      <c r="AK24" s="29"/>
      <c r="AT24" s="29"/>
      <c r="AU24" s="30"/>
      <c r="AV24" s="30"/>
      <c r="AW24" s="30"/>
      <c r="AX24" s="29"/>
      <c r="BB24" s="29"/>
      <c r="BC24" s="48">
        <v>45383.0</v>
      </c>
      <c r="BD24" s="36">
        <v>4680.0</v>
      </c>
      <c r="BE24" s="29"/>
      <c r="BF24" s="48">
        <v>45383.0</v>
      </c>
      <c r="BG24" s="46">
        <v>92770.06279689925</v>
      </c>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row>
    <row r="25">
      <c r="A25" s="30" t="str">
        <f>IFERROR(__xludf.DUMMYFUNCTION("""COMPUTED_VALUE"""),"Simons bistro")</f>
        <v>Simons bistro</v>
      </c>
      <c r="B25" s="42">
        <f>IFERROR(__xludf.DUMMYFUNCTION("""COMPUTED_VALUE"""),16585.0125)</f>
        <v>16585.0125</v>
      </c>
      <c r="C25" s="43">
        <f t="shared" si="1"/>
        <v>0.01329682252</v>
      </c>
      <c r="D25" s="43">
        <f t="shared" si="4"/>
        <v>0.6700510334</v>
      </c>
      <c r="E25" s="28"/>
      <c r="F25" s="30" t="str">
        <f>IFERROR(__xludf.DUMMYFUNCTION("""COMPUTED_VALUE"""),"Vegie-spread")</f>
        <v>Vegie-spread</v>
      </c>
      <c r="G25" s="42">
        <f>IFERROR(__xludf.DUMMYFUNCTION("""COMPUTED_VALUE"""),16701.095)</f>
        <v>16701.095</v>
      </c>
      <c r="H25" s="43">
        <f t="shared" si="2"/>
        <v>0.01338989019</v>
      </c>
      <c r="I25" s="43">
        <f t="shared" si="5"/>
        <v>0.6561957479</v>
      </c>
      <c r="J25" s="28"/>
      <c r="K25" s="30" t="str">
        <f>IFERROR(__xludf.DUMMYFUNCTION("""COMPUTED_VALUE"""),"Venezuela")</f>
        <v>Venezuela</v>
      </c>
      <c r="L25" s="42">
        <f>IFERROR(__xludf.DUMMYFUNCTION("""COMPUTED_VALUE"""),56136.70899999999)</f>
        <v>56136.709</v>
      </c>
      <c r="M25" s="43">
        <f t="shared" si="7"/>
        <v>0.04500689141</v>
      </c>
      <c r="N25" s="43">
        <f t="shared" si="8"/>
        <v>0.7142097417</v>
      </c>
      <c r="O25" s="28"/>
      <c r="W25" s="28"/>
      <c r="X25" s="30"/>
      <c r="Y25" s="46" t="s">
        <v>220</v>
      </c>
      <c r="Z25" s="30">
        <v>9.0</v>
      </c>
      <c r="AA25" s="46">
        <v>15099.875</v>
      </c>
      <c r="AB25" s="45">
        <v>45377.0</v>
      </c>
      <c r="AC25" s="28"/>
      <c r="AD25" s="30"/>
      <c r="AE25" s="30"/>
      <c r="AF25" s="30"/>
      <c r="AG25" s="29"/>
      <c r="AH25" s="30"/>
      <c r="AI25" s="36"/>
      <c r="AJ25" s="30"/>
      <c r="AK25" s="29"/>
      <c r="AT25" s="29"/>
      <c r="AU25" s="30"/>
      <c r="AV25" s="30"/>
      <c r="AW25" s="30"/>
      <c r="AX25" s="29"/>
      <c r="BB25" s="29"/>
      <c r="BC25" s="49">
        <v>45413.0</v>
      </c>
      <c r="BD25" s="50">
        <f t="shared" ref="BD25:BD27" si="9">FORECAST(BC25,$BD$3:$BD$24,$BC$3:$BC$24)</f>
        <v>3539.106173</v>
      </c>
      <c r="BE25" s="29"/>
      <c r="BF25" s="49">
        <v>45413.0</v>
      </c>
      <c r="BG25" s="51">
        <f t="shared" ref="BG25:BG27" si="10">FORECAST(BF25,$BG$3:$BG$24,$BF$3:$BF$24)</f>
        <v>70070.2295</v>
      </c>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row>
    <row r="26">
      <c r="A26" s="30" t="str">
        <f>IFERROR(__xludf.DUMMYFUNCTION("""COMPUTED_VALUE"""),"LINO-Delicateses")</f>
        <v>LINO-Delicateses</v>
      </c>
      <c r="B26" s="42">
        <f>IFERROR(__xludf.DUMMYFUNCTION("""COMPUTED_VALUE"""),16476.565000000002)</f>
        <v>16476.565</v>
      </c>
      <c r="C26" s="43">
        <f t="shared" si="1"/>
        <v>0.01320987612</v>
      </c>
      <c r="D26" s="43">
        <f t="shared" si="4"/>
        <v>0.6832609095</v>
      </c>
      <c r="E26" s="28"/>
      <c r="F26" s="30" t="str">
        <f>IFERROR(__xludf.DUMMYFUNCTION("""COMPUTED_VALUE"""),"Pavlova")</f>
        <v>Pavlova</v>
      </c>
      <c r="G26" s="42">
        <f>IFERROR(__xludf.DUMMYFUNCTION("""COMPUTED_VALUE"""),16452.5125)</f>
        <v>16452.5125</v>
      </c>
      <c r="H26" s="43">
        <f t="shared" si="2"/>
        <v>0.01319059234</v>
      </c>
      <c r="I26" s="43">
        <f t="shared" si="5"/>
        <v>0.6693863403</v>
      </c>
      <c r="J26" s="28"/>
      <c r="K26" s="30" t="str">
        <f>IFERROR(__xludf.DUMMYFUNCTION("""COMPUTED_VALUE"""),"Sweden")</f>
        <v>Sweden</v>
      </c>
      <c r="L26" s="42">
        <f>IFERROR(__xludf.DUMMYFUNCTION("""COMPUTED_VALUE"""),54495.13999999999)</f>
        <v>54495.14</v>
      </c>
      <c r="M26" s="43">
        <f t="shared" si="7"/>
        <v>0.04369078437</v>
      </c>
      <c r="N26" s="43">
        <f t="shared" si="8"/>
        <v>0.757900526</v>
      </c>
      <c r="O26" s="28"/>
      <c r="W26" s="28"/>
      <c r="X26" s="30"/>
      <c r="Y26" s="46" t="s">
        <v>232</v>
      </c>
      <c r="Z26" s="30">
        <v>50.0</v>
      </c>
      <c r="AA26" s="46">
        <v>14670.875</v>
      </c>
      <c r="AB26" s="45">
        <v>45392.0</v>
      </c>
      <c r="AC26" s="28"/>
      <c r="AD26" s="27" t="s">
        <v>1023</v>
      </c>
      <c r="AG26" s="29"/>
      <c r="AH26" s="30"/>
      <c r="AI26" s="36"/>
      <c r="AJ26" s="30"/>
      <c r="AK26" s="29"/>
      <c r="AT26" s="29"/>
      <c r="AU26" s="30"/>
      <c r="AV26" s="30"/>
      <c r="AW26" s="30"/>
      <c r="AX26" s="29"/>
      <c r="AY26" s="39"/>
      <c r="AZ26" s="30"/>
      <c r="BA26" s="30"/>
      <c r="BB26" s="29"/>
      <c r="BC26" s="49">
        <v>45444.0</v>
      </c>
      <c r="BD26" s="50">
        <f t="shared" si="9"/>
        <v>3649.748721</v>
      </c>
      <c r="BE26" s="29"/>
      <c r="BF26" s="49">
        <v>45444.0</v>
      </c>
      <c r="BG26" s="51">
        <f t="shared" si="10"/>
        <v>72554.62827</v>
      </c>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row>
    <row r="27">
      <c r="A27" s="30" t="str">
        <f>IFERROR(__xludf.DUMMYFUNCTION("""COMPUTED_VALUE"""),"Seven Seas Imports")</f>
        <v>Seven Seas Imports</v>
      </c>
      <c r="B27" s="42">
        <f>IFERROR(__xludf.DUMMYFUNCTION("""COMPUTED_VALUE"""),16215.325)</f>
        <v>16215.325</v>
      </c>
      <c r="C27" s="43">
        <f t="shared" si="1"/>
        <v>0.01300043028</v>
      </c>
      <c r="D27" s="43">
        <f t="shared" si="4"/>
        <v>0.6962613398</v>
      </c>
      <c r="E27" s="28"/>
      <c r="F27" s="30" t="str">
        <f>IFERROR(__xludf.DUMMYFUNCTION("""COMPUTED_VALUE"""),"Lakkalikööri")</f>
        <v>Lakkalikööri</v>
      </c>
      <c r="G27" s="42">
        <f>IFERROR(__xludf.DUMMYFUNCTION("""COMPUTED_VALUE"""),15729.84)</f>
        <v>15729.84</v>
      </c>
      <c r="H27" s="43">
        <f t="shared" si="2"/>
        <v>0.01261119886</v>
      </c>
      <c r="I27" s="43">
        <f t="shared" si="5"/>
        <v>0.6819975391</v>
      </c>
      <c r="J27" s="28"/>
      <c r="K27" s="30" t="str">
        <f>IFERROR(__xludf.DUMMYFUNCTION("""COMPUTED_VALUE"""),"Canada")</f>
        <v>Canada</v>
      </c>
      <c r="L27" s="42">
        <f>IFERROR(__xludf.DUMMYFUNCTION("""COMPUTED_VALUE"""),50196.29)</f>
        <v>50196.29</v>
      </c>
      <c r="M27" s="43">
        <f t="shared" si="7"/>
        <v>0.04024423614</v>
      </c>
      <c r="N27" s="43">
        <f t="shared" si="8"/>
        <v>0.7981447622</v>
      </c>
      <c r="O27" s="28"/>
      <c r="W27" s="28"/>
      <c r="X27" s="30"/>
      <c r="Y27" s="46" t="s">
        <v>326</v>
      </c>
      <c r="Z27" s="30">
        <v>24.0</v>
      </c>
      <c r="AA27" s="46">
        <v>14352.6</v>
      </c>
      <c r="AB27" s="45">
        <v>45411.0</v>
      </c>
      <c r="AC27" s="28"/>
      <c r="AG27" s="29"/>
      <c r="AH27" s="30"/>
      <c r="AI27" s="36"/>
      <c r="AJ27" s="30"/>
      <c r="AK27" s="29"/>
      <c r="AT27" s="29"/>
      <c r="AU27" s="30"/>
      <c r="AV27" s="30"/>
      <c r="AW27" s="30"/>
      <c r="AX27" s="29"/>
      <c r="AY27" s="39"/>
      <c r="AZ27" s="30"/>
      <c r="BA27" s="30"/>
      <c r="BB27" s="29"/>
      <c r="BC27" s="49">
        <v>45474.0</v>
      </c>
      <c r="BD27" s="50">
        <f t="shared" si="9"/>
        <v>3756.822155</v>
      </c>
      <c r="BE27" s="29"/>
      <c r="BF27" s="49">
        <v>45474.0</v>
      </c>
      <c r="BG27" s="51">
        <f t="shared" si="10"/>
        <v>74958.88515</v>
      </c>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row>
    <row r="28">
      <c r="A28" s="30" t="str">
        <f>IFERROR(__xludf.DUMMYFUNCTION("""COMPUTED_VALUE"""),"Vaffeljernet")</f>
        <v>Vaffeljernet</v>
      </c>
      <c r="B28" s="42">
        <f>IFERROR(__xludf.DUMMYFUNCTION("""COMPUTED_VALUE"""),15843.925)</f>
        <v>15843.925</v>
      </c>
      <c r="C28" s="43">
        <f t="shared" si="1"/>
        <v>0.01270266506</v>
      </c>
      <c r="D28" s="43">
        <f t="shared" si="4"/>
        <v>0.7089640048</v>
      </c>
      <c r="E28" s="28"/>
      <c r="F28" s="30" t="str">
        <f>IFERROR(__xludf.DUMMYFUNCTION("""COMPUTED_VALUE"""),"Chang")</f>
        <v>Chang</v>
      </c>
      <c r="G28" s="42">
        <f>IFERROR(__xludf.DUMMYFUNCTION("""COMPUTED_VALUE"""),15354.66)</f>
        <v>15354.66</v>
      </c>
      <c r="H28" s="43">
        <f t="shared" si="2"/>
        <v>0.01231040308</v>
      </c>
      <c r="I28" s="43">
        <f t="shared" si="5"/>
        <v>0.6943079422</v>
      </c>
      <c r="J28" s="28"/>
      <c r="K28" s="30" t="str">
        <f>IFERROR(__xludf.DUMMYFUNCTION("""COMPUTED_VALUE"""),"Ireland")</f>
        <v>Ireland</v>
      </c>
      <c r="L28" s="42">
        <f>IFERROR(__xludf.DUMMYFUNCTION("""COMPUTED_VALUE"""),49979.905000000006)</f>
        <v>49979.905</v>
      </c>
      <c r="M28" s="43">
        <f t="shared" si="7"/>
        <v>0.04007075222</v>
      </c>
      <c r="N28" s="43">
        <f t="shared" si="8"/>
        <v>0.8382155144</v>
      </c>
      <c r="O28" s="28"/>
      <c r="W28" s="28"/>
      <c r="X28" s="30"/>
      <c r="Y28" s="46" t="s">
        <v>336</v>
      </c>
      <c r="Z28" s="30">
        <v>32.0</v>
      </c>
      <c r="AA28" s="46">
        <v>13869.890000000001</v>
      </c>
      <c r="AB28" s="45">
        <v>45397.0</v>
      </c>
      <c r="AC28" s="28"/>
      <c r="AG28" s="29"/>
      <c r="AH28" s="30"/>
      <c r="AI28" s="36"/>
      <c r="AJ28" s="30"/>
      <c r="AK28" s="29"/>
      <c r="AT28" s="29"/>
      <c r="AU28" s="30"/>
      <c r="AV28" s="30"/>
      <c r="AW28" s="30"/>
      <c r="AX28" s="29"/>
      <c r="AY28" s="39"/>
      <c r="AZ28" s="30"/>
      <c r="BA28" s="30"/>
      <c r="BB28" s="29"/>
      <c r="BC28" s="52"/>
      <c r="BD28" s="30"/>
      <c r="BE28" s="29"/>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row>
    <row r="29">
      <c r="A29" s="30" t="str">
        <f>IFERROR(__xludf.DUMMYFUNCTION("""COMPUTED_VALUE"""),"Wartian Herkku")</f>
        <v>Wartian Herkku</v>
      </c>
      <c r="B29" s="42">
        <f>IFERROR(__xludf.DUMMYFUNCTION("""COMPUTED_VALUE"""),15648.702499999998)</f>
        <v>15648.7025</v>
      </c>
      <c r="C29" s="43">
        <f t="shared" si="1"/>
        <v>0.01254614791</v>
      </c>
      <c r="D29" s="43">
        <f t="shared" si="4"/>
        <v>0.7215101527</v>
      </c>
      <c r="E29" s="28"/>
      <c r="F29" s="30" t="str">
        <f>IFERROR(__xludf.DUMMYFUNCTION("""COMPUTED_VALUE"""),"Schoggi Schokolade")</f>
        <v>Schoggi Schokolade</v>
      </c>
      <c r="G29" s="42">
        <f>IFERROR(__xludf.DUMMYFUNCTION("""COMPUTED_VALUE"""),15099.875)</f>
        <v>15099.875</v>
      </c>
      <c r="H29" s="43">
        <f t="shared" si="2"/>
        <v>0.01210613245</v>
      </c>
      <c r="I29" s="43">
        <f t="shared" si="5"/>
        <v>0.7064140746</v>
      </c>
      <c r="J29" s="28"/>
      <c r="K29" s="30" t="str">
        <f>IFERROR(__xludf.DUMMYFUNCTION("""COMPUTED_VALUE"""),"Belgium")</f>
        <v>Belgium</v>
      </c>
      <c r="L29" s="42">
        <f>IFERROR(__xludf.DUMMYFUNCTION("""COMPUTED_VALUE"""),33824.855)</f>
        <v>33824.855</v>
      </c>
      <c r="M29" s="43">
        <f t="shared" si="7"/>
        <v>0.02711864666</v>
      </c>
      <c r="N29" s="43">
        <f t="shared" si="8"/>
        <v>0.8653341611</v>
      </c>
      <c r="O29" s="28"/>
      <c r="W29" s="28"/>
      <c r="X29" s="30"/>
      <c r="Y29" s="46" t="s">
        <v>247</v>
      </c>
      <c r="Z29" s="30">
        <v>36.0</v>
      </c>
      <c r="AA29" s="46">
        <v>13643.999999999998</v>
      </c>
      <c r="AB29" s="45">
        <v>45405.0</v>
      </c>
      <c r="AC29" s="28"/>
      <c r="AG29" s="29"/>
      <c r="AH29" s="30"/>
      <c r="AI29" s="36"/>
      <c r="AJ29" s="30"/>
      <c r="AK29" s="29"/>
      <c r="AT29" s="29"/>
      <c r="AU29" s="30"/>
      <c r="AV29" s="30"/>
      <c r="AW29" s="30"/>
      <c r="AX29" s="29"/>
      <c r="AY29" s="39"/>
      <c r="AZ29" s="30"/>
      <c r="BA29" s="30"/>
      <c r="BB29" s="29"/>
      <c r="BC29" s="52"/>
      <c r="BD29" s="30"/>
      <c r="BE29" s="29"/>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row>
    <row r="30">
      <c r="A30" s="30" t="str">
        <f>IFERROR(__xludf.DUMMYFUNCTION("""COMPUTED_VALUE"""),"LILA-Supermercado")</f>
        <v>LILA-Supermercado</v>
      </c>
      <c r="B30" s="42">
        <f>IFERROR(__xludf.DUMMYFUNCTION("""COMPUTED_VALUE"""),15402.679999999998)</f>
        <v>15402.68</v>
      </c>
      <c r="C30" s="43">
        <f t="shared" si="1"/>
        <v>0.0123489025</v>
      </c>
      <c r="D30" s="43">
        <f t="shared" si="4"/>
        <v>0.7338590552</v>
      </c>
      <c r="E30" s="28"/>
      <c r="F30" s="30" t="str">
        <f>IFERROR(__xludf.DUMMYFUNCTION("""COMPUTED_VALUE"""),"Gorgonzola Telino")</f>
        <v>Gorgonzola Telino</v>
      </c>
      <c r="G30" s="42">
        <f>IFERROR(__xludf.DUMMYFUNCTION("""COMPUTED_VALUE"""),14670.875)</f>
        <v>14670.875</v>
      </c>
      <c r="H30" s="43">
        <f t="shared" si="2"/>
        <v>0.01176218716</v>
      </c>
      <c r="I30" s="43">
        <f t="shared" si="5"/>
        <v>0.7181762618</v>
      </c>
      <c r="J30" s="28"/>
      <c r="K30" s="30" t="str">
        <f>IFERROR(__xludf.DUMMYFUNCTION("""COMPUTED_VALUE"""),"Denmark")</f>
        <v>Denmark</v>
      </c>
      <c r="L30" s="42">
        <f>IFERROR(__xludf.DUMMYFUNCTION("""COMPUTED_VALUE"""),32428.937500000004)</f>
        <v>32428.9375</v>
      </c>
      <c r="M30" s="43">
        <f t="shared" si="7"/>
        <v>0.02599948758</v>
      </c>
      <c r="N30" s="43">
        <f t="shared" si="8"/>
        <v>0.8913336486</v>
      </c>
      <c r="O30" s="28"/>
      <c r="W30" s="28"/>
      <c r="X30" s="30"/>
      <c r="Y30" s="46" t="s">
        <v>248</v>
      </c>
      <c r="Z30" s="30">
        <v>31.0</v>
      </c>
      <c r="AA30" s="46">
        <v>13458.460000000001</v>
      </c>
      <c r="AB30" s="45">
        <v>45399.0</v>
      </c>
      <c r="AC30" s="28"/>
      <c r="AG30" s="29"/>
      <c r="AH30" s="30"/>
      <c r="AI30" s="36"/>
      <c r="AJ30" s="30"/>
      <c r="AK30" s="29"/>
      <c r="AT30" s="29"/>
      <c r="AU30" s="30"/>
      <c r="AV30" s="30"/>
      <c r="AW30" s="30"/>
      <c r="AX30" s="29"/>
      <c r="AY30" s="39"/>
      <c r="AZ30" s="30"/>
      <c r="BA30" s="30"/>
      <c r="BB30" s="29"/>
      <c r="BC30" s="52"/>
      <c r="BD30" s="30"/>
      <c r="BE30" s="29"/>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row>
    <row r="31">
      <c r="A31" s="30" t="str">
        <f>IFERROR(__xludf.DUMMYFUNCTION("""COMPUTED_VALUE"""),"Old World Delicatessen")</f>
        <v>Old World Delicatessen</v>
      </c>
      <c r="B31" s="42">
        <f>IFERROR(__xludf.DUMMYFUNCTION("""COMPUTED_VALUE"""),15177.4625)</f>
        <v>15177.4625</v>
      </c>
      <c r="C31" s="43">
        <f t="shared" si="1"/>
        <v>0.01216833724</v>
      </c>
      <c r="D31" s="43">
        <f t="shared" si="4"/>
        <v>0.7460273925</v>
      </c>
      <c r="E31" s="28"/>
      <c r="F31" s="30" t="str">
        <f>IFERROR(__xludf.DUMMYFUNCTION("""COMPUTED_VALUE"""),"Sirop d'érable")</f>
        <v>Sirop d'érable</v>
      </c>
      <c r="G31" s="42">
        <f>IFERROR(__xludf.DUMMYFUNCTION("""COMPUTED_VALUE"""),14352.6)</f>
        <v>14352.6</v>
      </c>
      <c r="H31" s="43">
        <f t="shared" si="2"/>
        <v>0.01150701424</v>
      </c>
      <c r="I31" s="43">
        <f t="shared" si="5"/>
        <v>0.729683276</v>
      </c>
      <c r="J31" s="28"/>
      <c r="K31" s="30" t="str">
        <f>IFERROR(__xludf.DUMMYFUNCTION("""COMPUTED_VALUE"""),"Switzerland")</f>
        <v>Switzerland</v>
      </c>
      <c r="L31" s="42">
        <f>IFERROR(__xludf.DUMMYFUNCTION("""COMPUTED_VALUE"""),31194.559)</f>
        <v>31194.559</v>
      </c>
      <c r="M31" s="43">
        <f t="shared" si="7"/>
        <v>0.02500984034</v>
      </c>
      <c r="N31" s="43">
        <f t="shared" si="8"/>
        <v>0.916343489</v>
      </c>
      <c r="O31" s="28"/>
      <c r="W31" s="28"/>
      <c r="X31" s="30"/>
      <c r="Y31" s="46" t="s">
        <v>228</v>
      </c>
      <c r="Z31" s="30">
        <v>31.0</v>
      </c>
      <c r="AA31" s="46">
        <v>13346.527500000002</v>
      </c>
      <c r="AB31" s="45">
        <v>45392.0</v>
      </c>
      <c r="AC31" s="28"/>
      <c r="AG31" s="29"/>
      <c r="AH31" s="30"/>
      <c r="AI31" s="36"/>
      <c r="AJ31" s="30"/>
      <c r="AK31" s="29"/>
      <c r="AT31" s="29"/>
      <c r="AU31" s="27" t="s">
        <v>1024</v>
      </c>
      <c r="AX31" s="29"/>
      <c r="AY31" s="27" t="s">
        <v>971</v>
      </c>
      <c r="BA31" s="30"/>
      <c r="BB31" s="29"/>
      <c r="BC31" s="52"/>
      <c r="BD31" s="30"/>
      <c r="BE31" s="29"/>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row>
    <row r="32">
      <c r="A32" s="30" t="str">
        <f>IFERROR(__xludf.DUMMYFUNCTION("""COMPUTED_VALUE"""),"Eastern Connection")</f>
        <v>Eastern Connection</v>
      </c>
      <c r="B32" s="42">
        <f>IFERROR(__xludf.DUMMYFUNCTION("""COMPUTED_VALUE"""),14761.035)</f>
        <v>14761.035</v>
      </c>
      <c r="C32" s="43">
        <f t="shared" si="1"/>
        <v>0.0118344718</v>
      </c>
      <c r="D32" s="43">
        <f t="shared" si="4"/>
        <v>0.7578618643</v>
      </c>
      <c r="E32" s="28"/>
      <c r="F32" s="30" t="str">
        <f>IFERROR(__xludf.DUMMYFUNCTION("""COMPUTED_VALUE"""),"Louisiana Fiery Hot Pepper Sauce")</f>
        <v>Louisiana Fiery Hot Pepper Sauce</v>
      </c>
      <c r="G32" s="42">
        <f>IFERROR(__xludf.DUMMYFUNCTION("""COMPUTED_VALUE"""),13869.890000000001)</f>
        <v>13869.89</v>
      </c>
      <c r="H32" s="43">
        <f t="shared" si="2"/>
        <v>0.01112000764</v>
      </c>
      <c r="I32" s="43">
        <f t="shared" si="5"/>
        <v>0.7408032837</v>
      </c>
      <c r="J32" s="28"/>
      <c r="K32" s="30" t="str">
        <f>IFERROR(__xludf.DUMMYFUNCTION("""COMPUTED_VALUE"""),"Mexico")</f>
        <v>Mexico</v>
      </c>
      <c r="L32" s="42">
        <f>IFERROR(__xludf.DUMMYFUNCTION("""COMPUTED_VALUE"""),22922.077500000003)</f>
        <v>22922.0775</v>
      </c>
      <c r="M32" s="43">
        <f t="shared" si="7"/>
        <v>0.01837748367</v>
      </c>
      <c r="N32" s="43">
        <f t="shared" si="8"/>
        <v>0.9347209727</v>
      </c>
      <c r="O32" s="28"/>
      <c r="W32" s="28"/>
      <c r="X32" s="30"/>
      <c r="Y32" s="46" t="s">
        <v>143</v>
      </c>
      <c r="Z32" s="30">
        <v>12.0</v>
      </c>
      <c r="AA32" s="46">
        <v>12700.0</v>
      </c>
      <c r="AB32" s="45">
        <v>45390.0</v>
      </c>
      <c r="AC32" s="28"/>
      <c r="AG32" s="29"/>
      <c r="AH32" s="30"/>
      <c r="AI32" s="36"/>
      <c r="AJ32" s="30"/>
      <c r="AK32" s="29"/>
      <c r="AT32" s="29"/>
      <c r="AX32" s="29"/>
      <c r="BA32" s="30"/>
      <c r="BB32" s="53"/>
      <c r="BC32" s="52"/>
      <c r="BD32" s="30"/>
      <c r="BE32" s="29"/>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row>
    <row r="33">
      <c r="A33" s="30" t="str">
        <f>IFERROR(__xludf.DUMMYFUNCTION("""COMPUTED_VALUE"""),"Around the Horn")</f>
        <v>Around the Horn</v>
      </c>
      <c r="B33" s="42">
        <f>IFERROR(__xludf.DUMMYFUNCTION("""COMPUTED_VALUE"""),13390.650000000001)</f>
        <v>13390.65</v>
      </c>
      <c r="C33" s="43">
        <f t="shared" si="1"/>
        <v>0.01073578308</v>
      </c>
      <c r="D33" s="43">
        <f t="shared" si="4"/>
        <v>0.7685976473</v>
      </c>
      <c r="E33" s="28"/>
      <c r="F33" s="30" t="str">
        <f>IFERROR(__xludf.DUMMYFUNCTION("""COMPUTED_VALUE"""),"Cold Brew Nitro")</f>
        <v>Cold Brew Nitro</v>
      </c>
      <c r="G33" s="42">
        <f>IFERROR(__xludf.DUMMYFUNCTION("""COMPUTED_VALUE"""),13643.999999999998)</f>
        <v>13644</v>
      </c>
      <c r="H33" s="43">
        <f t="shared" si="2"/>
        <v>0.01093890321</v>
      </c>
      <c r="I33" s="43">
        <f t="shared" si="5"/>
        <v>0.7517421869</v>
      </c>
      <c r="J33" s="28"/>
      <c r="K33" s="30" t="str">
        <f>IFERROR(__xludf.DUMMYFUNCTION("""COMPUTED_VALUE"""),"Finland")</f>
        <v>Finland</v>
      </c>
      <c r="L33" s="42">
        <f>IFERROR(__xludf.DUMMYFUNCTION("""COMPUTED_VALUE"""),18810.052499999998)</f>
        <v>18810.0525</v>
      </c>
      <c r="M33" s="43">
        <f t="shared" si="7"/>
        <v>0.01508072</v>
      </c>
      <c r="N33" s="43">
        <f t="shared" si="8"/>
        <v>0.9498016927</v>
      </c>
      <c r="O33" s="28"/>
      <c r="W33" s="28"/>
      <c r="X33" s="30"/>
      <c r="Y33" s="46" t="s">
        <v>160</v>
      </c>
      <c r="Z33" s="30">
        <v>37.0</v>
      </c>
      <c r="AA33" s="46">
        <v>12691.77</v>
      </c>
      <c r="AB33" s="45">
        <v>45404.0</v>
      </c>
      <c r="AC33" s="28"/>
      <c r="AG33" s="29"/>
      <c r="AH33" s="30"/>
      <c r="AI33" s="36"/>
      <c r="AJ33" s="30"/>
      <c r="AK33" s="29"/>
      <c r="AT33" s="29"/>
      <c r="AX33" s="29"/>
      <c r="BA33" s="30"/>
      <c r="BB33" s="29"/>
      <c r="BC33" s="52"/>
      <c r="BD33" s="30"/>
      <c r="BE33" s="29"/>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row>
    <row r="34">
      <c r="A34" s="30" t="str">
        <f>IFERROR(__xludf.DUMMYFUNCTION("""COMPUTED_VALUE"""),"Ottilies Käseladen")</f>
        <v>Ottilies Käseladen</v>
      </c>
      <c r="B34" s="42">
        <f>IFERROR(__xludf.DUMMYFUNCTION("""COMPUTED_VALUE"""),12496.2)</f>
        <v>12496.2</v>
      </c>
      <c r="C34" s="43">
        <f t="shared" si="1"/>
        <v>0.01001866918</v>
      </c>
      <c r="D34" s="43">
        <f t="shared" si="4"/>
        <v>0.7786163165</v>
      </c>
      <c r="E34" s="28"/>
      <c r="F34" s="30" t="str">
        <f>IFERROR(__xludf.DUMMYFUNCTION("""COMPUTED_VALUE"""),"Inlagd Sill")</f>
        <v>Inlagd Sill</v>
      </c>
      <c r="G34" s="42">
        <f>IFERROR(__xludf.DUMMYFUNCTION("""COMPUTED_VALUE"""),13458.460000000001)</f>
        <v>13458.46</v>
      </c>
      <c r="H34" s="43">
        <f t="shared" si="2"/>
        <v>0.01079014888</v>
      </c>
      <c r="I34" s="43">
        <f t="shared" si="5"/>
        <v>0.7625323358</v>
      </c>
      <c r="J34" s="28"/>
      <c r="K34" s="30" t="str">
        <f>IFERROR(__xludf.DUMMYFUNCTION("""COMPUTED_VALUE"""),"Spain")</f>
        <v>Spain</v>
      </c>
      <c r="L34" s="42">
        <f>IFERROR(__xludf.DUMMYFUNCTION("""COMPUTED_VALUE"""),17983.2)</f>
        <v>17983.2</v>
      </c>
      <c r="M34" s="43">
        <f t="shared" si="7"/>
        <v>0.01441780154</v>
      </c>
      <c r="N34" s="43">
        <f t="shared" si="8"/>
        <v>0.9642194942</v>
      </c>
      <c r="O34" s="28"/>
      <c r="W34" s="28"/>
      <c r="X34" s="30"/>
      <c r="Y34" s="46" t="s">
        <v>167</v>
      </c>
      <c r="Z34" s="30">
        <v>13.0</v>
      </c>
      <c r="AA34" s="46">
        <v>12185.460000000001</v>
      </c>
      <c r="AB34" s="45">
        <v>45406.0</v>
      </c>
      <c r="AC34" s="28"/>
      <c r="AG34" s="29"/>
      <c r="AH34" s="30"/>
      <c r="AI34" s="36"/>
      <c r="AJ34" s="30"/>
      <c r="AK34" s="29"/>
      <c r="AT34" s="29"/>
      <c r="AX34" s="29"/>
      <c r="BA34" s="30"/>
      <c r="BB34" s="29"/>
      <c r="BC34" s="52"/>
      <c r="BD34" s="30"/>
      <c r="BE34" s="29"/>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row>
    <row r="35">
      <c r="A35" s="30" t="str">
        <f>IFERROR(__xludf.DUMMYFUNCTION("""COMPUTED_VALUE"""),"Ricardo Adocicados")</f>
        <v>Ricardo Adocicados</v>
      </c>
      <c r="B35" s="42">
        <f>IFERROR(__xludf.DUMMYFUNCTION("""COMPUTED_VALUE"""),12450.8)</f>
        <v>12450.8</v>
      </c>
      <c r="C35" s="43">
        <f t="shared" si="1"/>
        <v>0.00998227031</v>
      </c>
      <c r="D35" s="43">
        <f t="shared" si="4"/>
        <v>0.7885985868</v>
      </c>
      <c r="E35" s="28"/>
      <c r="F35" s="30" t="str">
        <f>IFERROR(__xludf.DUMMYFUNCTION("""COMPUTED_VALUE"""),"Nord-Ost Matjeshering")</f>
        <v>Nord-Ost Matjeshering</v>
      </c>
      <c r="G35" s="42">
        <f>IFERROR(__xludf.DUMMYFUNCTION("""COMPUTED_VALUE"""),13346.527500000002)</f>
        <v>13346.5275</v>
      </c>
      <c r="H35" s="43">
        <f t="shared" si="2"/>
        <v>0.01070040842</v>
      </c>
      <c r="I35" s="43">
        <f t="shared" si="5"/>
        <v>0.7732327442</v>
      </c>
      <c r="J35" s="28"/>
      <c r="K35" s="30" t="str">
        <f>IFERROR(__xludf.DUMMYFUNCTION("""COMPUTED_VALUE"""),"Italy")</f>
        <v>Italy</v>
      </c>
      <c r="L35" s="42">
        <f>IFERROR(__xludf.DUMMYFUNCTION("""COMPUTED_VALUE"""),15770.155)</f>
        <v>15770.155</v>
      </c>
      <c r="M35" s="43">
        <f t="shared" si="7"/>
        <v>0.0126435209</v>
      </c>
      <c r="N35" s="43">
        <f t="shared" si="8"/>
        <v>0.9768630151</v>
      </c>
      <c r="O35" s="28"/>
      <c r="W35" s="28"/>
      <c r="X35" s="30"/>
      <c r="Y35" s="46" t="s">
        <v>119</v>
      </c>
      <c r="Z35" s="30">
        <v>37.0</v>
      </c>
      <c r="AA35" s="46">
        <v>12176.1</v>
      </c>
      <c r="AB35" s="45">
        <v>45406.0</v>
      </c>
      <c r="AC35" s="28"/>
      <c r="AG35" s="29"/>
      <c r="AH35" s="30"/>
      <c r="AI35" s="36"/>
      <c r="AJ35" s="30"/>
      <c r="AK35" s="29"/>
      <c r="AT35" s="29"/>
      <c r="AX35" s="29"/>
      <c r="BA35" s="30"/>
      <c r="BB35" s="29"/>
      <c r="BC35" s="52"/>
      <c r="BD35" s="30"/>
      <c r="BE35" s="29"/>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row>
    <row r="36">
      <c r="A36" s="30" t="str">
        <f>IFERROR(__xludf.DUMMYFUNCTION("""COMPUTED_VALUE"""),"Chop-suey Chinese")</f>
        <v>Chop-suey Chinese</v>
      </c>
      <c r="B36" s="42">
        <f>IFERROR(__xludf.DUMMYFUNCTION("""COMPUTED_VALUE"""),12348.88)</f>
        <v>12348.88</v>
      </c>
      <c r="C36" s="43">
        <f t="shared" si="1"/>
        <v>0.009900557248</v>
      </c>
      <c r="D36" s="43">
        <f t="shared" si="4"/>
        <v>0.7984991441</v>
      </c>
      <c r="E36" s="28"/>
      <c r="F36" s="30" t="str">
        <f>IFERROR(__xludf.DUMMYFUNCTION("""COMPUTED_VALUE"""),"Northwoods Cranberry Sauce")</f>
        <v>Northwoods Cranberry Sauce</v>
      </c>
      <c r="G36" s="42">
        <f>IFERROR(__xludf.DUMMYFUNCTION("""COMPUTED_VALUE"""),12700.0)</f>
        <v>12700</v>
      </c>
      <c r="H36" s="43">
        <f t="shared" si="2"/>
        <v>0.01018206324</v>
      </c>
      <c r="I36" s="43">
        <f t="shared" si="5"/>
        <v>0.7834148074</v>
      </c>
      <c r="J36" s="28"/>
      <c r="K36" s="30" t="str">
        <f>IFERROR(__xludf.DUMMYFUNCTION("""COMPUTED_VALUE"""),"Portugal")</f>
        <v>Portugal</v>
      </c>
      <c r="L36" s="42">
        <f>IFERROR(__xludf.DUMMYFUNCTION("""COMPUTED_VALUE"""),11472.3625)</f>
        <v>11472.3625</v>
      </c>
      <c r="M36" s="43">
        <f t="shared" si="7"/>
        <v>0.009197820507</v>
      </c>
      <c r="N36" s="43">
        <f t="shared" si="8"/>
        <v>0.9860608356</v>
      </c>
      <c r="O36" s="28"/>
      <c r="W36" s="28"/>
      <c r="X36" s="30"/>
      <c r="Y36" s="46" t="s">
        <v>259</v>
      </c>
      <c r="Z36" s="30">
        <v>28.0</v>
      </c>
      <c r="AA36" s="46">
        <v>11900.34</v>
      </c>
      <c r="AB36" s="45">
        <v>45377.0</v>
      </c>
      <c r="AC36" s="28"/>
      <c r="AG36" s="29"/>
      <c r="AH36" s="30"/>
      <c r="AI36" s="36"/>
      <c r="AJ36" s="30"/>
      <c r="AK36" s="29"/>
      <c r="AT36" s="29"/>
      <c r="AX36" s="29"/>
      <c r="BA36" s="30"/>
      <c r="BB36" s="29"/>
      <c r="BC36" s="52"/>
      <c r="BD36" s="30"/>
      <c r="BE36" s="29"/>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row>
    <row r="37">
      <c r="A37" s="30" t="str">
        <f>IFERROR(__xludf.DUMMYFUNCTION("""COMPUTED_VALUE"""),"Folies gourmandes")</f>
        <v>Folies gourmandes</v>
      </c>
      <c r="B37" s="42">
        <f>IFERROR(__xludf.DUMMYFUNCTION("""COMPUTED_VALUE"""),11666.9)</f>
        <v>11666.9</v>
      </c>
      <c r="C37" s="43">
        <f t="shared" si="1"/>
        <v>0.00935378847</v>
      </c>
      <c r="D37" s="43">
        <f t="shared" si="4"/>
        <v>0.8078529325</v>
      </c>
      <c r="E37" s="28"/>
      <c r="F37" s="30" t="str">
        <f>IFERROR(__xludf.DUMMYFUNCTION("""COMPUTED_VALUE"""),"Queso Cabrales")</f>
        <v>Queso Cabrales</v>
      </c>
      <c r="G37" s="42">
        <f>IFERROR(__xludf.DUMMYFUNCTION("""COMPUTED_VALUE"""),12523.77)</f>
        <v>12523.77</v>
      </c>
      <c r="H37" s="43">
        <f t="shared" si="2"/>
        <v>0.01004077308</v>
      </c>
      <c r="I37" s="43">
        <f t="shared" si="5"/>
        <v>0.7934555805</v>
      </c>
      <c r="J37" s="28"/>
      <c r="K37" s="30" t="str">
        <f>IFERROR(__xludf.DUMMYFUNCTION("""COMPUTED_VALUE"""),"Argentina")</f>
        <v>Argentina</v>
      </c>
      <c r="L37" s="42">
        <f>IFERROR(__xludf.DUMMYFUNCTION("""COMPUTED_VALUE"""),8119.099999999999)</f>
        <v>8119.1</v>
      </c>
      <c r="M37" s="43">
        <f t="shared" si="7"/>
        <v>0.006509385009</v>
      </c>
      <c r="N37" s="43">
        <f t="shared" si="8"/>
        <v>0.9925702206</v>
      </c>
      <c r="O37" s="28"/>
      <c r="W37" s="28"/>
      <c r="X37" s="30"/>
      <c r="Y37" s="46" t="s">
        <v>345</v>
      </c>
      <c r="Z37" s="30">
        <v>39.0</v>
      </c>
      <c r="AA37" s="46">
        <v>10672.65</v>
      </c>
      <c r="AB37" s="45">
        <v>45412.0</v>
      </c>
      <c r="AC37" s="28"/>
      <c r="AG37" s="29"/>
      <c r="AH37" s="30"/>
      <c r="AI37" s="36"/>
      <c r="AJ37" s="30"/>
      <c r="AK37" s="29"/>
      <c r="AT37" s="29"/>
      <c r="AX37" s="29"/>
      <c r="BA37" s="30"/>
      <c r="BB37" s="29"/>
      <c r="BC37" s="52"/>
      <c r="BD37" s="30"/>
      <c r="BE37" s="29"/>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row>
    <row r="38">
      <c r="A38" s="30" t="str">
        <f>IFERROR(__xludf.DUMMYFUNCTION("""COMPUTED_VALUE"""),"Godos Cocina Típica")</f>
        <v>Godos Cocina Típica</v>
      </c>
      <c r="B38" s="42">
        <f>IFERROR(__xludf.DUMMYFUNCTION("""COMPUTED_VALUE"""),11446.36)</f>
        <v>11446.36</v>
      </c>
      <c r="C38" s="43">
        <f t="shared" si="1"/>
        <v>0.009176973334</v>
      </c>
      <c r="D38" s="43">
        <f t="shared" si="4"/>
        <v>0.8170299059</v>
      </c>
      <c r="E38" s="28"/>
      <c r="F38" s="30" t="str">
        <f>IFERROR(__xludf.DUMMYFUNCTION("""COMPUTED_VALUE"""),"Queso Manchego La Pastora")</f>
        <v>Queso Manchego La Pastora</v>
      </c>
      <c r="G38" s="42">
        <f>IFERROR(__xludf.DUMMYFUNCTION("""COMPUTED_VALUE"""),12185.460000000001)</f>
        <v>12185.46</v>
      </c>
      <c r="H38" s="43">
        <f t="shared" si="2"/>
        <v>0.009769537345</v>
      </c>
      <c r="I38" s="43">
        <f t="shared" si="5"/>
        <v>0.8032251179</v>
      </c>
      <c r="J38" s="28"/>
      <c r="K38" s="30" t="str">
        <f>IFERROR(__xludf.DUMMYFUNCTION("""COMPUTED_VALUE"""),"Norway")</f>
        <v>Norway</v>
      </c>
      <c r="L38" s="42">
        <f>IFERROR(__xludf.DUMMYFUNCTION("""COMPUTED_VALUE"""),5735.150000000001)</f>
        <v>5735.15</v>
      </c>
      <c r="M38" s="43">
        <f t="shared" si="7"/>
        <v>0.004598083462</v>
      </c>
      <c r="N38" s="43">
        <f t="shared" si="8"/>
        <v>0.9971683041</v>
      </c>
      <c r="O38" s="28"/>
      <c r="W38" s="28"/>
      <c r="X38" s="30"/>
      <c r="Y38" s="46" t="s">
        <v>273</v>
      </c>
      <c r="Z38" s="30">
        <v>24.0</v>
      </c>
      <c r="AA38" s="46">
        <v>9915.945000000002</v>
      </c>
      <c r="AB38" s="45">
        <v>45404.0</v>
      </c>
      <c r="AC38" s="28"/>
      <c r="AG38" s="29"/>
      <c r="AH38" s="30"/>
      <c r="AI38" s="36"/>
      <c r="AJ38" s="30"/>
      <c r="AK38" s="29"/>
      <c r="AT38" s="29"/>
      <c r="AX38" s="29"/>
      <c r="BA38" s="30"/>
      <c r="BB38" s="29"/>
      <c r="BC38" s="52"/>
      <c r="BD38" s="30"/>
      <c r="BE38" s="29"/>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row>
    <row r="39">
      <c r="A39" s="30" t="str">
        <f>IFERROR(__xludf.DUMMYFUNCTION("""COMPUTED_VALUE"""),"Split Rail Beer &amp; Ale")</f>
        <v>Split Rail Beer &amp; Ale</v>
      </c>
      <c r="B39" s="42">
        <f>IFERROR(__xludf.DUMMYFUNCTION("""COMPUTED_VALUE"""),11441.630000000001)</f>
        <v>11441.63</v>
      </c>
      <c r="C39" s="43">
        <f t="shared" si="1"/>
        <v>0.009173181117</v>
      </c>
      <c r="D39" s="43">
        <f t="shared" si="4"/>
        <v>0.826203087</v>
      </c>
      <c r="E39" s="28"/>
      <c r="F39" s="30" t="str">
        <f>IFERROR(__xludf.DUMMYFUNCTION("""COMPUTED_VALUE"""),"Chai")</f>
        <v>Chai</v>
      </c>
      <c r="G39" s="42">
        <f>IFERROR(__xludf.DUMMYFUNCTION("""COMPUTED_VALUE"""),12176.1)</f>
        <v>12176.1</v>
      </c>
      <c r="H39" s="43">
        <f t="shared" si="2"/>
        <v>0.009762033084</v>
      </c>
      <c r="I39" s="43">
        <f t="shared" si="5"/>
        <v>0.8129871509</v>
      </c>
      <c r="J39" s="28"/>
      <c r="K39" s="30" t="str">
        <f>IFERROR(__xludf.DUMMYFUNCTION("""COMPUTED_VALUE"""),"Poland")</f>
        <v>Poland</v>
      </c>
      <c r="L39" s="42">
        <f>IFERROR(__xludf.DUMMYFUNCTION("""COMPUTED_VALUE"""),3531.95)</f>
        <v>3531.95</v>
      </c>
      <c r="M39" s="43">
        <f t="shared" si="7"/>
        <v>0.002831695925</v>
      </c>
      <c r="N39" s="43">
        <f t="shared" si="8"/>
        <v>1</v>
      </c>
      <c r="O39" s="28"/>
      <c r="W39" s="28"/>
      <c r="X39" s="30"/>
      <c r="Y39" s="46" t="s">
        <v>289</v>
      </c>
      <c r="Z39" s="30">
        <v>21.0</v>
      </c>
      <c r="AA39" s="46">
        <v>9244.6</v>
      </c>
      <c r="AB39" s="45">
        <v>45403.0</v>
      </c>
      <c r="AC39" s="28"/>
      <c r="AG39" s="29"/>
      <c r="AH39" s="30"/>
      <c r="AI39" s="36"/>
      <c r="AJ39" s="30"/>
      <c r="AK39" s="29"/>
      <c r="AT39" s="29"/>
      <c r="AX39" s="29"/>
      <c r="BA39" s="30"/>
      <c r="BB39" s="29"/>
      <c r="BC39" s="52"/>
      <c r="BD39" s="30"/>
      <c r="BE39" s="29"/>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row>
    <row r="40">
      <c r="A40" s="30" t="str">
        <f>IFERROR(__xludf.DUMMYFUNCTION("""COMPUTED_VALUE"""),"Tortuga Restaurante")</f>
        <v>Tortuga Restaurante</v>
      </c>
      <c r="B40" s="42">
        <f>IFERROR(__xludf.DUMMYFUNCTION("""COMPUTED_VALUE"""),10452.15)</f>
        <v>10452.15</v>
      </c>
      <c r="C40" s="43">
        <f t="shared" si="1"/>
        <v>0.00837987813</v>
      </c>
      <c r="D40" s="43">
        <f t="shared" si="4"/>
        <v>0.8345829651</v>
      </c>
      <c r="E40" s="28"/>
      <c r="F40" s="30" t="str">
        <f>IFERROR(__xludf.DUMMYFUNCTION("""COMPUTED_VALUE"""),"Chartreuse verte")</f>
        <v>Chartreuse verte</v>
      </c>
      <c r="G40" s="42">
        <f>IFERROR(__xludf.DUMMYFUNCTION("""COMPUTED_VALUE"""),11900.34)</f>
        <v>11900.34</v>
      </c>
      <c r="H40" s="43">
        <f t="shared" si="2"/>
        <v>0.009540946016</v>
      </c>
      <c r="I40" s="43">
        <f t="shared" si="5"/>
        <v>0.822528097</v>
      </c>
      <c r="J40" s="28"/>
      <c r="K40" s="30"/>
      <c r="L40" s="30"/>
      <c r="M40" s="30"/>
      <c r="N40" s="30"/>
      <c r="O40" s="28"/>
      <c r="W40" s="28"/>
      <c r="X40" s="30"/>
      <c r="Y40" s="46" t="s">
        <v>194</v>
      </c>
      <c r="Z40" s="30">
        <v>39.0</v>
      </c>
      <c r="AA40" s="46">
        <v>9104.0</v>
      </c>
      <c r="AB40" s="45">
        <v>45411.0</v>
      </c>
      <c r="AC40" s="28"/>
      <c r="AG40" s="29"/>
      <c r="AH40" s="30"/>
      <c r="AI40" s="36"/>
      <c r="AJ40" s="30"/>
      <c r="AK40" s="29"/>
      <c r="AT40" s="29"/>
      <c r="AX40" s="29"/>
      <c r="BA40" s="30"/>
      <c r="BB40" s="29"/>
      <c r="BC40" s="52"/>
      <c r="BD40" s="30"/>
      <c r="BE40" s="29"/>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row>
    <row r="41">
      <c r="A41" s="30" t="str">
        <f>IFERROR(__xludf.DUMMYFUNCTION("""COMPUTED_VALUE"""),"Maison Dewey")</f>
        <v>Maison Dewey</v>
      </c>
      <c r="B41" s="42">
        <f>IFERROR(__xludf.DUMMYFUNCTION("""COMPUTED_VALUE"""),9736.074999999999)</f>
        <v>9736.075</v>
      </c>
      <c r="C41" s="43">
        <f t="shared" si="1"/>
        <v>0.00780577412</v>
      </c>
      <c r="D41" s="43">
        <f t="shared" si="4"/>
        <v>0.8423887392</v>
      </c>
      <c r="E41" s="28"/>
      <c r="F41" s="30" t="str">
        <f>IFERROR(__xludf.DUMMYFUNCTION("""COMPUTED_VALUE"""),"Outback Lager")</f>
        <v>Outback Lager</v>
      </c>
      <c r="G41" s="42">
        <f>IFERROR(__xludf.DUMMYFUNCTION("""COMPUTED_VALUE"""),10672.65)</f>
        <v>10672.65</v>
      </c>
      <c r="H41" s="43">
        <f t="shared" si="2"/>
        <v>0.008556661196</v>
      </c>
      <c r="I41" s="43">
        <f t="shared" si="5"/>
        <v>0.8310847582</v>
      </c>
      <c r="J41" s="28"/>
      <c r="K41" s="30"/>
      <c r="L41" s="30"/>
      <c r="M41" s="30"/>
      <c r="N41" s="30"/>
      <c r="O41" s="28"/>
      <c r="W41" s="28"/>
      <c r="X41" s="30"/>
      <c r="Y41" s="46" t="s">
        <v>356</v>
      </c>
      <c r="Z41" s="30">
        <v>36.0</v>
      </c>
      <c r="AA41" s="46">
        <v>8836.23</v>
      </c>
      <c r="AB41" s="45">
        <v>45412.0</v>
      </c>
      <c r="AC41" s="28"/>
      <c r="AG41" s="29"/>
      <c r="AH41" s="30"/>
      <c r="AI41" s="36"/>
      <c r="AJ41" s="30"/>
      <c r="AK41" s="29"/>
      <c r="AT41" s="29"/>
      <c r="AX41" s="29"/>
      <c r="BA41" s="30"/>
      <c r="BB41" s="29"/>
      <c r="BC41" s="52"/>
      <c r="BD41" s="30"/>
      <c r="BE41" s="29"/>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row>
    <row r="42">
      <c r="A42" s="30" t="str">
        <f>IFERROR(__xludf.DUMMYFUNCTION("""COMPUTED_VALUE"""),"Die Wandernde Kuh")</f>
        <v>Die Wandernde Kuh</v>
      </c>
      <c r="B42" s="42">
        <f>IFERROR(__xludf.DUMMYFUNCTION("""COMPUTED_VALUE"""),9588.425)</f>
        <v>9588.425</v>
      </c>
      <c r="C42" s="43">
        <f t="shared" si="1"/>
        <v>0.007687397613</v>
      </c>
      <c r="D42" s="43">
        <f t="shared" si="4"/>
        <v>0.8500761369</v>
      </c>
      <c r="E42" s="28"/>
      <c r="F42" s="30" t="str">
        <f>IFERROR(__xludf.DUMMYFUNCTION("""COMPUTED_VALUE"""),"Gula Malacca")</f>
        <v>Gula Malacca</v>
      </c>
      <c r="G42" s="42">
        <f>IFERROR(__xludf.DUMMYFUNCTION("""COMPUTED_VALUE"""),9915.945000000002)</f>
        <v>9915.945</v>
      </c>
      <c r="H42" s="43">
        <f t="shared" si="2"/>
        <v>0.007949982601</v>
      </c>
      <c r="I42" s="43">
        <f t="shared" si="5"/>
        <v>0.8390347408</v>
      </c>
      <c r="J42" s="28"/>
      <c r="K42" s="30"/>
      <c r="L42" s="30"/>
      <c r="M42" s="30"/>
      <c r="N42" s="30"/>
      <c r="O42" s="28"/>
      <c r="W42" s="28"/>
      <c r="X42" s="30"/>
      <c r="Y42" s="46" t="s">
        <v>132</v>
      </c>
      <c r="Z42" s="30">
        <v>19.0</v>
      </c>
      <c r="AA42" s="46">
        <v>8545.900000000001</v>
      </c>
      <c r="AB42" s="45">
        <v>45388.0</v>
      </c>
      <c r="AC42" s="28"/>
      <c r="AG42" s="29"/>
      <c r="AH42" s="30"/>
      <c r="AI42" s="36"/>
      <c r="AJ42" s="30"/>
      <c r="AK42" s="29"/>
      <c r="AT42" s="29"/>
      <c r="AX42" s="29"/>
      <c r="BA42" s="30"/>
      <c r="BB42" s="29"/>
      <c r="BC42" s="52"/>
      <c r="BD42" s="30"/>
      <c r="BE42" s="29"/>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row>
    <row r="43">
      <c r="A43" s="30" t="str">
        <f>IFERROR(__xludf.DUMMYFUNCTION("""COMPUTED_VALUE"""),"La maison d'Asie")</f>
        <v>La maison d'Asie</v>
      </c>
      <c r="B43" s="42">
        <f>IFERROR(__xludf.DUMMYFUNCTION("""COMPUTED_VALUE"""),9328.199999999997)</f>
        <v>9328.2</v>
      </c>
      <c r="C43" s="43">
        <f t="shared" si="1"/>
        <v>0.007478765534</v>
      </c>
      <c r="D43" s="43">
        <f t="shared" si="4"/>
        <v>0.8575549024</v>
      </c>
      <c r="E43" s="28"/>
      <c r="F43" s="30" t="str">
        <f>IFERROR(__xludf.DUMMYFUNCTION("""COMPUTED_VALUE"""),"Maxilaku")</f>
        <v>Maxilaku</v>
      </c>
      <c r="G43" s="42">
        <f>IFERROR(__xludf.DUMMYFUNCTION("""COMPUTED_VALUE"""),9244.6)</f>
        <v>9244.6</v>
      </c>
      <c r="H43" s="43">
        <f t="shared" si="2"/>
        <v>0.007411740298</v>
      </c>
      <c r="I43" s="43">
        <f t="shared" si="5"/>
        <v>0.8464464811</v>
      </c>
      <c r="J43" s="28"/>
      <c r="K43" s="30"/>
      <c r="L43" s="30"/>
      <c r="M43" s="30"/>
      <c r="N43" s="30"/>
      <c r="O43" s="28"/>
      <c r="W43" s="28"/>
      <c r="X43" s="30"/>
      <c r="Y43" s="46" t="s">
        <v>237</v>
      </c>
      <c r="Z43" s="30">
        <v>14.0</v>
      </c>
      <c r="AA43" s="46">
        <v>8372.16</v>
      </c>
      <c r="AB43" s="45">
        <v>45409.0</v>
      </c>
      <c r="AC43" s="28"/>
      <c r="AG43" s="29"/>
      <c r="AH43" s="30"/>
      <c r="AI43" s="36"/>
      <c r="AJ43" s="30"/>
      <c r="AK43" s="29"/>
      <c r="AT43" s="29"/>
      <c r="AX43" s="29"/>
      <c r="BA43" s="30"/>
      <c r="BB43" s="29"/>
      <c r="BC43" s="52"/>
      <c r="BD43" s="30"/>
      <c r="BE43" s="29"/>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row>
    <row r="44">
      <c r="A44" s="30" t="str">
        <f>IFERROR(__xludf.DUMMYFUNCTION("""COMPUTED_VALUE"""),"Victuailles en stock")</f>
        <v>Victuailles en stock</v>
      </c>
      <c r="B44" s="42">
        <f>IFERROR(__xludf.DUMMYFUNCTION("""COMPUTED_VALUE"""),9182.43)</f>
        <v>9182.43</v>
      </c>
      <c r="C44" s="43">
        <f t="shared" si="1"/>
        <v>0.007361896293</v>
      </c>
      <c r="D44" s="43">
        <f t="shared" si="4"/>
        <v>0.8649167987</v>
      </c>
      <c r="E44" s="28"/>
      <c r="F44" s="30" t="str">
        <f>IFERROR(__xludf.DUMMYFUNCTION("""COMPUTED_VALUE"""),"Sir Rodney's Scones")</f>
        <v>Sir Rodney's Scones</v>
      </c>
      <c r="G44" s="42">
        <f>IFERROR(__xludf.DUMMYFUNCTION("""COMPUTED_VALUE"""),9104.0)</f>
        <v>9104</v>
      </c>
      <c r="H44" s="43">
        <f t="shared" si="2"/>
        <v>0.007299016039</v>
      </c>
      <c r="I44" s="43">
        <f t="shared" si="5"/>
        <v>0.8537454971</v>
      </c>
      <c r="J44" s="28"/>
      <c r="K44" s="30"/>
      <c r="L44" s="30"/>
      <c r="M44" s="30"/>
      <c r="N44" s="30"/>
      <c r="O44" s="28"/>
      <c r="W44" s="28"/>
      <c r="X44" s="30"/>
      <c r="Y44" s="46" t="s">
        <v>352</v>
      </c>
      <c r="Z44" s="30">
        <v>45.0</v>
      </c>
      <c r="AA44" s="46">
        <v>8146.489999999999</v>
      </c>
      <c r="AB44" s="45">
        <v>45385.0</v>
      </c>
      <c r="AC44" s="28"/>
      <c r="AG44" s="29"/>
      <c r="AH44" s="30"/>
      <c r="AI44" s="36"/>
      <c r="AJ44" s="30"/>
      <c r="AK44" s="29"/>
      <c r="AT44" s="29"/>
      <c r="AX44" s="29"/>
      <c r="BA44" s="30"/>
      <c r="BB44" s="29"/>
      <c r="BC44" s="52"/>
      <c r="BD44" s="30"/>
      <c r="BE44" s="29"/>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row>
    <row r="45">
      <c r="A45" s="30" t="str">
        <f>IFERROR(__xludf.DUMMYFUNCTION("""COMPUTED_VALUE"""),"Gourmet Lanchonetes")</f>
        <v>Gourmet Lanchonetes</v>
      </c>
      <c r="B45" s="42">
        <f>IFERROR(__xludf.DUMMYFUNCTION("""COMPUTED_VALUE"""),8414.135)</f>
        <v>8414.135</v>
      </c>
      <c r="C45" s="43">
        <f t="shared" si="1"/>
        <v>0.006745925563</v>
      </c>
      <c r="D45" s="43">
        <f t="shared" si="4"/>
        <v>0.8716627242</v>
      </c>
      <c r="E45" s="28"/>
      <c r="F45" s="30" t="str">
        <f>IFERROR(__xludf.DUMMYFUNCTION("""COMPUTED_VALUE"""),"Original Frankfurter grüne Soße")</f>
        <v>Original Frankfurter grüne Soße</v>
      </c>
      <c r="G45" s="42">
        <f>IFERROR(__xludf.DUMMYFUNCTION("""COMPUTED_VALUE"""),8836.23)</f>
        <v>8836.23</v>
      </c>
      <c r="H45" s="43">
        <f t="shared" si="2"/>
        <v>0.007084334852</v>
      </c>
      <c r="I45" s="43">
        <f t="shared" si="5"/>
        <v>0.8608298319</v>
      </c>
      <c r="J45" s="28"/>
      <c r="K45" s="30"/>
      <c r="L45" s="30"/>
      <c r="M45" s="30"/>
      <c r="N45" s="30"/>
      <c r="O45" s="28"/>
      <c r="W45" s="28"/>
      <c r="X45" s="30"/>
      <c r="Y45" s="46" t="s">
        <v>265</v>
      </c>
      <c r="Z45" s="30">
        <v>43.0</v>
      </c>
      <c r="AA45" s="46">
        <v>8062.7450000000035</v>
      </c>
      <c r="AB45" s="45">
        <v>45412.0</v>
      </c>
      <c r="AC45" s="28"/>
      <c r="AG45" s="29"/>
      <c r="AH45" s="30"/>
      <c r="AI45" s="36"/>
      <c r="AJ45" s="30"/>
      <c r="AK45" s="29"/>
      <c r="AT45" s="29"/>
      <c r="AX45" s="29"/>
      <c r="BA45" s="30"/>
      <c r="BB45" s="29"/>
      <c r="BC45" s="52"/>
      <c r="BD45" s="30"/>
      <c r="BE45" s="29"/>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row>
    <row r="46">
      <c r="A46" s="30" t="str">
        <f>IFERROR(__xludf.DUMMYFUNCTION("""COMPUTED_VALUE"""),"Magazzini Alimentari Riuniti")</f>
        <v>Magazzini Alimentari Riuniti</v>
      </c>
      <c r="B46" s="42">
        <f>IFERROR(__xludf.DUMMYFUNCTION("""COMPUTED_VALUE"""),7176.215)</f>
        <v>7176.215</v>
      </c>
      <c r="C46" s="43">
        <f t="shared" si="1"/>
        <v>0.00575343897</v>
      </c>
      <c r="D46" s="43">
        <f t="shared" si="4"/>
        <v>0.8774161632</v>
      </c>
      <c r="E46" s="28"/>
      <c r="F46" s="30" t="str">
        <f>IFERROR(__xludf.DUMMYFUNCTION("""COMPUTED_VALUE"""),"Singaporean Hokkien Fried Mee")</f>
        <v>Singaporean Hokkien Fried Mee</v>
      </c>
      <c r="G46" s="42">
        <f>IFERROR(__xludf.DUMMYFUNCTION("""COMPUTED_VALUE"""),8575.0)</f>
        <v>8575</v>
      </c>
      <c r="H46" s="43">
        <f t="shared" si="2"/>
        <v>0.006874897027</v>
      </c>
      <c r="I46" s="43">
        <f t="shared" si="5"/>
        <v>0.867704729</v>
      </c>
      <c r="J46" s="28"/>
      <c r="K46" s="27" t="s">
        <v>1026</v>
      </c>
      <c r="O46" s="28"/>
      <c r="W46" s="28"/>
      <c r="X46" s="30"/>
      <c r="Y46" s="46" t="s">
        <v>341</v>
      </c>
      <c r="Z46" s="30">
        <v>33.0</v>
      </c>
      <c r="AA46" s="46">
        <v>8026.5</v>
      </c>
      <c r="AB46" s="45">
        <v>45406.0</v>
      </c>
      <c r="AC46" s="28"/>
      <c r="AG46" s="29"/>
      <c r="AH46" s="30"/>
      <c r="AI46" s="36"/>
      <c r="AJ46" s="30"/>
      <c r="AK46" s="29"/>
      <c r="AT46" s="29"/>
      <c r="AX46" s="29"/>
      <c r="BA46" s="30"/>
      <c r="BB46" s="29"/>
      <c r="BC46" s="52"/>
      <c r="BD46" s="30"/>
      <c r="BE46" s="29"/>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row>
    <row r="47">
      <c r="A47" s="30" t="str">
        <f>IFERROR(__xludf.DUMMYFUNCTION("""COMPUTED_VALUE"""),"Reggiani Caseifici")</f>
        <v>Reggiani Caseifici</v>
      </c>
      <c r="B47" s="42">
        <f>IFERROR(__xludf.DUMMYFUNCTION("""COMPUTED_VALUE"""),7048.24)</f>
        <v>7048.24</v>
      </c>
      <c r="C47" s="43">
        <f t="shared" si="1"/>
        <v>0.005650836644</v>
      </c>
      <c r="D47" s="43">
        <f t="shared" si="4"/>
        <v>0.8830669999</v>
      </c>
      <c r="E47" s="28"/>
      <c r="F47" s="30" t="str">
        <f>IFERROR(__xludf.DUMMYFUNCTION("""COMPUTED_VALUE"""),"Chef Anton's Cajun Seasoning")</f>
        <v>Chef Anton's Cajun Seasoning</v>
      </c>
      <c r="G47" s="42">
        <f>IFERROR(__xludf.DUMMYFUNCTION("""COMPUTED_VALUE"""),8545.900000000001)</f>
        <v>8545.9</v>
      </c>
      <c r="H47" s="43">
        <f t="shared" si="2"/>
        <v>0.006851566473</v>
      </c>
      <c r="I47" s="43">
        <f t="shared" si="5"/>
        <v>0.8745562954</v>
      </c>
      <c r="J47" s="28"/>
      <c r="O47" s="28"/>
      <c r="W47" s="28"/>
      <c r="X47" s="30"/>
      <c r="Y47" s="46" t="s">
        <v>315</v>
      </c>
      <c r="Z47" s="30">
        <v>23.0</v>
      </c>
      <c r="AA47" s="46">
        <v>7661.549999999999</v>
      </c>
      <c r="AB47" s="45">
        <v>45410.0</v>
      </c>
      <c r="AC47" s="28"/>
      <c r="AG47" s="29"/>
      <c r="AH47" s="30"/>
      <c r="AI47" s="36"/>
      <c r="AJ47" s="30"/>
      <c r="AK47" s="29"/>
      <c r="AT47" s="29"/>
      <c r="AX47" s="29"/>
      <c r="BA47" s="30"/>
      <c r="BB47" s="29"/>
      <c r="BC47" s="52"/>
      <c r="BD47" s="30"/>
      <c r="BE47" s="29"/>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row>
    <row r="48">
      <c r="A48" s="30" t="str">
        <f>IFERROR(__xludf.DUMMYFUNCTION("""COMPUTED_VALUE"""),"Antonio Moreno Taquería")</f>
        <v>Antonio Moreno Taquería</v>
      </c>
      <c r="B48" s="42">
        <f>IFERROR(__xludf.DUMMYFUNCTION("""COMPUTED_VALUE"""),7023.977499999999)</f>
        <v>7023.9775</v>
      </c>
      <c r="C48" s="43">
        <f t="shared" si="1"/>
        <v>0.005631384494</v>
      </c>
      <c r="D48" s="43">
        <f t="shared" si="4"/>
        <v>0.8886983844</v>
      </c>
      <c r="E48" s="28"/>
      <c r="F48" s="30" t="str">
        <f>IFERROR(__xludf.DUMMYFUNCTION("""COMPUTED_VALUE"""),"Mascarpone Fabioli")</f>
        <v>Mascarpone Fabioli</v>
      </c>
      <c r="G48" s="42">
        <f>IFERROR(__xludf.DUMMYFUNCTION("""COMPUTED_VALUE"""),8372.16)</f>
        <v>8372.16</v>
      </c>
      <c r="H48" s="43">
        <f t="shared" si="2"/>
        <v>0.006712272641</v>
      </c>
      <c r="I48" s="43">
        <f t="shared" si="5"/>
        <v>0.8812685681</v>
      </c>
      <c r="J48" s="28"/>
      <c r="O48" s="28"/>
      <c r="W48" s="28"/>
      <c r="X48" s="30"/>
      <c r="Y48" s="46" t="s">
        <v>173</v>
      </c>
      <c r="Z48" s="30">
        <v>20.0</v>
      </c>
      <c r="AA48" s="46">
        <v>7620.187499999999</v>
      </c>
      <c r="AB48" s="45">
        <v>45284.0</v>
      </c>
      <c r="AC48" s="28"/>
      <c r="AD48" s="30"/>
      <c r="AE48" s="30"/>
      <c r="AF48" s="30"/>
      <c r="AG48" s="29"/>
      <c r="AH48" s="30"/>
      <c r="AI48" s="36"/>
      <c r="AJ48" s="30"/>
      <c r="AK48" s="29"/>
      <c r="AT48" s="29"/>
      <c r="AX48" s="29"/>
      <c r="BA48" s="30"/>
      <c r="BB48" s="29"/>
      <c r="BC48" s="52"/>
      <c r="BD48" s="30"/>
      <c r="BE48" s="29"/>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row>
    <row r="49">
      <c r="A49" s="30" t="str">
        <f>IFERROR(__xludf.DUMMYFUNCTION("""COMPUTED_VALUE"""),"Tradição Hipermercados")</f>
        <v>Tradição Hipermercados</v>
      </c>
      <c r="B49" s="42">
        <f>IFERROR(__xludf.DUMMYFUNCTION("""COMPUTED_VALUE"""),6850.664)</f>
        <v>6850.664</v>
      </c>
      <c r="C49" s="43">
        <f t="shared" si="1"/>
        <v>0.005492432603</v>
      </c>
      <c r="D49" s="43">
        <f t="shared" si="4"/>
        <v>0.894190817</v>
      </c>
      <c r="E49" s="28"/>
      <c r="F49" s="30" t="str">
        <f>IFERROR(__xludf.DUMMYFUNCTION("""COMPUTED_VALUE"""),"Rhönbräu Klosterbier")</f>
        <v>Rhönbräu Klosterbier</v>
      </c>
      <c r="G49" s="42">
        <f>IFERROR(__xludf.DUMMYFUNCTION("""COMPUTED_VALUE"""),8146.489999999999)</f>
        <v>8146.49</v>
      </c>
      <c r="H49" s="43">
        <f t="shared" si="2"/>
        <v>0.006531344593</v>
      </c>
      <c r="I49" s="43">
        <f t="shared" si="5"/>
        <v>0.8877999127</v>
      </c>
      <c r="J49" s="28"/>
      <c r="O49" s="28"/>
      <c r="W49" s="28"/>
      <c r="X49" s="30"/>
      <c r="Y49" s="46" t="s">
        <v>196</v>
      </c>
      <c r="Z49" s="30">
        <v>14.0</v>
      </c>
      <c r="AA49" s="46">
        <v>7122.360000000001</v>
      </c>
      <c r="AB49" s="45">
        <v>45388.0</v>
      </c>
      <c r="AC49" s="28"/>
      <c r="AD49" s="30"/>
      <c r="AE49" s="30"/>
      <c r="AF49" s="30"/>
      <c r="AG49" s="29"/>
      <c r="AH49" s="30"/>
      <c r="AI49" s="36"/>
      <c r="AJ49" s="30"/>
      <c r="AK49" s="29"/>
      <c r="AT49" s="29"/>
      <c r="AX49" s="29"/>
      <c r="BA49" s="30"/>
      <c r="BB49" s="29"/>
      <c r="BC49" s="52"/>
      <c r="BD49" s="30"/>
      <c r="BE49" s="29"/>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row>
    <row r="50">
      <c r="A50" s="30" t="str">
        <f>IFERROR(__xludf.DUMMYFUNCTION("""COMPUTED_VALUE"""),"Que Delícia")</f>
        <v>Que Delícia</v>
      </c>
      <c r="B50" s="42">
        <f>IFERROR(__xludf.DUMMYFUNCTION("""COMPUTED_VALUE"""),6664.810000000001)</f>
        <v>6664.81</v>
      </c>
      <c r="C50" s="43">
        <f t="shared" si="1"/>
        <v>0.005343426526</v>
      </c>
      <c r="D50" s="43">
        <f t="shared" si="4"/>
        <v>0.8995342435</v>
      </c>
      <c r="E50" s="28"/>
      <c r="F50" s="30" t="str">
        <f>IFERROR(__xludf.DUMMYFUNCTION("""COMPUTED_VALUE"""),"Jack's New England Clam Chowder")</f>
        <v>Jack's New England Clam Chowder</v>
      </c>
      <c r="G50" s="42">
        <f>IFERROR(__xludf.DUMMYFUNCTION("""COMPUTED_VALUE"""),8062.7450000000035)</f>
        <v>8062.745</v>
      </c>
      <c r="H50" s="43">
        <f t="shared" si="2"/>
        <v>0.006464203106</v>
      </c>
      <c r="I50" s="43">
        <f t="shared" si="5"/>
        <v>0.8942641158</v>
      </c>
      <c r="J50" s="28"/>
      <c r="O50" s="28"/>
      <c r="W50" s="28"/>
      <c r="X50" s="30"/>
      <c r="Y50" s="46" t="s">
        <v>139</v>
      </c>
      <c r="Z50" s="30">
        <v>10.0</v>
      </c>
      <c r="AA50" s="46">
        <v>6737.5</v>
      </c>
      <c r="AB50" s="45">
        <v>45382.0</v>
      </c>
      <c r="AC50" s="28"/>
      <c r="AD50" s="30"/>
      <c r="AE50" s="30"/>
      <c r="AF50" s="30"/>
      <c r="AG50" s="29"/>
      <c r="AH50" s="30"/>
      <c r="AI50" s="36"/>
      <c r="AJ50" s="30"/>
      <c r="AK50" s="29"/>
      <c r="AT50" s="29"/>
      <c r="AX50" s="29"/>
      <c r="BA50" s="30"/>
      <c r="BB50" s="29"/>
      <c r="BC50" s="52"/>
      <c r="BD50" s="30"/>
      <c r="BE50" s="29"/>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row>
    <row r="51">
      <c r="A51" s="30" t="str">
        <f>IFERROR(__xludf.DUMMYFUNCTION("""COMPUTED_VALUE"""),"Furia Bacalhau e Frutos do Mar")</f>
        <v>Furia Bacalhau e Frutos do Mar</v>
      </c>
      <c r="B51" s="42">
        <f>IFERROR(__xludf.DUMMYFUNCTION("""COMPUTED_VALUE"""),6427.422500000001)</f>
        <v>6427.4225</v>
      </c>
      <c r="C51" s="43">
        <f t="shared" si="1"/>
        <v>0.005153104121</v>
      </c>
      <c r="D51" s="43">
        <f t="shared" si="4"/>
        <v>0.9046873476</v>
      </c>
      <c r="E51" s="28"/>
      <c r="F51" s="30" t="str">
        <f>IFERROR(__xludf.DUMMYFUNCTION("""COMPUTED_VALUE"""),"Scottish Longbreads")</f>
        <v>Scottish Longbreads</v>
      </c>
      <c r="G51" s="42">
        <f>IFERROR(__xludf.DUMMYFUNCTION("""COMPUTED_VALUE"""),8026.5)</f>
        <v>8026.5</v>
      </c>
      <c r="H51" s="43">
        <f t="shared" si="2"/>
        <v>0.006435144139</v>
      </c>
      <c r="I51" s="43">
        <f t="shared" si="5"/>
        <v>0.9006992599</v>
      </c>
      <c r="J51" s="28"/>
      <c r="O51" s="28"/>
      <c r="W51" s="28"/>
      <c r="X51" s="30"/>
      <c r="Y51" s="46" t="s">
        <v>316</v>
      </c>
      <c r="Z51" s="30">
        <v>18.0</v>
      </c>
      <c r="AA51" s="46">
        <v>5881.674999999999</v>
      </c>
      <c r="AB51" s="45">
        <v>45391.0</v>
      </c>
      <c r="AC51" s="28"/>
      <c r="AD51" s="27" t="s">
        <v>1031</v>
      </c>
      <c r="AG51" s="29"/>
      <c r="AH51" s="30"/>
      <c r="AI51" s="36"/>
      <c r="AJ51" s="30"/>
      <c r="AK51" s="29"/>
      <c r="AT51" s="29"/>
      <c r="AX51" s="29"/>
      <c r="BA51" s="30"/>
      <c r="BB51" s="29"/>
      <c r="BC51" s="52"/>
      <c r="BD51" s="30"/>
      <c r="BE51" s="29"/>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row>
    <row r="52">
      <c r="A52" s="30" t="str">
        <f>IFERROR(__xludf.DUMMYFUNCTION("""COMPUTED_VALUE"""),"Island Trading")</f>
        <v>Island Trading</v>
      </c>
      <c r="B52" s="42">
        <f>IFERROR(__xludf.DUMMYFUNCTION("""COMPUTED_VALUE"""),6146.3)</f>
        <v>6146.3</v>
      </c>
      <c r="C52" s="43">
        <f t="shared" si="1"/>
        <v>0.004927717738</v>
      </c>
      <c r="D52" s="43">
        <f t="shared" si="4"/>
        <v>0.9096150653</v>
      </c>
      <c r="E52" s="28"/>
      <c r="F52" s="30" t="str">
        <f>IFERROR(__xludf.DUMMYFUNCTION("""COMPUTED_VALUE"""),"Ravioli Angelo")</f>
        <v>Ravioli Angelo</v>
      </c>
      <c r="G52" s="42">
        <f>IFERROR(__xludf.DUMMYFUNCTION("""COMPUTED_VALUE"""),7661.549999999999)</f>
        <v>7661.55</v>
      </c>
      <c r="H52" s="43">
        <f t="shared" si="2"/>
        <v>0.006142550125</v>
      </c>
      <c r="I52" s="43">
        <f t="shared" si="5"/>
        <v>0.9068418101</v>
      </c>
      <c r="J52" s="28"/>
      <c r="O52" s="28"/>
      <c r="W52" s="28"/>
      <c r="X52" s="30"/>
      <c r="Y52" s="46" t="s">
        <v>244</v>
      </c>
      <c r="Z52" s="30">
        <v>18.0</v>
      </c>
      <c r="AA52" s="46">
        <v>5860.4</v>
      </c>
      <c r="AB52" s="45">
        <v>45412.0</v>
      </c>
      <c r="AC52" s="28"/>
      <c r="AG52" s="29"/>
      <c r="AH52" s="30"/>
      <c r="AI52" s="36"/>
      <c r="AJ52" s="30"/>
      <c r="AK52" s="29"/>
      <c r="AT52" s="29"/>
      <c r="AX52" s="29"/>
      <c r="BA52" s="30"/>
      <c r="BB52" s="29"/>
      <c r="BC52" s="52"/>
      <c r="BD52" s="30"/>
      <c r="BE52" s="29"/>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row>
    <row r="53">
      <c r="A53" s="30" t="str">
        <f>IFERROR(__xludf.DUMMYFUNCTION("""COMPUTED_VALUE"""),"B's Beverages")</f>
        <v>B's Beverages</v>
      </c>
      <c r="B53" s="42">
        <f>IFERROR(__xludf.DUMMYFUNCTION("""COMPUTED_VALUE"""),6089.9)</f>
        <v>6089.9</v>
      </c>
      <c r="C53" s="43">
        <f t="shared" si="1"/>
        <v>0.004882499756</v>
      </c>
      <c r="D53" s="43">
        <f t="shared" si="4"/>
        <v>0.9144975651</v>
      </c>
      <c r="E53" s="28"/>
      <c r="F53" s="30" t="str">
        <f>IFERROR(__xludf.DUMMYFUNCTION("""COMPUTED_VALUE"""),"Tofu")</f>
        <v>Tofu</v>
      </c>
      <c r="G53" s="42">
        <f>IFERROR(__xludf.DUMMYFUNCTION("""COMPUTED_VALUE"""),7620.187499999999)</f>
        <v>7620.1875</v>
      </c>
      <c r="H53" s="43">
        <f t="shared" si="2"/>
        <v>0.006109388267</v>
      </c>
      <c r="I53" s="43">
        <f t="shared" si="5"/>
        <v>0.9129511983</v>
      </c>
      <c r="J53" s="28"/>
      <c r="O53" s="28"/>
      <c r="W53" s="28"/>
      <c r="X53" s="30"/>
      <c r="Y53" s="46" t="s">
        <v>280</v>
      </c>
      <c r="Z53" s="30">
        <v>25.0</v>
      </c>
      <c r="AA53" s="46">
        <v>5541.719999999999</v>
      </c>
      <c r="AB53" s="45">
        <v>45395.0</v>
      </c>
      <c r="AC53" s="28"/>
      <c r="AG53" s="29"/>
      <c r="AH53" s="30"/>
      <c r="AI53" s="36"/>
      <c r="AJ53" s="30"/>
      <c r="AK53" s="29"/>
      <c r="AT53" s="29"/>
      <c r="AX53" s="29"/>
      <c r="BA53" s="30"/>
      <c r="BB53" s="29"/>
      <c r="BC53" s="52"/>
      <c r="BD53" s="30"/>
      <c r="BE53" s="29"/>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row>
    <row r="54">
      <c r="A54" s="30" t="str">
        <f>IFERROR(__xludf.DUMMYFUNCTION("""COMPUTED_VALUE"""),"Wellington Importadora")</f>
        <v>Wellington Importadora</v>
      </c>
      <c r="B54" s="42">
        <f>IFERROR(__xludf.DUMMYFUNCTION("""COMPUTED_VALUE"""),6068.200000000001)</f>
        <v>6068.2</v>
      </c>
      <c r="C54" s="43">
        <f t="shared" si="1"/>
        <v>0.004865102057</v>
      </c>
      <c r="D54" s="43">
        <f t="shared" si="4"/>
        <v>0.9193626672</v>
      </c>
      <c r="E54" s="28"/>
      <c r="F54" s="30" t="str">
        <f>IFERROR(__xludf.DUMMYFUNCTION("""COMPUTED_VALUE"""),"Mishi Kobe Niku")</f>
        <v>Mishi Kobe Niku</v>
      </c>
      <c r="G54" s="42">
        <f>IFERROR(__xludf.DUMMYFUNCTION("""COMPUTED_VALUE"""),7226.5)</f>
        <v>7226.5</v>
      </c>
      <c r="H54" s="43">
        <f t="shared" si="2"/>
        <v>0.005793754329</v>
      </c>
      <c r="I54" s="43">
        <f t="shared" si="5"/>
        <v>0.9187449526</v>
      </c>
      <c r="J54" s="28"/>
      <c r="O54" s="28"/>
      <c r="W54" s="28"/>
      <c r="X54" s="30"/>
      <c r="Y54" s="46" t="s">
        <v>188</v>
      </c>
      <c r="Z54" s="30">
        <v>35.0</v>
      </c>
      <c r="AA54" s="46">
        <v>5407.219999999998</v>
      </c>
      <c r="AB54" s="45">
        <v>45396.0</v>
      </c>
      <c r="AC54" s="28"/>
      <c r="AG54" s="29"/>
      <c r="AH54" s="30"/>
      <c r="AI54" s="36"/>
      <c r="AJ54" s="30"/>
      <c r="AK54" s="29"/>
      <c r="AT54" s="29"/>
      <c r="AX54" s="29"/>
      <c r="BA54" s="30"/>
      <c r="BB54" s="29"/>
      <c r="BC54" s="52"/>
      <c r="BD54" s="30"/>
      <c r="BE54" s="29"/>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row>
    <row r="55">
      <c r="A55" s="30" t="str">
        <f>IFERROR(__xludf.DUMMYFUNCTION("""COMPUTED_VALUE"""),"Santé Gourmet")</f>
        <v>Santé Gourmet</v>
      </c>
      <c r="B55" s="42">
        <f>IFERROR(__xludf.DUMMYFUNCTION("""COMPUTED_VALUE"""),5735.150000000001)</f>
        <v>5735.15</v>
      </c>
      <c r="C55" s="43">
        <f t="shared" si="1"/>
        <v>0.004598083462</v>
      </c>
      <c r="D55" s="43">
        <f t="shared" si="4"/>
        <v>0.9239607506</v>
      </c>
      <c r="E55" s="28"/>
      <c r="F55" s="30" t="str">
        <f>IFERROR(__xludf.DUMMYFUNCTION("""COMPUTED_VALUE"""),"Gustaf's Knäckebröd")</f>
        <v>Gustaf's Knäckebröd</v>
      </c>
      <c r="G55" s="42">
        <f>IFERROR(__xludf.DUMMYFUNCTION("""COMPUTED_VALUE"""),7122.360000000001)</f>
        <v>7122.36</v>
      </c>
      <c r="H55" s="43">
        <f t="shared" si="2"/>
        <v>0.00571026141</v>
      </c>
      <c r="I55" s="43">
        <f t="shared" si="5"/>
        <v>0.9244552141</v>
      </c>
      <c r="J55" s="28"/>
      <c r="O55" s="28"/>
      <c r="W55" s="28"/>
      <c r="X55" s="30"/>
      <c r="Y55" s="46" t="s">
        <v>169</v>
      </c>
      <c r="Z55" s="30">
        <v>38.0</v>
      </c>
      <c r="AA55" s="46">
        <v>4879.4400000000005</v>
      </c>
      <c r="AB55" s="45">
        <v>45411.0</v>
      </c>
      <c r="AC55" s="28"/>
      <c r="AG55" s="29"/>
      <c r="AH55" s="30"/>
      <c r="AI55" s="36"/>
      <c r="AJ55" s="30"/>
      <c r="AK55" s="29"/>
      <c r="AT55" s="29"/>
      <c r="AX55" s="29"/>
      <c r="BA55" s="30"/>
      <c r="BB55" s="29"/>
      <c r="BC55" s="52"/>
      <c r="BD55" s="30"/>
      <c r="BE55" s="29"/>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row>
    <row r="56">
      <c r="A56" s="30" t="str">
        <f>IFERROR(__xludf.DUMMYFUNCTION("""COMPUTED_VALUE"""),"Princesa Isabel Vinhos")</f>
        <v>Princesa Isabel Vinhos</v>
      </c>
      <c r="B56" s="42">
        <f>IFERROR(__xludf.DUMMYFUNCTION("""COMPUTED_VALUE"""),5044.9400000000005)</f>
        <v>5044.94</v>
      </c>
      <c r="C56" s="43">
        <f t="shared" si="1"/>
        <v>0.004044716386</v>
      </c>
      <c r="D56" s="43">
        <f t="shared" si="4"/>
        <v>0.928005467</v>
      </c>
      <c r="E56" s="28"/>
      <c r="F56" s="30" t="str">
        <f>IFERROR(__xludf.DUMMYFUNCTION("""COMPUTED_VALUE"""),"Grandma's Boysenberry Spread")</f>
        <v>Grandma's Boysenberry Spread</v>
      </c>
      <c r="G56" s="42">
        <f>IFERROR(__xludf.DUMMYFUNCTION("""COMPUTED_VALUE"""),6737.5)</f>
        <v>6737.5</v>
      </c>
      <c r="H56" s="43">
        <f t="shared" si="2"/>
        <v>0.005401704807</v>
      </c>
      <c r="I56" s="43">
        <f t="shared" si="5"/>
        <v>0.9298569189</v>
      </c>
      <c r="J56" s="28"/>
      <c r="O56" s="28"/>
      <c r="W56" s="28"/>
      <c r="X56" s="30"/>
      <c r="Y56" s="46" t="s">
        <v>304</v>
      </c>
      <c r="Z56" s="30">
        <v>35.0</v>
      </c>
      <c r="AA56" s="46">
        <v>4616.4875</v>
      </c>
      <c r="AB56" s="45">
        <v>45402.0</v>
      </c>
      <c r="AC56" s="28"/>
      <c r="AG56" s="29"/>
      <c r="AH56" s="30"/>
      <c r="AI56" s="36"/>
      <c r="AJ56" s="30"/>
      <c r="AK56" s="29"/>
      <c r="AT56" s="29"/>
      <c r="AU56" s="30"/>
      <c r="AV56" s="30"/>
      <c r="AW56" s="30"/>
      <c r="AX56" s="29"/>
      <c r="AY56" s="39"/>
      <c r="AZ56" s="30"/>
      <c r="BA56" s="30"/>
      <c r="BB56" s="29"/>
      <c r="BC56" s="52"/>
      <c r="BD56" s="30"/>
      <c r="BE56" s="29"/>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row>
    <row r="57">
      <c r="A57" s="30" t="str">
        <f>IFERROR(__xludf.DUMMYFUNCTION("""COMPUTED_VALUE"""),"Morgenstern Gesundkost")</f>
        <v>Morgenstern Gesundkost</v>
      </c>
      <c r="B57" s="42">
        <f>IFERROR(__xludf.DUMMYFUNCTION("""COMPUTED_VALUE"""),5042.2)</f>
        <v>5042.2</v>
      </c>
      <c r="C57" s="43">
        <f t="shared" si="1"/>
        <v>0.004042519626</v>
      </c>
      <c r="D57" s="43">
        <f t="shared" si="4"/>
        <v>0.9320479866</v>
      </c>
      <c r="E57" s="28"/>
      <c r="F57" s="30" t="str">
        <f>IFERROR(__xludf.DUMMYFUNCTION("""COMPUTED_VALUE"""),"Escargots de Bourgogne")</f>
        <v>Escargots de Bourgogne</v>
      </c>
      <c r="G57" s="42">
        <f>IFERROR(__xludf.DUMMYFUNCTION("""COMPUTED_VALUE"""),5881.674999999999)</f>
        <v>5881.675</v>
      </c>
      <c r="H57" s="43">
        <f t="shared" si="2"/>
        <v>0.004715558014</v>
      </c>
      <c r="I57" s="43">
        <f t="shared" si="5"/>
        <v>0.9345724769</v>
      </c>
      <c r="J57" s="28"/>
      <c r="O57" s="28"/>
      <c r="W57" s="28"/>
      <c r="X57" s="30"/>
      <c r="Y57" s="46" t="s">
        <v>203</v>
      </c>
      <c r="Z57" s="30">
        <v>19.0</v>
      </c>
      <c r="AA57" s="46">
        <v>4583.7</v>
      </c>
      <c r="AB57" s="45">
        <v>45391.0</v>
      </c>
      <c r="AC57" s="28"/>
      <c r="AG57" s="29"/>
      <c r="AH57" s="30"/>
      <c r="AI57" s="36"/>
      <c r="AJ57" s="30"/>
      <c r="AK57" s="29"/>
      <c r="AT57" s="29"/>
      <c r="AU57" s="30"/>
      <c r="AV57" s="30"/>
      <c r="AW57" s="30"/>
      <c r="AX57" s="29"/>
      <c r="AY57" s="39"/>
      <c r="AZ57" s="30"/>
      <c r="BA57" s="30"/>
      <c r="BB57" s="29"/>
      <c r="BC57" s="52"/>
      <c r="BD57" s="30"/>
      <c r="BE57" s="29"/>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row>
    <row r="58">
      <c r="A58" s="30" t="str">
        <f>IFERROR(__xludf.DUMMYFUNCTION("""COMPUTED_VALUE"""),"Toms Spezialitäten")</f>
        <v>Toms Spezialitäten</v>
      </c>
      <c r="B58" s="42">
        <f>IFERROR(__xludf.DUMMYFUNCTION("""COMPUTED_VALUE"""),4778.139999999999)</f>
        <v>4778.14</v>
      </c>
      <c r="C58" s="43">
        <f t="shared" si="1"/>
        <v>0.003830812884</v>
      </c>
      <c r="D58" s="43">
        <f t="shared" si="4"/>
        <v>0.9358787995</v>
      </c>
      <c r="E58" s="28"/>
      <c r="F58" s="30" t="str">
        <f>IFERROR(__xludf.DUMMYFUNCTION("""COMPUTED_VALUE"""),"Sasquatch Ale")</f>
        <v>Sasquatch Ale</v>
      </c>
      <c r="G58" s="42">
        <f>IFERROR(__xludf.DUMMYFUNCTION("""COMPUTED_VALUE"""),5860.4)</f>
        <v>5860.4</v>
      </c>
      <c r="H58" s="43">
        <f t="shared" si="2"/>
        <v>0.004698501054</v>
      </c>
      <c r="I58" s="43">
        <f t="shared" si="5"/>
        <v>0.9392709779</v>
      </c>
      <c r="J58" s="28"/>
      <c r="O58" s="28"/>
      <c r="W58" s="28"/>
      <c r="X58" s="30"/>
      <c r="Y58" s="46" t="s">
        <v>275</v>
      </c>
      <c r="Z58" s="30">
        <v>14.0</v>
      </c>
      <c r="AA58" s="46">
        <v>4338.175</v>
      </c>
      <c r="AB58" s="45">
        <v>45391.0</v>
      </c>
      <c r="AC58" s="28"/>
      <c r="AG58" s="29"/>
      <c r="AH58" s="30"/>
      <c r="AI58" s="36"/>
      <c r="AJ58" s="30"/>
      <c r="AK58" s="29"/>
      <c r="AT58" s="29"/>
      <c r="AU58" s="30"/>
      <c r="AV58" s="30"/>
      <c r="AW58" s="30"/>
      <c r="AX58" s="29"/>
      <c r="AY58" s="39"/>
      <c r="AZ58" s="30"/>
      <c r="BA58" s="30"/>
      <c r="BB58" s="29"/>
      <c r="BC58" s="52"/>
      <c r="BD58" s="30"/>
      <c r="BE58" s="29"/>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row>
    <row r="59">
      <c r="A59" s="30" t="str">
        <f>IFERROR(__xludf.DUMMYFUNCTION("""COMPUTED_VALUE"""),"Alfreds Futterkiste")</f>
        <v>Alfreds Futterkiste</v>
      </c>
      <c r="B59" s="42">
        <f>IFERROR(__xludf.DUMMYFUNCTION("""COMPUTED_VALUE"""),4273.0)</f>
        <v>4273</v>
      </c>
      <c r="C59" s="43">
        <f t="shared" si="1"/>
        <v>0.003425823323</v>
      </c>
      <c r="D59" s="43">
        <f t="shared" si="4"/>
        <v>0.9393046228</v>
      </c>
      <c r="E59" s="28"/>
      <c r="F59" s="30" t="str">
        <f>IFERROR(__xludf.DUMMYFUNCTION("""COMPUTED_VALUE"""),"Spegesild")</f>
        <v>Spegesild</v>
      </c>
      <c r="G59" s="42">
        <f>IFERROR(__xludf.DUMMYFUNCTION("""COMPUTED_VALUE"""),5541.719999999999)</f>
        <v>5541.72</v>
      </c>
      <c r="H59" s="43">
        <f t="shared" si="2"/>
        <v>0.004443003423</v>
      </c>
      <c r="I59" s="43">
        <f t="shared" si="5"/>
        <v>0.9437139814</v>
      </c>
      <c r="J59" s="28"/>
      <c r="O59" s="28"/>
      <c r="W59" s="28"/>
      <c r="X59" s="30"/>
      <c r="Y59" s="46" t="s">
        <v>349</v>
      </c>
      <c r="Z59" s="30">
        <v>13.0</v>
      </c>
      <c r="AA59" s="46">
        <v>3967.5</v>
      </c>
      <c r="AB59" s="45">
        <v>45333.0</v>
      </c>
      <c r="AC59" s="28"/>
      <c r="AG59" s="29"/>
      <c r="AH59" s="30"/>
      <c r="AI59" s="36"/>
      <c r="AJ59" s="30"/>
      <c r="AK59" s="29"/>
      <c r="AT59" s="29"/>
      <c r="AU59" s="30"/>
      <c r="AV59" s="30"/>
      <c r="AW59" s="30"/>
      <c r="AX59" s="29"/>
      <c r="AY59" s="39"/>
      <c r="AZ59" s="30"/>
      <c r="BA59" s="30"/>
      <c r="BB59" s="29"/>
      <c r="BC59" s="52"/>
      <c r="BD59" s="30"/>
      <c r="BE59" s="29"/>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row>
    <row r="60">
      <c r="A60" s="30" t="str">
        <f>IFERROR(__xludf.DUMMYFUNCTION("""COMPUTED_VALUE"""),"Lonesome Pine Restaurant")</f>
        <v>Lonesome Pine Restaurant</v>
      </c>
      <c r="B60" s="42">
        <f>IFERROR(__xludf.DUMMYFUNCTION("""COMPUTED_VALUE"""),4258.6)</f>
        <v>4258.6</v>
      </c>
      <c r="C60" s="43">
        <f t="shared" si="1"/>
        <v>0.003414278307</v>
      </c>
      <c r="D60" s="43">
        <f t="shared" si="4"/>
        <v>0.9427189011</v>
      </c>
      <c r="E60" s="28"/>
      <c r="F60" s="30" t="str">
        <f>IFERROR(__xludf.DUMMYFUNCTION("""COMPUTED_VALUE"""),"Teatime Chocolate Biscuits")</f>
        <v>Teatime Chocolate Biscuits</v>
      </c>
      <c r="G60" s="42">
        <f>IFERROR(__xludf.DUMMYFUNCTION("""COMPUTED_VALUE"""),5407.219999999998)</f>
        <v>5407.22</v>
      </c>
      <c r="H60" s="43">
        <f t="shared" si="2"/>
        <v>0.004335169761</v>
      </c>
      <c r="I60" s="43">
        <f t="shared" si="5"/>
        <v>0.9480491511</v>
      </c>
      <c r="J60" s="28"/>
      <c r="O60" s="28"/>
      <c r="W60" s="28"/>
      <c r="X60" s="30"/>
      <c r="Y60" s="46" t="s">
        <v>282</v>
      </c>
      <c r="Z60" s="30">
        <v>21.0</v>
      </c>
      <c r="AA60" s="46">
        <v>3958.08</v>
      </c>
      <c r="AB60" s="45">
        <v>45377.0</v>
      </c>
      <c r="AC60" s="28"/>
      <c r="AG60" s="29"/>
      <c r="AH60" s="30"/>
      <c r="AI60" s="36"/>
      <c r="AJ60" s="30"/>
      <c r="AK60" s="29"/>
      <c r="AT60" s="29"/>
      <c r="AU60" s="30"/>
      <c r="AV60" s="30"/>
      <c r="AW60" s="30"/>
      <c r="AX60" s="29"/>
      <c r="AY60" s="39"/>
      <c r="AZ60" s="30"/>
      <c r="BA60" s="30"/>
      <c r="BB60" s="29"/>
      <c r="BC60" s="52"/>
      <c r="BD60" s="30"/>
      <c r="BE60" s="29"/>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row>
    <row r="61">
      <c r="A61" s="30" t="str">
        <f>IFERROR(__xludf.DUMMYFUNCTION("""COMPUTED_VALUE"""),"Bólido Comidas preparadas")</f>
        <v>Bólido Comidas preparadas</v>
      </c>
      <c r="B61" s="42">
        <f>IFERROR(__xludf.DUMMYFUNCTION("""COMPUTED_VALUE"""),4232.85)</f>
        <v>4232.85</v>
      </c>
      <c r="C61" s="43">
        <f t="shared" si="1"/>
        <v>0.003393633572</v>
      </c>
      <c r="D61" s="43">
        <f t="shared" si="4"/>
        <v>0.9461125347</v>
      </c>
      <c r="E61" s="28"/>
      <c r="F61" s="30" t="str">
        <f>IFERROR(__xludf.DUMMYFUNCTION("""COMPUTED_VALUE"""),"Chef Anton's Gumbo Mix")</f>
        <v>Chef Anton's Gumbo Mix</v>
      </c>
      <c r="G61" s="42">
        <f>IFERROR(__xludf.DUMMYFUNCTION("""COMPUTED_VALUE"""),5347.200000000001)</f>
        <v>5347.2</v>
      </c>
      <c r="H61" s="43">
        <f t="shared" si="2"/>
        <v>0.004287049491</v>
      </c>
      <c r="I61" s="43">
        <f t="shared" si="5"/>
        <v>0.9523362006</v>
      </c>
      <c r="J61" s="28"/>
      <c r="K61" s="30"/>
      <c r="L61" s="30"/>
      <c r="M61" s="30"/>
      <c r="N61" s="30"/>
      <c r="O61" s="28"/>
      <c r="W61" s="28"/>
      <c r="X61" s="30"/>
      <c r="Y61" s="46" t="s">
        <v>210</v>
      </c>
      <c r="Z61" s="30">
        <v>18.0</v>
      </c>
      <c r="AA61" s="46">
        <v>3704.3999999999996</v>
      </c>
      <c r="AB61" s="45">
        <v>45410.0</v>
      </c>
      <c r="AC61" s="28"/>
      <c r="AG61" s="29"/>
      <c r="AH61" s="30"/>
      <c r="AI61" s="36"/>
      <c r="AJ61" s="30"/>
      <c r="AK61" s="29"/>
      <c r="AT61" s="29"/>
      <c r="AU61" s="30"/>
      <c r="AV61" s="30"/>
      <c r="AW61" s="30"/>
      <c r="AX61" s="29"/>
      <c r="AY61" s="39"/>
      <c r="AZ61" s="30"/>
      <c r="BA61" s="30"/>
      <c r="BB61" s="29"/>
      <c r="BC61" s="52"/>
      <c r="BD61" s="30"/>
      <c r="BE61" s="29"/>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row>
    <row r="62">
      <c r="A62" s="30" t="str">
        <f>IFERROR(__xludf.DUMMYFUNCTION("""COMPUTED_VALUE"""),"Familia Arquibaldo")</f>
        <v>Familia Arquibaldo</v>
      </c>
      <c r="B62" s="42">
        <f>IFERROR(__xludf.DUMMYFUNCTION("""COMPUTED_VALUE"""),4107.55)</f>
        <v>4107.55</v>
      </c>
      <c r="C62" s="43">
        <f t="shared" si="1"/>
        <v>0.003293175893</v>
      </c>
      <c r="D62" s="43">
        <f t="shared" si="4"/>
        <v>0.9494057106</v>
      </c>
      <c r="E62" s="28"/>
      <c r="F62" s="30" t="str">
        <f>IFERROR(__xludf.DUMMYFUNCTION("""COMPUTED_VALUE"""),"Konbu")</f>
        <v>Konbu</v>
      </c>
      <c r="G62" s="42">
        <f>IFERROR(__xludf.DUMMYFUNCTION("""COMPUTED_VALUE"""),4879.4400000000005)</f>
        <v>4879.44</v>
      </c>
      <c r="H62" s="43">
        <f t="shared" si="2"/>
        <v>0.003912028869</v>
      </c>
      <c r="I62" s="43">
        <f t="shared" si="5"/>
        <v>0.9562482295</v>
      </c>
      <c r="J62" s="28"/>
      <c r="K62" s="30"/>
      <c r="L62" s="30"/>
      <c r="M62" s="30"/>
      <c r="N62" s="30"/>
      <c r="O62" s="28"/>
      <c r="W62" s="28"/>
      <c r="X62" s="30"/>
      <c r="Y62" s="46" t="s">
        <v>338</v>
      </c>
      <c r="Z62" s="30">
        <v>7.0</v>
      </c>
      <c r="AA62" s="46">
        <v>3366.0</v>
      </c>
      <c r="AB62" s="45">
        <v>45271.0</v>
      </c>
      <c r="AC62" s="28"/>
      <c r="AG62" s="29"/>
      <c r="AH62" s="30"/>
      <c r="AI62" s="36"/>
      <c r="AJ62" s="30"/>
      <c r="AK62" s="29"/>
      <c r="AT62" s="29"/>
      <c r="AU62" s="30"/>
      <c r="AV62" s="30"/>
      <c r="AW62" s="30"/>
      <c r="AX62" s="29"/>
      <c r="AY62" s="39"/>
      <c r="AZ62" s="30"/>
      <c r="BA62" s="30"/>
      <c r="BB62" s="29"/>
      <c r="BC62" s="52"/>
      <c r="BD62" s="30"/>
      <c r="BE62" s="29"/>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row>
    <row r="63">
      <c r="A63" s="30" t="str">
        <f>IFERROR(__xludf.DUMMYFUNCTION("""COMPUTED_VALUE"""),"Pericles Comidas clásicas")</f>
        <v>Pericles Comidas clásicas</v>
      </c>
      <c r="B63" s="42">
        <f>IFERROR(__xludf.DUMMYFUNCTION("""COMPUTED_VALUE"""),3942.2)</f>
        <v>3942.2</v>
      </c>
      <c r="C63" s="43">
        <f t="shared" si="1"/>
        <v>0.003160608637</v>
      </c>
      <c r="D63" s="43">
        <f t="shared" si="4"/>
        <v>0.9525663192</v>
      </c>
      <c r="E63" s="28"/>
      <c r="F63" s="30" t="str">
        <f>IFERROR(__xludf.DUMMYFUNCTION("""COMPUTED_VALUE"""),"Tourtière")</f>
        <v>Tourtière</v>
      </c>
      <c r="G63" s="42">
        <f>IFERROR(__xludf.DUMMYFUNCTION("""COMPUTED_VALUE"""),4616.4875)</f>
        <v>4616.4875</v>
      </c>
      <c r="H63" s="43">
        <f t="shared" si="2"/>
        <v>0.003701210051</v>
      </c>
      <c r="I63" s="43">
        <f t="shared" si="5"/>
        <v>0.9599494395</v>
      </c>
      <c r="J63" s="28"/>
      <c r="K63" s="30"/>
      <c r="L63" s="30"/>
      <c r="M63" s="30"/>
      <c r="N63" s="30"/>
      <c r="O63" s="28"/>
      <c r="W63" s="28"/>
      <c r="X63" s="30"/>
      <c r="Y63" s="46" t="s">
        <v>300</v>
      </c>
      <c r="Z63" s="30">
        <v>28.0</v>
      </c>
      <c r="AA63" s="46">
        <v>3218.9500000000003</v>
      </c>
      <c r="AB63" s="45">
        <v>45403.0</v>
      </c>
      <c r="AC63" s="28"/>
      <c r="AG63" s="29"/>
      <c r="AH63" s="30"/>
      <c r="AI63" s="36"/>
      <c r="AJ63" s="30"/>
      <c r="AK63" s="29"/>
      <c r="AT63" s="29"/>
      <c r="AU63" s="30"/>
      <c r="AV63" s="30"/>
      <c r="AW63" s="30"/>
      <c r="AX63" s="29"/>
      <c r="AY63" s="39"/>
      <c r="AZ63" s="30"/>
      <c r="BA63" s="30"/>
      <c r="BB63" s="29"/>
      <c r="BC63" s="52"/>
      <c r="BD63" s="30"/>
      <c r="BE63" s="29"/>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row>
    <row r="64">
      <c r="A64" s="30" t="str">
        <f>IFERROR(__xludf.DUMMYFUNCTION("""COMPUTED_VALUE"""),"Comércio Mineiro")</f>
        <v>Comércio Mineiro</v>
      </c>
      <c r="B64" s="42">
        <f>IFERROR(__xludf.DUMMYFUNCTION("""COMPUTED_VALUE"""),3810.75)</f>
        <v>3810.75</v>
      </c>
      <c r="C64" s="43">
        <f t="shared" si="1"/>
        <v>0.003055220274</v>
      </c>
      <c r="D64" s="43">
        <f t="shared" si="4"/>
        <v>0.9556215395</v>
      </c>
      <c r="E64" s="28"/>
      <c r="F64" s="30" t="str">
        <f>IFERROR(__xludf.DUMMYFUNCTION("""COMPUTED_VALUE"""),"Tunnbröd")</f>
        <v>Tunnbröd</v>
      </c>
      <c r="G64" s="42">
        <f>IFERROR(__xludf.DUMMYFUNCTION("""COMPUTED_VALUE"""),4583.7)</f>
        <v>4583.7</v>
      </c>
      <c r="H64" s="43">
        <f t="shared" si="2"/>
        <v>0.003674923091</v>
      </c>
      <c r="I64" s="43">
        <f t="shared" si="5"/>
        <v>0.9636243626</v>
      </c>
      <c r="J64" s="28"/>
      <c r="K64" s="30"/>
      <c r="L64" s="30"/>
      <c r="M64" s="30"/>
      <c r="N64" s="30"/>
      <c r="O64" s="28"/>
      <c r="W64" s="28"/>
      <c r="X64" s="30"/>
      <c r="Y64" s="46" t="s">
        <v>294</v>
      </c>
      <c r="Z64" s="30">
        <v>9.0</v>
      </c>
      <c r="AA64" s="46">
        <v>3080.1875</v>
      </c>
      <c r="AB64" s="45">
        <v>45364.0</v>
      </c>
      <c r="AC64" s="28"/>
      <c r="AG64" s="29"/>
      <c r="AH64" s="30"/>
      <c r="AI64" s="36"/>
      <c r="AJ64" s="30"/>
      <c r="AK64" s="29"/>
      <c r="AT64" s="29"/>
      <c r="AU64" s="30"/>
      <c r="AV64" s="30"/>
      <c r="AW64" s="30"/>
      <c r="AX64" s="29"/>
      <c r="AY64" s="39"/>
      <c r="AZ64" s="30"/>
      <c r="BA64" s="30"/>
      <c r="BB64" s="29"/>
      <c r="BC64" s="52"/>
      <c r="BD64" s="30"/>
      <c r="BE64" s="29"/>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row>
    <row r="65">
      <c r="A65" s="30" t="str">
        <f>IFERROR(__xludf.DUMMYFUNCTION("""COMPUTED_VALUE"""),"Drachenblut Delikatessen")</f>
        <v>Drachenblut Delikatessen</v>
      </c>
      <c r="B65" s="42">
        <f>IFERROR(__xludf.DUMMYFUNCTION("""COMPUTED_VALUE"""),3676.36)</f>
        <v>3676.36</v>
      </c>
      <c r="C65" s="43">
        <f t="shared" si="1"/>
        <v>0.002947474803</v>
      </c>
      <c r="D65" s="43">
        <f t="shared" si="4"/>
        <v>0.9585690143</v>
      </c>
      <c r="E65" s="28"/>
      <c r="F65" s="30" t="str">
        <f>IFERROR(__xludf.DUMMYFUNCTION("""COMPUTED_VALUE"""),"Brigadeiros Maravilhosos da Lilian")</f>
        <v>Brigadeiros Maravilhosos da Lilian</v>
      </c>
      <c r="G65" s="42">
        <f>IFERROR(__xludf.DUMMYFUNCTION("""COMPUTED_VALUE"""),4414.365)</f>
        <v>4414.365</v>
      </c>
      <c r="H65" s="43">
        <f t="shared" si="2"/>
        <v>0.003539160912</v>
      </c>
      <c r="I65" s="43">
        <f t="shared" si="5"/>
        <v>0.9671635235</v>
      </c>
      <c r="J65" s="28"/>
      <c r="K65" s="30"/>
      <c r="L65" s="30"/>
      <c r="M65" s="30"/>
      <c r="N65" s="30"/>
      <c r="O65" s="28"/>
      <c r="W65" s="28"/>
      <c r="X65" s="30"/>
      <c r="Y65" s="46" t="s">
        <v>128</v>
      </c>
      <c r="Z65" s="30">
        <v>11.0</v>
      </c>
      <c r="AA65" s="46">
        <v>3004.0</v>
      </c>
      <c r="AB65" s="45">
        <v>45395.0</v>
      </c>
      <c r="AC65" s="28"/>
      <c r="AG65" s="29"/>
      <c r="AH65" s="30"/>
      <c r="AI65" s="36"/>
      <c r="AJ65" s="30"/>
      <c r="AK65" s="29"/>
      <c r="AT65" s="29"/>
      <c r="AU65" s="30"/>
      <c r="AV65" s="30"/>
      <c r="AW65" s="30"/>
      <c r="AX65" s="29"/>
      <c r="AY65" s="39"/>
      <c r="AZ65" s="30"/>
      <c r="BA65" s="30"/>
      <c r="BB65" s="29"/>
      <c r="BC65" s="52"/>
      <c r="BD65" s="30"/>
      <c r="BE65" s="29"/>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row>
    <row r="66">
      <c r="A66" s="30" t="str">
        <f>IFERROR(__xludf.DUMMYFUNCTION("""COMPUTED_VALUE"""),"Wolski  Zajazd")</f>
        <v>Wolski  Zajazd</v>
      </c>
      <c r="B66" s="42">
        <f>IFERROR(__xludf.DUMMYFUNCTION("""COMPUTED_VALUE"""),3531.95)</f>
        <v>3531.95</v>
      </c>
      <c r="C66" s="43">
        <f t="shared" si="1"/>
        <v>0.002831695925</v>
      </c>
      <c r="D66" s="43">
        <f t="shared" si="4"/>
        <v>0.9614007102</v>
      </c>
      <c r="E66" s="28"/>
      <c r="F66" s="30" t="str">
        <f>IFERROR(__xludf.DUMMYFUNCTION("""COMPUTED_VALUE"""),"Rogede sild")</f>
        <v>Rogede sild</v>
      </c>
      <c r="G66" s="42">
        <f>IFERROR(__xludf.DUMMYFUNCTION("""COMPUTED_VALUE"""),4338.175)</f>
        <v>4338.175</v>
      </c>
      <c r="H66" s="43">
        <f t="shared" si="2"/>
        <v>0.003478076549</v>
      </c>
      <c r="I66" s="43">
        <f t="shared" si="5"/>
        <v>0.9706416001</v>
      </c>
      <c r="J66" s="28"/>
      <c r="K66" s="30"/>
      <c r="L66" s="30"/>
      <c r="M66" s="30"/>
      <c r="N66" s="30"/>
      <c r="O66" s="28"/>
      <c r="W66" s="28"/>
      <c r="X66" s="30"/>
      <c r="Y66" s="46" t="s">
        <v>252</v>
      </c>
      <c r="Z66" s="30">
        <v>6.0</v>
      </c>
      <c r="AA66" s="46">
        <v>2688.3999999999996</v>
      </c>
      <c r="AB66" s="45">
        <v>45371.0</v>
      </c>
      <c r="AC66" s="28"/>
      <c r="AG66" s="29"/>
      <c r="AH66" s="30"/>
      <c r="AI66" s="36"/>
      <c r="AJ66" s="30"/>
      <c r="AK66" s="29"/>
      <c r="AT66" s="29"/>
      <c r="AU66" s="30"/>
      <c r="AV66" s="30"/>
      <c r="AW66" s="30"/>
      <c r="AX66" s="29"/>
      <c r="AY66" s="39"/>
      <c r="AZ66" s="30"/>
      <c r="BA66" s="30"/>
      <c r="BB66" s="29"/>
      <c r="BC66" s="52"/>
      <c r="BD66" s="30"/>
      <c r="BE66" s="29"/>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row>
    <row r="67">
      <c r="A67" s="30" t="str">
        <f>IFERROR(__xludf.DUMMYFUNCTION("""COMPUTED_VALUE"""),"Océano Atlántico Ltda.")</f>
        <v>Océano Atlántico Ltda.</v>
      </c>
      <c r="B67" s="42">
        <f>IFERROR(__xludf.DUMMYFUNCTION("""COMPUTED_VALUE"""),3460.2)</f>
        <v>3460.2</v>
      </c>
      <c r="C67" s="43">
        <f t="shared" si="1"/>
        <v>0.002774171276</v>
      </c>
      <c r="D67" s="43">
        <f t="shared" si="4"/>
        <v>0.9641748815</v>
      </c>
      <c r="E67" s="28"/>
      <c r="F67" s="30" t="str">
        <f>IFERROR(__xludf.DUMMYFUNCTION("""COMPUTED_VALUE"""),"Röd Kaviar")</f>
        <v>Röd Kaviar</v>
      </c>
      <c r="G67" s="42">
        <f>IFERROR(__xludf.DUMMYFUNCTION("""COMPUTED_VALUE"""),3967.5)</f>
        <v>3967.5</v>
      </c>
      <c r="H67" s="43">
        <f t="shared" si="2"/>
        <v>0.00318089259</v>
      </c>
      <c r="I67" s="43">
        <f t="shared" si="5"/>
        <v>0.9738224927</v>
      </c>
      <c r="J67" s="28"/>
      <c r="K67" s="30"/>
      <c r="L67" s="30"/>
      <c r="M67" s="30"/>
      <c r="N67" s="30"/>
      <c r="O67" s="28"/>
      <c r="W67" s="28"/>
      <c r="X67" s="30"/>
      <c r="Y67" s="46" t="s">
        <v>351</v>
      </c>
      <c r="Z67" s="30">
        <v>13.0</v>
      </c>
      <c r="AA67" s="46">
        <v>2432.5</v>
      </c>
      <c r="AB67" s="45">
        <v>45385.0</v>
      </c>
      <c r="AC67" s="28"/>
      <c r="AG67" s="29"/>
      <c r="AH67" s="30"/>
      <c r="AI67" s="36"/>
      <c r="AJ67" s="30"/>
      <c r="AK67" s="29"/>
      <c r="AT67" s="29"/>
      <c r="AU67" s="30"/>
      <c r="AV67" s="30"/>
      <c r="AW67" s="30"/>
      <c r="AX67" s="29"/>
      <c r="AY67" s="39"/>
      <c r="AZ67" s="30"/>
      <c r="BA67" s="30"/>
      <c r="BB67" s="29"/>
      <c r="BC67" s="52"/>
      <c r="BD67" s="30"/>
      <c r="BE67" s="29"/>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row>
    <row r="68">
      <c r="A68" s="30" t="str">
        <f>IFERROR(__xludf.DUMMYFUNCTION("""COMPUTED_VALUE"""),"The Big Cheese")</f>
        <v>The Big Cheese</v>
      </c>
      <c r="B68" s="42">
        <f>IFERROR(__xludf.DUMMYFUNCTION("""COMPUTED_VALUE"""),3361.0)</f>
        <v>3361</v>
      </c>
      <c r="C68" s="43">
        <f t="shared" si="1"/>
        <v>0.00269463894</v>
      </c>
      <c r="D68" s="43">
        <f t="shared" si="4"/>
        <v>0.9668695205</v>
      </c>
      <c r="E68" s="28"/>
      <c r="F68" s="30" t="str">
        <f>IFERROR(__xludf.DUMMYFUNCTION("""COMPUTED_VALUE"""),"Zaanse koeken")</f>
        <v>Zaanse koeken</v>
      </c>
      <c r="G68" s="42">
        <f>IFERROR(__xludf.DUMMYFUNCTION("""COMPUTED_VALUE"""),3958.08)</f>
        <v>3958.08</v>
      </c>
      <c r="H68" s="43">
        <f t="shared" si="2"/>
        <v>0.003173340225</v>
      </c>
      <c r="I68" s="43">
        <f t="shared" si="5"/>
        <v>0.9769958329</v>
      </c>
      <c r="J68" s="28"/>
      <c r="K68" s="30"/>
      <c r="L68" s="30"/>
      <c r="M68" s="30"/>
      <c r="N68" s="30"/>
      <c r="O68" s="28"/>
      <c r="W68" s="28"/>
      <c r="X68" s="30"/>
      <c r="Y68" s="46" t="s">
        <v>340</v>
      </c>
      <c r="Z68" s="30">
        <v>10.0</v>
      </c>
      <c r="AA68" s="46">
        <v>2396.8</v>
      </c>
      <c r="AB68" s="45">
        <v>45410.0</v>
      </c>
      <c r="AC68" s="28"/>
      <c r="AG68" s="29"/>
      <c r="AH68" s="30"/>
      <c r="AI68" s="36"/>
      <c r="AJ68" s="30"/>
      <c r="AK68" s="29"/>
      <c r="AT68" s="29"/>
      <c r="AU68" s="30"/>
      <c r="AV68" s="30"/>
      <c r="AW68" s="30"/>
      <c r="AX68" s="29"/>
      <c r="AY68" s="39"/>
      <c r="AZ68" s="30"/>
      <c r="BA68" s="30"/>
      <c r="BB68" s="29"/>
      <c r="BC68" s="52"/>
      <c r="BD68" s="30"/>
      <c r="BE68" s="29"/>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row>
    <row r="69">
      <c r="A69" s="30" t="str">
        <f>IFERROR(__xludf.DUMMYFUNCTION("""COMPUTED_VALUE"""),"Blauer See Delikatessen")</f>
        <v>Blauer See Delikatessen</v>
      </c>
      <c r="B69" s="42">
        <f>IFERROR(__xludf.DUMMYFUNCTION("""COMPUTED_VALUE"""),3239.8)</f>
        <v>3239.8</v>
      </c>
      <c r="C69" s="43">
        <f t="shared" si="1"/>
        <v>0.002597468384</v>
      </c>
      <c r="D69" s="43">
        <f t="shared" si="4"/>
        <v>0.9694669888</v>
      </c>
      <c r="E69" s="28"/>
      <c r="F69" s="30" t="str">
        <f>IFERROR(__xludf.DUMMYFUNCTION("""COMPUTED_VALUE"""),"HM Köstliche Kaiserschmarrn Knödelchen")</f>
        <v>HM Köstliche Kaiserschmarrn Knödelchen</v>
      </c>
      <c r="G69" s="42">
        <f>IFERROR(__xludf.DUMMYFUNCTION("""COMPUTED_VALUE"""),3704.3999999999996)</f>
        <v>3704.4</v>
      </c>
      <c r="H69" s="43">
        <f t="shared" si="2"/>
        <v>0.002969955516</v>
      </c>
      <c r="I69" s="43">
        <f t="shared" si="5"/>
        <v>0.9799657884</v>
      </c>
      <c r="J69" s="28"/>
      <c r="K69" s="30"/>
      <c r="L69" s="30"/>
      <c r="M69" s="30"/>
      <c r="N69" s="30"/>
      <c r="O69" s="28"/>
      <c r="W69" s="28"/>
      <c r="X69" s="30"/>
      <c r="Y69" s="46" t="s">
        <v>175</v>
      </c>
      <c r="Z69" s="30">
        <v>6.0</v>
      </c>
      <c r="AA69" s="46">
        <v>1784.825</v>
      </c>
      <c r="AB69" s="45">
        <v>45173.0</v>
      </c>
      <c r="AC69" s="28"/>
      <c r="AG69" s="29"/>
      <c r="AH69" s="30"/>
      <c r="AI69" s="36"/>
      <c r="AJ69" s="30"/>
      <c r="AK69" s="29"/>
      <c r="AT69" s="29"/>
      <c r="AU69" s="30"/>
      <c r="AV69" s="30"/>
      <c r="AW69" s="30"/>
      <c r="AX69" s="29"/>
      <c r="AY69" s="39"/>
      <c r="AZ69" s="30"/>
      <c r="BA69" s="30"/>
      <c r="BB69" s="29"/>
      <c r="BC69" s="52"/>
      <c r="BD69" s="30"/>
      <c r="BE69" s="29"/>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row>
    <row r="70">
      <c r="A70" s="30" t="str">
        <f>IFERROR(__xludf.DUMMYFUNCTION("""COMPUTED_VALUE"""),"France restauration")</f>
        <v>France restauration</v>
      </c>
      <c r="B70" s="42">
        <f>IFERROR(__xludf.DUMMYFUNCTION("""COMPUTED_VALUE"""),3172.16)</f>
        <v>3172.16</v>
      </c>
      <c r="C70" s="43">
        <f t="shared" si="1"/>
        <v>0.002543238875</v>
      </c>
      <c r="D70" s="43">
        <f t="shared" si="4"/>
        <v>0.9720102277</v>
      </c>
      <c r="E70" s="28"/>
      <c r="F70" s="30" t="str">
        <f>IFERROR(__xludf.DUMMYFUNCTION("""COMPUTED_VALUE"""),"Louisiana Hot Spiced Okra")</f>
        <v>Louisiana Hot Spiced Okra</v>
      </c>
      <c r="G70" s="42">
        <f>IFERROR(__xludf.DUMMYFUNCTION("""COMPUTED_VALUE"""),3366.0)</f>
        <v>3366</v>
      </c>
      <c r="H70" s="43">
        <f t="shared" si="2"/>
        <v>0.002698647626</v>
      </c>
      <c r="I70" s="43">
        <f t="shared" si="5"/>
        <v>0.982664436</v>
      </c>
      <c r="J70" s="28"/>
      <c r="K70" s="30"/>
      <c r="L70" s="30"/>
      <c r="M70" s="30"/>
      <c r="N70" s="30"/>
      <c r="O70" s="28"/>
      <c r="W70" s="28"/>
      <c r="X70" s="30"/>
      <c r="Y70" s="46" t="s">
        <v>239</v>
      </c>
      <c r="Z70" s="30">
        <v>32.0</v>
      </c>
      <c r="AA70" s="46">
        <v>1648.125</v>
      </c>
      <c r="AB70" s="45">
        <v>45410.0</v>
      </c>
      <c r="AC70" s="28"/>
      <c r="AG70" s="29"/>
      <c r="AH70" s="30"/>
      <c r="AI70" s="36"/>
      <c r="AJ70" s="30"/>
      <c r="AK70" s="29"/>
      <c r="AT70" s="29"/>
      <c r="AU70" s="30"/>
      <c r="AV70" s="30"/>
      <c r="AW70" s="30"/>
      <c r="AX70" s="29"/>
      <c r="AY70" s="39"/>
      <c r="AZ70" s="30"/>
      <c r="BA70" s="30"/>
      <c r="BB70" s="29"/>
      <c r="BC70" s="52"/>
      <c r="BD70" s="30"/>
      <c r="BE70" s="29"/>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row>
    <row r="71">
      <c r="A71" s="30" t="str">
        <f>IFERROR(__xludf.DUMMYFUNCTION("""COMPUTED_VALUE"""),"Wilman Kala")</f>
        <v>Wilman Kala</v>
      </c>
      <c r="B71" s="42">
        <f>IFERROR(__xludf.DUMMYFUNCTION("""COMPUTED_VALUE"""),3161.35)</f>
        <v>3161.35</v>
      </c>
      <c r="C71" s="43">
        <f t="shared" si="1"/>
        <v>0.002534572095</v>
      </c>
      <c r="D71" s="43">
        <f t="shared" si="4"/>
        <v>0.9745447998</v>
      </c>
      <c r="E71" s="28"/>
      <c r="F71" s="30" t="str">
        <f>IFERROR(__xludf.DUMMYFUNCTION("""COMPUTED_VALUE"""),"Filo Mix")</f>
        <v>Filo Mix</v>
      </c>
      <c r="G71" s="42">
        <f>IFERROR(__xludf.DUMMYFUNCTION("""COMPUTED_VALUE"""),3218.9500000000003)</f>
        <v>3218.95</v>
      </c>
      <c r="H71" s="43">
        <f t="shared" si="2"/>
        <v>0.002580752162</v>
      </c>
      <c r="I71" s="43">
        <f t="shared" si="5"/>
        <v>0.9852451882</v>
      </c>
      <c r="J71" s="28"/>
      <c r="K71" s="30"/>
      <c r="L71" s="30"/>
      <c r="M71" s="30"/>
      <c r="N71" s="30"/>
      <c r="O71" s="28"/>
      <c r="W71" s="28"/>
      <c r="X71" s="30"/>
      <c r="Y71" s="46" t="s">
        <v>287</v>
      </c>
      <c r="Z71" s="30">
        <v>6.0</v>
      </c>
      <c r="AA71" s="46">
        <v>1368.7125</v>
      </c>
      <c r="AB71" s="45">
        <v>45296.0</v>
      </c>
      <c r="AC71" s="28"/>
      <c r="AG71" s="29"/>
      <c r="AH71" s="30"/>
      <c r="AI71" s="36"/>
      <c r="AJ71" s="30"/>
      <c r="AK71" s="29"/>
      <c r="AT71" s="29"/>
      <c r="AU71" s="30"/>
      <c r="AV71" s="30"/>
      <c r="AW71" s="30"/>
      <c r="AX71" s="29"/>
      <c r="AY71" s="39"/>
      <c r="AZ71" s="30"/>
      <c r="BA71" s="30"/>
      <c r="BB71" s="29"/>
      <c r="BC71" s="52"/>
      <c r="BD71" s="30"/>
      <c r="BE71" s="29"/>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row>
    <row r="72">
      <c r="A72" s="30" t="str">
        <f>IFERROR(__xludf.DUMMYFUNCTION("""COMPUTED_VALUE"""),"Let's Stop N Shop")</f>
        <v>Let's Stop N Shop</v>
      </c>
      <c r="B72" s="42">
        <f>IFERROR(__xludf.DUMMYFUNCTION("""COMPUTED_VALUE"""),3076.4725)</f>
        <v>3076.4725</v>
      </c>
      <c r="C72" s="43">
        <f t="shared" si="1"/>
        <v>0.002466522641</v>
      </c>
      <c r="D72" s="43">
        <f t="shared" si="4"/>
        <v>0.9770113225</v>
      </c>
      <c r="E72" s="28"/>
      <c r="F72" s="30" t="str">
        <f>IFERROR(__xludf.DUMMYFUNCTION("""COMPUTED_VALUE"""),"Valkoinen suklaa")</f>
        <v>Valkoinen suklaa</v>
      </c>
      <c r="G72" s="42">
        <f>IFERROR(__xludf.DUMMYFUNCTION("""COMPUTED_VALUE"""),3080.1875)</f>
        <v>3080.1875</v>
      </c>
      <c r="H72" s="43">
        <f t="shared" si="2"/>
        <v>0.002469501095</v>
      </c>
      <c r="I72" s="43">
        <f t="shared" si="5"/>
        <v>0.9877146893</v>
      </c>
      <c r="J72" s="28"/>
      <c r="K72" s="30"/>
      <c r="L72" s="30"/>
      <c r="M72" s="30"/>
      <c r="N72" s="30"/>
      <c r="O72" s="28"/>
      <c r="W72" s="28"/>
      <c r="X72" s="30" t="s">
        <v>1034</v>
      </c>
      <c r="Y72" s="30"/>
      <c r="Z72" s="30">
        <v>801.0</v>
      </c>
      <c r="AA72" s="46">
        <v>1066309.2620000006</v>
      </c>
      <c r="AB72" s="45">
        <v>45412.0</v>
      </c>
      <c r="AC72" s="28"/>
      <c r="AD72" s="30"/>
      <c r="AE72" s="30"/>
      <c r="AF72" s="30"/>
      <c r="AG72" s="29"/>
      <c r="AH72" s="30"/>
      <c r="AI72" s="36"/>
      <c r="AJ72" s="30"/>
      <c r="AK72" s="29"/>
      <c r="AT72" s="29"/>
      <c r="AU72" s="30"/>
      <c r="AV72" s="30"/>
      <c r="AW72" s="30"/>
      <c r="AX72" s="29"/>
      <c r="AY72" s="39"/>
      <c r="AZ72" s="30"/>
      <c r="BA72" s="30"/>
      <c r="BB72" s="29"/>
      <c r="BC72" s="52"/>
      <c r="BD72" s="30"/>
      <c r="BE72" s="29"/>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row>
    <row r="73">
      <c r="A73" s="30" t="str">
        <f>IFERROR(__xludf.DUMMYFUNCTION("""COMPUTED_VALUE"""),"Hungry Coyote Import Store")</f>
        <v>Hungry Coyote Import Store</v>
      </c>
      <c r="B73" s="42">
        <f>IFERROR(__xludf.DUMMYFUNCTION("""COMPUTED_VALUE"""),3063.2)</f>
        <v>3063.2</v>
      </c>
      <c r="C73" s="43">
        <f t="shared" si="1"/>
        <v>0.002455881583</v>
      </c>
      <c r="D73" s="43">
        <f t="shared" si="4"/>
        <v>0.979467204</v>
      </c>
      <c r="E73" s="28"/>
      <c r="F73" s="30" t="str">
        <f>IFERROR(__xludf.DUMMYFUNCTION("""COMPUTED_VALUE"""),"Aniseed Syrup")</f>
        <v>Aniseed Syrup</v>
      </c>
      <c r="G73" s="42">
        <f>IFERROR(__xludf.DUMMYFUNCTION("""COMPUTED_VALUE"""),3004.0)</f>
        <v>3004</v>
      </c>
      <c r="H73" s="43">
        <f t="shared" si="2"/>
        <v>0.002408418737</v>
      </c>
      <c r="I73" s="43">
        <f t="shared" si="5"/>
        <v>0.990123108</v>
      </c>
      <c r="J73" s="28"/>
      <c r="K73" s="30"/>
      <c r="L73" s="30"/>
      <c r="M73" s="30"/>
      <c r="N73" s="30"/>
      <c r="O73" s="28"/>
      <c r="W73" s="28"/>
      <c r="X73" s="35" t="s">
        <v>1035</v>
      </c>
      <c r="Y73" s="46" t="s">
        <v>226</v>
      </c>
      <c r="Z73" s="30">
        <v>32.0</v>
      </c>
      <c r="AA73" s="46">
        <v>80368.672</v>
      </c>
      <c r="AB73" s="45">
        <v>45399.0</v>
      </c>
      <c r="AC73" s="28"/>
      <c r="AD73" s="30"/>
      <c r="AE73" s="30"/>
      <c r="AF73" s="30"/>
      <c r="AG73" s="29"/>
      <c r="AH73" s="30"/>
      <c r="AI73" s="36"/>
      <c r="AJ73" s="30"/>
      <c r="AK73" s="29"/>
      <c r="AT73" s="29"/>
      <c r="AU73" s="30"/>
      <c r="AV73" s="30"/>
      <c r="AW73" s="30"/>
      <c r="AX73" s="29"/>
      <c r="AY73" s="39"/>
      <c r="AZ73" s="30"/>
      <c r="BA73" s="30"/>
      <c r="BB73" s="29"/>
      <c r="BC73" s="52"/>
      <c r="BD73" s="30"/>
      <c r="BE73" s="29"/>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row>
    <row r="74">
      <c r="A74" s="30" t="str">
        <f>IFERROR(__xludf.DUMMYFUNCTION("""COMPUTED_VALUE"""),"Rancho grande")</f>
        <v>Rancho grande</v>
      </c>
      <c r="B74" s="42">
        <f>IFERROR(__xludf.DUMMYFUNCTION("""COMPUTED_VALUE"""),2844.1)</f>
        <v>2844.1</v>
      </c>
      <c r="C74" s="43">
        <f t="shared" si="1"/>
        <v>0.002280220949</v>
      </c>
      <c r="D74" s="43">
        <f t="shared" si="4"/>
        <v>0.981747425</v>
      </c>
      <c r="E74" s="28"/>
      <c r="F74" s="30" t="str">
        <f>IFERROR(__xludf.DUMMYFUNCTION("""COMPUTED_VALUE"""),"Gravad lax")</f>
        <v>Gravad lax</v>
      </c>
      <c r="G74" s="42">
        <f>IFERROR(__xludf.DUMMYFUNCTION("""COMPUTED_VALUE"""),2688.3999999999996)</f>
        <v>2688.4</v>
      </c>
      <c r="H74" s="43">
        <f t="shared" si="2"/>
        <v>0.002155390457</v>
      </c>
      <c r="I74" s="43">
        <f t="shared" si="5"/>
        <v>0.9922784985</v>
      </c>
      <c r="J74" s="28"/>
      <c r="K74" s="30"/>
      <c r="L74" s="30"/>
      <c r="M74" s="30"/>
      <c r="N74" s="30"/>
      <c r="O74" s="28"/>
      <c r="W74" s="28"/>
      <c r="X74" s="30"/>
      <c r="Y74" s="46" t="s">
        <v>184</v>
      </c>
      <c r="Z74" s="30">
        <v>36.0</v>
      </c>
      <c r="AA74" s="46">
        <v>29995.679999999997</v>
      </c>
      <c r="AB74" s="45">
        <v>45411.0</v>
      </c>
      <c r="AC74" s="28"/>
      <c r="AD74" s="30"/>
      <c r="AE74" s="30"/>
      <c r="AF74" s="30"/>
      <c r="AG74" s="29"/>
      <c r="AH74" s="30"/>
      <c r="AI74" s="36"/>
      <c r="AJ74" s="30"/>
      <c r="AK74" s="29"/>
      <c r="AT74" s="29"/>
      <c r="AU74" s="30"/>
      <c r="AV74" s="30"/>
      <c r="AW74" s="30"/>
      <c r="AX74" s="29"/>
      <c r="AY74" s="39"/>
      <c r="AZ74" s="30"/>
      <c r="BA74" s="30"/>
      <c r="BB74" s="29"/>
      <c r="BC74" s="52"/>
      <c r="BD74" s="30"/>
      <c r="BE74" s="29"/>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row>
    <row r="75">
      <c r="A75" s="30" t="str">
        <f>IFERROR(__xludf.DUMMYFUNCTION("""COMPUTED_VALUE"""),"Spécialités du monde")</f>
        <v>Spécialités du monde</v>
      </c>
      <c r="B75" s="42">
        <f>IFERROR(__xludf.DUMMYFUNCTION("""COMPUTED_VALUE"""),2423.35)</f>
        <v>2423.35</v>
      </c>
      <c r="C75" s="43">
        <f t="shared" si="1"/>
        <v>0.001942889995</v>
      </c>
      <c r="D75" s="43">
        <f t="shared" si="4"/>
        <v>0.983690315</v>
      </c>
      <c r="E75" s="28"/>
      <c r="F75" s="30" t="str">
        <f>IFERROR(__xludf.DUMMYFUNCTION("""COMPUTED_VALUE"""),"Longlife Tofu")</f>
        <v>Longlife Tofu</v>
      </c>
      <c r="G75" s="42">
        <f>IFERROR(__xludf.DUMMYFUNCTION("""COMPUTED_VALUE"""),2432.5)</f>
        <v>2432.5</v>
      </c>
      <c r="H75" s="43">
        <f t="shared" si="2"/>
        <v>0.001950225891</v>
      </c>
      <c r="I75" s="43">
        <f t="shared" si="5"/>
        <v>0.9942287244</v>
      </c>
      <c r="J75" s="28"/>
      <c r="K75" s="30"/>
      <c r="L75" s="30"/>
      <c r="M75" s="30"/>
      <c r="N75" s="30"/>
      <c r="O75" s="28"/>
      <c r="W75" s="28"/>
      <c r="X75" s="30"/>
      <c r="Y75" s="46" t="s">
        <v>222</v>
      </c>
      <c r="Z75" s="30">
        <v>32.0</v>
      </c>
      <c r="AA75" s="46">
        <v>25386.560000000005</v>
      </c>
      <c r="AB75" s="45">
        <v>45403.0</v>
      </c>
      <c r="AC75" s="28"/>
      <c r="AD75" s="27" t="s">
        <v>1036</v>
      </c>
      <c r="AG75" s="29"/>
      <c r="AH75" s="30"/>
      <c r="AI75" s="36"/>
      <c r="AJ75" s="30"/>
      <c r="AK75" s="29"/>
      <c r="AT75" s="29"/>
      <c r="AU75" s="30"/>
      <c r="AV75" s="30"/>
      <c r="AW75" s="30"/>
      <c r="AX75" s="29"/>
      <c r="AY75" s="39"/>
      <c r="AZ75" s="30"/>
      <c r="BA75" s="30"/>
      <c r="BB75" s="29"/>
      <c r="BC75" s="52"/>
      <c r="BD75" s="30"/>
      <c r="BE75" s="29"/>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row>
    <row r="76">
      <c r="A76" s="30" t="str">
        <f>IFERROR(__xludf.DUMMYFUNCTION("""COMPUTED_VALUE"""),"La corne d'abondance")</f>
        <v>La corne d'abondance</v>
      </c>
      <c r="B76" s="42">
        <f>IFERROR(__xludf.DUMMYFUNCTION("""COMPUTED_VALUE"""),1992.0500000000002)</f>
        <v>1992.05</v>
      </c>
      <c r="C76" s="43">
        <f t="shared" si="1"/>
        <v>0.001597100714</v>
      </c>
      <c r="D76" s="43">
        <f t="shared" si="4"/>
        <v>0.9852874157</v>
      </c>
      <c r="E76" s="28"/>
      <c r="F76" s="30" t="str">
        <f>IFERROR(__xludf.DUMMYFUNCTION("""COMPUTED_VALUE"""),"Laughing Lumberjack Lager")</f>
        <v>Laughing Lumberjack Lager</v>
      </c>
      <c r="G76" s="42">
        <f>IFERROR(__xludf.DUMMYFUNCTION("""COMPUTED_VALUE"""),2396.8)</f>
        <v>2396.8</v>
      </c>
      <c r="H76" s="43">
        <f t="shared" si="2"/>
        <v>0.001921603871</v>
      </c>
      <c r="I76" s="43">
        <f t="shared" si="5"/>
        <v>0.9961503283</v>
      </c>
      <c r="J76" s="28"/>
      <c r="K76" s="30"/>
      <c r="L76" s="30"/>
      <c r="M76" s="30"/>
      <c r="N76" s="30"/>
      <c r="O76" s="28"/>
      <c r="W76" s="28"/>
      <c r="X76" s="30"/>
      <c r="Y76" s="46" t="s">
        <v>302</v>
      </c>
      <c r="Z76" s="30">
        <v>29.0</v>
      </c>
      <c r="AA76" s="46">
        <v>19836.170000000006</v>
      </c>
      <c r="AB76" s="45">
        <v>45412.0</v>
      </c>
      <c r="AC76" s="28"/>
      <c r="AG76" s="29"/>
      <c r="AH76" s="30"/>
      <c r="AI76" s="36"/>
      <c r="AJ76" s="30"/>
      <c r="AK76" s="29"/>
      <c r="AT76" s="29"/>
      <c r="AU76" s="30"/>
      <c r="AV76" s="30"/>
      <c r="AW76" s="30"/>
      <c r="AX76" s="29"/>
      <c r="AY76" s="39"/>
      <c r="AZ76" s="30"/>
      <c r="BA76" s="30"/>
      <c r="BB76" s="29"/>
      <c r="BC76" s="52"/>
      <c r="BD76" s="30"/>
      <c r="BE76" s="29"/>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row>
    <row r="77">
      <c r="A77" s="30" t="str">
        <f>IFERROR(__xludf.DUMMYFUNCTION("""COMPUTED_VALUE"""),"The Cracker Box")</f>
        <v>The Cracker Box</v>
      </c>
      <c r="B77" s="42">
        <f>IFERROR(__xludf.DUMMYFUNCTION("""COMPUTED_VALUE"""),1947.24)</f>
        <v>1947.24</v>
      </c>
      <c r="C77" s="43">
        <f t="shared" si="1"/>
        <v>0.001561174867</v>
      </c>
      <c r="D77" s="43">
        <f t="shared" si="4"/>
        <v>0.9868485906</v>
      </c>
      <c r="E77" s="28"/>
      <c r="F77" s="30" t="str">
        <f>IFERROR(__xludf.DUMMYFUNCTION("""COMPUTED_VALUE"""),"Genen Shouyu")</f>
        <v>Genen Shouyu</v>
      </c>
      <c r="G77" s="42">
        <f>IFERROR(__xludf.DUMMYFUNCTION("""COMPUTED_VALUE"""),1784.825)</f>
        <v>1784.825</v>
      </c>
      <c r="H77" s="43">
        <f t="shared" si="2"/>
        <v>0.00143096071</v>
      </c>
      <c r="I77" s="43">
        <f t="shared" si="5"/>
        <v>0.997581289</v>
      </c>
      <c r="J77" s="28"/>
      <c r="K77" s="30"/>
      <c r="L77" s="30"/>
      <c r="M77" s="30"/>
      <c r="N77" s="30"/>
      <c r="O77" s="28"/>
      <c r="W77" s="28"/>
      <c r="X77" s="30"/>
      <c r="Y77" s="46" t="s">
        <v>267</v>
      </c>
      <c r="Z77" s="30">
        <v>30.0</v>
      </c>
      <c r="AA77" s="46">
        <v>8575.0</v>
      </c>
      <c r="AB77" s="45">
        <v>45402.0</v>
      </c>
      <c r="AC77" s="28"/>
      <c r="AG77" s="29"/>
      <c r="AH77" s="30"/>
      <c r="AI77" s="36"/>
      <c r="AJ77" s="30"/>
      <c r="AK77" s="29"/>
      <c r="AT77" s="29"/>
      <c r="AU77" s="30"/>
      <c r="AV77" s="30"/>
      <c r="AW77" s="30"/>
      <c r="AX77" s="29"/>
      <c r="AY77" s="39"/>
      <c r="AZ77" s="30"/>
      <c r="BA77" s="30"/>
      <c r="BB77" s="29"/>
      <c r="BC77" s="52"/>
      <c r="BD77" s="30"/>
      <c r="BE77" s="29"/>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row>
    <row r="78">
      <c r="A78" s="30" t="str">
        <f>IFERROR(__xludf.DUMMYFUNCTION("""COMPUTED_VALUE"""),"Cactus Comidas para llevar")</f>
        <v>Cactus Comidas para llevar</v>
      </c>
      <c r="B78" s="42">
        <f>IFERROR(__xludf.DUMMYFUNCTION("""COMPUTED_VALUE"""),1814.8)</f>
        <v>1814.8</v>
      </c>
      <c r="C78" s="43">
        <f t="shared" si="1"/>
        <v>0.001454992784</v>
      </c>
      <c r="D78" s="43">
        <f t="shared" si="4"/>
        <v>0.9883035834</v>
      </c>
      <c r="E78" s="28"/>
      <c r="F78" s="30" t="str">
        <f>IFERROR(__xludf.DUMMYFUNCTION("""COMPUTED_VALUE"""),"Geitost")</f>
        <v>Geitost</v>
      </c>
      <c r="G78" s="42">
        <f>IFERROR(__xludf.DUMMYFUNCTION("""COMPUTED_VALUE"""),1648.125)</f>
        <v>1648.125</v>
      </c>
      <c r="H78" s="43">
        <f t="shared" si="2"/>
        <v>0.001321363226</v>
      </c>
      <c r="I78" s="43">
        <f t="shared" si="5"/>
        <v>0.9989026522</v>
      </c>
      <c r="J78" s="28"/>
      <c r="K78" s="30"/>
      <c r="L78" s="30"/>
      <c r="M78" s="30"/>
      <c r="N78" s="30"/>
      <c r="O78" s="28"/>
      <c r="W78" s="28"/>
      <c r="X78" s="30"/>
      <c r="Y78" s="46" t="s">
        <v>145</v>
      </c>
      <c r="Z78" s="30">
        <v>5.0</v>
      </c>
      <c r="AA78" s="46">
        <v>7226.5</v>
      </c>
      <c r="AB78" s="45">
        <v>45314.0</v>
      </c>
      <c r="AC78" s="28"/>
      <c r="AG78" s="29"/>
      <c r="AH78" s="30"/>
      <c r="AI78" s="36"/>
      <c r="AJ78" s="30"/>
      <c r="AK78" s="29"/>
      <c r="AT78" s="29"/>
      <c r="AU78" s="30"/>
      <c r="AV78" s="30"/>
      <c r="AW78" s="30"/>
      <c r="AX78" s="29"/>
      <c r="AY78" s="39"/>
      <c r="AZ78" s="30"/>
      <c r="BA78" s="30"/>
      <c r="BB78" s="29"/>
      <c r="BC78" s="52"/>
      <c r="BD78" s="30"/>
      <c r="BE78" s="29"/>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row>
    <row r="79">
      <c r="A79" s="30" t="str">
        <f>IFERROR(__xludf.DUMMYFUNCTION("""COMPUTED_VALUE"""),"Consolidated Holdings")</f>
        <v>Consolidated Holdings</v>
      </c>
      <c r="B79" s="42">
        <f>IFERROR(__xludf.DUMMYFUNCTION("""COMPUTED_VALUE"""),1719.1)</f>
        <v>1719.1</v>
      </c>
      <c r="C79" s="43">
        <f t="shared" si="1"/>
        <v>0.001378266528</v>
      </c>
      <c r="D79" s="43">
        <f t="shared" si="4"/>
        <v>0.9896818499</v>
      </c>
      <c r="E79" s="28"/>
      <c r="F79" s="30" t="str">
        <f>IFERROR(__xludf.DUMMYFUNCTION("""COMPUTED_VALUE"""),"Chocolade")</f>
        <v>Chocolade</v>
      </c>
      <c r="G79" s="42">
        <f>IFERROR(__xludf.DUMMYFUNCTION("""COMPUTED_VALUE"""),1368.7125)</f>
        <v>1368.7125</v>
      </c>
      <c r="H79" s="43">
        <f t="shared" si="2"/>
        <v>0.001097347813</v>
      </c>
      <c r="I79" s="43">
        <f t="shared" si="5"/>
        <v>1</v>
      </c>
      <c r="J79" s="28"/>
      <c r="K79" s="30"/>
      <c r="L79" s="30"/>
      <c r="M79" s="30"/>
      <c r="N79" s="30"/>
      <c r="O79" s="28"/>
      <c r="W79" s="28"/>
      <c r="X79" s="30"/>
      <c r="Y79" s="46" t="s">
        <v>137</v>
      </c>
      <c r="Z79" s="30">
        <v>10.0</v>
      </c>
      <c r="AA79" s="46">
        <v>5347.200000000001</v>
      </c>
      <c r="AB79" s="45">
        <v>45406.0</v>
      </c>
      <c r="AC79" s="28"/>
      <c r="AG79" s="29"/>
      <c r="AH79" s="30"/>
      <c r="AI79" s="36"/>
      <c r="AJ79" s="30"/>
      <c r="AK79" s="29"/>
      <c r="AT79" s="29"/>
      <c r="AU79" s="30"/>
      <c r="AV79" s="30"/>
      <c r="AW79" s="30"/>
      <c r="AX79" s="29"/>
      <c r="AY79" s="39"/>
      <c r="AZ79" s="30"/>
      <c r="BA79" s="30"/>
      <c r="BB79" s="29"/>
      <c r="BC79" s="52"/>
      <c r="BD79" s="30"/>
      <c r="BE79" s="29"/>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row>
    <row r="80">
      <c r="A80" s="30" t="str">
        <f>IFERROR(__xludf.DUMMYFUNCTION("""COMPUTED_VALUE"""),"Du monde entier")</f>
        <v>Du monde entier</v>
      </c>
      <c r="B80" s="42">
        <f>IFERROR(__xludf.DUMMYFUNCTION("""COMPUTED_VALUE"""),1615.8999999999999)</f>
        <v>1615.9</v>
      </c>
      <c r="C80" s="43">
        <f t="shared" si="1"/>
        <v>0.001295527243</v>
      </c>
      <c r="D80" s="43">
        <f t="shared" si="4"/>
        <v>0.9909773771</v>
      </c>
      <c r="E80" s="28"/>
      <c r="F80" s="30"/>
      <c r="G80" s="30"/>
      <c r="H80" s="30"/>
      <c r="I80" s="30"/>
      <c r="J80" s="28"/>
      <c r="K80" s="30"/>
      <c r="L80" s="30"/>
      <c r="M80" s="30"/>
      <c r="N80" s="30"/>
      <c r="O80" s="28"/>
      <c r="W80" s="28"/>
      <c r="X80" s="30"/>
      <c r="Y80" s="46" t="s">
        <v>205</v>
      </c>
      <c r="Z80" s="30">
        <v>50.0</v>
      </c>
      <c r="AA80" s="46">
        <v>4414.365</v>
      </c>
      <c r="AB80" s="45">
        <v>45410.0</v>
      </c>
      <c r="AC80" s="28"/>
      <c r="AG80" s="29"/>
      <c r="AH80" s="30"/>
      <c r="AI80" s="36"/>
      <c r="AJ80" s="30"/>
      <c r="AK80" s="29"/>
      <c r="AT80" s="29"/>
      <c r="AU80" s="30"/>
      <c r="AV80" s="30"/>
      <c r="AW80" s="30"/>
      <c r="AX80" s="29"/>
      <c r="AY80" s="39"/>
      <c r="AZ80" s="30"/>
      <c r="BA80" s="30"/>
      <c r="BB80" s="29"/>
      <c r="BC80" s="52"/>
      <c r="BD80" s="30"/>
      <c r="BE80" s="29"/>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row>
    <row r="81">
      <c r="A81" s="30" t="str">
        <f>IFERROR(__xludf.DUMMYFUNCTION("""COMPUTED_VALUE"""),"Trail's Head Gourmet Provisioners")</f>
        <v>Trail's Head Gourmet Provisioners</v>
      </c>
      <c r="B81" s="42">
        <f>IFERROR(__xludf.DUMMYFUNCTION("""COMPUTED_VALUE"""),1571.1999999999998)</f>
        <v>1571.2</v>
      </c>
      <c r="C81" s="43">
        <f t="shared" si="1"/>
        <v>0.001259689587</v>
      </c>
      <c r="D81" s="43">
        <f t="shared" si="4"/>
        <v>0.9922370667</v>
      </c>
      <c r="E81" s="28"/>
      <c r="F81" s="30"/>
      <c r="G81" s="30"/>
      <c r="H81" s="30"/>
      <c r="I81" s="30"/>
      <c r="J81" s="28"/>
      <c r="K81" s="30"/>
      <c r="L81" s="30"/>
      <c r="M81" s="30"/>
      <c r="N81" s="30"/>
      <c r="O81" s="28"/>
      <c r="W81" s="28"/>
      <c r="X81" s="30" t="s">
        <v>1037</v>
      </c>
      <c r="Y81" s="30"/>
      <c r="Z81" s="30">
        <v>204.0</v>
      </c>
      <c r="AA81" s="46">
        <v>181150.147</v>
      </c>
      <c r="AB81" s="45">
        <v>45412.0</v>
      </c>
      <c r="AC81" s="28"/>
      <c r="AG81" s="29"/>
      <c r="AH81" s="30"/>
      <c r="AI81" s="36"/>
      <c r="AJ81" s="30"/>
      <c r="AK81" s="29"/>
      <c r="AT81" s="29"/>
      <c r="AU81" s="30"/>
      <c r="AV81" s="30"/>
      <c r="AW81" s="30"/>
      <c r="AX81" s="29"/>
      <c r="AY81" s="39"/>
      <c r="AZ81" s="30"/>
      <c r="BA81" s="30"/>
      <c r="BB81" s="29"/>
      <c r="BC81" s="52"/>
      <c r="BD81" s="30"/>
      <c r="BE81" s="29"/>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row>
    <row r="82">
      <c r="A82" s="30" t="str">
        <f>IFERROR(__xludf.DUMMYFUNCTION("""COMPUTED_VALUE"""),"Franchi S.p.A.")</f>
        <v>Franchi S.p.A.</v>
      </c>
      <c r="B82" s="42">
        <f>IFERROR(__xludf.DUMMYFUNCTION("""COMPUTED_VALUE"""),1545.7)</f>
        <v>1545.7</v>
      </c>
      <c r="C82" s="43">
        <f t="shared" si="1"/>
        <v>0.001239245287</v>
      </c>
      <c r="D82" s="43">
        <f t="shared" si="4"/>
        <v>0.993476312</v>
      </c>
      <c r="E82" s="28"/>
      <c r="F82" s="30"/>
      <c r="G82" s="30"/>
      <c r="H82" s="30"/>
      <c r="I82" s="30"/>
      <c r="J82" s="28"/>
      <c r="K82" s="30"/>
      <c r="L82" s="30"/>
      <c r="M82" s="30"/>
      <c r="N82" s="30"/>
      <c r="O82" s="28"/>
      <c r="W82" s="28"/>
      <c r="X82" s="30" t="s">
        <v>986</v>
      </c>
      <c r="Y82" s="30"/>
      <c r="Z82" s="30">
        <v>816.0</v>
      </c>
      <c r="AA82" s="46">
        <v>1247459.4090000007</v>
      </c>
      <c r="AB82" s="45">
        <v>45412.0</v>
      </c>
      <c r="AC82" s="28"/>
      <c r="AG82" s="29"/>
      <c r="AH82" s="30"/>
      <c r="AI82" s="36"/>
      <c r="AJ82" s="30"/>
      <c r="AK82" s="29"/>
      <c r="AT82" s="29"/>
      <c r="AU82" s="30"/>
      <c r="AV82" s="30"/>
      <c r="AW82" s="30"/>
      <c r="AX82" s="29"/>
      <c r="AY82" s="39"/>
      <c r="AZ82" s="30"/>
      <c r="BA82" s="30"/>
      <c r="BB82" s="29"/>
      <c r="BC82" s="52"/>
      <c r="BD82" s="30"/>
      <c r="BE82" s="29"/>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row>
    <row r="83">
      <c r="A83" s="30" t="str">
        <f>IFERROR(__xludf.DUMMYFUNCTION("""COMPUTED_VALUE"""),"GROSELLA-Restaurante")</f>
        <v>GROSELLA-Restaurante</v>
      </c>
      <c r="B83" s="42">
        <f>IFERROR(__xludf.DUMMYFUNCTION("""COMPUTED_VALUE"""),1488.7)</f>
        <v>1488.7</v>
      </c>
      <c r="C83" s="43">
        <f t="shared" si="1"/>
        <v>0.001193546263</v>
      </c>
      <c r="D83" s="43">
        <f t="shared" si="4"/>
        <v>0.9946698583</v>
      </c>
      <c r="E83" s="28"/>
      <c r="F83" s="30"/>
      <c r="G83" s="30"/>
      <c r="H83" s="30"/>
      <c r="I83" s="30"/>
      <c r="J83" s="28"/>
      <c r="K83" s="30"/>
      <c r="L83" s="30"/>
      <c r="M83" s="30"/>
      <c r="N83" s="30"/>
      <c r="O83" s="28"/>
      <c r="W83" s="28"/>
      <c r="X83" s="30"/>
      <c r="Y83" s="30"/>
      <c r="Z83" s="30"/>
      <c r="AA83" s="30"/>
      <c r="AB83" s="30"/>
      <c r="AC83" s="28"/>
      <c r="AG83" s="29"/>
      <c r="AH83" s="30"/>
      <c r="AI83" s="36"/>
      <c r="AJ83" s="30"/>
      <c r="AK83" s="29"/>
      <c r="AL83" s="30"/>
      <c r="AM83" s="30"/>
      <c r="AN83" s="30"/>
      <c r="AO83" s="30"/>
      <c r="AP83" s="30"/>
      <c r="AQ83" s="38"/>
      <c r="AR83" s="30"/>
      <c r="AS83" s="30"/>
      <c r="AT83" s="29"/>
      <c r="AU83" s="30"/>
      <c r="AV83" s="30"/>
      <c r="AW83" s="30"/>
      <c r="AX83" s="29"/>
      <c r="AY83" s="39"/>
      <c r="AZ83" s="30"/>
      <c r="BA83" s="30"/>
      <c r="BB83" s="29"/>
      <c r="BC83" s="52"/>
      <c r="BD83" s="30"/>
      <c r="BE83" s="29"/>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row>
    <row r="84">
      <c r="A84" s="30" t="str">
        <f>IFERROR(__xludf.DUMMYFUNCTION("""COMPUTED_VALUE"""),"Romero y tomillo")</f>
        <v>Romero y tomillo</v>
      </c>
      <c r="B84" s="42">
        <f>IFERROR(__xludf.DUMMYFUNCTION("""COMPUTED_VALUE"""),1467.29)</f>
        <v>1467.29</v>
      </c>
      <c r="C84" s="43">
        <f t="shared" si="1"/>
        <v>0.001176381068</v>
      </c>
      <c r="D84" s="43">
        <f t="shared" si="4"/>
        <v>0.9958462393</v>
      </c>
      <c r="E84" s="28"/>
      <c r="F84" s="30"/>
      <c r="G84" s="30"/>
      <c r="H84" s="30"/>
      <c r="I84" s="30"/>
      <c r="J84" s="28"/>
      <c r="K84" s="30"/>
      <c r="L84" s="30"/>
      <c r="M84" s="30"/>
      <c r="N84" s="30"/>
      <c r="O84" s="28"/>
      <c r="W84" s="28"/>
      <c r="X84" s="30"/>
      <c r="Y84" s="30"/>
      <c r="Z84" s="30"/>
      <c r="AA84" s="30"/>
      <c r="AB84" s="30"/>
      <c r="AC84" s="28"/>
      <c r="AG84" s="29"/>
      <c r="AH84" s="30"/>
      <c r="AI84" s="36"/>
      <c r="AJ84" s="30"/>
      <c r="AK84" s="29"/>
      <c r="AL84" s="30"/>
      <c r="AM84" s="30"/>
      <c r="AN84" s="30"/>
      <c r="AO84" s="30"/>
      <c r="AP84" s="30"/>
      <c r="AQ84" s="38"/>
      <c r="AR84" s="30"/>
      <c r="AS84" s="30"/>
      <c r="AT84" s="29"/>
      <c r="AU84" s="30"/>
      <c r="AV84" s="30"/>
      <c r="AW84" s="30"/>
      <c r="AX84" s="29"/>
      <c r="AY84" s="39"/>
      <c r="AZ84" s="30"/>
      <c r="BA84" s="30"/>
      <c r="BB84" s="29"/>
      <c r="BC84" s="52"/>
      <c r="BD84" s="30"/>
      <c r="BE84" s="29"/>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row>
    <row r="85">
      <c r="A85" s="30" t="str">
        <f>IFERROR(__xludf.DUMMYFUNCTION("""COMPUTED_VALUE"""),"Ana Trujillo Emparedados y helados")</f>
        <v>Ana Trujillo Emparedados y helados</v>
      </c>
      <c r="B85" s="42">
        <f>IFERROR(__xludf.DUMMYFUNCTION("""COMPUTED_VALUE"""),1402.95)</f>
        <v>1402.95</v>
      </c>
      <c r="C85" s="43">
        <f t="shared" si="1"/>
        <v>0.001124797293</v>
      </c>
      <c r="D85" s="43">
        <f t="shared" si="4"/>
        <v>0.9969710366</v>
      </c>
      <c r="E85" s="28"/>
      <c r="F85" s="30"/>
      <c r="G85" s="30"/>
      <c r="H85" s="30"/>
      <c r="I85" s="30"/>
      <c r="J85" s="28"/>
      <c r="K85" s="30"/>
      <c r="L85" s="30"/>
      <c r="M85" s="30"/>
      <c r="N85" s="30"/>
      <c r="O85" s="28"/>
      <c r="W85" s="28"/>
      <c r="X85" s="30"/>
      <c r="Y85" s="30"/>
      <c r="Z85" s="30"/>
      <c r="AA85" s="30"/>
      <c r="AB85" s="30"/>
      <c r="AC85" s="28"/>
      <c r="AG85" s="29"/>
      <c r="AH85" s="30"/>
      <c r="AI85" s="36"/>
      <c r="AJ85" s="30"/>
      <c r="AK85" s="29"/>
      <c r="AL85" s="30"/>
      <c r="AM85" s="30"/>
      <c r="AN85" s="30"/>
      <c r="AO85" s="30"/>
      <c r="AP85" s="30"/>
      <c r="AQ85" s="38"/>
      <c r="AR85" s="30"/>
      <c r="AS85" s="30"/>
      <c r="AT85" s="29"/>
      <c r="AU85" s="30"/>
      <c r="AV85" s="30"/>
      <c r="AW85" s="30"/>
      <c r="AX85" s="29"/>
      <c r="AY85" s="39"/>
      <c r="AZ85" s="30"/>
      <c r="BA85" s="30"/>
      <c r="BB85" s="29"/>
      <c r="BC85" s="52"/>
      <c r="BD85" s="30"/>
      <c r="BE85" s="29"/>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row>
    <row r="86">
      <c r="A86" s="30" t="str">
        <f>IFERROR(__xludf.DUMMYFUNCTION("""COMPUTED_VALUE"""),"Vins et alcools Chevalier")</f>
        <v>Vins et alcools Chevalier</v>
      </c>
      <c r="B86" s="42">
        <f>IFERROR(__xludf.DUMMYFUNCTION("""COMPUTED_VALUE"""),1312.0)</f>
        <v>1312</v>
      </c>
      <c r="C86" s="43">
        <f t="shared" si="1"/>
        <v>0.001051879289</v>
      </c>
      <c r="D86" s="43">
        <f t="shared" si="4"/>
        <v>0.9980229159</v>
      </c>
      <c r="E86" s="28"/>
      <c r="F86" s="30"/>
      <c r="G86" s="30"/>
      <c r="H86" s="30"/>
      <c r="I86" s="30"/>
      <c r="J86" s="28"/>
      <c r="K86" s="30"/>
      <c r="L86" s="30"/>
      <c r="M86" s="30"/>
      <c r="N86" s="30"/>
      <c r="O86" s="28"/>
      <c r="W86" s="28"/>
      <c r="X86" s="30"/>
      <c r="Y86" s="30"/>
      <c r="Z86" s="30"/>
      <c r="AA86" s="30"/>
      <c r="AB86" s="30"/>
      <c r="AC86" s="28"/>
      <c r="AG86" s="29"/>
      <c r="AH86" s="30"/>
      <c r="AI86" s="36"/>
      <c r="AJ86" s="30"/>
      <c r="AK86" s="29"/>
      <c r="AL86" s="30"/>
      <c r="AM86" s="30"/>
      <c r="AN86" s="30"/>
      <c r="AO86" s="30"/>
      <c r="AP86" s="30"/>
      <c r="AQ86" s="38"/>
      <c r="AR86" s="30"/>
      <c r="AS86" s="30"/>
      <c r="AT86" s="29"/>
      <c r="AU86" s="30"/>
      <c r="AV86" s="30"/>
      <c r="AW86" s="30"/>
      <c r="AX86" s="29"/>
      <c r="AY86" s="39"/>
      <c r="AZ86" s="30"/>
      <c r="BA86" s="30"/>
      <c r="BB86" s="29"/>
      <c r="BC86" s="52"/>
      <c r="BD86" s="30"/>
      <c r="BE86" s="29"/>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row>
    <row r="87">
      <c r="A87" s="30" t="str">
        <f>IFERROR(__xludf.DUMMYFUNCTION("""COMPUTED_VALUE"""),"Galería del gastrónomo")</f>
        <v>Galería del gastrónomo</v>
      </c>
      <c r="B87" s="42">
        <f>IFERROR(__xludf.DUMMYFUNCTION("""COMPUTED_VALUE"""),836.7)</f>
        <v>836.7</v>
      </c>
      <c r="C87" s="43">
        <f t="shared" si="1"/>
        <v>0.0006708135677</v>
      </c>
      <c r="D87" s="43">
        <f t="shared" si="4"/>
        <v>0.9986937295</v>
      </c>
      <c r="E87" s="28"/>
      <c r="F87" s="30"/>
      <c r="G87" s="30"/>
      <c r="H87" s="30"/>
      <c r="I87" s="30"/>
      <c r="J87" s="28"/>
      <c r="K87" s="30"/>
      <c r="L87" s="30"/>
      <c r="M87" s="30"/>
      <c r="N87" s="30"/>
      <c r="O87" s="28"/>
      <c r="W87" s="28"/>
      <c r="X87" s="30"/>
      <c r="Y87" s="30"/>
      <c r="Z87" s="30"/>
      <c r="AA87" s="30"/>
      <c r="AB87" s="30"/>
      <c r="AC87" s="28"/>
      <c r="AG87" s="29"/>
      <c r="AH87" s="30"/>
      <c r="AI87" s="36"/>
      <c r="AJ87" s="30"/>
      <c r="AK87" s="29"/>
      <c r="AL87" s="30"/>
      <c r="AM87" s="30"/>
      <c r="AN87" s="30"/>
      <c r="AO87" s="30"/>
      <c r="AP87" s="30"/>
      <c r="AQ87" s="38"/>
      <c r="AR87" s="30"/>
      <c r="AS87" s="30"/>
      <c r="AT87" s="29"/>
      <c r="AU87" s="30"/>
      <c r="AV87" s="30"/>
      <c r="AW87" s="30"/>
      <c r="AX87" s="29"/>
      <c r="AY87" s="39"/>
      <c r="AZ87" s="30"/>
      <c r="BA87" s="30"/>
      <c r="BB87" s="29"/>
      <c r="BC87" s="52"/>
      <c r="BD87" s="30"/>
      <c r="BE87" s="29"/>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row>
    <row r="88">
      <c r="A88" s="30" t="str">
        <f>IFERROR(__xludf.DUMMYFUNCTION("""COMPUTED_VALUE"""),"North/South")</f>
        <v>North/South</v>
      </c>
      <c r="B88" s="42">
        <f>IFERROR(__xludf.DUMMYFUNCTION("""COMPUTED_VALUE"""),649.0)</f>
        <v>649</v>
      </c>
      <c r="C88" s="43">
        <f t="shared" si="1"/>
        <v>0.0005203274835</v>
      </c>
      <c r="D88" s="43">
        <f t="shared" si="4"/>
        <v>0.999214057</v>
      </c>
      <c r="E88" s="28"/>
      <c r="F88" s="30"/>
      <c r="G88" s="30"/>
      <c r="H88" s="30"/>
      <c r="I88" s="30"/>
      <c r="J88" s="28"/>
      <c r="K88" s="30"/>
      <c r="L88" s="30"/>
      <c r="M88" s="30"/>
      <c r="N88" s="30"/>
      <c r="O88" s="28"/>
      <c r="W88" s="28"/>
      <c r="X88" s="30"/>
      <c r="Y88" s="30"/>
      <c r="Z88" s="30"/>
      <c r="AA88" s="30"/>
      <c r="AB88" s="30"/>
      <c r="AC88" s="28"/>
      <c r="AG88" s="29"/>
      <c r="AH88" s="30"/>
      <c r="AI88" s="36"/>
      <c r="AJ88" s="30"/>
      <c r="AK88" s="29"/>
      <c r="AL88" s="30"/>
      <c r="AM88" s="30"/>
      <c r="AN88" s="30"/>
      <c r="AO88" s="30"/>
      <c r="AP88" s="30"/>
      <c r="AQ88" s="38"/>
      <c r="AR88" s="30"/>
      <c r="AS88" s="30"/>
      <c r="AT88" s="29"/>
      <c r="AU88" s="30"/>
      <c r="AV88" s="30"/>
      <c r="AW88" s="30"/>
      <c r="AX88" s="29"/>
      <c r="AY88" s="39"/>
      <c r="AZ88" s="30"/>
      <c r="BA88" s="30"/>
      <c r="BB88" s="29"/>
      <c r="BC88" s="52"/>
      <c r="BD88" s="30"/>
      <c r="BE88" s="29"/>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row>
    <row r="89">
      <c r="A89" s="30" t="str">
        <f>IFERROR(__xludf.DUMMYFUNCTION("""COMPUTED_VALUE"""),"Laughing Bacchus Wine Cellars")</f>
        <v>Laughing Bacchus Wine Cellars</v>
      </c>
      <c r="B89" s="42">
        <f>IFERROR(__xludf.DUMMYFUNCTION("""COMPUTED_VALUE"""),522.5)</f>
        <v>522.5</v>
      </c>
      <c r="C89" s="43">
        <f t="shared" si="1"/>
        <v>0.0004189077197</v>
      </c>
      <c r="D89" s="43">
        <f t="shared" si="4"/>
        <v>0.9996329647</v>
      </c>
      <c r="E89" s="28"/>
      <c r="F89" s="30"/>
      <c r="G89" s="30"/>
      <c r="H89" s="30"/>
      <c r="I89" s="30"/>
      <c r="J89" s="28"/>
      <c r="K89" s="30"/>
      <c r="L89" s="30"/>
      <c r="M89" s="30"/>
      <c r="N89" s="30"/>
      <c r="O89" s="28"/>
      <c r="W89" s="28"/>
      <c r="X89" s="30"/>
      <c r="Y89" s="30"/>
      <c r="Z89" s="30"/>
      <c r="AA89" s="30"/>
      <c r="AB89" s="30"/>
      <c r="AC89" s="28"/>
      <c r="AG89" s="29"/>
      <c r="AH89" s="30"/>
      <c r="AI89" s="36"/>
      <c r="AJ89" s="30"/>
      <c r="AK89" s="29"/>
      <c r="AL89" s="30"/>
      <c r="AM89" s="30"/>
      <c r="AN89" s="30"/>
      <c r="AO89" s="30"/>
      <c r="AP89" s="30"/>
      <c r="AQ89" s="38"/>
      <c r="AR89" s="30"/>
      <c r="AS89" s="30"/>
      <c r="AT89" s="29"/>
      <c r="AU89" s="30"/>
      <c r="AV89" s="30"/>
      <c r="AW89" s="30"/>
      <c r="AX89" s="29"/>
      <c r="AY89" s="39"/>
      <c r="AZ89" s="30"/>
      <c r="BA89" s="30"/>
      <c r="BB89" s="29"/>
      <c r="BC89" s="52"/>
      <c r="BD89" s="30"/>
      <c r="BE89" s="29"/>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row>
    <row r="90">
      <c r="A90" s="30" t="str">
        <f>IFERROR(__xludf.DUMMYFUNCTION("""COMPUTED_VALUE"""),"Lazy K Kountry Store")</f>
        <v>Lazy K Kountry Store</v>
      </c>
      <c r="B90" s="42">
        <f>IFERROR(__xludf.DUMMYFUNCTION("""COMPUTED_VALUE"""),357.0)</f>
        <v>357</v>
      </c>
      <c r="C90" s="43">
        <f t="shared" si="1"/>
        <v>0.0002862202028</v>
      </c>
      <c r="D90" s="43">
        <f t="shared" si="4"/>
        <v>0.9999191849</v>
      </c>
      <c r="E90" s="28"/>
      <c r="F90" s="30"/>
      <c r="G90" s="30"/>
      <c r="H90" s="30"/>
      <c r="I90" s="30"/>
      <c r="J90" s="28"/>
      <c r="K90" s="30"/>
      <c r="L90" s="30"/>
      <c r="M90" s="30"/>
      <c r="N90" s="30"/>
      <c r="O90" s="28"/>
      <c r="W90" s="28"/>
      <c r="X90" s="30"/>
      <c r="Y90" s="30"/>
      <c r="Z90" s="30"/>
      <c r="AA90" s="30"/>
      <c r="AB90" s="30"/>
      <c r="AC90" s="28"/>
      <c r="AG90" s="29"/>
      <c r="AH90" s="30"/>
      <c r="AI90" s="36"/>
      <c r="AJ90" s="30"/>
      <c r="AK90" s="29"/>
      <c r="AL90" s="30"/>
      <c r="AM90" s="30"/>
      <c r="AN90" s="30"/>
      <c r="AO90" s="30"/>
      <c r="AP90" s="30"/>
      <c r="AQ90" s="38"/>
      <c r="AR90" s="30"/>
      <c r="AS90" s="30"/>
      <c r="AT90" s="29"/>
      <c r="AU90" s="30"/>
      <c r="AV90" s="30"/>
      <c r="AW90" s="30"/>
      <c r="AX90" s="29"/>
      <c r="AY90" s="39"/>
      <c r="AZ90" s="30"/>
      <c r="BA90" s="30"/>
      <c r="BB90" s="29"/>
      <c r="BC90" s="52"/>
      <c r="BD90" s="30"/>
      <c r="BE90" s="29"/>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row>
    <row r="91">
      <c r="A91" s="30" t="str">
        <f>IFERROR(__xludf.DUMMYFUNCTION("""COMPUTED_VALUE"""),"Centro comercial Moctezuma")</f>
        <v>Centro comercial Moctezuma</v>
      </c>
      <c r="B91" s="42">
        <f>IFERROR(__xludf.DUMMYFUNCTION("""COMPUTED_VALUE"""),100.8)</f>
        <v>100.8</v>
      </c>
      <c r="C91" s="43">
        <f t="shared" si="1"/>
        <v>0.00008081511608</v>
      </c>
      <c r="D91" s="43">
        <f t="shared" si="4"/>
        <v>1</v>
      </c>
      <c r="E91" s="28"/>
      <c r="F91" s="30"/>
      <c r="G91" s="30"/>
      <c r="H91" s="30"/>
      <c r="I91" s="30"/>
      <c r="J91" s="28"/>
      <c r="K91" s="30"/>
      <c r="L91" s="30"/>
      <c r="M91" s="30"/>
      <c r="N91" s="30"/>
      <c r="O91" s="28"/>
      <c r="W91" s="28"/>
      <c r="X91" s="30"/>
      <c r="Y91" s="30"/>
      <c r="Z91" s="30"/>
      <c r="AA91" s="30"/>
      <c r="AB91" s="30"/>
      <c r="AC91" s="28"/>
      <c r="AG91" s="29"/>
      <c r="AH91" s="30"/>
      <c r="AI91" s="36"/>
      <c r="AJ91" s="30"/>
      <c r="AK91" s="29"/>
      <c r="AL91" s="30"/>
      <c r="AM91" s="30"/>
      <c r="AN91" s="30"/>
      <c r="AO91" s="30"/>
      <c r="AP91" s="30"/>
      <c r="AQ91" s="38"/>
      <c r="AR91" s="30"/>
      <c r="AS91" s="30"/>
      <c r="AT91" s="29"/>
      <c r="AU91" s="30"/>
      <c r="AV91" s="30"/>
      <c r="AW91" s="30"/>
      <c r="AX91" s="29"/>
      <c r="AY91" s="39"/>
      <c r="AZ91" s="30"/>
      <c r="BA91" s="30"/>
      <c r="BB91" s="29"/>
      <c r="BC91" s="52"/>
      <c r="BD91" s="30"/>
      <c r="BE91" s="29"/>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row>
    <row r="92">
      <c r="A92" s="30"/>
      <c r="B92" s="42"/>
      <c r="C92" s="43"/>
      <c r="D92" s="30"/>
      <c r="E92" s="28"/>
      <c r="F92" s="30"/>
      <c r="G92" s="30"/>
      <c r="H92" s="30"/>
      <c r="I92" s="30"/>
      <c r="J92" s="28"/>
      <c r="K92" s="30"/>
      <c r="L92" s="30"/>
      <c r="M92" s="30"/>
      <c r="N92" s="30"/>
      <c r="O92" s="28"/>
      <c r="W92" s="28"/>
      <c r="X92" s="30"/>
      <c r="Y92" s="30"/>
      <c r="Z92" s="30"/>
      <c r="AA92" s="30"/>
      <c r="AB92" s="30"/>
      <c r="AC92" s="28"/>
      <c r="AG92" s="29"/>
      <c r="AH92" s="30"/>
      <c r="AI92" s="36"/>
      <c r="AJ92" s="30"/>
      <c r="AK92" s="29"/>
      <c r="AL92" s="30"/>
      <c r="AM92" s="30"/>
      <c r="AN92" s="30"/>
      <c r="AO92" s="30"/>
      <c r="AP92" s="30"/>
      <c r="AQ92" s="38"/>
      <c r="AR92" s="30"/>
      <c r="AS92" s="30"/>
      <c r="AT92" s="29"/>
      <c r="AU92" s="30"/>
      <c r="AV92" s="30"/>
      <c r="AW92" s="30"/>
      <c r="AX92" s="29"/>
      <c r="AY92" s="39"/>
      <c r="AZ92" s="30"/>
      <c r="BA92" s="30"/>
      <c r="BB92" s="29"/>
      <c r="BC92" s="52"/>
      <c r="BD92" s="30"/>
      <c r="BE92" s="29"/>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row>
    <row r="93">
      <c r="A93" s="30"/>
      <c r="B93" s="42"/>
      <c r="C93" s="43"/>
      <c r="D93" s="30"/>
      <c r="E93" s="28"/>
      <c r="F93" s="30"/>
      <c r="G93" s="30"/>
      <c r="H93" s="30"/>
      <c r="I93" s="30"/>
      <c r="J93" s="28"/>
      <c r="K93" s="30"/>
      <c r="L93" s="30"/>
      <c r="M93" s="30"/>
      <c r="N93" s="30"/>
      <c r="O93" s="28"/>
      <c r="W93" s="28"/>
      <c r="X93" s="30"/>
      <c r="Y93" s="30"/>
      <c r="Z93" s="30"/>
      <c r="AA93" s="30"/>
      <c r="AB93" s="30"/>
      <c r="AC93" s="28"/>
      <c r="AG93" s="29"/>
      <c r="AH93" s="30"/>
      <c r="AI93" s="36"/>
      <c r="AJ93" s="30"/>
      <c r="AK93" s="29"/>
      <c r="AL93" s="30"/>
      <c r="AM93" s="30"/>
      <c r="AN93" s="30"/>
      <c r="AO93" s="30"/>
      <c r="AP93" s="30"/>
      <c r="AQ93" s="38"/>
      <c r="AR93" s="30"/>
      <c r="AS93" s="30"/>
      <c r="AT93" s="29"/>
      <c r="AU93" s="30"/>
      <c r="AV93" s="30"/>
      <c r="AW93" s="30"/>
      <c r="AX93" s="29"/>
      <c r="AY93" s="39"/>
      <c r="AZ93" s="30"/>
      <c r="BA93" s="30"/>
      <c r="BB93" s="29"/>
      <c r="BC93" s="52"/>
      <c r="BD93" s="30"/>
      <c r="BE93" s="29"/>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row>
    <row r="94">
      <c r="A94" s="30"/>
      <c r="B94" s="42"/>
      <c r="C94" s="43"/>
      <c r="D94" s="30"/>
      <c r="E94" s="28"/>
      <c r="F94" s="30"/>
      <c r="G94" s="30"/>
      <c r="H94" s="30"/>
      <c r="I94" s="30"/>
      <c r="J94" s="28"/>
      <c r="K94" s="30"/>
      <c r="L94" s="30"/>
      <c r="M94" s="30"/>
      <c r="N94" s="30"/>
      <c r="O94" s="28"/>
      <c r="W94" s="28"/>
      <c r="X94" s="30"/>
      <c r="Y94" s="30"/>
      <c r="Z94" s="30"/>
      <c r="AA94" s="30"/>
      <c r="AB94" s="30"/>
      <c r="AC94" s="28"/>
      <c r="AG94" s="29"/>
      <c r="AH94" s="30"/>
      <c r="AI94" s="36"/>
      <c r="AJ94" s="30"/>
      <c r="AK94" s="29"/>
      <c r="AL94" s="30"/>
      <c r="AM94" s="30"/>
      <c r="AN94" s="30"/>
      <c r="AO94" s="30"/>
      <c r="AP94" s="30"/>
      <c r="AQ94" s="38"/>
      <c r="AR94" s="30"/>
      <c r="AS94" s="30"/>
      <c r="AT94" s="29"/>
      <c r="AU94" s="30"/>
      <c r="AV94" s="30"/>
      <c r="AW94" s="30"/>
      <c r="AX94" s="29"/>
      <c r="AY94" s="39"/>
      <c r="AZ94" s="30"/>
      <c r="BA94" s="30"/>
      <c r="BB94" s="29"/>
      <c r="BC94" s="52"/>
      <c r="BD94" s="30"/>
      <c r="BE94" s="29"/>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row>
    <row r="95">
      <c r="A95" s="30"/>
      <c r="B95" s="42"/>
      <c r="C95" s="43"/>
      <c r="D95" s="30"/>
      <c r="E95" s="28"/>
      <c r="F95" s="30"/>
      <c r="G95" s="30"/>
      <c r="H95" s="30"/>
      <c r="I95" s="30"/>
      <c r="J95" s="28"/>
      <c r="K95" s="30"/>
      <c r="L95" s="30"/>
      <c r="M95" s="30"/>
      <c r="N95" s="30"/>
      <c r="O95" s="28"/>
      <c r="W95" s="28"/>
      <c r="X95" s="30"/>
      <c r="Y95" s="30"/>
      <c r="Z95" s="30"/>
      <c r="AA95" s="30"/>
      <c r="AB95" s="30"/>
      <c r="AC95" s="28"/>
      <c r="AD95" s="30"/>
      <c r="AE95" s="30"/>
      <c r="AF95" s="30"/>
      <c r="AG95" s="29"/>
      <c r="AH95" s="30"/>
      <c r="AI95" s="36"/>
      <c r="AJ95" s="30"/>
      <c r="AK95" s="29"/>
      <c r="AL95" s="30"/>
      <c r="AM95" s="30"/>
      <c r="AN95" s="30"/>
      <c r="AO95" s="30"/>
      <c r="AP95" s="30"/>
      <c r="AQ95" s="38"/>
      <c r="AR95" s="30"/>
      <c r="AS95" s="30"/>
      <c r="AT95" s="29"/>
      <c r="AU95" s="30"/>
      <c r="AV95" s="30"/>
      <c r="AW95" s="30"/>
      <c r="AX95" s="29"/>
      <c r="AY95" s="39"/>
      <c r="AZ95" s="30"/>
      <c r="BA95" s="30"/>
      <c r="BB95" s="29"/>
      <c r="BC95" s="52"/>
      <c r="BD95" s="30"/>
      <c r="BE95" s="29"/>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row>
    <row r="96">
      <c r="A96" s="30"/>
      <c r="B96" s="42"/>
      <c r="C96" s="43"/>
      <c r="D96" s="30"/>
      <c r="E96" s="28"/>
      <c r="F96" s="30"/>
      <c r="G96" s="30"/>
      <c r="H96" s="30"/>
      <c r="I96" s="30"/>
      <c r="J96" s="28"/>
      <c r="K96" s="30"/>
      <c r="L96" s="30"/>
      <c r="M96" s="30"/>
      <c r="N96" s="30"/>
      <c r="O96" s="28"/>
      <c r="W96" s="28"/>
      <c r="X96" s="30"/>
      <c r="Y96" s="30"/>
      <c r="Z96" s="30"/>
      <c r="AA96" s="30"/>
      <c r="AB96" s="30"/>
      <c r="AC96" s="28"/>
      <c r="AD96" s="30"/>
      <c r="AE96" s="30"/>
      <c r="AF96" s="30"/>
      <c r="AG96" s="29"/>
      <c r="AH96" s="30"/>
      <c r="AI96" s="36"/>
      <c r="AJ96" s="30"/>
      <c r="AK96" s="29"/>
      <c r="AL96" s="30"/>
      <c r="AM96" s="30"/>
      <c r="AN96" s="30"/>
      <c r="AO96" s="30"/>
      <c r="AP96" s="30"/>
      <c r="AQ96" s="38"/>
      <c r="AR96" s="30"/>
      <c r="AS96" s="30"/>
      <c r="AT96" s="29"/>
      <c r="AU96" s="30"/>
      <c r="AV96" s="30"/>
      <c r="AW96" s="30"/>
      <c r="AX96" s="29"/>
      <c r="AY96" s="39"/>
      <c r="AZ96" s="30"/>
      <c r="BA96" s="30"/>
      <c r="BB96" s="29"/>
      <c r="BC96" s="52"/>
      <c r="BD96" s="30"/>
      <c r="BE96" s="29"/>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row>
    <row r="97">
      <c r="A97" s="30"/>
      <c r="B97" s="42"/>
      <c r="C97" s="43"/>
      <c r="D97" s="30"/>
      <c r="E97" s="28"/>
      <c r="F97" s="30"/>
      <c r="G97" s="30"/>
      <c r="H97" s="30"/>
      <c r="I97" s="30"/>
      <c r="J97" s="28"/>
      <c r="K97" s="30"/>
      <c r="L97" s="30"/>
      <c r="M97" s="30"/>
      <c r="N97" s="30"/>
      <c r="O97" s="28"/>
      <c r="P97" s="30"/>
      <c r="Q97" s="30"/>
      <c r="R97" s="30"/>
      <c r="S97" s="36"/>
      <c r="T97" s="30"/>
      <c r="U97" s="36"/>
      <c r="V97" s="30"/>
      <c r="W97" s="28"/>
      <c r="X97" s="30"/>
      <c r="Y97" s="30"/>
      <c r="Z97" s="30"/>
      <c r="AA97" s="30"/>
      <c r="AB97" s="30"/>
      <c r="AC97" s="28"/>
      <c r="AD97" s="30"/>
      <c r="AE97" s="30"/>
      <c r="AF97" s="30"/>
      <c r="AG97" s="29"/>
      <c r="AH97" s="30"/>
      <c r="AI97" s="36"/>
      <c r="AJ97" s="30"/>
      <c r="AK97" s="29"/>
      <c r="AL97" s="30"/>
      <c r="AM97" s="30"/>
      <c r="AN97" s="30"/>
      <c r="AO97" s="30"/>
      <c r="AP97" s="30"/>
      <c r="AQ97" s="38"/>
      <c r="AR97" s="30"/>
      <c r="AS97" s="30"/>
      <c r="AT97" s="29"/>
      <c r="AU97" s="30"/>
      <c r="AV97" s="30"/>
      <c r="AW97" s="30"/>
      <c r="AX97" s="29"/>
      <c r="AY97" s="39"/>
      <c r="AZ97" s="30"/>
      <c r="BA97" s="30"/>
      <c r="BB97" s="29"/>
      <c r="BC97" s="52"/>
      <c r="BD97" s="30"/>
      <c r="BE97" s="29"/>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row>
    <row r="98">
      <c r="A98" s="30"/>
      <c r="B98" s="42"/>
      <c r="C98" s="43"/>
      <c r="D98" s="30"/>
      <c r="E98" s="28"/>
      <c r="F98" s="30"/>
      <c r="G98" s="30"/>
      <c r="H98" s="30"/>
      <c r="I98" s="30"/>
      <c r="J98" s="28"/>
      <c r="K98" s="30"/>
      <c r="L98" s="30"/>
      <c r="M98" s="30"/>
      <c r="N98" s="30"/>
      <c r="O98" s="28"/>
      <c r="P98" s="30"/>
      <c r="Q98" s="30"/>
      <c r="R98" s="43"/>
      <c r="S98" s="36"/>
      <c r="T98" s="30"/>
      <c r="U98" s="36"/>
      <c r="V98" s="30"/>
      <c r="W98" s="28"/>
      <c r="X98" s="30"/>
      <c r="Y98" s="30"/>
      <c r="Z98" s="30"/>
      <c r="AA98" s="30"/>
      <c r="AB98" s="30"/>
      <c r="AC98" s="28"/>
      <c r="AD98" s="30"/>
      <c r="AE98" s="30"/>
      <c r="AF98" s="30"/>
      <c r="AG98" s="29"/>
      <c r="AH98" s="30"/>
      <c r="AI98" s="36"/>
      <c r="AJ98" s="30"/>
      <c r="AK98" s="29"/>
      <c r="AL98" s="30"/>
      <c r="AM98" s="30"/>
      <c r="AN98" s="30"/>
      <c r="AO98" s="30"/>
      <c r="AP98" s="30"/>
      <c r="AQ98" s="38"/>
      <c r="AR98" s="30"/>
      <c r="AS98" s="30"/>
      <c r="AT98" s="29"/>
      <c r="AU98" s="30"/>
      <c r="AV98" s="30"/>
      <c r="AW98" s="30"/>
      <c r="AX98" s="29"/>
      <c r="AY98" s="39"/>
      <c r="AZ98" s="30"/>
      <c r="BA98" s="30"/>
      <c r="BB98" s="29"/>
      <c r="BC98" s="52"/>
      <c r="BD98" s="30"/>
      <c r="BE98" s="29"/>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row>
    <row r="99">
      <c r="A99" s="30"/>
      <c r="B99" s="42"/>
      <c r="C99" s="43"/>
      <c r="D99" s="30"/>
      <c r="E99" s="28"/>
      <c r="F99" s="30"/>
      <c r="G99" s="30"/>
      <c r="H99" s="30"/>
      <c r="I99" s="30"/>
      <c r="J99" s="28"/>
      <c r="K99" s="30"/>
      <c r="L99" s="30"/>
      <c r="M99" s="30"/>
      <c r="N99" s="30"/>
      <c r="O99" s="28"/>
      <c r="P99" s="30"/>
      <c r="Q99" s="30"/>
      <c r="R99" s="30"/>
      <c r="S99" s="36"/>
      <c r="T99" s="30"/>
      <c r="U99" s="36"/>
      <c r="V99" s="30"/>
      <c r="W99" s="28"/>
      <c r="X99" s="30"/>
      <c r="Y99" s="30"/>
      <c r="Z99" s="30"/>
      <c r="AA99" s="30"/>
      <c r="AB99" s="30"/>
      <c r="AC99" s="28"/>
      <c r="AD99" s="30"/>
      <c r="AE99" s="30"/>
      <c r="AF99" s="30"/>
      <c r="AG99" s="29"/>
      <c r="AH99" s="30"/>
      <c r="AI99" s="36"/>
      <c r="AJ99" s="30"/>
      <c r="AK99" s="29"/>
      <c r="AL99" s="30"/>
      <c r="AM99" s="30"/>
      <c r="AN99" s="30"/>
      <c r="AO99" s="30"/>
      <c r="AP99" s="30"/>
      <c r="AQ99" s="38"/>
      <c r="AR99" s="30"/>
      <c r="AS99" s="30"/>
      <c r="AT99" s="29"/>
      <c r="AU99" s="30"/>
      <c r="AV99" s="30"/>
      <c r="AW99" s="30"/>
      <c r="AX99" s="29"/>
      <c r="AY99" s="39"/>
      <c r="AZ99" s="30"/>
      <c r="BA99" s="30"/>
      <c r="BB99" s="29"/>
      <c r="BC99" s="52"/>
      <c r="BD99" s="30"/>
      <c r="BE99" s="29"/>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row>
    <row r="100">
      <c r="A100" s="30"/>
      <c r="B100" s="42"/>
      <c r="C100" s="43"/>
      <c r="D100" s="30"/>
      <c r="E100" s="28"/>
      <c r="F100" s="30"/>
      <c r="G100" s="30"/>
      <c r="H100" s="30"/>
      <c r="I100" s="30"/>
      <c r="J100" s="28"/>
      <c r="K100" s="30"/>
      <c r="L100" s="30"/>
      <c r="M100" s="30"/>
      <c r="N100" s="30"/>
      <c r="O100" s="28"/>
      <c r="P100" s="30"/>
      <c r="Q100" s="30"/>
      <c r="R100" s="30"/>
      <c r="S100" s="36"/>
      <c r="T100" s="30"/>
      <c r="U100" s="36"/>
      <c r="V100" s="30"/>
      <c r="W100" s="28"/>
      <c r="X100" s="30"/>
      <c r="Y100" s="30"/>
      <c r="Z100" s="30"/>
      <c r="AA100" s="30"/>
      <c r="AB100" s="30"/>
      <c r="AC100" s="28"/>
      <c r="AD100" s="30"/>
      <c r="AE100" s="30"/>
      <c r="AF100" s="30"/>
      <c r="AG100" s="29"/>
      <c r="AH100" s="30"/>
      <c r="AI100" s="36"/>
      <c r="AJ100" s="30"/>
      <c r="AK100" s="29"/>
      <c r="AL100" s="30"/>
      <c r="AM100" s="30"/>
      <c r="AN100" s="30"/>
      <c r="AO100" s="30"/>
      <c r="AP100" s="30"/>
      <c r="AQ100" s="38"/>
      <c r="AR100" s="30"/>
      <c r="AS100" s="30"/>
      <c r="AT100" s="29"/>
      <c r="AU100" s="30"/>
      <c r="AV100" s="30"/>
      <c r="AW100" s="30"/>
      <c r="AX100" s="29"/>
      <c r="AY100" s="39"/>
      <c r="AZ100" s="30"/>
      <c r="BA100" s="30"/>
      <c r="BB100" s="29"/>
      <c r="BC100" s="52"/>
      <c r="BD100" s="30"/>
      <c r="BE100" s="29"/>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row>
    <row r="101">
      <c r="A101" s="30"/>
      <c r="B101" s="42"/>
      <c r="C101" s="43"/>
      <c r="D101" s="30"/>
      <c r="E101" s="28"/>
      <c r="F101" s="30"/>
      <c r="G101" s="30"/>
      <c r="H101" s="30"/>
      <c r="I101" s="30"/>
      <c r="J101" s="28"/>
      <c r="K101" s="30"/>
      <c r="L101" s="30"/>
      <c r="M101" s="30"/>
      <c r="N101" s="30"/>
      <c r="O101" s="28"/>
      <c r="P101" s="30"/>
      <c r="Q101" s="30"/>
      <c r="R101" s="30"/>
      <c r="S101" s="36"/>
      <c r="T101" s="30"/>
      <c r="U101" s="36"/>
      <c r="V101" s="30"/>
      <c r="W101" s="28"/>
      <c r="X101" s="30"/>
      <c r="Y101" s="30"/>
      <c r="Z101" s="30"/>
      <c r="AA101" s="30"/>
      <c r="AB101" s="30"/>
      <c r="AC101" s="28"/>
      <c r="AD101" s="30"/>
      <c r="AE101" s="30"/>
      <c r="AF101" s="30"/>
      <c r="AG101" s="29"/>
      <c r="AH101" s="30"/>
      <c r="AI101" s="36"/>
      <c r="AJ101" s="30"/>
      <c r="AK101" s="29"/>
      <c r="AL101" s="30"/>
      <c r="AM101" s="30"/>
      <c r="AN101" s="30"/>
      <c r="AO101" s="30"/>
      <c r="AP101" s="30"/>
      <c r="AQ101" s="38"/>
      <c r="AR101" s="30"/>
      <c r="AS101" s="30"/>
      <c r="AT101" s="29"/>
      <c r="AU101" s="30"/>
      <c r="AV101" s="30"/>
      <c r="AW101" s="30"/>
      <c r="AX101" s="29"/>
      <c r="AY101" s="39"/>
      <c r="AZ101" s="30"/>
      <c r="BA101" s="30"/>
      <c r="BB101" s="29"/>
      <c r="BC101" s="52"/>
      <c r="BD101" s="30"/>
      <c r="BE101" s="29"/>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row>
    <row r="102">
      <c r="A102" s="30"/>
      <c r="B102" s="42"/>
      <c r="C102" s="43"/>
      <c r="D102" s="30"/>
      <c r="E102" s="28"/>
      <c r="F102" s="30"/>
      <c r="G102" s="30"/>
      <c r="H102" s="30"/>
      <c r="I102" s="30"/>
      <c r="J102" s="28"/>
      <c r="K102" s="30"/>
      <c r="L102" s="30"/>
      <c r="M102" s="30"/>
      <c r="N102" s="30"/>
      <c r="O102" s="28"/>
      <c r="P102" s="30"/>
      <c r="Q102" s="30"/>
      <c r="R102" s="30"/>
      <c r="S102" s="36"/>
      <c r="T102" s="30"/>
      <c r="U102" s="36"/>
      <c r="V102" s="30"/>
      <c r="W102" s="28"/>
      <c r="X102" s="30"/>
      <c r="Y102" s="30"/>
      <c r="Z102" s="30"/>
      <c r="AA102" s="30"/>
      <c r="AB102" s="30"/>
      <c r="AC102" s="28"/>
      <c r="AD102" s="30"/>
      <c r="AE102" s="30"/>
      <c r="AF102" s="30"/>
      <c r="AG102" s="29"/>
      <c r="AH102" s="30"/>
      <c r="AI102" s="36"/>
      <c r="AJ102" s="30"/>
      <c r="AK102" s="29"/>
      <c r="AL102" s="30"/>
      <c r="AM102" s="30"/>
      <c r="AN102" s="30"/>
      <c r="AO102" s="30"/>
      <c r="AP102" s="30"/>
      <c r="AQ102" s="38"/>
      <c r="AR102" s="30"/>
      <c r="AS102" s="30"/>
      <c r="AT102" s="29"/>
      <c r="AU102" s="30"/>
      <c r="AV102" s="30"/>
      <c r="AW102" s="30"/>
      <c r="AX102" s="29"/>
      <c r="AY102" s="39"/>
      <c r="AZ102" s="30"/>
      <c r="BA102" s="30"/>
      <c r="BB102" s="29"/>
      <c r="BC102" s="52"/>
      <c r="BD102" s="30"/>
      <c r="BE102" s="29"/>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row>
    <row r="103">
      <c r="A103" s="30"/>
      <c r="B103" s="42"/>
      <c r="C103" s="43"/>
      <c r="D103" s="30"/>
      <c r="E103" s="28"/>
      <c r="F103" s="30"/>
      <c r="G103" s="30"/>
      <c r="H103" s="30"/>
      <c r="I103" s="30"/>
      <c r="J103" s="28"/>
      <c r="K103" s="30"/>
      <c r="L103" s="30"/>
      <c r="M103" s="30"/>
      <c r="N103" s="30"/>
      <c r="O103" s="28"/>
      <c r="P103" s="30"/>
      <c r="Q103" s="30"/>
      <c r="R103" s="30"/>
      <c r="S103" s="36"/>
      <c r="T103" s="30"/>
      <c r="U103" s="36"/>
      <c r="V103" s="30"/>
      <c r="W103" s="28"/>
      <c r="X103" s="30"/>
      <c r="Y103" s="30"/>
      <c r="Z103" s="30"/>
      <c r="AA103" s="30"/>
      <c r="AB103" s="30"/>
      <c r="AC103" s="28"/>
      <c r="AD103" s="30"/>
      <c r="AE103" s="30"/>
      <c r="AF103" s="30"/>
      <c r="AG103" s="29"/>
      <c r="AH103" s="30"/>
      <c r="AI103" s="36"/>
      <c r="AJ103" s="30"/>
      <c r="AK103" s="29"/>
      <c r="AL103" s="30"/>
      <c r="AM103" s="30"/>
      <c r="AN103" s="30"/>
      <c r="AO103" s="30"/>
      <c r="AP103" s="30"/>
      <c r="AQ103" s="38"/>
      <c r="AR103" s="30"/>
      <c r="AS103" s="30"/>
      <c r="AT103" s="29"/>
      <c r="AU103" s="30"/>
      <c r="AV103" s="30"/>
      <c r="AW103" s="30"/>
      <c r="AX103" s="29"/>
      <c r="AY103" s="39"/>
      <c r="AZ103" s="30"/>
      <c r="BA103" s="30"/>
      <c r="BB103" s="29"/>
      <c r="BC103" s="52"/>
      <c r="BD103" s="30"/>
      <c r="BE103" s="29"/>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row>
    <row r="104">
      <c r="A104" s="30"/>
      <c r="B104" s="42"/>
      <c r="C104" s="43"/>
      <c r="D104" s="30"/>
      <c r="E104" s="28"/>
      <c r="F104" s="30"/>
      <c r="G104" s="30"/>
      <c r="H104" s="30"/>
      <c r="I104" s="30"/>
      <c r="J104" s="28"/>
      <c r="K104" s="30"/>
      <c r="L104" s="30"/>
      <c r="M104" s="30"/>
      <c r="N104" s="30"/>
      <c r="O104" s="28"/>
      <c r="P104" s="30"/>
      <c r="Q104" s="30"/>
      <c r="R104" s="30"/>
      <c r="S104" s="36"/>
      <c r="T104" s="30"/>
      <c r="U104" s="36"/>
      <c r="V104" s="30"/>
      <c r="W104" s="28"/>
      <c r="X104" s="30"/>
      <c r="Y104" s="30"/>
      <c r="Z104" s="30"/>
      <c r="AA104" s="30"/>
      <c r="AB104" s="30"/>
      <c r="AC104" s="28"/>
      <c r="AD104" s="30"/>
      <c r="AE104" s="30"/>
      <c r="AF104" s="30"/>
      <c r="AG104" s="29"/>
      <c r="AH104" s="30"/>
      <c r="AI104" s="36"/>
      <c r="AJ104" s="30"/>
      <c r="AK104" s="29"/>
      <c r="AL104" s="30"/>
      <c r="AM104" s="30"/>
      <c r="AN104" s="30"/>
      <c r="AO104" s="30"/>
      <c r="AP104" s="30"/>
      <c r="AQ104" s="38"/>
      <c r="AR104" s="30"/>
      <c r="AS104" s="30"/>
      <c r="AT104" s="29"/>
      <c r="AU104" s="30"/>
      <c r="AV104" s="30"/>
      <c r="AW104" s="30"/>
      <c r="AX104" s="29"/>
      <c r="AY104" s="39"/>
      <c r="AZ104" s="30"/>
      <c r="BA104" s="30"/>
      <c r="BB104" s="29"/>
      <c r="BC104" s="52"/>
      <c r="BD104" s="30"/>
      <c r="BE104" s="29"/>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row>
    <row r="105">
      <c r="A105" s="30"/>
      <c r="B105" s="42"/>
      <c r="C105" s="43"/>
      <c r="D105" s="30"/>
      <c r="E105" s="28"/>
      <c r="F105" s="30"/>
      <c r="G105" s="30"/>
      <c r="H105" s="30"/>
      <c r="I105" s="30"/>
      <c r="J105" s="28"/>
      <c r="K105" s="30"/>
      <c r="L105" s="30"/>
      <c r="M105" s="30"/>
      <c r="N105" s="30"/>
      <c r="O105" s="28"/>
      <c r="P105" s="30"/>
      <c r="Q105" s="30"/>
      <c r="R105" s="30"/>
      <c r="S105" s="36"/>
      <c r="T105" s="30"/>
      <c r="U105" s="36"/>
      <c r="V105" s="30"/>
      <c r="W105" s="28"/>
      <c r="X105" s="30"/>
      <c r="Y105" s="30"/>
      <c r="Z105" s="30"/>
      <c r="AA105" s="30"/>
      <c r="AB105" s="30"/>
      <c r="AC105" s="28"/>
      <c r="AD105" s="30"/>
      <c r="AE105" s="30"/>
      <c r="AF105" s="30"/>
      <c r="AG105" s="29"/>
      <c r="AH105" s="30"/>
      <c r="AI105" s="36"/>
      <c r="AJ105" s="30"/>
      <c r="AK105" s="29"/>
      <c r="AL105" s="30"/>
      <c r="AM105" s="30"/>
      <c r="AN105" s="30"/>
      <c r="AO105" s="30"/>
      <c r="AP105" s="30"/>
      <c r="AQ105" s="38"/>
      <c r="AR105" s="30"/>
      <c r="AS105" s="30"/>
      <c r="AT105" s="29"/>
      <c r="AU105" s="30"/>
      <c r="AV105" s="30"/>
      <c r="AW105" s="30"/>
      <c r="AX105" s="29"/>
      <c r="AY105" s="39"/>
      <c r="AZ105" s="30"/>
      <c r="BA105" s="30"/>
      <c r="BB105" s="29"/>
      <c r="BC105" s="52"/>
      <c r="BD105" s="30"/>
      <c r="BE105" s="29"/>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row>
    <row r="106">
      <c r="A106" s="30"/>
      <c r="B106" s="42"/>
      <c r="C106" s="43"/>
      <c r="D106" s="30"/>
      <c r="E106" s="28"/>
      <c r="F106" s="30"/>
      <c r="G106" s="30"/>
      <c r="H106" s="30"/>
      <c r="I106" s="30"/>
      <c r="J106" s="28"/>
      <c r="K106" s="30"/>
      <c r="L106" s="30"/>
      <c r="M106" s="30"/>
      <c r="N106" s="30"/>
      <c r="O106" s="28"/>
      <c r="P106" s="30"/>
      <c r="Q106" s="30"/>
      <c r="R106" s="30"/>
      <c r="S106" s="36"/>
      <c r="T106" s="30"/>
      <c r="U106" s="36"/>
      <c r="V106" s="30"/>
      <c r="W106" s="28"/>
      <c r="X106" s="30"/>
      <c r="Y106" s="30"/>
      <c r="Z106" s="30"/>
      <c r="AA106" s="30"/>
      <c r="AB106" s="30"/>
      <c r="AC106" s="28"/>
      <c r="AD106" s="30"/>
      <c r="AE106" s="30"/>
      <c r="AF106" s="30"/>
      <c r="AG106" s="29"/>
      <c r="AH106" s="30"/>
      <c r="AI106" s="36"/>
      <c r="AJ106" s="30"/>
      <c r="AK106" s="29"/>
      <c r="AL106" s="30"/>
      <c r="AM106" s="30"/>
      <c r="AN106" s="30"/>
      <c r="AO106" s="30"/>
      <c r="AP106" s="30"/>
      <c r="AQ106" s="38"/>
      <c r="AR106" s="30"/>
      <c r="AS106" s="30"/>
      <c r="AT106" s="29"/>
      <c r="AU106" s="30"/>
      <c r="AV106" s="30"/>
      <c r="AW106" s="30"/>
      <c r="AX106" s="29"/>
      <c r="AY106" s="39"/>
      <c r="AZ106" s="30"/>
      <c r="BA106" s="30"/>
      <c r="BB106" s="29"/>
      <c r="BC106" s="52"/>
      <c r="BD106" s="30"/>
      <c r="BE106" s="29"/>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row>
    <row r="107">
      <c r="A107" s="30"/>
      <c r="B107" s="42"/>
      <c r="C107" s="43"/>
      <c r="D107" s="30"/>
      <c r="E107" s="28"/>
      <c r="F107" s="30"/>
      <c r="G107" s="30"/>
      <c r="H107" s="30"/>
      <c r="I107" s="30"/>
      <c r="J107" s="28"/>
      <c r="K107" s="30"/>
      <c r="L107" s="30"/>
      <c r="M107" s="30"/>
      <c r="N107" s="30"/>
      <c r="O107" s="28"/>
      <c r="P107" s="30"/>
      <c r="Q107" s="30"/>
      <c r="R107" s="30"/>
      <c r="S107" s="36"/>
      <c r="T107" s="30"/>
      <c r="U107" s="36"/>
      <c r="V107" s="30"/>
      <c r="W107" s="28"/>
      <c r="X107" s="30"/>
      <c r="Y107" s="30"/>
      <c r="Z107" s="30"/>
      <c r="AA107" s="30"/>
      <c r="AB107" s="30"/>
      <c r="AC107" s="28"/>
      <c r="AD107" s="30"/>
      <c r="AE107" s="30"/>
      <c r="AF107" s="30"/>
      <c r="AG107" s="29"/>
      <c r="AH107" s="30"/>
      <c r="AI107" s="36"/>
      <c r="AJ107" s="30"/>
      <c r="AK107" s="29"/>
      <c r="AL107" s="30"/>
      <c r="AM107" s="30"/>
      <c r="AN107" s="30"/>
      <c r="AO107" s="30"/>
      <c r="AP107" s="30"/>
      <c r="AQ107" s="38"/>
      <c r="AR107" s="30"/>
      <c r="AS107" s="30"/>
      <c r="AT107" s="29"/>
      <c r="AU107" s="30"/>
      <c r="AV107" s="30"/>
      <c r="AW107" s="30"/>
      <c r="AX107" s="29"/>
      <c r="AY107" s="39"/>
      <c r="AZ107" s="30"/>
      <c r="BA107" s="30"/>
      <c r="BB107" s="29"/>
      <c r="BC107" s="52"/>
      <c r="BD107" s="30"/>
      <c r="BE107" s="29"/>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row>
    <row r="108">
      <c r="A108" s="30"/>
      <c r="B108" s="42"/>
      <c r="C108" s="43"/>
      <c r="D108" s="30"/>
      <c r="E108" s="28"/>
      <c r="F108" s="30"/>
      <c r="G108" s="30"/>
      <c r="H108" s="30"/>
      <c r="I108" s="30"/>
      <c r="J108" s="28"/>
      <c r="K108" s="30"/>
      <c r="L108" s="30"/>
      <c r="M108" s="30"/>
      <c r="N108" s="30"/>
      <c r="O108" s="28"/>
      <c r="P108" s="30"/>
      <c r="Q108" s="30"/>
      <c r="R108" s="30"/>
      <c r="S108" s="36"/>
      <c r="T108" s="30"/>
      <c r="U108" s="36"/>
      <c r="V108" s="30"/>
      <c r="W108" s="28"/>
      <c r="X108" s="30"/>
      <c r="Y108" s="30"/>
      <c r="Z108" s="30"/>
      <c r="AA108" s="30"/>
      <c r="AB108" s="30"/>
      <c r="AC108" s="28"/>
      <c r="AD108" s="30"/>
      <c r="AE108" s="30"/>
      <c r="AF108" s="30"/>
      <c r="AG108" s="29"/>
      <c r="AH108" s="30"/>
      <c r="AI108" s="36"/>
      <c r="AJ108" s="30"/>
      <c r="AK108" s="29"/>
      <c r="AL108" s="30"/>
      <c r="AM108" s="30"/>
      <c r="AN108" s="30"/>
      <c r="AO108" s="30"/>
      <c r="AP108" s="30"/>
      <c r="AQ108" s="38"/>
      <c r="AR108" s="30"/>
      <c r="AS108" s="30"/>
      <c r="AT108" s="29"/>
      <c r="AU108" s="30"/>
      <c r="AV108" s="30"/>
      <c r="AW108" s="30"/>
      <c r="AX108" s="29"/>
      <c r="AY108" s="39"/>
      <c r="AZ108" s="30"/>
      <c r="BA108" s="30"/>
      <c r="BB108" s="29"/>
      <c r="BC108" s="52"/>
      <c r="BD108" s="30"/>
      <c r="BE108" s="29"/>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row>
    <row r="109">
      <c r="A109" s="30"/>
      <c r="B109" s="42"/>
      <c r="C109" s="43"/>
      <c r="D109" s="30"/>
      <c r="E109" s="28"/>
      <c r="F109" s="30"/>
      <c r="G109" s="30"/>
      <c r="H109" s="30"/>
      <c r="I109" s="30"/>
      <c r="J109" s="28"/>
      <c r="K109" s="30"/>
      <c r="L109" s="30"/>
      <c r="M109" s="30"/>
      <c r="N109" s="30"/>
      <c r="O109" s="28"/>
      <c r="P109" s="30"/>
      <c r="Q109" s="30"/>
      <c r="R109" s="30"/>
      <c r="S109" s="36"/>
      <c r="T109" s="30"/>
      <c r="U109" s="36"/>
      <c r="V109" s="30"/>
      <c r="W109" s="28"/>
      <c r="X109" s="30"/>
      <c r="Y109" s="30"/>
      <c r="Z109" s="30"/>
      <c r="AA109" s="30"/>
      <c r="AB109" s="30"/>
      <c r="AC109" s="28"/>
      <c r="AD109" s="30"/>
      <c r="AE109" s="30"/>
      <c r="AF109" s="30"/>
      <c r="AG109" s="29"/>
      <c r="AH109" s="30"/>
      <c r="AI109" s="36"/>
      <c r="AJ109" s="30"/>
      <c r="AK109" s="29"/>
      <c r="AL109" s="30"/>
      <c r="AM109" s="30"/>
      <c r="AN109" s="30"/>
      <c r="AO109" s="30"/>
      <c r="AP109" s="30"/>
      <c r="AQ109" s="38"/>
      <c r="AR109" s="30"/>
      <c r="AS109" s="30"/>
      <c r="AT109" s="29"/>
      <c r="AU109" s="30"/>
      <c r="AV109" s="30"/>
      <c r="AW109" s="30"/>
      <c r="AX109" s="29"/>
      <c r="AY109" s="39"/>
      <c r="AZ109" s="30"/>
      <c r="BA109" s="30"/>
      <c r="BB109" s="29"/>
      <c r="BC109" s="52"/>
      <c r="BD109" s="30"/>
      <c r="BE109" s="29"/>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row>
    <row r="110">
      <c r="A110" s="30"/>
      <c r="B110" s="42"/>
      <c r="C110" s="43"/>
      <c r="D110" s="30"/>
      <c r="E110" s="28"/>
      <c r="F110" s="30"/>
      <c r="G110" s="30"/>
      <c r="H110" s="30"/>
      <c r="I110" s="30"/>
      <c r="J110" s="28"/>
      <c r="K110" s="30"/>
      <c r="L110" s="30"/>
      <c r="M110" s="30"/>
      <c r="N110" s="30"/>
      <c r="O110" s="28"/>
      <c r="P110" s="30"/>
      <c r="Q110" s="30"/>
      <c r="R110" s="30"/>
      <c r="S110" s="36"/>
      <c r="T110" s="30"/>
      <c r="U110" s="36"/>
      <c r="V110" s="30"/>
      <c r="W110" s="28"/>
      <c r="X110" s="30"/>
      <c r="Y110" s="30"/>
      <c r="Z110" s="30"/>
      <c r="AA110" s="30"/>
      <c r="AB110" s="30"/>
      <c r="AC110" s="28"/>
      <c r="AD110" s="30"/>
      <c r="AE110" s="30"/>
      <c r="AF110" s="30"/>
      <c r="AG110" s="29"/>
      <c r="AH110" s="30"/>
      <c r="AI110" s="36"/>
      <c r="AJ110" s="30"/>
      <c r="AK110" s="29"/>
      <c r="AL110" s="30"/>
      <c r="AM110" s="30"/>
      <c r="AN110" s="30"/>
      <c r="AO110" s="30"/>
      <c r="AP110" s="30"/>
      <c r="AQ110" s="38"/>
      <c r="AR110" s="30"/>
      <c r="AS110" s="30"/>
      <c r="AT110" s="29"/>
      <c r="AU110" s="30"/>
      <c r="AV110" s="30"/>
      <c r="AW110" s="30"/>
      <c r="AX110" s="29"/>
      <c r="AY110" s="39"/>
      <c r="AZ110" s="30"/>
      <c r="BA110" s="30"/>
      <c r="BB110" s="29"/>
      <c r="BC110" s="52"/>
      <c r="BD110" s="30"/>
      <c r="BE110" s="29"/>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row>
    <row r="111">
      <c r="A111" s="30"/>
      <c r="B111" s="42"/>
      <c r="C111" s="43"/>
      <c r="D111" s="30"/>
      <c r="E111" s="28"/>
      <c r="F111" s="30"/>
      <c r="G111" s="30"/>
      <c r="H111" s="30"/>
      <c r="I111" s="30"/>
      <c r="J111" s="28"/>
      <c r="K111" s="30"/>
      <c r="L111" s="30"/>
      <c r="M111" s="30"/>
      <c r="N111" s="30"/>
      <c r="O111" s="28"/>
      <c r="P111" s="30"/>
      <c r="Q111" s="30"/>
      <c r="R111" s="30"/>
      <c r="S111" s="36"/>
      <c r="T111" s="30"/>
      <c r="U111" s="36"/>
      <c r="V111" s="30"/>
      <c r="W111" s="28"/>
      <c r="X111" s="30"/>
      <c r="Y111" s="30"/>
      <c r="Z111" s="30"/>
      <c r="AA111" s="30"/>
      <c r="AB111" s="30"/>
      <c r="AC111" s="28"/>
      <c r="AD111" s="30"/>
      <c r="AE111" s="30"/>
      <c r="AF111" s="30"/>
      <c r="AG111" s="29"/>
      <c r="AH111" s="30"/>
      <c r="AI111" s="36"/>
      <c r="AJ111" s="30"/>
      <c r="AK111" s="29"/>
      <c r="AL111" s="30"/>
      <c r="AM111" s="30"/>
      <c r="AN111" s="30"/>
      <c r="AO111" s="30"/>
      <c r="AP111" s="30"/>
      <c r="AQ111" s="38"/>
      <c r="AR111" s="30"/>
      <c r="AS111" s="30"/>
      <c r="AT111" s="29"/>
      <c r="AU111" s="30"/>
      <c r="AV111" s="30"/>
      <c r="AW111" s="30"/>
      <c r="AX111" s="29"/>
      <c r="AY111" s="39"/>
      <c r="AZ111" s="30"/>
      <c r="BA111" s="30"/>
      <c r="BB111" s="29"/>
      <c r="BC111" s="52"/>
      <c r="BD111" s="30"/>
      <c r="BE111" s="29"/>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row>
    <row r="112">
      <c r="A112" s="30"/>
      <c r="B112" s="42"/>
      <c r="C112" s="43"/>
      <c r="D112" s="30"/>
      <c r="E112" s="28"/>
      <c r="F112" s="30"/>
      <c r="G112" s="30"/>
      <c r="H112" s="30"/>
      <c r="I112" s="30"/>
      <c r="J112" s="28"/>
      <c r="K112" s="30"/>
      <c r="L112" s="30"/>
      <c r="M112" s="30"/>
      <c r="N112" s="30"/>
      <c r="O112" s="28"/>
      <c r="P112" s="30"/>
      <c r="Q112" s="30"/>
      <c r="R112" s="30"/>
      <c r="S112" s="36"/>
      <c r="T112" s="30"/>
      <c r="U112" s="36"/>
      <c r="V112" s="30"/>
      <c r="W112" s="28"/>
      <c r="X112" s="30"/>
      <c r="Y112" s="30"/>
      <c r="Z112" s="30"/>
      <c r="AA112" s="30"/>
      <c r="AB112" s="30"/>
      <c r="AC112" s="28"/>
      <c r="AD112" s="30"/>
      <c r="AE112" s="30"/>
      <c r="AF112" s="30"/>
      <c r="AG112" s="29"/>
      <c r="AH112" s="30"/>
      <c r="AI112" s="36"/>
      <c r="AJ112" s="30"/>
      <c r="AK112" s="29"/>
      <c r="AL112" s="30"/>
      <c r="AM112" s="30"/>
      <c r="AN112" s="30"/>
      <c r="AO112" s="30"/>
      <c r="AP112" s="30"/>
      <c r="AQ112" s="38"/>
      <c r="AR112" s="30"/>
      <c r="AS112" s="30"/>
      <c r="AT112" s="29"/>
      <c r="AU112" s="30"/>
      <c r="AV112" s="30"/>
      <c r="AW112" s="30"/>
      <c r="AX112" s="29"/>
      <c r="AY112" s="39"/>
      <c r="AZ112" s="30"/>
      <c r="BA112" s="30"/>
      <c r="BB112" s="29"/>
      <c r="BC112" s="52"/>
      <c r="BD112" s="30"/>
      <c r="BE112" s="29"/>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row>
    <row r="113">
      <c r="A113" s="30"/>
      <c r="B113" s="42"/>
      <c r="C113" s="43"/>
      <c r="D113" s="30"/>
      <c r="E113" s="28"/>
      <c r="F113" s="30"/>
      <c r="G113" s="30"/>
      <c r="H113" s="30"/>
      <c r="I113" s="30"/>
      <c r="J113" s="28"/>
      <c r="K113" s="30"/>
      <c r="L113" s="30"/>
      <c r="M113" s="30"/>
      <c r="N113" s="30"/>
      <c r="O113" s="28"/>
      <c r="P113" s="30"/>
      <c r="Q113" s="30"/>
      <c r="R113" s="30"/>
      <c r="S113" s="36"/>
      <c r="T113" s="30"/>
      <c r="U113" s="36"/>
      <c r="V113" s="30"/>
      <c r="W113" s="28"/>
      <c r="X113" s="30"/>
      <c r="Y113" s="30"/>
      <c r="Z113" s="30"/>
      <c r="AA113" s="30"/>
      <c r="AB113" s="30"/>
      <c r="AC113" s="28"/>
      <c r="AD113" s="30"/>
      <c r="AE113" s="30"/>
      <c r="AF113" s="30"/>
      <c r="AG113" s="29"/>
      <c r="AH113" s="30"/>
      <c r="AI113" s="36"/>
      <c r="AJ113" s="30"/>
      <c r="AK113" s="29"/>
      <c r="AL113" s="30"/>
      <c r="AM113" s="30"/>
      <c r="AN113" s="30"/>
      <c r="AO113" s="30"/>
      <c r="AP113" s="30"/>
      <c r="AQ113" s="38"/>
      <c r="AR113" s="30"/>
      <c r="AS113" s="30"/>
      <c r="AT113" s="29"/>
      <c r="AU113" s="30"/>
      <c r="AV113" s="30"/>
      <c r="AW113" s="30"/>
      <c r="AX113" s="29"/>
      <c r="AY113" s="39"/>
      <c r="AZ113" s="30"/>
      <c r="BA113" s="30"/>
      <c r="BB113" s="29"/>
      <c r="BC113" s="52"/>
      <c r="BD113" s="30"/>
      <c r="BE113" s="29"/>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row>
    <row r="114">
      <c r="A114" s="30"/>
      <c r="B114" s="42"/>
      <c r="C114" s="43"/>
      <c r="D114" s="30"/>
      <c r="E114" s="28"/>
      <c r="F114" s="30"/>
      <c r="G114" s="30"/>
      <c r="H114" s="30"/>
      <c r="I114" s="30"/>
      <c r="J114" s="28"/>
      <c r="K114" s="30"/>
      <c r="L114" s="30"/>
      <c r="M114" s="30"/>
      <c r="N114" s="30"/>
      <c r="O114" s="28"/>
      <c r="P114" s="30"/>
      <c r="Q114" s="30"/>
      <c r="R114" s="30"/>
      <c r="S114" s="36"/>
      <c r="T114" s="30"/>
      <c r="U114" s="36"/>
      <c r="V114" s="30"/>
      <c r="W114" s="28"/>
      <c r="X114" s="30"/>
      <c r="Y114" s="30"/>
      <c r="Z114" s="30"/>
      <c r="AA114" s="30"/>
      <c r="AB114" s="30"/>
      <c r="AC114" s="28"/>
      <c r="AD114" s="30"/>
      <c r="AE114" s="30"/>
      <c r="AF114" s="30"/>
      <c r="AG114" s="29"/>
      <c r="AH114" s="30"/>
      <c r="AI114" s="36"/>
      <c r="AJ114" s="30"/>
      <c r="AK114" s="29"/>
      <c r="AL114" s="30"/>
      <c r="AM114" s="30"/>
      <c r="AN114" s="30"/>
      <c r="AO114" s="30"/>
      <c r="AP114" s="30"/>
      <c r="AQ114" s="38"/>
      <c r="AR114" s="30"/>
      <c r="AS114" s="30"/>
      <c r="AT114" s="29"/>
      <c r="AU114" s="30"/>
      <c r="AV114" s="30"/>
      <c r="AW114" s="30"/>
      <c r="AX114" s="29"/>
      <c r="AY114" s="39"/>
      <c r="AZ114" s="30"/>
      <c r="BA114" s="30"/>
      <c r="BB114" s="29"/>
      <c r="BC114" s="52"/>
      <c r="BD114" s="30"/>
      <c r="BE114" s="29"/>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row>
    <row r="115">
      <c r="A115" s="30"/>
      <c r="B115" s="42"/>
      <c r="C115" s="43"/>
      <c r="D115" s="30"/>
      <c r="E115" s="28"/>
      <c r="F115" s="30"/>
      <c r="G115" s="30"/>
      <c r="H115" s="30"/>
      <c r="I115" s="30"/>
      <c r="J115" s="28"/>
      <c r="K115" s="30"/>
      <c r="L115" s="30"/>
      <c r="M115" s="30"/>
      <c r="N115" s="30"/>
      <c r="O115" s="28"/>
      <c r="P115" s="30"/>
      <c r="Q115" s="30"/>
      <c r="R115" s="30"/>
      <c r="S115" s="36"/>
      <c r="T115" s="30"/>
      <c r="U115" s="36"/>
      <c r="V115" s="30"/>
      <c r="W115" s="28"/>
      <c r="X115" s="30"/>
      <c r="Y115" s="30"/>
      <c r="Z115" s="30"/>
      <c r="AA115" s="30"/>
      <c r="AB115" s="30"/>
      <c r="AC115" s="28"/>
      <c r="AD115" s="30"/>
      <c r="AE115" s="30"/>
      <c r="AF115" s="30"/>
      <c r="AG115" s="29"/>
      <c r="AH115" s="30"/>
      <c r="AI115" s="36"/>
      <c r="AJ115" s="30"/>
      <c r="AK115" s="29"/>
      <c r="AL115" s="30"/>
      <c r="AM115" s="30"/>
      <c r="AN115" s="30"/>
      <c r="AO115" s="30"/>
      <c r="AP115" s="30"/>
      <c r="AQ115" s="38"/>
      <c r="AR115" s="30"/>
      <c r="AS115" s="30"/>
      <c r="AT115" s="29"/>
      <c r="AU115" s="30"/>
      <c r="AV115" s="30"/>
      <c r="AW115" s="30"/>
      <c r="AX115" s="29"/>
      <c r="AY115" s="39"/>
      <c r="AZ115" s="30"/>
      <c r="BA115" s="30"/>
      <c r="BB115" s="29"/>
      <c r="BC115" s="52"/>
      <c r="BD115" s="30"/>
      <c r="BE115" s="29"/>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row>
    <row r="116">
      <c r="A116" s="30"/>
      <c r="B116" s="42"/>
      <c r="C116" s="43"/>
      <c r="D116" s="30"/>
      <c r="E116" s="28"/>
      <c r="F116" s="30"/>
      <c r="G116" s="30"/>
      <c r="H116" s="30"/>
      <c r="I116" s="30"/>
      <c r="J116" s="28"/>
      <c r="K116" s="30"/>
      <c r="L116" s="30"/>
      <c r="M116" s="30"/>
      <c r="N116" s="30"/>
      <c r="O116" s="28"/>
      <c r="P116" s="30"/>
      <c r="Q116" s="30"/>
      <c r="R116" s="30"/>
      <c r="S116" s="36"/>
      <c r="T116" s="30"/>
      <c r="U116" s="36"/>
      <c r="V116" s="30"/>
      <c r="W116" s="28"/>
      <c r="X116" s="30"/>
      <c r="Y116" s="30"/>
      <c r="Z116" s="30"/>
      <c r="AA116" s="30"/>
      <c r="AB116" s="30"/>
      <c r="AC116" s="28"/>
      <c r="AD116" s="30"/>
      <c r="AE116" s="30"/>
      <c r="AF116" s="30"/>
      <c r="AG116" s="29"/>
      <c r="AH116" s="30"/>
      <c r="AI116" s="36"/>
      <c r="AJ116" s="30"/>
      <c r="AK116" s="29"/>
      <c r="AL116" s="30"/>
      <c r="AM116" s="30"/>
      <c r="AN116" s="30"/>
      <c r="AO116" s="30"/>
      <c r="AP116" s="30"/>
      <c r="AQ116" s="38"/>
      <c r="AR116" s="30"/>
      <c r="AS116" s="30"/>
      <c r="AT116" s="29"/>
      <c r="AU116" s="30"/>
      <c r="AV116" s="30"/>
      <c r="AW116" s="30"/>
      <c r="AX116" s="29"/>
      <c r="AY116" s="39"/>
      <c r="AZ116" s="30"/>
      <c r="BA116" s="30"/>
      <c r="BB116" s="29"/>
      <c r="BC116" s="52"/>
      <c r="BD116" s="30"/>
      <c r="BE116" s="29"/>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row>
    <row r="117">
      <c r="A117" s="30"/>
      <c r="B117" s="42"/>
      <c r="C117" s="43"/>
      <c r="D117" s="30"/>
      <c r="E117" s="28"/>
      <c r="F117" s="30"/>
      <c r="G117" s="30"/>
      <c r="H117" s="30"/>
      <c r="I117" s="30"/>
      <c r="J117" s="28"/>
      <c r="K117" s="30"/>
      <c r="L117" s="30"/>
      <c r="M117" s="30"/>
      <c r="N117" s="30"/>
      <c r="O117" s="28"/>
      <c r="P117" s="30"/>
      <c r="Q117" s="30"/>
      <c r="R117" s="30"/>
      <c r="S117" s="36"/>
      <c r="T117" s="30"/>
      <c r="U117" s="36"/>
      <c r="V117" s="30"/>
      <c r="W117" s="28"/>
      <c r="X117" s="30"/>
      <c r="Y117" s="30"/>
      <c r="Z117" s="30"/>
      <c r="AA117" s="30"/>
      <c r="AB117" s="30"/>
      <c r="AC117" s="28"/>
      <c r="AD117" s="30"/>
      <c r="AE117" s="30"/>
      <c r="AF117" s="30"/>
      <c r="AG117" s="29"/>
      <c r="AH117" s="30"/>
      <c r="AI117" s="36"/>
      <c r="AJ117" s="30"/>
      <c r="AK117" s="29"/>
      <c r="AL117" s="30"/>
      <c r="AM117" s="30"/>
      <c r="AN117" s="30"/>
      <c r="AO117" s="30"/>
      <c r="AP117" s="30"/>
      <c r="AQ117" s="38"/>
      <c r="AR117" s="30"/>
      <c r="AS117" s="30"/>
      <c r="AT117" s="29"/>
      <c r="AU117" s="30"/>
      <c r="AV117" s="30"/>
      <c r="AW117" s="30"/>
      <c r="AX117" s="29"/>
      <c r="AY117" s="39"/>
      <c r="AZ117" s="30"/>
      <c r="BA117" s="30"/>
      <c r="BB117" s="29"/>
      <c r="BC117" s="52"/>
      <c r="BD117" s="30"/>
      <c r="BE117" s="29"/>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row>
    <row r="118">
      <c r="A118" s="30"/>
      <c r="B118" s="42"/>
      <c r="C118" s="43"/>
      <c r="D118" s="30"/>
      <c r="E118" s="28"/>
      <c r="F118" s="30"/>
      <c r="G118" s="30"/>
      <c r="H118" s="30"/>
      <c r="I118" s="30"/>
      <c r="J118" s="28"/>
      <c r="K118" s="30"/>
      <c r="L118" s="30"/>
      <c r="M118" s="30"/>
      <c r="N118" s="30"/>
      <c r="O118" s="28"/>
      <c r="P118" s="30"/>
      <c r="Q118" s="30"/>
      <c r="R118" s="30"/>
      <c r="S118" s="36"/>
      <c r="T118" s="30"/>
      <c r="U118" s="36"/>
      <c r="V118" s="30"/>
      <c r="W118" s="28"/>
      <c r="X118" s="30"/>
      <c r="Y118" s="30"/>
      <c r="Z118" s="30"/>
      <c r="AA118" s="30"/>
      <c r="AB118" s="30"/>
      <c r="AC118" s="28"/>
      <c r="AD118" s="30"/>
      <c r="AE118" s="30"/>
      <c r="AF118" s="30"/>
      <c r="AG118" s="29"/>
      <c r="AH118" s="30"/>
      <c r="AI118" s="36"/>
      <c r="AJ118" s="30"/>
      <c r="AK118" s="29"/>
      <c r="AL118" s="30"/>
      <c r="AM118" s="30"/>
      <c r="AN118" s="30"/>
      <c r="AO118" s="30"/>
      <c r="AP118" s="30"/>
      <c r="AQ118" s="38"/>
      <c r="AR118" s="30"/>
      <c r="AS118" s="30"/>
      <c r="AT118" s="29"/>
      <c r="AU118" s="30"/>
      <c r="AV118" s="30"/>
      <c r="AW118" s="30"/>
      <c r="AX118" s="29"/>
      <c r="AY118" s="39"/>
      <c r="AZ118" s="30"/>
      <c r="BA118" s="30"/>
      <c r="BB118" s="29"/>
      <c r="BC118" s="52"/>
      <c r="BD118" s="30"/>
      <c r="BE118" s="29"/>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row>
    <row r="119">
      <c r="A119" s="30"/>
      <c r="B119" s="42"/>
      <c r="C119" s="43"/>
      <c r="D119" s="30"/>
      <c r="E119" s="28"/>
      <c r="F119" s="30"/>
      <c r="G119" s="30"/>
      <c r="H119" s="30"/>
      <c r="I119" s="30"/>
      <c r="J119" s="28"/>
      <c r="K119" s="30"/>
      <c r="L119" s="30"/>
      <c r="M119" s="30"/>
      <c r="N119" s="30"/>
      <c r="O119" s="28"/>
      <c r="P119" s="30"/>
      <c r="Q119" s="30"/>
      <c r="R119" s="30"/>
      <c r="S119" s="36"/>
      <c r="T119" s="30"/>
      <c r="U119" s="36"/>
      <c r="V119" s="30"/>
      <c r="W119" s="28"/>
      <c r="X119" s="30"/>
      <c r="Y119" s="30"/>
      <c r="Z119" s="30"/>
      <c r="AA119" s="30"/>
      <c r="AB119" s="30"/>
      <c r="AC119" s="28"/>
      <c r="AD119" s="30"/>
      <c r="AE119" s="30"/>
      <c r="AF119" s="30"/>
      <c r="AG119" s="29"/>
      <c r="AH119" s="30"/>
      <c r="AI119" s="36"/>
      <c r="AJ119" s="30"/>
      <c r="AK119" s="29"/>
      <c r="AL119" s="30"/>
      <c r="AM119" s="30"/>
      <c r="AN119" s="30"/>
      <c r="AO119" s="30"/>
      <c r="AP119" s="30"/>
      <c r="AQ119" s="38"/>
      <c r="AR119" s="30"/>
      <c r="AS119" s="30"/>
      <c r="AT119" s="29"/>
      <c r="AU119" s="30"/>
      <c r="AV119" s="30"/>
      <c r="AW119" s="30"/>
      <c r="AX119" s="29"/>
      <c r="AY119" s="39"/>
      <c r="AZ119" s="30"/>
      <c r="BA119" s="30"/>
      <c r="BB119" s="29"/>
      <c r="BC119" s="52"/>
      <c r="BD119" s="30"/>
      <c r="BE119" s="29"/>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row>
    <row r="120">
      <c r="A120" s="30"/>
      <c r="B120" s="42"/>
      <c r="C120" s="43"/>
      <c r="D120" s="30"/>
      <c r="E120" s="28"/>
      <c r="F120" s="30"/>
      <c r="G120" s="30"/>
      <c r="H120" s="30"/>
      <c r="I120" s="30"/>
      <c r="J120" s="28"/>
      <c r="K120" s="30"/>
      <c r="L120" s="30"/>
      <c r="M120" s="30"/>
      <c r="N120" s="30"/>
      <c r="O120" s="28"/>
      <c r="P120" s="30"/>
      <c r="Q120" s="30"/>
      <c r="R120" s="30"/>
      <c r="S120" s="36"/>
      <c r="T120" s="30"/>
      <c r="U120" s="36"/>
      <c r="V120" s="30"/>
      <c r="W120" s="28"/>
      <c r="X120" s="30"/>
      <c r="Y120" s="30"/>
      <c r="Z120" s="30"/>
      <c r="AA120" s="30"/>
      <c r="AB120" s="30"/>
      <c r="AC120" s="28"/>
      <c r="AD120" s="30"/>
      <c r="AE120" s="30"/>
      <c r="AF120" s="30"/>
      <c r="AG120" s="29"/>
      <c r="AH120" s="30"/>
      <c r="AI120" s="36"/>
      <c r="AJ120" s="30"/>
      <c r="AK120" s="29"/>
      <c r="AL120" s="30"/>
      <c r="AM120" s="30"/>
      <c r="AN120" s="30"/>
      <c r="AO120" s="30"/>
      <c r="AP120" s="30"/>
      <c r="AQ120" s="38"/>
      <c r="AR120" s="30"/>
      <c r="AS120" s="30"/>
      <c r="AT120" s="29"/>
      <c r="AU120" s="30"/>
      <c r="AV120" s="30"/>
      <c r="AW120" s="30"/>
      <c r="AX120" s="29"/>
      <c r="AY120" s="39"/>
      <c r="AZ120" s="30"/>
      <c r="BA120" s="30"/>
      <c r="BB120" s="29"/>
      <c r="BC120" s="52"/>
      <c r="BD120" s="30"/>
      <c r="BE120" s="29"/>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row>
    <row r="121">
      <c r="A121" s="30"/>
      <c r="B121" s="42"/>
      <c r="C121" s="43"/>
      <c r="D121" s="30"/>
      <c r="E121" s="28"/>
      <c r="F121" s="30"/>
      <c r="G121" s="30"/>
      <c r="H121" s="30"/>
      <c r="I121" s="30"/>
      <c r="J121" s="28"/>
      <c r="K121" s="30"/>
      <c r="L121" s="30"/>
      <c r="M121" s="30"/>
      <c r="N121" s="30"/>
      <c r="O121" s="28"/>
      <c r="P121" s="30"/>
      <c r="Q121" s="30"/>
      <c r="R121" s="30"/>
      <c r="S121" s="36"/>
      <c r="T121" s="30"/>
      <c r="U121" s="36"/>
      <c r="V121" s="30"/>
      <c r="W121" s="28"/>
      <c r="X121" s="30"/>
      <c r="Y121" s="30"/>
      <c r="Z121" s="30"/>
      <c r="AA121" s="30"/>
      <c r="AB121" s="30"/>
      <c r="AC121" s="28"/>
      <c r="AD121" s="30"/>
      <c r="AE121" s="30"/>
      <c r="AF121" s="30"/>
      <c r="AG121" s="29"/>
      <c r="AH121" s="30"/>
      <c r="AI121" s="36"/>
      <c r="AJ121" s="30"/>
      <c r="AK121" s="29"/>
      <c r="AL121" s="30"/>
      <c r="AM121" s="30"/>
      <c r="AN121" s="30"/>
      <c r="AO121" s="30"/>
      <c r="AP121" s="30"/>
      <c r="AQ121" s="38"/>
      <c r="AR121" s="30"/>
      <c r="AS121" s="30"/>
      <c r="AT121" s="29"/>
      <c r="AU121" s="30"/>
      <c r="AV121" s="30"/>
      <c r="AW121" s="30"/>
      <c r="AX121" s="29"/>
      <c r="AY121" s="39"/>
      <c r="AZ121" s="30"/>
      <c r="BA121" s="30"/>
      <c r="BB121" s="29"/>
      <c r="BC121" s="52"/>
      <c r="BD121" s="30"/>
      <c r="BE121" s="29"/>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row>
    <row r="122">
      <c r="A122" s="30"/>
      <c r="B122" s="42"/>
      <c r="C122" s="43"/>
      <c r="D122" s="30"/>
      <c r="E122" s="28"/>
      <c r="F122" s="30"/>
      <c r="G122" s="30"/>
      <c r="H122" s="30"/>
      <c r="I122" s="30"/>
      <c r="J122" s="28"/>
      <c r="K122" s="30"/>
      <c r="L122" s="30"/>
      <c r="M122" s="30"/>
      <c r="N122" s="30"/>
      <c r="O122" s="28"/>
      <c r="P122" s="30"/>
      <c r="Q122" s="30"/>
      <c r="R122" s="30"/>
      <c r="S122" s="36"/>
      <c r="T122" s="30"/>
      <c r="U122" s="36"/>
      <c r="V122" s="30"/>
      <c r="W122" s="28"/>
      <c r="X122" s="30"/>
      <c r="Y122" s="30"/>
      <c r="Z122" s="30"/>
      <c r="AA122" s="30"/>
      <c r="AB122" s="30"/>
      <c r="AC122" s="28"/>
      <c r="AD122" s="30"/>
      <c r="AE122" s="30"/>
      <c r="AF122" s="30"/>
      <c r="AG122" s="29"/>
      <c r="AH122" s="30"/>
      <c r="AI122" s="36"/>
      <c r="AJ122" s="30"/>
      <c r="AK122" s="29"/>
      <c r="AL122" s="30"/>
      <c r="AM122" s="30"/>
      <c r="AN122" s="30"/>
      <c r="AO122" s="30"/>
      <c r="AP122" s="30"/>
      <c r="AQ122" s="38"/>
      <c r="AR122" s="30"/>
      <c r="AS122" s="30"/>
      <c r="AT122" s="29"/>
      <c r="AU122" s="30"/>
      <c r="AV122" s="30"/>
      <c r="AW122" s="30"/>
      <c r="AX122" s="29"/>
      <c r="AY122" s="39"/>
      <c r="AZ122" s="30"/>
      <c r="BA122" s="30"/>
      <c r="BB122" s="29"/>
      <c r="BC122" s="52"/>
      <c r="BD122" s="30"/>
      <c r="BE122" s="29"/>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row>
    <row r="123">
      <c r="A123" s="30"/>
      <c r="B123" s="42"/>
      <c r="C123" s="43"/>
      <c r="D123" s="30"/>
      <c r="E123" s="28"/>
      <c r="F123" s="30"/>
      <c r="G123" s="30"/>
      <c r="H123" s="30"/>
      <c r="I123" s="30"/>
      <c r="J123" s="28"/>
      <c r="K123" s="30"/>
      <c r="L123" s="30"/>
      <c r="M123" s="30"/>
      <c r="N123" s="30"/>
      <c r="O123" s="28"/>
      <c r="P123" s="30"/>
      <c r="Q123" s="30"/>
      <c r="R123" s="30"/>
      <c r="S123" s="36"/>
      <c r="T123" s="30"/>
      <c r="U123" s="36"/>
      <c r="V123" s="30"/>
      <c r="W123" s="28"/>
      <c r="X123" s="30"/>
      <c r="Y123" s="30"/>
      <c r="Z123" s="30"/>
      <c r="AA123" s="30"/>
      <c r="AB123" s="30"/>
      <c r="AC123" s="28"/>
      <c r="AD123" s="30"/>
      <c r="AE123" s="30"/>
      <c r="AF123" s="30"/>
      <c r="AG123" s="29"/>
      <c r="AH123" s="30"/>
      <c r="AI123" s="36"/>
      <c r="AJ123" s="30"/>
      <c r="AK123" s="29"/>
      <c r="AL123" s="30"/>
      <c r="AM123" s="30"/>
      <c r="AN123" s="30"/>
      <c r="AO123" s="30"/>
      <c r="AP123" s="30"/>
      <c r="AQ123" s="38"/>
      <c r="AR123" s="30"/>
      <c r="AS123" s="30"/>
      <c r="AT123" s="29"/>
      <c r="AU123" s="30"/>
      <c r="AV123" s="30"/>
      <c r="AW123" s="30"/>
      <c r="AX123" s="29"/>
      <c r="AY123" s="39"/>
      <c r="AZ123" s="30"/>
      <c r="BA123" s="30"/>
      <c r="BB123" s="29"/>
      <c r="BC123" s="52"/>
      <c r="BD123" s="30"/>
      <c r="BE123" s="29"/>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row>
    <row r="124">
      <c r="A124" s="30"/>
      <c r="B124" s="42"/>
      <c r="C124" s="43"/>
      <c r="D124" s="30"/>
      <c r="E124" s="28"/>
      <c r="F124" s="30"/>
      <c r="G124" s="30"/>
      <c r="H124" s="30"/>
      <c r="I124" s="30"/>
      <c r="J124" s="28"/>
      <c r="K124" s="30"/>
      <c r="L124" s="30"/>
      <c r="M124" s="30"/>
      <c r="N124" s="30"/>
      <c r="O124" s="28"/>
      <c r="P124" s="30"/>
      <c r="Q124" s="30"/>
      <c r="R124" s="30"/>
      <c r="S124" s="36"/>
      <c r="T124" s="30"/>
      <c r="U124" s="36"/>
      <c r="V124" s="30"/>
      <c r="W124" s="28"/>
      <c r="X124" s="30"/>
      <c r="Y124" s="30"/>
      <c r="Z124" s="30"/>
      <c r="AA124" s="30"/>
      <c r="AB124" s="30"/>
      <c r="AC124" s="28"/>
      <c r="AD124" s="30"/>
      <c r="AE124" s="30"/>
      <c r="AF124" s="30"/>
      <c r="AG124" s="29"/>
      <c r="AH124" s="30"/>
      <c r="AI124" s="36"/>
      <c r="AJ124" s="30"/>
      <c r="AK124" s="29"/>
      <c r="AL124" s="30"/>
      <c r="AM124" s="30"/>
      <c r="AN124" s="30"/>
      <c r="AO124" s="30"/>
      <c r="AP124" s="30"/>
      <c r="AQ124" s="38"/>
      <c r="AR124" s="30"/>
      <c r="AS124" s="30"/>
      <c r="AT124" s="29"/>
      <c r="AU124" s="30"/>
      <c r="AV124" s="30"/>
      <c r="AW124" s="30"/>
      <c r="AX124" s="29"/>
      <c r="AY124" s="39"/>
      <c r="AZ124" s="30"/>
      <c r="BA124" s="30"/>
      <c r="BB124" s="29"/>
      <c r="BC124" s="52"/>
      <c r="BD124" s="30"/>
      <c r="BE124" s="29"/>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row>
    <row r="125">
      <c r="A125" s="30"/>
      <c r="B125" s="42"/>
      <c r="C125" s="43"/>
      <c r="D125" s="30"/>
      <c r="E125" s="28"/>
      <c r="F125" s="30"/>
      <c r="G125" s="30"/>
      <c r="H125" s="30"/>
      <c r="I125" s="30"/>
      <c r="J125" s="28"/>
      <c r="K125" s="30"/>
      <c r="L125" s="30"/>
      <c r="M125" s="30"/>
      <c r="N125" s="30"/>
      <c r="O125" s="28"/>
      <c r="P125" s="30"/>
      <c r="Q125" s="30"/>
      <c r="R125" s="30"/>
      <c r="S125" s="36"/>
      <c r="T125" s="30"/>
      <c r="U125" s="36"/>
      <c r="V125" s="30"/>
      <c r="W125" s="28"/>
      <c r="X125" s="30"/>
      <c r="Y125" s="30"/>
      <c r="Z125" s="30"/>
      <c r="AA125" s="30"/>
      <c r="AB125" s="30"/>
      <c r="AC125" s="28"/>
      <c r="AD125" s="30"/>
      <c r="AE125" s="30"/>
      <c r="AF125" s="30"/>
      <c r="AG125" s="29"/>
      <c r="AH125" s="30"/>
      <c r="AI125" s="36"/>
      <c r="AJ125" s="30"/>
      <c r="AK125" s="29"/>
      <c r="AL125" s="30"/>
      <c r="AM125" s="30"/>
      <c r="AN125" s="30"/>
      <c r="AO125" s="30"/>
      <c r="AP125" s="30"/>
      <c r="AQ125" s="38"/>
      <c r="AR125" s="30"/>
      <c r="AS125" s="30"/>
      <c r="AT125" s="29"/>
      <c r="AU125" s="30"/>
      <c r="AV125" s="30"/>
      <c r="AW125" s="30"/>
      <c r="AX125" s="29"/>
      <c r="AY125" s="39"/>
      <c r="AZ125" s="30"/>
      <c r="BA125" s="30"/>
      <c r="BB125" s="29"/>
      <c r="BC125" s="52"/>
      <c r="BD125" s="30"/>
      <c r="BE125" s="29"/>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row>
    <row r="126">
      <c r="A126" s="30"/>
      <c r="B126" s="42"/>
      <c r="C126" s="43"/>
      <c r="D126" s="30"/>
      <c r="E126" s="28"/>
      <c r="F126" s="30"/>
      <c r="G126" s="30"/>
      <c r="H126" s="30"/>
      <c r="I126" s="30"/>
      <c r="J126" s="28"/>
      <c r="K126" s="30"/>
      <c r="L126" s="30"/>
      <c r="M126" s="30"/>
      <c r="N126" s="30"/>
      <c r="O126" s="28"/>
      <c r="P126" s="30"/>
      <c r="Q126" s="30"/>
      <c r="R126" s="30"/>
      <c r="S126" s="36"/>
      <c r="T126" s="30"/>
      <c r="U126" s="36"/>
      <c r="V126" s="30"/>
      <c r="W126" s="28"/>
      <c r="X126" s="30"/>
      <c r="Y126" s="30"/>
      <c r="Z126" s="30"/>
      <c r="AA126" s="30"/>
      <c r="AB126" s="30"/>
      <c r="AC126" s="28"/>
      <c r="AD126" s="30"/>
      <c r="AE126" s="30"/>
      <c r="AF126" s="30"/>
      <c r="AG126" s="29"/>
      <c r="AH126" s="30"/>
      <c r="AI126" s="36"/>
      <c r="AJ126" s="30"/>
      <c r="AK126" s="29"/>
      <c r="AL126" s="30"/>
      <c r="AM126" s="30"/>
      <c r="AN126" s="30"/>
      <c r="AO126" s="30"/>
      <c r="AP126" s="30"/>
      <c r="AQ126" s="38"/>
      <c r="AR126" s="30"/>
      <c r="AS126" s="30"/>
      <c r="AT126" s="29"/>
      <c r="AU126" s="30"/>
      <c r="AV126" s="30"/>
      <c r="AW126" s="30"/>
      <c r="AX126" s="29"/>
      <c r="AY126" s="39"/>
      <c r="AZ126" s="30"/>
      <c r="BA126" s="30"/>
      <c r="BB126" s="29"/>
      <c r="BC126" s="52"/>
      <c r="BD126" s="30"/>
      <c r="BE126" s="29"/>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row>
    <row r="127">
      <c r="A127" s="30"/>
      <c r="B127" s="42"/>
      <c r="C127" s="43"/>
      <c r="D127" s="30"/>
      <c r="E127" s="28"/>
      <c r="F127" s="30"/>
      <c r="G127" s="30"/>
      <c r="H127" s="30"/>
      <c r="I127" s="30"/>
      <c r="J127" s="28"/>
      <c r="K127" s="30"/>
      <c r="L127" s="30"/>
      <c r="M127" s="30"/>
      <c r="N127" s="30"/>
      <c r="O127" s="28"/>
      <c r="P127" s="30"/>
      <c r="Q127" s="30"/>
      <c r="R127" s="30"/>
      <c r="S127" s="36"/>
      <c r="T127" s="30"/>
      <c r="U127" s="36"/>
      <c r="V127" s="30"/>
      <c r="W127" s="28"/>
      <c r="X127" s="30"/>
      <c r="Y127" s="30"/>
      <c r="Z127" s="30"/>
      <c r="AA127" s="30"/>
      <c r="AB127" s="30"/>
      <c r="AC127" s="28"/>
      <c r="AD127" s="30"/>
      <c r="AE127" s="30"/>
      <c r="AF127" s="30"/>
      <c r="AG127" s="29"/>
      <c r="AH127" s="30"/>
      <c r="AI127" s="36"/>
      <c r="AJ127" s="30"/>
      <c r="AK127" s="29"/>
      <c r="AL127" s="30"/>
      <c r="AM127" s="30"/>
      <c r="AN127" s="30"/>
      <c r="AO127" s="30"/>
      <c r="AP127" s="30"/>
      <c r="AQ127" s="38"/>
      <c r="AR127" s="30"/>
      <c r="AS127" s="30"/>
      <c r="AT127" s="29"/>
      <c r="AU127" s="30"/>
      <c r="AV127" s="30"/>
      <c r="AW127" s="30"/>
      <c r="AX127" s="29"/>
      <c r="AY127" s="39"/>
      <c r="AZ127" s="30"/>
      <c r="BA127" s="30"/>
      <c r="BB127" s="29"/>
      <c r="BC127" s="52"/>
      <c r="BD127" s="30"/>
      <c r="BE127" s="29"/>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row>
    <row r="128">
      <c r="A128" s="30"/>
      <c r="B128" s="42"/>
      <c r="C128" s="43"/>
      <c r="D128" s="30"/>
      <c r="E128" s="28"/>
      <c r="F128" s="30"/>
      <c r="G128" s="30"/>
      <c r="H128" s="30"/>
      <c r="I128" s="30"/>
      <c r="J128" s="28"/>
      <c r="K128" s="30"/>
      <c r="L128" s="30"/>
      <c r="M128" s="30"/>
      <c r="N128" s="30"/>
      <c r="O128" s="28"/>
      <c r="P128" s="30"/>
      <c r="Q128" s="30"/>
      <c r="R128" s="30"/>
      <c r="S128" s="36"/>
      <c r="T128" s="30"/>
      <c r="U128" s="36"/>
      <c r="V128" s="30"/>
      <c r="W128" s="28"/>
      <c r="X128" s="30"/>
      <c r="Y128" s="30"/>
      <c r="Z128" s="30"/>
      <c r="AA128" s="30"/>
      <c r="AB128" s="30"/>
      <c r="AC128" s="28"/>
      <c r="AD128" s="30"/>
      <c r="AE128" s="30"/>
      <c r="AF128" s="30"/>
      <c r="AG128" s="29"/>
      <c r="AH128" s="30"/>
      <c r="AI128" s="36"/>
      <c r="AJ128" s="30"/>
      <c r="AK128" s="29"/>
      <c r="AL128" s="30"/>
      <c r="AM128" s="30"/>
      <c r="AN128" s="30"/>
      <c r="AO128" s="30"/>
      <c r="AP128" s="30"/>
      <c r="AQ128" s="38"/>
      <c r="AR128" s="30"/>
      <c r="AS128" s="30"/>
      <c r="AT128" s="29"/>
      <c r="AU128" s="30"/>
      <c r="AV128" s="30"/>
      <c r="AW128" s="30"/>
      <c r="AX128" s="29"/>
      <c r="AY128" s="39"/>
      <c r="AZ128" s="30"/>
      <c r="BA128" s="30"/>
      <c r="BB128" s="29"/>
      <c r="BC128" s="52"/>
      <c r="BD128" s="30"/>
      <c r="BE128" s="29"/>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row>
    <row r="129">
      <c r="A129" s="30"/>
      <c r="B129" s="42"/>
      <c r="C129" s="43"/>
      <c r="D129" s="30"/>
      <c r="E129" s="28"/>
      <c r="F129" s="30"/>
      <c r="G129" s="30"/>
      <c r="H129" s="30"/>
      <c r="I129" s="30"/>
      <c r="J129" s="28"/>
      <c r="K129" s="30"/>
      <c r="L129" s="30"/>
      <c r="M129" s="30"/>
      <c r="N129" s="30"/>
      <c r="O129" s="28"/>
      <c r="P129" s="30"/>
      <c r="Q129" s="30"/>
      <c r="R129" s="30"/>
      <c r="S129" s="36"/>
      <c r="T129" s="30"/>
      <c r="U129" s="36"/>
      <c r="V129" s="30"/>
      <c r="W129" s="28"/>
      <c r="X129" s="30"/>
      <c r="Y129" s="30"/>
      <c r="Z129" s="30"/>
      <c r="AA129" s="30"/>
      <c r="AB129" s="30"/>
      <c r="AC129" s="28"/>
      <c r="AD129" s="30"/>
      <c r="AE129" s="30"/>
      <c r="AF129" s="30"/>
      <c r="AG129" s="29"/>
      <c r="AH129" s="30"/>
      <c r="AI129" s="36"/>
      <c r="AJ129" s="30"/>
      <c r="AK129" s="29"/>
      <c r="AL129" s="30"/>
      <c r="AM129" s="30"/>
      <c r="AN129" s="30"/>
      <c r="AO129" s="30"/>
      <c r="AP129" s="30"/>
      <c r="AQ129" s="38"/>
      <c r="AR129" s="30"/>
      <c r="AS129" s="30"/>
      <c r="AT129" s="29"/>
      <c r="AU129" s="30"/>
      <c r="AV129" s="30"/>
      <c r="AW129" s="30"/>
      <c r="AX129" s="29"/>
      <c r="AY129" s="39"/>
      <c r="AZ129" s="30"/>
      <c r="BA129" s="30"/>
      <c r="BB129" s="29"/>
      <c r="BC129" s="52"/>
      <c r="BD129" s="30"/>
      <c r="BE129" s="29"/>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row>
    <row r="130">
      <c r="A130" s="30"/>
      <c r="B130" s="42"/>
      <c r="C130" s="43"/>
      <c r="D130" s="30"/>
      <c r="E130" s="28"/>
      <c r="F130" s="30"/>
      <c r="G130" s="30"/>
      <c r="H130" s="30"/>
      <c r="I130" s="30"/>
      <c r="J130" s="28"/>
      <c r="K130" s="30"/>
      <c r="L130" s="30"/>
      <c r="M130" s="30"/>
      <c r="N130" s="30"/>
      <c r="O130" s="28"/>
      <c r="P130" s="30"/>
      <c r="Q130" s="30"/>
      <c r="R130" s="30"/>
      <c r="S130" s="36"/>
      <c r="T130" s="30"/>
      <c r="U130" s="36"/>
      <c r="V130" s="30"/>
      <c r="W130" s="28"/>
      <c r="X130" s="30"/>
      <c r="Y130" s="30"/>
      <c r="Z130" s="30"/>
      <c r="AA130" s="30"/>
      <c r="AB130" s="30"/>
      <c r="AC130" s="28"/>
      <c r="AD130" s="30"/>
      <c r="AE130" s="30"/>
      <c r="AF130" s="30"/>
      <c r="AG130" s="29"/>
      <c r="AH130" s="30"/>
      <c r="AI130" s="36"/>
      <c r="AJ130" s="30"/>
      <c r="AK130" s="29"/>
      <c r="AL130" s="30"/>
      <c r="AM130" s="30"/>
      <c r="AN130" s="30"/>
      <c r="AO130" s="30"/>
      <c r="AP130" s="30"/>
      <c r="AQ130" s="38"/>
      <c r="AR130" s="30"/>
      <c r="AS130" s="30"/>
      <c r="AT130" s="29"/>
      <c r="AU130" s="30"/>
      <c r="AV130" s="30"/>
      <c r="AW130" s="30"/>
      <c r="AX130" s="29"/>
      <c r="AY130" s="39"/>
      <c r="AZ130" s="30"/>
      <c r="BA130" s="30"/>
      <c r="BB130" s="29"/>
      <c r="BC130" s="52"/>
      <c r="BD130" s="30"/>
      <c r="BE130" s="29"/>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row>
    <row r="131">
      <c r="A131" s="30"/>
      <c r="B131" s="42"/>
      <c r="C131" s="43"/>
      <c r="D131" s="30"/>
      <c r="E131" s="28"/>
      <c r="F131" s="30"/>
      <c r="G131" s="30"/>
      <c r="H131" s="30"/>
      <c r="I131" s="30"/>
      <c r="J131" s="28"/>
      <c r="K131" s="30"/>
      <c r="L131" s="30"/>
      <c r="M131" s="30"/>
      <c r="N131" s="30"/>
      <c r="O131" s="28"/>
      <c r="P131" s="30"/>
      <c r="Q131" s="30"/>
      <c r="R131" s="30"/>
      <c r="S131" s="36"/>
      <c r="T131" s="30"/>
      <c r="U131" s="36"/>
      <c r="V131" s="30"/>
      <c r="W131" s="28"/>
      <c r="X131" s="30"/>
      <c r="Y131" s="30"/>
      <c r="Z131" s="30"/>
      <c r="AA131" s="30"/>
      <c r="AB131" s="30"/>
      <c r="AC131" s="28"/>
      <c r="AD131" s="30"/>
      <c r="AE131" s="30"/>
      <c r="AF131" s="30"/>
      <c r="AG131" s="29"/>
      <c r="AH131" s="30"/>
      <c r="AI131" s="36"/>
      <c r="AJ131" s="30"/>
      <c r="AK131" s="29"/>
      <c r="AL131" s="30"/>
      <c r="AM131" s="30"/>
      <c r="AN131" s="30"/>
      <c r="AO131" s="30"/>
      <c r="AP131" s="30"/>
      <c r="AQ131" s="38"/>
      <c r="AR131" s="30"/>
      <c r="AS131" s="30"/>
      <c r="AT131" s="29"/>
      <c r="AU131" s="30"/>
      <c r="AV131" s="30"/>
      <c r="AW131" s="30"/>
      <c r="AX131" s="29"/>
      <c r="AY131" s="39"/>
      <c r="AZ131" s="30"/>
      <c r="BA131" s="30"/>
      <c r="BB131" s="29"/>
      <c r="BC131" s="52"/>
      <c r="BD131" s="30"/>
      <c r="BE131" s="29"/>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row>
    <row r="132">
      <c r="A132" s="30"/>
      <c r="B132" s="42"/>
      <c r="C132" s="43"/>
      <c r="D132" s="30"/>
      <c r="E132" s="28"/>
      <c r="F132" s="30"/>
      <c r="G132" s="30"/>
      <c r="H132" s="30"/>
      <c r="I132" s="30"/>
      <c r="J132" s="28"/>
      <c r="K132" s="30"/>
      <c r="L132" s="30"/>
      <c r="M132" s="30"/>
      <c r="N132" s="30"/>
      <c r="O132" s="28"/>
      <c r="P132" s="30"/>
      <c r="Q132" s="30"/>
      <c r="R132" s="30"/>
      <c r="S132" s="36"/>
      <c r="T132" s="30"/>
      <c r="U132" s="36"/>
      <c r="V132" s="30"/>
      <c r="W132" s="28"/>
      <c r="X132" s="30"/>
      <c r="Y132" s="30"/>
      <c r="Z132" s="30"/>
      <c r="AA132" s="30"/>
      <c r="AB132" s="30"/>
      <c r="AC132" s="28"/>
      <c r="AD132" s="30"/>
      <c r="AE132" s="30"/>
      <c r="AF132" s="30"/>
      <c r="AG132" s="29"/>
      <c r="AH132" s="30"/>
      <c r="AI132" s="36"/>
      <c r="AJ132" s="30"/>
      <c r="AK132" s="29"/>
      <c r="AL132" s="30"/>
      <c r="AM132" s="30"/>
      <c r="AN132" s="30"/>
      <c r="AO132" s="30"/>
      <c r="AP132" s="30"/>
      <c r="AQ132" s="38"/>
      <c r="AR132" s="30"/>
      <c r="AS132" s="30"/>
      <c r="AT132" s="29"/>
      <c r="AU132" s="30"/>
      <c r="AV132" s="30"/>
      <c r="AW132" s="30"/>
      <c r="AX132" s="29"/>
      <c r="AY132" s="39"/>
      <c r="AZ132" s="30"/>
      <c r="BA132" s="30"/>
      <c r="BB132" s="29"/>
      <c r="BC132" s="52"/>
      <c r="BD132" s="30"/>
      <c r="BE132" s="29"/>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row>
    <row r="133">
      <c r="A133" s="30"/>
      <c r="B133" s="42"/>
      <c r="C133" s="43"/>
      <c r="D133" s="30"/>
      <c r="E133" s="28"/>
      <c r="F133" s="30"/>
      <c r="G133" s="30"/>
      <c r="H133" s="30"/>
      <c r="I133" s="30"/>
      <c r="J133" s="28"/>
      <c r="K133" s="30"/>
      <c r="L133" s="30"/>
      <c r="M133" s="30"/>
      <c r="N133" s="30"/>
      <c r="O133" s="28"/>
      <c r="P133" s="30"/>
      <c r="Q133" s="30"/>
      <c r="R133" s="30"/>
      <c r="S133" s="36"/>
      <c r="T133" s="30"/>
      <c r="U133" s="36"/>
      <c r="V133" s="30"/>
      <c r="W133" s="28"/>
      <c r="X133" s="30"/>
      <c r="Y133" s="30"/>
      <c r="Z133" s="30"/>
      <c r="AA133" s="30"/>
      <c r="AB133" s="30"/>
      <c r="AC133" s="28"/>
      <c r="AD133" s="30"/>
      <c r="AE133" s="30"/>
      <c r="AF133" s="30"/>
      <c r="AG133" s="29"/>
      <c r="AH133" s="30"/>
      <c r="AI133" s="36"/>
      <c r="AJ133" s="30"/>
      <c r="AK133" s="29"/>
      <c r="AL133" s="30"/>
      <c r="AM133" s="30"/>
      <c r="AN133" s="30"/>
      <c r="AO133" s="30"/>
      <c r="AP133" s="30"/>
      <c r="AQ133" s="38"/>
      <c r="AR133" s="30"/>
      <c r="AS133" s="30"/>
      <c r="AT133" s="29"/>
      <c r="AU133" s="30"/>
      <c r="AV133" s="30"/>
      <c r="AW133" s="30"/>
      <c r="AX133" s="29"/>
      <c r="AY133" s="39"/>
      <c r="AZ133" s="30"/>
      <c r="BA133" s="30"/>
      <c r="BB133" s="29"/>
      <c r="BC133" s="52"/>
      <c r="BD133" s="30"/>
      <c r="BE133" s="29"/>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row>
    <row r="134">
      <c r="A134" s="30"/>
      <c r="B134" s="42"/>
      <c r="C134" s="43"/>
      <c r="D134" s="30"/>
      <c r="E134" s="28"/>
      <c r="F134" s="30"/>
      <c r="G134" s="30"/>
      <c r="H134" s="30"/>
      <c r="I134" s="30"/>
      <c r="J134" s="28"/>
      <c r="K134" s="30"/>
      <c r="L134" s="30"/>
      <c r="M134" s="30"/>
      <c r="N134" s="30"/>
      <c r="O134" s="28"/>
      <c r="P134" s="30"/>
      <c r="Q134" s="30"/>
      <c r="R134" s="30"/>
      <c r="S134" s="36"/>
      <c r="T134" s="30"/>
      <c r="U134" s="36"/>
      <c r="V134" s="30"/>
      <c r="W134" s="28"/>
      <c r="X134" s="30"/>
      <c r="Y134" s="30"/>
      <c r="Z134" s="30"/>
      <c r="AA134" s="30"/>
      <c r="AB134" s="30"/>
      <c r="AC134" s="28"/>
      <c r="AD134" s="30"/>
      <c r="AE134" s="30"/>
      <c r="AF134" s="30"/>
      <c r="AG134" s="29"/>
      <c r="AH134" s="30"/>
      <c r="AI134" s="36"/>
      <c r="AJ134" s="30"/>
      <c r="AK134" s="29"/>
      <c r="AL134" s="30"/>
      <c r="AM134" s="30"/>
      <c r="AN134" s="30"/>
      <c r="AO134" s="30"/>
      <c r="AP134" s="30"/>
      <c r="AQ134" s="38"/>
      <c r="AR134" s="30"/>
      <c r="AS134" s="30"/>
      <c r="AT134" s="29"/>
      <c r="AU134" s="30"/>
      <c r="AV134" s="30"/>
      <c r="AW134" s="30"/>
      <c r="AX134" s="29"/>
      <c r="AY134" s="39"/>
      <c r="AZ134" s="30"/>
      <c r="BA134" s="30"/>
      <c r="BB134" s="29"/>
      <c r="BC134" s="52"/>
      <c r="BD134" s="30"/>
      <c r="BE134" s="29"/>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row>
    <row r="135">
      <c r="A135" s="30"/>
      <c r="B135" s="42"/>
      <c r="C135" s="43"/>
      <c r="D135" s="30"/>
      <c r="E135" s="28"/>
      <c r="F135" s="30"/>
      <c r="G135" s="30"/>
      <c r="H135" s="30"/>
      <c r="I135" s="30"/>
      <c r="J135" s="28"/>
      <c r="K135" s="30"/>
      <c r="L135" s="30"/>
      <c r="M135" s="30"/>
      <c r="N135" s="30"/>
      <c r="O135" s="28"/>
      <c r="P135" s="30"/>
      <c r="Q135" s="30"/>
      <c r="R135" s="30"/>
      <c r="S135" s="36"/>
      <c r="T135" s="30"/>
      <c r="U135" s="36"/>
      <c r="V135" s="30"/>
      <c r="W135" s="28"/>
      <c r="X135" s="30"/>
      <c r="Y135" s="30"/>
      <c r="Z135" s="30"/>
      <c r="AA135" s="30"/>
      <c r="AB135" s="30"/>
      <c r="AC135" s="28"/>
      <c r="AD135" s="30"/>
      <c r="AE135" s="30"/>
      <c r="AF135" s="30"/>
      <c r="AG135" s="29"/>
      <c r="AH135" s="30"/>
      <c r="AI135" s="36"/>
      <c r="AJ135" s="30"/>
      <c r="AK135" s="29"/>
      <c r="AL135" s="30"/>
      <c r="AM135" s="30"/>
      <c r="AN135" s="30"/>
      <c r="AO135" s="30"/>
      <c r="AP135" s="30"/>
      <c r="AQ135" s="38"/>
      <c r="AR135" s="30"/>
      <c r="AS135" s="30"/>
      <c r="AT135" s="29"/>
      <c r="AU135" s="30"/>
      <c r="AV135" s="30"/>
      <c r="AW135" s="30"/>
      <c r="AX135" s="29"/>
      <c r="AY135" s="39"/>
      <c r="AZ135" s="30"/>
      <c r="BA135" s="30"/>
      <c r="BB135" s="29"/>
      <c r="BC135" s="52"/>
      <c r="BD135" s="30"/>
      <c r="BE135" s="29"/>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row>
    <row r="136">
      <c r="A136" s="30"/>
      <c r="B136" s="42"/>
      <c r="C136" s="43"/>
      <c r="D136" s="30"/>
      <c r="E136" s="28"/>
      <c r="F136" s="30"/>
      <c r="G136" s="30"/>
      <c r="H136" s="30"/>
      <c r="I136" s="30"/>
      <c r="J136" s="28"/>
      <c r="K136" s="30"/>
      <c r="L136" s="30"/>
      <c r="M136" s="30"/>
      <c r="N136" s="30"/>
      <c r="O136" s="28"/>
      <c r="P136" s="30"/>
      <c r="Q136" s="30"/>
      <c r="R136" s="30"/>
      <c r="S136" s="36"/>
      <c r="T136" s="30"/>
      <c r="U136" s="36"/>
      <c r="V136" s="30"/>
      <c r="W136" s="28"/>
      <c r="X136" s="30"/>
      <c r="Y136" s="30"/>
      <c r="Z136" s="30"/>
      <c r="AA136" s="30"/>
      <c r="AB136" s="30"/>
      <c r="AC136" s="28"/>
      <c r="AD136" s="30"/>
      <c r="AE136" s="30"/>
      <c r="AF136" s="30"/>
      <c r="AG136" s="29"/>
      <c r="AH136" s="30"/>
      <c r="AI136" s="36"/>
      <c r="AJ136" s="30"/>
      <c r="AK136" s="29"/>
      <c r="AL136" s="30"/>
      <c r="AM136" s="30"/>
      <c r="AN136" s="30"/>
      <c r="AO136" s="30"/>
      <c r="AP136" s="30"/>
      <c r="AQ136" s="38"/>
      <c r="AR136" s="30"/>
      <c r="AS136" s="30"/>
      <c r="AT136" s="29"/>
      <c r="AU136" s="30"/>
      <c r="AV136" s="30"/>
      <c r="AW136" s="30"/>
      <c r="AX136" s="29"/>
      <c r="AY136" s="39"/>
      <c r="AZ136" s="30"/>
      <c r="BA136" s="30"/>
      <c r="BB136" s="29"/>
      <c r="BC136" s="52"/>
      <c r="BD136" s="30"/>
      <c r="BE136" s="29"/>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row>
    <row r="137">
      <c r="A137" s="30"/>
      <c r="B137" s="42"/>
      <c r="C137" s="43"/>
      <c r="D137" s="30"/>
      <c r="E137" s="28"/>
      <c r="F137" s="30"/>
      <c r="G137" s="30"/>
      <c r="H137" s="30"/>
      <c r="I137" s="30"/>
      <c r="J137" s="28"/>
      <c r="K137" s="30"/>
      <c r="L137" s="30"/>
      <c r="M137" s="30"/>
      <c r="N137" s="30"/>
      <c r="O137" s="28"/>
      <c r="P137" s="30"/>
      <c r="Q137" s="30"/>
      <c r="R137" s="30"/>
      <c r="S137" s="36"/>
      <c r="T137" s="30"/>
      <c r="U137" s="36"/>
      <c r="V137" s="30"/>
      <c r="W137" s="28"/>
      <c r="X137" s="30"/>
      <c r="Y137" s="30"/>
      <c r="Z137" s="30"/>
      <c r="AA137" s="30"/>
      <c r="AB137" s="30"/>
      <c r="AC137" s="28"/>
      <c r="AD137" s="30"/>
      <c r="AE137" s="30"/>
      <c r="AF137" s="30"/>
      <c r="AG137" s="29"/>
      <c r="AH137" s="30"/>
      <c r="AI137" s="36"/>
      <c r="AJ137" s="30"/>
      <c r="AK137" s="29"/>
      <c r="AL137" s="30"/>
      <c r="AM137" s="30"/>
      <c r="AN137" s="30"/>
      <c r="AO137" s="30"/>
      <c r="AP137" s="30"/>
      <c r="AQ137" s="38"/>
      <c r="AR137" s="30"/>
      <c r="AS137" s="30"/>
      <c r="AT137" s="29"/>
      <c r="AU137" s="30"/>
      <c r="AV137" s="30"/>
      <c r="AW137" s="30"/>
      <c r="AX137" s="29"/>
      <c r="AY137" s="39"/>
      <c r="AZ137" s="30"/>
      <c r="BA137" s="30"/>
      <c r="BB137" s="29"/>
      <c r="BC137" s="52"/>
      <c r="BD137" s="30"/>
      <c r="BE137" s="29"/>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row>
    <row r="138">
      <c r="A138" s="30"/>
      <c r="B138" s="42"/>
      <c r="C138" s="43"/>
      <c r="D138" s="30"/>
      <c r="E138" s="28"/>
      <c r="F138" s="30"/>
      <c r="G138" s="30"/>
      <c r="H138" s="30"/>
      <c r="I138" s="30"/>
      <c r="J138" s="28"/>
      <c r="K138" s="30"/>
      <c r="L138" s="30"/>
      <c r="M138" s="30"/>
      <c r="N138" s="30"/>
      <c r="O138" s="28"/>
      <c r="P138" s="30"/>
      <c r="Q138" s="30"/>
      <c r="R138" s="30"/>
      <c r="S138" s="36"/>
      <c r="T138" s="30"/>
      <c r="U138" s="36"/>
      <c r="V138" s="30"/>
      <c r="W138" s="28"/>
      <c r="X138" s="30"/>
      <c r="Y138" s="30"/>
      <c r="Z138" s="30"/>
      <c r="AA138" s="30"/>
      <c r="AB138" s="30"/>
      <c r="AC138" s="28"/>
      <c r="AD138" s="30"/>
      <c r="AE138" s="30"/>
      <c r="AF138" s="30"/>
      <c r="AG138" s="29"/>
      <c r="AH138" s="30"/>
      <c r="AI138" s="36"/>
      <c r="AJ138" s="30"/>
      <c r="AK138" s="29"/>
      <c r="AL138" s="30"/>
      <c r="AM138" s="30"/>
      <c r="AN138" s="30"/>
      <c r="AO138" s="30"/>
      <c r="AP138" s="30"/>
      <c r="AQ138" s="38"/>
      <c r="AR138" s="30"/>
      <c r="AS138" s="30"/>
      <c r="AT138" s="29"/>
      <c r="AU138" s="30"/>
      <c r="AV138" s="30"/>
      <c r="AW138" s="30"/>
      <c r="AX138" s="29"/>
      <c r="AY138" s="39"/>
      <c r="AZ138" s="30"/>
      <c r="BA138" s="30"/>
      <c r="BB138" s="29"/>
      <c r="BC138" s="52"/>
      <c r="BD138" s="30"/>
      <c r="BE138" s="29"/>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row>
    <row r="139">
      <c r="A139" s="30"/>
      <c r="B139" s="42"/>
      <c r="C139" s="43"/>
      <c r="D139" s="30"/>
      <c r="E139" s="28"/>
      <c r="F139" s="30"/>
      <c r="G139" s="30"/>
      <c r="H139" s="30"/>
      <c r="I139" s="30"/>
      <c r="J139" s="28"/>
      <c r="K139" s="30"/>
      <c r="L139" s="30"/>
      <c r="M139" s="30"/>
      <c r="N139" s="30"/>
      <c r="O139" s="28"/>
      <c r="P139" s="30"/>
      <c r="Q139" s="30"/>
      <c r="R139" s="30"/>
      <c r="S139" s="36"/>
      <c r="T139" s="30"/>
      <c r="U139" s="36"/>
      <c r="V139" s="30"/>
      <c r="W139" s="28"/>
      <c r="X139" s="30"/>
      <c r="Y139" s="30"/>
      <c r="Z139" s="30"/>
      <c r="AA139" s="30"/>
      <c r="AB139" s="30"/>
      <c r="AC139" s="28"/>
      <c r="AD139" s="30"/>
      <c r="AE139" s="30"/>
      <c r="AF139" s="30"/>
      <c r="AG139" s="29"/>
      <c r="AH139" s="30"/>
      <c r="AI139" s="36"/>
      <c r="AJ139" s="30"/>
      <c r="AK139" s="29"/>
      <c r="AL139" s="30"/>
      <c r="AM139" s="30"/>
      <c r="AN139" s="30"/>
      <c r="AO139" s="30"/>
      <c r="AP139" s="30"/>
      <c r="AQ139" s="38"/>
      <c r="AR139" s="30"/>
      <c r="AS139" s="30"/>
      <c r="AT139" s="29"/>
      <c r="AU139" s="30"/>
      <c r="AV139" s="30"/>
      <c r="AW139" s="30"/>
      <c r="AX139" s="29"/>
      <c r="AY139" s="39"/>
      <c r="AZ139" s="30"/>
      <c r="BA139" s="30"/>
      <c r="BB139" s="29"/>
      <c r="BC139" s="52"/>
      <c r="BD139" s="30"/>
      <c r="BE139" s="29"/>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row>
    <row r="140">
      <c r="A140" s="30"/>
      <c r="B140" s="42"/>
      <c r="C140" s="43"/>
      <c r="D140" s="30"/>
      <c r="E140" s="28"/>
      <c r="F140" s="30"/>
      <c r="G140" s="30"/>
      <c r="H140" s="30"/>
      <c r="I140" s="30"/>
      <c r="J140" s="28"/>
      <c r="K140" s="30"/>
      <c r="L140" s="30"/>
      <c r="M140" s="30"/>
      <c r="N140" s="30"/>
      <c r="O140" s="28"/>
      <c r="P140" s="30"/>
      <c r="Q140" s="30"/>
      <c r="R140" s="30"/>
      <c r="S140" s="36"/>
      <c r="T140" s="30"/>
      <c r="U140" s="36"/>
      <c r="V140" s="30"/>
      <c r="W140" s="28"/>
      <c r="X140" s="30"/>
      <c r="Y140" s="30"/>
      <c r="Z140" s="30"/>
      <c r="AA140" s="30"/>
      <c r="AB140" s="30"/>
      <c r="AC140" s="28"/>
      <c r="AD140" s="30"/>
      <c r="AE140" s="30"/>
      <c r="AF140" s="30"/>
      <c r="AG140" s="29"/>
      <c r="AH140" s="30"/>
      <c r="AI140" s="36"/>
      <c r="AJ140" s="30"/>
      <c r="AK140" s="29"/>
      <c r="AL140" s="30"/>
      <c r="AM140" s="30"/>
      <c r="AN140" s="30"/>
      <c r="AO140" s="30"/>
      <c r="AP140" s="30"/>
      <c r="AQ140" s="38"/>
      <c r="AR140" s="30"/>
      <c r="AS140" s="30"/>
      <c r="AT140" s="29"/>
      <c r="AU140" s="30"/>
      <c r="AV140" s="30"/>
      <c r="AW140" s="30"/>
      <c r="AX140" s="29"/>
      <c r="AY140" s="39"/>
      <c r="AZ140" s="30"/>
      <c r="BA140" s="30"/>
      <c r="BB140" s="29"/>
      <c r="BC140" s="52"/>
      <c r="BD140" s="30"/>
      <c r="BE140" s="29"/>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row>
    <row r="141">
      <c r="A141" s="30"/>
      <c r="B141" s="42"/>
      <c r="C141" s="43"/>
      <c r="D141" s="30"/>
      <c r="E141" s="28"/>
      <c r="F141" s="30"/>
      <c r="G141" s="30"/>
      <c r="H141" s="30"/>
      <c r="I141" s="30"/>
      <c r="J141" s="28"/>
      <c r="K141" s="30"/>
      <c r="L141" s="30"/>
      <c r="M141" s="30"/>
      <c r="N141" s="30"/>
      <c r="O141" s="28"/>
      <c r="P141" s="30"/>
      <c r="Q141" s="30"/>
      <c r="R141" s="30"/>
      <c r="S141" s="36"/>
      <c r="T141" s="30"/>
      <c r="U141" s="36"/>
      <c r="V141" s="30"/>
      <c r="W141" s="28"/>
      <c r="X141" s="30"/>
      <c r="Y141" s="30"/>
      <c r="Z141" s="30"/>
      <c r="AA141" s="30"/>
      <c r="AB141" s="30"/>
      <c r="AC141" s="28"/>
      <c r="AD141" s="30"/>
      <c r="AE141" s="30"/>
      <c r="AF141" s="30"/>
      <c r="AG141" s="29"/>
      <c r="AH141" s="30"/>
      <c r="AI141" s="36"/>
      <c r="AJ141" s="30"/>
      <c r="AK141" s="29"/>
      <c r="AL141" s="30"/>
      <c r="AM141" s="30"/>
      <c r="AN141" s="30"/>
      <c r="AO141" s="30"/>
      <c r="AP141" s="30"/>
      <c r="AQ141" s="38"/>
      <c r="AR141" s="30"/>
      <c r="AS141" s="30"/>
      <c r="AT141" s="29"/>
      <c r="AU141" s="30"/>
      <c r="AV141" s="30"/>
      <c r="AW141" s="30"/>
      <c r="AX141" s="29"/>
      <c r="AY141" s="39"/>
      <c r="AZ141" s="30"/>
      <c r="BA141" s="30"/>
      <c r="BB141" s="29"/>
      <c r="BC141" s="52"/>
      <c r="BD141" s="30"/>
      <c r="BE141" s="29"/>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row>
    <row r="142">
      <c r="A142" s="30"/>
      <c r="B142" s="42"/>
      <c r="C142" s="43"/>
      <c r="D142" s="30"/>
      <c r="E142" s="28"/>
      <c r="F142" s="30"/>
      <c r="G142" s="30"/>
      <c r="H142" s="30"/>
      <c r="I142" s="30"/>
      <c r="J142" s="28"/>
      <c r="K142" s="30"/>
      <c r="L142" s="30"/>
      <c r="M142" s="30"/>
      <c r="N142" s="30"/>
      <c r="O142" s="28"/>
      <c r="P142" s="30"/>
      <c r="Q142" s="30"/>
      <c r="R142" s="30"/>
      <c r="S142" s="36"/>
      <c r="T142" s="30"/>
      <c r="U142" s="36"/>
      <c r="V142" s="30"/>
      <c r="W142" s="28"/>
      <c r="X142" s="30"/>
      <c r="Y142" s="30"/>
      <c r="Z142" s="30"/>
      <c r="AA142" s="30"/>
      <c r="AB142" s="30"/>
      <c r="AC142" s="28"/>
      <c r="AD142" s="30"/>
      <c r="AE142" s="30"/>
      <c r="AF142" s="30"/>
      <c r="AG142" s="29"/>
      <c r="AH142" s="30"/>
      <c r="AI142" s="36"/>
      <c r="AJ142" s="30"/>
      <c r="AK142" s="29"/>
      <c r="AL142" s="30"/>
      <c r="AM142" s="30"/>
      <c r="AN142" s="30"/>
      <c r="AO142" s="30"/>
      <c r="AP142" s="30"/>
      <c r="AQ142" s="38"/>
      <c r="AR142" s="30"/>
      <c r="AS142" s="30"/>
      <c r="AT142" s="29"/>
      <c r="AU142" s="30"/>
      <c r="AV142" s="30"/>
      <c r="AW142" s="30"/>
      <c r="AX142" s="29"/>
      <c r="AY142" s="39"/>
      <c r="AZ142" s="30"/>
      <c r="BA142" s="30"/>
      <c r="BB142" s="29"/>
      <c r="BC142" s="52"/>
      <c r="BD142" s="30"/>
      <c r="BE142" s="29"/>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row>
    <row r="143">
      <c r="A143" s="30"/>
      <c r="B143" s="42"/>
      <c r="C143" s="43"/>
      <c r="D143" s="30"/>
      <c r="E143" s="28"/>
      <c r="F143" s="30"/>
      <c r="G143" s="30"/>
      <c r="H143" s="30"/>
      <c r="I143" s="30"/>
      <c r="J143" s="28"/>
      <c r="K143" s="30"/>
      <c r="L143" s="30"/>
      <c r="M143" s="30"/>
      <c r="N143" s="30"/>
      <c r="O143" s="28"/>
      <c r="P143" s="30"/>
      <c r="Q143" s="30"/>
      <c r="R143" s="30"/>
      <c r="S143" s="36"/>
      <c r="T143" s="30"/>
      <c r="U143" s="36"/>
      <c r="V143" s="30"/>
      <c r="W143" s="28"/>
      <c r="X143" s="30"/>
      <c r="Y143" s="30"/>
      <c r="Z143" s="30"/>
      <c r="AA143" s="30"/>
      <c r="AB143" s="30"/>
      <c r="AC143" s="28"/>
      <c r="AD143" s="30"/>
      <c r="AE143" s="30"/>
      <c r="AF143" s="30"/>
      <c r="AG143" s="29"/>
      <c r="AH143" s="30"/>
      <c r="AI143" s="36"/>
      <c r="AJ143" s="30"/>
      <c r="AK143" s="29"/>
      <c r="AL143" s="30"/>
      <c r="AM143" s="30"/>
      <c r="AN143" s="30"/>
      <c r="AO143" s="30"/>
      <c r="AP143" s="30"/>
      <c r="AQ143" s="38"/>
      <c r="AR143" s="30"/>
      <c r="AS143" s="30"/>
      <c r="AT143" s="29"/>
      <c r="AU143" s="30"/>
      <c r="AV143" s="30"/>
      <c r="AW143" s="30"/>
      <c r="AX143" s="29"/>
      <c r="AY143" s="39"/>
      <c r="AZ143" s="30"/>
      <c r="BA143" s="30"/>
      <c r="BB143" s="29"/>
      <c r="BC143" s="52"/>
      <c r="BD143" s="30"/>
      <c r="BE143" s="29"/>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row>
    <row r="144">
      <c r="A144" s="30"/>
      <c r="B144" s="42"/>
      <c r="C144" s="43"/>
      <c r="D144" s="30"/>
      <c r="E144" s="28"/>
      <c r="F144" s="30"/>
      <c r="G144" s="30"/>
      <c r="H144" s="30"/>
      <c r="I144" s="30"/>
      <c r="J144" s="28"/>
      <c r="K144" s="30"/>
      <c r="L144" s="30"/>
      <c r="M144" s="30"/>
      <c r="N144" s="30"/>
      <c r="O144" s="28"/>
      <c r="P144" s="30"/>
      <c r="Q144" s="30"/>
      <c r="R144" s="30"/>
      <c r="S144" s="36"/>
      <c r="T144" s="30"/>
      <c r="U144" s="36"/>
      <c r="V144" s="30"/>
      <c r="W144" s="28"/>
      <c r="X144" s="30"/>
      <c r="Y144" s="30"/>
      <c r="Z144" s="30"/>
      <c r="AA144" s="30"/>
      <c r="AB144" s="30"/>
      <c r="AC144" s="28"/>
      <c r="AD144" s="30"/>
      <c r="AE144" s="30"/>
      <c r="AF144" s="30"/>
      <c r="AG144" s="29"/>
      <c r="AH144" s="30"/>
      <c r="AI144" s="36"/>
      <c r="AJ144" s="30"/>
      <c r="AK144" s="29"/>
      <c r="AL144" s="30"/>
      <c r="AM144" s="30"/>
      <c r="AN144" s="30"/>
      <c r="AO144" s="30"/>
      <c r="AP144" s="30"/>
      <c r="AQ144" s="38"/>
      <c r="AR144" s="30"/>
      <c r="AS144" s="30"/>
      <c r="AT144" s="29"/>
      <c r="AU144" s="30"/>
      <c r="AV144" s="30"/>
      <c r="AW144" s="30"/>
      <c r="AX144" s="29"/>
      <c r="AY144" s="39"/>
      <c r="AZ144" s="30"/>
      <c r="BA144" s="30"/>
      <c r="BB144" s="29"/>
      <c r="BC144" s="52"/>
      <c r="BD144" s="30"/>
      <c r="BE144" s="29"/>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row>
    <row r="145">
      <c r="A145" s="30"/>
      <c r="B145" s="42"/>
      <c r="C145" s="43"/>
      <c r="D145" s="30"/>
      <c r="E145" s="28"/>
      <c r="F145" s="30"/>
      <c r="G145" s="30"/>
      <c r="H145" s="30"/>
      <c r="I145" s="30"/>
      <c r="J145" s="28"/>
      <c r="K145" s="30"/>
      <c r="L145" s="30"/>
      <c r="M145" s="30"/>
      <c r="N145" s="30"/>
      <c r="O145" s="28"/>
      <c r="P145" s="30"/>
      <c r="Q145" s="30"/>
      <c r="R145" s="30"/>
      <c r="S145" s="36"/>
      <c r="T145" s="30"/>
      <c r="U145" s="36"/>
      <c r="V145" s="30"/>
      <c r="W145" s="28"/>
      <c r="X145" s="30"/>
      <c r="Y145" s="30"/>
      <c r="Z145" s="30"/>
      <c r="AA145" s="30"/>
      <c r="AB145" s="30"/>
      <c r="AC145" s="28"/>
      <c r="AD145" s="30"/>
      <c r="AE145" s="30"/>
      <c r="AF145" s="30"/>
      <c r="AG145" s="29"/>
      <c r="AH145" s="30"/>
      <c r="AI145" s="36"/>
      <c r="AJ145" s="30"/>
      <c r="AK145" s="29"/>
      <c r="AL145" s="30"/>
      <c r="AM145" s="30"/>
      <c r="AN145" s="30"/>
      <c r="AO145" s="30"/>
      <c r="AP145" s="30"/>
      <c r="AQ145" s="38"/>
      <c r="AR145" s="30"/>
      <c r="AS145" s="30"/>
      <c r="AT145" s="29"/>
      <c r="AU145" s="30"/>
      <c r="AV145" s="30"/>
      <c r="AW145" s="30"/>
      <c r="AX145" s="29"/>
      <c r="AY145" s="39"/>
      <c r="AZ145" s="30"/>
      <c r="BA145" s="30"/>
      <c r="BB145" s="29"/>
      <c r="BC145" s="52"/>
      <c r="BD145" s="30"/>
      <c r="BE145" s="29"/>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row>
    <row r="146">
      <c r="A146" s="30"/>
      <c r="B146" s="42"/>
      <c r="C146" s="43"/>
      <c r="D146" s="30"/>
      <c r="E146" s="28"/>
      <c r="F146" s="30"/>
      <c r="G146" s="30"/>
      <c r="H146" s="30"/>
      <c r="I146" s="30"/>
      <c r="J146" s="28"/>
      <c r="K146" s="30"/>
      <c r="L146" s="30"/>
      <c r="M146" s="30"/>
      <c r="N146" s="30"/>
      <c r="O146" s="28"/>
      <c r="P146" s="30"/>
      <c r="Q146" s="30"/>
      <c r="R146" s="30"/>
      <c r="S146" s="36"/>
      <c r="T146" s="30"/>
      <c r="U146" s="36"/>
      <c r="V146" s="30"/>
      <c r="W146" s="28"/>
      <c r="X146" s="30"/>
      <c r="Y146" s="30"/>
      <c r="Z146" s="30"/>
      <c r="AA146" s="30"/>
      <c r="AB146" s="30"/>
      <c r="AC146" s="28"/>
      <c r="AD146" s="30"/>
      <c r="AE146" s="30"/>
      <c r="AF146" s="30"/>
      <c r="AG146" s="29"/>
      <c r="AH146" s="30"/>
      <c r="AI146" s="36"/>
      <c r="AJ146" s="30"/>
      <c r="AK146" s="29"/>
      <c r="AL146" s="30"/>
      <c r="AM146" s="30"/>
      <c r="AN146" s="30"/>
      <c r="AO146" s="30"/>
      <c r="AP146" s="30"/>
      <c r="AQ146" s="38"/>
      <c r="AR146" s="30"/>
      <c r="AS146" s="30"/>
      <c r="AT146" s="29"/>
      <c r="AU146" s="30"/>
      <c r="AV146" s="30"/>
      <c r="AW146" s="30"/>
      <c r="AX146" s="29"/>
      <c r="AY146" s="39"/>
      <c r="AZ146" s="30"/>
      <c r="BA146" s="30"/>
      <c r="BB146" s="29"/>
      <c r="BC146" s="52"/>
      <c r="BD146" s="30"/>
      <c r="BE146" s="29"/>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row>
    <row r="147">
      <c r="A147" s="30"/>
      <c r="B147" s="42"/>
      <c r="C147" s="43"/>
      <c r="D147" s="30"/>
      <c r="E147" s="28"/>
      <c r="F147" s="30"/>
      <c r="G147" s="30"/>
      <c r="H147" s="30"/>
      <c r="I147" s="30"/>
      <c r="J147" s="28"/>
      <c r="K147" s="30"/>
      <c r="L147" s="30"/>
      <c r="M147" s="30"/>
      <c r="N147" s="30"/>
      <c r="O147" s="28"/>
      <c r="P147" s="30"/>
      <c r="Q147" s="30"/>
      <c r="R147" s="30"/>
      <c r="S147" s="36"/>
      <c r="T147" s="30"/>
      <c r="U147" s="36"/>
      <c r="V147" s="30"/>
      <c r="W147" s="28"/>
      <c r="X147" s="30"/>
      <c r="Y147" s="30"/>
      <c r="Z147" s="30"/>
      <c r="AA147" s="30"/>
      <c r="AB147" s="30"/>
      <c r="AC147" s="28"/>
      <c r="AD147" s="30"/>
      <c r="AE147" s="30"/>
      <c r="AF147" s="30"/>
      <c r="AG147" s="29"/>
      <c r="AH147" s="30"/>
      <c r="AI147" s="36"/>
      <c r="AJ147" s="30"/>
      <c r="AK147" s="29"/>
      <c r="AL147" s="30"/>
      <c r="AM147" s="30"/>
      <c r="AN147" s="30"/>
      <c r="AO147" s="30"/>
      <c r="AP147" s="30"/>
      <c r="AQ147" s="38"/>
      <c r="AR147" s="30"/>
      <c r="AS147" s="30"/>
      <c r="AT147" s="29"/>
      <c r="AU147" s="30"/>
      <c r="AV147" s="30"/>
      <c r="AW147" s="30"/>
      <c r="AX147" s="29"/>
      <c r="AY147" s="39"/>
      <c r="AZ147" s="30"/>
      <c r="BA147" s="30"/>
      <c r="BB147" s="29"/>
      <c r="BC147" s="52"/>
      <c r="BD147" s="30"/>
      <c r="BE147" s="29"/>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row>
    <row r="148">
      <c r="A148" s="30"/>
      <c r="B148" s="42"/>
      <c r="C148" s="43"/>
      <c r="D148" s="30"/>
      <c r="E148" s="28"/>
      <c r="F148" s="30"/>
      <c r="G148" s="30"/>
      <c r="H148" s="30"/>
      <c r="I148" s="30"/>
      <c r="J148" s="28"/>
      <c r="K148" s="30"/>
      <c r="L148" s="30"/>
      <c r="M148" s="30"/>
      <c r="N148" s="30"/>
      <c r="O148" s="28"/>
      <c r="P148" s="30"/>
      <c r="Q148" s="30"/>
      <c r="R148" s="30"/>
      <c r="S148" s="36"/>
      <c r="T148" s="30"/>
      <c r="U148" s="36"/>
      <c r="V148" s="30"/>
      <c r="W148" s="28"/>
      <c r="X148" s="30"/>
      <c r="Y148" s="30"/>
      <c r="Z148" s="30"/>
      <c r="AA148" s="30"/>
      <c r="AB148" s="30"/>
      <c r="AC148" s="28"/>
      <c r="AD148" s="30"/>
      <c r="AE148" s="30"/>
      <c r="AF148" s="30"/>
      <c r="AG148" s="29"/>
      <c r="AH148" s="30"/>
      <c r="AI148" s="36"/>
      <c r="AJ148" s="30"/>
      <c r="AK148" s="29"/>
      <c r="AL148" s="30"/>
      <c r="AM148" s="30"/>
      <c r="AN148" s="30"/>
      <c r="AO148" s="30"/>
      <c r="AP148" s="30"/>
      <c r="AQ148" s="38"/>
      <c r="AR148" s="30"/>
      <c r="AS148" s="30"/>
      <c r="AT148" s="29"/>
      <c r="AU148" s="30"/>
      <c r="AV148" s="30"/>
      <c r="AW148" s="30"/>
      <c r="AX148" s="29"/>
      <c r="AY148" s="39"/>
      <c r="AZ148" s="30"/>
      <c r="BA148" s="30"/>
      <c r="BB148" s="29"/>
      <c r="BC148" s="52"/>
      <c r="BD148" s="30"/>
      <c r="BE148" s="29"/>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row>
    <row r="149">
      <c r="A149" s="30"/>
      <c r="B149" s="42"/>
      <c r="C149" s="43"/>
      <c r="D149" s="30"/>
      <c r="E149" s="28"/>
      <c r="F149" s="30"/>
      <c r="G149" s="30"/>
      <c r="H149" s="30"/>
      <c r="I149" s="30"/>
      <c r="J149" s="28"/>
      <c r="K149" s="30"/>
      <c r="L149" s="30"/>
      <c r="M149" s="30"/>
      <c r="N149" s="30"/>
      <c r="O149" s="28"/>
      <c r="P149" s="30"/>
      <c r="Q149" s="30"/>
      <c r="R149" s="30"/>
      <c r="S149" s="36"/>
      <c r="T149" s="30"/>
      <c r="U149" s="36"/>
      <c r="V149" s="30"/>
      <c r="W149" s="28"/>
      <c r="X149" s="30"/>
      <c r="Y149" s="30"/>
      <c r="Z149" s="30"/>
      <c r="AA149" s="30"/>
      <c r="AB149" s="30"/>
      <c r="AC149" s="28"/>
      <c r="AD149" s="30"/>
      <c r="AE149" s="30"/>
      <c r="AF149" s="30"/>
      <c r="AG149" s="29"/>
      <c r="AH149" s="30"/>
      <c r="AI149" s="36"/>
      <c r="AJ149" s="30"/>
      <c r="AK149" s="29"/>
      <c r="AL149" s="30"/>
      <c r="AM149" s="30"/>
      <c r="AN149" s="30"/>
      <c r="AO149" s="30"/>
      <c r="AP149" s="30"/>
      <c r="AQ149" s="38"/>
      <c r="AR149" s="30"/>
      <c r="AS149" s="30"/>
      <c r="AT149" s="29"/>
      <c r="AU149" s="30"/>
      <c r="AV149" s="30"/>
      <c r="AW149" s="30"/>
      <c r="AX149" s="29"/>
      <c r="AY149" s="39"/>
      <c r="AZ149" s="30"/>
      <c r="BA149" s="30"/>
      <c r="BB149" s="29"/>
      <c r="BC149" s="52"/>
      <c r="BD149" s="30"/>
      <c r="BE149" s="29"/>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row>
    <row r="150">
      <c r="A150" s="30"/>
      <c r="B150" s="42"/>
      <c r="C150" s="43"/>
      <c r="D150" s="30"/>
      <c r="E150" s="28"/>
      <c r="F150" s="30"/>
      <c r="G150" s="30"/>
      <c r="H150" s="30"/>
      <c r="I150" s="30"/>
      <c r="J150" s="28"/>
      <c r="K150" s="30"/>
      <c r="L150" s="30"/>
      <c r="M150" s="30"/>
      <c r="N150" s="30"/>
      <c r="O150" s="28"/>
      <c r="P150" s="30"/>
      <c r="Q150" s="30"/>
      <c r="R150" s="30"/>
      <c r="S150" s="36"/>
      <c r="T150" s="30"/>
      <c r="U150" s="36"/>
      <c r="V150" s="30"/>
      <c r="W150" s="28"/>
      <c r="X150" s="30"/>
      <c r="Y150" s="30"/>
      <c r="Z150" s="30"/>
      <c r="AA150" s="30"/>
      <c r="AB150" s="30"/>
      <c r="AC150" s="28"/>
      <c r="AD150" s="30"/>
      <c r="AE150" s="30"/>
      <c r="AF150" s="30"/>
      <c r="AG150" s="29"/>
      <c r="AH150" s="30"/>
      <c r="AI150" s="36"/>
      <c r="AJ150" s="30"/>
      <c r="AK150" s="29"/>
      <c r="AL150" s="30"/>
      <c r="AM150" s="30"/>
      <c r="AN150" s="30"/>
      <c r="AO150" s="30"/>
      <c r="AP150" s="30"/>
      <c r="AQ150" s="38"/>
      <c r="AR150" s="30"/>
      <c r="AS150" s="30"/>
      <c r="AT150" s="29"/>
      <c r="AU150" s="30"/>
      <c r="AV150" s="30"/>
      <c r="AW150" s="30"/>
      <c r="AX150" s="29"/>
      <c r="AY150" s="39"/>
      <c r="AZ150" s="30"/>
      <c r="BA150" s="30"/>
      <c r="BB150" s="29"/>
      <c r="BC150" s="52"/>
      <c r="BD150" s="30"/>
      <c r="BE150" s="29"/>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row>
    <row r="151">
      <c r="A151" s="30"/>
      <c r="B151" s="42"/>
      <c r="C151" s="43"/>
      <c r="D151" s="30"/>
      <c r="E151" s="28"/>
      <c r="F151" s="30"/>
      <c r="G151" s="30"/>
      <c r="H151" s="30"/>
      <c r="I151" s="30"/>
      <c r="J151" s="28"/>
      <c r="K151" s="30"/>
      <c r="L151" s="30"/>
      <c r="M151" s="30"/>
      <c r="N151" s="30"/>
      <c r="O151" s="28"/>
      <c r="P151" s="30"/>
      <c r="Q151" s="30"/>
      <c r="R151" s="30"/>
      <c r="S151" s="36"/>
      <c r="T151" s="30"/>
      <c r="U151" s="36"/>
      <c r="V151" s="30"/>
      <c r="W151" s="28"/>
      <c r="X151" s="30"/>
      <c r="Y151" s="30"/>
      <c r="Z151" s="30"/>
      <c r="AA151" s="30"/>
      <c r="AB151" s="30"/>
      <c r="AC151" s="28"/>
      <c r="AD151" s="30"/>
      <c r="AE151" s="30"/>
      <c r="AF151" s="30"/>
      <c r="AG151" s="29"/>
      <c r="AH151" s="30"/>
      <c r="AI151" s="36"/>
      <c r="AJ151" s="30"/>
      <c r="AK151" s="29"/>
      <c r="AL151" s="30"/>
      <c r="AM151" s="30"/>
      <c r="AN151" s="30"/>
      <c r="AO151" s="30"/>
      <c r="AP151" s="30"/>
      <c r="AQ151" s="38"/>
      <c r="AR151" s="30"/>
      <c r="AS151" s="30"/>
      <c r="AT151" s="29"/>
      <c r="AU151" s="30"/>
      <c r="AV151" s="30"/>
      <c r="AW151" s="30"/>
      <c r="AX151" s="29"/>
      <c r="AY151" s="39"/>
      <c r="AZ151" s="30"/>
      <c r="BA151" s="30"/>
      <c r="BB151" s="29"/>
      <c r="BC151" s="52"/>
      <c r="BD151" s="30"/>
      <c r="BE151" s="29"/>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row>
    <row r="152">
      <c r="A152" s="30"/>
      <c r="B152" s="42"/>
      <c r="C152" s="43"/>
      <c r="D152" s="30"/>
      <c r="E152" s="28"/>
      <c r="F152" s="30"/>
      <c r="G152" s="30"/>
      <c r="H152" s="30"/>
      <c r="I152" s="30"/>
      <c r="J152" s="28"/>
      <c r="K152" s="30"/>
      <c r="L152" s="30"/>
      <c r="M152" s="30"/>
      <c r="N152" s="30"/>
      <c r="O152" s="28"/>
      <c r="P152" s="30"/>
      <c r="Q152" s="30"/>
      <c r="R152" s="30"/>
      <c r="S152" s="36"/>
      <c r="T152" s="30"/>
      <c r="U152" s="36"/>
      <c r="V152" s="30"/>
      <c r="W152" s="28"/>
      <c r="X152" s="30"/>
      <c r="Y152" s="30"/>
      <c r="Z152" s="30"/>
      <c r="AA152" s="30"/>
      <c r="AB152" s="30"/>
      <c r="AC152" s="28"/>
      <c r="AD152" s="30"/>
      <c r="AE152" s="30"/>
      <c r="AF152" s="30"/>
      <c r="AG152" s="29"/>
      <c r="AH152" s="30"/>
      <c r="AI152" s="36"/>
      <c r="AJ152" s="30"/>
      <c r="AK152" s="29"/>
      <c r="AL152" s="30"/>
      <c r="AM152" s="30"/>
      <c r="AN152" s="30"/>
      <c r="AO152" s="30"/>
      <c r="AP152" s="30"/>
      <c r="AQ152" s="38"/>
      <c r="AR152" s="30"/>
      <c r="AS152" s="30"/>
      <c r="AT152" s="29"/>
      <c r="AU152" s="30"/>
      <c r="AV152" s="30"/>
      <c r="AW152" s="30"/>
      <c r="AX152" s="29"/>
      <c r="AY152" s="39"/>
      <c r="AZ152" s="30"/>
      <c r="BA152" s="30"/>
      <c r="BB152" s="29"/>
      <c r="BC152" s="52"/>
      <c r="BD152" s="30"/>
      <c r="BE152" s="29"/>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row>
    <row r="153">
      <c r="A153" s="30"/>
      <c r="B153" s="42"/>
      <c r="C153" s="43"/>
      <c r="D153" s="30"/>
      <c r="E153" s="28"/>
      <c r="F153" s="30"/>
      <c r="G153" s="30"/>
      <c r="H153" s="30"/>
      <c r="I153" s="30"/>
      <c r="J153" s="28"/>
      <c r="K153" s="30"/>
      <c r="L153" s="30"/>
      <c r="M153" s="30"/>
      <c r="N153" s="30"/>
      <c r="O153" s="28"/>
      <c r="P153" s="30"/>
      <c r="Q153" s="30"/>
      <c r="R153" s="30"/>
      <c r="S153" s="36"/>
      <c r="T153" s="30"/>
      <c r="U153" s="36"/>
      <c r="V153" s="30"/>
      <c r="W153" s="28"/>
      <c r="X153" s="30"/>
      <c r="Y153" s="30"/>
      <c r="Z153" s="30"/>
      <c r="AA153" s="30"/>
      <c r="AB153" s="30"/>
      <c r="AC153" s="28"/>
      <c r="AD153" s="30"/>
      <c r="AE153" s="30"/>
      <c r="AF153" s="30"/>
      <c r="AG153" s="29"/>
      <c r="AH153" s="30"/>
      <c r="AI153" s="36"/>
      <c r="AJ153" s="30"/>
      <c r="AK153" s="29"/>
      <c r="AL153" s="30"/>
      <c r="AM153" s="30"/>
      <c r="AN153" s="30"/>
      <c r="AO153" s="30"/>
      <c r="AP153" s="30"/>
      <c r="AQ153" s="38"/>
      <c r="AR153" s="30"/>
      <c r="AS153" s="30"/>
      <c r="AT153" s="29"/>
      <c r="AU153" s="30"/>
      <c r="AV153" s="30"/>
      <c r="AW153" s="30"/>
      <c r="AX153" s="29"/>
      <c r="AY153" s="39"/>
      <c r="AZ153" s="30"/>
      <c r="BA153" s="30"/>
      <c r="BB153" s="29"/>
      <c r="BC153" s="52"/>
      <c r="BD153" s="30"/>
      <c r="BE153" s="29"/>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row>
    <row r="154">
      <c r="A154" s="30"/>
      <c r="B154" s="42"/>
      <c r="C154" s="43"/>
      <c r="D154" s="30"/>
      <c r="E154" s="28"/>
      <c r="F154" s="30"/>
      <c r="G154" s="30"/>
      <c r="H154" s="30"/>
      <c r="I154" s="30"/>
      <c r="J154" s="28"/>
      <c r="K154" s="30"/>
      <c r="L154" s="30"/>
      <c r="M154" s="30"/>
      <c r="N154" s="30"/>
      <c r="O154" s="28"/>
      <c r="P154" s="30"/>
      <c r="Q154" s="30"/>
      <c r="R154" s="30"/>
      <c r="S154" s="36"/>
      <c r="T154" s="30"/>
      <c r="U154" s="36"/>
      <c r="V154" s="30"/>
      <c r="W154" s="28"/>
      <c r="X154" s="30"/>
      <c r="Y154" s="30"/>
      <c r="Z154" s="30"/>
      <c r="AA154" s="30"/>
      <c r="AB154" s="30"/>
      <c r="AC154" s="28"/>
      <c r="AD154" s="30"/>
      <c r="AE154" s="30"/>
      <c r="AF154" s="30"/>
      <c r="AG154" s="29"/>
      <c r="AH154" s="30"/>
      <c r="AI154" s="36"/>
      <c r="AJ154" s="30"/>
      <c r="AK154" s="29"/>
      <c r="AL154" s="30"/>
      <c r="AM154" s="30"/>
      <c r="AN154" s="30"/>
      <c r="AO154" s="30"/>
      <c r="AP154" s="30"/>
      <c r="AQ154" s="38"/>
      <c r="AR154" s="30"/>
      <c r="AS154" s="30"/>
      <c r="AT154" s="29"/>
      <c r="AU154" s="30"/>
      <c r="AV154" s="30"/>
      <c r="AW154" s="30"/>
      <c r="AX154" s="29"/>
      <c r="AY154" s="39"/>
      <c r="AZ154" s="30"/>
      <c r="BA154" s="30"/>
      <c r="BB154" s="29"/>
      <c r="BC154" s="52"/>
      <c r="BD154" s="30"/>
      <c r="BE154" s="29"/>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row>
    <row r="155">
      <c r="A155" s="30"/>
      <c r="B155" s="42"/>
      <c r="C155" s="43"/>
      <c r="D155" s="30"/>
      <c r="E155" s="28"/>
      <c r="F155" s="30"/>
      <c r="G155" s="30"/>
      <c r="H155" s="30"/>
      <c r="I155" s="30"/>
      <c r="J155" s="28"/>
      <c r="K155" s="30"/>
      <c r="L155" s="30"/>
      <c r="M155" s="30"/>
      <c r="N155" s="30"/>
      <c r="O155" s="28"/>
      <c r="P155" s="30"/>
      <c r="Q155" s="30"/>
      <c r="R155" s="30"/>
      <c r="S155" s="36"/>
      <c r="T155" s="30"/>
      <c r="U155" s="36"/>
      <c r="V155" s="30"/>
      <c r="W155" s="28"/>
      <c r="X155" s="30"/>
      <c r="Y155" s="30"/>
      <c r="Z155" s="30"/>
      <c r="AA155" s="30"/>
      <c r="AB155" s="30"/>
      <c r="AC155" s="28"/>
      <c r="AD155" s="30"/>
      <c r="AE155" s="30"/>
      <c r="AF155" s="30"/>
      <c r="AG155" s="29"/>
      <c r="AH155" s="30"/>
      <c r="AI155" s="36"/>
      <c r="AJ155" s="30"/>
      <c r="AK155" s="29"/>
      <c r="AL155" s="30"/>
      <c r="AM155" s="30"/>
      <c r="AN155" s="30"/>
      <c r="AO155" s="30"/>
      <c r="AP155" s="30"/>
      <c r="AQ155" s="38"/>
      <c r="AR155" s="30"/>
      <c r="AS155" s="30"/>
      <c r="AT155" s="29"/>
      <c r="AU155" s="30"/>
      <c r="AV155" s="30"/>
      <c r="AW155" s="30"/>
      <c r="AX155" s="29"/>
      <c r="AY155" s="39"/>
      <c r="AZ155" s="30"/>
      <c r="BA155" s="30"/>
      <c r="BB155" s="29"/>
      <c r="BC155" s="52"/>
      <c r="BD155" s="30"/>
      <c r="BE155" s="29"/>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row>
    <row r="156">
      <c r="A156" s="30"/>
      <c r="B156" s="42"/>
      <c r="C156" s="43"/>
      <c r="D156" s="30"/>
      <c r="E156" s="28"/>
      <c r="F156" s="30"/>
      <c r="G156" s="30"/>
      <c r="H156" s="30"/>
      <c r="I156" s="30"/>
      <c r="J156" s="28"/>
      <c r="K156" s="30"/>
      <c r="L156" s="30"/>
      <c r="M156" s="30"/>
      <c r="N156" s="30"/>
      <c r="O156" s="28"/>
      <c r="P156" s="30"/>
      <c r="Q156" s="30"/>
      <c r="R156" s="30"/>
      <c r="S156" s="36"/>
      <c r="T156" s="30"/>
      <c r="U156" s="36"/>
      <c r="V156" s="30"/>
      <c r="W156" s="28"/>
      <c r="X156" s="30"/>
      <c r="Y156" s="30"/>
      <c r="Z156" s="30"/>
      <c r="AA156" s="30"/>
      <c r="AB156" s="30"/>
      <c r="AC156" s="28"/>
      <c r="AD156" s="30"/>
      <c r="AE156" s="30"/>
      <c r="AF156" s="30"/>
      <c r="AG156" s="29"/>
      <c r="AH156" s="30"/>
      <c r="AI156" s="36"/>
      <c r="AJ156" s="30"/>
      <c r="AK156" s="29"/>
      <c r="AL156" s="30"/>
      <c r="AM156" s="30"/>
      <c r="AN156" s="30"/>
      <c r="AO156" s="30"/>
      <c r="AP156" s="30"/>
      <c r="AQ156" s="38"/>
      <c r="AR156" s="30"/>
      <c r="AS156" s="30"/>
      <c r="AT156" s="29"/>
      <c r="AU156" s="30"/>
      <c r="AV156" s="30"/>
      <c r="AW156" s="30"/>
      <c r="AX156" s="29"/>
      <c r="AY156" s="39"/>
      <c r="AZ156" s="30"/>
      <c r="BA156" s="30"/>
      <c r="BB156" s="29"/>
      <c r="BC156" s="52"/>
      <c r="BD156" s="30"/>
      <c r="BE156" s="29"/>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row>
    <row r="157">
      <c r="A157" s="30"/>
      <c r="B157" s="42"/>
      <c r="C157" s="43"/>
      <c r="D157" s="30"/>
      <c r="E157" s="28"/>
      <c r="F157" s="30"/>
      <c r="G157" s="30"/>
      <c r="H157" s="30"/>
      <c r="I157" s="30"/>
      <c r="J157" s="28"/>
      <c r="K157" s="30"/>
      <c r="L157" s="30"/>
      <c r="M157" s="30"/>
      <c r="N157" s="30"/>
      <c r="O157" s="28"/>
      <c r="P157" s="30"/>
      <c r="Q157" s="30"/>
      <c r="R157" s="30"/>
      <c r="S157" s="36"/>
      <c r="T157" s="30"/>
      <c r="U157" s="36"/>
      <c r="V157" s="30"/>
      <c r="W157" s="28"/>
      <c r="X157" s="30"/>
      <c r="Y157" s="30"/>
      <c r="Z157" s="30"/>
      <c r="AA157" s="30"/>
      <c r="AB157" s="30"/>
      <c r="AC157" s="28"/>
      <c r="AD157" s="30"/>
      <c r="AE157" s="30"/>
      <c r="AF157" s="30"/>
      <c r="AG157" s="29"/>
      <c r="AH157" s="30"/>
      <c r="AI157" s="36"/>
      <c r="AJ157" s="30"/>
      <c r="AK157" s="29"/>
      <c r="AL157" s="30"/>
      <c r="AM157" s="30"/>
      <c r="AN157" s="30"/>
      <c r="AO157" s="30"/>
      <c r="AP157" s="30"/>
      <c r="AQ157" s="38"/>
      <c r="AR157" s="30"/>
      <c r="AS157" s="30"/>
      <c r="AT157" s="29"/>
      <c r="AU157" s="30"/>
      <c r="AV157" s="30"/>
      <c r="AW157" s="30"/>
      <c r="AX157" s="29"/>
      <c r="AY157" s="39"/>
      <c r="AZ157" s="30"/>
      <c r="BA157" s="30"/>
      <c r="BB157" s="29"/>
      <c r="BC157" s="52"/>
      <c r="BD157" s="30"/>
      <c r="BE157" s="29"/>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row>
    <row r="158">
      <c r="A158" s="30"/>
      <c r="B158" s="42"/>
      <c r="C158" s="43"/>
      <c r="D158" s="30"/>
      <c r="E158" s="28"/>
      <c r="F158" s="30"/>
      <c r="G158" s="30"/>
      <c r="H158" s="30"/>
      <c r="I158" s="30"/>
      <c r="J158" s="28"/>
      <c r="K158" s="30"/>
      <c r="L158" s="30"/>
      <c r="M158" s="30"/>
      <c r="N158" s="30"/>
      <c r="O158" s="28"/>
      <c r="P158" s="30"/>
      <c r="Q158" s="30"/>
      <c r="R158" s="30"/>
      <c r="S158" s="36"/>
      <c r="T158" s="30"/>
      <c r="U158" s="36"/>
      <c r="V158" s="30"/>
      <c r="W158" s="28"/>
      <c r="X158" s="30"/>
      <c r="Y158" s="30"/>
      <c r="Z158" s="30"/>
      <c r="AA158" s="30"/>
      <c r="AB158" s="30"/>
      <c r="AC158" s="28"/>
      <c r="AD158" s="30"/>
      <c r="AE158" s="30"/>
      <c r="AF158" s="30"/>
      <c r="AG158" s="29"/>
      <c r="AH158" s="30"/>
      <c r="AI158" s="36"/>
      <c r="AJ158" s="30"/>
      <c r="AK158" s="29"/>
      <c r="AL158" s="30"/>
      <c r="AM158" s="30"/>
      <c r="AN158" s="30"/>
      <c r="AO158" s="30"/>
      <c r="AP158" s="30"/>
      <c r="AQ158" s="38"/>
      <c r="AR158" s="30"/>
      <c r="AS158" s="30"/>
      <c r="AT158" s="29"/>
      <c r="AU158" s="30"/>
      <c r="AV158" s="30"/>
      <c r="AW158" s="30"/>
      <c r="AX158" s="29"/>
      <c r="AY158" s="39"/>
      <c r="AZ158" s="30"/>
      <c r="BA158" s="30"/>
      <c r="BB158" s="29"/>
      <c r="BC158" s="52"/>
      <c r="BD158" s="30"/>
      <c r="BE158" s="29"/>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row>
    <row r="159">
      <c r="A159" s="30"/>
      <c r="B159" s="42"/>
      <c r="C159" s="43"/>
      <c r="D159" s="30"/>
      <c r="E159" s="28"/>
      <c r="F159" s="30"/>
      <c r="G159" s="30"/>
      <c r="H159" s="30"/>
      <c r="I159" s="30"/>
      <c r="J159" s="28"/>
      <c r="K159" s="30"/>
      <c r="L159" s="30"/>
      <c r="M159" s="30"/>
      <c r="N159" s="30"/>
      <c r="O159" s="28"/>
      <c r="P159" s="30"/>
      <c r="Q159" s="30"/>
      <c r="R159" s="30"/>
      <c r="S159" s="36"/>
      <c r="T159" s="30"/>
      <c r="U159" s="36"/>
      <c r="V159" s="30"/>
      <c r="W159" s="28"/>
      <c r="X159" s="30"/>
      <c r="Y159" s="30"/>
      <c r="Z159" s="30"/>
      <c r="AA159" s="30"/>
      <c r="AB159" s="30"/>
      <c r="AC159" s="28"/>
      <c r="AD159" s="30"/>
      <c r="AE159" s="30"/>
      <c r="AF159" s="30"/>
      <c r="AG159" s="29"/>
      <c r="AH159" s="30"/>
      <c r="AI159" s="36"/>
      <c r="AJ159" s="30"/>
      <c r="AK159" s="29"/>
      <c r="AL159" s="30"/>
      <c r="AM159" s="30"/>
      <c r="AN159" s="30"/>
      <c r="AO159" s="30"/>
      <c r="AP159" s="30"/>
      <c r="AQ159" s="38"/>
      <c r="AR159" s="30"/>
      <c r="AS159" s="30"/>
      <c r="AT159" s="29"/>
      <c r="AU159" s="30"/>
      <c r="AV159" s="30"/>
      <c r="AW159" s="30"/>
      <c r="AX159" s="29"/>
      <c r="AY159" s="39"/>
      <c r="AZ159" s="30"/>
      <c r="BA159" s="30"/>
      <c r="BB159" s="29"/>
      <c r="BC159" s="52"/>
      <c r="BD159" s="30"/>
      <c r="BE159" s="29"/>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row>
    <row r="160">
      <c r="A160" s="30"/>
      <c r="B160" s="42"/>
      <c r="C160" s="43"/>
      <c r="D160" s="30"/>
      <c r="E160" s="28"/>
      <c r="F160" s="30"/>
      <c r="G160" s="30"/>
      <c r="H160" s="30"/>
      <c r="I160" s="30"/>
      <c r="J160" s="28"/>
      <c r="K160" s="30"/>
      <c r="L160" s="30"/>
      <c r="M160" s="30"/>
      <c r="N160" s="30"/>
      <c r="O160" s="28"/>
      <c r="P160" s="30"/>
      <c r="Q160" s="30"/>
      <c r="R160" s="30"/>
      <c r="S160" s="36"/>
      <c r="T160" s="30"/>
      <c r="U160" s="36"/>
      <c r="V160" s="30"/>
      <c r="W160" s="28"/>
      <c r="X160" s="30"/>
      <c r="Y160" s="30"/>
      <c r="Z160" s="30"/>
      <c r="AA160" s="30"/>
      <c r="AB160" s="30"/>
      <c r="AC160" s="28"/>
      <c r="AD160" s="30"/>
      <c r="AE160" s="30"/>
      <c r="AF160" s="30"/>
      <c r="AG160" s="29"/>
      <c r="AH160" s="30"/>
      <c r="AI160" s="36"/>
      <c r="AJ160" s="30"/>
      <c r="AK160" s="29"/>
      <c r="AL160" s="30"/>
      <c r="AM160" s="30"/>
      <c r="AN160" s="30"/>
      <c r="AO160" s="30"/>
      <c r="AP160" s="30"/>
      <c r="AQ160" s="38"/>
      <c r="AR160" s="30"/>
      <c r="AS160" s="30"/>
      <c r="AT160" s="29"/>
      <c r="AU160" s="30"/>
      <c r="AV160" s="30"/>
      <c r="AW160" s="30"/>
      <c r="AX160" s="29"/>
      <c r="AY160" s="39"/>
      <c r="AZ160" s="30"/>
      <c r="BA160" s="30"/>
      <c r="BB160" s="29"/>
      <c r="BC160" s="52"/>
      <c r="BD160" s="30"/>
      <c r="BE160" s="29"/>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row>
    <row r="161">
      <c r="A161" s="30"/>
      <c r="B161" s="42"/>
      <c r="C161" s="43"/>
      <c r="D161" s="30"/>
      <c r="E161" s="28"/>
      <c r="F161" s="30"/>
      <c r="G161" s="30"/>
      <c r="H161" s="30"/>
      <c r="I161" s="30"/>
      <c r="J161" s="28"/>
      <c r="K161" s="30"/>
      <c r="L161" s="30"/>
      <c r="M161" s="30"/>
      <c r="N161" s="30"/>
      <c r="O161" s="28"/>
      <c r="P161" s="30"/>
      <c r="Q161" s="30"/>
      <c r="R161" s="30"/>
      <c r="S161" s="36"/>
      <c r="T161" s="30"/>
      <c r="U161" s="36"/>
      <c r="V161" s="30"/>
      <c r="W161" s="28"/>
      <c r="X161" s="30"/>
      <c r="Y161" s="30"/>
      <c r="Z161" s="30"/>
      <c r="AA161" s="30"/>
      <c r="AB161" s="30"/>
      <c r="AC161" s="28"/>
      <c r="AD161" s="30"/>
      <c r="AE161" s="30"/>
      <c r="AF161" s="30"/>
      <c r="AG161" s="29"/>
      <c r="AH161" s="30"/>
      <c r="AI161" s="36"/>
      <c r="AJ161" s="30"/>
      <c r="AK161" s="29"/>
      <c r="AL161" s="30"/>
      <c r="AM161" s="30"/>
      <c r="AN161" s="30"/>
      <c r="AO161" s="30"/>
      <c r="AP161" s="30"/>
      <c r="AQ161" s="38"/>
      <c r="AR161" s="30"/>
      <c r="AS161" s="30"/>
      <c r="AT161" s="29"/>
      <c r="AU161" s="30"/>
      <c r="AV161" s="30"/>
      <c r="AW161" s="30"/>
      <c r="AX161" s="29"/>
      <c r="AY161" s="39"/>
      <c r="AZ161" s="30"/>
      <c r="BA161" s="30"/>
      <c r="BB161" s="29"/>
      <c r="BC161" s="52"/>
      <c r="BD161" s="30"/>
      <c r="BE161" s="29"/>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row>
    <row r="162">
      <c r="A162" s="30"/>
      <c r="B162" s="42"/>
      <c r="C162" s="43"/>
      <c r="D162" s="30"/>
      <c r="E162" s="28"/>
      <c r="F162" s="30"/>
      <c r="G162" s="30"/>
      <c r="H162" s="30"/>
      <c r="I162" s="30"/>
      <c r="J162" s="28"/>
      <c r="K162" s="30"/>
      <c r="L162" s="30"/>
      <c r="M162" s="30"/>
      <c r="N162" s="30"/>
      <c r="O162" s="28"/>
      <c r="P162" s="30"/>
      <c r="Q162" s="30"/>
      <c r="R162" s="30"/>
      <c r="S162" s="36"/>
      <c r="T162" s="30"/>
      <c r="U162" s="36"/>
      <c r="V162" s="30"/>
      <c r="W162" s="28"/>
      <c r="X162" s="30"/>
      <c r="Y162" s="30"/>
      <c r="Z162" s="30"/>
      <c r="AA162" s="30"/>
      <c r="AB162" s="30"/>
      <c r="AC162" s="28"/>
      <c r="AD162" s="30"/>
      <c r="AE162" s="30"/>
      <c r="AF162" s="30"/>
      <c r="AG162" s="29"/>
      <c r="AH162" s="30"/>
      <c r="AI162" s="36"/>
      <c r="AJ162" s="30"/>
      <c r="AK162" s="29"/>
      <c r="AL162" s="30"/>
      <c r="AM162" s="30"/>
      <c r="AN162" s="30"/>
      <c r="AO162" s="30"/>
      <c r="AP162" s="30"/>
      <c r="AQ162" s="38"/>
      <c r="AR162" s="30"/>
      <c r="AS162" s="30"/>
      <c r="AT162" s="29"/>
      <c r="AU162" s="30"/>
      <c r="AV162" s="30"/>
      <c r="AW162" s="30"/>
      <c r="AX162" s="29"/>
      <c r="AY162" s="39"/>
      <c r="AZ162" s="30"/>
      <c r="BA162" s="30"/>
      <c r="BB162" s="29"/>
      <c r="BC162" s="52"/>
      <c r="BD162" s="30"/>
      <c r="BE162" s="29"/>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row>
    <row r="163">
      <c r="A163" s="30"/>
      <c r="B163" s="42"/>
      <c r="C163" s="43"/>
      <c r="D163" s="30"/>
      <c r="E163" s="28"/>
      <c r="F163" s="30"/>
      <c r="G163" s="30"/>
      <c r="H163" s="30"/>
      <c r="I163" s="30"/>
      <c r="J163" s="28"/>
      <c r="K163" s="30"/>
      <c r="L163" s="30"/>
      <c r="M163" s="30"/>
      <c r="N163" s="30"/>
      <c r="O163" s="28"/>
      <c r="P163" s="30"/>
      <c r="Q163" s="30"/>
      <c r="R163" s="30"/>
      <c r="S163" s="36"/>
      <c r="T163" s="30"/>
      <c r="U163" s="36"/>
      <c r="V163" s="30"/>
      <c r="W163" s="28"/>
      <c r="X163" s="30"/>
      <c r="Y163" s="30"/>
      <c r="Z163" s="30"/>
      <c r="AA163" s="30"/>
      <c r="AB163" s="30"/>
      <c r="AC163" s="28"/>
      <c r="AD163" s="30"/>
      <c r="AE163" s="30"/>
      <c r="AF163" s="30"/>
      <c r="AG163" s="29"/>
      <c r="AH163" s="30"/>
      <c r="AI163" s="36"/>
      <c r="AJ163" s="30"/>
      <c r="AK163" s="29"/>
      <c r="AL163" s="30"/>
      <c r="AM163" s="30"/>
      <c r="AN163" s="30"/>
      <c r="AO163" s="30"/>
      <c r="AP163" s="30"/>
      <c r="AQ163" s="38"/>
      <c r="AR163" s="30"/>
      <c r="AS163" s="30"/>
      <c r="AT163" s="29"/>
      <c r="AU163" s="30"/>
      <c r="AV163" s="30"/>
      <c r="AW163" s="30"/>
      <c r="AX163" s="29"/>
      <c r="AY163" s="39"/>
      <c r="AZ163" s="30"/>
      <c r="BA163" s="30"/>
      <c r="BB163" s="29"/>
      <c r="BC163" s="52"/>
      <c r="BD163" s="30"/>
      <c r="BE163" s="29"/>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row>
    <row r="164">
      <c r="A164" s="30"/>
      <c r="B164" s="42"/>
      <c r="C164" s="43"/>
      <c r="D164" s="30"/>
      <c r="E164" s="28"/>
      <c r="F164" s="30"/>
      <c r="G164" s="30"/>
      <c r="H164" s="30"/>
      <c r="I164" s="30"/>
      <c r="J164" s="28"/>
      <c r="K164" s="30"/>
      <c r="L164" s="30"/>
      <c r="M164" s="30"/>
      <c r="N164" s="30"/>
      <c r="O164" s="28"/>
      <c r="P164" s="30"/>
      <c r="Q164" s="30"/>
      <c r="R164" s="30"/>
      <c r="S164" s="36"/>
      <c r="T164" s="30"/>
      <c r="U164" s="36"/>
      <c r="V164" s="30"/>
      <c r="W164" s="28"/>
      <c r="X164" s="30"/>
      <c r="Y164" s="30"/>
      <c r="Z164" s="30"/>
      <c r="AA164" s="30"/>
      <c r="AB164" s="30"/>
      <c r="AC164" s="28"/>
      <c r="AD164" s="30"/>
      <c r="AE164" s="30"/>
      <c r="AF164" s="30"/>
      <c r="AG164" s="29"/>
      <c r="AH164" s="30"/>
      <c r="AI164" s="36"/>
      <c r="AJ164" s="30"/>
      <c r="AK164" s="29"/>
      <c r="AL164" s="30"/>
      <c r="AM164" s="30"/>
      <c r="AN164" s="30"/>
      <c r="AO164" s="30"/>
      <c r="AP164" s="30"/>
      <c r="AQ164" s="38"/>
      <c r="AR164" s="30"/>
      <c r="AS164" s="30"/>
      <c r="AT164" s="29"/>
      <c r="AU164" s="30"/>
      <c r="AV164" s="30"/>
      <c r="AW164" s="30"/>
      <c r="AX164" s="29"/>
      <c r="AY164" s="39"/>
      <c r="AZ164" s="30"/>
      <c r="BA164" s="30"/>
      <c r="BB164" s="29"/>
      <c r="BC164" s="52"/>
      <c r="BD164" s="30"/>
      <c r="BE164" s="29"/>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row>
    <row r="165">
      <c r="A165" s="30"/>
      <c r="B165" s="42"/>
      <c r="C165" s="43"/>
      <c r="D165" s="30"/>
      <c r="E165" s="28"/>
      <c r="F165" s="30"/>
      <c r="G165" s="30"/>
      <c r="H165" s="30"/>
      <c r="I165" s="30"/>
      <c r="J165" s="28"/>
      <c r="K165" s="30"/>
      <c r="L165" s="30"/>
      <c r="M165" s="30"/>
      <c r="N165" s="30"/>
      <c r="O165" s="28"/>
      <c r="P165" s="30"/>
      <c r="Q165" s="30"/>
      <c r="R165" s="30"/>
      <c r="S165" s="36"/>
      <c r="T165" s="30"/>
      <c r="U165" s="36"/>
      <c r="V165" s="30"/>
      <c r="W165" s="28"/>
      <c r="X165" s="30"/>
      <c r="Y165" s="30"/>
      <c r="Z165" s="30"/>
      <c r="AA165" s="30"/>
      <c r="AB165" s="30"/>
      <c r="AC165" s="28"/>
      <c r="AD165" s="30"/>
      <c r="AE165" s="30"/>
      <c r="AF165" s="30"/>
      <c r="AG165" s="29"/>
      <c r="AH165" s="30"/>
      <c r="AI165" s="36"/>
      <c r="AJ165" s="30"/>
      <c r="AK165" s="29"/>
      <c r="AL165" s="30"/>
      <c r="AM165" s="30"/>
      <c r="AN165" s="30"/>
      <c r="AO165" s="30"/>
      <c r="AP165" s="30"/>
      <c r="AQ165" s="38"/>
      <c r="AR165" s="30"/>
      <c r="AS165" s="30"/>
      <c r="AT165" s="29"/>
      <c r="AU165" s="30"/>
      <c r="AV165" s="30"/>
      <c r="AW165" s="30"/>
      <c r="AX165" s="29"/>
      <c r="AY165" s="39"/>
      <c r="AZ165" s="30"/>
      <c r="BA165" s="30"/>
      <c r="BB165" s="29"/>
      <c r="BC165" s="52"/>
      <c r="BD165" s="30"/>
      <c r="BE165" s="29"/>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row>
    <row r="166">
      <c r="A166" s="30"/>
      <c r="B166" s="42"/>
      <c r="C166" s="43"/>
      <c r="D166" s="30"/>
      <c r="E166" s="28"/>
      <c r="F166" s="30"/>
      <c r="G166" s="30"/>
      <c r="H166" s="30"/>
      <c r="I166" s="30"/>
      <c r="J166" s="28"/>
      <c r="K166" s="30"/>
      <c r="L166" s="30"/>
      <c r="M166" s="30"/>
      <c r="N166" s="30"/>
      <c r="O166" s="28"/>
      <c r="P166" s="30"/>
      <c r="Q166" s="30"/>
      <c r="R166" s="30"/>
      <c r="S166" s="36"/>
      <c r="T166" s="30"/>
      <c r="U166" s="36"/>
      <c r="V166" s="30"/>
      <c r="W166" s="28"/>
      <c r="X166" s="30"/>
      <c r="Y166" s="30"/>
      <c r="Z166" s="30"/>
      <c r="AA166" s="30"/>
      <c r="AB166" s="30"/>
      <c r="AC166" s="28"/>
      <c r="AD166" s="30"/>
      <c r="AE166" s="30"/>
      <c r="AF166" s="30"/>
      <c r="AG166" s="29"/>
      <c r="AH166" s="30"/>
      <c r="AI166" s="36"/>
      <c r="AJ166" s="30"/>
      <c r="AK166" s="29"/>
      <c r="AL166" s="30"/>
      <c r="AM166" s="30"/>
      <c r="AN166" s="30"/>
      <c r="AO166" s="30"/>
      <c r="AP166" s="30"/>
      <c r="AQ166" s="38"/>
      <c r="AR166" s="30"/>
      <c r="AS166" s="30"/>
      <c r="AT166" s="29"/>
      <c r="AU166" s="30"/>
      <c r="AV166" s="30"/>
      <c r="AW166" s="30"/>
      <c r="AX166" s="29"/>
      <c r="AY166" s="39"/>
      <c r="AZ166" s="30"/>
      <c r="BA166" s="30"/>
      <c r="BB166" s="29"/>
      <c r="BC166" s="52"/>
      <c r="BD166" s="30"/>
      <c r="BE166" s="29"/>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row>
    <row r="167">
      <c r="A167" s="30"/>
      <c r="B167" s="42"/>
      <c r="C167" s="43"/>
      <c r="D167" s="30"/>
      <c r="E167" s="28"/>
      <c r="F167" s="30"/>
      <c r="G167" s="30"/>
      <c r="H167" s="30"/>
      <c r="I167" s="30"/>
      <c r="J167" s="28"/>
      <c r="K167" s="30"/>
      <c r="L167" s="30"/>
      <c r="M167" s="30"/>
      <c r="N167" s="30"/>
      <c r="O167" s="28"/>
      <c r="P167" s="30"/>
      <c r="Q167" s="30"/>
      <c r="R167" s="30"/>
      <c r="S167" s="36"/>
      <c r="T167" s="30"/>
      <c r="U167" s="36"/>
      <c r="V167" s="30"/>
      <c r="W167" s="28"/>
      <c r="X167" s="30"/>
      <c r="Y167" s="30"/>
      <c r="Z167" s="30"/>
      <c r="AA167" s="30"/>
      <c r="AB167" s="30"/>
      <c r="AC167" s="28"/>
      <c r="AD167" s="30"/>
      <c r="AE167" s="30"/>
      <c r="AF167" s="30"/>
      <c r="AG167" s="29"/>
      <c r="AH167" s="30"/>
      <c r="AI167" s="36"/>
      <c r="AJ167" s="30"/>
      <c r="AK167" s="29"/>
      <c r="AL167" s="30"/>
      <c r="AM167" s="30"/>
      <c r="AN167" s="30"/>
      <c r="AO167" s="30"/>
      <c r="AP167" s="30"/>
      <c r="AQ167" s="38"/>
      <c r="AR167" s="30"/>
      <c r="AS167" s="30"/>
      <c r="AT167" s="29"/>
      <c r="AU167" s="30"/>
      <c r="AV167" s="30"/>
      <c r="AW167" s="30"/>
      <c r="AX167" s="29"/>
      <c r="AY167" s="39"/>
      <c r="AZ167" s="30"/>
      <c r="BA167" s="30"/>
      <c r="BB167" s="29"/>
      <c r="BC167" s="52"/>
      <c r="BD167" s="30"/>
      <c r="BE167" s="29"/>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row>
    <row r="168">
      <c r="A168" s="30"/>
      <c r="B168" s="42"/>
      <c r="C168" s="43"/>
      <c r="D168" s="30"/>
      <c r="E168" s="28"/>
      <c r="F168" s="30"/>
      <c r="G168" s="30"/>
      <c r="H168" s="30"/>
      <c r="I168" s="30"/>
      <c r="J168" s="28"/>
      <c r="K168" s="30"/>
      <c r="L168" s="30"/>
      <c r="M168" s="30"/>
      <c r="N168" s="30"/>
      <c r="O168" s="28"/>
      <c r="P168" s="30"/>
      <c r="Q168" s="30"/>
      <c r="R168" s="30"/>
      <c r="S168" s="36"/>
      <c r="T168" s="30"/>
      <c r="U168" s="36"/>
      <c r="V168" s="30"/>
      <c r="W168" s="28"/>
      <c r="X168" s="30"/>
      <c r="Y168" s="30"/>
      <c r="Z168" s="30"/>
      <c r="AA168" s="30"/>
      <c r="AB168" s="30"/>
      <c r="AC168" s="28"/>
      <c r="AD168" s="30"/>
      <c r="AE168" s="30"/>
      <c r="AF168" s="30"/>
      <c r="AG168" s="29"/>
      <c r="AH168" s="30"/>
      <c r="AI168" s="36"/>
      <c r="AJ168" s="30"/>
      <c r="AK168" s="29"/>
      <c r="AL168" s="30"/>
      <c r="AM168" s="30"/>
      <c r="AN168" s="30"/>
      <c r="AO168" s="30"/>
      <c r="AP168" s="30"/>
      <c r="AQ168" s="38"/>
      <c r="AR168" s="30"/>
      <c r="AS168" s="30"/>
      <c r="AT168" s="29"/>
      <c r="AU168" s="30"/>
      <c r="AV168" s="30"/>
      <c r="AW168" s="30"/>
      <c r="AX168" s="29"/>
      <c r="AY168" s="39"/>
      <c r="AZ168" s="30"/>
      <c r="BA168" s="30"/>
      <c r="BB168" s="29"/>
      <c r="BC168" s="52"/>
      <c r="BD168" s="30"/>
      <c r="BE168" s="29"/>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row>
    <row r="169">
      <c r="A169" s="30"/>
      <c r="B169" s="42"/>
      <c r="C169" s="43"/>
      <c r="D169" s="30"/>
      <c r="E169" s="28"/>
      <c r="F169" s="30"/>
      <c r="G169" s="30"/>
      <c r="H169" s="30"/>
      <c r="I169" s="30"/>
      <c r="J169" s="28"/>
      <c r="K169" s="30"/>
      <c r="L169" s="30"/>
      <c r="M169" s="30"/>
      <c r="N169" s="30"/>
      <c r="O169" s="28"/>
      <c r="P169" s="30"/>
      <c r="Q169" s="30"/>
      <c r="R169" s="30"/>
      <c r="S169" s="36"/>
      <c r="T169" s="30"/>
      <c r="U169" s="36"/>
      <c r="V169" s="30"/>
      <c r="W169" s="28"/>
      <c r="X169" s="30"/>
      <c r="Y169" s="30"/>
      <c r="Z169" s="30"/>
      <c r="AA169" s="30"/>
      <c r="AB169" s="30"/>
      <c r="AC169" s="28"/>
      <c r="AD169" s="30"/>
      <c r="AE169" s="30"/>
      <c r="AF169" s="30"/>
      <c r="AG169" s="29"/>
      <c r="AH169" s="30"/>
      <c r="AI169" s="36"/>
      <c r="AJ169" s="30"/>
      <c r="AK169" s="29"/>
      <c r="AL169" s="30"/>
      <c r="AM169" s="30"/>
      <c r="AN169" s="30"/>
      <c r="AO169" s="30"/>
      <c r="AP169" s="30"/>
      <c r="AQ169" s="38"/>
      <c r="AR169" s="30"/>
      <c r="AS169" s="30"/>
      <c r="AT169" s="29"/>
      <c r="AU169" s="30"/>
      <c r="AV169" s="30"/>
      <c r="AW169" s="30"/>
      <c r="AX169" s="29"/>
      <c r="AY169" s="39"/>
      <c r="AZ169" s="30"/>
      <c r="BA169" s="30"/>
      <c r="BB169" s="29"/>
      <c r="BC169" s="52"/>
      <c r="BD169" s="30"/>
      <c r="BE169" s="29"/>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row>
    <row r="170">
      <c r="A170" s="30"/>
      <c r="B170" s="42"/>
      <c r="C170" s="43"/>
      <c r="D170" s="30"/>
      <c r="E170" s="28"/>
      <c r="F170" s="30"/>
      <c r="G170" s="30"/>
      <c r="H170" s="30"/>
      <c r="I170" s="30"/>
      <c r="J170" s="28"/>
      <c r="K170" s="30"/>
      <c r="L170" s="30"/>
      <c r="M170" s="30"/>
      <c r="N170" s="30"/>
      <c r="O170" s="28"/>
      <c r="P170" s="30"/>
      <c r="Q170" s="30"/>
      <c r="R170" s="30"/>
      <c r="S170" s="36"/>
      <c r="T170" s="30"/>
      <c r="U170" s="36"/>
      <c r="V170" s="30"/>
      <c r="W170" s="28"/>
      <c r="X170" s="30"/>
      <c r="Y170" s="30"/>
      <c r="Z170" s="30"/>
      <c r="AA170" s="30"/>
      <c r="AB170" s="30"/>
      <c r="AC170" s="28"/>
      <c r="AD170" s="30"/>
      <c r="AE170" s="30"/>
      <c r="AF170" s="30"/>
      <c r="AG170" s="29"/>
      <c r="AH170" s="30"/>
      <c r="AI170" s="36"/>
      <c r="AJ170" s="30"/>
      <c r="AK170" s="29"/>
      <c r="AL170" s="30"/>
      <c r="AM170" s="30"/>
      <c r="AN170" s="30"/>
      <c r="AO170" s="30"/>
      <c r="AP170" s="30"/>
      <c r="AQ170" s="38"/>
      <c r="AR170" s="30"/>
      <c r="AS170" s="30"/>
      <c r="AT170" s="29"/>
      <c r="AU170" s="30"/>
      <c r="AV170" s="30"/>
      <c r="AW170" s="30"/>
      <c r="AX170" s="29"/>
      <c r="AY170" s="39"/>
      <c r="AZ170" s="30"/>
      <c r="BA170" s="30"/>
      <c r="BB170" s="29"/>
      <c r="BC170" s="52"/>
      <c r="BD170" s="30"/>
      <c r="BE170" s="29"/>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row>
    <row r="171">
      <c r="A171" s="30"/>
      <c r="B171" s="42"/>
      <c r="C171" s="43"/>
      <c r="D171" s="30"/>
      <c r="E171" s="28"/>
      <c r="F171" s="30"/>
      <c r="G171" s="30"/>
      <c r="H171" s="30"/>
      <c r="I171" s="30"/>
      <c r="J171" s="28"/>
      <c r="K171" s="30"/>
      <c r="L171" s="30"/>
      <c r="M171" s="30"/>
      <c r="N171" s="30"/>
      <c r="O171" s="28"/>
      <c r="P171" s="30"/>
      <c r="Q171" s="30"/>
      <c r="R171" s="30"/>
      <c r="S171" s="36"/>
      <c r="T171" s="30"/>
      <c r="U171" s="36"/>
      <c r="V171" s="30"/>
      <c r="W171" s="28"/>
      <c r="X171" s="30"/>
      <c r="Y171" s="30"/>
      <c r="Z171" s="30"/>
      <c r="AA171" s="30"/>
      <c r="AB171" s="30"/>
      <c r="AC171" s="28"/>
      <c r="AD171" s="30"/>
      <c r="AE171" s="30"/>
      <c r="AF171" s="30"/>
      <c r="AG171" s="29"/>
      <c r="AH171" s="30"/>
      <c r="AI171" s="36"/>
      <c r="AJ171" s="30"/>
      <c r="AK171" s="29"/>
      <c r="AL171" s="30"/>
      <c r="AM171" s="30"/>
      <c r="AN171" s="30"/>
      <c r="AO171" s="30"/>
      <c r="AP171" s="30"/>
      <c r="AQ171" s="38"/>
      <c r="AR171" s="30"/>
      <c r="AS171" s="30"/>
      <c r="AT171" s="29"/>
      <c r="AU171" s="30"/>
      <c r="AV171" s="30"/>
      <c r="AW171" s="30"/>
      <c r="AX171" s="29"/>
      <c r="AY171" s="39"/>
      <c r="AZ171" s="30"/>
      <c r="BA171" s="30"/>
      <c r="BB171" s="29"/>
      <c r="BC171" s="52"/>
      <c r="BD171" s="30"/>
      <c r="BE171" s="29"/>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row>
    <row r="172">
      <c r="A172" s="30"/>
      <c r="B172" s="42"/>
      <c r="C172" s="43"/>
      <c r="D172" s="30"/>
      <c r="E172" s="28"/>
      <c r="F172" s="30"/>
      <c r="G172" s="30"/>
      <c r="H172" s="30"/>
      <c r="I172" s="30"/>
      <c r="J172" s="28"/>
      <c r="K172" s="30"/>
      <c r="L172" s="30"/>
      <c r="M172" s="30"/>
      <c r="N172" s="30"/>
      <c r="O172" s="28"/>
      <c r="P172" s="30"/>
      <c r="Q172" s="30"/>
      <c r="R172" s="30"/>
      <c r="S172" s="36"/>
      <c r="T172" s="30"/>
      <c r="U172" s="36"/>
      <c r="V172" s="30"/>
      <c r="W172" s="28"/>
      <c r="X172" s="30"/>
      <c r="Y172" s="30"/>
      <c r="Z172" s="30"/>
      <c r="AA172" s="30"/>
      <c r="AB172" s="30"/>
      <c r="AC172" s="28"/>
      <c r="AD172" s="30"/>
      <c r="AE172" s="30"/>
      <c r="AF172" s="30"/>
      <c r="AG172" s="29"/>
      <c r="AH172" s="30"/>
      <c r="AI172" s="36"/>
      <c r="AJ172" s="30"/>
      <c r="AK172" s="29"/>
      <c r="AL172" s="30"/>
      <c r="AM172" s="30"/>
      <c r="AN172" s="30"/>
      <c r="AO172" s="30"/>
      <c r="AP172" s="30"/>
      <c r="AQ172" s="38"/>
      <c r="AR172" s="30"/>
      <c r="AS172" s="30"/>
      <c r="AT172" s="29"/>
      <c r="AU172" s="30"/>
      <c r="AV172" s="30"/>
      <c r="AW172" s="30"/>
      <c r="AX172" s="29"/>
      <c r="AY172" s="39"/>
      <c r="AZ172" s="30"/>
      <c r="BA172" s="30"/>
      <c r="BB172" s="29"/>
      <c r="BC172" s="52"/>
      <c r="BD172" s="30"/>
      <c r="BE172" s="29"/>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row>
    <row r="173">
      <c r="A173" s="30"/>
      <c r="B173" s="42"/>
      <c r="C173" s="43"/>
      <c r="D173" s="30"/>
      <c r="E173" s="28"/>
      <c r="F173" s="30"/>
      <c r="G173" s="30"/>
      <c r="H173" s="30"/>
      <c r="I173" s="30"/>
      <c r="J173" s="28"/>
      <c r="K173" s="30"/>
      <c r="L173" s="30"/>
      <c r="M173" s="30"/>
      <c r="N173" s="30"/>
      <c r="O173" s="28"/>
      <c r="P173" s="30"/>
      <c r="Q173" s="30"/>
      <c r="R173" s="30"/>
      <c r="S173" s="36"/>
      <c r="T173" s="30"/>
      <c r="U173" s="36"/>
      <c r="V173" s="30"/>
      <c r="W173" s="28"/>
      <c r="X173" s="30"/>
      <c r="Y173" s="30"/>
      <c r="Z173" s="30"/>
      <c r="AA173" s="30"/>
      <c r="AB173" s="30"/>
      <c r="AC173" s="28"/>
      <c r="AD173" s="30"/>
      <c r="AE173" s="30"/>
      <c r="AF173" s="30"/>
      <c r="AG173" s="29"/>
      <c r="AH173" s="30"/>
      <c r="AI173" s="36"/>
      <c r="AJ173" s="30"/>
      <c r="AK173" s="29"/>
      <c r="AL173" s="30"/>
      <c r="AM173" s="30"/>
      <c r="AN173" s="30"/>
      <c r="AO173" s="30"/>
      <c r="AP173" s="30"/>
      <c r="AQ173" s="38"/>
      <c r="AR173" s="30"/>
      <c r="AS173" s="30"/>
      <c r="AT173" s="29"/>
      <c r="AU173" s="30"/>
      <c r="AV173" s="30"/>
      <c r="AW173" s="30"/>
      <c r="AX173" s="29"/>
      <c r="AY173" s="39"/>
      <c r="AZ173" s="30"/>
      <c r="BA173" s="30"/>
      <c r="BB173" s="29"/>
      <c r="BC173" s="52"/>
      <c r="BD173" s="30"/>
      <c r="BE173" s="29"/>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row>
    <row r="174">
      <c r="A174" s="30"/>
      <c r="B174" s="42"/>
      <c r="C174" s="43"/>
      <c r="D174" s="30"/>
      <c r="E174" s="28"/>
      <c r="F174" s="30"/>
      <c r="G174" s="30"/>
      <c r="H174" s="30"/>
      <c r="I174" s="30"/>
      <c r="J174" s="28"/>
      <c r="K174" s="30"/>
      <c r="L174" s="30"/>
      <c r="M174" s="30"/>
      <c r="N174" s="30"/>
      <c r="O174" s="28"/>
      <c r="P174" s="30"/>
      <c r="Q174" s="30"/>
      <c r="R174" s="30"/>
      <c r="S174" s="36"/>
      <c r="T174" s="30"/>
      <c r="U174" s="36"/>
      <c r="V174" s="30"/>
      <c r="W174" s="28"/>
      <c r="X174" s="30"/>
      <c r="Y174" s="30"/>
      <c r="Z174" s="30"/>
      <c r="AA174" s="30"/>
      <c r="AB174" s="30"/>
      <c r="AC174" s="28"/>
      <c r="AD174" s="30"/>
      <c r="AE174" s="30"/>
      <c r="AF174" s="30"/>
      <c r="AG174" s="29"/>
      <c r="AH174" s="30"/>
      <c r="AI174" s="36"/>
      <c r="AJ174" s="30"/>
      <c r="AK174" s="29"/>
      <c r="AL174" s="30"/>
      <c r="AM174" s="30"/>
      <c r="AN174" s="30"/>
      <c r="AO174" s="30"/>
      <c r="AP174" s="30"/>
      <c r="AQ174" s="38"/>
      <c r="AR174" s="30"/>
      <c r="AS174" s="30"/>
      <c r="AT174" s="29"/>
      <c r="AU174" s="30"/>
      <c r="AV174" s="30"/>
      <c r="AW174" s="30"/>
      <c r="AX174" s="29"/>
      <c r="AY174" s="39"/>
      <c r="AZ174" s="30"/>
      <c r="BA174" s="30"/>
      <c r="BB174" s="29"/>
      <c r="BC174" s="52"/>
      <c r="BD174" s="30"/>
      <c r="BE174" s="29"/>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row>
    <row r="175">
      <c r="A175" s="30"/>
      <c r="B175" s="42"/>
      <c r="C175" s="43"/>
      <c r="D175" s="30"/>
      <c r="E175" s="28"/>
      <c r="F175" s="30"/>
      <c r="G175" s="30"/>
      <c r="H175" s="30"/>
      <c r="I175" s="30"/>
      <c r="J175" s="28"/>
      <c r="K175" s="30"/>
      <c r="L175" s="30"/>
      <c r="M175" s="30"/>
      <c r="N175" s="30"/>
      <c r="O175" s="28"/>
      <c r="P175" s="30"/>
      <c r="Q175" s="30"/>
      <c r="R175" s="30"/>
      <c r="S175" s="36"/>
      <c r="T175" s="30"/>
      <c r="U175" s="36"/>
      <c r="V175" s="30"/>
      <c r="W175" s="28"/>
      <c r="X175" s="30"/>
      <c r="Y175" s="30"/>
      <c r="Z175" s="30"/>
      <c r="AA175" s="30"/>
      <c r="AB175" s="30"/>
      <c r="AC175" s="28"/>
      <c r="AD175" s="30"/>
      <c r="AE175" s="30"/>
      <c r="AF175" s="30"/>
      <c r="AG175" s="29"/>
      <c r="AH175" s="30"/>
      <c r="AI175" s="36"/>
      <c r="AJ175" s="30"/>
      <c r="AK175" s="29"/>
      <c r="AL175" s="30"/>
      <c r="AM175" s="30"/>
      <c r="AN175" s="30"/>
      <c r="AO175" s="30"/>
      <c r="AP175" s="30"/>
      <c r="AQ175" s="38"/>
      <c r="AR175" s="30"/>
      <c r="AS175" s="30"/>
      <c r="AT175" s="29"/>
      <c r="AU175" s="30"/>
      <c r="AV175" s="30"/>
      <c r="AW175" s="30"/>
      <c r="AX175" s="29"/>
      <c r="AY175" s="39"/>
      <c r="AZ175" s="30"/>
      <c r="BA175" s="30"/>
      <c r="BB175" s="29"/>
      <c r="BC175" s="52"/>
      <c r="BD175" s="30"/>
      <c r="BE175" s="29"/>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row>
    <row r="176">
      <c r="A176" s="30"/>
      <c r="B176" s="42"/>
      <c r="C176" s="43"/>
      <c r="D176" s="30"/>
      <c r="E176" s="28"/>
      <c r="F176" s="30"/>
      <c r="G176" s="30"/>
      <c r="H176" s="30"/>
      <c r="I176" s="30"/>
      <c r="J176" s="28"/>
      <c r="K176" s="30"/>
      <c r="L176" s="30"/>
      <c r="M176" s="30"/>
      <c r="N176" s="30"/>
      <c r="O176" s="28"/>
      <c r="P176" s="30"/>
      <c r="Q176" s="30"/>
      <c r="R176" s="30"/>
      <c r="S176" s="36"/>
      <c r="T176" s="30"/>
      <c r="U176" s="36"/>
      <c r="V176" s="30"/>
      <c r="W176" s="28"/>
      <c r="X176" s="30"/>
      <c r="Y176" s="30"/>
      <c r="Z176" s="30"/>
      <c r="AA176" s="30"/>
      <c r="AB176" s="30"/>
      <c r="AC176" s="28"/>
      <c r="AD176" s="30"/>
      <c r="AE176" s="30"/>
      <c r="AF176" s="30"/>
      <c r="AG176" s="29"/>
      <c r="AH176" s="30"/>
      <c r="AI176" s="36"/>
      <c r="AJ176" s="30"/>
      <c r="AK176" s="29"/>
      <c r="AL176" s="30"/>
      <c r="AM176" s="30"/>
      <c r="AN176" s="30"/>
      <c r="AO176" s="30"/>
      <c r="AP176" s="30"/>
      <c r="AQ176" s="38"/>
      <c r="AR176" s="30"/>
      <c r="AS176" s="30"/>
      <c r="AT176" s="29"/>
      <c r="AU176" s="30"/>
      <c r="AV176" s="30"/>
      <c r="AW176" s="30"/>
      <c r="AX176" s="29"/>
      <c r="AY176" s="39"/>
      <c r="AZ176" s="30"/>
      <c r="BA176" s="30"/>
      <c r="BB176" s="29"/>
      <c r="BC176" s="52"/>
      <c r="BD176" s="30"/>
      <c r="BE176" s="29"/>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row>
    <row r="177">
      <c r="A177" s="30"/>
      <c r="B177" s="42"/>
      <c r="C177" s="43"/>
      <c r="D177" s="30"/>
      <c r="E177" s="28"/>
      <c r="F177" s="30"/>
      <c r="G177" s="30"/>
      <c r="H177" s="30"/>
      <c r="I177" s="30"/>
      <c r="J177" s="28"/>
      <c r="K177" s="30"/>
      <c r="L177" s="30"/>
      <c r="M177" s="30"/>
      <c r="N177" s="30"/>
      <c r="O177" s="28"/>
      <c r="P177" s="30"/>
      <c r="Q177" s="30"/>
      <c r="R177" s="30"/>
      <c r="S177" s="36"/>
      <c r="T177" s="30"/>
      <c r="U177" s="36"/>
      <c r="V177" s="30"/>
      <c r="W177" s="28"/>
      <c r="X177" s="30"/>
      <c r="Y177" s="30"/>
      <c r="Z177" s="30"/>
      <c r="AA177" s="30"/>
      <c r="AB177" s="30"/>
      <c r="AC177" s="28"/>
      <c r="AD177" s="30"/>
      <c r="AE177" s="30"/>
      <c r="AF177" s="30"/>
      <c r="AG177" s="29"/>
      <c r="AH177" s="30"/>
      <c r="AI177" s="36"/>
      <c r="AJ177" s="30"/>
      <c r="AK177" s="29"/>
      <c r="AL177" s="30"/>
      <c r="AM177" s="30"/>
      <c r="AN177" s="30"/>
      <c r="AO177" s="30"/>
      <c r="AP177" s="30"/>
      <c r="AQ177" s="38"/>
      <c r="AR177" s="30"/>
      <c r="AS177" s="30"/>
      <c r="AT177" s="29"/>
      <c r="AU177" s="30"/>
      <c r="AV177" s="30"/>
      <c r="AW177" s="30"/>
      <c r="AX177" s="29"/>
      <c r="AY177" s="39"/>
      <c r="AZ177" s="30"/>
      <c r="BA177" s="30"/>
      <c r="BB177" s="29"/>
      <c r="BC177" s="52"/>
      <c r="BD177" s="30"/>
      <c r="BE177" s="29"/>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row>
    <row r="178">
      <c r="A178" s="30"/>
      <c r="B178" s="42"/>
      <c r="C178" s="43"/>
      <c r="D178" s="30"/>
      <c r="E178" s="28"/>
      <c r="F178" s="30"/>
      <c r="G178" s="30"/>
      <c r="H178" s="30"/>
      <c r="I178" s="30"/>
      <c r="J178" s="28"/>
      <c r="K178" s="30"/>
      <c r="L178" s="30"/>
      <c r="M178" s="30"/>
      <c r="N178" s="30"/>
      <c r="O178" s="28"/>
      <c r="P178" s="30"/>
      <c r="Q178" s="30"/>
      <c r="R178" s="30"/>
      <c r="S178" s="36"/>
      <c r="T178" s="30"/>
      <c r="U178" s="36"/>
      <c r="V178" s="30"/>
      <c r="W178" s="28"/>
      <c r="X178" s="30"/>
      <c r="Y178" s="30"/>
      <c r="Z178" s="30"/>
      <c r="AA178" s="30"/>
      <c r="AB178" s="30"/>
      <c r="AC178" s="28"/>
      <c r="AD178" s="30"/>
      <c r="AE178" s="30"/>
      <c r="AF178" s="30"/>
      <c r="AG178" s="29"/>
      <c r="AH178" s="30"/>
      <c r="AI178" s="36"/>
      <c r="AJ178" s="30"/>
      <c r="AK178" s="29"/>
      <c r="AL178" s="30"/>
      <c r="AM178" s="30"/>
      <c r="AN178" s="30"/>
      <c r="AO178" s="30"/>
      <c r="AP178" s="30"/>
      <c r="AQ178" s="38"/>
      <c r="AR178" s="30"/>
      <c r="AS178" s="30"/>
      <c r="AT178" s="29"/>
      <c r="AU178" s="30"/>
      <c r="AV178" s="30"/>
      <c r="AW178" s="30"/>
      <c r="AX178" s="29"/>
      <c r="AY178" s="39"/>
      <c r="AZ178" s="30"/>
      <c r="BA178" s="30"/>
      <c r="BB178" s="29"/>
      <c r="BC178" s="52"/>
      <c r="BD178" s="30"/>
      <c r="BE178" s="29"/>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row>
    <row r="179">
      <c r="A179" s="30"/>
      <c r="B179" s="42"/>
      <c r="C179" s="43"/>
      <c r="D179" s="30"/>
      <c r="E179" s="28"/>
      <c r="F179" s="30"/>
      <c r="G179" s="30"/>
      <c r="H179" s="30"/>
      <c r="I179" s="30"/>
      <c r="J179" s="28"/>
      <c r="K179" s="30"/>
      <c r="L179" s="30"/>
      <c r="M179" s="30"/>
      <c r="N179" s="30"/>
      <c r="O179" s="28"/>
      <c r="P179" s="30"/>
      <c r="Q179" s="30"/>
      <c r="R179" s="30"/>
      <c r="S179" s="36"/>
      <c r="T179" s="30"/>
      <c r="U179" s="36"/>
      <c r="V179" s="30"/>
      <c r="W179" s="28"/>
      <c r="X179" s="30"/>
      <c r="Y179" s="30"/>
      <c r="Z179" s="30"/>
      <c r="AA179" s="30"/>
      <c r="AB179" s="30"/>
      <c r="AC179" s="28"/>
      <c r="AD179" s="30"/>
      <c r="AE179" s="30"/>
      <c r="AF179" s="30"/>
      <c r="AG179" s="29"/>
      <c r="AH179" s="30"/>
      <c r="AI179" s="36"/>
      <c r="AJ179" s="30"/>
      <c r="AK179" s="29"/>
      <c r="AL179" s="30"/>
      <c r="AM179" s="30"/>
      <c r="AN179" s="30"/>
      <c r="AO179" s="30"/>
      <c r="AP179" s="30"/>
      <c r="AQ179" s="38"/>
      <c r="AR179" s="30"/>
      <c r="AS179" s="30"/>
      <c r="AT179" s="29"/>
      <c r="AU179" s="30"/>
      <c r="AV179" s="30"/>
      <c r="AW179" s="30"/>
      <c r="AX179" s="29"/>
      <c r="AY179" s="39"/>
      <c r="AZ179" s="30"/>
      <c r="BA179" s="30"/>
      <c r="BB179" s="29"/>
      <c r="BC179" s="52"/>
      <c r="BD179" s="30"/>
      <c r="BE179" s="29"/>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row>
    <row r="180">
      <c r="A180" s="30"/>
      <c r="B180" s="42"/>
      <c r="C180" s="43"/>
      <c r="D180" s="30"/>
      <c r="E180" s="28"/>
      <c r="F180" s="30"/>
      <c r="G180" s="30"/>
      <c r="H180" s="30"/>
      <c r="I180" s="30"/>
      <c r="J180" s="28"/>
      <c r="K180" s="30"/>
      <c r="L180" s="30"/>
      <c r="M180" s="30"/>
      <c r="N180" s="30"/>
      <c r="O180" s="28"/>
      <c r="P180" s="30"/>
      <c r="Q180" s="30"/>
      <c r="R180" s="30"/>
      <c r="S180" s="36"/>
      <c r="T180" s="30"/>
      <c r="U180" s="36"/>
      <c r="V180" s="30"/>
      <c r="W180" s="28"/>
      <c r="X180" s="30"/>
      <c r="Y180" s="30"/>
      <c r="Z180" s="30"/>
      <c r="AA180" s="30"/>
      <c r="AB180" s="30"/>
      <c r="AC180" s="28"/>
      <c r="AD180" s="30"/>
      <c r="AE180" s="30"/>
      <c r="AF180" s="30"/>
      <c r="AG180" s="29"/>
      <c r="AH180" s="30"/>
      <c r="AI180" s="36"/>
      <c r="AJ180" s="30"/>
      <c r="AK180" s="29"/>
      <c r="AL180" s="30"/>
      <c r="AM180" s="30"/>
      <c r="AN180" s="30"/>
      <c r="AO180" s="30"/>
      <c r="AP180" s="30"/>
      <c r="AQ180" s="38"/>
      <c r="AR180" s="30"/>
      <c r="AS180" s="30"/>
      <c r="AT180" s="29"/>
      <c r="AU180" s="30"/>
      <c r="AV180" s="30"/>
      <c r="AW180" s="30"/>
      <c r="AX180" s="29"/>
      <c r="AY180" s="39"/>
      <c r="AZ180" s="30"/>
      <c r="BA180" s="30"/>
      <c r="BB180" s="29"/>
      <c r="BC180" s="52"/>
      <c r="BD180" s="30"/>
      <c r="BE180" s="29"/>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row>
    <row r="181">
      <c r="A181" s="30"/>
      <c r="B181" s="42"/>
      <c r="C181" s="43"/>
      <c r="D181" s="30"/>
      <c r="E181" s="28"/>
      <c r="F181" s="30"/>
      <c r="G181" s="30"/>
      <c r="H181" s="30"/>
      <c r="I181" s="30"/>
      <c r="J181" s="28"/>
      <c r="K181" s="30"/>
      <c r="L181" s="30"/>
      <c r="M181" s="30"/>
      <c r="N181" s="30"/>
      <c r="O181" s="28"/>
      <c r="P181" s="30"/>
      <c r="Q181" s="30"/>
      <c r="R181" s="30"/>
      <c r="S181" s="36"/>
      <c r="T181" s="30"/>
      <c r="U181" s="36"/>
      <c r="V181" s="30"/>
      <c r="W181" s="28"/>
      <c r="X181" s="30"/>
      <c r="Y181" s="30"/>
      <c r="Z181" s="30"/>
      <c r="AA181" s="30"/>
      <c r="AB181" s="30"/>
      <c r="AC181" s="28"/>
      <c r="AD181" s="30"/>
      <c r="AE181" s="30"/>
      <c r="AF181" s="30"/>
      <c r="AG181" s="29"/>
      <c r="AH181" s="30"/>
      <c r="AI181" s="36"/>
      <c r="AJ181" s="30"/>
      <c r="AK181" s="29"/>
      <c r="AL181" s="30"/>
      <c r="AM181" s="30"/>
      <c r="AN181" s="30"/>
      <c r="AO181" s="30"/>
      <c r="AP181" s="30"/>
      <c r="AQ181" s="38"/>
      <c r="AR181" s="30"/>
      <c r="AS181" s="30"/>
      <c r="AT181" s="29"/>
      <c r="AU181" s="30"/>
      <c r="AV181" s="30"/>
      <c r="AW181" s="30"/>
      <c r="AX181" s="29"/>
      <c r="AY181" s="39"/>
      <c r="AZ181" s="30"/>
      <c r="BA181" s="30"/>
      <c r="BB181" s="29"/>
      <c r="BC181" s="52"/>
      <c r="BD181" s="30"/>
      <c r="BE181" s="29"/>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row>
    <row r="182">
      <c r="A182" s="30"/>
      <c r="B182" s="42"/>
      <c r="C182" s="43"/>
      <c r="D182" s="30"/>
      <c r="E182" s="28"/>
      <c r="F182" s="30"/>
      <c r="G182" s="30"/>
      <c r="H182" s="30"/>
      <c r="I182" s="30"/>
      <c r="J182" s="28"/>
      <c r="K182" s="30"/>
      <c r="L182" s="30"/>
      <c r="M182" s="30"/>
      <c r="N182" s="30"/>
      <c r="O182" s="28"/>
      <c r="P182" s="30"/>
      <c r="Q182" s="30"/>
      <c r="R182" s="30"/>
      <c r="S182" s="36"/>
      <c r="T182" s="30"/>
      <c r="U182" s="36"/>
      <c r="V182" s="30"/>
      <c r="W182" s="28"/>
      <c r="X182" s="30"/>
      <c r="Y182" s="30"/>
      <c r="Z182" s="30"/>
      <c r="AA182" s="30"/>
      <c r="AB182" s="30"/>
      <c r="AC182" s="28"/>
      <c r="AD182" s="30"/>
      <c r="AE182" s="30"/>
      <c r="AF182" s="30"/>
      <c r="AG182" s="29"/>
      <c r="AH182" s="30"/>
      <c r="AI182" s="36"/>
      <c r="AJ182" s="30"/>
      <c r="AK182" s="29"/>
      <c r="AL182" s="30"/>
      <c r="AM182" s="30"/>
      <c r="AN182" s="30"/>
      <c r="AO182" s="30"/>
      <c r="AP182" s="30"/>
      <c r="AQ182" s="38"/>
      <c r="AR182" s="30"/>
      <c r="AS182" s="30"/>
      <c r="AT182" s="29"/>
      <c r="AU182" s="30"/>
      <c r="AV182" s="30"/>
      <c r="AW182" s="30"/>
      <c r="AX182" s="29"/>
      <c r="AY182" s="39"/>
      <c r="AZ182" s="30"/>
      <c r="BA182" s="30"/>
      <c r="BB182" s="29"/>
      <c r="BC182" s="52"/>
      <c r="BD182" s="30"/>
      <c r="BE182" s="29"/>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row>
    <row r="183">
      <c r="A183" s="30"/>
      <c r="B183" s="42"/>
      <c r="C183" s="43"/>
      <c r="D183" s="30"/>
      <c r="E183" s="28"/>
      <c r="F183" s="30"/>
      <c r="G183" s="30"/>
      <c r="H183" s="30"/>
      <c r="I183" s="30"/>
      <c r="J183" s="28"/>
      <c r="K183" s="30"/>
      <c r="L183" s="30"/>
      <c r="M183" s="30"/>
      <c r="N183" s="30"/>
      <c r="O183" s="28"/>
      <c r="P183" s="30"/>
      <c r="Q183" s="30"/>
      <c r="R183" s="30"/>
      <c r="S183" s="36"/>
      <c r="T183" s="30"/>
      <c r="U183" s="36"/>
      <c r="V183" s="30"/>
      <c r="W183" s="28"/>
      <c r="X183" s="30"/>
      <c r="Y183" s="30"/>
      <c r="Z183" s="30"/>
      <c r="AA183" s="30"/>
      <c r="AB183" s="30"/>
      <c r="AC183" s="28"/>
      <c r="AD183" s="30"/>
      <c r="AE183" s="30"/>
      <c r="AF183" s="30"/>
      <c r="AG183" s="29"/>
      <c r="AH183" s="30"/>
      <c r="AI183" s="36"/>
      <c r="AJ183" s="30"/>
      <c r="AK183" s="29"/>
      <c r="AL183" s="30"/>
      <c r="AM183" s="30"/>
      <c r="AN183" s="30"/>
      <c r="AO183" s="30"/>
      <c r="AP183" s="30"/>
      <c r="AQ183" s="38"/>
      <c r="AR183" s="30"/>
      <c r="AS183" s="30"/>
      <c r="AT183" s="29"/>
      <c r="AU183" s="30"/>
      <c r="AV183" s="30"/>
      <c r="AW183" s="30"/>
      <c r="AX183" s="29"/>
      <c r="AY183" s="39"/>
      <c r="AZ183" s="30"/>
      <c r="BA183" s="30"/>
      <c r="BB183" s="29"/>
      <c r="BC183" s="52"/>
      <c r="BD183" s="30"/>
      <c r="BE183" s="29"/>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row>
    <row r="184">
      <c r="A184" s="30"/>
      <c r="B184" s="42"/>
      <c r="C184" s="43"/>
      <c r="D184" s="30"/>
      <c r="E184" s="28"/>
      <c r="F184" s="30"/>
      <c r="G184" s="30"/>
      <c r="H184" s="30"/>
      <c r="I184" s="30"/>
      <c r="J184" s="28"/>
      <c r="K184" s="30"/>
      <c r="L184" s="30"/>
      <c r="M184" s="30"/>
      <c r="N184" s="30"/>
      <c r="O184" s="28"/>
      <c r="P184" s="30"/>
      <c r="Q184" s="30"/>
      <c r="R184" s="30"/>
      <c r="S184" s="36"/>
      <c r="T184" s="30"/>
      <c r="U184" s="36"/>
      <c r="V184" s="30"/>
      <c r="W184" s="28"/>
      <c r="X184" s="30"/>
      <c r="Y184" s="30"/>
      <c r="Z184" s="30"/>
      <c r="AA184" s="30"/>
      <c r="AB184" s="30"/>
      <c r="AC184" s="28"/>
      <c r="AD184" s="30"/>
      <c r="AE184" s="30"/>
      <c r="AF184" s="30"/>
      <c r="AG184" s="29"/>
      <c r="AH184" s="30"/>
      <c r="AI184" s="36"/>
      <c r="AJ184" s="30"/>
      <c r="AK184" s="29"/>
      <c r="AL184" s="30"/>
      <c r="AM184" s="30"/>
      <c r="AN184" s="30"/>
      <c r="AO184" s="30"/>
      <c r="AP184" s="30"/>
      <c r="AQ184" s="38"/>
      <c r="AR184" s="30"/>
      <c r="AS184" s="30"/>
      <c r="AT184" s="29"/>
      <c r="AU184" s="30"/>
      <c r="AV184" s="30"/>
      <c r="AW184" s="30"/>
      <c r="AX184" s="29"/>
      <c r="AY184" s="39"/>
      <c r="AZ184" s="30"/>
      <c r="BA184" s="30"/>
      <c r="BB184" s="29"/>
      <c r="BC184" s="52"/>
      <c r="BD184" s="30"/>
      <c r="BE184" s="29"/>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row>
    <row r="185">
      <c r="A185" s="30"/>
      <c r="B185" s="42"/>
      <c r="C185" s="43"/>
      <c r="D185" s="30"/>
      <c r="E185" s="28"/>
      <c r="F185" s="30"/>
      <c r="G185" s="30"/>
      <c r="H185" s="30"/>
      <c r="I185" s="30"/>
      <c r="J185" s="28"/>
      <c r="K185" s="30"/>
      <c r="L185" s="30"/>
      <c r="M185" s="30"/>
      <c r="N185" s="30"/>
      <c r="O185" s="28"/>
      <c r="P185" s="30"/>
      <c r="Q185" s="30"/>
      <c r="R185" s="30"/>
      <c r="S185" s="36"/>
      <c r="T185" s="30"/>
      <c r="U185" s="36"/>
      <c r="V185" s="30"/>
      <c r="W185" s="28"/>
      <c r="X185" s="30"/>
      <c r="Y185" s="30"/>
      <c r="Z185" s="30"/>
      <c r="AA185" s="30"/>
      <c r="AB185" s="30"/>
      <c r="AC185" s="28"/>
      <c r="AD185" s="30"/>
      <c r="AE185" s="30"/>
      <c r="AF185" s="30"/>
      <c r="AG185" s="29"/>
      <c r="AH185" s="30"/>
      <c r="AI185" s="36"/>
      <c r="AJ185" s="30"/>
      <c r="AK185" s="29"/>
      <c r="AL185" s="30"/>
      <c r="AM185" s="30"/>
      <c r="AN185" s="30"/>
      <c r="AO185" s="30"/>
      <c r="AP185" s="30"/>
      <c r="AQ185" s="38"/>
      <c r="AR185" s="30"/>
      <c r="AS185" s="30"/>
      <c r="AT185" s="29"/>
      <c r="AU185" s="30"/>
      <c r="AV185" s="30"/>
      <c r="AW185" s="30"/>
      <c r="AX185" s="29"/>
      <c r="AY185" s="39"/>
      <c r="AZ185" s="30"/>
      <c r="BA185" s="30"/>
      <c r="BB185" s="29"/>
      <c r="BC185" s="52"/>
      <c r="BD185" s="30"/>
      <c r="BE185" s="29"/>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row>
    <row r="186">
      <c r="A186" s="30"/>
      <c r="B186" s="42"/>
      <c r="C186" s="43"/>
      <c r="D186" s="30"/>
      <c r="E186" s="28"/>
      <c r="F186" s="30"/>
      <c r="G186" s="30"/>
      <c r="H186" s="30"/>
      <c r="I186" s="30"/>
      <c r="J186" s="28"/>
      <c r="K186" s="30"/>
      <c r="L186" s="30"/>
      <c r="M186" s="30"/>
      <c r="N186" s="30"/>
      <c r="O186" s="28"/>
      <c r="P186" s="30"/>
      <c r="Q186" s="30"/>
      <c r="R186" s="30"/>
      <c r="S186" s="36"/>
      <c r="T186" s="30"/>
      <c r="U186" s="36"/>
      <c r="V186" s="30"/>
      <c r="W186" s="28"/>
      <c r="X186" s="30"/>
      <c r="Y186" s="30"/>
      <c r="Z186" s="30"/>
      <c r="AA186" s="30"/>
      <c r="AB186" s="30"/>
      <c r="AC186" s="28"/>
      <c r="AD186" s="30"/>
      <c r="AE186" s="30"/>
      <c r="AF186" s="30"/>
      <c r="AG186" s="29"/>
      <c r="AH186" s="30"/>
      <c r="AI186" s="36"/>
      <c r="AJ186" s="30"/>
      <c r="AK186" s="29"/>
      <c r="AL186" s="30"/>
      <c r="AM186" s="30"/>
      <c r="AN186" s="30"/>
      <c r="AO186" s="30"/>
      <c r="AP186" s="30"/>
      <c r="AQ186" s="38"/>
      <c r="AR186" s="30"/>
      <c r="AS186" s="30"/>
      <c r="AT186" s="29"/>
      <c r="AU186" s="30"/>
      <c r="AV186" s="30"/>
      <c r="AW186" s="30"/>
      <c r="AX186" s="29"/>
      <c r="AY186" s="39"/>
      <c r="AZ186" s="30"/>
      <c r="BA186" s="30"/>
      <c r="BB186" s="29"/>
      <c r="BC186" s="52"/>
      <c r="BD186" s="30"/>
      <c r="BE186" s="29"/>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row>
    <row r="187">
      <c r="A187" s="30"/>
      <c r="B187" s="42"/>
      <c r="C187" s="43"/>
      <c r="D187" s="30"/>
      <c r="E187" s="28"/>
      <c r="F187" s="30"/>
      <c r="G187" s="30"/>
      <c r="H187" s="30"/>
      <c r="I187" s="30"/>
      <c r="J187" s="28"/>
      <c r="K187" s="30"/>
      <c r="L187" s="30"/>
      <c r="M187" s="30"/>
      <c r="N187" s="30"/>
      <c r="O187" s="28"/>
      <c r="P187" s="30"/>
      <c r="Q187" s="30"/>
      <c r="R187" s="30"/>
      <c r="S187" s="36"/>
      <c r="T187" s="30"/>
      <c r="U187" s="36"/>
      <c r="V187" s="30"/>
      <c r="W187" s="28"/>
      <c r="X187" s="30"/>
      <c r="Y187" s="30"/>
      <c r="Z187" s="30"/>
      <c r="AA187" s="30"/>
      <c r="AB187" s="30"/>
      <c r="AC187" s="28"/>
      <c r="AD187" s="30"/>
      <c r="AE187" s="30"/>
      <c r="AF187" s="30"/>
      <c r="AG187" s="29"/>
      <c r="AH187" s="30"/>
      <c r="AI187" s="36"/>
      <c r="AJ187" s="30"/>
      <c r="AK187" s="29"/>
      <c r="AL187" s="30"/>
      <c r="AM187" s="30"/>
      <c r="AN187" s="30"/>
      <c r="AO187" s="30"/>
      <c r="AP187" s="30"/>
      <c r="AQ187" s="38"/>
      <c r="AR187" s="30"/>
      <c r="AS187" s="30"/>
      <c r="AT187" s="29"/>
      <c r="AU187" s="30"/>
      <c r="AV187" s="30"/>
      <c r="AW187" s="30"/>
      <c r="AX187" s="29"/>
      <c r="AY187" s="39"/>
      <c r="AZ187" s="30"/>
      <c r="BA187" s="30"/>
      <c r="BB187" s="29"/>
      <c r="BC187" s="52"/>
      <c r="BD187" s="30"/>
      <c r="BE187" s="29"/>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row>
    <row r="188">
      <c r="A188" s="30"/>
      <c r="B188" s="42"/>
      <c r="C188" s="43"/>
      <c r="D188" s="30"/>
      <c r="E188" s="28"/>
      <c r="F188" s="30"/>
      <c r="G188" s="30"/>
      <c r="H188" s="30"/>
      <c r="I188" s="30"/>
      <c r="J188" s="28"/>
      <c r="K188" s="30"/>
      <c r="L188" s="30"/>
      <c r="M188" s="30"/>
      <c r="N188" s="30"/>
      <c r="O188" s="28"/>
      <c r="P188" s="30"/>
      <c r="Q188" s="30"/>
      <c r="R188" s="30"/>
      <c r="S188" s="36"/>
      <c r="T188" s="30"/>
      <c r="U188" s="36"/>
      <c r="V188" s="30"/>
      <c r="W188" s="28"/>
      <c r="X188" s="30"/>
      <c r="Y188" s="30"/>
      <c r="Z188" s="30"/>
      <c r="AA188" s="30"/>
      <c r="AB188" s="30"/>
      <c r="AC188" s="28"/>
      <c r="AD188" s="30"/>
      <c r="AE188" s="30"/>
      <c r="AF188" s="30"/>
      <c r="AG188" s="29"/>
      <c r="AH188" s="30"/>
      <c r="AI188" s="36"/>
      <c r="AJ188" s="30"/>
      <c r="AK188" s="29"/>
      <c r="AL188" s="30"/>
      <c r="AM188" s="30"/>
      <c r="AN188" s="30"/>
      <c r="AO188" s="30"/>
      <c r="AP188" s="30"/>
      <c r="AQ188" s="38"/>
      <c r="AR188" s="30"/>
      <c r="AS188" s="30"/>
      <c r="AT188" s="29"/>
      <c r="AU188" s="30"/>
      <c r="AV188" s="30"/>
      <c r="AW188" s="30"/>
      <c r="AX188" s="29"/>
      <c r="AY188" s="39"/>
      <c r="AZ188" s="30"/>
      <c r="BA188" s="30"/>
      <c r="BB188" s="29"/>
      <c r="BC188" s="52"/>
      <c r="BD188" s="30"/>
      <c r="BE188" s="29"/>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row>
    <row r="189">
      <c r="A189" s="30"/>
      <c r="B189" s="42"/>
      <c r="C189" s="43"/>
      <c r="D189" s="30"/>
      <c r="E189" s="28"/>
      <c r="F189" s="30"/>
      <c r="G189" s="30"/>
      <c r="H189" s="30"/>
      <c r="I189" s="30"/>
      <c r="J189" s="28"/>
      <c r="K189" s="30"/>
      <c r="L189" s="30"/>
      <c r="M189" s="30"/>
      <c r="N189" s="30"/>
      <c r="O189" s="28"/>
      <c r="P189" s="30"/>
      <c r="Q189" s="30"/>
      <c r="R189" s="30"/>
      <c r="S189" s="36"/>
      <c r="T189" s="30"/>
      <c r="U189" s="36"/>
      <c r="V189" s="30"/>
      <c r="W189" s="28"/>
      <c r="X189" s="30"/>
      <c r="Y189" s="30"/>
      <c r="Z189" s="30"/>
      <c r="AA189" s="30"/>
      <c r="AB189" s="30"/>
      <c r="AC189" s="28"/>
      <c r="AD189" s="30"/>
      <c r="AE189" s="30"/>
      <c r="AF189" s="30"/>
      <c r="AG189" s="29"/>
      <c r="AH189" s="30"/>
      <c r="AI189" s="36"/>
      <c r="AJ189" s="30"/>
      <c r="AK189" s="29"/>
      <c r="AL189" s="30"/>
      <c r="AM189" s="30"/>
      <c r="AN189" s="30"/>
      <c r="AO189" s="30"/>
      <c r="AP189" s="30"/>
      <c r="AQ189" s="38"/>
      <c r="AR189" s="30"/>
      <c r="AS189" s="30"/>
      <c r="AT189" s="29"/>
      <c r="AU189" s="30"/>
      <c r="AV189" s="30"/>
      <c r="AW189" s="30"/>
      <c r="AX189" s="29"/>
      <c r="AY189" s="39"/>
      <c r="AZ189" s="30"/>
      <c r="BA189" s="30"/>
      <c r="BB189" s="29"/>
      <c r="BC189" s="52"/>
      <c r="BD189" s="30"/>
      <c r="BE189" s="29"/>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row>
    <row r="190">
      <c r="A190" s="30"/>
      <c r="B190" s="42"/>
      <c r="C190" s="43"/>
      <c r="D190" s="30"/>
      <c r="E190" s="28"/>
      <c r="F190" s="30"/>
      <c r="G190" s="30"/>
      <c r="H190" s="30"/>
      <c r="I190" s="30"/>
      <c r="J190" s="28"/>
      <c r="K190" s="30"/>
      <c r="L190" s="30"/>
      <c r="M190" s="30"/>
      <c r="N190" s="30"/>
      <c r="O190" s="28"/>
      <c r="P190" s="30"/>
      <c r="Q190" s="30"/>
      <c r="R190" s="30"/>
      <c r="S190" s="36"/>
      <c r="T190" s="30"/>
      <c r="U190" s="36"/>
      <c r="V190" s="30"/>
      <c r="W190" s="28"/>
      <c r="X190" s="30"/>
      <c r="Y190" s="30"/>
      <c r="Z190" s="30"/>
      <c r="AA190" s="30"/>
      <c r="AB190" s="30"/>
      <c r="AC190" s="28"/>
      <c r="AD190" s="30"/>
      <c r="AE190" s="30"/>
      <c r="AF190" s="30"/>
      <c r="AG190" s="29"/>
      <c r="AH190" s="30"/>
      <c r="AI190" s="36"/>
      <c r="AJ190" s="30"/>
      <c r="AK190" s="29"/>
      <c r="AL190" s="30"/>
      <c r="AM190" s="30"/>
      <c r="AN190" s="30"/>
      <c r="AO190" s="30"/>
      <c r="AP190" s="30"/>
      <c r="AQ190" s="38"/>
      <c r="AR190" s="30"/>
      <c r="AS190" s="30"/>
      <c r="AT190" s="29"/>
      <c r="AU190" s="30"/>
      <c r="AV190" s="30"/>
      <c r="AW190" s="30"/>
      <c r="AX190" s="29"/>
      <c r="AY190" s="39"/>
      <c r="AZ190" s="30"/>
      <c r="BA190" s="30"/>
      <c r="BB190" s="29"/>
      <c r="BC190" s="52"/>
      <c r="BD190" s="30"/>
      <c r="BE190" s="29"/>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row>
    <row r="191">
      <c r="A191" s="30"/>
      <c r="B191" s="42"/>
      <c r="C191" s="43"/>
      <c r="D191" s="30"/>
      <c r="E191" s="28"/>
      <c r="F191" s="30"/>
      <c r="G191" s="30"/>
      <c r="H191" s="30"/>
      <c r="I191" s="30"/>
      <c r="J191" s="28"/>
      <c r="K191" s="30"/>
      <c r="L191" s="30"/>
      <c r="M191" s="30"/>
      <c r="N191" s="30"/>
      <c r="O191" s="28"/>
      <c r="P191" s="30"/>
      <c r="Q191" s="30"/>
      <c r="R191" s="30"/>
      <c r="S191" s="36"/>
      <c r="T191" s="30"/>
      <c r="U191" s="36"/>
      <c r="V191" s="30"/>
      <c r="W191" s="28"/>
      <c r="X191" s="30"/>
      <c r="Y191" s="30"/>
      <c r="Z191" s="30"/>
      <c r="AA191" s="30"/>
      <c r="AB191" s="30"/>
      <c r="AC191" s="28"/>
      <c r="AD191" s="30"/>
      <c r="AE191" s="30"/>
      <c r="AF191" s="30"/>
      <c r="AG191" s="29"/>
      <c r="AH191" s="30"/>
      <c r="AI191" s="36"/>
      <c r="AJ191" s="30"/>
      <c r="AK191" s="29"/>
      <c r="AL191" s="30"/>
      <c r="AM191" s="30"/>
      <c r="AN191" s="30"/>
      <c r="AO191" s="30"/>
      <c r="AP191" s="30"/>
      <c r="AQ191" s="38"/>
      <c r="AR191" s="30"/>
      <c r="AS191" s="30"/>
      <c r="AT191" s="29"/>
      <c r="AU191" s="30"/>
      <c r="AV191" s="30"/>
      <c r="AW191" s="30"/>
      <c r="AX191" s="29"/>
      <c r="AY191" s="39"/>
      <c r="AZ191" s="30"/>
      <c r="BA191" s="30"/>
      <c r="BB191" s="29"/>
      <c r="BC191" s="52"/>
      <c r="BD191" s="30"/>
      <c r="BE191" s="29"/>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row>
    <row r="192">
      <c r="A192" s="30"/>
      <c r="B192" s="42"/>
      <c r="C192" s="43"/>
      <c r="D192" s="30"/>
      <c r="E192" s="28"/>
      <c r="F192" s="30"/>
      <c r="G192" s="30"/>
      <c r="H192" s="30"/>
      <c r="I192" s="30"/>
      <c r="J192" s="28"/>
      <c r="K192" s="30"/>
      <c r="L192" s="30"/>
      <c r="M192" s="30"/>
      <c r="N192" s="30"/>
      <c r="O192" s="28"/>
      <c r="P192" s="30"/>
      <c r="Q192" s="30"/>
      <c r="R192" s="30"/>
      <c r="S192" s="36"/>
      <c r="T192" s="30"/>
      <c r="U192" s="36"/>
      <c r="V192" s="30"/>
      <c r="W192" s="28"/>
      <c r="X192" s="30"/>
      <c r="Y192" s="30"/>
      <c r="Z192" s="30"/>
      <c r="AA192" s="30"/>
      <c r="AB192" s="30"/>
      <c r="AC192" s="28"/>
      <c r="AD192" s="30"/>
      <c r="AE192" s="30"/>
      <c r="AF192" s="30"/>
      <c r="AG192" s="29"/>
      <c r="AH192" s="30"/>
      <c r="AI192" s="36"/>
      <c r="AJ192" s="30"/>
      <c r="AK192" s="29"/>
      <c r="AL192" s="30"/>
      <c r="AM192" s="30"/>
      <c r="AN192" s="30"/>
      <c r="AO192" s="30"/>
      <c r="AP192" s="30"/>
      <c r="AQ192" s="38"/>
      <c r="AR192" s="30"/>
      <c r="AS192" s="30"/>
      <c r="AT192" s="29"/>
      <c r="AU192" s="30"/>
      <c r="AV192" s="30"/>
      <c r="AW192" s="30"/>
      <c r="AX192" s="29"/>
      <c r="AY192" s="39"/>
      <c r="AZ192" s="30"/>
      <c r="BA192" s="30"/>
      <c r="BB192" s="29"/>
      <c r="BC192" s="52"/>
      <c r="BD192" s="30"/>
      <c r="BE192" s="29"/>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row>
    <row r="193">
      <c r="A193" s="30"/>
      <c r="B193" s="42"/>
      <c r="C193" s="43"/>
      <c r="D193" s="30"/>
      <c r="E193" s="28"/>
      <c r="F193" s="30"/>
      <c r="G193" s="30"/>
      <c r="H193" s="30"/>
      <c r="I193" s="30"/>
      <c r="J193" s="28"/>
      <c r="K193" s="30"/>
      <c r="L193" s="30"/>
      <c r="M193" s="30"/>
      <c r="N193" s="30"/>
      <c r="O193" s="28"/>
      <c r="P193" s="30"/>
      <c r="Q193" s="30"/>
      <c r="R193" s="30"/>
      <c r="S193" s="36"/>
      <c r="T193" s="30"/>
      <c r="U193" s="36"/>
      <c r="V193" s="30"/>
      <c r="W193" s="28"/>
      <c r="X193" s="30"/>
      <c r="Y193" s="30"/>
      <c r="Z193" s="30"/>
      <c r="AA193" s="30"/>
      <c r="AB193" s="30"/>
      <c r="AC193" s="28"/>
      <c r="AD193" s="30"/>
      <c r="AE193" s="30"/>
      <c r="AF193" s="30"/>
      <c r="AG193" s="29"/>
      <c r="AH193" s="30"/>
      <c r="AI193" s="36"/>
      <c r="AJ193" s="30"/>
      <c r="AK193" s="29"/>
      <c r="AL193" s="30"/>
      <c r="AM193" s="30"/>
      <c r="AN193" s="30"/>
      <c r="AO193" s="30"/>
      <c r="AP193" s="30"/>
      <c r="AQ193" s="38"/>
      <c r="AR193" s="30"/>
      <c r="AS193" s="30"/>
      <c r="AT193" s="29"/>
      <c r="AU193" s="30"/>
      <c r="AV193" s="30"/>
      <c r="AW193" s="30"/>
      <c r="AX193" s="29"/>
      <c r="AY193" s="39"/>
      <c r="AZ193" s="30"/>
      <c r="BA193" s="30"/>
      <c r="BB193" s="29"/>
      <c r="BC193" s="52"/>
      <c r="BD193" s="30"/>
      <c r="BE193" s="29"/>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row>
    <row r="194">
      <c r="A194" s="30"/>
      <c r="B194" s="42"/>
      <c r="C194" s="43"/>
      <c r="D194" s="30"/>
      <c r="E194" s="28"/>
      <c r="F194" s="30"/>
      <c r="G194" s="30"/>
      <c r="H194" s="30"/>
      <c r="I194" s="30"/>
      <c r="J194" s="28"/>
      <c r="K194" s="30"/>
      <c r="L194" s="30"/>
      <c r="M194" s="30"/>
      <c r="N194" s="30"/>
      <c r="O194" s="28"/>
      <c r="P194" s="30"/>
      <c r="Q194" s="30"/>
      <c r="R194" s="30"/>
      <c r="S194" s="36"/>
      <c r="T194" s="30"/>
      <c r="U194" s="36"/>
      <c r="V194" s="30"/>
      <c r="W194" s="28"/>
      <c r="X194" s="30"/>
      <c r="Y194" s="30"/>
      <c r="Z194" s="30"/>
      <c r="AA194" s="30"/>
      <c r="AB194" s="30"/>
      <c r="AC194" s="28"/>
      <c r="AD194" s="30"/>
      <c r="AE194" s="30"/>
      <c r="AF194" s="30"/>
      <c r="AG194" s="29"/>
      <c r="AH194" s="30"/>
      <c r="AI194" s="36"/>
      <c r="AJ194" s="30"/>
      <c r="AK194" s="29"/>
      <c r="AL194" s="30"/>
      <c r="AM194" s="30"/>
      <c r="AN194" s="30"/>
      <c r="AO194" s="30"/>
      <c r="AP194" s="30"/>
      <c r="AQ194" s="38"/>
      <c r="AR194" s="30"/>
      <c r="AS194" s="30"/>
      <c r="AT194" s="29"/>
      <c r="AU194" s="30"/>
      <c r="AV194" s="30"/>
      <c r="AW194" s="30"/>
      <c r="AX194" s="29"/>
      <c r="AY194" s="39"/>
      <c r="AZ194" s="30"/>
      <c r="BA194" s="30"/>
      <c r="BB194" s="29"/>
      <c r="BC194" s="52"/>
      <c r="BD194" s="30"/>
      <c r="BE194" s="29"/>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row>
    <row r="195">
      <c r="A195" s="30"/>
      <c r="B195" s="42"/>
      <c r="C195" s="43"/>
      <c r="D195" s="30"/>
      <c r="E195" s="28"/>
      <c r="F195" s="30"/>
      <c r="G195" s="30"/>
      <c r="H195" s="30"/>
      <c r="I195" s="30"/>
      <c r="J195" s="28"/>
      <c r="K195" s="30"/>
      <c r="L195" s="30"/>
      <c r="M195" s="30"/>
      <c r="N195" s="30"/>
      <c r="O195" s="28"/>
      <c r="P195" s="30"/>
      <c r="Q195" s="30"/>
      <c r="R195" s="30"/>
      <c r="S195" s="36"/>
      <c r="T195" s="30"/>
      <c r="U195" s="36"/>
      <c r="V195" s="30"/>
      <c r="W195" s="28"/>
      <c r="X195" s="30"/>
      <c r="Y195" s="30"/>
      <c r="Z195" s="30"/>
      <c r="AA195" s="30"/>
      <c r="AB195" s="30"/>
      <c r="AC195" s="28"/>
      <c r="AD195" s="30"/>
      <c r="AE195" s="30"/>
      <c r="AF195" s="30"/>
      <c r="AG195" s="29"/>
      <c r="AH195" s="30"/>
      <c r="AI195" s="36"/>
      <c r="AJ195" s="30"/>
      <c r="AK195" s="29"/>
      <c r="AL195" s="30"/>
      <c r="AM195" s="30"/>
      <c r="AN195" s="30"/>
      <c r="AO195" s="30"/>
      <c r="AP195" s="30"/>
      <c r="AQ195" s="38"/>
      <c r="AR195" s="30"/>
      <c r="AS195" s="30"/>
      <c r="AT195" s="29"/>
      <c r="AU195" s="30"/>
      <c r="AV195" s="30"/>
      <c r="AW195" s="30"/>
      <c r="AX195" s="29"/>
      <c r="AY195" s="39"/>
      <c r="AZ195" s="30"/>
      <c r="BA195" s="30"/>
      <c r="BB195" s="29"/>
      <c r="BC195" s="52"/>
      <c r="BD195" s="30"/>
      <c r="BE195" s="29"/>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row>
    <row r="196">
      <c r="A196" s="30"/>
      <c r="B196" s="42"/>
      <c r="C196" s="43"/>
      <c r="D196" s="30"/>
      <c r="E196" s="28"/>
      <c r="F196" s="30"/>
      <c r="G196" s="30"/>
      <c r="H196" s="30"/>
      <c r="I196" s="30"/>
      <c r="J196" s="28"/>
      <c r="K196" s="30"/>
      <c r="L196" s="30"/>
      <c r="M196" s="30"/>
      <c r="N196" s="30"/>
      <c r="O196" s="28"/>
      <c r="P196" s="30"/>
      <c r="Q196" s="30"/>
      <c r="R196" s="30"/>
      <c r="S196" s="36"/>
      <c r="T196" s="30"/>
      <c r="U196" s="36"/>
      <c r="V196" s="30"/>
      <c r="W196" s="28"/>
      <c r="X196" s="30"/>
      <c r="Y196" s="30"/>
      <c r="Z196" s="30"/>
      <c r="AA196" s="30"/>
      <c r="AB196" s="30"/>
      <c r="AC196" s="28"/>
      <c r="AD196" s="30"/>
      <c r="AE196" s="30"/>
      <c r="AF196" s="30"/>
      <c r="AG196" s="29"/>
      <c r="AH196" s="30"/>
      <c r="AI196" s="36"/>
      <c r="AJ196" s="30"/>
      <c r="AK196" s="29"/>
      <c r="AL196" s="30"/>
      <c r="AM196" s="30"/>
      <c r="AN196" s="30"/>
      <c r="AO196" s="30"/>
      <c r="AP196" s="30"/>
      <c r="AQ196" s="38"/>
      <c r="AR196" s="30"/>
      <c r="AS196" s="30"/>
      <c r="AT196" s="29"/>
      <c r="AU196" s="30"/>
      <c r="AV196" s="30"/>
      <c r="AW196" s="30"/>
      <c r="AX196" s="29"/>
      <c r="AY196" s="39"/>
      <c r="AZ196" s="30"/>
      <c r="BA196" s="30"/>
      <c r="BB196" s="29"/>
      <c r="BC196" s="52"/>
      <c r="BD196" s="30"/>
      <c r="BE196" s="29"/>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row>
    <row r="197">
      <c r="A197" s="30"/>
      <c r="B197" s="42"/>
      <c r="C197" s="43"/>
      <c r="D197" s="30"/>
      <c r="E197" s="28"/>
      <c r="F197" s="30"/>
      <c r="G197" s="30"/>
      <c r="H197" s="30"/>
      <c r="I197" s="30"/>
      <c r="J197" s="28"/>
      <c r="K197" s="30"/>
      <c r="L197" s="30"/>
      <c r="M197" s="30"/>
      <c r="N197" s="30"/>
      <c r="O197" s="28"/>
      <c r="P197" s="30"/>
      <c r="Q197" s="30"/>
      <c r="R197" s="30"/>
      <c r="S197" s="36"/>
      <c r="T197" s="30"/>
      <c r="U197" s="36"/>
      <c r="V197" s="30"/>
      <c r="W197" s="28"/>
      <c r="X197" s="30"/>
      <c r="Y197" s="30"/>
      <c r="Z197" s="30"/>
      <c r="AA197" s="30"/>
      <c r="AB197" s="30"/>
      <c r="AC197" s="28"/>
      <c r="AD197" s="30"/>
      <c r="AE197" s="30"/>
      <c r="AF197" s="30"/>
      <c r="AG197" s="29"/>
      <c r="AH197" s="30"/>
      <c r="AI197" s="36"/>
      <c r="AJ197" s="30"/>
      <c r="AK197" s="29"/>
      <c r="AL197" s="30"/>
      <c r="AM197" s="30"/>
      <c r="AN197" s="30"/>
      <c r="AO197" s="30"/>
      <c r="AP197" s="30"/>
      <c r="AQ197" s="38"/>
      <c r="AR197" s="30"/>
      <c r="AS197" s="30"/>
      <c r="AT197" s="29"/>
      <c r="AU197" s="30"/>
      <c r="AV197" s="30"/>
      <c r="AW197" s="30"/>
      <c r="AX197" s="29"/>
      <c r="AY197" s="39"/>
      <c r="AZ197" s="30"/>
      <c r="BA197" s="30"/>
      <c r="BB197" s="29"/>
      <c r="BC197" s="52"/>
      <c r="BD197" s="30"/>
      <c r="BE197" s="29"/>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row>
    <row r="198">
      <c r="A198" s="30"/>
      <c r="B198" s="42"/>
      <c r="C198" s="43"/>
      <c r="D198" s="30"/>
      <c r="E198" s="28"/>
      <c r="F198" s="30"/>
      <c r="G198" s="30"/>
      <c r="H198" s="30"/>
      <c r="I198" s="30"/>
      <c r="J198" s="28"/>
      <c r="K198" s="30"/>
      <c r="L198" s="30"/>
      <c r="M198" s="30"/>
      <c r="N198" s="30"/>
      <c r="O198" s="28"/>
      <c r="P198" s="30"/>
      <c r="Q198" s="30"/>
      <c r="R198" s="30"/>
      <c r="S198" s="36"/>
      <c r="T198" s="30"/>
      <c r="U198" s="36"/>
      <c r="V198" s="30"/>
      <c r="W198" s="28"/>
      <c r="X198" s="30"/>
      <c r="Y198" s="30"/>
      <c r="Z198" s="30"/>
      <c r="AA198" s="30"/>
      <c r="AB198" s="30"/>
      <c r="AC198" s="28"/>
      <c r="AD198" s="30"/>
      <c r="AE198" s="30"/>
      <c r="AF198" s="30"/>
      <c r="AG198" s="29"/>
      <c r="AH198" s="30"/>
      <c r="AI198" s="36"/>
      <c r="AJ198" s="30"/>
      <c r="AK198" s="29"/>
      <c r="AL198" s="30"/>
      <c r="AM198" s="30"/>
      <c r="AN198" s="30"/>
      <c r="AO198" s="30"/>
      <c r="AP198" s="30"/>
      <c r="AQ198" s="38"/>
      <c r="AR198" s="30"/>
      <c r="AS198" s="30"/>
      <c r="AT198" s="29"/>
      <c r="AU198" s="30"/>
      <c r="AV198" s="30"/>
      <c r="AW198" s="30"/>
      <c r="AX198" s="29"/>
      <c r="AY198" s="39"/>
      <c r="AZ198" s="30"/>
      <c r="BA198" s="30"/>
      <c r="BB198" s="29"/>
      <c r="BC198" s="52"/>
      <c r="BD198" s="30"/>
      <c r="BE198" s="29"/>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row>
    <row r="199">
      <c r="A199" s="30"/>
      <c r="B199" s="42"/>
      <c r="C199" s="43"/>
      <c r="D199" s="30"/>
      <c r="E199" s="28"/>
      <c r="F199" s="30"/>
      <c r="G199" s="30"/>
      <c r="H199" s="30"/>
      <c r="I199" s="30"/>
      <c r="J199" s="28"/>
      <c r="K199" s="30"/>
      <c r="L199" s="30"/>
      <c r="M199" s="30"/>
      <c r="N199" s="30"/>
      <c r="O199" s="28"/>
      <c r="P199" s="30"/>
      <c r="Q199" s="30"/>
      <c r="R199" s="30"/>
      <c r="S199" s="36"/>
      <c r="T199" s="30"/>
      <c r="U199" s="36"/>
      <c r="V199" s="30"/>
      <c r="W199" s="28"/>
      <c r="X199" s="30"/>
      <c r="Y199" s="30"/>
      <c r="Z199" s="30"/>
      <c r="AA199" s="30"/>
      <c r="AB199" s="30"/>
      <c r="AC199" s="28"/>
      <c r="AD199" s="30"/>
      <c r="AE199" s="30"/>
      <c r="AF199" s="30"/>
      <c r="AG199" s="29"/>
      <c r="AH199" s="30"/>
      <c r="AI199" s="36"/>
      <c r="AJ199" s="30"/>
      <c r="AK199" s="29"/>
      <c r="AL199" s="30"/>
      <c r="AM199" s="30"/>
      <c r="AN199" s="30"/>
      <c r="AO199" s="30"/>
      <c r="AP199" s="30"/>
      <c r="AQ199" s="38"/>
      <c r="AR199" s="30"/>
      <c r="AS199" s="30"/>
      <c r="AT199" s="29"/>
      <c r="AU199" s="30"/>
      <c r="AV199" s="30"/>
      <c r="AW199" s="30"/>
      <c r="AX199" s="29"/>
      <c r="AY199" s="39"/>
      <c r="AZ199" s="30"/>
      <c r="BA199" s="30"/>
      <c r="BB199" s="29"/>
      <c r="BC199" s="52"/>
      <c r="BD199" s="30"/>
      <c r="BE199" s="29"/>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row>
    <row r="200">
      <c r="A200" s="30"/>
      <c r="B200" s="42"/>
      <c r="C200" s="43"/>
      <c r="D200" s="30"/>
      <c r="E200" s="28"/>
      <c r="F200" s="30"/>
      <c r="G200" s="30"/>
      <c r="H200" s="30"/>
      <c r="I200" s="30"/>
      <c r="J200" s="28"/>
      <c r="K200" s="30"/>
      <c r="L200" s="30"/>
      <c r="M200" s="30"/>
      <c r="N200" s="30"/>
      <c r="O200" s="28"/>
      <c r="P200" s="30"/>
      <c r="Q200" s="30"/>
      <c r="R200" s="30"/>
      <c r="S200" s="36"/>
      <c r="T200" s="30"/>
      <c r="U200" s="36"/>
      <c r="V200" s="30"/>
      <c r="W200" s="28"/>
      <c r="X200" s="30"/>
      <c r="Y200" s="30"/>
      <c r="Z200" s="30"/>
      <c r="AA200" s="30"/>
      <c r="AB200" s="30"/>
      <c r="AC200" s="28"/>
      <c r="AD200" s="30"/>
      <c r="AE200" s="30"/>
      <c r="AF200" s="30"/>
      <c r="AG200" s="29"/>
      <c r="AH200" s="30"/>
      <c r="AI200" s="36"/>
      <c r="AJ200" s="30"/>
      <c r="AK200" s="29"/>
      <c r="AL200" s="30"/>
      <c r="AM200" s="30"/>
      <c r="AN200" s="30"/>
      <c r="AO200" s="30"/>
      <c r="AP200" s="30"/>
      <c r="AQ200" s="38"/>
      <c r="AR200" s="30"/>
      <c r="AS200" s="30"/>
      <c r="AT200" s="29"/>
      <c r="AU200" s="30"/>
      <c r="AV200" s="30"/>
      <c r="AW200" s="30"/>
      <c r="AX200" s="29"/>
      <c r="AY200" s="39"/>
      <c r="AZ200" s="30"/>
      <c r="BA200" s="30"/>
      <c r="BB200" s="29"/>
      <c r="BC200" s="52"/>
      <c r="BD200" s="30"/>
      <c r="BE200" s="29"/>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row>
    <row r="201">
      <c r="A201" s="30"/>
      <c r="B201" s="42"/>
      <c r="C201" s="43"/>
      <c r="D201" s="30"/>
      <c r="E201" s="28"/>
      <c r="F201" s="30"/>
      <c r="G201" s="30"/>
      <c r="H201" s="30"/>
      <c r="I201" s="30"/>
      <c r="J201" s="28"/>
      <c r="K201" s="30"/>
      <c r="L201" s="30"/>
      <c r="M201" s="30"/>
      <c r="N201" s="30"/>
      <c r="O201" s="28"/>
      <c r="P201" s="30"/>
      <c r="Q201" s="30"/>
      <c r="R201" s="30"/>
      <c r="S201" s="36"/>
      <c r="T201" s="30"/>
      <c r="U201" s="36"/>
      <c r="V201" s="30"/>
      <c r="W201" s="28"/>
      <c r="X201" s="30"/>
      <c r="Y201" s="30"/>
      <c r="Z201" s="30"/>
      <c r="AA201" s="30"/>
      <c r="AB201" s="30"/>
      <c r="AC201" s="28"/>
      <c r="AD201" s="30"/>
      <c r="AE201" s="30"/>
      <c r="AF201" s="30"/>
      <c r="AG201" s="29"/>
      <c r="AH201" s="30"/>
      <c r="AI201" s="36"/>
      <c r="AJ201" s="30"/>
      <c r="AK201" s="29"/>
      <c r="AL201" s="30"/>
      <c r="AM201" s="30"/>
      <c r="AN201" s="30"/>
      <c r="AO201" s="30"/>
      <c r="AP201" s="30"/>
      <c r="AQ201" s="38"/>
      <c r="AR201" s="30"/>
      <c r="AS201" s="30"/>
      <c r="AT201" s="29"/>
      <c r="AU201" s="30"/>
      <c r="AV201" s="30"/>
      <c r="AW201" s="30"/>
      <c r="AX201" s="29"/>
      <c r="AY201" s="39"/>
      <c r="AZ201" s="30"/>
      <c r="BA201" s="30"/>
      <c r="BB201" s="29"/>
      <c r="BC201" s="52"/>
      <c r="BD201" s="30"/>
      <c r="BE201" s="29"/>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row>
    <row r="202">
      <c r="A202" s="30"/>
      <c r="B202" s="42"/>
      <c r="C202" s="43"/>
      <c r="D202" s="30"/>
      <c r="E202" s="28"/>
      <c r="F202" s="30"/>
      <c r="G202" s="30"/>
      <c r="H202" s="30"/>
      <c r="I202" s="30"/>
      <c r="J202" s="28"/>
      <c r="K202" s="30"/>
      <c r="L202" s="30"/>
      <c r="M202" s="30"/>
      <c r="N202" s="30"/>
      <c r="O202" s="28"/>
      <c r="P202" s="30"/>
      <c r="Q202" s="30"/>
      <c r="R202" s="30"/>
      <c r="S202" s="36"/>
      <c r="T202" s="30"/>
      <c r="U202" s="36"/>
      <c r="V202" s="30"/>
      <c r="W202" s="28"/>
      <c r="X202" s="30"/>
      <c r="Y202" s="30"/>
      <c r="Z202" s="30"/>
      <c r="AA202" s="30"/>
      <c r="AB202" s="30"/>
      <c r="AC202" s="28"/>
      <c r="AD202" s="30"/>
      <c r="AE202" s="30"/>
      <c r="AF202" s="30"/>
      <c r="AG202" s="29"/>
      <c r="AH202" s="30"/>
      <c r="AI202" s="36"/>
      <c r="AJ202" s="30"/>
      <c r="AK202" s="29"/>
      <c r="AL202" s="30"/>
      <c r="AM202" s="30"/>
      <c r="AN202" s="30"/>
      <c r="AO202" s="30"/>
      <c r="AP202" s="30"/>
      <c r="AQ202" s="38"/>
      <c r="AR202" s="30"/>
      <c r="AS202" s="30"/>
      <c r="AT202" s="29"/>
      <c r="AU202" s="30"/>
      <c r="AV202" s="30"/>
      <c r="AW202" s="30"/>
      <c r="AX202" s="29"/>
      <c r="AY202" s="39"/>
      <c r="AZ202" s="30"/>
      <c r="BA202" s="30"/>
      <c r="BB202" s="29"/>
      <c r="BC202" s="52"/>
      <c r="BD202" s="30"/>
      <c r="BE202" s="29"/>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row>
    <row r="203">
      <c r="A203" s="30"/>
      <c r="B203" s="42"/>
      <c r="C203" s="43"/>
      <c r="D203" s="30"/>
      <c r="E203" s="28"/>
      <c r="F203" s="30"/>
      <c r="G203" s="30"/>
      <c r="H203" s="30"/>
      <c r="I203" s="30"/>
      <c r="J203" s="28"/>
      <c r="K203" s="30"/>
      <c r="L203" s="30"/>
      <c r="M203" s="30"/>
      <c r="N203" s="30"/>
      <c r="O203" s="28"/>
      <c r="P203" s="30"/>
      <c r="Q203" s="30"/>
      <c r="R203" s="30"/>
      <c r="S203" s="36"/>
      <c r="T203" s="30"/>
      <c r="U203" s="36"/>
      <c r="V203" s="30"/>
      <c r="W203" s="28"/>
      <c r="X203" s="30"/>
      <c r="Y203" s="30"/>
      <c r="Z203" s="30"/>
      <c r="AA203" s="30"/>
      <c r="AB203" s="30"/>
      <c r="AC203" s="28"/>
      <c r="AD203" s="30"/>
      <c r="AE203" s="30"/>
      <c r="AF203" s="30"/>
      <c r="AG203" s="29"/>
      <c r="AH203" s="30"/>
      <c r="AI203" s="36"/>
      <c r="AJ203" s="30"/>
      <c r="AK203" s="29"/>
      <c r="AL203" s="30"/>
      <c r="AM203" s="30"/>
      <c r="AN203" s="30"/>
      <c r="AO203" s="30"/>
      <c r="AP203" s="30"/>
      <c r="AQ203" s="38"/>
      <c r="AR203" s="30"/>
      <c r="AS203" s="30"/>
      <c r="AT203" s="29"/>
      <c r="AU203" s="30"/>
      <c r="AV203" s="30"/>
      <c r="AW203" s="30"/>
      <c r="AX203" s="29"/>
      <c r="AY203" s="39"/>
      <c r="AZ203" s="30"/>
      <c r="BA203" s="30"/>
      <c r="BB203" s="29"/>
      <c r="BC203" s="52"/>
      <c r="BD203" s="30"/>
      <c r="BE203" s="29"/>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row>
    <row r="204">
      <c r="A204" s="30"/>
      <c r="B204" s="42"/>
      <c r="C204" s="43"/>
      <c r="D204" s="30"/>
      <c r="E204" s="28"/>
      <c r="F204" s="30"/>
      <c r="G204" s="30"/>
      <c r="H204" s="30"/>
      <c r="I204" s="30"/>
      <c r="J204" s="28"/>
      <c r="K204" s="30"/>
      <c r="L204" s="30"/>
      <c r="M204" s="30"/>
      <c r="N204" s="30"/>
      <c r="O204" s="28"/>
      <c r="P204" s="30"/>
      <c r="Q204" s="30"/>
      <c r="R204" s="30"/>
      <c r="S204" s="36"/>
      <c r="T204" s="30"/>
      <c r="U204" s="36"/>
      <c r="V204" s="30"/>
      <c r="W204" s="28"/>
      <c r="X204" s="30"/>
      <c r="Y204" s="30"/>
      <c r="Z204" s="30"/>
      <c r="AA204" s="30"/>
      <c r="AB204" s="30"/>
      <c r="AC204" s="28"/>
      <c r="AD204" s="30"/>
      <c r="AE204" s="30"/>
      <c r="AF204" s="30"/>
      <c r="AG204" s="29"/>
      <c r="AH204" s="30"/>
      <c r="AI204" s="36"/>
      <c r="AJ204" s="30"/>
      <c r="AK204" s="29"/>
      <c r="AL204" s="30"/>
      <c r="AM204" s="30"/>
      <c r="AN204" s="30"/>
      <c r="AO204" s="30"/>
      <c r="AP204" s="30"/>
      <c r="AQ204" s="38"/>
      <c r="AR204" s="30"/>
      <c r="AS204" s="30"/>
      <c r="AT204" s="29"/>
      <c r="AU204" s="30"/>
      <c r="AV204" s="30"/>
      <c r="AW204" s="30"/>
      <c r="AX204" s="29"/>
      <c r="AY204" s="39"/>
      <c r="AZ204" s="30"/>
      <c r="BA204" s="30"/>
      <c r="BB204" s="29"/>
      <c r="BC204" s="52"/>
      <c r="BD204" s="30"/>
      <c r="BE204" s="29"/>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row>
    <row r="205">
      <c r="A205" s="30"/>
      <c r="B205" s="42"/>
      <c r="C205" s="43"/>
      <c r="D205" s="30"/>
      <c r="E205" s="28"/>
      <c r="F205" s="30"/>
      <c r="G205" s="30"/>
      <c r="H205" s="30"/>
      <c r="I205" s="30"/>
      <c r="J205" s="28"/>
      <c r="K205" s="30"/>
      <c r="L205" s="30"/>
      <c r="M205" s="30"/>
      <c r="N205" s="30"/>
      <c r="O205" s="28"/>
      <c r="P205" s="30"/>
      <c r="Q205" s="30"/>
      <c r="R205" s="30"/>
      <c r="S205" s="36"/>
      <c r="T205" s="30"/>
      <c r="U205" s="36"/>
      <c r="V205" s="30"/>
      <c r="W205" s="28"/>
      <c r="X205" s="30"/>
      <c r="Y205" s="30"/>
      <c r="Z205" s="30"/>
      <c r="AA205" s="30"/>
      <c r="AB205" s="30"/>
      <c r="AC205" s="28"/>
      <c r="AD205" s="30"/>
      <c r="AE205" s="30"/>
      <c r="AF205" s="30"/>
      <c r="AG205" s="29"/>
      <c r="AH205" s="30"/>
      <c r="AI205" s="36"/>
      <c r="AJ205" s="30"/>
      <c r="AK205" s="29"/>
      <c r="AL205" s="30"/>
      <c r="AM205" s="30"/>
      <c r="AN205" s="30"/>
      <c r="AO205" s="30"/>
      <c r="AP205" s="30"/>
      <c r="AQ205" s="38"/>
      <c r="AR205" s="30"/>
      <c r="AS205" s="30"/>
      <c r="AT205" s="29"/>
      <c r="AU205" s="30"/>
      <c r="AV205" s="30"/>
      <c r="AW205" s="30"/>
      <c r="AX205" s="29"/>
      <c r="AY205" s="39"/>
      <c r="AZ205" s="30"/>
      <c r="BA205" s="30"/>
      <c r="BB205" s="29"/>
      <c r="BC205" s="52"/>
      <c r="BD205" s="30"/>
      <c r="BE205" s="29"/>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row>
    <row r="206">
      <c r="A206" s="30"/>
      <c r="B206" s="42"/>
      <c r="C206" s="43"/>
      <c r="D206" s="30"/>
      <c r="E206" s="28"/>
      <c r="F206" s="30"/>
      <c r="G206" s="30"/>
      <c r="H206" s="30"/>
      <c r="I206" s="30"/>
      <c r="J206" s="28"/>
      <c r="K206" s="30"/>
      <c r="L206" s="30"/>
      <c r="M206" s="30"/>
      <c r="N206" s="30"/>
      <c r="O206" s="28"/>
      <c r="P206" s="30"/>
      <c r="Q206" s="30"/>
      <c r="R206" s="30"/>
      <c r="S206" s="36"/>
      <c r="T206" s="30"/>
      <c r="U206" s="36"/>
      <c r="V206" s="30"/>
      <c r="W206" s="28"/>
      <c r="X206" s="30"/>
      <c r="Y206" s="30"/>
      <c r="Z206" s="30"/>
      <c r="AA206" s="30"/>
      <c r="AB206" s="30"/>
      <c r="AC206" s="28"/>
      <c r="AD206" s="30"/>
      <c r="AE206" s="30"/>
      <c r="AF206" s="30"/>
      <c r="AG206" s="29"/>
      <c r="AH206" s="30"/>
      <c r="AI206" s="36"/>
      <c r="AJ206" s="30"/>
      <c r="AK206" s="29"/>
      <c r="AL206" s="30"/>
      <c r="AM206" s="30"/>
      <c r="AN206" s="30"/>
      <c r="AO206" s="30"/>
      <c r="AP206" s="30"/>
      <c r="AQ206" s="38"/>
      <c r="AR206" s="30"/>
      <c r="AS206" s="30"/>
      <c r="AT206" s="29"/>
      <c r="AU206" s="30"/>
      <c r="AV206" s="30"/>
      <c r="AW206" s="30"/>
      <c r="AX206" s="29"/>
      <c r="AY206" s="39"/>
      <c r="AZ206" s="30"/>
      <c r="BA206" s="30"/>
      <c r="BB206" s="29"/>
      <c r="BC206" s="52"/>
      <c r="BD206" s="30"/>
      <c r="BE206" s="29"/>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row>
    <row r="207">
      <c r="A207" s="30"/>
      <c r="B207" s="42"/>
      <c r="C207" s="43"/>
      <c r="D207" s="30"/>
      <c r="E207" s="28"/>
      <c r="F207" s="30"/>
      <c r="G207" s="30"/>
      <c r="H207" s="30"/>
      <c r="I207" s="30"/>
      <c r="J207" s="28"/>
      <c r="K207" s="30"/>
      <c r="L207" s="30"/>
      <c r="M207" s="30"/>
      <c r="N207" s="30"/>
      <c r="O207" s="28"/>
      <c r="P207" s="30"/>
      <c r="Q207" s="30"/>
      <c r="R207" s="30"/>
      <c r="S207" s="36"/>
      <c r="T207" s="30"/>
      <c r="U207" s="36"/>
      <c r="V207" s="30"/>
      <c r="W207" s="28"/>
      <c r="X207" s="30"/>
      <c r="Y207" s="30"/>
      <c r="Z207" s="30"/>
      <c r="AA207" s="30"/>
      <c r="AB207" s="30"/>
      <c r="AC207" s="28"/>
      <c r="AD207" s="30"/>
      <c r="AE207" s="30"/>
      <c r="AF207" s="30"/>
      <c r="AG207" s="29"/>
      <c r="AH207" s="30"/>
      <c r="AI207" s="36"/>
      <c r="AJ207" s="30"/>
      <c r="AK207" s="29"/>
      <c r="AL207" s="30"/>
      <c r="AM207" s="30"/>
      <c r="AN207" s="30"/>
      <c r="AO207" s="30"/>
      <c r="AP207" s="30"/>
      <c r="AQ207" s="38"/>
      <c r="AR207" s="30"/>
      <c r="AS207" s="30"/>
      <c r="AT207" s="29"/>
      <c r="AU207" s="30"/>
      <c r="AV207" s="30"/>
      <c r="AW207" s="30"/>
      <c r="AX207" s="29"/>
      <c r="AY207" s="39"/>
      <c r="AZ207" s="30"/>
      <c r="BA207" s="30"/>
      <c r="BB207" s="29"/>
      <c r="BC207" s="52"/>
      <c r="BD207" s="30"/>
      <c r="BE207" s="29"/>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row>
    <row r="208">
      <c r="A208" s="30"/>
      <c r="B208" s="42"/>
      <c r="C208" s="43"/>
      <c r="D208" s="30"/>
      <c r="E208" s="28"/>
      <c r="F208" s="30"/>
      <c r="G208" s="30"/>
      <c r="H208" s="30"/>
      <c r="I208" s="30"/>
      <c r="J208" s="28"/>
      <c r="K208" s="30"/>
      <c r="L208" s="30"/>
      <c r="M208" s="30"/>
      <c r="N208" s="30"/>
      <c r="O208" s="28"/>
      <c r="P208" s="30"/>
      <c r="Q208" s="30"/>
      <c r="R208" s="30"/>
      <c r="S208" s="36"/>
      <c r="T208" s="30"/>
      <c r="U208" s="36"/>
      <c r="V208" s="30"/>
      <c r="W208" s="28"/>
      <c r="X208" s="30"/>
      <c r="Y208" s="30"/>
      <c r="Z208" s="30"/>
      <c r="AA208" s="30"/>
      <c r="AB208" s="30"/>
      <c r="AC208" s="28"/>
      <c r="AD208" s="30"/>
      <c r="AE208" s="30"/>
      <c r="AF208" s="30"/>
      <c r="AG208" s="29"/>
      <c r="AH208" s="30"/>
      <c r="AI208" s="36"/>
      <c r="AJ208" s="30"/>
      <c r="AK208" s="29"/>
      <c r="AL208" s="30"/>
      <c r="AM208" s="30"/>
      <c r="AN208" s="30"/>
      <c r="AO208" s="30"/>
      <c r="AP208" s="30"/>
      <c r="AQ208" s="38"/>
      <c r="AR208" s="30"/>
      <c r="AS208" s="30"/>
      <c r="AT208" s="29"/>
      <c r="AU208" s="30"/>
      <c r="AV208" s="30"/>
      <c r="AW208" s="30"/>
      <c r="AX208" s="29"/>
      <c r="AY208" s="39"/>
      <c r="AZ208" s="30"/>
      <c r="BA208" s="30"/>
      <c r="BB208" s="29"/>
      <c r="BC208" s="52"/>
      <c r="BD208" s="30"/>
      <c r="BE208" s="29"/>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row>
    <row r="209">
      <c r="A209" s="30"/>
      <c r="B209" s="42"/>
      <c r="C209" s="43"/>
      <c r="D209" s="30"/>
      <c r="E209" s="28"/>
      <c r="F209" s="30"/>
      <c r="G209" s="30"/>
      <c r="H209" s="30"/>
      <c r="I209" s="30"/>
      <c r="J209" s="28"/>
      <c r="K209" s="30"/>
      <c r="L209" s="30"/>
      <c r="M209" s="30"/>
      <c r="N209" s="30"/>
      <c r="O209" s="28"/>
      <c r="P209" s="30"/>
      <c r="Q209" s="30"/>
      <c r="R209" s="30"/>
      <c r="S209" s="36"/>
      <c r="T209" s="30"/>
      <c r="U209" s="36"/>
      <c r="V209" s="30"/>
      <c r="W209" s="28"/>
      <c r="X209" s="30"/>
      <c r="Y209" s="30"/>
      <c r="Z209" s="30"/>
      <c r="AA209" s="30"/>
      <c r="AB209" s="30"/>
      <c r="AC209" s="28"/>
      <c r="AD209" s="30"/>
      <c r="AE209" s="30"/>
      <c r="AF209" s="30"/>
      <c r="AG209" s="29"/>
      <c r="AH209" s="30"/>
      <c r="AI209" s="36"/>
      <c r="AJ209" s="30"/>
      <c r="AK209" s="29"/>
      <c r="AL209" s="30"/>
      <c r="AM209" s="30"/>
      <c r="AN209" s="30"/>
      <c r="AO209" s="30"/>
      <c r="AP209" s="30"/>
      <c r="AQ209" s="38"/>
      <c r="AR209" s="30"/>
      <c r="AS209" s="30"/>
      <c r="AT209" s="29"/>
      <c r="AU209" s="30"/>
      <c r="AV209" s="30"/>
      <c r="AW209" s="30"/>
      <c r="AX209" s="29"/>
      <c r="AY209" s="39"/>
      <c r="AZ209" s="30"/>
      <c r="BA209" s="30"/>
      <c r="BB209" s="29"/>
      <c r="BC209" s="52"/>
      <c r="BD209" s="30"/>
      <c r="BE209" s="29"/>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row>
    <row r="210">
      <c r="A210" s="30"/>
      <c r="B210" s="42"/>
      <c r="C210" s="43"/>
      <c r="D210" s="30"/>
      <c r="E210" s="28"/>
      <c r="F210" s="30"/>
      <c r="G210" s="30"/>
      <c r="H210" s="30"/>
      <c r="I210" s="30"/>
      <c r="J210" s="28"/>
      <c r="K210" s="30"/>
      <c r="L210" s="30"/>
      <c r="M210" s="30"/>
      <c r="N210" s="30"/>
      <c r="O210" s="28"/>
      <c r="P210" s="30"/>
      <c r="Q210" s="30"/>
      <c r="R210" s="30"/>
      <c r="S210" s="36"/>
      <c r="T210" s="30"/>
      <c r="U210" s="36"/>
      <c r="V210" s="30"/>
      <c r="W210" s="28"/>
      <c r="X210" s="30"/>
      <c r="Y210" s="30"/>
      <c r="Z210" s="30"/>
      <c r="AA210" s="30"/>
      <c r="AB210" s="30"/>
      <c r="AC210" s="28"/>
      <c r="AD210" s="30"/>
      <c r="AE210" s="30"/>
      <c r="AF210" s="30"/>
      <c r="AG210" s="29"/>
      <c r="AH210" s="30"/>
      <c r="AI210" s="36"/>
      <c r="AJ210" s="30"/>
      <c r="AK210" s="29"/>
      <c r="AL210" s="30"/>
      <c r="AM210" s="30"/>
      <c r="AN210" s="30"/>
      <c r="AO210" s="30"/>
      <c r="AP210" s="30"/>
      <c r="AQ210" s="38"/>
      <c r="AR210" s="30"/>
      <c r="AS210" s="30"/>
      <c r="AT210" s="29"/>
      <c r="AU210" s="30"/>
      <c r="AV210" s="30"/>
      <c r="AW210" s="30"/>
      <c r="AX210" s="29"/>
      <c r="AY210" s="39"/>
      <c r="AZ210" s="30"/>
      <c r="BA210" s="30"/>
      <c r="BB210" s="29"/>
      <c r="BC210" s="52"/>
      <c r="BD210" s="30"/>
      <c r="BE210" s="29"/>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row>
    <row r="211">
      <c r="A211" s="30"/>
      <c r="B211" s="42"/>
      <c r="C211" s="43"/>
      <c r="D211" s="30"/>
      <c r="E211" s="28"/>
      <c r="F211" s="30"/>
      <c r="G211" s="30"/>
      <c r="H211" s="30"/>
      <c r="I211" s="30"/>
      <c r="J211" s="28"/>
      <c r="K211" s="30"/>
      <c r="L211" s="30"/>
      <c r="M211" s="30"/>
      <c r="N211" s="30"/>
      <c r="O211" s="28"/>
      <c r="P211" s="30"/>
      <c r="Q211" s="30"/>
      <c r="R211" s="30"/>
      <c r="S211" s="36"/>
      <c r="T211" s="30"/>
      <c r="U211" s="36"/>
      <c r="V211" s="30"/>
      <c r="W211" s="28"/>
      <c r="X211" s="30"/>
      <c r="Y211" s="30"/>
      <c r="Z211" s="30"/>
      <c r="AA211" s="30"/>
      <c r="AB211" s="30"/>
      <c r="AC211" s="28"/>
      <c r="AD211" s="30"/>
      <c r="AE211" s="30"/>
      <c r="AF211" s="30"/>
      <c r="AG211" s="29"/>
      <c r="AH211" s="30"/>
      <c r="AI211" s="36"/>
      <c r="AJ211" s="30"/>
      <c r="AK211" s="29"/>
      <c r="AL211" s="30"/>
      <c r="AM211" s="30"/>
      <c r="AN211" s="30"/>
      <c r="AO211" s="30"/>
      <c r="AP211" s="30"/>
      <c r="AQ211" s="38"/>
      <c r="AR211" s="30"/>
      <c r="AS211" s="30"/>
      <c r="AT211" s="29"/>
      <c r="AU211" s="30"/>
      <c r="AV211" s="30"/>
      <c r="AW211" s="30"/>
      <c r="AX211" s="29"/>
      <c r="AY211" s="39"/>
      <c r="AZ211" s="30"/>
      <c r="BA211" s="30"/>
      <c r="BB211" s="29"/>
      <c r="BC211" s="52"/>
      <c r="BD211" s="30"/>
      <c r="BE211" s="29"/>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row>
    <row r="212">
      <c r="A212" s="30"/>
      <c r="B212" s="42"/>
      <c r="C212" s="43"/>
      <c r="D212" s="30"/>
      <c r="E212" s="28"/>
      <c r="F212" s="30"/>
      <c r="G212" s="30"/>
      <c r="H212" s="30"/>
      <c r="I212" s="30"/>
      <c r="J212" s="28"/>
      <c r="K212" s="30"/>
      <c r="L212" s="30"/>
      <c r="M212" s="30"/>
      <c r="N212" s="30"/>
      <c r="O212" s="28"/>
      <c r="P212" s="30"/>
      <c r="Q212" s="30"/>
      <c r="R212" s="30"/>
      <c r="S212" s="36"/>
      <c r="T212" s="30"/>
      <c r="U212" s="36"/>
      <c r="V212" s="30"/>
      <c r="W212" s="28"/>
      <c r="X212" s="30"/>
      <c r="Y212" s="30"/>
      <c r="Z212" s="30"/>
      <c r="AA212" s="30"/>
      <c r="AB212" s="30"/>
      <c r="AC212" s="28"/>
      <c r="AD212" s="30"/>
      <c r="AE212" s="30"/>
      <c r="AF212" s="30"/>
      <c r="AG212" s="29"/>
      <c r="AH212" s="30"/>
      <c r="AI212" s="36"/>
      <c r="AJ212" s="30"/>
      <c r="AK212" s="29"/>
      <c r="AL212" s="30"/>
      <c r="AM212" s="30"/>
      <c r="AN212" s="30"/>
      <c r="AO212" s="30"/>
      <c r="AP212" s="30"/>
      <c r="AQ212" s="38"/>
      <c r="AR212" s="30"/>
      <c r="AS212" s="30"/>
      <c r="AT212" s="29"/>
      <c r="AU212" s="30"/>
      <c r="AV212" s="30"/>
      <c r="AW212" s="30"/>
      <c r="AX212" s="29"/>
      <c r="AY212" s="39"/>
      <c r="AZ212" s="30"/>
      <c r="BA212" s="30"/>
      <c r="BB212" s="29"/>
      <c r="BC212" s="52"/>
      <c r="BD212" s="30"/>
      <c r="BE212" s="29"/>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row>
    <row r="213">
      <c r="A213" s="30"/>
      <c r="B213" s="42"/>
      <c r="C213" s="43"/>
      <c r="D213" s="30"/>
      <c r="E213" s="28"/>
      <c r="F213" s="30"/>
      <c r="G213" s="30"/>
      <c r="H213" s="30"/>
      <c r="I213" s="30"/>
      <c r="J213" s="28"/>
      <c r="K213" s="30"/>
      <c r="L213" s="30"/>
      <c r="M213" s="30"/>
      <c r="N213" s="30"/>
      <c r="O213" s="28"/>
      <c r="P213" s="30"/>
      <c r="Q213" s="30"/>
      <c r="R213" s="30"/>
      <c r="S213" s="36"/>
      <c r="T213" s="30"/>
      <c r="U213" s="36"/>
      <c r="V213" s="30"/>
      <c r="W213" s="28"/>
      <c r="X213" s="30"/>
      <c r="Y213" s="30"/>
      <c r="Z213" s="30"/>
      <c r="AA213" s="30"/>
      <c r="AB213" s="30"/>
      <c r="AC213" s="28"/>
      <c r="AD213" s="30"/>
      <c r="AE213" s="30"/>
      <c r="AF213" s="30"/>
      <c r="AG213" s="29"/>
      <c r="AH213" s="30"/>
      <c r="AI213" s="36"/>
      <c r="AJ213" s="30"/>
      <c r="AK213" s="29"/>
      <c r="AL213" s="30"/>
      <c r="AM213" s="30"/>
      <c r="AN213" s="30"/>
      <c r="AO213" s="30"/>
      <c r="AP213" s="30"/>
      <c r="AQ213" s="38"/>
      <c r="AR213" s="30"/>
      <c r="AS213" s="30"/>
      <c r="AT213" s="29"/>
      <c r="AU213" s="30"/>
      <c r="AV213" s="30"/>
      <c r="AW213" s="30"/>
      <c r="AX213" s="29"/>
      <c r="AY213" s="39"/>
      <c r="AZ213" s="30"/>
      <c r="BA213" s="30"/>
      <c r="BB213" s="29"/>
      <c r="BC213" s="52"/>
      <c r="BD213" s="30"/>
      <c r="BE213" s="29"/>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row>
    <row r="214">
      <c r="A214" s="30"/>
      <c r="B214" s="42"/>
      <c r="C214" s="43"/>
      <c r="D214" s="30"/>
      <c r="E214" s="28"/>
      <c r="F214" s="30"/>
      <c r="G214" s="30"/>
      <c r="H214" s="30"/>
      <c r="I214" s="30"/>
      <c r="J214" s="28"/>
      <c r="K214" s="30"/>
      <c r="L214" s="30"/>
      <c r="M214" s="30"/>
      <c r="N214" s="30"/>
      <c r="O214" s="28"/>
      <c r="P214" s="30"/>
      <c r="Q214" s="30"/>
      <c r="R214" s="30"/>
      <c r="S214" s="36"/>
      <c r="T214" s="30"/>
      <c r="U214" s="36"/>
      <c r="V214" s="30"/>
      <c r="W214" s="28"/>
      <c r="X214" s="30"/>
      <c r="Y214" s="30"/>
      <c r="Z214" s="30"/>
      <c r="AA214" s="30"/>
      <c r="AB214" s="30"/>
      <c r="AC214" s="28"/>
      <c r="AD214" s="30"/>
      <c r="AE214" s="30"/>
      <c r="AF214" s="30"/>
      <c r="AG214" s="29"/>
      <c r="AH214" s="30"/>
      <c r="AI214" s="36"/>
      <c r="AJ214" s="30"/>
      <c r="AK214" s="29"/>
      <c r="AL214" s="30"/>
      <c r="AM214" s="30"/>
      <c r="AN214" s="30"/>
      <c r="AO214" s="30"/>
      <c r="AP214" s="30"/>
      <c r="AQ214" s="38"/>
      <c r="AR214" s="30"/>
      <c r="AS214" s="30"/>
      <c r="AT214" s="29"/>
      <c r="AU214" s="30"/>
      <c r="AV214" s="30"/>
      <c r="AW214" s="30"/>
      <c r="AX214" s="29"/>
      <c r="AY214" s="39"/>
      <c r="AZ214" s="30"/>
      <c r="BA214" s="30"/>
      <c r="BB214" s="29"/>
      <c r="BC214" s="52"/>
      <c r="BD214" s="30"/>
      <c r="BE214" s="29"/>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row>
    <row r="215">
      <c r="A215" s="30"/>
      <c r="B215" s="42"/>
      <c r="C215" s="43"/>
      <c r="D215" s="30"/>
      <c r="E215" s="28"/>
      <c r="F215" s="30"/>
      <c r="G215" s="30"/>
      <c r="H215" s="30"/>
      <c r="I215" s="30"/>
      <c r="J215" s="28"/>
      <c r="K215" s="30"/>
      <c r="L215" s="30"/>
      <c r="M215" s="30"/>
      <c r="N215" s="30"/>
      <c r="O215" s="28"/>
      <c r="P215" s="30"/>
      <c r="Q215" s="30"/>
      <c r="R215" s="30"/>
      <c r="S215" s="36"/>
      <c r="T215" s="30"/>
      <c r="U215" s="36"/>
      <c r="V215" s="30"/>
      <c r="W215" s="28"/>
      <c r="X215" s="30"/>
      <c r="Y215" s="30"/>
      <c r="Z215" s="30"/>
      <c r="AA215" s="30"/>
      <c r="AB215" s="30"/>
      <c r="AC215" s="28"/>
      <c r="AD215" s="30"/>
      <c r="AE215" s="30"/>
      <c r="AF215" s="30"/>
      <c r="AG215" s="29"/>
      <c r="AH215" s="30"/>
      <c r="AI215" s="36"/>
      <c r="AJ215" s="30"/>
      <c r="AK215" s="29"/>
      <c r="AL215" s="30"/>
      <c r="AM215" s="30"/>
      <c r="AN215" s="30"/>
      <c r="AO215" s="30"/>
      <c r="AP215" s="30"/>
      <c r="AQ215" s="38"/>
      <c r="AR215" s="30"/>
      <c r="AS215" s="30"/>
      <c r="AT215" s="29"/>
      <c r="AU215" s="30"/>
      <c r="AV215" s="30"/>
      <c r="AW215" s="30"/>
      <c r="AX215" s="29"/>
      <c r="AY215" s="39"/>
      <c r="AZ215" s="30"/>
      <c r="BA215" s="30"/>
      <c r="BB215" s="29"/>
      <c r="BC215" s="52"/>
      <c r="BD215" s="30"/>
      <c r="BE215" s="29"/>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row>
    <row r="216">
      <c r="A216" s="30"/>
      <c r="B216" s="42"/>
      <c r="C216" s="43"/>
      <c r="D216" s="30"/>
      <c r="E216" s="28"/>
      <c r="F216" s="30"/>
      <c r="G216" s="30"/>
      <c r="H216" s="30"/>
      <c r="I216" s="30"/>
      <c r="J216" s="28"/>
      <c r="K216" s="30"/>
      <c r="L216" s="30"/>
      <c r="M216" s="30"/>
      <c r="N216" s="30"/>
      <c r="O216" s="28"/>
      <c r="P216" s="30"/>
      <c r="Q216" s="30"/>
      <c r="R216" s="30"/>
      <c r="S216" s="36"/>
      <c r="T216" s="30"/>
      <c r="U216" s="36"/>
      <c r="V216" s="30"/>
      <c r="W216" s="28"/>
      <c r="X216" s="30"/>
      <c r="Y216" s="30"/>
      <c r="Z216" s="30"/>
      <c r="AA216" s="30"/>
      <c r="AB216" s="30"/>
      <c r="AC216" s="28"/>
      <c r="AD216" s="30"/>
      <c r="AE216" s="30"/>
      <c r="AF216" s="30"/>
      <c r="AG216" s="29"/>
      <c r="AH216" s="30"/>
      <c r="AI216" s="36"/>
      <c r="AJ216" s="30"/>
      <c r="AK216" s="29"/>
      <c r="AL216" s="30"/>
      <c r="AM216" s="30"/>
      <c r="AN216" s="30"/>
      <c r="AO216" s="30"/>
      <c r="AP216" s="30"/>
      <c r="AQ216" s="38"/>
      <c r="AR216" s="30"/>
      <c r="AS216" s="30"/>
      <c r="AT216" s="29"/>
      <c r="AU216" s="30"/>
      <c r="AV216" s="30"/>
      <c r="AW216" s="30"/>
      <c r="AX216" s="29"/>
      <c r="AY216" s="39"/>
      <c r="AZ216" s="30"/>
      <c r="BA216" s="30"/>
      <c r="BB216" s="29"/>
      <c r="BC216" s="52"/>
      <c r="BD216" s="30"/>
      <c r="BE216" s="29"/>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row>
    <row r="217">
      <c r="A217" s="30"/>
      <c r="B217" s="42"/>
      <c r="C217" s="43"/>
      <c r="D217" s="30"/>
      <c r="E217" s="28"/>
      <c r="F217" s="30"/>
      <c r="G217" s="30"/>
      <c r="H217" s="30"/>
      <c r="I217" s="30"/>
      <c r="J217" s="28"/>
      <c r="K217" s="30"/>
      <c r="L217" s="30"/>
      <c r="M217" s="30"/>
      <c r="N217" s="30"/>
      <c r="O217" s="28"/>
      <c r="P217" s="30"/>
      <c r="Q217" s="30"/>
      <c r="R217" s="30"/>
      <c r="S217" s="36"/>
      <c r="T217" s="30"/>
      <c r="U217" s="36"/>
      <c r="V217" s="30"/>
      <c r="W217" s="28"/>
      <c r="X217" s="30"/>
      <c r="Y217" s="30"/>
      <c r="Z217" s="30"/>
      <c r="AA217" s="30"/>
      <c r="AB217" s="30"/>
      <c r="AC217" s="28"/>
      <c r="AD217" s="30"/>
      <c r="AE217" s="30"/>
      <c r="AF217" s="30"/>
      <c r="AG217" s="29"/>
      <c r="AH217" s="30"/>
      <c r="AI217" s="36"/>
      <c r="AJ217" s="30"/>
      <c r="AK217" s="29"/>
      <c r="AL217" s="30"/>
      <c r="AM217" s="30"/>
      <c r="AN217" s="30"/>
      <c r="AO217" s="30"/>
      <c r="AP217" s="30"/>
      <c r="AQ217" s="38"/>
      <c r="AR217" s="30"/>
      <c r="AS217" s="30"/>
      <c r="AT217" s="29"/>
      <c r="AU217" s="30"/>
      <c r="AV217" s="30"/>
      <c r="AW217" s="30"/>
      <c r="AX217" s="29"/>
      <c r="AY217" s="39"/>
      <c r="AZ217" s="30"/>
      <c r="BA217" s="30"/>
      <c r="BB217" s="29"/>
      <c r="BC217" s="52"/>
      <c r="BD217" s="30"/>
      <c r="BE217" s="29"/>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row>
    <row r="218">
      <c r="A218" s="30"/>
      <c r="B218" s="42"/>
      <c r="C218" s="43"/>
      <c r="D218" s="30"/>
      <c r="E218" s="28"/>
      <c r="F218" s="30"/>
      <c r="G218" s="30"/>
      <c r="H218" s="30"/>
      <c r="I218" s="30"/>
      <c r="J218" s="28"/>
      <c r="K218" s="30"/>
      <c r="L218" s="30"/>
      <c r="M218" s="30"/>
      <c r="N218" s="30"/>
      <c r="O218" s="28"/>
      <c r="P218" s="30"/>
      <c r="Q218" s="30"/>
      <c r="R218" s="30"/>
      <c r="S218" s="36"/>
      <c r="T218" s="30"/>
      <c r="U218" s="36"/>
      <c r="V218" s="30"/>
      <c r="W218" s="28"/>
      <c r="X218" s="30"/>
      <c r="Y218" s="30"/>
      <c r="Z218" s="30"/>
      <c r="AA218" s="30"/>
      <c r="AB218" s="30"/>
      <c r="AC218" s="28"/>
      <c r="AD218" s="30"/>
      <c r="AE218" s="30"/>
      <c r="AF218" s="30"/>
      <c r="AG218" s="29"/>
      <c r="AH218" s="30"/>
      <c r="AI218" s="36"/>
      <c r="AJ218" s="30"/>
      <c r="AK218" s="29"/>
      <c r="AL218" s="30"/>
      <c r="AM218" s="30"/>
      <c r="AN218" s="30"/>
      <c r="AO218" s="30"/>
      <c r="AP218" s="30"/>
      <c r="AQ218" s="38"/>
      <c r="AR218" s="30"/>
      <c r="AS218" s="30"/>
      <c r="AT218" s="29"/>
      <c r="AU218" s="30"/>
      <c r="AV218" s="30"/>
      <c r="AW218" s="30"/>
      <c r="AX218" s="29"/>
      <c r="AY218" s="39"/>
      <c r="AZ218" s="30"/>
      <c r="BA218" s="30"/>
      <c r="BB218" s="29"/>
      <c r="BC218" s="52"/>
      <c r="BD218" s="30"/>
      <c r="BE218" s="29"/>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row>
    <row r="219">
      <c r="A219" s="30"/>
      <c r="B219" s="42"/>
      <c r="C219" s="43"/>
      <c r="D219" s="30"/>
      <c r="E219" s="28"/>
      <c r="F219" s="30"/>
      <c r="G219" s="30"/>
      <c r="H219" s="30"/>
      <c r="I219" s="30"/>
      <c r="J219" s="28"/>
      <c r="K219" s="30"/>
      <c r="L219" s="30"/>
      <c r="M219" s="30"/>
      <c r="N219" s="30"/>
      <c r="O219" s="28"/>
      <c r="P219" s="30"/>
      <c r="Q219" s="30"/>
      <c r="R219" s="30"/>
      <c r="S219" s="36"/>
      <c r="T219" s="30"/>
      <c r="U219" s="36"/>
      <c r="V219" s="30"/>
      <c r="W219" s="28"/>
      <c r="X219" s="30"/>
      <c r="Y219" s="30"/>
      <c r="Z219" s="30"/>
      <c r="AA219" s="30"/>
      <c r="AB219" s="30"/>
      <c r="AC219" s="28"/>
      <c r="AD219" s="30"/>
      <c r="AE219" s="30"/>
      <c r="AF219" s="30"/>
      <c r="AG219" s="29"/>
      <c r="AH219" s="30"/>
      <c r="AI219" s="36"/>
      <c r="AJ219" s="30"/>
      <c r="AK219" s="29"/>
      <c r="AL219" s="30"/>
      <c r="AM219" s="30"/>
      <c r="AN219" s="30"/>
      <c r="AO219" s="30"/>
      <c r="AP219" s="30"/>
      <c r="AQ219" s="38"/>
      <c r="AR219" s="30"/>
      <c r="AS219" s="30"/>
      <c r="AT219" s="29"/>
      <c r="AU219" s="30"/>
      <c r="AV219" s="30"/>
      <c r="AW219" s="30"/>
      <c r="AX219" s="29"/>
      <c r="AY219" s="39"/>
      <c r="AZ219" s="30"/>
      <c r="BA219" s="30"/>
      <c r="BB219" s="29"/>
      <c r="BC219" s="52"/>
      <c r="BD219" s="30"/>
      <c r="BE219" s="29"/>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row>
    <row r="220">
      <c r="A220" s="30"/>
      <c r="B220" s="42"/>
      <c r="C220" s="43"/>
      <c r="D220" s="30"/>
      <c r="E220" s="28"/>
      <c r="F220" s="30"/>
      <c r="G220" s="30"/>
      <c r="H220" s="30"/>
      <c r="I220" s="30"/>
      <c r="J220" s="28"/>
      <c r="K220" s="30"/>
      <c r="L220" s="30"/>
      <c r="M220" s="30"/>
      <c r="N220" s="30"/>
      <c r="O220" s="28"/>
      <c r="P220" s="30"/>
      <c r="Q220" s="30"/>
      <c r="R220" s="30"/>
      <c r="S220" s="36"/>
      <c r="T220" s="30"/>
      <c r="U220" s="36"/>
      <c r="V220" s="30"/>
      <c r="W220" s="28"/>
      <c r="X220" s="30"/>
      <c r="Y220" s="30"/>
      <c r="Z220" s="30"/>
      <c r="AA220" s="30"/>
      <c r="AB220" s="30"/>
      <c r="AC220" s="28"/>
      <c r="AD220" s="30"/>
      <c r="AE220" s="30"/>
      <c r="AF220" s="30"/>
      <c r="AG220" s="29"/>
      <c r="AH220" s="30"/>
      <c r="AI220" s="36"/>
      <c r="AJ220" s="30"/>
      <c r="AK220" s="29"/>
      <c r="AL220" s="30"/>
      <c r="AM220" s="30"/>
      <c r="AN220" s="30"/>
      <c r="AO220" s="30"/>
      <c r="AP220" s="30"/>
      <c r="AQ220" s="38"/>
      <c r="AR220" s="30"/>
      <c r="AS220" s="30"/>
      <c r="AT220" s="29"/>
      <c r="AU220" s="30"/>
      <c r="AV220" s="30"/>
      <c r="AW220" s="30"/>
      <c r="AX220" s="29"/>
      <c r="AY220" s="39"/>
      <c r="AZ220" s="30"/>
      <c r="BA220" s="30"/>
      <c r="BB220" s="29"/>
      <c r="BC220" s="52"/>
      <c r="BD220" s="30"/>
      <c r="BE220" s="29"/>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row>
    <row r="221">
      <c r="A221" s="30"/>
      <c r="B221" s="42"/>
      <c r="C221" s="43"/>
      <c r="D221" s="30"/>
      <c r="E221" s="28"/>
      <c r="F221" s="30"/>
      <c r="G221" s="30"/>
      <c r="H221" s="30"/>
      <c r="I221" s="30"/>
      <c r="J221" s="28"/>
      <c r="K221" s="30"/>
      <c r="L221" s="30"/>
      <c r="M221" s="30"/>
      <c r="N221" s="30"/>
      <c r="O221" s="28"/>
      <c r="P221" s="30"/>
      <c r="Q221" s="30"/>
      <c r="R221" s="30"/>
      <c r="S221" s="36"/>
      <c r="T221" s="30"/>
      <c r="U221" s="36"/>
      <c r="V221" s="30"/>
      <c r="W221" s="28"/>
      <c r="X221" s="30"/>
      <c r="Y221" s="30"/>
      <c r="Z221" s="30"/>
      <c r="AA221" s="30"/>
      <c r="AB221" s="30"/>
      <c r="AC221" s="28"/>
      <c r="AD221" s="30"/>
      <c r="AE221" s="30"/>
      <c r="AF221" s="30"/>
      <c r="AG221" s="29"/>
      <c r="AH221" s="30"/>
      <c r="AI221" s="36"/>
      <c r="AJ221" s="30"/>
      <c r="AK221" s="29"/>
      <c r="AL221" s="30"/>
      <c r="AM221" s="30"/>
      <c r="AN221" s="30"/>
      <c r="AO221" s="30"/>
      <c r="AP221" s="30"/>
      <c r="AQ221" s="38"/>
      <c r="AR221" s="30"/>
      <c r="AS221" s="30"/>
      <c r="AT221" s="29"/>
      <c r="AU221" s="30"/>
      <c r="AV221" s="30"/>
      <c r="AW221" s="30"/>
      <c r="AX221" s="29"/>
      <c r="AY221" s="39"/>
      <c r="AZ221" s="30"/>
      <c r="BA221" s="30"/>
      <c r="BB221" s="29"/>
      <c r="BC221" s="52"/>
      <c r="BD221" s="30"/>
      <c r="BE221" s="29"/>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row>
    <row r="222">
      <c r="A222" s="30"/>
      <c r="B222" s="42"/>
      <c r="C222" s="43"/>
      <c r="D222" s="30"/>
      <c r="E222" s="28"/>
      <c r="F222" s="30"/>
      <c r="G222" s="30"/>
      <c r="H222" s="30"/>
      <c r="I222" s="30"/>
      <c r="J222" s="28"/>
      <c r="K222" s="30"/>
      <c r="L222" s="30"/>
      <c r="M222" s="30"/>
      <c r="N222" s="30"/>
      <c r="O222" s="28"/>
      <c r="P222" s="30"/>
      <c r="Q222" s="30"/>
      <c r="R222" s="30"/>
      <c r="S222" s="36"/>
      <c r="T222" s="30"/>
      <c r="U222" s="36"/>
      <c r="V222" s="30"/>
      <c r="W222" s="28"/>
      <c r="X222" s="30"/>
      <c r="Y222" s="30"/>
      <c r="Z222" s="30"/>
      <c r="AA222" s="30"/>
      <c r="AB222" s="30"/>
      <c r="AC222" s="28"/>
      <c r="AD222" s="30"/>
      <c r="AE222" s="30"/>
      <c r="AF222" s="30"/>
      <c r="AG222" s="29"/>
      <c r="AH222" s="30"/>
      <c r="AI222" s="36"/>
      <c r="AJ222" s="30"/>
      <c r="AK222" s="29"/>
      <c r="AL222" s="30"/>
      <c r="AM222" s="30"/>
      <c r="AN222" s="30"/>
      <c r="AO222" s="30"/>
      <c r="AP222" s="30"/>
      <c r="AQ222" s="38"/>
      <c r="AR222" s="30"/>
      <c r="AS222" s="30"/>
      <c r="AT222" s="29"/>
      <c r="AU222" s="30"/>
      <c r="AV222" s="30"/>
      <c r="AW222" s="30"/>
      <c r="AX222" s="29"/>
      <c r="AY222" s="39"/>
      <c r="AZ222" s="30"/>
      <c r="BA222" s="30"/>
      <c r="BB222" s="29"/>
      <c r="BC222" s="52"/>
      <c r="BD222" s="30"/>
      <c r="BE222" s="29"/>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row>
    <row r="223">
      <c r="A223" s="30"/>
      <c r="B223" s="42"/>
      <c r="C223" s="43"/>
      <c r="D223" s="30"/>
      <c r="E223" s="28"/>
      <c r="F223" s="30"/>
      <c r="G223" s="30"/>
      <c r="H223" s="30"/>
      <c r="I223" s="30"/>
      <c r="J223" s="28"/>
      <c r="K223" s="30"/>
      <c r="L223" s="30"/>
      <c r="M223" s="30"/>
      <c r="N223" s="30"/>
      <c r="O223" s="28"/>
      <c r="P223" s="30"/>
      <c r="Q223" s="30"/>
      <c r="R223" s="30"/>
      <c r="S223" s="36"/>
      <c r="T223" s="30"/>
      <c r="U223" s="36"/>
      <c r="V223" s="30"/>
      <c r="W223" s="28"/>
      <c r="X223" s="30"/>
      <c r="Y223" s="30"/>
      <c r="Z223" s="30"/>
      <c r="AA223" s="30"/>
      <c r="AB223" s="30"/>
      <c r="AC223" s="28"/>
      <c r="AD223" s="30"/>
      <c r="AE223" s="30"/>
      <c r="AF223" s="30"/>
      <c r="AG223" s="29"/>
      <c r="AH223" s="30"/>
      <c r="AI223" s="36"/>
      <c r="AJ223" s="30"/>
      <c r="AK223" s="29"/>
      <c r="AL223" s="30"/>
      <c r="AM223" s="30"/>
      <c r="AN223" s="30"/>
      <c r="AO223" s="30"/>
      <c r="AP223" s="30"/>
      <c r="AQ223" s="38"/>
      <c r="AR223" s="30"/>
      <c r="AS223" s="30"/>
      <c r="AT223" s="29"/>
      <c r="AU223" s="30"/>
      <c r="AV223" s="30"/>
      <c r="AW223" s="30"/>
      <c r="AX223" s="29"/>
      <c r="AY223" s="39"/>
      <c r="AZ223" s="30"/>
      <c r="BA223" s="30"/>
      <c r="BB223" s="29"/>
      <c r="BC223" s="52"/>
      <c r="BD223" s="30"/>
      <c r="BE223" s="29"/>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row>
    <row r="224">
      <c r="A224" s="30"/>
      <c r="B224" s="42"/>
      <c r="C224" s="43"/>
      <c r="D224" s="30"/>
      <c r="E224" s="28"/>
      <c r="F224" s="30"/>
      <c r="G224" s="30"/>
      <c r="H224" s="30"/>
      <c r="I224" s="30"/>
      <c r="J224" s="28"/>
      <c r="K224" s="30"/>
      <c r="L224" s="30"/>
      <c r="M224" s="30"/>
      <c r="N224" s="30"/>
      <c r="O224" s="28"/>
      <c r="P224" s="30"/>
      <c r="Q224" s="30"/>
      <c r="R224" s="30"/>
      <c r="S224" s="36"/>
      <c r="T224" s="30"/>
      <c r="U224" s="36"/>
      <c r="V224" s="30"/>
      <c r="W224" s="28"/>
      <c r="X224" s="30"/>
      <c r="Y224" s="30"/>
      <c r="Z224" s="30"/>
      <c r="AA224" s="30"/>
      <c r="AB224" s="30"/>
      <c r="AC224" s="28"/>
      <c r="AD224" s="30"/>
      <c r="AE224" s="30"/>
      <c r="AF224" s="30"/>
      <c r="AG224" s="29"/>
      <c r="AH224" s="30"/>
      <c r="AI224" s="36"/>
      <c r="AJ224" s="30"/>
      <c r="AK224" s="29"/>
      <c r="AL224" s="30"/>
      <c r="AM224" s="30"/>
      <c r="AN224" s="30"/>
      <c r="AO224" s="30"/>
      <c r="AP224" s="30"/>
      <c r="AQ224" s="38"/>
      <c r="AR224" s="30"/>
      <c r="AS224" s="30"/>
      <c r="AT224" s="29"/>
      <c r="AU224" s="30"/>
      <c r="AV224" s="30"/>
      <c r="AW224" s="30"/>
      <c r="AX224" s="29"/>
      <c r="AY224" s="39"/>
      <c r="AZ224" s="30"/>
      <c r="BA224" s="30"/>
      <c r="BB224" s="29"/>
      <c r="BC224" s="52"/>
      <c r="BD224" s="30"/>
      <c r="BE224" s="29"/>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row>
    <row r="225">
      <c r="A225" s="30"/>
      <c r="B225" s="42"/>
      <c r="C225" s="43"/>
      <c r="D225" s="30"/>
      <c r="E225" s="28"/>
      <c r="F225" s="30"/>
      <c r="G225" s="30"/>
      <c r="H225" s="30"/>
      <c r="I225" s="30"/>
      <c r="J225" s="28"/>
      <c r="K225" s="30"/>
      <c r="L225" s="30"/>
      <c r="M225" s="30"/>
      <c r="N225" s="30"/>
      <c r="O225" s="28"/>
      <c r="P225" s="30"/>
      <c r="Q225" s="30"/>
      <c r="R225" s="30"/>
      <c r="S225" s="36"/>
      <c r="T225" s="30"/>
      <c r="U225" s="36"/>
      <c r="V225" s="30"/>
      <c r="W225" s="28"/>
      <c r="X225" s="30"/>
      <c r="Y225" s="30"/>
      <c r="Z225" s="30"/>
      <c r="AA225" s="30"/>
      <c r="AB225" s="30"/>
      <c r="AC225" s="28"/>
      <c r="AD225" s="30"/>
      <c r="AE225" s="30"/>
      <c r="AF225" s="30"/>
      <c r="AG225" s="29"/>
      <c r="AH225" s="30"/>
      <c r="AI225" s="36"/>
      <c r="AJ225" s="30"/>
      <c r="AK225" s="29"/>
      <c r="AL225" s="30"/>
      <c r="AM225" s="30"/>
      <c r="AN225" s="30"/>
      <c r="AO225" s="30"/>
      <c r="AP225" s="30"/>
      <c r="AQ225" s="38"/>
      <c r="AR225" s="30"/>
      <c r="AS225" s="30"/>
      <c r="AT225" s="29"/>
      <c r="AU225" s="30"/>
      <c r="AV225" s="30"/>
      <c r="AW225" s="30"/>
      <c r="AX225" s="29"/>
      <c r="AY225" s="39"/>
      <c r="AZ225" s="30"/>
      <c r="BA225" s="30"/>
      <c r="BB225" s="29"/>
      <c r="BC225" s="52"/>
      <c r="BD225" s="30"/>
      <c r="BE225" s="29"/>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row>
    <row r="226">
      <c r="A226" s="30"/>
      <c r="B226" s="42"/>
      <c r="C226" s="43"/>
      <c r="D226" s="30"/>
      <c r="E226" s="28"/>
      <c r="F226" s="30"/>
      <c r="G226" s="30"/>
      <c r="H226" s="30"/>
      <c r="I226" s="30"/>
      <c r="J226" s="28"/>
      <c r="K226" s="30"/>
      <c r="L226" s="30"/>
      <c r="M226" s="30"/>
      <c r="N226" s="30"/>
      <c r="O226" s="28"/>
      <c r="P226" s="30"/>
      <c r="Q226" s="30"/>
      <c r="R226" s="30"/>
      <c r="S226" s="36"/>
      <c r="T226" s="30"/>
      <c r="U226" s="36"/>
      <c r="V226" s="30"/>
      <c r="W226" s="28"/>
      <c r="X226" s="30"/>
      <c r="Y226" s="30"/>
      <c r="Z226" s="30"/>
      <c r="AA226" s="30"/>
      <c r="AB226" s="30"/>
      <c r="AC226" s="28"/>
      <c r="AD226" s="30"/>
      <c r="AE226" s="30"/>
      <c r="AF226" s="30"/>
      <c r="AG226" s="29"/>
      <c r="AH226" s="30"/>
      <c r="AI226" s="36"/>
      <c r="AJ226" s="30"/>
      <c r="AK226" s="29"/>
      <c r="AL226" s="30"/>
      <c r="AM226" s="30"/>
      <c r="AN226" s="30"/>
      <c r="AO226" s="30"/>
      <c r="AP226" s="30"/>
      <c r="AQ226" s="38"/>
      <c r="AR226" s="30"/>
      <c r="AS226" s="30"/>
      <c r="AT226" s="29"/>
      <c r="AU226" s="30"/>
      <c r="AV226" s="30"/>
      <c r="AW226" s="30"/>
      <c r="AX226" s="29"/>
      <c r="AY226" s="39"/>
      <c r="AZ226" s="30"/>
      <c r="BA226" s="30"/>
      <c r="BB226" s="29"/>
      <c r="BC226" s="52"/>
      <c r="BD226" s="30"/>
      <c r="BE226" s="29"/>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row>
    <row r="227">
      <c r="A227" s="30"/>
      <c r="B227" s="42"/>
      <c r="C227" s="43"/>
      <c r="D227" s="30"/>
      <c r="E227" s="28"/>
      <c r="F227" s="30"/>
      <c r="G227" s="30"/>
      <c r="H227" s="30"/>
      <c r="I227" s="30"/>
      <c r="J227" s="28"/>
      <c r="K227" s="30"/>
      <c r="L227" s="30"/>
      <c r="M227" s="30"/>
      <c r="N227" s="30"/>
      <c r="O227" s="28"/>
      <c r="P227" s="30"/>
      <c r="Q227" s="30"/>
      <c r="R227" s="30"/>
      <c r="S227" s="36"/>
      <c r="T227" s="30"/>
      <c r="U227" s="36"/>
      <c r="V227" s="30"/>
      <c r="W227" s="28"/>
      <c r="X227" s="30"/>
      <c r="Y227" s="30"/>
      <c r="Z227" s="30"/>
      <c r="AA227" s="30"/>
      <c r="AB227" s="30"/>
      <c r="AC227" s="28"/>
      <c r="AD227" s="30"/>
      <c r="AE227" s="30"/>
      <c r="AF227" s="30"/>
      <c r="AG227" s="29"/>
      <c r="AH227" s="30"/>
      <c r="AI227" s="36"/>
      <c r="AJ227" s="30"/>
      <c r="AK227" s="29"/>
      <c r="AL227" s="30"/>
      <c r="AM227" s="30"/>
      <c r="AN227" s="30"/>
      <c r="AO227" s="30"/>
      <c r="AP227" s="30"/>
      <c r="AQ227" s="38"/>
      <c r="AR227" s="30"/>
      <c r="AS227" s="30"/>
      <c r="AT227" s="29"/>
      <c r="AU227" s="30"/>
      <c r="AV227" s="30"/>
      <c r="AW227" s="30"/>
      <c r="AX227" s="29"/>
      <c r="AY227" s="39"/>
      <c r="AZ227" s="30"/>
      <c r="BA227" s="30"/>
      <c r="BB227" s="29"/>
      <c r="BC227" s="52"/>
      <c r="BD227" s="30"/>
      <c r="BE227" s="29"/>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row>
    <row r="228">
      <c r="A228" s="30"/>
      <c r="B228" s="42"/>
      <c r="C228" s="43"/>
      <c r="D228" s="30"/>
      <c r="E228" s="28"/>
      <c r="F228" s="30"/>
      <c r="G228" s="30"/>
      <c r="H228" s="30"/>
      <c r="I228" s="30"/>
      <c r="J228" s="28"/>
      <c r="K228" s="30"/>
      <c r="L228" s="30"/>
      <c r="M228" s="30"/>
      <c r="N228" s="30"/>
      <c r="O228" s="28"/>
      <c r="P228" s="30"/>
      <c r="Q228" s="30"/>
      <c r="R228" s="30"/>
      <c r="S228" s="36"/>
      <c r="T228" s="30"/>
      <c r="U228" s="36"/>
      <c r="V228" s="30"/>
      <c r="W228" s="28"/>
      <c r="X228" s="30"/>
      <c r="Y228" s="30"/>
      <c r="Z228" s="30"/>
      <c r="AA228" s="30"/>
      <c r="AB228" s="30"/>
      <c r="AC228" s="28"/>
      <c r="AD228" s="30"/>
      <c r="AE228" s="30"/>
      <c r="AF228" s="30"/>
      <c r="AG228" s="29"/>
      <c r="AH228" s="30"/>
      <c r="AI228" s="36"/>
      <c r="AJ228" s="30"/>
      <c r="AK228" s="29"/>
      <c r="AL228" s="30"/>
      <c r="AM228" s="30"/>
      <c r="AN228" s="30"/>
      <c r="AO228" s="30"/>
      <c r="AP228" s="30"/>
      <c r="AQ228" s="38"/>
      <c r="AR228" s="30"/>
      <c r="AS228" s="30"/>
      <c r="AT228" s="29"/>
      <c r="AU228" s="30"/>
      <c r="AV228" s="30"/>
      <c r="AW228" s="30"/>
      <c r="AX228" s="29"/>
      <c r="AY228" s="39"/>
      <c r="AZ228" s="30"/>
      <c r="BA228" s="30"/>
      <c r="BB228" s="29"/>
      <c r="BC228" s="52"/>
      <c r="BD228" s="30"/>
      <c r="BE228" s="29"/>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row>
    <row r="229">
      <c r="A229" s="30"/>
      <c r="B229" s="42"/>
      <c r="C229" s="43"/>
      <c r="D229" s="30"/>
      <c r="E229" s="28"/>
      <c r="F229" s="30"/>
      <c r="G229" s="30"/>
      <c r="H229" s="30"/>
      <c r="I229" s="30"/>
      <c r="J229" s="28"/>
      <c r="K229" s="30"/>
      <c r="L229" s="30"/>
      <c r="M229" s="30"/>
      <c r="N229" s="30"/>
      <c r="O229" s="28"/>
      <c r="P229" s="30"/>
      <c r="Q229" s="30"/>
      <c r="R229" s="30"/>
      <c r="S229" s="36"/>
      <c r="T229" s="30"/>
      <c r="U229" s="36"/>
      <c r="V229" s="30"/>
      <c r="W229" s="28"/>
      <c r="X229" s="30"/>
      <c r="Y229" s="30"/>
      <c r="Z229" s="30"/>
      <c r="AA229" s="30"/>
      <c r="AB229" s="30"/>
      <c r="AC229" s="28"/>
      <c r="AD229" s="30"/>
      <c r="AE229" s="30"/>
      <c r="AF229" s="30"/>
      <c r="AG229" s="29"/>
      <c r="AH229" s="30"/>
      <c r="AI229" s="36"/>
      <c r="AJ229" s="30"/>
      <c r="AK229" s="29"/>
      <c r="AL229" s="30"/>
      <c r="AM229" s="30"/>
      <c r="AN229" s="30"/>
      <c r="AO229" s="30"/>
      <c r="AP229" s="30"/>
      <c r="AQ229" s="38"/>
      <c r="AR229" s="30"/>
      <c r="AS229" s="30"/>
      <c r="AT229" s="29"/>
      <c r="AU229" s="30"/>
      <c r="AV229" s="30"/>
      <c r="AW229" s="30"/>
      <c r="AX229" s="29"/>
      <c r="AY229" s="39"/>
      <c r="AZ229" s="30"/>
      <c r="BA229" s="30"/>
      <c r="BB229" s="29"/>
      <c r="BC229" s="52"/>
      <c r="BD229" s="30"/>
      <c r="BE229" s="29"/>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row>
    <row r="230">
      <c r="A230" s="30"/>
      <c r="B230" s="42"/>
      <c r="C230" s="43"/>
      <c r="D230" s="30"/>
      <c r="E230" s="28"/>
      <c r="F230" s="30"/>
      <c r="G230" s="30"/>
      <c r="H230" s="30"/>
      <c r="I230" s="30"/>
      <c r="J230" s="28"/>
      <c r="K230" s="30"/>
      <c r="L230" s="30"/>
      <c r="M230" s="30"/>
      <c r="N230" s="30"/>
      <c r="O230" s="28"/>
      <c r="P230" s="30"/>
      <c r="Q230" s="30"/>
      <c r="R230" s="30"/>
      <c r="S230" s="36"/>
      <c r="T230" s="30"/>
      <c r="U230" s="36"/>
      <c r="V230" s="30"/>
      <c r="W230" s="28"/>
      <c r="X230" s="30"/>
      <c r="Y230" s="30"/>
      <c r="Z230" s="30"/>
      <c r="AA230" s="30"/>
      <c r="AB230" s="30"/>
      <c r="AC230" s="28"/>
      <c r="AD230" s="30"/>
      <c r="AE230" s="30"/>
      <c r="AF230" s="30"/>
      <c r="AG230" s="29"/>
      <c r="AH230" s="30"/>
      <c r="AI230" s="36"/>
      <c r="AJ230" s="30"/>
      <c r="AK230" s="29"/>
      <c r="AL230" s="30"/>
      <c r="AM230" s="30"/>
      <c r="AN230" s="30"/>
      <c r="AO230" s="30"/>
      <c r="AP230" s="30"/>
      <c r="AQ230" s="38"/>
      <c r="AR230" s="30"/>
      <c r="AS230" s="30"/>
      <c r="AT230" s="29"/>
      <c r="AU230" s="30"/>
      <c r="AV230" s="30"/>
      <c r="AW230" s="30"/>
      <c r="AX230" s="29"/>
      <c r="AY230" s="39"/>
      <c r="AZ230" s="30"/>
      <c r="BA230" s="30"/>
      <c r="BB230" s="29"/>
      <c r="BC230" s="52"/>
      <c r="BD230" s="30"/>
      <c r="BE230" s="29"/>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row>
    <row r="231">
      <c r="A231" s="30"/>
      <c r="B231" s="42"/>
      <c r="C231" s="43"/>
      <c r="D231" s="30"/>
      <c r="E231" s="28"/>
      <c r="F231" s="30"/>
      <c r="G231" s="30"/>
      <c r="H231" s="30"/>
      <c r="I231" s="30"/>
      <c r="J231" s="28"/>
      <c r="K231" s="30"/>
      <c r="L231" s="30"/>
      <c r="M231" s="30"/>
      <c r="N231" s="30"/>
      <c r="O231" s="28"/>
      <c r="P231" s="30"/>
      <c r="Q231" s="30"/>
      <c r="R231" s="30"/>
      <c r="S231" s="36"/>
      <c r="T231" s="30"/>
      <c r="U231" s="36"/>
      <c r="V231" s="30"/>
      <c r="W231" s="28"/>
      <c r="X231" s="30"/>
      <c r="Y231" s="30"/>
      <c r="Z231" s="30"/>
      <c r="AA231" s="30"/>
      <c r="AB231" s="30"/>
      <c r="AC231" s="28"/>
      <c r="AD231" s="30"/>
      <c r="AE231" s="30"/>
      <c r="AF231" s="30"/>
      <c r="AG231" s="29"/>
      <c r="AH231" s="30"/>
      <c r="AI231" s="36"/>
      <c r="AJ231" s="30"/>
      <c r="AK231" s="29"/>
      <c r="AL231" s="30"/>
      <c r="AM231" s="30"/>
      <c r="AN231" s="30"/>
      <c r="AO231" s="30"/>
      <c r="AP231" s="30"/>
      <c r="AQ231" s="38"/>
      <c r="AR231" s="30"/>
      <c r="AS231" s="30"/>
      <c r="AT231" s="29"/>
      <c r="AU231" s="30"/>
      <c r="AV231" s="30"/>
      <c r="AW231" s="30"/>
      <c r="AX231" s="29"/>
      <c r="AY231" s="39"/>
      <c r="AZ231" s="30"/>
      <c r="BA231" s="30"/>
      <c r="BB231" s="29"/>
      <c r="BC231" s="52"/>
      <c r="BD231" s="30"/>
      <c r="BE231" s="29"/>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row>
    <row r="232">
      <c r="A232" s="30"/>
      <c r="B232" s="42"/>
      <c r="C232" s="43"/>
      <c r="D232" s="30"/>
      <c r="E232" s="28"/>
      <c r="F232" s="30"/>
      <c r="G232" s="30"/>
      <c r="H232" s="30"/>
      <c r="I232" s="30"/>
      <c r="J232" s="28"/>
      <c r="K232" s="30"/>
      <c r="L232" s="30"/>
      <c r="M232" s="30"/>
      <c r="N232" s="30"/>
      <c r="O232" s="28"/>
      <c r="P232" s="30"/>
      <c r="Q232" s="30"/>
      <c r="R232" s="30"/>
      <c r="S232" s="36"/>
      <c r="T232" s="30"/>
      <c r="U232" s="36"/>
      <c r="V232" s="30"/>
      <c r="W232" s="28"/>
      <c r="X232" s="30"/>
      <c r="Y232" s="30"/>
      <c r="Z232" s="30"/>
      <c r="AA232" s="30"/>
      <c r="AB232" s="30"/>
      <c r="AC232" s="28"/>
      <c r="AD232" s="30"/>
      <c r="AE232" s="30"/>
      <c r="AF232" s="30"/>
      <c r="AG232" s="29"/>
      <c r="AH232" s="30"/>
      <c r="AI232" s="36"/>
      <c r="AJ232" s="30"/>
      <c r="AK232" s="29"/>
      <c r="AL232" s="30"/>
      <c r="AM232" s="30"/>
      <c r="AN232" s="30"/>
      <c r="AO232" s="30"/>
      <c r="AP232" s="30"/>
      <c r="AQ232" s="38"/>
      <c r="AR232" s="30"/>
      <c r="AS232" s="30"/>
      <c r="AT232" s="29"/>
      <c r="AU232" s="30"/>
      <c r="AV232" s="30"/>
      <c r="AW232" s="30"/>
      <c r="AX232" s="29"/>
      <c r="AY232" s="39"/>
      <c r="AZ232" s="30"/>
      <c r="BA232" s="30"/>
      <c r="BB232" s="29"/>
      <c r="BC232" s="52"/>
      <c r="BD232" s="30"/>
      <c r="BE232" s="29"/>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row>
    <row r="233">
      <c r="A233" s="30"/>
      <c r="B233" s="42"/>
      <c r="C233" s="43"/>
      <c r="D233" s="30"/>
      <c r="E233" s="28"/>
      <c r="F233" s="30"/>
      <c r="G233" s="30"/>
      <c r="H233" s="30"/>
      <c r="I233" s="30"/>
      <c r="J233" s="28"/>
      <c r="K233" s="30"/>
      <c r="L233" s="30"/>
      <c r="M233" s="30"/>
      <c r="N233" s="30"/>
      <c r="O233" s="28"/>
      <c r="P233" s="30"/>
      <c r="Q233" s="30"/>
      <c r="R233" s="30"/>
      <c r="S233" s="36"/>
      <c r="T233" s="30"/>
      <c r="U233" s="36"/>
      <c r="V233" s="30"/>
      <c r="W233" s="28"/>
      <c r="X233" s="30"/>
      <c r="Y233" s="30"/>
      <c r="Z233" s="30"/>
      <c r="AA233" s="30"/>
      <c r="AB233" s="30"/>
      <c r="AC233" s="28"/>
      <c r="AD233" s="30"/>
      <c r="AE233" s="30"/>
      <c r="AF233" s="30"/>
      <c r="AG233" s="29"/>
      <c r="AH233" s="30"/>
      <c r="AI233" s="36"/>
      <c r="AJ233" s="30"/>
      <c r="AK233" s="29"/>
      <c r="AL233" s="30"/>
      <c r="AM233" s="30"/>
      <c r="AN233" s="30"/>
      <c r="AO233" s="30"/>
      <c r="AP233" s="30"/>
      <c r="AQ233" s="38"/>
      <c r="AR233" s="30"/>
      <c r="AS233" s="30"/>
      <c r="AT233" s="29"/>
      <c r="AU233" s="30"/>
      <c r="AV233" s="30"/>
      <c r="AW233" s="30"/>
      <c r="AX233" s="29"/>
      <c r="AY233" s="39"/>
      <c r="AZ233" s="30"/>
      <c r="BA233" s="30"/>
      <c r="BB233" s="29"/>
      <c r="BC233" s="52"/>
      <c r="BD233" s="30"/>
      <c r="BE233" s="29"/>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row>
    <row r="234">
      <c r="A234" s="30"/>
      <c r="B234" s="42"/>
      <c r="C234" s="43"/>
      <c r="D234" s="30"/>
      <c r="E234" s="28"/>
      <c r="F234" s="30"/>
      <c r="G234" s="30"/>
      <c r="H234" s="30"/>
      <c r="I234" s="30"/>
      <c r="J234" s="28"/>
      <c r="K234" s="30"/>
      <c r="L234" s="30"/>
      <c r="M234" s="30"/>
      <c r="N234" s="30"/>
      <c r="O234" s="28"/>
      <c r="P234" s="30"/>
      <c r="Q234" s="30"/>
      <c r="R234" s="30"/>
      <c r="S234" s="36"/>
      <c r="T234" s="30"/>
      <c r="U234" s="36"/>
      <c r="V234" s="30"/>
      <c r="W234" s="28"/>
      <c r="X234" s="30"/>
      <c r="Y234" s="30"/>
      <c r="Z234" s="30"/>
      <c r="AA234" s="30"/>
      <c r="AB234" s="30"/>
      <c r="AC234" s="28"/>
      <c r="AD234" s="30"/>
      <c r="AE234" s="30"/>
      <c r="AF234" s="30"/>
      <c r="AG234" s="29"/>
      <c r="AH234" s="30"/>
      <c r="AI234" s="36"/>
      <c r="AJ234" s="30"/>
      <c r="AK234" s="29"/>
      <c r="AL234" s="30"/>
      <c r="AM234" s="30"/>
      <c r="AN234" s="30"/>
      <c r="AO234" s="30"/>
      <c r="AP234" s="30"/>
      <c r="AQ234" s="38"/>
      <c r="AR234" s="30"/>
      <c r="AS234" s="30"/>
      <c r="AT234" s="29"/>
      <c r="AU234" s="30"/>
      <c r="AV234" s="30"/>
      <c r="AW234" s="30"/>
      <c r="AX234" s="29"/>
      <c r="AY234" s="39"/>
      <c r="AZ234" s="30"/>
      <c r="BA234" s="30"/>
      <c r="BB234" s="29"/>
      <c r="BC234" s="52"/>
      <c r="BD234" s="30"/>
      <c r="BE234" s="29"/>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row>
    <row r="235">
      <c r="A235" s="30"/>
      <c r="B235" s="42"/>
      <c r="C235" s="43"/>
      <c r="D235" s="30"/>
      <c r="E235" s="28"/>
      <c r="F235" s="30"/>
      <c r="G235" s="30"/>
      <c r="H235" s="30"/>
      <c r="I235" s="30"/>
      <c r="J235" s="28"/>
      <c r="K235" s="30"/>
      <c r="L235" s="30"/>
      <c r="M235" s="30"/>
      <c r="N235" s="30"/>
      <c r="O235" s="28"/>
      <c r="P235" s="30"/>
      <c r="Q235" s="30"/>
      <c r="R235" s="30"/>
      <c r="S235" s="36"/>
      <c r="T235" s="30"/>
      <c r="U235" s="36"/>
      <c r="V235" s="30"/>
      <c r="W235" s="28"/>
      <c r="X235" s="30"/>
      <c r="Y235" s="30"/>
      <c r="Z235" s="30"/>
      <c r="AA235" s="30"/>
      <c r="AB235" s="30"/>
      <c r="AC235" s="28"/>
      <c r="AD235" s="30"/>
      <c r="AE235" s="30"/>
      <c r="AF235" s="30"/>
      <c r="AG235" s="29"/>
      <c r="AH235" s="30"/>
      <c r="AI235" s="36"/>
      <c r="AJ235" s="30"/>
      <c r="AK235" s="29"/>
      <c r="AL235" s="30"/>
      <c r="AM235" s="30"/>
      <c r="AN235" s="30"/>
      <c r="AO235" s="30"/>
      <c r="AP235" s="30"/>
      <c r="AQ235" s="38"/>
      <c r="AR235" s="30"/>
      <c r="AS235" s="30"/>
      <c r="AT235" s="29"/>
      <c r="AU235" s="30"/>
      <c r="AV235" s="30"/>
      <c r="AW235" s="30"/>
      <c r="AX235" s="29"/>
      <c r="AY235" s="39"/>
      <c r="AZ235" s="30"/>
      <c r="BA235" s="30"/>
      <c r="BB235" s="29"/>
      <c r="BC235" s="52"/>
      <c r="BD235" s="30"/>
      <c r="BE235" s="29"/>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row>
    <row r="236">
      <c r="A236" s="30"/>
      <c r="B236" s="42"/>
      <c r="C236" s="43"/>
      <c r="D236" s="30"/>
      <c r="E236" s="28"/>
      <c r="F236" s="30"/>
      <c r="G236" s="30"/>
      <c r="H236" s="30"/>
      <c r="I236" s="30"/>
      <c r="J236" s="28"/>
      <c r="K236" s="30"/>
      <c r="L236" s="30"/>
      <c r="M236" s="30"/>
      <c r="N236" s="30"/>
      <c r="O236" s="28"/>
      <c r="P236" s="30"/>
      <c r="Q236" s="30"/>
      <c r="R236" s="30"/>
      <c r="S236" s="36"/>
      <c r="T236" s="30"/>
      <c r="U236" s="36"/>
      <c r="V236" s="30"/>
      <c r="W236" s="28"/>
      <c r="X236" s="30"/>
      <c r="Y236" s="30"/>
      <c r="Z236" s="30"/>
      <c r="AA236" s="30"/>
      <c r="AB236" s="30"/>
      <c r="AC236" s="28"/>
      <c r="AD236" s="30"/>
      <c r="AE236" s="30"/>
      <c r="AF236" s="30"/>
      <c r="AG236" s="29"/>
      <c r="AH236" s="30"/>
      <c r="AI236" s="36"/>
      <c r="AJ236" s="30"/>
      <c r="AK236" s="29"/>
      <c r="AL236" s="30"/>
      <c r="AM236" s="30"/>
      <c r="AN236" s="30"/>
      <c r="AO236" s="30"/>
      <c r="AP236" s="30"/>
      <c r="AQ236" s="38"/>
      <c r="AR236" s="30"/>
      <c r="AS236" s="30"/>
      <c r="AT236" s="29"/>
      <c r="AU236" s="30"/>
      <c r="AV236" s="30"/>
      <c r="AW236" s="30"/>
      <c r="AX236" s="29"/>
      <c r="AY236" s="39"/>
      <c r="AZ236" s="30"/>
      <c r="BA236" s="30"/>
      <c r="BB236" s="29"/>
      <c r="BC236" s="52"/>
      <c r="BD236" s="30"/>
      <c r="BE236" s="29"/>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row>
    <row r="237">
      <c r="A237" s="30"/>
      <c r="B237" s="42"/>
      <c r="C237" s="43"/>
      <c r="D237" s="30"/>
      <c r="E237" s="28"/>
      <c r="F237" s="30"/>
      <c r="G237" s="30"/>
      <c r="H237" s="30"/>
      <c r="I237" s="30"/>
      <c r="J237" s="28"/>
      <c r="K237" s="30"/>
      <c r="L237" s="30"/>
      <c r="M237" s="30"/>
      <c r="N237" s="30"/>
      <c r="O237" s="28"/>
      <c r="P237" s="30"/>
      <c r="Q237" s="30"/>
      <c r="R237" s="30"/>
      <c r="S237" s="36"/>
      <c r="T237" s="30"/>
      <c r="U237" s="36"/>
      <c r="V237" s="30"/>
      <c r="W237" s="28"/>
      <c r="X237" s="30"/>
      <c r="Y237" s="30"/>
      <c r="Z237" s="30"/>
      <c r="AA237" s="30"/>
      <c r="AB237" s="30"/>
      <c r="AC237" s="28"/>
      <c r="AD237" s="30"/>
      <c r="AE237" s="30"/>
      <c r="AF237" s="30"/>
      <c r="AG237" s="29"/>
      <c r="AH237" s="30"/>
      <c r="AI237" s="36"/>
      <c r="AJ237" s="30"/>
      <c r="AK237" s="29"/>
      <c r="AL237" s="30"/>
      <c r="AM237" s="30"/>
      <c r="AN237" s="30"/>
      <c r="AO237" s="30"/>
      <c r="AP237" s="30"/>
      <c r="AQ237" s="38"/>
      <c r="AR237" s="30"/>
      <c r="AS237" s="30"/>
      <c r="AT237" s="29"/>
      <c r="AU237" s="30"/>
      <c r="AV237" s="30"/>
      <c r="AW237" s="30"/>
      <c r="AX237" s="29"/>
      <c r="AY237" s="39"/>
      <c r="AZ237" s="30"/>
      <c r="BA237" s="30"/>
      <c r="BB237" s="29"/>
      <c r="BC237" s="52"/>
      <c r="BD237" s="30"/>
      <c r="BE237" s="29"/>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row>
    <row r="238">
      <c r="A238" s="30"/>
      <c r="B238" s="42"/>
      <c r="C238" s="43"/>
      <c r="D238" s="30"/>
      <c r="E238" s="28"/>
      <c r="F238" s="30"/>
      <c r="G238" s="30"/>
      <c r="H238" s="30"/>
      <c r="I238" s="30"/>
      <c r="J238" s="28"/>
      <c r="K238" s="30"/>
      <c r="L238" s="30"/>
      <c r="M238" s="30"/>
      <c r="N238" s="30"/>
      <c r="O238" s="28"/>
      <c r="P238" s="30"/>
      <c r="Q238" s="30"/>
      <c r="R238" s="30"/>
      <c r="S238" s="36"/>
      <c r="T238" s="30"/>
      <c r="U238" s="36"/>
      <c r="V238" s="30"/>
      <c r="W238" s="28"/>
      <c r="X238" s="30"/>
      <c r="Y238" s="30"/>
      <c r="Z238" s="30"/>
      <c r="AA238" s="30"/>
      <c r="AB238" s="30"/>
      <c r="AC238" s="28"/>
      <c r="AD238" s="30"/>
      <c r="AE238" s="30"/>
      <c r="AF238" s="30"/>
      <c r="AG238" s="29"/>
      <c r="AH238" s="30"/>
      <c r="AI238" s="36"/>
      <c r="AJ238" s="30"/>
      <c r="AK238" s="29"/>
      <c r="AL238" s="30"/>
      <c r="AM238" s="30"/>
      <c r="AN238" s="30"/>
      <c r="AO238" s="30"/>
      <c r="AP238" s="30"/>
      <c r="AQ238" s="38"/>
      <c r="AR238" s="30"/>
      <c r="AS238" s="30"/>
      <c r="AT238" s="29"/>
      <c r="AU238" s="30"/>
      <c r="AV238" s="30"/>
      <c r="AW238" s="30"/>
      <c r="AX238" s="29"/>
      <c r="AY238" s="39"/>
      <c r="AZ238" s="30"/>
      <c r="BA238" s="30"/>
      <c r="BB238" s="29"/>
      <c r="BC238" s="52"/>
      <c r="BD238" s="30"/>
      <c r="BE238" s="29"/>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row>
    <row r="239">
      <c r="A239" s="30"/>
      <c r="B239" s="42"/>
      <c r="C239" s="43"/>
      <c r="D239" s="30"/>
      <c r="E239" s="28"/>
      <c r="F239" s="30"/>
      <c r="G239" s="30"/>
      <c r="H239" s="30"/>
      <c r="I239" s="30"/>
      <c r="J239" s="28"/>
      <c r="K239" s="30"/>
      <c r="L239" s="30"/>
      <c r="M239" s="30"/>
      <c r="N239" s="30"/>
      <c r="O239" s="28"/>
      <c r="P239" s="30"/>
      <c r="Q239" s="30"/>
      <c r="R239" s="30"/>
      <c r="S239" s="36"/>
      <c r="T239" s="30"/>
      <c r="U239" s="36"/>
      <c r="V239" s="30"/>
      <c r="W239" s="28"/>
      <c r="X239" s="30"/>
      <c r="Y239" s="30"/>
      <c r="Z239" s="30"/>
      <c r="AA239" s="30"/>
      <c r="AB239" s="30"/>
      <c r="AC239" s="28"/>
      <c r="AD239" s="30"/>
      <c r="AE239" s="30"/>
      <c r="AF239" s="30"/>
      <c r="AG239" s="29"/>
      <c r="AH239" s="30"/>
      <c r="AI239" s="36"/>
      <c r="AJ239" s="30"/>
      <c r="AK239" s="29"/>
      <c r="AL239" s="30"/>
      <c r="AM239" s="30"/>
      <c r="AN239" s="30"/>
      <c r="AO239" s="30"/>
      <c r="AP239" s="30"/>
      <c r="AQ239" s="38"/>
      <c r="AR239" s="30"/>
      <c r="AS239" s="30"/>
      <c r="AT239" s="29"/>
      <c r="AU239" s="30"/>
      <c r="AV239" s="30"/>
      <c r="AW239" s="30"/>
      <c r="AX239" s="29"/>
      <c r="AY239" s="39"/>
      <c r="AZ239" s="30"/>
      <c r="BA239" s="30"/>
      <c r="BB239" s="29"/>
      <c r="BC239" s="52"/>
      <c r="BD239" s="30"/>
      <c r="BE239" s="29"/>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row>
    <row r="240">
      <c r="A240" s="30"/>
      <c r="B240" s="42"/>
      <c r="C240" s="43"/>
      <c r="D240" s="30"/>
      <c r="E240" s="28"/>
      <c r="F240" s="30"/>
      <c r="G240" s="30"/>
      <c r="H240" s="30"/>
      <c r="I240" s="30"/>
      <c r="J240" s="28"/>
      <c r="K240" s="30"/>
      <c r="L240" s="30"/>
      <c r="M240" s="30"/>
      <c r="N240" s="30"/>
      <c r="O240" s="28"/>
      <c r="P240" s="30"/>
      <c r="Q240" s="30"/>
      <c r="R240" s="30"/>
      <c r="S240" s="36"/>
      <c r="T240" s="30"/>
      <c r="U240" s="36"/>
      <c r="V240" s="30"/>
      <c r="W240" s="28"/>
      <c r="X240" s="30"/>
      <c r="Y240" s="30"/>
      <c r="Z240" s="30"/>
      <c r="AA240" s="30"/>
      <c r="AB240" s="30"/>
      <c r="AC240" s="28"/>
      <c r="AD240" s="30"/>
      <c r="AE240" s="30"/>
      <c r="AF240" s="30"/>
      <c r="AG240" s="29"/>
      <c r="AH240" s="30"/>
      <c r="AI240" s="36"/>
      <c r="AJ240" s="30"/>
      <c r="AK240" s="29"/>
      <c r="AL240" s="30"/>
      <c r="AM240" s="30"/>
      <c r="AN240" s="30"/>
      <c r="AO240" s="30"/>
      <c r="AP240" s="30"/>
      <c r="AQ240" s="38"/>
      <c r="AR240" s="30"/>
      <c r="AS240" s="30"/>
      <c r="AT240" s="29"/>
      <c r="AU240" s="30"/>
      <c r="AV240" s="30"/>
      <c r="AW240" s="30"/>
      <c r="AX240" s="29"/>
      <c r="AY240" s="39"/>
      <c r="AZ240" s="30"/>
      <c r="BA240" s="30"/>
      <c r="BB240" s="29"/>
      <c r="BC240" s="52"/>
      <c r="BD240" s="30"/>
      <c r="BE240" s="29"/>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row>
    <row r="241">
      <c r="A241" s="30"/>
      <c r="B241" s="42"/>
      <c r="C241" s="43"/>
      <c r="D241" s="30"/>
      <c r="E241" s="28"/>
      <c r="F241" s="30"/>
      <c r="G241" s="30"/>
      <c r="H241" s="30"/>
      <c r="I241" s="30"/>
      <c r="J241" s="28"/>
      <c r="K241" s="30"/>
      <c r="L241" s="30"/>
      <c r="M241" s="30"/>
      <c r="N241" s="30"/>
      <c r="O241" s="28"/>
      <c r="P241" s="30"/>
      <c r="Q241" s="30"/>
      <c r="R241" s="30"/>
      <c r="S241" s="36"/>
      <c r="T241" s="30"/>
      <c r="U241" s="36"/>
      <c r="V241" s="30"/>
      <c r="W241" s="28"/>
      <c r="X241" s="30"/>
      <c r="Y241" s="30"/>
      <c r="Z241" s="30"/>
      <c r="AA241" s="30"/>
      <c r="AB241" s="30"/>
      <c r="AC241" s="28"/>
      <c r="AD241" s="30"/>
      <c r="AE241" s="30"/>
      <c r="AF241" s="30"/>
      <c r="AG241" s="29"/>
      <c r="AH241" s="30"/>
      <c r="AI241" s="36"/>
      <c r="AJ241" s="30"/>
      <c r="AK241" s="29"/>
      <c r="AL241" s="30"/>
      <c r="AM241" s="30"/>
      <c r="AN241" s="30"/>
      <c r="AO241" s="30"/>
      <c r="AP241" s="30"/>
      <c r="AQ241" s="38"/>
      <c r="AR241" s="30"/>
      <c r="AS241" s="30"/>
      <c r="AT241" s="29"/>
      <c r="AU241" s="30"/>
      <c r="AV241" s="30"/>
      <c r="AW241" s="30"/>
      <c r="AX241" s="29"/>
      <c r="AY241" s="39"/>
      <c r="AZ241" s="30"/>
      <c r="BA241" s="30"/>
      <c r="BB241" s="29"/>
      <c r="BC241" s="52"/>
      <c r="BD241" s="30"/>
      <c r="BE241" s="29"/>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row>
    <row r="242">
      <c r="A242" s="30"/>
      <c r="B242" s="42"/>
      <c r="C242" s="43"/>
      <c r="D242" s="30"/>
      <c r="E242" s="28"/>
      <c r="F242" s="30"/>
      <c r="G242" s="30"/>
      <c r="H242" s="30"/>
      <c r="I242" s="30"/>
      <c r="J242" s="28"/>
      <c r="K242" s="30"/>
      <c r="L242" s="30"/>
      <c r="M242" s="30"/>
      <c r="N242" s="30"/>
      <c r="O242" s="28"/>
      <c r="P242" s="30"/>
      <c r="Q242" s="30"/>
      <c r="R242" s="30"/>
      <c r="S242" s="36"/>
      <c r="T242" s="30"/>
      <c r="U242" s="36"/>
      <c r="V242" s="30"/>
      <c r="W242" s="28"/>
      <c r="X242" s="30"/>
      <c r="Y242" s="30"/>
      <c r="Z242" s="30"/>
      <c r="AA242" s="30"/>
      <c r="AB242" s="30"/>
      <c r="AC242" s="28"/>
      <c r="AD242" s="30"/>
      <c r="AE242" s="30"/>
      <c r="AF242" s="30"/>
      <c r="AG242" s="29"/>
      <c r="AH242" s="30"/>
      <c r="AI242" s="36"/>
      <c r="AJ242" s="30"/>
      <c r="AK242" s="29"/>
      <c r="AL242" s="30"/>
      <c r="AM242" s="30"/>
      <c r="AN242" s="30"/>
      <c r="AO242" s="30"/>
      <c r="AP242" s="30"/>
      <c r="AQ242" s="38"/>
      <c r="AR242" s="30"/>
      <c r="AS242" s="30"/>
      <c r="AT242" s="29"/>
      <c r="AU242" s="30"/>
      <c r="AV242" s="30"/>
      <c r="AW242" s="30"/>
      <c r="AX242" s="29"/>
      <c r="AY242" s="39"/>
      <c r="AZ242" s="30"/>
      <c r="BA242" s="30"/>
      <c r="BB242" s="29"/>
      <c r="BC242" s="52"/>
      <c r="BD242" s="30"/>
      <c r="BE242" s="29"/>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row>
    <row r="243">
      <c r="A243" s="30"/>
      <c r="B243" s="42"/>
      <c r="C243" s="43"/>
      <c r="D243" s="30"/>
      <c r="E243" s="28"/>
      <c r="F243" s="30"/>
      <c r="G243" s="30"/>
      <c r="H243" s="30"/>
      <c r="I243" s="30"/>
      <c r="J243" s="28"/>
      <c r="K243" s="30"/>
      <c r="L243" s="30"/>
      <c r="M243" s="30"/>
      <c r="N243" s="30"/>
      <c r="O243" s="28"/>
      <c r="P243" s="30"/>
      <c r="Q243" s="30"/>
      <c r="R243" s="30"/>
      <c r="S243" s="36"/>
      <c r="T243" s="30"/>
      <c r="U243" s="36"/>
      <c r="V243" s="30"/>
      <c r="W243" s="28"/>
      <c r="X243" s="30"/>
      <c r="Y243" s="30"/>
      <c r="Z243" s="30"/>
      <c r="AA243" s="30"/>
      <c r="AB243" s="30"/>
      <c r="AC243" s="28"/>
      <c r="AD243" s="30"/>
      <c r="AE243" s="30"/>
      <c r="AF243" s="30"/>
      <c r="AG243" s="29"/>
      <c r="AH243" s="30"/>
      <c r="AI243" s="36"/>
      <c r="AJ243" s="30"/>
      <c r="AK243" s="29"/>
      <c r="AL243" s="30"/>
      <c r="AM243" s="30"/>
      <c r="AN243" s="30"/>
      <c r="AO243" s="30"/>
      <c r="AP243" s="30"/>
      <c r="AQ243" s="38"/>
      <c r="AR243" s="30"/>
      <c r="AS243" s="30"/>
      <c r="AT243" s="29"/>
      <c r="AU243" s="30"/>
      <c r="AV243" s="30"/>
      <c r="AW243" s="30"/>
      <c r="AX243" s="29"/>
      <c r="AY243" s="39"/>
      <c r="AZ243" s="30"/>
      <c r="BA243" s="30"/>
      <c r="BB243" s="29"/>
      <c r="BC243" s="52"/>
      <c r="BD243" s="30"/>
      <c r="BE243" s="29"/>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row>
    <row r="244">
      <c r="A244" s="30"/>
      <c r="B244" s="42"/>
      <c r="C244" s="43"/>
      <c r="D244" s="30"/>
      <c r="E244" s="28"/>
      <c r="F244" s="30"/>
      <c r="G244" s="30"/>
      <c r="H244" s="30"/>
      <c r="I244" s="30"/>
      <c r="J244" s="28"/>
      <c r="K244" s="30"/>
      <c r="L244" s="30"/>
      <c r="M244" s="30"/>
      <c r="N244" s="30"/>
      <c r="O244" s="28"/>
      <c r="P244" s="30"/>
      <c r="Q244" s="30"/>
      <c r="R244" s="30"/>
      <c r="S244" s="36"/>
      <c r="T244" s="30"/>
      <c r="U244" s="36"/>
      <c r="V244" s="30"/>
      <c r="W244" s="28"/>
      <c r="X244" s="30"/>
      <c r="Y244" s="30"/>
      <c r="Z244" s="30"/>
      <c r="AA244" s="30"/>
      <c r="AB244" s="30"/>
      <c r="AC244" s="28"/>
      <c r="AD244" s="30"/>
      <c r="AE244" s="30"/>
      <c r="AF244" s="30"/>
      <c r="AG244" s="29"/>
      <c r="AH244" s="30"/>
      <c r="AI244" s="36"/>
      <c r="AJ244" s="30"/>
      <c r="AK244" s="29"/>
      <c r="AL244" s="30"/>
      <c r="AM244" s="30"/>
      <c r="AN244" s="30"/>
      <c r="AO244" s="30"/>
      <c r="AP244" s="30"/>
      <c r="AQ244" s="38"/>
      <c r="AR244" s="30"/>
      <c r="AS244" s="30"/>
      <c r="AT244" s="29"/>
      <c r="AU244" s="30"/>
      <c r="AV244" s="30"/>
      <c r="AW244" s="30"/>
      <c r="AX244" s="29"/>
      <c r="AY244" s="39"/>
      <c r="AZ244" s="30"/>
      <c r="BA244" s="30"/>
      <c r="BB244" s="29"/>
      <c r="BC244" s="52"/>
      <c r="BD244" s="30"/>
      <c r="BE244" s="29"/>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row>
    <row r="245">
      <c r="A245" s="30"/>
      <c r="B245" s="42"/>
      <c r="C245" s="43"/>
      <c r="D245" s="30"/>
      <c r="E245" s="28"/>
      <c r="F245" s="30"/>
      <c r="G245" s="30"/>
      <c r="H245" s="30"/>
      <c r="I245" s="30"/>
      <c r="J245" s="28"/>
      <c r="K245" s="30"/>
      <c r="L245" s="30"/>
      <c r="M245" s="30"/>
      <c r="N245" s="30"/>
      <c r="O245" s="28"/>
      <c r="P245" s="30"/>
      <c r="Q245" s="30"/>
      <c r="R245" s="30"/>
      <c r="S245" s="36"/>
      <c r="T245" s="30"/>
      <c r="U245" s="36"/>
      <c r="V245" s="30"/>
      <c r="W245" s="28"/>
      <c r="X245" s="30"/>
      <c r="Y245" s="30"/>
      <c r="Z245" s="30"/>
      <c r="AA245" s="30"/>
      <c r="AB245" s="30"/>
      <c r="AC245" s="28"/>
      <c r="AD245" s="30"/>
      <c r="AE245" s="30"/>
      <c r="AF245" s="30"/>
      <c r="AG245" s="29"/>
      <c r="AH245" s="30"/>
      <c r="AI245" s="36"/>
      <c r="AJ245" s="30"/>
      <c r="AK245" s="29"/>
      <c r="AL245" s="30"/>
      <c r="AM245" s="30"/>
      <c r="AN245" s="30"/>
      <c r="AO245" s="30"/>
      <c r="AP245" s="30"/>
      <c r="AQ245" s="38"/>
      <c r="AR245" s="30"/>
      <c r="AS245" s="30"/>
      <c r="AT245" s="29"/>
      <c r="AU245" s="30"/>
      <c r="AV245" s="30"/>
      <c r="AW245" s="30"/>
      <c r="AX245" s="29"/>
      <c r="AY245" s="39"/>
      <c r="AZ245" s="30"/>
      <c r="BA245" s="30"/>
      <c r="BB245" s="29"/>
      <c r="BC245" s="52"/>
      <c r="BD245" s="30"/>
      <c r="BE245" s="29"/>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row>
    <row r="246">
      <c r="A246" s="30"/>
      <c r="B246" s="42"/>
      <c r="C246" s="43"/>
      <c r="D246" s="30"/>
      <c r="E246" s="28"/>
      <c r="F246" s="30"/>
      <c r="G246" s="30"/>
      <c r="H246" s="30"/>
      <c r="I246" s="30"/>
      <c r="J246" s="28"/>
      <c r="K246" s="30"/>
      <c r="L246" s="30"/>
      <c r="M246" s="30"/>
      <c r="N246" s="30"/>
      <c r="O246" s="28"/>
      <c r="P246" s="30"/>
      <c r="Q246" s="30"/>
      <c r="R246" s="30"/>
      <c r="S246" s="36"/>
      <c r="T246" s="30"/>
      <c r="U246" s="36"/>
      <c r="V246" s="30"/>
      <c r="W246" s="28"/>
      <c r="X246" s="30"/>
      <c r="Y246" s="30"/>
      <c r="Z246" s="30"/>
      <c r="AA246" s="30"/>
      <c r="AB246" s="30"/>
      <c r="AC246" s="28"/>
      <c r="AD246" s="30"/>
      <c r="AE246" s="30"/>
      <c r="AF246" s="30"/>
      <c r="AG246" s="29"/>
      <c r="AH246" s="30"/>
      <c r="AI246" s="36"/>
      <c r="AJ246" s="30"/>
      <c r="AK246" s="29"/>
      <c r="AL246" s="30"/>
      <c r="AM246" s="30"/>
      <c r="AN246" s="30"/>
      <c r="AO246" s="30"/>
      <c r="AP246" s="30"/>
      <c r="AQ246" s="38"/>
      <c r="AR246" s="30"/>
      <c r="AS246" s="30"/>
      <c r="AT246" s="29"/>
      <c r="AU246" s="30"/>
      <c r="AV246" s="30"/>
      <c r="AW246" s="30"/>
      <c r="AX246" s="29"/>
      <c r="AY246" s="39"/>
      <c r="AZ246" s="30"/>
      <c r="BA246" s="30"/>
      <c r="BB246" s="29"/>
      <c r="BC246" s="52"/>
      <c r="BD246" s="30"/>
      <c r="BE246" s="29"/>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row>
    <row r="247">
      <c r="A247" s="30"/>
      <c r="B247" s="42"/>
      <c r="C247" s="43"/>
      <c r="D247" s="30"/>
      <c r="E247" s="28"/>
      <c r="F247" s="30"/>
      <c r="G247" s="30"/>
      <c r="H247" s="30"/>
      <c r="I247" s="30"/>
      <c r="J247" s="28"/>
      <c r="K247" s="30"/>
      <c r="L247" s="30"/>
      <c r="M247" s="30"/>
      <c r="N247" s="30"/>
      <c r="O247" s="28"/>
      <c r="P247" s="30"/>
      <c r="Q247" s="30"/>
      <c r="R247" s="30"/>
      <c r="S247" s="36"/>
      <c r="T247" s="30"/>
      <c r="U247" s="36"/>
      <c r="V247" s="30"/>
      <c r="W247" s="28"/>
      <c r="X247" s="30"/>
      <c r="Y247" s="30"/>
      <c r="Z247" s="30"/>
      <c r="AA247" s="30"/>
      <c r="AB247" s="30"/>
      <c r="AC247" s="28"/>
      <c r="AD247" s="30"/>
      <c r="AE247" s="30"/>
      <c r="AF247" s="30"/>
      <c r="AG247" s="29"/>
      <c r="AH247" s="30"/>
      <c r="AI247" s="36"/>
      <c r="AJ247" s="30"/>
      <c r="AK247" s="29"/>
      <c r="AL247" s="30"/>
      <c r="AM247" s="30"/>
      <c r="AN247" s="30"/>
      <c r="AO247" s="30"/>
      <c r="AP247" s="30"/>
      <c r="AQ247" s="38"/>
      <c r="AR247" s="30"/>
      <c r="AS247" s="30"/>
      <c r="AT247" s="29"/>
      <c r="AU247" s="30"/>
      <c r="AV247" s="30"/>
      <c r="AW247" s="30"/>
      <c r="AX247" s="29"/>
      <c r="AY247" s="39"/>
      <c r="AZ247" s="30"/>
      <c r="BA247" s="30"/>
      <c r="BB247" s="29"/>
      <c r="BC247" s="52"/>
      <c r="BD247" s="30"/>
      <c r="BE247" s="29"/>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row>
    <row r="248">
      <c r="A248" s="30"/>
      <c r="B248" s="42"/>
      <c r="C248" s="43"/>
      <c r="D248" s="30"/>
      <c r="E248" s="28"/>
      <c r="F248" s="30"/>
      <c r="G248" s="30"/>
      <c r="H248" s="30"/>
      <c r="I248" s="30"/>
      <c r="J248" s="28"/>
      <c r="K248" s="30"/>
      <c r="L248" s="30"/>
      <c r="M248" s="30"/>
      <c r="N248" s="30"/>
      <c r="O248" s="28"/>
      <c r="P248" s="30"/>
      <c r="Q248" s="30"/>
      <c r="R248" s="30"/>
      <c r="S248" s="36"/>
      <c r="T248" s="30"/>
      <c r="U248" s="36"/>
      <c r="V248" s="30"/>
      <c r="W248" s="28"/>
      <c r="X248" s="30"/>
      <c r="Y248" s="30"/>
      <c r="Z248" s="30"/>
      <c r="AA248" s="30"/>
      <c r="AB248" s="30"/>
      <c r="AC248" s="28"/>
      <c r="AD248" s="30"/>
      <c r="AE248" s="30"/>
      <c r="AF248" s="30"/>
      <c r="AG248" s="29"/>
      <c r="AH248" s="30"/>
      <c r="AI248" s="36"/>
      <c r="AJ248" s="30"/>
      <c r="AK248" s="29"/>
      <c r="AL248" s="30"/>
      <c r="AM248" s="30"/>
      <c r="AN248" s="30"/>
      <c r="AO248" s="30"/>
      <c r="AP248" s="30"/>
      <c r="AQ248" s="38"/>
      <c r="AR248" s="30"/>
      <c r="AS248" s="30"/>
      <c r="AT248" s="29"/>
      <c r="AU248" s="30"/>
      <c r="AV248" s="30"/>
      <c r="AW248" s="30"/>
      <c r="AX248" s="29"/>
      <c r="AY248" s="39"/>
      <c r="AZ248" s="30"/>
      <c r="BA248" s="30"/>
      <c r="BB248" s="29"/>
      <c r="BC248" s="52"/>
      <c r="BD248" s="30"/>
      <c r="BE248" s="29"/>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row>
    <row r="249">
      <c r="A249" s="30"/>
      <c r="B249" s="42"/>
      <c r="C249" s="43"/>
      <c r="D249" s="30"/>
      <c r="E249" s="28"/>
      <c r="F249" s="30"/>
      <c r="G249" s="30"/>
      <c r="H249" s="30"/>
      <c r="I249" s="30"/>
      <c r="J249" s="28"/>
      <c r="K249" s="30"/>
      <c r="L249" s="30"/>
      <c r="M249" s="30"/>
      <c r="N249" s="30"/>
      <c r="O249" s="28"/>
      <c r="P249" s="30"/>
      <c r="Q249" s="30"/>
      <c r="R249" s="30"/>
      <c r="S249" s="36"/>
      <c r="T249" s="30"/>
      <c r="U249" s="36"/>
      <c r="V249" s="30"/>
      <c r="W249" s="28"/>
      <c r="X249" s="30"/>
      <c r="Y249" s="30"/>
      <c r="Z249" s="30"/>
      <c r="AA249" s="30"/>
      <c r="AB249" s="30"/>
      <c r="AC249" s="28"/>
      <c r="AD249" s="30"/>
      <c r="AE249" s="30"/>
      <c r="AF249" s="30"/>
      <c r="AG249" s="29"/>
      <c r="AH249" s="30"/>
      <c r="AI249" s="36"/>
      <c r="AJ249" s="30"/>
      <c r="AK249" s="29"/>
      <c r="AL249" s="30"/>
      <c r="AM249" s="30"/>
      <c r="AN249" s="30"/>
      <c r="AO249" s="30"/>
      <c r="AP249" s="30"/>
      <c r="AQ249" s="38"/>
      <c r="AR249" s="30"/>
      <c r="AS249" s="30"/>
      <c r="AT249" s="29"/>
      <c r="AU249" s="30"/>
      <c r="AV249" s="30"/>
      <c r="AW249" s="30"/>
      <c r="AX249" s="29"/>
      <c r="AY249" s="39"/>
      <c r="AZ249" s="30"/>
      <c r="BA249" s="30"/>
      <c r="BB249" s="29"/>
      <c r="BC249" s="52"/>
      <c r="BD249" s="30"/>
      <c r="BE249" s="29"/>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row>
    <row r="250">
      <c r="A250" s="30"/>
      <c r="B250" s="42"/>
      <c r="C250" s="43"/>
      <c r="D250" s="30"/>
      <c r="E250" s="28"/>
      <c r="F250" s="30"/>
      <c r="G250" s="30"/>
      <c r="H250" s="30"/>
      <c r="I250" s="30"/>
      <c r="J250" s="28"/>
      <c r="K250" s="30"/>
      <c r="L250" s="30"/>
      <c r="M250" s="30"/>
      <c r="N250" s="30"/>
      <c r="O250" s="28"/>
      <c r="P250" s="30"/>
      <c r="Q250" s="30"/>
      <c r="R250" s="30"/>
      <c r="S250" s="36"/>
      <c r="T250" s="30"/>
      <c r="U250" s="36"/>
      <c r="V250" s="30"/>
      <c r="W250" s="28"/>
      <c r="X250" s="30"/>
      <c r="Y250" s="30"/>
      <c r="Z250" s="30"/>
      <c r="AA250" s="30"/>
      <c r="AB250" s="30"/>
      <c r="AC250" s="28"/>
      <c r="AD250" s="30"/>
      <c r="AE250" s="30"/>
      <c r="AF250" s="30"/>
      <c r="AG250" s="29"/>
      <c r="AH250" s="30"/>
      <c r="AI250" s="36"/>
      <c r="AJ250" s="30"/>
      <c r="AK250" s="29"/>
      <c r="AL250" s="30"/>
      <c r="AM250" s="30"/>
      <c r="AN250" s="30"/>
      <c r="AO250" s="30"/>
      <c r="AP250" s="30"/>
      <c r="AQ250" s="38"/>
      <c r="AR250" s="30"/>
      <c r="AS250" s="30"/>
      <c r="AT250" s="29"/>
      <c r="AU250" s="30"/>
      <c r="AV250" s="30"/>
      <c r="AW250" s="30"/>
      <c r="AX250" s="29"/>
      <c r="AY250" s="39"/>
      <c r="AZ250" s="30"/>
      <c r="BA250" s="30"/>
      <c r="BB250" s="29"/>
      <c r="BC250" s="52"/>
      <c r="BD250" s="30"/>
      <c r="BE250" s="29"/>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row>
    <row r="251">
      <c r="A251" s="30"/>
      <c r="B251" s="42"/>
      <c r="C251" s="43"/>
      <c r="D251" s="30"/>
      <c r="E251" s="28"/>
      <c r="F251" s="30"/>
      <c r="G251" s="30"/>
      <c r="H251" s="30"/>
      <c r="I251" s="30"/>
      <c r="J251" s="28"/>
      <c r="K251" s="30"/>
      <c r="L251" s="30"/>
      <c r="M251" s="30"/>
      <c r="N251" s="30"/>
      <c r="O251" s="28"/>
      <c r="P251" s="30"/>
      <c r="Q251" s="30"/>
      <c r="R251" s="30"/>
      <c r="S251" s="36"/>
      <c r="T251" s="30"/>
      <c r="U251" s="36"/>
      <c r="V251" s="30"/>
      <c r="W251" s="28"/>
      <c r="X251" s="30"/>
      <c r="Y251" s="30"/>
      <c r="Z251" s="30"/>
      <c r="AA251" s="30"/>
      <c r="AB251" s="30"/>
      <c r="AC251" s="28"/>
      <c r="AD251" s="30"/>
      <c r="AE251" s="30"/>
      <c r="AF251" s="30"/>
      <c r="AG251" s="29"/>
      <c r="AH251" s="30"/>
      <c r="AI251" s="36"/>
      <c r="AJ251" s="30"/>
      <c r="AK251" s="29"/>
      <c r="AL251" s="30"/>
      <c r="AM251" s="30"/>
      <c r="AN251" s="30"/>
      <c r="AO251" s="30"/>
      <c r="AP251" s="30"/>
      <c r="AQ251" s="38"/>
      <c r="AR251" s="30"/>
      <c r="AS251" s="30"/>
      <c r="AT251" s="29"/>
      <c r="AU251" s="30"/>
      <c r="AV251" s="30"/>
      <c r="AW251" s="30"/>
      <c r="AX251" s="29"/>
      <c r="AY251" s="39"/>
      <c r="AZ251" s="30"/>
      <c r="BA251" s="30"/>
      <c r="BB251" s="29"/>
      <c r="BC251" s="52"/>
      <c r="BD251" s="30"/>
      <c r="BE251" s="29"/>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row>
    <row r="252">
      <c r="A252" s="30"/>
      <c r="B252" s="42"/>
      <c r="C252" s="43"/>
      <c r="D252" s="30"/>
      <c r="E252" s="28"/>
      <c r="F252" s="30"/>
      <c r="G252" s="30"/>
      <c r="H252" s="30"/>
      <c r="I252" s="30"/>
      <c r="J252" s="28"/>
      <c r="K252" s="30"/>
      <c r="L252" s="30"/>
      <c r="M252" s="30"/>
      <c r="N252" s="30"/>
      <c r="O252" s="28"/>
      <c r="P252" s="30"/>
      <c r="Q252" s="30"/>
      <c r="R252" s="30"/>
      <c r="S252" s="36"/>
      <c r="T252" s="30"/>
      <c r="U252" s="36"/>
      <c r="V252" s="30"/>
      <c r="W252" s="28"/>
      <c r="X252" s="30"/>
      <c r="Y252" s="30"/>
      <c r="Z252" s="30"/>
      <c r="AA252" s="30"/>
      <c r="AB252" s="30"/>
      <c r="AC252" s="28"/>
      <c r="AD252" s="30"/>
      <c r="AE252" s="30"/>
      <c r="AF252" s="30"/>
      <c r="AG252" s="29"/>
      <c r="AH252" s="30"/>
      <c r="AI252" s="36"/>
      <c r="AJ252" s="30"/>
      <c r="AK252" s="29"/>
      <c r="AL252" s="30"/>
      <c r="AM252" s="30"/>
      <c r="AN252" s="30"/>
      <c r="AO252" s="30"/>
      <c r="AP252" s="30"/>
      <c r="AQ252" s="38"/>
      <c r="AR252" s="30"/>
      <c r="AS252" s="30"/>
      <c r="AT252" s="29"/>
      <c r="AU252" s="30"/>
      <c r="AV252" s="30"/>
      <c r="AW252" s="30"/>
      <c r="AX252" s="29"/>
      <c r="AY252" s="39"/>
      <c r="AZ252" s="30"/>
      <c r="BA252" s="30"/>
      <c r="BB252" s="29"/>
      <c r="BC252" s="52"/>
      <c r="BD252" s="30"/>
      <c r="BE252" s="29"/>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row>
    <row r="253">
      <c r="A253" s="30"/>
      <c r="B253" s="42"/>
      <c r="C253" s="43"/>
      <c r="D253" s="30"/>
      <c r="E253" s="28"/>
      <c r="F253" s="30"/>
      <c r="G253" s="30"/>
      <c r="H253" s="30"/>
      <c r="I253" s="30"/>
      <c r="J253" s="28"/>
      <c r="K253" s="30"/>
      <c r="L253" s="30"/>
      <c r="M253" s="30"/>
      <c r="N253" s="30"/>
      <c r="O253" s="28"/>
      <c r="P253" s="30"/>
      <c r="Q253" s="30"/>
      <c r="R253" s="30"/>
      <c r="S253" s="36"/>
      <c r="T253" s="30"/>
      <c r="U253" s="36"/>
      <c r="V253" s="30"/>
      <c r="W253" s="28"/>
      <c r="X253" s="30"/>
      <c r="Y253" s="30"/>
      <c r="Z253" s="30"/>
      <c r="AA253" s="30"/>
      <c r="AB253" s="30"/>
      <c r="AC253" s="28"/>
      <c r="AD253" s="30"/>
      <c r="AE253" s="30"/>
      <c r="AF253" s="30"/>
      <c r="AG253" s="29"/>
      <c r="AH253" s="30"/>
      <c r="AI253" s="36"/>
      <c r="AJ253" s="30"/>
      <c r="AK253" s="29"/>
      <c r="AL253" s="30"/>
      <c r="AM253" s="30"/>
      <c r="AN253" s="30"/>
      <c r="AO253" s="30"/>
      <c r="AP253" s="30"/>
      <c r="AQ253" s="38"/>
      <c r="AR253" s="30"/>
      <c r="AS253" s="30"/>
      <c r="AT253" s="29"/>
      <c r="AU253" s="30"/>
      <c r="AV253" s="30"/>
      <c r="AW253" s="30"/>
      <c r="AX253" s="29"/>
      <c r="AY253" s="39"/>
      <c r="AZ253" s="30"/>
      <c r="BA253" s="30"/>
      <c r="BB253" s="29"/>
      <c r="BC253" s="52"/>
      <c r="BD253" s="30"/>
      <c r="BE253" s="29"/>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row>
    <row r="254">
      <c r="A254" s="30"/>
      <c r="B254" s="42"/>
      <c r="C254" s="43"/>
      <c r="D254" s="30"/>
      <c r="E254" s="28"/>
      <c r="F254" s="30"/>
      <c r="G254" s="30"/>
      <c r="H254" s="30"/>
      <c r="I254" s="30"/>
      <c r="J254" s="28"/>
      <c r="K254" s="30"/>
      <c r="L254" s="30"/>
      <c r="M254" s="30"/>
      <c r="N254" s="30"/>
      <c r="O254" s="28"/>
      <c r="P254" s="30"/>
      <c r="Q254" s="30"/>
      <c r="R254" s="30"/>
      <c r="S254" s="36"/>
      <c r="T254" s="30"/>
      <c r="U254" s="36"/>
      <c r="V254" s="30"/>
      <c r="W254" s="28"/>
      <c r="X254" s="30"/>
      <c r="Y254" s="30"/>
      <c r="Z254" s="30"/>
      <c r="AA254" s="30"/>
      <c r="AB254" s="30"/>
      <c r="AC254" s="28"/>
      <c r="AD254" s="30"/>
      <c r="AE254" s="30"/>
      <c r="AF254" s="30"/>
      <c r="AG254" s="29"/>
      <c r="AH254" s="30"/>
      <c r="AI254" s="36"/>
      <c r="AJ254" s="30"/>
      <c r="AK254" s="29"/>
      <c r="AL254" s="30"/>
      <c r="AM254" s="30"/>
      <c r="AN254" s="30"/>
      <c r="AO254" s="30"/>
      <c r="AP254" s="30"/>
      <c r="AQ254" s="38"/>
      <c r="AR254" s="30"/>
      <c r="AS254" s="30"/>
      <c r="AT254" s="29"/>
      <c r="AU254" s="30"/>
      <c r="AV254" s="30"/>
      <c r="AW254" s="30"/>
      <c r="AX254" s="29"/>
      <c r="AY254" s="39"/>
      <c r="AZ254" s="30"/>
      <c r="BA254" s="30"/>
      <c r="BB254" s="29"/>
      <c r="BC254" s="52"/>
      <c r="BD254" s="30"/>
      <c r="BE254" s="29"/>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row>
    <row r="255">
      <c r="A255" s="30"/>
      <c r="B255" s="42"/>
      <c r="C255" s="43"/>
      <c r="D255" s="30"/>
      <c r="E255" s="28"/>
      <c r="F255" s="30"/>
      <c r="G255" s="30"/>
      <c r="H255" s="30"/>
      <c r="I255" s="30"/>
      <c r="J255" s="28"/>
      <c r="K255" s="30"/>
      <c r="L255" s="30"/>
      <c r="M255" s="30"/>
      <c r="N255" s="30"/>
      <c r="O255" s="28"/>
      <c r="P255" s="30"/>
      <c r="Q255" s="30"/>
      <c r="R255" s="30"/>
      <c r="S255" s="36"/>
      <c r="T255" s="30"/>
      <c r="U255" s="36"/>
      <c r="V255" s="30"/>
      <c r="W255" s="28"/>
      <c r="X255" s="30"/>
      <c r="Y255" s="30"/>
      <c r="Z255" s="30"/>
      <c r="AA255" s="30"/>
      <c r="AB255" s="30"/>
      <c r="AC255" s="28"/>
      <c r="AD255" s="30"/>
      <c r="AE255" s="30"/>
      <c r="AF255" s="30"/>
      <c r="AG255" s="29"/>
      <c r="AH255" s="30"/>
      <c r="AI255" s="36"/>
      <c r="AJ255" s="30"/>
      <c r="AK255" s="29"/>
      <c r="AL255" s="30"/>
      <c r="AM255" s="30"/>
      <c r="AN255" s="30"/>
      <c r="AO255" s="30"/>
      <c r="AP255" s="30"/>
      <c r="AQ255" s="38"/>
      <c r="AR255" s="30"/>
      <c r="AS255" s="30"/>
      <c r="AT255" s="29"/>
      <c r="AU255" s="30"/>
      <c r="AV255" s="30"/>
      <c r="AW255" s="30"/>
      <c r="AX255" s="29"/>
      <c r="AY255" s="39"/>
      <c r="AZ255" s="30"/>
      <c r="BA255" s="30"/>
      <c r="BB255" s="29"/>
      <c r="BC255" s="52"/>
      <c r="BD255" s="30"/>
      <c r="BE255" s="29"/>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row>
    <row r="256">
      <c r="A256" s="30"/>
      <c r="B256" s="42"/>
      <c r="C256" s="43"/>
      <c r="D256" s="30"/>
      <c r="E256" s="28"/>
      <c r="F256" s="30"/>
      <c r="G256" s="30"/>
      <c r="H256" s="30"/>
      <c r="I256" s="30"/>
      <c r="J256" s="28"/>
      <c r="K256" s="30"/>
      <c r="L256" s="30"/>
      <c r="M256" s="30"/>
      <c r="N256" s="30"/>
      <c r="O256" s="28"/>
      <c r="P256" s="30"/>
      <c r="Q256" s="30"/>
      <c r="R256" s="30"/>
      <c r="S256" s="36"/>
      <c r="T256" s="30"/>
      <c r="U256" s="36"/>
      <c r="V256" s="30"/>
      <c r="W256" s="28"/>
      <c r="X256" s="30"/>
      <c r="Y256" s="30"/>
      <c r="Z256" s="30"/>
      <c r="AA256" s="30"/>
      <c r="AB256" s="30"/>
      <c r="AC256" s="28"/>
      <c r="AD256" s="30"/>
      <c r="AE256" s="30"/>
      <c r="AF256" s="30"/>
      <c r="AG256" s="29"/>
      <c r="AH256" s="30"/>
      <c r="AI256" s="36"/>
      <c r="AJ256" s="30"/>
      <c r="AK256" s="29"/>
      <c r="AL256" s="30"/>
      <c r="AM256" s="30"/>
      <c r="AN256" s="30"/>
      <c r="AO256" s="30"/>
      <c r="AP256" s="30"/>
      <c r="AQ256" s="38"/>
      <c r="AR256" s="30"/>
      <c r="AS256" s="30"/>
      <c r="AT256" s="29"/>
      <c r="AU256" s="30"/>
      <c r="AV256" s="30"/>
      <c r="AW256" s="30"/>
      <c r="AX256" s="29"/>
      <c r="AY256" s="39"/>
      <c r="AZ256" s="30"/>
      <c r="BA256" s="30"/>
      <c r="BB256" s="29"/>
      <c r="BC256" s="52"/>
      <c r="BD256" s="30"/>
      <c r="BE256" s="29"/>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row>
    <row r="257">
      <c r="A257" s="30"/>
      <c r="B257" s="42"/>
      <c r="C257" s="43"/>
      <c r="D257" s="30"/>
      <c r="E257" s="28"/>
      <c r="F257" s="30"/>
      <c r="G257" s="30"/>
      <c r="H257" s="30"/>
      <c r="I257" s="30"/>
      <c r="J257" s="28"/>
      <c r="K257" s="30"/>
      <c r="L257" s="30"/>
      <c r="M257" s="30"/>
      <c r="N257" s="30"/>
      <c r="O257" s="28"/>
      <c r="P257" s="30"/>
      <c r="Q257" s="30"/>
      <c r="R257" s="30"/>
      <c r="S257" s="36"/>
      <c r="T257" s="30"/>
      <c r="U257" s="36"/>
      <c r="V257" s="30"/>
      <c r="W257" s="28"/>
      <c r="X257" s="30"/>
      <c r="Y257" s="30"/>
      <c r="Z257" s="30"/>
      <c r="AA257" s="30"/>
      <c r="AB257" s="30"/>
      <c r="AC257" s="28"/>
      <c r="AD257" s="30"/>
      <c r="AE257" s="30"/>
      <c r="AF257" s="30"/>
      <c r="AG257" s="29"/>
      <c r="AH257" s="30"/>
      <c r="AI257" s="36"/>
      <c r="AJ257" s="30"/>
      <c r="AK257" s="29"/>
      <c r="AL257" s="30"/>
      <c r="AM257" s="30"/>
      <c r="AN257" s="30"/>
      <c r="AO257" s="30"/>
      <c r="AP257" s="30"/>
      <c r="AQ257" s="38"/>
      <c r="AR257" s="30"/>
      <c r="AS257" s="30"/>
      <c r="AT257" s="29"/>
      <c r="AU257" s="30"/>
      <c r="AV257" s="30"/>
      <c r="AW257" s="30"/>
      <c r="AX257" s="29"/>
      <c r="AY257" s="39"/>
      <c r="AZ257" s="30"/>
      <c r="BA257" s="30"/>
      <c r="BB257" s="29"/>
      <c r="BC257" s="52"/>
      <c r="BD257" s="30"/>
      <c r="BE257" s="29"/>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row>
    <row r="258">
      <c r="A258" s="30"/>
      <c r="B258" s="42"/>
      <c r="C258" s="43"/>
      <c r="D258" s="30"/>
      <c r="E258" s="28"/>
      <c r="F258" s="30"/>
      <c r="G258" s="30"/>
      <c r="H258" s="30"/>
      <c r="I258" s="30"/>
      <c r="J258" s="28"/>
      <c r="K258" s="30"/>
      <c r="L258" s="30"/>
      <c r="M258" s="30"/>
      <c r="N258" s="30"/>
      <c r="O258" s="28"/>
      <c r="P258" s="30"/>
      <c r="Q258" s="30"/>
      <c r="R258" s="30"/>
      <c r="S258" s="36"/>
      <c r="T258" s="30"/>
      <c r="U258" s="36"/>
      <c r="V258" s="30"/>
      <c r="W258" s="28"/>
      <c r="X258" s="30"/>
      <c r="Y258" s="30"/>
      <c r="Z258" s="30"/>
      <c r="AA258" s="30"/>
      <c r="AB258" s="30"/>
      <c r="AC258" s="28"/>
      <c r="AD258" s="30"/>
      <c r="AE258" s="30"/>
      <c r="AF258" s="30"/>
      <c r="AG258" s="29"/>
      <c r="AH258" s="30"/>
      <c r="AI258" s="36"/>
      <c r="AJ258" s="30"/>
      <c r="AK258" s="29"/>
      <c r="AL258" s="30"/>
      <c r="AM258" s="30"/>
      <c r="AN258" s="30"/>
      <c r="AO258" s="30"/>
      <c r="AP258" s="30"/>
      <c r="AQ258" s="38"/>
      <c r="AR258" s="30"/>
      <c r="AS258" s="30"/>
      <c r="AT258" s="29"/>
      <c r="AU258" s="30"/>
      <c r="AV258" s="30"/>
      <c r="AW258" s="30"/>
      <c r="AX258" s="29"/>
      <c r="AY258" s="39"/>
      <c r="AZ258" s="30"/>
      <c r="BA258" s="30"/>
      <c r="BB258" s="29"/>
      <c r="BC258" s="52"/>
      <c r="BD258" s="30"/>
      <c r="BE258" s="29"/>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row>
    <row r="259">
      <c r="A259" s="30"/>
      <c r="B259" s="42"/>
      <c r="C259" s="43"/>
      <c r="D259" s="30"/>
      <c r="E259" s="28"/>
      <c r="F259" s="30"/>
      <c r="G259" s="30"/>
      <c r="H259" s="30"/>
      <c r="I259" s="30"/>
      <c r="J259" s="28"/>
      <c r="K259" s="30"/>
      <c r="L259" s="30"/>
      <c r="M259" s="30"/>
      <c r="N259" s="30"/>
      <c r="O259" s="28"/>
      <c r="P259" s="30"/>
      <c r="Q259" s="30"/>
      <c r="R259" s="30"/>
      <c r="S259" s="36"/>
      <c r="T259" s="30"/>
      <c r="U259" s="36"/>
      <c r="V259" s="30"/>
      <c r="W259" s="28"/>
      <c r="X259" s="30"/>
      <c r="Y259" s="30"/>
      <c r="Z259" s="30"/>
      <c r="AA259" s="30"/>
      <c r="AB259" s="30"/>
      <c r="AC259" s="28"/>
      <c r="AD259" s="30"/>
      <c r="AE259" s="30"/>
      <c r="AF259" s="30"/>
      <c r="AG259" s="29"/>
      <c r="AH259" s="30"/>
      <c r="AI259" s="36"/>
      <c r="AJ259" s="30"/>
      <c r="AK259" s="29"/>
      <c r="AL259" s="30"/>
      <c r="AM259" s="30"/>
      <c r="AN259" s="30"/>
      <c r="AO259" s="30"/>
      <c r="AP259" s="30"/>
      <c r="AQ259" s="38"/>
      <c r="AR259" s="30"/>
      <c r="AS259" s="30"/>
      <c r="AT259" s="29"/>
      <c r="AU259" s="30"/>
      <c r="AV259" s="30"/>
      <c r="AW259" s="30"/>
      <c r="AX259" s="29"/>
      <c r="AY259" s="39"/>
      <c r="AZ259" s="30"/>
      <c r="BA259" s="30"/>
      <c r="BB259" s="29"/>
      <c r="BC259" s="52"/>
      <c r="BD259" s="30"/>
      <c r="BE259" s="29"/>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row>
    <row r="260">
      <c r="A260" s="30"/>
      <c r="B260" s="42"/>
      <c r="C260" s="43"/>
      <c r="D260" s="30"/>
      <c r="E260" s="28"/>
      <c r="F260" s="30"/>
      <c r="G260" s="30"/>
      <c r="H260" s="30"/>
      <c r="I260" s="30"/>
      <c r="J260" s="28"/>
      <c r="K260" s="30"/>
      <c r="L260" s="30"/>
      <c r="M260" s="30"/>
      <c r="N260" s="30"/>
      <c r="O260" s="28"/>
      <c r="P260" s="30"/>
      <c r="Q260" s="30"/>
      <c r="R260" s="30"/>
      <c r="S260" s="36"/>
      <c r="T260" s="30"/>
      <c r="U260" s="36"/>
      <c r="V260" s="30"/>
      <c r="W260" s="28"/>
      <c r="X260" s="30"/>
      <c r="Y260" s="30"/>
      <c r="Z260" s="30"/>
      <c r="AA260" s="30"/>
      <c r="AB260" s="30"/>
      <c r="AC260" s="28"/>
      <c r="AD260" s="30"/>
      <c r="AE260" s="30"/>
      <c r="AF260" s="30"/>
      <c r="AG260" s="29"/>
      <c r="AH260" s="30"/>
      <c r="AI260" s="36"/>
      <c r="AJ260" s="30"/>
      <c r="AK260" s="29"/>
      <c r="AL260" s="30"/>
      <c r="AM260" s="30"/>
      <c r="AN260" s="30"/>
      <c r="AO260" s="30"/>
      <c r="AP260" s="30"/>
      <c r="AQ260" s="38"/>
      <c r="AR260" s="30"/>
      <c r="AS260" s="30"/>
      <c r="AT260" s="29"/>
      <c r="AU260" s="30"/>
      <c r="AV260" s="30"/>
      <c r="AW260" s="30"/>
      <c r="AX260" s="29"/>
      <c r="AY260" s="39"/>
      <c r="AZ260" s="30"/>
      <c r="BA260" s="30"/>
      <c r="BB260" s="29"/>
      <c r="BC260" s="52"/>
      <c r="BD260" s="30"/>
      <c r="BE260" s="29"/>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row>
    <row r="261">
      <c r="A261" s="30"/>
      <c r="B261" s="42"/>
      <c r="C261" s="43"/>
      <c r="D261" s="30"/>
      <c r="E261" s="28"/>
      <c r="F261" s="30"/>
      <c r="G261" s="30"/>
      <c r="H261" s="30"/>
      <c r="I261" s="30"/>
      <c r="J261" s="28"/>
      <c r="K261" s="30"/>
      <c r="L261" s="30"/>
      <c r="M261" s="30"/>
      <c r="N261" s="30"/>
      <c r="O261" s="28"/>
      <c r="P261" s="30"/>
      <c r="Q261" s="30"/>
      <c r="R261" s="30"/>
      <c r="S261" s="36"/>
      <c r="T261" s="30"/>
      <c r="U261" s="36"/>
      <c r="V261" s="30"/>
      <c r="W261" s="28"/>
      <c r="X261" s="30"/>
      <c r="Y261" s="30"/>
      <c r="Z261" s="30"/>
      <c r="AA261" s="30"/>
      <c r="AB261" s="30"/>
      <c r="AC261" s="28"/>
      <c r="AD261" s="30"/>
      <c r="AE261" s="30"/>
      <c r="AF261" s="30"/>
      <c r="AG261" s="29"/>
      <c r="AH261" s="30"/>
      <c r="AI261" s="36"/>
      <c r="AJ261" s="30"/>
      <c r="AK261" s="29"/>
      <c r="AL261" s="30"/>
      <c r="AM261" s="30"/>
      <c r="AN261" s="30"/>
      <c r="AO261" s="30"/>
      <c r="AP261" s="30"/>
      <c r="AQ261" s="38"/>
      <c r="AR261" s="30"/>
      <c r="AS261" s="30"/>
      <c r="AT261" s="29"/>
      <c r="AU261" s="30"/>
      <c r="AV261" s="30"/>
      <c r="AW261" s="30"/>
      <c r="AX261" s="29"/>
      <c r="AY261" s="39"/>
      <c r="AZ261" s="30"/>
      <c r="BA261" s="30"/>
      <c r="BB261" s="29"/>
      <c r="BC261" s="52"/>
      <c r="BD261" s="30"/>
      <c r="BE261" s="29"/>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row>
    <row r="262">
      <c r="A262" s="30"/>
      <c r="B262" s="42"/>
      <c r="C262" s="43"/>
      <c r="D262" s="30"/>
      <c r="E262" s="28"/>
      <c r="F262" s="30"/>
      <c r="G262" s="30"/>
      <c r="H262" s="30"/>
      <c r="I262" s="30"/>
      <c r="J262" s="28"/>
      <c r="K262" s="30"/>
      <c r="L262" s="30"/>
      <c r="M262" s="30"/>
      <c r="N262" s="30"/>
      <c r="O262" s="28"/>
      <c r="P262" s="30"/>
      <c r="Q262" s="30"/>
      <c r="R262" s="30"/>
      <c r="S262" s="36"/>
      <c r="T262" s="30"/>
      <c r="U262" s="36"/>
      <c r="V262" s="30"/>
      <c r="W262" s="28"/>
      <c r="X262" s="30"/>
      <c r="Y262" s="30"/>
      <c r="Z262" s="30"/>
      <c r="AA262" s="30"/>
      <c r="AB262" s="30"/>
      <c r="AC262" s="28"/>
      <c r="AD262" s="30"/>
      <c r="AE262" s="30"/>
      <c r="AF262" s="30"/>
      <c r="AG262" s="29"/>
      <c r="AH262" s="30"/>
      <c r="AI262" s="36"/>
      <c r="AJ262" s="30"/>
      <c r="AK262" s="29"/>
      <c r="AL262" s="30"/>
      <c r="AM262" s="30"/>
      <c r="AN262" s="30"/>
      <c r="AO262" s="30"/>
      <c r="AP262" s="30"/>
      <c r="AQ262" s="38"/>
      <c r="AR262" s="30"/>
      <c r="AS262" s="30"/>
      <c r="AT262" s="29"/>
      <c r="AU262" s="30"/>
      <c r="AV262" s="30"/>
      <c r="AW262" s="30"/>
      <c r="AX262" s="29"/>
      <c r="AY262" s="39"/>
      <c r="AZ262" s="30"/>
      <c r="BA262" s="30"/>
      <c r="BB262" s="29"/>
      <c r="BC262" s="52"/>
      <c r="BD262" s="30"/>
      <c r="BE262" s="29"/>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row>
    <row r="263">
      <c r="A263" s="30"/>
      <c r="B263" s="42"/>
      <c r="C263" s="43"/>
      <c r="D263" s="30"/>
      <c r="E263" s="28"/>
      <c r="F263" s="30"/>
      <c r="G263" s="30"/>
      <c r="H263" s="30"/>
      <c r="I263" s="30"/>
      <c r="J263" s="28"/>
      <c r="K263" s="30"/>
      <c r="L263" s="30"/>
      <c r="M263" s="30"/>
      <c r="N263" s="30"/>
      <c r="O263" s="28"/>
      <c r="P263" s="30"/>
      <c r="Q263" s="30"/>
      <c r="R263" s="30"/>
      <c r="S263" s="36"/>
      <c r="T263" s="30"/>
      <c r="U263" s="36"/>
      <c r="V263" s="30"/>
      <c r="W263" s="28"/>
      <c r="X263" s="30"/>
      <c r="Y263" s="30"/>
      <c r="Z263" s="30"/>
      <c r="AA263" s="30"/>
      <c r="AB263" s="30"/>
      <c r="AC263" s="28"/>
      <c r="AD263" s="30"/>
      <c r="AE263" s="30"/>
      <c r="AF263" s="30"/>
      <c r="AG263" s="29"/>
      <c r="AH263" s="30"/>
      <c r="AI263" s="36"/>
      <c r="AJ263" s="30"/>
      <c r="AK263" s="29"/>
      <c r="AL263" s="30"/>
      <c r="AM263" s="30"/>
      <c r="AN263" s="30"/>
      <c r="AO263" s="30"/>
      <c r="AP263" s="30"/>
      <c r="AQ263" s="38"/>
      <c r="AR263" s="30"/>
      <c r="AS263" s="30"/>
      <c r="AT263" s="29"/>
      <c r="AU263" s="30"/>
      <c r="AV263" s="30"/>
      <c r="AW263" s="30"/>
      <c r="AX263" s="29"/>
      <c r="AY263" s="39"/>
      <c r="AZ263" s="30"/>
      <c r="BA263" s="30"/>
      <c r="BB263" s="29"/>
      <c r="BC263" s="52"/>
      <c r="BD263" s="30"/>
      <c r="BE263" s="29"/>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row>
    <row r="264">
      <c r="A264" s="30"/>
      <c r="B264" s="42"/>
      <c r="C264" s="43"/>
      <c r="D264" s="30"/>
      <c r="E264" s="28"/>
      <c r="F264" s="30"/>
      <c r="G264" s="30"/>
      <c r="H264" s="30"/>
      <c r="I264" s="30"/>
      <c r="J264" s="28"/>
      <c r="K264" s="30"/>
      <c r="L264" s="30"/>
      <c r="M264" s="30"/>
      <c r="N264" s="30"/>
      <c r="O264" s="28"/>
      <c r="P264" s="30"/>
      <c r="Q264" s="30"/>
      <c r="R264" s="30"/>
      <c r="S264" s="36"/>
      <c r="T264" s="30"/>
      <c r="U264" s="36"/>
      <c r="V264" s="30"/>
      <c r="W264" s="28"/>
      <c r="X264" s="30"/>
      <c r="Y264" s="30"/>
      <c r="Z264" s="30"/>
      <c r="AA264" s="30"/>
      <c r="AB264" s="30"/>
      <c r="AC264" s="28"/>
      <c r="AD264" s="30"/>
      <c r="AE264" s="30"/>
      <c r="AF264" s="30"/>
      <c r="AG264" s="29"/>
      <c r="AH264" s="30"/>
      <c r="AI264" s="36"/>
      <c r="AJ264" s="30"/>
      <c r="AK264" s="29"/>
      <c r="AL264" s="30"/>
      <c r="AM264" s="30"/>
      <c r="AN264" s="30"/>
      <c r="AO264" s="30"/>
      <c r="AP264" s="30"/>
      <c r="AQ264" s="38"/>
      <c r="AR264" s="30"/>
      <c r="AS264" s="30"/>
      <c r="AT264" s="29"/>
      <c r="AU264" s="30"/>
      <c r="AV264" s="30"/>
      <c r="AW264" s="30"/>
      <c r="AX264" s="29"/>
      <c r="AY264" s="39"/>
      <c r="AZ264" s="30"/>
      <c r="BA264" s="30"/>
      <c r="BB264" s="29"/>
      <c r="BC264" s="52"/>
      <c r="BD264" s="30"/>
      <c r="BE264" s="29"/>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row>
    <row r="265">
      <c r="A265" s="30"/>
      <c r="B265" s="42"/>
      <c r="C265" s="43"/>
      <c r="D265" s="30"/>
      <c r="E265" s="28"/>
      <c r="F265" s="30"/>
      <c r="G265" s="30"/>
      <c r="H265" s="30"/>
      <c r="I265" s="30"/>
      <c r="J265" s="28"/>
      <c r="K265" s="30"/>
      <c r="L265" s="30"/>
      <c r="M265" s="30"/>
      <c r="N265" s="30"/>
      <c r="O265" s="28"/>
      <c r="P265" s="30"/>
      <c r="Q265" s="30"/>
      <c r="R265" s="30"/>
      <c r="S265" s="36"/>
      <c r="T265" s="30"/>
      <c r="U265" s="36"/>
      <c r="V265" s="30"/>
      <c r="W265" s="28"/>
      <c r="X265" s="30"/>
      <c r="Y265" s="30"/>
      <c r="Z265" s="30"/>
      <c r="AA265" s="30"/>
      <c r="AB265" s="30"/>
      <c r="AC265" s="28"/>
      <c r="AD265" s="30"/>
      <c r="AE265" s="30"/>
      <c r="AF265" s="30"/>
      <c r="AG265" s="29"/>
      <c r="AH265" s="30"/>
      <c r="AI265" s="36"/>
      <c r="AJ265" s="30"/>
      <c r="AK265" s="29"/>
      <c r="AL265" s="30"/>
      <c r="AM265" s="30"/>
      <c r="AN265" s="30"/>
      <c r="AO265" s="30"/>
      <c r="AP265" s="30"/>
      <c r="AQ265" s="38"/>
      <c r="AR265" s="30"/>
      <c r="AS265" s="30"/>
      <c r="AT265" s="29"/>
      <c r="AU265" s="30"/>
      <c r="AV265" s="30"/>
      <c r="AW265" s="30"/>
      <c r="AX265" s="29"/>
      <c r="AY265" s="39"/>
      <c r="AZ265" s="30"/>
      <c r="BA265" s="30"/>
      <c r="BB265" s="29"/>
      <c r="BC265" s="52"/>
      <c r="BD265" s="30"/>
      <c r="BE265" s="29"/>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row>
    <row r="266">
      <c r="A266" s="30"/>
      <c r="B266" s="42"/>
      <c r="C266" s="43"/>
      <c r="D266" s="30"/>
      <c r="E266" s="28"/>
      <c r="F266" s="30"/>
      <c r="G266" s="30"/>
      <c r="H266" s="30"/>
      <c r="I266" s="30"/>
      <c r="J266" s="28"/>
      <c r="K266" s="30"/>
      <c r="L266" s="30"/>
      <c r="M266" s="30"/>
      <c r="N266" s="30"/>
      <c r="O266" s="28"/>
      <c r="P266" s="30"/>
      <c r="Q266" s="30"/>
      <c r="R266" s="30"/>
      <c r="S266" s="36"/>
      <c r="T266" s="30"/>
      <c r="U266" s="36"/>
      <c r="V266" s="30"/>
      <c r="W266" s="28"/>
      <c r="X266" s="30"/>
      <c r="Y266" s="30"/>
      <c r="Z266" s="30"/>
      <c r="AA266" s="30"/>
      <c r="AB266" s="30"/>
      <c r="AC266" s="28"/>
      <c r="AD266" s="30"/>
      <c r="AE266" s="30"/>
      <c r="AF266" s="30"/>
      <c r="AG266" s="29"/>
      <c r="AH266" s="30"/>
      <c r="AI266" s="36"/>
      <c r="AJ266" s="30"/>
      <c r="AK266" s="29"/>
      <c r="AL266" s="30"/>
      <c r="AM266" s="30"/>
      <c r="AN266" s="30"/>
      <c r="AO266" s="30"/>
      <c r="AP266" s="30"/>
      <c r="AQ266" s="38"/>
      <c r="AR266" s="30"/>
      <c r="AS266" s="30"/>
      <c r="AT266" s="29"/>
      <c r="AU266" s="30"/>
      <c r="AV266" s="30"/>
      <c r="AW266" s="30"/>
      <c r="AX266" s="29"/>
      <c r="AY266" s="39"/>
      <c r="AZ266" s="30"/>
      <c r="BA266" s="30"/>
      <c r="BB266" s="29"/>
      <c r="BC266" s="52"/>
      <c r="BD266" s="30"/>
      <c r="BE266" s="29"/>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row>
    <row r="267">
      <c r="A267" s="30"/>
      <c r="B267" s="42"/>
      <c r="C267" s="43"/>
      <c r="D267" s="30"/>
      <c r="E267" s="28"/>
      <c r="F267" s="30"/>
      <c r="G267" s="30"/>
      <c r="H267" s="30"/>
      <c r="I267" s="30"/>
      <c r="J267" s="28"/>
      <c r="K267" s="30"/>
      <c r="L267" s="30"/>
      <c r="M267" s="30"/>
      <c r="N267" s="30"/>
      <c r="O267" s="28"/>
      <c r="P267" s="30"/>
      <c r="Q267" s="30"/>
      <c r="R267" s="30"/>
      <c r="S267" s="36"/>
      <c r="T267" s="30"/>
      <c r="U267" s="36"/>
      <c r="V267" s="30"/>
      <c r="W267" s="28"/>
      <c r="X267" s="30"/>
      <c r="Y267" s="30"/>
      <c r="Z267" s="30"/>
      <c r="AA267" s="30"/>
      <c r="AB267" s="30"/>
      <c r="AC267" s="28"/>
      <c r="AD267" s="30"/>
      <c r="AE267" s="30"/>
      <c r="AF267" s="30"/>
      <c r="AG267" s="29"/>
      <c r="AH267" s="30"/>
      <c r="AI267" s="36"/>
      <c r="AJ267" s="30"/>
      <c r="AK267" s="29"/>
      <c r="AL267" s="30"/>
      <c r="AM267" s="30"/>
      <c r="AN267" s="30"/>
      <c r="AO267" s="30"/>
      <c r="AP267" s="30"/>
      <c r="AQ267" s="38"/>
      <c r="AR267" s="30"/>
      <c r="AS267" s="30"/>
      <c r="AT267" s="29"/>
      <c r="AU267" s="30"/>
      <c r="AV267" s="30"/>
      <c r="AW267" s="30"/>
      <c r="AX267" s="29"/>
      <c r="AY267" s="39"/>
      <c r="AZ267" s="30"/>
      <c r="BA267" s="30"/>
      <c r="BB267" s="29"/>
      <c r="BC267" s="52"/>
      <c r="BD267" s="30"/>
      <c r="BE267" s="29"/>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row>
    <row r="268">
      <c r="A268" s="30"/>
      <c r="B268" s="42"/>
      <c r="C268" s="43"/>
      <c r="D268" s="30"/>
      <c r="E268" s="28"/>
      <c r="F268" s="30"/>
      <c r="G268" s="30"/>
      <c r="H268" s="30"/>
      <c r="I268" s="30"/>
      <c r="J268" s="28"/>
      <c r="K268" s="30"/>
      <c r="L268" s="30"/>
      <c r="M268" s="30"/>
      <c r="N268" s="30"/>
      <c r="O268" s="28"/>
      <c r="P268" s="30"/>
      <c r="Q268" s="30"/>
      <c r="R268" s="30"/>
      <c r="S268" s="36"/>
      <c r="T268" s="30"/>
      <c r="U268" s="36"/>
      <c r="V268" s="30"/>
      <c r="W268" s="28"/>
      <c r="X268" s="30"/>
      <c r="Y268" s="30"/>
      <c r="Z268" s="30"/>
      <c r="AA268" s="30"/>
      <c r="AB268" s="30"/>
      <c r="AC268" s="28"/>
      <c r="AD268" s="30"/>
      <c r="AE268" s="30"/>
      <c r="AF268" s="30"/>
      <c r="AG268" s="29"/>
      <c r="AH268" s="30"/>
      <c r="AI268" s="36"/>
      <c r="AJ268" s="30"/>
      <c r="AK268" s="29"/>
      <c r="AL268" s="30"/>
      <c r="AM268" s="30"/>
      <c r="AN268" s="30"/>
      <c r="AO268" s="30"/>
      <c r="AP268" s="30"/>
      <c r="AQ268" s="38"/>
      <c r="AR268" s="30"/>
      <c r="AS268" s="30"/>
      <c r="AT268" s="29"/>
      <c r="AU268" s="30"/>
      <c r="AV268" s="30"/>
      <c r="AW268" s="30"/>
      <c r="AX268" s="29"/>
      <c r="AY268" s="39"/>
      <c r="AZ268" s="30"/>
      <c r="BA268" s="30"/>
      <c r="BB268" s="29"/>
      <c r="BC268" s="52"/>
      <c r="BD268" s="30"/>
      <c r="BE268" s="29"/>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row>
    <row r="269">
      <c r="A269" s="30"/>
      <c r="B269" s="42"/>
      <c r="C269" s="43"/>
      <c r="D269" s="30"/>
      <c r="E269" s="28"/>
      <c r="F269" s="30"/>
      <c r="G269" s="30"/>
      <c r="H269" s="30"/>
      <c r="I269" s="30"/>
      <c r="J269" s="28"/>
      <c r="K269" s="30"/>
      <c r="L269" s="30"/>
      <c r="M269" s="30"/>
      <c r="N269" s="30"/>
      <c r="O269" s="28"/>
      <c r="P269" s="30"/>
      <c r="Q269" s="30"/>
      <c r="R269" s="30"/>
      <c r="S269" s="36"/>
      <c r="T269" s="30"/>
      <c r="U269" s="36"/>
      <c r="V269" s="30"/>
      <c r="W269" s="28"/>
      <c r="X269" s="30"/>
      <c r="Y269" s="30"/>
      <c r="Z269" s="30"/>
      <c r="AA269" s="30"/>
      <c r="AB269" s="30"/>
      <c r="AC269" s="28"/>
      <c r="AD269" s="30"/>
      <c r="AE269" s="30"/>
      <c r="AF269" s="30"/>
      <c r="AG269" s="29"/>
      <c r="AH269" s="30"/>
      <c r="AI269" s="36"/>
      <c r="AJ269" s="30"/>
      <c r="AK269" s="29"/>
      <c r="AL269" s="30"/>
      <c r="AM269" s="30"/>
      <c r="AN269" s="30"/>
      <c r="AO269" s="30"/>
      <c r="AP269" s="30"/>
      <c r="AQ269" s="38"/>
      <c r="AR269" s="30"/>
      <c r="AS269" s="30"/>
      <c r="AT269" s="29"/>
      <c r="AU269" s="30"/>
      <c r="AV269" s="30"/>
      <c r="AW269" s="30"/>
      <c r="AX269" s="29"/>
      <c r="AY269" s="39"/>
      <c r="AZ269" s="30"/>
      <c r="BA269" s="30"/>
      <c r="BB269" s="29"/>
      <c r="BC269" s="52"/>
      <c r="BD269" s="30"/>
      <c r="BE269" s="29"/>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row>
    <row r="270">
      <c r="A270" s="30"/>
      <c r="B270" s="42"/>
      <c r="C270" s="43"/>
      <c r="D270" s="30"/>
      <c r="E270" s="28"/>
      <c r="F270" s="30"/>
      <c r="G270" s="30"/>
      <c r="H270" s="30"/>
      <c r="I270" s="30"/>
      <c r="J270" s="28"/>
      <c r="K270" s="30"/>
      <c r="L270" s="30"/>
      <c r="M270" s="30"/>
      <c r="N270" s="30"/>
      <c r="O270" s="28"/>
      <c r="P270" s="30"/>
      <c r="Q270" s="30"/>
      <c r="R270" s="30"/>
      <c r="S270" s="36"/>
      <c r="T270" s="30"/>
      <c r="U270" s="36"/>
      <c r="V270" s="30"/>
      <c r="W270" s="28"/>
      <c r="X270" s="30"/>
      <c r="Y270" s="30"/>
      <c r="Z270" s="30"/>
      <c r="AA270" s="30"/>
      <c r="AB270" s="30"/>
      <c r="AC270" s="28"/>
      <c r="AD270" s="30"/>
      <c r="AE270" s="30"/>
      <c r="AF270" s="30"/>
      <c r="AG270" s="29"/>
      <c r="AH270" s="30"/>
      <c r="AI270" s="36"/>
      <c r="AJ270" s="30"/>
      <c r="AK270" s="29"/>
      <c r="AL270" s="30"/>
      <c r="AM270" s="30"/>
      <c r="AN270" s="30"/>
      <c r="AO270" s="30"/>
      <c r="AP270" s="30"/>
      <c r="AQ270" s="38"/>
      <c r="AR270" s="30"/>
      <c r="AS270" s="30"/>
      <c r="AT270" s="29"/>
      <c r="AU270" s="30"/>
      <c r="AV270" s="30"/>
      <c r="AW270" s="30"/>
      <c r="AX270" s="29"/>
      <c r="AY270" s="39"/>
      <c r="AZ270" s="30"/>
      <c r="BA270" s="30"/>
      <c r="BB270" s="29"/>
      <c r="BC270" s="52"/>
      <c r="BD270" s="30"/>
      <c r="BE270" s="29"/>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row>
    <row r="271">
      <c r="A271" s="30"/>
      <c r="B271" s="42"/>
      <c r="C271" s="43"/>
      <c r="D271" s="30"/>
      <c r="E271" s="28"/>
      <c r="F271" s="30"/>
      <c r="G271" s="30"/>
      <c r="H271" s="30"/>
      <c r="I271" s="30"/>
      <c r="J271" s="28"/>
      <c r="K271" s="30"/>
      <c r="L271" s="30"/>
      <c r="M271" s="30"/>
      <c r="N271" s="30"/>
      <c r="O271" s="28"/>
      <c r="P271" s="30"/>
      <c r="Q271" s="30"/>
      <c r="R271" s="30"/>
      <c r="S271" s="36"/>
      <c r="T271" s="30"/>
      <c r="U271" s="36"/>
      <c r="V271" s="30"/>
      <c r="W271" s="28"/>
      <c r="X271" s="30"/>
      <c r="Y271" s="30"/>
      <c r="Z271" s="30"/>
      <c r="AA271" s="30"/>
      <c r="AB271" s="30"/>
      <c r="AC271" s="28"/>
      <c r="AD271" s="30"/>
      <c r="AE271" s="30"/>
      <c r="AF271" s="30"/>
      <c r="AG271" s="29"/>
      <c r="AH271" s="30"/>
      <c r="AI271" s="36"/>
      <c r="AJ271" s="30"/>
      <c r="AK271" s="29"/>
      <c r="AL271" s="30"/>
      <c r="AM271" s="30"/>
      <c r="AN271" s="30"/>
      <c r="AO271" s="30"/>
      <c r="AP271" s="30"/>
      <c r="AQ271" s="38"/>
      <c r="AR271" s="30"/>
      <c r="AS271" s="30"/>
      <c r="AT271" s="29"/>
      <c r="AU271" s="30"/>
      <c r="AV271" s="30"/>
      <c r="AW271" s="30"/>
      <c r="AX271" s="29"/>
      <c r="AY271" s="39"/>
      <c r="AZ271" s="30"/>
      <c r="BA271" s="30"/>
      <c r="BB271" s="29"/>
      <c r="BC271" s="52"/>
      <c r="BD271" s="30"/>
      <c r="BE271" s="29"/>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row>
    <row r="272">
      <c r="A272" s="30"/>
      <c r="B272" s="42"/>
      <c r="C272" s="43"/>
      <c r="D272" s="30"/>
      <c r="E272" s="28"/>
      <c r="F272" s="30"/>
      <c r="G272" s="30"/>
      <c r="H272" s="30"/>
      <c r="I272" s="30"/>
      <c r="J272" s="28"/>
      <c r="K272" s="30"/>
      <c r="L272" s="30"/>
      <c r="M272" s="30"/>
      <c r="N272" s="30"/>
      <c r="O272" s="28"/>
      <c r="P272" s="30"/>
      <c r="Q272" s="30"/>
      <c r="R272" s="30"/>
      <c r="S272" s="36"/>
      <c r="T272" s="30"/>
      <c r="U272" s="36"/>
      <c r="V272" s="30"/>
      <c r="W272" s="28"/>
      <c r="X272" s="30"/>
      <c r="Y272" s="30"/>
      <c r="Z272" s="30"/>
      <c r="AA272" s="30"/>
      <c r="AB272" s="30"/>
      <c r="AC272" s="28"/>
      <c r="AD272" s="30"/>
      <c r="AE272" s="30"/>
      <c r="AF272" s="30"/>
      <c r="AG272" s="29"/>
      <c r="AH272" s="30"/>
      <c r="AI272" s="36"/>
      <c r="AJ272" s="30"/>
      <c r="AK272" s="29"/>
      <c r="AL272" s="30"/>
      <c r="AM272" s="30"/>
      <c r="AN272" s="30"/>
      <c r="AO272" s="30"/>
      <c r="AP272" s="30"/>
      <c r="AQ272" s="38"/>
      <c r="AR272" s="30"/>
      <c r="AS272" s="30"/>
      <c r="AT272" s="29"/>
      <c r="AU272" s="30"/>
      <c r="AV272" s="30"/>
      <c r="AW272" s="30"/>
      <c r="AX272" s="29"/>
      <c r="AY272" s="39"/>
      <c r="AZ272" s="30"/>
      <c r="BA272" s="30"/>
      <c r="BB272" s="29"/>
      <c r="BC272" s="52"/>
      <c r="BD272" s="30"/>
      <c r="BE272" s="29"/>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row>
    <row r="273">
      <c r="A273" s="30"/>
      <c r="B273" s="42"/>
      <c r="C273" s="43"/>
      <c r="D273" s="30"/>
      <c r="E273" s="28"/>
      <c r="F273" s="30"/>
      <c r="G273" s="30"/>
      <c r="H273" s="30"/>
      <c r="I273" s="30"/>
      <c r="J273" s="28"/>
      <c r="K273" s="30"/>
      <c r="L273" s="30"/>
      <c r="M273" s="30"/>
      <c r="N273" s="30"/>
      <c r="O273" s="28"/>
      <c r="P273" s="30"/>
      <c r="Q273" s="30"/>
      <c r="R273" s="30"/>
      <c r="S273" s="36"/>
      <c r="T273" s="30"/>
      <c r="U273" s="36"/>
      <c r="V273" s="30"/>
      <c r="W273" s="28"/>
      <c r="X273" s="30"/>
      <c r="Y273" s="30"/>
      <c r="Z273" s="30"/>
      <c r="AA273" s="30"/>
      <c r="AB273" s="30"/>
      <c r="AC273" s="28"/>
      <c r="AD273" s="30"/>
      <c r="AE273" s="30"/>
      <c r="AF273" s="30"/>
      <c r="AG273" s="29"/>
      <c r="AH273" s="30"/>
      <c r="AI273" s="36"/>
      <c r="AJ273" s="30"/>
      <c r="AK273" s="29"/>
      <c r="AL273" s="30"/>
      <c r="AM273" s="30"/>
      <c r="AN273" s="30"/>
      <c r="AO273" s="30"/>
      <c r="AP273" s="30"/>
      <c r="AQ273" s="38"/>
      <c r="AR273" s="30"/>
      <c r="AS273" s="30"/>
      <c r="AT273" s="29"/>
      <c r="AU273" s="30"/>
      <c r="AV273" s="30"/>
      <c r="AW273" s="30"/>
      <c r="AX273" s="29"/>
      <c r="AY273" s="39"/>
      <c r="AZ273" s="30"/>
      <c r="BA273" s="30"/>
      <c r="BB273" s="29"/>
      <c r="BC273" s="52"/>
      <c r="BD273" s="30"/>
      <c r="BE273" s="29"/>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row>
    <row r="274">
      <c r="A274" s="30"/>
      <c r="B274" s="42"/>
      <c r="C274" s="43"/>
      <c r="D274" s="30"/>
      <c r="E274" s="28"/>
      <c r="F274" s="30"/>
      <c r="G274" s="30"/>
      <c r="H274" s="30"/>
      <c r="I274" s="30"/>
      <c r="J274" s="28"/>
      <c r="K274" s="30"/>
      <c r="L274" s="30"/>
      <c r="M274" s="30"/>
      <c r="N274" s="30"/>
      <c r="O274" s="28"/>
      <c r="P274" s="30"/>
      <c r="Q274" s="30"/>
      <c r="R274" s="30"/>
      <c r="S274" s="36"/>
      <c r="T274" s="30"/>
      <c r="U274" s="36"/>
      <c r="V274" s="30"/>
      <c r="W274" s="28"/>
      <c r="X274" s="30"/>
      <c r="Y274" s="30"/>
      <c r="Z274" s="30"/>
      <c r="AA274" s="30"/>
      <c r="AB274" s="30"/>
      <c r="AC274" s="28"/>
      <c r="AD274" s="30"/>
      <c r="AE274" s="30"/>
      <c r="AF274" s="30"/>
      <c r="AG274" s="29"/>
      <c r="AH274" s="30"/>
      <c r="AI274" s="36"/>
      <c r="AJ274" s="30"/>
      <c r="AK274" s="29"/>
      <c r="AL274" s="30"/>
      <c r="AM274" s="30"/>
      <c r="AN274" s="30"/>
      <c r="AO274" s="30"/>
      <c r="AP274" s="30"/>
      <c r="AQ274" s="38"/>
      <c r="AR274" s="30"/>
      <c r="AS274" s="30"/>
      <c r="AT274" s="29"/>
      <c r="AU274" s="30"/>
      <c r="AV274" s="30"/>
      <c r="AW274" s="30"/>
      <c r="AX274" s="29"/>
      <c r="AY274" s="39"/>
      <c r="AZ274" s="30"/>
      <c r="BA274" s="30"/>
      <c r="BB274" s="29"/>
      <c r="BC274" s="52"/>
      <c r="BD274" s="30"/>
      <c r="BE274" s="29"/>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row>
    <row r="275">
      <c r="A275" s="30"/>
      <c r="B275" s="42"/>
      <c r="C275" s="43"/>
      <c r="D275" s="30"/>
      <c r="E275" s="28"/>
      <c r="F275" s="30"/>
      <c r="G275" s="30"/>
      <c r="H275" s="30"/>
      <c r="I275" s="30"/>
      <c r="J275" s="28"/>
      <c r="K275" s="30"/>
      <c r="L275" s="30"/>
      <c r="M275" s="30"/>
      <c r="N275" s="30"/>
      <c r="O275" s="28"/>
      <c r="P275" s="30"/>
      <c r="Q275" s="30"/>
      <c r="R275" s="30"/>
      <c r="S275" s="36"/>
      <c r="T275" s="30"/>
      <c r="U275" s="36"/>
      <c r="V275" s="30"/>
      <c r="W275" s="28"/>
      <c r="X275" s="30"/>
      <c r="Y275" s="30"/>
      <c r="Z275" s="30"/>
      <c r="AA275" s="30"/>
      <c r="AB275" s="30"/>
      <c r="AC275" s="28"/>
      <c r="AD275" s="30"/>
      <c r="AE275" s="30"/>
      <c r="AF275" s="30"/>
      <c r="AG275" s="29"/>
      <c r="AH275" s="30"/>
      <c r="AI275" s="36"/>
      <c r="AJ275" s="30"/>
      <c r="AK275" s="29"/>
      <c r="AL275" s="30"/>
      <c r="AM275" s="30"/>
      <c r="AN275" s="30"/>
      <c r="AO275" s="30"/>
      <c r="AP275" s="30"/>
      <c r="AQ275" s="38"/>
      <c r="AR275" s="30"/>
      <c r="AS275" s="30"/>
      <c r="AT275" s="29"/>
      <c r="AU275" s="30"/>
      <c r="AV275" s="30"/>
      <c r="AW275" s="30"/>
      <c r="AX275" s="29"/>
      <c r="AY275" s="39"/>
      <c r="AZ275" s="30"/>
      <c r="BA275" s="30"/>
      <c r="BB275" s="29"/>
      <c r="BC275" s="52"/>
      <c r="BD275" s="30"/>
      <c r="BE275" s="29"/>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row>
    <row r="276">
      <c r="A276" s="30"/>
      <c r="B276" s="42"/>
      <c r="C276" s="43"/>
      <c r="D276" s="30"/>
      <c r="E276" s="28"/>
      <c r="F276" s="30"/>
      <c r="G276" s="30"/>
      <c r="H276" s="30"/>
      <c r="I276" s="30"/>
      <c r="J276" s="28"/>
      <c r="K276" s="30"/>
      <c r="L276" s="30"/>
      <c r="M276" s="30"/>
      <c r="N276" s="30"/>
      <c r="O276" s="28"/>
      <c r="P276" s="30"/>
      <c r="Q276" s="30"/>
      <c r="R276" s="30"/>
      <c r="S276" s="36"/>
      <c r="T276" s="30"/>
      <c r="U276" s="36"/>
      <c r="V276" s="30"/>
      <c r="W276" s="28"/>
      <c r="X276" s="30"/>
      <c r="Y276" s="30"/>
      <c r="Z276" s="30"/>
      <c r="AA276" s="30"/>
      <c r="AB276" s="30"/>
      <c r="AC276" s="28"/>
      <c r="AD276" s="30"/>
      <c r="AE276" s="30"/>
      <c r="AF276" s="30"/>
      <c r="AG276" s="29"/>
      <c r="AH276" s="30"/>
      <c r="AI276" s="36"/>
      <c r="AJ276" s="30"/>
      <c r="AK276" s="29"/>
      <c r="AL276" s="30"/>
      <c r="AM276" s="30"/>
      <c r="AN276" s="30"/>
      <c r="AO276" s="30"/>
      <c r="AP276" s="30"/>
      <c r="AQ276" s="38"/>
      <c r="AR276" s="30"/>
      <c r="AS276" s="30"/>
      <c r="AT276" s="29"/>
      <c r="AU276" s="30"/>
      <c r="AV276" s="30"/>
      <c r="AW276" s="30"/>
      <c r="AX276" s="29"/>
      <c r="AY276" s="39"/>
      <c r="AZ276" s="30"/>
      <c r="BA276" s="30"/>
      <c r="BB276" s="29"/>
      <c r="BC276" s="52"/>
      <c r="BD276" s="30"/>
      <c r="BE276" s="29"/>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row>
    <row r="277">
      <c r="A277" s="30"/>
      <c r="B277" s="42"/>
      <c r="C277" s="43"/>
      <c r="D277" s="30"/>
      <c r="E277" s="28"/>
      <c r="F277" s="30"/>
      <c r="G277" s="30"/>
      <c r="H277" s="30"/>
      <c r="I277" s="30"/>
      <c r="J277" s="28"/>
      <c r="K277" s="30"/>
      <c r="L277" s="30"/>
      <c r="M277" s="30"/>
      <c r="N277" s="30"/>
      <c r="O277" s="28"/>
      <c r="P277" s="30"/>
      <c r="Q277" s="30"/>
      <c r="R277" s="30"/>
      <c r="S277" s="36"/>
      <c r="T277" s="30"/>
      <c r="U277" s="36"/>
      <c r="V277" s="30"/>
      <c r="W277" s="28"/>
      <c r="X277" s="30"/>
      <c r="Y277" s="30"/>
      <c r="Z277" s="30"/>
      <c r="AA277" s="30"/>
      <c r="AB277" s="30"/>
      <c r="AC277" s="28"/>
      <c r="AD277" s="30"/>
      <c r="AE277" s="30"/>
      <c r="AF277" s="30"/>
      <c r="AG277" s="29"/>
      <c r="AH277" s="30"/>
      <c r="AI277" s="36"/>
      <c r="AJ277" s="30"/>
      <c r="AK277" s="29"/>
      <c r="AL277" s="30"/>
      <c r="AM277" s="30"/>
      <c r="AN277" s="30"/>
      <c r="AO277" s="30"/>
      <c r="AP277" s="30"/>
      <c r="AQ277" s="38"/>
      <c r="AR277" s="30"/>
      <c r="AS277" s="30"/>
      <c r="AT277" s="29"/>
      <c r="AU277" s="30"/>
      <c r="AV277" s="30"/>
      <c r="AW277" s="30"/>
      <c r="AX277" s="29"/>
      <c r="AY277" s="39"/>
      <c r="AZ277" s="30"/>
      <c r="BA277" s="30"/>
      <c r="BB277" s="29"/>
      <c r="BC277" s="52"/>
      <c r="BD277" s="30"/>
      <c r="BE277" s="29"/>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row>
    <row r="278">
      <c r="A278" s="30"/>
      <c r="B278" s="42"/>
      <c r="C278" s="43"/>
      <c r="D278" s="30"/>
      <c r="E278" s="28"/>
      <c r="F278" s="30"/>
      <c r="G278" s="30"/>
      <c r="H278" s="30"/>
      <c r="I278" s="30"/>
      <c r="J278" s="28"/>
      <c r="K278" s="30"/>
      <c r="L278" s="30"/>
      <c r="M278" s="30"/>
      <c r="N278" s="30"/>
      <c r="O278" s="28"/>
      <c r="P278" s="30"/>
      <c r="Q278" s="30"/>
      <c r="R278" s="30"/>
      <c r="S278" s="36"/>
      <c r="T278" s="30"/>
      <c r="U278" s="36"/>
      <c r="V278" s="30"/>
      <c r="W278" s="28"/>
      <c r="X278" s="30"/>
      <c r="Y278" s="30"/>
      <c r="Z278" s="30"/>
      <c r="AA278" s="30"/>
      <c r="AB278" s="30"/>
      <c r="AC278" s="28"/>
      <c r="AD278" s="30"/>
      <c r="AE278" s="30"/>
      <c r="AF278" s="30"/>
      <c r="AG278" s="29"/>
      <c r="AH278" s="30"/>
      <c r="AI278" s="36"/>
      <c r="AJ278" s="30"/>
      <c r="AK278" s="29"/>
      <c r="AL278" s="30"/>
      <c r="AM278" s="30"/>
      <c r="AN278" s="30"/>
      <c r="AO278" s="30"/>
      <c r="AP278" s="30"/>
      <c r="AQ278" s="38"/>
      <c r="AR278" s="30"/>
      <c r="AS278" s="30"/>
      <c r="AT278" s="29"/>
      <c r="AU278" s="30"/>
      <c r="AV278" s="30"/>
      <c r="AW278" s="30"/>
      <c r="AX278" s="29"/>
      <c r="AY278" s="39"/>
      <c r="AZ278" s="30"/>
      <c r="BA278" s="30"/>
      <c r="BB278" s="29"/>
      <c r="BC278" s="52"/>
      <c r="BD278" s="30"/>
      <c r="BE278" s="29"/>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row>
    <row r="279">
      <c r="A279" s="30"/>
      <c r="B279" s="42"/>
      <c r="C279" s="43"/>
      <c r="D279" s="30"/>
      <c r="E279" s="28"/>
      <c r="F279" s="30"/>
      <c r="G279" s="30"/>
      <c r="H279" s="30"/>
      <c r="I279" s="30"/>
      <c r="J279" s="28"/>
      <c r="K279" s="30"/>
      <c r="L279" s="30"/>
      <c r="M279" s="30"/>
      <c r="N279" s="30"/>
      <c r="O279" s="28"/>
      <c r="P279" s="30"/>
      <c r="Q279" s="30"/>
      <c r="R279" s="30"/>
      <c r="S279" s="36"/>
      <c r="T279" s="30"/>
      <c r="U279" s="36"/>
      <c r="V279" s="30"/>
      <c r="W279" s="28"/>
      <c r="X279" s="30"/>
      <c r="Y279" s="30"/>
      <c r="Z279" s="30"/>
      <c r="AA279" s="30"/>
      <c r="AB279" s="30"/>
      <c r="AC279" s="28"/>
      <c r="AD279" s="30"/>
      <c r="AE279" s="30"/>
      <c r="AF279" s="30"/>
      <c r="AG279" s="29"/>
      <c r="AH279" s="30"/>
      <c r="AI279" s="36"/>
      <c r="AJ279" s="30"/>
      <c r="AK279" s="29"/>
      <c r="AL279" s="30"/>
      <c r="AM279" s="30"/>
      <c r="AN279" s="30"/>
      <c r="AO279" s="30"/>
      <c r="AP279" s="30"/>
      <c r="AQ279" s="38"/>
      <c r="AR279" s="30"/>
      <c r="AS279" s="30"/>
      <c r="AT279" s="29"/>
      <c r="AU279" s="30"/>
      <c r="AV279" s="30"/>
      <c r="AW279" s="30"/>
      <c r="AX279" s="29"/>
      <c r="AY279" s="39"/>
      <c r="AZ279" s="30"/>
      <c r="BA279" s="30"/>
      <c r="BB279" s="29"/>
      <c r="BC279" s="52"/>
      <c r="BD279" s="30"/>
      <c r="BE279" s="29"/>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row>
    <row r="280">
      <c r="A280" s="30"/>
      <c r="B280" s="42"/>
      <c r="C280" s="43"/>
      <c r="D280" s="30"/>
      <c r="E280" s="28"/>
      <c r="F280" s="30"/>
      <c r="G280" s="30"/>
      <c r="H280" s="30"/>
      <c r="I280" s="30"/>
      <c r="J280" s="28"/>
      <c r="K280" s="30"/>
      <c r="L280" s="30"/>
      <c r="M280" s="30"/>
      <c r="N280" s="30"/>
      <c r="O280" s="28"/>
      <c r="P280" s="30"/>
      <c r="Q280" s="30"/>
      <c r="R280" s="30"/>
      <c r="S280" s="36"/>
      <c r="T280" s="30"/>
      <c r="U280" s="36"/>
      <c r="V280" s="30"/>
      <c r="W280" s="28"/>
      <c r="X280" s="30"/>
      <c r="Y280" s="30"/>
      <c r="Z280" s="30"/>
      <c r="AA280" s="30"/>
      <c r="AB280" s="30"/>
      <c r="AC280" s="28"/>
      <c r="AD280" s="30"/>
      <c r="AE280" s="30"/>
      <c r="AF280" s="30"/>
      <c r="AG280" s="29"/>
      <c r="AH280" s="30"/>
      <c r="AI280" s="36"/>
      <c r="AJ280" s="30"/>
      <c r="AK280" s="29"/>
      <c r="AL280" s="30"/>
      <c r="AM280" s="30"/>
      <c r="AN280" s="30"/>
      <c r="AO280" s="30"/>
      <c r="AP280" s="30"/>
      <c r="AQ280" s="38"/>
      <c r="AR280" s="30"/>
      <c r="AS280" s="30"/>
      <c r="AT280" s="29"/>
      <c r="AU280" s="30"/>
      <c r="AV280" s="30"/>
      <c r="AW280" s="30"/>
      <c r="AX280" s="29"/>
      <c r="AY280" s="39"/>
      <c r="AZ280" s="30"/>
      <c r="BA280" s="30"/>
      <c r="BB280" s="29"/>
      <c r="BC280" s="52"/>
      <c r="BD280" s="30"/>
      <c r="BE280" s="29"/>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row>
    <row r="281">
      <c r="A281" s="30"/>
      <c r="B281" s="42"/>
      <c r="C281" s="43"/>
      <c r="D281" s="30"/>
      <c r="E281" s="28"/>
      <c r="F281" s="30"/>
      <c r="G281" s="30"/>
      <c r="H281" s="30"/>
      <c r="I281" s="30"/>
      <c r="J281" s="28"/>
      <c r="K281" s="30"/>
      <c r="L281" s="30"/>
      <c r="M281" s="30"/>
      <c r="N281" s="30"/>
      <c r="O281" s="28"/>
      <c r="P281" s="30"/>
      <c r="Q281" s="30"/>
      <c r="R281" s="30"/>
      <c r="S281" s="36"/>
      <c r="T281" s="30"/>
      <c r="U281" s="36"/>
      <c r="V281" s="30"/>
      <c r="W281" s="28"/>
      <c r="X281" s="30"/>
      <c r="Y281" s="30"/>
      <c r="Z281" s="30"/>
      <c r="AA281" s="30"/>
      <c r="AB281" s="30"/>
      <c r="AC281" s="28"/>
      <c r="AD281" s="30"/>
      <c r="AE281" s="30"/>
      <c r="AF281" s="30"/>
      <c r="AG281" s="29"/>
      <c r="AH281" s="30"/>
      <c r="AI281" s="36"/>
      <c r="AJ281" s="30"/>
      <c r="AK281" s="29"/>
      <c r="AL281" s="30"/>
      <c r="AM281" s="30"/>
      <c r="AN281" s="30"/>
      <c r="AO281" s="30"/>
      <c r="AP281" s="30"/>
      <c r="AQ281" s="38"/>
      <c r="AR281" s="30"/>
      <c r="AS281" s="30"/>
      <c r="AT281" s="29"/>
      <c r="AU281" s="30"/>
      <c r="AV281" s="30"/>
      <c r="AW281" s="30"/>
      <c r="AX281" s="29"/>
      <c r="AY281" s="39"/>
      <c r="AZ281" s="30"/>
      <c r="BA281" s="30"/>
      <c r="BB281" s="29"/>
      <c r="BC281" s="52"/>
      <c r="BD281" s="30"/>
      <c r="BE281" s="29"/>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row>
    <row r="282">
      <c r="A282" s="30"/>
      <c r="B282" s="42"/>
      <c r="C282" s="43"/>
      <c r="D282" s="30"/>
      <c r="E282" s="28"/>
      <c r="F282" s="30"/>
      <c r="G282" s="30"/>
      <c r="H282" s="30"/>
      <c r="I282" s="30"/>
      <c r="J282" s="28"/>
      <c r="K282" s="30"/>
      <c r="L282" s="30"/>
      <c r="M282" s="30"/>
      <c r="N282" s="30"/>
      <c r="O282" s="28"/>
      <c r="P282" s="30"/>
      <c r="Q282" s="30"/>
      <c r="R282" s="30"/>
      <c r="S282" s="36"/>
      <c r="T282" s="30"/>
      <c r="U282" s="36"/>
      <c r="V282" s="30"/>
      <c r="W282" s="28"/>
      <c r="X282" s="30"/>
      <c r="Y282" s="30"/>
      <c r="Z282" s="30"/>
      <c r="AA282" s="30"/>
      <c r="AB282" s="30"/>
      <c r="AC282" s="28"/>
      <c r="AD282" s="30"/>
      <c r="AE282" s="30"/>
      <c r="AF282" s="30"/>
      <c r="AG282" s="29"/>
      <c r="AH282" s="30"/>
      <c r="AI282" s="36"/>
      <c r="AJ282" s="30"/>
      <c r="AK282" s="29"/>
      <c r="AL282" s="30"/>
      <c r="AM282" s="30"/>
      <c r="AN282" s="30"/>
      <c r="AO282" s="30"/>
      <c r="AP282" s="30"/>
      <c r="AQ282" s="38"/>
      <c r="AR282" s="30"/>
      <c r="AS282" s="30"/>
      <c r="AT282" s="29"/>
      <c r="AU282" s="30"/>
      <c r="AV282" s="30"/>
      <c r="AW282" s="30"/>
      <c r="AX282" s="29"/>
      <c r="AY282" s="39"/>
      <c r="AZ282" s="30"/>
      <c r="BA282" s="30"/>
      <c r="BB282" s="29"/>
      <c r="BC282" s="52"/>
      <c r="BD282" s="30"/>
      <c r="BE282" s="29"/>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row>
    <row r="283">
      <c r="A283" s="30"/>
      <c r="B283" s="42"/>
      <c r="C283" s="43"/>
      <c r="D283" s="30"/>
      <c r="E283" s="28"/>
      <c r="F283" s="30"/>
      <c r="G283" s="30"/>
      <c r="H283" s="30"/>
      <c r="I283" s="30"/>
      <c r="J283" s="28"/>
      <c r="K283" s="30"/>
      <c r="L283" s="30"/>
      <c r="M283" s="30"/>
      <c r="N283" s="30"/>
      <c r="O283" s="28"/>
      <c r="P283" s="30"/>
      <c r="Q283" s="30"/>
      <c r="R283" s="30"/>
      <c r="S283" s="36"/>
      <c r="T283" s="30"/>
      <c r="U283" s="36"/>
      <c r="V283" s="30"/>
      <c r="W283" s="28"/>
      <c r="X283" s="30"/>
      <c r="Y283" s="30"/>
      <c r="Z283" s="30"/>
      <c r="AA283" s="30"/>
      <c r="AB283" s="30"/>
      <c r="AC283" s="28"/>
      <c r="AD283" s="30"/>
      <c r="AE283" s="30"/>
      <c r="AF283" s="30"/>
      <c r="AG283" s="29"/>
      <c r="AH283" s="30"/>
      <c r="AI283" s="36"/>
      <c r="AJ283" s="30"/>
      <c r="AK283" s="29"/>
      <c r="AL283" s="30"/>
      <c r="AM283" s="30"/>
      <c r="AN283" s="30"/>
      <c r="AO283" s="30"/>
      <c r="AP283" s="30"/>
      <c r="AQ283" s="38"/>
      <c r="AR283" s="30"/>
      <c r="AS283" s="30"/>
      <c r="AT283" s="29"/>
      <c r="AU283" s="30"/>
      <c r="AV283" s="30"/>
      <c r="AW283" s="30"/>
      <c r="AX283" s="29"/>
      <c r="AY283" s="39"/>
      <c r="AZ283" s="30"/>
      <c r="BA283" s="30"/>
      <c r="BB283" s="29"/>
      <c r="BC283" s="52"/>
      <c r="BD283" s="30"/>
      <c r="BE283" s="29"/>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row>
    <row r="284">
      <c r="A284" s="30"/>
      <c r="B284" s="42"/>
      <c r="C284" s="43"/>
      <c r="D284" s="30"/>
      <c r="E284" s="28"/>
      <c r="F284" s="30"/>
      <c r="G284" s="30"/>
      <c r="H284" s="30"/>
      <c r="I284" s="30"/>
      <c r="J284" s="28"/>
      <c r="K284" s="30"/>
      <c r="L284" s="30"/>
      <c r="M284" s="30"/>
      <c r="N284" s="30"/>
      <c r="O284" s="28"/>
      <c r="P284" s="30"/>
      <c r="Q284" s="30"/>
      <c r="R284" s="30"/>
      <c r="S284" s="36"/>
      <c r="T284" s="30"/>
      <c r="U284" s="36"/>
      <c r="V284" s="30"/>
      <c r="W284" s="28"/>
      <c r="X284" s="30"/>
      <c r="Y284" s="30"/>
      <c r="Z284" s="30"/>
      <c r="AA284" s="30"/>
      <c r="AB284" s="30"/>
      <c r="AC284" s="28"/>
      <c r="AD284" s="30"/>
      <c r="AE284" s="30"/>
      <c r="AF284" s="30"/>
      <c r="AG284" s="29"/>
      <c r="AH284" s="30"/>
      <c r="AI284" s="36"/>
      <c r="AJ284" s="30"/>
      <c r="AK284" s="29"/>
      <c r="AL284" s="30"/>
      <c r="AM284" s="30"/>
      <c r="AN284" s="30"/>
      <c r="AO284" s="30"/>
      <c r="AP284" s="30"/>
      <c r="AQ284" s="38"/>
      <c r="AR284" s="30"/>
      <c r="AS284" s="30"/>
      <c r="AT284" s="29"/>
      <c r="AU284" s="30"/>
      <c r="AV284" s="30"/>
      <c r="AW284" s="30"/>
      <c r="AX284" s="29"/>
      <c r="AY284" s="39"/>
      <c r="AZ284" s="30"/>
      <c r="BA284" s="30"/>
      <c r="BB284" s="29"/>
      <c r="BC284" s="52"/>
      <c r="BD284" s="30"/>
      <c r="BE284" s="29"/>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row>
    <row r="285">
      <c r="A285" s="30"/>
      <c r="B285" s="42"/>
      <c r="C285" s="43"/>
      <c r="D285" s="30"/>
      <c r="E285" s="28"/>
      <c r="F285" s="30"/>
      <c r="G285" s="30"/>
      <c r="H285" s="30"/>
      <c r="I285" s="30"/>
      <c r="J285" s="28"/>
      <c r="K285" s="30"/>
      <c r="L285" s="30"/>
      <c r="M285" s="30"/>
      <c r="N285" s="30"/>
      <c r="O285" s="28"/>
      <c r="P285" s="30"/>
      <c r="Q285" s="30"/>
      <c r="R285" s="30"/>
      <c r="S285" s="36"/>
      <c r="T285" s="30"/>
      <c r="U285" s="36"/>
      <c r="V285" s="30"/>
      <c r="W285" s="28"/>
      <c r="X285" s="30"/>
      <c r="Y285" s="30"/>
      <c r="Z285" s="30"/>
      <c r="AA285" s="30"/>
      <c r="AB285" s="30"/>
      <c r="AC285" s="28"/>
      <c r="AD285" s="30"/>
      <c r="AE285" s="30"/>
      <c r="AF285" s="30"/>
      <c r="AG285" s="29"/>
      <c r="AH285" s="30"/>
      <c r="AI285" s="36"/>
      <c r="AJ285" s="30"/>
      <c r="AK285" s="29"/>
      <c r="AL285" s="30"/>
      <c r="AM285" s="30"/>
      <c r="AN285" s="30"/>
      <c r="AO285" s="30"/>
      <c r="AP285" s="30"/>
      <c r="AQ285" s="38"/>
      <c r="AR285" s="30"/>
      <c r="AS285" s="30"/>
      <c r="AT285" s="29"/>
      <c r="AU285" s="30"/>
      <c r="AV285" s="30"/>
      <c r="AW285" s="30"/>
      <c r="AX285" s="29"/>
      <c r="AY285" s="39"/>
      <c r="AZ285" s="30"/>
      <c r="BA285" s="30"/>
      <c r="BB285" s="29"/>
      <c r="BC285" s="52"/>
      <c r="BD285" s="30"/>
      <c r="BE285" s="29"/>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row>
    <row r="286">
      <c r="A286" s="30"/>
      <c r="B286" s="42"/>
      <c r="C286" s="43"/>
      <c r="D286" s="30"/>
      <c r="E286" s="28"/>
      <c r="F286" s="30"/>
      <c r="G286" s="30"/>
      <c r="H286" s="30"/>
      <c r="I286" s="30"/>
      <c r="J286" s="28"/>
      <c r="K286" s="30"/>
      <c r="L286" s="30"/>
      <c r="M286" s="30"/>
      <c r="N286" s="30"/>
      <c r="O286" s="28"/>
      <c r="P286" s="30"/>
      <c r="Q286" s="30"/>
      <c r="R286" s="30"/>
      <c r="S286" s="36"/>
      <c r="T286" s="30"/>
      <c r="U286" s="36"/>
      <c r="V286" s="30"/>
      <c r="W286" s="28"/>
      <c r="X286" s="30"/>
      <c r="Y286" s="30"/>
      <c r="Z286" s="30"/>
      <c r="AA286" s="30"/>
      <c r="AB286" s="30"/>
      <c r="AC286" s="28"/>
      <c r="AD286" s="30"/>
      <c r="AE286" s="30"/>
      <c r="AF286" s="30"/>
      <c r="AG286" s="29"/>
      <c r="AH286" s="30"/>
      <c r="AI286" s="36"/>
      <c r="AJ286" s="30"/>
      <c r="AK286" s="29"/>
      <c r="AL286" s="30"/>
      <c r="AM286" s="30"/>
      <c r="AN286" s="30"/>
      <c r="AO286" s="30"/>
      <c r="AP286" s="30"/>
      <c r="AQ286" s="38"/>
      <c r="AR286" s="30"/>
      <c r="AS286" s="30"/>
      <c r="AT286" s="29"/>
      <c r="AU286" s="30"/>
      <c r="AV286" s="30"/>
      <c r="AW286" s="30"/>
      <c r="AX286" s="29"/>
      <c r="AY286" s="39"/>
      <c r="AZ286" s="30"/>
      <c r="BA286" s="30"/>
      <c r="BB286" s="29"/>
      <c r="BC286" s="52"/>
      <c r="BD286" s="30"/>
      <c r="BE286" s="29"/>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row>
    <row r="287">
      <c r="A287" s="30"/>
      <c r="B287" s="42"/>
      <c r="C287" s="43"/>
      <c r="D287" s="30"/>
      <c r="E287" s="28"/>
      <c r="F287" s="30"/>
      <c r="G287" s="30"/>
      <c r="H287" s="30"/>
      <c r="I287" s="30"/>
      <c r="J287" s="28"/>
      <c r="K287" s="30"/>
      <c r="L287" s="30"/>
      <c r="M287" s="30"/>
      <c r="N287" s="30"/>
      <c r="O287" s="28"/>
      <c r="P287" s="30"/>
      <c r="Q287" s="30"/>
      <c r="R287" s="30"/>
      <c r="S287" s="36"/>
      <c r="T287" s="30"/>
      <c r="U287" s="36"/>
      <c r="V287" s="30"/>
      <c r="W287" s="28"/>
      <c r="X287" s="30"/>
      <c r="Y287" s="30"/>
      <c r="Z287" s="30"/>
      <c r="AA287" s="30"/>
      <c r="AB287" s="30"/>
      <c r="AC287" s="28"/>
      <c r="AD287" s="30"/>
      <c r="AE287" s="30"/>
      <c r="AF287" s="30"/>
      <c r="AG287" s="29"/>
      <c r="AH287" s="30"/>
      <c r="AI287" s="36"/>
      <c r="AJ287" s="30"/>
      <c r="AK287" s="29"/>
      <c r="AL287" s="30"/>
      <c r="AM287" s="30"/>
      <c r="AN287" s="30"/>
      <c r="AO287" s="30"/>
      <c r="AP287" s="30"/>
      <c r="AQ287" s="38"/>
      <c r="AR287" s="30"/>
      <c r="AS287" s="30"/>
      <c r="AT287" s="29"/>
      <c r="AU287" s="30"/>
      <c r="AV287" s="30"/>
      <c r="AW287" s="30"/>
      <c r="AX287" s="29"/>
      <c r="AY287" s="39"/>
      <c r="AZ287" s="30"/>
      <c r="BA287" s="30"/>
      <c r="BB287" s="29"/>
      <c r="BC287" s="52"/>
      <c r="BD287" s="30"/>
      <c r="BE287" s="29"/>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row>
    <row r="288">
      <c r="A288" s="30"/>
      <c r="B288" s="42"/>
      <c r="C288" s="43"/>
      <c r="D288" s="30"/>
      <c r="E288" s="28"/>
      <c r="F288" s="30"/>
      <c r="G288" s="30"/>
      <c r="H288" s="30"/>
      <c r="I288" s="30"/>
      <c r="J288" s="28"/>
      <c r="K288" s="30"/>
      <c r="L288" s="30"/>
      <c r="M288" s="30"/>
      <c r="N288" s="30"/>
      <c r="O288" s="28"/>
      <c r="P288" s="30"/>
      <c r="Q288" s="30"/>
      <c r="R288" s="30"/>
      <c r="S288" s="36"/>
      <c r="T288" s="30"/>
      <c r="U288" s="36"/>
      <c r="V288" s="30"/>
      <c r="W288" s="28"/>
      <c r="X288" s="30"/>
      <c r="Y288" s="30"/>
      <c r="Z288" s="30"/>
      <c r="AA288" s="30"/>
      <c r="AB288" s="30"/>
      <c r="AC288" s="28"/>
      <c r="AD288" s="30"/>
      <c r="AE288" s="30"/>
      <c r="AF288" s="30"/>
      <c r="AG288" s="29"/>
      <c r="AH288" s="30"/>
      <c r="AI288" s="36"/>
      <c r="AJ288" s="30"/>
      <c r="AK288" s="29"/>
      <c r="AL288" s="30"/>
      <c r="AM288" s="30"/>
      <c r="AN288" s="30"/>
      <c r="AO288" s="30"/>
      <c r="AP288" s="30"/>
      <c r="AQ288" s="38"/>
      <c r="AR288" s="30"/>
      <c r="AS288" s="30"/>
      <c r="AT288" s="29"/>
      <c r="AU288" s="30"/>
      <c r="AV288" s="30"/>
      <c r="AW288" s="30"/>
      <c r="AX288" s="29"/>
      <c r="AY288" s="39"/>
      <c r="AZ288" s="30"/>
      <c r="BA288" s="30"/>
      <c r="BB288" s="29"/>
      <c r="BC288" s="52"/>
      <c r="BD288" s="30"/>
      <c r="BE288" s="29"/>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row>
    <row r="289">
      <c r="A289" s="30"/>
      <c r="B289" s="42"/>
      <c r="C289" s="43"/>
      <c r="D289" s="30"/>
      <c r="E289" s="28"/>
      <c r="F289" s="30"/>
      <c r="G289" s="30"/>
      <c r="H289" s="30"/>
      <c r="I289" s="30"/>
      <c r="J289" s="28"/>
      <c r="K289" s="30"/>
      <c r="L289" s="30"/>
      <c r="M289" s="30"/>
      <c r="N289" s="30"/>
      <c r="O289" s="28"/>
      <c r="P289" s="30"/>
      <c r="Q289" s="30"/>
      <c r="R289" s="30"/>
      <c r="S289" s="36"/>
      <c r="T289" s="30"/>
      <c r="U289" s="36"/>
      <c r="V289" s="30"/>
      <c r="W289" s="28"/>
      <c r="X289" s="30"/>
      <c r="Y289" s="30"/>
      <c r="Z289" s="30"/>
      <c r="AA289" s="30"/>
      <c r="AB289" s="30"/>
      <c r="AC289" s="28"/>
      <c r="AD289" s="30"/>
      <c r="AE289" s="30"/>
      <c r="AF289" s="30"/>
      <c r="AG289" s="29"/>
      <c r="AH289" s="30"/>
      <c r="AI289" s="36"/>
      <c r="AJ289" s="30"/>
      <c r="AK289" s="29"/>
      <c r="AL289" s="30"/>
      <c r="AM289" s="30"/>
      <c r="AN289" s="30"/>
      <c r="AO289" s="30"/>
      <c r="AP289" s="30"/>
      <c r="AQ289" s="38"/>
      <c r="AR289" s="30"/>
      <c r="AS289" s="30"/>
      <c r="AT289" s="29"/>
      <c r="AU289" s="30"/>
      <c r="AV289" s="30"/>
      <c r="AW289" s="30"/>
      <c r="AX289" s="29"/>
      <c r="AY289" s="39"/>
      <c r="AZ289" s="30"/>
      <c r="BA289" s="30"/>
      <c r="BB289" s="29"/>
      <c r="BC289" s="52"/>
      <c r="BD289" s="30"/>
      <c r="BE289" s="29"/>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row>
    <row r="290">
      <c r="A290" s="30"/>
      <c r="B290" s="42"/>
      <c r="C290" s="43"/>
      <c r="D290" s="30"/>
      <c r="E290" s="28"/>
      <c r="F290" s="30"/>
      <c r="G290" s="30"/>
      <c r="H290" s="30"/>
      <c r="I290" s="30"/>
      <c r="J290" s="28"/>
      <c r="K290" s="30"/>
      <c r="L290" s="30"/>
      <c r="M290" s="30"/>
      <c r="N290" s="30"/>
      <c r="O290" s="28"/>
      <c r="P290" s="30"/>
      <c r="Q290" s="30"/>
      <c r="R290" s="30"/>
      <c r="S290" s="36"/>
      <c r="T290" s="30"/>
      <c r="U290" s="36"/>
      <c r="V290" s="30"/>
      <c r="W290" s="28"/>
      <c r="X290" s="30"/>
      <c r="Y290" s="30"/>
      <c r="Z290" s="30"/>
      <c r="AA290" s="30"/>
      <c r="AB290" s="30"/>
      <c r="AC290" s="28"/>
      <c r="AD290" s="30"/>
      <c r="AE290" s="30"/>
      <c r="AF290" s="30"/>
      <c r="AG290" s="29"/>
      <c r="AH290" s="30"/>
      <c r="AI290" s="36"/>
      <c r="AJ290" s="30"/>
      <c r="AK290" s="29"/>
      <c r="AL290" s="30"/>
      <c r="AM290" s="30"/>
      <c r="AN290" s="30"/>
      <c r="AO290" s="30"/>
      <c r="AP290" s="30"/>
      <c r="AQ290" s="38"/>
      <c r="AR290" s="30"/>
      <c r="AS290" s="30"/>
      <c r="AT290" s="29"/>
      <c r="AU290" s="30"/>
      <c r="AV290" s="30"/>
      <c r="AW290" s="30"/>
      <c r="AX290" s="29"/>
      <c r="AY290" s="39"/>
      <c r="AZ290" s="30"/>
      <c r="BA290" s="30"/>
      <c r="BB290" s="29"/>
      <c r="BC290" s="52"/>
      <c r="BD290" s="30"/>
      <c r="BE290" s="29"/>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row>
    <row r="291">
      <c r="A291" s="30"/>
      <c r="B291" s="42"/>
      <c r="C291" s="43"/>
      <c r="D291" s="30"/>
      <c r="E291" s="28"/>
      <c r="F291" s="30"/>
      <c r="G291" s="30"/>
      <c r="H291" s="30"/>
      <c r="I291" s="30"/>
      <c r="J291" s="28"/>
      <c r="K291" s="30"/>
      <c r="L291" s="30"/>
      <c r="M291" s="30"/>
      <c r="N291" s="30"/>
      <c r="O291" s="28"/>
      <c r="P291" s="30"/>
      <c r="Q291" s="30"/>
      <c r="R291" s="30"/>
      <c r="S291" s="36"/>
      <c r="T291" s="30"/>
      <c r="U291" s="36"/>
      <c r="V291" s="30"/>
      <c r="W291" s="28"/>
      <c r="X291" s="30"/>
      <c r="Y291" s="30"/>
      <c r="Z291" s="30"/>
      <c r="AA291" s="30"/>
      <c r="AB291" s="30"/>
      <c r="AC291" s="28"/>
      <c r="AD291" s="30"/>
      <c r="AE291" s="30"/>
      <c r="AF291" s="30"/>
      <c r="AG291" s="29"/>
      <c r="AH291" s="30"/>
      <c r="AI291" s="36"/>
      <c r="AJ291" s="30"/>
      <c r="AK291" s="29"/>
      <c r="AL291" s="30"/>
      <c r="AM291" s="30"/>
      <c r="AN291" s="30"/>
      <c r="AO291" s="30"/>
      <c r="AP291" s="30"/>
      <c r="AQ291" s="38"/>
      <c r="AR291" s="30"/>
      <c r="AS291" s="30"/>
      <c r="AT291" s="29"/>
      <c r="AU291" s="30"/>
      <c r="AV291" s="30"/>
      <c r="AW291" s="30"/>
      <c r="AX291" s="29"/>
      <c r="AY291" s="39"/>
      <c r="AZ291" s="30"/>
      <c r="BA291" s="30"/>
      <c r="BB291" s="29"/>
      <c r="BC291" s="52"/>
      <c r="BD291" s="30"/>
      <c r="BE291" s="29"/>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row>
    <row r="292">
      <c r="A292" s="30"/>
      <c r="B292" s="42"/>
      <c r="C292" s="43"/>
      <c r="D292" s="30"/>
      <c r="E292" s="28"/>
      <c r="F292" s="30"/>
      <c r="G292" s="30"/>
      <c r="H292" s="30"/>
      <c r="I292" s="30"/>
      <c r="J292" s="28"/>
      <c r="K292" s="30"/>
      <c r="L292" s="30"/>
      <c r="M292" s="30"/>
      <c r="N292" s="30"/>
      <c r="O292" s="28"/>
      <c r="P292" s="30"/>
      <c r="Q292" s="30"/>
      <c r="R292" s="30"/>
      <c r="S292" s="36"/>
      <c r="T292" s="30"/>
      <c r="U292" s="36"/>
      <c r="V292" s="30"/>
      <c r="W292" s="28"/>
      <c r="X292" s="30"/>
      <c r="Y292" s="30"/>
      <c r="Z292" s="30"/>
      <c r="AA292" s="30"/>
      <c r="AB292" s="30"/>
      <c r="AC292" s="28"/>
      <c r="AD292" s="30"/>
      <c r="AE292" s="30"/>
      <c r="AF292" s="30"/>
      <c r="AG292" s="29"/>
      <c r="AH292" s="30"/>
      <c r="AI292" s="36"/>
      <c r="AJ292" s="30"/>
      <c r="AK292" s="29"/>
      <c r="AL292" s="30"/>
      <c r="AM292" s="30"/>
      <c r="AN292" s="30"/>
      <c r="AO292" s="30"/>
      <c r="AP292" s="30"/>
      <c r="AQ292" s="38"/>
      <c r="AR292" s="30"/>
      <c r="AS292" s="30"/>
      <c r="AT292" s="29"/>
      <c r="AU292" s="30"/>
      <c r="AV292" s="30"/>
      <c r="AW292" s="30"/>
      <c r="AX292" s="29"/>
      <c r="AY292" s="39"/>
      <c r="AZ292" s="30"/>
      <c r="BA292" s="30"/>
      <c r="BB292" s="29"/>
      <c r="BC292" s="52"/>
      <c r="BD292" s="30"/>
      <c r="BE292" s="29"/>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row>
    <row r="293">
      <c r="A293" s="30"/>
      <c r="B293" s="42"/>
      <c r="C293" s="43"/>
      <c r="D293" s="30"/>
      <c r="E293" s="28"/>
      <c r="F293" s="30"/>
      <c r="G293" s="30"/>
      <c r="H293" s="30"/>
      <c r="I293" s="30"/>
      <c r="J293" s="28"/>
      <c r="K293" s="30"/>
      <c r="L293" s="30"/>
      <c r="M293" s="30"/>
      <c r="N293" s="30"/>
      <c r="O293" s="28"/>
      <c r="P293" s="30"/>
      <c r="Q293" s="30"/>
      <c r="R293" s="30"/>
      <c r="S293" s="36"/>
      <c r="T293" s="30"/>
      <c r="U293" s="36"/>
      <c r="V293" s="30"/>
      <c r="W293" s="28"/>
      <c r="X293" s="30"/>
      <c r="Y293" s="30"/>
      <c r="Z293" s="30"/>
      <c r="AA293" s="30"/>
      <c r="AB293" s="30"/>
      <c r="AC293" s="28"/>
      <c r="AD293" s="30"/>
      <c r="AE293" s="30"/>
      <c r="AF293" s="30"/>
      <c r="AG293" s="29"/>
      <c r="AH293" s="30"/>
      <c r="AI293" s="36"/>
      <c r="AJ293" s="30"/>
      <c r="AK293" s="29"/>
      <c r="AL293" s="30"/>
      <c r="AM293" s="30"/>
      <c r="AN293" s="30"/>
      <c r="AO293" s="30"/>
      <c r="AP293" s="30"/>
      <c r="AQ293" s="38"/>
      <c r="AR293" s="30"/>
      <c r="AS293" s="30"/>
      <c r="AT293" s="29"/>
      <c r="AU293" s="30"/>
      <c r="AV293" s="30"/>
      <c r="AW293" s="30"/>
      <c r="AX293" s="29"/>
      <c r="AY293" s="39"/>
      <c r="AZ293" s="30"/>
      <c r="BA293" s="30"/>
      <c r="BB293" s="29"/>
      <c r="BC293" s="52"/>
      <c r="BD293" s="30"/>
      <c r="BE293" s="29"/>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row>
    <row r="294">
      <c r="A294" s="30"/>
      <c r="B294" s="42"/>
      <c r="C294" s="43"/>
      <c r="D294" s="30"/>
      <c r="E294" s="28"/>
      <c r="F294" s="30"/>
      <c r="G294" s="30"/>
      <c r="H294" s="30"/>
      <c r="I294" s="30"/>
      <c r="J294" s="28"/>
      <c r="K294" s="30"/>
      <c r="L294" s="30"/>
      <c r="M294" s="30"/>
      <c r="N294" s="30"/>
      <c r="O294" s="28"/>
      <c r="P294" s="30"/>
      <c r="Q294" s="30"/>
      <c r="R294" s="30"/>
      <c r="S294" s="36"/>
      <c r="T294" s="30"/>
      <c r="U294" s="36"/>
      <c r="V294" s="30"/>
      <c r="W294" s="28"/>
      <c r="X294" s="30"/>
      <c r="Y294" s="30"/>
      <c r="Z294" s="30"/>
      <c r="AA294" s="30"/>
      <c r="AB294" s="30"/>
      <c r="AC294" s="28"/>
      <c r="AD294" s="30"/>
      <c r="AE294" s="30"/>
      <c r="AF294" s="30"/>
      <c r="AG294" s="29"/>
      <c r="AH294" s="30"/>
      <c r="AI294" s="36"/>
      <c r="AJ294" s="30"/>
      <c r="AK294" s="29"/>
      <c r="AL294" s="30"/>
      <c r="AM294" s="30"/>
      <c r="AN294" s="30"/>
      <c r="AO294" s="30"/>
      <c r="AP294" s="30"/>
      <c r="AQ294" s="38"/>
      <c r="AR294" s="30"/>
      <c r="AS294" s="30"/>
      <c r="AT294" s="29"/>
      <c r="AU294" s="30"/>
      <c r="AV294" s="30"/>
      <c r="AW294" s="30"/>
      <c r="AX294" s="29"/>
      <c r="AY294" s="39"/>
      <c r="AZ294" s="30"/>
      <c r="BA294" s="30"/>
      <c r="BB294" s="29"/>
      <c r="BC294" s="52"/>
      <c r="BD294" s="30"/>
      <c r="BE294" s="29"/>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row>
    <row r="295">
      <c r="A295" s="30"/>
      <c r="B295" s="42"/>
      <c r="C295" s="43"/>
      <c r="D295" s="30"/>
      <c r="E295" s="28"/>
      <c r="F295" s="30"/>
      <c r="G295" s="30"/>
      <c r="H295" s="30"/>
      <c r="I295" s="30"/>
      <c r="J295" s="28"/>
      <c r="K295" s="30"/>
      <c r="L295" s="30"/>
      <c r="M295" s="30"/>
      <c r="N295" s="30"/>
      <c r="O295" s="28"/>
      <c r="P295" s="30"/>
      <c r="Q295" s="30"/>
      <c r="R295" s="30"/>
      <c r="S295" s="36"/>
      <c r="T295" s="30"/>
      <c r="U295" s="36"/>
      <c r="V295" s="30"/>
      <c r="W295" s="28"/>
      <c r="X295" s="30"/>
      <c r="Y295" s="30"/>
      <c r="Z295" s="30"/>
      <c r="AA295" s="30"/>
      <c r="AB295" s="30"/>
      <c r="AC295" s="28"/>
      <c r="AD295" s="30"/>
      <c r="AE295" s="30"/>
      <c r="AF295" s="30"/>
      <c r="AG295" s="29"/>
      <c r="AH295" s="30"/>
      <c r="AI295" s="36"/>
      <c r="AJ295" s="30"/>
      <c r="AK295" s="29"/>
      <c r="AL295" s="30"/>
      <c r="AM295" s="30"/>
      <c r="AN295" s="30"/>
      <c r="AO295" s="30"/>
      <c r="AP295" s="30"/>
      <c r="AQ295" s="38"/>
      <c r="AR295" s="30"/>
      <c r="AS295" s="30"/>
      <c r="AT295" s="29"/>
      <c r="AU295" s="30"/>
      <c r="AV295" s="30"/>
      <c r="AW295" s="30"/>
      <c r="AX295" s="29"/>
      <c r="AY295" s="39"/>
      <c r="AZ295" s="30"/>
      <c r="BA295" s="30"/>
      <c r="BB295" s="29"/>
      <c r="BC295" s="52"/>
      <c r="BD295" s="30"/>
      <c r="BE295" s="29"/>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row>
    <row r="296">
      <c r="A296" s="30"/>
      <c r="B296" s="42"/>
      <c r="C296" s="43"/>
      <c r="D296" s="30"/>
      <c r="E296" s="28"/>
      <c r="F296" s="30"/>
      <c r="G296" s="30"/>
      <c r="H296" s="30"/>
      <c r="I296" s="30"/>
      <c r="J296" s="28"/>
      <c r="K296" s="30"/>
      <c r="L296" s="30"/>
      <c r="M296" s="30"/>
      <c r="N296" s="30"/>
      <c r="O296" s="28"/>
      <c r="P296" s="30"/>
      <c r="Q296" s="30"/>
      <c r="R296" s="30"/>
      <c r="S296" s="36"/>
      <c r="T296" s="30"/>
      <c r="U296" s="36"/>
      <c r="V296" s="30"/>
      <c r="W296" s="28"/>
      <c r="X296" s="30"/>
      <c r="Y296" s="30"/>
      <c r="Z296" s="30"/>
      <c r="AA296" s="30"/>
      <c r="AB296" s="30"/>
      <c r="AC296" s="28"/>
      <c r="AD296" s="30"/>
      <c r="AE296" s="30"/>
      <c r="AF296" s="30"/>
      <c r="AG296" s="29"/>
      <c r="AH296" s="30"/>
      <c r="AI296" s="36"/>
      <c r="AJ296" s="30"/>
      <c r="AK296" s="29"/>
      <c r="AL296" s="30"/>
      <c r="AM296" s="30"/>
      <c r="AN296" s="30"/>
      <c r="AO296" s="30"/>
      <c r="AP296" s="30"/>
      <c r="AQ296" s="38"/>
      <c r="AR296" s="30"/>
      <c r="AS296" s="30"/>
      <c r="AT296" s="29"/>
      <c r="AU296" s="30"/>
      <c r="AV296" s="30"/>
      <c r="AW296" s="30"/>
      <c r="AX296" s="29"/>
      <c r="AY296" s="39"/>
      <c r="AZ296" s="30"/>
      <c r="BA296" s="30"/>
      <c r="BB296" s="29"/>
      <c r="BC296" s="52"/>
      <c r="BD296" s="30"/>
      <c r="BE296" s="29"/>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row>
    <row r="297">
      <c r="A297" s="30"/>
      <c r="B297" s="42"/>
      <c r="C297" s="43"/>
      <c r="D297" s="30"/>
      <c r="E297" s="28"/>
      <c r="F297" s="30"/>
      <c r="G297" s="30"/>
      <c r="H297" s="30"/>
      <c r="I297" s="30"/>
      <c r="J297" s="28"/>
      <c r="K297" s="30"/>
      <c r="L297" s="30"/>
      <c r="M297" s="30"/>
      <c r="N297" s="30"/>
      <c r="O297" s="28"/>
      <c r="P297" s="30"/>
      <c r="Q297" s="30"/>
      <c r="R297" s="30"/>
      <c r="S297" s="36"/>
      <c r="T297" s="30"/>
      <c r="U297" s="36"/>
      <c r="V297" s="30"/>
      <c r="W297" s="28"/>
      <c r="X297" s="30"/>
      <c r="Y297" s="30"/>
      <c r="Z297" s="30"/>
      <c r="AA297" s="30"/>
      <c r="AB297" s="30"/>
      <c r="AC297" s="28"/>
      <c r="AD297" s="30"/>
      <c r="AE297" s="30"/>
      <c r="AF297" s="30"/>
      <c r="AG297" s="29"/>
      <c r="AH297" s="30"/>
      <c r="AI297" s="36"/>
      <c r="AJ297" s="30"/>
      <c r="AK297" s="29"/>
      <c r="AL297" s="30"/>
      <c r="AM297" s="30"/>
      <c r="AN297" s="30"/>
      <c r="AO297" s="30"/>
      <c r="AP297" s="30"/>
      <c r="AQ297" s="38"/>
      <c r="AR297" s="30"/>
      <c r="AS297" s="30"/>
      <c r="AT297" s="29"/>
      <c r="AU297" s="30"/>
      <c r="AV297" s="30"/>
      <c r="AW297" s="30"/>
      <c r="AX297" s="29"/>
      <c r="AY297" s="39"/>
      <c r="AZ297" s="30"/>
      <c r="BA297" s="30"/>
      <c r="BB297" s="29"/>
      <c r="BC297" s="52"/>
      <c r="BD297" s="30"/>
      <c r="BE297" s="29"/>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row>
    <row r="298">
      <c r="A298" s="30"/>
      <c r="B298" s="42"/>
      <c r="C298" s="43"/>
      <c r="D298" s="30"/>
      <c r="E298" s="28"/>
      <c r="F298" s="30"/>
      <c r="G298" s="30"/>
      <c r="H298" s="30"/>
      <c r="I298" s="30"/>
      <c r="J298" s="28"/>
      <c r="K298" s="30"/>
      <c r="L298" s="30"/>
      <c r="M298" s="30"/>
      <c r="N298" s="30"/>
      <c r="O298" s="28"/>
      <c r="P298" s="30"/>
      <c r="Q298" s="30"/>
      <c r="R298" s="30"/>
      <c r="S298" s="36"/>
      <c r="T298" s="30"/>
      <c r="U298" s="36"/>
      <c r="V298" s="30"/>
      <c r="W298" s="28"/>
      <c r="X298" s="30"/>
      <c r="Y298" s="30"/>
      <c r="Z298" s="30"/>
      <c r="AA298" s="30"/>
      <c r="AB298" s="30"/>
      <c r="AC298" s="28"/>
      <c r="AD298" s="30"/>
      <c r="AE298" s="30"/>
      <c r="AF298" s="30"/>
      <c r="AG298" s="29"/>
      <c r="AH298" s="30"/>
      <c r="AI298" s="36"/>
      <c r="AJ298" s="30"/>
      <c r="AK298" s="29"/>
      <c r="AL298" s="30"/>
      <c r="AM298" s="30"/>
      <c r="AN298" s="30"/>
      <c r="AO298" s="30"/>
      <c r="AP298" s="30"/>
      <c r="AQ298" s="38"/>
      <c r="AR298" s="30"/>
      <c r="AS298" s="30"/>
      <c r="AT298" s="29"/>
      <c r="AU298" s="30"/>
      <c r="AV298" s="30"/>
      <c r="AW298" s="30"/>
      <c r="AX298" s="29"/>
      <c r="AY298" s="39"/>
      <c r="AZ298" s="30"/>
      <c r="BA298" s="30"/>
      <c r="BB298" s="29"/>
      <c r="BC298" s="52"/>
      <c r="BD298" s="30"/>
      <c r="BE298" s="29"/>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row>
    <row r="299">
      <c r="A299" s="30"/>
      <c r="B299" s="42"/>
      <c r="C299" s="43"/>
      <c r="D299" s="30"/>
      <c r="E299" s="28"/>
      <c r="F299" s="30"/>
      <c r="G299" s="30"/>
      <c r="H299" s="30"/>
      <c r="I299" s="30"/>
      <c r="J299" s="28"/>
      <c r="K299" s="30"/>
      <c r="L299" s="30"/>
      <c r="M299" s="30"/>
      <c r="N299" s="30"/>
      <c r="O299" s="28"/>
      <c r="P299" s="30"/>
      <c r="Q299" s="30"/>
      <c r="R299" s="30"/>
      <c r="S299" s="36"/>
      <c r="T299" s="30"/>
      <c r="U299" s="36"/>
      <c r="V299" s="30"/>
      <c r="W299" s="28"/>
      <c r="X299" s="30"/>
      <c r="Y299" s="30"/>
      <c r="Z299" s="30"/>
      <c r="AA299" s="30"/>
      <c r="AB299" s="30"/>
      <c r="AC299" s="28"/>
      <c r="AD299" s="30"/>
      <c r="AE299" s="30"/>
      <c r="AF299" s="30"/>
      <c r="AG299" s="29"/>
      <c r="AH299" s="30"/>
      <c r="AI299" s="36"/>
      <c r="AJ299" s="30"/>
      <c r="AK299" s="29"/>
      <c r="AL299" s="30"/>
      <c r="AM299" s="30"/>
      <c r="AN299" s="30"/>
      <c r="AO299" s="30"/>
      <c r="AP299" s="30"/>
      <c r="AQ299" s="38"/>
      <c r="AR299" s="30"/>
      <c r="AS299" s="30"/>
      <c r="AT299" s="29"/>
      <c r="AU299" s="30"/>
      <c r="AV299" s="30"/>
      <c r="AW299" s="30"/>
      <c r="AX299" s="29"/>
      <c r="AY299" s="39"/>
      <c r="AZ299" s="30"/>
      <c r="BA299" s="30"/>
      <c r="BB299" s="29"/>
      <c r="BC299" s="52"/>
      <c r="BD299" s="30"/>
      <c r="BE299" s="29"/>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row>
    <row r="300">
      <c r="A300" s="30"/>
      <c r="B300" s="42"/>
      <c r="C300" s="43"/>
      <c r="D300" s="30"/>
      <c r="E300" s="28"/>
      <c r="F300" s="30"/>
      <c r="G300" s="30"/>
      <c r="H300" s="30"/>
      <c r="I300" s="30"/>
      <c r="J300" s="28"/>
      <c r="K300" s="30"/>
      <c r="L300" s="30"/>
      <c r="M300" s="30"/>
      <c r="N300" s="30"/>
      <c r="O300" s="28"/>
      <c r="P300" s="30"/>
      <c r="Q300" s="30"/>
      <c r="R300" s="30"/>
      <c r="S300" s="36"/>
      <c r="T300" s="30"/>
      <c r="U300" s="36"/>
      <c r="V300" s="30"/>
      <c r="W300" s="28"/>
      <c r="X300" s="30"/>
      <c r="Y300" s="30"/>
      <c r="Z300" s="30"/>
      <c r="AA300" s="30"/>
      <c r="AB300" s="30"/>
      <c r="AC300" s="28"/>
      <c r="AD300" s="30"/>
      <c r="AE300" s="30"/>
      <c r="AF300" s="30"/>
      <c r="AG300" s="29"/>
      <c r="AH300" s="30"/>
      <c r="AI300" s="36"/>
      <c r="AJ300" s="30"/>
      <c r="AK300" s="29"/>
      <c r="AL300" s="30"/>
      <c r="AM300" s="30"/>
      <c r="AN300" s="30"/>
      <c r="AO300" s="30"/>
      <c r="AP300" s="30"/>
      <c r="AQ300" s="38"/>
      <c r="AR300" s="30"/>
      <c r="AS300" s="30"/>
      <c r="AT300" s="29"/>
      <c r="AU300" s="30"/>
      <c r="AV300" s="30"/>
      <c r="AW300" s="30"/>
      <c r="AX300" s="29"/>
      <c r="AY300" s="39"/>
      <c r="AZ300" s="30"/>
      <c r="BA300" s="30"/>
      <c r="BB300" s="29"/>
      <c r="BC300" s="52"/>
      <c r="BD300" s="30"/>
      <c r="BE300" s="29"/>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row>
    <row r="301">
      <c r="A301" s="30"/>
      <c r="B301" s="42"/>
      <c r="C301" s="43"/>
      <c r="D301" s="30"/>
      <c r="E301" s="28"/>
      <c r="F301" s="30"/>
      <c r="G301" s="30"/>
      <c r="H301" s="30"/>
      <c r="I301" s="30"/>
      <c r="J301" s="28"/>
      <c r="K301" s="30"/>
      <c r="L301" s="30"/>
      <c r="M301" s="30"/>
      <c r="N301" s="30"/>
      <c r="O301" s="28"/>
      <c r="P301" s="30"/>
      <c r="Q301" s="30"/>
      <c r="R301" s="30"/>
      <c r="S301" s="36"/>
      <c r="T301" s="30"/>
      <c r="U301" s="36"/>
      <c r="V301" s="30"/>
      <c r="W301" s="28"/>
      <c r="X301" s="30"/>
      <c r="Y301" s="30"/>
      <c r="Z301" s="30"/>
      <c r="AA301" s="30"/>
      <c r="AB301" s="30"/>
      <c r="AC301" s="28"/>
      <c r="AD301" s="30"/>
      <c r="AE301" s="30"/>
      <c r="AF301" s="30"/>
      <c r="AG301" s="29"/>
      <c r="AH301" s="30"/>
      <c r="AI301" s="36"/>
      <c r="AJ301" s="30"/>
      <c r="AK301" s="29"/>
      <c r="AL301" s="30"/>
      <c r="AM301" s="30"/>
      <c r="AN301" s="30"/>
      <c r="AO301" s="30"/>
      <c r="AP301" s="30"/>
      <c r="AQ301" s="38"/>
      <c r="AR301" s="30"/>
      <c r="AS301" s="30"/>
      <c r="AT301" s="29"/>
      <c r="AU301" s="30"/>
      <c r="AV301" s="30"/>
      <c r="AW301" s="30"/>
      <c r="AX301" s="29"/>
      <c r="AY301" s="39"/>
      <c r="AZ301" s="30"/>
      <c r="BA301" s="30"/>
      <c r="BB301" s="29"/>
      <c r="BC301" s="52"/>
      <c r="BD301" s="30"/>
      <c r="BE301" s="29"/>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row>
    <row r="302">
      <c r="A302" s="30"/>
      <c r="B302" s="42"/>
      <c r="C302" s="43"/>
      <c r="D302" s="30"/>
      <c r="E302" s="28"/>
      <c r="F302" s="30"/>
      <c r="G302" s="30"/>
      <c r="H302" s="30"/>
      <c r="I302" s="30"/>
      <c r="J302" s="28"/>
      <c r="K302" s="30"/>
      <c r="L302" s="30"/>
      <c r="M302" s="30"/>
      <c r="N302" s="30"/>
      <c r="O302" s="28"/>
      <c r="P302" s="30"/>
      <c r="Q302" s="30"/>
      <c r="R302" s="30"/>
      <c r="S302" s="36"/>
      <c r="T302" s="30"/>
      <c r="U302" s="36"/>
      <c r="V302" s="30"/>
      <c r="W302" s="28"/>
      <c r="X302" s="30"/>
      <c r="Y302" s="30"/>
      <c r="Z302" s="30"/>
      <c r="AA302" s="30"/>
      <c r="AB302" s="30"/>
      <c r="AC302" s="28"/>
      <c r="AD302" s="30"/>
      <c r="AE302" s="30"/>
      <c r="AF302" s="30"/>
      <c r="AG302" s="29"/>
      <c r="AH302" s="30"/>
      <c r="AI302" s="36"/>
      <c r="AJ302" s="30"/>
      <c r="AK302" s="29"/>
      <c r="AL302" s="30"/>
      <c r="AM302" s="30"/>
      <c r="AN302" s="30"/>
      <c r="AO302" s="30"/>
      <c r="AP302" s="30"/>
      <c r="AQ302" s="38"/>
      <c r="AR302" s="30"/>
      <c r="AS302" s="30"/>
      <c r="AT302" s="29"/>
      <c r="AU302" s="30"/>
      <c r="AV302" s="30"/>
      <c r="AW302" s="30"/>
      <c r="AX302" s="29"/>
      <c r="AY302" s="39"/>
      <c r="AZ302" s="30"/>
      <c r="BA302" s="30"/>
      <c r="BB302" s="29"/>
      <c r="BC302" s="52"/>
      <c r="BD302" s="30"/>
      <c r="BE302" s="29"/>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row>
    <row r="303">
      <c r="A303" s="30"/>
      <c r="B303" s="42"/>
      <c r="C303" s="43"/>
      <c r="D303" s="30"/>
      <c r="E303" s="28"/>
      <c r="F303" s="30"/>
      <c r="G303" s="30"/>
      <c r="H303" s="30"/>
      <c r="I303" s="30"/>
      <c r="J303" s="28"/>
      <c r="K303" s="30"/>
      <c r="L303" s="30"/>
      <c r="M303" s="30"/>
      <c r="N303" s="30"/>
      <c r="O303" s="28"/>
      <c r="P303" s="30"/>
      <c r="Q303" s="30"/>
      <c r="R303" s="30"/>
      <c r="S303" s="36"/>
      <c r="T303" s="30"/>
      <c r="U303" s="36"/>
      <c r="V303" s="30"/>
      <c r="W303" s="28"/>
      <c r="X303" s="30"/>
      <c r="Y303" s="30"/>
      <c r="Z303" s="30"/>
      <c r="AA303" s="30"/>
      <c r="AB303" s="30"/>
      <c r="AC303" s="28"/>
      <c r="AD303" s="30"/>
      <c r="AE303" s="30"/>
      <c r="AF303" s="30"/>
      <c r="AG303" s="29"/>
      <c r="AH303" s="30"/>
      <c r="AI303" s="36"/>
      <c r="AJ303" s="30"/>
      <c r="AK303" s="29"/>
      <c r="AL303" s="30"/>
      <c r="AM303" s="30"/>
      <c r="AN303" s="30"/>
      <c r="AO303" s="30"/>
      <c r="AP303" s="30"/>
      <c r="AQ303" s="38"/>
      <c r="AR303" s="30"/>
      <c r="AS303" s="30"/>
      <c r="AT303" s="29"/>
      <c r="AU303" s="30"/>
      <c r="AV303" s="30"/>
      <c r="AW303" s="30"/>
      <c r="AX303" s="29"/>
      <c r="AY303" s="39"/>
      <c r="AZ303" s="30"/>
      <c r="BA303" s="30"/>
      <c r="BB303" s="29"/>
      <c r="BC303" s="52"/>
      <c r="BD303" s="30"/>
      <c r="BE303" s="29"/>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row>
    <row r="304">
      <c r="A304" s="30"/>
      <c r="B304" s="42"/>
      <c r="C304" s="43"/>
      <c r="D304" s="30"/>
      <c r="E304" s="28"/>
      <c r="F304" s="30"/>
      <c r="G304" s="30"/>
      <c r="H304" s="30"/>
      <c r="I304" s="30"/>
      <c r="J304" s="28"/>
      <c r="K304" s="30"/>
      <c r="L304" s="30"/>
      <c r="M304" s="30"/>
      <c r="N304" s="30"/>
      <c r="O304" s="28"/>
      <c r="P304" s="30"/>
      <c r="Q304" s="30"/>
      <c r="R304" s="30"/>
      <c r="S304" s="36"/>
      <c r="T304" s="30"/>
      <c r="U304" s="36"/>
      <c r="V304" s="30"/>
      <c r="W304" s="28"/>
      <c r="X304" s="30"/>
      <c r="Y304" s="30"/>
      <c r="Z304" s="30"/>
      <c r="AA304" s="30"/>
      <c r="AB304" s="30"/>
      <c r="AC304" s="28"/>
      <c r="AD304" s="30"/>
      <c r="AE304" s="30"/>
      <c r="AF304" s="30"/>
      <c r="AG304" s="29"/>
      <c r="AH304" s="30"/>
      <c r="AI304" s="36"/>
      <c r="AJ304" s="30"/>
      <c r="AK304" s="29"/>
      <c r="AL304" s="30"/>
      <c r="AM304" s="30"/>
      <c r="AN304" s="30"/>
      <c r="AO304" s="30"/>
      <c r="AP304" s="30"/>
      <c r="AQ304" s="38"/>
      <c r="AR304" s="30"/>
      <c r="AS304" s="30"/>
      <c r="AT304" s="29"/>
      <c r="AU304" s="30"/>
      <c r="AV304" s="30"/>
      <c r="AW304" s="30"/>
      <c r="AX304" s="29"/>
      <c r="AY304" s="39"/>
      <c r="AZ304" s="30"/>
      <c r="BA304" s="30"/>
      <c r="BB304" s="29"/>
      <c r="BC304" s="52"/>
      <c r="BD304" s="30"/>
      <c r="BE304" s="29"/>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row>
    <row r="305">
      <c r="A305" s="30"/>
      <c r="B305" s="42"/>
      <c r="C305" s="43"/>
      <c r="D305" s="30"/>
      <c r="E305" s="28"/>
      <c r="F305" s="30"/>
      <c r="G305" s="30"/>
      <c r="H305" s="30"/>
      <c r="I305" s="30"/>
      <c r="J305" s="28"/>
      <c r="K305" s="30"/>
      <c r="L305" s="30"/>
      <c r="M305" s="30"/>
      <c r="N305" s="30"/>
      <c r="O305" s="28"/>
      <c r="P305" s="30"/>
      <c r="Q305" s="30"/>
      <c r="R305" s="30"/>
      <c r="S305" s="36"/>
      <c r="T305" s="30"/>
      <c r="U305" s="36"/>
      <c r="V305" s="30"/>
      <c r="W305" s="28"/>
      <c r="X305" s="30"/>
      <c r="Y305" s="30"/>
      <c r="Z305" s="30"/>
      <c r="AA305" s="30"/>
      <c r="AB305" s="30"/>
      <c r="AC305" s="28"/>
      <c r="AD305" s="30"/>
      <c r="AE305" s="30"/>
      <c r="AF305" s="30"/>
      <c r="AG305" s="29"/>
      <c r="AH305" s="30"/>
      <c r="AI305" s="36"/>
      <c r="AJ305" s="30"/>
      <c r="AK305" s="29"/>
      <c r="AL305" s="30"/>
      <c r="AM305" s="30"/>
      <c r="AN305" s="30"/>
      <c r="AO305" s="30"/>
      <c r="AP305" s="30"/>
      <c r="AQ305" s="38"/>
      <c r="AR305" s="30"/>
      <c r="AS305" s="30"/>
      <c r="AT305" s="29"/>
      <c r="AU305" s="30"/>
      <c r="AV305" s="30"/>
      <c r="AW305" s="30"/>
      <c r="AX305" s="29"/>
      <c r="AY305" s="39"/>
      <c r="AZ305" s="30"/>
      <c r="BA305" s="30"/>
      <c r="BB305" s="29"/>
      <c r="BC305" s="52"/>
      <c r="BD305" s="30"/>
      <c r="BE305" s="29"/>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row>
    <row r="306">
      <c r="A306" s="30"/>
      <c r="B306" s="42"/>
      <c r="C306" s="43"/>
      <c r="D306" s="30"/>
      <c r="E306" s="28"/>
      <c r="F306" s="30"/>
      <c r="G306" s="30"/>
      <c r="H306" s="30"/>
      <c r="I306" s="30"/>
      <c r="J306" s="28"/>
      <c r="K306" s="30"/>
      <c r="L306" s="30"/>
      <c r="M306" s="30"/>
      <c r="N306" s="30"/>
      <c r="O306" s="28"/>
      <c r="P306" s="30"/>
      <c r="Q306" s="30"/>
      <c r="R306" s="30"/>
      <c r="S306" s="36"/>
      <c r="T306" s="30"/>
      <c r="U306" s="36"/>
      <c r="V306" s="30"/>
      <c r="W306" s="28"/>
      <c r="X306" s="30"/>
      <c r="Y306" s="30"/>
      <c r="Z306" s="30"/>
      <c r="AA306" s="30"/>
      <c r="AB306" s="30"/>
      <c r="AC306" s="28"/>
      <c r="AD306" s="30"/>
      <c r="AE306" s="30"/>
      <c r="AF306" s="30"/>
      <c r="AG306" s="29"/>
      <c r="AH306" s="30"/>
      <c r="AI306" s="36"/>
      <c r="AJ306" s="30"/>
      <c r="AK306" s="29"/>
      <c r="AL306" s="30"/>
      <c r="AM306" s="30"/>
      <c r="AN306" s="30"/>
      <c r="AO306" s="30"/>
      <c r="AP306" s="30"/>
      <c r="AQ306" s="38"/>
      <c r="AR306" s="30"/>
      <c r="AS306" s="30"/>
      <c r="AT306" s="29"/>
      <c r="AU306" s="30"/>
      <c r="AV306" s="30"/>
      <c r="AW306" s="30"/>
      <c r="AX306" s="29"/>
      <c r="AY306" s="39"/>
      <c r="AZ306" s="30"/>
      <c r="BA306" s="30"/>
      <c r="BB306" s="29"/>
      <c r="BC306" s="52"/>
      <c r="BD306" s="30"/>
      <c r="BE306" s="29"/>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row>
    <row r="307">
      <c r="A307" s="30"/>
      <c r="B307" s="42"/>
      <c r="C307" s="43"/>
      <c r="D307" s="30"/>
      <c r="E307" s="28"/>
      <c r="F307" s="30"/>
      <c r="G307" s="30"/>
      <c r="H307" s="30"/>
      <c r="I307" s="30"/>
      <c r="J307" s="28"/>
      <c r="K307" s="30"/>
      <c r="L307" s="30"/>
      <c r="M307" s="30"/>
      <c r="N307" s="30"/>
      <c r="O307" s="28"/>
      <c r="P307" s="30"/>
      <c r="Q307" s="30"/>
      <c r="R307" s="30"/>
      <c r="S307" s="36"/>
      <c r="T307" s="30"/>
      <c r="U307" s="36"/>
      <c r="V307" s="30"/>
      <c r="W307" s="28"/>
      <c r="X307" s="30"/>
      <c r="Y307" s="30"/>
      <c r="Z307" s="30"/>
      <c r="AA307" s="30"/>
      <c r="AB307" s="30"/>
      <c r="AC307" s="28"/>
      <c r="AD307" s="30"/>
      <c r="AE307" s="30"/>
      <c r="AF307" s="30"/>
      <c r="AG307" s="29"/>
      <c r="AH307" s="30"/>
      <c r="AI307" s="36"/>
      <c r="AJ307" s="30"/>
      <c r="AK307" s="29"/>
      <c r="AL307" s="30"/>
      <c r="AM307" s="30"/>
      <c r="AN307" s="30"/>
      <c r="AO307" s="30"/>
      <c r="AP307" s="30"/>
      <c r="AQ307" s="38"/>
      <c r="AR307" s="30"/>
      <c r="AS307" s="30"/>
      <c r="AT307" s="29"/>
      <c r="AU307" s="30"/>
      <c r="AV307" s="30"/>
      <c r="AW307" s="30"/>
      <c r="AX307" s="29"/>
      <c r="AY307" s="39"/>
      <c r="AZ307" s="30"/>
      <c r="BA307" s="30"/>
      <c r="BB307" s="29"/>
      <c r="BC307" s="52"/>
      <c r="BD307" s="30"/>
      <c r="BE307" s="29"/>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row>
    <row r="308">
      <c r="A308" s="30"/>
      <c r="B308" s="42"/>
      <c r="C308" s="43"/>
      <c r="D308" s="30"/>
      <c r="E308" s="28"/>
      <c r="F308" s="30"/>
      <c r="G308" s="30"/>
      <c r="H308" s="30"/>
      <c r="I308" s="30"/>
      <c r="J308" s="28"/>
      <c r="K308" s="30"/>
      <c r="L308" s="30"/>
      <c r="M308" s="30"/>
      <c r="N308" s="30"/>
      <c r="O308" s="28"/>
      <c r="P308" s="30"/>
      <c r="Q308" s="30"/>
      <c r="R308" s="30"/>
      <c r="S308" s="36"/>
      <c r="T308" s="30"/>
      <c r="U308" s="36"/>
      <c r="V308" s="30"/>
      <c r="W308" s="28"/>
      <c r="X308" s="30"/>
      <c r="Y308" s="30"/>
      <c r="Z308" s="30"/>
      <c r="AA308" s="30"/>
      <c r="AB308" s="30"/>
      <c r="AC308" s="28"/>
      <c r="AD308" s="30"/>
      <c r="AE308" s="30"/>
      <c r="AF308" s="30"/>
      <c r="AG308" s="29"/>
      <c r="AH308" s="30"/>
      <c r="AI308" s="36"/>
      <c r="AJ308" s="30"/>
      <c r="AK308" s="29"/>
      <c r="AL308" s="30"/>
      <c r="AM308" s="30"/>
      <c r="AN308" s="30"/>
      <c r="AO308" s="30"/>
      <c r="AP308" s="30"/>
      <c r="AQ308" s="38"/>
      <c r="AR308" s="30"/>
      <c r="AS308" s="30"/>
      <c r="AT308" s="29"/>
      <c r="AU308" s="30"/>
      <c r="AV308" s="30"/>
      <c r="AW308" s="30"/>
      <c r="AX308" s="29"/>
      <c r="AY308" s="39"/>
      <c r="AZ308" s="30"/>
      <c r="BA308" s="30"/>
      <c r="BB308" s="29"/>
      <c r="BC308" s="52"/>
      <c r="BD308" s="30"/>
      <c r="BE308" s="29"/>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row>
    <row r="309">
      <c r="A309" s="30"/>
      <c r="B309" s="42"/>
      <c r="C309" s="43"/>
      <c r="D309" s="30"/>
      <c r="E309" s="28"/>
      <c r="F309" s="30"/>
      <c r="G309" s="30"/>
      <c r="H309" s="30"/>
      <c r="I309" s="30"/>
      <c r="J309" s="28"/>
      <c r="K309" s="30"/>
      <c r="L309" s="30"/>
      <c r="M309" s="30"/>
      <c r="N309" s="30"/>
      <c r="O309" s="28"/>
      <c r="P309" s="30"/>
      <c r="Q309" s="30"/>
      <c r="R309" s="30"/>
      <c r="S309" s="36"/>
      <c r="T309" s="30"/>
      <c r="U309" s="36"/>
      <c r="V309" s="30"/>
      <c r="W309" s="28"/>
      <c r="X309" s="30"/>
      <c r="Y309" s="30"/>
      <c r="Z309" s="30"/>
      <c r="AA309" s="30"/>
      <c r="AB309" s="30"/>
      <c r="AC309" s="28"/>
      <c r="AD309" s="30"/>
      <c r="AE309" s="30"/>
      <c r="AF309" s="30"/>
      <c r="AG309" s="29"/>
      <c r="AH309" s="30"/>
      <c r="AI309" s="36"/>
      <c r="AJ309" s="30"/>
      <c r="AK309" s="29"/>
      <c r="AL309" s="30"/>
      <c r="AM309" s="30"/>
      <c r="AN309" s="30"/>
      <c r="AO309" s="30"/>
      <c r="AP309" s="30"/>
      <c r="AQ309" s="38"/>
      <c r="AR309" s="30"/>
      <c r="AS309" s="30"/>
      <c r="AT309" s="29"/>
      <c r="AU309" s="30"/>
      <c r="AV309" s="30"/>
      <c r="AW309" s="30"/>
      <c r="AX309" s="29"/>
      <c r="AY309" s="39"/>
      <c r="AZ309" s="30"/>
      <c r="BA309" s="30"/>
      <c r="BB309" s="29"/>
      <c r="BC309" s="52"/>
      <c r="BD309" s="30"/>
      <c r="BE309" s="29"/>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row>
    <row r="310">
      <c r="A310" s="30"/>
      <c r="B310" s="42"/>
      <c r="C310" s="43"/>
      <c r="D310" s="30"/>
      <c r="E310" s="28"/>
      <c r="F310" s="30"/>
      <c r="G310" s="30"/>
      <c r="H310" s="30"/>
      <c r="I310" s="30"/>
      <c r="J310" s="28"/>
      <c r="K310" s="30"/>
      <c r="L310" s="30"/>
      <c r="M310" s="30"/>
      <c r="N310" s="30"/>
      <c r="O310" s="28"/>
      <c r="P310" s="30"/>
      <c r="Q310" s="30"/>
      <c r="R310" s="30"/>
      <c r="S310" s="36"/>
      <c r="T310" s="30"/>
      <c r="U310" s="36"/>
      <c r="V310" s="30"/>
      <c r="W310" s="28"/>
      <c r="X310" s="30"/>
      <c r="Y310" s="30"/>
      <c r="Z310" s="30"/>
      <c r="AA310" s="30"/>
      <c r="AB310" s="30"/>
      <c r="AC310" s="28"/>
      <c r="AD310" s="30"/>
      <c r="AE310" s="30"/>
      <c r="AF310" s="30"/>
      <c r="AG310" s="29"/>
      <c r="AH310" s="30"/>
      <c r="AI310" s="36"/>
      <c r="AJ310" s="30"/>
      <c r="AK310" s="29"/>
      <c r="AL310" s="30"/>
      <c r="AM310" s="30"/>
      <c r="AN310" s="30"/>
      <c r="AO310" s="30"/>
      <c r="AP310" s="30"/>
      <c r="AQ310" s="38"/>
      <c r="AR310" s="30"/>
      <c r="AS310" s="30"/>
      <c r="AT310" s="29"/>
      <c r="AU310" s="30"/>
      <c r="AV310" s="30"/>
      <c r="AW310" s="30"/>
      <c r="AX310" s="29"/>
      <c r="AY310" s="39"/>
      <c r="AZ310" s="30"/>
      <c r="BA310" s="30"/>
      <c r="BB310" s="29"/>
      <c r="BC310" s="52"/>
      <c r="BD310" s="30"/>
      <c r="BE310" s="29"/>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row>
    <row r="311">
      <c r="A311" s="30"/>
      <c r="B311" s="42"/>
      <c r="C311" s="43"/>
      <c r="D311" s="30"/>
      <c r="E311" s="28"/>
      <c r="F311" s="30"/>
      <c r="G311" s="30"/>
      <c r="H311" s="30"/>
      <c r="I311" s="30"/>
      <c r="J311" s="28"/>
      <c r="K311" s="30"/>
      <c r="L311" s="30"/>
      <c r="M311" s="30"/>
      <c r="N311" s="30"/>
      <c r="O311" s="28"/>
      <c r="P311" s="30"/>
      <c r="Q311" s="30"/>
      <c r="R311" s="30"/>
      <c r="S311" s="36"/>
      <c r="T311" s="30"/>
      <c r="U311" s="36"/>
      <c r="V311" s="30"/>
      <c r="W311" s="28"/>
      <c r="X311" s="30"/>
      <c r="Y311" s="30"/>
      <c r="Z311" s="30"/>
      <c r="AA311" s="30"/>
      <c r="AB311" s="30"/>
      <c r="AC311" s="28"/>
      <c r="AD311" s="30"/>
      <c r="AE311" s="30"/>
      <c r="AF311" s="30"/>
      <c r="AG311" s="29"/>
      <c r="AH311" s="30"/>
      <c r="AI311" s="36"/>
      <c r="AJ311" s="30"/>
      <c r="AK311" s="29"/>
      <c r="AL311" s="30"/>
      <c r="AM311" s="30"/>
      <c r="AN311" s="30"/>
      <c r="AO311" s="30"/>
      <c r="AP311" s="30"/>
      <c r="AQ311" s="38"/>
      <c r="AR311" s="30"/>
      <c r="AS311" s="30"/>
      <c r="AT311" s="29"/>
      <c r="AU311" s="30"/>
      <c r="AV311" s="30"/>
      <c r="AW311" s="30"/>
      <c r="AX311" s="29"/>
      <c r="AY311" s="39"/>
      <c r="AZ311" s="30"/>
      <c r="BA311" s="30"/>
      <c r="BB311" s="29"/>
      <c r="BC311" s="52"/>
      <c r="BD311" s="30"/>
      <c r="BE311" s="29"/>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row>
    <row r="312">
      <c r="A312" s="30"/>
      <c r="B312" s="42"/>
      <c r="C312" s="43"/>
      <c r="D312" s="30"/>
      <c r="E312" s="28"/>
      <c r="F312" s="30"/>
      <c r="G312" s="30"/>
      <c r="H312" s="30"/>
      <c r="I312" s="30"/>
      <c r="J312" s="28"/>
      <c r="K312" s="30"/>
      <c r="L312" s="30"/>
      <c r="M312" s="30"/>
      <c r="N312" s="30"/>
      <c r="O312" s="28"/>
      <c r="P312" s="30"/>
      <c r="Q312" s="30"/>
      <c r="R312" s="30"/>
      <c r="S312" s="36"/>
      <c r="T312" s="30"/>
      <c r="U312" s="36"/>
      <c r="V312" s="30"/>
      <c r="W312" s="28"/>
      <c r="X312" s="30"/>
      <c r="Y312" s="30"/>
      <c r="Z312" s="30"/>
      <c r="AA312" s="30"/>
      <c r="AB312" s="30"/>
      <c r="AC312" s="28"/>
      <c r="AD312" s="30"/>
      <c r="AE312" s="30"/>
      <c r="AF312" s="30"/>
      <c r="AG312" s="29"/>
      <c r="AH312" s="30"/>
      <c r="AI312" s="36"/>
      <c r="AJ312" s="30"/>
      <c r="AK312" s="29"/>
      <c r="AL312" s="30"/>
      <c r="AM312" s="30"/>
      <c r="AN312" s="30"/>
      <c r="AO312" s="30"/>
      <c r="AP312" s="30"/>
      <c r="AQ312" s="38"/>
      <c r="AR312" s="30"/>
      <c r="AS312" s="30"/>
      <c r="AT312" s="29"/>
      <c r="AU312" s="30"/>
      <c r="AV312" s="30"/>
      <c r="AW312" s="30"/>
      <c r="AX312" s="29"/>
      <c r="AY312" s="39"/>
      <c r="AZ312" s="30"/>
      <c r="BA312" s="30"/>
      <c r="BB312" s="29"/>
      <c r="BC312" s="52"/>
      <c r="BD312" s="30"/>
      <c r="BE312" s="29"/>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row>
    <row r="313">
      <c r="A313" s="30"/>
      <c r="B313" s="42"/>
      <c r="C313" s="43"/>
      <c r="D313" s="30"/>
      <c r="E313" s="28"/>
      <c r="F313" s="30"/>
      <c r="G313" s="30"/>
      <c r="H313" s="30"/>
      <c r="I313" s="30"/>
      <c r="J313" s="28"/>
      <c r="K313" s="30"/>
      <c r="L313" s="30"/>
      <c r="M313" s="30"/>
      <c r="N313" s="30"/>
      <c r="O313" s="28"/>
      <c r="P313" s="30"/>
      <c r="Q313" s="30"/>
      <c r="R313" s="30"/>
      <c r="S313" s="36"/>
      <c r="T313" s="30"/>
      <c r="U313" s="36"/>
      <c r="V313" s="30"/>
      <c r="W313" s="28"/>
      <c r="X313" s="30"/>
      <c r="Y313" s="30"/>
      <c r="Z313" s="30"/>
      <c r="AA313" s="30"/>
      <c r="AB313" s="30"/>
      <c r="AC313" s="28"/>
      <c r="AD313" s="30"/>
      <c r="AE313" s="30"/>
      <c r="AF313" s="30"/>
      <c r="AG313" s="29"/>
      <c r="AH313" s="30"/>
      <c r="AI313" s="36"/>
      <c r="AJ313" s="30"/>
      <c r="AK313" s="29"/>
      <c r="AL313" s="30"/>
      <c r="AM313" s="30"/>
      <c r="AN313" s="30"/>
      <c r="AO313" s="30"/>
      <c r="AP313" s="30"/>
      <c r="AQ313" s="38"/>
      <c r="AR313" s="30"/>
      <c r="AS313" s="30"/>
      <c r="AT313" s="29"/>
      <c r="AU313" s="30"/>
      <c r="AV313" s="30"/>
      <c r="AW313" s="30"/>
      <c r="AX313" s="29"/>
      <c r="AY313" s="39"/>
      <c r="AZ313" s="30"/>
      <c r="BA313" s="30"/>
      <c r="BB313" s="29"/>
      <c r="BC313" s="52"/>
      <c r="BD313" s="30"/>
      <c r="BE313" s="29"/>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row>
    <row r="314">
      <c r="A314" s="30"/>
      <c r="B314" s="42"/>
      <c r="C314" s="43"/>
      <c r="D314" s="30"/>
      <c r="E314" s="28"/>
      <c r="F314" s="30"/>
      <c r="G314" s="30"/>
      <c r="H314" s="30"/>
      <c r="I314" s="30"/>
      <c r="J314" s="28"/>
      <c r="K314" s="30"/>
      <c r="L314" s="30"/>
      <c r="M314" s="30"/>
      <c r="N314" s="30"/>
      <c r="O314" s="28"/>
      <c r="P314" s="30"/>
      <c r="Q314" s="30"/>
      <c r="R314" s="30"/>
      <c r="S314" s="36"/>
      <c r="T314" s="30"/>
      <c r="U314" s="36"/>
      <c r="V314" s="30"/>
      <c r="W314" s="28"/>
      <c r="X314" s="30"/>
      <c r="Y314" s="30"/>
      <c r="Z314" s="30"/>
      <c r="AA314" s="30"/>
      <c r="AB314" s="30"/>
      <c r="AC314" s="28"/>
      <c r="AD314" s="30"/>
      <c r="AE314" s="30"/>
      <c r="AF314" s="30"/>
      <c r="AG314" s="29"/>
      <c r="AH314" s="30"/>
      <c r="AI314" s="36"/>
      <c r="AJ314" s="30"/>
      <c r="AK314" s="29"/>
      <c r="AL314" s="30"/>
      <c r="AM314" s="30"/>
      <c r="AN314" s="30"/>
      <c r="AO314" s="30"/>
      <c r="AP314" s="30"/>
      <c r="AQ314" s="38"/>
      <c r="AR314" s="30"/>
      <c r="AS314" s="30"/>
      <c r="AT314" s="29"/>
      <c r="AU314" s="30"/>
      <c r="AV314" s="30"/>
      <c r="AW314" s="30"/>
      <c r="AX314" s="29"/>
      <c r="AY314" s="39"/>
      <c r="AZ314" s="30"/>
      <c r="BA314" s="30"/>
      <c r="BB314" s="29"/>
      <c r="BC314" s="52"/>
      <c r="BD314" s="30"/>
      <c r="BE314" s="29"/>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row>
    <row r="315">
      <c r="A315" s="30"/>
      <c r="B315" s="42"/>
      <c r="C315" s="43"/>
      <c r="D315" s="30"/>
      <c r="E315" s="28"/>
      <c r="F315" s="30"/>
      <c r="G315" s="30"/>
      <c r="H315" s="30"/>
      <c r="I315" s="30"/>
      <c r="J315" s="28"/>
      <c r="K315" s="30"/>
      <c r="L315" s="30"/>
      <c r="M315" s="30"/>
      <c r="N315" s="30"/>
      <c r="O315" s="28"/>
      <c r="P315" s="30"/>
      <c r="Q315" s="30"/>
      <c r="R315" s="30"/>
      <c r="S315" s="36"/>
      <c r="T315" s="30"/>
      <c r="U315" s="36"/>
      <c r="V315" s="30"/>
      <c r="W315" s="28"/>
      <c r="X315" s="30"/>
      <c r="Y315" s="30"/>
      <c r="Z315" s="30"/>
      <c r="AA315" s="30"/>
      <c r="AB315" s="30"/>
      <c r="AC315" s="28"/>
      <c r="AD315" s="30"/>
      <c r="AE315" s="30"/>
      <c r="AF315" s="30"/>
      <c r="AG315" s="29"/>
      <c r="AH315" s="30"/>
      <c r="AI315" s="36"/>
      <c r="AJ315" s="30"/>
      <c r="AK315" s="29"/>
      <c r="AL315" s="30"/>
      <c r="AM315" s="30"/>
      <c r="AN315" s="30"/>
      <c r="AO315" s="30"/>
      <c r="AP315" s="30"/>
      <c r="AQ315" s="38"/>
      <c r="AR315" s="30"/>
      <c r="AS315" s="30"/>
      <c r="AT315" s="29"/>
      <c r="AU315" s="30"/>
      <c r="AV315" s="30"/>
      <c r="AW315" s="30"/>
      <c r="AX315" s="29"/>
      <c r="AY315" s="39"/>
      <c r="AZ315" s="30"/>
      <c r="BA315" s="30"/>
      <c r="BB315" s="29"/>
      <c r="BC315" s="52"/>
      <c r="BD315" s="30"/>
      <c r="BE315" s="29"/>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row>
    <row r="316">
      <c r="A316" s="30"/>
      <c r="B316" s="42"/>
      <c r="C316" s="43"/>
      <c r="D316" s="30"/>
      <c r="E316" s="28"/>
      <c r="F316" s="30"/>
      <c r="G316" s="30"/>
      <c r="H316" s="30"/>
      <c r="I316" s="30"/>
      <c r="J316" s="28"/>
      <c r="K316" s="30"/>
      <c r="L316" s="30"/>
      <c r="M316" s="30"/>
      <c r="N316" s="30"/>
      <c r="O316" s="28"/>
      <c r="P316" s="30"/>
      <c r="Q316" s="30"/>
      <c r="R316" s="30"/>
      <c r="S316" s="36"/>
      <c r="T316" s="30"/>
      <c r="U316" s="36"/>
      <c r="V316" s="30"/>
      <c r="W316" s="28"/>
      <c r="X316" s="30"/>
      <c r="Y316" s="30"/>
      <c r="Z316" s="30"/>
      <c r="AA316" s="30"/>
      <c r="AB316" s="30"/>
      <c r="AC316" s="28"/>
      <c r="AD316" s="30"/>
      <c r="AE316" s="30"/>
      <c r="AF316" s="30"/>
      <c r="AG316" s="29"/>
      <c r="AH316" s="30"/>
      <c r="AI316" s="36"/>
      <c r="AJ316" s="30"/>
      <c r="AK316" s="29"/>
      <c r="AL316" s="30"/>
      <c r="AM316" s="30"/>
      <c r="AN316" s="30"/>
      <c r="AO316" s="30"/>
      <c r="AP316" s="30"/>
      <c r="AQ316" s="38"/>
      <c r="AR316" s="30"/>
      <c r="AS316" s="30"/>
      <c r="AT316" s="29"/>
      <c r="AU316" s="30"/>
      <c r="AV316" s="30"/>
      <c r="AW316" s="30"/>
      <c r="AX316" s="29"/>
      <c r="AY316" s="39"/>
      <c r="AZ316" s="30"/>
      <c r="BA316" s="30"/>
      <c r="BB316" s="29"/>
      <c r="BC316" s="52"/>
      <c r="BD316" s="30"/>
      <c r="BE316" s="29"/>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row>
    <row r="317">
      <c r="A317" s="30"/>
      <c r="B317" s="42"/>
      <c r="C317" s="43"/>
      <c r="D317" s="30"/>
      <c r="E317" s="28"/>
      <c r="F317" s="30"/>
      <c r="G317" s="30"/>
      <c r="H317" s="30"/>
      <c r="I317" s="30"/>
      <c r="J317" s="28"/>
      <c r="K317" s="30"/>
      <c r="L317" s="30"/>
      <c r="M317" s="30"/>
      <c r="N317" s="30"/>
      <c r="O317" s="28"/>
      <c r="P317" s="30"/>
      <c r="Q317" s="30"/>
      <c r="R317" s="30"/>
      <c r="S317" s="36"/>
      <c r="T317" s="30"/>
      <c r="U317" s="36"/>
      <c r="V317" s="30"/>
      <c r="W317" s="28"/>
      <c r="X317" s="30"/>
      <c r="Y317" s="30"/>
      <c r="Z317" s="30"/>
      <c r="AA317" s="30"/>
      <c r="AB317" s="30"/>
      <c r="AC317" s="28"/>
      <c r="AD317" s="30"/>
      <c r="AE317" s="30"/>
      <c r="AF317" s="30"/>
      <c r="AG317" s="29"/>
      <c r="AH317" s="30"/>
      <c r="AI317" s="36"/>
      <c r="AJ317" s="30"/>
      <c r="AK317" s="29"/>
      <c r="AL317" s="30"/>
      <c r="AM317" s="30"/>
      <c r="AN317" s="30"/>
      <c r="AO317" s="30"/>
      <c r="AP317" s="30"/>
      <c r="AQ317" s="38"/>
      <c r="AR317" s="30"/>
      <c r="AS317" s="30"/>
      <c r="AT317" s="29"/>
      <c r="AU317" s="30"/>
      <c r="AV317" s="30"/>
      <c r="AW317" s="30"/>
      <c r="AX317" s="29"/>
      <c r="AY317" s="39"/>
      <c r="AZ317" s="30"/>
      <c r="BA317" s="30"/>
      <c r="BB317" s="29"/>
      <c r="BC317" s="52"/>
      <c r="BD317" s="30"/>
      <c r="BE317" s="29"/>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row>
    <row r="318">
      <c r="A318" s="30"/>
      <c r="B318" s="42"/>
      <c r="C318" s="43"/>
      <c r="D318" s="30"/>
      <c r="E318" s="28"/>
      <c r="F318" s="30"/>
      <c r="G318" s="30"/>
      <c r="H318" s="30"/>
      <c r="I318" s="30"/>
      <c r="J318" s="28"/>
      <c r="K318" s="30"/>
      <c r="L318" s="30"/>
      <c r="M318" s="30"/>
      <c r="N318" s="30"/>
      <c r="O318" s="28"/>
      <c r="P318" s="30"/>
      <c r="Q318" s="30"/>
      <c r="R318" s="30"/>
      <c r="S318" s="36"/>
      <c r="T318" s="30"/>
      <c r="U318" s="36"/>
      <c r="V318" s="30"/>
      <c r="W318" s="28"/>
      <c r="X318" s="30"/>
      <c r="Y318" s="30"/>
      <c r="Z318" s="30"/>
      <c r="AA318" s="30"/>
      <c r="AB318" s="30"/>
      <c r="AC318" s="28"/>
      <c r="AD318" s="30"/>
      <c r="AE318" s="30"/>
      <c r="AF318" s="30"/>
      <c r="AG318" s="29"/>
      <c r="AH318" s="30"/>
      <c r="AI318" s="36"/>
      <c r="AJ318" s="30"/>
      <c r="AK318" s="29"/>
      <c r="AL318" s="30"/>
      <c r="AM318" s="30"/>
      <c r="AN318" s="30"/>
      <c r="AO318" s="30"/>
      <c r="AP318" s="30"/>
      <c r="AQ318" s="38"/>
      <c r="AR318" s="30"/>
      <c r="AS318" s="30"/>
      <c r="AT318" s="29"/>
      <c r="AU318" s="30"/>
      <c r="AV318" s="30"/>
      <c r="AW318" s="30"/>
      <c r="AX318" s="29"/>
      <c r="AY318" s="39"/>
      <c r="AZ318" s="30"/>
      <c r="BA318" s="30"/>
      <c r="BB318" s="29"/>
      <c r="BC318" s="52"/>
      <c r="BD318" s="30"/>
      <c r="BE318" s="29"/>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row>
    <row r="319">
      <c r="A319" s="30"/>
      <c r="B319" s="42"/>
      <c r="C319" s="43"/>
      <c r="D319" s="30"/>
      <c r="E319" s="28"/>
      <c r="F319" s="30"/>
      <c r="G319" s="30"/>
      <c r="H319" s="30"/>
      <c r="I319" s="30"/>
      <c r="J319" s="28"/>
      <c r="K319" s="30"/>
      <c r="L319" s="30"/>
      <c r="M319" s="30"/>
      <c r="N319" s="30"/>
      <c r="O319" s="28"/>
      <c r="P319" s="30"/>
      <c r="Q319" s="30"/>
      <c r="R319" s="30"/>
      <c r="S319" s="36"/>
      <c r="T319" s="30"/>
      <c r="U319" s="36"/>
      <c r="V319" s="30"/>
      <c r="W319" s="28"/>
      <c r="X319" s="30"/>
      <c r="Y319" s="30"/>
      <c r="Z319" s="30"/>
      <c r="AA319" s="30"/>
      <c r="AB319" s="30"/>
      <c r="AC319" s="28"/>
      <c r="AD319" s="30"/>
      <c r="AE319" s="30"/>
      <c r="AF319" s="30"/>
      <c r="AG319" s="29"/>
      <c r="AH319" s="30"/>
      <c r="AI319" s="36"/>
      <c r="AJ319" s="30"/>
      <c r="AK319" s="29"/>
      <c r="AL319" s="30"/>
      <c r="AM319" s="30"/>
      <c r="AN319" s="30"/>
      <c r="AO319" s="30"/>
      <c r="AP319" s="30"/>
      <c r="AQ319" s="38"/>
      <c r="AR319" s="30"/>
      <c r="AS319" s="30"/>
      <c r="AT319" s="29"/>
      <c r="AU319" s="30"/>
      <c r="AV319" s="30"/>
      <c r="AW319" s="30"/>
      <c r="AX319" s="29"/>
      <c r="AY319" s="39"/>
      <c r="AZ319" s="30"/>
      <c r="BA319" s="30"/>
      <c r="BB319" s="29"/>
      <c r="BC319" s="52"/>
      <c r="BD319" s="30"/>
      <c r="BE319" s="29"/>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row>
    <row r="320">
      <c r="A320" s="30"/>
      <c r="B320" s="42"/>
      <c r="C320" s="43"/>
      <c r="D320" s="30"/>
      <c r="E320" s="28"/>
      <c r="F320" s="30"/>
      <c r="G320" s="30"/>
      <c r="H320" s="30"/>
      <c r="I320" s="30"/>
      <c r="J320" s="28"/>
      <c r="K320" s="30"/>
      <c r="L320" s="30"/>
      <c r="M320" s="30"/>
      <c r="N320" s="30"/>
      <c r="O320" s="28"/>
      <c r="P320" s="30"/>
      <c r="Q320" s="30"/>
      <c r="R320" s="30"/>
      <c r="S320" s="36"/>
      <c r="T320" s="30"/>
      <c r="U320" s="36"/>
      <c r="V320" s="30"/>
      <c r="W320" s="28"/>
      <c r="X320" s="30"/>
      <c r="Y320" s="30"/>
      <c r="Z320" s="30"/>
      <c r="AA320" s="30"/>
      <c r="AB320" s="30"/>
      <c r="AC320" s="28"/>
      <c r="AD320" s="30"/>
      <c r="AE320" s="30"/>
      <c r="AF320" s="30"/>
      <c r="AG320" s="29"/>
      <c r="AH320" s="30"/>
      <c r="AI320" s="36"/>
      <c r="AJ320" s="30"/>
      <c r="AK320" s="29"/>
      <c r="AL320" s="30"/>
      <c r="AM320" s="30"/>
      <c r="AN320" s="30"/>
      <c r="AO320" s="30"/>
      <c r="AP320" s="30"/>
      <c r="AQ320" s="38"/>
      <c r="AR320" s="30"/>
      <c r="AS320" s="30"/>
      <c r="AT320" s="29"/>
      <c r="AU320" s="30"/>
      <c r="AV320" s="30"/>
      <c r="AW320" s="30"/>
      <c r="AX320" s="29"/>
      <c r="AY320" s="39"/>
      <c r="AZ320" s="30"/>
      <c r="BA320" s="30"/>
      <c r="BB320" s="29"/>
      <c r="BC320" s="52"/>
      <c r="BD320" s="30"/>
      <c r="BE320" s="29"/>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row>
    <row r="321">
      <c r="A321" s="30"/>
      <c r="B321" s="42"/>
      <c r="C321" s="43"/>
      <c r="D321" s="30"/>
      <c r="E321" s="28"/>
      <c r="F321" s="30"/>
      <c r="G321" s="30"/>
      <c r="H321" s="30"/>
      <c r="I321" s="30"/>
      <c r="J321" s="28"/>
      <c r="K321" s="30"/>
      <c r="L321" s="30"/>
      <c r="M321" s="30"/>
      <c r="N321" s="30"/>
      <c r="O321" s="28"/>
      <c r="P321" s="30"/>
      <c r="Q321" s="30"/>
      <c r="R321" s="30"/>
      <c r="S321" s="36"/>
      <c r="T321" s="30"/>
      <c r="U321" s="36"/>
      <c r="V321" s="30"/>
      <c r="W321" s="28"/>
      <c r="X321" s="30"/>
      <c r="Y321" s="30"/>
      <c r="Z321" s="30"/>
      <c r="AA321" s="30"/>
      <c r="AB321" s="30"/>
      <c r="AC321" s="28"/>
      <c r="AD321" s="30"/>
      <c r="AE321" s="30"/>
      <c r="AF321" s="30"/>
      <c r="AG321" s="29"/>
      <c r="AH321" s="30"/>
      <c r="AI321" s="36"/>
      <c r="AJ321" s="30"/>
      <c r="AK321" s="29"/>
      <c r="AL321" s="30"/>
      <c r="AM321" s="30"/>
      <c r="AN321" s="30"/>
      <c r="AO321" s="30"/>
      <c r="AP321" s="30"/>
      <c r="AQ321" s="38"/>
      <c r="AR321" s="30"/>
      <c r="AS321" s="30"/>
      <c r="AT321" s="29"/>
      <c r="AU321" s="30"/>
      <c r="AV321" s="30"/>
      <c r="AW321" s="30"/>
      <c r="AX321" s="29"/>
      <c r="AY321" s="39"/>
      <c r="AZ321" s="30"/>
      <c r="BA321" s="30"/>
      <c r="BB321" s="29"/>
      <c r="BC321" s="52"/>
      <c r="BD321" s="30"/>
      <c r="BE321" s="29"/>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row>
    <row r="322">
      <c r="A322" s="30"/>
      <c r="B322" s="42"/>
      <c r="C322" s="43"/>
      <c r="D322" s="30"/>
      <c r="E322" s="28"/>
      <c r="F322" s="30"/>
      <c r="G322" s="30"/>
      <c r="H322" s="30"/>
      <c r="I322" s="30"/>
      <c r="J322" s="28"/>
      <c r="K322" s="30"/>
      <c r="L322" s="30"/>
      <c r="M322" s="30"/>
      <c r="N322" s="30"/>
      <c r="O322" s="28"/>
      <c r="P322" s="30"/>
      <c r="Q322" s="30"/>
      <c r="R322" s="30"/>
      <c r="S322" s="36"/>
      <c r="T322" s="30"/>
      <c r="U322" s="36"/>
      <c r="V322" s="30"/>
      <c r="W322" s="28"/>
      <c r="X322" s="30"/>
      <c r="Y322" s="30"/>
      <c r="Z322" s="30"/>
      <c r="AA322" s="30"/>
      <c r="AB322" s="30"/>
      <c r="AC322" s="28"/>
      <c r="AD322" s="30"/>
      <c r="AE322" s="30"/>
      <c r="AF322" s="30"/>
      <c r="AG322" s="29"/>
      <c r="AH322" s="30"/>
      <c r="AI322" s="36"/>
      <c r="AJ322" s="30"/>
      <c r="AK322" s="29"/>
      <c r="AL322" s="30"/>
      <c r="AM322" s="30"/>
      <c r="AN322" s="30"/>
      <c r="AO322" s="30"/>
      <c r="AP322" s="30"/>
      <c r="AQ322" s="38"/>
      <c r="AR322" s="30"/>
      <c r="AS322" s="30"/>
      <c r="AT322" s="29"/>
      <c r="AU322" s="30"/>
      <c r="AV322" s="30"/>
      <c r="AW322" s="30"/>
      <c r="AX322" s="29"/>
      <c r="AY322" s="39"/>
      <c r="AZ322" s="30"/>
      <c r="BA322" s="30"/>
      <c r="BB322" s="29"/>
      <c r="BC322" s="52"/>
      <c r="BD322" s="30"/>
      <c r="BE322" s="29"/>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row>
    <row r="323">
      <c r="A323" s="30"/>
      <c r="B323" s="42"/>
      <c r="C323" s="43"/>
      <c r="D323" s="30"/>
      <c r="E323" s="28"/>
      <c r="F323" s="30"/>
      <c r="G323" s="30"/>
      <c r="H323" s="30"/>
      <c r="I323" s="30"/>
      <c r="J323" s="28"/>
      <c r="K323" s="30"/>
      <c r="L323" s="30"/>
      <c r="M323" s="30"/>
      <c r="N323" s="30"/>
      <c r="O323" s="28"/>
      <c r="P323" s="30"/>
      <c r="Q323" s="30"/>
      <c r="R323" s="30"/>
      <c r="S323" s="36"/>
      <c r="T323" s="30"/>
      <c r="U323" s="36"/>
      <c r="V323" s="30"/>
      <c r="W323" s="28"/>
      <c r="X323" s="30"/>
      <c r="Y323" s="30"/>
      <c r="Z323" s="30"/>
      <c r="AA323" s="30"/>
      <c r="AB323" s="30"/>
      <c r="AC323" s="28"/>
      <c r="AD323" s="30"/>
      <c r="AE323" s="30"/>
      <c r="AF323" s="30"/>
      <c r="AG323" s="29"/>
      <c r="AH323" s="30"/>
      <c r="AI323" s="36"/>
      <c r="AJ323" s="30"/>
      <c r="AK323" s="29"/>
      <c r="AL323" s="30"/>
      <c r="AM323" s="30"/>
      <c r="AN323" s="30"/>
      <c r="AO323" s="30"/>
      <c r="AP323" s="30"/>
      <c r="AQ323" s="38"/>
      <c r="AR323" s="30"/>
      <c r="AS323" s="30"/>
      <c r="AT323" s="29"/>
      <c r="AU323" s="30"/>
      <c r="AV323" s="30"/>
      <c r="AW323" s="30"/>
      <c r="AX323" s="29"/>
      <c r="AY323" s="39"/>
      <c r="AZ323" s="30"/>
      <c r="BA323" s="30"/>
      <c r="BB323" s="29"/>
      <c r="BC323" s="52"/>
      <c r="BD323" s="30"/>
      <c r="BE323" s="29"/>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row>
    <row r="324">
      <c r="A324" s="30"/>
      <c r="B324" s="42"/>
      <c r="C324" s="43"/>
      <c r="D324" s="30"/>
      <c r="E324" s="28"/>
      <c r="F324" s="30"/>
      <c r="G324" s="30"/>
      <c r="H324" s="30"/>
      <c r="I324" s="30"/>
      <c r="J324" s="28"/>
      <c r="K324" s="30"/>
      <c r="L324" s="30"/>
      <c r="M324" s="30"/>
      <c r="N324" s="30"/>
      <c r="O324" s="28"/>
      <c r="P324" s="30"/>
      <c r="Q324" s="30"/>
      <c r="R324" s="30"/>
      <c r="S324" s="36"/>
      <c r="T324" s="30"/>
      <c r="U324" s="36"/>
      <c r="V324" s="30"/>
      <c r="W324" s="28"/>
      <c r="X324" s="30"/>
      <c r="Y324" s="30"/>
      <c r="Z324" s="30"/>
      <c r="AA324" s="30"/>
      <c r="AB324" s="30"/>
      <c r="AC324" s="28"/>
      <c r="AD324" s="30"/>
      <c r="AE324" s="30"/>
      <c r="AF324" s="30"/>
      <c r="AG324" s="29"/>
      <c r="AH324" s="30"/>
      <c r="AI324" s="36"/>
      <c r="AJ324" s="30"/>
      <c r="AK324" s="29"/>
      <c r="AL324" s="30"/>
      <c r="AM324" s="30"/>
      <c r="AN324" s="30"/>
      <c r="AO324" s="30"/>
      <c r="AP324" s="30"/>
      <c r="AQ324" s="38"/>
      <c r="AR324" s="30"/>
      <c r="AS324" s="30"/>
      <c r="AT324" s="29"/>
      <c r="AU324" s="30"/>
      <c r="AV324" s="30"/>
      <c r="AW324" s="30"/>
      <c r="AX324" s="29"/>
      <c r="AY324" s="39"/>
      <c r="AZ324" s="30"/>
      <c r="BA324" s="30"/>
      <c r="BB324" s="29"/>
      <c r="BC324" s="52"/>
      <c r="BD324" s="30"/>
      <c r="BE324" s="29"/>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row>
    <row r="325">
      <c r="A325" s="30"/>
      <c r="B325" s="42"/>
      <c r="C325" s="43"/>
      <c r="D325" s="30"/>
      <c r="E325" s="28"/>
      <c r="F325" s="30"/>
      <c r="G325" s="30"/>
      <c r="H325" s="30"/>
      <c r="I325" s="30"/>
      <c r="J325" s="28"/>
      <c r="K325" s="30"/>
      <c r="L325" s="30"/>
      <c r="M325" s="30"/>
      <c r="N325" s="30"/>
      <c r="O325" s="28"/>
      <c r="P325" s="30"/>
      <c r="Q325" s="30"/>
      <c r="R325" s="30"/>
      <c r="S325" s="36"/>
      <c r="T325" s="30"/>
      <c r="U325" s="36"/>
      <c r="V325" s="30"/>
      <c r="W325" s="28"/>
      <c r="X325" s="30"/>
      <c r="Y325" s="30"/>
      <c r="Z325" s="30"/>
      <c r="AA325" s="30"/>
      <c r="AB325" s="30"/>
      <c r="AC325" s="28"/>
      <c r="AD325" s="30"/>
      <c r="AE325" s="30"/>
      <c r="AF325" s="30"/>
      <c r="AG325" s="29"/>
      <c r="AH325" s="30"/>
      <c r="AI325" s="36"/>
      <c r="AJ325" s="30"/>
      <c r="AK325" s="29"/>
      <c r="AL325" s="30"/>
      <c r="AM325" s="30"/>
      <c r="AN325" s="30"/>
      <c r="AO325" s="30"/>
      <c r="AP325" s="30"/>
      <c r="AQ325" s="38"/>
      <c r="AR325" s="30"/>
      <c r="AS325" s="30"/>
      <c r="AT325" s="29"/>
      <c r="AU325" s="30"/>
      <c r="AV325" s="30"/>
      <c r="AW325" s="30"/>
      <c r="AX325" s="29"/>
      <c r="AY325" s="39"/>
      <c r="AZ325" s="30"/>
      <c r="BA325" s="30"/>
      <c r="BB325" s="29"/>
      <c r="BC325" s="52"/>
      <c r="BD325" s="30"/>
      <c r="BE325" s="29"/>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row>
    <row r="326">
      <c r="A326" s="30"/>
      <c r="B326" s="42"/>
      <c r="C326" s="43"/>
      <c r="D326" s="30"/>
      <c r="E326" s="28"/>
      <c r="F326" s="30"/>
      <c r="G326" s="30"/>
      <c r="H326" s="30"/>
      <c r="I326" s="30"/>
      <c r="J326" s="28"/>
      <c r="K326" s="30"/>
      <c r="L326" s="30"/>
      <c r="M326" s="30"/>
      <c r="N326" s="30"/>
      <c r="O326" s="28"/>
      <c r="P326" s="30"/>
      <c r="Q326" s="30"/>
      <c r="R326" s="30"/>
      <c r="S326" s="36"/>
      <c r="T326" s="30"/>
      <c r="U326" s="36"/>
      <c r="V326" s="30"/>
      <c r="W326" s="28"/>
      <c r="X326" s="30"/>
      <c r="Y326" s="30"/>
      <c r="Z326" s="30"/>
      <c r="AA326" s="30"/>
      <c r="AB326" s="30"/>
      <c r="AC326" s="28"/>
      <c r="AD326" s="30"/>
      <c r="AE326" s="30"/>
      <c r="AF326" s="30"/>
      <c r="AG326" s="29"/>
      <c r="AH326" s="30"/>
      <c r="AI326" s="36"/>
      <c r="AJ326" s="30"/>
      <c r="AK326" s="29"/>
      <c r="AL326" s="30"/>
      <c r="AM326" s="30"/>
      <c r="AN326" s="30"/>
      <c r="AO326" s="30"/>
      <c r="AP326" s="30"/>
      <c r="AQ326" s="38"/>
      <c r="AR326" s="30"/>
      <c r="AS326" s="30"/>
      <c r="AT326" s="29"/>
      <c r="AU326" s="30"/>
      <c r="AV326" s="30"/>
      <c r="AW326" s="30"/>
      <c r="AX326" s="29"/>
      <c r="AY326" s="39"/>
      <c r="AZ326" s="30"/>
      <c r="BA326" s="30"/>
      <c r="BB326" s="29"/>
      <c r="BC326" s="52"/>
      <c r="BD326" s="30"/>
      <c r="BE326" s="29"/>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row>
    <row r="327">
      <c r="A327" s="30"/>
      <c r="B327" s="42"/>
      <c r="C327" s="43"/>
      <c r="D327" s="30"/>
      <c r="E327" s="28"/>
      <c r="F327" s="30"/>
      <c r="G327" s="30"/>
      <c r="H327" s="30"/>
      <c r="I327" s="30"/>
      <c r="J327" s="28"/>
      <c r="K327" s="30"/>
      <c r="L327" s="30"/>
      <c r="M327" s="30"/>
      <c r="N327" s="30"/>
      <c r="O327" s="28"/>
      <c r="P327" s="30"/>
      <c r="Q327" s="30"/>
      <c r="R327" s="30"/>
      <c r="S327" s="36"/>
      <c r="T327" s="30"/>
      <c r="U327" s="36"/>
      <c r="V327" s="30"/>
      <c r="W327" s="28"/>
      <c r="X327" s="30"/>
      <c r="Y327" s="30"/>
      <c r="Z327" s="30"/>
      <c r="AA327" s="30"/>
      <c r="AB327" s="30"/>
      <c r="AC327" s="28"/>
      <c r="AD327" s="30"/>
      <c r="AE327" s="30"/>
      <c r="AF327" s="30"/>
      <c r="AG327" s="29"/>
      <c r="AH327" s="30"/>
      <c r="AI327" s="36"/>
      <c r="AJ327" s="30"/>
      <c r="AK327" s="29"/>
      <c r="AL327" s="30"/>
      <c r="AM327" s="30"/>
      <c r="AN327" s="30"/>
      <c r="AO327" s="30"/>
      <c r="AP327" s="30"/>
      <c r="AQ327" s="38"/>
      <c r="AR327" s="30"/>
      <c r="AS327" s="30"/>
      <c r="AT327" s="29"/>
      <c r="AU327" s="30"/>
      <c r="AV327" s="30"/>
      <c r="AW327" s="30"/>
      <c r="AX327" s="29"/>
      <c r="AY327" s="39"/>
      <c r="AZ327" s="30"/>
      <c r="BA327" s="30"/>
      <c r="BB327" s="29"/>
      <c r="BC327" s="52"/>
      <c r="BD327" s="30"/>
      <c r="BE327" s="29"/>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row>
    <row r="328">
      <c r="A328" s="30"/>
      <c r="B328" s="42"/>
      <c r="C328" s="43"/>
      <c r="D328" s="30"/>
      <c r="E328" s="28"/>
      <c r="F328" s="30"/>
      <c r="G328" s="30"/>
      <c r="H328" s="30"/>
      <c r="I328" s="30"/>
      <c r="J328" s="28"/>
      <c r="K328" s="30"/>
      <c r="L328" s="30"/>
      <c r="M328" s="30"/>
      <c r="N328" s="30"/>
      <c r="O328" s="28"/>
      <c r="P328" s="30"/>
      <c r="Q328" s="30"/>
      <c r="R328" s="30"/>
      <c r="S328" s="36"/>
      <c r="T328" s="30"/>
      <c r="U328" s="36"/>
      <c r="V328" s="30"/>
      <c r="W328" s="28"/>
      <c r="X328" s="30"/>
      <c r="Y328" s="30"/>
      <c r="Z328" s="30"/>
      <c r="AA328" s="30"/>
      <c r="AB328" s="30"/>
      <c r="AC328" s="28"/>
      <c r="AD328" s="30"/>
      <c r="AE328" s="30"/>
      <c r="AF328" s="30"/>
      <c r="AG328" s="29"/>
      <c r="AH328" s="30"/>
      <c r="AI328" s="36"/>
      <c r="AJ328" s="30"/>
      <c r="AK328" s="29"/>
      <c r="AL328" s="30"/>
      <c r="AM328" s="30"/>
      <c r="AN328" s="30"/>
      <c r="AO328" s="30"/>
      <c r="AP328" s="30"/>
      <c r="AQ328" s="38"/>
      <c r="AR328" s="30"/>
      <c r="AS328" s="30"/>
      <c r="AT328" s="29"/>
      <c r="AU328" s="30"/>
      <c r="AV328" s="30"/>
      <c r="AW328" s="30"/>
      <c r="AX328" s="29"/>
      <c r="AY328" s="39"/>
      <c r="AZ328" s="30"/>
      <c r="BA328" s="30"/>
      <c r="BB328" s="29"/>
      <c r="BC328" s="52"/>
      <c r="BD328" s="30"/>
      <c r="BE328" s="29"/>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row>
    <row r="329">
      <c r="A329" s="30"/>
      <c r="B329" s="42"/>
      <c r="C329" s="43"/>
      <c r="D329" s="30"/>
      <c r="E329" s="28"/>
      <c r="F329" s="30"/>
      <c r="G329" s="30"/>
      <c r="H329" s="30"/>
      <c r="I329" s="30"/>
      <c r="J329" s="28"/>
      <c r="K329" s="30"/>
      <c r="L329" s="30"/>
      <c r="M329" s="30"/>
      <c r="N329" s="30"/>
      <c r="O329" s="28"/>
      <c r="P329" s="30"/>
      <c r="Q329" s="30"/>
      <c r="R329" s="30"/>
      <c r="S329" s="36"/>
      <c r="T329" s="30"/>
      <c r="U329" s="36"/>
      <c r="V329" s="30"/>
      <c r="W329" s="28"/>
      <c r="X329" s="30"/>
      <c r="Y329" s="30"/>
      <c r="Z329" s="30"/>
      <c r="AA329" s="30"/>
      <c r="AB329" s="30"/>
      <c r="AC329" s="28"/>
      <c r="AD329" s="30"/>
      <c r="AE329" s="30"/>
      <c r="AF329" s="30"/>
      <c r="AG329" s="29"/>
      <c r="AH329" s="30"/>
      <c r="AI329" s="36"/>
      <c r="AJ329" s="30"/>
      <c r="AK329" s="29"/>
      <c r="AL329" s="30"/>
      <c r="AM329" s="30"/>
      <c r="AN329" s="30"/>
      <c r="AO329" s="30"/>
      <c r="AP329" s="30"/>
      <c r="AQ329" s="38"/>
      <c r="AR329" s="30"/>
      <c r="AS329" s="30"/>
      <c r="AT329" s="29"/>
      <c r="AU329" s="30"/>
      <c r="AV329" s="30"/>
      <c r="AW329" s="30"/>
      <c r="AX329" s="29"/>
      <c r="AY329" s="39"/>
      <c r="AZ329" s="30"/>
      <c r="BA329" s="30"/>
      <c r="BB329" s="29"/>
      <c r="BC329" s="52"/>
      <c r="BD329" s="30"/>
      <c r="BE329" s="29"/>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row>
    <row r="330">
      <c r="A330" s="30"/>
      <c r="B330" s="42"/>
      <c r="C330" s="43"/>
      <c r="D330" s="30"/>
      <c r="E330" s="28"/>
      <c r="F330" s="30"/>
      <c r="G330" s="30"/>
      <c r="H330" s="30"/>
      <c r="I330" s="30"/>
      <c r="J330" s="28"/>
      <c r="K330" s="30"/>
      <c r="L330" s="30"/>
      <c r="M330" s="30"/>
      <c r="N330" s="30"/>
      <c r="O330" s="28"/>
      <c r="P330" s="30"/>
      <c r="Q330" s="30"/>
      <c r="R330" s="30"/>
      <c r="S330" s="36"/>
      <c r="T330" s="30"/>
      <c r="U330" s="36"/>
      <c r="V330" s="30"/>
      <c r="W330" s="28"/>
      <c r="X330" s="30"/>
      <c r="Y330" s="30"/>
      <c r="Z330" s="30"/>
      <c r="AA330" s="30"/>
      <c r="AB330" s="30"/>
      <c r="AC330" s="28"/>
      <c r="AD330" s="30"/>
      <c r="AE330" s="30"/>
      <c r="AF330" s="30"/>
      <c r="AG330" s="29"/>
      <c r="AH330" s="30"/>
      <c r="AI330" s="36"/>
      <c r="AJ330" s="30"/>
      <c r="AK330" s="29"/>
      <c r="AL330" s="30"/>
      <c r="AM330" s="30"/>
      <c r="AN330" s="30"/>
      <c r="AO330" s="30"/>
      <c r="AP330" s="30"/>
      <c r="AQ330" s="38"/>
      <c r="AR330" s="30"/>
      <c r="AS330" s="30"/>
      <c r="AT330" s="29"/>
      <c r="AU330" s="30"/>
      <c r="AV330" s="30"/>
      <c r="AW330" s="30"/>
      <c r="AX330" s="29"/>
      <c r="AY330" s="39"/>
      <c r="AZ330" s="30"/>
      <c r="BA330" s="30"/>
      <c r="BB330" s="29"/>
      <c r="BC330" s="52"/>
      <c r="BD330" s="30"/>
      <c r="BE330" s="29"/>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row>
    <row r="331">
      <c r="A331" s="30"/>
      <c r="B331" s="42"/>
      <c r="C331" s="43"/>
      <c r="D331" s="30"/>
      <c r="E331" s="28"/>
      <c r="F331" s="30"/>
      <c r="G331" s="30"/>
      <c r="H331" s="30"/>
      <c r="I331" s="30"/>
      <c r="J331" s="28"/>
      <c r="K331" s="30"/>
      <c r="L331" s="30"/>
      <c r="M331" s="30"/>
      <c r="N331" s="30"/>
      <c r="O331" s="28"/>
      <c r="P331" s="30"/>
      <c r="Q331" s="30"/>
      <c r="R331" s="30"/>
      <c r="S331" s="36"/>
      <c r="T331" s="30"/>
      <c r="U331" s="36"/>
      <c r="V331" s="30"/>
      <c r="W331" s="28"/>
      <c r="X331" s="30"/>
      <c r="Y331" s="30"/>
      <c r="Z331" s="30"/>
      <c r="AA331" s="30"/>
      <c r="AB331" s="30"/>
      <c r="AC331" s="28"/>
      <c r="AD331" s="30"/>
      <c r="AE331" s="30"/>
      <c r="AF331" s="30"/>
      <c r="AG331" s="29"/>
      <c r="AH331" s="30"/>
      <c r="AI331" s="36"/>
      <c r="AJ331" s="30"/>
      <c r="AK331" s="29"/>
      <c r="AL331" s="30"/>
      <c r="AM331" s="30"/>
      <c r="AN331" s="30"/>
      <c r="AO331" s="30"/>
      <c r="AP331" s="30"/>
      <c r="AQ331" s="38"/>
      <c r="AR331" s="30"/>
      <c r="AS331" s="30"/>
      <c r="AT331" s="29"/>
      <c r="AU331" s="30"/>
      <c r="AV331" s="30"/>
      <c r="AW331" s="30"/>
      <c r="AX331" s="29"/>
      <c r="AY331" s="39"/>
      <c r="AZ331" s="30"/>
      <c r="BA331" s="30"/>
      <c r="BB331" s="29"/>
      <c r="BC331" s="52"/>
      <c r="BD331" s="30"/>
      <c r="BE331" s="29"/>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row>
    <row r="332">
      <c r="A332" s="30"/>
      <c r="B332" s="42"/>
      <c r="C332" s="43"/>
      <c r="D332" s="30"/>
      <c r="E332" s="28"/>
      <c r="F332" s="30"/>
      <c r="G332" s="30"/>
      <c r="H332" s="30"/>
      <c r="I332" s="30"/>
      <c r="J332" s="28"/>
      <c r="K332" s="30"/>
      <c r="L332" s="30"/>
      <c r="M332" s="30"/>
      <c r="N332" s="30"/>
      <c r="O332" s="28"/>
      <c r="P332" s="30"/>
      <c r="Q332" s="30"/>
      <c r="R332" s="30"/>
      <c r="S332" s="36"/>
      <c r="T332" s="30"/>
      <c r="U332" s="36"/>
      <c r="V332" s="30"/>
      <c r="W332" s="28"/>
      <c r="X332" s="30"/>
      <c r="Y332" s="30"/>
      <c r="Z332" s="30"/>
      <c r="AA332" s="30"/>
      <c r="AB332" s="30"/>
      <c r="AC332" s="28"/>
      <c r="AD332" s="30"/>
      <c r="AE332" s="30"/>
      <c r="AF332" s="30"/>
      <c r="AG332" s="29"/>
      <c r="AH332" s="30"/>
      <c r="AI332" s="36"/>
      <c r="AJ332" s="30"/>
      <c r="AK332" s="29"/>
      <c r="AL332" s="30"/>
      <c r="AM332" s="30"/>
      <c r="AN332" s="30"/>
      <c r="AO332" s="30"/>
      <c r="AP332" s="30"/>
      <c r="AQ332" s="38"/>
      <c r="AR332" s="30"/>
      <c r="AS332" s="30"/>
      <c r="AT332" s="29"/>
      <c r="AU332" s="30"/>
      <c r="AV332" s="30"/>
      <c r="AW332" s="30"/>
      <c r="AX332" s="29"/>
      <c r="AY332" s="39"/>
      <c r="AZ332" s="30"/>
      <c r="BA332" s="30"/>
      <c r="BB332" s="29"/>
      <c r="BC332" s="52"/>
      <c r="BD332" s="30"/>
      <c r="BE332" s="29"/>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row>
    <row r="333">
      <c r="A333" s="30"/>
      <c r="B333" s="42"/>
      <c r="C333" s="43"/>
      <c r="D333" s="30"/>
      <c r="E333" s="28"/>
      <c r="F333" s="30"/>
      <c r="G333" s="30"/>
      <c r="H333" s="30"/>
      <c r="I333" s="30"/>
      <c r="J333" s="28"/>
      <c r="K333" s="30"/>
      <c r="L333" s="30"/>
      <c r="M333" s="30"/>
      <c r="N333" s="30"/>
      <c r="O333" s="28"/>
      <c r="P333" s="30"/>
      <c r="Q333" s="30"/>
      <c r="R333" s="30"/>
      <c r="S333" s="36"/>
      <c r="T333" s="30"/>
      <c r="U333" s="36"/>
      <c r="V333" s="30"/>
      <c r="W333" s="28"/>
      <c r="X333" s="30"/>
      <c r="Y333" s="30"/>
      <c r="Z333" s="30"/>
      <c r="AA333" s="30"/>
      <c r="AB333" s="30"/>
      <c r="AC333" s="28"/>
      <c r="AD333" s="30"/>
      <c r="AE333" s="30"/>
      <c r="AF333" s="30"/>
      <c r="AG333" s="29"/>
      <c r="AH333" s="30"/>
      <c r="AI333" s="36"/>
      <c r="AJ333" s="30"/>
      <c r="AK333" s="29"/>
      <c r="AL333" s="30"/>
      <c r="AM333" s="30"/>
      <c r="AN333" s="30"/>
      <c r="AO333" s="30"/>
      <c r="AP333" s="30"/>
      <c r="AQ333" s="38"/>
      <c r="AR333" s="30"/>
      <c r="AS333" s="30"/>
      <c r="AT333" s="29"/>
      <c r="AU333" s="30"/>
      <c r="AV333" s="30"/>
      <c r="AW333" s="30"/>
      <c r="AX333" s="29"/>
      <c r="AY333" s="39"/>
      <c r="AZ333" s="30"/>
      <c r="BA333" s="30"/>
      <c r="BB333" s="29"/>
      <c r="BC333" s="52"/>
      <c r="BD333" s="30"/>
      <c r="BE333" s="29"/>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row>
    <row r="334">
      <c r="A334" s="30"/>
      <c r="B334" s="42"/>
      <c r="C334" s="43"/>
      <c r="D334" s="30"/>
      <c r="E334" s="28"/>
      <c r="F334" s="30"/>
      <c r="G334" s="30"/>
      <c r="H334" s="30"/>
      <c r="I334" s="30"/>
      <c r="J334" s="28"/>
      <c r="K334" s="30"/>
      <c r="L334" s="30"/>
      <c r="M334" s="30"/>
      <c r="N334" s="30"/>
      <c r="O334" s="28"/>
      <c r="P334" s="30"/>
      <c r="Q334" s="30"/>
      <c r="R334" s="30"/>
      <c r="S334" s="36"/>
      <c r="T334" s="30"/>
      <c r="U334" s="36"/>
      <c r="V334" s="30"/>
      <c r="W334" s="28"/>
      <c r="X334" s="30"/>
      <c r="Y334" s="30"/>
      <c r="Z334" s="30"/>
      <c r="AA334" s="30"/>
      <c r="AB334" s="30"/>
      <c r="AC334" s="28"/>
      <c r="AD334" s="30"/>
      <c r="AE334" s="30"/>
      <c r="AF334" s="30"/>
      <c r="AG334" s="29"/>
      <c r="AH334" s="30"/>
      <c r="AI334" s="36"/>
      <c r="AJ334" s="30"/>
      <c r="AK334" s="29"/>
      <c r="AL334" s="30"/>
      <c r="AM334" s="30"/>
      <c r="AN334" s="30"/>
      <c r="AO334" s="30"/>
      <c r="AP334" s="30"/>
      <c r="AQ334" s="38"/>
      <c r="AR334" s="30"/>
      <c r="AS334" s="30"/>
      <c r="AT334" s="29"/>
      <c r="AU334" s="30"/>
      <c r="AV334" s="30"/>
      <c r="AW334" s="30"/>
      <c r="AX334" s="29"/>
      <c r="AY334" s="39"/>
      <c r="AZ334" s="30"/>
      <c r="BA334" s="30"/>
      <c r="BB334" s="29"/>
      <c r="BC334" s="52"/>
      <c r="BD334" s="30"/>
      <c r="BE334" s="29"/>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row>
    <row r="335">
      <c r="A335" s="30"/>
      <c r="B335" s="42"/>
      <c r="C335" s="43"/>
      <c r="D335" s="30"/>
      <c r="E335" s="28"/>
      <c r="F335" s="30"/>
      <c r="G335" s="30"/>
      <c r="H335" s="30"/>
      <c r="I335" s="30"/>
      <c r="J335" s="28"/>
      <c r="K335" s="30"/>
      <c r="L335" s="30"/>
      <c r="M335" s="30"/>
      <c r="N335" s="30"/>
      <c r="O335" s="28"/>
      <c r="P335" s="30"/>
      <c r="Q335" s="30"/>
      <c r="R335" s="30"/>
      <c r="S335" s="36"/>
      <c r="T335" s="30"/>
      <c r="U335" s="36"/>
      <c r="V335" s="30"/>
      <c r="W335" s="28"/>
      <c r="X335" s="30"/>
      <c r="Y335" s="30"/>
      <c r="Z335" s="30"/>
      <c r="AA335" s="30"/>
      <c r="AB335" s="30"/>
      <c r="AC335" s="28"/>
      <c r="AD335" s="30"/>
      <c r="AE335" s="30"/>
      <c r="AF335" s="30"/>
      <c r="AG335" s="29"/>
      <c r="AH335" s="30"/>
      <c r="AI335" s="36"/>
      <c r="AJ335" s="30"/>
      <c r="AK335" s="29"/>
      <c r="AL335" s="30"/>
      <c r="AM335" s="30"/>
      <c r="AN335" s="30"/>
      <c r="AO335" s="30"/>
      <c r="AP335" s="30"/>
      <c r="AQ335" s="38"/>
      <c r="AR335" s="30"/>
      <c r="AS335" s="30"/>
      <c r="AT335" s="29"/>
      <c r="AU335" s="30"/>
      <c r="AV335" s="30"/>
      <c r="AW335" s="30"/>
      <c r="AX335" s="29"/>
      <c r="AY335" s="39"/>
      <c r="AZ335" s="30"/>
      <c r="BA335" s="30"/>
      <c r="BB335" s="29"/>
      <c r="BC335" s="52"/>
      <c r="BD335" s="30"/>
      <c r="BE335" s="29"/>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row>
    <row r="336">
      <c r="A336" s="30"/>
      <c r="B336" s="42"/>
      <c r="C336" s="43"/>
      <c r="D336" s="30"/>
      <c r="E336" s="28"/>
      <c r="F336" s="30"/>
      <c r="G336" s="30"/>
      <c r="H336" s="30"/>
      <c r="I336" s="30"/>
      <c r="J336" s="28"/>
      <c r="K336" s="30"/>
      <c r="L336" s="30"/>
      <c r="M336" s="30"/>
      <c r="N336" s="30"/>
      <c r="O336" s="28"/>
      <c r="P336" s="30"/>
      <c r="Q336" s="30"/>
      <c r="R336" s="30"/>
      <c r="S336" s="36"/>
      <c r="T336" s="30"/>
      <c r="U336" s="36"/>
      <c r="V336" s="30"/>
      <c r="W336" s="28"/>
      <c r="X336" s="30"/>
      <c r="Y336" s="30"/>
      <c r="Z336" s="30"/>
      <c r="AA336" s="30"/>
      <c r="AB336" s="30"/>
      <c r="AC336" s="28"/>
      <c r="AD336" s="30"/>
      <c r="AE336" s="30"/>
      <c r="AF336" s="30"/>
      <c r="AG336" s="29"/>
      <c r="AH336" s="30"/>
      <c r="AI336" s="36"/>
      <c r="AJ336" s="30"/>
      <c r="AK336" s="29"/>
      <c r="AL336" s="30"/>
      <c r="AM336" s="30"/>
      <c r="AN336" s="30"/>
      <c r="AO336" s="30"/>
      <c r="AP336" s="30"/>
      <c r="AQ336" s="38"/>
      <c r="AR336" s="30"/>
      <c r="AS336" s="30"/>
      <c r="AT336" s="29"/>
      <c r="AU336" s="30"/>
      <c r="AV336" s="30"/>
      <c r="AW336" s="30"/>
      <c r="AX336" s="29"/>
      <c r="AY336" s="39"/>
      <c r="AZ336" s="30"/>
      <c r="BA336" s="30"/>
      <c r="BB336" s="29"/>
      <c r="BC336" s="52"/>
      <c r="BD336" s="30"/>
      <c r="BE336" s="29"/>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row>
    <row r="337">
      <c r="A337" s="30"/>
      <c r="B337" s="42"/>
      <c r="C337" s="43"/>
      <c r="D337" s="30"/>
      <c r="E337" s="28"/>
      <c r="F337" s="30"/>
      <c r="G337" s="30"/>
      <c r="H337" s="30"/>
      <c r="I337" s="30"/>
      <c r="J337" s="28"/>
      <c r="K337" s="30"/>
      <c r="L337" s="30"/>
      <c r="M337" s="30"/>
      <c r="N337" s="30"/>
      <c r="O337" s="28"/>
      <c r="P337" s="30"/>
      <c r="Q337" s="30"/>
      <c r="R337" s="30"/>
      <c r="S337" s="36"/>
      <c r="T337" s="30"/>
      <c r="U337" s="36"/>
      <c r="V337" s="30"/>
      <c r="W337" s="28"/>
      <c r="X337" s="30"/>
      <c r="Y337" s="30"/>
      <c r="Z337" s="30"/>
      <c r="AA337" s="30"/>
      <c r="AB337" s="30"/>
      <c r="AC337" s="28"/>
      <c r="AD337" s="30"/>
      <c r="AE337" s="30"/>
      <c r="AF337" s="30"/>
      <c r="AG337" s="29"/>
      <c r="AH337" s="30"/>
      <c r="AI337" s="36"/>
      <c r="AJ337" s="30"/>
      <c r="AK337" s="29"/>
      <c r="AL337" s="30"/>
      <c r="AM337" s="30"/>
      <c r="AN337" s="30"/>
      <c r="AO337" s="30"/>
      <c r="AP337" s="30"/>
      <c r="AQ337" s="38"/>
      <c r="AR337" s="30"/>
      <c r="AS337" s="30"/>
      <c r="AT337" s="29"/>
      <c r="AU337" s="30"/>
      <c r="AV337" s="30"/>
      <c r="AW337" s="30"/>
      <c r="AX337" s="29"/>
      <c r="AY337" s="39"/>
      <c r="AZ337" s="30"/>
      <c r="BA337" s="30"/>
      <c r="BB337" s="29"/>
      <c r="BC337" s="52"/>
      <c r="BD337" s="30"/>
      <c r="BE337" s="29"/>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row>
    <row r="338">
      <c r="A338" s="30"/>
      <c r="B338" s="42"/>
      <c r="C338" s="43"/>
      <c r="D338" s="30"/>
      <c r="E338" s="28"/>
      <c r="F338" s="30"/>
      <c r="G338" s="30"/>
      <c r="H338" s="30"/>
      <c r="I338" s="30"/>
      <c r="J338" s="28"/>
      <c r="K338" s="30"/>
      <c r="L338" s="30"/>
      <c r="M338" s="30"/>
      <c r="N338" s="30"/>
      <c r="O338" s="28"/>
      <c r="P338" s="30"/>
      <c r="Q338" s="30"/>
      <c r="R338" s="30"/>
      <c r="S338" s="36"/>
      <c r="T338" s="30"/>
      <c r="U338" s="36"/>
      <c r="V338" s="30"/>
      <c r="W338" s="28"/>
      <c r="X338" s="30"/>
      <c r="Y338" s="30"/>
      <c r="Z338" s="30"/>
      <c r="AA338" s="30"/>
      <c r="AB338" s="30"/>
      <c r="AC338" s="28"/>
      <c r="AD338" s="30"/>
      <c r="AE338" s="30"/>
      <c r="AF338" s="30"/>
      <c r="AG338" s="29"/>
      <c r="AH338" s="30"/>
      <c r="AI338" s="36"/>
      <c r="AJ338" s="30"/>
      <c r="AK338" s="29"/>
      <c r="AL338" s="30"/>
      <c r="AM338" s="30"/>
      <c r="AN338" s="30"/>
      <c r="AO338" s="30"/>
      <c r="AP338" s="30"/>
      <c r="AQ338" s="38"/>
      <c r="AR338" s="30"/>
      <c r="AS338" s="30"/>
      <c r="AT338" s="29"/>
      <c r="AU338" s="30"/>
      <c r="AV338" s="30"/>
      <c r="AW338" s="30"/>
      <c r="AX338" s="29"/>
      <c r="AY338" s="39"/>
      <c r="AZ338" s="30"/>
      <c r="BA338" s="30"/>
      <c r="BB338" s="29"/>
      <c r="BC338" s="52"/>
      <c r="BD338" s="30"/>
      <c r="BE338" s="29"/>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row>
    <row r="339">
      <c r="A339" s="30"/>
      <c r="B339" s="42"/>
      <c r="C339" s="43"/>
      <c r="D339" s="30"/>
      <c r="E339" s="28"/>
      <c r="F339" s="30"/>
      <c r="G339" s="30"/>
      <c r="H339" s="30"/>
      <c r="I339" s="30"/>
      <c r="J339" s="28"/>
      <c r="K339" s="30"/>
      <c r="L339" s="30"/>
      <c r="M339" s="30"/>
      <c r="N339" s="30"/>
      <c r="O339" s="28"/>
      <c r="P339" s="30"/>
      <c r="Q339" s="30"/>
      <c r="R339" s="30"/>
      <c r="S339" s="36"/>
      <c r="T339" s="30"/>
      <c r="U339" s="36"/>
      <c r="V339" s="30"/>
      <c r="W339" s="28"/>
      <c r="X339" s="30"/>
      <c r="Y339" s="30"/>
      <c r="Z339" s="30"/>
      <c r="AA339" s="30"/>
      <c r="AB339" s="30"/>
      <c r="AC339" s="28"/>
      <c r="AD339" s="30"/>
      <c r="AE339" s="30"/>
      <c r="AF339" s="30"/>
      <c r="AG339" s="29"/>
      <c r="AH339" s="30"/>
      <c r="AI339" s="36"/>
      <c r="AJ339" s="30"/>
      <c r="AK339" s="29"/>
      <c r="AL339" s="30"/>
      <c r="AM339" s="30"/>
      <c r="AN339" s="30"/>
      <c r="AO339" s="30"/>
      <c r="AP339" s="30"/>
      <c r="AQ339" s="38"/>
      <c r="AR339" s="30"/>
      <c r="AS339" s="30"/>
      <c r="AT339" s="29"/>
      <c r="AU339" s="30"/>
      <c r="AV339" s="30"/>
      <c r="AW339" s="30"/>
      <c r="AX339" s="29"/>
      <c r="AY339" s="39"/>
      <c r="AZ339" s="30"/>
      <c r="BA339" s="30"/>
      <c r="BB339" s="29"/>
      <c r="BC339" s="52"/>
      <c r="BD339" s="30"/>
      <c r="BE339" s="29"/>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row>
    <row r="340">
      <c r="A340" s="30"/>
      <c r="B340" s="42"/>
      <c r="C340" s="43"/>
      <c r="D340" s="30"/>
      <c r="E340" s="28"/>
      <c r="F340" s="30"/>
      <c r="G340" s="30"/>
      <c r="H340" s="30"/>
      <c r="I340" s="30"/>
      <c r="J340" s="28"/>
      <c r="K340" s="30"/>
      <c r="L340" s="30"/>
      <c r="M340" s="30"/>
      <c r="N340" s="30"/>
      <c r="O340" s="28"/>
      <c r="P340" s="30"/>
      <c r="Q340" s="30"/>
      <c r="R340" s="30"/>
      <c r="S340" s="36"/>
      <c r="T340" s="30"/>
      <c r="U340" s="36"/>
      <c r="V340" s="30"/>
      <c r="W340" s="28"/>
      <c r="X340" s="30"/>
      <c r="Y340" s="30"/>
      <c r="Z340" s="30"/>
      <c r="AA340" s="30"/>
      <c r="AB340" s="30"/>
      <c r="AC340" s="28"/>
      <c r="AD340" s="30"/>
      <c r="AE340" s="30"/>
      <c r="AF340" s="30"/>
      <c r="AG340" s="29"/>
      <c r="AH340" s="30"/>
      <c r="AI340" s="36"/>
      <c r="AJ340" s="30"/>
      <c r="AK340" s="29"/>
      <c r="AL340" s="30"/>
      <c r="AM340" s="30"/>
      <c r="AN340" s="30"/>
      <c r="AO340" s="30"/>
      <c r="AP340" s="30"/>
      <c r="AQ340" s="38"/>
      <c r="AR340" s="30"/>
      <c r="AS340" s="30"/>
      <c r="AT340" s="29"/>
      <c r="AU340" s="30"/>
      <c r="AV340" s="30"/>
      <c r="AW340" s="30"/>
      <c r="AX340" s="29"/>
      <c r="AY340" s="39"/>
      <c r="AZ340" s="30"/>
      <c r="BA340" s="30"/>
      <c r="BB340" s="29"/>
      <c r="BC340" s="52"/>
      <c r="BD340" s="30"/>
      <c r="BE340" s="29"/>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row>
    <row r="341">
      <c r="A341" s="30"/>
      <c r="B341" s="42"/>
      <c r="C341" s="43"/>
      <c r="D341" s="30"/>
      <c r="E341" s="28"/>
      <c r="F341" s="30"/>
      <c r="G341" s="30"/>
      <c r="H341" s="30"/>
      <c r="I341" s="30"/>
      <c r="J341" s="28"/>
      <c r="K341" s="30"/>
      <c r="L341" s="30"/>
      <c r="M341" s="30"/>
      <c r="N341" s="30"/>
      <c r="O341" s="28"/>
      <c r="P341" s="30"/>
      <c r="Q341" s="30"/>
      <c r="R341" s="30"/>
      <c r="S341" s="36"/>
      <c r="T341" s="30"/>
      <c r="U341" s="36"/>
      <c r="V341" s="30"/>
      <c r="W341" s="28"/>
      <c r="X341" s="30"/>
      <c r="Y341" s="30"/>
      <c r="Z341" s="30"/>
      <c r="AA341" s="30"/>
      <c r="AB341" s="30"/>
      <c r="AC341" s="28"/>
      <c r="AD341" s="30"/>
      <c r="AE341" s="30"/>
      <c r="AF341" s="30"/>
      <c r="AG341" s="29"/>
      <c r="AH341" s="30"/>
      <c r="AI341" s="36"/>
      <c r="AJ341" s="30"/>
      <c r="AK341" s="29"/>
      <c r="AL341" s="30"/>
      <c r="AM341" s="30"/>
      <c r="AN341" s="30"/>
      <c r="AO341" s="30"/>
      <c r="AP341" s="30"/>
      <c r="AQ341" s="38"/>
      <c r="AR341" s="30"/>
      <c r="AS341" s="30"/>
      <c r="AT341" s="29"/>
      <c r="AU341" s="30"/>
      <c r="AV341" s="30"/>
      <c r="AW341" s="30"/>
      <c r="AX341" s="29"/>
      <c r="AY341" s="39"/>
      <c r="AZ341" s="30"/>
      <c r="BA341" s="30"/>
      <c r="BB341" s="29"/>
      <c r="BC341" s="52"/>
      <c r="BD341" s="30"/>
      <c r="BE341" s="29"/>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row>
    <row r="342">
      <c r="A342" s="30"/>
      <c r="B342" s="42"/>
      <c r="C342" s="43"/>
      <c r="D342" s="30"/>
      <c r="E342" s="28"/>
      <c r="F342" s="30"/>
      <c r="G342" s="30"/>
      <c r="H342" s="30"/>
      <c r="I342" s="30"/>
      <c r="J342" s="28"/>
      <c r="K342" s="30"/>
      <c r="L342" s="30"/>
      <c r="M342" s="30"/>
      <c r="N342" s="30"/>
      <c r="O342" s="28"/>
      <c r="P342" s="30"/>
      <c r="Q342" s="30"/>
      <c r="R342" s="30"/>
      <c r="S342" s="36"/>
      <c r="T342" s="30"/>
      <c r="U342" s="36"/>
      <c r="V342" s="30"/>
      <c r="W342" s="28"/>
      <c r="X342" s="30"/>
      <c r="Y342" s="30"/>
      <c r="Z342" s="30"/>
      <c r="AA342" s="30"/>
      <c r="AB342" s="30"/>
      <c r="AC342" s="28"/>
      <c r="AD342" s="30"/>
      <c r="AE342" s="30"/>
      <c r="AF342" s="30"/>
      <c r="AG342" s="29"/>
      <c r="AH342" s="30"/>
      <c r="AI342" s="36"/>
      <c r="AJ342" s="30"/>
      <c r="AK342" s="29"/>
      <c r="AL342" s="30"/>
      <c r="AM342" s="30"/>
      <c r="AN342" s="30"/>
      <c r="AO342" s="30"/>
      <c r="AP342" s="30"/>
      <c r="AQ342" s="38"/>
      <c r="AR342" s="30"/>
      <c r="AS342" s="30"/>
      <c r="AT342" s="29"/>
      <c r="AU342" s="30"/>
      <c r="AV342" s="30"/>
      <c r="AW342" s="30"/>
      <c r="AX342" s="29"/>
      <c r="AY342" s="39"/>
      <c r="AZ342" s="30"/>
      <c r="BA342" s="30"/>
      <c r="BB342" s="29"/>
      <c r="BC342" s="52"/>
      <c r="BD342" s="30"/>
      <c r="BE342" s="29"/>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row>
    <row r="343">
      <c r="A343" s="30"/>
      <c r="B343" s="42"/>
      <c r="C343" s="43"/>
      <c r="D343" s="30"/>
      <c r="E343" s="28"/>
      <c r="F343" s="30"/>
      <c r="G343" s="30"/>
      <c r="H343" s="30"/>
      <c r="I343" s="30"/>
      <c r="J343" s="28"/>
      <c r="K343" s="30"/>
      <c r="L343" s="30"/>
      <c r="M343" s="30"/>
      <c r="N343" s="30"/>
      <c r="O343" s="28"/>
      <c r="P343" s="30"/>
      <c r="Q343" s="30"/>
      <c r="R343" s="30"/>
      <c r="S343" s="36"/>
      <c r="T343" s="30"/>
      <c r="U343" s="36"/>
      <c r="V343" s="30"/>
      <c r="W343" s="28"/>
      <c r="X343" s="30"/>
      <c r="Y343" s="30"/>
      <c r="Z343" s="30"/>
      <c r="AA343" s="30"/>
      <c r="AB343" s="30"/>
      <c r="AC343" s="28"/>
      <c r="AD343" s="30"/>
      <c r="AE343" s="30"/>
      <c r="AF343" s="30"/>
      <c r="AG343" s="29"/>
      <c r="AH343" s="30"/>
      <c r="AI343" s="36"/>
      <c r="AJ343" s="30"/>
      <c r="AK343" s="29"/>
      <c r="AL343" s="30"/>
      <c r="AM343" s="30"/>
      <c r="AN343" s="30"/>
      <c r="AO343" s="30"/>
      <c r="AP343" s="30"/>
      <c r="AQ343" s="38"/>
      <c r="AR343" s="30"/>
      <c r="AS343" s="30"/>
      <c r="AT343" s="29"/>
      <c r="AU343" s="30"/>
      <c r="AV343" s="30"/>
      <c r="AW343" s="30"/>
      <c r="AX343" s="29"/>
      <c r="AY343" s="39"/>
      <c r="AZ343" s="30"/>
      <c r="BA343" s="30"/>
      <c r="BB343" s="29"/>
      <c r="BC343" s="52"/>
      <c r="BD343" s="30"/>
      <c r="BE343" s="29"/>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row>
    <row r="344">
      <c r="A344" s="30"/>
      <c r="B344" s="42"/>
      <c r="C344" s="43"/>
      <c r="D344" s="30"/>
      <c r="E344" s="28"/>
      <c r="F344" s="30"/>
      <c r="G344" s="30"/>
      <c r="H344" s="30"/>
      <c r="I344" s="30"/>
      <c r="J344" s="28"/>
      <c r="K344" s="30"/>
      <c r="L344" s="30"/>
      <c r="M344" s="30"/>
      <c r="N344" s="30"/>
      <c r="O344" s="28"/>
      <c r="P344" s="30"/>
      <c r="Q344" s="30"/>
      <c r="R344" s="30"/>
      <c r="S344" s="36"/>
      <c r="T344" s="30"/>
      <c r="U344" s="36"/>
      <c r="V344" s="30"/>
      <c r="W344" s="28"/>
      <c r="X344" s="30"/>
      <c r="Y344" s="30"/>
      <c r="Z344" s="30"/>
      <c r="AA344" s="30"/>
      <c r="AB344" s="30"/>
      <c r="AC344" s="28"/>
      <c r="AD344" s="30"/>
      <c r="AE344" s="30"/>
      <c r="AF344" s="30"/>
      <c r="AG344" s="29"/>
      <c r="AH344" s="30"/>
      <c r="AI344" s="36"/>
      <c r="AJ344" s="30"/>
      <c r="AK344" s="29"/>
      <c r="AL344" s="30"/>
      <c r="AM344" s="30"/>
      <c r="AN344" s="30"/>
      <c r="AO344" s="30"/>
      <c r="AP344" s="30"/>
      <c r="AQ344" s="38"/>
      <c r="AR344" s="30"/>
      <c r="AS344" s="30"/>
      <c r="AT344" s="29"/>
      <c r="AU344" s="30"/>
      <c r="AV344" s="30"/>
      <c r="AW344" s="30"/>
      <c r="AX344" s="29"/>
      <c r="AY344" s="39"/>
      <c r="AZ344" s="30"/>
      <c r="BA344" s="30"/>
      <c r="BB344" s="29"/>
      <c r="BC344" s="52"/>
      <c r="BD344" s="30"/>
      <c r="BE344" s="29"/>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row>
    <row r="345">
      <c r="A345" s="30"/>
      <c r="B345" s="42"/>
      <c r="C345" s="43"/>
      <c r="D345" s="30"/>
      <c r="E345" s="28"/>
      <c r="F345" s="30"/>
      <c r="G345" s="30"/>
      <c r="H345" s="30"/>
      <c r="I345" s="30"/>
      <c r="J345" s="28"/>
      <c r="K345" s="30"/>
      <c r="L345" s="30"/>
      <c r="M345" s="30"/>
      <c r="N345" s="30"/>
      <c r="O345" s="28"/>
      <c r="P345" s="30"/>
      <c r="Q345" s="30"/>
      <c r="R345" s="30"/>
      <c r="S345" s="36"/>
      <c r="T345" s="30"/>
      <c r="U345" s="36"/>
      <c r="V345" s="30"/>
      <c r="W345" s="28"/>
      <c r="X345" s="30"/>
      <c r="Y345" s="30"/>
      <c r="Z345" s="30"/>
      <c r="AA345" s="30"/>
      <c r="AB345" s="30"/>
      <c r="AC345" s="28"/>
      <c r="AD345" s="30"/>
      <c r="AE345" s="30"/>
      <c r="AF345" s="30"/>
      <c r="AG345" s="29"/>
      <c r="AH345" s="30"/>
      <c r="AI345" s="36"/>
      <c r="AJ345" s="30"/>
      <c r="AK345" s="29"/>
      <c r="AL345" s="30"/>
      <c r="AM345" s="30"/>
      <c r="AN345" s="30"/>
      <c r="AO345" s="30"/>
      <c r="AP345" s="30"/>
      <c r="AQ345" s="38"/>
      <c r="AR345" s="30"/>
      <c r="AS345" s="30"/>
      <c r="AT345" s="29"/>
      <c r="AU345" s="30"/>
      <c r="AV345" s="30"/>
      <c r="AW345" s="30"/>
      <c r="AX345" s="29"/>
      <c r="AY345" s="39"/>
      <c r="AZ345" s="30"/>
      <c r="BA345" s="30"/>
      <c r="BB345" s="29"/>
      <c r="BC345" s="52"/>
      <c r="BD345" s="30"/>
      <c r="BE345" s="29"/>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row>
    <row r="346">
      <c r="A346" s="30"/>
      <c r="B346" s="42"/>
      <c r="C346" s="43"/>
      <c r="D346" s="30"/>
      <c r="E346" s="28"/>
      <c r="F346" s="30"/>
      <c r="G346" s="30"/>
      <c r="H346" s="30"/>
      <c r="I346" s="30"/>
      <c r="J346" s="28"/>
      <c r="K346" s="30"/>
      <c r="L346" s="30"/>
      <c r="M346" s="30"/>
      <c r="N346" s="30"/>
      <c r="O346" s="28"/>
      <c r="P346" s="30"/>
      <c r="Q346" s="30"/>
      <c r="R346" s="30"/>
      <c r="S346" s="36"/>
      <c r="T346" s="30"/>
      <c r="U346" s="36"/>
      <c r="V346" s="30"/>
      <c r="W346" s="28"/>
      <c r="X346" s="30"/>
      <c r="Y346" s="30"/>
      <c r="Z346" s="30"/>
      <c r="AA346" s="30"/>
      <c r="AB346" s="30"/>
      <c r="AC346" s="28"/>
      <c r="AD346" s="30"/>
      <c r="AE346" s="30"/>
      <c r="AF346" s="30"/>
      <c r="AG346" s="29"/>
      <c r="AH346" s="30"/>
      <c r="AI346" s="36"/>
      <c r="AJ346" s="30"/>
      <c r="AK346" s="29"/>
      <c r="AL346" s="30"/>
      <c r="AM346" s="30"/>
      <c r="AN346" s="30"/>
      <c r="AO346" s="30"/>
      <c r="AP346" s="30"/>
      <c r="AQ346" s="38"/>
      <c r="AR346" s="30"/>
      <c r="AS346" s="30"/>
      <c r="AT346" s="29"/>
      <c r="AU346" s="30"/>
      <c r="AV346" s="30"/>
      <c r="AW346" s="30"/>
      <c r="AX346" s="29"/>
      <c r="AY346" s="39"/>
      <c r="AZ346" s="30"/>
      <c r="BA346" s="30"/>
      <c r="BB346" s="29"/>
      <c r="BC346" s="52"/>
      <c r="BD346" s="30"/>
      <c r="BE346" s="29"/>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row>
    <row r="347">
      <c r="A347" s="30"/>
      <c r="B347" s="42"/>
      <c r="C347" s="43"/>
      <c r="D347" s="30"/>
      <c r="E347" s="28"/>
      <c r="F347" s="30"/>
      <c r="G347" s="30"/>
      <c r="H347" s="30"/>
      <c r="I347" s="30"/>
      <c r="J347" s="28"/>
      <c r="K347" s="30"/>
      <c r="L347" s="30"/>
      <c r="M347" s="30"/>
      <c r="N347" s="30"/>
      <c r="O347" s="28"/>
      <c r="P347" s="30"/>
      <c r="Q347" s="30"/>
      <c r="R347" s="30"/>
      <c r="S347" s="36"/>
      <c r="T347" s="30"/>
      <c r="U347" s="36"/>
      <c r="V347" s="30"/>
      <c r="W347" s="28"/>
      <c r="X347" s="30"/>
      <c r="Y347" s="30"/>
      <c r="Z347" s="30"/>
      <c r="AA347" s="30"/>
      <c r="AB347" s="30"/>
      <c r="AC347" s="28"/>
      <c r="AD347" s="30"/>
      <c r="AE347" s="30"/>
      <c r="AF347" s="30"/>
      <c r="AG347" s="29"/>
      <c r="AH347" s="30"/>
      <c r="AI347" s="36"/>
      <c r="AJ347" s="30"/>
      <c r="AK347" s="29"/>
      <c r="AL347" s="30"/>
      <c r="AM347" s="30"/>
      <c r="AN347" s="30"/>
      <c r="AO347" s="30"/>
      <c r="AP347" s="30"/>
      <c r="AQ347" s="38"/>
      <c r="AR347" s="30"/>
      <c r="AS347" s="30"/>
      <c r="AT347" s="29"/>
      <c r="AU347" s="30"/>
      <c r="AV347" s="30"/>
      <c r="AW347" s="30"/>
      <c r="AX347" s="29"/>
      <c r="AY347" s="39"/>
      <c r="AZ347" s="30"/>
      <c r="BA347" s="30"/>
      <c r="BB347" s="29"/>
      <c r="BC347" s="52"/>
      <c r="BD347" s="30"/>
      <c r="BE347" s="29"/>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row>
    <row r="348">
      <c r="A348" s="30"/>
      <c r="B348" s="42"/>
      <c r="C348" s="43"/>
      <c r="D348" s="30"/>
      <c r="E348" s="28"/>
      <c r="F348" s="30"/>
      <c r="G348" s="30"/>
      <c r="H348" s="30"/>
      <c r="I348" s="30"/>
      <c r="J348" s="28"/>
      <c r="K348" s="30"/>
      <c r="L348" s="30"/>
      <c r="M348" s="30"/>
      <c r="N348" s="30"/>
      <c r="O348" s="28"/>
      <c r="P348" s="30"/>
      <c r="Q348" s="30"/>
      <c r="R348" s="30"/>
      <c r="S348" s="36"/>
      <c r="T348" s="30"/>
      <c r="U348" s="36"/>
      <c r="V348" s="30"/>
      <c r="W348" s="28"/>
      <c r="X348" s="30"/>
      <c r="Y348" s="30"/>
      <c r="Z348" s="30"/>
      <c r="AA348" s="30"/>
      <c r="AB348" s="30"/>
      <c r="AC348" s="28"/>
      <c r="AD348" s="30"/>
      <c r="AE348" s="30"/>
      <c r="AF348" s="30"/>
      <c r="AG348" s="29"/>
      <c r="AH348" s="30"/>
      <c r="AI348" s="36"/>
      <c r="AJ348" s="30"/>
      <c r="AK348" s="29"/>
      <c r="AL348" s="30"/>
      <c r="AM348" s="30"/>
      <c r="AN348" s="30"/>
      <c r="AO348" s="30"/>
      <c r="AP348" s="30"/>
      <c r="AQ348" s="38"/>
      <c r="AR348" s="30"/>
      <c r="AS348" s="30"/>
      <c r="AT348" s="29"/>
      <c r="AU348" s="30"/>
      <c r="AV348" s="30"/>
      <c r="AW348" s="30"/>
      <c r="AX348" s="29"/>
      <c r="AY348" s="39"/>
      <c r="AZ348" s="30"/>
      <c r="BA348" s="30"/>
      <c r="BB348" s="29"/>
      <c r="BC348" s="52"/>
      <c r="BD348" s="30"/>
      <c r="BE348" s="29"/>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row>
    <row r="349">
      <c r="A349" s="30"/>
      <c r="B349" s="42"/>
      <c r="C349" s="43"/>
      <c r="D349" s="30"/>
      <c r="E349" s="28"/>
      <c r="F349" s="30"/>
      <c r="G349" s="30"/>
      <c r="H349" s="30"/>
      <c r="I349" s="30"/>
      <c r="J349" s="28"/>
      <c r="K349" s="30"/>
      <c r="L349" s="30"/>
      <c r="M349" s="30"/>
      <c r="N349" s="30"/>
      <c r="O349" s="28"/>
      <c r="P349" s="30"/>
      <c r="Q349" s="30"/>
      <c r="R349" s="30"/>
      <c r="S349" s="36"/>
      <c r="T349" s="30"/>
      <c r="U349" s="36"/>
      <c r="V349" s="30"/>
      <c r="W349" s="28"/>
      <c r="X349" s="30"/>
      <c r="Y349" s="30"/>
      <c r="Z349" s="30"/>
      <c r="AA349" s="30"/>
      <c r="AB349" s="30"/>
      <c r="AC349" s="28"/>
      <c r="AD349" s="30"/>
      <c r="AE349" s="30"/>
      <c r="AF349" s="30"/>
      <c r="AG349" s="29"/>
      <c r="AH349" s="30"/>
      <c r="AI349" s="36"/>
      <c r="AJ349" s="30"/>
      <c r="AK349" s="29"/>
      <c r="AL349" s="30"/>
      <c r="AM349" s="30"/>
      <c r="AN349" s="30"/>
      <c r="AO349" s="30"/>
      <c r="AP349" s="30"/>
      <c r="AQ349" s="38"/>
      <c r="AR349" s="30"/>
      <c r="AS349" s="30"/>
      <c r="AT349" s="29"/>
      <c r="AU349" s="30"/>
      <c r="AV349" s="30"/>
      <c r="AW349" s="30"/>
      <c r="AX349" s="29"/>
      <c r="AY349" s="39"/>
      <c r="AZ349" s="30"/>
      <c r="BA349" s="30"/>
      <c r="BB349" s="29"/>
      <c r="BC349" s="52"/>
      <c r="BD349" s="30"/>
      <c r="BE349" s="29"/>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row>
    <row r="350">
      <c r="A350" s="30"/>
      <c r="B350" s="42"/>
      <c r="C350" s="43"/>
      <c r="D350" s="30"/>
      <c r="E350" s="28"/>
      <c r="F350" s="30"/>
      <c r="G350" s="30"/>
      <c r="H350" s="30"/>
      <c r="I350" s="30"/>
      <c r="J350" s="28"/>
      <c r="K350" s="30"/>
      <c r="L350" s="30"/>
      <c r="M350" s="30"/>
      <c r="N350" s="30"/>
      <c r="O350" s="28"/>
      <c r="P350" s="30"/>
      <c r="Q350" s="30"/>
      <c r="R350" s="30"/>
      <c r="S350" s="36"/>
      <c r="T350" s="30"/>
      <c r="U350" s="36"/>
      <c r="V350" s="30"/>
      <c r="W350" s="28"/>
      <c r="X350" s="30"/>
      <c r="Y350" s="30"/>
      <c r="Z350" s="30"/>
      <c r="AA350" s="30"/>
      <c r="AB350" s="30"/>
      <c r="AC350" s="28"/>
      <c r="AD350" s="30"/>
      <c r="AE350" s="30"/>
      <c r="AF350" s="30"/>
      <c r="AG350" s="29"/>
      <c r="AH350" s="30"/>
      <c r="AI350" s="36"/>
      <c r="AJ350" s="30"/>
      <c r="AK350" s="29"/>
      <c r="AL350" s="30"/>
      <c r="AM350" s="30"/>
      <c r="AN350" s="30"/>
      <c r="AO350" s="30"/>
      <c r="AP350" s="30"/>
      <c r="AQ350" s="38"/>
      <c r="AR350" s="30"/>
      <c r="AS350" s="30"/>
      <c r="AT350" s="29"/>
      <c r="AU350" s="30"/>
      <c r="AV350" s="30"/>
      <c r="AW350" s="30"/>
      <c r="AX350" s="29"/>
      <c r="AY350" s="39"/>
      <c r="AZ350" s="30"/>
      <c r="BA350" s="30"/>
      <c r="BB350" s="29"/>
      <c r="BC350" s="52"/>
      <c r="BD350" s="30"/>
      <c r="BE350" s="29"/>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row>
    <row r="351">
      <c r="A351" s="30"/>
      <c r="B351" s="42"/>
      <c r="C351" s="43"/>
      <c r="D351" s="30"/>
      <c r="E351" s="28"/>
      <c r="F351" s="30"/>
      <c r="G351" s="30"/>
      <c r="H351" s="30"/>
      <c r="I351" s="30"/>
      <c r="J351" s="28"/>
      <c r="K351" s="30"/>
      <c r="L351" s="30"/>
      <c r="M351" s="30"/>
      <c r="N351" s="30"/>
      <c r="O351" s="28"/>
      <c r="P351" s="30"/>
      <c r="Q351" s="30"/>
      <c r="R351" s="30"/>
      <c r="S351" s="36"/>
      <c r="T351" s="30"/>
      <c r="U351" s="36"/>
      <c r="V351" s="30"/>
      <c r="W351" s="28"/>
      <c r="X351" s="30"/>
      <c r="Y351" s="30"/>
      <c r="Z351" s="30"/>
      <c r="AA351" s="30"/>
      <c r="AB351" s="30"/>
      <c r="AC351" s="28"/>
      <c r="AD351" s="30"/>
      <c r="AE351" s="30"/>
      <c r="AF351" s="30"/>
      <c r="AG351" s="29"/>
      <c r="AH351" s="30"/>
      <c r="AI351" s="36"/>
      <c r="AJ351" s="30"/>
      <c r="AK351" s="29"/>
      <c r="AL351" s="30"/>
      <c r="AM351" s="30"/>
      <c r="AN351" s="30"/>
      <c r="AO351" s="30"/>
      <c r="AP351" s="30"/>
      <c r="AQ351" s="38"/>
      <c r="AR351" s="30"/>
      <c r="AS351" s="30"/>
      <c r="AT351" s="29"/>
      <c r="AU351" s="30"/>
      <c r="AV351" s="30"/>
      <c r="AW351" s="30"/>
      <c r="AX351" s="29"/>
      <c r="AY351" s="39"/>
      <c r="AZ351" s="30"/>
      <c r="BA351" s="30"/>
      <c r="BB351" s="29"/>
      <c r="BC351" s="52"/>
      <c r="BD351" s="30"/>
      <c r="BE351" s="29"/>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row>
    <row r="352">
      <c r="A352" s="30"/>
      <c r="B352" s="42"/>
      <c r="C352" s="43"/>
      <c r="D352" s="30"/>
      <c r="E352" s="28"/>
      <c r="F352" s="30"/>
      <c r="G352" s="30"/>
      <c r="H352" s="30"/>
      <c r="I352" s="30"/>
      <c r="J352" s="28"/>
      <c r="K352" s="30"/>
      <c r="L352" s="30"/>
      <c r="M352" s="30"/>
      <c r="N352" s="30"/>
      <c r="O352" s="28"/>
      <c r="P352" s="30"/>
      <c r="Q352" s="30"/>
      <c r="R352" s="30"/>
      <c r="S352" s="36"/>
      <c r="T352" s="30"/>
      <c r="U352" s="36"/>
      <c r="V352" s="30"/>
      <c r="W352" s="28"/>
      <c r="X352" s="30"/>
      <c r="Y352" s="30"/>
      <c r="Z352" s="30"/>
      <c r="AA352" s="30"/>
      <c r="AB352" s="30"/>
      <c r="AC352" s="28"/>
      <c r="AD352" s="30"/>
      <c r="AE352" s="30"/>
      <c r="AF352" s="30"/>
      <c r="AG352" s="29"/>
      <c r="AH352" s="30"/>
      <c r="AI352" s="36"/>
      <c r="AJ352" s="30"/>
      <c r="AK352" s="29"/>
      <c r="AL352" s="30"/>
      <c r="AM352" s="30"/>
      <c r="AN352" s="30"/>
      <c r="AO352" s="30"/>
      <c r="AP352" s="30"/>
      <c r="AQ352" s="38"/>
      <c r="AR352" s="30"/>
      <c r="AS352" s="30"/>
      <c r="AT352" s="29"/>
      <c r="AU352" s="30"/>
      <c r="AV352" s="30"/>
      <c r="AW352" s="30"/>
      <c r="AX352" s="29"/>
      <c r="AY352" s="39"/>
      <c r="AZ352" s="30"/>
      <c r="BA352" s="30"/>
      <c r="BB352" s="29"/>
      <c r="BC352" s="52"/>
      <c r="BD352" s="30"/>
      <c r="BE352" s="29"/>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row>
    <row r="353">
      <c r="A353" s="30"/>
      <c r="B353" s="42"/>
      <c r="C353" s="43"/>
      <c r="D353" s="30"/>
      <c r="E353" s="28"/>
      <c r="F353" s="30"/>
      <c r="G353" s="30"/>
      <c r="H353" s="30"/>
      <c r="I353" s="30"/>
      <c r="J353" s="28"/>
      <c r="K353" s="30"/>
      <c r="L353" s="30"/>
      <c r="M353" s="30"/>
      <c r="N353" s="30"/>
      <c r="O353" s="28"/>
      <c r="P353" s="30"/>
      <c r="Q353" s="30"/>
      <c r="R353" s="30"/>
      <c r="S353" s="36"/>
      <c r="T353" s="30"/>
      <c r="U353" s="36"/>
      <c r="V353" s="30"/>
      <c r="W353" s="28"/>
      <c r="X353" s="30"/>
      <c r="Y353" s="30"/>
      <c r="Z353" s="30"/>
      <c r="AA353" s="30"/>
      <c r="AB353" s="30"/>
      <c r="AC353" s="28"/>
      <c r="AD353" s="30"/>
      <c r="AE353" s="30"/>
      <c r="AF353" s="30"/>
      <c r="AG353" s="29"/>
      <c r="AH353" s="30"/>
      <c r="AI353" s="36"/>
      <c r="AJ353" s="30"/>
      <c r="AK353" s="29"/>
      <c r="AL353" s="30"/>
      <c r="AM353" s="30"/>
      <c r="AN353" s="30"/>
      <c r="AO353" s="30"/>
      <c r="AP353" s="30"/>
      <c r="AQ353" s="38"/>
      <c r="AR353" s="30"/>
      <c r="AS353" s="30"/>
      <c r="AT353" s="29"/>
      <c r="AU353" s="30"/>
      <c r="AV353" s="30"/>
      <c r="AW353" s="30"/>
      <c r="AX353" s="29"/>
      <c r="AY353" s="39"/>
      <c r="AZ353" s="30"/>
      <c r="BA353" s="30"/>
      <c r="BB353" s="29"/>
      <c r="BC353" s="52"/>
      <c r="BD353" s="30"/>
      <c r="BE353" s="29"/>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row>
    <row r="354">
      <c r="A354" s="30"/>
      <c r="B354" s="42"/>
      <c r="C354" s="43"/>
      <c r="D354" s="30"/>
      <c r="E354" s="28"/>
      <c r="F354" s="30"/>
      <c r="G354" s="30"/>
      <c r="H354" s="30"/>
      <c r="I354" s="30"/>
      <c r="J354" s="28"/>
      <c r="K354" s="30"/>
      <c r="L354" s="30"/>
      <c r="M354" s="30"/>
      <c r="N354" s="30"/>
      <c r="O354" s="28"/>
      <c r="P354" s="30"/>
      <c r="Q354" s="30"/>
      <c r="R354" s="30"/>
      <c r="S354" s="36"/>
      <c r="T354" s="30"/>
      <c r="U354" s="36"/>
      <c r="V354" s="30"/>
      <c r="W354" s="28"/>
      <c r="X354" s="30"/>
      <c r="Y354" s="30"/>
      <c r="Z354" s="30"/>
      <c r="AA354" s="30"/>
      <c r="AB354" s="30"/>
      <c r="AC354" s="28"/>
      <c r="AD354" s="30"/>
      <c r="AE354" s="30"/>
      <c r="AF354" s="30"/>
      <c r="AG354" s="29"/>
      <c r="AH354" s="30"/>
      <c r="AI354" s="36"/>
      <c r="AJ354" s="30"/>
      <c r="AK354" s="29"/>
      <c r="AL354" s="30"/>
      <c r="AM354" s="30"/>
      <c r="AN354" s="30"/>
      <c r="AO354" s="30"/>
      <c r="AP354" s="30"/>
      <c r="AQ354" s="38"/>
      <c r="AR354" s="30"/>
      <c r="AS354" s="30"/>
      <c r="AT354" s="29"/>
      <c r="AU354" s="30"/>
      <c r="AV354" s="30"/>
      <c r="AW354" s="30"/>
      <c r="AX354" s="29"/>
      <c r="AY354" s="39"/>
      <c r="AZ354" s="30"/>
      <c r="BA354" s="30"/>
      <c r="BB354" s="29"/>
      <c r="BC354" s="52"/>
      <c r="BD354" s="30"/>
      <c r="BE354" s="29"/>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row>
    <row r="355">
      <c r="A355" s="30"/>
      <c r="B355" s="42"/>
      <c r="C355" s="43"/>
      <c r="D355" s="30"/>
      <c r="E355" s="28"/>
      <c r="F355" s="30"/>
      <c r="G355" s="30"/>
      <c r="H355" s="30"/>
      <c r="I355" s="30"/>
      <c r="J355" s="28"/>
      <c r="K355" s="30"/>
      <c r="L355" s="30"/>
      <c r="M355" s="30"/>
      <c r="N355" s="30"/>
      <c r="O355" s="28"/>
      <c r="P355" s="30"/>
      <c r="Q355" s="30"/>
      <c r="R355" s="30"/>
      <c r="S355" s="36"/>
      <c r="T355" s="30"/>
      <c r="U355" s="36"/>
      <c r="V355" s="30"/>
      <c r="W355" s="28"/>
      <c r="X355" s="30"/>
      <c r="Y355" s="30"/>
      <c r="Z355" s="30"/>
      <c r="AA355" s="30"/>
      <c r="AB355" s="30"/>
      <c r="AC355" s="28"/>
      <c r="AD355" s="30"/>
      <c r="AE355" s="30"/>
      <c r="AF355" s="30"/>
      <c r="AG355" s="29"/>
      <c r="AH355" s="30"/>
      <c r="AI355" s="36"/>
      <c r="AJ355" s="30"/>
      <c r="AK355" s="29"/>
      <c r="AL355" s="30"/>
      <c r="AM355" s="30"/>
      <c r="AN355" s="30"/>
      <c r="AO355" s="30"/>
      <c r="AP355" s="30"/>
      <c r="AQ355" s="38"/>
      <c r="AR355" s="30"/>
      <c r="AS355" s="30"/>
      <c r="AT355" s="29"/>
      <c r="AU355" s="30"/>
      <c r="AV355" s="30"/>
      <c r="AW355" s="30"/>
      <c r="AX355" s="29"/>
      <c r="AY355" s="39"/>
      <c r="AZ355" s="30"/>
      <c r="BA355" s="30"/>
      <c r="BB355" s="29"/>
      <c r="BC355" s="52"/>
      <c r="BD355" s="30"/>
      <c r="BE355" s="29"/>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row>
    <row r="356">
      <c r="A356" s="30"/>
      <c r="B356" s="42"/>
      <c r="C356" s="43"/>
      <c r="D356" s="30"/>
      <c r="E356" s="28"/>
      <c r="F356" s="30"/>
      <c r="G356" s="30"/>
      <c r="H356" s="30"/>
      <c r="I356" s="30"/>
      <c r="J356" s="28"/>
      <c r="K356" s="30"/>
      <c r="L356" s="30"/>
      <c r="M356" s="30"/>
      <c r="N356" s="30"/>
      <c r="O356" s="28"/>
      <c r="P356" s="30"/>
      <c r="Q356" s="30"/>
      <c r="R356" s="30"/>
      <c r="S356" s="36"/>
      <c r="T356" s="30"/>
      <c r="U356" s="36"/>
      <c r="V356" s="30"/>
      <c r="W356" s="28"/>
      <c r="X356" s="30"/>
      <c r="Y356" s="30"/>
      <c r="Z356" s="30"/>
      <c r="AA356" s="30"/>
      <c r="AB356" s="30"/>
      <c r="AC356" s="28"/>
      <c r="AD356" s="30"/>
      <c r="AE356" s="30"/>
      <c r="AF356" s="30"/>
      <c r="AG356" s="29"/>
      <c r="AH356" s="30"/>
      <c r="AI356" s="36"/>
      <c r="AJ356" s="30"/>
      <c r="AK356" s="29"/>
      <c r="AL356" s="30"/>
      <c r="AM356" s="30"/>
      <c r="AN356" s="30"/>
      <c r="AO356" s="30"/>
      <c r="AP356" s="30"/>
      <c r="AQ356" s="38"/>
      <c r="AR356" s="30"/>
      <c r="AS356" s="30"/>
      <c r="AT356" s="29"/>
      <c r="AU356" s="30"/>
      <c r="AV356" s="30"/>
      <c r="AW356" s="30"/>
      <c r="AX356" s="29"/>
      <c r="AY356" s="39"/>
      <c r="AZ356" s="30"/>
      <c r="BA356" s="30"/>
      <c r="BB356" s="29"/>
      <c r="BC356" s="52"/>
      <c r="BD356" s="30"/>
      <c r="BE356" s="29"/>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row>
    <row r="357">
      <c r="A357" s="30"/>
      <c r="B357" s="42"/>
      <c r="C357" s="43"/>
      <c r="D357" s="30"/>
      <c r="E357" s="28"/>
      <c r="F357" s="30"/>
      <c r="G357" s="30"/>
      <c r="H357" s="30"/>
      <c r="I357" s="30"/>
      <c r="J357" s="28"/>
      <c r="K357" s="30"/>
      <c r="L357" s="30"/>
      <c r="M357" s="30"/>
      <c r="N357" s="30"/>
      <c r="O357" s="28"/>
      <c r="P357" s="30"/>
      <c r="Q357" s="30"/>
      <c r="R357" s="30"/>
      <c r="S357" s="36"/>
      <c r="T357" s="30"/>
      <c r="U357" s="36"/>
      <c r="V357" s="30"/>
      <c r="W357" s="28"/>
      <c r="X357" s="30"/>
      <c r="Y357" s="30"/>
      <c r="Z357" s="30"/>
      <c r="AA357" s="30"/>
      <c r="AB357" s="30"/>
      <c r="AC357" s="28"/>
      <c r="AD357" s="30"/>
      <c r="AE357" s="30"/>
      <c r="AF357" s="30"/>
      <c r="AG357" s="29"/>
      <c r="AH357" s="30"/>
      <c r="AI357" s="36"/>
      <c r="AJ357" s="30"/>
      <c r="AK357" s="29"/>
      <c r="AL357" s="30"/>
      <c r="AM357" s="30"/>
      <c r="AN357" s="30"/>
      <c r="AO357" s="30"/>
      <c r="AP357" s="30"/>
      <c r="AQ357" s="38"/>
      <c r="AR357" s="30"/>
      <c r="AS357" s="30"/>
      <c r="AT357" s="29"/>
      <c r="AU357" s="30"/>
      <c r="AV357" s="30"/>
      <c r="AW357" s="30"/>
      <c r="AX357" s="29"/>
      <c r="AY357" s="39"/>
      <c r="AZ357" s="30"/>
      <c r="BA357" s="30"/>
      <c r="BB357" s="29"/>
      <c r="BC357" s="52"/>
      <c r="BD357" s="30"/>
      <c r="BE357" s="29"/>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row>
    <row r="358">
      <c r="A358" s="30"/>
      <c r="B358" s="42"/>
      <c r="C358" s="43"/>
      <c r="D358" s="30"/>
      <c r="E358" s="28"/>
      <c r="F358" s="30"/>
      <c r="G358" s="30"/>
      <c r="H358" s="30"/>
      <c r="I358" s="30"/>
      <c r="J358" s="28"/>
      <c r="K358" s="30"/>
      <c r="L358" s="30"/>
      <c r="M358" s="30"/>
      <c r="N358" s="30"/>
      <c r="O358" s="28"/>
      <c r="P358" s="30"/>
      <c r="Q358" s="30"/>
      <c r="R358" s="30"/>
      <c r="S358" s="36"/>
      <c r="T358" s="30"/>
      <c r="U358" s="36"/>
      <c r="V358" s="30"/>
      <c r="W358" s="28"/>
      <c r="X358" s="30"/>
      <c r="Y358" s="30"/>
      <c r="Z358" s="30"/>
      <c r="AA358" s="30"/>
      <c r="AB358" s="30"/>
      <c r="AC358" s="28"/>
      <c r="AD358" s="30"/>
      <c r="AE358" s="30"/>
      <c r="AF358" s="30"/>
      <c r="AG358" s="29"/>
      <c r="AH358" s="30"/>
      <c r="AI358" s="36"/>
      <c r="AJ358" s="30"/>
      <c r="AK358" s="29"/>
      <c r="AL358" s="30"/>
      <c r="AM358" s="30"/>
      <c r="AN358" s="30"/>
      <c r="AO358" s="30"/>
      <c r="AP358" s="30"/>
      <c r="AQ358" s="38"/>
      <c r="AR358" s="30"/>
      <c r="AS358" s="30"/>
      <c r="AT358" s="29"/>
      <c r="AU358" s="30"/>
      <c r="AV358" s="30"/>
      <c r="AW358" s="30"/>
      <c r="AX358" s="29"/>
      <c r="AY358" s="39"/>
      <c r="AZ358" s="30"/>
      <c r="BA358" s="30"/>
      <c r="BB358" s="29"/>
      <c r="BC358" s="52"/>
      <c r="BD358" s="30"/>
      <c r="BE358" s="29"/>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row>
    <row r="359">
      <c r="A359" s="30"/>
      <c r="B359" s="42"/>
      <c r="C359" s="43"/>
      <c r="D359" s="30"/>
      <c r="E359" s="28"/>
      <c r="F359" s="30"/>
      <c r="G359" s="30"/>
      <c r="H359" s="30"/>
      <c r="I359" s="30"/>
      <c r="J359" s="28"/>
      <c r="K359" s="30"/>
      <c r="L359" s="30"/>
      <c r="M359" s="30"/>
      <c r="N359" s="30"/>
      <c r="O359" s="28"/>
      <c r="P359" s="30"/>
      <c r="Q359" s="30"/>
      <c r="R359" s="30"/>
      <c r="S359" s="36"/>
      <c r="T359" s="30"/>
      <c r="U359" s="36"/>
      <c r="V359" s="30"/>
      <c r="W359" s="28"/>
      <c r="X359" s="30"/>
      <c r="Y359" s="30"/>
      <c r="Z359" s="30"/>
      <c r="AA359" s="30"/>
      <c r="AB359" s="30"/>
      <c r="AC359" s="28"/>
      <c r="AD359" s="30"/>
      <c r="AE359" s="30"/>
      <c r="AF359" s="30"/>
      <c r="AG359" s="29"/>
      <c r="AH359" s="30"/>
      <c r="AI359" s="36"/>
      <c r="AJ359" s="30"/>
      <c r="AK359" s="29"/>
      <c r="AL359" s="30"/>
      <c r="AM359" s="30"/>
      <c r="AN359" s="30"/>
      <c r="AO359" s="30"/>
      <c r="AP359" s="30"/>
      <c r="AQ359" s="38"/>
      <c r="AR359" s="30"/>
      <c r="AS359" s="30"/>
      <c r="AT359" s="29"/>
      <c r="AU359" s="30"/>
      <c r="AV359" s="30"/>
      <c r="AW359" s="30"/>
      <c r="AX359" s="29"/>
      <c r="AY359" s="39"/>
      <c r="AZ359" s="30"/>
      <c r="BA359" s="30"/>
      <c r="BB359" s="29"/>
      <c r="BC359" s="52"/>
      <c r="BD359" s="30"/>
      <c r="BE359" s="29"/>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row>
    <row r="360">
      <c r="A360" s="30"/>
      <c r="B360" s="42"/>
      <c r="C360" s="43"/>
      <c r="D360" s="30"/>
      <c r="E360" s="28"/>
      <c r="F360" s="30"/>
      <c r="G360" s="30"/>
      <c r="H360" s="30"/>
      <c r="I360" s="30"/>
      <c r="J360" s="28"/>
      <c r="K360" s="30"/>
      <c r="L360" s="30"/>
      <c r="M360" s="30"/>
      <c r="N360" s="30"/>
      <c r="O360" s="28"/>
      <c r="P360" s="30"/>
      <c r="Q360" s="30"/>
      <c r="R360" s="30"/>
      <c r="S360" s="36"/>
      <c r="T360" s="30"/>
      <c r="U360" s="36"/>
      <c r="V360" s="30"/>
      <c r="W360" s="28"/>
      <c r="X360" s="30"/>
      <c r="Y360" s="30"/>
      <c r="Z360" s="30"/>
      <c r="AA360" s="30"/>
      <c r="AB360" s="30"/>
      <c r="AC360" s="28"/>
      <c r="AD360" s="30"/>
      <c r="AE360" s="30"/>
      <c r="AF360" s="30"/>
      <c r="AG360" s="29"/>
      <c r="AH360" s="30"/>
      <c r="AI360" s="36"/>
      <c r="AJ360" s="30"/>
      <c r="AK360" s="29"/>
      <c r="AL360" s="30"/>
      <c r="AM360" s="30"/>
      <c r="AN360" s="30"/>
      <c r="AO360" s="30"/>
      <c r="AP360" s="30"/>
      <c r="AQ360" s="38"/>
      <c r="AR360" s="30"/>
      <c r="AS360" s="30"/>
      <c r="AT360" s="29"/>
      <c r="AU360" s="30"/>
      <c r="AV360" s="30"/>
      <c r="AW360" s="30"/>
      <c r="AX360" s="29"/>
      <c r="AY360" s="39"/>
      <c r="AZ360" s="30"/>
      <c r="BA360" s="30"/>
      <c r="BB360" s="29"/>
      <c r="BC360" s="52"/>
      <c r="BD360" s="30"/>
      <c r="BE360" s="29"/>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row>
    <row r="361">
      <c r="A361" s="30"/>
      <c r="B361" s="42"/>
      <c r="C361" s="43"/>
      <c r="D361" s="30"/>
      <c r="E361" s="28"/>
      <c r="F361" s="30"/>
      <c r="G361" s="30"/>
      <c r="H361" s="30"/>
      <c r="I361" s="30"/>
      <c r="J361" s="28"/>
      <c r="K361" s="30"/>
      <c r="L361" s="30"/>
      <c r="M361" s="30"/>
      <c r="N361" s="30"/>
      <c r="O361" s="28"/>
      <c r="P361" s="30"/>
      <c r="Q361" s="30"/>
      <c r="R361" s="30"/>
      <c r="S361" s="36"/>
      <c r="T361" s="30"/>
      <c r="U361" s="36"/>
      <c r="V361" s="30"/>
      <c r="W361" s="28"/>
      <c r="X361" s="30"/>
      <c r="Y361" s="30"/>
      <c r="Z361" s="30"/>
      <c r="AA361" s="30"/>
      <c r="AB361" s="30"/>
      <c r="AC361" s="28"/>
      <c r="AD361" s="30"/>
      <c r="AE361" s="30"/>
      <c r="AF361" s="30"/>
      <c r="AG361" s="29"/>
      <c r="AH361" s="30"/>
      <c r="AI361" s="36"/>
      <c r="AJ361" s="30"/>
      <c r="AK361" s="29"/>
      <c r="AL361" s="30"/>
      <c r="AM361" s="30"/>
      <c r="AN361" s="30"/>
      <c r="AO361" s="30"/>
      <c r="AP361" s="30"/>
      <c r="AQ361" s="38"/>
      <c r="AR361" s="30"/>
      <c r="AS361" s="30"/>
      <c r="AT361" s="29"/>
      <c r="AU361" s="30"/>
      <c r="AV361" s="30"/>
      <c r="AW361" s="30"/>
      <c r="AX361" s="29"/>
      <c r="AY361" s="39"/>
      <c r="AZ361" s="30"/>
      <c r="BA361" s="30"/>
      <c r="BB361" s="29"/>
      <c r="BC361" s="52"/>
      <c r="BD361" s="30"/>
      <c r="BE361" s="29"/>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row>
    <row r="362">
      <c r="A362" s="30"/>
      <c r="B362" s="42"/>
      <c r="C362" s="43"/>
      <c r="D362" s="30"/>
      <c r="E362" s="28"/>
      <c r="F362" s="30"/>
      <c r="G362" s="30"/>
      <c r="H362" s="30"/>
      <c r="I362" s="30"/>
      <c r="J362" s="28"/>
      <c r="K362" s="30"/>
      <c r="L362" s="30"/>
      <c r="M362" s="30"/>
      <c r="N362" s="30"/>
      <c r="O362" s="28"/>
      <c r="P362" s="30"/>
      <c r="Q362" s="30"/>
      <c r="R362" s="30"/>
      <c r="S362" s="36"/>
      <c r="T362" s="30"/>
      <c r="U362" s="36"/>
      <c r="V362" s="30"/>
      <c r="W362" s="28"/>
      <c r="X362" s="30"/>
      <c r="Y362" s="30"/>
      <c r="Z362" s="30"/>
      <c r="AA362" s="30"/>
      <c r="AB362" s="30"/>
      <c r="AC362" s="28"/>
      <c r="AD362" s="30"/>
      <c r="AE362" s="30"/>
      <c r="AF362" s="30"/>
      <c r="AG362" s="29"/>
      <c r="AH362" s="30"/>
      <c r="AI362" s="36"/>
      <c r="AJ362" s="30"/>
      <c r="AK362" s="29"/>
      <c r="AL362" s="30"/>
      <c r="AM362" s="30"/>
      <c r="AN362" s="30"/>
      <c r="AO362" s="30"/>
      <c r="AP362" s="30"/>
      <c r="AQ362" s="38"/>
      <c r="AR362" s="30"/>
      <c r="AS362" s="30"/>
      <c r="AT362" s="29"/>
      <c r="AU362" s="30"/>
      <c r="AV362" s="30"/>
      <c r="AW362" s="30"/>
      <c r="AX362" s="29"/>
      <c r="AY362" s="39"/>
      <c r="AZ362" s="30"/>
      <c r="BA362" s="30"/>
      <c r="BB362" s="29"/>
      <c r="BC362" s="52"/>
      <c r="BD362" s="30"/>
      <c r="BE362" s="29"/>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c r="CB362" s="30"/>
      <c r="CC362" s="30"/>
      <c r="CD362" s="30"/>
      <c r="CE362" s="30"/>
      <c r="CF362" s="30"/>
      <c r="CG362" s="30"/>
      <c r="CH362" s="30"/>
      <c r="CI362" s="30"/>
      <c r="CJ362" s="30"/>
      <c r="CK362" s="30"/>
      <c r="CL362" s="30"/>
      <c r="CM362" s="30"/>
      <c r="CN362" s="30"/>
      <c r="CO362" s="30"/>
      <c r="CP362" s="30"/>
      <c r="CQ362" s="30"/>
      <c r="CR362" s="30"/>
      <c r="CS362" s="30"/>
      <c r="CT362" s="30"/>
      <c r="CU362" s="30"/>
      <c r="CV362" s="30"/>
      <c r="CW362" s="30"/>
      <c r="CX362" s="30"/>
      <c r="CY362" s="30"/>
      <c r="CZ362" s="30"/>
      <c r="DA362" s="30"/>
      <c r="DB362" s="30"/>
      <c r="DC362" s="30"/>
      <c r="DD362" s="30"/>
      <c r="DE362" s="30"/>
      <c r="DF362" s="30"/>
      <c r="DG362" s="30"/>
      <c r="DH362" s="30"/>
      <c r="DI362" s="30"/>
      <c r="DJ362" s="30"/>
      <c r="DK362" s="30"/>
      <c r="DL362" s="30"/>
      <c r="DM362" s="30"/>
      <c r="DN362" s="30"/>
      <c r="DO362" s="30"/>
      <c r="DP362" s="30"/>
      <c r="DQ362" s="30"/>
      <c r="DR362" s="30"/>
      <c r="DS362" s="30"/>
      <c r="DT362" s="30"/>
      <c r="DU362" s="30"/>
      <c r="DV362" s="30"/>
      <c r="DW362" s="30"/>
      <c r="DX362" s="30"/>
      <c r="DY362" s="30"/>
      <c r="DZ362" s="30"/>
    </row>
    <row r="363">
      <c r="A363" s="30"/>
      <c r="B363" s="42"/>
      <c r="C363" s="43"/>
      <c r="D363" s="30"/>
      <c r="E363" s="28"/>
      <c r="F363" s="30"/>
      <c r="G363" s="30"/>
      <c r="H363" s="30"/>
      <c r="I363" s="30"/>
      <c r="J363" s="28"/>
      <c r="K363" s="30"/>
      <c r="L363" s="30"/>
      <c r="M363" s="30"/>
      <c r="N363" s="30"/>
      <c r="O363" s="28"/>
      <c r="P363" s="30"/>
      <c r="Q363" s="30"/>
      <c r="R363" s="30"/>
      <c r="S363" s="36"/>
      <c r="T363" s="30"/>
      <c r="U363" s="36"/>
      <c r="V363" s="30"/>
      <c r="W363" s="28"/>
      <c r="X363" s="30"/>
      <c r="Y363" s="30"/>
      <c r="Z363" s="30"/>
      <c r="AA363" s="30"/>
      <c r="AB363" s="30"/>
      <c r="AC363" s="28"/>
      <c r="AD363" s="30"/>
      <c r="AE363" s="30"/>
      <c r="AF363" s="30"/>
      <c r="AG363" s="29"/>
      <c r="AH363" s="30"/>
      <c r="AI363" s="36"/>
      <c r="AJ363" s="30"/>
      <c r="AK363" s="29"/>
      <c r="AL363" s="30"/>
      <c r="AM363" s="30"/>
      <c r="AN363" s="30"/>
      <c r="AO363" s="30"/>
      <c r="AP363" s="30"/>
      <c r="AQ363" s="38"/>
      <c r="AR363" s="30"/>
      <c r="AS363" s="30"/>
      <c r="AT363" s="29"/>
      <c r="AU363" s="30"/>
      <c r="AV363" s="30"/>
      <c r="AW363" s="30"/>
      <c r="AX363" s="29"/>
      <c r="AY363" s="39"/>
      <c r="AZ363" s="30"/>
      <c r="BA363" s="30"/>
      <c r="BB363" s="29"/>
      <c r="BC363" s="52"/>
      <c r="BD363" s="30"/>
      <c r="BE363" s="29"/>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row>
    <row r="364">
      <c r="A364" s="30"/>
      <c r="B364" s="42"/>
      <c r="C364" s="43"/>
      <c r="D364" s="30"/>
      <c r="E364" s="28"/>
      <c r="F364" s="30"/>
      <c r="G364" s="30"/>
      <c r="H364" s="30"/>
      <c r="I364" s="30"/>
      <c r="J364" s="28"/>
      <c r="K364" s="30"/>
      <c r="L364" s="30"/>
      <c r="M364" s="30"/>
      <c r="N364" s="30"/>
      <c r="O364" s="28"/>
      <c r="P364" s="30"/>
      <c r="Q364" s="30"/>
      <c r="R364" s="30"/>
      <c r="S364" s="36"/>
      <c r="T364" s="30"/>
      <c r="U364" s="36"/>
      <c r="V364" s="30"/>
      <c r="W364" s="28"/>
      <c r="X364" s="30"/>
      <c r="Y364" s="30"/>
      <c r="Z364" s="30"/>
      <c r="AA364" s="30"/>
      <c r="AB364" s="30"/>
      <c r="AC364" s="28"/>
      <c r="AD364" s="30"/>
      <c r="AE364" s="30"/>
      <c r="AF364" s="30"/>
      <c r="AG364" s="29"/>
      <c r="AH364" s="30"/>
      <c r="AI364" s="36"/>
      <c r="AJ364" s="30"/>
      <c r="AK364" s="29"/>
      <c r="AL364" s="30"/>
      <c r="AM364" s="30"/>
      <c r="AN364" s="30"/>
      <c r="AO364" s="30"/>
      <c r="AP364" s="30"/>
      <c r="AQ364" s="38"/>
      <c r="AR364" s="30"/>
      <c r="AS364" s="30"/>
      <c r="AT364" s="29"/>
      <c r="AU364" s="30"/>
      <c r="AV364" s="30"/>
      <c r="AW364" s="30"/>
      <c r="AX364" s="29"/>
      <c r="AY364" s="39"/>
      <c r="AZ364" s="30"/>
      <c r="BA364" s="30"/>
      <c r="BB364" s="29"/>
      <c r="BC364" s="52"/>
      <c r="BD364" s="30"/>
      <c r="BE364" s="29"/>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row>
    <row r="365">
      <c r="A365" s="30"/>
      <c r="B365" s="42"/>
      <c r="C365" s="43"/>
      <c r="D365" s="30"/>
      <c r="E365" s="28"/>
      <c r="F365" s="30"/>
      <c r="G365" s="30"/>
      <c r="H365" s="30"/>
      <c r="I365" s="30"/>
      <c r="J365" s="28"/>
      <c r="K365" s="30"/>
      <c r="L365" s="30"/>
      <c r="M365" s="30"/>
      <c r="N365" s="30"/>
      <c r="O365" s="28"/>
      <c r="P365" s="30"/>
      <c r="Q365" s="30"/>
      <c r="R365" s="30"/>
      <c r="S365" s="36"/>
      <c r="T365" s="30"/>
      <c r="U365" s="36"/>
      <c r="V365" s="30"/>
      <c r="W365" s="28"/>
      <c r="X365" s="30"/>
      <c r="Y365" s="30"/>
      <c r="Z365" s="30"/>
      <c r="AA365" s="30"/>
      <c r="AB365" s="30"/>
      <c r="AC365" s="28"/>
      <c r="AD365" s="30"/>
      <c r="AE365" s="30"/>
      <c r="AF365" s="30"/>
      <c r="AG365" s="29"/>
      <c r="AH365" s="30"/>
      <c r="AI365" s="36"/>
      <c r="AJ365" s="30"/>
      <c r="AK365" s="29"/>
      <c r="AL365" s="30"/>
      <c r="AM365" s="30"/>
      <c r="AN365" s="30"/>
      <c r="AO365" s="30"/>
      <c r="AP365" s="30"/>
      <c r="AQ365" s="38"/>
      <c r="AR365" s="30"/>
      <c r="AS365" s="30"/>
      <c r="AT365" s="29"/>
      <c r="AU365" s="30"/>
      <c r="AV365" s="30"/>
      <c r="AW365" s="30"/>
      <c r="AX365" s="29"/>
      <c r="AY365" s="39"/>
      <c r="AZ365" s="30"/>
      <c r="BA365" s="30"/>
      <c r="BB365" s="29"/>
      <c r="BC365" s="52"/>
      <c r="BD365" s="30"/>
      <c r="BE365" s="29"/>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row>
    <row r="366">
      <c r="A366" s="30"/>
      <c r="B366" s="42"/>
      <c r="C366" s="43"/>
      <c r="D366" s="30"/>
      <c r="E366" s="28"/>
      <c r="F366" s="30"/>
      <c r="G366" s="30"/>
      <c r="H366" s="30"/>
      <c r="I366" s="30"/>
      <c r="J366" s="28"/>
      <c r="K366" s="30"/>
      <c r="L366" s="30"/>
      <c r="M366" s="30"/>
      <c r="N366" s="30"/>
      <c r="O366" s="28"/>
      <c r="P366" s="30"/>
      <c r="Q366" s="30"/>
      <c r="R366" s="30"/>
      <c r="S366" s="36"/>
      <c r="T366" s="30"/>
      <c r="U366" s="36"/>
      <c r="V366" s="30"/>
      <c r="W366" s="28"/>
      <c r="X366" s="30"/>
      <c r="Y366" s="30"/>
      <c r="Z366" s="30"/>
      <c r="AA366" s="30"/>
      <c r="AB366" s="30"/>
      <c r="AC366" s="28"/>
      <c r="AD366" s="30"/>
      <c r="AE366" s="30"/>
      <c r="AF366" s="30"/>
      <c r="AG366" s="29"/>
      <c r="AH366" s="30"/>
      <c r="AI366" s="36"/>
      <c r="AJ366" s="30"/>
      <c r="AK366" s="29"/>
      <c r="AL366" s="30"/>
      <c r="AM366" s="30"/>
      <c r="AN366" s="30"/>
      <c r="AO366" s="30"/>
      <c r="AP366" s="30"/>
      <c r="AQ366" s="38"/>
      <c r="AR366" s="30"/>
      <c r="AS366" s="30"/>
      <c r="AT366" s="29"/>
      <c r="AU366" s="30"/>
      <c r="AV366" s="30"/>
      <c r="AW366" s="30"/>
      <c r="AX366" s="29"/>
      <c r="AY366" s="39"/>
      <c r="AZ366" s="30"/>
      <c r="BA366" s="30"/>
      <c r="BB366" s="29"/>
      <c r="BC366" s="52"/>
      <c r="BD366" s="30"/>
      <c r="BE366" s="29"/>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row>
    <row r="367">
      <c r="A367" s="30"/>
      <c r="B367" s="42"/>
      <c r="C367" s="43"/>
      <c r="D367" s="30"/>
      <c r="E367" s="28"/>
      <c r="F367" s="30"/>
      <c r="G367" s="30"/>
      <c r="H367" s="30"/>
      <c r="I367" s="30"/>
      <c r="J367" s="28"/>
      <c r="K367" s="30"/>
      <c r="L367" s="30"/>
      <c r="M367" s="30"/>
      <c r="N367" s="30"/>
      <c r="O367" s="28"/>
      <c r="P367" s="30"/>
      <c r="Q367" s="30"/>
      <c r="R367" s="30"/>
      <c r="S367" s="36"/>
      <c r="T367" s="30"/>
      <c r="U367" s="36"/>
      <c r="V367" s="30"/>
      <c r="W367" s="28"/>
      <c r="X367" s="30"/>
      <c r="Y367" s="30"/>
      <c r="Z367" s="30"/>
      <c r="AA367" s="30"/>
      <c r="AB367" s="30"/>
      <c r="AC367" s="28"/>
      <c r="AD367" s="30"/>
      <c r="AE367" s="30"/>
      <c r="AF367" s="30"/>
      <c r="AG367" s="29"/>
      <c r="AH367" s="30"/>
      <c r="AI367" s="36"/>
      <c r="AJ367" s="30"/>
      <c r="AK367" s="29"/>
      <c r="AL367" s="30"/>
      <c r="AM367" s="30"/>
      <c r="AN367" s="30"/>
      <c r="AO367" s="30"/>
      <c r="AP367" s="30"/>
      <c r="AQ367" s="38"/>
      <c r="AR367" s="30"/>
      <c r="AS367" s="30"/>
      <c r="AT367" s="29"/>
      <c r="AU367" s="30"/>
      <c r="AV367" s="30"/>
      <c r="AW367" s="30"/>
      <c r="AX367" s="29"/>
      <c r="AY367" s="39"/>
      <c r="AZ367" s="30"/>
      <c r="BA367" s="30"/>
      <c r="BB367" s="29"/>
      <c r="BC367" s="52"/>
      <c r="BD367" s="30"/>
      <c r="BE367" s="29"/>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row>
    <row r="368">
      <c r="A368" s="30"/>
      <c r="B368" s="42"/>
      <c r="C368" s="43"/>
      <c r="D368" s="30"/>
      <c r="E368" s="28"/>
      <c r="F368" s="30"/>
      <c r="G368" s="30"/>
      <c r="H368" s="30"/>
      <c r="I368" s="30"/>
      <c r="J368" s="28"/>
      <c r="K368" s="30"/>
      <c r="L368" s="30"/>
      <c r="M368" s="30"/>
      <c r="N368" s="30"/>
      <c r="O368" s="28"/>
      <c r="P368" s="30"/>
      <c r="Q368" s="30"/>
      <c r="R368" s="30"/>
      <c r="S368" s="36"/>
      <c r="T368" s="30"/>
      <c r="U368" s="36"/>
      <c r="V368" s="30"/>
      <c r="W368" s="28"/>
      <c r="X368" s="30"/>
      <c r="Y368" s="30"/>
      <c r="Z368" s="30"/>
      <c r="AA368" s="30"/>
      <c r="AB368" s="30"/>
      <c r="AC368" s="28"/>
      <c r="AD368" s="30"/>
      <c r="AE368" s="30"/>
      <c r="AF368" s="30"/>
      <c r="AG368" s="29"/>
      <c r="AH368" s="30"/>
      <c r="AI368" s="36"/>
      <c r="AJ368" s="30"/>
      <c r="AK368" s="29"/>
      <c r="AL368" s="30"/>
      <c r="AM368" s="30"/>
      <c r="AN368" s="30"/>
      <c r="AO368" s="30"/>
      <c r="AP368" s="30"/>
      <c r="AQ368" s="38"/>
      <c r="AR368" s="30"/>
      <c r="AS368" s="30"/>
      <c r="AT368" s="29"/>
      <c r="AU368" s="30"/>
      <c r="AV368" s="30"/>
      <c r="AW368" s="30"/>
      <c r="AX368" s="29"/>
      <c r="AY368" s="39"/>
      <c r="AZ368" s="30"/>
      <c r="BA368" s="30"/>
      <c r="BB368" s="29"/>
      <c r="BC368" s="52"/>
      <c r="BD368" s="30"/>
      <c r="BE368" s="29"/>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row>
    <row r="369">
      <c r="A369" s="30"/>
      <c r="B369" s="42"/>
      <c r="C369" s="43"/>
      <c r="D369" s="30"/>
      <c r="E369" s="28"/>
      <c r="F369" s="30"/>
      <c r="G369" s="30"/>
      <c r="H369" s="30"/>
      <c r="I369" s="30"/>
      <c r="J369" s="28"/>
      <c r="K369" s="30"/>
      <c r="L369" s="30"/>
      <c r="M369" s="30"/>
      <c r="N369" s="30"/>
      <c r="O369" s="28"/>
      <c r="P369" s="30"/>
      <c r="Q369" s="30"/>
      <c r="R369" s="30"/>
      <c r="S369" s="36"/>
      <c r="T369" s="30"/>
      <c r="U369" s="36"/>
      <c r="V369" s="30"/>
      <c r="W369" s="28"/>
      <c r="X369" s="30"/>
      <c r="Y369" s="30"/>
      <c r="Z369" s="30"/>
      <c r="AA369" s="30"/>
      <c r="AB369" s="30"/>
      <c r="AC369" s="28"/>
      <c r="AD369" s="30"/>
      <c r="AE369" s="30"/>
      <c r="AF369" s="30"/>
      <c r="AG369" s="29"/>
      <c r="AH369" s="30"/>
      <c r="AI369" s="36"/>
      <c r="AJ369" s="30"/>
      <c r="AK369" s="29"/>
      <c r="AL369" s="30"/>
      <c r="AM369" s="30"/>
      <c r="AN369" s="30"/>
      <c r="AO369" s="30"/>
      <c r="AP369" s="30"/>
      <c r="AQ369" s="38"/>
      <c r="AR369" s="30"/>
      <c r="AS369" s="30"/>
      <c r="AT369" s="29"/>
      <c r="AU369" s="30"/>
      <c r="AV369" s="30"/>
      <c r="AW369" s="30"/>
      <c r="AX369" s="29"/>
      <c r="AY369" s="39"/>
      <c r="AZ369" s="30"/>
      <c r="BA369" s="30"/>
      <c r="BB369" s="29"/>
      <c r="BC369" s="52"/>
      <c r="BD369" s="30"/>
      <c r="BE369" s="29"/>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row>
    <row r="370">
      <c r="A370" s="30"/>
      <c r="B370" s="42"/>
      <c r="C370" s="43"/>
      <c r="D370" s="30"/>
      <c r="E370" s="28"/>
      <c r="F370" s="30"/>
      <c r="G370" s="30"/>
      <c r="H370" s="30"/>
      <c r="I370" s="30"/>
      <c r="J370" s="28"/>
      <c r="K370" s="30"/>
      <c r="L370" s="30"/>
      <c r="M370" s="30"/>
      <c r="N370" s="30"/>
      <c r="O370" s="28"/>
      <c r="P370" s="30"/>
      <c r="Q370" s="30"/>
      <c r="R370" s="30"/>
      <c r="S370" s="36"/>
      <c r="T370" s="30"/>
      <c r="U370" s="36"/>
      <c r="V370" s="30"/>
      <c r="W370" s="28"/>
      <c r="X370" s="30"/>
      <c r="Y370" s="30"/>
      <c r="Z370" s="30"/>
      <c r="AA370" s="30"/>
      <c r="AB370" s="30"/>
      <c r="AC370" s="28"/>
      <c r="AD370" s="30"/>
      <c r="AE370" s="30"/>
      <c r="AF370" s="30"/>
      <c r="AG370" s="29"/>
      <c r="AH370" s="30"/>
      <c r="AI370" s="36"/>
      <c r="AJ370" s="30"/>
      <c r="AK370" s="29"/>
      <c r="AL370" s="30"/>
      <c r="AM370" s="30"/>
      <c r="AN370" s="30"/>
      <c r="AO370" s="30"/>
      <c r="AP370" s="30"/>
      <c r="AQ370" s="38"/>
      <c r="AR370" s="30"/>
      <c r="AS370" s="30"/>
      <c r="AT370" s="29"/>
      <c r="AU370" s="30"/>
      <c r="AV370" s="30"/>
      <c r="AW370" s="30"/>
      <c r="AX370" s="29"/>
      <c r="AY370" s="39"/>
      <c r="AZ370" s="30"/>
      <c r="BA370" s="30"/>
      <c r="BB370" s="29"/>
      <c r="BC370" s="52"/>
      <c r="BD370" s="30"/>
      <c r="BE370" s="29"/>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row>
    <row r="371">
      <c r="A371" s="30"/>
      <c r="B371" s="42"/>
      <c r="C371" s="43"/>
      <c r="D371" s="30"/>
      <c r="E371" s="28"/>
      <c r="F371" s="30"/>
      <c r="G371" s="30"/>
      <c r="H371" s="30"/>
      <c r="I371" s="30"/>
      <c r="J371" s="28"/>
      <c r="K371" s="30"/>
      <c r="L371" s="30"/>
      <c r="M371" s="30"/>
      <c r="N371" s="30"/>
      <c r="O371" s="28"/>
      <c r="P371" s="30"/>
      <c r="Q371" s="30"/>
      <c r="R371" s="30"/>
      <c r="S371" s="36"/>
      <c r="T371" s="30"/>
      <c r="U371" s="36"/>
      <c r="V371" s="30"/>
      <c r="W371" s="28"/>
      <c r="X371" s="30"/>
      <c r="Y371" s="30"/>
      <c r="Z371" s="30"/>
      <c r="AA371" s="30"/>
      <c r="AB371" s="30"/>
      <c r="AC371" s="28"/>
      <c r="AD371" s="30"/>
      <c r="AE371" s="30"/>
      <c r="AF371" s="30"/>
      <c r="AG371" s="29"/>
      <c r="AH371" s="30"/>
      <c r="AI371" s="36"/>
      <c r="AJ371" s="30"/>
      <c r="AK371" s="29"/>
      <c r="AL371" s="30"/>
      <c r="AM371" s="30"/>
      <c r="AN371" s="30"/>
      <c r="AO371" s="30"/>
      <c r="AP371" s="30"/>
      <c r="AQ371" s="38"/>
      <c r="AR371" s="30"/>
      <c r="AS371" s="30"/>
      <c r="AT371" s="29"/>
      <c r="AU371" s="30"/>
      <c r="AV371" s="30"/>
      <c r="AW371" s="30"/>
      <c r="AX371" s="29"/>
      <c r="AY371" s="39"/>
      <c r="AZ371" s="30"/>
      <c r="BA371" s="30"/>
      <c r="BB371" s="29"/>
      <c r="BC371" s="52"/>
      <c r="BD371" s="30"/>
      <c r="BE371" s="29"/>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row>
    <row r="372">
      <c r="A372" s="30"/>
      <c r="B372" s="42"/>
      <c r="C372" s="43"/>
      <c r="D372" s="30"/>
      <c r="E372" s="28"/>
      <c r="F372" s="30"/>
      <c r="G372" s="30"/>
      <c r="H372" s="30"/>
      <c r="I372" s="30"/>
      <c r="J372" s="28"/>
      <c r="K372" s="30"/>
      <c r="L372" s="30"/>
      <c r="M372" s="30"/>
      <c r="N372" s="30"/>
      <c r="O372" s="28"/>
      <c r="P372" s="30"/>
      <c r="Q372" s="30"/>
      <c r="R372" s="30"/>
      <c r="S372" s="36"/>
      <c r="T372" s="30"/>
      <c r="U372" s="36"/>
      <c r="V372" s="30"/>
      <c r="W372" s="28"/>
      <c r="X372" s="30"/>
      <c r="Y372" s="30"/>
      <c r="Z372" s="30"/>
      <c r="AA372" s="30"/>
      <c r="AB372" s="30"/>
      <c r="AC372" s="28"/>
      <c r="AD372" s="30"/>
      <c r="AE372" s="30"/>
      <c r="AF372" s="30"/>
      <c r="AG372" s="29"/>
      <c r="AH372" s="30"/>
      <c r="AI372" s="36"/>
      <c r="AJ372" s="30"/>
      <c r="AK372" s="29"/>
      <c r="AL372" s="30"/>
      <c r="AM372" s="30"/>
      <c r="AN372" s="30"/>
      <c r="AO372" s="30"/>
      <c r="AP372" s="30"/>
      <c r="AQ372" s="38"/>
      <c r="AR372" s="30"/>
      <c r="AS372" s="30"/>
      <c r="AT372" s="29"/>
      <c r="AU372" s="30"/>
      <c r="AV372" s="30"/>
      <c r="AW372" s="30"/>
      <c r="AX372" s="29"/>
      <c r="AY372" s="39"/>
      <c r="AZ372" s="30"/>
      <c r="BA372" s="30"/>
      <c r="BB372" s="29"/>
      <c r="BC372" s="52"/>
      <c r="BD372" s="30"/>
      <c r="BE372" s="29"/>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row>
    <row r="373">
      <c r="A373" s="30"/>
      <c r="B373" s="42"/>
      <c r="C373" s="43"/>
      <c r="D373" s="30"/>
      <c r="E373" s="28"/>
      <c r="F373" s="30"/>
      <c r="G373" s="30"/>
      <c r="H373" s="30"/>
      <c r="I373" s="30"/>
      <c r="J373" s="28"/>
      <c r="K373" s="30"/>
      <c r="L373" s="30"/>
      <c r="M373" s="30"/>
      <c r="N373" s="30"/>
      <c r="O373" s="28"/>
      <c r="P373" s="30"/>
      <c r="Q373" s="30"/>
      <c r="R373" s="30"/>
      <c r="S373" s="36"/>
      <c r="T373" s="30"/>
      <c r="U373" s="36"/>
      <c r="V373" s="30"/>
      <c r="W373" s="28"/>
      <c r="X373" s="30"/>
      <c r="Y373" s="30"/>
      <c r="Z373" s="30"/>
      <c r="AA373" s="30"/>
      <c r="AB373" s="30"/>
      <c r="AC373" s="28"/>
      <c r="AD373" s="30"/>
      <c r="AE373" s="30"/>
      <c r="AF373" s="30"/>
      <c r="AG373" s="29"/>
      <c r="AH373" s="30"/>
      <c r="AI373" s="36"/>
      <c r="AJ373" s="30"/>
      <c r="AK373" s="29"/>
      <c r="AL373" s="30"/>
      <c r="AM373" s="30"/>
      <c r="AN373" s="30"/>
      <c r="AO373" s="30"/>
      <c r="AP373" s="30"/>
      <c r="AQ373" s="38"/>
      <c r="AR373" s="30"/>
      <c r="AS373" s="30"/>
      <c r="AT373" s="29"/>
      <c r="AU373" s="30"/>
      <c r="AV373" s="30"/>
      <c r="AW373" s="30"/>
      <c r="AX373" s="29"/>
      <c r="AY373" s="39"/>
      <c r="AZ373" s="30"/>
      <c r="BA373" s="30"/>
      <c r="BB373" s="29"/>
      <c r="BC373" s="52"/>
      <c r="BD373" s="30"/>
      <c r="BE373" s="29"/>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row>
    <row r="374">
      <c r="A374" s="30"/>
      <c r="B374" s="42"/>
      <c r="C374" s="43"/>
      <c r="D374" s="30"/>
      <c r="E374" s="28"/>
      <c r="F374" s="30"/>
      <c r="G374" s="30"/>
      <c r="H374" s="30"/>
      <c r="I374" s="30"/>
      <c r="J374" s="28"/>
      <c r="K374" s="30"/>
      <c r="L374" s="30"/>
      <c r="M374" s="30"/>
      <c r="N374" s="30"/>
      <c r="O374" s="28"/>
      <c r="P374" s="30"/>
      <c r="Q374" s="30"/>
      <c r="R374" s="30"/>
      <c r="S374" s="36"/>
      <c r="T374" s="30"/>
      <c r="U374" s="36"/>
      <c r="V374" s="30"/>
      <c r="W374" s="28"/>
      <c r="X374" s="30"/>
      <c r="Y374" s="30"/>
      <c r="Z374" s="30"/>
      <c r="AA374" s="30"/>
      <c r="AB374" s="30"/>
      <c r="AC374" s="28"/>
      <c r="AD374" s="30"/>
      <c r="AE374" s="30"/>
      <c r="AF374" s="30"/>
      <c r="AG374" s="29"/>
      <c r="AH374" s="30"/>
      <c r="AI374" s="36"/>
      <c r="AJ374" s="30"/>
      <c r="AK374" s="29"/>
      <c r="AL374" s="30"/>
      <c r="AM374" s="30"/>
      <c r="AN374" s="30"/>
      <c r="AO374" s="30"/>
      <c r="AP374" s="30"/>
      <c r="AQ374" s="38"/>
      <c r="AR374" s="30"/>
      <c r="AS374" s="30"/>
      <c r="AT374" s="29"/>
      <c r="AU374" s="30"/>
      <c r="AV374" s="30"/>
      <c r="AW374" s="30"/>
      <c r="AX374" s="29"/>
      <c r="AY374" s="39"/>
      <c r="AZ374" s="30"/>
      <c r="BA374" s="30"/>
      <c r="BB374" s="29"/>
      <c r="BC374" s="52"/>
      <c r="BD374" s="30"/>
      <c r="BE374" s="29"/>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row>
    <row r="375">
      <c r="A375" s="30"/>
      <c r="B375" s="42"/>
      <c r="C375" s="43"/>
      <c r="D375" s="30"/>
      <c r="E375" s="28"/>
      <c r="F375" s="30"/>
      <c r="G375" s="30"/>
      <c r="H375" s="30"/>
      <c r="I375" s="30"/>
      <c r="J375" s="28"/>
      <c r="K375" s="30"/>
      <c r="L375" s="30"/>
      <c r="M375" s="30"/>
      <c r="N375" s="30"/>
      <c r="O375" s="28"/>
      <c r="P375" s="30"/>
      <c r="Q375" s="30"/>
      <c r="R375" s="30"/>
      <c r="S375" s="36"/>
      <c r="T375" s="30"/>
      <c r="U375" s="36"/>
      <c r="V375" s="30"/>
      <c r="W375" s="28"/>
      <c r="X375" s="30"/>
      <c r="Y375" s="30"/>
      <c r="Z375" s="30"/>
      <c r="AA375" s="30"/>
      <c r="AB375" s="30"/>
      <c r="AC375" s="28"/>
      <c r="AD375" s="30"/>
      <c r="AE375" s="30"/>
      <c r="AF375" s="30"/>
      <c r="AG375" s="29"/>
      <c r="AH375" s="30"/>
      <c r="AI375" s="36"/>
      <c r="AJ375" s="30"/>
      <c r="AK375" s="29"/>
      <c r="AL375" s="30"/>
      <c r="AM375" s="30"/>
      <c r="AN375" s="30"/>
      <c r="AO375" s="30"/>
      <c r="AP375" s="30"/>
      <c r="AQ375" s="38"/>
      <c r="AR375" s="30"/>
      <c r="AS375" s="30"/>
      <c r="AT375" s="29"/>
      <c r="AU375" s="30"/>
      <c r="AV375" s="30"/>
      <c r="AW375" s="30"/>
      <c r="AX375" s="29"/>
      <c r="AY375" s="39"/>
      <c r="AZ375" s="30"/>
      <c r="BA375" s="30"/>
      <c r="BB375" s="29"/>
      <c r="BC375" s="52"/>
      <c r="BD375" s="30"/>
      <c r="BE375" s="29"/>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row>
    <row r="376">
      <c r="A376" s="30"/>
      <c r="B376" s="42"/>
      <c r="C376" s="43"/>
      <c r="D376" s="30"/>
      <c r="E376" s="28"/>
      <c r="F376" s="30"/>
      <c r="G376" s="30"/>
      <c r="H376" s="30"/>
      <c r="I376" s="30"/>
      <c r="J376" s="28"/>
      <c r="K376" s="30"/>
      <c r="L376" s="30"/>
      <c r="M376" s="30"/>
      <c r="N376" s="30"/>
      <c r="O376" s="28"/>
      <c r="P376" s="30"/>
      <c r="Q376" s="30"/>
      <c r="R376" s="30"/>
      <c r="S376" s="36"/>
      <c r="T376" s="30"/>
      <c r="U376" s="36"/>
      <c r="V376" s="30"/>
      <c r="W376" s="28"/>
      <c r="X376" s="30"/>
      <c r="Y376" s="30"/>
      <c r="Z376" s="30"/>
      <c r="AA376" s="30"/>
      <c r="AB376" s="30"/>
      <c r="AC376" s="28"/>
      <c r="AD376" s="30"/>
      <c r="AE376" s="30"/>
      <c r="AF376" s="30"/>
      <c r="AG376" s="29"/>
      <c r="AH376" s="30"/>
      <c r="AI376" s="36"/>
      <c r="AJ376" s="30"/>
      <c r="AK376" s="29"/>
      <c r="AL376" s="30"/>
      <c r="AM376" s="30"/>
      <c r="AN376" s="30"/>
      <c r="AO376" s="30"/>
      <c r="AP376" s="30"/>
      <c r="AQ376" s="38"/>
      <c r="AR376" s="30"/>
      <c r="AS376" s="30"/>
      <c r="AT376" s="29"/>
      <c r="AU376" s="30"/>
      <c r="AV376" s="30"/>
      <c r="AW376" s="30"/>
      <c r="AX376" s="29"/>
      <c r="AY376" s="39"/>
      <c r="AZ376" s="30"/>
      <c r="BA376" s="30"/>
      <c r="BB376" s="29"/>
      <c r="BC376" s="52"/>
      <c r="BD376" s="30"/>
      <c r="BE376" s="29"/>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row>
    <row r="377">
      <c r="A377" s="30"/>
      <c r="B377" s="42"/>
      <c r="C377" s="43"/>
      <c r="D377" s="30"/>
      <c r="E377" s="28"/>
      <c r="F377" s="30"/>
      <c r="G377" s="30"/>
      <c r="H377" s="30"/>
      <c r="I377" s="30"/>
      <c r="J377" s="28"/>
      <c r="K377" s="30"/>
      <c r="L377" s="30"/>
      <c r="M377" s="30"/>
      <c r="N377" s="30"/>
      <c r="O377" s="28"/>
      <c r="P377" s="30"/>
      <c r="Q377" s="30"/>
      <c r="R377" s="30"/>
      <c r="S377" s="36"/>
      <c r="T377" s="30"/>
      <c r="U377" s="36"/>
      <c r="V377" s="30"/>
      <c r="W377" s="28"/>
      <c r="X377" s="30"/>
      <c r="Y377" s="30"/>
      <c r="Z377" s="30"/>
      <c r="AA377" s="30"/>
      <c r="AB377" s="30"/>
      <c r="AC377" s="28"/>
      <c r="AD377" s="30"/>
      <c r="AE377" s="30"/>
      <c r="AF377" s="30"/>
      <c r="AG377" s="29"/>
      <c r="AH377" s="30"/>
      <c r="AI377" s="36"/>
      <c r="AJ377" s="30"/>
      <c r="AK377" s="29"/>
      <c r="AL377" s="30"/>
      <c r="AM377" s="30"/>
      <c r="AN377" s="30"/>
      <c r="AO377" s="30"/>
      <c r="AP377" s="30"/>
      <c r="AQ377" s="38"/>
      <c r="AR377" s="30"/>
      <c r="AS377" s="30"/>
      <c r="AT377" s="29"/>
      <c r="AU377" s="30"/>
      <c r="AV377" s="30"/>
      <c r="AW377" s="30"/>
      <c r="AX377" s="29"/>
      <c r="AY377" s="39"/>
      <c r="AZ377" s="30"/>
      <c r="BA377" s="30"/>
      <c r="BB377" s="29"/>
      <c r="BC377" s="52"/>
      <c r="BD377" s="30"/>
      <c r="BE377" s="29"/>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row>
    <row r="378">
      <c r="A378" s="30"/>
      <c r="B378" s="42"/>
      <c r="C378" s="43"/>
      <c r="D378" s="30"/>
      <c r="E378" s="28"/>
      <c r="F378" s="30"/>
      <c r="G378" s="30"/>
      <c r="H378" s="30"/>
      <c r="I378" s="30"/>
      <c r="J378" s="28"/>
      <c r="K378" s="30"/>
      <c r="L378" s="30"/>
      <c r="M378" s="30"/>
      <c r="N378" s="30"/>
      <c r="O378" s="28"/>
      <c r="P378" s="30"/>
      <c r="Q378" s="30"/>
      <c r="R378" s="30"/>
      <c r="S378" s="36"/>
      <c r="T378" s="30"/>
      <c r="U378" s="36"/>
      <c r="V378" s="30"/>
      <c r="W378" s="28"/>
      <c r="X378" s="30"/>
      <c r="Y378" s="30"/>
      <c r="Z378" s="30"/>
      <c r="AA378" s="30"/>
      <c r="AB378" s="30"/>
      <c r="AC378" s="28"/>
      <c r="AD378" s="30"/>
      <c r="AE378" s="30"/>
      <c r="AF378" s="30"/>
      <c r="AG378" s="29"/>
      <c r="AH378" s="30"/>
      <c r="AI378" s="36"/>
      <c r="AJ378" s="30"/>
      <c r="AK378" s="29"/>
      <c r="AL378" s="30"/>
      <c r="AM378" s="30"/>
      <c r="AN378" s="30"/>
      <c r="AO378" s="30"/>
      <c r="AP378" s="30"/>
      <c r="AQ378" s="38"/>
      <c r="AR378" s="30"/>
      <c r="AS378" s="30"/>
      <c r="AT378" s="29"/>
      <c r="AU378" s="30"/>
      <c r="AV378" s="30"/>
      <c r="AW378" s="30"/>
      <c r="AX378" s="29"/>
      <c r="AY378" s="39"/>
      <c r="AZ378" s="30"/>
      <c r="BA378" s="30"/>
      <c r="BB378" s="29"/>
      <c r="BC378" s="52"/>
      <c r="BD378" s="30"/>
      <c r="BE378" s="29"/>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row>
    <row r="379">
      <c r="A379" s="30"/>
      <c r="B379" s="42"/>
      <c r="C379" s="43"/>
      <c r="D379" s="30"/>
      <c r="E379" s="28"/>
      <c r="F379" s="30"/>
      <c r="G379" s="30"/>
      <c r="H379" s="30"/>
      <c r="I379" s="30"/>
      <c r="J379" s="28"/>
      <c r="K379" s="30"/>
      <c r="L379" s="30"/>
      <c r="M379" s="30"/>
      <c r="N379" s="30"/>
      <c r="O379" s="28"/>
      <c r="P379" s="30"/>
      <c r="Q379" s="30"/>
      <c r="R379" s="30"/>
      <c r="S379" s="36"/>
      <c r="T379" s="30"/>
      <c r="U379" s="36"/>
      <c r="V379" s="30"/>
      <c r="W379" s="28"/>
      <c r="X379" s="30"/>
      <c r="Y379" s="30"/>
      <c r="Z379" s="30"/>
      <c r="AA379" s="30"/>
      <c r="AB379" s="30"/>
      <c r="AC379" s="28"/>
      <c r="AD379" s="30"/>
      <c r="AE379" s="30"/>
      <c r="AF379" s="30"/>
      <c r="AG379" s="29"/>
      <c r="AH379" s="30"/>
      <c r="AI379" s="36"/>
      <c r="AJ379" s="30"/>
      <c r="AK379" s="29"/>
      <c r="AL379" s="30"/>
      <c r="AM379" s="30"/>
      <c r="AN379" s="30"/>
      <c r="AO379" s="30"/>
      <c r="AP379" s="30"/>
      <c r="AQ379" s="38"/>
      <c r="AR379" s="30"/>
      <c r="AS379" s="30"/>
      <c r="AT379" s="29"/>
      <c r="AU379" s="30"/>
      <c r="AV379" s="30"/>
      <c r="AW379" s="30"/>
      <c r="AX379" s="29"/>
      <c r="AY379" s="39"/>
      <c r="AZ379" s="30"/>
      <c r="BA379" s="30"/>
      <c r="BB379" s="29"/>
      <c r="BC379" s="52"/>
      <c r="BD379" s="30"/>
      <c r="BE379" s="29"/>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row>
    <row r="380">
      <c r="A380" s="30"/>
      <c r="B380" s="42"/>
      <c r="C380" s="43"/>
      <c r="D380" s="30"/>
      <c r="E380" s="28"/>
      <c r="F380" s="30"/>
      <c r="G380" s="30"/>
      <c r="H380" s="30"/>
      <c r="I380" s="30"/>
      <c r="J380" s="28"/>
      <c r="K380" s="30"/>
      <c r="L380" s="30"/>
      <c r="M380" s="30"/>
      <c r="N380" s="30"/>
      <c r="O380" s="28"/>
      <c r="P380" s="30"/>
      <c r="Q380" s="30"/>
      <c r="R380" s="30"/>
      <c r="S380" s="36"/>
      <c r="T380" s="30"/>
      <c r="U380" s="36"/>
      <c r="V380" s="30"/>
      <c r="W380" s="28"/>
      <c r="X380" s="30"/>
      <c r="Y380" s="30"/>
      <c r="Z380" s="30"/>
      <c r="AA380" s="30"/>
      <c r="AB380" s="30"/>
      <c r="AC380" s="28"/>
      <c r="AD380" s="30"/>
      <c r="AE380" s="30"/>
      <c r="AF380" s="30"/>
      <c r="AG380" s="29"/>
      <c r="AH380" s="30"/>
      <c r="AI380" s="36"/>
      <c r="AJ380" s="30"/>
      <c r="AK380" s="29"/>
      <c r="AL380" s="30"/>
      <c r="AM380" s="30"/>
      <c r="AN380" s="30"/>
      <c r="AO380" s="30"/>
      <c r="AP380" s="30"/>
      <c r="AQ380" s="38"/>
      <c r="AR380" s="30"/>
      <c r="AS380" s="30"/>
      <c r="AT380" s="29"/>
      <c r="AU380" s="30"/>
      <c r="AV380" s="30"/>
      <c r="AW380" s="30"/>
      <c r="AX380" s="29"/>
      <c r="AY380" s="39"/>
      <c r="AZ380" s="30"/>
      <c r="BA380" s="30"/>
      <c r="BB380" s="29"/>
      <c r="BC380" s="52"/>
      <c r="BD380" s="30"/>
      <c r="BE380" s="29"/>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row>
    <row r="381">
      <c r="A381" s="30"/>
      <c r="B381" s="42"/>
      <c r="C381" s="43"/>
      <c r="D381" s="30"/>
      <c r="E381" s="28"/>
      <c r="F381" s="30"/>
      <c r="G381" s="30"/>
      <c r="H381" s="30"/>
      <c r="I381" s="30"/>
      <c r="J381" s="28"/>
      <c r="K381" s="30"/>
      <c r="L381" s="30"/>
      <c r="M381" s="30"/>
      <c r="N381" s="30"/>
      <c r="O381" s="28"/>
      <c r="P381" s="30"/>
      <c r="Q381" s="30"/>
      <c r="R381" s="30"/>
      <c r="S381" s="36"/>
      <c r="T381" s="30"/>
      <c r="U381" s="36"/>
      <c r="V381" s="30"/>
      <c r="W381" s="28"/>
      <c r="X381" s="30"/>
      <c r="Y381" s="30"/>
      <c r="Z381" s="30"/>
      <c r="AA381" s="30"/>
      <c r="AB381" s="30"/>
      <c r="AC381" s="28"/>
      <c r="AD381" s="30"/>
      <c r="AE381" s="30"/>
      <c r="AF381" s="30"/>
      <c r="AG381" s="29"/>
      <c r="AH381" s="30"/>
      <c r="AI381" s="36"/>
      <c r="AJ381" s="30"/>
      <c r="AK381" s="29"/>
      <c r="AL381" s="30"/>
      <c r="AM381" s="30"/>
      <c r="AN381" s="30"/>
      <c r="AO381" s="30"/>
      <c r="AP381" s="30"/>
      <c r="AQ381" s="38"/>
      <c r="AR381" s="30"/>
      <c r="AS381" s="30"/>
      <c r="AT381" s="29"/>
      <c r="AU381" s="30"/>
      <c r="AV381" s="30"/>
      <c r="AW381" s="30"/>
      <c r="AX381" s="29"/>
      <c r="AY381" s="39"/>
      <c r="AZ381" s="30"/>
      <c r="BA381" s="30"/>
      <c r="BB381" s="29"/>
      <c r="BC381" s="52"/>
      <c r="BD381" s="30"/>
      <c r="BE381" s="29"/>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row>
    <row r="382">
      <c r="A382" s="30"/>
      <c r="B382" s="42"/>
      <c r="C382" s="43"/>
      <c r="D382" s="30"/>
      <c r="E382" s="28"/>
      <c r="F382" s="30"/>
      <c r="G382" s="30"/>
      <c r="H382" s="30"/>
      <c r="I382" s="30"/>
      <c r="J382" s="28"/>
      <c r="K382" s="30"/>
      <c r="L382" s="30"/>
      <c r="M382" s="30"/>
      <c r="N382" s="30"/>
      <c r="O382" s="28"/>
      <c r="P382" s="30"/>
      <c r="Q382" s="30"/>
      <c r="R382" s="30"/>
      <c r="S382" s="36"/>
      <c r="T382" s="30"/>
      <c r="U382" s="36"/>
      <c r="V382" s="30"/>
      <c r="W382" s="28"/>
      <c r="X382" s="30"/>
      <c r="Y382" s="30"/>
      <c r="Z382" s="30"/>
      <c r="AA382" s="30"/>
      <c r="AB382" s="30"/>
      <c r="AC382" s="28"/>
      <c r="AD382" s="30"/>
      <c r="AE382" s="30"/>
      <c r="AF382" s="30"/>
      <c r="AG382" s="29"/>
      <c r="AH382" s="30"/>
      <c r="AI382" s="36"/>
      <c r="AJ382" s="30"/>
      <c r="AK382" s="29"/>
      <c r="AL382" s="30"/>
      <c r="AM382" s="30"/>
      <c r="AN382" s="30"/>
      <c r="AO382" s="30"/>
      <c r="AP382" s="30"/>
      <c r="AQ382" s="38"/>
      <c r="AR382" s="30"/>
      <c r="AS382" s="30"/>
      <c r="AT382" s="29"/>
      <c r="AU382" s="30"/>
      <c r="AV382" s="30"/>
      <c r="AW382" s="30"/>
      <c r="AX382" s="29"/>
      <c r="AY382" s="39"/>
      <c r="AZ382" s="30"/>
      <c r="BA382" s="30"/>
      <c r="BB382" s="29"/>
      <c r="BC382" s="52"/>
      <c r="BD382" s="30"/>
      <c r="BE382" s="29"/>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row>
    <row r="383">
      <c r="A383" s="30"/>
      <c r="B383" s="42"/>
      <c r="C383" s="43"/>
      <c r="D383" s="30"/>
      <c r="E383" s="28"/>
      <c r="F383" s="30"/>
      <c r="G383" s="30"/>
      <c r="H383" s="30"/>
      <c r="I383" s="30"/>
      <c r="J383" s="28"/>
      <c r="K383" s="30"/>
      <c r="L383" s="30"/>
      <c r="M383" s="30"/>
      <c r="N383" s="30"/>
      <c r="O383" s="28"/>
      <c r="P383" s="30"/>
      <c r="Q383" s="30"/>
      <c r="R383" s="30"/>
      <c r="S383" s="36"/>
      <c r="T383" s="30"/>
      <c r="U383" s="36"/>
      <c r="V383" s="30"/>
      <c r="W383" s="28"/>
      <c r="X383" s="30"/>
      <c r="Y383" s="30"/>
      <c r="Z383" s="30"/>
      <c r="AA383" s="30"/>
      <c r="AB383" s="30"/>
      <c r="AC383" s="28"/>
      <c r="AD383" s="30"/>
      <c r="AE383" s="30"/>
      <c r="AF383" s="30"/>
      <c r="AG383" s="29"/>
      <c r="AH383" s="30"/>
      <c r="AI383" s="36"/>
      <c r="AJ383" s="30"/>
      <c r="AK383" s="29"/>
      <c r="AL383" s="30"/>
      <c r="AM383" s="30"/>
      <c r="AN383" s="30"/>
      <c r="AO383" s="30"/>
      <c r="AP383" s="30"/>
      <c r="AQ383" s="38"/>
      <c r="AR383" s="30"/>
      <c r="AS383" s="30"/>
      <c r="AT383" s="29"/>
      <c r="AU383" s="30"/>
      <c r="AV383" s="30"/>
      <c r="AW383" s="30"/>
      <c r="AX383" s="29"/>
      <c r="AY383" s="39"/>
      <c r="AZ383" s="30"/>
      <c r="BA383" s="30"/>
      <c r="BB383" s="29"/>
      <c r="BC383" s="52"/>
      <c r="BD383" s="30"/>
      <c r="BE383" s="29"/>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row>
    <row r="384">
      <c r="A384" s="30"/>
      <c r="B384" s="42"/>
      <c r="C384" s="43"/>
      <c r="D384" s="30"/>
      <c r="E384" s="28"/>
      <c r="F384" s="30"/>
      <c r="G384" s="30"/>
      <c r="H384" s="30"/>
      <c r="I384" s="30"/>
      <c r="J384" s="28"/>
      <c r="K384" s="30"/>
      <c r="L384" s="30"/>
      <c r="M384" s="30"/>
      <c r="N384" s="30"/>
      <c r="O384" s="28"/>
      <c r="P384" s="30"/>
      <c r="Q384" s="30"/>
      <c r="R384" s="30"/>
      <c r="S384" s="36"/>
      <c r="T384" s="30"/>
      <c r="U384" s="36"/>
      <c r="V384" s="30"/>
      <c r="W384" s="28"/>
      <c r="X384" s="30"/>
      <c r="Y384" s="30"/>
      <c r="Z384" s="30"/>
      <c r="AA384" s="30"/>
      <c r="AB384" s="30"/>
      <c r="AC384" s="28"/>
      <c r="AD384" s="30"/>
      <c r="AE384" s="30"/>
      <c r="AF384" s="30"/>
      <c r="AG384" s="29"/>
      <c r="AH384" s="30"/>
      <c r="AI384" s="36"/>
      <c r="AJ384" s="30"/>
      <c r="AK384" s="29"/>
      <c r="AL384" s="30"/>
      <c r="AM384" s="30"/>
      <c r="AN384" s="30"/>
      <c r="AO384" s="30"/>
      <c r="AP384" s="30"/>
      <c r="AQ384" s="38"/>
      <c r="AR384" s="30"/>
      <c r="AS384" s="30"/>
      <c r="AT384" s="29"/>
      <c r="AU384" s="30"/>
      <c r="AV384" s="30"/>
      <c r="AW384" s="30"/>
      <c r="AX384" s="29"/>
      <c r="AY384" s="39"/>
      <c r="AZ384" s="30"/>
      <c r="BA384" s="30"/>
      <c r="BB384" s="29"/>
      <c r="BC384" s="52"/>
      <c r="BD384" s="30"/>
      <c r="BE384" s="29"/>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row>
    <row r="385">
      <c r="A385" s="30"/>
      <c r="B385" s="42"/>
      <c r="C385" s="43"/>
      <c r="D385" s="30"/>
      <c r="E385" s="28"/>
      <c r="F385" s="30"/>
      <c r="G385" s="30"/>
      <c r="H385" s="30"/>
      <c r="I385" s="30"/>
      <c r="J385" s="28"/>
      <c r="K385" s="30"/>
      <c r="L385" s="30"/>
      <c r="M385" s="30"/>
      <c r="N385" s="30"/>
      <c r="O385" s="28"/>
      <c r="P385" s="30"/>
      <c r="Q385" s="30"/>
      <c r="R385" s="30"/>
      <c r="S385" s="36"/>
      <c r="T385" s="30"/>
      <c r="U385" s="36"/>
      <c r="V385" s="30"/>
      <c r="W385" s="28"/>
      <c r="X385" s="30"/>
      <c r="Y385" s="30"/>
      <c r="Z385" s="30"/>
      <c r="AA385" s="30"/>
      <c r="AB385" s="30"/>
      <c r="AC385" s="28"/>
      <c r="AD385" s="30"/>
      <c r="AE385" s="30"/>
      <c r="AF385" s="30"/>
      <c r="AG385" s="29"/>
      <c r="AH385" s="30"/>
      <c r="AI385" s="36"/>
      <c r="AJ385" s="30"/>
      <c r="AK385" s="29"/>
      <c r="AL385" s="30"/>
      <c r="AM385" s="30"/>
      <c r="AN385" s="30"/>
      <c r="AO385" s="30"/>
      <c r="AP385" s="30"/>
      <c r="AQ385" s="38"/>
      <c r="AR385" s="30"/>
      <c r="AS385" s="30"/>
      <c r="AT385" s="29"/>
      <c r="AU385" s="30"/>
      <c r="AV385" s="30"/>
      <c r="AW385" s="30"/>
      <c r="AX385" s="29"/>
      <c r="AY385" s="39"/>
      <c r="AZ385" s="30"/>
      <c r="BA385" s="30"/>
      <c r="BB385" s="29"/>
      <c r="BC385" s="52"/>
      <c r="BD385" s="30"/>
      <c r="BE385" s="29"/>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row>
    <row r="386">
      <c r="A386" s="30"/>
      <c r="B386" s="42"/>
      <c r="C386" s="43"/>
      <c r="D386" s="30"/>
      <c r="E386" s="28"/>
      <c r="F386" s="30"/>
      <c r="G386" s="30"/>
      <c r="H386" s="30"/>
      <c r="I386" s="30"/>
      <c r="J386" s="28"/>
      <c r="K386" s="30"/>
      <c r="L386" s="30"/>
      <c r="M386" s="30"/>
      <c r="N386" s="30"/>
      <c r="O386" s="28"/>
      <c r="P386" s="30"/>
      <c r="Q386" s="30"/>
      <c r="R386" s="30"/>
      <c r="S386" s="36"/>
      <c r="T386" s="30"/>
      <c r="U386" s="36"/>
      <c r="V386" s="30"/>
      <c r="W386" s="28"/>
      <c r="X386" s="30"/>
      <c r="Y386" s="30"/>
      <c r="Z386" s="30"/>
      <c r="AA386" s="30"/>
      <c r="AB386" s="30"/>
      <c r="AC386" s="28"/>
      <c r="AD386" s="30"/>
      <c r="AE386" s="30"/>
      <c r="AF386" s="30"/>
      <c r="AG386" s="29"/>
      <c r="AH386" s="30"/>
      <c r="AI386" s="36"/>
      <c r="AJ386" s="30"/>
      <c r="AK386" s="29"/>
      <c r="AL386" s="30"/>
      <c r="AM386" s="30"/>
      <c r="AN386" s="30"/>
      <c r="AO386" s="30"/>
      <c r="AP386" s="30"/>
      <c r="AQ386" s="38"/>
      <c r="AR386" s="30"/>
      <c r="AS386" s="30"/>
      <c r="AT386" s="29"/>
      <c r="AU386" s="30"/>
      <c r="AV386" s="30"/>
      <c r="AW386" s="30"/>
      <c r="AX386" s="29"/>
      <c r="AY386" s="39"/>
      <c r="AZ386" s="30"/>
      <c r="BA386" s="30"/>
      <c r="BB386" s="29"/>
      <c r="BC386" s="52"/>
      <c r="BD386" s="30"/>
      <c r="BE386" s="29"/>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row>
    <row r="387">
      <c r="A387" s="30"/>
      <c r="B387" s="42"/>
      <c r="C387" s="43"/>
      <c r="D387" s="30"/>
      <c r="E387" s="28"/>
      <c r="F387" s="30"/>
      <c r="G387" s="30"/>
      <c r="H387" s="30"/>
      <c r="I387" s="30"/>
      <c r="J387" s="28"/>
      <c r="K387" s="30"/>
      <c r="L387" s="30"/>
      <c r="M387" s="30"/>
      <c r="N387" s="30"/>
      <c r="O387" s="28"/>
      <c r="P387" s="30"/>
      <c r="Q387" s="30"/>
      <c r="R387" s="30"/>
      <c r="S387" s="36"/>
      <c r="T387" s="30"/>
      <c r="U387" s="36"/>
      <c r="V387" s="30"/>
      <c r="W387" s="28"/>
      <c r="X387" s="30"/>
      <c r="Y387" s="30"/>
      <c r="Z387" s="30"/>
      <c r="AA387" s="30"/>
      <c r="AB387" s="30"/>
      <c r="AC387" s="28"/>
      <c r="AD387" s="30"/>
      <c r="AE387" s="30"/>
      <c r="AF387" s="30"/>
      <c r="AG387" s="29"/>
      <c r="AH387" s="30"/>
      <c r="AI387" s="36"/>
      <c r="AJ387" s="30"/>
      <c r="AK387" s="29"/>
      <c r="AL387" s="30"/>
      <c r="AM387" s="30"/>
      <c r="AN387" s="30"/>
      <c r="AO387" s="30"/>
      <c r="AP387" s="30"/>
      <c r="AQ387" s="38"/>
      <c r="AR387" s="30"/>
      <c r="AS387" s="30"/>
      <c r="AT387" s="29"/>
      <c r="AU387" s="30"/>
      <c r="AV387" s="30"/>
      <c r="AW387" s="30"/>
      <c r="AX387" s="29"/>
      <c r="AY387" s="39"/>
      <c r="AZ387" s="30"/>
      <c r="BA387" s="30"/>
      <c r="BB387" s="29"/>
      <c r="BC387" s="52"/>
      <c r="BD387" s="30"/>
      <c r="BE387" s="29"/>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row>
    <row r="388">
      <c r="A388" s="30"/>
      <c r="B388" s="42"/>
      <c r="C388" s="43"/>
      <c r="D388" s="30"/>
      <c r="E388" s="28"/>
      <c r="F388" s="30"/>
      <c r="G388" s="30"/>
      <c r="H388" s="30"/>
      <c r="I388" s="30"/>
      <c r="J388" s="28"/>
      <c r="K388" s="30"/>
      <c r="L388" s="30"/>
      <c r="M388" s="30"/>
      <c r="N388" s="30"/>
      <c r="O388" s="28"/>
      <c r="P388" s="30"/>
      <c r="Q388" s="30"/>
      <c r="R388" s="30"/>
      <c r="S388" s="36"/>
      <c r="T388" s="30"/>
      <c r="U388" s="36"/>
      <c r="V388" s="30"/>
      <c r="W388" s="28"/>
      <c r="X388" s="30"/>
      <c r="Y388" s="30"/>
      <c r="Z388" s="30"/>
      <c r="AA388" s="30"/>
      <c r="AB388" s="30"/>
      <c r="AC388" s="28"/>
      <c r="AD388" s="30"/>
      <c r="AE388" s="30"/>
      <c r="AF388" s="30"/>
      <c r="AG388" s="29"/>
      <c r="AH388" s="30"/>
      <c r="AI388" s="36"/>
      <c r="AJ388" s="30"/>
      <c r="AK388" s="29"/>
      <c r="AL388" s="30"/>
      <c r="AM388" s="30"/>
      <c r="AN388" s="30"/>
      <c r="AO388" s="30"/>
      <c r="AP388" s="30"/>
      <c r="AQ388" s="38"/>
      <c r="AR388" s="30"/>
      <c r="AS388" s="30"/>
      <c r="AT388" s="29"/>
      <c r="AU388" s="30"/>
      <c r="AV388" s="30"/>
      <c r="AW388" s="30"/>
      <c r="AX388" s="29"/>
      <c r="AY388" s="39"/>
      <c r="AZ388" s="30"/>
      <c r="BA388" s="30"/>
      <c r="BB388" s="29"/>
      <c r="BC388" s="52"/>
      <c r="BD388" s="30"/>
      <c r="BE388" s="29"/>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row>
    <row r="389">
      <c r="A389" s="30"/>
      <c r="B389" s="42"/>
      <c r="C389" s="43"/>
      <c r="D389" s="30"/>
      <c r="E389" s="28"/>
      <c r="F389" s="30"/>
      <c r="G389" s="30"/>
      <c r="H389" s="30"/>
      <c r="I389" s="30"/>
      <c r="J389" s="28"/>
      <c r="K389" s="30"/>
      <c r="L389" s="30"/>
      <c r="M389" s="30"/>
      <c r="N389" s="30"/>
      <c r="O389" s="28"/>
      <c r="P389" s="30"/>
      <c r="Q389" s="30"/>
      <c r="R389" s="30"/>
      <c r="S389" s="36"/>
      <c r="T389" s="30"/>
      <c r="U389" s="36"/>
      <c r="V389" s="30"/>
      <c r="W389" s="28"/>
      <c r="X389" s="30"/>
      <c r="Y389" s="30"/>
      <c r="Z389" s="30"/>
      <c r="AA389" s="30"/>
      <c r="AB389" s="30"/>
      <c r="AC389" s="28"/>
      <c r="AD389" s="30"/>
      <c r="AE389" s="30"/>
      <c r="AF389" s="30"/>
      <c r="AG389" s="29"/>
      <c r="AH389" s="30"/>
      <c r="AI389" s="36"/>
      <c r="AJ389" s="30"/>
      <c r="AK389" s="29"/>
      <c r="AL389" s="30"/>
      <c r="AM389" s="30"/>
      <c r="AN389" s="30"/>
      <c r="AO389" s="30"/>
      <c r="AP389" s="30"/>
      <c r="AQ389" s="38"/>
      <c r="AR389" s="30"/>
      <c r="AS389" s="30"/>
      <c r="AT389" s="29"/>
      <c r="AU389" s="30"/>
      <c r="AV389" s="30"/>
      <c r="AW389" s="30"/>
      <c r="AX389" s="29"/>
      <c r="AY389" s="39"/>
      <c r="AZ389" s="30"/>
      <c r="BA389" s="30"/>
      <c r="BB389" s="29"/>
      <c r="BC389" s="52"/>
      <c r="BD389" s="30"/>
      <c r="BE389" s="29"/>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row>
    <row r="390">
      <c r="A390" s="30"/>
      <c r="B390" s="42"/>
      <c r="C390" s="43"/>
      <c r="D390" s="30"/>
      <c r="E390" s="28"/>
      <c r="F390" s="30"/>
      <c r="G390" s="30"/>
      <c r="H390" s="30"/>
      <c r="I390" s="30"/>
      <c r="J390" s="28"/>
      <c r="K390" s="30"/>
      <c r="L390" s="30"/>
      <c r="M390" s="30"/>
      <c r="N390" s="30"/>
      <c r="O390" s="28"/>
      <c r="P390" s="30"/>
      <c r="Q390" s="30"/>
      <c r="R390" s="30"/>
      <c r="S390" s="36"/>
      <c r="T390" s="30"/>
      <c r="U390" s="36"/>
      <c r="V390" s="30"/>
      <c r="W390" s="28"/>
      <c r="X390" s="30"/>
      <c r="Y390" s="30"/>
      <c r="Z390" s="30"/>
      <c r="AA390" s="30"/>
      <c r="AB390" s="30"/>
      <c r="AC390" s="28"/>
      <c r="AD390" s="30"/>
      <c r="AE390" s="30"/>
      <c r="AF390" s="30"/>
      <c r="AG390" s="29"/>
      <c r="AH390" s="30"/>
      <c r="AI390" s="36"/>
      <c r="AJ390" s="30"/>
      <c r="AK390" s="29"/>
      <c r="AL390" s="30"/>
      <c r="AM390" s="30"/>
      <c r="AN390" s="30"/>
      <c r="AO390" s="30"/>
      <c r="AP390" s="30"/>
      <c r="AQ390" s="38"/>
      <c r="AR390" s="30"/>
      <c r="AS390" s="30"/>
      <c r="AT390" s="29"/>
      <c r="AU390" s="30"/>
      <c r="AV390" s="30"/>
      <c r="AW390" s="30"/>
      <c r="AX390" s="29"/>
      <c r="AY390" s="39"/>
      <c r="AZ390" s="30"/>
      <c r="BA390" s="30"/>
      <c r="BB390" s="29"/>
      <c r="BC390" s="52"/>
      <c r="BD390" s="30"/>
      <c r="BE390" s="29"/>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row>
    <row r="391">
      <c r="A391" s="30"/>
      <c r="B391" s="42"/>
      <c r="C391" s="43"/>
      <c r="D391" s="30"/>
      <c r="E391" s="28"/>
      <c r="F391" s="30"/>
      <c r="G391" s="30"/>
      <c r="H391" s="30"/>
      <c r="I391" s="30"/>
      <c r="J391" s="28"/>
      <c r="K391" s="30"/>
      <c r="L391" s="30"/>
      <c r="M391" s="30"/>
      <c r="N391" s="30"/>
      <c r="O391" s="28"/>
      <c r="P391" s="30"/>
      <c r="Q391" s="30"/>
      <c r="R391" s="30"/>
      <c r="S391" s="36"/>
      <c r="T391" s="30"/>
      <c r="U391" s="36"/>
      <c r="V391" s="30"/>
      <c r="W391" s="28"/>
      <c r="X391" s="30"/>
      <c r="Y391" s="30"/>
      <c r="Z391" s="30"/>
      <c r="AA391" s="30"/>
      <c r="AB391" s="30"/>
      <c r="AC391" s="28"/>
      <c r="AD391" s="30"/>
      <c r="AE391" s="30"/>
      <c r="AF391" s="30"/>
      <c r="AG391" s="29"/>
      <c r="AH391" s="30"/>
      <c r="AI391" s="36"/>
      <c r="AJ391" s="30"/>
      <c r="AK391" s="29"/>
      <c r="AL391" s="30"/>
      <c r="AM391" s="30"/>
      <c r="AN391" s="30"/>
      <c r="AO391" s="30"/>
      <c r="AP391" s="30"/>
      <c r="AQ391" s="38"/>
      <c r="AR391" s="30"/>
      <c r="AS391" s="30"/>
      <c r="AT391" s="29"/>
      <c r="AU391" s="30"/>
      <c r="AV391" s="30"/>
      <c r="AW391" s="30"/>
      <c r="AX391" s="29"/>
      <c r="AY391" s="39"/>
      <c r="AZ391" s="30"/>
      <c r="BA391" s="30"/>
      <c r="BB391" s="29"/>
      <c r="BC391" s="52"/>
      <c r="BD391" s="30"/>
      <c r="BE391" s="29"/>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row>
    <row r="392">
      <c r="A392" s="30"/>
      <c r="B392" s="42"/>
      <c r="C392" s="43"/>
      <c r="D392" s="30"/>
      <c r="E392" s="28"/>
      <c r="F392" s="30"/>
      <c r="G392" s="30"/>
      <c r="H392" s="30"/>
      <c r="I392" s="30"/>
      <c r="J392" s="28"/>
      <c r="K392" s="30"/>
      <c r="L392" s="30"/>
      <c r="M392" s="30"/>
      <c r="N392" s="30"/>
      <c r="O392" s="28"/>
      <c r="P392" s="30"/>
      <c r="Q392" s="30"/>
      <c r="R392" s="30"/>
      <c r="S392" s="36"/>
      <c r="T392" s="30"/>
      <c r="U392" s="36"/>
      <c r="V392" s="30"/>
      <c r="W392" s="28"/>
      <c r="X392" s="30"/>
      <c r="Y392" s="30"/>
      <c r="Z392" s="30"/>
      <c r="AA392" s="30"/>
      <c r="AB392" s="30"/>
      <c r="AC392" s="28"/>
      <c r="AD392" s="30"/>
      <c r="AE392" s="30"/>
      <c r="AF392" s="30"/>
      <c r="AG392" s="29"/>
      <c r="AH392" s="30"/>
      <c r="AI392" s="36"/>
      <c r="AJ392" s="30"/>
      <c r="AK392" s="29"/>
      <c r="AL392" s="30"/>
      <c r="AM392" s="30"/>
      <c r="AN392" s="30"/>
      <c r="AO392" s="30"/>
      <c r="AP392" s="30"/>
      <c r="AQ392" s="38"/>
      <c r="AR392" s="30"/>
      <c r="AS392" s="30"/>
      <c r="AT392" s="29"/>
      <c r="AU392" s="30"/>
      <c r="AV392" s="30"/>
      <c r="AW392" s="30"/>
      <c r="AX392" s="29"/>
      <c r="AY392" s="39"/>
      <c r="AZ392" s="30"/>
      <c r="BA392" s="30"/>
      <c r="BB392" s="29"/>
      <c r="BC392" s="52"/>
      <c r="BD392" s="30"/>
      <c r="BE392" s="29"/>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row>
    <row r="393">
      <c r="A393" s="30"/>
      <c r="B393" s="42"/>
      <c r="C393" s="43"/>
      <c r="D393" s="30"/>
      <c r="E393" s="28"/>
      <c r="F393" s="30"/>
      <c r="G393" s="30"/>
      <c r="H393" s="30"/>
      <c r="I393" s="30"/>
      <c r="J393" s="28"/>
      <c r="K393" s="30"/>
      <c r="L393" s="30"/>
      <c r="M393" s="30"/>
      <c r="N393" s="30"/>
      <c r="O393" s="28"/>
      <c r="P393" s="30"/>
      <c r="Q393" s="30"/>
      <c r="R393" s="30"/>
      <c r="S393" s="36"/>
      <c r="T393" s="30"/>
      <c r="U393" s="36"/>
      <c r="V393" s="30"/>
      <c r="W393" s="28"/>
      <c r="X393" s="30"/>
      <c r="Y393" s="30"/>
      <c r="Z393" s="30"/>
      <c r="AA393" s="30"/>
      <c r="AB393" s="30"/>
      <c r="AC393" s="28"/>
      <c r="AD393" s="30"/>
      <c r="AE393" s="30"/>
      <c r="AF393" s="30"/>
      <c r="AG393" s="29"/>
      <c r="AH393" s="30"/>
      <c r="AI393" s="36"/>
      <c r="AJ393" s="30"/>
      <c r="AK393" s="29"/>
      <c r="AL393" s="30"/>
      <c r="AM393" s="30"/>
      <c r="AN393" s="30"/>
      <c r="AO393" s="30"/>
      <c r="AP393" s="30"/>
      <c r="AQ393" s="38"/>
      <c r="AR393" s="30"/>
      <c r="AS393" s="30"/>
      <c r="AT393" s="29"/>
      <c r="AU393" s="30"/>
      <c r="AV393" s="30"/>
      <c r="AW393" s="30"/>
      <c r="AX393" s="29"/>
      <c r="AY393" s="39"/>
      <c r="AZ393" s="30"/>
      <c r="BA393" s="30"/>
      <c r="BB393" s="29"/>
      <c r="BC393" s="52"/>
      <c r="BD393" s="30"/>
      <c r="BE393" s="29"/>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row>
    <row r="394">
      <c r="A394" s="30"/>
      <c r="B394" s="42"/>
      <c r="C394" s="43"/>
      <c r="D394" s="30"/>
      <c r="E394" s="28"/>
      <c r="F394" s="30"/>
      <c r="G394" s="30"/>
      <c r="H394" s="30"/>
      <c r="I394" s="30"/>
      <c r="J394" s="28"/>
      <c r="K394" s="30"/>
      <c r="L394" s="30"/>
      <c r="M394" s="30"/>
      <c r="N394" s="30"/>
      <c r="O394" s="28"/>
      <c r="P394" s="30"/>
      <c r="Q394" s="30"/>
      <c r="R394" s="30"/>
      <c r="S394" s="36"/>
      <c r="T394" s="30"/>
      <c r="U394" s="36"/>
      <c r="V394" s="30"/>
      <c r="W394" s="28"/>
      <c r="X394" s="30"/>
      <c r="Y394" s="30"/>
      <c r="Z394" s="30"/>
      <c r="AA394" s="30"/>
      <c r="AB394" s="30"/>
      <c r="AC394" s="28"/>
      <c r="AD394" s="30"/>
      <c r="AE394" s="30"/>
      <c r="AF394" s="30"/>
      <c r="AG394" s="29"/>
      <c r="AH394" s="30"/>
      <c r="AI394" s="36"/>
      <c r="AJ394" s="30"/>
      <c r="AK394" s="29"/>
      <c r="AL394" s="30"/>
      <c r="AM394" s="30"/>
      <c r="AN394" s="30"/>
      <c r="AO394" s="30"/>
      <c r="AP394" s="30"/>
      <c r="AQ394" s="38"/>
      <c r="AR394" s="30"/>
      <c r="AS394" s="30"/>
      <c r="AT394" s="29"/>
      <c r="AU394" s="30"/>
      <c r="AV394" s="30"/>
      <c r="AW394" s="30"/>
      <c r="AX394" s="29"/>
      <c r="AY394" s="39"/>
      <c r="AZ394" s="30"/>
      <c r="BA394" s="30"/>
      <c r="BB394" s="29"/>
      <c r="BC394" s="52"/>
      <c r="BD394" s="30"/>
      <c r="BE394" s="29"/>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row>
    <row r="395">
      <c r="A395" s="30"/>
      <c r="B395" s="42"/>
      <c r="C395" s="43"/>
      <c r="D395" s="30"/>
      <c r="E395" s="28"/>
      <c r="F395" s="30"/>
      <c r="G395" s="30"/>
      <c r="H395" s="30"/>
      <c r="I395" s="30"/>
      <c r="J395" s="28"/>
      <c r="K395" s="30"/>
      <c r="L395" s="30"/>
      <c r="M395" s="30"/>
      <c r="N395" s="30"/>
      <c r="O395" s="28"/>
      <c r="P395" s="30"/>
      <c r="Q395" s="30"/>
      <c r="R395" s="30"/>
      <c r="S395" s="36"/>
      <c r="T395" s="30"/>
      <c r="U395" s="36"/>
      <c r="V395" s="30"/>
      <c r="W395" s="28"/>
      <c r="X395" s="30"/>
      <c r="Y395" s="30"/>
      <c r="Z395" s="30"/>
      <c r="AA395" s="30"/>
      <c r="AB395" s="30"/>
      <c r="AC395" s="28"/>
      <c r="AD395" s="30"/>
      <c r="AE395" s="30"/>
      <c r="AF395" s="30"/>
      <c r="AG395" s="29"/>
      <c r="AH395" s="30"/>
      <c r="AI395" s="36"/>
      <c r="AJ395" s="30"/>
      <c r="AK395" s="29"/>
      <c r="AL395" s="30"/>
      <c r="AM395" s="30"/>
      <c r="AN395" s="30"/>
      <c r="AO395" s="30"/>
      <c r="AP395" s="30"/>
      <c r="AQ395" s="38"/>
      <c r="AR395" s="30"/>
      <c r="AS395" s="30"/>
      <c r="AT395" s="29"/>
      <c r="AU395" s="30"/>
      <c r="AV395" s="30"/>
      <c r="AW395" s="30"/>
      <c r="AX395" s="29"/>
      <c r="AY395" s="39"/>
      <c r="AZ395" s="30"/>
      <c r="BA395" s="30"/>
      <c r="BB395" s="29"/>
      <c r="BC395" s="52"/>
      <c r="BD395" s="30"/>
      <c r="BE395" s="29"/>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row>
    <row r="396">
      <c r="A396" s="30"/>
      <c r="B396" s="42"/>
      <c r="C396" s="43"/>
      <c r="D396" s="30"/>
      <c r="E396" s="28"/>
      <c r="F396" s="30"/>
      <c r="G396" s="30"/>
      <c r="H396" s="30"/>
      <c r="I396" s="30"/>
      <c r="J396" s="28"/>
      <c r="K396" s="30"/>
      <c r="L396" s="30"/>
      <c r="M396" s="30"/>
      <c r="N396" s="30"/>
      <c r="O396" s="28"/>
      <c r="P396" s="30"/>
      <c r="Q396" s="30"/>
      <c r="R396" s="30"/>
      <c r="S396" s="36"/>
      <c r="T396" s="30"/>
      <c r="U396" s="36"/>
      <c r="V396" s="30"/>
      <c r="W396" s="28"/>
      <c r="X396" s="30"/>
      <c r="Y396" s="30"/>
      <c r="Z396" s="30"/>
      <c r="AA396" s="30"/>
      <c r="AB396" s="30"/>
      <c r="AC396" s="28"/>
      <c r="AD396" s="30"/>
      <c r="AE396" s="30"/>
      <c r="AF396" s="30"/>
      <c r="AG396" s="29"/>
      <c r="AH396" s="30"/>
      <c r="AI396" s="36"/>
      <c r="AJ396" s="30"/>
      <c r="AK396" s="29"/>
      <c r="AL396" s="30"/>
      <c r="AM396" s="30"/>
      <c r="AN396" s="30"/>
      <c r="AO396" s="30"/>
      <c r="AP396" s="30"/>
      <c r="AQ396" s="38"/>
      <c r="AR396" s="30"/>
      <c r="AS396" s="30"/>
      <c r="AT396" s="29"/>
      <c r="AU396" s="30"/>
      <c r="AV396" s="30"/>
      <c r="AW396" s="30"/>
      <c r="AX396" s="29"/>
      <c r="AY396" s="39"/>
      <c r="AZ396" s="30"/>
      <c r="BA396" s="30"/>
      <c r="BB396" s="29"/>
      <c r="BC396" s="52"/>
      <c r="BD396" s="30"/>
      <c r="BE396" s="29"/>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row>
    <row r="397">
      <c r="A397" s="30"/>
      <c r="B397" s="42"/>
      <c r="C397" s="43"/>
      <c r="D397" s="30"/>
      <c r="E397" s="28"/>
      <c r="F397" s="30"/>
      <c r="G397" s="30"/>
      <c r="H397" s="30"/>
      <c r="I397" s="30"/>
      <c r="J397" s="28"/>
      <c r="K397" s="30"/>
      <c r="L397" s="30"/>
      <c r="M397" s="30"/>
      <c r="N397" s="30"/>
      <c r="O397" s="28"/>
      <c r="P397" s="30"/>
      <c r="Q397" s="30"/>
      <c r="R397" s="30"/>
      <c r="S397" s="36"/>
      <c r="T397" s="30"/>
      <c r="U397" s="36"/>
      <c r="V397" s="30"/>
      <c r="W397" s="28"/>
      <c r="X397" s="30"/>
      <c r="Y397" s="30"/>
      <c r="Z397" s="30"/>
      <c r="AA397" s="30"/>
      <c r="AB397" s="30"/>
      <c r="AC397" s="28"/>
      <c r="AD397" s="30"/>
      <c r="AE397" s="30"/>
      <c r="AF397" s="30"/>
      <c r="AG397" s="29"/>
      <c r="AH397" s="30"/>
      <c r="AI397" s="36"/>
      <c r="AJ397" s="30"/>
      <c r="AK397" s="29"/>
      <c r="AL397" s="30"/>
      <c r="AM397" s="30"/>
      <c r="AN397" s="30"/>
      <c r="AO397" s="30"/>
      <c r="AP397" s="30"/>
      <c r="AQ397" s="38"/>
      <c r="AR397" s="30"/>
      <c r="AS397" s="30"/>
      <c r="AT397" s="29"/>
      <c r="AU397" s="30"/>
      <c r="AV397" s="30"/>
      <c r="AW397" s="30"/>
      <c r="AX397" s="29"/>
      <c r="AY397" s="39"/>
      <c r="AZ397" s="30"/>
      <c r="BA397" s="30"/>
      <c r="BB397" s="29"/>
      <c r="BC397" s="52"/>
      <c r="BD397" s="30"/>
      <c r="BE397" s="29"/>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row>
    <row r="398">
      <c r="A398" s="30"/>
      <c r="B398" s="42"/>
      <c r="C398" s="43"/>
      <c r="D398" s="30"/>
      <c r="E398" s="28"/>
      <c r="F398" s="30"/>
      <c r="G398" s="30"/>
      <c r="H398" s="30"/>
      <c r="I398" s="30"/>
      <c r="J398" s="28"/>
      <c r="K398" s="30"/>
      <c r="L398" s="30"/>
      <c r="M398" s="30"/>
      <c r="N398" s="30"/>
      <c r="O398" s="28"/>
      <c r="P398" s="30"/>
      <c r="Q398" s="30"/>
      <c r="R398" s="30"/>
      <c r="S398" s="36"/>
      <c r="T398" s="30"/>
      <c r="U398" s="36"/>
      <c r="V398" s="30"/>
      <c r="W398" s="28"/>
      <c r="X398" s="30"/>
      <c r="Y398" s="30"/>
      <c r="Z398" s="30"/>
      <c r="AA398" s="30"/>
      <c r="AB398" s="30"/>
      <c r="AC398" s="28"/>
      <c r="AD398" s="30"/>
      <c r="AE398" s="30"/>
      <c r="AF398" s="30"/>
      <c r="AG398" s="29"/>
      <c r="AH398" s="30"/>
      <c r="AI398" s="36"/>
      <c r="AJ398" s="30"/>
      <c r="AK398" s="29"/>
      <c r="AL398" s="30"/>
      <c r="AM398" s="30"/>
      <c r="AN398" s="30"/>
      <c r="AO398" s="30"/>
      <c r="AP398" s="30"/>
      <c r="AQ398" s="38"/>
      <c r="AR398" s="30"/>
      <c r="AS398" s="30"/>
      <c r="AT398" s="29"/>
      <c r="AU398" s="30"/>
      <c r="AV398" s="30"/>
      <c r="AW398" s="30"/>
      <c r="AX398" s="29"/>
      <c r="AY398" s="39"/>
      <c r="AZ398" s="30"/>
      <c r="BA398" s="30"/>
      <c r="BB398" s="29"/>
      <c r="BC398" s="52"/>
      <c r="BD398" s="30"/>
      <c r="BE398" s="29"/>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row>
    <row r="399">
      <c r="A399" s="30"/>
      <c r="B399" s="42"/>
      <c r="C399" s="43"/>
      <c r="D399" s="30"/>
      <c r="E399" s="28"/>
      <c r="F399" s="30"/>
      <c r="G399" s="30"/>
      <c r="H399" s="30"/>
      <c r="I399" s="30"/>
      <c r="J399" s="28"/>
      <c r="K399" s="30"/>
      <c r="L399" s="30"/>
      <c r="M399" s="30"/>
      <c r="N399" s="30"/>
      <c r="O399" s="28"/>
      <c r="P399" s="30"/>
      <c r="Q399" s="30"/>
      <c r="R399" s="30"/>
      <c r="S399" s="36"/>
      <c r="T399" s="30"/>
      <c r="U399" s="36"/>
      <c r="V399" s="30"/>
      <c r="W399" s="28"/>
      <c r="X399" s="30"/>
      <c r="Y399" s="30"/>
      <c r="Z399" s="30"/>
      <c r="AA399" s="30"/>
      <c r="AB399" s="30"/>
      <c r="AC399" s="28"/>
      <c r="AD399" s="30"/>
      <c r="AE399" s="30"/>
      <c r="AF399" s="30"/>
      <c r="AG399" s="29"/>
      <c r="AH399" s="30"/>
      <c r="AI399" s="36"/>
      <c r="AJ399" s="30"/>
      <c r="AK399" s="29"/>
      <c r="AL399" s="30"/>
      <c r="AM399" s="30"/>
      <c r="AN399" s="30"/>
      <c r="AO399" s="30"/>
      <c r="AP399" s="30"/>
      <c r="AQ399" s="38"/>
      <c r="AR399" s="30"/>
      <c r="AS399" s="30"/>
      <c r="AT399" s="29"/>
      <c r="AU399" s="30"/>
      <c r="AV399" s="30"/>
      <c r="AW399" s="30"/>
      <c r="AX399" s="29"/>
      <c r="AY399" s="39"/>
      <c r="AZ399" s="30"/>
      <c r="BA399" s="30"/>
      <c r="BB399" s="29"/>
      <c r="BC399" s="52"/>
      <c r="BD399" s="30"/>
      <c r="BE399" s="29"/>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row>
    <row r="400">
      <c r="A400" s="30"/>
      <c r="B400" s="42"/>
      <c r="C400" s="43"/>
      <c r="D400" s="30"/>
      <c r="E400" s="28"/>
      <c r="F400" s="30"/>
      <c r="G400" s="30"/>
      <c r="H400" s="30"/>
      <c r="I400" s="30"/>
      <c r="J400" s="28"/>
      <c r="K400" s="30"/>
      <c r="L400" s="30"/>
      <c r="M400" s="30"/>
      <c r="N400" s="30"/>
      <c r="O400" s="28"/>
      <c r="P400" s="30"/>
      <c r="Q400" s="30"/>
      <c r="R400" s="30"/>
      <c r="S400" s="36"/>
      <c r="T400" s="30"/>
      <c r="U400" s="36"/>
      <c r="V400" s="30"/>
      <c r="W400" s="28"/>
      <c r="X400" s="30"/>
      <c r="Y400" s="30"/>
      <c r="Z400" s="30"/>
      <c r="AA400" s="30"/>
      <c r="AB400" s="30"/>
      <c r="AC400" s="28"/>
      <c r="AD400" s="30"/>
      <c r="AE400" s="30"/>
      <c r="AF400" s="30"/>
      <c r="AG400" s="29"/>
      <c r="AH400" s="30"/>
      <c r="AI400" s="36"/>
      <c r="AJ400" s="30"/>
      <c r="AK400" s="29"/>
      <c r="AL400" s="30"/>
      <c r="AM400" s="30"/>
      <c r="AN400" s="30"/>
      <c r="AO400" s="30"/>
      <c r="AP400" s="30"/>
      <c r="AQ400" s="38"/>
      <c r="AR400" s="30"/>
      <c r="AS400" s="30"/>
      <c r="AT400" s="29"/>
      <c r="AU400" s="30"/>
      <c r="AV400" s="30"/>
      <c r="AW400" s="30"/>
      <c r="AX400" s="29"/>
      <c r="AY400" s="39"/>
      <c r="AZ400" s="30"/>
      <c r="BA400" s="30"/>
      <c r="BB400" s="29"/>
      <c r="BC400" s="52"/>
      <c r="BD400" s="30"/>
      <c r="BE400" s="29"/>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row>
    <row r="401">
      <c r="A401" s="30"/>
      <c r="B401" s="42"/>
      <c r="C401" s="43"/>
      <c r="D401" s="30"/>
      <c r="E401" s="28"/>
      <c r="F401" s="30"/>
      <c r="G401" s="30"/>
      <c r="H401" s="30"/>
      <c r="I401" s="30"/>
      <c r="J401" s="28"/>
      <c r="K401" s="30"/>
      <c r="L401" s="30"/>
      <c r="M401" s="30"/>
      <c r="N401" s="30"/>
      <c r="O401" s="28"/>
      <c r="P401" s="30"/>
      <c r="Q401" s="30"/>
      <c r="R401" s="30"/>
      <c r="S401" s="36"/>
      <c r="T401" s="30"/>
      <c r="U401" s="36"/>
      <c r="V401" s="30"/>
      <c r="W401" s="28"/>
      <c r="X401" s="30"/>
      <c r="Y401" s="30"/>
      <c r="Z401" s="30"/>
      <c r="AA401" s="30"/>
      <c r="AB401" s="30"/>
      <c r="AC401" s="28"/>
      <c r="AD401" s="30"/>
      <c r="AE401" s="30"/>
      <c r="AF401" s="30"/>
      <c r="AG401" s="29"/>
      <c r="AH401" s="30"/>
      <c r="AI401" s="36"/>
      <c r="AJ401" s="30"/>
      <c r="AK401" s="29"/>
      <c r="AL401" s="30"/>
      <c r="AM401" s="30"/>
      <c r="AN401" s="30"/>
      <c r="AO401" s="30"/>
      <c r="AP401" s="30"/>
      <c r="AQ401" s="38"/>
      <c r="AR401" s="30"/>
      <c r="AS401" s="30"/>
      <c r="AT401" s="29"/>
      <c r="AU401" s="30"/>
      <c r="AV401" s="30"/>
      <c r="AW401" s="30"/>
      <c r="AX401" s="29"/>
      <c r="AY401" s="39"/>
      <c r="AZ401" s="30"/>
      <c r="BA401" s="30"/>
      <c r="BB401" s="29"/>
      <c r="BC401" s="52"/>
      <c r="BD401" s="30"/>
      <c r="BE401" s="29"/>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row>
    <row r="402">
      <c r="A402" s="30"/>
      <c r="B402" s="42"/>
      <c r="C402" s="43"/>
      <c r="D402" s="30"/>
      <c r="E402" s="28"/>
      <c r="F402" s="30"/>
      <c r="G402" s="30"/>
      <c r="H402" s="30"/>
      <c r="I402" s="30"/>
      <c r="J402" s="28"/>
      <c r="K402" s="30"/>
      <c r="L402" s="30"/>
      <c r="M402" s="30"/>
      <c r="N402" s="30"/>
      <c r="O402" s="28"/>
      <c r="P402" s="30"/>
      <c r="Q402" s="30"/>
      <c r="R402" s="30"/>
      <c r="S402" s="36"/>
      <c r="T402" s="30"/>
      <c r="U402" s="36"/>
      <c r="V402" s="30"/>
      <c r="W402" s="28"/>
      <c r="X402" s="30"/>
      <c r="Y402" s="30"/>
      <c r="Z402" s="30"/>
      <c r="AA402" s="30"/>
      <c r="AB402" s="30"/>
      <c r="AC402" s="28"/>
      <c r="AD402" s="30"/>
      <c r="AE402" s="30"/>
      <c r="AF402" s="30"/>
      <c r="AG402" s="29"/>
      <c r="AH402" s="30"/>
      <c r="AI402" s="36"/>
      <c r="AJ402" s="30"/>
      <c r="AK402" s="29"/>
      <c r="AL402" s="30"/>
      <c r="AM402" s="30"/>
      <c r="AN402" s="30"/>
      <c r="AO402" s="30"/>
      <c r="AP402" s="30"/>
      <c r="AQ402" s="38"/>
      <c r="AR402" s="30"/>
      <c r="AS402" s="30"/>
      <c r="AT402" s="29"/>
      <c r="AU402" s="30"/>
      <c r="AV402" s="30"/>
      <c r="AW402" s="30"/>
      <c r="AX402" s="29"/>
      <c r="AY402" s="39"/>
      <c r="AZ402" s="30"/>
      <c r="BA402" s="30"/>
      <c r="BB402" s="29"/>
      <c r="BC402" s="52"/>
      <c r="BD402" s="30"/>
      <c r="BE402" s="29"/>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row>
    <row r="403">
      <c r="A403" s="30"/>
      <c r="B403" s="42"/>
      <c r="C403" s="43"/>
      <c r="D403" s="30"/>
      <c r="E403" s="28"/>
      <c r="F403" s="30"/>
      <c r="G403" s="30"/>
      <c r="H403" s="30"/>
      <c r="I403" s="30"/>
      <c r="J403" s="28"/>
      <c r="K403" s="30"/>
      <c r="L403" s="30"/>
      <c r="M403" s="30"/>
      <c r="N403" s="30"/>
      <c r="O403" s="28"/>
      <c r="P403" s="30"/>
      <c r="Q403" s="30"/>
      <c r="R403" s="30"/>
      <c r="S403" s="36"/>
      <c r="T403" s="30"/>
      <c r="U403" s="36"/>
      <c r="V403" s="30"/>
      <c r="W403" s="28"/>
      <c r="X403" s="30"/>
      <c r="Y403" s="30"/>
      <c r="Z403" s="30"/>
      <c r="AA403" s="30"/>
      <c r="AB403" s="30"/>
      <c r="AC403" s="28"/>
      <c r="AD403" s="30"/>
      <c r="AE403" s="30"/>
      <c r="AF403" s="30"/>
      <c r="AG403" s="29"/>
      <c r="AH403" s="30"/>
      <c r="AI403" s="36"/>
      <c r="AJ403" s="30"/>
      <c r="AK403" s="29"/>
      <c r="AL403" s="30"/>
      <c r="AM403" s="30"/>
      <c r="AN403" s="30"/>
      <c r="AO403" s="30"/>
      <c r="AP403" s="30"/>
      <c r="AQ403" s="38"/>
      <c r="AR403" s="30"/>
      <c r="AS403" s="30"/>
      <c r="AT403" s="29"/>
      <c r="AU403" s="30"/>
      <c r="AV403" s="30"/>
      <c r="AW403" s="30"/>
      <c r="AX403" s="29"/>
      <c r="AY403" s="39"/>
      <c r="AZ403" s="30"/>
      <c r="BA403" s="30"/>
      <c r="BB403" s="29"/>
      <c r="BC403" s="52"/>
      <c r="BD403" s="30"/>
      <c r="BE403" s="29"/>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row>
    <row r="404">
      <c r="A404" s="30"/>
      <c r="B404" s="42"/>
      <c r="C404" s="43"/>
      <c r="D404" s="30"/>
      <c r="E404" s="28"/>
      <c r="F404" s="30"/>
      <c r="G404" s="30"/>
      <c r="H404" s="30"/>
      <c r="I404" s="30"/>
      <c r="J404" s="28"/>
      <c r="K404" s="30"/>
      <c r="L404" s="30"/>
      <c r="M404" s="30"/>
      <c r="N404" s="30"/>
      <c r="O404" s="28"/>
      <c r="P404" s="30"/>
      <c r="Q404" s="30"/>
      <c r="R404" s="30"/>
      <c r="S404" s="36"/>
      <c r="T404" s="30"/>
      <c r="U404" s="36"/>
      <c r="V404" s="30"/>
      <c r="W404" s="28"/>
      <c r="X404" s="30"/>
      <c r="Y404" s="30"/>
      <c r="Z404" s="30"/>
      <c r="AA404" s="30"/>
      <c r="AB404" s="30"/>
      <c r="AC404" s="28"/>
      <c r="AD404" s="30"/>
      <c r="AE404" s="30"/>
      <c r="AF404" s="30"/>
      <c r="AG404" s="29"/>
      <c r="AH404" s="30"/>
      <c r="AI404" s="36"/>
      <c r="AJ404" s="30"/>
      <c r="AK404" s="29"/>
      <c r="AL404" s="30"/>
      <c r="AM404" s="30"/>
      <c r="AN404" s="30"/>
      <c r="AO404" s="30"/>
      <c r="AP404" s="30"/>
      <c r="AQ404" s="38"/>
      <c r="AR404" s="30"/>
      <c r="AS404" s="30"/>
      <c r="AT404" s="29"/>
      <c r="AU404" s="30"/>
      <c r="AV404" s="30"/>
      <c r="AW404" s="30"/>
      <c r="AX404" s="29"/>
      <c r="AY404" s="39"/>
      <c r="AZ404" s="30"/>
      <c r="BA404" s="30"/>
      <c r="BB404" s="29"/>
      <c r="BC404" s="52"/>
      <c r="BD404" s="30"/>
      <c r="BE404" s="29"/>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row>
    <row r="405">
      <c r="A405" s="30"/>
      <c r="B405" s="42"/>
      <c r="C405" s="43"/>
      <c r="D405" s="30"/>
      <c r="E405" s="28"/>
      <c r="F405" s="30"/>
      <c r="G405" s="30"/>
      <c r="H405" s="30"/>
      <c r="I405" s="30"/>
      <c r="J405" s="28"/>
      <c r="K405" s="30"/>
      <c r="L405" s="30"/>
      <c r="M405" s="30"/>
      <c r="N405" s="30"/>
      <c r="O405" s="28"/>
      <c r="P405" s="30"/>
      <c r="Q405" s="30"/>
      <c r="R405" s="30"/>
      <c r="S405" s="36"/>
      <c r="T405" s="30"/>
      <c r="U405" s="36"/>
      <c r="V405" s="30"/>
      <c r="W405" s="28"/>
      <c r="X405" s="30"/>
      <c r="Y405" s="30"/>
      <c r="Z405" s="30"/>
      <c r="AA405" s="30"/>
      <c r="AB405" s="30"/>
      <c r="AC405" s="28"/>
      <c r="AD405" s="30"/>
      <c r="AE405" s="30"/>
      <c r="AF405" s="30"/>
      <c r="AG405" s="29"/>
      <c r="AH405" s="30"/>
      <c r="AI405" s="36"/>
      <c r="AJ405" s="30"/>
      <c r="AK405" s="29"/>
      <c r="AL405" s="30"/>
      <c r="AM405" s="30"/>
      <c r="AN405" s="30"/>
      <c r="AO405" s="30"/>
      <c r="AP405" s="30"/>
      <c r="AQ405" s="38"/>
      <c r="AR405" s="30"/>
      <c r="AS405" s="30"/>
      <c r="AT405" s="29"/>
      <c r="AU405" s="30"/>
      <c r="AV405" s="30"/>
      <c r="AW405" s="30"/>
      <c r="AX405" s="29"/>
      <c r="AY405" s="39"/>
      <c r="AZ405" s="30"/>
      <c r="BA405" s="30"/>
      <c r="BB405" s="29"/>
      <c r="BC405" s="52"/>
      <c r="BD405" s="30"/>
      <c r="BE405" s="29"/>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row>
    <row r="406">
      <c r="A406" s="30"/>
      <c r="B406" s="42"/>
      <c r="C406" s="43"/>
      <c r="D406" s="30"/>
      <c r="E406" s="28"/>
      <c r="F406" s="30"/>
      <c r="G406" s="30"/>
      <c r="H406" s="30"/>
      <c r="I406" s="30"/>
      <c r="J406" s="28"/>
      <c r="K406" s="30"/>
      <c r="L406" s="30"/>
      <c r="M406" s="30"/>
      <c r="N406" s="30"/>
      <c r="O406" s="28"/>
      <c r="P406" s="30"/>
      <c r="Q406" s="30"/>
      <c r="R406" s="30"/>
      <c r="S406" s="36"/>
      <c r="T406" s="30"/>
      <c r="U406" s="36"/>
      <c r="V406" s="30"/>
      <c r="W406" s="28"/>
      <c r="X406" s="30"/>
      <c r="Y406" s="30"/>
      <c r="Z406" s="30"/>
      <c r="AA406" s="30"/>
      <c r="AB406" s="30"/>
      <c r="AC406" s="28"/>
      <c r="AD406" s="30"/>
      <c r="AE406" s="30"/>
      <c r="AF406" s="30"/>
      <c r="AG406" s="29"/>
      <c r="AH406" s="30"/>
      <c r="AI406" s="36"/>
      <c r="AJ406" s="30"/>
      <c r="AK406" s="29"/>
      <c r="AL406" s="30"/>
      <c r="AM406" s="30"/>
      <c r="AN406" s="30"/>
      <c r="AO406" s="30"/>
      <c r="AP406" s="30"/>
      <c r="AQ406" s="38"/>
      <c r="AR406" s="30"/>
      <c r="AS406" s="30"/>
      <c r="AT406" s="29"/>
      <c r="AU406" s="30"/>
      <c r="AV406" s="30"/>
      <c r="AW406" s="30"/>
      <c r="AX406" s="29"/>
      <c r="AY406" s="39"/>
      <c r="AZ406" s="30"/>
      <c r="BA406" s="30"/>
      <c r="BB406" s="29"/>
      <c r="BC406" s="52"/>
      <c r="BD406" s="30"/>
      <c r="BE406" s="29"/>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row>
    <row r="407">
      <c r="A407" s="30"/>
      <c r="B407" s="42"/>
      <c r="C407" s="43"/>
      <c r="D407" s="30"/>
      <c r="E407" s="28"/>
      <c r="F407" s="30"/>
      <c r="G407" s="30"/>
      <c r="H407" s="30"/>
      <c r="I407" s="30"/>
      <c r="J407" s="28"/>
      <c r="K407" s="30"/>
      <c r="L407" s="30"/>
      <c r="M407" s="30"/>
      <c r="N407" s="30"/>
      <c r="O407" s="28"/>
      <c r="P407" s="30"/>
      <c r="Q407" s="30"/>
      <c r="R407" s="30"/>
      <c r="S407" s="36"/>
      <c r="T407" s="30"/>
      <c r="U407" s="36"/>
      <c r="V407" s="30"/>
      <c r="W407" s="28"/>
      <c r="X407" s="30"/>
      <c r="Y407" s="30"/>
      <c r="Z407" s="30"/>
      <c r="AA407" s="30"/>
      <c r="AB407" s="30"/>
      <c r="AC407" s="28"/>
      <c r="AD407" s="30"/>
      <c r="AE407" s="30"/>
      <c r="AF407" s="30"/>
      <c r="AG407" s="29"/>
      <c r="AH407" s="30"/>
      <c r="AI407" s="36"/>
      <c r="AJ407" s="30"/>
      <c r="AK407" s="29"/>
      <c r="AL407" s="30"/>
      <c r="AM407" s="30"/>
      <c r="AN407" s="30"/>
      <c r="AO407" s="30"/>
      <c r="AP407" s="30"/>
      <c r="AQ407" s="38"/>
      <c r="AR407" s="30"/>
      <c r="AS407" s="30"/>
      <c r="AT407" s="29"/>
      <c r="AU407" s="30"/>
      <c r="AV407" s="30"/>
      <c r="AW407" s="30"/>
      <c r="AX407" s="29"/>
      <c r="AY407" s="39"/>
      <c r="AZ407" s="30"/>
      <c r="BA407" s="30"/>
      <c r="BB407" s="29"/>
      <c r="BC407" s="52"/>
      <c r="BD407" s="30"/>
      <c r="BE407" s="29"/>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row>
    <row r="408">
      <c r="A408" s="30"/>
      <c r="B408" s="42"/>
      <c r="C408" s="43"/>
      <c r="D408" s="30"/>
      <c r="E408" s="28"/>
      <c r="F408" s="30"/>
      <c r="G408" s="30"/>
      <c r="H408" s="30"/>
      <c r="I408" s="30"/>
      <c r="J408" s="28"/>
      <c r="K408" s="30"/>
      <c r="L408" s="30"/>
      <c r="M408" s="30"/>
      <c r="N408" s="30"/>
      <c r="O408" s="28"/>
      <c r="P408" s="30"/>
      <c r="Q408" s="30"/>
      <c r="R408" s="30"/>
      <c r="S408" s="36"/>
      <c r="T408" s="30"/>
      <c r="U408" s="36"/>
      <c r="V408" s="30"/>
      <c r="W408" s="28"/>
      <c r="X408" s="30"/>
      <c r="Y408" s="30"/>
      <c r="Z408" s="30"/>
      <c r="AA408" s="30"/>
      <c r="AB408" s="30"/>
      <c r="AC408" s="28"/>
      <c r="AD408" s="30"/>
      <c r="AE408" s="30"/>
      <c r="AF408" s="30"/>
      <c r="AG408" s="29"/>
      <c r="AH408" s="30"/>
      <c r="AI408" s="36"/>
      <c r="AJ408" s="30"/>
      <c r="AK408" s="29"/>
      <c r="AL408" s="30"/>
      <c r="AM408" s="30"/>
      <c r="AN408" s="30"/>
      <c r="AO408" s="30"/>
      <c r="AP408" s="30"/>
      <c r="AQ408" s="38"/>
      <c r="AR408" s="30"/>
      <c r="AS408" s="30"/>
      <c r="AT408" s="29"/>
      <c r="AU408" s="30"/>
      <c r="AV408" s="30"/>
      <c r="AW408" s="30"/>
      <c r="AX408" s="29"/>
      <c r="AY408" s="39"/>
      <c r="AZ408" s="30"/>
      <c r="BA408" s="30"/>
      <c r="BB408" s="29"/>
      <c r="BC408" s="52"/>
      <c r="BD408" s="30"/>
      <c r="BE408" s="29"/>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row>
    <row r="409">
      <c r="A409" s="30"/>
      <c r="B409" s="42"/>
      <c r="C409" s="43"/>
      <c r="D409" s="30"/>
      <c r="E409" s="28"/>
      <c r="F409" s="30"/>
      <c r="G409" s="30"/>
      <c r="H409" s="30"/>
      <c r="I409" s="30"/>
      <c r="J409" s="28"/>
      <c r="K409" s="30"/>
      <c r="L409" s="30"/>
      <c r="M409" s="30"/>
      <c r="N409" s="30"/>
      <c r="O409" s="28"/>
      <c r="P409" s="30"/>
      <c r="Q409" s="30"/>
      <c r="R409" s="30"/>
      <c r="S409" s="36"/>
      <c r="T409" s="30"/>
      <c r="U409" s="36"/>
      <c r="V409" s="30"/>
      <c r="W409" s="28"/>
      <c r="X409" s="30"/>
      <c r="Y409" s="30"/>
      <c r="Z409" s="30"/>
      <c r="AA409" s="30"/>
      <c r="AB409" s="30"/>
      <c r="AC409" s="28"/>
      <c r="AD409" s="30"/>
      <c r="AE409" s="30"/>
      <c r="AF409" s="30"/>
      <c r="AG409" s="29"/>
      <c r="AH409" s="30"/>
      <c r="AI409" s="36"/>
      <c r="AJ409" s="30"/>
      <c r="AK409" s="29"/>
      <c r="AL409" s="30"/>
      <c r="AM409" s="30"/>
      <c r="AN409" s="30"/>
      <c r="AO409" s="30"/>
      <c r="AP409" s="30"/>
      <c r="AQ409" s="38"/>
      <c r="AR409" s="30"/>
      <c r="AS409" s="30"/>
      <c r="AT409" s="29"/>
      <c r="AU409" s="30"/>
      <c r="AV409" s="30"/>
      <c r="AW409" s="30"/>
      <c r="AX409" s="29"/>
      <c r="AY409" s="39"/>
      <c r="AZ409" s="30"/>
      <c r="BA409" s="30"/>
      <c r="BB409" s="29"/>
      <c r="BC409" s="52"/>
      <c r="BD409" s="30"/>
      <c r="BE409" s="29"/>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row>
    <row r="410">
      <c r="A410" s="30"/>
      <c r="B410" s="42"/>
      <c r="C410" s="43"/>
      <c r="D410" s="30"/>
      <c r="E410" s="28"/>
      <c r="F410" s="30"/>
      <c r="G410" s="30"/>
      <c r="H410" s="30"/>
      <c r="I410" s="30"/>
      <c r="J410" s="28"/>
      <c r="K410" s="30"/>
      <c r="L410" s="30"/>
      <c r="M410" s="30"/>
      <c r="N410" s="30"/>
      <c r="O410" s="28"/>
      <c r="P410" s="30"/>
      <c r="Q410" s="30"/>
      <c r="R410" s="30"/>
      <c r="S410" s="36"/>
      <c r="T410" s="30"/>
      <c r="U410" s="36"/>
      <c r="V410" s="30"/>
      <c r="W410" s="28"/>
      <c r="X410" s="30"/>
      <c r="Y410" s="30"/>
      <c r="Z410" s="30"/>
      <c r="AA410" s="30"/>
      <c r="AB410" s="30"/>
      <c r="AC410" s="28"/>
      <c r="AD410" s="30"/>
      <c r="AE410" s="30"/>
      <c r="AF410" s="30"/>
      <c r="AG410" s="29"/>
      <c r="AH410" s="30"/>
      <c r="AI410" s="36"/>
      <c r="AJ410" s="30"/>
      <c r="AK410" s="29"/>
      <c r="AL410" s="30"/>
      <c r="AM410" s="30"/>
      <c r="AN410" s="30"/>
      <c r="AO410" s="30"/>
      <c r="AP410" s="30"/>
      <c r="AQ410" s="38"/>
      <c r="AR410" s="30"/>
      <c r="AS410" s="30"/>
      <c r="AT410" s="29"/>
      <c r="AU410" s="30"/>
      <c r="AV410" s="30"/>
      <c r="AW410" s="30"/>
      <c r="AX410" s="29"/>
      <c r="AY410" s="39"/>
      <c r="AZ410" s="30"/>
      <c r="BA410" s="30"/>
      <c r="BB410" s="29"/>
      <c r="BC410" s="52"/>
      <c r="BD410" s="30"/>
      <c r="BE410" s="29"/>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row>
    <row r="411">
      <c r="A411" s="30"/>
      <c r="B411" s="42"/>
      <c r="C411" s="43"/>
      <c r="D411" s="30"/>
      <c r="E411" s="28"/>
      <c r="F411" s="30"/>
      <c r="G411" s="30"/>
      <c r="H411" s="30"/>
      <c r="I411" s="30"/>
      <c r="J411" s="28"/>
      <c r="K411" s="30"/>
      <c r="L411" s="30"/>
      <c r="M411" s="30"/>
      <c r="N411" s="30"/>
      <c r="O411" s="28"/>
      <c r="P411" s="30"/>
      <c r="Q411" s="30"/>
      <c r="R411" s="30"/>
      <c r="S411" s="36"/>
      <c r="T411" s="30"/>
      <c r="U411" s="36"/>
      <c r="V411" s="30"/>
      <c r="W411" s="28"/>
      <c r="X411" s="30"/>
      <c r="Y411" s="30"/>
      <c r="Z411" s="30"/>
      <c r="AA411" s="30"/>
      <c r="AB411" s="30"/>
      <c r="AC411" s="28"/>
      <c r="AD411" s="30"/>
      <c r="AE411" s="30"/>
      <c r="AF411" s="30"/>
      <c r="AG411" s="29"/>
      <c r="AH411" s="30"/>
      <c r="AI411" s="36"/>
      <c r="AJ411" s="30"/>
      <c r="AK411" s="29"/>
      <c r="AL411" s="30"/>
      <c r="AM411" s="30"/>
      <c r="AN411" s="30"/>
      <c r="AO411" s="30"/>
      <c r="AP411" s="30"/>
      <c r="AQ411" s="38"/>
      <c r="AR411" s="30"/>
      <c r="AS411" s="30"/>
      <c r="AT411" s="29"/>
      <c r="AU411" s="30"/>
      <c r="AV411" s="30"/>
      <c r="AW411" s="30"/>
      <c r="AX411" s="29"/>
      <c r="AY411" s="39"/>
      <c r="AZ411" s="30"/>
      <c r="BA411" s="30"/>
      <c r="BB411" s="29"/>
      <c r="BC411" s="52"/>
      <c r="BD411" s="30"/>
      <c r="BE411" s="29"/>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row>
    <row r="412">
      <c r="A412" s="30"/>
      <c r="B412" s="42"/>
      <c r="C412" s="43"/>
      <c r="D412" s="30"/>
      <c r="E412" s="28"/>
      <c r="F412" s="30"/>
      <c r="G412" s="30"/>
      <c r="H412" s="30"/>
      <c r="I412" s="30"/>
      <c r="J412" s="28"/>
      <c r="K412" s="30"/>
      <c r="L412" s="30"/>
      <c r="M412" s="30"/>
      <c r="N412" s="30"/>
      <c r="O412" s="28"/>
      <c r="P412" s="30"/>
      <c r="Q412" s="30"/>
      <c r="R412" s="30"/>
      <c r="S412" s="36"/>
      <c r="T412" s="30"/>
      <c r="U412" s="36"/>
      <c r="V412" s="30"/>
      <c r="W412" s="28"/>
      <c r="X412" s="30"/>
      <c r="Y412" s="30"/>
      <c r="Z412" s="30"/>
      <c r="AA412" s="30"/>
      <c r="AB412" s="30"/>
      <c r="AC412" s="28"/>
      <c r="AD412" s="30"/>
      <c r="AE412" s="30"/>
      <c r="AF412" s="30"/>
      <c r="AG412" s="29"/>
      <c r="AH412" s="30"/>
      <c r="AI412" s="36"/>
      <c r="AJ412" s="30"/>
      <c r="AK412" s="29"/>
      <c r="AL412" s="30"/>
      <c r="AM412" s="30"/>
      <c r="AN412" s="30"/>
      <c r="AO412" s="30"/>
      <c r="AP412" s="30"/>
      <c r="AQ412" s="38"/>
      <c r="AR412" s="30"/>
      <c r="AS412" s="30"/>
      <c r="AT412" s="29"/>
      <c r="AU412" s="30"/>
      <c r="AV412" s="30"/>
      <c r="AW412" s="30"/>
      <c r="AX412" s="29"/>
      <c r="AY412" s="39"/>
      <c r="AZ412" s="30"/>
      <c r="BA412" s="30"/>
      <c r="BB412" s="29"/>
      <c r="BC412" s="52"/>
      <c r="BD412" s="30"/>
      <c r="BE412" s="29"/>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row>
    <row r="413">
      <c r="A413" s="30"/>
      <c r="B413" s="42"/>
      <c r="C413" s="43"/>
      <c r="D413" s="30"/>
      <c r="E413" s="28"/>
      <c r="F413" s="30"/>
      <c r="G413" s="30"/>
      <c r="H413" s="30"/>
      <c r="I413" s="30"/>
      <c r="J413" s="28"/>
      <c r="K413" s="30"/>
      <c r="L413" s="30"/>
      <c r="M413" s="30"/>
      <c r="N413" s="30"/>
      <c r="O413" s="28"/>
      <c r="P413" s="30"/>
      <c r="Q413" s="30"/>
      <c r="R413" s="30"/>
      <c r="S413" s="36"/>
      <c r="T413" s="30"/>
      <c r="U413" s="36"/>
      <c r="V413" s="30"/>
      <c r="W413" s="28"/>
      <c r="X413" s="30"/>
      <c r="Y413" s="30"/>
      <c r="Z413" s="30"/>
      <c r="AA413" s="30"/>
      <c r="AB413" s="30"/>
      <c r="AC413" s="28"/>
      <c r="AD413" s="30"/>
      <c r="AE413" s="30"/>
      <c r="AF413" s="30"/>
      <c r="AG413" s="29"/>
      <c r="AH413" s="30"/>
      <c r="AI413" s="36"/>
      <c r="AJ413" s="30"/>
      <c r="AK413" s="29"/>
      <c r="AL413" s="30"/>
      <c r="AM413" s="30"/>
      <c r="AN413" s="30"/>
      <c r="AO413" s="30"/>
      <c r="AP413" s="30"/>
      <c r="AQ413" s="38"/>
      <c r="AR413" s="30"/>
      <c r="AS413" s="30"/>
      <c r="AT413" s="29"/>
      <c r="AU413" s="30"/>
      <c r="AV413" s="30"/>
      <c r="AW413" s="30"/>
      <c r="AX413" s="29"/>
      <c r="AY413" s="39"/>
      <c r="AZ413" s="30"/>
      <c r="BA413" s="30"/>
      <c r="BB413" s="29"/>
      <c r="BC413" s="52"/>
      <c r="BD413" s="30"/>
      <c r="BE413" s="29"/>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row>
    <row r="414">
      <c r="A414" s="30"/>
      <c r="B414" s="42"/>
      <c r="C414" s="43"/>
      <c r="D414" s="30"/>
      <c r="E414" s="28"/>
      <c r="F414" s="30"/>
      <c r="G414" s="30"/>
      <c r="H414" s="30"/>
      <c r="I414" s="30"/>
      <c r="J414" s="28"/>
      <c r="K414" s="30"/>
      <c r="L414" s="30"/>
      <c r="M414" s="30"/>
      <c r="N414" s="30"/>
      <c r="O414" s="28"/>
      <c r="P414" s="30"/>
      <c r="Q414" s="30"/>
      <c r="R414" s="30"/>
      <c r="S414" s="36"/>
      <c r="T414" s="30"/>
      <c r="U414" s="36"/>
      <c r="V414" s="30"/>
      <c r="W414" s="28"/>
      <c r="X414" s="30"/>
      <c r="Y414" s="30"/>
      <c r="Z414" s="30"/>
      <c r="AA414" s="30"/>
      <c r="AB414" s="30"/>
      <c r="AC414" s="28"/>
      <c r="AD414" s="30"/>
      <c r="AE414" s="30"/>
      <c r="AF414" s="30"/>
      <c r="AG414" s="29"/>
      <c r="AH414" s="30"/>
      <c r="AI414" s="36"/>
      <c r="AJ414" s="30"/>
      <c r="AK414" s="29"/>
      <c r="AL414" s="30"/>
      <c r="AM414" s="30"/>
      <c r="AN414" s="30"/>
      <c r="AO414" s="30"/>
      <c r="AP414" s="30"/>
      <c r="AQ414" s="38"/>
      <c r="AR414" s="30"/>
      <c r="AS414" s="30"/>
      <c r="AT414" s="29"/>
      <c r="AU414" s="30"/>
      <c r="AV414" s="30"/>
      <c r="AW414" s="30"/>
      <c r="AX414" s="29"/>
      <c r="AY414" s="39"/>
      <c r="AZ414" s="30"/>
      <c r="BA414" s="30"/>
      <c r="BB414" s="29"/>
      <c r="BC414" s="52"/>
      <c r="BD414" s="30"/>
      <c r="BE414" s="29"/>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row>
    <row r="415">
      <c r="A415" s="30"/>
      <c r="B415" s="42"/>
      <c r="C415" s="43"/>
      <c r="D415" s="30"/>
      <c r="E415" s="28"/>
      <c r="F415" s="30"/>
      <c r="G415" s="30"/>
      <c r="H415" s="30"/>
      <c r="I415" s="30"/>
      <c r="J415" s="28"/>
      <c r="K415" s="30"/>
      <c r="L415" s="30"/>
      <c r="M415" s="30"/>
      <c r="N415" s="30"/>
      <c r="O415" s="28"/>
      <c r="P415" s="30"/>
      <c r="Q415" s="30"/>
      <c r="R415" s="30"/>
      <c r="S415" s="36"/>
      <c r="T415" s="30"/>
      <c r="U415" s="36"/>
      <c r="V415" s="30"/>
      <c r="W415" s="28"/>
      <c r="X415" s="30"/>
      <c r="Y415" s="30"/>
      <c r="Z415" s="30"/>
      <c r="AA415" s="30"/>
      <c r="AB415" s="30"/>
      <c r="AC415" s="28"/>
      <c r="AD415" s="30"/>
      <c r="AE415" s="30"/>
      <c r="AF415" s="30"/>
      <c r="AG415" s="29"/>
      <c r="AH415" s="30"/>
      <c r="AI415" s="36"/>
      <c r="AJ415" s="30"/>
      <c r="AK415" s="29"/>
      <c r="AL415" s="30"/>
      <c r="AM415" s="30"/>
      <c r="AN415" s="30"/>
      <c r="AO415" s="30"/>
      <c r="AP415" s="30"/>
      <c r="AQ415" s="38"/>
      <c r="AR415" s="30"/>
      <c r="AS415" s="30"/>
      <c r="AT415" s="29"/>
      <c r="AU415" s="30"/>
      <c r="AV415" s="30"/>
      <c r="AW415" s="30"/>
      <c r="AX415" s="29"/>
      <c r="AY415" s="39"/>
      <c r="AZ415" s="30"/>
      <c r="BA415" s="30"/>
      <c r="BB415" s="29"/>
      <c r="BC415" s="52"/>
      <c r="BD415" s="30"/>
      <c r="BE415" s="29"/>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row>
    <row r="416">
      <c r="A416" s="30"/>
      <c r="B416" s="42"/>
      <c r="C416" s="43"/>
      <c r="D416" s="30"/>
      <c r="E416" s="28"/>
      <c r="F416" s="30"/>
      <c r="G416" s="30"/>
      <c r="H416" s="30"/>
      <c r="I416" s="30"/>
      <c r="J416" s="28"/>
      <c r="K416" s="30"/>
      <c r="L416" s="30"/>
      <c r="M416" s="30"/>
      <c r="N416" s="30"/>
      <c r="O416" s="28"/>
      <c r="P416" s="30"/>
      <c r="Q416" s="30"/>
      <c r="R416" s="30"/>
      <c r="S416" s="36"/>
      <c r="T416" s="30"/>
      <c r="U416" s="36"/>
      <c r="V416" s="30"/>
      <c r="W416" s="28"/>
      <c r="X416" s="30"/>
      <c r="Y416" s="30"/>
      <c r="Z416" s="30"/>
      <c r="AA416" s="30"/>
      <c r="AB416" s="30"/>
      <c r="AC416" s="28"/>
      <c r="AD416" s="30"/>
      <c r="AE416" s="30"/>
      <c r="AF416" s="30"/>
      <c r="AG416" s="29"/>
      <c r="AH416" s="30"/>
      <c r="AI416" s="36"/>
      <c r="AJ416" s="30"/>
      <c r="AK416" s="29"/>
      <c r="AL416" s="30"/>
      <c r="AM416" s="30"/>
      <c r="AN416" s="30"/>
      <c r="AO416" s="30"/>
      <c r="AP416" s="30"/>
      <c r="AQ416" s="38"/>
      <c r="AR416" s="30"/>
      <c r="AS416" s="30"/>
      <c r="AT416" s="29"/>
      <c r="AU416" s="30"/>
      <c r="AV416" s="30"/>
      <c r="AW416" s="30"/>
      <c r="AX416" s="29"/>
      <c r="AY416" s="39"/>
      <c r="AZ416" s="30"/>
      <c r="BA416" s="30"/>
      <c r="BB416" s="29"/>
      <c r="BC416" s="52"/>
      <c r="BD416" s="30"/>
      <c r="BE416" s="29"/>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row>
    <row r="417">
      <c r="A417" s="30"/>
      <c r="B417" s="42"/>
      <c r="C417" s="43"/>
      <c r="D417" s="30"/>
      <c r="E417" s="28"/>
      <c r="F417" s="30"/>
      <c r="G417" s="30"/>
      <c r="H417" s="30"/>
      <c r="I417" s="30"/>
      <c r="J417" s="28"/>
      <c r="K417" s="30"/>
      <c r="L417" s="30"/>
      <c r="M417" s="30"/>
      <c r="N417" s="30"/>
      <c r="O417" s="28"/>
      <c r="P417" s="30"/>
      <c r="Q417" s="30"/>
      <c r="R417" s="30"/>
      <c r="S417" s="36"/>
      <c r="T417" s="30"/>
      <c r="U417" s="36"/>
      <c r="V417" s="30"/>
      <c r="W417" s="28"/>
      <c r="X417" s="30"/>
      <c r="Y417" s="30"/>
      <c r="Z417" s="30"/>
      <c r="AA417" s="30"/>
      <c r="AB417" s="30"/>
      <c r="AC417" s="28"/>
      <c r="AD417" s="30"/>
      <c r="AE417" s="30"/>
      <c r="AF417" s="30"/>
      <c r="AG417" s="29"/>
      <c r="AH417" s="30"/>
      <c r="AI417" s="36"/>
      <c r="AJ417" s="30"/>
      <c r="AK417" s="29"/>
      <c r="AL417" s="30"/>
      <c r="AM417" s="30"/>
      <c r="AN417" s="30"/>
      <c r="AO417" s="30"/>
      <c r="AP417" s="30"/>
      <c r="AQ417" s="38"/>
      <c r="AR417" s="30"/>
      <c r="AS417" s="30"/>
      <c r="AT417" s="29"/>
      <c r="AU417" s="30"/>
      <c r="AV417" s="30"/>
      <c r="AW417" s="30"/>
      <c r="AX417" s="29"/>
      <c r="AY417" s="39"/>
      <c r="AZ417" s="30"/>
      <c r="BA417" s="30"/>
      <c r="BB417" s="29"/>
      <c r="BC417" s="52"/>
      <c r="BD417" s="30"/>
      <c r="BE417" s="29"/>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row>
    <row r="418">
      <c r="A418" s="30"/>
      <c r="B418" s="42"/>
      <c r="C418" s="43"/>
      <c r="D418" s="30"/>
      <c r="E418" s="28"/>
      <c r="F418" s="30"/>
      <c r="G418" s="30"/>
      <c r="H418" s="30"/>
      <c r="I418" s="30"/>
      <c r="J418" s="28"/>
      <c r="K418" s="30"/>
      <c r="L418" s="30"/>
      <c r="M418" s="30"/>
      <c r="N418" s="30"/>
      <c r="O418" s="28"/>
      <c r="P418" s="30"/>
      <c r="Q418" s="30"/>
      <c r="R418" s="30"/>
      <c r="S418" s="36"/>
      <c r="T418" s="30"/>
      <c r="U418" s="36"/>
      <c r="V418" s="30"/>
      <c r="W418" s="28"/>
      <c r="X418" s="30"/>
      <c r="Y418" s="30"/>
      <c r="Z418" s="30"/>
      <c r="AA418" s="30"/>
      <c r="AB418" s="30"/>
      <c r="AC418" s="28"/>
      <c r="AD418" s="30"/>
      <c r="AE418" s="30"/>
      <c r="AF418" s="30"/>
      <c r="AG418" s="29"/>
      <c r="AH418" s="30"/>
      <c r="AI418" s="36"/>
      <c r="AJ418" s="30"/>
      <c r="AK418" s="29"/>
      <c r="AL418" s="30"/>
      <c r="AM418" s="30"/>
      <c r="AN418" s="30"/>
      <c r="AO418" s="30"/>
      <c r="AP418" s="30"/>
      <c r="AQ418" s="38"/>
      <c r="AR418" s="30"/>
      <c r="AS418" s="30"/>
      <c r="AT418" s="29"/>
      <c r="AU418" s="30"/>
      <c r="AV418" s="30"/>
      <c r="AW418" s="30"/>
      <c r="AX418" s="29"/>
      <c r="AY418" s="39"/>
      <c r="AZ418" s="30"/>
      <c r="BA418" s="30"/>
      <c r="BB418" s="29"/>
      <c r="BC418" s="52"/>
      <c r="BD418" s="30"/>
      <c r="BE418" s="29"/>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row>
    <row r="419">
      <c r="A419" s="30"/>
      <c r="B419" s="42"/>
      <c r="C419" s="43"/>
      <c r="D419" s="30"/>
      <c r="E419" s="28"/>
      <c r="F419" s="30"/>
      <c r="G419" s="30"/>
      <c r="H419" s="30"/>
      <c r="I419" s="30"/>
      <c r="J419" s="28"/>
      <c r="K419" s="30"/>
      <c r="L419" s="30"/>
      <c r="M419" s="30"/>
      <c r="N419" s="30"/>
      <c r="O419" s="28"/>
      <c r="P419" s="30"/>
      <c r="Q419" s="30"/>
      <c r="R419" s="30"/>
      <c r="S419" s="36"/>
      <c r="T419" s="30"/>
      <c r="U419" s="36"/>
      <c r="V419" s="30"/>
      <c r="W419" s="28"/>
      <c r="X419" s="30"/>
      <c r="Y419" s="30"/>
      <c r="Z419" s="30"/>
      <c r="AA419" s="30"/>
      <c r="AB419" s="30"/>
      <c r="AC419" s="28"/>
      <c r="AD419" s="30"/>
      <c r="AE419" s="30"/>
      <c r="AF419" s="30"/>
      <c r="AG419" s="29"/>
      <c r="AH419" s="30"/>
      <c r="AI419" s="36"/>
      <c r="AJ419" s="30"/>
      <c r="AK419" s="29"/>
      <c r="AL419" s="30"/>
      <c r="AM419" s="30"/>
      <c r="AN419" s="30"/>
      <c r="AO419" s="30"/>
      <c r="AP419" s="30"/>
      <c r="AQ419" s="38"/>
      <c r="AR419" s="30"/>
      <c r="AS419" s="30"/>
      <c r="AT419" s="29"/>
      <c r="AU419" s="30"/>
      <c r="AV419" s="30"/>
      <c r="AW419" s="30"/>
      <c r="AX419" s="29"/>
      <c r="AY419" s="39"/>
      <c r="AZ419" s="30"/>
      <c r="BA419" s="30"/>
      <c r="BB419" s="29"/>
      <c r="BC419" s="52"/>
      <c r="BD419" s="30"/>
      <c r="BE419" s="29"/>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row>
    <row r="420">
      <c r="A420" s="30"/>
      <c r="B420" s="42"/>
      <c r="C420" s="43"/>
      <c r="D420" s="30"/>
      <c r="E420" s="28"/>
      <c r="F420" s="30"/>
      <c r="G420" s="30"/>
      <c r="H420" s="30"/>
      <c r="I420" s="30"/>
      <c r="J420" s="28"/>
      <c r="K420" s="30"/>
      <c r="L420" s="30"/>
      <c r="M420" s="30"/>
      <c r="N420" s="30"/>
      <c r="O420" s="28"/>
      <c r="P420" s="30"/>
      <c r="Q420" s="30"/>
      <c r="R420" s="30"/>
      <c r="S420" s="36"/>
      <c r="T420" s="30"/>
      <c r="U420" s="36"/>
      <c r="V420" s="30"/>
      <c r="W420" s="28"/>
      <c r="X420" s="30"/>
      <c r="Y420" s="30"/>
      <c r="Z420" s="30"/>
      <c r="AA420" s="30"/>
      <c r="AB420" s="30"/>
      <c r="AC420" s="28"/>
      <c r="AD420" s="30"/>
      <c r="AE420" s="30"/>
      <c r="AF420" s="30"/>
      <c r="AG420" s="29"/>
      <c r="AH420" s="30"/>
      <c r="AI420" s="36"/>
      <c r="AJ420" s="30"/>
      <c r="AK420" s="29"/>
      <c r="AL420" s="30"/>
      <c r="AM420" s="30"/>
      <c r="AN420" s="30"/>
      <c r="AO420" s="30"/>
      <c r="AP420" s="30"/>
      <c r="AQ420" s="38"/>
      <c r="AR420" s="30"/>
      <c r="AS420" s="30"/>
      <c r="AT420" s="29"/>
      <c r="AU420" s="30"/>
      <c r="AV420" s="30"/>
      <c r="AW420" s="30"/>
      <c r="AX420" s="29"/>
      <c r="AY420" s="39"/>
      <c r="AZ420" s="30"/>
      <c r="BA420" s="30"/>
      <c r="BB420" s="29"/>
      <c r="BC420" s="52"/>
      <c r="BD420" s="30"/>
      <c r="BE420" s="29"/>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row>
    <row r="421">
      <c r="A421" s="30"/>
      <c r="B421" s="42"/>
      <c r="C421" s="43"/>
      <c r="D421" s="30"/>
      <c r="E421" s="28"/>
      <c r="F421" s="30"/>
      <c r="G421" s="30"/>
      <c r="H421" s="30"/>
      <c r="I421" s="30"/>
      <c r="J421" s="28"/>
      <c r="K421" s="30"/>
      <c r="L421" s="30"/>
      <c r="M421" s="30"/>
      <c r="N421" s="30"/>
      <c r="O421" s="28"/>
      <c r="P421" s="30"/>
      <c r="Q421" s="30"/>
      <c r="R421" s="30"/>
      <c r="S421" s="36"/>
      <c r="T421" s="30"/>
      <c r="U421" s="36"/>
      <c r="V421" s="30"/>
      <c r="W421" s="28"/>
      <c r="X421" s="30"/>
      <c r="Y421" s="30"/>
      <c r="Z421" s="30"/>
      <c r="AA421" s="30"/>
      <c r="AB421" s="30"/>
      <c r="AC421" s="28"/>
      <c r="AD421" s="30"/>
      <c r="AE421" s="30"/>
      <c r="AF421" s="30"/>
      <c r="AG421" s="29"/>
      <c r="AH421" s="30"/>
      <c r="AI421" s="36"/>
      <c r="AJ421" s="30"/>
      <c r="AK421" s="29"/>
      <c r="AL421" s="30"/>
      <c r="AM421" s="30"/>
      <c r="AN421" s="30"/>
      <c r="AO421" s="30"/>
      <c r="AP421" s="30"/>
      <c r="AQ421" s="38"/>
      <c r="AR421" s="30"/>
      <c r="AS421" s="30"/>
      <c r="AT421" s="29"/>
      <c r="AU421" s="30"/>
      <c r="AV421" s="30"/>
      <c r="AW421" s="30"/>
      <c r="AX421" s="29"/>
      <c r="AY421" s="39"/>
      <c r="AZ421" s="30"/>
      <c r="BA421" s="30"/>
      <c r="BB421" s="29"/>
      <c r="BC421" s="52"/>
      <c r="BD421" s="30"/>
      <c r="BE421" s="29"/>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row>
    <row r="422">
      <c r="A422" s="30"/>
      <c r="B422" s="42"/>
      <c r="C422" s="43"/>
      <c r="D422" s="30"/>
      <c r="E422" s="28"/>
      <c r="F422" s="30"/>
      <c r="G422" s="30"/>
      <c r="H422" s="30"/>
      <c r="I422" s="30"/>
      <c r="J422" s="28"/>
      <c r="K422" s="30"/>
      <c r="L422" s="30"/>
      <c r="M422" s="30"/>
      <c r="N422" s="30"/>
      <c r="O422" s="28"/>
      <c r="P422" s="30"/>
      <c r="Q422" s="30"/>
      <c r="R422" s="30"/>
      <c r="S422" s="36"/>
      <c r="T422" s="30"/>
      <c r="U422" s="36"/>
      <c r="V422" s="30"/>
      <c r="W422" s="28"/>
      <c r="X422" s="30"/>
      <c r="Y422" s="30"/>
      <c r="Z422" s="30"/>
      <c r="AA422" s="30"/>
      <c r="AB422" s="30"/>
      <c r="AC422" s="28"/>
      <c r="AD422" s="30"/>
      <c r="AE422" s="30"/>
      <c r="AF422" s="30"/>
      <c r="AG422" s="29"/>
      <c r="AH422" s="30"/>
      <c r="AI422" s="36"/>
      <c r="AJ422" s="30"/>
      <c r="AK422" s="29"/>
      <c r="AL422" s="30"/>
      <c r="AM422" s="30"/>
      <c r="AN422" s="30"/>
      <c r="AO422" s="30"/>
      <c r="AP422" s="30"/>
      <c r="AQ422" s="38"/>
      <c r="AR422" s="30"/>
      <c r="AS422" s="30"/>
      <c r="AT422" s="29"/>
      <c r="AU422" s="30"/>
      <c r="AV422" s="30"/>
      <c r="AW422" s="30"/>
      <c r="AX422" s="29"/>
      <c r="AY422" s="39"/>
      <c r="AZ422" s="30"/>
      <c r="BA422" s="30"/>
      <c r="BB422" s="29"/>
      <c r="BC422" s="52"/>
      <c r="BD422" s="30"/>
      <c r="BE422" s="29"/>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row>
    <row r="423">
      <c r="A423" s="30"/>
      <c r="B423" s="42"/>
      <c r="C423" s="43"/>
      <c r="D423" s="30"/>
      <c r="E423" s="28"/>
      <c r="F423" s="30"/>
      <c r="G423" s="30"/>
      <c r="H423" s="30"/>
      <c r="I423" s="30"/>
      <c r="J423" s="28"/>
      <c r="K423" s="30"/>
      <c r="L423" s="30"/>
      <c r="M423" s="30"/>
      <c r="N423" s="30"/>
      <c r="O423" s="28"/>
      <c r="P423" s="30"/>
      <c r="Q423" s="30"/>
      <c r="R423" s="30"/>
      <c r="S423" s="36"/>
      <c r="T423" s="30"/>
      <c r="U423" s="36"/>
      <c r="V423" s="30"/>
      <c r="W423" s="28"/>
      <c r="X423" s="30"/>
      <c r="Y423" s="30"/>
      <c r="Z423" s="30"/>
      <c r="AA423" s="30"/>
      <c r="AB423" s="30"/>
      <c r="AC423" s="28"/>
      <c r="AD423" s="30"/>
      <c r="AE423" s="30"/>
      <c r="AF423" s="30"/>
      <c r="AG423" s="29"/>
      <c r="AH423" s="30"/>
      <c r="AI423" s="36"/>
      <c r="AJ423" s="30"/>
      <c r="AK423" s="29"/>
      <c r="AL423" s="30"/>
      <c r="AM423" s="30"/>
      <c r="AN423" s="30"/>
      <c r="AO423" s="30"/>
      <c r="AP423" s="30"/>
      <c r="AQ423" s="38"/>
      <c r="AR423" s="30"/>
      <c r="AS423" s="30"/>
      <c r="AT423" s="29"/>
      <c r="AU423" s="30"/>
      <c r="AV423" s="30"/>
      <c r="AW423" s="30"/>
      <c r="AX423" s="29"/>
      <c r="AY423" s="39"/>
      <c r="AZ423" s="30"/>
      <c r="BA423" s="30"/>
      <c r="BB423" s="29"/>
      <c r="BC423" s="52"/>
      <c r="BD423" s="30"/>
      <c r="BE423" s="29"/>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row>
    <row r="424">
      <c r="A424" s="30"/>
      <c r="B424" s="42"/>
      <c r="C424" s="43"/>
      <c r="D424" s="30"/>
      <c r="E424" s="28"/>
      <c r="F424" s="30"/>
      <c r="G424" s="30"/>
      <c r="H424" s="30"/>
      <c r="I424" s="30"/>
      <c r="J424" s="28"/>
      <c r="K424" s="30"/>
      <c r="L424" s="30"/>
      <c r="M424" s="30"/>
      <c r="N424" s="30"/>
      <c r="O424" s="28"/>
      <c r="P424" s="30"/>
      <c r="Q424" s="30"/>
      <c r="R424" s="30"/>
      <c r="S424" s="36"/>
      <c r="T424" s="30"/>
      <c r="U424" s="36"/>
      <c r="V424" s="30"/>
      <c r="W424" s="28"/>
      <c r="X424" s="30"/>
      <c r="Y424" s="30"/>
      <c r="Z424" s="30"/>
      <c r="AA424" s="30"/>
      <c r="AB424" s="30"/>
      <c r="AC424" s="28"/>
      <c r="AD424" s="30"/>
      <c r="AE424" s="30"/>
      <c r="AF424" s="30"/>
      <c r="AG424" s="29"/>
      <c r="AH424" s="30"/>
      <c r="AI424" s="36"/>
      <c r="AJ424" s="30"/>
      <c r="AK424" s="29"/>
      <c r="AL424" s="30"/>
      <c r="AM424" s="30"/>
      <c r="AN424" s="30"/>
      <c r="AO424" s="30"/>
      <c r="AP424" s="30"/>
      <c r="AQ424" s="38"/>
      <c r="AR424" s="30"/>
      <c r="AS424" s="30"/>
      <c r="AT424" s="29"/>
      <c r="AU424" s="30"/>
      <c r="AV424" s="30"/>
      <c r="AW424" s="30"/>
      <c r="AX424" s="29"/>
      <c r="AY424" s="39"/>
      <c r="AZ424" s="30"/>
      <c r="BA424" s="30"/>
      <c r="BB424" s="29"/>
      <c r="BC424" s="52"/>
      <c r="BD424" s="30"/>
      <c r="BE424" s="29"/>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row>
    <row r="425">
      <c r="A425" s="30"/>
      <c r="B425" s="42"/>
      <c r="C425" s="43"/>
      <c r="D425" s="30"/>
      <c r="E425" s="28"/>
      <c r="F425" s="30"/>
      <c r="G425" s="30"/>
      <c r="H425" s="30"/>
      <c r="I425" s="30"/>
      <c r="J425" s="28"/>
      <c r="K425" s="30"/>
      <c r="L425" s="30"/>
      <c r="M425" s="30"/>
      <c r="N425" s="30"/>
      <c r="O425" s="28"/>
      <c r="P425" s="30"/>
      <c r="Q425" s="30"/>
      <c r="R425" s="30"/>
      <c r="S425" s="36"/>
      <c r="T425" s="30"/>
      <c r="U425" s="36"/>
      <c r="V425" s="30"/>
      <c r="W425" s="28"/>
      <c r="X425" s="30"/>
      <c r="Y425" s="30"/>
      <c r="Z425" s="30"/>
      <c r="AA425" s="30"/>
      <c r="AB425" s="30"/>
      <c r="AC425" s="28"/>
      <c r="AD425" s="30"/>
      <c r="AE425" s="30"/>
      <c r="AF425" s="30"/>
      <c r="AG425" s="29"/>
      <c r="AH425" s="30"/>
      <c r="AI425" s="36"/>
      <c r="AJ425" s="30"/>
      <c r="AK425" s="29"/>
      <c r="AL425" s="30"/>
      <c r="AM425" s="30"/>
      <c r="AN425" s="30"/>
      <c r="AO425" s="30"/>
      <c r="AP425" s="30"/>
      <c r="AQ425" s="38"/>
      <c r="AR425" s="30"/>
      <c r="AS425" s="30"/>
      <c r="AT425" s="29"/>
      <c r="AU425" s="30"/>
      <c r="AV425" s="30"/>
      <c r="AW425" s="30"/>
      <c r="AX425" s="29"/>
      <c r="AY425" s="39"/>
      <c r="AZ425" s="30"/>
      <c r="BA425" s="30"/>
      <c r="BB425" s="29"/>
      <c r="BC425" s="52"/>
      <c r="BD425" s="30"/>
      <c r="BE425" s="29"/>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row>
    <row r="426">
      <c r="A426" s="30"/>
      <c r="B426" s="42"/>
      <c r="C426" s="43"/>
      <c r="D426" s="30"/>
      <c r="E426" s="28"/>
      <c r="F426" s="30"/>
      <c r="G426" s="30"/>
      <c r="H426" s="30"/>
      <c r="I426" s="30"/>
      <c r="J426" s="28"/>
      <c r="K426" s="30"/>
      <c r="L426" s="30"/>
      <c r="M426" s="30"/>
      <c r="N426" s="30"/>
      <c r="O426" s="28"/>
      <c r="P426" s="30"/>
      <c r="Q426" s="30"/>
      <c r="R426" s="30"/>
      <c r="S426" s="36"/>
      <c r="T426" s="30"/>
      <c r="U426" s="36"/>
      <c r="V426" s="30"/>
      <c r="W426" s="28"/>
      <c r="X426" s="30"/>
      <c r="Y426" s="30"/>
      <c r="Z426" s="30"/>
      <c r="AA426" s="30"/>
      <c r="AB426" s="30"/>
      <c r="AC426" s="28"/>
      <c r="AD426" s="30"/>
      <c r="AE426" s="30"/>
      <c r="AF426" s="30"/>
      <c r="AG426" s="29"/>
      <c r="AH426" s="30"/>
      <c r="AI426" s="36"/>
      <c r="AJ426" s="30"/>
      <c r="AK426" s="29"/>
      <c r="AL426" s="30"/>
      <c r="AM426" s="30"/>
      <c r="AN426" s="30"/>
      <c r="AO426" s="30"/>
      <c r="AP426" s="30"/>
      <c r="AQ426" s="38"/>
      <c r="AR426" s="30"/>
      <c r="AS426" s="30"/>
      <c r="AT426" s="29"/>
      <c r="AU426" s="30"/>
      <c r="AV426" s="30"/>
      <c r="AW426" s="30"/>
      <c r="AX426" s="29"/>
      <c r="AY426" s="39"/>
      <c r="AZ426" s="30"/>
      <c r="BA426" s="30"/>
      <c r="BB426" s="29"/>
      <c r="BC426" s="52"/>
      <c r="BD426" s="30"/>
      <c r="BE426" s="29"/>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row>
    <row r="427">
      <c r="A427" s="30"/>
      <c r="B427" s="42"/>
      <c r="C427" s="43"/>
      <c r="D427" s="30"/>
      <c r="E427" s="28"/>
      <c r="F427" s="30"/>
      <c r="G427" s="30"/>
      <c r="H427" s="30"/>
      <c r="I427" s="30"/>
      <c r="J427" s="28"/>
      <c r="K427" s="30"/>
      <c r="L427" s="30"/>
      <c r="M427" s="30"/>
      <c r="N427" s="30"/>
      <c r="O427" s="28"/>
      <c r="P427" s="30"/>
      <c r="Q427" s="30"/>
      <c r="R427" s="30"/>
      <c r="S427" s="36"/>
      <c r="T427" s="30"/>
      <c r="U427" s="36"/>
      <c r="V427" s="30"/>
      <c r="W427" s="28"/>
      <c r="X427" s="30"/>
      <c r="Y427" s="30"/>
      <c r="Z427" s="30"/>
      <c r="AA427" s="30"/>
      <c r="AB427" s="30"/>
      <c r="AC427" s="28"/>
      <c r="AD427" s="30"/>
      <c r="AE427" s="30"/>
      <c r="AF427" s="30"/>
      <c r="AG427" s="29"/>
      <c r="AH427" s="30"/>
      <c r="AI427" s="36"/>
      <c r="AJ427" s="30"/>
      <c r="AK427" s="29"/>
      <c r="AL427" s="30"/>
      <c r="AM427" s="30"/>
      <c r="AN427" s="30"/>
      <c r="AO427" s="30"/>
      <c r="AP427" s="30"/>
      <c r="AQ427" s="38"/>
      <c r="AR427" s="30"/>
      <c r="AS427" s="30"/>
      <c r="AT427" s="29"/>
      <c r="AU427" s="30"/>
      <c r="AV427" s="30"/>
      <c r="AW427" s="30"/>
      <c r="AX427" s="29"/>
      <c r="AY427" s="39"/>
      <c r="AZ427" s="30"/>
      <c r="BA427" s="30"/>
      <c r="BB427" s="29"/>
      <c r="BC427" s="52"/>
      <c r="BD427" s="30"/>
      <c r="BE427" s="29"/>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row>
    <row r="428">
      <c r="A428" s="30"/>
      <c r="B428" s="42"/>
      <c r="C428" s="43"/>
      <c r="D428" s="30"/>
      <c r="E428" s="28"/>
      <c r="F428" s="30"/>
      <c r="G428" s="30"/>
      <c r="H428" s="30"/>
      <c r="I428" s="30"/>
      <c r="J428" s="28"/>
      <c r="K428" s="30"/>
      <c r="L428" s="30"/>
      <c r="M428" s="30"/>
      <c r="N428" s="30"/>
      <c r="O428" s="28"/>
      <c r="P428" s="30"/>
      <c r="Q428" s="30"/>
      <c r="R428" s="30"/>
      <c r="S428" s="36"/>
      <c r="T428" s="30"/>
      <c r="U428" s="36"/>
      <c r="V428" s="30"/>
      <c r="W428" s="28"/>
      <c r="X428" s="30"/>
      <c r="Y428" s="30"/>
      <c r="Z428" s="30"/>
      <c r="AA428" s="30"/>
      <c r="AB428" s="30"/>
      <c r="AC428" s="28"/>
      <c r="AD428" s="30"/>
      <c r="AE428" s="30"/>
      <c r="AF428" s="30"/>
      <c r="AG428" s="29"/>
      <c r="AH428" s="30"/>
      <c r="AI428" s="36"/>
      <c r="AJ428" s="30"/>
      <c r="AK428" s="29"/>
      <c r="AL428" s="30"/>
      <c r="AM428" s="30"/>
      <c r="AN428" s="30"/>
      <c r="AO428" s="30"/>
      <c r="AP428" s="30"/>
      <c r="AQ428" s="38"/>
      <c r="AR428" s="30"/>
      <c r="AS428" s="30"/>
      <c r="AT428" s="29"/>
      <c r="AU428" s="30"/>
      <c r="AV428" s="30"/>
      <c r="AW428" s="30"/>
      <c r="AX428" s="29"/>
      <c r="AY428" s="39"/>
      <c r="AZ428" s="30"/>
      <c r="BA428" s="30"/>
      <c r="BB428" s="29"/>
      <c r="BC428" s="52"/>
      <c r="BD428" s="30"/>
      <c r="BE428" s="29"/>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row>
    <row r="429">
      <c r="A429" s="30"/>
      <c r="B429" s="42"/>
      <c r="C429" s="43"/>
      <c r="D429" s="30"/>
      <c r="E429" s="28"/>
      <c r="F429" s="30"/>
      <c r="G429" s="30"/>
      <c r="H429" s="30"/>
      <c r="I429" s="30"/>
      <c r="J429" s="28"/>
      <c r="K429" s="30"/>
      <c r="L429" s="30"/>
      <c r="M429" s="30"/>
      <c r="N429" s="30"/>
      <c r="O429" s="28"/>
      <c r="P429" s="30"/>
      <c r="Q429" s="30"/>
      <c r="R429" s="30"/>
      <c r="S429" s="36"/>
      <c r="T429" s="30"/>
      <c r="U429" s="36"/>
      <c r="V429" s="30"/>
      <c r="W429" s="28"/>
      <c r="X429" s="30"/>
      <c r="Y429" s="30"/>
      <c r="Z429" s="30"/>
      <c r="AA429" s="30"/>
      <c r="AB429" s="30"/>
      <c r="AC429" s="28"/>
      <c r="AD429" s="30"/>
      <c r="AE429" s="30"/>
      <c r="AF429" s="30"/>
      <c r="AG429" s="29"/>
      <c r="AH429" s="30"/>
      <c r="AI429" s="36"/>
      <c r="AJ429" s="30"/>
      <c r="AK429" s="29"/>
      <c r="AL429" s="30"/>
      <c r="AM429" s="30"/>
      <c r="AN429" s="30"/>
      <c r="AO429" s="30"/>
      <c r="AP429" s="30"/>
      <c r="AQ429" s="38"/>
      <c r="AR429" s="30"/>
      <c r="AS429" s="30"/>
      <c r="AT429" s="29"/>
      <c r="AU429" s="30"/>
      <c r="AV429" s="30"/>
      <c r="AW429" s="30"/>
      <c r="AX429" s="29"/>
      <c r="AY429" s="39"/>
      <c r="AZ429" s="30"/>
      <c r="BA429" s="30"/>
      <c r="BB429" s="29"/>
      <c r="BC429" s="52"/>
      <c r="BD429" s="30"/>
      <c r="BE429" s="29"/>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row>
    <row r="430">
      <c r="A430" s="30"/>
      <c r="B430" s="42"/>
      <c r="C430" s="43"/>
      <c r="D430" s="30"/>
      <c r="E430" s="28"/>
      <c r="F430" s="30"/>
      <c r="G430" s="30"/>
      <c r="H430" s="30"/>
      <c r="I430" s="30"/>
      <c r="J430" s="28"/>
      <c r="K430" s="30"/>
      <c r="L430" s="30"/>
      <c r="M430" s="30"/>
      <c r="N430" s="30"/>
      <c r="O430" s="28"/>
      <c r="P430" s="30"/>
      <c r="Q430" s="30"/>
      <c r="R430" s="30"/>
      <c r="S430" s="36"/>
      <c r="T430" s="30"/>
      <c r="U430" s="36"/>
      <c r="V430" s="30"/>
      <c r="W430" s="28"/>
      <c r="X430" s="30"/>
      <c r="Y430" s="30"/>
      <c r="Z430" s="30"/>
      <c r="AA430" s="30"/>
      <c r="AB430" s="30"/>
      <c r="AC430" s="28"/>
      <c r="AD430" s="30"/>
      <c r="AE430" s="30"/>
      <c r="AF430" s="30"/>
      <c r="AG430" s="29"/>
      <c r="AH430" s="30"/>
      <c r="AI430" s="36"/>
      <c r="AJ430" s="30"/>
      <c r="AK430" s="29"/>
      <c r="AL430" s="30"/>
      <c r="AM430" s="30"/>
      <c r="AN430" s="30"/>
      <c r="AO430" s="30"/>
      <c r="AP430" s="30"/>
      <c r="AQ430" s="38"/>
      <c r="AR430" s="30"/>
      <c r="AS430" s="30"/>
      <c r="AT430" s="29"/>
      <c r="AU430" s="30"/>
      <c r="AV430" s="30"/>
      <c r="AW430" s="30"/>
      <c r="AX430" s="29"/>
      <c r="AY430" s="39"/>
      <c r="AZ430" s="30"/>
      <c r="BA430" s="30"/>
      <c r="BB430" s="29"/>
      <c r="BC430" s="52"/>
      <c r="BD430" s="30"/>
      <c r="BE430" s="29"/>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row>
    <row r="431">
      <c r="A431" s="30"/>
      <c r="B431" s="42"/>
      <c r="C431" s="43"/>
      <c r="D431" s="30"/>
      <c r="E431" s="28"/>
      <c r="F431" s="30"/>
      <c r="G431" s="30"/>
      <c r="H431" s="30"/>
      <c r="I431" s="30"/>
      <c r="J431" s="28"/>
      <c r="K431" s="30"/>
      <c r="L431" s="30"/>
      <c r="M431" s="30"/>
      <c r="N431" s="30"/>
      <c r="O431" s="28"/>
      <c r="P431" s="30"/>
      <c r="Q431" s="30"/>
      <c r="R431" s="30"/>
      <c r="S431" s="36"/>
      <c r="T431" s="30"/>
      <c r="U431" s="36"/>
      <c r="V431" s="30"/>
      <c r="W431" s="28"/>
      <c r="X431" s="30"/>
      <c r="Y431" s="30"/>
      <c r="Z431" s="30"/>
      <c r="AA431" s="30"/>
      <c r="AB431" s="30"/>
      <c r="AC431" s="28"/>
      <c r="AD431" s="30"/>
      <c r="AE431" s="30"/>
      <c r="AF431" s="30"/>
      <c r="AG431" s="29"/>
      <c r="AH431" s="30"/>
      <c r="AI431" s="36"/>
      <c r="AJ431" s="30"/>
      <c r="AK431" s="29"/>
      <c r="AL431" s="30"/>
      <c r="AM431" s="30"/>
      <c r="AN431" s="30"/>
      <c r="AO431" s="30"/>
      <c r="AP431" s="30"/>
      <c r="AQ431" s="38"/>
      <c r="AR431" s="30"/>
      <c r="AS431" s="30"/>
      <c r="AT431" s="29"/>
      <c r="AU431" s="30"/>
      <c r="AV431" s="30"/>
      <c r="AW431" s="30"/>
      <c r="AX431" s="29"/>
      <c r="AY431" s="39"/>
      <c r="AZ431" s="30"/>
      <c r="BA431" s="30"/>
      <c r="BB431" s="29"/>
      <c r="BC431" s="52"/>
      <c r="BD431" s="30"/>
      <c r="BE431" s="29"/>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row>
    <row r="432">
      <c r="A432" s="30"/>
      <c r="B432" s="42"/>
      <c r="C432" s="43"/>
      <c r="D432" s="30"/>
      <c r="E432" s="28"/>
      <c r="F432" s="30"/>
      <c r="G432" s="30"/>
      <c r="H432" s="30"/>
      <c r="I432" s="30"/>
      <c r="J432" s="28"/>
      <c r="K432" s="30"/>
      <c r="L432" s="30"/>
      <c r="M432" s="30"/>
      <c r="N432" s="30"/>
      <c r="O432" s="28"/>
      <c r="P432" s="30"/>
      <c r="Q432" s="30"/>
      <c r="R432" s="30"/>
      <c r="S432" s="36"/>
      <c r="T432" s="30"/>
      <c r="U432" s="36"/>
      <c r="V432" s="30"/>
      <c r="W432" s="28"/>
      <c r="X432" s="30"/>
      <c r="Y432" s="30"/>
      <c r="Z432" s="30"/>
      <c r="AA432" s="30"/>
      <c r="AB432" s="30"/>
      <c r="AC432" s="28"/>
      <c r="AD432" s="30"/>
      <c r="AE432" s="30"/>
      <c r="AF432" s="30"/>
      <c r="AG432" s="29"/>
      <c r="AH432" s="30"/>
      <c r="AI432" s="36"/>
      <c r="AJ432" s="30"/>
      <c r="AK432" s="29"/>
      <c r="AL432" s="30"/>
      <c r="AM432" s="30"/>
      <c r="AN432" s="30"/>
      <c r="AO432" s="30"/>
      <c r="AP432" s="30"/>
      <c r="AQ432" s="38"/>
      <c r="AR432" s="30"/>
      <c r="AS432" s="30"/>
      <c r="AT432" s="29"/>
      <c r="AU432" s="30"/>
      <c r="AV432" s="30"/>
      <c r="AW432" s="30"/>
      <c r="AX432" s="29"/>
      <c r="AY432" s="39"/>
      <c r="AZ432" s="30"/>
      <c r="BA432" s="30"/>
      <c r="BB432" s="29"/>
      <c r="BC432" s="52"/>
      <c r="BD432" s="30"/>
      <c r="BE432" s="29"/>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row>
    <row r="433">
      <c r="A433" s="30"/>
      <c r="B433" s="42"/>
      <c r="C433" s="43"/>
      <c r="D433" s="30"/>
      <c r="E433" s="28"/>
      <c r="F433" s="30"/>
      <c r="G433" s="30"/>
      <c r="H433" s="30"/>
      <c r="I433" s="30"/>
      <c r="J433" s="28"/>
      <c r="K433" s="30"/>
      <c r="L433" s="30"/>
      <c r="M433" s="30"/>
      <c r="N433" s="30"/>
      <c r="O433" s="28"/>
      <c r="P433" s="30"/>
      <c r="Q433" s="30"/>
      <c r="R433" s="30"/>
      <c r="S433" s="36"/>
      <c r="T433" s="30"/>
      <c r="U433" s="36"/>
      <c r="V433" s="30"/>
      <c r="W433" s="28"/>
      <c r="X433" s="30"/>
      <c r="Y433" s="30"/>
      <c r="Z433" s="30"/>
      <c r="AA433" s="30"/>
      <c r="AB433" s="30"/>
      <c r="AC433" s="28"/>
      <c r="AD433" s="30"/>
      <c r="AE433" s="30"/>
      <c r="AF433" s="30"/>
      <c r="AG433" s="29"/>
      <c r="AH433" s="30"/>
      <c r="AI433" s="36"/>
      <c r="AJ433" s="30"/>
      <c r="AK433" s="29"/>
      <c r="AL433" s="30"/>
      <c r="AM433" s="30"/>
      <c r="AN433" s="30"/>
      <c r="AO433" s="30"/>
      <c r="AP433" s="30"/>
      <c r="AQ433" s="38"/>
      <c r="AR433" s="30"/>
      <c r="AS433" s="30"/>
      <c r="AT433" s="29"/>
      <c r="AU433" s="30"/>
      <c r="AV433" s="30"/>
      <c r="AW433" s="30"/>
      <c r="AX433" s="29"/>
      <c r="AY433" s="39"/>
      <c r="AZ433" s="30"/>
      <c r="BA433" s="30"/>
      <c r="BB433" s="29"/>
      <c r="BC433" s="52"/>
      <c r="BD433" s="30"/>
      <c r="BE433" s="29"/>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row>
    <row r="434">
      <c r="A434" s="30"/>
      <c r="B434" s="42"/>
      <c r="C434" s="43"/>
      <c r="D434" s="30"/>
      <c r="E434" s="28"/>
      <c r="F434" s="30"/>
      <c r="G434" s="30"/>
      <c r="H434" s="30"/>
      <c r="I434" s="30"/>
      <c r="J434" s="28"/>
      <c r="K434" s="30"/>
      <c r="L434" s="30"/>
      <c r="M434" s="30"/>
      <c r="N434" s="30"/>
      <c r="O434" s="28"/>
      <c r="P434" s="30"/>
      <c r="Q434" s="30"/>
      <c r="R434" s="30"/>
      <c r="S434" s="36"/>
      <c r="T434" s="30"/>
      <c r="U434" s="36"/>
      <c r="V434" s="30"/>
      <c r="W434" s="28"/>
      <c r="X434" s="30"/>
      <c r="Y434" s="30"/>
      <c r="Z434" s="30"/>
      <c r="AA434" s="30"/>
      <c r="AB434" s="30"/>
      <c r="AC434" s="28"/>
      <c r="AD434" s="30"/>
      <c r="AE434" s="30"/>
      <c r="AF434" s="30"/>
      <c r="AG434" s="29"/>
      <c r="AH434" s="30"/>
      <c r="AI434" s="36"/>
      <c r="AJ434" s="30"/>
      <c r="AK434" s="29"/>
      <c r="AL434" s="30"/>
      <c r="AM434" s="30"/>
      <c r="AN434" s="30"/>
      <c r="AO434" s="30"/>
      <c r="AP434" s="30"/>
      <c r="AQ434" s="38"/>
      <c r="AR434" s="30"/>
      <c r="AS434" s="30"/>
      <c r="AT434" s="29"/>
      <c r="AU434" s="30"/>
      <c r="AV434" s="30"/>
      <c r="AW434" s="30"/>
      <c r="AX434" s="29"/>
      <c r="AY434" s="39"/>
      <c r="AZ434" s="30"/>
      <c r="BA434" s="30"/>
      <c r="BB434" s="29"/>
      <c r="BC434" s="52"/>
      <c r="BD434" s="30"/>
      <c r="BE434" s="29"/>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row>
    <row r="435">
      <c r="A435" s="30"/>
      <c r="B435" s="42"/>
      <c r="C435" s="43"/>
      <c r="D435" s="30"/>
      <c r="E435" s="28"/>
      <c r="F435" s="30"/>
      <c r="G435" s="30"/>
      <c r="H435" s="30"/>
      <c r="I435" s="30"/>
      <c r="J435" s="28"/>
      <c r="K435" s="30"/>
      <c r="L435" s="30"/>
      <c r="M435" s="30"/>
      <c r="N435" s="30"/>
      <c r="O435" s="28"/>
      <c r="P435" s="30"/>
      <c r="Q435" s="30"/>
      <c r="R435" s="30"/>
      <c r="S435" s="36"/>
      <c r="T435" s="30"/>
      <c r="U435" s="36"/>
      <c r="V435" s="30"/>
      <c r="W435" s="28"/>
      <c r="X435" s="30"/>
      <c r="Y435" s="30"/>
      <c r="Z435" s="30"/>
      <c r="AA435" s="30"/>
      <c r="AB435" s="30"/>
      <c r="AC435" s="28"/>
      <c r="AD435" s="30"/>
      <c r="AE435" s="30"/>
      <c r="AF435" s="30"/>
      <c r="AG435" s="29"/>
      <c r="AH435" s="30"/>
      <c r="AI435" s="36"/>
      <c r="AJ435" s="30"/>
      <c r="AK435" s="29"/>
      <c r="AL435" s="30"/>
      <c r="AM435" s="30"/>
      <c r="AN435" s="30"/>
      <c r="AO435" s="30"/>
      <c r="AP435" s="30"/>
      <c r="AQ435" s="38"/>
      <c r="AR435" s="30"/>
      <c r="AS435" s="30"/>
      <c r="AT435" s="29"/>
      <c r="AU435" s="30"/>
      <c r="AV435" s="30"/>
      <c r="AW435" s="30"/>
      <c r="AX435" s="29"/>
      <c r="AY435" s="39"/>
      <c r="AZ435" s="30"/>
      <c r="BA435" s="30"/>
      <c r="BB435" s="29"/>
      <c r="BC435" s="52"/>
      <c r="BD435" s="30"/>
      <c r="BE435" s="29"/>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row>
    <row r="436">
      <c r="A436" s="30"/>
      <c r="B436" s="42"/>
      <c r="C436" s="43"/>
      <c r="D436" s="30"/>
      <c r="E436" s="28"/>
      <c r="F436" s="30"/>
      <c r="G436" s="30"/>
      <c r="H436" s="30"/>
      <c r="I436" s="30"/>
      <c r="J436" s="28"/>
      <c r="K436" s="30"/>
      <c r="L436" s="30"/>
      <c r="M436" s="30"/>
      <c r="N436" s="30"/>
      <c r="O436" s="28"/>
      <c r="P436" s="30"/>
      <c r="Q436" s="30"/>
      <c r="R436" s="30"/>
      <c r="S436" s="36"/>
      <c r="T436" s="30"/>
      <c r="U436" s="36"/>
      <c r="V436" s="30"/>
      <c r="W436" s="28"/>
      <c r="X436" s="30"/>
      <c r="Y436" s="30"/>
      <c r="Z436" s="30"/>
      <c r="AA436" s="30"/>
      <c r="AB436" s="30"/>
      <c r="AC436" s="28"/>
      <c r="AD436" s="30"/>
      <c r="AE436" s="30"/>
      <c r="AF436" s="30"/>
      <c r="AG436" s="29"/>
      <c r="AH436" s="30"/>
      <c r="AI436" s="36"/>
      <c r="AJ436" s="30"/>
      <c r="AK436" s="29"/>
      <c r="AL436" s="30"/>
      <c r="AM436" s="30"/>
      <c r="AN436" s="30"/>
      <c r="AO436" s="30"/>
      <c r="AP436" s="30"/>
      <c r="AQ436" s="38"/>
      <c r="AR436" s="30"/>
      <c r="AS436" s="30"/>
      <c r="AT436" s="29"/>
      <c r="AU436" s="30"/>
      <c r="AV436" s="30"/>
      <c r="AW436" s="30"/>
      <c r="AX436" s="29"/>
      <c r="AY436" s="39"/>
      <c r="AZ436" s="30"/>
      <c r="BA436" s="30"/>
      <c r="BB436" s="29"/>
      <c r="BC436" s="52"/>
      <c r="BD436" s="30"/>
      <c r="BE436" s="29"/>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row>
    <row r="437">
      <c r="A437" s="30"/>
      <c r="B437" s="42"/>
      <c r="C437" s="43"/>
      <c r="D437" s="30"/>
      <c r="E437" s="28"/>
      <c r="F437" s="30"/>
      <c r="G437" s="30"/>
      <c r="H437" s="30"/>
      <c r="I437" s="30"/>
      <c r="J437" s="28"/>
      <c r="K437" s="30"/>
      <c r="L437" s="30"/>
      <c r="M437" s="30"/>
      <c r="N437" s="30"/>
      <c r="O437" s="28"/>
      <c r="P437" s="30"/>
      <c r="Q437" s="30"/>
      <c r="R437" s="30"/>
      <c r="S437" s="36"/>
      <c r="T437" s="30"/>
      <c r="U437" s="36"/>
      <c r="V437" s="30"/>
      <c r="W437" s="28"/>
      <c r="X437" s="30"/>
      <c r="Y437" s="30"/>
      <c r="Z437" s="30"/>
      <c r="AA437" s="30"/>
      <c r="AB437" s="30"/>
      <c r="AC437" s="28"/>
      <c r="AD437" s="30"/>
      <c r="AE437" s="30"/>
      <c r="AF437" s="30"/>
      <c r="AG437" s="29"/>
      <c r="AH437" s="30"/>
      <c r="AI437" s="36"/>
      <c r="AJ437" s="30"/>
      <c r="AK437" s="29"/>
      <c r="AL437" s="30"/>
      <c r="AM437" s="30"/>
      <c r="AN437" s="30"/>
      <c r="AO437" s="30"/>
      <c r="AP437" s="30"/>
      <c r="AQ437" s="38"/>
      <c r="AR437" s="30"/>
      <c r="AS437" s="30"/>
      <c r="AT437" s="29"/>
      <c r="AU437" s="30"/>
      <c r="AV437" s="30"/>
      <c r="AW437" s="30"/>
      <c r="AX437" s="29"/>
      <c r="AY437" s="39"/>
      <c r="AZ437" s="30"/>
      <c r="BA437" s="30"/>
      <c r="BB437" s="29"/>
      <c r="BC437" s="52"/>
      <c r="BD437" s="30"/>
      <c r="BE437" s="29"/>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row>
    <row r="438">
      <c r="A438" s="30"/>
      <c r="B438" s="42"/>
      <c r="C438" s="43"/>
      <c r="D438" s="30"/>
      <c r="E438" s="28"/>
      <c r="F438" s="30"/>
      <c r="G438" s="30"/>
      <c r="H438" s="30"/>
      <c r="I438" s="30"/>
      <c r="J438" s="28"/>
      <c r="K438" s="30"/>
      <c r="L438" s="30"/>
      <c r="M438" s="30"/>
      <c r="N438" s="30"/>
      <c r="O438" s="28"/>
      <c r="P438" s="30"/>
      <c r="Q438" s="30"/>
      <c r="R438" s="30"/>
      <c r="S438" s="36"/>
      <c r="T438" s="30"/>
      <c r="U438" s="36"/>
      <c r="V438" s="30"/>
      <c r="W438" s="28"/>
      <c r="X438" s="30"/>
      <c r="Y438" s="30"/>
      <c r="Z438" s="30"/>
      <c r="AA438" s="30"/>
      <c r="AB438" s="30"/>
      <c r="AC438" s="28"/>
      <c r="AD438" s="30"/>
      <c r="AE438" s="30"/>
      <c r="AF438" s="30"/>
      <c r="AG438" s="29"/>
      <c r="AH438" s="30"/>
      <c r="AI438" s="36"/>
      <c r="AJ438" s="30"/>
      <c r="AK438" s="29"/>
      <c r="AL438" s="30"/>
      <c r="AM438" s="30"/>
      <c r="AN438" s="30"/>
      <c r="AO438" s="30"/>
      <c r="AP438" s="30"/>
      <c r="AQ438" s="38"/>
      <c r="AR438" s="30"/>
      <c r="AS438" s="30"/>
      <c r="AT438" s="29"/>
      <c r="AU438" s="30"/>
      <c r="AV438" s="30"/>
      <c r="AW438" s="30"/>
      <c r="AX438" s="29"/>
      <c r="AY438" s="39"/>
      <c r="AZ438" s="30"/>
      <c r="BA438" s="30"/>
      <c r="BB438" s="29"/>
      <c r="BC438" s="52"/>
      <c r="BD438" s="30"/>
      <c r="BE438" s="29"/>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row>
    <row r="439">
      <c r="A439" s="30"/>
      <c r="B439" s="42"/>
      <c r="C439" s="43"/>
      <c r="D439" s="30"/>
      <c r="E439" s="28"/>
      <c r="F439" s="30"/>
      <c r="G439" s="30"/>
      <c r="H439" s="30"/>
      <c r="I439" s="30"/>
      <c r="J439" s="28"/>
      <c r="K439" s="30"/>
      <c r="L439" s="30"/>
      <c r="M439" s="30"/>
      <c r="N439" s="30"/>
      <c r="O439" s="28"/>
      <c r="P439" s="30"/>
      <c r="Q439" s="30"/>
      <c r="R439" s="30"/>
      <c r="S439" s="36"/>
      <c r="T439" s="30"/>
      <c r="U439" s="36"/>
      <c r="V439" s="30"/>
      <c r="W439" s="28"/>
      <c r="X439" s="30"/>
      <c r="Y439" s="30"/>
      <c r="Z439" s="30"/>
      <c r="AA439" s="30"/>
      <c r="AB439" s="30"/>
      <c r="AC439" s="28"/>
      <c r="AD439" s="30"/>
      <c r="AE439" s="30"/>
      <c r="AF439" s="30"/>
      <c r="AG439" s="29"/>
      <c r="AH439" s="30"/>
      <c r="AI439" s="36"/>
      <c r="AJ439" s="30"/>
      <c r="AK439" s="29"/>
      <c r="AL439" s="30"/>
      <c r="AM439" s="30"/>
      <c r="AN439" s="30"/>
      <c r="AO439" s="30"/>
      <c r="AP439" s="30"/>
      <c r="AQ439" s="38"/>
      <c r="AR439" s="30"/>
      <c r="AS439" s="30"/>
      <c r="AT439" s="29"/>
      <c r="AU439" s="30"/>
      <c r="AV439" s="30"/>
      <c r="AW439" s="30"/>
      <c r="AX439" s="29"/>
      <c r="AY439" s="39"/>
      <c r="AZ439" s="30"/>
      <c r="BA439" s="30"/>
      <c r="BB439" s="29"/>
      <c r="BC439" s="52"/>
      <c r="BD439" s="30"/>
      <c r="BE439" s="29"/>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row>
    <row r="440">
      <c r="A440" s="30"/>
      <c r="B440" s="42"/>
      <c r="C440" s="43"/>
      <c r="D440" s="30"/>
      <c r="E440" s="28"/>
      <c r="F440" s="30"/>
      <c r="G440" s="30"/>
      <c r="H440" s="30"/>
      <c r="I440" s="30"/>
      <c r="J440" s="28"/>
      <c r="K440" s="30"/>
      <c r="L440" s="30"/>
      <c r="M440" s="30"/>
      <c r="N440" s="30"/>
      <c r="O440" s="28"/>
      <c r="P440" s="30"/>
      <c r="Q440" s="30"/>
      <c r="R440" s="30"/>
      <c r="S440" s="36"/>
      <c r="T440" s="30"/>
      <c r="U440" s="36"/>
      <c r="V440" s="30"/>
      <c r="W440" s="28"/>
      <c r="X440" s="30"/>
      <c r="Y440" s="30"/>
      <c r="Z440" s="30"/>
      <c r="AA440" s="30"/>
      <c r="AB440" s="30"/>
      <c r="AC440" s="28"/>
      <c r="AD440" s="30"/>
      <c r="AE440" s="30"/>
      <c r="AF440" s="30"/>
      <c r="AG440" s="29"/>
      <c r="AH440" s="30"/>
      <c r="AI440" s="36"/>
      <c r="AJ440" s="30"/>
      <c r="AK440" s="29"/>
      <c r="AL440" s="30"/>
      <c r="AM440" s="30"/>
      <c r="AN440" s="30"/>
      <c r="AO440" s="30"/>
      <c r="AP440" s="30"/>
      <c r="AQ440" s="38"/>
      <c r="AR440" s="30"/>
      <c r="AS440" s="30"/>
      <c r="AT440" s="29"/>
      <c r="AU440" s="30"/>
      <c r="AV440" s="30"/>
      <c r="AW440" s="30"/>
      <c r="AX440" s="29"/>
      <c r="AY440" s="39"/>
      <c r="AZ440" s="30"/>
      <c r="BA440" s="30"/>
      <c r="BB440" s="29"/>
      <c r="BC440" s="52"/>
      <c r="BD440" s="30"/>
      <c r="BE440" s="29"/>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row>
    <row r="441">
      <c r="A441" s="30"/>
      <c r="B441" s="42"/>
      <c r="C441" s="43"/>
      <c r="D441" s="30"/>
      <c r="E441" s="28"/>
      <c r="F441" s="30"/>
      <c r="G441" s="30"/>
      <c r="H441" s="30"/>
      <c r="I441" s="30"/>
      <c r="J441" s="28"/>
      <c r="K441" s="30"/>
      <c r="L441" s="30"/>
      <c r="M441" s="30"/>
      <c r="N441" s="30"/>
      <c r="O441" s="28"/>
      <c r="P441" s="30"/>
      <c r="Q441" s="30"/>
      <c r="R441" s="30"/>
      <c r="S441" s="36"/>
      <c r="T441" s="30"/>
      <c r="U441" s="36"/>
      <c r="V441" s="30"/>
      <c r="W441" s="28"/>
      <c r="X441" s="30"/>
      <c r="Y441" s="30"/>
      <c r="Z441" s="30"/>
      <c r="AA441" s="30"/>
      <c r="AB441" s="30"/>
      <c r="AC441" s="28"/>
      <c r="AD441" s="30"/>
      <c r="AE441" s="30"/>
      <c r="AF441" s="30"/>
      <c r="AG441" s="29"/>
      <c r="AH441" s="30"/>
      <c r="AI441" s="36"/>
      <c r="AJ441" s="30"/>
      <c r="AK441" s="29"/>
      <c r="AL441" s="30"/>
      <c r="AM441" s="30"/>
      <c r="AN441" s="30"/>
      <c r="AO441" s="30"/>
      <c r="AP441" s="30"/>
      <c r="AQ441" s="38"/>
      <c r="AR441" s="30"/>
      <c r="AS441" s="30"/>
      <c r="AT441" s="29"/>
      <c r="AU441" s="30"/>
      <c r="AV441" s="30"/>
      <c r="AW441" s="30"/>
      <c r="AX441" s="29"/>
      <c r="AY441" s="39"/>
      <c r="AZ441" s="30"/>
      <c r="BA441" s="30"/>
      <c r="BB441" s="29"/>
      <c r="BC441" s="52"/>
      <c r="BD441" s="30"/>
      <c r="BE441" s="29"/>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row>
    <row r="442">
      <c r="A442" s="30"/>
      <c r="B442" s="42"/>
      <c r="C442" s="43"/>
      <c r="D442" s="30"/>
      <c r="E442" s="28"/>
      <c r="F442" s="30"/>
      <c r="G442" s="30"/>
      <c r="H442" s="30"/>
      <c r="I442" s="30"/>
      <c r="J442" s="28"/>
      <c r="K442" s="30"/>
      <c r="L442" s="30"/>
      <c r="M442" s="30"/>
      <c r="N442" s="30"/>
      <c r="O442" s="28"/>
      <c r="P442" s="30"/>
      <c r="Q442" s="30"/>
      <c r="R442" s="30"/>
      <c r="S442" s="36"/>
      <c r="T442" s="30"/>
      <c r="U442" s="36"/>
      <c r="V442" s="30"/>
      <c r="W442" s="28"/>
      <c r="X442" s="30"/>
      <c r="Y442" s="30"/>
      <c r="Z442" s="30"/>
      <c r="AA442" s="30"/>
      <c r="AB442" s="30"/>
      <c r="AC442" s="28"/>
      <c r="AD442" s="30"/>
      <c r="AE442" s="30"/>
      <c r="AF442" s="30"/>
      <c r="AG442" s="29"/>
      <c r="AH442" s="30"/>
      <c r="AI442" s="36"/>
      <c r="AJ442" s="30"/>
      <c r="AK442" s="29"/>
      <c r="AL442" s="30"/>
      <c r="AM442" s="30"/>
      <c r="AN442" s="30"/>
      <c r="AO442" s="30"/>
      <c r="AP442" s="30"/>
      <c r="AQ442" s="38"/>
      <c r="AR442" s="30"/>
      <c r="AS442" s="30"/>
      <c r="AT442" s="29"/>
      <c r="AU442" s="30"/>
      <c r="AV442" s="30"/>
      <c r="AW442" s="30"/>
      <c r="AX442" s="29"/>
      <c r="AY442" s="39"/>
      <c r="AZ442" s="30"/>
      <c r="BA442" s="30"/>
      <c r="BB442" s="29"/>
      <c r="BC442" s="52"/>
      <c r="BD442" s="30"/>
      <c r="BE442" s="29"/>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row>
    <row r="443">
      <c r="A443" s="30"/>
      <c r="B443" s="42"/>
      <c r="C443" s="43"/>
      <c r="D443" s="30"/>
      <c r="E443" s="28"/>
      <c r="F443" s="30"/>
      <c r="G443" s="30"/>
      <c r="H443" s="30"/>
      <c r="I443" s="30"/>
      <c r="J443" s="28"/>
      <c r="K443" s="30"/>
      <c r="L443" s="30"/>
      <c r="M443" s="30"/>
      <c r="N443" s="30"/>
      <c r="O443" s="28"/>
      <c r="P443" s="30"/>
      <c r="Q443" s="30"/>
      <c r="R443" s="30"/>
      <c r="S443" s="36"/>
      <c r="T443" s="30"/>
      <c r="U443" s="36"/>
      <c r="V443" s="30"/>
      <c r="W443" s="28"/>
      <c r="X443" s="30"/>
      <c r="Y443" s="30"/>
      <c r="Z443" s="30"/>
      <c r="AA443" s="30"/>
      <c r="AB443" s="30"/>
      <c r="AC443" s="28"/>
      <c r="AD443" s="30"/>
      <c r="AE443" s="30"/>
      <c r="AF443" s="30"/>
      <c r="AG443" s="29"/>
      <c r="AH443" s="30"/>
      <c r="AI443" s="36"/>
      <c r="AJ443" s="30"/>
      <c r="AK443" s="29"/>
      <c r="AL443" s="30"/>
      <c r="AM443" s="30"/>
      <c r="AN443" s="30"/>
      <c r="AO443" s="30"/>
      <c r="AP443" s="30"/>
      <c r="AQ443" s="38"/>
      <c r="AR443" s="30"/>
      <c r="AS443" s="30"/>
      <c r="AT443" s="29"/>
      <c r="AU443" s="30"/>
      <c r="AV443" s="30"/>
      <c r="AW443" s="30"/>
      <c r="AX443" s="29"/>
      <c r="AY443" s="39"/>
      <c r="AZ443" s="30"/>
      <c r="BA443" s="30"/>
      <c r="BB443" s="29"/>
      <c r="BC443" s="52"/>
      <c r="BD443" s="30"/>
      <c r="BE443" s="29"/>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row>
    <row r="444">
      <c r="A444" s="30"/>
      <c r="B444" s="42"/>
      <c r="C444" s="43"/>
      <c r="D444" s="30"/>
      <c r="E444" s="28"/>
      <c r="F444" s="30"/>
      <c r="G444" s="30"/>
      <c r="H444" s="30"/>
      <c r="I444" s="30"/>
      <c r="J444" s="28"/>
      <c r="K444" s="30"/>
      <c r="L444" s="30"/>
      <c r="M444" s="30"/>
      <c r="N444" s="30"/>
      <c r="O444" s="28"/>
      <c r="P444" s="30"/>
      <c r="Q444" s="30"/>
      <c r="R444" s="30"/>
      <c r="S444" s="36"/>
      <c r="T444" s="30"/>
      <c r="U444" s="36"/>
      <c r="V444" s="30"/>
      <c r="W444" s="28"/>
      <c r="X444" s="30"/>
      <c r="Y444" s="30"/>
      <c r="Z444" s="30"/>
      <c r="AA444" s="30"/>
      <c r="AB444" s="30"/>
      <c r="AC444" s="28"/>
      <c r="AD444" s="30"/>
      <c r="AE444" s="30"/>
      <c r="AF444" s="30"/>
      <c r="AG444" s="29"/>
      <c r="AH444" s="30"/>
      <c r="AI444" s="36"/>
      <c r="AJ444" s="30"/>
      <c r="AK444" s="29"/>
      <c r="AL444" s="30"/>
      <c r="AM444" s="30"/>
      <c r="AN444" s="30"/>
      <c r="AO444" s="30"/>
      <c r="AP444" s="30"/>
      <c r="AQ444" s="38"/>
      <c r="AR444" s="30"/>
      <c r="AS444" s="30"/>
      <c r="AT444" s="29"/>
      <c r="AU444" s="30"/>
      <c r="AV444" s="30"/>
      <c r="AW444" s="30"/>
      <c r="AX444" s="29"/>
      <c r="AY444" s="39"/>
      <c r="AZ444" s="30"/>
      <c r="BA444" s="30"/>
      <c r="BB444" s="29"/>
      <c r="BC444" s="52"/>
      <c r="BD444" s="30"/>
      <c r="BE444" s="29"/>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row>
    <row r="445">
      <c r="A445" s="30"/>
      <c r="B445" s="42"/>
      <c r="C445" s="43"/>
      <c r="D445" s="30"/>
      <c r="E445" s="28"/>
      <c r="F445" s="30"/>
      <c r="G445" s="30"/>
      <c r="H445" s="30"/>
      <c r="I445" s="30"/>
      <c r="J445" s="28"/>
      <c r="K445" s="30"/>
      <c r="L445" s="30"/>
      <c r="M445" s="30"/>
      <c r="N445" s="30"/>
      <c r="O445" s="28"/>
      <c r="P445" s="30"/>
      <c r="Q445" s="30"/>
      <c r="R445" s="30"/>
      <c r="S445" s="36"/>
      <c r="T445" s="30"/>
      <c r="U445" s="36"/>
      <c r="V445" s="30"/>
      <c r="W445" s="28"/>
      <c r="X445" s="30"/>
      <c r="Y445" s="30"/>
      <c r="Z445" s="30"/>
      <c r="AA445" s="30"/>
      <c r="AB445" s="30"/>
      <c r="AC445" s="28"/>
      <c r="AD445" s="30"/>
      <c r="AE445" s="30"/>
      <c r="AF445" s="30"/>
      <c r="AG445" s="29"/>
      <c r="AH445" s="30"/>
      <c r="AI445" s="36"/>
      <c r="AJ445" s="30"/>
      <c r="AK445" s="29"/>
      <c r="AL445" s="30"/>
      <c r="AM445" s="30"/>
      <c r="AN445" s="30"/>
      <c r="AO445" s="30"/>
      <c r="AP445" s="30"/>
      <c r="AQ445" s="38"/>
      <c r="AR445" s="30"/>
      <c r="AS445" s="30"/>
      <c r="AT445" s="29"/>
      <c r="AU445" s="30"/>
      <c r="AV445" s="30"/>
      <c r="AW445" s="30"/>
      <c r="AX445" s="29"/>
      <c r="AY445" s="39"/>
      <c r="AZ445" s="30"/>
      <c r="BA445" s="30"/>
      <c r="BB445" s="29"/>
      <c r="BC445" s="52"/>
      <c r="BD445" s="30"/>
      <c r="BE445" s="29"/>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row>
    <row r="446">
      <c r="A446" s="30"/>
      <c r="B446" s="42"/>
      <c r="C446" s="43"/>
      <c r="D446" s="30"/>
      <c r="E446" s="28"/>
      <c r="F446" s="30"/>
      <c r="G446" s="30"/>
      <c r="H446" s="30"/>
      <c r="I446" s="30"/>
      <c r="J446" s="28"/>
      <c r="K446" s="30"/>
      <c r="L446" s="30"/>
      <c r="M446" s="30"/>
      <c r="N446" s="30"/>
      <c r="O446" s="28"/>
      <c r="P446" s="30"/>
      <c r="Q446" s="30"/>
      <c r="R446" s="30"/>
      <c r="S446" s="36"/>
      <c r="T446" s="30"/>
      <c r="U446" s="36"/>
      <c r="V446" s="30"/>
      <c r="W446" s="28"/>
      <c r="X446" s="30"/>
      <c r="Y446" s="30"/>
      <c r="Z446" s="30"/>
      <c r="AA446" s="30"/>
      <c r="AB446" s="30"/>
      <c r="AC446" s="28"/>
      <c r="AD446" s="30"/>
      <c r="AE446" s="30"/>
      <c r="AF446" s="30"/>
      <c r="AG446" s="29"/>
      <c r="AH446" s="30"/>
      <c r="AI446" s="36"/>
      <c r="AJ446" s="30"/>
      <c r="AK446" s="29"/>
      <c r="AL446" s="30"/>
      <c r="AM446" s="30"/>
      <c r="AN446" s="30"/>
      <c r="AO446" s="30"/>
      <c r="AP446" s="30"/>
      <c r="AQ446" s="38"/>
      <c r="AR446" s="30"/>
      <c r="AS446" s="30"/>
      <c r="AT446" s="29"/>
      <c r="AU446" s="30"/>
      <c r="AV446" s="30"/>
      <c r="AW446" s="30"/>
      <c r="AX446" s="29"/>
      <c r="AY446" s="39"/>
      <c r="AZ446" s="30"/>
      <c r="BA446" s="30"/>
      <c r="BB446" s="29"/>
      <c r="BC446" s="52"/>
      <c r="BD446" s="30"/>
      <c r="BE446" s="29"/>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row>
    <row r="447">
      <c r="A447" s="30"/>
      <c r="B447" s="42"/>
      <c r="C447" s="43"/>
      <c r="D447" s="30"/>
      <c r="E447" s="28"/>
      <c r="F447" s="30"/>
      <c r="G447" s="30"/>
      <c r="H447" s="30"/>
      <c r="I447" s="30"/>
      <c r="J447" s="28"/>
      <c r="K447" s="30"/>
      <c r="L447" s="30"/>
      <c r="M447" s="30"/>
      <c r="N447" s="30"/>
      <c r="O447" s="28"/>
      <c r="P447" s="30"/>
      <c r="Q447" s="30"/>
      <c r="R447" s="30"/>
      <c r="S447" s="36"/>
      <c r="T447" s="30"/>
      <c r="U447" s="36"/>
      <c r="V447" s="30"/>
      <c r="W447" s="28"/>
      <c r="X447" s="30"/>
      <c r="Y447" s="30"/>
      <c r="Z447" s="30"/>
      <c r="AA447" s="30"/>
      <c r="AB447" s="30"/>
      <c r="AC447" s="28"/>
      <c r="AD447" s="30"/>
      <c r="AE447" s="30"/>
      <c r="AF447" s="30"/>
      <c r="AG447" s="29"/>
      <c r="AH447" s="30"/>
      <c r="AI447" s="36"/>
      <c r="AJ447" s="30"/>
      <c r="AK447" s="29"/>
      <c r="AL447" s="30"/>
      <c r="AM447" s="30"/>
      <c r="AN447" s="30"/>
      <c r="AO447" s="30"/>
      <c r="AP447" s="30"/>
      <c r="AQ447" s="38"/>
      <c r="AR447" s="30"/>
      <c r="AS447" s="30"/>
      <c r="AT447" s="29"/>
      <c r="AU447" s="30"/>
      <c r="AV447" s="30"/>
      <c r="AW447" s="30"/>
      <c r="AX447" s="29"/>
      <c r="AY447" s="39"/>
      <c r="AZ447" s="30"/>
      <c r="BA447" s="30"/>
      <c r="BB447" s="29"/>
      <c r="BC447" s="52"/>
      <c r="BD447" s="30"/>
      <c r="BE447" s="29"/>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c r="DT447" s="30"/>
      <c r="DU447" s="30"/>
      <c r="DV447" s="30"/>
      <c r="DW447" s="30"/>
      <c r="DX447" s="30"/>
      <c r="DY447" s="30"/>
      <c r="DZ447" s="30"/>
    </row>
    <row r="448">
      <c r="A448" s="30"/>
      <c r="B448" s="42"/>
      <c r="C448" s="43"/>
      <c r="D448" s="30"/>
      <c r="E448" s="28"/>
      <c r="F448" s="30"/>
      <c r="G448" s="30"/>
      <c r="H448" s="30"/>
      <c r="I448" s="30"/>
      <c r="J448" s="28"/>
      <c r="K448" s="30"/>
      <c r="L448" s="30"/>
      <c r="M448" s="30"/>
      <c r="N448" s="30"/>
      <c r="O448" s="28"/>
      <c r="P448" s="30"/>
      <c r="Q448" s="30"/>
      <c r="R448" s="30"/>
      <c r="S448" s="36"/>
      <c r="T448" s="30"/>
      <c r="U448" s="36"/>
      <c r="V448" s="30"/>
      <c r="W448" s="28"/>
      <c r="X448" s="30"/>
      <c r="Y448" s="30"/>
      <c r="Z448" s="30"/>
      <c r="AA448" s="30"/>
      <c r="AB448" s="30"/>
      <c r="AC448" s="28"/>
      <c r="AD448" s="30"/>
      <c r="AE448" s="30"/>
      <c r="AF448" s="30"/>
      <c r="AG448" s="29"/>
      <c r="AH448" s="30"/>
      <c r="AI448" s="36"/>
      <c r="AJ448" s="30"/>
      <c r="AK448" s="29"/>
      <c r="AL448" s="30"/>
      <c r="AM448" s="30"/>
      <c r="AN448" s="30"/>
      <c r="AO448" s="30"/>
      <c r="AP448" s="30"/>
      <c r="AQ448" s="38"/>
      <c r="AR448" s="30"/>
      <c r="AS448" s="30"/>
      <c r="AT448" s="29"/>
      <c r="AU448" s="30"/>
      <c r="AV448" s="30"/>
      <c r="AW448" s="30"/>
      <c r="AX448" s="29"/>
      <c r="AY448" s="39"/>
      <c r="AZ448" s="30"/>
      <c r="BA448" s="30"/>
      <c r="BB448" s="29"/>
      <c r="BC448" s="52"/>
      <c r="BD448" s="30"/>
      <c r="BE448" s="29"/>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row>
    <row r="449">
      <c r="A449" s="30"/>
      <c r="B449" s="42"/>
      <c r="C449" s="43"/>
      <c r="D449" s="30"/>
      <c r="E449" s="28"/>
      <c r="F449" s="30"/>
      <c r="G449" s="30"/>
      <c r="H449" s="30"/>
      <c r="I449" s="30"/>
      <c r="J449" s="28"/>
      <c r="K449" s="30"/>
      <c r="L449" s="30"/>
      <c r="M449" s="30"/>
      <c r="N449" s="30"/>
      <c r="O449" s="28"/>
      <c r="P449" s="30"/>
      <c r="Q449" s="30"/>
      <c r="R449" s="30"/>
      <c r="S449" s="36"/>
      <c r="T449" s="30"/>
      <c r="U449" s="36"/>
      <c r="V449" s="30"/>
      <c r="W449" s="28"/>
      <c r="X449" s="30"/>
      <c r="Y449" s="30"/>
      <c r="Z449" s="30"/>
      <c r="AA449" s="30"/>
      <c r="AB449" s="30"/>
      <c r="AC449" s="28"/>
      <c r="AD449" s="30"/>
      <c r="AE449" s="30"/>
      <c r="AF449" s="30"/>
      <c r="AG449" s="29"/>
      <c r="AH449" s="30"/>
      <c r="AI449" s="36"/>
      <c r="AJ449" s="30"/>
      <c r="AK449" s="29"/>
      <c r="AL449" s="30"/>
      <c r="AM449" s="30"/>
      <c r="AN449" s="30"/>
      <c r="AO449" s="30"/>
      <c r="AP449" s="30"/>
      <c r="AQ449" s="38"/>
      <c r="AR449" s="30"/>
      <c r="AS449" s="30"/>
      <c r="AT449" s="29"/>
      <c r="AU449" s="30"/>
      <c r="AV449" s="30"/>
      <c r="AW449" s="30"/>
      <c r="AX449" s="29"/>
      <c r="AY449" s="39"/>
      <c r="AZ449" s="30"/>
      <c r="BA449" s="30"/>
      <c r="BB449" s="29"/>
      <c r="BC449" s="52"/>
      <c r="BD449" s="30"/>
      <c r="BE449" s="29"/>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row>
    <row r="450">
      <c r="A450" s="30"/>
      <c r="B450" s="42"/>
      <c r="C450" s="43"/>
      <c r="D450" s="30"/>
      <c r="E450" s="28"/>
      <c r="F450" s="30"/>
      <c r="G450" s="30"/>
      <c r="H450" s="30"/>
      <c r="I450" s="30"/>
      <c r="J450" s="28"/>
      <c r="K450" s="30"/>
      <c r="L450" s="30"/>
      <c r="M450" s="30"/>
      <c r="N450" s="30"/>
      <c r="O450" s="28"/>
      <c r="P450" s="30"/>
      <c r="Q450" s="30"/>
      <c r="R450" s="30"/>
      <c r="S450" s="36"/>
      <c r="T450" s="30"/>
      <c r="U450" s="36"/>
      <c r="V450" s="30"/>
      <c r="W450" s="28"/>
      <c r="X450" s="30"/>
      <c r="Y450" s="30"/>
      <c r="Z450" s="30"/>
      <c r="AA450" s="30"/>
      <c r="AB450" s="30"/>
      <c r="AC450" s="28"/>
      <c r="AD450" s="30"/>
      <c r="AE450" s="30"/>
      <c r="AF450" s="30"/>
      <c r="AG450" s="29"/>
      <c r="AH450" s="30"/>
      <c r="AI450" s="36"/>
      <c r="AJ450" s="30"/>
      <c r="AK450" s="29"/>
      <c r="AL450" s="30"/>
      <c r="AM450" s="30"/>
      <c r="AN450" s="30"/>
      <c r="AO450" s="30"/>
      <c r="AP450" s="30"/>
      <c r="AQ450" s="38"/>
      <c r="AR450" s="30"/>
      <c r="AS450" s="30"/>
      <c r="AT450" s="29"/>
      <c r="AU450" s="30"/>
      <c r="AV450" s="30"/>
      <c r="AW450" s="30"/>
      <c r="AX450" s="29"/>
      <c r="AY450" s="39"/>
      <c r="AZ450" s="30"/>
      <c r="BA450" s="30"/>
      <c r="BB450" s="29"/>
      <c r="BC450" s="52"/>
      <c r="BD450" s="30"/>
      <c r="BE450" s="29"/>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row>
    <row r="451">
      <c r="A451" s="30"/>
      <c r="B451" s="42"/>
      <c r="C451" s="43"/>
      <c r="D451" s="30"/>
      <c r="E451" s="28"/>
      <c r="F451" s="30"/>
      <c r="G451" s="30"/>
      <c r="H451" s="30"/>
      <c r="I451" s="30"/>
      <c r="J451" s="28"/>
      <c r="K451" s="30"/>
      <c r="L451" s="30"/>
      <c r="M451" s="30"/>
      <c r="N451" s="30"/>
      <c r="O451" s="28"/>
      <c r="P451" s="30"/>
      <c r="Q451" s="30"/>
      <c r="R451" s="30"/>
      <c r="S451" s="36"/>
      <c r="T451" s="30"/>
      <c r="U451" s="36"/>
      <c r="V451" s="30"/>
      <c r="W451" s="28"/>
      <c r="X451" s="30"/>
      <c r="Y451" s="30"/>
      <c r="Z451" s="30"/>
      <c r="AA451" s="30"/>
      <c r="AB451" s="30"/>
      <c r="AC451" s="28"/>
      <c r="AD451" s="30"/>
      <c r="AE451" s="30"/>
      <c r="AF451" s="30"/>
      <c r="AG451" s="29"/>
      <c r="AH451" s="30"/>
      <c r="AI451" s="36"/>
      <c r="AJ451" s="30"/>
      <c r="AK451" s="29"/>
      <c r="AL451" s="30"/>
      <c r="AM451" s="30"/>
      <c r="AN451" s="30"/>
      <c r="AO451" s="30"/>
      <c r="AP451" s="30"/>
      <c r="AQ451" s="38"/>
      <c r="AR451" s="30"/>
      <c r="AS451" s="30"/>
      <c r="AT451" s="29"/>
      <c r="AU451" s="30"/>
      <c r="AV451" s="30"/>
      <c r="AW451" s="30"/>
      <c r="AX451" s="29"/>
      <c r="AY451" s="39"/>
      <c r="AZ451" s="30"/>
      <c r="BA451" s="30"/>
      <c r="BB451" s="29"/>
      <c r="BC451" s="52"/>
      <c r="BD451" s="30"/>
      <c r="BE451" s="29"/>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row>
    <row r="452">
      <c r="A452" s="30"/>
      <c r="B452" s="42"/>
      <c r="C452" s="43"/>
      <c r="D452" s="30"/>
      <c r="E452" s="28"/>
      <c r="F452" s="30"/>
      <c r="G452" s="30"/>
      <c r="H452" s="30"/>
      <c r="I452" s="30"/>
      <c r="J452" s="28"/>
      <c r="K452" s="30"/>
      <c r="L452" s="30"/>
      <c r="M452" s="30"/>
      <c r="N452" s="30"/>
      <c r="O452" s="28"/>
      <c r="P452" s="30"/>
      <c r="Q452" s="30"/>
      <c r="R452" s="30"/>
      <c r="S452" s="36"/>
      <c r="T452" s="30"/>
      <c r="U452" s="36"/>
      <c r="V452" s="30"/>
      <c r="W452" s="28"/>
      <c r="X452" s="30"/>
      <c r="Y452" s="30"/>
      <c r="Z452" s="30"/>
      <c r="AA452" s="30"/>
      <c r="AB452" s="30"/>
      <c r="AC452" s="28"/>
      <c r="AD452" s="30"/>
      <c r="AE452" s="30"/>
      <c r="AF452" s="30"/>
      <c r="AG452" s="29"/>
      <c r="AH452" s="30"/>
      <c r="AI452" s="36"/>
      <c r="AJ452" s="30"/>
      <c r="AK452" s="29"/>
      <c r="AL452" s="30"/>
      <c r="AM452" s="30"/>
      <c r="AN452" s="30"/>
      <c r="AO452" s="30"/>
      <c r="AP452" s="30"/>
      <c r="AQ452" s="38"/>
      <c r="AR452" s="30"/>
      <c r="AS452" s="30"/>
      <c r="AT452" s="29"/>
      <c r="AU452" s="30"/>
      <c r="AV452" s="30"/>
      <c r="AW452" s="30"/>
      <c r="AX452" s="29"/>
      <c r="AY452" s="39"/>
      <c r="AZ452" s="30"/>
      <c r="BA452" s="30"/>
      <c r="BB452" s="29"/>
      <c r="BC452" s="52"/>
      <c r="BD452" s="30"/>
      <c r="BE452" s="29"/>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row>
    <row r="453">
      <c r="A453" s="30"/>
      <c r="B453" s="42"/>
      <c r="C453" s="43"/>
      <c r="D453" s="30"/>
      <c r="E453" s="28"/>
      <c r="F453" s="30"/>
      <c r="G453" s="30"/>
      <c r="H453" s="30"/>
      <c r="I453" s="30"/>
      <c r="J453" s="28"/>
      <c r="K453" s="30"/>
      <c r="L453" s="30"/>
      <c r="M453" s="30"/>
      <c r="N453" s="30"/>
      <c r="O453" s="28"/>
      <c r="P453" s="30"/>
      <c r="Q453" s="30"/>
      <c r="R453" s="30"/>
      <c r="S453" s="36"/>
      <c r="T453" s="30"/>
      <c r="U453" s="36"/>
      <c r="V453" s="30"/>
      <c r="W453" s="28"/>
      <c r="X453" s="30"/>
      <c r="Y453" s="30"/>
      <c r="Z453" s="30"/>
      <c r="AA453" s="30"/>
      <c r="AB453" s="30"/>
      <c r="AC453" s="28"/>
      <c r="AD453" s="30"/>
      <c r="AE453" s="30"/>
      <c r="AF453" s="30"/>
      <c r="AG453" s="29"/>
      <c r="AH453" s="30"/>
      <c r="AI453" s="36"/>
      <c r="AJ453" s="30"/>
      <c r="AK453" s="29"/>
      <c r="AL453" s="30"/>
      <c r="AM453" s="30"/>
      <c r="AN453" s="30"/>
      <c r="AO453" s="30"/>
      <c r="AP453" s="30"/>
      <c r="AQ453" s="38"/>
      <c r="AR453" s="30"/>
      <c r="AS453" s="30"/>
      <c r="AT453" s="29"/>
      <c r="AU453" s="30"/>
      <c r="AV453" s="30"/>
      <c r="AW453" s="30"/>
      <c r="AX453" s="29"/>
      <c r="AY453" s="39"/>
      <c r="AZ453" s="30"/>
      <c r="BA453" s="30"/>
      <c r="BB453" s="29"/>
      <c r="BC453" s="52"/>
      <c r="BD453" s="30"/>
      <c r="BE453" s="29"/>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row>
    <row r="454">
      <c r="A454" s="30"/>
      <c r="B454" s="42"/>
      <c r="C454" s="43"/>
      <c r="D454" s="30"/>
      <c r="E454" s="28"/>
      <c r="F454" s="30"/>
      <c r="G454" s="30"/>
      <c r="H454" s="30"/>
      <c r="I454" s="30"/>
      <c r="J454" s="28"/>
      <c r="K454" s="30"/>
      <c r="L454" s="30"/>
      <c r="M454" s="30"/>
      <c r="N454" s="30"/>
      <c r="O454" s="28"/>
      <c r="P454" s="30"/>
      <c r="Q454" s="30"/>
      <c r="R454" s="30"/>
      <c r="S454" s="36"/>
      <c r="T454" s="30"/>
      <c r="U454" s="36"/>
      <c r="V454" s="30"/>
      <c r="W454" s="28"/>
      <c r="X454" s="30"/>
      <c r="Y454" s="30"/>
      <c r="Z454" s="30"/>
      <c r="AA454" s="30"/>
      <c r="AB454" s="30"/>
      <c r="AC454" s="28"/>
      <c r="AD454" s="30"/>
      <c r="AE454" s="30"/>
      <c r="AF454" s="30"/>
      <c r="AG454" s="29"/>
      <c r="AH454" s="30"/>
      <c r="AI454" s="36"/>
      <c r="AJ454" s="30"/>
      <c r="AK454" s="29"/>
      <c r="AL454" s="30"/>
      <c r="AM454" s="30"/>
      <c r="AN454" s="30"/>
      <c r="AO454" s="30"/>
      <c r="AP454" s="30"/>
      <c r="AQ454" s="38"/>
      <c r="AR454" s="30"/>
      <c r="AS454" s="30"/>
      <c r="AT454" s="29"/>
      <c r="AU454" s="30"/>
      <c r="AV454" s="30"/>
      <c r="AW454" s="30"/>
      <c r="AX454" s="29"/>
      <c r="AY454" s="39"/>
      <c r="AZ454" s="30"/>
      <c r="BA454" s="30"/>
      <c r="BB454" s="29"/>
      <c r="BC454" s="52"/>
      <c r="BD454" s="30"/>
      <c r="BE454" s="29"/>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row>
    <row r="455">
      <c r="A455" s="30"/>
      <c r="B455" s="42"/>
      <c r="C455" s="43"/>
      <c r="D455" s="30"/>
      <c r="E455" s="28"/>
      <c r="F455" s="30"/>
      <c r="G455" s="30"/>
      <c r="H455" s="30"/>
      <c r="I455" s="30"/>
      <c r="J455" s="28"/>
      <c r="K455" s="30"/>
      <c r="L455" s="30"/>
      <c r="M455" s="30"/>
      <c r="N455" s="30"/>
      <c r="O455" s="28"/>
      <c r="P455" s="30"/>
      <c r="Q455" s="30"/>
      <c r="R455" s="30"/>
      <c r="S455" s="36"/>
      <c r="T455" s="30"/>
      <c r="U455" s="36"/>
      <c r="V455" s="30"/>
      <c r="W455" s="28"/>
      <c r="X455" s="30"/>
      <c r="Y455" s="30"/>
      <c r="Z455" s="30"/>
      <c r="AA455" s="30"/>
      <c r="AB455" s="30"/>
      <c r="AC455" s="28"/>
      <c r="AD455" s="30"/>
      <c r="AE455" s="30"/>
      <c r="AF455" s="30"/>
      <c r="AG455" s="29"/>
      <c r="AH455" s="30"/>
      <c r="AI455" s="36"/>
      <c r="AJ455" s="30"/>
      <c r="AK455" s="29"/>
      <c r="AL455" s="30"/>
      <c r="AM455" s="30"/>
      <c r="AN455" s="30"/>
      <c r="AO455" s="30"/>
      <c r="AP455" s="30"/>
      <c r="AQ455" s="38"/>
      <c r="AR455" s="30"/>
      <c r="AS455" s="30"/>
      <c r="AT455" s="29"/>
      <c r="AU455" s="30"/>
      <c r="AV455" s="30"/>
      <c r="AW455" s="30"/>
      <c r="AX455" s="29"/>
      <c r="AY455" s="39"/>
      <c r="AZ455" s="30"/>
      <c r="BA455" s="30"/>
      <c r="BB455" s="29"/>
      <c r="BC455" s="52"/>
      <c r="BD455" s="30"/>
      <c r="BE455" s="29"/>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row>
    <row r="456">
      <c r="A456" s="30"/>
      <c r="B456" s="42"/>
      <c r="C456" s="43"/>
      <c r="D456" s="30"/>
      <c r="E456" s="28"/>
      <c r="F456" s="30"/>
      <c r="G456" s="30"/>
      <c r="H456" s="30"/>
      <c r="I456" s="30"/>
      <c r="J456" s="28"/>
      <c r="K456" s="30"/>
      <c r="L456" s="30"/>
      <c r="M456" s="30"/>
      <c r="N456" s="30"/>
      <c r="O456" s="28"/>
      <c r="P456" s="30"/>
      <c r="Q456" s="30"/>
      <c r="R456" s="30"/>
      <c r="S456" s="36"/>
      <c r="T456" s="30"/>
      <c r="U456" s="36"/>
      <c r="V456" s="30"/>
      <c r="W456" s="28"/>
      <c r="X456" s="30"/>
      <c r="Y456" s="30"/>
      <c r="Z456" s="30"/>
      <c r="AA456" s="30"/>
      <c r="AB456" s="30"/>
      <c r="AC456" s="28"/>
      <c r="AD456" s="30"/>
      <c r="AE456" s="30"/>
      <c r="AF456" s="30"/>
      <c r="AG456" s="29"/>
      <c r="AH456" s="30"/>
      <c r="AI456" s="36"/>
      <c r="AJ456" s="30"/>
      <c r="AK456" s="29"/>
      <c r="AL456" s="30"/>
      <c r="AM456" s="30"/>
      <c r="AN456" s="30"/>
      <c r="AO456" s="30"/>
      <c r="AP456" s="30"/>
      <c r="AQ456" s="38"/>
      <c r="AR456" s="30"/>
      <c r="AS456" s="30"/>
      <c r="AT456" s="29"/>
      <c r="AU456" s="30"/>
      <c r="AV456" s="30"/>
      <c r="AW456" s="30"/>
      <c r="AX456" s="29"/>
      <c r="AY456" s="39"/>
      <c r="AZ456" s="30"/>
      <c r="BA456" s="30"/>
      <c r="BB456" s="29"/>
      <c r="BC456" s="52"/>
      <c r="BD456" s="30"/>
      <c r="BE456" s="29"/>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s="30"/>
      <c r="DE456" s="30"/>
      <c r="DF456" s="30"/>
      <c r="DG456" s="30"/>
      <c r="DH456" s="30"/>
      <c r="DI456" s="30"/>
      <c r="DJ456" s="30"/>
      <c r="DK456" s="30"/>
      <c r="DL456" s="30"/>
      <c r="DM456" s="30"/>
      <c r="DN456" s="30"/>
      <c r="DO456" s="30"/>
      <c r="DP456" s="30"/>
      <c r="DQ456" s="30"/>
      <c r="DR456" s="30"/>
      <c r="DS456" s="30"/>
      <c r="DT456" s="30"/>
      <c r="DU456" s="30"/>
      <c r="DV456" s="30"/>
      <c r="DW456" s="30"/>
      <c r="DX456" s="30"/>
      <c r="DY456" s="30"/>
      <c r="DZ456" s="30"/>
    </row>
    <row r="457">
      <c r="A457" s="30"/>
      <c r="B457" s="42"/>
      <c r="C457" s="43"/>
      <c r="D457" s="30"/>
      <c r="E457" s="28"/>
      <c r="F457" s="30"/>
      <c r="G457" s="30"/>
      <c r="H457" s="30"/>
      <c r="I457" s="30"/>
      <c r="J457" s="28"/>
      <c r="K457" s="30"/>
      <c r="L457" s="30"/>
      <c r="M457" s="30"/>
      <c r="N457" s="30"/>
      <c r="O457" s="28"/>
      <c r="P457" s="30"/>
      <c r="Q457" s="30"/>
      <c r="R457" s="30"/>
      <c r="S457" s="36"/>
      <c r="T457" s="30"/>
      <c r="U457" s="36"/>
      <c r="V457" s="30"/>
      <c r="W457" s="28"/>
      <c r="X457" s="30"/>
      <c r="Y457" s="30"/>
      <c r="Z457" s="30"/>
      <c r="AA457" s="30"/>
      <c r="AB457" s="30"/>
      <c r="AC457" s="28"/>
      <c r="AD457" s="30"/>
      <c r="AE457" s="30"/>
      <c r="AF457" s="30"/>
      <c r="AG457" s="29"/>
      <c r="AH457" s="30"/>
      <c r="AI457" s="36"/>
      <c r="AJ457" s="30"/>
      <c r="AK457" s="29"/>
      <c r="AL457" s="30"/>
      <c r="AM457" s="30"/>
      <c r="AN457" s="30"/>
      <c r="AO457" s="30"/>
      <c r="AP457" s="30"/>
      <c r="AQ457" s="38"/>
      <c r="AR457" s="30"/>
      <c r="AS457" s="30"/>
      <c r="AT457" s="29"/>
      <c r="AU457" s="30"/>
      <c r="AV457" s="30"/>
      <c r="AW457" s="30"/>
      <c r="AX457" s="29"/>
      <c r="AY457" s="39"/>
      <c r="AZ457" s="30"/>
      <c r="BA457" s="30"/>
      <c r="BB457" s="29"/>
      <c r="BC457" s="52"/>
      <c r="BD457" s="30"/>
      <c r="BE457" s="29"/>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row>
    <row r="458">
      <c r="A458" s="30"/>
      <c r="B458" s="42"/>
      <c r="C458" s="43"/>
      <c r="D458" s="30"/>
      <c r="E458" s="28"/>
      <c r="F458" s="30"/>
      <c r="G458" s="30"/>
      <c r="H458" s="30"/>
      <c r="I458" s="30"/>
      <c r="J458" s="28"/>
      <c r="K458" s="30"/>
      <c r="L458" s="30"/>
      <c r="M458" s="30"/>
      <c r="N458" s="30"/>
      <c r="O458" s="28"/>
      <c r="P458" s="30"/>
      <c r="Q458" s="30"/>
      <c r="R458" s="30"/>
      <c r="S458" s="36"/>
      <c r="T458" s="30"/>
      <c r="U458" s="36"/>
      <c r="V458" s="30"/>
      <c r="W458" s="28"/>
      <c r="X458" s="30"/>
      <c r="Y458" s="30"/>
      <c r="Z458" s="30"/>
      <c r="AA458" s="30"/>
      <c r="AB458" s="30"/>
      <c r="AC458" s="28"/>
      <c r="AD458" s="30"/>
      <c r="AE458" s="30"/>
      <c r="AF458" s="30"/>
      <c r="AG458" s="29"/>
      <c r="AH458" s="30"/>
      <c r="AI458" s="36"/>
      <c r="AJ458" s="30"/>
      <c r="AK458" s="29"/>
      <c r="AL458" s="30"/>
      <c r="AM458" s="30"/>
      <c r="AN458" s="30"/>
      <c r="AO458" s="30"/>
      <c r="AP458" s="30"/>
      <c r="AQ458" s="38"/>
      <c r="AR458" s="30"/>
      <c r="AS458" s="30"/>
      <c r="AT458" s="29"/>
      <c r="AU458" s="30"/>
      <c r="AV458" s="30"/>
      <c r="AW458" s="30"/>
      <c r="AX458" s="29"/>
      <c r="AY458" s="39"/>
      <c r="AZ458" s="30"/>
      <c r="BA458" s="30"/>
      <c r="BB458" s="29"/>
      <c r="BC458" s="52"/>
      <c r="BD458" s="30"/>
      <c r="BE458" s="29"/>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row>
    <row r="459">
      <c r="A459" s="30"/>
      <c r="B459" s="42"/>
      <c r="C459" s="43"/>
      <c r="D459" s="30"/>
      <c r="E459" s="28"/>
      <c r="F459" s="30"/>
      <c r="G459" s="30"/>
      <c r="H459" s="30"/>
      <c r="I459" s="30"/>
      <c r="J459" s="28"/>
      <c r="K459" s="30"/>
      <c r="L459" s="30"/>
      <c r="M459" s="30"/>
      <c r="N459" s="30"/>
      <c r="O459" s="28"/>
      <c r="P459" s="30"/>
      <c r="Q459" s="30"/>
      <c r="R459" s="30"/>
      <c r="S459" s="36"/>
      <c r="T459" s="30"/>
      <c r="U459" s="36"/>
      <c r="V459" s="30"/>
      <c r="W459" s="28"/>
      <c r="X459" s="30"/>
      <c r="Y459" s="30"/>
      <c r="Z459" s="30"/>
      <c r="AA459" s="30"/>
      <c r="AB459" s="30"/>
      <c r="AC459" s="28"/>
      <c r="AD459" s="30"/>
      <c r="AE459" s="30"/>
      <c r="AF459" s="30"/>
      <c r="AG459" s="29"/>
      <c r="AH459" s="30"/>
      <c r="AI459" s="36"/>
      <c r="AJ459" s="30"/>
      <c r="AK459" s="29"/>
      <c r="AL459" s="30"/>
      <c r="AM459" s="30"/>
      <c r="AN459" s="30"/>
      <c r="AO459" s="30"/>
      <c r="AP459" s="30"/>
      <c r="AQ459" s="38"/>
      <c r="AR459" s="30"/>
      <c r="AS459" s="30"/>
      <c r="AT459" s="29"/>
      <c r="AU459" s="30"/>
      <c r="AV459" s="30"/>
      <c r="AW459" s="30"/>
      <c r="AX459" s="29"/>
      <c r="AY459" s="39"/>
      <c r="AZ459" s="30"/>
      <c r="BA459" s="30"/>
      <c r="BB459" s="29"/>
      <c r="BC459" s="52"/>
      <c r="BD459" s="30"/>
      <c r="BE459" s="29"/>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row>
    <row r="460">
      <c r="A460" s="30"/>
      <c r="B460" s="42"/>
      <c r="C460" s="43"/>
      <c r="D460" s="30"/>
      <c r="E460" s="28"/>
      <c r="F460" s="30"/>
      <c r="G460" s="30"/>
      <c r="H460" s="30"/>
      <c r="I460" s="30"/>
      <c r="J460" s="28"/>
      <c r="K460" s="30"/>
      <c r="L460" s="30"/>
      <c r="M460" s="30"/>
      <c r="N460" s="30"/>
      <c r="O460" s="28"/>
      <c r="P460" s="30"/>
      <c r="Q460" s="30"/>
      <c r="R460" s="30"/>
      <c r="S460" s="36"/>
      <c r="T460" s="30"/>
      <c r="U460" s="36"/>
      <c r="V460" s="30"/>
      <c r="W460" s="28"/>
      <c r="X460" s="30"/>
      <c r="Y460" s="30"/>
      <c r="Z460" s="30"/>
      <c r="AA460" s="30"/>
      <c r="AB460" s="30"/>
      <c r="AC460" s="28"/>
      <c r="AD460" s="30"/>
      <c r="AE460" s="30"/>
      <c r="AF460" s="30"/>
      <c r="AG460" s="29"/>
      <c r="AH460" s="30"/>
      <c r="AI460" s="36"/>
      <c r="AJ460" s="30"/>
      <c r="AK460" s="29"/>
      <c r="AL460" s="30"/>
      <c r="AM460" s="30"/>
      <c r="AN460" s="30"/>
      <c r="AO460" s="30"/>
      <c r="AP460" s="30"/>
      <c r="AQ460" s="38"/>
      <c r="AR460" s="30"/>
      <c r="AS460" s="30"/>
      <c r="AT460" s="29"/>
      <c r="AU460" s="30"/>
      <c r="AV460" s="30"/>
      <c r="AW460" s="30"/>
      <c r="AX460" s="29"/>
      <c r="AY460" s="39"/>
      <c r="AZ460" s="30"/>
      <c r="BA460" s="30"/>
      <c r="BB460" s="29"/>
      <c r="BC460" s="52"/>
      <c r="BD460" s="30"/>
      <c r="BE460" s="29"/>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row>
    <row r="461">
      <c r="A461" s="30"/>
      <c r="B461" s="42"/>
      <c r="C461" s="43"/>
      <c r="D461" s="30"/>
      <c r="E461" s="28"/>
      <c r="F461" s="30"/>
      <c r="G461" s="30"/>
      <c r="H461" s="30"/>
      <c r="I461" s="30"/>
      <c r="J461" s="28"/>
      <c r="K461" s="30"/>
      <c r="L461" s="30"/>
      <c r="M461" s="30"/>
      <c r="N461" s="30"/>
      <c r="O461" s="28"/>
      <c r="P461" s="30"/>
      <c r="Q461" s="30"/>
      <c r="R461" s="30"/>
      <c r="S461" s="36"/>
      <c r="T461" s="30"/>
      <c r="U461" s="36"/>
      <c r="V461" s="30"/>
      <c r="W461" s="28"/>
      <c r="X461" s="30"/>
      <c r="Y461" s="30"/>
      <c r="Z461" s="30"/>
      <c r="AA461" s="30"/>
      <c r="AB461" s="30"/>
      <c r="AC461" s="28"/>
      <c r="AD461" s="30"/>
      <c r="AE461" s="30"/>
      <c r="AF461" s="30"/>
      <c r="AG461" s="29"/>
      <c r="AH461" s="30"/>
      <c r="AI461" s="36"/>
      <c r="AJ461" s="30"/>
      <c r="AK461" s="29"/>
      <c r="AL461" s="30"/>
      <c r="AM461" s="30"/>
      <c r="AN461" s="30"/>
      <c r="AO461" s="30"/>
      <c r="AP461" s="30"/>
      <c r="AQ461" s="38"/>
      <c r="AR461" s="30"/>
      <c r="AS461" s="30"/>
      <c r="AT461" s="29"/>
      <c r="AU461" s="30"/>
      <c r="AV461" s="30"/>
      <c r="AW461" s="30"/>
      <c r="AX461" s="29"/>
      <c r="AY461" s="39"/>
      <c r="AZ461" s="30"/>
      <c r="BA461" s="30"/>
      <c r="BB461" s="29"/>
      <c r="BC461" s="52"/>
      <c r="BD461" s="30"/>
      <c r="BE461" s="29"/>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row>
    <row r="462">
      <c r="A462" s="30"/>
      <c r="B462" s="42"/>
      <c r="C462" s="43"/>
      <c r="D462" s="30"/>
      <c r="E462" s="28"/>
      <c r="F462" s="30"/>
      <c r="G462" s="30"/>
      <c r="H462" s="30"/>
      <c r="I462" s="30"/>
      <c r="J462" s="28"/>
      <c r="K462" s="30"/>
      <c r="L462" s="30"/>
      <c r="M462" s="30"/>
      <c r="N462" s="30"/>
      <c r="O462" s="28"/>
      <c r="P462" s="30"/>
      <c r="Q462" s="30"/>
      <c r="R462" s="30"/>
      <c r="S462" s="36"/>
      <c r="T462" s="30"/>
      <c r="U462" s="36"/>
      <c r="V462" s="30"/>
      <c r="W462" s="28"/>
      <c r="X462" s="30"/>
      <c r="Y462" s="30"/>
      <c r="Z462" s="30"/>
      <c r="AA462" s="30"/>
      <c r="AB462" s="30"/>
      <c r="AC462" s="28"/>
      <c r="AD462" s="30"/>
      <c r="AE462" s="30"/>
      <c r="AF462" s="30"/>
      <c r="AG462" s="29"/>
      <c r="AH462" s="30"/>
      <c r="AI462" s="36"/>
      <c r="AJ462" s="30"/>
      <c r="AK462" s="29"/>
      <c r="AL462" s="30"/>
      <c r="AM462" s="30"/>
      <c r="AN462" s="30"/>
      <c r="AO462" s="30"/>
      <c r="AP462" s="30"/>
      <c r="AQ462" s="38"/>
      <c r="AR462" s="30"/>
      <c r="AS462" s="30"/>
      <c r="AT462" s="29"/>
      <c r="AU462" s="30"/>
      <c r="AV462" s="30"/>
      <c r="AW462" s="30"/>
      <c r="AX462" s="29"/>
      <c r="AY462" s="39"/>
      <c r="AZ462" s="30"/>
      <c r="BA462" s="30"/>
      <c r="BB462" s="29"/>
      <c r="BC462" s="52"/>
      <c r="BD462" s="30"/>
      <c r="BE462" s="29"/>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row>
    <row r="463">
      <c r="A463" s="30"/>
      <c r="B463" s="42"/>
      <c r="C463" s="43"/>
      <c r="D463" s="30"/>
      <c r="E463" s="28"/>
      <c r="F463" s="30"/>
      <c r="G463" s="30"/>
      <c r="H463" s="30"/>
      <c r="I463" s="30"/>
      <c r="J463" s="28"/>
      <c r="K463" s="30"/>
      <c r="L463" s="30"/>
      <c r="M463" s="30"/>
      <c r="N463" s="30"/>
      <c r="O463" s="28"/>
      <c r="P463" s="30"/>
      <c r="Q463" s="30"/>
      <c r="R463" s="30"/>
      <c r="S463" s="36"/>
      <c r="T463" s="30"/>
      <c r="U463" s="36"/>
      <c r="V463" s="30"/>
      <c r="W463" s="28"/>
      <c r="X463" s="30"/>
      <c r="Y463" s="30"/>
      <c r="Z463" s="30"/>
      <c r="AA463" s="30"/>
      <c r="AB463" s="30"/>
      <c r="AC463" s="28"/>
      <c r="AD463" s="30"/>
      <c r="AE463" s="30"/>
      <c r="AF463" s="30"/>
      <c r="AG463" s="29"/>
      <c r="AH463" s="30"/>
      <c r="AI463" s="36"/>
      <c r="AJ463" s="30"/>
      <c r="AK463" s="29"/>
      <c r="AL463" s="30"/>
      <c r="AM463" s="30"/>
      <c r="AN463" s="30"/>
      <c r="AO463" s="30"/>
      <c r="AP463" s="30"/>
      <c r="AQ463" s="38"/>
      <c r="AR463" s="30"/>
      <c r="AS463" s="30"/>
      <c r="AT463" s="29"/>
      <c r="AU463" s="30"/>
      <c r="AV463" s="30"/>
      <c r="AW463" s="30"/>
      <c r="AX463" s="29"/>
      <c r="AY463" s="39"/>
      <c r="AZ463" s="30"/>
      <c r="BA463" s="30"/>
      <c r="BB463" s="29"/>
      <c r="BC463" s="52"/>
      <c r="BD463" s="30"/>
      <c r="BE463" s="29"/>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row>
    <row r="464">
      <c r="A464" s="30"/>
      <c r="B464" s="42"/>
      <c r="C464" s="43"/>
      <c r="D464" s="30"/>
      <c r="E464" s="28"/>
      <c r="F464" s="30"/>
      <c r="G464" s="30"/>
      <c r="H464" s="30"/>
      <c r="I464" s="30"/>
      <c r="J464" s="28"/>
      <c r="K464" s="30"/>
      <c r="L464" s="30"/>
      <c r="M464" s="30"/>
      <c r="N464" s="30"/>
      <c r="O464" s="28"/>
      <c r="P464" s="30"/>
      <c r="Q464" s="30"/>
      <c r="R464" s="30"/>
      <c r="S464" s="36"/>
      <c r="T464" s="30"/>
      <c r="U464" s="36"/>
      <c r="V464" s="30"/>
      <c r="W464" s="28"/>
      <c r="X464" s="30"/>
      <c r="Y464" s="30"/>
      <c r="Z464" s="30"/>
      <c r="AA464" s="30"/>
      <c r="AB464" s="30"/>
      <c r="AC464" s="28"/>
      <c r="AD464" s="30"/>
      <c r="AE464" s="30"/>
      <c r="AF464" s="30"/>
      <c r="AG464" s="29"/>
      <c r="AH464" s="30"/>
      <c r="AI464" s="36"/>
      <c r="AJ464" s="30"/>
      <c r="AK464" s="29"/>
      <c r="AL464" s="30"/>
      <c r="AM464" s="30"/>
      <c r="AN464" s="30"/>
      <c r="AO464" s="30"/>
      <c r="AP464" s="30"/>
      <c r="AQ464" s="38"/>
      <c r="AR464" s="30"/>
      <c r="AS464" s="30"/>
      <c r="AT464" s="29"/>
      <c r="AU464" s="30"/>
      <c r="AV464" s="30"/>
      <c r="AW464" s="30"/>
      <c r="AX464" s="29"/>
      <c r="AY464" s="39"/>
      <c r="AZ464" s="30"/>
      <c r="BA464" s="30"/>
      <c r="BB464" s="29"/>
      <c r="BC464" s="52"/>
      <c r="BD464" s="30"/>
      <c r="BE464" s="29"/>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row>
    <row r="465">
      <c r="A465" s="30"/>
      <c r="B465" s="42"/>
      <c r="C465" s="43"/>
      <c r="D465" s="30"/>
      <c r="E465" s="28"/>
      <c r="F465" s="30"/>
      <c r="G465" s="30"/>
      <c r="H465" s="30"/>
      <c r="I465" s="30"/>
      <c r="J465" s="28"/>
      <c r="K465" s="30"/>
      <c r="L465" s="30"/>
      <c r="M465" s="30"/>
      <c r="N465" s="30"/>
      <c r="O465" s="28"/>
      <c r="P465" s="30"/>
      <c r="Q465" s="30"/>
      <c r="R465" s="30"/>
      <c r="S465" s="36"/>
      <c r="T465" s="30"/>
      <c r="U465" s="36"/>
      <c r="V465" s="30"/>
      <c r="W465" s="28"/>
      <c r="X465" s="30"/>
      <c r="Y465" s="30"/>
      <c r="Z465" s="30"/>
      <c r="AA465" s="30"/>
      <c r="AB465" s="30"/>
      <c r="AC465" s="28"/>
      <c r="AD465" s="30"/>
      <c r="AE465" s="30"/>
      <c r="AF465" s="30"/>
      <c r="AG465" s="29"/>
      <c r="AH465" s="30"/>
      <c r="AI465" s="36"/>
      <c r="AJ465" s="30"/>
      <c r="AK465" s="29"/>
      <c r="AL465" s="30"/>
      <c r="AM465" s="30"/>
      <c r="AN465" s="30"/>
      <c r="AO465" s="30"/>
      <c r="AP465" s="30"/>
      <c r="AQ465" s="38"/>
      <c r="AR465" s="30"/>
      <c r="AS465" s="30"/>
      <c r="AT465" s="29"/>
      <c r="AU465" s="30"/>
      <c r="AV465" s="30"/>
      <c r="AW465" s="30"/>
      <c r="AX465" s="29"/>
      <c r="AY465" s="39"/>
      <c r="AZ465" s="30"/>
      <c r="BA465" s="30"/>
      <c r="BB465" s="29"/>
      <c r="BC465" s="52"/>
      <c r="BD465" s="30"/>
      <c r="BE465" s="29"/>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row>
    <row r="466">
      <c r="A466" s="30"/>
      <c r="B466" s="42"/>
      <c r="C466" s="43"/>
      <c r="D466" s="30"/>
      <c r="E466" s="28"/>
      <c r="F466" s="30"/>
      <c r="G466" s="30"/>
      <c r="H466" s="30"/>
      <c r="I466" s="30"/>
      <c r="J466" s="28"/>
      <c r="K466" s="30"/>
      <c r="L466" s="30"/>
      <c r="M466" s="30"/>
      <c r="N466" s="30"/>
      <c r="O466" s="28"/>
      <c r="P466" s="30"/>
      <c r="Q466" s="30"/>
      <c r="R466" s="30"/>
      <c r="S466" s="36"/>
      <c r="T466" s="30"/>
      <c r="U466" s="36"/>
      <c r="V466" s="30"/>
      <c r="W466" s="28"/>
      <c r="X466" s="30"/>
      <c r="Y466" s="30"/>
      <c r="Z466" s="30"/>
      <c r="AA466" s="30"/>
      <c r="AB466" s="30"/>
      <c r="AC466" s="28"/>
      <c r="AD466" s="30"/>
      <c r="AE466" s="30"/>
      <c r="AF466" s="30"/>
      <c r="AG466" s="29"/>
      <c r="AH466" s="30"/>
      <c r="AI466" s="36"/>
      <c r="AJ466" s="30"/>
      <c r="AK466" s="29"/>
      <c r="AL466" s="30"/>
      <c r="AM466" s="30"/>
      <c r="AN466" s="30"/>
      <c r="AO466" s="30"/>
      <c r="AP466" s="30"/>
      <c r="AQ466" s="38"/>
      <c r="AR466" s="30"/>
      <c r="AS466" s="30"/>
      <c r="AT466" s="29"/>
      <c r="AU466" s="30"/>
      <c r="AV466" s="30"/>
      <c r="AW466" s="30"/>
      <c r="AX466" s="29"/>
      <c r="AY466" s="39"/>
      <c r="AZ466" s="30"/>
      <c r="BA466" s="30"/>
      <c r="BB466" s="29"/>
      <c r="BC466" s="52"/>
      <c r="BD466" s="30"/>
      <c r="BE466" s="29"/>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row>
    <row r="467">
      <c r="A467" s="30"/>
      <c r="B467" s="42"/>
      <c r="C467" s="43"/>
      <c r="D467" s="30"/>
      <c r="E467" s="28"/>
      <c r="F467" s="30"/>
      <c r="G467" s="30"/>
      <c r="H467" s="30"/>
      <c r="I467" s="30"/>
      <c r="J467" s="28"/>
      <c r="K467" s="30"/>
      <c r="L467" s="30"/>
      <c r="M467" s="30"/>
      <c r="N467" s="30"/>
      <c r="O467" s="28"/>
      <c r="P467" s="30"/>
      <c r="Q467" s="30"/>
      <c r="R467" s="30"/>
      <c r="S467" s="36"/>
      <c r="T467" s="30"/>
      <c r="U467" s="36"/>
      <c r="V467" s="30"/>
      <c r="W467" s="28"/>
      <c r="X467" s="30"/>
      <c r="Y467" s="30"/>
      <c r="Z467" s="30"/>
      <c r="AA467" s="30"/>
      <c r="AB467" s="30"/>
      <c r="AC467" s="28"/>
      <c r="AD467" s="30"/>
      <c r="AE467" s="30"/>
      <c r="AF467" s="30"/>
      <c r="AG467" s="29"/>
      <c r="AH467" s="30"/>
      <c r="AI467" s="36"/>
      <c r="AJ467" s="30"/>
      <c r="AK467" s="29"/>
      <c r="AL467" s="30"/>
      <c r="AM467" s="30"/>
      <c r="AN467" s="30"/>
      <c r="AO467" s="30"/>
      <c r="AP467" s="30"/>
      <c r="AQ467" s="38"/>
      <c r="AR467" s="30"/>
      <c r="AS467" s="30"/>
      <c r="AT467" s="29"/>
      <c r="AU467" s="30"/>
      <c r="AV467" s="30"/>
      <c r="AW467" s="30"/>
      <c r="AX467" s="29"/>
      <c r="AY467" s="39"/>
      <c r="AZ467" s="30"/>
      <c r="BA467" s="30"/>
      <c r="BB467" s="29"/>
      <c r="BC467" s="52"/>
      <c r="BD467" s="30"/>
      <c r="BE467" s="29"/>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row>
    <row r="468">
      <c r="A468" s="30"/>
      <c r="B468" s="42"/>
      <c r="C468" s="43"/>
      <c r="D468" s="30"/>
      <c r="E468" s="28"/>
      <c r="F468" s="30"/>
      <c r="G468" s="30"/>
      <c r="H468" s="30"/>
      <c r="I468" s="30"/>
      <c r="J468" s="28"/>
      <c r="K468" s="30"/>
      <c r="L468" s="30"/>
      <c r="M468" s="30"/>
      <c r="N468" s="30"/>
      <c r="O468" s="28"/>
      <c r="P468" s="30"/>
      <c r="Q468" s="30"/>
      <c r="R468" s="30"/>
      <c r="S468" s="36"/>
      <c r="T468" s="30"/>
      <c r="U468" s="36"/>
      <c r="V468" s="30"/>
      <c r="W468" s="28"/>
      <c r="X468" s="30"/>
      <c r="Y468" s="30"/>
      <c r="Z468" s="30"/>
      <c r="AA468" s="30"/>
      <c r="AB468" s="30"/>
      <c r="AC468" s="28"/>
      <c r="AD468" s="30"/>
      <c r="AE468" s="30"/>
      <c r="AF468" s="30"/>
      <c r="AG468" s="29"/>
      <c r="AH468" s="30"/>
      <c r="AI468" s="36"/>
      <c r="AJ468" s="30"/>
      <c r="AK468" s="29"/>
      <c r="AL468" s="30"/>
      <c r="AM468" s="30"/>
      <c r="AN468" s="30"/>
      <c r="AO468" s="30"/>
      <c r="AP468" s="30"/>
      <c r="AQ468" s="38"/>
      <c r="AR468" s="30"/>
      <c r="AS468" s="30"/>
      <c r="AT468" s="29"/>
      <c r="AU468" s="30"/>
      <c r="AV468" s="30"/>
      <c r="AW468" s="30"/>
      <c r="AX468" s="29"/>
      <c r="AY468" s="39"/>
      <c r="AZ468" s="30"/>
      <c r="BA468" s="30"/>
      <c r="BB468" s="29"/>
      <c r="BC468" s="52"/>
      <c r="BD468" s="30"/>
      <c r="BE468" s="29"/>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row>
    <row r="469">
      <c r="A469" s="30"/>
      <c r="B469" s="42"/>
      <c r="C469" s="43"/>
      <c r="D469" s="30"/>
      <c r="E469" s="28"/>
      <c r="F469" s="30"/>
      <c r="G469" s="30"/>
      <c r="H469" s="30"/>
      <c r="I469" s="30"/>
      <c r="J469" s="28"/>
      <c r="K469" s="30"/>
      <c r="L469" s="30"/>
      <c r="M469" s="30"/>
      <c r="N469" s="30"/>
      <c r="O469" s="28"/>
      <c r="P469" s="30"/>
      <c r="Q469" s="30"/>
      <c r="R469" s="30"/>
      <c r="S469" s="36"/>
      <c r="T469" s="30"/>
      <c r="U469" s="36"/>
      <c r="V469" s="30"/>
      <c r="W469" s="28"/>
      <c r="X469" s="30"/>
      <c r="Y469" s="30"/>
      <c r="Z469" s="30"/>
      <c r="AA469" s="30"/>
      <c r="AB469" s="30"/>
      <c r="AC469" s="28"/>
      <c r="AD469" s="30"/>
      <c r="AE469" s="30"/>
      <c r="AF469" s="30"/>
      <c r="AG469" s="29"/>
      <c r="AH469" s="30"/>
      <c r="AI469" s="36"/>
      <c r="AJ469" s="30"/>
      <c r="AK469" s="29"/>
      <c r="AL469" s="30"/>
      <c r="AM469" s="30"/>
      <c r="AN469" s="30"/>
      <c r="AO469" s="30"/>
      <c r="AP469" s="30"/>
      <c r="AQ469" s="38"/>
      <c r="AR469" s="30"/>
      <c r="AS469" s="30"/>
      <c r="AT469" s="29"/>
      <c r="AU469" s="30"/>
      <c r="AV469" s="30"/>
      <c r="AW469" s="30"/>
      <c r="AX469" s="29"/>
      <c r="AY469" s="39"/>
      <c r="AZ469" s="30"/>
      <c r="BA469" s="30"/>
      <c r="BB469" s="29"/>
      <c r="BC469" s="52"/>
      <c r="BD469" s="30"/>
      <c r="BE469" s="29"/>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row>
    <row r="470">
      <c r="A470" s="30"/>
      <c r="B470" s="42"/>
      <c r="C470" s="43"/>
      <c r="D470" s="30"/>
      <c r="E470" s="28"/>
      <c r="F470" s="30"/>
      <c r="G470" s="30"/>
      <c r="H470" s="30"/>
      <c r="I470" s="30"/>
      <c r="J470" s="28"/>
      <c r="K470" s="30"/>
      <c r="L470" s="30"/>
      <c r="M470" s="30"/>
      <c r="N470" s="30"/>
      <c r="O470" s="28"/>
      <c r="P470" s="30"/>
      <c r="Q470" s="30"/>
      <c r="R470" s="30"/>
      <c r="S470" s="36"/>
      <c r="T470" s="30"/>
      <c r="U470" s="36"/>
      <c r="V470" s="30"/>
      <c r="W470" s="28"/>
      <c r="X470" s="30"/>
      <c r="Y470" s="30"/>
      <c r="Z470" s="30"/>
      <c r="AA470" s="30"/>
      <c r="AB470" s="30"/>
      <c r="AC470" s="28"/>
      <c r="AD470" s="30"/>
      <c r="AE470" s="30"/>
      <c r="AF470" s="30"/>
      <c r="AG470" s="29"/>
      <c r="AH470" s="30"/>
      <c r="AI470" s="36"/>
      <c r="AJ470" s="30"/>
      <c r="AK470" s="29"/>
      <c r="AL470" s="30"/>
      <c r="AM470" s="30"/>
      <c r="AN470" s="30"/>
      <c r="AO470" s="30"/>
      <c r="AP470" s="30"/>
      <c r="AQ470" s="38"/>
      <c r="AR470" s="30"/>
      <c r="AS470" s="30"/>
      <c r="AT470" s="29"/>
      <c r="AU470" s="30"/>
      <c r="AV470" s="30"/>
      <c r="AW470" s="30"/>
      <c r="AX470" s="29"/>
      <c r="AY470" s="39"/>
      <c r="AZ470" s="30"/>
      <c r="BA470" s="30"/>
      <c r="BB470" s="29"/>
      <c r="BC470" s="52"/>
      <c r="BD470" s="30"/>
      <c r="BE470" s="29"/>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row>
    <row r="471">
      <c r="A471" s="30"/>
      <c r="B471" s="42"/>
      <c r="C471" s="43"/>
      <c r="D471" s="30"/>
      <c r="E471" s="28"/>
      <c r="F471" s="30"/>
      <c r="G471" s="30"/>
      <c r="H471" s="30"/>
      <c r="I471" s="30"/>
      <c r="J471" s="28"/>
      <c r="K471" s="30"/>
      <c r="L471" s="30"/>
      <c r="M471" s="30"/>
      <c r="N471" s="30"/>
      <c r="O471" s="28"/>
      <c r="P471" s="30"/>
      <c r="Q471" s="30"/>
      <c r="R471" s="30"/>
      <c r="S471" s="36"/>
      <c r="T471" s="30"/>
      <c r="U471" s="36"/>
      <c r="V471" s="30"/>
      <c r="W471" s="28"/>
      <c r="X471" s="30"/>
      <c r="Y471" s="30"/>
      <c r="Z471" s="30"/>
      <c r="AA471" s="30"/>
      <c r="AB471" s="30"/>
      <c r="AC471" s="28"/>
      <c r="AD471" s="30"/>
      <c r="AE471" s="30"/>
      <c r="AF471" s="30"/>
      <c r="AG471" s="29"/>
      <c r="AH471" s="30"/>
      <c r="AI471" s="36"/>
      <c r="AJ471" s="30"/>
      <c r="AK471" s="29"/>
      <c r="AL471" s="30"/>
      <c r="AM471" s="30"/>
      <c r="AN471" s="30"/>
      <c r="AO471" s="30"/>
      <c r="AP471" s="30"/>
      <c r="AQ471" s="38"/>
      <c r="AR471" s="30"/>
      <c r="AS471" s="30"/>
      <c r="AT471" s="29"/>
      <c r="AU471" s="30"/>
      <c r="AV471" s="30"/>
      <c r="AW471" s="30"/>
      <c r="AX471" s="29"/>
      <c r="AY471" s="39"/>
      <c r="AZ471" s="30"/>
      <c r="BA471" s="30"/>
      <c r="BB471" s="29"/>
      <c r="BC471" s="52"/>
      <c r="BD471" s="30"/>
      <c r="BE471" s="29"/>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row>
    <row r="472">
      <c r="A472" s="30"/>
      <c r="B472" s="42"/>
      <c r="C472" s="43"/>
      <c r="D472" s="30"/>
      <c r="E472" s="28"/>
      <c r="F472" s="30"/>
      <c r="G472" s="30"/>
      <c r="H472" s="30"/>
      <c r="I472" s="30"/>
      <c r="J472" s="28"/>
      <c r="K472" s="30"/>
      <c r="L472" s="30"/>
      <c r="M472" s="30"/>
      <c r="N472" s="30"/>
      <c r="O472" s="28"/>
      <c r="P472" s="30"/>
      <c r="Q472" s="30"/>
      <c r="R472" s="30"/>
      <c r="S472" s="36"/>
      <c r="T472" s="30"/>
      <c r="U472" s="36"/>
      <c r="V472" s="30"/>
      <c r="W472" s="28"/>
      <c r="X472" s="30"/>
      <c r="Y472" s="30"/>
      <c r="Z472" s="30"/>
      <c r="AA472" s="30"/>
      <c r="AB472" s="30"/>
      <c r="AC472" s="28"/>
      <c r="AD472" s="30"/>
      <c r="AE472" s="30"/>
      <c r="AF472" s="30"/>
      <c r="AG472" s="29"/>
      <c r="AH472" s="30"/>
      <c r="AI472" s="36"/>
      <c r="AJ472" s="30"/>
      <c r="AK472" s="29"/>
      <c r="AL472" s="30"/>
      <c r="AM472" s="30"/>
      <c r="AN472" s="30"/>
      <c r="AO472" s="30"/>
      <c r="AP472" s="30"/>
      <c r="AQ472" s="38"/>
      <c r="AR472" s="30"/>
      <c r="AS472" s="30"/>
      <c r="AT472" s="29"/>
      <c r="AU472" s="30"/>
      <c r="AV472" s="30"/>
      <c r="AW472" s="30"/>
      <c r="AX472" s="29"/>
      <c r="AY472" s="39"/>
      <c r="AZ472" s="30"/>
      <c r="BA472" s="30"/>
      <c r="BB472" s="29"/>
      <c r="BC472" s="52"/>
      <c r="BD472" s="30"/>
      <c r="BE472" s="29"/>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row>
    <row r="473">
      <c r="A473" s="30"/>
      <c r="B473" s="42"/>
      <c r="C473" s="43"/>
      <c r="D473" s="30"/>
      <c r="E473" s="28"/>
      <c r="F473" s="30"/>
      <c r="G473" s="30"/>
      <c r="H473" s="30"/>
      <c r="I473" s="30"/>
      <c r="J473" s="28"/>
      <c r="K473" s="30"/>
      <c r="L473" s="30"/>
      <c r="M473" s="30"/>
      <c r="N473" s="30"/>
      <c r="O473" s="28"/>
      <c r="P473" s="30"/>
      <c r="Q473" s="30"/>
      <c r="R473" s="30"/>
      <c r="S473" s="36"/>
      <c r="T473" s="30"/>
      <c r="U473" s="36"/>
      <c r="V473" s="30"/>
      <c r="W473" s="28"/>
      <c r="X473" s="30"/>
      <c r="Y473" s="30"/>
      <c r="Z473" s="30"/>
      <c r="AA473" s="30"/>
      <c r="AB473" s="30"/>
      <c r="AC473" s="28"/>
      <c r="AD473" s="30"/>
      <c r="AE473" s="30"/>
      <c r="AF473" s="30"/>
      <c r="AG473" s="29"/>
      <c r="AH473" s="30"/>
      <c r="AI473" s="36"/>
      <c r="AJ473" s="30"/>
      <c r="AK473" s="29"/>
      <c r="AL473" s="30"/>
      <c r="AM473" s="30"/>
      <c r="AN473" s="30"/>
      <c r="AO473" s="30"/>
      <c r="AP473" s="30"/>
      <c r="AQ473" s="38"/>
      <c r="AR473" s="30"/>
      <c r="AS473" s="30"/>
      <c r="AT473" s="29"/>
      <c r="AU473" s="30"/>
      <c r="AV473" s="30"/>
      <c r="AW473" s="30"/>
      <c r="AX473" s="29"/>
      <c r="AY473" s="39"/>
      <c r="AZ473" s="30"/>
      <c r="BA473" s="30"/>
      <c r="BB473" s="29"/>
      <c r="BC473" s="52"/>
      <c r="BD473" s="30"/>
      <c r="BE473" s="29"/>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row>
    <row r="474">
      <c r="A474" s="30"/>
      <c r="B474" s="42"/>
      <c r="C474" s="43"/>
      <c r="D474" s="30"/>
      <c r="E474" s="28"/>
      <c r="F474" s="30"/>
      <c r="G474" s="30"/>
      <c r="H474" s="30"/>
      <c r="I474" s="30"/>
      <c r="J474" s="28"/>
      <c r="K474" s="30"/>
      <c r="L474" s="30"/>
      <c r="M474" s="30"/>
      <c r="N474" s="30"/>
      <c r="O474" s="28"/>
      <c r="P474" s="30"/>
      <c r="Q474" s="30"/>
      <c r="R474" s="30"/>
      <c r="S474" s="36"/>
      <c r="T474" s="30"/>
      <c r="U474" s="36"/>
      <c r="V474" s="30"/>
      <c r="W474" s="28"/>
      <c r="X474" s="30"/>
      <c r="Y474" s="30"/>
      <c r="Z474" s="30"/>
      <c r="AA474" s="30"/>
      <c r="AB474" s="30"/>
      <c r="AC474" s="28"/>
      <c r="AD474" s="30"/>
      <c r="AE474" s="30"/>
      <c r="AF474" s="30"/>
      <c r="AG474" s="29"/>
      <c r="AH474" s="30"/>
      <c r="AI474" s="36"/>
      <c r="AJ474" s="30"/>
      <c r="AK474" s="29"/>
      <c r="AL474" s="30"/>
      <c r="AM474" s="30"/>
      <c r="AN474" s="30"/>
      <c r="AO474" s="30"/>
      <c r="AP474" s="30"/>
      <c r="AQ474" s="38"/>
      <c r="AR474" s="30"/>
      <c r="AS474" s="30"/>
      <c r="AT474" s="29"/>
      <c r="AU474" s="30"/>
      <c r="AV474" s="30"/>
      <c r="AW474" s="30"/>
      <c r="AX474" s="29"/>
      <c r="AY474" s="39"/>
      <c r="AZ474" s="30"/>
      <c r="BA474" s="30"/>
      <c r="BB474" s="29"/>
      <c r="BC474" s="52"/>
      <c r="BD474" s="30"/>
      <c r="BE474" s="29"/>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row>
    <row r="475">
      <c r="A475" s="30"/>
      <c r="B475" s="42"/>
      <c r="C475" s="43"/>
      <c r="D475" s="30"/>
      <c r="E475" s="28"/>
      <c r="F475" s="30"/>
      <c r="G475" s="30"/>
      <c r="H475" s="30"/>
      <c r="I475" s="30"/>
      <c r="J475" s="28"/>
      <c r="K475" s="30"/>
      <c r="L475" s="30"/>
      <c r="M475" s="30"/>
      <c r="N475" s="30"/>
      <c r="O475" s="28"/>
      <c r="P475" s="30"/>
      <c r="Q475" s="30"/>
      <c r="R475" s="30"/>
      <c r="S475" s="36"/>
      <c r="T475" s="30"/>
      <c r="U475" s="36"/>
      <c r="V475" s="30"/>
      <c r="W475" s="28"/>
      <c r="X475" s="30"/>
      <c r="Y475" s="30"/>
      <c r="Z475" s="30"/>
      <c r="AA475" s="30"/>
      <c r="AB475" s="30"/>
      <c r="AC475" s="28"/>
      <c r="AD475" s="30"/>
      <c r="AE475" s="30"/>
      <c r="AF475" s="30"/>
      <c r="AG475" s="29"/>
      <c r="AH475" s="30"/>
      <c r="AI475" s="36"/>
      <c r="AJ475" s="30"/>
      <c r="AK475" s="29"/>
      <c r="AL475" s="30"/>
      <c r="AM475" s="30"/>
      <c r="AN475" s="30"/>
      <c r="AO475" s="30"/>
      <c r="AP475" s="30"/>
      <c r="AQ475" s="38"/>
      <c r="AR475" s="30"/>
      <c r="AS475" s="30"/>
      <c r="AT475" s="29"/>
      <c r="AU475" s="30"/>
      <c r="AV475" s="30"/>
      <c r="AW475" s="30"/>
      <c r="AX475" s="29"/>
      <c r="AY475" s="39"/>
      <c r="AZ475" s="30"/>
      <c r="BA475" s="30"/>
      <c r="BB475" s="29"/>
      <c r="BC475" s="52"/>
      <c r="BD475" s="30"/>
      <c r="BE475" s="29"/>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row>
    <row r="476">
      <c r="A476" s="30"/>
      <c r="B476" s="42"/>
      <c r="C476" s="43"/>
      <c r="D476" s="30"/>
      <c r="E476" s="28"/>
      <c r="F476" s="30"/>
      <c r="G476" s="30"/>
      <c r="H476" s="30"/>
      <c r="I476" s="30"/>
      <c r="J476" s="28"/>
      <c r="K476" s="30"/>
      <c r="L476" s="30"/>
      <c r="M476" s="30"/>
      <c r="N476" s="30"/>
      <c r="O476" s="28"/>
      <c r="P476" s="30"/>
      <c r="Q476" s="30"/>
      <c r="R476" s="30"/>
      <c r="S476" s="36"/>
      <c r="T476" s="30"/>
      <c r="U476" s="36"/>
      <c r="V476" s="30"/>
      <c r="W476" s="28"/>
      <c r="X476" s="30"/>
      <c r="Y476" s="30"/>
      <c r="Z476" s="30"/>
      <c r="AA476" s="30"/>
      <c r="AB476" s="30"/>
      <c r="AC476" s="28"/>
      <c r="AD476" s="30"/>
      <c r="AE476" s="30"/>
      <c r="AF476" s="30"/>
      <c r="AG476" s="29"/>
      <c r="AH476" s="30"/>
      <c r="AI476" s="36"/>
      <c r="AJ476" s="30"/>
      <c r="AK476" s="29"/>
      <c r="AL476" s="30"/>
      <c r="AM476" s="30"/>
      <c r="AN476" s="30"/>
      <c r="AO476" s="30"/>
      <c r="AP476" s="30"/>
      <c r="AQ476" s="38"/>
      <c r="AR476" s="30"/>
      <c r="AS476" s="30"/>
      <c r="AT476" s="29"/>
      <c r="AU476" s="30"/>
      <c r="AV476" s="30"/>
      <c r="AW476" s="30"/>
      <c r="AX476" s="29"/>
      <c r="AY476" s="39"/>
      <c r="AZ476" s="30"/>
      <c r="BA476" s="30"/>
      <c r="BB476" s="29"/>
      <c r="BC476" s="52"/>
      <c r="BD476" s="30"/>
      <c r="BE476" s="29"/>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row>
    <row r="477">
      <c r="A477" s="30"/>
      <c r="B477" s="42"/>
      <c r="C477" s="43"/>
      <c r="D477" s="30"/>
      <c r="E477" s="28"/>
      <c r="F477" s="30"/>
      <c r="G477" s="30"/>
      <c r="H477" s="30"/>
      <c r="I477" s="30"/>
      <c r="J477" s="28"/>
      <c r="K477" s="30"/>
      <c r="L477" s="30"/>
      <c r="M477" s="30"/>
      <c r="N477" s="30"/>
      <c r="O477" s="28"/>
      <c r="P477" s="30"/>
      <c r="Q477" s="30"/>
      <c r="R477" s="30"/>
      <c r="S477" s="36"/>
      <c r="T477" s="30"/>
      <c r="U477" s="36"/>
      <c r="V477" s="30"/>
      <c r="W477" s="28"/>
      <c r="X477" s="30"/>
      <c r="Y477" s="30"/>
      <c r="Z477" s="30"/>
      <c r="AA477" s="30"/>
      <c r="AB477" s="30"/>
      <c r="AC477" s="28"/>
      <c r="AD477" s="30"/>
      <c r="AE477" s="30"/>
      <c r="AF477" s="30"/>
      <c r="AG477" s="29"/>
      <c r="AH477" s="30"/>
      <c r="AI477" s="36"/>
      <c r="AJ477" s="30"/>
      <c r="AK477" s="29"/>
      <c r="AL477" s="30"/>
      <c r="AM477" s="30"/>
      <c r="AN477" s="30"/>
      <c r="AO477" s="30"/>
      <c r="AP477" s="30"/>
      <c r="AQ477" s="38"/>
      <c r="AR477" s="30"/>
      <c r="AS477" s="30"/>
      <c r="AT477" s="29"/>
      <c r="AU477" s="30"/>
      <c r="AV477" s="30"/>
      <c r="AW477" s="30"/>
      <c r="AX477" s="29"/>
      <c r="AY477" s="39"/>
      <c r="AZ477" s="30"/>
      <c r="BA477" s="30"/>
      <c r="BB477" s="29"/>
      <c r="BC477" s="52"/>
      <c r="BD477" s="30"/>
      <c r="BE477" s="29"/>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row>
    <row r="478">
      <c r="A478" s="30"/>
      <c r="B478" s="42"/>
      <c r="C478" s="43"/>
      <c r="D478" s="30"/>
      <c r="E478" s="28"/>
      <c r="F478" s="30"/>
      <c r="G478" s="30"/>
      <c r="H478" s="30"/>
      <c r="I478" s="30"/>
      <c r="J478" s="28"/>
      <c r="K478" s="30"/>
      <c r="L478" s="30"/>
      <c r="M478" s="30"/>
      <c r="N478" s="30"/>
      <c r="O478" s="28"/>
      <c r="P478" s="30"/>
      <c r="Q478" s="30"/>
      <c r="R478" s="30"/>
      <c r="S478" s="36"/>
      <c r="T478" s="30"/>
      <c r="U478" s="36"/>
      <c r="V478" s="30"/>
      <c r="W478" s="28"/>
      <c r="X478" s="30"/>
      <c r="Y478" s="30"/>
      <c r="Z478" s="30"/>
      <c r="AA478" s="30"/>
      <c r="AB478" s="30"/>
      <c r="AC478" s="28"/>
      <c r="AD478" s="30"/>
      <c r="AE478" s="30"/>
      <c r="AF478" s="30"/>
      <c r="AG478" s="29"/>
      <c r="AH478" s="30"/>
      <c r="AI478" s="36"/>
      <c r="AJ478" s="30"/>
      <c r="AK478" s="29"/>
      <c r="AL478" s="30"/>
      <c r="AM478" s="30"/>
      <c r="AN478" s="30"/>
      <c r="AO478" s="30"/>
      <c r="AP478" s="30"/>
      <c r="AQ478" s="38"/>
      <c r="AR478" s="30"/>
      <c r="AS478" s="30"/>
      <c r="AT478" s="29"/>
      <c r="AU478" s="30"/>
      <c r="AV478" s="30"/>
      <c r="AW478" s="30"/>
      <c r="AX478" s="29"/>
      <c r="AY478" s="39"/>
      <c r="AZ478" s="30"/>
      <c r="BA478" s="30"/>
      <c r="BB478" s="29"/>
      <c r="BC478" s="52"/>
      <c r="BD478" s="30"/>
      <c r="BE478" s="29"/>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row>
    <row r="479">
      <c r="A479" s="30"/>
      <c r="B479" s="42"/>
      <c r="C479" s="43"/>
      <c r="D479" s="30"/>
      <c r="E479" s="28"/>
      <c r="F479" s="30"/>
      <c r="G479" s="30"/>
      <c r="H479" s="30"/>
      <c r="I479" s="30"/>
      <c r="J479" s="28"/>
      <c r="K479" s="30"/>
      <c r="L479" s="30"/>
      <c r="M479" s="30"/>
      <c r="N479" s="30"/>
      <c r="O479" s="28"/>
      <c r="P479" s="30"/>
      <c r="Q479" s="30"/>
      <c r="R479" s="30"/>
      <c r="S479" s="36"/>
      <c r="T479" s="30"/>
      <c r="U479" s="36"/>
      <c r="V479" s="30"/>
      <c r="W479" s="28"/>
      <c r="X479" s="30"/>
      <c r="Y479" s="30"/>
      <c r="Z479" s="30"/>
      <c r="AA479" s="30"/>
      <c r="AB479" s="30"/>
      <c r="AC479" s="28"/>
      <c r="AD479" s="30"/>
      <c r="AE479" s="30"/>
      <c r="AF479" s="30"/>
      <c r="AG479" s="29"/>
      <c r="AH479" s="30"/>
      <c r="AI479" s="36"/>
      <c r="AJ479" s="30"/>
      <c r="AK479" s="29"/>
      <c r="AL479" s="30"/>
      <c r="AM479" s="30"/>
      <c r="AN479" s="30"/>
      <c r="AO479" s="30"/>
      <c r="AP479" s="30"/>
      <c r="AQ479" s="38"/>
      <c r="AR479" s="30"/>
      <c r="AS479" s="30"/>
      <c r="AT479" s="29"/>
      <c r="AU479" s="30"/>
      <c r="AV479" s="30"/>
      <c r="AW479" s="30"/>
      <c r="AX479" s="29"/>
      <c r="AY479" s="39"/>
      <c r="AZ479" s="30"/>
      <c r="BA479" s="30"/>
      <c r="BB479" s="29"/>
      <c r="BC479" s="52"/>
      <c r="BD479" s="30"/>
      <c r="BE479" s="29"/>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row>
    <row r="480">
      <c r="A480" s="30"/>
      <c r="B480" s="42"/>
      <c r="C480" s="43"/>
      <c r="D480" s="30"/>
      <c r="E480" s="28"/>
      <c r="F480" s="30"/>
      <c r="G480" s="30"/>
      <c r="H480" s="30"/>
      <c r="I480" s="30"/>
      <c r="J480" s="28"/>
      <c r="K480" s="30"/>
      <c r="L480" s="30"/>
      <c r="M480" s="30"/>
      <c r="N480" s="30"/>
      <c r="O480" s="28"/>
      <c r="P480" s="30"/>
      <c r="Q480" s="30"/>
      <c r="R480" s="30"/>
      <c r="S480" s="36"/>
      <c r="T480" s="30"/>
      <c r="U480" s="36"/>
      <c r="V480" s="30"/>
      <c r="W480" s="28"/>
      <c r="X480" s="30"/>
      <c r="Y480" s="30"/>
      <c r="Z480" s="30"/>
      <c r="AA480" s="30"/>
      <c r="AB480" s="30"/>
      <c r="AC480" s="28"/>
      <c r="AD480" s="30"/>
      <c r="AE480" s="30"/>
      <c r="AF480" s="30"/>
      <c r="AG480" s="29"/>
      <c r="AH480" s="30"/>
      <c r="AI480" s="36"/>
      <c r="AJ480" s="30"/>
      <c r="AK480" s="29"/>
      <c r="AL480" s="30"/>
      <c r="AM480" s="30"/>
      <c r="AN480" s="30"/>
      <c r="AO480" s="30"/>
      <c r="AP480" s="30"/>
      <c r="AQ480" s="38"/>
      <c r="AR480" s="30"/>
      <c r="AS480" s="30"/>
      <c r="AT480" s="29"/>
      <c r="AU480" s="30"/>
      <c r="AV480" s="30"/>
      <c r="AW480" s="30"/>
      <c r="AX480" s="29"/>
      <c r="AY480" s="39"/>
      <c r="AZ480" s="30"/>
      <c r="BA480" s="30"/>
      <c r="BB480" s="29"/>
      <c r="BC480" s="52"/>
      <c r="BD480" s="30"/>
      <c r="BE480" s="29"/>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row>
    <row r="481">
      <c r="A481" s="30"/>
      <c r="B481" s="42"/>
      <c r="C481" s="43"/>
      <c r="D481" s="30"/>
      <c r="E481" s="28"/>
      <c r="F481" s="30"/>
      <c r="G481" s="30"/>
      <c r="H481" s="30"/>
      <c r="I481" s="30"/>
      <c r="J481" s="28"/>
      <c r="K481" s="30"/>
      <c r="L481" s="30"/>
      <c r="M481" s="30"/>
      <c r="N481" s="30"/>
      <c r="O481" s="28"/>
      <c r="P481" s="30"/>
      <c r="Q481" s="30"/>
      <c r="R481" s="30"/>
      <c r="S481" s="36"/>
      <c r="T481" s="30"/>
      <c r="U481" s="36"/>
      <c r="V481" s="30"/>
      <c r="W481" s="28"/>
      <c r="X481" s="30"/>
      <c r="Y481" s="30"/>
      <c r="Z481" s="30"/>
      <c r="AA481" s="30"/>
      <c r="AB481" s="30"/>
      <c r="AC481" s="28"/>
      <c r="AD481" s="30"/>
      <c r="AE481" s="30"/>
      <c r="AF481" s="30"/>
      <c r="AG481" s="29"/>
      <c r="AH481" s="30"/>
      <c r="AI481" s="36"/>
      <c r="AJ481" s="30"/>
      <c r="AK481" s="29"/>
      <c r="AL481" s="30"/>
      <c r="AM481" s="30"/>
      <c r="AN481" s="30"/>
      <c r="AO481" s="30"/>
      <c r="AP481" s="30"/>
      <c r="AQ481" s="38"/>
      <c r="AR481" s="30"/>
      <c r="AS481" s="30"/>
      <c r="AT481" s="29"/>
      <c r="AU481" s="30"/>
      <c r="AV481" s="30"/>
      <c r="AW481" s="30"/>
      <c r="AX481" s="29"/>
      <c r="AY481" s="39"/>
      <c r="AZ481" s="30"/>
      <c r="BA481" s="30"/>
      <c r="BB481" s="29"/>
      <c r="BC481" s="52"/>
      <c r="BD481" s="30"/>
      <c r="BE481" s="29"/>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row>
    <row r="482">
      <c r="A482" s="30"/>
      <c r="B482" s="42"/>
      <c r="C482" s="43"/>
      <c r="D482" s="30"/>
      <c r="E482" s="28"/>
      <c r="F482" s="30"/>
      <c r="G482" s="30"/>
      <c r="H482" s="30"/>
      <c r="I482" s="30"/>
      <c r="J482" s="28"/>
      <c r="K482" s="30"/>
      <c r="L482" s="30"/>
      <c r="M482" s="30"/>
      <c r="N482" s="30"/>
      <c r="O482" s="28"/>
      <c r="P482" s="30"/>
      <c r="Q482" s="30"/>
      <c r="R482" s="30"/>
      <c r="S482" s="36"/>
      <c r="T482" s="30"/>
      <c r="U482" s="36"/>
      <c r="V482" s="30"/>
      <c r="W482" s="28"/>
      <c r="X482" s="30"/>
      <c r="Y482" s="30"/>
      <c r="Z482" s="30"/>
      <c r="AA482" s="30"/>
      <c r="AB482" s="30"/>
      <c r="AC482" s="28"/>
      <c r="AD482" s="30"/>
      <c r="AE482" s="30"/>
      <c r="AF482" s="30"/>
      <c r="AG482" s="29"/>
      <c r="AH482" s="30"/>
      <c r="AI482" s="36"/>
      <c r="AJ482" s="30"/>
      <c r="AK482" s="29"/>
      <c r="AL482" s="30"/>
      <c r="AM482" s="30"/>
      <c r="AN482" s="30"/>
      <c r="AO482" s="30"/>
      <c r="AP482" s="30"/>
      <c r="AQ482" s="38"/>
      <c r="AR482" s="30"/>
      <c r="AS482" s="30"/>
      <c r="AT482" s="29"/>
      <c r="AU482" s="30"/>
      <c r="AV482" s="30"/>
      <c r="AW482" s="30"/>
      <c r="AX482" s="29"/>
      <c r="AY482" s="39"/>
      <c r="AZ482" s="30"/>
      <c r="BA482" s="30"/>
      <c r="BB482" s="29"/>
      <c r="BC482" s="52"/>
      <c r="BD482" s="30"/>
      <c r="BE482" s="29"/>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row>
    <row r="483">
      <c r="A483" s="30"/>
      <c r="B483" s="42"/>
      <c r="C483" s="43"/>
      <c r="D483" s="30"/>
      <c r="E483" s="28"/>
      <c r="F483" s="30"/>
      <c r="G483" s="30"/>
      <c r="H483" s="30"/>
      <c r="I483" s="30"/>
      <c r="J483" s="28"/>
      <c r="K483" s="30"/>
      <c r="L483" s="30"/>
      <c r="M483" s="30"/>
      <c r="N483" s="30"/>
      <c r="O483" s="28"/>
      <c r="P483" s="30"/>
      <c r="Q483" s="30"/>
      <c r="R483" s="30"/>
      <c r="S483" s="36"/>
      <c r="T483" s="30"/>
      <c r="U483" s="36"/>
      <c r="V483" s="30"/>
      <c r="W483" s="28"/>
      <c r="X483" s="30"/>
      <c r="Y483" s="30"/>
      <c r="Z483" s="30"/>
      <c r="AA483" s="30"/>
      <c r="AB483" s="30"/>
      <c r="AC483" s="28"/>
      <c r="AD483" s="30"/>
      <c r="AE483" s="30"/>
      <c r="AF483" s="30"/>
      <c r="AG483" s="29"/>
      <c r="AH483" s="30"/>
      <c r="AI483" s="36"/>
      <c r="AJ483" s="30"/>
      <c r="AK483" s="29"/>
      <c r="AL483" s="30"/>
      <c r="AM483" s="30"/>
      <c r="AN483" s="30"/>
      <c r="AO483" s="30"/>
      <c r="AP483" s="30"/>
      <c r="AQ483" s="38"/>
      <c r="AR483" s="30"/>
      <c r="AS483" s="30"/>
      <c r="AT483" s="29"/>
      <c r="AU483" s="30"/>
      <c r="AV483" s="30"/>
      <c r="AW483" s="30"/>
      <c r="AX483" s="29"/>
      <c r="AY483" s="39"/>
      <c r="AZ483" s="30"/>
      <c r="BA483" s="30"/>
      <c r="BB483" s="29"/>
      <c r="BC483" s="52"/>
      <c r="BD483" s="30"/>
      <c r="BE483" s="29"/>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row>
    <row r="484">
      <c r="A484" s="30"/>
      <c r="B484" s="42"/>
      <c r="C484" s="43"/>
      <c r="D484" s="30"/>
      <c r="E484" s="28"/>
      <c r="F484" s="30"/>
      <c r="G484" s="30"/>
      <c r="H484" s="30"/>
      <c r="I484" s="30"/>
      <c r="J484" s="28"/>
      <c r="K484" s="30"/>
      <c r="L484" s="30"/>
      <c r="M484" s="30"/>
      <c r="N484" s="30"/>
      <c r="O484" s="28"/>
      <c r="P484" s="30"/>
      <c r="Q484" s="30"/>
      <c r="R484" s="30"/>
      <c r="S484" s="36"/>
      <c r="T484" s="30"/>
      <c r="U484" s="36"/>
      <c r="V484" s="30"/>
      <c r="W484" s="28"/>
      <c r="X484" s="30"/>
      <c r="Y484" s="30"/>
      <c r="Z484" s="30"/>
      <c r="AA484" s="30"/>
      <c r="AB484" s="30"/>
      <c r="AC484" s="28"/>
      <c r="AD484" s="30"/>
      <c r="AE484" s="30"/>
      <c r="AF484" s="30"/>
      <c r="AG484" s="29"/>
      <c r="AH484" s="30"/>
      <c r="AI484" s="36"/>
      <c r="AJ484" s="30"/>
      <c r="AK484" s="29"/>
      <c r="AL484" s="30"/>
      <c r="AM484" s="30"/>
      <c r="AN484" s="30"/>
      <c r="AO484" s="30"/>
      <c r="AP484" s="30"/>
      <c r="AQ484" s="38"/>
      <c r="AR484" s="30"/>
      <c r="AS484" s="30"/>
      <c r="AT484" s="29"/>
      <c r="AU484" s="30"/>
      <c r="AV484" s="30"/>
      <c r="AW484" s="30"/>
      <c r="AX484" s="29"/>
      <c r="AY484" s="39"/>
      <c r="AZ484" s="30"/>
      <c r="BA484" s="30"/>
      <c r="BB484" s="29"/>
      <c r="BC484" s="52"/>
      <c r="BD484" s="30"/>
      <c r="BE484" s="29"/>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row>
    <row r="485">
      <c r="A485" s="30"/>
      <c r="B485" s="42"/>
      <c r="C485" s="43"/>
      <c r="D485" s="30"/>
      <c r="E485" s="28"/>
      <c r="F485" s="30"/>
      <c r="G485" s="30"/>
      <c r="H485" s="30"/>
      <c r="I485" s="30"/>
      <c r="J485" s="28"/>
      <c r="K485" s="30"/>
      <c r="L485" s="30"/>
      <c r="M485" s="30"/>
      <c r="N485" s="30"/>
      <c r="O485" s="28"/>
      <c r="P485" s="30"/>
      <c r="Q485" s="30"/>
      <c r="R485" s="30"/>
      <c r="S485" s="36"/>
      <c r="T485" s="30"/>
      <c r="U485" s="36"/>
      <c r="V485" s="30"/>
      <c r="W485" s="28"/>
      <c r="X485" s="30"/>
      <c r="Y485" s="30"/>
      <c r="Z485" s="30"/>
      <c r="AA485" s="30"/>
      <c r="AB485" s="30"/>
      <c r="AC485" s="28"/>
      <c r="AD485" s="30"/>
      <c r="AE485" s="30"/>
      <c r="AF485" s="30"/>
      <c r="AG485" s="29"/>
      <c r="AH485" s="30"/>
      <c r="AI485" s="36"/>
      <c r="AJ485" s="30"/>
      <c r="AK485" s="29"/>
      <c r="AL485" s="30"/>
      <c r="AM485" s="30"/>
      <c r="AN485" s="30"/>
      <c r="AO485" s="30"/>
      <c r="AP485" s="30"/>
      <c r="AQ485" s="38"/>
      <c r="AR485" s="30"/>
      <c r="AS485" s="30"/>
      <c r="AT485" s="29"/>
      <c r="AU485" s="30"/>
      <c r="AV485" s="30"/>
      <c r="AW485" s="30"/>
      <c r="AX485" s="29"/>
      <c r="AY485" s="39"/>
      <c r="AZ485" s="30"/>
      <c r="BA485" s="30"/>
      <c r="BB485" s="29"/>
      <c r="BC485" s="52"/>
      <c r="BD485" s="30"/>
      <c r="BE485" s="29"/>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row>
    <row r="486">
      <c r="A486" s="30"/>
      <c r="B486" s="42"/>
      <c r="C486" s="43"/>
      <c r="D486" s="30"/>
      <c r="E486" s="28"/>
      <c r="F486" s="30"/>
      <c r="G486" s="30"/>
      <c r="H486" s="30"/>
      <c r="I486" s="30"/>
      <c r="J486" s="28"/>
      <c r="K486" s="30"/>
      <c r="L486" s="30"/>
      <c r="M486" s="30"/>
      <c r="N486" s="30"/>
      <c r="O486" s="28"/>
      <c r="P486" s="30"/>
      <c r="Q486" s="30"/>
      <c r="R486" s="30"/>
      <c r="S486" s="36"/>
      <c r="T486" s="30"/>
      <c r="U486" s="36"/>
      <c r="V486" s="30"/>
      <c r="W486" s="28"/>
      <c r="X486" s="30"/>
      <c r="Y486" s="30"/>
      <c r="Z486" s="30"/>
      <c r="AA486" s="30"/>
      <c r="AB486" s="30"/>
      <c r="AC486" s="28"/>
      <c r="AD486" s="30"/>
      <c r="AE486" s="30"/>
      <c r="AF486" s="30"/>
      <c r="AG486" s="29"/>
      <c r="AH486" s="30"/>
      <c r="AI486" s="36"/>
      <c r="AJ486" s="30"/>
      <c r="AK486" s="29"/>
      <c r="AL486" s="30"/>
      <c r="AM486" s="30"/>
      <c r="AN486" s="30"/>
      <c r="AO486" s="30"/>
      <c r="AP486" s="30"/>
      <c r="AQ486" s="38"/>
      <c r="AR486" s="30"/>
      <c r="AS486" s="30"/>
      <c r="AT486" s="29"/>
      <c r="AU486" s="30"/>
      <c r="AV486" s="30"/>
      <c r="AW486" s="30"/>
      <c r="AX486" s="29"/>
      <c r="AY486" s="39"/>
      <c r="AZ486" s="30"/>
      <c r="BA486" s="30"/>
      <c r="BB486" s="29"/>
      <c r="BC486" s="52"/>
      <c r="BD486" s="30"/>
      <c r="BE486" s="29"/>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row>
    <row r="487">
      <c r="A487" s="30"/>
      <c r="B487" s="42"/>
      <c r="C487" s="43"/>
      <c r="D487" s="30"/>
      <c r="E487" s="28"/>
      <c r="F487" s="30"/>
      <c r="G487" s="30"/>
      <c r="H487" s="30"/>
      <c r="I487" s="30"/>
      <c r="J487" s="28"/>
      <c r="K487" s="30"/>
      <c r="L487" s="30"/>
      <c r="M487" s="30"/>
      <c r="N487" s="30"/>
      <c r="O487" s="28"/>
      <c r="P487" s="30"/>
      <c r="Q487" s="30"/>
      <c r="R487" s="30"/>
      <c r="S487" s="36"/>
      <c r="T487" s="30"/>
      <c r="U487" s="36"/>
      <c r="V487" s="30"/>
      <c r="W487" s="28"/>
      <c r="X487" s="30"/>
      <c r="Y487" s="30"/>
      <c r="Z487" s="30"/>
      <c r="AA487" s="30"/>
      <c r="AB487" s="30"/>
      <c r="AC487" s="28"/>
      <c r="AD487" s="30"/>
      <c r="AE487" s="30"/>
      <c r="AF487" s="30"/>
      <c r="AG487" s="29"/>
      <c r="AH487" s="30"/>
      <c r="AI487" s="36"/>
      <c r="AJ487" s="30"/>
      <c r="AK487" s="29"/>
      <c r="AL487" s="30"/>
      <c r="AM487" s="30"/>
      <c r="AN487" s="30"/>
      <c r="AO487" s="30"/>
      <c r="AP487" s="30"/>
      <c r="AQ487" s="38"/>
      <c r="AR487" s="30"/>
      <c r="AS487" s="30"/>
      <c r="AT487" s="29"/>
      <c r="AU487" s="30"/>
      <c r="AV487" s="30"/>
      <c r="AW487" s="30"/>
      <c r="AX487" s="29"/>
      <c r="AY487" s="39"/>
      <c r="AZ487" s="30"/>
      <c r="BA487" s="30"/>
      <c r="BB487" s="29"/>
      <c r="BC487" s="52"/>
      <c r="BD487" s="30"/>
      <c r="BE487" s="29"/>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row>
    <row r="488">
      <c r="A488" s="30"/>
      <c r="B488" s="42"/>
      <c r="C488" s="43"/>
      <c r="D488" s="30"/>
      <c r="E488" s="28"/>
      <c r="F488" s="30"/>
      <c r="G488" s="30"/>
      <c r="H488" s="30"/>
      <c r="I488" s="30"/>
      <c r="J488" s="28"/>
      <c r="K488" s="30"/>
      <c r="L488" s="30"/>
      <c r="M488" s="30"/>
      <c r="N488" s="30"/>
      <c r="O488" s="28"/>
      <c r="P488" s="30"/>
      <c r="Q488" s="30"/>
      <c r="R488" s="30"/>
      <c r="S488" s="36"/>
      <c r="T488" s="30"/>
      <c r="U488" s="36"/>
      <c r="V488" s="30"/>
      <c r="W488" s="28"/>
      <c r="X488" s="30"/>
      <c r="Y488" s="30"/>
      <c r="Z488" s="30"/>
      <c r="AA488" s="30"/>
      <c r="AB488" s="30"/>
      <c r="AC488" s="28"/>
      <c r="AD488" s="30"/>
      <c r="AE488" s="30"/>
      <c r="AF488" s="30"/>
      <c r="AG488" s="29"/>
      <c r="AH488" s="30"/>
      <c r="AI488" s="36"/>
      <c r="AJ488" s="30"/>
      <c r="AK488" s="29"/>
      <c r="AL488" s="30"/>
      <c r="AM488" s="30"/>
      <c r="AN488" s="30"/>
      <c r="AO488" s="30"/>
      <c r="AP488" s="30"/>
      <c r="AQ488" s="38"/>
      <c r="AR488" s="30"/>
      <c r="AS488" s="30"/>
      <c r="AT488" s="29"/>
      <c r="AU488" s="30"/>
      <c r="AV488" s="30"/>
      <c r="AW488" s="30"/>
      <c r="AX488" s="29"/>
      <c r="AY488" s="39"/>
      <c r="AZ488" s="30"/>
      <c r="BA488" s="30"/>
      <c r="BB488" s="29"/>
      <c r="BC488" s="52"/>
      <c r="BD488" s="30"/>
      <c r="BE488" s="29"/>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row>
    <row r="489">
      <c r="A489" s="30"/>
      <c r="B489" s="42"/>
      <c r="C489" s="43"/>
      <c r="D489" s="30"/>
      <c r="E489" s="28"/>
      <c r="F489" s="30"/>
      <c r="G489" s="30"/>
      <c r="H489" s="30"/>
      <c r="I489" s="30"/>
      <c r="J489" s="28"/>
      <c r="K489" s="30"/>
      <c r="L489" s="30"/>
      <c r="M489" s="30"/>
      <c r="N489" s="30"/>
      <c r="O489" s="28"/>
      <c r="P489" s="30"/>
      <c r="Q489" s="30"/>
      <c r="R489" s="30"/>
      <c r="S489" s="36"/>
      <c r="T489" s="30"/>
      <c r="U489" s="36"/>
      <c r="V489" s="30"/>
      <c r="W489" s="28"/>
      <c r="X489" s="30"/>
      <c r="Y489" s="30"/>
      <c r="Z489" s="30"/>
      <c r="AA489" s="30"/>
      <c r="AB489" s="30"/>
      <c r="AC489" s="28"/>
      <c r="AD489" s="30"/>
      <c r="AE489" s="30"/>
      <c r="AF489" s="30"/>
      <c r="AG489" s="29"/>
      <c r="AH489" s="30"/>
      <c r="AI489" s="36"/>
      <c r="AJ489" s="30"/>
      <c r="AK489" s="29"/>
      <c r="AL489" s="30"/>
      <c r="AM489" s="30"/>
      <c r="AN489" s="30"/>
      <c r="AO489" s="30"/>
      <c r="AP489" s="30"/>
      <c r="AQ489" s="38"/>
      <c r="AR489" s="30"/>
      <c r="AS489" s="30"/>
      <c r="AT489" s="29"/>
      <c r="AU489" s="30"/>
      <c r="AV489" s="30"/>
      <c r="AW489" s="30"/>
      <c r="AX489" s="29"/>
      <c r="AY489" s="39"/>
      <c r="AZ489" s="30"/>
      <c r="BA489" s="30"/>
      <c r="BB489" s="29"/>
      <c r="BC489" s="52"/>
      <c r="BD489" s="30"/>
      <c r="BE489" s="29"/>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row>
    <row r="490">
      <c r="A490" s="30"/>
      <c r="B490" s="42"/>
      <c r="C490" s="43"/>
      <c r="D490" s="30"/>
      <c r="E490" s="28"/>
      <c r="F490" s="30"/>
      <c r="G490" s="30"/>
      <c r="H490" s="30"/>
      <c r="I490" s="30"/>
      <c r="J490" s="28"/>
      <c r="K490" s="30"/>
      <c r="L490" s="30"/>
      <c r="M490" s="30"/>
      <c r="N490" s="30"/>
      <c r="O490" s="28"/>
      <c r="P490" s="30"/>
      <c r="Q490" s="30"/>
      <c r="R490" s="30"/>
      <c r="S490" s="36"/>
      <c r="T490" s="30"/>
      <c r="U490" s="36"/>
      <c r="V490" s="30"/>
      <c r="W490" s="28"/>
      <c r="X490" s="30"/>
      <c r="Y490" s="30"/>
      <c r="Z490" s="30"/>
      <c r="AA490" s="30"/>
      <c r="AB490" s="30"/>
      <c r="AC490" s="28"/>
      <c r="AD490" s="30"/>
      <c r="AE490" s="30"/>
      <c r="AF490" s="30"/>
      <c r="AG490" s="29"/>
      <c r="AH490" s="30"/>
      <c r="AI490" s="36"/>
      <c r="AJ490" s="30"/>
      <c r="AK490" s="29"/>
      <c r="AL490" s="30"/>
      <c r="AM490" s="30"/>
      <c r="AN490" s="30"/>
      <c r="AO490" s="30"/>
      <c r="AP490" s="30"/>
      <c r="AQ490" s="38"/>
      <c r="AR490" s="30"/>
      <c r="AS490" s="30"/>
      <c r="AT490" s="29"/>
      <c r="AU490" s="30"/>
      <c r="AV490" s="30"/>
      <c r="AW490" s="30"/>
      <c r="AX490" s="29"/>
      <c r="AY490" s="39"/>
      <c r="AZ490" s="30"/>
      <c r="BA490" s="30"/>
      <c r="BB490" s="29"/>
      <c r="BC490" s="52"/>
      <c r="BD490" s="30"/>
      <c r="BE490" s="29"/>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row>
    <row r="491">
      <c r="A491" s="30"/>
      <c r="B491" s="42"/>
      <c r="C491" s="43"/>
      <c r="D491" s="30"/>
      <c r="E491" s="28"/>
      <c r="F491" s="30"/>
      <c r="G491" s="30"/>
      <c r="H491" s="30"/>
      <c r="I491" s="30"/>
      <c r="J491" s="28"/>
      <c r="K491" s="30"/>
      <c r="L491" s="30"/>
      <c r="M491" s="30"/>
      <c r="N491" s="30"/>
      <c r="O491" s="28"/>
      <c r="P491" s="30"/>
      <c r="Q491" s="30"/>
      <c r="R491" s="30"/>
      <c r="S491" s="36"/>
      <c r="T491" s="30"/>
      <c r="U491" s="36"/>
      <c r="V491" s="30"/>
      <c r="W491" s="28"/>
      <c r="X491" s="30"/>
      <c r="Y491" s="30"/>
      <c r="Z491" s="30"/>
      <c r="AA491" s="30"/>
      <c r="AB491" s="30"/>
      <c r="AC491" s="28"/>
      <c r="AD491" s="30"/>
      <c r="AE491" s="30"/>
      <c r="AF491" s="30"/>
      <c r="AG491" s="29"/>
      <c r="AH491" s="30"/>
      <c r="AI491" s="36"/>
      <c r="AJ491" s="30"/>
      <c r="AK491" s="29"/>
      <c r="AL491" s="30"/>
      <c r="AM491" s="30"/>
      <c r="AN491" s="30"/>
      <c r="AO491" s="30"/>
      <c r="AP491" s="30"/>
      <c r="AQ491" s="38"/>
      <c r="AR491" s="30"/>
      <c r="AS491" s="30"/>
      <c r="AT491" s="29"/>
      <c r="AU491" s="30"/>
      <c r="AV491" s="30"/>
      <c r="AW491" s="30"/>
      <c r="AX491" s="29"/>
      <c r="AY491" s="39"/>
      <c r="AZ491" s="30"/>
      <c r="BA491" s="30"/>
      <c r="BB491" s="29"/>
      <c r="BC491" s="52"/>
      <c r="BD491" s="30"/>
      <c r="BE491" s="29"/>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row>
    <row r="492">
      <c r="A492" s="30"/>
      <c r="B492" s="42"/>
      <c r="C492" s="43"/>
      <c r="D492" s="30"/>
      <c r="E492" s="28"/>
      <c r="F492" s="30"/>
      <c r="G492" s="30"/>
      <c r="H492" s="30"/>
      <c r="I492" s="30"/>
      <c r="J492" s="28"/>
      <c r="K492" s="30"/>
      <c r="L492" s="30"/>
      <c r="M492" s="30"/>
      <c r="N492" s="30"/>
      <c r="O492" s="28"/>
      <c r="P492" s="30"/>
      <c r="Q492" s="30"/>
      <c r="R492" s="30"/>
      <c r="S492" s="36"/>
      <c r="T492" s="30"/>
      <c r="U492" s="36"/>
      <c r="V492" s="30"/>
      <c r="W492" s="28"/>
      <c r="X492" s="30"/>
      <c r="Y492" s="30"/>
      <c r="Z492" s="30"/>
      <c r="AA492" s="30"/>
      <c r="AB492" s="30"/>
      <c r="AC492" s="28"/>
      <c r="AD492" s="30"/>
      <c r="AE492" s="30"/>
      <c r="AF492" s="30"/>
      <c r="AG492" s="29"/>
      <c r="AH492" s="30"/>
      <c r="AI492" s="36"/>
      <c r="AJ492" s="30"/>
      <c r="AK492" s="29"/>
      <c r="AL492" s="30"/>
      <c r="AM492" s="30"/>
      <c r="AN492" s="30"/>
      <c r="AO492" s="30"/>
      <c r="AP492" s="30"/>
      <c r="AQ492" s="38"/>
      <c r="AR492" s="30"/>
      <c r="AS492" s="30"/>
      <c r="AT492" s="29"/>
      <c r="AU492" s="30"/>
      <c r="AV492" s="30"/>
      <c r="AW492" s="30"/>
      <c r="AX492" s="29"/>
      <c r="AY492" s="39"/>
      <c r="AZ492" s="30"/>
      <c r="BA492" s="30"/>
      <c r="BB492" s="29"/>
      <c r="BC492" s="52"/>
      <c r="BD492" s="30"/>
      <c r="BE492" s="29"/>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row>
    <row r="493">
      <c r="A493" s="30"/>
      <c r="B493" s="42"/>
      <c r="C493" s="43"/>
      <c r="D493" s="30"/>
      <c r="E493" s="28"/>
      <c r="F493" s="30"/>
      <c r="G493" s="30"/>
      <c r="H493" s="30"/>
      <c r="I493" s="30"/>
      <c r="J493" s="28"/>
      <c r="K493" s="30"/>
      <c r="L493" s="30"/>
      <c r="M493" s="30"/>
      <c r="N493" s="30"/>
      <c r="O493" s="28"/>
      <c r="P493" s="30"/>
      <c r="Q493" s="30"/>
      <c r="R493" s="30"/>
      <c r="S493" s="36"/>
      <c r="T493" s="30"/>
      <c r="U493" s="36"/>
      <c r="V493" s="30"/>
      <c r="W493" s="28"/>
      <c r="X493" s="30"/>
      <c r="Y493" s="30"/>
      <c r="Z493" s="30"/>
      <c r="AA493" s="30"/>
      <c r="AB493" s="30"/>
      <c r="AC493" s="28"/>
      <c r="AD493" s="30"/>
      <c r="AE493" s="30"/>
      <c r="AF493" s="30"/>
      <c r="AG493" s="29"/>
      <c r="AH493" s="30"/>
      <c r="AI493" s="36"/>
      <c r="AJ493" s="30"/>
      <c r="AK493" s="29"/>
      <c r="AL493" s="30"/>
      <c r="AM493" s="30"/>
      <c r="AN493" s="30"/>
      <c r="AO493" s="30"/>
      <c r="AP493" s="30"/>
      <c r="AQ493" s="38"/>
      <c r="AR493" s="30"/>
      <c r="AS493" s="30"/>
      <c r="AT493" s="29"/>
      <c r="AU493" s="30"/>
      <c r="AV493" s="30"/>
      <c r="AW493" s="30"/>
      <c r="AX493" s="29"/>
      <c r="AY493" s="39"/>
      <c r="AZ493" s="30"/>
      <c r="BA493" s="30"/>
      <c r="BB493" s="29"/>
      <c r="BC493" s="52"/>
      <c r="BD493" s="30"/>
      <c r="BE493" s="29"/>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row>
    <row r="494">
      <c r="A494" s="30"/>
      <c r="B494" s="42"/>
      <c r="C494" s="43"/>
      <c r="D494" s="30"/>
      <c r="E494" s="28"/>
      <c r="F494" s="30"/>
      <c r="G494" s="30"/>
      <c r="H494" s="30"/>
      <c r="I494" s="30"/>
      <c r="J494" s="28"/>
      <c r="K494" s="30"/>
      <c r="L494" s="30"/>
      <c r="M494" s="30"/>
      <c r="N494" s="30"/>
      <c r="O494" s="28"/>
      <c r="P494" s="30"/>
      <c r="Q494" s="30"/>
      <c r="R494" s="30"/>
      <c r="S494" s="36"/>
      <c r="T494" s="30"/>
      <c r="U494" s="36"/>
      <c r="V494" s="30"/>
      <c r="W494" s="28"/>
      <c r="X494" s="30"/>
      <c r="Y494" s="30"/>
      <c r="Z494" s="30"/>
      <c r="AA494" s="30"/>
      <c r="AB494" s="30"/>
      <c r="AC494" s="28"/>
      <c r="AD494" s="30"/>
      <c r="AE494" s="30"/>
      <c r="AF494" s="30"/>
      <c r="AG494" s="29"/>
      <c r="AH494" s="30"/>
      <c r="AI494" s="36"/>
      <c r="AJ494" s="30"/>
      <c r="AK494" s="29"/>
      <c r="AL494" s="30"/>
      <c r="AM494" s="30"/>
      <c r="AN494" s="30"/>
      <c r="AO494" s="30"/>
      <c r="AP494" s="30"/>
      <c r="AQ494" s="38"/>
      <c r="AR494" s="30"/>
      <c r="AS494" s="30"/>
      <c r="AT494" s="29"/>
      <c r="AU494" s="30"/>
      <c r="AV494" s="30"/>
      <c r="AW494" s="30"/>
      <c r="AX494" s="29"/>
      <c r="AY494" s="39"/>
      <c r="AZ494" s="30"/>
      <c r="BA494" s="30"/>
      <c r="BB494" s="29"/>
      <c r="BC494" s="52"/>
      <c r="BD494" s="30"/>
      <c r="BE494" s="29"/>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row>
    <row r="495">
      <c r="A495" s="30"/>
      <c r="B495" s="42"/>
      <c r="C495" s="43"/>
      <c r="D495" s="30"/>
      <c r="E495" s="28"/>
      <c r="F495" s="30"/>
      <c r="G495" s="30"/>
      <c r="H495" s="30"/>
      <c r="I495" s="30"/>
      <c r="J495" s="28"/>
      <c r="K495" s="30"/>
      <c r="L495" s="30"/>
      <c r="M495" s="30"/>
      <c r="N495" s="30"/>
      <c r="O495" s="28"/>
      <c r="P495" s="30"/>
      <c r="Q495" s="30"/>
      <c r="R495" s="30"/>
      <c r="S495" s="36"/>
      <c r="T495" s="30"/>
      <c r="U495" s="36"/>
      <c r="V495" s="30"/>
      <c r="W495" s="28"/>
      <c r="X495" s="30"/>
      <c r="Y495" s="30"/>
      <c r="Z495" s="30"/>
      <c r="AA495" s="30"/>
      <c r="AB495" s="30"/>
      <c r="AC495" s="28"/>
      <c r="AD495" s="30"/>
      <c r="AE495" s="30"/>
      <c r="AF495" s="30"/>
      <c r="AG495" s="29"/>
      <c r="AH495" s="30"/>
      <c r="AI495" s="36"/>
      <c r="AJ495" s="30"/>
      <c r="AK495" s="29"/>
      <c r="AL495" s="30"/>
      <c r="AM495" s="30"/>
      <c r="AN495" s="30"/>
      <c r="AO495" s="30"/>
      <c r="AP495" s="30"/>
      <c r="AQ495" s="38"/>
      <c r="AR495" s="30"/>
      <c r="AS495" s="30"/>
      <c r="AT495" s="29"/>
      <c r="AU495" s="30"/>
      <c r="AV495" s="30"/>
      <c r="AW495" s="30"/>
      <c r="AX495" s="29"/>
      <c r="AY495" s="39"/>
      <c r="AZ495" s="30"/>
      <c r="BA495" s="30"/>
      <c r="BB495" s="29"/>
      <c r="BC495" s="52"/>
      <c r="BD495" s="30"/>
      <c r="BE495" s="29"/>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row>
    <row r="496">
      <c r="A496" s="30"/>
      <c r="B496" s="42"/>
      <c r="C496" s="43"/>
      <c r="D496" s="30"/>
      <c r="E496" s="28"/>
      <c r="F496" s="30"/>
      <c r="G496" s="30"/>
      <c r="H496" s="30"/>
      <c r="I496" s="30"/>
      <c r="J496" s="28"/>
      <c r="K496" s="30"/>
      <c r="L496" s="30"/>
      <c r="M496" s="30"/>
      <c r="N496" s="30"/>
      <c r="O496" s="28"/>
      <c r="P496" s="30"/>
      <c r="Q496" s="30"/>
      <c r="R496" s="30"/>
      <c r="S496" s="36"/>
      <c r="T496" s="30"/>
      <c r="U496" s="36"/>
      <c r="V496" s="30"/>
      <c r="W496" s="28"/>
      <c r="X496" s="30"/>
      <c r="Y496" s="30"/>
      <c r="Z496" s="30"/>
      <c r="AA496" s="30"/>
      <c r="AB496" s="30"/>
      <c r="AC496" s="28"/>
      <c r="AD496" s="30"/>
      <c r="AE496" s="30"/>
      <c r="AF496" s="30"/>
      <c r="AG496" s="29"/>
      <c r="AH496" s="30"/>
      <c r="AI496" s="36"/>
      <c r="AJ496" s="30"/>
      <c r="AK496" s="29"/>
      <c r="AL496" s="30"/>
      <c r="AM496" s="30"/>
      <c r="AN496" s="30"/>
      <c r="AO496" s="30"/>
      <c r="AP496" s="30"/>
      <c r="AQ496" s="38"/>
      <c r="AR496" s="30"/>
      <c r="AS496" s="30"/>
      <c r="AT496" s="29"/>
      <c r="AU496" s="30"/>
      <c r="AV496" s="30"/>
      <c r="AW496" s="30"/>
      <c r="AX496" s="29"/>
      <c r="AY496" s="39"/>
      <c r="AZ496" s="30"/>
      <c r="BA496" s="30"/>
      <c r="BB496" s="29"/>
      <c r="BC496" s="52"/>
      <c r="BD496" s="30"/>
      <c r="BE496" s="29"/>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row>
    <row r="497">
      <c r="A497" s="30"/>
      <c r="B497" s="42"/>
      <c r="C497" s="43"/>
      <c r="D497" s="30"/>
      <c r="E497" s="28"/>
      <c r="F497" s="30"/>
      <c r="G497" s="30"/>
      <c r="H497" s="30"/>
      <c r="I497" s="30"/>
      <c r="J497" s="28"/>
      <c r="K497" s="30"/>
      <c r="L497" s="30"/>
      <c r="M497" s="30"/>
      <c r="N497" s="30"/>
      <c r="O497" s="28"/>
      <c r="P497" s="30"/>
      <c r="Q497" s="30"/>
      <c r="R497" s="30"/>
      <c r="S497" s="36"/>
      <c r="T497" s="30"/>
      <c r="U497" s="36"/>
      <c r="V497" s="30"/>
      <c r="W497" s="28"/>
      <c r="X497" s="30"/>
      <c r="Y497" s="30"/>
      <c r="Z497" s="30"/>
      <c r="AA497" s="30"/>
      <c r="AB497" s="30"/>
      <c r="AC497" s="28"/>
      <c r="AD497" s="30"/>
      <c r="AE497" s="30"/>
      <c r="AF497" s="30"/>
      <c r="AG497" s="29"/>
      <c r="AH497" s="30"/>
      <c r="AI497" s="36"/>
      <c r="AJ497" s="30"/>
      <c r="AK497" s="29"/>
      <c r="AL497" s="30"/>
      <c r="AM497" s="30"/>
      <c r="AN497" s="30"/>
      <c r="AO497" s="30"/>
      <c r="AP497" s="30"/>
      <c r="AQ497" s="38"/>
      <c r="AR497" s="30"/>
      <c r="AS497" s="30"/>
      <c r="AT497" s="29"/>
      <c r="AU497" s="30"/>
      <c r="AV497" s="30"/>
      <c r="AW497" s="30"/>
      <c r="AX497" s="29"/>
      <c r="AY497" s="39"/>
      <c r="AZ497" s="30"/>
      <c r="BA497" s="30"/>
      <c r="BB497" s="29"/>
      <c r="BC497" s="52"/>
      <c r="BD497" s="30"/>
      <c r="BE497" s="29"/>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row>
    <row r="498">
      <c r="A498" s="30"/>
      <c r="B498" s="42"/>
      <c r="C498" s="43"/>
      <c r="D498" s="30"/>
      <c r="E498" s="28"/>
      <c r="F498" s="30"/>
      <c r="G498" s="30"/>
      <c r="H498" s="30"/>
      <c r="I498" s="30"/>
      <c r="J498" s="28"/>
      <c r="K498" s="30"/>
      <c r="L498" s="30"/>
      <c r="M498" s="30"/>
      <c r="N498" s="30"/>
      <c r="O498" s="28"/>
      <c r="P498" s="30"/>
      <c r="Q498" s="30"/>
      <c r="R498" s="30"/>
      <c r="S498" s="36"/>
      <c r="T498" s="30"/>
      <c r="U498" s="36"/>
      <c r="V498" s="30"/>
      <c r="W498" s="28"/>
      <c r="X498" s="30"/>
      <c r="Y498" s="30"/>
      <c r="Z498" s="30"/>
      <c r="AA498" s="30"/>
      <c r="AB498" s="30"/>
      <c r="AC498" s="28"/>
      <c r="AD498" s="30"/>
      <c r="AE498" s="30"/>
      <c r="AF498" s="30"/>
      <c r="AG498" s="29"/>
      <c r="AH498" s="30"/>
      <c r="AI498" s="36"/>
      <c r="AJ498" s="30"/>
      <c r="AK498" s="29"/>
      <c r="AL498" s="30"/>
      <c r="AM498" s="30"/>
      <c r="AN498" s="30"/>
      <c r="AO498" s="30"/>
      <c r="AP498" s="30"/>
      <c r="AQ498" s="38"/>
      <c r="AR498" s="30"/>
      <c r="AS498" s="30"/>
      <c r="AT498" s="29"/>
      <c r="AU498" s="30"/>
      <c r="AV498" s="30"/>
      <c r="AW498" s="30"/>
      <c r="AX498" s="29"/>
      <c r="AY498" s="39"/>
      <c r="AZ498" s="30"/>
      <c r="BA498" s="30"/>
      <c r="BB498" s="29"/>
      <c r="BC498" s="52"/>
      <c r="BD498" s="30"/>
      <c r="BE498" s="29"/>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row>
    <row r="499">
      <c r="A499" s="30"/>
      <c r="B499" s="42"/>
      <c r="C499" s="43"/>
      <c r="D499" s="30"/>
      <c r="E499" s="28"/>
      <c r="F499" s="30"/>
      <c r="G499" s="30"/>
      <c r="H499" s="30"/>
      <c r="I499" s="30"/>
      <c r="J499" s="28"/>
      <c r="K499" s="30"/>
      <c r="L499" s="30"/>
      <c r="M499" s="30"/>
      <c r="N499" s="30"/>
      <c r="O499" s="28"/>
      <c r="P499" s="30"/>
      <c r="Q499" s="30"/>
      <c r="R499" s="30"/>
      <c r="S499" s="36"/>
      <c r="T499" s="30"/>
      <c r="U499" s="36"/>
      <c r="V499" s="30"/>
      <c r="W499" s="28"/>
      <c r="X499" s="30"/>
      <c r="Y499" s="30"/>
      <c r="Z499" s="30"/>
      <c r="AA499" s="30"/>
      <c r="AB499" s="30"/>
      <c r="AC499" s="28"/>
      <c r="AD499" s="30"/>
      <c r="AE499" s="30"/>
      <c r="AF499" s="30"/>
      <c r="AG499" s="29"/>
      <c r="AH499" s="30"/>
      <c r="AI499" s="36"/>
      <c r="AJ499" s="30"/>
      <c r="AK499" s="29"/>
      <c r="AL499" s="30"/>
      <c r="AM499" s="30"/>
      <c r="AN499" s="30"/>
      <c r="AO499" s="30"/>
      <c r="AP499" s="30"/>
      <c r="AQ499" s="38"/>
      <c r="AR499" s="30"/>
      <c r="AS499" s="30"/>
      <c r="AT499" s="29"/>
      <c r="AU499" s="30"/>
      <c r="AV499" s="30"/>
      <c r="AW499" s="30"/>
      <c r="AX499" s="29"/>
      <c r="AY499" s="39"/>
      <c r="AZ499" s="30"/>
      <c r="BA499" s="30"/>
      <c r="BB499" s="29"/>
      <c r="BC499" s="52"/>
      <c r="BD499" s="30"/>
      <c r="BE499" s="29"/>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row>
    <row r="500">
      <c r="A500" s="30"/>
      <c r="B500" s="42"/>
      <c r="C500" s="43"/>
      <c r="D500" s="30"/>
      <c r="E500" s="28"/>
      <c r="F500" s="30"/>
      <c r="G500" s="30"/>
      <c r="H500" s="30"/>
      <c r="I500" s="30"/>
      <c r="J500" s="28"/>
      <c r="K500" s="30"/>
      <c r="L500" s="30"/>
      <c r="M500" s="30"/>
      <c r="N500" s="30"/>
      <c r="O500" s="28"/>
      <c r="P500" s="30"/>
      <c r="Q500" s="30"/>
      <c r="R500" s="30"/>
      <c r="S500" s="36"/>
      <c r="T500" s="30"/>
      <c r="U500" s="36"/>
      <c r="V500" s="30"/>
      <c r="W500" s="28"/>
      <c r="X500" s="30"/>
      <c r="Y500" s="30"/>
      <c r="Z500" s="30"/>
      <c r="AA500" s="30"/>
      <c r="AB500" s="30"/>
      <c r="AC500" s="28"/>
      <c r="AD500" s="30"/>
      <c r="AE500" s="30"/>
      <c r="AF500" s="30"/>
      <c r="AG500" s="29"/>
      <c r="AH500" s="30"/>
      <c r="AI500" s="36"/>
      <c r="AJ500" s="30"/>
      <c r="AK500" s="29"/>
      <c r="AL500" s="30"/>
      <c r="AM500" s="30"/>
      <c r="AN500" s="30"/>
      <c r="AO500" s="30"/>
      <c r="AP500" s="30"/>
      <c r="AQ500" s="38"/>
      <c r="AR500" s="30"/>
      <c r="AS500" s="30"/>
      <c r="AT500" s="29"/>
      <c r="AU500" s="30"/>
      <c r="AV500" s="30"/>
      <c r="AW500" s="30"/>
      <c r="AX500" s="29"/>
      <c r="AY500" s="39"/>
      <c r="AZ500" s="30"/>
      <c r="BA500" s="30"/>
      <c r="BB500" s="29"/>
      <c r="BC500" s="52"/>
      <c r="BD500" s="30"/>
      <c r="BE500" s="29"/>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row>
    <row r="501">
      <c r="A501" s="30"/>
      <c r="B501" s="42"/>
      <c r="C501" s="43"/>
      <c r="D501" s="30"/>
      <c r="E501" s="28"/>
      <c r="F501" s="30"/>
      <c r="G501" s="30"/>
      <c r="H501" s="30"/>
      <c r="I501" s="30"/>
      <c r="J501" s="28"/>
      <c r="K501" s="30"/>
      <c r="L501" s="30"/>
      <c r="M501" s="30"/>
      <c r="N501" s="30"/>
      <c r="O501" s="28"/>
      <c r="P501" s="30"/>
      <c r="Q501" s="30"/>
      <c r="R501" s="30"/>
      <c r="S501" s="36"/>
      <c r="T501" s="30"/>
      <c r="U501" s="36"/>
      <c r="V501" s="30"/>
      <c r="W501" s="28"/>
      <c r="X501" s="30"/>
      <c r="Y501" s="30"/>
      <c r="Z501" s="30"/>
      <c r="AA501" s="30"/>
      <c r="AB501" s="30"/>
      <c r="AC501" s="28"/>
      <c r="AD501" s="30"/>
      <c r="AE501" s="30"/>
      <c r="AF501" s="30"/>
      <c r="AG501" s="29"/>
      <c r="AH501" s="30"/>
      <c r="AI501" s="36"/>
      <c r="AJ501" s="30"/>
      <c r="AK501" s="29"/>
      <c r="AL501" s="30"/>
      <c r="AM501" s="30"/>
      <c r="AN501" s="30"/>
      <c r="AO501" s="30"/>
      <c r="AP501" s="30"/>
      <c r="AQ501" s="38"/>
      <c r="AR501" s="30"/>
      <c r="AS501" s="30"/>
      <c r="AT501" s="29"/>
      <c r="AU501" s="30"/>
      <c r="AV501" s="30"/>
      <c r="AW501" s="30"/>
      <c r="AX501" s="29"/>
      <c r="AY501" s="39"/>
      <c r="AZ501" s="30"/>
      <c r="BA501" s="30"/>
      <c r="BB501" s="29"/>
      <c r="BC501" s="52"/>
      <c r="BD501" s="30"/>
      <c r="BE501" s="29"/>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row>
    <row r="502">
      <c r="A502" s="30"/>
      <c r="B502" s="42"/>
      <c r="C502" s="43"/>
      <c r="D502" s="30"/>
      <c r="E502" s="28"/>
      <c r="F502" s="30"/>
      <c r="G502" s="30"/>
      <c r="H502" s="30"/>
      <c r="I502" s="30"/>
      <c r="J502" s="28"/>
      <c r="K502" s="30"/>
      <c r="L502" s="30"/>
      <c r="M502" s="30"/>
      <c r="N502" s="30"/>
      <c r="O502" s="28"/>
      <c r="P502" s="30"/>
      <c r="Q502" s="30"/>
      <c r="R502" s="30"/>
      <c r="S502" s="36"/>
      <c r="T502" s="30"/>
      <c r="U502" s="36"/>
      <c r="V502" s="30"/>
      <c r="W502" s="28"/>
      <c r="X502" s="30"/>
      <c r="Y502" s="30"/>
      <c r="Z502" s="30"/>
      <c r="AA502" s="30"/>
      <c r="AB502" s="30"/>
      <c r="AC502" s="28"/>
      <c r="AD502" s="30"/>
      <c r="AE502" s="30"/>
      <c r="AF502" s="30"/>
      <c r="AG502" s="29"/>
      <c r="AH502" s="30"/>
      <c r="AI502" s="36"/>
      <c r="AJ502" s="30"/>
      <c r="AK502" s="29"/>
      <c r="AL502" s="30"/>
      <c r="AM502" s="30"/>
      <c r="AN502" s="30"/>
      <c r="AO502" s="30"/>
      <c r="AP502" s="30"/>
      <c r="AQ502" s="38"/>
      <c r="AR502" s="30"/>
      <c r="AS502" s="30"/>
      <c r="AT502" s="29"/>
      <c r="AU502" s="30"/>
      <c r="AV502" s="30"/>
      <c r="AW502" s="30"/>
      <c r="AX502" s="29"/>
      <c r="AY502" s="39"/>
      <c r="AZ502" s="30"/>
      <c r="BA502" s="30"/>
      <c r="BB502" s="29"/>
      <c r="BC502" s="52"/>
      <c r="BD502" s="30"/>
      <c r="BE502" s="29"/>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row>
    <row r="503">
      <c r="A503" s="30"/>
      <c r="B503" s="42"/>
      <c r="C503" s="43"/>
      <c r="D503" s="30"/>
      <c r="E503" s="28"/>
      <c r="F503" s="30"/>
      <c r="G503" s="30"/>
      <c r="H503" s="30"/>
      <c r="I503" s="30"/>
      <c r="J503" s="28"/>
      <c r="K503" s="30"/>
      <c r="L503" s="30"/>
      <c r="M503" s="30"/>
      <c r="N503" s="30"/>
      <c r="O503" s="28"/>
      <c r="P503" s="30"/>
      <c r="Q503" s="30"/>
      <c r="R503" s="30"/>
      <c r="S503" s="36"/>
      <c r="T503" s="30"/>
      <c r="U503" s="36"/>
      <c r="V503" s="30"/>
      <c r="W503" s="28"/>
      <c r="X503" s="30"/>
      <c r="Y503" s="30"/>
      <c r="Z503" s="30"/>
      <c r="AA503" s="30"/>
      <c r="AB503" s="30"/>
      <c r="AC503" s="28"/>
      <c r="AD503" s="30"/>
      <c r="AE503" s="30"/>
      <c r="AF503" s="30"/>
      <c r="AG503" s="29"/>
      <c r="AH503" s="30"/>
      <c r="AI503" s="36"/>
      <c r="AJ503" s="30"/>
      <c r="AK503" s="29"/>
      <c r="AL503" s="30"/>
      <c r="AM503" s="30"/>
      <c r="AN503" s="30"/>
      <c r="AO503" s="30"/>
      <c r="AP503" s="30"/>
      <c r="AQ503" s="38"/>
      <c r="AR503" s="30"/>
      <c r="AS503" s="30"/>
      <c r="AT503" s="29"/>
      <c r="AU503" s="30"/>
      <c r="AV503" s="30"/>
      <c r="AW503" s="30"/>
      <c r="AX503" s="29"/>
      <c r="AY503" s="39"/>
      <c r="AZ503" s="30"/>
      <c r="BA503" s="30"/>
      <c r="BB503" s="29"/>
      <c r="BC503" s="52"/>
      <c r="BD503" s="30"/>
      <c r="BE503" s="29"/>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row>
    <row r="504">
      <c r="A504" s="30"/>
      <c r="B504" s="42"/>
      <c r="C504" s="43"/>
      <c r="D504" s="30"/>
      <c r="E504" s="28"/>
      <c r="F504" s="30"/>
      <c r="G504" s="30"/>
      <c r="H504" s="30"/>
      <c r="I504" s="30"/>
      <c r="J504" s="28"/>
      <c r="K504" s="30"/>
      <c r="L504" s="30"/>
      <c r="M504" s="30"/>
      <c r="N504" s="30"/>
      <c r="O504" s="28"/>
      <c r="P504" s="30"/>
      <c r="Q504" s="30"/>
      <c r="R504" s="30"/>
      <c r="S504" s="36"/>
      <c r="T504" s="30"/>
      <c r="U504" s="36"/>
      <c r="V504" s="30"/>
      <c r="W504" s="28"/>
      <c r="X504" s="30"/>
      <c r="Y504" s="30"/>
      <c r="Z504" s="30"/>
      <c r="AA504" s="30"/>
      <c r="AB504" s="30"/>
      <c r="AC504" s="28"/>
      <c r="AD504" s="30"/>
      <c r="AE504" s="30"/>
      <c r="AF504" s="30"/>
      <c r="AG504" s="29"/>
      <c r="AH504" s="30"/>
      <c r="AI504" s="36"/>
      <c r="AJ504" s="30"/>
      <c r="AK504" s="29"/>
      <c r="AL504" s="30"/>
      <c r="AM504" s="30"/>
      <c r="AN504" s="30"/>
      <c r="AO504" s="30"/>
      <c r="AP504" s="30"/>
      <c r="AQ504" s="38"/>
      <c r="AR504" s="30"/>
      <c r="AS504" s="30"/>
      <c r="AT504" s="29"/>
      <c r="AU504" s="30"/>
      <c r="AV504" s="30"/>
      <c r="AW504" s="30"/>
      <c r="AX504" s="29"/>
      <c r="AY504" s="39"/>
      <c r="AZ504" s="30"/>
      <c r="BA504" s="30"/>
      <c r="BB504" s="29"/>
      <c r="BC504" s="52"/>
      <c r="BD504" s="30"/>
      <c r="BE504" s="29"/>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row>
    <row r="505">
      <c r="A505" s="30"/>
      <c r="B505" s="42"/>
      <c r="C505" s="43"/>
      <c r="D505" s="30"/>
      <c r="E505" s="28"/>
      <c r="F505" s="30"/>
      <c r="G505" s="30"/>
      <c r="H505" s="30"/>
      <c r="I505" s="30"/>
      <c r="J505" s="28"/>
      <c r="K505" s="30"/>
      <c r="L505" s="30"/>
      <c r="M505" s="30"/>
      <c r="N505" s="30"/>
      <c r="O505" s="28"/>
      <c r="P505" s="30"/>
      <c r="Q505" s="30"/>
      <c r="R505" s="30"/>
      <c r="S505" s="36"/>
      <c r="T505" s="30"/>
      <c r="U505" s="36"/>
      <c r="V505" s="30"/>
      <c r="W505" s="28"/>
      <c r="X505" s="30"/>
      <c r="Y505" s="30"/>
      <c r="Z505" s="30"/>
      <c r="AA505" s="30"/>
      <c r="AB505" s="30"/>
      <c r="AC505" s="28"/>
      <c r="AD505" s="30"/>
      <c r="AE505" s="30"/>
      <c r="AF505" s="30"/>
      <c r="AG505" s="29"/>
      <c r="AH505" s="30"/>
      <c r="AI505" s="36"/>
      <c r="AJ505" s="30"/>
      <c r="AK505" s="29"/>
      <c r="AL505" s="30"/>
      <c r="AM505" s="30"/>
      <c r="AN505" s="30"/>
      <c r="AO505" s="30"/>
      <c r="AP505" s="30"/>
      <c r="AQ505" s="38"/>
      <c r="AR505" s="30"/>
      <c r="AS505" s="30"/>
      <c r="AT505" s="29"/>
      <c r="AU505" s="30"/>
      <c r="AV505" s="30"/>
      <c r="AW505" s="30"/>
      <c r="AX505" s="29"/>
      <c r="AY505" s="39"/>
      <c r="AZ505" s="30"/>
      <c r="BA505" s="30"/>
      <c r="BB505" s="29"/>
      <c r="BC505" s="52"/>
      <c r="BD505" s="30"/>
      <c r="BE505" s="29"/>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row>
    <row r="506">
      <c r="A506" s="30"/>
      <c r="B506" s="42"/>
      <c r="C506" s="43"/>
      <c r="D506" s="30"/>
      <c r="E506" s="28"/>
      <c r="F506" s="30"/>
      <c r="G506" s="30"/>
      <c r="H506" s="30"/>
      <c r="I506" s="30"/>
      <c r="J506" s="28"/>
      <c r="K506" s="30"/>
      <c r="L506" s="30"/>
      <c r="M506" s="30"/>
      <c r="N506" s="30"/>
      <c r="O506" s="28"/>
      <c r="P506" s="30"/>
      <c r="Q506" s="30"/>
      <c r="R506" s="30"/>
      <c r="S506" s="36"/>
      <c r="T506" s="30"/>
      <c r="U506" s="36"/>
      <c r="V506" s="30"/>
      <c r="W506" s="28"/>
      <c r="X506" s="30"/>
      <c r="Y506" s="30"/>
      <c r="Z506" s="30"/>
      <c r="AA506" s="30"/>
      <c r="AB506" s="30"/>
      <c r="AC506" s="28"/>
      <c r="AD506" s="30"/>
      <c r="AE506" s="30"/>
      <c r="AF506" s="30"/>
      <c r="AG506" s="29"/>
      <c r="AH506" s="30"/>
      <c r="AI506" s="36"/>
      <c r="AJ506" s="30"/>
      <c r="AK506" s="29"/>
      <c r="AL506" s="30"/>
      <c r="AM506" s="30"/>
      <c r="AN506" s="30"/>
      <c r="AO506" s="30"/>
      <c r="AP506" s="30"/>
      <c r="AQ506" s="38"/>
      <c r="AR506" s="30"/>
      <c r="AS506" s="30"/>
      <c r="AT506" s="29"/>
      <c r="AU506" s="30"/>
      <c r="AV506" s="30"/>
      <c r="AW506" s="30"/>
      <c r="AX506" s="29"/>
      <c r="AY506" s="39"/>
      <c r="AZ506" s="30"/>
      <c r="BA506" s="30"/>
      <c r="BB506" s="29"/>
      <c r="BC506" s="52"/>
      <c r="BD506" s="30"/>
      <c r="BE506" s="29"/>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row>
    <row r="507">
      <c r="A507" s="30"/>
      <c r="B507" s="42"/>
      <c r="C507" s="43"/>
      <c r="D507" s="30"/>
      <c r="E507" s="28"/>
      <c r="F507" s="30"/>
      <c r="G507" s="30"/>
      <c r="H507" s="30"/>
      <c r="I507" s="30"/>
      <c r="J507" s="28"/>
      <c r="K507" s="30"/>
      <c r="L507" s="30"/>
      <c r="M507" s="30"/>
      <c r="N507" s="30"/>
      <c r="O507" s="28"/>
      <c r="P507" s="30"/>
      <c r="Q507" s="30"/>
      <c r="R507" s="30"/>
      <c r="S507" s="36"/>
      <c r="T507" s="30"/>
      <c r="U507" s="36"/>
      <c r="V507" s="30"/>
      <c r="W507" s="28"/>
      <c r="X507" s="30"/>
      <c r="Y507" s="30"/>
      <c r="Z507" s="30"/>
      <c r="AA507" s="30"/>
      <c r="AB507" s="30"/>
      <c r="AC507" s="28"/>
      <c r="AD507" s="30"/>
      <c r="AE507" s="30"/>
      <c r="AF507" s="30"/>
      <c r="AG507" s="29"/>
      <c r="AH507" s="30"/>
      <c r="AI507" s="36"/>
      <c r="AJ507" s="30"/>
      <c r="AK507" s="29"/>
      <c r="AL507" s="30"/>
      <c r="AM507" s="30"/>
      <c r="AN507" s="30"/>
      <c r="AO507" s="30"/>
      <c r="AP507" s="30"/>
      <c r="AQ507" s="38"/>
      <c r="AR507" s="30"/>
      <c r="AS507" s="30"/>
      <c r="AT507" s="29"/>
      <c r="AU507" s="30"/>
      <c r="AV507" s="30"/>
      <c r="AW507" s="30"/>
      <c r="AX507" s="29"/>
      <c r="AY507" s="39"/>
      <c r="AZ507" s="30"/>
      <c r="BA507" s="30"/>
      <c r="BB507" s="29"/>
      <c r="BC507" s="52"/>
      <c r="BD507" s="30"/>
      <c r="BE507" s="29"/>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row>
    <row r="508">
      <c r="A508" s="30"/>
      <c r="B508" s="42"/>
      <c r="C508" s="43"/>
      <c r="D508" s="30"/>
      <c r="E508" s="28"/>
      <c r="F508" s="30"/>
      <c r="G508" s="30"/>
      <c r="H508" s="30"/>
      <c r="I508" s="30"/>
      <c r="J508" s="28"/>
      <c r="K508" s="30"/>
      <c r="L508" s="30"/>
      <c r="M508" s="30"/>
      <c r="N508" s="30"/>
      <c r="O508" s="28"/>
      <c r="P508" s="30"/>
      <c r="Q508" s="30"/>
      <c r="R508" s="30"/>
      <c r="S508" s="36"/>
      <c r="T508" s="30"/>
      <c r="U508" s="36"/>
      <c r="V508" s="30"/>
      <c r="W508" s="28"/>
      <c r="X508" s="30"/>
      <c r="Y508" s="30"/>
      <c r="Z508" s="30"/>
      <c r="AA508" s="30"/>
      <c r="AB508" s="30"/>
      <c r="AC508" s="28"/>
      <c r="AD508" s="30"/>
      <c r="AE508" s="30"/>
      <c r="AF508" s="30"/>
      <c r="AG508" s="29"/>
      <c r="AH508" s="30"/>
      <c r="AI508" s="36"/>
      <c r="AJ508" s="30"/>
      <c r="AK508" s="29"/>
      <c r="AL508" s="30"/>
      <c r="AM508" s="30"/>
      <c r="AN508" s="30"/>
      <c r="AO508" s="30"/>
      <c r="AP508" s="30"/>
      <c r="AQ508" s="38"/>
      <c r="AR508" s="30"/>
      <c r="AS508" s="30"/>
      <c r="AT508" s="29"/>
      <c r="AU508" s="30"/>
      <c r="AV508" s="30"/>
      <c r="AW508" s="30"/>
      <c r="AX508" s="29"/>
      <c r="AY508" s="39"/>
      <c r="AZ508" s="30"/>
      <c r="BA508" s="30"/>
      <c r="BB508" s="29"/>
      <c r="BC508" s="52"/>
      <c r="BD508" s="30"/>
      <c r="BE508" s="29"/>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row>
    <row r="509">
      <c r="A509" s="30"/>
      <c r="B509" s="42"/>
      <c r="C509" s="43"/>
      <c r="D509" s="30"/>
      <c r="E509" s="28"/>
      <c r="F509" s="30"/>
      <c r="G509" s="30"/>
      <c r="H509" s="30"/>
      <c r="I509" s="30"/>
      <c r="J509" s="28"/>
      <c r="K509" s="30"/>
      <c r="L509" s="30"/>
      <c r="M509" s="30"/>
      <c r="N509" s="30"/>
      <c r="O509" s="28"/>
      <c r="P509" s="30"/>
      <c r="Q509" s="30"/>
      <c r="R509" s="30"/>
      <c r="S509" s="36"/>
      <c r="T509" s="30"/>
      <c r="U509" s="36"/>
      <c r="V509" s="30"/>
      <c r="W509" s="28"/>
      <c r="X509" s="30"/>
      <c r="Y509" s="30"/>
      <c r="Z509" s="30"/>
      <c r="AA509" s="30"/>
      <c r="AB509" s="30"/>
      <c r="AC509" s="28"/>
      <c r="AD509" s="30"/>
      <c r="AE509" s="30"/>
      <c r="AF509" s="30"/>
      <c r="AG509" s="29"/>
      <c r="AH509" s="30"/>
      <c r="AI509" s="36"/>
      <c r="AJ509" s="30"/>
      <c r="AK509" s="29"/>
      <c r="AL509" s="30"/>
      <c r="AM509" s="30"/>
      <c r="AN509" s="30"/>
      <c r="AO509" s="30"/>
      <c r="AP509" s="30"/>
      <c r="AQ509" s="38"/>
      <c r="AR509" s="30"/>
      <c r="AS509" s="30"/>
      <c r="AT509" s="29"/>
      <c r="AU509" s="30"/>
      <c r="AV509" s="30"/>
      <c r="AW509" s="30"/>
      <c r="AX509" s="29"/>
      <c r="AY509" s="39"/>
      <c r="AZ509" s="30"/>
      <c r="BA509" s="30"/>
      <c r="BB509" s="29"/>
      <c r="BC509" s="52"/>
      <c r="BD509" s="30"/>
      <c r="BE509" s="29"/>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row>
    <row r="510">
      <c r="A510" s="30"/>
      <c r="B510" s="42"/>
      <c r="C510" s="43"/>
      <c r="D510" s="30"/>
      <c r="E510" s="28"/>
      <c r="F510" s="30"/>
      <c r="G510" s="30"/>
      <c r="H510" s="30"/>
      <c r="I510" s="30"/>
      <c r="J510" s="28"/>
      <c r="K510" s="30"/>
      <c r="L510" s="30"/>
      <c r="M510" s="30"/>
      <c r="N510" s="30"/>
      <c r="O510" s="28"/>
      <c r="P510" s="30"/>
      <c r="Q510" s="30"/>
      <c r="R510" s="30"/>
      <c r="S510" s="36"/>
      <c r="T510" s="30"/>
      <c r="U510" s="36"/>
      <c r="V510" s="30"/>
      <c r="W510" s="28"/>
      <c r="X510" s="30"/>
      <c r="Y510" s="30"/>
      <c r="Z510" s="30"/>
      <c r="AA510" s="30"/>
      <c r="AB510" s="30"/>
      <c r="AC510" s="28"/>
      <c r="AD510" s="30"/>
      <c r="AE510" s="30"/>
      <c r="AF510" s="30"/>
      <c r="AG510" s="29"/>
      <c r="AH510" s="30"/>
      <c r="AI510" s="36"/>
      <c r="AJ510" s="30"/>
      <c r="AK510" s="29"/>
      <c r="AL510" s="30"/>
      <c r="AM510" s="30"/>
      <c r="AN510" s="30"/>
      <c r="AO510" s="30"/>
      <c r="AP510" s="30"/>
      <c r="AQ510" s="38"/>
      <c r="AR510" s="30"/>
      <c r="AS510" s="30"/>
      <c r="AT510" s="29"/>
      <c r="AU510" s="30"/>
      <c r="AV510" s="30"/>
      <c r="AW510" s="30"/>
      <c r="AX510" s="29"/>
      <c r="AY510" s="39"/>
      <c r="AZ510" s="30"/>
      <c r="BA510" s="30"/>
      <c r="BB510" s="29"/>
      <c r="BC510" s="52"/>
      <c r="BD510" s="30"/>
      <c r="BE510" s="29"/>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row>
    <row r="511">
      <c r="A511" s="30"/>
      <c r="B511" s="42"/>
      <c r="C511" s="43"/>
      <c r="D511" s="30"/>
      <c r="E511" s="28"/>
      <c r="F511" s="30"/>
      <c r="G511" s="30"/>
      <c r="H511" s="30"/>
      <c r="I511" s="30"/>
      <c r="J511" s="28"/>
      <c r="K511" s="30"/>
      <c r="L511" s="30"/>
      <c r="M511" s="30"/>
      <c r="N511" s="30"/>
      <c r="O511" s="28"/>
      <c r="P511" s="30"/>
      <c r="Q511" s="30"/>
      <c r="R511" s="30"/>
      <c r="S511" s="36"/>
      <c r="T511" s="30"/>
      <c r="U511" s="36"/>
      <c r="V511" s="30"/>
      <c r="W511" s="28"/>
      <c r="X511" s="30"/>
      <c r="Y511" s="30"/>
      <c r="Z511" s="30"/>
      <c r="AA511" s="30"/>
      <c r="AB511" s="30"/>
      <c r="AC511" s="28"/>
      <c r="AD511" s="30"/>
      <c r="AE511" s="30"/>
      <c r="AF511" s="30"/>
      <c r="AG511" s="29"/>
      <c r="AH511" s="30"/>
      <c r="AI511" s="36"/>
      <c r="AJ511" s="30"/>
      <c r="AK511" s="29"/>
      <c r="AL511" s="30"/>
      <c r="AM511" s="30"/>
      <c r="AN511" s="30"/>
      <c r="AO511" s="30"/>
      <c r="AP511" s="30"/>
      <c r="AQ511" s="38"/>
      <c r="AR511" s="30"/>
      <c r="AS511" s="30"/>
      <c r="AT511" s="29"/>
      <c r="AU511" s="30"/>
      <c r="AV511" s="30"/>
      <c r="AW511" s="30"/>
      <c r="AX511" s="29"/>
      <c r="AY511" s="39"/>
      <c r="AZ511" s="30"/>
      <c r="BA511" s="30"/>
      <c r="BB511" s="29"/>
      <c r="BC511" s="52"/>
      <c r="BD511" s="30"/>
      <c r="BE511" s="29"/>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row>
    <row r="512">
      <c r="A512" s="30"/>
      <c r="B512" s="42"/>
      <c r="C512" s="43"/>
      <c r="D512" s="30"/>
      <c r="E512" s="28"/>
      <c r="F512" s="30"/>
      <c r="G512" s="30"/>
      <c r="H512" s="30"/>
      <c r="I512" s="30"/>
      <c r="J512" s="28"/>
      <c r="K512" s="30"/>
      <c r="L512" s="30"/>
      <c r="M512" s="30"/>
      <c r="N512" s="30"/>
      <c r="O512" s="28"/>
      <c r="P512" s="30"/>
      <c r="Q512" s="30"/>
      <c r="R512" s="30"/>
      <c r="S512" s="36"/>
      <c r="T512" s="30"/>
      <c r="U512" s="36"/>
      <c r="V512" s="30"/>
      <c r="W512" s="28"/>
      <c r="X512" s="30"/>
      <c r="Y512" s="30"/>
      <c r="Z512" s="30"/>
      <c r="AA512" s="30"/>
      <c r="AB512" s="30"/>
      <c r="AC512" s="28"/>
      <c r="AD512" s="30"/>
      <c r="AE512" s="30"/>
      <c r="AF512" s="30"/>
      <c r="AG512" s="29"/>
      <c r="AH512" s="30"/>
      <c r="AI512" s="36"/>
      <c r="AJ512" s="30"/>
      <c r="AK512" s="29"/>
      <c r="AL512" s="30"/>
      <c r="AM512" s="30"/>
      <c r="AN512" s="30"/>
      <c r="AO512" s="30"/>
      <c r="AP512" s="30"/>
      <c r="AQ512" s="38"/>
      <c r="AR512" s="30"/>
      <c r="AS512" s="30"/>
      <c r="AT512" s="29"/>
      <c r="AU512" s="30"/>
      <c r="AV512" s="30"/>
      <c r="AW512" s="30"/>
      <c r="AX512" s="29"/>
      <c r="AY512" s="39"/>
      <c r="AZ512" s="30"/>
      <c r="BA512" s="30"/>
      <c r="BB512" s="29"/>
      <c r="BC512" s="52"/>
      <c r="BD512" s="30"/>
      <c r="BE512" s="29"/>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row>
    <row r="513">
      <c r="A513" s="30"/>
      <c r="B513" s="42"/>
      <c r="C513" s="43"/>
      <c r="D513" s="30"/>
      <c r="E513" s="28"/>
      <c r="F513" s="30"/>
      <c r="G513" s="30"/>
      <c r="H513" s="30"/>
      <c r="I513" s="30"/>
      <c r="J513" s="28"/>
      <c r="K513" s="30"/>
      <c r="L513" s="30"/>
      <c r="M513" s="30"/>
      <c r="N513" s="30"/>
      <c r="O513" s="28"/>
      <c r="P513" s="30"/>
      <c r="Q513" s="30"/>
      <c r="R513" s="30"/>
      <c r="S513" s="36"/>
      <c r="T513" s="30"/>
      <c r="U513" s="36"/>
      <c r="V513" s="30"/>
      <c r="W513" s="28"/>
      <c r="X513" s="30"/>
      <c r="Y513" s="30"/>
      <c r="Z513" s="30"/>
      <c r="AA513" s="30"/>
      <c r="AB513" s="30"/>
      <c r="AC513" s="28"/>
      <c r="AD513" s="30"/>
      <c r="AE513" s="30"/>
      <c r="AF513" s="30"/>
      <c r="AG513" s="29"/>
      <c r="AH513" s="30"/>
      <c r="AI513" s="36"/>
      <c r="AJ513" s="30"/>
      <c r="AK513" s="29"/>
      <c r="AL513" s="30"/>
      <c r="AM513" s="30"/>
      <c r="AN513" s="30"/>
      <c r="AO513" s="30"/>
      <c r="AP513" s="30"/>
      <c r="AQ513" s="38"/>
      <c r="AR513" s="30"/>
      <c r="AS513" s="30"/>
      <c r="AT513" s="29"/>
      <c r="AU513" s="30"/>
      <c r="AV513" s="30"/>
      <c r="AW513" s="30"/>
      <c r="AX513" s="29"/>
      <c r="AY513" s="39"/>
      <c r="AZ513" s="30"/>
      <c r="BA513" s="30"/>
      <c r="BB513" s="29"/>
      <c r="BC513" s="52"/>
      <c r="BD513" s="30"/>
      <c r="BE513" s="29"/>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row>
    <row r="514">
      <c r="A514" s="30"/>
      <c r="B514" s="42"/>
      <c r="C514" s="43"/>
      <c r="D514" s="30"/>
      <c r="E514" s="28"/>
      <c r="F514" s="30"/>
      <c r="G514" s="30"/>
      <c r="H514" s="30"/>
      <c r="I514" s="30"/>
      <c r="J514" s="28"/>
      <c r="K514" s="30"/>
      <c r="L514" s="30"/>
      <c r="M514" s="30"/>
      <c r="N514" s="30"/>
      <c r="O514" s="28"/>
      <c r="P514" s="30"/>
      <c r="Q514" s="30"/>
      <c r="R514" s="30"/>
      <c r="S514" s="36"/>
      <c r="T514" s="30"/>
      <c r="U514" s="36"/>
      <c r="V514" s="30"/>
      <c r="W514" s="28"/>
      <c r="X514" s="30"/>
      <c r="Y514" s="30"/>
      <c r="Z514" s="30"/>
      <c r="AA514" s="30"/>
      <c r="AB514" s="30"/>
      <c r="AC514" s="28"/>
      <c r="AD514" s="30"/>
      <c r="AE514" s="30"/>
      <c r="AF514" s="30"/>
      <c r="AG514" s="29"/>
      <c r="AH514" s="30"/>
      <c r="AI514" s="36"/>
      <c r="AJ514" s="30"/>
      <c r="AK514" s="29"/>
      <c r="AL514" s="30"/>
      <c r="AM514" s="30"/>
      <c r="AN514" s="30"/>
      <c r="AO514" s="30"/>
      <c r="AP514" s="30"/>
      <c r="AQ514" s="38"/>
      <c r="AR514" s="30"/>
      <c r="AS514" s="30"/>
      <c r="AT514" s="29"/>
      <c r="AU514" s="30"/>
      <c r="AV514" s="30"/>
      <c r="AW514" s="30"/>
      <c r="AX514" s="29"/>
      <c r="AY514" s="39"/>
      <c r="AZ514" s="30"/>
      <c r="BA514" s="30"/>
      <c r="BB514" s="29"/>
      <c r="BC514" s="52"/>
      <c r="BD514" s="30"/>
      <c r="BE514" s="29"/>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row>
    <row r="515">
      <c r="A515" s="30"/>
      <c r="B515" s="42"/>
      <c r="C515" s="43"/>
      <c r="D515" s="30"/>
      <c r="E515" s="28"/>
      <c r="F515" s="30"/>
      <c r="G515" s="30"/>
      <c r="H515" s="30"/>
      <c r="I515" s="30"/>
      <c r="J515" s="28"/>
      <c r="K515" s="30"/>
      <c r="L515" s="30"/>
      <c r="M515" s="30"/>
      <c r="N515" s="30"/>
      <c r="O515" s="28"/>
      <c r="P515" s="30"/>
      <c r="Q515" s="30"/>
      <c r="R515" s="30"/>
      <c r="S515" s="36"/>
      <c r="T515" s="30"/>
      <c r="U515" s="36"/>
      <c r="V515" s="30"/>
      <c r="W515" s="28"/>
      <c r="X515" s="30"/>
      <c r="Y515" s="30"/>
      <c r="Z515" s="30"/>
      <c r="AA515" s="30"/>
      <c r="AB515" s="30"/>
      <c r="AC515" s="28"/>
      <c r="AD515" s="30"/>
      <c r="AE515" s="30"/>
      <c r="AF515" s="30"/>
      <c r="AG515" s="29"/>
      <c r="AH515" s="30"/>
      <c r="AI515" s="36"/>
      <c r="AJ515" s="30"/>
      <c r="AK515" s="29"/>
      <c r="AL515" s="30"/>
      <c r="AM515" s="30"/>
      <c r="AN515" s="30"/>
      <c r="AO515" s="30"/>
      <c r="AP515" s="30"/>
      <c r="AQ515" s="38"/>
      <c r="AR515" s="30"/>
      <c r="AS515" s="30"/>
      <c r="AT515" s="29"/>
      <c r="AU515" s="30"/>
      <c r="AV515" s="30"/>
      <c r="AW515" s="30"/>
      <c r="AX515" s="29"/>
      <c r="AY515" s="39"/>
      <c r="AZ515" s="30"/>
      <c r="BA515" s="30"/>
      <c r="BB515" s="29"/>
      <c r="BC515" s="52"/>
      <c r="BD515" s="30"/>
      <c r="BE515" s="29"/>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row>
    <row r="516">
      <c r="A516" s="30"/>
      <c r="B516" s="42"/>
      <c r="C516" s="43"/>
      <c r="D516" s="30"/>
      <c r="E516" s="28"/>
      <c r="F516" s="30"/>
      <c r="G516" s="30"/>
      <c r="H516" s="30"/>
      <c r="I516" s="30"/>
      <c r="J516" s="28"/>
      <c r="K516" s="30"/>
      <c r="L516" s="30"/>
      <c r="M516" s="30"/>
      <c r="N516" s="30"/>
      <c r="O516" s="28"/>
      <c r="P516" s="30"/>
      <c r="Q516" s="30"/>
      <c r="R516" s="30"/>
      <c r="S516" s="36"/>
      <c r="T516" s="30"/>
      <c r="U516" s="36"/>
      <c r="V516" s="30"/>
      <c r="W516" s="28"/>
      <c r="X516" s="30"/>
      <c r="Y516" s="30"/>
      <c r="Z516" s="30"/>
      <c r="AA516" s="30"/>
      <c r="AB516" s="30"/>
      <c r="AC516" s="28"/>
      <c r="AD516" s="30"/>
      <c r="AE516" s="30"/>
      <c r="AF516" s="30"/>
      <c r="AG516" s="29"/>
      <c r="AH516" s="30"/>
      <c r="AI516" s="36"/>
      <c r="AJ516" s="30"/>
      <c r="AK516" s="29"/>
      <c r="AL516" s="30"/>
      <c r="AM516" s="30"/>
      <c r="AN516" s="30"/>
      <c r="AO516" s="30"/>
      <c r="AP516" s="30"/>
      <c r="AQ516" s="38"/>
      <c r="AR516" s="30"/>
      <c r="AS516" s="30"/>
      <c r="AT516" s="29"/>
      <c r="AU516" s="30"/>
      <c r="AV516" s="30"/>
      <c r="AW516" s="30"/>
      <c r="AX516" s="29"/>
      <c r="AY516" s="39"/>
      <c r="AZ516" s="30"/>
      <c r="BA516" s="30"/>
      <c r="BB516" s="29"/>
      <c r="BC516" s="52"/>
      <c r="BD516" s="30"/>
      <c r="BE516" s="29"/>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row>
    <row r="517">
      <c r="A517" s="30"/>
      <c r="B517" s="42"/>
      <c r="C517" s="43"/>
      <c r="D517" s="30"/>
      <c r="E517" s="28"/>
      <c r="F517" s="30"/>
      <c r="G517" s="30"/>
      <c r="H517" s="30"/>
      <c r="I517" s="30"/>
      <c r="J517" s="28"/>
      <c r="K517" s="30"/>
      <c r="L517" s="30"/>
      <c r="M517" s="30"/>
      <c r="N517" s="30"/>
      <c r="O517" s="28"/>
      <c r="P517" s="30"/>
      <c r="Q517" s="30"/>
      <c r="R517" s="30"/>
      <c r="S517" s="36"/>
      <c r="T517" s="30"/>
      <c r="U517" s="36"/>
      <c r="V517" s="30"/>
      <c r="W517" s="28"/>
      <c r="X517" s="30"/>
      <c r="Y517" s="30"/>
      <c r="Z517" s="30"/>
      <c r="AA517" s="30"/>
      <c r="AB517" s="30"/>
      <c r="AC517" s="28"/>
      <c r="AD517" s="30"/>
      <c r="AE517" s="30"/>
      <c r="AF517" s="30"/>
      <c r="AG517" s="29"/>
      <c r="AH517" s="30"/>
      <c r="AI517" s="36"/>
      <c r="AJ517" s="30"/>
      <c r="AK517" s="29"/>
      <c r="AL517" s="30"/>
      <c r="AM517" s="30"/>
      <c r="AN517" s="30"/>
      <c r="AO517" s="30"/>
      <c r="AP517" s="30"/>
      <c r="AQ517" s="38"/>
      <c r="AR517" s="30"/>
      <c r="AS517" s="30"/>
      <c r="AT517" s="29"/>
      <c r="AU517" s="30"/>
      <c r="AV517" s="30"/>
      <c r="AW517" s="30"/>
      <c r="AX517" s="29"/>
      <c r="AY517" s="39"/>
      <c r="AZ517" s="30"/>
      <c r="BA517" s="30"/>
      <c r="BB517" s="29"/>
      <c r="BC517" s="52"/>
      <c r="BD517" s="30"/>
      <c r="BE517" s="29"/>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row>
    <row r="518">
      <c r="A518" s="30"/>
      <c r="B518" s="42"/>
      <c r="C518" s="43"/>
      <c r="D518" s="30"/>
      <c r="E518" s="28"/>
      <c r="F518" s="30"/>
      <c r="G518" s="30"/>
      <c r="H518" s="30"/>
      <c r="I518" s="30"/>
      <c r="J518" s="28"/>
      <c r="K518" s="30"/>
      <c r="L518" s="30"/>
      <c r="M518" s="30"/>
      <c r="N518" s="30"/>
      <c r="O518" s="28"/>
      <c r="P518" s="30"/>
      <c r="Q518" s="30"/>
      <c r="R518" s="30"/>
      <c r="S518" s="36"/>
      <c r="T518" s="30"/>
      <c r="U518" s="36"/>
      <c r="V518" s="30"/>
      <c r="W518" s="28"/>
      <c r="X518" s="30"/>
      <c r="Y518" s="30"/>
      <c r="Z518" s="30"/>
      <c r="AA518" s="30"/>
      <c r="AB518" s="30"/>
      <c r="AC518" s="28"/>
      <c r="AD518" s="30"/>
      <c r="AE518" s="30"/>
      <c r="AF518" s="30"/>
      <c r="AG518" s="29"/>
      <c r="AH518" s="30"/>
      <c r="AI518" s="36"/>
      <c r="AJ518" s="30"/>
      <c r="AK518" s="29"/>
      <c r="AL518" s="30"/>
      <c r="AM518" s="30"/>
      <c r="AN518" s="30"/>
      <c r="AO518" s="30"/>
      <c r="AP518" s="30"/>
      <c r="AQ518" s="38"/>
      <c r="AR518" s="30"/>
      <c r="AS518" s="30"/>
      <c r="AT518" s="29"/>
      <c r="AU518" s="30"/>
      <c r="AV518" s="30"/>
      <c r="AW518" s="30"/>
      <c r="AX518" s="29"/>
      <c r="AY518" s="39"/>
      <c r="AZ518" s="30"/>
      <c r="BA518" s="30"/>
      <c r="BB518" s="29"/>
      <c r="BC518" s="52"/>
      <c r="BD518" s="30"/>
      <c r="BE518" s="29"/>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row>
    <row r="519">
      <c r="A519" s="30"/>
      <c r="B519" s="42"/>
      <c r="C519" s="43"/>
      <c r="D519" s="30"/>
      <c r="E519" s="28"/>
      <c r="F519" s="30"/>
      <c r="G519" s="30"/>
      <c r="H519" s="30"/>
      <c r="I519" s="30"/>
      <c r="J519" s="28"/>
      <c r="K519" s="30"/>
      <c r="L519" s="30"/>
      <c r="M519" s="30"/>
      <c r="N519" s="30"/>
      <c r="O519" s="28"/>
      <c r="P519" s="30"/>
      <c r="Q519" s="30"/>
      <c r="R519" s="30"/>
      <c r="S519" s="36"/>
      <c r="T519" s="30"/>
      <c r="U519" s="36"/>
      <c r="V519" s="30"/>
      <c r="W519" s="28"/>
      <c r="X519" s="30"/>
      <c r="Y519" s="30"/>
      <c r="Z519" s="30"/>
      <c r="AA519" s="30"/>
      <c r="AB519" s="30"/>
      <c r="AC519" s="28"/>
      <c r="AD519" s="30"/>
      <c r="AE519" s="30"/>
      <c r="AF519" s="30"/>
      <c r="AG519" s="29"/>
      <c r="AH519" s="30"/>
      <c r="AI519" s="36"/>
      <c r="AJ519" s="30"/>
      <c r="AK519" s="29"/>
      <c r="AL519" s="30"/>
      <c r="AM519" s="30"/>
      <c r="AN519" s="30"/>
      <c r="AO519" s="30"/>
      <c r="AP519" s="30"/>
      <c r="AQ519" s="38"/>
      <c r="AR519" s="30"/>
      <c r="AS519" s="30"/>
      <c r="AT519" s="29"/>
      <c r="AU519" s="30"/>
      <c r="AV519" s="30"/>
      <c r="AW519" s="30"/>
      <c r="AX519" s="29"/>
      <c r="AY519" s="39"/>
      <c r="AZ519" s="30"/>
      <c r="BA519" s="30"/>
      <c r="BB519" s="29"/>
      <c r="BC519" s="52"/>
      <c r="BD519" s="30"/>
      <c r="BE519" s="29"/>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row>
    <row r="520">
      <c r="A520" s="30"/>
      <c r="B520" s="42"/>
      <c r="C520" s="43"/>
      <c r="D520" s="30"/>
      <c r="E520" s="28"/>
      <c r="F520" s="30"/>
      <c r="G520" s="30"/>
      <c r="H520" s="30"/>
      <c r="I520" s="30"/>
      <c r="J520" s="28"/>
      <c r="K520" s="30"/>
      <c r="L520" s="30"/>
      <c r="M520" s="30"/>
      <c r="N520" s="30"/>
      <c r="O520" s="28"/>
      <c r="P520" s="30"/>
      <c r="Q520" s="30"/>
      <c r="R520" s="30"/>
      <c r="S520" s="36"/>
      <c r="T520" s="30"/>
      <c r="U520" s="36"/>
      <c r="V520" s="30"/>
      <c r="W520" s="28"/>
      <c r="X520" s="30"/>
      <c r="Y520" s="30"/>
      <c r="Z520" s="30"/>
      <c r="AA520" s="30"/>
      <c r="AB520" s="30"/>
      <c r="AC520" s="28"/>
      <c r="AD520" s="30"/>
      <c r="AE520" s="30"/>
      <c r="AF520" s="30"/>
      <c r="AG520" s="29"/>
      <c r="AH520" s="30"/>
      <c r="AI520" s="36"/>
      <c r="AJ520" s="30"/>
      <c r="AK520" s="29"/>
      <c r="AL520" s="30"/>
      <c r="AM520" s="30"/>
      <c r="AN520" s="30"/>
      <c r="AO520" s="30"/>
      <c r="AP520" s="30"/>
      <c r="AQ520" s="38"/>
      <c r="AR520" s="30"/>
      <c r="AS520" s="30"/>
      <c r="AT520" s="29"/>
      <c r="AU520" s="30"/>
      <c r="AV520" s="30"/>
      <c r="AW520" s="30"/>
      <c r="AX520" s="29"/>
      <c r="AY520" s="39"/>
      <c r="AZ520" s="30"/>
      <c r="BA520" s="30"/>
      <c r="BB520" s="29"/>
      <c r="BC520" s="52"/>
      <c r="BD520" s="30"/>
      <c r="BE520" s="29"/>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row>
    <row r="521">
      <c r="A521" s="30"/>
      <c r="B521" s="42"/>
      <c r="C521" s="43"/>
      <c r="D521" s="30"/>
      <c r="E521" s="28"/>
      <c r="F521" s="30"/>
      <c r="G521" s="30"/>
      <c r="H521" s="30"/>
      <c r="I521" s="30"/>
      <c r="J521" s="28"/>
      <c r="K521" s="30"/>
      <c r="L521" s="30"/>
      <c r="M521" s="30"/>
      <c r="N521" s="30"/>
      <c r="O521" s="28"/>
      <c r="P521" s="30"/>
      <c r="Q521" s="30"/>
      <c r="R521" s="30"/>
      <c r="S521" s="36"/>
      <c r="T521" s="30"/>
      <c r="U521" s="36"/>
      <c r="V521" s="30"/>
      <c r="W521" s="28"/>
      <c r="X521" s="30"/>
      <c r="Y521" s="30"/>
      <c r="Z521" s="30"/>
      <c r="AA521" s="30"/>
      <c r="AB521" s="30"/>
      <c r="AC521" s="28"/>
      <c r="AD521" s="30"/>
      <c r="AE521" s="30"/>
      <c r="AF521" s="30"/>
      <c r="AG521" s="29"/>
      <c r="AH521" s="30"/>
      <c r="AI521" s="36"/>
      <c r="AJ521" s="30"/>
      <c r="AK521" s="29"/>
      <c r="AL521" s="30"/>
      <c r="AM521" s="30"/>
      <c r="AN521" s="30"/>
      <c r="AO521" s="30"/>
      <c r="AP521" s="30"/>
      <c r="AQ521" s="38"/>
      <c r="AR521" s="30"/>
      <c r="AS521" s="30"/>
      <c r="AT521" s="29"/>
      <c r="AU521" s="30"/>
      <c r="AV521" s="30"/>
      <c r="AW521" s="30"/>
      <c r="AX521" s="29"/>
      <c r="AY521" s="39"/>
      <c r="AZ521" s="30"/>
      <c r="BA521" s="30"/>
      <c r="BB521" s="29"/>
      <c r="BC521" s="52"/>
      <c r="BD521" s="30"/>
      <c r="BE521" s="29"/>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row>
    <row r="522">
      <c r="A522" s="30"/>
      <c r="B522" s="42"/>
      <c r="C522" s="43"/>
      <c r="D522" s="30"/>
      <c r="E522" s="28"/>
      <c r="F522" s="30"/>
      <c r="G522" s="30"/>
      <c r="H522" s="30"/>
      <c r="I522" s="30"/>
      <c r="J522" s="28"/>
      <c r="K522" s="30"/>
      <c r="L522" s="30"/>
      <c r="M522" s="30"/>
      <c r="N522" s="30"/>
      <c r="O522" s="28"/>
      <c r="P522" s="30"/>
      <c r="Q522" s="30"/>
      <c r="R522" s="30"/>
      <c r="S522" s="36"/>
      <c r="T522" s="30"/>
      <c r="U522" s="36"/>
      <c r="V522" s="30"/>
      <c r="W522" s="28"/>
      <c r="X522" s="30"/>
      <c r="Y522" s="30"/>
      <c r="Z522" s="30"/>
      <c r="AA522" s="30"/>
      <c r="AB522" s="30"/>
      <c r="AC522" s="28"/>
      <c r="AD522" s="30"/>
      <c r="AE522" s="30"/>
      <c r="AF522" s="30"/>
      <c r="AG522" s="29"/>
      <c r="AH522" s="30"/>
      <c r="AI522" s="36"/>
      <c r="AJ522" s="30"/>
      <c r="AK522" s="29"/>
      <c r="AL522" s="30"/>
      <c r="AM522" s="30"/>
      <c r="AN522" s="30"/>
      <c r="AO522" s="30"/>
      <c r="AP522" s="30"/>
      <c r="AQ522" s="38"/>
      <c r="AR522" s="30"/>
      <c r="AS522" s="30"/>
      <c r="AT522" s="29"/>
      <c r="AU522" s="30"/>
      <c r="AV522" s="30"/>
      <c r="AW522" s="30"/>
      <c r="AX522" s="29"/>
      <c r="AY522" s="39"/>
      <c r="AZ522" s="30"/>
      <c r="BA522" s="30"/>
      <c r="BB522" s="29"/>
      <c r="BC522" s="52"/>
      <c r="BD522" s="30"/>
      <c r="BE522" s="29"/>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row>
    <row r="523">
      <c r="A523" s="30"/>
      <c r="B523" s="42"/>
      <c r="C523" s="43"/>
      <c r="D523" s="30"/>
      <c r="E523" s="28"/>
      <c r="F523" s="30"/>
      <c r="G523" s="30"/>
      <c r="H523" s="30"/>
      <c r="I523" s="30"/>
      <c r="J523" s="28"/>
      <c r="K523" s="30"/>
      <c r="L523" s="30"/>
      <c r="M523" s="30"/>
      <c r="N523" s="30"/>
      <c r="O523" s="28"/>
      <c r="P523" s="30"/>
      <c r="Q523" s="30"/>
      <c r="R523" s="30"/>
      <c r="S523" s="36"/>
      <c r="T523" s="30"/>
      <c r="U523" s="36"/>
      <c r="V523" s="30"/>
      <c r="W523" s="28"/>
      <c r="X523" s="30"/>
      <c r="Y523" s="30"/>
      <c r="Z523" s="30"/>
      <c r="AA523" s="30"/>
      <c r="AB523" s="30"/>
      <c r="AC523" s="28"/>
      <c r="AD523" s="30"/>
      <c r="AE523" s="30"/>
      <c r="AF523" s="30"/>
      <c r="AG523" s="29"/>
      <c r="AH523" s="30"/>
      <c r="AI523" s="36"/>
      <c r="AJ523" s="30"/>
      <c r="AK523" s="29"/>
      <c r="AL523" s="30"/>
      <c r="AM523" s="30"/>
      <c r="AN523" s="30"/>
      <c r="AO523" s="30"/>
      <c r="AP523" s="30"/>
      <c r="AQ523" s="38"/>
      <c r="AR523" s="30"/>
      <c r="AS523" s="30"/>
      <c r="AT523" s="29"/>
      <c r="AU523" s="30"/>
      <c r="AV523" s="30"/>
      <c r="AW523" s="30"/>
      <c r="AX523" s="29"/>
      <c r="AY523" s="39"/>
      <c r="AZ523" s="30"/>
      <c r="BA523" s="30"/>
      <c r="BB523" s="29"/>
      <c r="BC523" s="52"/>
      <c r="BD523" s="30"/>
      <c r="BE523" s="29"/>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row>
    <row r="524">
      <c r="A524" s="30"/>
      <c r="B524" s="42"/>
      <c r="C524" s="43"/>
      <c r="D524" s="30"/>
      <c r="E524" s="28"/>
      <c r="F524" s="30"/>
      <c r="G524" s="30"/>
      <c r="H524" s="30"/>
      <c r="I524" s="30"/>
      <c r="J524" s="28"/>
      <c r="K524" s="30"/>
      <c r="L524" s="30"/>
      <c r="M524" s="30"/>
      <c r="N524" s="30"/>
      <c r="O524" s="28"/>
      <c r="P524" s="30"/>
      <c r="Q524" s="30"/>
      <c r="R524" s="30"/>
      <c r="S524" s="36"/>
      <c r="T524" s="30"/>
      <c r="U524" s="36"/>
      <c r="V524" s="30"/>
      <c r="W524" s="28"/>
      <c r="X524" s="30"/>
      <c r="Y524" s="30"/>
      <c r="Z524" s="30"/>
      <c r="AA524" s="30"/>
      <c r="AB524" s="30"/>
      <c r="AC524" s="28"/>
      <c r="AD524" s="30"/>
      <c r="AE524" s="30"/>
      <c r="AF524" s="30"/>
      <c r="AG524" s="29"/>
      <c r="AH524" s="30"/>
      <c r="AI524" s="36"/>
      <c r="AJ524" s="30"/>
      <c r="AK524" s="29"/>
      <c r="AL524" s="30"/>
      <c r="AM524" s="30"/>
      <c r="AN524" s="30"/>
      <c r="AO524" s="30"/>
      <c r="AP524" s="30"/>
      <c r="AQ524" s="38"/>
      <c r="AR524" s="30"/>
      <c r="AS524" s="30"/>
      <c r="AT524" s="29"/>
      <c r="AU524" s="30"/>
      <c r="AV524" s="30"/>
      <c r="AW524" s="30"/>
      <c r="AX524" s="29"/>
      <c r="AY524" s="39"/>
      <c r="AZ524" s="30"/>
      <c r="BA524" s="30"/>
      <c r="BB524" s="29"/>
      <c r="BC524" s="52"/>
      <c r="BD524" s="30"/>
      <c r="BE524" s="29"/>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row>
    <row r="525">
      <c r="A525" s="30"/>
      <c r="B525" s="42"/>
      <c r="C525" s="43"/>
      <c r="D525" s="30"/>
      <c r="E525" s="28"/>
      <c r="F525" s="30"/>
      <c r="G525" s="30"/>
      <c r="H525" s="30"/>
      <c r="I525" s="30"/>
      <c r="J525" s="28"/>
      <c r="K525" s="30"/>
      <c r="L525" s="30"/>
      <c r="M525" s="30"/>
      <c r="N525" s="30"/>
      <c r="O525" s="28"/>
      <c r="P525" s="30"/>
      <c r="Q525" s="30"/>
      <c r="R525" s="30"/>
      <c r="S525" s="36"/>
      <c r="T525" s="30"/>
      <c r="U525" s="36"/>
      <c r="V525" s="30"/>
      <c r="W525" s="28"/>
      <c r="X525" s="30"/>
      <c r="Y525" s="30"/>
      <c r="Z525" s="30"/>
      <c r="AA525" s="30"/>
      <c r="AB525" s="30"/>
      <c r="AC525" s="28"/>
      <c r="AD525" s="30"/>
      <c r="AE525" s="30"/>
      <c r="AF525" s="30"/>
      <c r="AG525" s="29"/>
      <c r="AH525" s="30"/>
      <c r="AI525" s="36"/>
      <c r="AJ525" s="30"/>
      <c r="AK525" s="29"/>
      <c r="AL525" s="30"/>
      <c r="AM525" s="30"/>
      <c r="AN525" s="30"/>
      <c r="AO525" s="30"/>
      <c r="AP525" s="30"/>
      <c r="AQ525" s="38"/>
      <c r="AR525" s="30"/>
      <c r="AS525" s="30"/>
      <c r="AT525" s="29"/>
      <c r="AU525" s="30"/>
      <c r="AV525" s="30"/>
      <c r="AW525" s="30"/>
      <c r="AX525" s="29"/>
      <c r="AY525" s="39"/>
      <c r="AZ525" s="30"/>
      <c r="BA525" s="30"/>
      <c r="BB525" s="29"/>
      <c r="BC525" s="52"/>
      <c r="BD525" s="30"/>
      <c r="BE525" s="29"/>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row>
    <row r="526">
      <c r="A526" s="30"/>
      <c r="B526" s="42"/>
      <c r="C526" s="43"/>
      <c r="D526" s="30"/>
      <c r="E526" s="28"/>
      <c r="F526" s="30"/>
      <c r="G526" s="30"/>
      <c r="H526" s="30"/>
      <c r="I526" s="30"/>
      <c r="J526" s="28"/>
      <c r="K526" s="30"/>
      <c r="L526" s="30"/>
      <c r="M526" s="30"/>
      <c r="N526" s="30"/>
      <c r="O526" s="28"/>
      <c r="P526" s="30"/>
      <c r="Q526" s="30"/>
      <c r="R526" s="30"/>
      <c r="S526" s="36"/>
      <c r="T526" s="30"/>
      <c r="U526" s="36"/>
      <c r="V526" s="30"/>
      <c r="W526" s="28"/>
      <c r="X526" s="30"/>
      <c r="Y526" s="30"/>
      <c r="Z526" s="30"/>
      <c r="AA526" s="30"/>
      <c r="AB526" s="30"/>
      <c r="AC526" s="28"/>
      <c r="AD526" s="30"/>
      <c r="AE526" s="30"/>
      <c r="AF526" s="30"/>
      <c r="AG526" s="29"/>
      <c r="AH526" s="30"/>
      <c r="AI526" s="36"/>
      <c r="AJ526" s="30"/>
      <c r="AK526" s="29"/>
      <c r="AL526" s="30"/>
      <c r="AM526" s="30"/>
      <c r="AN526" s="30"/>
      <c r="AO526" s="30"/>
      <c r="AP526" s="30"/>
      <c r="AQ526" s="38"/>
      <c r="AR526" s="30"/>
      <c r="AS526" s="30"/>
      <c r="AT526" s="29"/>
      <c r="AU526" s="30"/>
      <c r="AV526" s="30"/>
      <c r="AW526" s="30"/>
      <c r="AX526" s="29"/>
      <c r="AY526" s="39"/>
      <c r="AZ526" s="30"/>
      <c r="BA526" s="30"/>
      <c r="BB526" s="29"/>
      <c r="BC526" s="52"/>
      <c r="BD526" s="30"/>
      <c r="BE526" s="29"/>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row>
    <row r="527">
      <c r="A527" s="30"/>
      <c r="B527" s="42"/>
      <c r="C527" s="43"/>
      <c r="D527" s="30"/>
      <c r="E527" s="28"/>
      <c r="F527" s="30"/>
      <c r="G527" s="30"/>
      <c r="H527" s="30"/>
      <c r="I527" s="30"/>
      <c r="J527" s="28"/>
      <c r="K527" s="30"/>
      <c r="L527" s="30"/>
      <c r="M527" s="30"/>
      <c r="N527" s="30"/>
      <c r="O527" s="28"/>
      <c r="P527" s="30"/>
      <c r="Q527" s="30"/>
      <c r="R527" s="30"/>
      <c r="S527" s="36"/>
      <c r="T527" s="30"/>
      <c r="U527" s="36"/>
      <c r="V527" s="30"/>
      <c r="W527" s="28"/>
      <c r="X527" s="30"/>
      <c r="Y527" s="30"/>
      <c r="Z527" s="30"/>
      <c r="AA527" s="30"/>
      <c r="AB527" s="30"/>
      <c r="AC527" s="28"/>
      <c r="AD527" s="30"/>
      <c r="AE527" s="30"/>
      <c r="AF527" s="30"/>
      <c r="AG527" s="29"/>
      <c r="AH527" s="30"/>
      <c r="AI527" s="36"/>
      <c r="AJ527" s="30"/>
      <c r="AK527" s="29"/>
      <c r="AL527" s="30"/>
      <c r="AM527" s="30"/>
      <c r="AN527" s="30"/>
      <c r="AO527" s="30"/>
      <c r="AP527" s="30"/>
      <c r="AQ527" s="38"/>
      <c r="AR527" s="30"/>
      <c r="AS527" s="30"/>
      <c r="AT527" s="29"/>
      <c r="AU527" s="30"/>
      <c r="AV527" s="30"/>
      <c r="AW527" s="30"/>
      <c r="AX527" s="29"/>
      <c r="AY527" s="39"/>
      <c r="AZ527" s="30"/>
      <c r="BA527" s="30"/>
      <c r="BB527" s="29"/>
      <c r="BC527" s="52"/>
      <c r="BD527" s="30"/>
      <c r="BE527" s="29"/>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row>
    <row r="528">
      <c r="A528" s="30"/>
      <c r="B528" s="42"/>
      <c r="C528" s="43"/>
      <c r="D528" s="30"/>
      <c r="E528" s="28"/>
      <c r="F528" s="30"/>
      <c r="G528" s="30"/>
      <c r="H528" s="30"/>
      <c r="I528" s="30"/>
      <c r="J528" s="28"/>
      <c r="K528" s="30"/>
      <c r="L528" s="30"/>
      <c r="M528" s="30"/>
      <c r="N528" s="30"/>
      <c r="O528" s="28"/>
      <c r="P528" s="30"/>
      <c r="Q528" s="30"/>
      <c r="R528" s="30"/>
      <c r="S528" s="36"/>
      <c r="T528" s="30"/>
      <c r="U528" s="36"/>
      <c r="V528" s="30"/>
      <c r="W528" s="28"/>
      <c r="X528" s="30"/>
      <c r="Y528" s="30"/>
      <c r="Z528" s="30"/>
      <c r="AA528" s="30"/>
      <c r="AB528" s="30"/>
      <c r="AC528" s="28"/>
      <c r="AD528" s="30"/>
      <c r="AE528" s="30"/>
      <c r="AF528" s="30"/>
      <c r="AG528" s="29"/>
      <c r="AH528" s="30"/>
      <c r="AI528" s="36"/>
      <c r="AJ528" s="30"/>
      <c r="AK528" s="29"/>
      <c r="AL528" s="30"/>
      <c r="AM528" s="30"/>
      <c r="AN528" s="30"/>
      <c r="AO528" s="30"/>
      <c r="AP528" s="30"/>
      <c r="AQ528" s="38"/>
      <c r="AR528" s="30"/>
      <c r="AS528" s="30"/>
      <c r="AT528" s="29"/>
      <c r="AU528" s="30"/>
      <c r="AV528" s="30"/>
      <c r="AW528" s="30"/>
      <c r="AX528" s="29"/>
      <c r="AY528" s="39"/>
      <c r="AZ528" s="30"/>
      <c r="BA528" s="30"/>
      <c r="BB528" s="29"/>
      <c r="BC528" s="52"/>
      <c r="BD528" s="30"/>
      <c r="BE528" s="29"/>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row>
    <row r="529">
      <c r="A529" s="30"/>
      <c r="B529" s="42"/>
      <c r="C529" s="43"/>
      <c r="D529" s="30"/>
      <c r="E529" s="28"/>
      <c r="F529" s="30"/>
      <c r="G529" s="30"/>
      <c r="H529" s="30"/>
      <c r="I529" s="30"/>
      <c r="J529" s="28"/>
      <c r="K529" s="30"/>
      <c r="L529" s="30"/>
      <c r="M529" s="30"/>
      <c r="N529" s="30"/>
      <c r="O529" s="28"/>
      <c r="P529" s="30"/>
      <c r="Q529" s="30"/>
      <c r="R529" s="30"/>
      <c r="S529" s="36"/>
      <c r="T529" s="30"/>
      <c r="U529" s="36"/>
      <c r="V529" s="30"/>
      <c r="W529" s="28"/>
      <c r="X529" s="30"/>
      <c r="Y529" s="30"/>
      <c r="Z529" s="30"/>
      <c r="AA529" s="30"/>
      <c r="AB529" s="30"/>
      <c r="AC529" s="28"/>
      <c r="AD529" s="30"/>
      <c r="AE529" s="30"/>
      <c r="AF529" s="30"/>
      <c r="AG529" s="29"/>
      <c r="AH529" s="30"/>
      <c r="AI529" s="36"/>
      <c r="AJ529" s="30"/>
      <c r="AK529" s="29"/>
      <c r="AL529" s="30"/>
      <c r="AM529" s="30"/>
      <c r="AN529" s="30"/>
      <c r="AO529" s="30"/>
      <c r="AP529" s="30"/>
      <c r="AQ529" s="38"/>
      <c r="AR529" s="30"/>
      <c r="AS529" s="30"/>
      <c r="AT529" s="29"/>
      <c r="AU529" s="30"/>
      <c r="AV529" s="30"/>
      <c r="AW529" s="30"/>
      <c r="AX529" s="29"/>
      <c r="AY529" s="39"/>
      <c r="AZ529" s="30"/>
      <c r="BA529" s="30"/>
      <c r="BB529" s="29"/>
      <c r="BC529" s="52"/>
      <c r="BD529" s="30"/>
      <c r="BE529" s="29"/>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row>
    <row r="530">
      <c r="A530" s="30"/>
      <c r="B530" s="42"/>
      <c r="C530" s="43"/>
      <c r="D530" s="30"/>
      <c r="E530" s="28"/>
      <c r="F530" s="30"/>
      <c r="G530" s="30"/>
      <c r="H530" s="30"/>
      <c r="I530" s="30"/>
      <c r="J530" s="28"/>
      <c r="K530" s="30"/>
      <c r="L530" s="30"/>
      <c r="M530" s="30"/>
      <c r="N530" s="30"/>
      <c r="O530" s="28"/>
      <c r="P530" s="30"/>
      <c r="Q530" s="30"/>
      <c r="R530" s="30"/>
      <c r="S530" s="36"/>
      <c r="T530" s="30"/>
      <c r="U530" s="36"/>
      <c r="V530" s="30"/>
      <c r="W530" s="28"/>
      <c r="X530" s="30"/>
      <c r="Y530" s="30"/>
      <c r="Z530" s="30"/>
      <c r="AA530" s="30"/>
      <c r="AB530" s="30"/>
      <c r="AC530" s="28"/>
      <c r="AD530" s="30"/>
      <c r="AE530" s="30"/>
      <c r="AF530" s="30"/>
      <c r="AG530" s="29"/>
      <c r="AH530" s="30"/>
      <c r="AI530" s="36"/>
      <c r="AJ530" s="30"/>
      <c r="AK530" s="29"/>
      <c r="AL530" s="30"/>
      <c r="AM530" s="30"/>
      <c r="AN530" s="30"/>
      <c r="AO530" s="30"/>
      <c r="AP530" s="30"/>
      <c r="AQ530" s="38"/>
      <c r="AR530" s="30"/>
      <c r="AS530" s="30"/>
      <c r="AT530" s="29"/>
      <c r="AU530" s="30"/>
      <c r="AV530" s="30"/>
      <c r="AW530" s="30"/>
      <c r="AX530" s="29"/>
      <c r="AY530" s="39"/>
      <c r="AZ530" s="30"/>
      <c r="BA530" s="30"/>
      <c r="BB530" s="29"/>
      <c r="BC530" s="52"/>
      <c r="BD530" s="30"/>
      <c r="BE530" s="29"/>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row>
    <row r="531">
      <c r="A531" s="30"/>
      <c r="B531" s="42"/>
      <c r="C531" s="43"/>
      <c r="D531" s="30"/>
      <c r="E531" s="28"/>
      <c r="F531" s="30"/>
      <c r="G531" s="30"/>
      <c r="H531" s="30"/>
      <c r="I531" s="30"/>
      <c r="J531" s="28"/>
      <c r="K531" s="30"/>
      <c r="L531" s="30"/>
      <c r="M531" s="30"/>
      <c r="N531" s="30"/>
      <c r="O531" s="28"/>
      <c r="P531" s="30"/>
      <c r="Q531" s="30"/>
      <c r="R531" s="30"/>
      <c r="S531" s="36"/>
      <c r="T531" s="30"/>
      <c r="U531" s="36"/>
      <c r="V531" s="30"/>
      <c r="W531" s="28"/>
      <c r="X531" s="30"/>
      <c r="Y531" s="30"/>
      <c r="Z531" s="30"/>
      <c r="AA531" s="30"/>
      <c r="AB531" s="30"/>
      <c r="AC531" s="28"/>
      <c r="AD531" s="30"/>
      <c r="AE531" s="30"/>
      <c r="AF531" s="30"/>
      <c r="AG531" s="29"/>
      <c r="AH531" s="30"/>
      <c r="AI531" s="36"/>
      <c r="AJ531" s="30"/>
      <c r="AK531" s="29"/>
      <c r="AL531" s="30"/>
      <c r="AM531" s="30"/>
      <c r="AN531" s="30"/>
      <c r="AO531" s="30"/>
      <c r="AP531" s="30"/>
      <c r="AQ531" s="38"/>
      <c r="AR531" s="30"/>
      <c r="AS531" s="30"/>
      <c r="AT531" s="29"/>
      <c r="AU531" s="30"/>
      <c r="AV531" s="30"/>
      <c r="AW531" s="30"/>
      <c r="AX531" s="29"/>
      <c r="AY531" s="39"/>
      <c r="AZ531" s="30"/>
      <c r="BA531" s="30"/>
      <c r="BB531" s="29"/>
      <c r="BC531" s="52"/>
      <c r="BD531" s="30"/>
      <c r="BE531" s="29"/>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row>
    <row r="532">
      <c r="A532" s="30"/>
      <c r="B532" s="42"/>
      <c r="C532" s="43"/>
      <c r="D532" s="30"/>
      <c r="E532" s="28"/>
      <c r="F532" s="30"/>
      <c r="G532" s="30"/>
      <c r="H532" s="30"/>
      <c r="I532" s="30"/>
      <c r="J532" s="28"/>
      <c r="K532" s="30"/>
      <c r="L532" s="30"/>
      <c r="M532" s="30"/>
      <c r="N532" s="30"/>
      <c r="O532" s="28"/>
      <c r="P532" s="30"/>
      <c r="Q532" s="30"/>
      <c r="R532" s="30"/>
      <c r="S532" s="36"/>
      <c r="T532" s="30"/>
      <c r="U532" s="36"/>
      <c r="V532" s="30"/>
      <c r="W532" s="28"/>
      <c r="X532" s="30"/>
      <c r="Y532" s="30"/>
      <c r="Z532" s="30"/>
      <c r="AA532" s="30"/>
      <c r="AB532" s="30"/>
      <c r="AC532" s="28"/>
      <c r="AD532" s="30"/>
      <c r="AE532" s="30"/>
      <c r="AF532" s="30"/>
      <c r="AG532" s="29"/>
      <c r="AH532" s="30"/>
      <c r="AI532" s="36"/>
      <c r="AJ532" s="30"/>
      <c r="AK532" s="29"/>
      <c r="AL532" s="30"/>
      <c r="AM532" s="30"/>
      <c r="AN532" s="30"/>
      <c r="AO532" s="30"/>
      <c r="AP532" s="30"/>
      <c r="AQ532" s="38"/>
      <c r="AR532" s="30"/>
      <c r="AS532" s="30"/>
      <c r="AT532" s="29"/>
      <c r="AU532" s="30"/>
      <c r="AV532" s="30"/>
      <c r="AW532" s="30"/>
      <c r="AX532" s="29"/>
      <c r="AY532" s="39"/>
      <c r="AZ532" s="30"/>
      <c r="BA532" s="30"/>
      <c r="BB532" s="29"/>
      <c r="BC532" s="52"/>
      <c r="BD532" s="30"/>
      <c r="BE532" s="29"/>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row>
    <row r="533">
      <c r="A533" s="30"/>
      <c r="B533" s="42"/>
      <c r="C533" s="43"/>
      <c r="D533" s="30"/>
      <c r="E533" s="28"/>
      <c r="F533" s="30"/>
      <c r="G533" s="30"/>
      <c r="H533" s="30"/>
      <c r="I533" s="30"/>
      <c r="J533" s="28"/>
      <c r="K533" s="30"/>
      <c r="L533" s="30"/>
      <c r="M533" s="30"/>
      <c r="N533" s="30"/>
      <c r="O533" s="28"/>
      <c r="P533" s="30"/>
      <c r="Q533" s="30"/>
      <c r="R533" s="30"/>
      <c r="S533" s="36"/>
      <c r="T533" s="30"/>
      <c r="U533" s="36"/>
      <c r="V533" s="30"/>
      <c r="W533" s="28"/>
      <c r="X533" s="30"/>
      <c r="Y533" s="30"/>
      <c r="Z533" s="30"/>
      <c r="AA533" s="30"/>
      <c r="AB533" s="30"/>
      <c r="AC533" s="28"/>
      <c r="AD533" s="30"/>
      <c r="AE533" s="30"/>
      <c r="AF533" s="30"/>
      <c r="AG533" s="29"/>
      <c r="AH533" s="30"/>
      <c r="AI533" s="36"/>
      <c r="AJ533" s="30"/>
      <c r="AK533" s="29"/>
      <c r="AL533" s="30"/>
      <c r="AM533" s="30"/>
      <c r="AN533" s="30"/>
      <c r="AO533" s="30"/>
      <c r="AP533" s="30"/>
      <c r="AQ533" s="38"/>
      <c r="AR533" s="30"/>
      <c r="AS533" s="30"/>
      <c r="AT533" s="29"/>
      <c r="AU533" s="30"/>
      <c r="AV533" s="30"/>
      <c r="AW533" s="30"/>
      <c r="AX533" s="29"/>
      <c r="AY533" s="39"/>
      <c r="AZ533" s="30"/>
      <c r="BA533" s="30"/>
      <c r="BB533" s="29"/>
      <c r="BC533" s="52"/>
      <c r="BD533" s="30"/>
      <c r="BE533" s="29"/>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row>
    <row r="534">
      <c r="A534" s="30"/>
      <c r="B534" s="42"/>
      <c r="C534" s="43"/>
      <c r="D534" s="30"/>
      <c r="E534" s="28"/>
      <c r="F534" s="30"/>
      <c r="G534" s="30"/>
      <c r="H534" s="30"/>
      <c r="I534" s="30"/>
      <c r="J534" s="28"/>
      <c r="K534" s="30"/>
      <c r="L534" s="30"/>
      <c r="M534" s="30"/>
      <c r="N534" s="30"/>
      <c r="O534" s="28"/>
      <c r="P534" s="30"/>
      <c r="Q534" s="30"/>
      <c r="R534" s="30"/>
      <c r="S534" s="36"/>
      <c r="T534" s="30"/>
      <c r="U534" s="36"/>
      <c r="V534" s="30"/>
      <c r="W534" s="28"/>
      <c r="X534" s="30"/>
      <c r="Y534" s="30"/>
      <c r="Z534" s="30"/>
      <c r="AA534" s="30"/>
      <c r="AB534" s="30"/>
      <c r="AC534" s="28"/>
      <c r="AD534" s="30"/>
      <c r="AE534" s="30"/>
      <c r="AF534" s="30"/>
      <c r="AG534" s="29"/>
      <c r="AH534" s="30"/>
      <c r="AI534" s="36"/>
      <c r="AJ534" s="30"/>
      <c r="AK534" s="29"/>
      <c r="AL534" s="30"/>
      <c r="AM534" s="30"/>
      <c r="AN534" s="30"/>
      <c r="AO534" s="30"/>
      <c r="AP534" s="30"/>
      <c r="AQ534" s="38"/>
      <c r="AR534" s="30"/>
      <c r="AS534" s="30"/>
      <c r="AT534" s="29"/>
      <c r="AU534" s="30"/>
      <c r="AV534" s="30"/>
      <c r="AW534" s="30"/>
      <c r="AX534" s="29"/>
      <c r="AY534" s="39"/>
      <c r="AZ534" s="30"/>
      <c r="BA534" s="30"/>
      <c r="BB534" s="29"/>
      <c r="BC534" s="52"/>
      <c r="BD534" s="30"/>
      <c r="BE534" s="29"/>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row>
    <row r="535">
      <c r="A535" s="30"/>
      <c r="B535" s="42"/>
      <c r="C535" s="43"/>
      <c r="D535" s="30"/>
      <c r="E535" s="28"/>
      <c r="F535" s="30"/>
      <c r="G535" s="30"/>
      <c r="H535" s="30"/>
      <c r="I535" s="30"/>
      <c r="J535" s="28"/>
      <c r="K535" s="30"/>
      <c r="L535" s="30"/>
      <c r="M535" s="30"/>
      <c r="N535" s="30"/>
      <c r="O535" s="28"/>
      <c r="P535" s="30"/>
      <c r="Q535" s="30"/>
      <c r="R535" s="30"/>
      <c r="S535" s="36"/>
      <c r="T535" s="30"/>
      <c r="U535" s="36"/>
      <c r="V535" s="30"/>
      <c r="W535" s="28"/>
      <c r="X535" s="30"/>
      <c r="Y535" s="30"/>
      <c r="Z535" s="30"/>
      <c r="AA535" s="30"/>
      <c r="AB535" s="30"/>
      <c r="AC535" s="28"/>
      <c r="AD535" s="30"/>
      <c r="AE535" s="30"/>
      <c r="AF535" s="30"/>
      <c r="AG535" s="29"/>
      <c r="AH535" s="30"/>
      <c r="AI535" s="36"/>
      <c r="AJ535" s="30"/>
      <c r="AK535" s="29"/>
      <c r="AL535" s="30"/>
      <c r="AM535" s="30"/>
      <c r="AN535" s="30"/>
      <c r="AO535" s="30"/>
      <c r="AP535" s="30"/>
      <c r="AQ535" s="38"/>
      <c r="AR535" s="30"/>
      <c r="AS535" s="30"/>
      <c r="AT535" s="29"/>
      <c r="AU535" s="30"/>
      <c r="AV535" s="30"/>
      <c r="AW535" s="30"/>
      <c r="AX535" s="29"/>
      <c r="AY535" s="39"/>
      <c r="AZ535" s="30"/>
      <c r="BA535" s="30"/>
      <c r="BB535" s="29"/>
      <c r="BC535" s="52"/>
      <c r="BD535" s="30"/>
      <c r="BE535" s="29"/>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row>
    <row r="536">
      <c r="A536" s="30"/>
      <c r="B536" s="42"/>
      <c r="C536" s="43"/>
      <c r="D536" s="30"/>
      <c r="E536" s="28"/>
      <c r="F536" s="30"/>
      <c r="G536" s="30"/>
      <c r="H536" s="30"/>
      <c r="I536" s="30"/>
      <c r="J536" s="28"/>
      <c r="K536" s="30"/>
      <c r="L536" s="30"/>
      <c r="M536" s="30"/>
      <c r="N536" s="30"/>
      <c r="O536" s="28"/>
      <c r="P536" s="30"/>
      <c r="Q536" s="30"/>
      <c r="R536" s="30"/>
      <c r="S536" s="36"/>
      <c r="T536" s="30"/>
      <c r="U536" s="36"/>
      <c r="V536" s="30"/>
      <c r="W536" s="28"/>
      <c r="X536" s="30"/>
      <c r="Y536" s="30"/>
      <c r="Z536" s="30"/>
      <c r="AA536" s="30"/>
      <c r="AB536" s="30"/>
      <c r="AC536" s="28"/>
      <c r="AD536" s="30"/>
      <c r="AE536" s="30"/>
      <c r="AF536" s="30"/>
      <c r="AG536" s="29"/>
      <c r="AH536" s="30"/>
      <c r="AI536" s="36"/>
      <c r="AJ536" s="30"/>
      <c r="AK536" s="29"/>
      <c r="AL536" s="30"/>
      <c r="AM536" s="30"/>
      <c r="AN536" s="30"/>
      <c r="AO536" s="30"/>
      <c r="AP536" s="30"/>
      <c r="AQ536" s="38"/>
      <c r="AR536" s="30"/>
      <c r="AS536" s="30"/>
      <c r="AT536" s="29"/>
      <c r="AU536" s="30"/>
      <c r="AV536" s="30"/>
      <c r="AW536" s="30"/>
      <c r="AX536" s="29"/>
      <c r="AY536" s="39"/>
      <c r="AZ536" s="30"/>
      <c r="BA536" s="30"/>
      <c r="BB536" s="29"/>
      <c r="BC536" s="52"/>
      <c r="BD536" s="30"/>
      <c r="BE536" s="29"/>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row>
    <row r="537">
      <c r="A537" s="30"/>
      <c r="B537" s="42"/>
      <c r="C537" s="43"/>
      <c r="D537" s="30"/>
      <c r="E537" s="28"/>
      <c r="F537" s="30"/>
      <c r="G537" s="30"/>
      <c r="H537" s="30"/>
      <c r="I537" s="30"/>
      <c r="J537" s="28"/>
      <c r="K537" s="30"/>
      <c r="L537" s="30"/>
      <c r="M537" s="30"/>
      <c r="N537" s="30"/>
      <c r="O537" s="28"/>
      <c r="P537" s="30"/>
      <c r="Q537" s="30"/>
      <c r="R537" s="30"/>
      <c r="S537" s="36"/>
      <c r="T537" s="30"/>
      <c r="U537" s="36"/>
      <c r="V537" s="30"/>
      <c r="W537" s="28"/>
      <c r="X537" s="30"/>
      <c r="Y537" s="30"/>
      <c r="Z537" s="30"/>
      <c r="AA537" s="30"/>
      <c r="AB537" s="30"/>
      <c r="AC537" s="28"/>
      <c r="AD537" s="30"/>
      <c r="AE537" s="30"/>
      <c r="AF537" s="30"/>
      <c r="AG537" s="29"/>
      <c r="AH537" s="30"/>
      <c r="AI537" s="36"/>
      <c r="AJ537" s="30"/>
      <c r="AK537" s="29"/>
      <c r="AL537" s="30"/>
      <c r="AM537" s="30"/>
      <c r="AN537" s="30"/>
      <c r="AO537" s="30"/>
      <c r="AP537" s="30"/>
      <c r="AQ537" s="38"/>
      <c r="AR537" s="30"/>
      <c r="AS537" s="30"/>
      <c r="AT537" s="29"/>
      <c r="AU537" s="30"/>
      <c r="AV537" s="30"/>
      <c r="AW537" s="30"/>
      <c r="AX537" s="29"/>
      <c r="AY537" s="39"/>
      <c r="AZ537" s="30"/>
      <c r="BA537" s="30"/>
      <c r="BB537" s="29"/>
      <c r="BC537" s="52"/>
      <c r="BD537" s="30"/>
      <c r="BE537" s="29"/>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row>
    <row r="538">
      <c r="A538" s="30"/>
      <c r="B538" s="42"/>
      <c r="C538" s="43"/>
      <c r="D538" s="30"/>
      <c r="E538" s="28"/>
      <c r="F538" s="30"/>
      <c r="G538" s="30"/>
      <c r="H538" s="30"/>
      <c r="I538" s="30"/>
      <c r="J538" s="28"/>
      <c r="K538" s="30"/>
      <c r="L538" s="30"/>
      <c r="M538" s="30"/>
      <c r="N538" s="30"/>
      <c r="O538" s="28"/>
      <c r="P538" s="30"/>
      <c r="Q538" s="30"/>
      <c r="R538" s="30"/>
      <c r="S538" s="36"/>
      <c r="T538" s="30"/>
      <c r="U538" s="36"/>
      <c r="V538" s="30"/>
      <c r="W538" s="28"/>
      <c r="X538" s="30"/>
      <c r="Y538" s="30"/>
      <c r="Z538" s="30"/>
      <c r="AA538" s="30"/>
      <c r="AB538" s="30"/>
      <c r="AC538" s="28"/>
      <c r="AD538" s="30"/>
      <c r="AE538" s="30"/>
      <c r="AF538" s="30"/>
      <c r="AG538" s="29"/>
      <c r="AH538" s="30"/>
      <c r="AI538" s="36"/>
      <c r="AJ538" s="30"/>
      <c r="AK538" s="29"/>
      <c r="AL538" s="30"/>
      <c r="AM538" s="30"/>
      <c r="AN538" s="30"/>
      <c r="AO538" s="30"/>
      <c r="AP538" s="30"/>
      <c r="AQ538" s="38"/>
      <c r="AR538" s="30"/>
      <c r="AS538" s="30"/>
      <c r="AT538" s="29"/>
      <c r="AU538" s="30"/>
      <c r="AV538" s="30"/>
      <c r="AW538" s="30"/>
      <c r="AX538" s="29"/>
      <c r="AY538" s="39"/>
      <c r="AZ538" s="30"/>
      <c r="BA538" s="30"/>
      <c r="BB538" s="29"/>
      <c r="BC538" s="52"/>
      <c r="BD538" s="30"/>
      <c r="BE538" s="29"/>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row>
    <row r="539">
      <c r="A539" s="30"/>
      <c r="B539" s="42"/>
      <c r="C539" s="43"/>
      <c r="D539" s="30"/>
      <c r="E539" s="28"/>
      <c r="F539" s="30"/>
      <c r="G539" s="30"/>
      <c r="H539" s="30"/>
      <c r="I539" s="30"/>
      <c r="J539" s="28"/>
      <c r="K539" s="30"/>
      <c r="L539" s="30"/>
      <c r="M539" s="30"/>
      <c r="N539" s="30"/>
      <c r="O539" s="28"/>
      <c r="P539" s="30"/>
      <c r="Q539" s="30"/>
      <c r="R539" s="30"/>
      <c r="S539" s="36"/>
      <c r="T539" s="30"/>
      <c r="U539" s="36"/>
      <c r="V539" s="30"/>
      <c r="W539" s="28"/>
      <c r="X539" s="30"/>
      <c r="Y539" s="30"/>
      <c r="Z539" s="30"/>
      <c r="AA539" s="30"/>
      <c r="AB539" s="30"/>
      <c r="AC539" s="28"/>
      <c r="AD539" s="30"/>
      <c r="AE539" s="30"/>
      <c r="AF539" s="30"/>
      <c r="AG539" s="29"/>
      <c r="AH539" s="30"/>
      <c r="AI539" s="36"/>
      <c r="AJ539" s="30"/>
      <c r="AK539" s="29"/>
      <c r="AL539" s="30"/>
      <c r="AM539" s="30"/>
      <c r="AN539" s="30"/>
      <c r="AO539" s="30"/>
      <c r="AP539" s="30"/>
      <c r="AQ539" s="38"/>
      <c r="AR539" s="30"/>
      <c r="AS539" s="30"/>
      <c r="AT539" s="29"/>
      <c r="AU539" s="30"/>
      <c r="AV539" s="30"/>
      <c r="AW539" s="30"/>
      <c r="AX539" s="29"/>
      <c r="AY539" s="39"/>
      <c r="AZ539" s="30"/>
      <c r="BA539" s="30"/>
      <c r="BB539" s="29"/>
      <c r="BC539" s="52"/>
      <c r="BD539" s="30"/>
      <c r="BE539" s="29"/>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row>
    <row r="540">
      <c r="A540" s="30"/>
      <c r="B540" s="42"/>
      <c r="C540" s="43"/>
      <c r="D540" s="30"/>
      <c r="E540" s="28"/>
      <c r="F540" s="30"/>
      <c r="G540" s="30"/>
      <c r="H540" s="30"/>
      <c r="I540" s="30"/>
      <c r="J540" s="28"/>
      <c r="K540" s="30"/>
      <c r="L540" s="30"/>
      <c r="M540" s="30"/>
      <c r="N540" s="30"/>
      <c r="O540" s="28"/>
      <c r="P540" s="30"/>
      <c r="Q540" s="30"/>
      <c r="R540" s="30"/>
      <c r="S540" s="36"/>
      <c r="T540" s="30"/>
      <c r="U540" s="36"/>
      <c r="V540" s="30"/>
      <c r="W540" s="28"/>
      <c r="X540" s="30"/>
      <c r="Y540" s="30"/>
      <c r="Z540" s="30"/>
      <c r="AA540" s="30"/>
      <c r="AB540" s="30"/>
      <c r="AC540" s="28"/>
      <c r="AD540" s="30"/>
      <c r="AE540" s="30"/>
      <c r="AF540" s="30"/>
      <c r="AG540" s="29"/>
      <c r="AH540" s="30"/>
      <c r="AI540" s="36"/>
      <c r="AJ540" s="30"/>
      <c r="AK540" s="29"/>
      <c r="AL540" s="30"/>
      <c r="AM540" s="30"/>
      <c r="AN540" s="30"/>
      <c r="AO540" s="30"/>
      <c r="AP540" s="30"/>
      <c r="AQ540" s="38"/>
      <c r="AR540" s="30"/>
      <c r="AS540" s="30"/>
      <c r="AT540" s="29"/>
      <c r="AU540" s="30"/>
      <c r="AV540" s="30"/>
      <c r="AW540" s="30"/>
      <c r="AX540" s="29"/>
      <c r="AY540" s="39"/>
      <c r="AZ540" s="30"/>
      <c r="BA540" s="30"/>
      <c r="BB540" s="29"/>
      <c r="BC540" s="52"/>
      <c r="BD540" s="30"/>
      <c r="BE540" s="29"/>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row>
    <row r="541">
      <c r="A541" s="30"/>
      <c r="B541" s="42"/>
      <c r="C541" s="43"/>
      <c r="D541" s="30"/>
      <c r="E541" s="28"/>
      <c r="F541" s="30"/>
      <c r="G541" s="30"/>
      <c r="H541" s="30"/>
      <c r="I541" s="30"/>
      <c r="J541" s="28"/>
      <c r="K541" s="30"/>
      <c r="L541" s="30"/>
      <c r="M541" s="30"/>
      <c r="N541" s="30"/>
      <c r="O541" s="28"/>
      <c r="P541" s="30"/>
      <c r="Q541" s="30"/>
      <c r="R541" s="30"/>
      <c r="S541" s="36"/>
      <c r="T541" s="30"/>
      <c r="U541" s="36"/>
      <c r="V541" s="30"/>
      <c r="W541" s="28"/>
      <c r="X541" s="30"/>
      <c r="Y541" s="30"/>
      <c r="Z541" s="30"/>
      <c r="AA541" s="30"/>
      <c r="AB541" s="30"/>
      <c r="AC541" s="28"/>
      <c r="AD541" s="30"/>
      <c r="AE541" s="30"/>
      <c r="AF541" s="30"/>
      <c r="AG541" s="29"/>
      <c r="AH541" s="30"/>
      <c r="AI541" s="36"/>
      <c r="AJ541" s="30"/>
      <c r="AK541" s="29"/>
      <c r="AL541" s="30"/>
      <c r="AM541" s="30"/>
      <c r="AN541" s="30"/>
      <c r="AO541" s="30"/>
      <c r="AP541" s="30"/>
      <c r="AQ541" s="38"/>
      <c r="AR541" s="30"/>
      <c r="AS541" s="30"/>
      <c r="AT541" s="29"/>
      <c r="AU541" s="30"/>
      <c r="AV541" s="30"/>
      <c r="AW541" s="30"/>
      <c r="AX541" s="29"/>
      <c r="AY541" s="39"/>
      <c r="AZ541" s="30"/>
      <c r="BA541" s="30"/>
      <c r="BB541" s="29"/>
      <c r="BC541" s="52"/>
      <c r="BD541" s="30"/>
      <c r="BE541" s="29"/>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row>
    <row r="542">
      <c r="A542" s="30"/>
      <c r="B542" s="42"/>
      <c r="C542" s="43"/>
      <c r="D542" s="30"/>
      <c r="E542" s="28"/>
      <c r="F542" s="30"/>
      <c r="G542" s="30"/>
      <c r="H542" s="30"/>
      <c r="I542" s="30"/>
      <c r="J542" s="28"/>
      <c r="K542" s="30"/>
      <c r="L542" s="30"/>
      <c r="M542" s="30"/>
      <c r="N542" s="30"/>
      <c r="O542" s="28"/>
      <c r="P542" s="30"/>
      <c r="Q542" s="30"/>
      <c r="R542" s="30"/>
      <c r="S542" s="36"/>
      <c r="T542" s="30"/>
      <c r="U542" s="36"/>
      <c r="V542" s="30"/>
      <c r="W542" s="28"/>
      <c r="X542" s="30"/>
      <c r="Y542" s="30"/>
      <c r="Z542" s="30"/>
      <c r="AA542" s="30"/>
      <c r="AB542" s="30"/>
      <c r="AC542" s="28"/>
      <c r="AD542" s="30"/>
      <c r="AE542" s="30"/>
      <c r="AF542" s="30"/>
      <c r="AG542" s="29"/>
      <c r="AH542" s="30"/>
      <c r="AI542" s="36"/>
      <c r="AJ542" s="30"/>
      <c r="AK542" s="29"/>
      <c r="AL542" s="30"/>
      <c r="AM542" s="30"/>
      <c r="AN542" s="30"/>
      <c r="AO542" s="30"/>
      <c r="AP542" s="30"/>
      <c r="AQ542" s="38"/>
      <c r="AR542" s="30"/>
      <c r="AS542" s="30"/>
      <c r="AT542" s="29"/>
      <c r="AU542" s="30"/>
      <c r="AV542" s="30"/>
      <c r="AW542" s="30"/>
      <c r="AX542" s="29"/>
      <c r="AY542" s="39"/>
      <c r="AZ542" s="30"/>
      <c r="BA542" s="30"/>
      <c r="BB542" s="29"/>
      <c r="BC542" s="52"/>
      <c r="BD542" s="30"/>
      <c r="BE542" s="29"/>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row>
    <row r="543">
      <c r="A543" s="30"/>
      <c r="B543" s="42"/>
      <c r="C543" s="43"/>
      <c r="D543" s="30"/>
      <c r="E543" s="28"/>
      <c r="F543" s="30"/>
      <c r="G543" s="30"/>
      <c r="H543" s="30"/>
      <c r="I543" s="30"/>
      <c r="J543" s="28"/>
      <c r="K543" s="30"/>
      <c r="L543" s="30"/>
      <c r="M543" s="30"/>
      <c r="N543" s="30"/>
      <c r="O543" s="28"/>
      <c r="P543" s="30"/>
      <c r="Q543" s="30"/>
      <c r="R543" s="30"/>
      <c r="S543" s="36"/>
      <c r="T543" s="30"/>
      <c r="U543" s="36"/>
      <c r="V543" s="30"/>
      <c r="W543" s="28"/>
      <c r="X543" s="30"/>
      <c r="Y543" s="30"/>
      <c r="Z543" s="30"/>
      <c r="AA543" s="30"/>
      <c r="AB543" s="30"/>
      <c r="AC543" s="28"/>
      <c r="AD543" s="30"/>
      <c r="AE543" s="30"/>
      <c r="AF543" s="30"/>
      <c r="AG543" s="29"/>
      <c r="AH543" s="30"/>
      <c r="AI543" s="36"/>
      <c r="AJ543" s="30"/>
      <c r="AK543" s="29"/>
      <c r="AL543" s="30"/>
      <c r="AM543" s="30"/>
      <c r="AN543" s="30"/>
      <c r="AO543" s="30"/>
      <c r="AP543" s="30"/>
      <c r="AQ543" s="38"/>
      <c r="AR543" s="30"/>
      <c r="AS543" s="30"/>
      <c r="AT543" s="29"/>
      <c r="AU543" s="30"/>
      <c r="AV543" s="30"/>
      <c r="AW543" s="30"/>
      <c r="AX543" s="29"/>
      <c r="AY543" s="39"/>
      <c r="AZ543" s="30"/>
      <c r="BA543" s="30"/>
      <c r="BB543" s="29"/>
      <c r="BC543" s="52"/>
      <c r="BD543" s="30"/>
      <c r="BE543" s="29"/>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row>
    <row r="544">
      <c r="A544" s="30"/>
      <c r="B544" s="42"/>
      <c r="C544" s="43"/>
      <c r="D544" s="30"/>
      <c r="E544" s="28"/>
      <c r="F544" s="30"/>
      <c r="G544" s="30"/>
      <c r="H544" s="30"/>
      <c r="I544" s="30"/>
      <c r="J544" s="28"/>
      <c r="K544" s="30"/>
      <c r="L544" s="30"/>
      <c r="M544" s="30"/>
      <c r="N544" s="30"/>
      <c r="O544" s="28"/>
      <c r="P544" s="30"/>
      <c r="Q544" s="30"/>
      <c r="R544" s="30"/>
      <c r="S544" s="36"/>
      <c r="T544" s="30"/>
      <c r="U544" s="36"/>
      <c r="V544" s="30"/>
      <c r="W544" s="28"/>
      <c r="X544" s="30"/>
      <c r="Y544" s="30"/>
      <c r="Z544" s="30"/>
      <c r="AA544" s="30"/>
      <c r="AB544" s="30"/>
      <c r="AC544" s="28"/>
      <c r="AD544" s="30"/>
      <c r="AE544" s="30"/>
      <c r="AF544" s="30"/>
      <c r="AG544" s="29"/>
      <c r="AH544" s="30"/>
      <c r="AI544" s="36"/>
      <c r="AJ544" s="30"/>
      <c r="AK544" s="29"/>
      <c r="AL544" s="30"/>
      <c r="AM544" s="30"/>
      <c r="AN544" s="30"/>
      <c r="AO544" s="30"/>
      <c r="AP544" s="30"/>
      <c r="AQ544" s="38"/>
      <c r="AR544" s="30"/>
      <c r="AS544" s="30"/>
      <c r="AT544" s="29"/>
      <c r="AU544" s="30"/>
      <c r="AV544" s="30"/>
      <c r="AW544" s="30"/>
      <c r="AX544" s="29"/>
      <c r="AY544" s="39"/>
      <c r="AZ544" s="30"/>
      <c r="BA544" s="30"/>
      <c r="BB544" s="29"/>
      <c r="BC544" s="52"/>
      <c r="BD544" s="30"/>
      <c r="BE544" s="29"/>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row>
    <row r="545">
      <c r="A545" s="30"/>
      <c r="B545" s="42"/>
      <c r="C545" s="43"/>
      <c r="D545" s="30"/>
      <c r="E545" s="28"/>
      <c r="F545" s="30"/>
      <c r="G545" s="30"/>
      <c r="H545" s="30"/>
      <c r="I545" s="30"/>
      <c r="J545" s="28"/>
      <c r="K545" s="30"/>
      <c r="L545" s="30"/>
      <c r="M545" s="30"/>
      <c r="N545" s="30"/>
      <c r="O545" s="28"/>
      <c r="P545" s="30"/>
      <c r="Q545" s="30"/>
      <c r="R545" s="30"/>
      <c r="S545" s="36"/>
      <c r="T545" s="30"/>
      <c r="U545" s="36"/>
      <c r="V545" s="30"/>
      <c r="W545" s="28"/>
      <c r="X545" s="30"/>
      <c r="Y545" s="30"/>
      <c r="Z545" s="30"/>
      <c r="AA545" s="30"/>
      <c r="AB545" s="30"/>
      <c r="AC545" s="28"/>
      <c r="AD545" s="30"/>
      <c r="AE545" s="30"/>
      <c r="AF545" s="30"/>
      <c r="AG545" s="29"/>
      <c r="AH545" s="30"/>
      <c r="AI545" s="36"/>
      <c r="AJ545" s="30"/>
      <c r="AK545" s="29"/>
      <c r="AL545" s="30"/>
      <c r="AM545" s="30"/>
      <c r="AN545" s="30"/>
      <c r="AO545" s="30"/>
      <c r="AP545" s="30"/>
      <c r="AQ545" s="38"/>
      <c r="AR545" s="30"/>
      <c r="AS545" s="30"/>
      <c r="AT545" s="29"/>
      <c r="AU545" s="30"/>
      <c r="AV545" s="30"/>
      <c r="AW545" s="30"/>
      <c r="AX545" s="29"/>
      <c r="AY545" s="39"/>
      <c r="AZ545" s="30"/>
      <c r="BA545" s="30"/>
      <c r="BB545" s="29"/>
      <c r="BC545" s="52"/>
      <c r="BD545" s="30"/>
      <c r="BE545" s="29"/>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row>
    <row r="546">
      <c r="A546" s="30"/>
      <c r="B546" s="42"/>
      <c r="C546" s="43"/>
      <c r="D546" s="30"/>
      <c r="E546" s="28"/>
      <c r="F546" s="30"/>
      <c r="G546" s="30"/>
      <c r="H546" s="30"/>
      <c r="I546" s="30"/>
      <c r="J546" s="28"/>
      <c r="K546" s="30"/>
      <c r="L546" s="30"/>
      <c r="M546" s="30"/>
      <c r="N546" s="30"/>
      <c r="O546" s="28"/>
      <c r="P546" s="30"/>
      <c r="Q546" s="30"/>
      <c r="R546" s="30"/>
      <c r="S546" s="36"/>
      <c r="T546" s="30"/>
      <c r="U546" s="36"/>
      <c r="V546" s="30"/>
      <c r="W546" s="28"/>
      <c r="X546" s="30"/>
      <c r="Y546" s="30"/>
      <c r="Z546" s="30"/>
      <c r="AA546" s="30"/>
      <c r="AB546" s="30"/>
      <c r="AC546" s="28"/>
      <c r="AD546" s="30"/>
      <c r="AE546" s="30"/>
      <c r="AF546" s="30"/>
      <c r="AG546" s="29"/>
      <c r="AH546" s="30"/>
      <c r="AI546" s="36"/>
      <c r="AJ546" s="30"/>
      <c r="AK546" s="29"/>
      <c r="AL546" s="30"/>
      <c r="AM546" s="30"/>
      <c r="AN546" s="30"/>
      <c r="AO546" s="30"/>
      <c r="AP546" s="30"/>
      <c r="AQ546" s="38"/>
      <c r="AR546" s="30"/>
      <c r="AS546" s="30"/>
      <c r="AT546" s="29"/>
      <c r="AU546" s="30"/>
      <c r="AV546" s="30"/>
      <c r="AW546" s="30"/>
      <c r="AX546" s="29"/>
      <c r="AY546" s="39"/>
      <c r="AZ546" s="30"/>
      <c r="BA546" s="30"/>
      <c r="BB546" s="29"/>
      <c r="BC546" s="52"/>
      <c r="BD546" s="30"/>
      <c r="BE546" s="29"/>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row>
    <row r="547">
      <c r="A547" s="30"/>
      <c r="B547" s="42"/>
      <c r="C547" s="43"/>
      <c r="D547" s="30"/>
      <c r="E547" s="28"/>
      <c r="F547" s="30"/>
      <c r="G547" s="30"/>
      <c r="H547" s="30"/>
      <c r="I547" s="30"/>
      <c r="J547" s="28"/>
      <c r="K547" s="30"/>
      <c r="L547" s="30"/>
      <c r="M547" s="30"/>
      <c r="N547" s="30"/>
      <c r="O547" s="28"/>
      <c r="P547" s="30"/>
      <c r="Q547" s="30"/>
      <c r="R547" s="30"/>
      <c r="S547" s="36"/>
      <c r="T547" s="30"/>
      <c r="U547" s="36"/>
      <c r="V547" s="30"/>
      <c r="W547" s="28"/>
      <c r="X547" s="30"/>
      <c r="Y547" s="30"/>
      <c r="Z547" s="30"/>
      <c r="AA547" s="30"/>
      <c r="AB547" s="30"/>
      <c r="AC547" s="28"/>
      <c r="AD547" s="30"/>
      <c r="AE547" s="30"/>
      <c r="AF547" s="30"/>
      <c r="AG547" s="29"/>
      <c r="AH547" s="30"/>
      <c r="AI547" s="36"/>
      <c r="AJ547" s="30"/>
      <c r="AK547" s="29"/>
      <c r="AL547" s="30"/>
      <c r="AM547" s="30"/>
      <c r="AN547" s="30"/>
      <c r="AO547" s="30"/>
      <c r="AP547" s="30"/>
      <c r="AQ547" s="38"/>
      <c r="AR547" s="30"/>
      <c r="AS547" s="30"/>
      <c r="AT547" s="29"/>
      <c r="AU547" s="30"/>
      <c r="AV547" s="30"/>
      <c r="AW547" s="30"/>
      <c r="AX547" s="29"/>
      <c r="AY547" s="39"/>
      <c r="AZ547" s="30"/>
      <c r="BA547" s="30"/>
      <c r="BB547" s="29"/>
      <c r="BC547" s="52"/>
      <c r="BD547" s="30"/>
      <c r="BE547" s="29"/>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row>
    <row r="548">
      <c r="A548" s="30"/>
      <c r="B548" s="42"/>
      <c r="C548" s="43"/>
      <c r="D548" s="30"/>
      <c r="E548" s="28"/>
      <c r="F548" s="30"/>
      <c r="G548" s="30"/>
      <c r="H548" s="30"/>
      <c r="I548" s="30"/>
      <c r="J548" s="28"/>
      <c r="K548" s="30"/>
      <c r="L548" s="30"/>
      <c r="M548" s="30"/>
      <c r="N548" s="30"/>
      <c r="O548" s="28"/>
      <c r="P548" s="30"/>
      <c r="Q548" s="30"/>
      <c r="R548" s="30"/>
      <c r="S548" s="36"/>
      <c r="T548" s="30"/>
      <c r="U548" s="36"/>
      <c r="V548" s="30"/>
      <c r="W548" s="28"/>
      <c r="X548" s="30"/>
      <c r="Y548" s="30"/>
      <c r="Z548" s="30"/>
      <c r="AA548" s="30"/>
      <c r="AB548" s="30"/>
      <c r="AC548" s="28"/>
      <c r="AD548" s="30"/>
      <c r="AE548" s="30"/>
      <c r="AF548" s="30"/>
      <c r="AG548" s="29"/>
      <c r="AH548" s="30"/>
      <c r="AI548" s="36"/>
      <c r="AJ548" s="30"/>
      <c r="AK548" s="29"/>
      <c r="AL548" s="30"/>
      <c r="AM548" s="30"/>
      <c r="AN548" s="30"/>
      <c r="AO548" s="30"/>
      <c r="AP548" s="30"/>
      <c r="AQ548" s="38"/>
      <c r="AR548" s="30"/>
      <c r="AS548" s="30"/>
      <c r="AT548" s="29"/>
      <c r="AU548" s="30"/>
      <c r="AV548" s="30"/>
      <c r="AW548" s="30"/>
      <c r="AX548" s="29"/>
      <c r="AY548" s="39"/>
      <c r="AZ548" s="30"/>
      <c r="BA548" s="30"/>
      <c r="BB548" s="29"/>
      <c r="BC548" s="52"/>
      <c r="BD548" s="30"/>
      <c r="BE548" s="29"/>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row>
    <row r="549">
      <c r="A549" s="30"/>
      <c r="B549" s="42"/>
      <c r="C549" s="43"/>
      <c r="D549" s="30"/>
      <c r="E549" s="28"/>
      <c r="F549" s="30"/>
      <c r="G549" s="30"/>
      <c r="H549" s="30"/>
      <c r="I549" s="30"/>
      <c r="J549" s="28"/>
      <c r="K549" s="30"/>
      <c r="L549" s="30"/>
      <c r="M549" s="30"/>
      <c r="N549" s="30"/>
      <c r="O549" s="28"/>
      <c r="P549" s="30"/>
      <c r="Q549" s="30"/>
      <c r="R549" s="30"/>
      <c r="S549" s="36"/>
      <c r="T549" s="30"/>
      <c r="U549" s="36"/>
      <c r="V549" s="30"/>
      <c r="W549" s="28"/>
      <c r="X549" s="30"/>
      <c r="Y549" s="30"/>
      <c r="Z549" s="30"/>
      <c r="AA549" s="30"/>
      <c r="AB549" s="30"/>
      <c r="AC549" s="28"/>
      <c r="AD549" s="30"/>
      <c r="AE549" s="30"/>
      <c r="AF549" s="30"/>
      <c r="AG549" s="29"/>
      <c r="AH549" s="30"/>
      <c r="AI549" s="36"/>
      <c r="AJ549" s="30"/>
      <c r="AK549" s="29"/>
      <c r="AL549" s="30"/>
      <c r="AM549" s="30"/>
      <c r="AN549" s="30"/>
      <c r="AO549" s="30"/>
      <c r="AP549" s="30"/>
      <c r="AQ549" s="38"/>
      <c r="AR549" s="30"/>
      <c r="AS549" s="30"/>
      <c r="AT549" s="29"/>
      <c r="AU549" s="30"/>
      <c r="AV549" s="30"/>
      <c r="AW549" s="30"/>
      <c r="AX549" s="29"/>
      <c r="AY549" s="39"/>
      <c r="AZ549" s="30"/>
      <c r="BA549" s="30"/>
      <c r="BB549" s="29"/>
      <c r="BC549" s="52"/>
      <c r="BD549" s="30"/>
      <c r="BE549" s="29"/>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row>
    <row r="550">
      <c r="A550" s="30"/>
      <c r="B550" s="42"/>
      <c r="C550" s="43"/>
      <c r="D550" s="30"/>
      <c r="E550" s="28"/>
      <c r="F550" s="30"/>
      <c r="G550" s="30"/>
      <c r="H550" s="30"/>
      <c r="I550" s="30"/>
      <c r="J550" s="28"/>
      <c r="K550" s="30"/>
      <c r="L550" s="30"/>
      <c r="M550" s="30"/>
      <c r="N550" s="30"/>
      <c r="O550" s="28"/>
      <c r="P550" s="30"/>
      <c r="Q550" s="30"/>
      <c r="R550" s="30"/>
      <c r="S550" s="36"/>
      <c r="T550" s="30"/>
      <c r="U550" s="36"/>
      <c r="V550" s="30"/>
      <c r="W550" s="28"/>
      <c r="X550" s="30"/>
      <c r="Y550" s="30"/>
      <c r="Z550" s="30"/>
      <c r="AA550" s="30"/>
      <c r="AB550" s="30"/>
      <c r="AC550" s="28"/>
      <c r="AD550" s="30"/>
      <c r="AE550" s="30"/>
      <c r="AF550" s="30"/>
      <c r="AG550" s="29"/>
      <c r="AH550" s="30"/>
      <c r="AI550" s="36"/>
      <c r="AJ550" s="30"/>
      <c r="AK550" s="29"/>
      <c r="AL550" s="30"/>
      <c r="AM550" s="30"/>
      <c r="AN550" s="30"/>
      <c r="AO550" s="30"/>
      <c r="AP550" s="30"/>
      <c r="AQ550" s="38"/>
      <c r="AR550" s="30"/>
      <c r="AS550" s="30"/>
      <c r="AT550" s="29"/>
      <c r="AU550" s="30"/>
      <c r="AV550" s="30"/>
      <c r="AW550" s="30"/>
      <c r="AX550" s="29"/>
      <c r="AY550" s="39"/>
      <c r="AZ550" s="30"/>
      <c r="BA550" s="30"/>
      <c r="BB550" s="29"/>
      <c r="BC550" s="52"/>
      <c r="BD550" s="30"/>
      <c r="BE550" s="29"/>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row>
    <row r="551">
      <c r="A551" s="30"/>
      <c r="B551" s="42"/>
      <c r="C551" s="43"/>
      <c r="D551" s="30"/>
      <c r="E551" s="28"/>
      <c r="F551" s="30"/>
      <c r="G551" s="30"/>
      <c r="H551" s="30"/>
      <c r="I551" s="30"/>
      <c r="J551" s="28"/>
      <c r="K551" s="30"/>
      <c r="L551" s="30"/>
      <c r="M551" s="30"/>
      <c r="N551" s="30"/>
      <c r="O551" s="28"/>
      <c r="P551" s="30"/>
      <c r="Q551" s="30"/>
      <c r="R551" s="30"/>
      <c r="S551" s="36"/>
      <c r="T551" s="30"/>
      <c r="U551" s="36"/>
      <c r="V551" s="30"/>
      <c r="W551" s="28"/>
      <c r="X551" s="30"/>
      <c r="Y551" s="30"/>
      <c r="Z551" s="30"/>
      <c r="AA551" s="30"/>
      <c r="AB551" s="30"/>
      <c r="AC551" s="28"/>
      <c r="AD551" s="30"/>
      <c r="AE551" s="30"/>
      <c r="AF551" s="30"/>
      <c r="AG551" s="29"/>
      <c r="AH551" s="30"/>
      <c r="AI551" s="36"/>
      <c r="AJ551" s="30"/>
      <c r="AK551" s="29"/>
      <c r="AL551" s="30"/>
      <c r="AM551" s="30"/>
      <c r="AN551" s="30"/>
      <c r="AO551" s="30"/>
      <c r="AP551" s="30"/>
      <c r="AQ551" s="38"/>
      <c r="AR551" s="30"/>
      <c r="AS551" s="30"/>
      <c r="AT551" s="29"/>
      <c r="AU551" s="30"/>
      <c r="AV551" s="30"/>
      <c r="AW551" s="30"/>
      <c r="AX551" s="29"/>
      <c r="AY551" s="39"/>
      <c r="AZ551" s="30"/>
      <c r="BA551" s="30"/>
      <c r="BB551" s="29"/>
      <c r="BC551" s="52"/>
      <c r="BD551" s="30"/>
      <c r="BE551" s="29"/>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row>
    <row r="552">
      <c r="A552" s="30"/>
      <c r="B552" s="42"/>
      <c r="C552" s="43"/>
      <c r="D552" s="30"/>
      <c r="E552" s="28"/>
      <c r="F552" s="30"/>
      <c r="G552" s="30"/>
      <c r="H552" s="30"/>
      <c r="I552" s="30"/>
      <c r="J552" s="28"/>
      <c r="K552" s="30"/>
      <c r="L552" s="30"/>
      <c r="M552" s="30"/>
      <c r="N552" s="30"/>
      <c r="O552" s="28"/>
      <c r="P552" s="30"/>
      <c r="Q552" s="30"/>
      <c r="R552" s="30"/>
      <c r="S552" s="36"/>
      <c r="T552" s="30"/>
      <c r="U552" s="36"/>
      <c r="V552" s="30"/>
      <c r="W552" s="28"/>
      <c r="X552" s="30"/>
      <c r="Y552" s="30"/>
      <c r="Z552" s="30"/>
      <c r="AA552" s="30"/>
      <c r="AB552" s="30"/>
      <c r="AC552" s="28"/>
      <c r="AD552" s="30"/>
      <c r="AE552" s="30"/>
      <c r="AF552" s="30"/>
      <c r="AG552" s="29"/>
      <c r="AH552" s="30"/>
      <c r="AI552" s="36"/>
      <c r="AJ552" s="30"/>
      <c r="AK552" s="29"/>
      <c r="AL552" s="30"/>
      <c r="AM552" s="30"/>
      <c r="AN552" s="30"/>
      <c r="AO552" s="30"/>
      <c r="AP552" s="30"/>
      <c r="AQ552" s="38"/>
      <c r="AR552" s="30"/>
      <c r="AS552" s="30"/>
      <c r="AT552" s="29"/>
      <c r="AU552" s="30"/>
      <c r="AV552" s="30"/>
      <c r="AW552" s="30"/>
      <c r="AX552" s="29"/>
      <c r="AY552" s="39"/>
      <c r="AZ552" s="30"/>
      <c r="BA552" s="30"/>
      <c r="BB552" s="29"/>
      <c r="BC552" s="52"/>
      <c r="BD552" s="30"/>
      <c r="BE552" s="29"/>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row>
    <row r="553">
      <c r="A553" s="30"/>
      <c r="B553" s="42"/>
      <c r="C553" s="43"/>
      <c r="D553" s="30"/>
      <c r="E553" s="28"/>
      <c r="F553" s="30"/>
      <c r="G553" s="30"/>
      <c r="H553" s="30"/>
      <c r="I553" s="30"/>
      <c r="J553" s="28"/>
      <c r="K553" s="30"/>
      <c r="L553" s="30"/>
      <c r="M553" s="30"/>
      <c r="N553" s="30"/>
      <c r="O553" s="28"/>
      <c r="P553" s="30"/>
      <c r="Q553" s="30"/>
      <c r="R553" s="30"/>
      <c r="S553" s="36"/>
      <c r="T553" s="30"/>
      <c r="U553" s="36"/>
      <c r="V553" s="30"/>
      <c r="W553" s="28"/>
      <c r="X553" s="30"/>
      <c r="Y553" s="30"/>
      <c r="Z553" s="30"/>
      <c r="AA553" s="30"/>
      <c r="AB553" s="30"/>
      <c r="AC553" s="28"/>
      <c r="AD553" s="30"/>
      <c r="AE553" s="30"/>
      <c r="AF553" s="30"/>
      <c r="AG553" s="29"/>
      <c r="AH553" s="30"/>
      <c r="AI553" s="36"/>
      <c r="AJ553" s="30"/>
      <c r="AK553" s="29"/>
      <c r="AL553" s="30"/>
      <c r="AM553" s="30"/>
      <c r="AN553" s="30"/>
      <c r="AO553" s="30"/>
      <c r="AP553" s="30"/>
      <c r="AQ553" s="38"/>
      <c r="AR553" s="30"/>
      <c r="AS553" s="30"/>
      <c r="AT553" s="29"/>
      <c r="AU553" s="30"/>
      <c r="AV553" s="30"/>
      <c r="AW553" s="30"/>
      <c r="AX553" s="29"/>
      <c r="AY553" s="39"/>
      <c r="AZ553" s="30"/>
      <c r="BA553" s="30"/>
      <c r="BB553" s="29"/>
      <c r="BC553" s="52"/>
      <c r="BD553" s="30"/>
      <c r="BE553" s="29"/>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row>
    <row r="554">
      <c r="A554" s="30"/>
      <c r="B554" s="42"/>
      <c r="C554" s="43"/>
      <c r="D554" s="30"/>
      <c r="E554" s="28"/>
      <c r="F554" s="30"/>
      <c r="G554" s="30"/>
      <c r="H554" s="30"/>
      <c r="I554" s="30"/>
      <c r="J554" s="28"/>
      <c r="K554" s="30"/>
      <c r="L554" s="30"/>
      <c r="M554" s="30"/>
      <c r="N554" s="30"/>
      <c r="O554" s="28"/>
      <c r="P554" s="30"/>
      <c r="Q554" s="30"/>
      <c r="R554" s="30"/>
      <c r="S554" s="36"/>
      <c r="T554" s="30"/>
      <c r="U554" s="36"/>
      <c r="V554" s="30"/>
      <c r="W554" s="28"/>
      <c r="X554" s="30"/>
      <c r="Y554" s="30"/>
      <c r="Z554" s="30"/>
      <c r="AA554" s="30"/>
      <c r="AB554" s="30"/>
      <c r="AC554" s="28"/>
      <c r="AD554" s="30"/>
      <c r="AE554" s="30"/>
      <c r="AF554" s="30"/>
      <c r="AG554" s="29"/>
      <c r="AH554" s="30"/>
      <c r="AI554" s="36"/>
      <c r="AJ554" s="30"/>
      <c r="AK554" s="29"/>
      <c r="AL554" s="30"/>
      <c r="AM554" s="30"/>
      <c r="AN554" s="30"/>
      <c r="AO554" s="30"/>
      <c r="AP554" s="30"/>
      <c r="AQ554" s="38"/>
      <c r="AR554" s="30"/>
      <c r="AS554" s="30"/>
      <c r="AT554" s="29"/>
      <c r="AU554" s="30"/>
      <c r="AV554" s="30"/>
      <c r="AW554" s="30"/>
      <c r="AX554" s="29"/>
      <c r="AY554" s="39"/>
      <c r="AZ554" s="30"/>
      <c r="BA554" s="30"/>
      <c r="BB554" s="29"/>
      <c r="BC554" s="52"/>
      <c r="BD554" s="30"/>
      <c r="BE554" s="29"/>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row>
    <row r="555">
      <c r="A555" s="30"/>
      <c r="B555" s="42"/>
      <c r="C555" s="43"/>
      <c r="D555" s="30"/>
      <c r="E555" s="28"/>
      <c r="F555" s="30"/>
      <c r="G555" s="30"/>
      <c r="H555" s="30"/>
      <c r="I555" s="30"/>
      <c r="J555" s="28"/>
      <c r="K555" s="30"/>
      <c r="L555" s="30"/>
      <c r="M555" s="30"/>
      <c r="N555" s="30"/>
      <c r="O555" s="28"/>
      <c r="P555" s="30"/>
      <c r="Q555" s="30"/>
      <c r="R555" s="30"/>
      <c r="S555" s="36"/>
      <c r="T555" s="30"/>
      <c r="U555" s="36"/>
      <c r="V555" s="30"/>
      <c r="W555" s="28"/>
      <c r="X555" s="30"/>
      <c r="Y555" s="30"/>
      <c r="Z555" s="30"/>
      <c r="AA555" s="30"/>
      <c r="AB555" s="30"/>
      <c r="AC555" s="28"/>
      <c r="AD555" s="30"/>
      <c r="AE555" s="30"/>
      <c r="AF555" s="30"/>
      <c r="AG555" s="29"/>
      <c r="AH555" s="30"/>
      <c r="AI555" s="36"/>
      <c r="AJ555" s="30"/>
      <c r="AK555" s="29"/>
      <c r="AL555" s="30"/>
      <c r="AM555" s="30"/>
      <c r="AN555" s="30"/>
      <c r="AO555" s="30"/>
      <c r="AP555" s="30"/>
      <c r="AQ555" s="38"/>
      <c r="AR555" s="30"/>
      <c r="AS555" s="30"/>
      <c r="AT555" s="29"/>
      <c r="AU555" s="30"/>
      <c r="AV555" s="30"/>
      <c r="AW555" s="30"/>
      <c r="AX555" s="29"/>
      <c r="AY555" s="39"/>
      <c r="AZ555" s="30"/>
      <c r="BA555" s="30"/>
      <c r="BB555" s="29"/>
      <c r="BC555" s="52"/>
      <c r="BD555" s="30"/>
      <c r="BE555" s="29"/>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row>
    <row r="556">
      <c r="A556" s="30"/>
      <c r="B556" s="42"/>
      <c r="C556" s="43"/>
      <c r="D556" s="30"/>
      <c r="E556" s="28"/>
      <c r="F556" s="30"/>
      <c r="G556" s="30"/>
      <c r="H556" s="30"/>
      <c r="I556" s="30"/>
      <c r="J556" s="28"/>
      <c r="K556" s="30"/>
      <c r="L556" s="30"/>
      <c r="M556" s="30"/>
      <c r="N556" s="30"/>
      <c r="O556" s="28"/>
      <c r="P556" s="30"/>
      <c r="Q556" s="30"/>
      <c r="R556" s="30"/>
      <c r="S556" s="36"/>
      <c r="T556" s="30"/>
      <c r="U556" s="36"/>
      <c r="V556" s="30"/>
      <c r="W556" s="28"/>
      <c r="X556" s="30"/>
      <c r="Y556" s="30"/>
      <c r="Z556" s="30"/>
      <c r="AA556" s="30"/>
      <c r="AB556" s="30"/>
      <c r="AC556" s="28"/>
      <c r="AD556" s="30"/>
      <c r="AE556" s="30"/>
      <c r="AF556" s="30"/>
      <c r="AG556" s="29"/>
      <c r="AH556" s="30"/>
      <c r="AI556" s="36"/>
      <c r="AJ556" s="30"/>
      <c r="AK556" s="29"/>
      <c r="AL556" s="30"/>
      <c r="AM556" s="30"/>
      <c r="AN556" s="30"/>
      <c r="AO556" s="30"/>
      <c r="AP556" s="30"/>
      <c r="AQ556" s="38"/>
      <c r="AR556" s="30"/>
      <c r="AS556" s="30"/>
      <c r="AT556" s="29"/>
      <c r="AU556" s="30"/>
      <c r="AV556" s="30"/>
      <c r="AW556" s="30"/>
      <c r="AX556" s="29"/>
      <c r="AY556" s="39"/>
      <c r="AZ556" s="30"/>
      <c r="BA556" s="30"/>
      <c r="BB556" s="29"/>
      <c r="BC556" s="52"/>
      <c r="BD556" s="30"/>
      <c r="BE556" s="29"/>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row>
    <row r="557">
      <c r="A557" s="30"/>
      <c r="B557" s="42"/>
      <c r="C557" s="43"/>
      <c r="D557" s="30"/>
      <c r="E557" s="28"/>
      <c r="F557" s="30"/>
      <c r="G557" s="30"/>
      <c r="H557" s="30"/>
      <c r="I557" s="30"/>
      <c r="J557" s="28"/>
      <c r="K557" s="30"/>
      <c r="L557" s="30"/>
      <c r="M557" s="30"/>
      <c r="N557" s="30"/>
      <c r="O557" s="28"/>
      <c r="P557" s="30"/>
      <c r="Q557" s="30"/>
      <c r="R557" s="30"/>
      <c r="S557" s="36"/>
      <c r="T557" s="30"/>
      <c r="U557" s="36"/>
      <c r="V557" s="30"/>
      <c r="W557" s="28"/>
      <c r="X557" s="30"/>
      <c r="Y557" s="30"/>
      <c r="Z557" s="30"/>
      <c r="AA557" s="30"/>
      <c r="AB557" s="30"/>
      <c r="AC557" s="28"/>
      <c r="AD557" s="30"/>
      <c r="AE557" s="30"/>
      <c r="AF557" s="30"/>
      <c r="AG557" s="29"/>
      <c r="AH557" s="30"/>
      <c r="AI557" s="36"/>
      <c r="AJ557" s="30"/>
      <c r="AK557" s="29"/>
      <c r="AL557" s="30"/>
      <c r="AM557" s="30"/>
      <c r="AN557" s="30"/>
      <c r="AO557" s="30"/>
      <c r="AP557" s="30"/>
      <c r="AQ557" s="38"/>
      <c r="AR557" s="30"/>
      <c r="AS557" s="30"/>
      <c r="AT557" s="29"/>
      <c r="AU557" s="30"/>
      <c r="AV557" s="30"/>
      <c r="AW557" s="30"/>
      <c r="AX557" s="29"/>
      <c r="AY557" s="39"/>
      <c r="AZ557" s="30"/>
      <c r="BA557" s="30"/>
      <c r="BB557" s="29"/>
      <c r="BC557" s="52"/>
      <c r="BD557" s="30"/>
      <c r="BE557" s="29"/>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row>
    <row r="558">
      <c r="A558" s="30"/>
      <c r="B558" s="42"/>
      <c r="C558" s="43"/>
      <c r="D558" s="30"/>
      <c r="E558" s="28"/>
      <c r="F558" s="30"/>
      <c r="G558" s="30"/>
      <c r="H558" s="30"/>
      <c r="I558" s="30"/>
      <c r="J558" s="28"/>
      <c r="K558" s="30"/>
      <c r="L558" s="30"/>
      <c r="M558" s="30"/>
      <c r="N558" s="30"/>
      <c r="O558" s="28"/>
      <c r="P558" s="30"/>
      <c r="Q558" s="30"/>
      <c r="R558" s="30"/>
      <c r="S558" s="36"/>
      <c r="T558" s="30"/>
      <c r="U558" s="36"/>
      <c r="V558" s="30"/>
      <c r="W558" s="28"/>
      <c r="X558" s="30"/>
      <c r="Y558" s="30"/>
      <c r="Z558" s="30"/>
      <c r="AA558" s="30"/>
      <c r="AB558" s="30"/>
      <c r="AC558" s="28"/>
      <c r="AD558" s="30"/>
      <c r="AE558" s="30"/>
      <c r="AF558" s="30"/>
      <c r="AG558" s="29"/>
      <c r="AH558" s="30"/>
      <c r="AI558" s="36"/>
      <c r="AJ558" s="30"/>
      <c r="AK558" s="29"/>
      <c r="AL558" s="30"/>
      <c r="AM558" s="30"/>
      <c r="AN558" s="30"/>
      <c r="AO558" s="30"/>
      <c r="AP558" s="30"/>
      <c r="AQ558" s="38"/>
      <c r="AR558" s="30"/>
      <c r="AS558" s="30"/>
      <c r="AT558" s="29"/>
      <c r="AU558" s="30"/>
      <c r="AV558" s="30"/>
      <c r="AW558" s="30"/>
      <c r="AX558" s="29"/>
      <c r="AY558" s="39"/>
      <c r="AZ558" s="30"/>
      <c r="BA558" s="30"/>
      <c r="BB558" s="29"/>
      <c r="BC558" s="52"/>
      <c r="BD558" s="30"/>
      <c r="BE558" s="29"/>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row>
    <row r="559">
      <c r="A559" s="30"/>
      <c r="B559" s="42"/>
      <c r="C559" s="43"/>
      <c r="D559" s="30"/>
      <c r="E559" s="28"/>
      <c r="F559" s="30"/>
      <c r="G559" s="30"/>
      <c r="H559" s="30"/>
      <c r="I559" s="30"/>
      <c r="J559" s="28"/>
      <c r="K559" s="30"/>
      <c r="L559" s="30"/>
      <c r="M559" s="30"/>
      <c r="N559" s="30"/>
      <c r="O559" s="28"/>
      <c r="P559" s="30"/>
      <c r="Q559" s="30"/>
      <c r="R559" s="30"/>
      <c r="S559" s="36"/>
      <c r="T559" s="30"/>
      <c r="U559" s="36"/>
      <c r="V559" s="30"/>
      <c r="W559" s="28"/>
      <c r="X559" s="30"/>
      <c r="Y559" s="30"/>
      <c r="Z559" s="30"/>
      <c r="AA559" s="30"/>
      <c r="AB559" s="30"/>
      <c r="AC559" s="28"/>
      <c r="AD559" s="30"/>
      <c r="AE559" s="30"/>
      <c r="AF559" s="30"/>
      <c r="AG559" s="29"/>
      <c r="AH559" s="30"/>
      <c r="AI559" s="36"/>
      <c r="AJ559" s="30"/>
      <c r="AK559" s="29"/>
      <c r="AL559" s="30"/>
      <c r="AM559" s="30"/>
      <c r="AN559" s="30"/>
      <c r="AO559" s="30"/>
      <c r="AP559" s="30"/>
      <c r="AQ559" s="38"/>
      <c r="AR559" s="30"/>
      <c r="AS559" s="30"/>
      <c r="AT559" s="29"/>
      <c r="AU559" s="30"/>
      <c r="AV559" s="30"/>
      <c r="AW559" s="30"/>
      <c r="AX559" s="29"/>
      <c r="AY559" s="39"/>
      <c r="AZ559" s="30"/>
      <c r="BA559" s="30"/>
      <c r="BB559" s="29"/>
      <c r="BC559" s="52"/>
      <c r="BD559" s="30"/>
      <c r="BE559" s="29"/>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row>
    <row r="560">
      <c r="A560" s="30"/>
      <c r="B560" s="42"/>
      <c r="C560" s="43"/>
      <c r="D560" s="30"/>
      <c r="E560" s="28"/>
      <c r="F560" s="30"/>
      <c r="G560" s="30"/>
      <c r="H560" s="30"/>
      <c r="I560" s="30"/>
      <c r="J560" s="28"/>
      <c r="K560" s="30"/>
      <c r="L560" s="30"/>
      <c r="M560" s="30"/>
      <c r="N560" s="30"/>
      <c r="O560" s="28"/>
      <c r="P560" s="30"/>
      <c r="Q560" s="30"/>
      <c r="R560" s="30"/>
      <c r="S560" s="36"/>
      <c r="T560" s="30"/>
      <c r="U560" s="36"/>
      <c r="V560" s="30"/>
      <c r="W560" s="28"/>
      <c r="X560" s="30"/>
      <c r="Y560" s="30"/>
      <c r="Z560" s="30"/>
      <c r="AA560" s="30"/>
      <c r="AB560" s="30"/>
      <c r="AC560" s="28"/>
      <c r="AD560" s="30"/>
      <c r="AE560" s="30"/>
      <c r="AF560" s="30"/>
      <c r="AG560" s="29"/>
      <c r="AH560" s="30"/>
      <c r="AI560" s="36"/>
      <c r="AJ560" s="30"/>
      <c r="AK560" s="29"/>
      <c r="AL560" s="30"/>
      <c r="AM560" s="30"/>
      <c r="AN560" s="30"/>
      <c r="AO560" s="30"/>
      <c r="AP560" s="30"/>
      <c r="AQ560" s="38"/>
      <c r="AR560" s="30"/>
      <c r="AS560" s="30"/>
      <c r="AT560" s="29"/>
      <c r="AU560" s="30"/>
      <c r="AV560" s="30"/>
      <c r="AW560" s="30"/>
      <c r="AX560" s="29"/>
      <c r="AY560" s="39"/>
      <c r="AZ560" s="30"/>
      <c r="BA560" s="30"/>
      <c r="BB560" s="29"/>
      <c r="BC560" s="52"/>
      <c r="BD560" s="30"/>
      <c r="BE560" s="29"/>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row>
    <row r="561">
      <c r="A561" s="30"/>
      <c r="B561" s="42"/>
      <c r="C561" s="43"/>
      <c r="D561" s="30"/>
      <c r="E561" s="28"/>
      <c r="F561" s="30"/>
      <c r="G561" s="30"/>
      <c r="H561" s="30"/>
      <c r="I561" s="30"/>
      <c r="J561" s="28"/>
      <c r="K561" s="30"/>
      <c r="L561" s="30"/>
      <c r="M561" s="30"/>
      <c r="N561" s="30"/>
      <c r="O561" s="28"/>
      <c r="P561" s="30"/>
      <c r="Q561" s="30"/>
      <c r="R561" s="30"/>
      <c r="S561" s="36"/>
      <c r="T561" s="30"/>
      <c r="U561" s="36"/>
      <c r="V561" s="30"/>
      <c r="W561" s="28"/>
      <c r="X561" s="30"/>
      <c r="Y561" s="30"/>
      <c r="Z561" s="30"/>
      <c r="AA561" s="30"/>
      <c r="AB561" s="30"/>
      <c r="AC561" s="28"/>
      <c r="AD561" s="30"/>
      <c r="AE561" s="30"/>
      <c r="AF561" s="30"/>
      <c r="AG561" s="29"/>
      <c r="AH561" s="30"/>
      <c r="AI561" s="36"/>
      <c r="AJ561" s="30"/>
      <c r="AK561" s="29"/>
      <c r="AL561" s="30"/>
      <c r="AM561" s="30"/>
      <c r="AN561" s="30"/>
      <c r="AO561" s="30"/>
      <c r="AP561" s="30"/>
      <c r="AQ561" s="38"/>
      <c r="AR561" s="30"/>
      <c r="AS561" s="30"/>
      <c r="AT561" s="29"/>
      <c r="AU561" s="30"/>
      <c r="AV561" s="30"/>
      <c r="AW561" s="30"/>
      <c r="AX561" s="29"/>
      <c r="AY561" s="39"/>
      <c r="AZ561" s="30"/>
      <c r="BA561" s="30"/>
      <c r="BB561" s="29"/>
      <c r="BC561" s="52"/>
      <c r="BD561" s="30"/>
      <c r="BE561" s="29"/>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row>
    <row r="562">
      <c r="A562" s="30"/>
      <c r="B562" s="42"/>
      <c r="C562" s="43"/>
      <c r="D562" s="30"/>
      <c r="E562" s="28"/>
      <c r="F562" s="30"/>
      <c r="G562" s="30"/>
      <c r="H562" s="30"/>
      <c r="I562" s="30"/>
      <c r="J562" s="28"/>
      <c r="K562" s="30"/>
      <c r="L562" s="30"/>
      <c r="M562" s="30"/>
      <c r="N562" s="30"/>
      <c r="O562" s="28"/>
      <c r="P562" s="30"/>
      <c r="Q562" s="30"/>
      <c r="R562" s="30"/>
      <c r="S562" s="36"/>
      <c r="T562" s="30"/>
      <c r="U562" s="36"/>
      <c r="V562" s="30"/>
      <c r="W562" s="28"/>
      <c r="X562" s="30"/>
      <c r="Y562" s="30"/>
      <c r="Z562" s="30"/>
      <c r="AA562" s="30"/>
      <c r="AB562" s="30"/>
      <c r="AC562" s="28"/>
      <c r="AD562" s="30"/>
      <c r="AE562" s="30"/>
      <c r="AF562" s="30"/>
      <c r="AG562" s="29"/>
      <c r="AH562" s="30"/>
      <c r="AI562" s="36"/>
      <c r="AJ562" s="30"/>
      <c r="AK562" s="29"/>
      <c r="AL562" s="30"/>
      <c r="AM562" s="30"/>
      <c r="AN562" s="30"/>
      <c r="AO562" s="30"/>
      <c r="AP562" s="30"/>
      <c r="AQ562" s="38"/>
      <c r="AR562" s="30"/>
      <c r="AS562" s="30"/>
      <c r="AT562" s="29"/>
      <c r="AU562" s="30"/>
      <c r="AV562" s="30"/>
      <c r="AW562" s="30"/>
      <c r="AX562" s="29"/>
      <c r="AY562" s="39"/>
      <c r="AZ562" s="30"/>
      <c r="BA562" s="30"/>
      <c r="BB562" s="29"/>
      <c r="BC562" s="52"/>
      <c r="BD562" s="30"/>
      <c r="BE562" s="29"/>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row>
    <row r="563">
      <c r="A563" s="30"/>
      <c r="B563" s="42"/>
      <c r="C563" s="43"/>
      <c r="D563" s="30"/>
      <c r="E563" s="28"/>
      <c r="F563" s="30"/>
      <c r="G563" s="30"/>
      <c r="H563" s="30"/>
      <c r="I563" s="30"/>
      <c r="J563" s="28"/>
      <c r="K563" s="30"/>
      <c r="L563" s="30"/>
      <c r="M563" s="30"/>
      <c r="N563" s="30"/>
      <c r="O563" s="28"/>
      <c r="P563" s="30"/>
      <c r="Q563" s="30"/>
      <c r="R563" s="30"/>
      <c r="S563" s="36"/>
      <c r="T563" s="30"/>
      <c r="U563" s="36"/>
      <c r="V563" s="30"/>
      <c r="W563" s="28"/>
      <c r="X563" s="30"/>
      <c r="Y563" s="30"/>
      <c r="Z563" s="30"/>
      <c r="AA563" s="30"/>
      <c r="AB563" s="30"/>
      <c r="AC563" s="28"/>
      <c r="AD563" s="30"/>
      <c r="AE563" s="30"/>
      <c r="AF563" s="30"/>
      <c r="AG563" s="29"/>
      <c r="AH563" s="30"/>
      <c r="AI563" s="36"/>
      <c r="AJ563" s="30"/>
      <c r="AK563" s="29"/>
      <c r="AL563" s="30"/>
      <c r="AM563" s="30"/>
      <c r="AN563" s="30"/>
      <c r="AO563" s="30"/>
      <c r="AP563" s="30"/>
      <c r="AQ563" s="38"/>
      <c r="AR563" s="30"/>
      <c r="AS563" s="30"/>
      <c r="AT563" s="29"/>
      <c r="AU563" s="30"/>
      <c r="AV563" s="30"/>
      <c r="AW563" s="30"/>
      <c r="AX563" s="29"/>
      <c r="AY563" s="39"/>
      <c r="AZ563" s="30"/>
      <c r="BA563" s="30"/>
      <c r="BB563" s="29"/>
      <c r="BC563" s="52"/>
      <c r="BD563" s="30"/>
      <c r="BE563" s="29"/>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row>
    <row r="564">
      <c r="A564" s="30"/>
      <c r="B564" s="42"/>
      <c r="C564" s="43"/>
      <c r="D564" s="30"/>
      <c r="E564" s="28"/>
      <c r="F564" s="30"/>
      <c r="G564" s="30"/>
      <c r="H564" s="30"/>
      <c r="I564" s="30"/>
      <c r="J564" s="28"/>
      <c r="K564" s="30"/>
      <c r="L564" s="30"/>
      <c r="M564" s="30"/>
      <c r="N564" s="30"/>
      <c r="O564" s="28"/>
      <c r="P564" s="30"/>
      <c r="Q564" s="30"/>
      <c r="R564" s="30"/>
      <c r="S564" s="36"/>
      <c r="T564" s="30"/>
      <c r="U564" s="36"/>
      <c r="V564" s="30"/>
      <c r="W564" s="28"/>
      <c r="X564" s="30"/>
      <c r="Y564" s="30"/>
      <c r="Z564" s="30"/>
      <c r="AA564" s="30"/>
      <c r="AB564" s="30"/>
      <c r="AC564" s="28"/>
      <c r="AD564" s="30"/>
      <c r="AE564" s="30"/>
      <c r="AF564" s="30"/>
      <c r="AG564" s="29"/>
      <c r="AH564" s="30"/>
      <c r="AI564" s="36"/>
      <c r="AJ564" s="30"/>
      <c r="AK564" s="29"/>
      <c r="AL564" s="30"/>
      <c r="AM564" s="30"/>
      <c r="AN564" s="30"/>
      <c r="AO564" s="30"/>
      <c r="AP564" s="30"/>
      <c r="AQ564" s="38"/>
      <c r="AR564" s="30"/>
      <c r="AS564" s="30"/>
      <c r="AT564" s="29"/>
      <c r="AU564" s="30"/>
      <c r="AV564" s="30"/>
      <c r="AW564" s="30"/>
      <c r="AX564" s="29"/>
      <c r="AY564" s="39"/>
      <c r="AZ564" s="30"/>
      <c r="BA564" s="30"/>
      <c r="BB564" s="29"/>
      <c r="BC564" s="52"/>
      <c r="BD564" s="30"/>
      <c r="BE564" s="29"/>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row>
    <row r="565">
      <c r="A565" s="30"/>
      <c r="B565" s="42"/>
      <c r="C565" s="43"/>
      <c r="D565" s="30"/>
      <c r="E565" s="28"/>
      <c r="F565" s="30"/>
      <c r="G565" s="30"/>
      <c r="H565" s="30"/>
      <c r="I565" s="30"/>
      <c r="J565" s="28"/>
      <c r="K565" s="30"/>
      <c r="L565" s="30"/>
      <c r="M565" s="30"/>
      <c r="N565" s="30"/>
      <c r="O565" s="28"/>
      <c r="P565" s="30"/>
      <c r="Q565" s="30"/>
      <c r="R565" s="30"/>
      <c r="S565" s="36"/>
      <c r="T565" s="30"/>
      <c r="U565" s="36"/>
      <c r="V565" s="30"/>
      <c r="W565" s="28"/>
      <c r="X565" s="30"/>
      <c r="Y565" s="30"/>
      <c r="Z565" s="30"/>
      <c r="AA565" s="30"/>
      <c r="AB565" s="30"/>
      <c r="AC565" s="28"/>
      <c r="AD565" s="30"/>
      <c r="AE565" s="30"/>
      <c r="AF565" s="30"/>
      <c r="AG565" s="29"/>
      <c r="AH565" s="30"/>
      <c r="AI565" s="36"/>
      <c r="AJ565" s="30"/>
      <c r="AK565" s="29"/>
      <c r="AL565" s="30"/>
      <c r="AM565" s="30"/>
      <c r="AN565" s="30"/>
      <c r="AO565" s="30"/>
      <c r="AP565" s="30"/>
      <c r="AQ565" s="38"/>
      <c r="AR565" s="30"/>
      <c r="AS565" s="30"/>
      <c r="AT565" s="29"/>
      <c r="AU565" s="30"/>
      <c r="AV565" s="30"/>
      <c r="AW565" s="30"/>
      <c r="AX565" s="29"/>
      <c r="AY565" s="39"/>
      <c r="AZ565" s="30"/>
      <c r="BA565" s="30"/>
      <c r="BB565" s="29"/>
      <c r="BC565" s="52"/>
      <c r="BD565" s="30"/>
      <c r="BE565" s="29"/>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row>
    <row r="566">
      <c r="A566" s="30"/>
      <c r="B566" s="42"/>
      <c r="C566" s="43"/>
      <c r="D566" s="30"/>
      <c r="E566" s="28"/>
      <c r="F566" s="30"/>
      <c r="G566" s="30"/>
      <c r="H566" s="30"/>
      <c r="I566" s="30"/>
      <c r="J566" s="28"/>
      <c r="K566" s="30"/>
      <c r="L566" s="30"/>
      <c r="M566" s="30"/>
      <c r="N566" s="30"/>
      <c r="O566" s="28"/>
      <c r="P566" s="30"/>
      <c r="Q566" s="30"/>
      <c r="R566" s="30"/>
      <c r="S566" s="36"/>
      <c r="T566" s="30"/>
      <c r="U566" s="36"/>
      <c r="V566" s="30"/>
      <c r="W566" s="28"/>
      <c r="X566" s="30"/>
      <c r="Y566" s="30"/>
      <c r="Z566" s="30"/>
      <c r="AA566" s="30"/>
      <c r="AB566" s="30"/>
      <c r="AC566" s="28"/>
      <c r="AD566" s="30"/>
      <c r="AE566" s="30"/>
      <c r="AF566" s="30"/>
      <c r="AG566" s="29"/>
      <c r="AH566" s="30"/>
      <c r="AI566" s="36"/>
      <c r="AJ566" s="30"/>
      <c r="AK566" s="29"/>
      <c r="AL566" s="30"/>
      <c r="AM566" s="30"/>
      <c r="AN566" s="30"/>
      <c r="AO566" s="30"/>
      <c r="AP566" s="30"/>
      <c r="AQ566" s="38"/>
      <c r="AR566" s="30"/>
      <c r="AS566" s="30"/>
      <c r="AT566" s="29"/>
      <c r="AU566" s="30"/>
      <c r="AV566" s="30"/>
      <c r="AW566" s="30"/>
      <c r="AX566" s="29"/>
      <c r="AY566" s="39"/>
      <c r="AZ566" s="30"/>
      <c r="BA566" s="30"/>
      <c r="BB566" s="29"/>
      <c r="BC566" s="52"/>
      <c r="BD566" s="30"/>
      <c r="BE566" s="29"/>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row>
    <row r="567">
      <c r="A567" s="30"/>
      <c r="B567" s="42"/>
      <c r="C567" s="43"/>
      <c r="D567" s="30"/>
      <c r="E567" s="28"/>
      <c r="F567" s="30"/>
      <c r="G567" s="30"/>
      <c r="H567" s="30"/>
      <c r="I567" s="30"/>
      <c r="J567" s="28"/>
      <c r="K567" s="30"/>
      <c r="L567" s="30"/>
      <c r="M567" s="30"/>
      <c r="N567" s="30"/>
      <c r="O567" s="28"/>
      <c r="P567" s="30"/>
      <c r="Q567" s="30"/>
      <c r="R567" s="30"/>
      <c r="S567" s="36"/>
      <c r="T567" s="30"/>
      <c r="U567" s="36"/>
      <c r="V567" s="30"/>
      <c r="W567" s="28"/>
      <c r="X567" s="30"/>
      <c r="Y567" s="30"/>
      <c r="Z567" s="30"/>
      <c r="AA567" s="30"/>
      <c r="AB567" s="30"/>
      <c r="AC567" s="28"/>
      <c r="AD567" s="30"/>
      <c r="AE567" s="30"/>
      <c r="AF567" s="30"/>
      <c r="AG567" s="29"/>
      <c r="AH567" s="30"/>
      <c r="AI567" s="36"/>
      <c r="AJ567" s="30"/>
      <c r="AK567" s="29"/>
      <c r="AL567" s="30"/>
      <c r="AM567" s="30"/>
      <c r="AN567" s="30"/>
      <c r="AO567" s="30"/>
      <c r="AP567" s="30"/>
      <c r="AQ567" s="38"/>
      <c r="AR567" s="30"/>
      <c r="AS567" s="30"/>
      <c r="AT567" s="29"/>
      <c r="AU567" s="30"/>
      <c r="AV567" s="30"/>
      <c r="AW567" s="30"/>
      <c r="AX567" s="29"/>
      <c r="AY567" s="39"/>
      <c r="AZ567" s="30"/>
      <c r="BA567" s="30"/>
      <c r="BB567" s="29"/>
      <c r="BC567" s="52"/>
      <c r="BD567" s="30"/>
      <c r="BE567" s="29"/>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row>
    <row r="568">
      <c r="A568" s="30"/>
      <c r="B568" s="42"/>
      <c r="C568" s="43"/>
      <c r="D568" s="30"/>
      <c r="E568" s="28"/>
      <c r="F568" s="30"/>
      <c r="G568" s="30"/>
      <c r="H568" s="30"/>
      <c r="I568" s="30"/>
      <c r="J568" s="28"/>
      <c r="K568" s="30"/>
      <c r="L568" s="30"/>
      <c r="M568" s="30"/>
      <c r="N568" s="30"/>
      <c r="O568" s="28"/>
      <c r="P568" s="30"/>
      <c r="Q568" s="30"/>
      <c r="R568" s="30"/>
      <c r="S568" s="36"/>
      <c r="T568" s="30"/>
      <c r="U568" s="36"/>
      <c r="V568" s="30"/>
      <c r="W568" s="28"/>
      <c r="X568" s="30"/>
      <c r="Y568" s="30"/>
      <c r="Z568" s="30"/>
      <c r="AA568" s="30"/>
      <c r="AB568" s="30"/>
      <c r="AC568" s="28"/>
      <c r="AD568" s="30"/>
      <c r="AE568" s="30"/>
      <c r="AF568" s="30"/>
      <c r="AG568" s="29"/>
      <c r="AH568" s="30"/>
      <c r="AI568" s="36"/>
      <c r="AJ568" s="30"/>
      <c r="AK568" s="29"/>
      <c r="AL568" s="30"/>
      <c r="AM568" s="30"/>
      <c r="AN568" s="30"/>
      <c r="AO568" s="30"/>
      <c r="AP568" s="30"/>
      <c r="AQ568" s="38"/>
      <c r="AR568" s="30"/>
      <c r="AS568" s="30"/>
      <c r="AT568" s="29"/>
      <c r="AU568" s="30"/>
      <c r="AV568" s="30"/>
      <c r="AW568" s="30"/>
      <c r="AX568" s="29"/>
      <c r="AY568" s="39"/>
      <c r="AZ568" s="30"/>
      <c r="BA568" s="30"/>
      <c r="BB568" s="29"/>
      <c r="BC568" s="52"/>
      <c r="BD568" s="30"/>
      <c r="BE568" s="29"/>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row>
    <row r="569">
      <c r="A569" s="30"/>
      <c r="B569" s="42"/>
      <c r="C569" s="43"/>
      <c r="D569" s="30"/>
      <c r="E569" s="28"/>
      <c r="F569" s="30"/>
      <c r="G569" s="30"/>
      <c r="H569" s="30"/>
      <c r="I569" s="30"/>
      <c r="J569" s="28"/>
      <c r="K569" s="30"/>
      <c r="L569" s="30"/>
      <c r="M569" s="30"/>
      <c r="N569" s="30"/>
      <c r="O569" s="28"/>
      <c r="P569" s="30"/>
      <c r="Q569" s="30"/>
      <c r="R569" s="30"/>
      <c r="S569" s="36"/>
      <c r="T569" s="30"/>
      <c r="U569" s="36"/>
      <c r="V569" s="30"/>
      <c r="W569" s="28"/>
      <c r="X569" s="30"/>
      <c r="Y569" s="30"/>
      <c r="Z569" s="30"/>
      <c r="AA569" s="30"/>
      <c r="AB569" s="30"/>
      <c r="AC569" s="28"/>
      <c r="AD569" s="30"/>
      <c r="AE569" s="30"/>
      <c r="AF569" s="30"/>
      <c r="AG569" s="29"/>
      <c r="AH569" s="30"/>
      <c r="AI569" s="36"/>
      <c r="AJ569" s="30"/>
      <c r="AK569" s="29"/>
      <c r="AL569" s="30"/>
      <c r="AM569" s="30"/>
      <c r="AN569" s="30"/>
      <c r="AO569" s="30"/>
      <c r="AP569" s="30"/>
      <c r="AQ569" s="38"/>
      <c r="AR569" s="30"/>
      <c r="AS569" s="30"/>
      <c r="AT569" s="29"/>
      <c r="AU569" s="30"/>
      <c r="AV569" s="30"/>
      <c r="AW569" s="30"/>
      <c r="AX569" s="29"/>
      <c r="AY569" s="39"/>
      <c r="AZ569" s="30"/>
      <c r="BA569" s="30"/>
      <c r="BB569" s="29"/>
      <c r="BC569" s="52"/>
      <c r="BD569" s="30"/>
      <c r="BE569" s="29"/>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row>
    <row r="570">
      <c r="A570" s="30"/>
      <c r="B570" s="42"/>
      <c r="C570" s="43"/>
      <c r="D570" s="30"/>
      <c r="E570" s="28"/>
      <c r="F570" s="30"/>
      <c r="G570" s="30"/>
      <c r="H570" s="30"/>
      <c r="I570" s="30"/>
      <c r="J570" s="28"/>
      <c r="K570" s="30"/>
      <c r="L570" s="30"/>
      <c r="M570" s="30"/>
      <c r="N570" s="30"/>
      <c r="O570" s="28"/>
      <c r="P570" s="30"/>
      <c r="Q570" s="30"/>
      <c r="R570" s="30"/>
      <c r="S570" s="36"/>
      <c r="T570" s="30"/>
      <c r="U570" s="36"/>
      <c r="V570" s="30"/>
      <c r="W570" s="28"/>
      <c r="X570" s="30"/>
      <c r="Y570" s="30"/>
      <c r="Z570" s="30"/>
      <c r="AA570" s="30"/>
      <c r="AB570" s="30"/>
      <c r="AC570" s="28"/>
      <c r="AD570" s="30"/>
      <c r="AE570" s="30"/>
      <c r="AF570" s="30"/>
      <c r="AG570" s="29"/>
      <c r="AH570" s="30"/>
      <c r="AI570" s="36"/>
      <c r="AJ570" s="30"/>
      <c r="AK570" s="29"/>
      <c r="AL570" s="30"/>
      <c r="AM570" s="30"/>
      <c r="AN570" s="30"/>
      <c r="AO570" s="30"/>
      <c r="AP570" s="30"/>
      <c r="AQ570" s="38"/>
      <c r="AR570" s="30"/>
      <c r="AS570" s="30"/>
      <c r="AT570" s="29"/>
      <c r="AU570" s="30"/>
      <c r="AV570" s="30"/>
      <c r="AW570" s="30"/>
      <c r="AX570" s="29"/>
      <c r="AY570" s="39"/>
      <c r="AZ570" s="30"/>
      <c r="BA570" s="30"/>
      <c r="BB570" s="29"/>
      <c r="BC570" s="52"/>
      <c r="BD570" s="30"/>
      <c r="BE570" s="29"/>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row>
    <row r="571">
      <c r="A571" s="30"/>
      <c r="B571" s="42"/>
      <c r="C571" s="43"/>
      <c r="D571" s="30"/>
      <c r="E571" s="28"/>
      <c r="F571" s="30"/>
      <c r="G571" s="30"/>
      <c r="H571" s="30"/>
      <c r="I571" s="30"/>
      <c r="J571" s="28"/>
      <c r="K571" s="30"/>
      <c r="L571" s="30"/>
      <c r="M571" s="30"/>
      <c r="N571" s="30"/>
      <c r="O571" s="28"/>
      <c r="P571" s="30"/>
      <c r="Q571" s="30"/>
      <c r="R571" s="30"/>
      <c r="S571" s="36"/>
      <c r="T571" s="30"/>
      <c r="U571" s="36"/>
      <c r="V571" s="30"/>
      <c r="W571" s="28"/>
      <c r="X571" s="30"/>
      <c r="Y571" s="30"/>
      <c r="Z571" s="30"/>
      <c r="AA571" s="30"/>
      <c r="AB571" s="30"/>
      <c r="AC571" s="28"/>
      <c r="AD571" s="30"/>
      <c r="AE571" s="30"/>
      <c r="AF571" s="30"/>
      <c r="AG571" s="29"/>
      <c r="AH571" s="30"/>
      <c r="AI571" s="36"/>
      <c r="AJ571" s="30"/>
      <c r="AK571" s="29"/>
      <c r="AL571" s="30"/>
      <c r="AM571" s="30"/>
      <c r="AN571" s="30"/>
      <c r="AO571" s="30"/>
      <c r="AP571" s="30"/>
      <c r="AQ571" s="38"/>
      <c r="AR571" s="30"/>
      <c r="AS571" s="30"/>
      <c r="AT571" s="29"/>
      <c r="AU571" s="30"/>
      <c r="AV571" s="30"/>
      <c r="AW571" s="30"/>
      <c r="AX571" s="29"/>
      <c r="AY571" s="39"/>
      <c r="AZ571" s="30"/>
      <c r="BA571" s="30"/>
      <c r="BB571" s="29"/>
      <c r="BC571" s="52"/>
      <c r="BD571" s="30"/>
      <c r="BE571" s="29"/>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row>
    <row r="572">
      <c r="A572" s="30"/>
      <c r="B572" s="42"/>
      <c r="C572" s="43"/>
      <c r="D572" s="30"/>
      <c r="E572" s="28"/>
      <c r="F572" s="30"/>
      <c r="G572" s="30"/>
      <c r="H572" s="30"/>
      <c r="I572" s="30"/>
      <c r="J572" s="28"/>
      <c r="K572" s="30"/>
      <c r="L572" s="30"/>
      <c r="M572" s="30"/>
      <c r="N572" s="30"/>
      <c r="O572" s="28"/>
      <c r="P572" s="30"/>
      <c r="Q572" s="30"/>
      <c r="R572" s="30"/>
      <c r="S572" s="36"/>
      <c r="T572" s="30"/>
      <c r="U572" s="36"/>
      <c r="V572" s="30"/>
      <c r="W572" s="28"/>
      <c r="X572" s="30"/>
      <c r="Y572" s="30"/>
      <c r="Z572" s="30"/>
      <c r="AA572" s="30"/>
      <c r="AB572" s="30"/>
      <c r="AC572" s="28"/>
      <c r="AD572" s="30"/>
      <c r="AE572" s="30"/>
      <c r="AF572" s="30"/>
      <c r="AG572" s="29"/>
      <c r="AH572" s="30"/>
      <c r="AI572" s="36"/>
      <c r="AJ572" s="30"/>
      <c r="AK572" s="29"/>
      <c r="AL572" s="30"/>
      <c r="AM572" s="30"/>
      <c r="AN572" s="30"/>
      <c r="AO572" s="30"/>
      <c r="AP572" s="30"/>
      <c r="AQ572" s="38"/>
      <c r="AR572" s="30"/>
      <c r="AS572" s="30"/>
      <c r="AT572" s="29"/>
      <c r="AU572" s="30"/>
      <c r="AV572" s="30"/>
      <c r="AW572" s="30"/>
      <c r="AX572" s="29"/>
      <c r="AY572" s="39"/>
      <c r="AZ572" s="30"/>
      <c r="BA572" s="30"/>
      <c r="BB572" s="29"/>
      <c r="BC572" s="52"/>
      <c r="BD572" s="30"/>
      <c r="BE572" s="29"/>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row>
    <row r="573">
      <c r="A573" s="30"/>
      <c r="B573" s="42"/>
      <c r="C573" s="43"/>
      <c r="D573" s="30"/>
      <c r="E573" s="28"/>
      <c r="F573" s="30"/>
      <c r="G573" s="30"/>
      <c r="H573" s="30"/>
      <c r="I573" s="30"/>
      <c r="J573" s="28"/>
      <c r="K573" s="30"/>
      <c r="L573" s="30"/>
      <c r="M573" s="30"/>
      <c r="N573" s="30"/>
      <c r="O573" s="28"/>
      <c r="P573" s="30"/>
      <c r="Q573" s="30"/>
      <c r="R573" s="30"/>
      <c r="S573" s="36"/>
      <c r="T573" s="30"/>
      <c r="U573" s="36"/>
      <c r="V573" s="30"/>
      <c r="W573" s="28"/>
      <c r="X573" s="30"/>
      <c r="Y573" s="30"/>
      <c r="Z573" s="30"/>
      <c r="AA573" s="30"/>
      <c r="AB573" s="30"/>
      <c r="AC573" s="28"/>
      <c r="AD573" s="30"/>
      <c r="AE573" s="30"/>
      <c r="AF573" s="30"/>
      <c r="AG573" s="29"/>
      <c r="AH573" s="30"/>
      <c r="AI573" s="36"/>
      <c r="AJ573" s="30"/>
      <c r="AK573" s="29"/>
      <c r="AL573" s="30"/>
      <c r="AM573" s="30"/>
      <c r="AN573" s="30"/>
      <c r="AO573" s="30"/>
      <c r="AP573" s="30"/>
      <c r="AQ573" s="38"/>
      <c r="AR573" s="30"/>
      <c r="AS573" s="30"/>
      <c r="AT573" s="29"/>
      <c r="AU573" s="30"/>
      <c r="AV573" s="30"/>
      <c r="AW573" s="30"/>
      <c r="AX573" s="29"/>
      <c r="AY573" s="39"/>
      <c r="AZ573" s="30"/>
      <c r="BA573" s="30"/>
      <c r="BB573" s="29"/>
      <c r="BC573" s="52"/>
      <c r="BD573" s="30"/>
      <c r="BE573" s="29"/>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row>
    <row r="574">
      <c r="A574" s="30"/>
      <c r="B574" s="42"/>
      <c r="C574" s="43"/>
      <c r="D574" s="30"/>
      <c r="E574" s="28"/>
      <c r="F574" s="30"/>
      <c r="G574" s="30"/>
      <c r="H574" s="30"/>
      <c r="I574" s="30"/>
      <c r="J574" s="28"/>
      <c r="K574" s="30"/>
      <c r="L574" s="30"/>
      <c r="M574" s="30"/>
      <c r="N574" s="30"/>
      <c r="O574" s="28"/>
      <c r="P574" s="30"/>
      <c r="Q574" s="30"/>
      <c r="R574" s="30"/>
      <c r="S574" s="36"/>
      <c r="T574" s="30"/>
      <c r="U574" s="36"/>
      <c r="V574" s="30"/>
      <c r="W574" s="28"/>
      <c r="X574" s="30"/>
      <c r="Y574" s="30"/>
      <c r="Z574" s="30"/>
      <c r="AA574" s="30"/>
      <c r="AB574" s="30"/>
      <c r="AC574" s="28"/>
      <c r="AD574" s="30"/>
      <c r="AE574" s="30"/>
      <c r="AF574" s="30"/>
      <c r="AG574" s="29"/>
      <c r="AH574" s="30"/>
      <c r="AI574" s="36"/>
      <c r="AJ574" s="30"/>
      <c r="AK574" s="29"/>
      <c r="AL574" s="30"/>
      <c r="AM574" s="30"/>
      <c r="AN574" s="30"/>
      <c r="AO574" s="30"/>
      <c r="AP574" s="30"/>
      <c r="AQ574" s="38"/>
      <c r="AR574" s="30"/>
      <c r="AS574" s="30"/>
      <c r="AT574" s="29"/>
      <c r="AU574" s="30"/>
      <c r="AV574" s="30"/>
      <c r="AW574" s="30"/>
      <c r="AX574" s="29"/>
      <c r="AY574" s="39"/>
      <c r="AZ574" s="30"/>
      <c r="BA574" s="30"/>
      <c r="BB574" s="29"/>
      <c r="BC574" s="52"/>
      <c r="BD574" s="30"/>
      <c r="BE574" s="29"/>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row>
    <row r="575">
      <c r="A575" s="30"/>
      <c r="B575" s="42"/>
      <c r="C575" s="43"/>
      <c r="D575" s="30"/>
      <c r="E575" s="28"/>
      <c r="F575" s="30"/>
      <c r="G575" s="30"/>
      <c r="H575" s="30"/>
      <c r="I575" s="30"/>
      <c r="J575" s="28"/>
      <c r="K575" s="30"/>
      <c r="L575" s="30"/>
      <c r="M575" s="30"/>
      <c r="N575" s="30"/>
      <c r="O575" s="28"/>
      <c r="P575" s="30"/>
      <c r="Q575" s="30"/>
      <c r="R575" s="30"/>
      <c r="S575" s="36"/>
      <c r="T575" s="30"/>
      <c r="U575" s="36"/>
      <c r="V575" s="30"/>
      <c r="W575" s="28"/>
      <c r="X575" s="30"/>
      <c r="Y575" s="30"/>
      <c r="Z575" s="30"/>
      <c r="AA575" s="30"/>
      <c r="AB575" s="30"/>
      <c r="AC575" s="28"/>
      <c r="AD575" s="30"/>
      <c r="AE575" s="30"/>
      <c r="AF575" s="30"/>
      <c r="AG575" s="29"/>
      <c r="AH575" s="30"/>
      <c r="AI575" s="36"/>
      <c r="AJ575" s="30"/>
      <c r="AK575" s="29"/>
      <c r="AL575" s="30"/>
      <c r="AM575" s="30"/>
      <c r="AN575" s="30"/>
      <c r="AO575" s="30"/>
      <c r="AP575" s="30"/>
      <c r="AQ575" s="38"/>
      <c r="AR575" s="30"/>
      <c r="AS575" s="30"/>
      <c r="AT575" s="29"/>
      <c r="AU575" s="30"/>
      <c r="AV575" s="30"/>
      <c r="AW575" s="30"/>
      <c r="AX575" s="29"/>
      <c r="AY575" s="39"/>
      <c r="AZ575" s="30"/>
      <c r="BA575" s="30"/>
      <c r="BB575" s="29"/>
      <c r="BC575" s="52"/>
      <c r="BD575" s="30"/>
      <c r="BE575" s="29"/>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c r="CE575" s="30"/>
      <c r="CF575" s="30"/>
      <c r="CG575" s="30"/>
      <c r="CH575" s="30"/>
      <c r="CI575" s="30"/>
      <c r="CJ575" s="30"/>
      <c r="CK575" s="30"/>
      <c r="CL575" s="30"/>
      <c r="CM575" s="30"/>
      <c r="CN575" s="30"/>
      <c r="CO575" s="30"/>
      <c r="CP575" s="30"/>
      <c r="CQ575" s="30"/>
      <c r="CR575" s="30"/>
      <c r="CS575" s="30"/>
      <c r="CT575" s="30"/>
      <c r="CU575" s="30"/>
      <c r="CV575" s="30"/>
      <c r="CW575" s="30"/>
      <c r="CX575" s="30"/>
      <c r="CY575" s="30"/>
      <c r="CZ575" s="30"/>
      <c r="DA575" s="30"/>
      <c r="DB575" s="30"/>
      <c r="DC575" s="30"/>
      <c r="DD575" s="30"/>
      <c r="DE575" s="30"/>
      <c r="DF575" s="30"/>
      <c r="DG575" s="30"/>
      <c r="DH575" s="30"/>
      <c r="DI575" s="30"/>
      <c r="DJ575" s="30"/>
      <c r="DK575" s="30"/>
      <c r="DL575" s="30"/>
      <c r="DM575" s="30"/>
      <c r="DN575" s="30"/>
      <c r="DO575" s="30"/>
      <c r="DP575" s="30"/>
      <c r="DQ575" s="30"/>
      <c r="DR575" s="30"/>
      <c r="DS575" s="30"/>
      <c r="DT575" s="30"/>
      <c r="DU575" s="30"/>
      <c r="DV575" s="30"/>
      <c r="DW575" s="30"/>
      <c r="DX575" s="30"/>
      <c r="DY575" s="30"/>
      <c r="DZ575" s="30"/>
    </row>
    <row r="576">
      <c r="A576" s="30"/>
      <c r="B576" s="42"/>
      <c r="C576" s="43"/>
      <c r="D576" s="30"/>
      <c r="E576" s="28"/>
      <c r="F576" s="30"/>
      <c r="G576" s="30"/>
      <c r="H576" s="30"/>
      <c r="I576" s="30"/>
      <c r="J576" s="28"/>
      <c r="K576" s="30"/>
      <c r="L576" s="30"/>
      <c r="M576" s="30"/>
      <c r="N576" s="30"/>
      <c r="O576" s="28"/>
      <c r="P576" s="30"/>
      <c r="Q576" s="30"/>
      <c r="R576" s="30"/>
      <c r="S576" s="36"/>
      <c r="T576" s="30"/>
      <c r="U576" s="36"/>
      <c r="V576" s="30"/>
      <c r="W576" s="28"/>
      <c r="X576" s="30"/>
      <c r="Y576" s="30"/>
      <c r="Z576" s="30"/>
      <c r="AA576" s="30"/>
      <c r="AB576" s="30"/>
      <c r="AC576" s="28"/>
      <c r="AD576" s="30"/>
      <c r="AE576" s="30"/>
      <c r="AF576" s="30"/>
      <c r="AG576" s="29"/>
      <c r="AH576" s="30"/>
      <c r="AI576" s="36"/>
      <c r="AJ576" s="30"/>
      <c r="AK576" s="29"/>
      <c r="AL576" s="30"/>
      <c r="AM576" s="30"/>
      <c r="AN576" s="30"/>
      <c r="AO576" s="30"/>
      <c r="AP576" s="30"/>
      <c r="AQ576" s="38"/>
      <c r="AR576" s="30"/>
      <c r="AS576" s="30"/>
      <c r="AT576" s="29"/>
      <c r="AU576" s="30"/>
      <c r="AV576" s="30"/>
      <c r="AW576" s="30"/>
      <c r="AX576" s="29"/>
      <c r="AY576" s="39"/>
      <c r="AZ576" s="30"/>
      <c r="BA576" s="30"/>
      <c r="BB576" s="29"/>
      <c r="BC576" s="52"/>
      <c r="BD576" s="30"/>
      <c r="BE576" s="29"/>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row>
    <row r="577">
      <c r="A577" s="30"/>
      <c r="B577" s="42"/>
      <c r="C577" s="43"/>
      <c r="D577" s="30"/>
      <c r="E577" s="28"/>
      <c r="F577" s="30"/>
      <c r="G577" s="30"/>
      <c r="H577" s="30"/>
      <c r="I577" s="30"/>
      <c r="J577" s="28"/>
      <c r="K577" s="30"/>
      <c r="L577" s="30"/>
      <c r="M577" s="30"/>
      <c r="N577" s="30"/>
      <c r="O577" s="28"/>
      <c r="P577" s="30"/>
      <c r="Q577" s="30"/>
      <c r="R577" s="30"/>
      <c r="S577" s="36"/>
      <c r="T577" s="30"/>
      <c r="U577" s="36"/>
      <c r="V577" s="30"/>
      <c r="W577" s="28"/>
      <c r="X577" s="30"/>
      <c r="Y577" s="30"/>
      <c r="Z577" s="30"/>
      <c r="AA577" s="30"/>
      <c r="AB577" s="30"/>
      <c r="AC577" s="28"/>
      <c r="AD577" s="30"/>
      <c r="AE577" s="30"/>
      <c r="AF577" s="30"/>
      <c r="AG577" s="29"/>
      <c r="AH577" s="30"/>
      <c r="AI577" s="36"/>
      <c r="AJ577" s="30"/>
      <c r="AK577" s="29"/>
      <c r="AL577" s="30"/>
      <c r="AM577" s="30"/>
      <c r="AN577" s="30"/>
      <c r="AO577" s="30"/>
      <c r="AP577" s="30"/>
      <c r="AQ577" s="38"/>
      <c r="AR577" s="30"/>
      <c r="AS577" s="30"/>
      <c r="AT577" s="29"/>
      <c r="AU577" s="30"/>
      <c r="AV577" s="30"/>
      <c r="AW577" s="30"/>
      <c r="AX577" s="29"/>
      <c r="AY577" s="39"/>
      <c r="AZ577" s="30"/>
      <c r="BA577" s="30"/>
      <c r="BB577" s="29"/>
      <c r="BC577" s="52"/>
      <c r="BD577" s="30"/>
      <c r="BE577" s="29"/>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row>
    <row r="578">
      <c r="A578" s="30"/>
      <c r="B578" s="42"/>
      <c r="C578" s="43"/>
      <c r="D578" s="30"/>
      <c r="E578" s="28"/>
      <c r="F578" s="30"/>
      <c r="G578" s="30"/>
      <c r="H578" s="30"/>
      <c r="I578" s="30"/>
      <c r="J578" s="28"/>
      <c r="K578" s="30"/>
      <c r="L578" s="30"/>
      <c r="M578" s="30"/>
      <c r="N578" s="30"/>
      <c r="O578" s="28"/>
      <c r="P578" s="30"/>
      <c r="Q578" s="30"/>
      <c r="R578" s="30"/>
      <c r="S578" s="36"/>
      <c r="T578" s="30"/>
      <c r="U578" s="36"/>
      <c r="V578" s="30"/>
      <c r="W578" s="28"/>
      <c r="X578" s="30"/>
      <c r="Y578" s="30"/>
      <c r="Z578" s="30"/>
      <c r="AA578" s="30"/>
      <c r="AB578" s="30"/>
      <c r="AC578" s="28"/>
      <c r="AD578" s="30"/>
      <c r="AE578" s="30"/>
      <c r="AF578" s="30"/>
      <c r="AG578" s="29"/>
      <c r="AH578" s="30"/>
      <c r="AI578" s="36"/>
      <c r="AJ578" s="30"/>
      <c r="AK578" s="29"/>
      <c r="AL578" s="30"/>
      <c r="AM578" s="30"/>
      <c r="AN578" s="30"/>
      <c r="AO578" s="30"/>
      <c r="AP578" s="30"/>
      <c r="AQ578" s="38"/>
      <c r="AR578" s="30"/>
      <c r="AS578" s="30"/>
      <c r="AT578" s="29"/>
      <c r="AU578" s="30"/>
      <c r="AV578" s="30"/>
      <c r="AW578" s="30"/>
      <c r="AX578" s="29"/>
      <c r="AY578" s="39"/>
      <c r="AZ578" s="30"/>
      <c r="BA578" s="30"/>
      <c r="BB578" s="29"/>
      <c r="BC578" s="52"/>
      <c r="BD578" s="30"/>
      <c r="BE578" s="29"/>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row>
    <row r="579">
      <c r="A579" s="30"/>
      <c r="B579" s="42"/>
      <c r="C579" s="43"/>
      <c r="D579" s="30"/>
      <c r="E579" s="28"/>
      <c r="F579" s="30"/>
      <c r="G579" s="30"/>
      <c r="H579" s="30"/>
      <c r="I579" s="30"/>
      <c r="J579" s="28"/>
      <c r="K579" s="30"/>
      <c r="L579" s="30"/>
      <c r="M579" s="30"/>
      <c r="N579" s="30"/>
      <c r="O579" s="28"/>
      <c r="P579" s="30"/>
      <c r="Q579" s="30"/>
      <c r="R579" s="30"/>
      <c r="S579" s="36"/>
      <c r="T579" s="30"/>
      <c r="U579" s="36"/>
      <c r="V579" s="30"/>
      <c r="W579" s="28"/>
      <c r="X579" s="30"/>
      <c r="Y579" s="30"/>
      <c r="Z579" s="30"/>
      <c r="AA579" s="30"/>
      <c r="AB579" s="30"/>
      <c r="AC579" s="28"/>
      <c r="AD579" s="30"/>
      <c r="AE579" s="30"/>
      <c r="AF579" s="30"/>
      <c r="AG579" s="29"/>
      <c r="AH579" s="30"/>
      <c r="AI579" s="36"/>
      <c r="AJ579" s="30"/>
      <c r="AK579" s="29"/>
      <c r="AL579" s="30"/>
      <c r="AM579" s="30"/>
      <c r="AN579" s="30"/>
      <c r="AO579" s="30"/>
      <c r="AP579" s="30"/>
      <c r="AQ579" s="38"/>
      <c r="AR579" s="30"/>
      <c r="AS579" s="30"/>
      <c r="AT579" s="29"/>
      <c r="AU579" s="30"/>
      <c r="AV579" s="30"/>
      <c r="AW579" s="30"/>
      <c r="AX579" s="29"/>
      <c r="AY579" s="39"/>
      <c r="AZ579" s="30"/>
      <c r="BA579" s="30"/>
      <c r="BB579" s="29"/>
      <c r="BC579" s="52"/>
      <c r="BD579" s="30"/>
      <c r="BE579" s="29"/>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row>
    <row r="580">
      <c r="A580" s="30"/>
      <c r="B580" s="42"/>
      <c r="C580" s="43"/>
      <c r="D580" s="30"/>
      <c r="E580" s="28"/>
      <c r="F580" s="30"/>
      <c r="G580" s="30"/>
      <c r="H580" s="30"/>
      <c r="I580" s="30"/>
      <c r="J580" s="28"/>
      <c r="K580" s="30"/>
      <c r="L580" s="30"/>
      <c r="M580" s="30"/>
      <c r="N580" s="30"/>
      <c r="O580" s="28"/>
      <c r="P580" s="30"/>
      <c r="Q580" s="30"/>
      <c r="R580" s="30"/>
      <c r="S580" s="36"/>
      <c r="T580" s="30"/>
      <c r="U580" s="36"/>
      <c r="V580" s="30"/>
      <c r="W580" s="28"/>
      <c r="X580" s="30"/>
      <c r="Y580" s="30"/>
      <c r="Z580" s="30"/>
      <c r="AA580" s="30"/>
      <c r="AB580" s="30"/>
      <c r="AC580" s="28"/>
      <c r="AD580" s="30"/>
      <c r="AE580" s="30"/>
      <c r="AF580" s="30"/>
      <c r="AG580" s="29"/>
      <c r="AH580" s="30"/>
      <c r="AI580" s="36"/>
      <c r="AJ580" s="30"/>
      <c r="AK580" s="29"/>
      <c r="AL580" s="30"/>
      <c r="AM580" s="30"/>
      <c r="AN580" s="30"/>
      <c r="AO580" s="30"/>
      <c r="AP580" s="30"/>
      <c r="AQ580" s="38"/>
      <c r="AR580" s="30"/>
      <c r="AS580" s="30"/>
      <c r="AT580" s="29"/>
      <c r="AU580" s="30"/>
      <c r="AV580" s="30"/>
      <c r="AW580" s="30"/>
      <c r="AX580" s="29"/>
      <c r="AY580" s="39"/>
      <c r="AZ580" s="30"/>
      <c r="BA580" s="30"/>
      <c r="BB580" s="29"/>
      <c r="BC580" s="52"/>
      <c r="BD580" s="30"/>
      <c r="BE580" s="29"/>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c r="CE580" s="30"/>
      <c r="CF580" s="30"/>
      <c r="CG580" s="30"/>
      <c r="CH580" s="30"/>
      <c r="CI580" s="30"/>
      <c r="CJ580" s="30"/>
      <c r="CK580" s="30"/>
      <c r="CL580" s="30"/>
      <c r="CM580" s="30"/>
      <c r="CN580" s="30"/>
      <c r="CO580" s="30"/>
      <c r="CP580" s="30"/>
      <c r="CQ580" s="30"/>
      <c r="CR580" s="30"/>
      <c r="CS580" s="30"/>
      <c r="CT580" s="30"/>
      <c r="CU580" s="30"/>
      <c r="CV580" s="30"/>
      <c r="CW580" s="30"/>
      <c r="CX580" s="30"/>
      <c r="CY580" s="30"/>
      <c r="CZ580" s="30"/>
      <c r="DA580" s="30"/>
      <c r="DB580" s="30"/>
      <c r="DC580" s="30"/>
      <c r="DD580" s="30"/>
      <c r="DE580" s="30"/>
      <c r="DF580" s="30"/>
      <c r="DG580" s="30"/>
      <c r="DH580" s="30"/>
      <c r="DI580" s="30"/>
      <c r="DJ580" s="30"/>
      <c r="DK580" s="30"/>
      <c r="DL580" s="30"/>
      <c r="DM580" s="30"/>
      <c r="DN580" s="30"/>
      <c r="DO580" s="30"/>
      <c r="DP580" s="30"/>
      <c r="DQ580" s="30"/>
      <c r="DR580" s="30"/>
      <c r="DS580" s="30"/>
      <c r="DT580" s="30"/>
      <c r="DU580" s="30"/>
      <c r="DV580" s="30"/>
      <c r="DW580" s="30"/>
      <c r="DX580" s="30"/>
      <c r="DY580" s="30"/>
      <c r="DZ580" s="30"/>
    </row>
    <row r="581">
      <c r="A581" s="30"/>
      <c r="B581" s="42"/>
      <c r="C581" s="43"/>
      <c r="D581" s="30"/>
      <c r="E581" s="28"/>
      <c r="F581" s="30"/>
      <c r="G581" s="30"/>
      <c r="H581" s="30"/>
      <c r="I581" s="30"/>
      <c r="J581" s="28"/>
      <c r="K581" s="30"/>
      <c r="L581" s="30"/>
      <c r="M581" s="30"/>
      <c r="N581" s="30"/>
      <c r="O581" s="28"/>
      <c r="P581" s="30"/>
      <c r="Q581" s="30"/>
      <c r="R581" s="30"/>
      <c r="S581" s="36"/>
      <c r="T581" s="30"/>
      <c r="U581" s="36"/>
      <c r="V581" s="30"/>
      <c r="W581" s="28"/>
      <c r="X581" s="30"/>
      <c r="Y581" s="30"/>
      <c r="Z581" s="30"/>
      <c r="AA581" s="30"/>
      <c r="AB581" s="30"/>
      <c r="AC581" s="28"/>
      <c r="AD581" s="30"/>
      <c r="AE581" s="30"/>
      <c r="AF581" s="30"/>
      <c r="AG581" s="29"/>
      <c r="AH581" s="30"/>
      <c r="AI581" s="36"/>
      <c r="AJ581" s="30"/>
      <c r="AK581" s="29"/>
      <c r="AL581" s="30"/>
      <c r="AM581" s="30"/>
      <c r="AN581" s="30"/>
      <c r="AO581" s="30"/>
      <c r="AP581" s="30"/>
      <c r="AQ581" s="38"/>
      <c r="AR581" s="30"/>
      <c r="AS581" s="30"/>
      <c r="AT581" s="29"/>
      <c r="AU581" s="30"/>
      <c r="AV581" s="30"/>
      <c r="AW581" s="30"/>
      <c r="AX581" s="29"/>
      <c r="AY581" s="39"/>
      <c r="AZ581" s="30"/>
      <c r="BA581" s="30"/>
      <c r="BB581" s="29"/>
      <c r="BC581" s="52"/>
      <c r="BD581" s="30"/>
      <c r="BE581" s="29"/>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c r="CB581" s="30"/>
      <c r="CC581" s="30"/>
      <c r="CD581" s="30"/>
      <c r="CE581" s="30"/>
      <c r="CF581" s="30"/>
      <c r="CG581" s="30"/>
      <c r="CH581" s="30"/>
      <c r="CI581" s="30"/>
      <c r="CJ581" s="30"/>
      <c r="CK581" s="30"/>
      <c r="CL581" s="30"/>
      <c r="CM581" s="30"/>
      <c r="CN581" s="30"/>
      <c r="CO581" s="30"/>
      <c r="CP581" s="30"/>
      <c r="CQ581" s="30"/>
      <c r="CR581" s="30"/>
      <c r="CS581" s="30"/>
      <c r="CT581" s="30"/>
      <c r="CU581" s="30"/>
      <c r="CV581" s="30"/>
      <c r="CW581" s="30"/>
      <c r="CX581" s="30"/>
      <c r="CY581" s="30"/>
      <c r="CZ581" s="30"/>
      <c r="DA581" s="30"/>
      <c r="DB581" s="30"/>
      <c r="DC581" s="30"/>
      <c r="DD581" s="30"/>
      <c r="DE581" s="30"/>
      <c r="DF581" s="30"/>
      <c r="DG581" s="30"/>
      <c r="DH581" s="30"/>
      <c r="DI581" s="30"/>
      <c r="DJ581" s="30"/>
      <c r="DK581" s="30"/>
      <c r="DL581" s="30"/>
      <c r="DM581" s="30"/>
      <c r="DN581" s="30"/>
      <c r="DO581" s="30"/>
      <c r="DP581" s="30"/>
      <c r="DQ581" s="30"/>
      <c r="DR581" s="30"/>
      <c r="DS581" s="30"/>
      <c r="DT581" s="30"/>
      <c r="DU581" s="30"/>
      <c r="DV581" s="30"/>
      <c r="DW581" s="30"/>
      <c r="DX581" s="30"/>
      <c r="DY581" s="30"/>
      <c r="DZ581" s="30"/>
    </row>
    <row r="582">
      <c r="A582" s="30"/>
      <c r="B582" s="42"/>
      <c r="C582" s="43"/>
      <c r="D582" s="30"/>
      <c r="E582" s="28"/>
      <c r="F582" s="30"/>
      <c r="G582" s="30"/>
      <c r="H582" s="30"/>
      <c r="I582" s="30"/>
      <c r="J582" s="28"/>
      <c r="K582" s="30"/>
      <c r="L582" s="30"/>
      <c r="M582" s="30"/>
      <c r="N582" s="30"/>
      <c r="O582" s="28"/>
      <c r="P582" s="30"/>
      <c r="Q582" s="30"/>
      <c r="R582" s="30"/>
      <c r="S582" s="36"/>
      <c r="T582" s="30"/>
      <c r="U582" s="36"/>
      <c r="V582" s="30"/>
      <c r="W582" s="28"/>
      <c r="X582" s="30"/>
      <c r="Y582" s="30"/>
      <c r="Z582" s="30"/>
      <c r="AA582" s="30"/>
      <c r="AB582" s="30"/>
      <c r="AC582" s="28"/>
      <c r="AD582" s="30"/>
      <c r="AE582" s="30"/>
      <c r="AF582" s="30"/>
      <c r="AG582" s="29"/>
      <c r="AH582" s="30"/>
      <c r="AI582" s="36"/>
      <c r="AJ582" s="30"/>
      <c r="AK582" s="29"/>
      <c r="AL582" s="30"/>
      <c r="AM582" s="30"/>
      <c r="AN582" s="30"/>
      <c r="AO582" s="30"/>
      <c r="AP582" s="30"/>
      <c r="AQ582" s="38"/>
      <c r="AR582" s="30"/>
      <c r="AS582" s="30"/>
      <c r="AT582" s="29"/>
      <c r="AU582" s="30"/>
      <c r="AV582" s="30"/>
      <c r="AW582" s="30"/>
      <c r="AX582" s="29"/>
      <c r="AY582" s="39"/>
      <c r="AZ582" s="30"/>
      <c r="BA582" s="30"/>
      <c r="BB582" s="29"/>
      <c r="BC582" s="52"/>
      <c r="BD582" s="30"/>
      <c r="BE582" s="29"/>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row>
    <row r="583">
      <c r="A583" s="30"/>
      <c r="B583" s="42"/>
      <c r="C583" s="43"/>
      <c r="D583" s="30"/>
      <c r="E583" s="28"/>
      <c r="F583" s="30"/>
      <c r="G583" s="30"/>
      <c r="H583" s="30"/>
      <c r="I583" s="30"/>
      <c r="J583" s="28"/>
      <c r="K583" s="30"/>
      <c r="L583" s="30"/>
      <c r="M583" s="30"/>
      <c r="N583" s="30"/>
      <c r="O583" s="28"/>
      <c r="P583" s="30"/>
      <c r="Q583" s="30"/>
      <c r="R583" s="30"/>
      <c r="S583" s="36"/>
      <c r="T583" s="30"/>
      <c r="U583" s="36"/>
      <c r="V583" s="30"/>
      <c r="W583" s="28"/>
      <c r="X583" s="30"/>
      <c r="Y583" s="30"/>
      <c r="Z583" s="30"/>
      <c r="AA583" s="30"/>
      <c r="AB583" s="30"/>
      <c r="AC583" s="28"/>
      <c r="AD583" s="30"/>
      <c r="AE583" s="30"/>
      <c r="AF583" s="30"/>
      <c r="AG583" s="29"/>
      <c r="AH583" s="30"/>
      <c r="AI583" s="36"/>
      <c r="AJ583" s="30"/>
      <c r="AK583" s="29"/>
      <c r="AL583" s="30"/>
      <c r="AM583" s="30"/>
      <c r="AN583" s="30"/>
      <c r="AO583" s="30"/>
      <c r="AP583" s="30"/>
      <c r="AQ583" s="38"/>
      <c r="AR583" s="30"/>
      <c r="AS583" s="30"/>
      <c r="AT583" s="29"/>
      <c r="AU583" s="30"/>
      <c r="AV583" s="30"/>
      <c r="AW583" s="30"/>
      <c r="AX583" s="29"/>
      <c r="AY583" s="39"/>
      <c r="AZ583" s="30"/>
      <c r="BA583" s="30"/>
      <c r="BB583" s="29"/>
      <c r="BC583" s="52"/>
      <c r="BD583" s="30"/>
      <c r="BE583" s="29"/>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row>
    <row r="584">
      <c r="A584" s="30"/>
      <c r="B584" s="42"/>
      <c r="C584" s="43"/>
      <c r="D584" s="30"/>
      <c r="E584" s="28"/>
      <c r="F584" s="30"/>
      <c r="G584" s="30"/>
      <c r="H584" s="30"/>
      <c r="I584" s="30"/>
      <c r="J584" s="28"/>
      <c r="K584" s="30"/>
      <c r="L584" s="30"/>
      <c r="M584" s="30"/>
      <c r="N584" s="30"/>
      <c r="O584" s="28"/>
      <c r="P584" s="30"/>
      <c r="Q584" s="30"/>
      <c r="R584" s="30"/>
      <c r="S584" s="36"/>
      <c r="T584" s="30"/>
      <c r="U584" s="36"/>
      <c r="V584" s="30"/>
      <c r="W584" s="28"/>
      <c r="X584" s="30"/>
      <c r="Y584" s="30"/>
      <c r="Z584" s="30"/>
      <c r="AA584" s="30"/>
      <c r="AB584" s="30"/>
      <c r="AC584" s="28"/>
      <c r="AD584" s="30"/>
      <c r="AE584" s="30"/>
      <c r="AF584" s="30"/>
      <c r="AG584" s="29"/>
      <c r="AH584" s="30"/>
      <c r="AI584" s="36"/>
      <c r="AJ584" s="30"/>
      <c r="AK584" s="29"/>
      <c r="AL584" s="30"/>
      <c r="AM584" s="30"/>
      <c r="AN584" s="30"/>
      <c r="AO584" s="30"/>
      <c r="AP584" s="30"/>
      <c r="AQ584" s="38"/>
      <c r="AR584" s="30"/>
      <c r="AS584" s="30"/>
      <c r="AT584" s="29"/>
      <c r="AU584" s="30"/>
      <c r="AV584" s="30"/>
      <c r="AW584" s="30"/>
      <c r="AX584" s="29"/>
      <c r="AY584" s="39"/>
      <c r="AZ584" s="30"/>
      <c r="BA584" s="30"/>
      <c r="BB584" s="29"/>
      <c r="BC584" s="52"/>
      <c r="BD584" s="30"/>
      <c r="BE584" s="29"/>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row>
    <row r="585">
      <c r="A585" s="30"/>
      <c r="B585" s="42"/>
      <c r="C585" s="43"/>
      <c r="D585" s="30"/>
      <c r="E585" s="28"/>
      <c r="F585" s="30"/>
      <c r="G585" s="30"/>
      <c r="H585" s="30"/>
      <c r="I585" s="30"/>
      <c r="J585" s="28"/>
      <c r="K585" s="30"/>
      <c r="L585" s="30"/>
      <c r="M585" s="30"/>
      <c r="N585" s="30"/>
      <c r="O585" s="28"/>
      <c r="P585" s="30"/>
      <c r="Q585" s="30"/>
      <c r="R585" s="30"/>
      <c r="S585" s="36"/>
      <c r="T585" s="30"/>
      <c r="U585" s="36"/>
      <c r="V585" s="30"/>
      <c r="W585" s="28"/>
      <c r="X585" s="30"/>
      <c r="Y585" s="30"/>
      <c r="Z585" s="30"/>
      <c r="AA585" s="30"/>
      <c r="AB585" s="30"/>
      <c r="AC585" s="28"/>
      <c r="AD585" s="30"/>
      <c r="AE585" s="30"/>
      <c r="AF585" s="30"/>
      <c r="AG585" s="29"/>
      <c r="AH585" s="30"/>
      <c r="AI585" s="36"/>
      <c r="AJ585" s="30"/>
      <c r="AK585" s="29"/>
      <c r="AL585" s="30"/>
      <c r="AM585" s="30"/>
      <c r="AN585" s="30"/>
      <c r="AO585" s="30"/>
      <c r="AP585" s="30"/>
      <c r="AQ585" s="38"/>
      <c r="AR585" s="30"/>
      <c r="AS585" s="30"/>
      <c r="AT585" s="29"/>
      <c r="AU585" s="30"/>
      <c r="AV585" s="30"/>
      <c r="AW585" s="30"/>
      <c r="AX585" s="29"/>
      <c r="AY585" s="39"/>
      <c r="AZ585" s="30"/>
      <c r="BA585" s="30"/>
      <c r="BB585" s="29"/>
      <c r="BC585" s="52"/>
      <c r="BD585" s="30"/>
      <c r="BE585" s="29"/>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row>
    <row r="586">
      <c r="A586" s="30"/>
      <c r="B586" s="42"/>
      <c r="C586" s="43"/>
      <c r="D586" s="30"/>
      <c r="E586" s="28"/>
      <c r="F586" s="30"/>
      <c r="G586" s="30"/>
      <c r="H586" s="30"/>
      <c r="I586" s="30"/>
      <c r="J586" s="28"/>
      <c r="K586" s="30"/>
      <c r="L586" s="30"/>
      <c r="M586" s="30"/>
      <c r="N586" s="30"/>
      <c r="O586" s="28"/>
      <c r="P586" s="30"/>
      <c r="Q586" s="30"/>
      <c r="R586" s="30"/>
      <c r="S586" s="36"/>
      <c r="T586" s="30"/>
      <c r="U586" s="36"/>
      <c r="V586" s="30"/>
      <c r="W586" s="28"/>
      <c r="X586" s="30"/>
      <c r="Y586" s="30"/>
      <c r="Z586" s="30"/>
      <c r="AA586" s="30"/>
      <c r="AB586" s="30"/>
      <c r="AC586" s="28"/>
      <c r="AD586" s="30"/>
      <c r="AE586" s="30"/>
      <c r="AF586" s="30"/>
      <c r="AG586" s="29"/>
      <c r="AH586" s="30"/>
      <c r="AI586" s="36"/>
      <c r="AJ586" s="30"/>
      <c r="AK586" s="29"/>
      <c r="AL586" s="30"/>
      <c r="AM586" s="30"/>
      <c r="AN586" s="30"/>
      <c r="AO586" s="30"/>
      <c r="AP586" s="30"/>
      <c r="AQ586" s="38"/>
      <c r="AR586" s="30"/>
      <c r="AS586" s="30"/>
      <c r="AT586" s="29"/>
      <c r="AU586" s="30"/>
      <c r="AV586" s="30"/>
      <c r="AW586" s="30"/>
      <c r="AX586" s="29"/>
      <c r="AY586" s="39"/>
      <c r="AZ586" s="30"/>
      <c r="BA586" s="30"/>
      <c r="BB586" s="29"/>
      <c r="BC586" s="52"/>
      <c r="BD586" s="30"/>
      <c r="BE586" s="29"/>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row>
    <row r="587">
      <c r="A587" s="30"/>
      <c r="B587" s="42"/>
      <c r="C587" s="43"/>
      <c r="D587" s="30"/>
      <c r="E587" s="28"/>
      <c r="F587" s="30"/>
      <c r="G587" s="30"/>
      <c r="H587" s="30"/>
      <c r="I587" s="30"/>
      <c r="J587" s="28"/>
      <c r="K587" s="30"/>
      <c r="L587" s="30"/>
      <c r="M587" s="30"/>
      <c r="N587" s="30"/>
      <c r="O587" s="28"/>
      <c r="P587" s="30"/>
      <c r="Q587" s="30"/>
      <c r="R587" s="30"/>
      <c r="S587" s="36"/>
      <c r="T587" s="30"/>
      <c r="U587" s="36"/>
      <c r="V587" s="30"/>
      <c r="W587" s="28"/>
      <c r="X587" s="30"/>
      <c r="Y587" s="30"/>
      <c r="Z587" s="30"/>
      <c r="AA587" s="30"/>
      <c r="AB587" s="30"/>
      <c r="AC587" s="28"/>
      <c r="AD587" s="30"/>
      <c r="AE587" s="30"/>
      <c r="AF587" s="30"/>
      <c r="AG587" s="29"/>
      <c r="AH587" s="30"/>
      <c r="AI587" s="36"/>
      <c r="AJ587" s="30"/>
      <c r="AK587" s="29"/>
      <c r="AL587" s="30"/>
      <c r="AM587" s="30"/>
      <c r="AN587" s="30"/>
      <c r="AO587" s="30"/>
      <c r="AP587" s="30"/>
      <c r="AQ587" s="38"/>
      <c r="AR587" s="30"/>
      <c r="AS587" s="30"/>
      <c r="AT587" s="29"/>
      <c r="AU587" s="30"/>
      <c r="AV587" s="30"/>
      <c r="AW587" s="30"/>
      <c r="AX587" s="29"/>
      <c r="AY587" s="39"/>
      <c r="AZ587" s="30"/>
      <c r="BA587" s="30"/>
      <c r="BB587" s="29"/>
      <c r="BC587" s="52"/>
      <c r="BD587" s="30"/>
      <c r="BE587" s="29"/>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row>
    <row r="588">
      <c r="A588" s="30"/>
      <c r="B588" s="42"/>
      <c r="C588" s="43"/>
      <c r="D588" s="30"/>
      <c r="E588" s="28"/>
      <c r="F588" s="30"/>
      <c r="G588" s="30"/>
      <c r="H588" s="30"/>
      <c r="I588" s="30"/>
      <c r="J588" s="28"/>
      <c r="K588" s="30"/>
      <c r="L588" s="30"/>
      <c r="M588" s="30"/>
      <c r="N588" s="30"/>
      <c r="O588" s="28"/>
      <c r="P588" s="30"/>
      <c r="Q588" s="30"/>
      <c r="R588" s="30"/>
      <c r="S588" s="36"/>
      <c r="T588" s="30"/>
      <c r="U588" s="36"/>
      <c r="V588" s="30"/>
      <c r="W588" s="28"/>
      <c r="X588" s="30"/>
      <c r="Y588" s="30"/>
      <c r="Z588" s="30"/>
      <c r="AA588" s="30"/>
      <c r="AB588" s="30"/>
      <c r="AC588" s="28"/>
      <c r="AD588" s="30"/>
      <c r="AE588" s="30"/>
      <c r="AF588" s="30"/>
      <c r="AG588" s="29"/>
      <c r="AH588" s="30"/>
      <c r="AI588" s="36"/>
      <c r="AJ588" s="30"/>
      <c r="AK588" s="29"/>
      <c r="AL588" s="30"/>
      <c r="AM588" s="30"/>
      <c r="AN588" s="30"/>
      <c r="AO588" s="30"/>
      <c r="AP588" s="30"/>
      <c r="AQ588" s="38"/>
      <c r="AR588" s="30"/>
      <c r="AS588" s="30"/>
      <c r="AT588" s="29"/>
      <c r="AU588" s="30"/>
      <c r="AV588" s="30"/>
      <c r="AW588" s="30"/>
      <c r="AX588" s="29"/>
      <c r="AY588" s="39"/>
      <c r="AZ588" s="30"/>
      <c r="BA588" s="30"/>
      <c r="BB588" s="29"/>
      <c r="BC588" s="52"/>
      <c r="BD588" s="30"/>
      <c r="BE588" s="29"/>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row>
    <row r="589">
      <c r="A589" s="30"/>
      <c r="B589" s="42"/>
      <c r="C589" s="43"/>
      <c r="D589" s="30"/>
      <c r="E589" s="28"/>
      <c r="F589" s="30"/>
      <c r="G589" s="30"/>
      <c r="H589" s="30"/>
      <c r="I589" s="30"/>
      <c r="J589" s="28"/>
      <c r="K589" s="30"/>
      <c r="L589" s="30"/>
      <c r="M589" s="30"/>
      <c r="N589" s="30"/>
      <c r="O589" s="28"/>
      <c r="P589" s="30"/>
      <c r="Q589" s="30"/>
      <c r="R589" s="30"/>
      <c r="S589" s="36"/>
      <c r="T589" s="30"/>
      <c r="U589" s="36"/>
      <c r="V589" s="30"/>
      <c r="W589" s="28"/>
      <c r="X589" s="30"/>
      <c r="Y589" s="30"/>
      <c r="Z589" s="30"/>
      <c r="AA589" s="30"/>
      <c r="AB589" s="30"/>
      <c r="AC589" s="28"/>
      <c r="AD589" s="30"/>
      <c r="AE589" s="30"/>
      <c r="AF589" s="30"/>
      <c r="AG589" s="29"/>
      <c r="AH589" s="30"/>
      <c r="AI589" s="36"/>
      <c r="AJ589" s="30"/>
      <c r="AK589" s="29"/>
      <c r="AL589" s="30"/>
      <c r="AM589" s="30"/>
      <c r="AN589" s="30"/>
      <c r="AO589" s="30"/>
      <c r="AP589" s="30"/>
      <c r="AQ589" s="38"/>
      <c r="AR589" s="30"/>
      <c r="AS589" s="30"/>
      <c r="AT589" s="29"/>
      <c r="AU589" s="30"/>
      <c r="AV589" s="30"/>
      <c r="AW589" s="30"/>
      <c r="AX589" s="29"/>
      <c r="AY589" s="39"/>
      <c r="AZ589" s="30"/>
      <c r="BA589" s="30"/>
      <c r="BB589" s="29"/>
      <c r="BC589" s="52"/>
      <c r="BD589" s="30"/>
      <c r="BE589" s="29"/>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row>
    <row r="590">
      <c r="A590" s="30"/>
      <c r="B590" s="42"/>
      <c r="C590" s="43"/>
      <c r="D590" s="30"/>
      <c r="E590" s="28"/>
      <c r="F590" s="30"/>
      <c r="G590" s="30"/>
      <c r="H590" s="30"/>
      <c r="I590" s="30"/>
      <c r="J590" s="28"/>
      <c r="K590" s="30"/>
      <c r="L590" s="30"/>
      <c r="M590" s="30"/>
      <c r="N590" s="30"/>
      <c r="O590" s="28"/>
      <c r="P590" s="30"/>
      <c r="Q590" s="30"/>
      <c r="R590" s="30"/>
      <c r="S590" s="36"/>
      <c r="T590" s="30"/>
      <c r="U590" s="36"/>
      <c r="V590" s="30"/>
      <c r="W590" s="28"/>
      <c r="X590" s="30"/>
      <c r="Y590" s="30"/>
      <c r="Z590" s="30"/>
      <c r="AA590" s="30"/>
      <c r="AB590" s="30"/>
      <c r="AC590" s="28"/>
      <c r="AD590" s="30"/>
      <c r="AE590" s="30"/>
      <c r="AF590" s="30"/>
      <c r="AG590" s="29"/>
      <c r="AH590" s="30"/>
      <c r="AI590" s="36"/>
      <c r="AJ590" s="30"/>
      <c r="AK590" s="29"/>
      <c r="AL590" s="30"/>
      <c r="AM590" s="30"/>
      <c r="AN590" s="30"/>
      <c r="AO590" s="30"/>
      <c r="AP590" s="30"/>
      <c r="AQ590" s="38"/>
      <c r="AR590" s="30"/>
      <c r="AS590" s="30"/>
      <c r="AT590" s="29"/>
      <c r="AU590" s="30"/>
      <c r="AV590" s="30"/>
      <c r="AW590" s="30"/>
      <c r="AX590" s="29"/>
      <c r="AY590" s="39"/>
      <c r="AZ590" s="30"/>
      <c r="BA590" s="30"/>
      <c r="BB590" s="29"/>
      <c r="BC590" s="52"/>
      <c r="BD590" s="30"/>
      <c r="BE590" s="29"/>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row>
    <row r="591">
      <c r="A591" s="30"/>
      <c r="B591" s="42"/>
      <c r="C591" s="43"/>
      <c r="D591" s="30"/>
      <c r="E591" s="28"/>
      <c r="F591" s="30"/>
      <c r="G591" s="30"/>
      <c r="H591" s="30"/>
      <c r="I591" s="30"/>
      <c r="J591" s="28"/>
      <c r="K591" s="30"/>
      <c r="L591" s="30"/>
      <c r="M591" s="30"/>
      <c r="N591" s="30"/>
      <c r="O591" s="28"/>
      <c r="P591" s="30"/>
      <c r="Q591" s="30"/>
      <c r="R591" s="30"/>
      <c r="S591" s="36"/>
      <c r="T591" s="30"/>
      <c r="U591" s="36"/>
      <c r="V591" s="30"/>
      <c r="W591" s="28"/>
      <c r="X591" s="30"/>
      <c r="Y591" s="30"/>
      <c r="Z591" s="30"/>
      <c r="AA591" s="30"/>
      <c r="AB591" s="30"/>
      <c r="AC591" s="28"/>
      <c r="AD591" s="30"/>
      <c r="AE591" s="30"/>
      <c r="AF591" s="30"/>
      <c r="AG591" s="29"/>
      <c r="AH591" s="30"/>
      <c r="AI591" s="36"/>
      <c r="AJ591" s="30"/>
      <c r="AK591" s="29"/>
      <c r="AL591" s="30"/>
      <c r="AM591" s="30"/>
      <c r="AN591" s="30"/>
      <c r="AO591" s="30"/>
      <c r="AP591" s="30"/>
      <c r="AQ591" s="38"/>
      <c r="AR591" s="30"/>
      <c r="AS591" s="30"/>
      <c r="AT591" s="29"/>
      <c r="AU591" s="30"/>
      <c r="AV591" s="30"/>
      <c r="AW591" s="30"/>
      <c r="AX591" s="29"/>
      <c r="AY591" s="39"/>
      <c r="AZ591" s="30"/>
      <c r="BA591" s="30"/>
      <c r="BB591" s="29"/>
      <c r="BC591" s="52"/>
      <c r="BD591" s="30"/>
      <c r="BE591" s="29"/>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row>
    <row r="592">
      <c r="A592" s="30"/>
      <c r="B592" s="42"/>
      <c r="C592" s="43"/>
      <c r="D592" s="30"/>
      <c r="E592" s="28"/>
      <c r="F592" s="30"/>
      <c r="G592" s="30"/>
      <c r="H592" s="30"/>
      <c r="I592" s="30"/>
      <c r="J592" s="28"/>
      <c r="K592" s="30"/>
      <c r="L592" s="30"/>
      <c r="M592" s="30"/>
      <c r="N592" s="30"/>
      <c r="O592" s="28"/>
      <c r="P592" s="30"/>
      <c r="Q592" s="30"/>
      <c r="R592" s="30"/>
      <c r="S592" s="36"/>
      <c r="T592" s="30"/>
      <c r="U592" s="36"/>
      <c r="V592" s="30"/>
      <c r="W592" s="28"/>
      <c r="X592" s="30"/>
      <c r="Y592" s="30"/>
      <c r="Z592" s="30"/>
      <c r="AA592" s="30"/>
      <c r="AB592" s="30"/>
      <c r="AC592" s="28"/>
      <c r="AD592" s="30"/>
      <c r="AE592" s="30"/>
      <c r="AF592" s="30"/>
      <c r="AG592" s="29"/>
      <c r="AH592" s="30"/>
      <c r="AI592" s="36"/>
      <c r="AJ592" s="30"/>
      <c r="AK592" s="29"/>
      <c r="AL592" s="30"/>
      <c r="AM592" s="30"/>
      <c r="AN592" s="30"/>
      <c r="AO592" s="30"/>
      <c r="AP592" s="30"/>
      <c r="AQ592" s="38"/>
      <c r="AR592" s="30"/>
      <c r="AS592" s="30"/>
      <c r="AT592" s="29"/>
      <c r="AU592" s="30"/>
      <c r="AV592" s="30"/>
      <c r="AW592" s="30"/>
      <c r="AX592" s="29"/>
      <c r="AY592" s="39"/>
      <c r="AZ592" s="30"/>
      <c r="BA592" s="30"/>
      <c r="BB592" s="29"/>
      <c r="BC592" s="52"/>
      <c r="BD592" s="30"/>
      <c r="BE592" s="29"/>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row>
    <row r="593">
      <c r="A593" s="30"/>
      <c r="B593" s="42"/>
      <c r="C593" s="43"/>
      <c r="D593" s="30"/>
      <c r="E593" s="28"/>
      <c r="F593" s="30"/>
      <c r="G593" s="30"/>
      <c r="H593" s="30"/>
      <c r="I593" s="30"/>
      <c r="J593" s="28"/>
      <c r="K593" s="30"/>
      <c r="L593" s="30"/>
      <c r="M593" s="30"/>
      <c r="N593" s="30"/>
      <c r="O593" s="28"/>
      <c r="P593" s="30"/>
      <c r="Q593" s="30"/>
      <c r="R593" s="30"/>
      <c r="S593" s="36"/>
      <c r="T593" s="30"/>
      <c r="U593" s="36"/>
      <c r="V593" s="30"/>
      <c r="W593" s="28"/>
      <c r="X593" s="30"/>
      <c r="Y593" s="30"/>
      <c r="Z593" s="30"/>
      <c r="AA593" s="30"/>
      <c r="AB593" s="30"/>
      <c r="AC593" s="28"/>
      <c r="AD593" s="30"/>
      <c r="AE593" s="30"/>
      <c r="AF593" s="30"/>
      <c r="AG593" s="29"/>
      <c r="AH593" s="30"/>
      <c r="AI593" s="36"/>
      <c r="AJ593" s="30"/>
      <c r="AK593" s="29"/>
      <c r="AL593" s="30"/>
      <c r="AM593" s="30"/>
      <c r="AN593" s="30"/>
      <c r="AO593" s="30"/>
      <c r="AP593" s="30"/>
      <c r="AQ593" s="38"/>
      <c r="AR593" s="30"/>
      <c r="AS593" s="30"/>
      <c r="AT593" s="29"/>
      <c r="AU593" s="30"/>
      <c r="AV593" s="30"/>
      <c r="AW593" s="30"/>
      <c r="AX593" s="29"/>
      <c r="AY593" s="39"/>
      <c r="AZ593" s="30"/>
      <c r="BA593" s="30"/>
      <c r="BB593" s="29"/>
      <c r="BC593" s="52"/>
      <c r="BD593" s="30"/>
      <c r="BE593" s="29"/>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c r="CB593" s="30"/>
      <c r="CC593" s="30"/>
      <c r="CD593" s="30"/>
      <c r="CE593" s="30"/>
      <c r="CF593" s="30"/>
      <c r="CG593" s="30"/>
      <c r="CH593" s="30"/>
      <c r="CI593" s="30"/>
      <c r="CJ593" s="30"/>
      <c r="CK593" s="30"/>
      <c r="CL593" s="30"/>
      <c r="CM593" s="30"/>
      <c r="CN593" s="30"/>
      <c r="CO593" s="30"/>
      <c r="CP593" s="30"/>
      <c r="CQ593" s="30"/>
      <c r="CR593" s="30"/>
      <c r="CS593" s="30"/>
      <c r="CT593" s="30"/>
      <c r="CU593" s="30"/>
      <c r="CV593" s="30"/>
      <c r="CW593" s="30"/>
      <c r="CX593" s="30"/>
      <c r="CY593" s="30"/>
      <c r="CZ593" s="30"/>
      <c r="DA593" s="30"/>
      <c r="DB593" s="30"/>
      <c r="DC593" s="30"/>
      <c r="DD593" s="30"/>
      <c r="DE593" s="30"/>
      <c r="DF593" s="30"/>
      <c r="DG593" s="30"/>
      <c r="DH593" s="30"/>
      <c r="DI593" s="30"/>
      <c r="DJ593" s="30"/>
      <c r="DK593" s="30"/>
      <c r="DL593" s="30"/>
      <c r="DM593" s="30"/>
      <c r="DN593" s="30"/>
      <c r="DO593" s="30"/>
      <c r="DP593" s="30"/>
      <c r="DQ593" s="30"/>
      <c r="DR593" s="30"/>
      <c r="DS593" s="30"/>
      <c r="DT593" s="30"/>
      <c r="DU593" s="30"/>
      <c r="DV593" s="30"/>
      <c r="DW593" s="30"/>
      <c r="DX593" s="30"/>
      <c r="DY593" s="30"/>
      <c r="DZ593" s="30"/>
    </row>
    <row r="594">
      <c r="A594" s="30"/>
      <c r="B594" s="42"/>
      <c r="C594" s="43"/>
      <c r="D594" s="30"/>
      <c r="E594" s="28"/>
      <c r="F594" s="30"/>
      <c r="G594" s="30"/>
      <c r="H594" s="30"/>
      <c r="I594" s="30"/>
      <c r="J594" s="28"/>
      <c r="K594" s="30"/>
      <c r="L594" s="30"/>
      <c r="M594" s="30"/>
      <c r="N594" s="30"/>
      <c r="O594" s="28"/>
      <c r="P594" s="30"/>
      <c r="Q594" s="30"/>
      <c r="R594" s="30"/>
      <c r="S594" s="36"/>
      <c r="T594" s="30"/>
      <c r="U594" s="36"/>
      <c r="V594" s="30"/>
      <c r="W594" s="28"/>
      <c r="X594" s="30"/>
      <c r="Y594" s="30"/>
      <c r="Z594" s="30"/>
      <c r="AA594" s="30"/>
      <c r="AB594" s="30"/>
      <c r="AC594" s="28"/>
      <c r="AD594" s="30"/>
      <c r="AE594" s="30"/>
      <c r="AF594" s="30"/>
      <c r="AG594" s="29"/>
      <c r="AH594" s="30"/>
      <c r="AI594" s="36"/>
      <c r="AJ594" s="30"/>
      <c r="AK594" s="29"/>
      <c r="AL594" s="30"/>
      <c r="AM594" s="30"/>
      <c r="AN594" s="30"/>
      <c r="AO594" s="30"/>
      <c r="AP594" s="30"/>
      <c r="AQ594" s="38"/>
      <c r="AR594" s="30"/>
      <c r="AS594" s="30"/>
      <c r="AT594" s="29"/>
      <c r="AU594" s="30"/>
      <c r="AV594" s="30"/>
      <c r="AW594" s="30"/>
      <c r="AX594" s="29"/>
      <c r="AY594" s="39"/>
      <c r="AZ594" s="30"/>
      <c r="BA594" s="30"/>
      <c r="BB594" s="29"/>
      <c r="BC594" s="52"/>
      <c r="BD594" s="30"/>
      <c r="BE594" s="29"/>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c r="CB594" s="30"/>
      <c r="CC594" s="30"/>
      <c r="CD594" s="30"/>
      <c r="CE594" s="30"/>
      <c r="CF594" s="30"/>
      <c r="CG594" s="30"/>
      <c r="CH594" s="30"/>
      <c r="CI594" s="30"/>
      <c r="CJ594" s="30"/>
      <c r="CK594" s="30"/>
      <c r="CL594" s="30"/>
      <c r="CM594" s="30"/>
      <c r="CN594" s="30"/>
      <c r="CO594" s="30"/>
      <c r="CP594" s="30"/>
      <c r="CQ594" s="30"/>
      <c r="CR594" s="30"/>
      <c r="CS594" s="30"/>
      <c r="CT594" s="30"/>
      <c r="CU594" s="30"/>
      <c r="CV594" s="30"/>
      <c r="CW594" s="30"/>
      <c r="CX594" s="30"/>
      <c r="CY594" s="30"/>
      <c r="CZ594" s="30"/>
      <c r="DA594" s="30"/>
      <c r="DB594" s="30"/>
      <c r="DC594" s="30"/>
      <c r="DD594" s="30"/>
      <c r="DE594" s="30"/>
      <c r="DF594" s="30"/>
      <c r="DG594" s="30"/>
      <c r="DH594" s="30"/>
      <c r="DI594" s="30"/>
      <c r="DJ594" s="30"/>
      <c r="DK594" s="30"/>
      <c r="DL594" s="30"/>
      <c r="DM594" s="30"/>
      <c r="DN594" s="30"/>
      <c r="DO594" s="30"/>
      <c r="DP594" s="30"/>
      <c r="DQ594" s="30"/>
      <c r="DR594" s="30"/>
      <c r="DS594" s="30"/>
      <c r="DT594" s="30"/>
      <c r="DU594" s="30"/>
      <c r="DV594" s="30"/>
      <c r="DW594" s="30"/>
      <c r="DX594" s="30"/>
      <c r="DY594" s="30"/>
      <c r="DZ594" s="30"/>
    </row>
    <row r="595">
      <c r="A595" s="30"/>
      <c r="B595" s="42"/>
      <c r="C595" s="43"/>
      <c r="D595" s="30"/>
      <c r="E595" s="28"/>
      <c r="F595" s="30"/>
      <c r="G595" s="30"/>
      <c r="H595" s="30"/>
      <c r="I595" s="30"/>
      <c r="J595" s="28"/>
      <c r="K595" s="30"/>
      <c r="L595" s="30"/>
      <c r="M595" s="30"/>
      <c r="N595" s="30"/>
      <c r="O595" s="28"/>
      <c r="P595" s="30"/>
      <c r="Q595" s="30"/>
      <c r="R595" s="30"/>
      <c r="S595" s="36"/>
      <c r="T595" s="30"/>
      <c r="U595" s="36"/>
      <c r="V595" s="30"/>
      <c r="W595" s="28"/>
      <c r="X595" s="30"/>
      <c r="Y595" s="30"/>
      <c r="Z595" s="30"/>
      <c r="AA595" s="30"/>
      <c r="AB595" s="30"/>
      <c r="AC595" s="28"/>
      <c r="AD595" s="30"/>
      <c r="AE595" s="30"/>
      <c r="AF595" s="30"/>
      <c r="AG595" s="29"/>
      <c r="AH595" s="30"/>
      <c r="AI595" s="36"/>
      <c r="AJ595" s="30"/>
      <c r="AK595" s="29"/>
      <c r="AL595" s="30"/>
      <c r="AM595" s="30"/>
      <c r="AN595" s="30"/>
      <c r="AO595" s="30"/>
      <c r="AP595" s="30"/>
      <c r="AQ595" s="38"/>
      <c r="AR595" s="30"/>
      <c r="AS595" s="30"/>
      <c r="AT595" s="29"/>
      <c r="AU595" s="30"/>
      <c r="AV595" s="30"/>
      <c r="AW595" s="30"/>
      <c r="AX595" s="29"/>
      <c r="AY595" s="39"/>
      <c r="AZ595" s="30"/>
      <c r="BA595" s="30"/>
      <c r="BB595" s="29"/>
      <c r="BC595" s="52"/>
      <c r="BD595" s="30"/>
      <c r="BE595" s="29"/>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row>
    <row r="596">
      <c r="A596" s="30"/>
      <c r="B596" s="42"/>
      <c r="C596" s="43"/>
      <c r="D596" s="30"/>
      <c r="E596" s="28"/>
      <c r="F596" s="30"/>
      <c r="G596" s="30"/>
      <c r="H596" s="30"/>
      <c r="I596" s="30"/>
      <c r="J596" s="28"/>
      <c r="K596" s="30"/>
      <c r="L596" s="30"/>
      <c r="M596" s="30"/>
      <c r="N596" s="30"/>
      <c r="O596" s="28"/>
      <c r="P596" s="30"/>
      <c r="Q596" s="30"/>
      <c r="R596" s="30"/>
      <c r="S596" s="36"/>
      <c r="T596" s="30"/>
      <c r="U596" s="36"/>
      <c r="V596" s="30"/>
      <c r="W596" s="28"/>
      <c r="X596" s="30"/>
      <c r="Y596" s="30"/>
      <c r="Z596" s="30"/>
      <c r="AA596" s="30"/>
      <c r="AB596" s="30"/>
      <c r="AC596" s="28"/>
      <c r="AD596" s="30"/>
      <c r="AE596" s="30"/>
      <c r="AF596" s="30"/>
      <c r="AG596" s="29"/>
      <c r="AH596" s="30"/>
      <c r="AI596" s="36"/>
      <c r="AJ596" s="30"/>
      <c r="AK596" s="29"/>
      <c r="AL596" s="30"/>
      <c r="AM596" s="30"/>
      <c r="AN596" s="30"/>
      <c r="AO596" s="30"/>
      <c r="AP596" s="30"/>
      <c r="AQ596" s="38"/>
      <c r="AR596" s="30"/>
      <c r="AS596" s="30"/>
      <c r="AT596" s="29"/>
      <c r="AU596" s="30"/>
      <c r="AV596" s="30"/>
      <c r="AW596" s="30"/>
      <c r="AX596" s="29"/>
      <c r="AY596" s="39"/>
      <c r="AZ596" s="30"/>
      <c r="BA596" s="30"/>
      <c r="BB596" s="29"/>
      <c r="BC596" s="52"/>
      <c r="BD596" s="30"/>
      <c r="BE596" s="29"/>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c r="CB596" s="30"/>
      <c r="CC596" s="30"/>
      <c r="CD596" s="30"/>
      <c r="CE596" s="30"/>
      <c r="CF596" s="30"/>
      <c r="CG596" s="30"/>
      <c r="CH596" s="30"/>
      <c r="CI596" s="30"/>
      <c r="CJ596" s="30"/>
      <c r="CK596" s="30"/>
      <c r="CL596" s="30"/>
      <c r="CM596" s="30"/>
      <c r="CN596" s="30"/>
      <c r="CO596" s="30"/>
      <c r="CP596" s="30"/>
      <c r="CQ596" s="30"/>
      <c r="CR596" s="30"/>
      <c r="CS596" s="30"/>
      <c r="CT596" s="30"/>
      <c r="CU596" s="30"/>
      <c r="CV596" s="30"/>
      <c r="CW596" s="30"/>
      <c r="CX596" s="30"/>
      <c r="CY596" s="30"/>
      <c r="CZ596" s="30"/>
      <c r="DA596" s="30"/>
      <c r="DB596" s="30"/>
      <c r="DC596" s="30"/>
      <c r="DD596" s="30"/>
      <c r="DE596" s="30"/>
      <c r="DF596" s="30"/>
      <c r="DG596" s="30"/>
      <c r="DH596" s="30"/>
      <c r="DI596" s="30"/>
      <c r="DJ596" s="30"/>
      <c r="DK596" s="30"/>
      <c r="DL596" s="30"/>
      <c r="DM596" s="30"/>
      <c r="DN596" s="30"/>
      <c r="DO596" s="30"/>
      <c r="DP596" s="30"/>
      <c r="DQ596" s="30"/>
      <c r="DR596" s="30"/>
      <c r="DS596" s="30"/>
      <c r="DT596" s="30"/>
      <c r="DU596" s="30"/>
      <c r="DV596" s="30"/>
      <c r="DW596" s="30"/>
      <c r="DX596" s="30"/>
      <c r="DY596" s="30"/>
      <c r="DZ596" s="30"/>
    </row>
    <row r="597">
      <c r="A597" s="30"/>
      <c r="B597" s="42"/>
      <c r="C597" s="43"/>
      <c r="D597" s="30"/>
      <c r="E597" s="28"/>
      <c r="F597" s="30"/>
      <c r="G597" s="30"/>
      <c r="H597" s="30"/>
      <c r="I597" s="30"/>
      <c r="J597" s="28"/>
      <c r="K597" s="30"/>
      <c r="L597" s="30"/>
      <c r="M597" s="30"/>
      <c r="N597" s="30"/>
      <c r="O597" s="28"/>
      <c r="P597" s="30"/>
      <c r="Q597" s="30"/>
      <c r="R597" s="30"/>
      <c r="S597" s="36"/>
      <c r="T597" s="30"/>
      <c r="U597" s="36"/>
      <c r="V597" s="30"/>
      <c r="W597" s="28"/>
      <c r="X597" s="30"/>
      <c r="Y597" s="30"/>
      <c r="Z597" s="30"/>
      <c r="AA597" s="30"/>
      <c r="AB597" s="30"/>
      <c r="AC597" s="28"/>
      <c r="AD597" s="30"/>
      <c r="AE597" s="30"/>
      <c r="AF597" s="30"/>
      <c r="AG597" s="29"/>
      <c r="AH597" s="30"/>
      <c r="AI597" s="36"/>
      <c r="AJ597" s="30"/>
      <c r="AK597" s="29"/>
      <c r="AL597" s="30"/>
      <c r="AM597" s="30"/>
      <c r="AN597" s="30"/>
      <c r="AO597" s="30"/>
      <c r="AP597" s="30"/>
      <c r="AQ597" s="38"/>
      <c r="AR597" s="30"/>
      <c r="AS597" s="30"/>
      <c r="AT597" s="29"/>
      <c r="AU597" s="30"/>
      <c r="AV597" s="30"/>
      <c r="AW597" s="30"/>
      <c r="AX597" s="29"/>
      <c r="AY597" s="39"/>
      <c r="AZ597" s="30"/>
      <c r="BA597" s="30"/>
      <c r="BB597" s="29"/>
      <c r="BC597" s="52"/>
      <c r="BD597" s="30"/>
      <c r="BE597" s="29"/>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c r="CB597" s="30"/>
      <c r="CC597" s="30"/>
      <c r="CD597" s="30"/>
      <c r="CE597" s="30"/>
      <c r="CF597" s="30"/>
      <c r="CG597" s="30"/>
      <c r="CH597" s="30"/>
      <c r="CI597" s="30"/>
      <c r="CJ597" s="30"/>
      <c r="CK597" s="30"/>
      <c r="CL597" s="30"/>
      <c r="CM597" s="30"/>
      <c r="CN597" s="30"/>
      <c r="CO597" s="30"/>
      <c r="CP597" s="30"/>
      <c r="CQ597" s="30"/>
      <c r="CR597" s="30"/>
      <c r="CS597" s="30"/>
      <c r="CT597" s="30"/>
      <c r="CU597" s="30"/>
      <c r="CV597" s="30"/>
      <c r="CW597" s="30"/>
      <c r="CX597" s="30"/>
      <c r="CY597" s="30"/>
      <c r="CZ597" s="30"/>
      <c r="DA597" s="30"/>
      <c r="DB597" s="30"/>
      <c r="DC597" s="30"/>
      <c r="DD597" s="30"/>
      <c r="DE597" s="30"/>
      <c r="DF597" s="30"/>
      <c r="DG597" s="30"/>
      <c r="DH597" s="30"/>
      <c r="DI597" s="30"/>
      <c r="DJ597" s="30"/>
      <c r="DK597" s="30"/>
      <c r="DL597" s="30"/>
      <c r="DM597" s="30"/>
      <c r="DN597" s="30"/>
      <c r="DO597" s="30"/>
      <c r="DP597" s="30"/>
      <c r="DQ597" s="30"/>
      <c r="DR597" s="30"/>
      <c r="DS597" s="30"/>
      <c r="DT597" s="30"/>
      <c r="DU597" s="30"/>
      <c r="DV597" s="30"/>
      <c r="DW597" s="30"/>
      <c r="DX597" s="30"/>
      <c r="DY597" s="30"/>
      <c r="DZ597" s="30"/>
    </row>
    <row r="598">
      <c r="A598" s="30"/>
      <c r="B598" s="42"/>
      <c r="C598" s="43"/>
      <c r="D598" s="30"/>
      <c r="E598" s="28"/>
      <c r="F598" s="30"/>
      <c r="G598" s="30"/>
      <c r="H598" s="30"/>
      <c r="I598" s="30"/>
      <c r="J598" s="28"/>
      <c r="K598" s="30"/>
      <c r="L598" s="30"/>
      <c r="M598" s="30"/>
      <c r="N598" s="30"/>
      <c r="O598" s="28"/>
      <c r="P598" s="30"/>
      <c r="Q598" s="30"/>
      <c r="R598" s="30"/>
      <c r="S598" s="36"/>
      <c r="T598" s="30"/>
      <c r="U598" s="36"/>
      <c r="V598" s="30"/>
      <c r="W598" s="28"/>
      <c r="X598" s="30"/>
      <c r="Y598" s="30"/>
      <c r="Z598" s="30"/>
      <c r="AA598" s="30"/>
      <c r="AB598" s="30"/>
      <c r="AC598" s="28"/>
      <c r="AD598" s="30"/>
      <c r="AE598" s="30"/>
      <c r="AF598" s="30"/>
      <c r="AG598" s="29"/>
      <c r="AH598" s="30"/>
      <c r="AI598" s="36"/>
      <c r="AJ598" s="30"/>
      <c r="AK598" s="29"/>
      <c r="AL598" s="30"/>
      <c r="AM598" s="30"/>
      <c r="AN598" s="30"/>
      <c r="AO598" s="30"/>
      <c r="AP598" s="30"/>
      <c r="AQ598" s="38"/>
      <c r="AR598" s="30"/>
      <c r="AS598" s="30"/>
      <c r="AT598" s="29"/>
      <c r="AU598" s="30"/>
      <c r="AV598" s="30"/>
      <c r="AW598" s="30"/>
      <c r="AX598" s="29"/>
      <c r="AY598" s="39"/>
      <c r="AZ598" s="30"/>
      <c r="BA598" s="30"/>
      <c r="BB598" s="29"/>
      <c r="BC598" s="52"/>
      <c r="BD598" s="30"/>
      <c r="BE598" s="29"/>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c r="CB598" s="30"/>
      <c r="CC598" s="30"/>
      <c r="CD598" s="30"/>
      <c r="CE598" s="30"/>
      <c r="CF598" s="30"/>
      <c r="CG598" s="30"/>
      <c r="CH598" s="30"/>
      <c r="CI598" s="30"/>
      <c r="CJ598" s="30"/>
      <c r="CK598" s="30"/>
      <c r="CL598" s="30"/>
      <c r="CM598" s="30"/>
      <c r="CN598" s="30"/>
      <c r="CO598" s="30"/>
      <c r="CP598" s="30"/>
      <c r="CQ598" s="30"/>
      <c r="CR598" s="30"/>
      <c r="CS598" s="30"/>
      <c r="CT598" s="30"/>
      <c r="CU598" s="30"/>
      <c r="CV598" s="30"/>
      <c r="CW598" s="30"/>
      <c r="CX598" s="30"/>
      <c r="CY598" s="30"/>
      <c r="CZ598" s="30"/>
      <c r="DA598" s="30"/>
      <c r="DB598" s="30"/>
      <c r="DC598" s="30"/>
      <c r="DD598" s="30"/>
      <c r="DE598" s="30"/>
      <c r="DF598" s="30"/>
      <c r="DG598" s="30"/>
      <c r="DH598" s="30"/>
      <c r="DI598" s="30"/>
      <c r="DJ598" s="30"/>
      <c r="DK598" s="30"/>
      <c r="DL598" s="30"/>
      <c r="DM598" s="30"/>
      <c r="DN598" s="30"/>
      <c r="DO598" s="30"/>
      <c r="DP598" s="30"/>
      <c r="DQ598" s="30"/>
      <c r="DR598" s="30"/>
      <c r="DS598" s="30"/>
      <c r="DT598" s="30"/>
      <c r="DU598" s="30"/>
      <c r="DV598" s="30"/>
      <c r="DW598" s="30"/>
      <c r="DX598" s="30"/>
      <c r="DY598" s="30"/>
      <c r="DZ598" s="30"/>
    </row>
    <row r="599">
      <c r="A599" s="30"/>
      <c r="B599" s="42"/>
      <c r="C599" s="43"/>
      <c r="D599" s="30"/>
      <c r="E599" s="28"/>
      <c r="F599" s="30"/>
      <c r="G599" s="30"/>
      <c r="H599" s="30"/>
      <c r="I599" s="30"/>
      <c r="J599" s="28"/>
      <c r="K599" s="30"/>
      <c r="L599" s="30"/>
      <c r="M599" s="30"/>
      <c r="N599" s="30"/>
      <c r="O599" s="28"/>
      <c r="P599" s="30"/>
      <c r="Q599" s="30"/>
      <c r="R599" s="30"/>
      <c r="S599" s="36"/>
      <c r="T599" s="30"/>
      <c r="U599" s="36"/>
      <c r="V599" s="30"/>
      <c r="W599" s="28"/>
      <c r="X599" s="30"/>
      <c r="Y599" s="30"/>
      <c r="Z599" s="30"/>
      <c r="AA599" s="30"/>
      <c r="AB599" s="30"/>
      <c r="AC599" s="28"/>
      <c r="AD599" s="30"/>
      <c r="AE599" s="30"/>
      <c r="AF599" s="30"/>
      <c r="AG599" s="29"/>
      <c r="AH599" s="30"/>
      <c r="AI599" s="36"/>
      <c r="AJ599" s="30"/>
      <c r="AK599" s="29"/>
      <c r="AL599" s="30"/>
      <c r="AM599" s="30"/>
      <c r="AN599" s="30"/>
      <c r="AO599" s="30"/>
      <c r="AP599" s="30"/>
      <c r="AQ599" s="38"/>
      <c r="AR599" s="30"/>
      <c r="AS599" s="30"/>
      <c r="AT599" s="29"/>
      <c r="AU599" s="30"/>
      <c r="AV599" s="30"/>
      <c r="AW599" s="30"/>
      <c r="AX599" s="29"/>
      <c r="AY599" s="39"/>
      <c r="AZ599" s="30"/>
      <c r="BA599" s="30"/>
      <c r="BB599" s="29"/>
      <c r="BC599" s="52"/>
      <c r="BD599" s="30"/>
      <c r="BE599" s="29"/>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c r="CB599" s="30"/>
      <c r="CC599" s="30"/>
      <c r="CD599" s="30"/>
      <c r="CE599" s="30"/>
      <c r="CF599" s="30"/>
      <c r="CG599" s="30"/>
      <c r="CH599" s="30"/>
      <c r="CI599" s="30"/>
      <c r="CJ599" s="30"/>
      <c r="CK599" s="30"/>
      <c r="CL599" s="30"/>
      <c r="CM599" s="30"/>
      <c r="CN599" s="30"/>
      <c r="CO599" s="30"/>
      <c r="CP599" s="30"/>
      <c r="CQ599" s="30"/>
      <c r="CR599" s="30"/>
      <c r="CS599" s="30"/>
      <c r="CT599" s="30"/>
      <c r="CU599" s="30"/>
      <c r="CV599" s="30"/>
      <c r="CW599" s="30"/>
      <c r="CX599" s="30"/>
      <c r="CY599" s="30"/>
      <c r="CZ599" s="30"/>
      <c r="DA599" s="30"/>
      <c r="DB599" s="30"/>
      <c r="DC599" s="30"/>
      <c r="DD599" s="30"/>
      <c r="DE599" s="30"/>
      <c r="DF599" s="30"/>
      <c r="DG599" s="30"/>
      <c r="DH599" s="30"/>
      <c r="DI599" s="30"/>
      <c r="DJ599" s="30"/>
      <c r="DK599" s="30"/>
      <c r="DL599" s="30"/>
      <c r="DM599" s="30"/>
      <c r="DN599" s="30"/>
      <c r="DO599" s="30"/>
      <c r="DP599" s="30"/>
      <c r="DQ599" s="30"/>
      <c r="DR599" s="30"/>
      <c r="DS599" s="30"/>
      <c r="DT599" s="30"/>
      <c r="DU599" s="30"/>
      <c r="DV599" s="30"/>
      <c r="DW599" s="30"/>
      <c r="DX599" s="30"/>
      <c r="DY599" s="30"/>
      <c r="DZ599" s="30"/>
    </row>
    <row r="600">
      <c r="A600" s="30"/>
      <c r="B600" s="42"/>
      <c r="C600" s="43"/>
      <c r="D600" s="30"/>
      <c r="E600" s="28"/>
      <c r="F600" s="30"/>
      <c r="G600" s="30"/>
      <c r="H600" s="30"/>
      <c r="I600" s="30"/>
      <c r="J600" s="28"/>
      <c r="K600" s="30"/>
      <c r="L600" s="30"/>
      <c r="M600" s="30"/>
      <c r="N600" s="30"/>
      <c r="O600" s="28"/>
      <c r="P600" s="30"/>
      <c r="Q600" s="30"/>
      <c r="R600" s="30"/>
      <c r="S600" s="36"/>
      <c r="T600" s="30"/>
      <c r="U600" s="36"/>
      <c r="V600" s="30"/>
      <c r="W600" s="28"/>
      <c r="X600" s="30"/>
      <c r="Y600" s="30"/>
      <c r="Z600" s="30"/>
      <c r="AA600" s="30"/>
      <c r="AB600" s="30"/>
      <c r="AC600" s="28"/>
      <c r="AD600" s="30"/>
      <c r="AE600" s="30"/>
      <c r="AF600" s="30"/>
      <c r="AG600" s="29"/>
      <c r="AH600" s="30"/>
      <c r="AI600" s="36"/>
      <c r="AJ600" s="30"/>
      <c r="AK600" s="29"/>
      <c r="AL600" s="30"/>
      <c r="AM600" s="30"/>
      <c r="AN600" s="30"/>
      <c r="AO600" s="30"/>
      <c r="AP600" s="30"/>
      <c r="AQ600" s="38"/>
      <c r="AR600" s="30"/>
      <c r="AS600" s="30"/>
      <c r="AT600" s="29"/>
      <c r="AU600" s="30"/>
      <c r="AV600" s="30"/>
      <c r="AW600" s="30"/>
      <c r="AX600" s="29"/>
      <c r="AY600" s="39"/>
      <c r="AZ600" s="30"/>
      <c r="BA600" s="30"/>
      <c r="BB600" s="29"/>
      <c r="BC600" s="52"/>
      <c r="BD600" s="30"/>
      <c r="BE600" s="29"/>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c r="CB600" s="30"/>
      <c r="CC600" s="30"/>
      <c r="CD600" s="30"/>
      <c r="CE600" s="30"/>
      <c r="CF600" s="30"/>
      <c r="CG600" s="30"/>
      <c r="CH600" s="30"/>
      <c r="CI600" s="30"/>
      <c r="CJ600" s="30"/>
      <c r="CK600" s="30"/>
      <c r="CL600" s="30"/>
      <c r="CM600" s="30"/>
      <c r="CN600" s="30"/>
      <c r="CO600" s="30"/>
      <c r="CP600" s="30"/>
      <c r="CQ600" s="30"/>
      <c r="CR600" s="30"/>
      <c r="CS600" s="30"/>
      <c r="CT600" s="30"/>
      <c r="CU600" s="30"/>
      <c r="CV600" s="30"/>
      <c r="CW600" s="30"/>
      <c r="CX600" s="30"/>
      <c r="CY600" s="30"/>
      <c r="CZ600" s="30"/>
      <c r="DA600" s="30"/>
      <c r="DB600" s="30"/>
      <c r="DC600" s="30"/>
      <c r="DD600" s="30"/>
      <c r="DE600" s="30"/>
      <c r="DF600" s="30"/>
      <c r="DG600" s="30"/>
      <c r="DH600" s="30"/>
      <c r="DI600" s="30"/>
      <c r="DJ600" s="30"/>
      <c r="DK600" s="30"/>
      <c r="DL600" s="30"/>
      <c r="DM600" s="30"/>
      <c r="DN600" s="30"/>
      <c r="DO600" s="30"/>
      <c r="DP600" s="30"/>
      <c r="DQ600" s="30"/>
      <c r="DR600" s="30"/>
      <c r="DS600" s="30"/>
      <c r="DT600" s="30"/>
      <c r="DU600" s="30"/>
      <c r="DV600" s="30"/>
      <c r="DW600" s="30"/>
      <c r="DX600" s="30"/>
      <c r="DY600" s="30"/>
      <c r="DZ600" s="30"/>
    </row>
    <row r="601">
      <c r="A601" s="30"/>
      <c r="B601" s="42"/>
      <c r="C601" s="43"/>
      <c r="D601" s="30"/>
      <c r="E601" s="28"/>
      <c r="F601" s="30"/>
      <c r="G601" s="30"/>
      <c r="H601" s="30"/>
      <c r="I601" s="30"/>
      <c r="J601" s="28"/>
      <c r="K601" s="30"/>
      <c r="L601" s="30"/>
      <c r="M601" s="30"/>
      <c r="N601" s="30"/>
      <c r="O601" s="28"/>
      <c r="P601" s="30"/>
      <c r="Q601" s="30"/>
      <c r="R601" s="30"/>
      <c r="S601" s="36"/>
      <c r="T601" s="30"/>
      <c r="U601" s="36"/>
      <c r="V601" s="30"/>
      <c r="W601" s="28"/>
      <c r="X601" s="30"/>
      <c r="Y601" s="30"/>
      <c r="Z601" s="30"/>
      <c r="AA601" s="30"/>
      <c r="AB601" s="30"/>
      <c r="AC601" s="28"/>
      <c r="AD601" s="30"/>
      <c r="AE601" s="30"/>
      <c r="AF601" s="30"/>
      <c r="AG601" s="29"/>
      <c r="AH601" s="30"/>
      <c r="AI601" s="36"/>
      <c r="AJ601" s="30"/>
      <c r="AK601" s="29"/>
      <c r="AL601" s="30"/>
      <c r="AM601" s="30"/>
      <c r="AN601" s="30"/>
      <c r="AO601" s="30"/>
      <c r="AP601" s="30"/>
      <c r="AQ601" s="38"/>
      <c r="AR601" s="30"/>
      <c r="AS601" s="30"/>
      <c r="AT601" s="29"/>
      <c r="AU601" s="30"/>
      <c r="AV601" s="30"/>
      <c r="AW601" s="30"/>
      <c r="AX601" s="29"/>
      <c r="AY601" s="39"/>
      <c r="AZ601" s="30"/>
      <c r="BA601" s="30"/>
      <c r="BB601" s="29"/>
      <c r="BC601" s="52"/>
      <c r="BD601" s="30"/>
      <c r="BE601" s="29"/>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c r="CB601" s="30"/>
      <c r="CC601" s="30"/>
      <c r="CD601" s="30"/>
      <c r="CE601" s="30"/>
      <c r="CF601" s="30"/>
      <c r="CG601" s="30"/>
      <c r="CH601" s="30"/>
      <c r="CI601" s="30"/>
      <c r="CJ601" s="30"/>
      <c r="CK601" s="30"/>
      <c r="CL601" s="30"/>
      <c r="CM601" s="30"/>
      <c r="CN601" s="30"/>
      <c r="CO601" s="30"/>
      <c r="CP601" s="30"/>
      <c r="CQ601" s="30"/>
      <c r="CR601" s="30"/>
      <c r="CS601" s="30"/>
      <c r="CT601" s="30"/>
      <c r="CU601" s="30"/>
      <c r="CV601" s="30"/>
      <c r="CW601" s="30"/>
      <c r="CX601" s="30"/>
      <c r="CY601" s="30"/>
      <c r="CZ601" s="30"/>
      <c r="DA601" s="30"/>
      <c r="DB601" s="30"/>
      <c r="DC601" s="30"/>
      <c r="DD601" s="30"/>
      <c r="DE601" s="30"/>
      <c r="DF601" s="30"/>
      <c r="DG601" s="30"/>
      <c r="DH601" s="30"/>
      <c r="DI601" s="30"/>
      <c r="DJ601" s="30"/>
      <c r="DK601" s="30"/>
      <c r="DL601" s="30"/>
      <c r="DM601" s="30"/>
      <c r="DN601" s="30"/>
      <c r="DO601" s="30"/>
      <c r="DP601" s="30"/>
      <c r="DQ601" s="30"/>
      <c r="DR601" s="30"/>
      <c r="DS601" s="30"/>
      <c r="DT601" s="30"/>
      <c r="DU601" s="30"/>
      <c r="DV601" s="30"/>
      <c r="DW601" s="30"/>
      <c r="DX601" s="30"/>
      <c r="DY601" s="30"/>
      <c r="DZ601" s="30"/>
    </row>
    <row r="602">
      <c r="A602" s="30"/>
      <c r="B602" s="42"/>
      <c r="C602" s="43"/>
      <c r="D602" s="30"/>
      <c r="E602" s="28"/>
      <c r="F602" s="30"/>
      <c r="G602" s="30"/>
      <c r="H602" s="30"/>
      <c r="I602" s="30"/>
      <c r="J602" s="28"/>
      <c r="K602" s="30"/>
      <c r="L602" s="30"/>
      <c r="M602" s="30"/>
      <c r="N602" s="30"/>
      <c r="O602" s="28"/>
      <c r="P602" s="30"/>
      <c r="Q602" s="30"/>
      <c r="R602" s="30"/>
      <c r="S602" s="36"/>
      <c r="T602" s="30"/>
      <c r="U602" s="36"/>
      <c r="V602" s="30"/>
      <c r="W602" s="28"/>
      <c r="X602" s="30"/>
      <c r="Y602" s="30"/>
      <c r="Z602" s="30"/>
      <c r="AA602" s="30"/>
      <c r="AB602" s="30"/>
      <c r="AC602" s="28"/>
      <c r="AD602" s="30"/>
      <c r="AE602" s="30"/>
      <c r="AF602" s="30"/>
      <c r="AG602" s="29"/>
      <c r="AH602" s="30"/>
      <c r="AI602" s="36"/>
      <c r="AJ602" s="30"/>
      <c r="AK602" s="29"/>
      <c r="AL602" s="30"/>
      <c r="AM602" s="30"/>
      <c r="AN602" s="30"/>
      <c r="AO602" s="30"/>
      <c r="AP602" s="30"/>
      <c r="AQ602" s="38"/>
      <c r="AR602" s="30"/>
      <c r="AS602" s="30"/>
      <c r="AT602" s="29"/>
      <c r="AU602" s="30"/>
      <c r="AV602" s="30"/>
      <c r="AW602" s="30"/>
      <c r="AX602" s="29"/>
      <c r="AY602" s="39"/>
      <c r="AZ602" s="30"/>
      <c r="BA602" s="30"/>
      <c r="BB602" s="29"/>
      <c r="BC602" s="52"/>
      <c r="BD602" s="30"/>
      <c r="BE602" s="29"/>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row>
    <row r="603">
      <c r="A603" s="30"/>
      <c r="B603" s="42"/>
      <c r="C603" s="43"/>
      <c r="D603" s="30"/>
      <c r="E603" s="28"/>
      <c r="F603" s="30"/>
      <c r="G603" s="30"/>
      <c r="H603" s="30"/>
      <c r="I603" s="30"/>
      <c r="J603" s="28"/>
      <c r="K603" s="30"/>
      <c r="L603" s="30"/>
      <c r="M603" s="30"/>
      <c r="N603" s="30"/>
      <c r="O603" s="28"/>
      <c r="P603" s="30"/>
      <c r="Q603" s="30"/>
      <c r="R603" s="30"/>
      <c r="S603" s="36"/>
      <c r="T603" s="30"/>
      <c r="U603" s="36"/>
      <c r="V603" s="30"/>
      <c r="W603" s="28"/>
      <c r="X603" s="30"/>
      <c r="Y603" s="30"/>
      <c r="Z603" s="30"/>
      <c r="AA603" s="30"/>
      <c r="AB603" s="30"/>
      <c r="AC603" s="28"/>
      <c r="AD603" s="30"/>
      <c r="AE603" s="30"/>
      <c r="AF603" s="30"/>
      <c r="AG603" s="29"/>
      <c r="AH603" s="30"/>
      <c r="AI603" s="36"/>
      <c r="AJ603" s="30"/>
      <c r="AK603" s="29"/>
      <c r="AL603" s="30"/>
      <c r="AM603" s="30"/>
      <c r="AN603" s="30"/>
      <c r="AO603" s="30"/>
      <c r="AP603" s="30"/>
      <c r="AQ603" s="38"/>
      <c r="AR603" s="30"/>
      <c r="AS603" s="30"/>
      <c r="AT603" s="29"/>
      <c r="AU603" s="30"/>
      <c r="AV603" s="30"/>
      <c r="AW603" s="30"/>
      <c r="AX603" s="29"/>
      <c r="AY603" s="39"/>
      <c r="AZ603" s="30"/>
      <c r="BA603" s="30"/>
      <c r="BB603" s="29"/>
      <c r="BC603" s="52"/>
      <c r="BD603" s="30"/>
      <c r="BE603" s="29"/>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c r="CB603" s="30"/>
      <c r="CC603" s="30"/>
      <c r="CD603" s="30"/>
      <c r="CE603" s="30"/>
      <c r="CF603" s="30"/>
      <c r="CG603" s="30"/>
      <c r="CH603" s="30"/>
      <c r="CI603" s="30"/>
      <c r="CJ603" s="30"/>
      <c r="CK603" s="30"/>
      <c r="CL603" s="30"/>
      <c r="CM603" s="30"/>
      <c r="CN603" s="30"/>
      <c r="CO603" s="30"/>
      <c r="CP603" s="30"/>
      <c r="CQ603" s="30"/>
      <c r="CR603" s="30"/>
      <c r="CS603" s="30"/>
      <c r="CT603" s="30"/>
      <c r="CU603" s="30"/>
      <c r="CV603" s="30"/>
      <c r="CW603" s="30"/>
      <c r="CX603" s="30"/>
      <c r="CY603" s="30"/>
      <c r="CZ603" s="30"/>
      <c r="DA603" s="30"/>
      <c r="DB603" s="30"/>
      <c r="DC603" s="30"/>
      <c r="DD603" s="30"/>
      <c r="DE603" s="30"/>
      <c r="DF603" s="30"/>
      <c r="DG603" s="30"/>
      <c r="DH603" s="30"/>
      <c r="DI603" s="30"/>
      <c r="DJ603" s="30"/>
      <c r="DK603" s="30"/>
      <c r="DL603" s="30"/>
      <c r="DM603" s="30"/>
      <c r="DN603" s="30"/>
      <c r="DO603" s="30"/>
      <c r="DP603" s="30"/>
      <c r="DQ603" s="30"/>
      <c r="DR603" s="30"/>
      <c r="DS603" s="30"/>
      <c r="DT603" s="30"/>
      <c r="DU603" s="30"/>
      <c r="DV603" s="30"/>
      <c r="DW603" s="30"/>
      <c r="DX603" s="30"/>
      <c r="DY603" s="30"/>
      <c r="DZ603" s="30"/>
    </row>
    <row r="604">
      <c r="A604" s="30"/>
      <c r="B604" s="42"/>
      <c r="C604" s="43"/>
      <c r="D604" s="30"/>
      <c r="E604" s="28"/>
      <c r="F604" s="30"/>
      <c r="G604" s="30"/>
      <c r="H604" s="30"/>
      <c r="I604" s="30"/>
      <c r="J604" s="28"/>
      <c r="K604" s="30"/>
      <c r="L604" s="30"/>
      <c r="M604" s="30"/>
      <c r="N604" s="30"/>
      <c r="O604" s="28"/>
      <c r="P604" s="30"/>
      <c r="Q604" s="30"/>
      <c r="R604" s="30"/>
      <c r="S604" s="36"/>
      <c r="T604" s="30"/>
      <c r="U604" s="36"/>
      <c r="V604" s="30"/>
      <c r="W604" s="28"/>
      <c r="X604" s="30"/>
      <c r="Y604" s="30"/>
      <c r="Z604" s="30"/>
      <c r="AA604" s="30"/>
      <c r="AB604" s="30"/>
      <c r="AC604" s="28"/>
      <c r="AD604" s="30"/>
      <c r="AE604" s="30"/>
      <c r="AF604" s="30"/>
      <c r="AG604" s="29"/>
      <c r="AH604" s="30"/>
      <c r="AI604" s="36"/>
      <c r="AJ604" s="30"/>
      <c r="AK604" s="29"/>
      <c r="AL604" s="30"/>
      <c r="AM604" s="30"/>
      <c r="AN604" s="30"/>
      <c r="AO604" s="30"/>
      <c r="AP604" s="30"/>
      <c r="AQ604" s="38"/>
      <c r="AR604" s="30"/>
      <c r="AS604" s="30"/>
      <c r="AT604" s="29"/>
      <c r="AU604" s="30"/>
      <c r="AV604" s="30"/>
      <c r="AW604" s="30"/>
      <c r="AX604" s="29"/>
      <c r="AY604" s="39"/>
      <c r="AZ604" s="30"/>
      <c r="BA604" s="30"/>
      <c r="BB604" s="29"/>
      <c r="BC604" s="52"/>
      <c r="BD604" s="30"/>
      <c r="BE604" s="29"/>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c r="CB604" s="30"/>
      <c r="CC604" s="30"/>
      <c r="CD604" s="30"/>
      <c r="CE604" s="30"/>
      <c r="CF604" s="30"/>
      <c r="CG604" s="30"/>
      <c r="CH604" s="30"/>
      <c r="CI604" s="30"/>
      <c r="CJ604" s="30"/>
      <c r="CK604" s="30"/>
      <c r="CL604" s="30"/>
      <c r="CM604" s="30"/>
      <c r="CN604" s="30"/>
      <c r="CO604" s="30"/>
      <c r="CP604" s="30"/>
      <c r="CQ604" s="30"/>
      <c r="CR604" s="30"/>
      <c r="CS604" s="30"/>
      <c r="CT604" s="30"/>
      <c r="CU604" s="30"/>
      <c r="CV604" s="30"/>
      <c r="CW604" s="30"/>
      <c r="CX604" s="30"/>
      <c r="CY604" s="30"/>
      <c r="CZ604" s="30"/>
      <c r="DA604" s="30"/>
      <c r="DB604" s="30"/>
      <c r="DC604" s="30"/>
      <c r="DD604" s="30"/>
      <c r="DE604" s="30"/>
      <c r="DF604" s="30"/>
      <c r="DG604" s="30"/>
      <c r="DH604" s="30"/>
      <c r="DI604" s="30"/>
      <c r="DJ604" s="30"/>
      <c r="DK604" s="30"/>
      <c r="DL604" s="30"/>
      <c r="DM604" s="30"/>
      <c r="DN604" s="30"/>
      <c r="DO604" s="30"/>
      <c r="DP604" s="30"/>
      <c r="DQ604" s="30"/>
      <c r="DR604" s="30"/>
      <c r="DS604" s="30"/>
      <c r="DT604" s="30"/>
      <c r="DU604" s="30"/>
      <c r="DV604" s="30"/>
      <c r="DW604" s="30"/>
      <c r="DX604" s="30"/>
      <c r="DY604" s="30"/>
      <c r="DZ604" s="30"/>
    </row>
    <row r="605">
      <c r="A605" s="30"/>
      <c r="B605" s="42"/>
      <c r="C605" s="43"/>
      <c r="D605" s="30"/>
      <c r="E605" s="28"/>
      <c r="F605" s="30"/>
      <c r="G605" s="30"/>
      <c r="H605" s="30"/>
      <c r="I605" s="30"/>
      <c r="J605" s="28"/>
      <c r="K605" s="30"/>
      <c r="L605" s="30"/>
      <c r="M605" s="30"/>
      <c r="N605" s="30"/>
      <c r="O605" s="28"/>
      <c r="P605" s="30"/>
      <c r="Q605" s="30"/>
      <c r="R605" s="30"/>
      <c r="S605" s="36"/>
      <c r="T605" s="30"/>
      <c r="U605" s="36"/>
      <c r="V605" s="30"/>
      <c r="W605" s="28"/>
      <c r="X605" s="30"/>
      <c r="Y605" s="30"/>
      <c r="Z605" s="30"/>
      <c r="AA605" s="30"/>
      <c r="AB605" s="30"/>
      <c r="AC605" s="28"/>
      <c r="AD605" s="30"/>
      <c r="AE605" s="30"/>
      <c r="AF605" s="30"/>
      <c r="AG605" s="29"/>
      <c r="AH605" s="30"/>
      <c r="AI605" s="36"/>
      <c r="AJ605" s="30"/>
      <c r="AK605" s="29"/>
      <c r="AL605" s="30"/>
      <c r="AM605" s="30"/>
      <c r="AN605" s="30"/>
      <c r="AO605" s="30"/>
      <c r="AP605" s="30"/>
      <c r="AQ605" s="38"/>
      <c r="AR605" s="30"/>
      <c r="AS605" s="30"/>
      <c r="AT605" s="29"/>
      <c r="AU605" s="30"/>
      <c r="AV605" s="30"/>
      <c r="AW605" s="30"/>
      <c r="AX605" s="29"/>
      <c r="AY605" s="39"/>
      <c r="AZ605" s="30"/>
      <c r="BA605" s="30"/>
      <c r="BB605" s="29"/>
      <c r="BC605" s="52"/>
      <c r="BD605" s="30"/>
      <c r="BE605" s="29"/>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c r="CB605" s="30"/>
      <c r="CC605" s="30"/>
      <c r="CD605" s="30"/>
      <c r="CE605" s="30"/>
      <c r="CF605" s="30"/>
      <c r="CG605" s="30"/>
      <c r="CH605" s="30"/>
      <c r="CI605" s="30"/>
      <c r="CJ605" s="30"/>
      <c r="CK605" s="30"/>
      <c r="CL605" s="30"/>
      <c r="CM605" s="30"/>
      <c r="CN605" s="30"/>
      <c r="CO605" s="30"/>
      <c r="CP605" s="30"/>
      <c r="CQ605" s="30"/>
      <c r="CR605" s="30"/>
      <c r="CS605" s="30"/>
      <c r="CT605" s="30"/>
      <c r="CU605" s="30"/>
      <c r="CV605" s="30"/>
      <c r="CW605" s="30"/>
      <c r="CX605" s="30"/>
      <c r="CY605" s="30"/>
      <c r="CZ605" s="30"/>
      <c r="DA605" s="30"/>
      <c r="DB605" s="30"/>
      <c r="DC605" s="30"/>
      <c r="DD605" s="30"/>
      <c r="DE605" s="30"/>
      <c r="DF605" s="30"/>
      <c r="DG605" s="30"/>
      <c r="DH605" s="30"/>
      <c r="DI605" s="30"/>
      <c r="DJ605" s="30"/>
      <c r="DK605" s="30"/>
      <c r="DL605" s="30"/>
      <c r="DM605" s="30"/>
      <c r="DN605" s="30"/>
      <c r="DO605" s="30"/>
      <c r="DP605" s="30"/>
      <c r="DQ605" s="30"/>
      <c r="DR605" s="30"/>
      <c r="DS605" s="30"/>
      <c r="DT605" s="30"/>
      <c r="DU605" s="30"/>
      <c r="DV605" s="30"/>
      <c r="DW605" s="30"/>
      <c r="DX605" s="30"/>
      <c r="DY605" s="30"/>
      <c r="DZ605" s="30"/>
    </row>
    <row r="606">
      <c r="A606" s="30"/>
      <c r="B606" s="42"/>
      <c r="C606" s="43"/>
      <c r="D606" s="30"/>
      <c r="E606" s="28"/>
      <c r="F606" s="30"/>
      <c r="G606" s="30"/>
      <c r="H606" s="30"/>
      <c r="I606" s="30"/>
      <c r="J606" s="28"/>
      <c r="K606" s="30"/>
      <c r="L606" s="30"/>
      <c r="M606" s="30"/>
      <c r="N606" s="30"/>
      <c r="O606" s="28"/>
      <c r="P606" s="30"/>
      <c r="Q606" s="30"/>
      <c r="R606" s="30"/>
      <c r="S606" s="36"/>
      <c r="T606" s="30"/>
      <c r="U606" s="36"/>
      <c r="V606" s="30"/>
      <c r="W606" s="28"/>
      <c r="X606" s="30"/>
      <c r="Y606" s="30"/>
      <c r="Z606" s="30"/>
      <c r="AA606" s="30"/>
      <c r="AB606" s="30"/>
      <c r="AC606" s="28"/>
      <c r="AD606" s="30"/>
      <c r="AE606" s="30"/>
      <c r="AF606" s="30"/>
      <c r="AG606" s="29"/>
      <c r="AH606" s="30"/>
      <c r="AI606" s="36"/>
      <c r="AJ606" s="30"/>
      <c r="AK606" s="29"/>
      <c r="AL606" s="30"/>
      <c r="AM606" s="30"/>
      <c r="AN606" s="30"/>
      <c r="AO606" s="30"/>
      <c r="AP606" s="30"/>
      <c r="AQ606" s="38"/>
      <c r="AR606" s="30"/>
      <c r="AS606" s="30"/>
      <c r="AT606" s="29"/>
      <c r="AU606" s="30"/>
      <c r="AV606" s="30"/>
      <c r="AW606" s="30"/>
      <c r="AX606" s="29"/>
      <c r="AY606" s="39"/>
      <c r="AZ606" s="30"/>
      <c r="BA606" s="30"/>
      <c r="BB606" s="29"/>
      <c r="BC606" s="52"/>
      <c r="BD606" s="30"/>
      <c r="BE606" s="29"/>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c r="CB606" s="30"/>
      <c r="CC606" s="30"/>
      <c r="CD606" s="30"/>
      <c r="CE606" s="30"/>
      <c r="CF606" s="30"/>
      <c r="CG606" s="30"/>
      <c r="CH606" s="30"/>
      <c r="CI606" s="30"/>
      <c r="CJ606" s="30"/>
      <c r="CK606" s="30"/>
      <c r="CL606" s="30"/>
      <c r="CM606" s="30"/>
      <c r="CN606" s="30"/>
      <c r="CO606" s="30"/>
      <c r="CP606" s="30"/>
      <c r="CQ606" s="30"/>
      <c r="CR606" s="30"/>
      <c r="CS606" s="30"/>
      <c r="CT606" s="30"/>
      <c r="CU606" s="30"/>
      <c r="CV606" s="30"/>
      <c r="CW606" s="30"/>
      <c r="CX606" s="30"/>
      <c r="CY606" s="30"/>
      <c r="CZ606" s="30"/>
      <c r="DA606" s="30"/>
      <c r="DB606" s="30"/>
      <c r="DC606" s="30"/>
      <c r="DD606" s="30"/>
      <c r="DE606" s="30"/>
      <c r="DF606" s="30"/>
      <c r="DG606" s="30"/>
      <c r="DH606" s="30"/>
      <c r="DI606" s="30"/>
      <c r="DJ606" s="30"/>
      <c r="DK606" s="30"/>
      <c r="DL606" s="30"/>
      <c r="DM606" s="30"/>
      <c r="DN606" s="30"/>
      <c r="DO606" s="30"/>
      <c r="DP606" s="30"/>
      <c r="DQ606" s="30"/>
      <c r="DR606" s="30"/>
      <c r="DS606" s="30"/>
      <c r="DT606" s="30"/>
      <c r="DU606" s="30"/>
      <c r="DV606" s="30"/>
      <c r="DW606" s="30"/>
      <c r="DX606" s="30"/>
      <c r="DY606" s="30"/>
      <c r="DZ606" s="30"/>
    </row>
    <row r="607">
      <c r="A607" s="30"/>
      <c r="B607" s="42"/>
      <c r="C607" s="43"/>
      <c r="D607" s="30"/>
      <c r="E607" s="28"/>
      <c r="F607" s="30"/>
      <c r="G607" s="30"/>
      <c r="H607" s="30"/>
      <c r="I607" s="30"/>
      <c r="J607" s="28"/>
      <c r="K607" s="30"/>
      <c r="L607" s="30"/>
      <c r="M607" s="30"/>
      <c r="N607" s="30"/>
      <c r="O607" s="28"/>
      <c r="P607" s="30"/>
      <c r="Q607" s="30"/>
      <c r="R607" s="30"/>
      <c r="S607" s="36"/>
      <c r="T607" s="30"/>
      <c r="U607" s="36"/>
      <c r="V607" s="30"/>
      <c r="W607" s="28"/>
      <c r="X607" s="30"/>
      <c r="Y607" s="30"/>
      <c r="Z607" s="30"/>
      <c r="AA607" s="30"/>
      <c r="AB607" s="30"/>
      <c r="AC607" s="28"/>
      <c r="AD607" s="30"/>
      <c r="AE607" s="30"/>
      <c r="AF607" s="30"/>
      <c r="AG607" s="29"/>
      <c r="AH607" s="30"/>
      <c r="AI607" s="36"/>
      <c r="AJ607" s="30"/>
      <c r="AK607" s="29"/>
      <c r="AL607" s="30"/>
      <c r="AM607" s="30"/>
      <c r="AN607" s="30"/>
      <c r="AO607" s="30"/>
      <c r="AP607" s="30"/>
      <c r="AQ607" s="38"/>
      <c r="AR607" s="30"/>
      <c r="AS607" s="30"/>
      <c r="AT607" s="29"/>
      <c r="AU607" s="30"/>
      <c r="AV607" s="30"/>
      <c r="AW607" s="30"/>
      <c r="AX607" s="29"/>
      <c r="AY607" s="39"/>
      <c r="AZ607" s="30"/>
      <c r="BA607" s="30"/>
      <c r="BB607" s="29"/>
      <c r="BC607" s="52"/>
      <c r="BD607" s="30"/>
      <c r="BE607" s="29"/>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c r="CB607" s="30"/>
      <c r="CC607" s="30"/>
      <c r="CD607" s="30"/>
      <c r="CE607" s="30"/>
      <c r="CF607" s="30"/>
      <c r="CG607" s="30"/>
      <c r="CH607" s="30"/>
      <c r="CI607" s="30"/>
      <c r="CJ607" s="30"/>
      <c r="CK607" s="30"/>
      <c r="CL607" s="30"/>
      <c r="CM607" s="30"/>
      <c r="CN607" s="30"/>
      <c r="CO607" s="30"/>
      <c r="CP607" s="30"/>
      <c r="CQ607" s="30"/>
      <c r="CR607" s="30"/>
      <c r="CS607" s="30"/>
      <c r="CT607" s="30"/>
      <c r="CU607" s="30"/>
      <c r="CV607" s="30"/>
      <c r="CW607" s="30"/>
      <c r="CX607" s="30"/>
      <c r="CY607" s="30"/>
      <c r="CZ607" s="30"/>
      <c r="DA607" s="30"/>
      <c r="DB607" s="30"/>
      <c r="DC607" s="30"/>
      <c r="DD607" s="30"/>
      <c r="DE607" s="30"/>
      <c r="DF607" s="30"/>
      <c r="DG607" s="30"/>
      <c r="DH607" s="30"/>
      <c r="DI607" s="30"/>
      <c r="DJ607" s="30"/>
      <c r="DK607" s="30"/>
      <c r="DL607" s="30"/>
      <c r="DM607" s="30"/>
      <c r="DN607" s="30"/>
      <c r="DO607" s="30"/>
      <c r="DP607" s="30"/>
      <c r="DQ607" s="30"/>
      <c r="DR607" s="30"/>
      <c r="DS607" s="30"/>
      <c r="DT607" s="30"/>
      <c r="DU607" s="30"/>
      <c r="DV607" s="30"/>
      <c r="DW607" s="30"/>
      <c r="DX607" s="30"/>
      <c r="DY607" s="30"/>
      <c r="DZ607" s="30"/>
    </row>
    <row r="608">
      <c r="A608" s="30"/>
      <c r="B608" s="42"/>
      <c r="C608" s="43"/>
      <c r="D608" s="30"/>
      <c r="E608" s="28"/>
      <c r="F608" s="30"/>
      <c r="G608" s="30"/>
      <c r="H608" s="30"/>
      <c r="I608" s="30"/>
      <c r="J608" s="28"/>
      <c r="K608" s="30"/>
      <c r="L608" s="30"/>
      <c r="M608" s="30"/>
      <c r="N608" s="30"/>
      <c r="O608" s="28"/>
      <c r="P608" s="30"/>
      <c r="Q608" s="30"/>
      <c r="R608" s="30"/>
      <c r="S608" s="36"/>
      <c r="T608" s="30"/>
      <c r="U608" s="36"/>
      <c r="V608" s="30"/>
      <c r="W608" s="28"/>
      <c r="X608" s="30"/>
      <c r="Y608" s="30"/>
      <c r="Z608" s="30"/>
      <c r="AA608" s="30"/>
      <c r="AB608" s="30"/>
      <c r="AC608" s="28"/>
      <c r="AD608" s="30"/>
      <c r="AE608" s="30"/>
      <c r="AF608" s="30"/>
      <c r="AG608" s="29"/>
      <c r="AH608" s="30"/>
      <c r="AI608" s="36"/>
      <c r="AJ608" s="30"/>
      <c r="AK608" s="29"/>
      <c r="AL608" s="30"/>
      <c r="AM608" s="30"/>
      <c r="AN608" s="30"/>
      <c r="AO608" s="30"/>
      <c r="AP608" s="30"/>
      <c r="AQ608" s="38"/>
      <c r="AR608" s="30"/>
      <c r="AS608" s="30"/>
      <c r="AT608" s="29"/>
      <c r="AU608" s="30"/>
      <c r="AV608" s="30"/>
      <c r="AW608" s="30"/>
      <c r="AX608" s="29"/>
      <c r="AY608" s="39"/>
      <c r="AZ608" s="30"/>
      <c r="BA608" s="30"/>
      <c r="BB608" s="29"/>
      <c r="BC608" s="52"/>
      <c r="BD608" s="30"/>
      <c r="BE608" s="29"/>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row>
    <row r="609">
      <c r="A609" s="30"/>
      <c r="B609" s="42"/>
      <c r="C609" s="43"/>
      <c r="D609" s="30"/>
      <c r="E609" s="28"/>
      <c r="F609" s="30"/>
      <c r="G609" s="30"/>
      <c r="H609" s="30"/>
      <c r="I609" s="30"/>
      <c r="J609" s="28"/>
      <c r="K609" s="30"/>
      <c r="L609" s="30"/>
      <c r="M609" s="30"/>
      <c r="N609" s="30"/>
      <c r="O609" s="28"/>
      <c r="P609" s="30"/>
      <c r="Q609" s="30"/>
      <c r="R609" s="30"/>
      <c r="S609" s="36"/>
      <c r="T609" s="30"/>
      <c r="U609" s="36"/>
      <c r="V609" s="30"/>
      <c r="W609" s="28"/>
      <c r="X609" s="30"/>
      <c r="Y609" s="30"/>
      <c r="Z609" s="30"/>
      <c r="AA609" s="30"/>
      <c r="AB609" s="30"/>
      <c r="AC609" s="28"/>
      <c r="AD609" s="30"/>
      <c r="AE609" s="30"/>
      <c r="AF609" s="30"/>
      <c r="AG609" s="29"/>
      <c r="AH609" s="30"/>
      <c r="AI609" s="36"/>
      <c r="AJ609" s="30"/>
      <c r="AK609" s="29"/>
      <c r="AL609" s="30"/>
      <c r="AM609" s="30"/>
      <c r="AN609" s="30"/>
      <c r="AO609" s="30"/>
      <c r="AP609" s="30"/>
      <c r="AQ609" s="38"/>
      <c r="AR609" s="30"/>
      <c r="AS609" s="30"/>
      <c r="AT609" s="29"/>
      <c r="AU609" s="30"/>
      <c r="AV609" s="30"/>
      <c r="AW609" s="30"/>
      <c r="AX609" s="29"/>
      <c r="AY609" s="39"/>
      <c r="AZ609" s="30"/>
      <c r="BA609" s="30"/>
      <c r="BB609" s="29"/>
      <c r="BC609" s="52"/>
      <c r="BD609" s="30"/>
      <c r="BE609" s="29"/>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c r="CB609" s="30"/>
      <c r="CC609" s="30"/>
      <c r="CD609" s="30"/>
      <c r="CE609" s="30"/>
      <c r="CF609" s="30"/>
      <c r="CG609" s="30"/>
      <c r="CH609" s="30"/>
      <c r="CI609" s="30"/>
      <c r="CJ609" s="30"/>
      <c r="CK609" s="30"/>
      <c r="CL609" s="30"/>
      <c r="CM609" s="30"/>
      <c r="CN609" s="30"/>
      <c r="CO609" s="30"/>
      <c r="CP609" s="30"/>
      <c r="CQ609" s="30"/>
      <c r="CR609" s="30"/>
      <c r="CS609" s="30"/>
      <c r="CT609" s="30"/>
      <c r="CU609" s="30"/>
      <c r="CV609" s="30"/>
      <c r="CW609" s="30"/>
      <c r="CX609" s="30"/>
      <c r="CY609" s="30"/>
      <c r="CZ609" s="30"/>
      <c r="DA609" s="30"/>
      <c r="DB609" s="30"/>
      <c r="DC609" s="30"/>
      <c r="DD609" s="30"/>
      <c r="DE609" s="30"/>
      <c r="DF609" s="30"/>
      <c r="DG609" s="30"/>
      <c r="DH609" s="30"/>
      <c r="DI609" s="30"/>
      <c r="DJ609" s="30"/>
      <c r="DK609" s="30"/>
      <c r="DL609" s="30"/>
      <c r="DM609" s="30"/>
      <c r="DN609" s="30"/>
      <c r="DO609" s="30"/>
      <c r="DP609" s="30"/>
      <c r="DQ609" s="30"/>
      <c r="DR609" s="30"/>
      <c r="DS609" s="30"/>
      <c r="DT609" s="30"/>
      <c r="DU609" s="30"/>
      <c r="DV609" s="30"/>
      <c r="DW609" s="30"/>
      <c r="DX609" s="30"/>
      <c r="DY609" s="30"/>
      <c r="DZ609" s="30"/>
    </row>
    <row r="610">
      <c r="A610" s="30"/>
      <c r="B610" s="42"/>
      <c r="C610" s="43"/>
      <c r="D610" s="30"/>
      <c r="E610" s="28"/>
      <c r="F610" s="30"/>
      <c r="G610" s="30"/>
      <c r="H610" s="30"/>
      <c r="I610" s="30"/>
      <c r="J610" s="28"/>
      <c r="K610" s="30"/>
      <c r="L610" s="30"/>
      <c r="M610" s="30"/>
      <c r="N610" s="30"/>
      <c r="O610" s="28"/>
      <c r="P610" s="30"/>
      <c r="Q610" s="30"/>
      <c r="R610" s="30"/>
      <c r="S610" s="36"/>
      <c r="T610" s="30"/>
      <c r="U610" s="36"/>
      <c r="V610" s="30"/>
      <c r="W610" s="28"/>
      <c r="X610" s="30"/>
      <c r="Y610" s="30"/>
      <c r="Z610" s="30"/>
      <c r="AA610" s="30"/>
      <c r="AB610" s="30"/>
      <c r="AC610" s="28"/>
      <c r="AD610" s="30"/>
      <c r="AE610" s="30"/>
      <c r="AF610" s="30"/>
      <c r="AG610" s="29"/>
      <c r="AH610" s="30"/>
      <c r="AI610" s="36"/>
      <c r="AJ610" s="30"/>
      <c r="AK610" s="29"/>
      <c r="AL610" s="30"/>
      <c r="AM610" s="30"/>
      <c r="AN610" s="30"/>
      <c r="AO610" s="30"/>
      <c r="AP610" s="30"/>
      <c r="AQ610" s="38"/>
      <c r="AR610" s="30"/>
      <c r="AS610" s="30"/>
      <c r="AT610" s="29"/>
      <c r="AU610" s="30"/>
      <c r="AV610" s="30"/>
      <c r="AW610" s="30"/>
      <c r="AX610" s="29"/>
      <c r="AY610" s="39"/>
      <c r="AZ610" s="30"/>
      <c r="BA610" s="30"/>
      <c r="BB610" s="29"/>
      <c r="BC610" s="52"/>
      <c r="BD610" s="30"/>
      <c r="BE610" s="29"/>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c r="CB610" s="30"/>
      <c r="CC610" s="30"/>
      <c r="CD610" s="30"/>
      <c r="CE610" s="30"/>
      <c r="CF610" s="30"/>
      <c r="CG610" s="30"/>
      <c r="CH610" s="30"/>
      <c r="CI610" s="30"/>
      <c r="CJ610" s="30"/>
      <c r="CK610" s="30"/>
      <c r="CL610" s="30"/>
      <c r="CM610" s="30"/>
      <c r="CN610" s="30"/>
      <c r="CO610" s="30"/>
      <c r="CP610" s="30"/>
      <c r="CQ610" s="30"/>
      <c r="CR610" s="30"/>
      <c r="CS610" s="30"/>
      <c r="CT610" s="30"/>
      <c r="CU610" s="30"/>
      <c r="CV610" s="30"/>
      <c r="CW610" s="30"/>
      <c r="CX610" s="30"/>
      <c r="CY610" s="30"/>
      <c r="CZ610" s="30"/>
      <c r="DA610" s="30"/>
      <c r="DB610" s="30"/>
      <c r="DC610" s="30"/>
      <c r="DD610" s="30"/>
      <c r="DE610" s="30"/>
      <c r="DF610" s="30"/>
      <c r="DG610" s="30"/>
      <c r="DH610" s="30"/>
      <c r="DI610" s="30"/>
      <c r="DJ610" s="30"/>
      <c r="DK610" s="30"/>
      <c r="DL610" s="30"/>
      <c r="DM610" s="30"/>
      <c r="DN610" s="30"/>
      <c r="DO610" s="30"/>
      <c r="DP610" s="30"/>
      <c r="DQ610" s="30"/>
      <c r="DR610" s="30"/>
      <c r="DS610" s="30"/>
      <c r="DT610" s="30"/>
      <c r="DU610" s="30"/>
      <c r="DV610" s="30"/>
      <c r="DW610" s="30"/>
      <c r="DX610" s="30"/>
      <c r="DY610" s="30"/>
      <c r="DZ610" s="30"/>
    </row>
    <row r="611">
      <c r="A611" s="30"/>
      <c r="B611" s="42"/>
      <c r="C611" s="43"/>
      <c r="D611" s="30"/>
      <c r="E611" s="28"/>
      <c r="F611" s="30"/>
      <c r="G611" s="30"/>
      <c r="H611" s="30"/>
      <c r="I611" s="30"/>
      <c r="J611" s="28"/>
      <c r="K611" s="30"/>
      <c r="L611" s="30"/>
      <c r="M611" s="30"/>
      <c r="N611" s="30"/>
      <c r="O611" s="28"/>
      <c r="P611" s="30"/>
      <c r="Q611" s="30"/>
      <c r="R611" s="30"/>
      <c r="S611" s="36"/>
      <c r="T611" s="30"/>
      <c r="U611" s="36"/>
      <c r="V611" s="30"/>
      <c r="W611" s="28"/>
      <c r="X611" s="30"/>
      <c r="Y611" s="30"/>
      <c r="Z611" s="30"/>
      <c r="AA611" s="30"/>
      <c r="AB611" s="30"/>
      <c r="AC611" s="28"/>
      <c r="AD611" s="30"/>
      <c r="AE611" s="30"/>
      <c r="AF611" s="30"/>
      <c r="AG611" s="29"/>
      <c r="AH611" s="30"/>
      <c r="AI611" s="36"/>
      <c r="AJ611" s="30"/>
      <c r="AK611" s="29"/>
      <c r="AL611" s="30"/>
      <c r="AM611" s="30"/>
      <c r="AN611" s="30"/>
      <c r="AO611" s="30"/>
      <c r="AP611" s="30"/>
      <c r="AQ611" s="38"/>
      <c r="AR611" s="30"/>
      <c r="AS611" s="30"/>
      <c r="AT611" s="29"/>
      <c r="AU611" s="30"/>
      <c r="AV611" s="30"/>
      <c r="AW611" s="30"/>
      <c r="AX611" s="29"/>
      <c r="AY611" s="39"/>
      <c r="AZ611" s="30"/>
      <c r="BA611" s="30"/>
      <c r="BB611" s="29"/>
      <c r="BC611" s="52"/>
      <c r="BD611" s="30"/>
      <c r="BE611" s="29"/>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c r="CB611" s="30"/>
      <c r="CC611" s="30"/>
      <c r="CD611" s="30"/>
      <c r="CE611" s="30"/>
      <c r="CF611" s="30"/>
      <c r="CG611" s="30"/>
      <c r="CH611" s="30"/>
      <c r="CI611" s="30"/>
      <c r="CJ611" s="30"/>
      <c r="CK611" s="30"/>
      <c r="CL611" s="30"/>
      <c r="CM611" s="30"/>
      <c r="CN611" s="30"/>
      <c r="CO611" s="30"/>
      <c r="CP611" s="30"/>
      <c r="CQ611" s="30"/>
      <c r="CR611" s="30"/>
      <c r="CS611" s="30"/>
      <c r="CT611" s="30"/>
      <c r="CU611" s="30"/>
      <c r="CV611" s="30"/>
      <c r="CW611" s="30"/>
      <c r="CX611" s="30"/>
      <c r="CY611" s="30"/>
      <c r="CZ611" s="30"/>
      <c r="DA611" s="30"/>
      <c r="DB611" s="30"/>
      <c r="DC611" s="30"/>
      <c r="DD611" s="30"/>
      <c r="DE611" s="30"/>
      <c r="DF611" s="30"/>
      <c r="DG611" s="30"/>
      <c r="DH611" s="30"/>
      <c r="DI611" s="30"/>
      <c r="DJ611" s="30"/>
      <c r="DK611" s="30"/>
      <c r="DL611" s="30"/>
      <c r="DM611" s="30"/>
      <c r="DN611" s="30"/>
      <c r="DO611" s="30"/>
      <c r="DP611" s="30"/>
      <c r="DQ611" s="30"/>
      <c r="DR611" s="30"/>
      <c r="DS611" s="30"/>
      <c r="DT611" s="30"/>
      <c r="DU611" s="30"/>
      <c r="DV611" s="30"/>
      <c r="DW611" s="30"/>
      <c r="DX611" s="30"/>
      <c r="DY611" s="30"/>
      <c r="DZ611" s="30"/>
    </row>
    <row r="612">
      <c r="A612" s="30"/>
      <c r="B612" s="42"/>
      <c r="C612" s="43"/>
      <c r="D612" s="30"/>
      <c r="E612" s="28"/>
      <c r="F612" s="30"/>
      <c r="G612" s="30"/>
      <c r="H612" s="30"/>
      <c r="I612" s="30"/>
      <c r="J612" s="28"/>
      <c r="K612" s="30"/>
      <c r="L612" s="30"/>
      <c r="M612" s="30"/>
      <c r="N612" s="30"/>
      <c r="O612" s="28"/>
      <c r="P612" s="30"/>
      <c r="Q612" s="30"/>
      <c r="R612" s="30"/>
      <c r="S612" s="36"/>
      <c r="T612" s="30"/>
      <c r="U612" s="36"/>
      <c r="V612" s="30"/>
      <c r="W612" s="28"/>
      <c r="X612" s="30"/>
      <c r="Y612" s="30"/>
      <c r="Z612" s="30"/>
      <c r="AA612" s="30"/>
      <c r="AB612" s="30"/>
      <c r="AC612" s="28"/>
      <c r="AD612" s="30"/>
      <c r="AE612" s="30"/>
      <c r="AF612" s="30"/>
      <c r="AG612" s="29"/>
      <c r="AH612" s="30"/>
      <c r="AI612" s="36"/>
      <c r="AJ612" s="30"/>
      <c r="AK612" s="29"/>
      <c r="AL612" s="30"/>
      <c r="AM612" s="30"/>
      <c r="AN612" s="30"/>
      <c r="AO612" s="30"/>
      <c r="AP612" s="30"/>
      <c r="AQ612" s="38"/>
      <c r="AR612" s="30"/>
      <c r="AS612" s="30"/>
      <c r="AT612" s="29"/>
      <c r="AU612" s="30"/>
      <c r="AV612" s="30"/>
      <c r="AW612" s="30"/>
      <c r="AX612" s="29"/>
      <c r="AY612" s="39"/>
      <c r="AZ612" s="30"/>
      <c r="BA612" s="30"/>
      <c r="BB612" s="29"/>
      <c r="BC612" s="52"/>
      <c r="BD612" s="30"/>
      <c r="BE612" s="29"/>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c r="CB612" s="30"/>
      <c r="CC612" s="30"/>
      <c r="CD612" s="30"/>
      <c r="CE612" s="30"/>
      <c r="CF612" s="30"/>
      <c r="CG612" s="30"/>
      <c r="CH612" s="30"/>
      <c r="CI612" s="30"/>
      <c r="CJ612" s="30"/>
      <c r="CK612" s="30"/>
      <c r="CL612" s="30"/>
      <c r="CM612" s="30"/>
      <c r="CN612" s="30"/>
      <c r="CO612" s="30"/>
      <c r="CP612" s="30"/>
      <c r="CQ612" s="30"/>
      <c r="CR612" s="30"/>
      <c r="CS612" s="30"/>
      <c r="CT612" s="30"/>
      <c r="CU612" s="30"/>
      <c r="CV612" s="30"/>
      <c r="CW612" s="30"/>
      <c r="CX612" s="30"/>
      <c r="CY612" s="30"/>
      <c r="CZ612" s="30"/>
      <c r="DA612" s="30"/>
      <c r="DB612" s="30"/>
      <c r="DC612" s="30"/>
      <c r="DD612" s="30"/>
      <c r="DE612" s="30"/>
      <c r="DF612" s="30"/>
      <c r="DG612" s="30"/>
      <c r="DH612" s="30"/>
      <c r="DI612" s="30"/>
      <c r="DJ612" s="30"/>
      <c r="DK612" s="30"/>
      <c r="DL612" s="30"/>
      <c r="DM612" s="30"/>
      <c r="DN612" s="30"/>
      <c r="DO612" s="30"/>
      <c r="DP612" s="30"/>
      <c r="DQ612" s="30"/>
      <c r="DR612" s="30"/>
      <c r="DS612" s="30"/>
      <c r="DT612" s="30"/>
      <c r="DU612" s="30"/>
      <c r="DV612" s="30"/>
      <c r="DW612" s="30"/>
      <c r="DX612" s="30"/>
      <c r="DY612" s="30"/>
      <c r="DZ612" s="30"/>
    </row>
    <row r="613">
      <c r="A613" s="30"/>
      <c r="B613" s="42"/>
      <c r="C613" s="43"/>
      <c r="D613" s="30"/>
      <c r="E613" s="28"/>
      <c r="F613" s="30"/>
      <c r="G613" s="30"/>
      <c r="H613" s="30"/>
      <c r="I613" s="30"/>
      <c r="J613" s="28"/>
      <c r="K613" s="30"/>
      <c r="L613" s="30"/>
      <c r="M613" s="30"/>
      <c r="N613" s="30"/>
      <c r="O613" s="28"/>
      <c r="P613" s="30"/>
      <c r="Q613" s="30"/>
      <c r="R613" s="30"/>
      <c r="S613" s="36"/>
      <c r="T613" s="30"/>
      <c r="U613" s="36"/>
      <c r="V613" s="30"/>
      <c r="W613" s="28"/>
      <c r="X613" s="30"/>
      <c r="Y613" s="30"/>
      <c r="Z613" s="30"/>
      <c r="AA613" s="30"/>
      <c r="AB613" s="30"/>
      <c r="AC613" s="28"/>
      <c r="AD613" s="30"/>
      <c r="AE613" s="30"/>
      <c r="AF613" s="30"/>
      <c r="AG613" s="29"/>
      <c r="AH613" s="30"/>
      <c r="AI613" s="36"/>
      <c r="AJ613" s="30"/>
      <c r="AK613" s="29"/>
      <c r="AL613" s="30"/>
      <c r="AM613" s="30"/>
      <c r="AN613" s="30"/>
      <c r="AO613" s="30"/>
      <c r="AP613" s="30"/>
      <c r="AQ613" s="38"/>
      <c r="AR613" s="30"/>
      <c r="AS613" s="30"/>
      <c r="AT613" s="29"/>
      <c r="AU613" s="30"/>
      <c r="AV613" s="30"/>
      <c r="AW613" s="30"/>
      <c r="AX613" s="29"/>
      <c r="AY613" s="39"/>
      <c r="AZ613" s="30"/>
      <c r="BA613" s="30"/>
      <c r="BB613" s="29"/>
      <c r="BC613" s="52"/>
      <c r="BD613" s="30"/>
      <c r="BE613" s="29"/>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c r="CB613" s="30"/>
      <c r="CC613" s="30"/>
      <c r="CD613" s="30"/>
      <c r="CE613" s="30"/>
      <c r="CF613" s="30"/>
      <c r="CG613" s="30"/>
      <c r="CH613" s="30"/>
      <c r="CI613" s="30"/>
      <c r="CJ613" s="30"/>
      <c r="CK613" s="30"/>
      <c r="CL613" s="30"/>
      <c r="CM613" s="30"/>
      <c r="CN613" s="30"/>
      <c r="CO613" s="30"/>
      <c r="CP613" s="30"/>
      <c r="CQ613" s="30"/>
      <c r="CR613" s="30"/>
      <c r="CS613" s="30"/>
      <c r="CT613" s="30"/>
      <c r="CU613" s="30"/>
      <c r="CV613" s="30"/>
      <c r="CW613" s="30"/>
      <c r="CX613" s="30"/>
      <c r="CY613" s="30"/>
      <c r="CZ613" s="30"/>
      <c r="DA613" s="30"/>
      <c r="DB613" s="30"/>
      <c r="DC613" s="30"/>
      <c r="DD613" s="30"/>
      <c r="DE613" s="30"/>
      <c r="DF613" s="30"/>
      <c r="DG613" s="30"/>
      <c r="DH613" s="30"/>
      <c r="DI613" s="30"/>
      <c r="DJ613" s="30"/>
      <c r="DK613" s="30"/>
      <c r="DL613" s="30"/>
      <c r="DM613" s="30"/>
      <c r="DN613" s="30"/>
      <c r="DO613" s="30"/>
      <c r="DP613" s="30"/>
      <c r="DQ613" s="30"/>
      <c r="DR613" s="30"/>
      <c r="DS613" s="30"/>
      <c r="DT613" s="30"/>
      <c r="DU613" s="30"/>
      <c r="DV613" s="30"/>
      <c r="DW613" s="30"/>
      <c r="DX613" s="30"/>
      <c r="DY613" s="30"/>
      <c r="DZ613" s="30"/>
    </row>
    <row r="614">
      <c r="A614" s="30"/>
      <c r="B614" s="42"/>
      <c r="C614" s="43"/>
      <c r="D614" s="30"/>
      <c r="E614" s="28"/>
      <c r="F614" s="30"/>
      <c r="G614" s="30"/>
      <c r="H614" s="30"/>
      <c r="I614" s="30"/>
      <c r="J614" s="28"/>
      <c r="K614" s="30"/>
      <c r="L614" s="30"/>
      <c r="M614" s="30"/>
      <c r="N614" s="30"/>
      <c r="O614" s="28"/>
      <c r="P614" s="30"/>
      <c r="Q614" s="30"/>
      <c r="R614" s="30"/>
      <c r="S614" s="36"/>
      <c r="T614" s="30"/>
      <c r="U614" s="36"/>
      <c r="V614" s="30"/>
      <c r="W614" s="28"/>
      <c r="X614" s="30"/>
      <c r="Y614" s="30"/>
      <c r="Z614" s="30"/>
      <c r="AA614" s="30"/>
      <c r="AB614" s="30"/>
      <c r="AC614" s="28"/>
      <c r="AD614" s="30"/>
      <c r="AE614" s="30"/>
      <c r="AF614" s="30"/>
      <c r="AG614" s="29"/>
      <c r="AH614" s="30"/>
      <c r="AI614" s="36"/>
      <c r="AJ614" s="30"/>
      <c r="AK614" s="29"/>
      <c r="AL614" s="30"/>
      <c r="AM614" s="30"/>
      <c r="AN614" s="30"/>
      <c r="AO614" s="30"/>
      <c r="AP614" s="30"/>
      <c r="AQ614" s="38"/>
      <c r="AR614" s="30"/>
      <c r="AS614" s="30"/>
      <c r="AT614" s="29"/>
      <c r="AU614" s="30"/>
      <c r="AV614" s="30"/>
      <c r="AW614" s="30"/>
      <c r="AX614" s="29"/>
      <c r="AY614" s="39"/>
      <c r="AZ614" s="30"/>
      <c r="BA614" s="30"/>
      <c r="BB614" s="29"/>
      <c r="BC614" s="52"/>
      <c r="BD614" s="30"/>
      <c r="BE614" s="29"/>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row>
    <row r="615">
      <c r="A615" s="30"/>
      <c r="B615" s="42"/>
      <c r="C615" s="43"/>
      <c r="D615" s="30"/>
      <c r="E615" s="28"/>
      <c r="F615" s="30"/>
      <c r="G615" s="30"/>
      <c r="H615" s="30"/>
      <c r="I615" s="30"/>
      <c r="J615" s="28"/>
      <c r="K615" s="30"/>
      <c r="L615" s="30"/>
      <c r="M615" s="30"/>
      <c r="N615" s="30"/>
      <c r="O615" s="28"/>
      <c r="P615" s="30"/>
      <c r="Q615" s="30"/>
      <c r="R615" s="30"/>
      <c r="S615" s="36"/>
      <c r="T615" s="30"/>
      <c r="U615" s="36"/>
      <c r="V615" s="30"/>
      <c r="W615" s="28"/>
      <c r="X615" s="30"/>
      <c r="Y615" s="30"/>
      <c r="Z615" s="30"/>
      <c r="AA615" s="30"/>
      <c r="AB615" s="30"/>
      <c r="AC615" s="28"/>
      <c r="AD615" s="30"/>
      <c r="AE615" s="30"/>
      <c r="AF615" s="30"/>
      <c r="AG615" s="29"/>
      <c r="AH615" s="30"/>
      <c r="AI615" s="36"/>
      <c r="AJ615" s="30"/>
      <c r="AK615" s="29"/>
      <c r="AL615" s="30"/>
      <c r="AM615" s="30"/>
      <c r="AN615" s="30"/>
      <c r="AO615" s="30"/>
      <c r="AP615" s="30"/>
      <c r="AQ615" s="38"/>
      <c r="AR615" s="30"/>
      <c r="AS615" s="30"/>
      <c r="AT615" s="29"/>
      <c r="AU615" s="30"/>
      <c r="AV615" s="30"/>
      <c r="AW615" s="30"/>
      <c r="AX615" s="29"/>
      <c r="AY615" s="39"/>
      <c r="AZ615" s="30"/>
      <c r="BA615" s="30"/>
      <c r="BB615" s="29"/>
      <c r="BC615" s="52"/>
      <c r="BD615" s="30"/>
      <c r="BE615" s="29"/>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c r="CB615" s="30"/>
      <c r="CC615" s="30"/>
      <c r="CD615" s="30"/>
      <c r="CE615" s="30"/>
      <c r="CF615" s="30"/>
      <c r="CG615" s="30"/>
      <c r="CH615" s="30"/>
      <c r="CI615" s="30"/>
      <c r="CJ615" s="30"/>
      <c r="CK615" s="30"/>
      <c r="CL615" s="30"/>
      <c r="CM615" s="30"/>
      <c r="CN615" s="30"/>
      <c r="CO615" s="30"/>
      <c r="CP615" s="30"/>
      <c r="CQ615" s="30"/>
      <c r="CR615" s="30"/>
      <c r="CS615" s="30"/>
      <c r="CT615" s="30"/>
      <c r="CU615" s="30"/>
      <c r="CV615" s="30"/>
      <c r="CW615" s="30"/>
      <c r="CX615" s="30"/>
      <c r="CY615" s="30"/>
      <c r="CZ615" s="30"/>
      <c r="DA615" s="30"/>
      <c r="DB615" s="30"/>
      <c r="DC615" s="30"/>
      <c r="DD615" s="30"/>
      <c r="DE615" s="30"/>
      <c r="DF615" s="30"/>
      <c r="DG615" s="30"/>
      <c r="DH615" s="30"/>
      <c r="DI615" s="30"/>
      <c r="DJ615" s="30"/>
      <c r="DK615" s="30"/>
      <c r="DL615" s="30"/>
      <c r="DM615" s="30"/>
      <c r="DN615" s="30"/>
      <c r="DO615" s="30"/>
      <c r="DP615" s="30"/>
      <c r="DQ615" s="30"/>
      <c r="DR615" s="30"/>
      <c r="DS615" s="30"/>
      <c r="DT615" s="30"/>
      <c r="DU615" s="30"/>
      <c r="DV615" s="30"/>
      <c r="DW615" s="30"/>
      <c r="DX615" s="30"/>
      <c r="DY615" s="30"/>
      <c r="DZ615" s="30"/>
    </row>
    <row r="616">
      <c r="A616" s="30"/>
      <c r="B616" s="42"/>
      <c r="C616" s="43"/>
      <c r="D616" s="30"/>
      <c r="E616" s="28"/>
      <c r="F616" s="30"/>
      <c r="G616" s="30"/>
      <c r="H616" s="30"/>
      <c r="I616" s="30"/>
      <c r="J616" s="28"/>
      <c r="K616" s="30"/>
      <c r="L616" s="30"/>
      <c r="M616" s="30"/>
      <c r="N616" s="30"/>
      <c r="O616" s="28"/>
      <c r="P616" s="30"/>
      <c r="Q616" s="30"/>
      <c r="R616" s="30"/>
      <c r="S616" s="36"/>
      <c r="T616" s="30"/>
      <c r="U616" s="36"/>
      <c r="V616" s="30"/>
      <c r="W616" s="28"/>
      <c r="X616" s="30"/>
      <c r="Y616" s="30"/>
      <c r="Z616" s="30"/>
      <c r="AA616" s="30"/>
      <c r="AB616" s="30"/>
      <c r="AC616" s="28"/>
      <c r="AD616" s="30"/>
      <c r="AE616" s="30"/>
      <c r="AF616" s="30"/>
      <c r="AG616" s="29"/>
      <c r="AH616" s="30"/>
      <c r="AI616" s="36"/>
      <c r="AJ616" s="30"/>
      <c r="AK616" s="29"/>
      <c r="AL616" s="30"/>
      <c r="AM616" s="30"/>
      <c r="AN616" s="30"/>
      <c r="AO616" s="30"/>
      <c r="AP616" s="30"/>
      <c r="AQ616" s="38"/>
      <c r="AR616" s="30"/>
      <c r="AS616" s="30"/>
      <c r="AT616" s="29"/>
      <c r="AU616" s="30"/>
      <c r="AV616" s="30"/>
      <c r="AW616" s="30"/>
      <c r="AX616" s="29"/>
      <c r="AY616" s="39"/>
      <c r="AZ616" s="30"/>
      <c r="BA616" s="30"/>
      <c r="BB616" s="29"/>
      <c r="BC616" s="52"/>
      <c r="BD616" s="30"/>
      <c r="BE616" s="29"/>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c r="CB616" s="30"/>
      <c r="CC616" s="30"/>
      <c r="CD616" s="30"/>
      <c r="CE616" s="30"/>
      <c r="CF616" s="30"/>
      <c r="CG616" s="30"/>
      <c r="CH616" s="30"/>
      <c r="CI616" s="30"/>
      <c r="CJ616" s="30"/>
      <c r="CK616" s="30"/>
      <c r="CL616" s="30"/>
      <c r="CM616" s="30"/>
      <c r="CN616" s="30"/>
      <c r="CO616" s="30"/>
      <c r="CP616" s="30"/>
      <c r="CQ616" s="30"/>
      <c r="CR616" s="30"/>
      <c r="CS616" s="30"/>
      <c r="CT616" s="30"/>
      <c r="CU616" s="30"/>
      <c r="CV616" s="30"/>
      <c r="CW616" s="30"/>
      <c r="CX616" s="30"/>
      <c r="CY616" s="30"/>
      <c r="CZ616" s="30"/>
      <c r="DA616" s="30"/>
      <c r="DB616" s="30"/>
      <c r="DC616" s="30"/>
      <c r="DD616" s="30"/>
      <c r="DE616" s="30"/>
      <c r="DF616" s="30"/>
      <c r="DG616" s="30"/>
      <c r="DH616" s="30"/>
      <c r="DI616" s="30"/>
      <c r="DJ616" s="30"/>
      <c r="DK616" s="30"/>
      <c r="DL616" s="30"/>
      <c r="DM616" s="30"/>
      <c r="DN616" s="30"/>
      <c r="DO616" s="30"/>
      <c r="DP616" s="30"/>
      <c r="DQ616" s="30"/>
      <c r="DR616" s="30"/>
      <c r="DS616" s="30"/>
      <c r="DT616" s="30"/>
      <c r="DU616" s="30"/>
      <c r="DV616" s="30"/>
      <c r="DW616" s="30"/>
      <c r="DX616" s="30"/>
      <c r="DY616" s="30"/>
      <c r="DZ616" s="30"/>
    </row>
    <row r="617">
      <c r="A617" s="30"/>
      <c r="B617" s="42"/>
      <c r="C617" s="43"/>
      <c r="D617" s="30"/>
      <c r="E617" s="28"/>
      <c r="F617" s="30"/>
      <c r="G617" s="30"/>
      <c r="H617" s="30"/>
      <c r="I617" s="30"/>
      <c r="J617" s="28"/>
      <c r="K617" s="30"/>
      <c r="L617" s="30"/>
      <c r="M617" s="30"/>
      <c r="N617" s="30"/>
      <c r="O617" s="28"/>
      <c r="P617" s="30"/>
      <c r="Q617" s="30"/>
      <c r="R617" s="30"/>
      <c r="S617" s="36"/>
      <c r="T617" s="30"/>
      <c r="U617" s="36"/>
      <c r="V617" s="30"/>
      <c r="W617" s="28"/>
      <c r="X617" s="30"/>
      <c r="Y617" s="30"/>
      <c r="Z617" s="30"/>
      <c r="AA617" s="30"/>
      <c r="AB617" s="30"/>
      <c r="AC617" s="28"/>
      <c r="AD617" s="30"/>
      <c r="AE617" s="30"/>
      <c r="AF617" s="30"/>
      <c r="AG617" s="29"/>
      <c r="AH617" s="30"/>
      <c r="AI617" s="36"/>
      <c r="AJ617" s="30"/>
      <c r="AK617" s="29"/>
      <c r="AL617" s="30"/>
      <c r="AM617" s="30"/>
      <c r="AN617" s="30"/>
      <c r="AO617" s="30"/>
      <c r="AP617" s="30"/>
      <c r="AQ617" s="38"/>
      <c r="AR617" s="30"/>
      <c r="AS617" s="30"/>
      <c r="AT617" s="29"/>
      <c r="AU617" s="30"/>
      <c r="AV617" s="30"/>
      <c r="AW617" s="30"/>
      <c r="AX617" s="29"/>
      <c r="AY617" s="39"/>
      <c r="AZ617" s="30"/>
      <c r="BA617" s="30"/>
      <c r="BB617" s="29"/>
      <c r="BC617" s="52"/>
      <c r="BD617" s="30"/>
      <c r="BE617" s="29"/>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c r="CB617" s="30"/>
      <c r="CC617" s="30"/>
      <c r="CD617" s="30"/>
      <c r="CE617" s="30"/>
      <c r="CF617" s="30"/>
      <c r="CG617" s="30"/>
      <c r="CH617" s="30"/>
      <c r="CI617" s="30"/>
      <c r="CJ617" s="30"/>
      <c r="CK617" s="30"/>
      <c r="CL617" s="30"/>
      <c r="CM617" s="30"/>
      <c r="CN617" s="30"/>
      <c r="CO617" s="30"/>
      <c r="CP617" s="30"/>
      <c r="CQ617" s="30"/>
      <c r="CR617" s="30"/>
      <c r="CS617" s="30"/>
      <c r="CT617" s="30"/>
      <c r="CU617" s="30"/>
      <c r="CV617" s="30"/>
      <c r="CW617" s="30"/>
      <c r="CX617" s="30"/>
      <c r="CY617" s="30"/>
      <c r="CZ617" s="30"/>
      <c r="DA617" s="30"/>
      <c r="DB617" s="30"/>
      <c r="DC617" s="30"/>
      <c r="DD617" s="30"/>
      <c r="DE617" s="30"/>
      <c r="DF617" s="30"/>
      <c r="DG617" s="30"/>
      <c r="DH617" s="30"/>
      <c r="DI617" s="30"/>
      <c r="DJ617" s="30"/>
      <c r="DK617" s="30"/>
      <c r="DL617" s="30"/>
      <c r="DM617" s="30"/>
      <c r="DN617" s="30"/>
      <c r="DO617" s="30"/>
      <c r="DP617" s="30"/>
      <c r="DQ617" s="30"/>
      <c r="DR617" s="30"/>
      <c r="DS617" s="30"/>
      <c r="DT617" s="30"/>
      <c r="DU617" s="30"/>
      <c r="DV617" s="30"/>
      <c r="DW617" s="30"/>
      <c r="DX617" s="30"/>
      <c r="DY617" s="30"/>
      <c r="DZ617" s="30"/>
    </row>
    <row r="618">
      <c r="A618" s="30"/>
      <c r="B618" s="42"/>
      <c r="C618" s="43"/>
      <c r="D618" s="30"/>
      <c r="E618" s="28"/>
      <c r="F618" s="30"/>
      <c r="G618" s="30"/>
      <c r="H618" s="30"/>
      <c r="I618" s="30"/>
      <c r="J618" s="28"/>
      <c r="K618" s="30"/>
      <c r="L618" s="30"/>
      <c r="M618" s="30"/>
      <c r="N618" s="30"/>
      <c r="O618" s="28"/>
      <c r="P618" s="30"/>
      <c r="Q618" s="30"/>
      <c r="R618" s="30"/>
      <c r="S618" s="36"/>
      <c r="T618" s="30"/>
      <c r="U618" s="36"/>
      <c r="V618" s="30"/>
      <c r="W618" s="28"/>
      <c r="X618" s="30"/>
      <c r="Y618" s="30"/>
      <c r="Z618" s="30"/>
      <c r="AA618" s="30"/>
      <c r="AB618" s="30"/>
      <c r="AC618" s="28"/>
      <c r="AD618" s="30"/>
      <c r="AE618" s="30"/>
      <c r="AF618" s="30"/>
      <c r="AG618" s="29"/>
      <c r="AH618" s="30"/>
      <c r="AI618" s="36"/>
      <c r="AJ618" s="30"/>
      <c r="AK618" s="29"/>
      <c r="AL618" s="30"/>
      <c r="AM618" s="30"/>
      <c r="AN618" s="30"/>
      <c r="AO618" s="30"/>
      <c r="AP618" s="30"/>
      <c r="AQ618" s="38"/>
      <c r="AR618" s="30"/>
      <c r="AS618" s="30"/>
      <c r="AT618" s="29"/>
      <c r="AU618" s="30"/>
      <c r="AV618" s="30"/>
      <c r="AW618" s="30"/>
      <c r="AX618" s="29"/>
      <c r="AY618" s="39"/>
      <c r="AZ618" s="30"/>
      <c r="BA618" s="30"/>
      <c r="BB618" s="29"/>
      <c r="BC618" s="52"/>
      <c r="BD618" s="30"/>
      <c r="BE618" s="29"/>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c r="CB618" s="30"/>
      <c r="CC618" s="30"/>
      <c r="CD618" s="30"/>
      <c r="CE618" s="30"/>
      <c r="CF618" s="30"/>
      <c r="CG618" s="30"/>
      <c r="CH618" s="30"/>
      <c r="CI618" s="30"/>
      <c r="CJ618" s="30"/>
      <c r="CK618" s="30"/>
      <c r="CL618" s="30"/>
      <c r="CM618" s="30"/>
      <c r="CN618" s="30"/>
      <c r="CO618" s="30"/>
      <c r="CP618" s="30"/>
      <c r="CQ618" s="30"/>
      <c r="CR618" s="30"/>
      <c r="CS618" s="30"/>
      <c r="CT618" s="30"/>
      <c r="CU618" s="30"/>
      <c r="CV618" s="30"/>
      <c r="CW618" s="30"/>
      <c r="CX618" s="30"/>
      <c r="CY618" s="30"/>
      <c r="CZ618" s="30"/>
      <c r="DA618" s="30"/>
      <c r="DB618" s="30"/>
      <c r="DC618" s="30"/>
      <c r="DD618" s="30"/>
      <c r="DE618" s="30"/>
      <c r="DF618" s="30"/>
      <c r="DG618" s="30"/>
      <c r="DH618" s="30"/>
      <c r="DI618" s="30"/>
      <c r="DJ618" s="30"/>
      <c r="DK618" s="30"/>
      <c r="DL618" s="30"/>
      <c r="DM618" s="30"/>
      <c r="DN618" s="30"/>
      <c r="DO618" s="30"/>
      <c r="DP618" s="30"/>
      <c r="DQ618" s="30"/>
      <c r="DR618" s="30"/>
      <c r="DS618" s="30"/>
      <c r="DT618" s="30"/>
      <c r="DU618" s="30"/>
      <c r="DV618" s="30"/>
      <c r="DW618" s="30"/>
      <c r="DX618" s="30"/>
      <c r="DY618" s="30"/>
      <c r="DZ618" s="30"/>
    </row>
    <row r="619">
      <c r="A619" s="30"/>
      <c r="B619" s="42"/>
      <c r="C619" s="43"/>
      <c r="D619" s="30"/>
      <c r="E619" s="28"/>
      <c r="F619" s="30"/>
      <c r="G619" s="30"/>
      <c r="H619" s="30"/>
      <c r="I619" s="30"/>
      <c r="J619" s="28"/>
      <c r="K619" s="30"/>
      <c r="L619" s="30"/>
      <c r="M619" s="30"/>
      <c r="N619" s="30"/>
      <c r="O619" s="28"/>
      <c r="P619" s="30"/>
      <c r="Q619" s="30"/>
      <c r="R619" s="30"/>
      <c r="S619" s="36"/>
      <c r="T619" s="30"/>
      <c r="U619" s="36"/>
      <c r="V619" s="30"/>
      <c r="W619" s="28"/>
      <c r="X619" s="30"/>
      <c r="Y619" s="30"/>
      <c r="Z619" s="30"/>
      <c r="AA619" s="30"/>
      <c r="AB619" s="30"/>
      <c r="AC619" s="28"/>
      <c r="AD619" s="30"/>
      <c r="AE619" s="30"/>
      <c r="AF619" s="30"/>
      <c r="AG619" s="29"/>
      <c r="AH619" s="30"/>
      <c r="AI619" s="36"/>
      <c r="AJ619" s="30"/>
      <c r="AK619" s="29"/>
      <c r="AL619" s="30"/>
      <c r="AM619" s="30"/>
      <c r="AN619" s="30"/>
      <c r="AO619" s="30"/>
      <c r="AP619" s="30"/>
      <c r="AQ619" s="38"/>
      <c r="AR619" s="30"/>
      <c r="AS619" s="30"/>
      <c r="AT619" s="29"/>
      <c r="AU619" s="30"/>
      <c r="AV619" s="30"/>
      <c r="AW619" s="30"/>
      <c r="AX619" s="29"/>
      <c r="AY619" s="39"/>
      <c r="AZ619" s="30"/>
      <c r="BA619" s="30"/>
      <c r="BB619" s="29"/>
      <c r="BC619" s="52"/>
      <c r="BD619" s="30"/>
      <c r="BE619" s="29"/>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c r="CB619" s="30"/>
      <c r="CC619" s="30"/>
      <c r="CD619" s="30"/>
      <c r="CE619" s="30"/>
      <c r="CF619" s="30"/>
      <c r="CG619" s="30"/>
      <c r="CH619" s="30"/>
      <c r="CI619" s="30"/>
      <c r="CJ619" s="30"/>
      <c r="CK619" s="30"/>
      <c r="CL619" s="30"/>
      <c r="CM619" s="30"/>
      <c r="CN619" s="30"/>
      <c r="CO619" s="30"/>
      <c r="CP619" s="30"/>
      <c r="CQ619" s="30"/>
      <c r="CR619" s="30"/>
      <c r="CS619" s="30"/>
      <c r="CT619" s="30"/>
      <c r="CU619" s="30"/>
      <c r="CV619" s="30"/>
      <c r="CW619" s="30"/>
      <c r="CX619" s="30"/>
      <c r="CY619" s="30"/>
      <c r="CZ619" s="30"/>
      <c r="DA619" s="30"/>
      <c r="DB619" s="30"/>
      <c r="DC619" s="30"/>
      <c r="DD619" s="30"/>
      <c r="DE619" s="30"/>
      <c r="DF619" s="30"/>
      <c r="DG619" s="30"/>
      <c r="DH619" s="30"/>
      <c r="DI619" s="30"/>
      <c r="DJ619" s="30"/>
      <c r="DK619" s="30"/>
      <c r="DL619" s="30"/>
      <c r="DM619" s="30"/>
      <c r="DN619" s="30"/>
      <c r="DO619" s="30"/>
      <c r="DP619" s="30"/>
      <c r="DQ619" s="30"/>
      <c r="DR619" s="30"/>
      <c r="DS619" s="30"/>
      <c r="DT619" s="30"/>
      <c r="DU619" s="30"/>
      <c r="DV619" s="30"/>
      <c r="DW619" s="30"/>
      <c r="DX619" s="30"/>
      <c r="DY619" s="30"/>
      <c r="DZ619" s="30"/>
    </row>
    <row r="620">
      <c r="A620" s="30"/>
      <c r="B620" s="42"/>
      <c r="C620" s="43"/>
      <c r="D620" s="30"/>
      <c r="E620" s="28"/>
      <c r="F620" s="30"/>
      <c r="G620" s="30"/>
      <c r="H620" s="30"/>
      <c r="I620" s="30"/>
      <c r="J620" s="28"/>
      <c r="K620" s="30"/>
      <c r="L620" s="30"/>
      <c r="M620" s="30"/>
      <c r="N620" s="30"/>
      <c r="O620" s="28"/>
      <c r="P620" s="30"/>
      <c r="Q620" s="30"/>
      <c r="R620" s="30"/>
      <c r="S620" s="36"/>
      <c r="T620" s="30"/>
      <c r="U620" s="36"/>
      <c r="V620" s="30"/>
      <c r="W620" s="28"/>
      <c r="X620" s="30"/>
      <c r="Y620" s="30"/>
      <c r="Z620" s="30"/>
      <c r="AA620" s="30"/>
      <c r="AB620" s="30"/>
      <c r="AC620" s="28"/>
      <c r="AD620" s="30"/>
      <c r="AE620" s="30"/>
      <c r="AF620" s="30"/>
      <c r="AG620" s="29"/>
      <c r="AH620" s="30"/>
      <c r="AI620" s="36"/>
      <c r="AJ620" s="30"/>
      <c r="AK620" s="29"/>
      <c r="AL620" s="30"/>
      <c r="AM620" s="30"/>
      <c r="AN620" s="30"/>
      <c r="AO620" s="30"/>
      <c r="AP620" s="30"/>
      <c r="AQ620" s="38"/>
      <c r="AR620" s="30"/>
      <c r="AS620" s="30"/>
      <c r="AT620" s="29"/>
      <c r="AU620" s="30"/>
      <c r="AV620" s="30"/>
      <c r="AW620" s="30"/>
      <c r="AX620" s="29"/>
      <c r="AY620" s="39"/>
      <c r="AZ620" s="30"/>
      <c r="BA620" s="30"/>
      <c r="BB620" s="29"/>
      <c r="BC620" s="52"/>
      <c r="BD620" s="30"/>
      <c r="BE620" s="29"/>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c r="CB620" s="30"/>
      <c r="CC620" s="30"/>
      <c r="CD620" s="30"/>
      <c r="CE620" s="30"/>
      <c r="CF620" s="30"/>
      <c r="CG620" s="30"/>
      <c r="CH620" s="30"/>
      <c r="CI620" s="30"/>
      <c r="CJ620" s="30"/>
      <c r="CK620" s="30"/>
      <c r="CL620" s="30"/>
      <c r="CM620" s="30"/>
      <c r="CN620" s="30"/>
      <c r="CO620" s="30"/>
      <c r="CP620" s="30"/>
      <c r="CQ620" s="30"/>
      <c r="CR620" s="30"/>
      <c r="CS620" s="30"/>
      <c r="CT620" s="30"/>
      <c r="CU620" s="30"/>
      <c r="CV620" s="30"/>
      <c r="CW620" s="30"/>
      <c r="CX620" s="30"/>
      <c r="CY620" s="30"/>
      <c r="CZ620" s="30"/>
      <c r="DA620" s="30"/>
      <c r="DB620" s="30"/>
      <c r="DC620" s="30"/>
      <c r="DD620" s="30"/>
      <c r="DE620" s="30"/>
      <c r="DF620" s="30"/>
      <c r="DG620" s="30"/>
      <c r="DH620" s="30"/>
      <c r="DI620" s="30"/>
      <c r="DJ620" s="30"/>
      <c r="DK620" s="30"/>
      <c r="DL620" s="30"/>
      <c r="DM620" s="30"/>
      <c r="DN620" s="30"/>
      <c r="DO620" s="30"/>
      <c r="DP620" s="30"/>
      <c r="DQ620" s="30"/>
      <c r="DR620" s="30"/>
      <c r="DS620" s="30"/>
      <c r="DT620" s="30"/>
      <c r="DU620" s="30"/>
      <c r="DV620" s="30"/>
      <c r="DW620" s="30"/>
      <c r="DX620" s="30"/>
      <c r="DY620" s="30"/>
      <c r="DZ620" s="30"/>
    </row>
    <row r="621">
      <c r="A621" s="30"/>
      <c r="B621" s="42"/>
      <c r="C621" s="43"/>
      <c r="D621" s="30"/>
      <c r="E621" s="28"/>
      <c r="F621" s="30"/>
      <c r="G621" s="30"/>
      <c r="H621" s="30"/>
      <c r="I621" s="30"/>
      <c r="J621" s="28"/>
      <c r="K621" s="30"/>
      <c r="L621" s="30"/>
      <c r="M621" s="30"/>
      <c r="N621" s="30"/>
      <c r="O621" s="28"/>
      <c r="P621" s="30"/>
      <c r="Q621" s="30"/>
      <c r="R621" s="30"/>
      <c r="S621" s="36"/>
      <c r="T621" s="30"/>
      <c r="U621" s="36"/>
      <c r="V621" s="30"/>
      <c r="W621" s="28"/>
      <c r="X621" s="30"/>
      <c r="Y621" s="30"/>
      <c r="Z621" s="30"/>
      <c r="AA621" s="30"/>
      <c r="AB621" s="30"/>
      <c r="AC621" s="28"/>
      <c r="AD621" s="30"/>
      <c r="AE621" s="30"/>
      <c r="AF621" s="30"/>
      <c r="AG621" s="29"/>
      <c r="AH621" s="30"/>
      <c r="AI621" s="36"/>
      <c r="AJ621" s="30"/>
      <c r="AK621" s="29"/>
      <c r="AL621" s="30"/>
      <c r="AM621" s="30"/>
      <c r="AN621" s="30"/>
      <c r="AO621" s="30"/>
      <c r="AP621" s="30"/>
      <c r="AQ621" s="38"/>
      <c r="AR621" s="30"/>
      <c r="AS621" s="30"/>
      <c r="AT621" s="29"/>
      <c r="AU621" s="30"/>
      <c r="AV621" s="30"/>
      <c r="AW621" s="30"/>
      <c r="AX621" s="29"/>
      <c r="AY621" s="39"/>
      <c r="AZ621" s="30"/>
      <c r="BA621" s="30"/>
      <c r="BB621" s="29"/>
      <c r="BC621" s="52"/>
      <c r="BD621" s="30"/>
      <c r="BE621" s="29"/>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c r="CB621" s="30"/>
      <c r="CC621" s="30"/>
      <c r="CD621" s="30"/>
      <c r="CE621" s="30"/>
      <c r="CF621" s="30"/>
      <c r="CG621" s="30"/>
      <c r="CH621" s="30"/>
      <c r="CI621" s="30"/>
      <c r="CJ621" s="30"/>
      <c r="CK621" s="30"/>
      <c r="CL621" s="30"/>
      <c r="CM621" s="30"/>
      <c r="CN621" s="30"/>
      <c r="CO621" s="30"/>
      <c r="CP621" s="30"/>
      <c r="CQ621" s="30"/>
      <c r="CR621" s="30"/>
      <c r="CS621" s="30"/>
      <c r="CT621" s="30"/>
      <c r="CU621" s="30"/>
      <c r="CV621" s="30"/>
      <c r="CW621" s="30"/>
      <c r="CX621" s="30"/>
      <c r="CY621" s="30"/>
      <c r="CZ621" s="30"/>
      <c r="DA621" s="30"/>
      <c r="DB621" s="30"/>
      <c r="DC621" s="30"/>
      <c r="DD621" s="30"/>
      <c r="DE621" s="30"/>
      <c r="DF621" s="30"/>
      <c r="DG621" s="30"/>
      <c r="DH621" s="30"/>
      <c r="DI621" s="30"/>
      <c r="DJ621" s="30"/>
      <c r="DK621" s="30"/>
      <c r="DL621" s="30"/>
      <c r="DM621" s="30"/>
      <c r="DN621" s="30"/>
      <c r="DO621" s="30"/>
      <c r="DP621" s="30"/>
      <c r="DQ621" s="30"/>
      <c r="DR621" s="30"/>
      <c r="DS621" s="30"/>
      <c r="DT621" s="30"/>
      <c r="DU621" s="30"/>
      <c r="DV621" s="30"/>
      <c r="DW621" s="30"/>
      <c r="DX621" s="30"/>
      <c r="DY621" s="30"/>
      <c r="DZ621" s="30"/>
    </row>
    <row r="622">
      <c r="A622" s="30"/>
      <c r="B622" s="42"/>
      <c r="C622" s="43"/>
      <c r="D622" s="30"/>
      <c r="E622" s="28"/>
      <c r="F622" s="30"/>
      <c r="G622" s="30"/>
      <c r="H622" s="30"/>
      <c r="I622" s="30"/>
      <c r="J622" s="28"/>
      <c r="K622" s="30"/>
      <c r="L622" s="30"/>
      <c r="M622" s="30"/>
      <c r="N622" s="30"/>
      <c r="O622" s="28"/>
      <c r="P622" s="30"/>
      <c r="Q622" s="30"/>
      <c r="R622" s="30"/>
      <c r="S622" s="36"/>
      <c r="T622" s="30"/>
      <c r="U622" s="36"/>
      <c r="V622" s="30"/>
      <c r="W622" s="28"/>
      <c r="X622" s="30"/>
      <c r="Y622" s="30"/>
      <c r="Z622" s="30"/>
      <c r="AA622" s="30"/>
      <c r="AB622" s="30"/>
      <c r="AC622" s="28"/>
      <c r="AD622" s="30"/>
      <c r="AE622" s="30"/>
      <c r="AF622" s="30"/>
      <c r="AG622" s="29"/>
      <c r="AH622" s="30"/>
      <c r="AI622" s="36"/>
      <c r="AJ622" s="30"/>
      <c r="AK622" s="29"/>
      <c r="AL622" s="30"/>
      <c r="AM622" s="30"/>
      <c r="AN622" s="30"/>
      <c r="AO622" s="30"/>
      <c r="AP622" s="30"/>
      <c r="AQ622" s="38"/>
      <c r="AR622" s="30"/>
      <c r="AS622" s="30"/>
      <c r="AT622" s="29"/>
      <c r="AU622" s="30"/>
      <c r="AV622" s="30"/>
      <c r="AW622" s="30"/>
      <c r="AX622" s="29"/>
      <c r="AY622" s="39"/>
      <c r="AZ622" s="30"/>
      <c r="BA622" s="30"/>
      <c r="BB622" s="29"/>
      <c r="BC622" s="52"/>
      <c r="BD622" s="30"/>
      <c r="BE622" s="29"/>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row>
    <row r="623">
      <c r="A623" s="30"/>
      <c r="B623" s="42"/>
      <c r="C623" s="43"/>
      <c r="D623" s="30"/>
      <c r="E623" s="28"/>
      <c r="F623" s="30"/>
      <c r="G623" s="30"/>
      <c r="H623" s="30"/>
      <c r="I623" s="30"/>
      <c r="J623" s="28"/>
      <c r="K623" s="30"/>
      <c r="L623" s="30"/>
      <c r="M623" s="30"/>
      <c r="N623" s="30"/>
      <c r="O623" s="28"/>
      <c r="P623" s="30"/>
      <c r="Q623" s="30"/>
      <c r="R623" s="30"/>
      <c r="S623" s="36"/>
      <c r="T623" s="30"/>
      <c r="U623" s="36"/>
      <c r="V623" s="30"/>
      <c r="W623" s="28"/>
      <c r="X623" s="30"/>
      <c r="Y623" s="30"/>
      <c r="Z623" s="30"/>
      <c r="AA623" s="30"/>
      <c r="AB623" s="30"/>
      <c r="AC623" s="28"/>
      <c r="AD623" s="30"/>
      <c r="AE623" s="30"/>
      <c r="AF623" s="30"/>
      <c r="AG623" s="29"/>
      <c r="AH623" s="30"/>
      <c r="AI623" s="36"/>
      <c r="AJ623" s="30"/>
      <c r="AK623" s="29"/>
      <c r="AL623" s="30"/>
      <c r="AM623" s="30"/>
      <c r="AN623" s="30"/>
      <c r="AO623" s="30"/>
      <c r="AP623" s="30"/>
      <c r="AQ623" s="38"/>
      <c r="AR623" s="30"/>
      <c r="AS623" s="30"/>
      <c r="AT623" s="29"/>
      <c r="AU623" s="30"/>
      <c r="AV623" s="30"/>
      <c r="AW623" s="30"/>
      <c r="AX623" s="29"/>
      <c r="AY623" s="39"/>
      <c r="AZ623" s="30"/>
      <c r="BA623" s="30"/>
      <c r="BB623" s="29"/>
      <c r="BC623" s="52"/>
      <c r="BD623" s="30"/>
      <c r="BE623" s="29"/>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c r="CB623" s="30"/>
      <c r="CC623" s="30"/>
      <c r="CD623" s="30"/>
      <c r="CE623" s="30"/>
      <c r="CF623" s="30"/>
      <c r="CG623" s="30"/>
      <c r="CH623" s="30"/>
      <c r="CI623" s="30"/>
      <c r="CJ623" s="30"/>
      <c r="CK623" s="30"/>
      <c r="CL623" s="30"/>
      <c r="CM623" s="30"/>
      <c r="CN623" s="30"/>
      <c r="CO623" s="30"/>
      <c r="CP623" s="30"/>
      <c r="CQ623" s="30"/>
      <c r="CR623" s="30"/>
      <c r="CS623" s="30"/>
      <c r="CT623" s="30"/>
      <c r="CU623" s="30"/>
      <c r="CV623" s="30"/>
      <c r="CW623" s="30"/>
      <c r="CX623" s="30"/>
      <c r="CY623" s="30"/>
      <c r="CZ623" s="30"/>
      <c r="DA623" s="30"/>
      <c r="DB623" s="30"/>
      <c r="DC623" s="30"/>
      <c r="DD623" s="30"/>
      <c r="DE623" s="30"/>
      <c r="DF623" s="30"/>
      <c r="DG623" s="30"/>
      <c r="DH623" s="30"/>
      <c r="DI623" s="30"/>
      <c r="DJ623" s="30"/>
      <c r="DK623" s="30"/>
      <c r="DL623" s="30"/>
      <c r="DM623" s="30"/>
      <c r="DN623" s="30"/>
      <c r="DO623" s="30"/>
      <c r="DP623" s="30"/>
      <c r="DQ623" s="30"/>
      <c r="DR623" s="30"/>
      <c r="DS623" s="30"/>
      <c r="DT623" s="30"/>
      <c r="DU623" s="30"/>
      <c r="DV623" s="30"/>
      <c r="DW623" s="30"/>
      <c r="DX623" s="30"/>
      <c r="DY623" s="30"/>
      <c r="DZ623" s="30"/>
    </row>
    <row r="624">
      <c r="A624" s="30"/>
      <c r="B624" s="42"/>
      <c r="C624" s="43"/>
      <c r="D624" s="30"/>
      <c r="E624" s="28"/>
      <c r="F624" s="30"/>
      <c r="G624" s="30"/>
      <c r="H624" s="30"/>
      <c r="I624" s="30"/>
      <c r="J624" s="28"/>
      <c r="K624" s="30"/>
      <c r="L624" s="30"/>
      <c r="M624" s="30"/>
      <c r="N624" s="30"/>
      <c r="O624" s="28"/>
      <c r="P624" s="30"/>
      <c r="Q624" s="30"/>
      <c r="R624" s="30"/>
      <c r="S624" s="36"/>
      <c r="T624" s="30"/>
      <c r="U624" s="36"/>
      <c r="V624" s="30"/>
      <c r="W624" s="28"/>
      <c r="X624" s="30"/>
      <c r="Y624" s="30"/>
      <c r="Z624" s="30"/>
      <c r="AA624" s="30"/>
      <c r="AB624" s="30"/>
      <c r="AC624" s="28"/>
      <c r="AD624" s="30"/>
      <c r="AE624" s="30"/>
      <c r="AF624" s="30"/>
      <c r="AG624" s="29"/>
      <c r="AH624" s="30"/>
      <c r="AI624" s="36"/>
      <c r="AJ624" s="30"/>
      <c r="AK624" s="29"/>
      <c r="AL624" s="30"/>
      <c r="AM624" s="30"/>
      <c r="AN624" s="30"/>
      <c r="AO624" s="30"/>
      <c r="AP624" s="30"/>
      <c r="AQ624" s="38"/>
      <c r="AR624" s="30"/>
      <c r="AS624" s="30"/>
      <c r="AT624" s="29"/>
      <c r="AU624" s="30"/>
      <c r="AV624" s="30"/>
      <c r="AW624" s="30"/>
      <c r="AX624" s="29"/>
      <c r="AY624" s="39"/>
      <c r="AZ624" s="30"/>
      <c r="BA624" s="30"/>
      <c r="BB624" s="29"/>
      <c r="BC624" s="52"/>
      <c r="BD624" s="30"/>
      <c r="BE624" s="29"/>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c r="CB624" s="30"/>
      <c r="CC624" s="30"/>
      <c r="CD624" s="30"/>
      <c r="CE624" s="30"/>
      <c r="CF624" s="30"/>
      <c r="CG624" s="30"/>
      <c r="CH624" s="30"/>
      <c r="CI624" s="30"/>
      <c r="CJ624" s="30"/>
      <c r="CK624" s="30"/>
      <c r="CL624" s="30"/>
      <c r="CM624" s="30"/>
      <c r="CN624" s="30"/>
      <c r="CO624" s="30"/>
      <c r="CP624" s="30"/>
      <c r="CQ624" s="30"/>
      <c r="CR624" s="30"/>
      <c r="CS624" s="30"/>
      <c r="CT624" s="30"/>
      <c r="CU624" s="30"/>
      <c r="CV624" s="30"/>
      <c r="CW624" s="30"/>
      <c r="CX624" s="30"/>
      <c r="CY624" s="30"/>
      <c r="CZ624" s="30"/>
      <c r="DA624" s="30"/>
      <c r="DB624" s="30"/>
      <c r="DC624" s="30"/>
      <c r="DD624" s="30"/>
      <c r="DE624" s="30"/>
      <c r="DF624" s="30"/>
      <c r="DG624" s="30"/>
      <c r="DH624" s="30"/>
      <c r="DI624" s="30"/>
      <c r="DJ624" s="30"/>
      <c r="DK624" s="30"/>
      <c r="DL624" s="30"/>
      <c r="DM624" s="30"/>
      <c r="DN624" s="30"/>
      <c r="DO624" s="30"/>
      <c r="DP624" s="30"/>
      <c r="DQ624" s="30"/>
      <c r="DR624" s="30"/>
      <c r="DS624" s="30"/>
      <c r="DT624" s="30"/>
      <c r="DU624" s="30"/>
      <c r="DV624" s="30"/>
      <c r="DW624" s="30"/>
      <c r="DX624" s="30"/>
      <c r="DY624" s="30"/>
      <c r="DZ624" s="30"/>
    </row>
    <row r="625">
      <c r="A625" s="30"/>
      <c r="B625" s="42"/>
      <c r="C625" s="43"/>
      <c r="D625" s="30"/>
      <c r="E625" s="28"/>
      <c r="F625" s="30"/>
      <c r="G625" s="30"/>
      <c r="H625" s="30"/>
      <c r="I625" s="30"/>
      <c r="J625" s="28"/>
      <c r="K625" s="30"/>
      <c r="L625" s="30"/>
      <c r="M625" s="30"/>
      <c r="N625" s="30"/>
      <c r="O625" s="28"/>
      <c r="P625" s="30"/>
      <c r="Q625" s="30"/>
      <c r="R625" s="30"/>
      <c r="S625" s="36"/>
      <c r="T625" s="30"/>
      <c r="U625" s="36"/>
      <c r="V625" s="30"/>
      <c r="W625" s="28"/>
      <c r="X625" s="30"/>
      <c r="Y625" s="30"/>
      <c r="Z625" s="30"/>
      <c r="AA625" s="30"/>
      <c r="AB625" s="30"/>
      <c r="AC625" s="28"/>
      <c r="AD625" s="30"/>
      <c r="AE625" s="30"/>
      <c r="AF625" s="30"/>
      <c r="AG625" s="29"/>
      <c r="AH625" s="30"/>
      <c r="AI625" s="36"/>
      <c r="AJ625" s="30"/>
      <c r="AK625" s="29"/>
      <c r="AL625" s="30"/>
      <c r="AM625" s="30"/>
      <c r="AN625" s="30"/>
      <c r="AO625" s="30"/>
      <c r="AP625" s="30"/>
      <c r="AQ625" s="38"/>
      <c r="AR625" s="30"/>
      <c r="AS625" s="30"/>
      <c r="AT625" s="29"/>
      <c r="AU625" s="30"/>
      <c r="AV625" s="30"/>
      <c r="AW625" s="30"/>
      <c r="AX625" s="29"/>
      <c r="AY625" s="39"/>
      <c r="AZ625" s="30"/>
      <c r="BA625" s="30"/>
      <c r="BB625" s="29"/>
      <c r="BC625" s="52"/>
      <c r="BD625" s="30"/>
      <c r="BE625" s="29"/>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c r="CB625" s="30"/>
      <c r="CC625" s="30"/>
      <c r="CD625" s="30"/>
      <c r="CE625" s="30"/>
      <c r="CF625" s="30"/>
      <c r="CG625" s="30"/>
      <c r="CH625" s="30"/>
      <c r="CI625" s="30"/>
      <c r="CJ625" s="30"/>
      <c r="CK625" s="30"/>
      <c r="CL625" s="30"/>
      <c r="CM625" s="30"/>
      <c r="CN625" s="30"/>
      <c r="CO625" s="30"/>
      <c r="CP625" s="30"/>
      <c r="CQ625" s="30"/>
      <c r="CR625" s="30"/>
      <c r="CS625" s="30"/>
      <c r="CT625" s="30"/>
      <c r="CU625" s="30"/>
      <c r="CV625" s="30"/>
      <c r="CW625" s="30"/>
      <c r="CX625" s="30"/>
      <c r="CY625" s="30"/>
      <c r="CZ625" s="30"/>
      <c r="DA625" s="30"/>
      <c r="DB625" s="30"/>
      <c r="DC625" s="30"/>
      <c r="DD625" s="30"/>
      <c r="DE625" s="30"/>
      <c r="DF625" s="30"/>
      <c r="DG625" s="30"/>
      <c r="DH625" s="30"/>
      <c r="DI625" s="30"/>
      <c r="DJ625" s="30"/>
      <c r="DK625" s="30"/>
      <c r="DL625" s="30"/>
      <c r="DM625" s="30"/>
      <c r="DN625" s="30"/>
      <c r="DO625" s="30"/>
      <c r="DP625" s="30"/>
      <c r="DQ625" s="30"/>
      <c r="DR625" s="30"/>
      <c r="DS625" s="30"/>
      <c r="DT625" s="30"/>
      <c r="DU625" s="30"/>
      <c r="DV625" s="30"/>
      <c r="DW625" s="30"/>
      <c r="DX625" s="30"/>
      <c r="DY625" s="30"/>
      <c r="DZ625" s="30"/>
    </row>
    <row r="626">
      <c r="A626" s="30"/>
      <c r="B626" s="42"/>
      <c r="C626" s="43"/>
      <c r="D626" s="30"/>
      <c r="E626" s="28"/>
      <c r="F626" s="30"/>
      <c r="G626" s="30"/>
      <c r="H626" s="30"/>
      <c r="I626" s="30"/>
      <c r="J626" s="28"/>
      <c r="K626" s="30"/>
      <c r="L626" s="30"/>
      <c r="M626" s="30"/>
      <c r="N626" s="30"/>
      <c r="O626" s="28"/>
      <c r="P626" s="30"/>
      <c r="Q626" s="30"/>
      <c r="R626" s="30"/>
      <c r="S626" s="36"/>
      <c r="T626" s="30"/>
      <c r="U626" s="36"/>
      <c r="V626" s="30"/>
      <c r="W626" s="28"/>
      <c r="X626" s="30"/>
      <c r="Y626" s="30"/>
      <c r="Z626" s="30"/>
      <c r="AA626" s="30"/>
      <c r="AB626" s="30"/>
      <c r="AC626" s="28"/>
      <c r="AD626" s="30"/>
      <c r="AE626" s="30"/>
      <c r="AF626" s="30"/>
      <c r="AG626" s="29"/>
      <c r="AH626" s="30"/>
      <c r="AI626" s="36"/>
      <c r="AJ626" s="30"/>
      <c r="AK626" s="29"/>
      <c r="AL626" s="30"/>
      <c r="AM626" s="30"/>
      <c r="AN626" s="30"/>
      <c r="AO626" s="30"/>
      <c r="AP626" s="30"/>
      <c r="AQ626" s="38"/>
      <c r="AR626" s="30"/>
      <c r="AS626" s="30"/>
      <c r="AT626" s="29"/>
      <c r="AU626" s="30"/>
      <c r="AV626" s="30"/>
      <c r="AW626" s="30"/>
      <c r="AX626" s="29"/>
      <c r="AY626" s="39"/>
      <c r="AZ626" s="30"/>
      <c r="BA626" s="30"/>
      <c r="BB626" s="29"/>
      <c r="BC626" s="52"/>
      <c r="BD626" s="30"/>
      <c r="BE626" s="29"/>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c r="CB626" s="30"/>
      <c r="CC626" s="30"/>
      <c r="CD626" s="30"/>
      <c r="CE626" s="30"/>
      <c r="CF626" s="30"/>
      <c r="CG626" s="30"/>
      <c r="CH626" s="30"/>
      <c r="CI626" s="30"/>
      <c r="CJ626" s="30"/>
      <c r="CK626" s="30"/>
      <c r="CL626" s="30"/>
      <c r="CM626" s="30"/>
      <c r="CN626" s="30"/>
      <c r="CO626" s="30"/>
      <c r="CP626" s="30"/>
      <c r="CQ626" s="30"/>
      <c r="CR626" s="30"/>
      <c r="CS626" s="30"/>
      <c r="CT626" s="30"/>
      <c r="CU626" s="30"/>
      <c r="CV626" s="30"/>
      <c r="CW626" s="30"/>
      <c r="CX626" s="30"/>
      <c r="CY626" s="30"/>
      <c r="CZ626" s="30"/>
      <c r="DA626" s="30"/>
      <c r="DB626" s="30"/>
      <c r="DC626" s="30"/>
      <c r="DD626" s="30"/>
      <c r="DE626" s="30"/>
      <c r="DF626" s="30"/>
      <c r="DG626" s="30"/>
      <c r="DH626" s="30"/>
      <c r="DI626" s="30"/>
      <c r="DJ626" s="30"/>
      <c r="DK626" s="30"/>
      <c r="DL626" s="30"/>
      <c r="DM626" s="30"/>
      <c r="DN626" s="30"/>
      <c r="DO626" s="30"/>
      <c r="DP626" s="30"/>
      <c r="DQ626" s="30"/>
      <c r="DR626" s="30"/>
      <c r="DS626" s="30"/>
      <c r="DT626" s="30"/>
      <c r="DU626" s="30"/>
      <c r="DV626" s="30"/>
      <c r="DW626" s="30"/>
      <c r="DX626" s="30"/>
      <c r="DY626" s="30"/>
      <c r="DZ626" s="30"/>
    </row>
    <row r="627">
      <c r="A627" s="30"/>
      <c r="B627" s="42"/>
      <c r="C627" s="43"/>
      <c r="D627" s="30"/>
      <c r="E627" s="28"/>
      <c r="F627" s="30"/>
      <c r="G627" s="30"/>
      <c r="H627" s="30"/>
      <c r="I627" s="30"/>
      <c r="J627" s="28"/>
      <c r="K627" s="30"/>
      <c r="L627" s="30"/>
      <c r="M627" s="30"/>
      <c r="N627" s="30"/>
      <c r="O627" s="28"/>
      <c r="P627" s="30"/>
      <c r="Q627" s="30"/>
      <c r="R627" s="30"/>
      <c r="S627" s="36"/>
      <c r="T627" s="30"/>
      <c r="U627" s="36"/>
      <c r="V627" s="30"/>
      <c r="W627" s="28"/>
      <c r="X627" s="30"/>
      <c r="Y627" s="30"/>
      <c r="Z627" s="30"/>
      <c r="AA627" s="30"/>
      <c r="AB627" s="30"/>
      <c r="AC627" s="28"/>
      <c r="AD627" s="30"/>
      <c r="AE627" s="30"/>
      <c r="AF627" s="30"/>
      <c r="AG627" s="29"/>
      <c r="AH627" s="30"/>
      <c r="AI627" s="36"/>
      <c r="AJ627" s="30"/>
      <c r="AK627" s="29"/>
      <c r="AL627" s="30"/>
      <c r="AM627" s="30"/>
      <c r="AN627" s="30"/>
      <c r="AO627" s="30"/>
      <c r="AP627" s="30"/>
      <c r="AQ627" s="38"/>
      <c r="AR627" s="30"/>
      <c r="AS627" s="30"/>
      <c r="AT627" s="29"/>
      <c r="AU627" s="30"/>
      <c r="AV627" s="30"/>
      <c r="AW627" s="30"/>
      <c r="AX627" s="29"/>
      <c r="AY627" s="39"/>
      <c r="AZ627" s="30"/>
      <c r="BA627" s="30"/>
      <c r="BB627" s="29"/>
      <c r="BC627" s="52"/>
      <c r="BD627" s="30"/>
      <c r="BE627" s="29"/>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c r="CB627" s="30"/>
      <c r="CC627" s="30"/>
      <c r="CD627" s="30"/>
      <c r="CE627" s="30"/>
      <c r="CF627" s="30"/>
      <c r="CG627" s="30"/>
      <c r="CH627" s="30"/>
      <c r="CI627" s="30"/>
      <c r="CJ627" s="30"/>
      <c r="CK627" s="30"/>
      <c r="CL627" s="30"/>
      <c r="CM627" s="30"/>
      <c r="CN627" s="30"/>
      <c r="CO627" s="30"/>
      <c r="CP627" s="30"/>
      <c r="CQ627" s="30"/>
      <c r="CR627" s="30"/>
      <c r="CS627" s="30"/>
      <c r="CT627" s="30"/>
      <c r="CU627" s="30"/>
      <c r="CV627" s="30"/>
      <c r="CW627" s="30"/>
      <c r="CX627" s="30"/>
      <c r="CY627" s="30"/>
      <c r="CZ627" s="30"/>
      <c r="DA627" s="30"/>
      <c r="DB627" s="30"/>
      <c r="DC627" s="30"/>
      <c r="DD627" s="30"/>
      <c r="DE627" s="30"/>
      <c r="DF627" s="30"/>
      <c r="DG627" s="30"/>
      <c r="DH627" s="30"/>
      <c r="DI627" s="30"/>
      <c r="DJ627" s="30"/>
      <c r="DK627" s="30"/>
      <c r="DL627" s="30"/>
      <c r="DM627" s="30"/>
      <c r="DN627" s="30"/>
      <c r="DO627" s="30"/>
      <c r="DP627" s="30"/>
      <c r="DQ627" s="30"/>
      <c r="DR627" s="30"/>
      <c r="DS627" s="30"/>
      <c r="DT627" s="30"/>
      <c r="DU627" s="30"/>
      <c r="DV627" s="30"/>
      <c r="DW627" s="30"/>
      <c r="DX627" s="30"/>
      <c r="DY627" s="30"/>
      <c r="DZ627" s="30"/>
    </row>
    <row r="628">
      <c r="A628" s="30"/>
      <c r="B628" s="42"/>
      <c r="C628" s="43"/>
      <c r="D628" s="30"/>
      <c r="E628" s="28"/>
      <c r="F628" s="30"/>
      <c r="G628" s="30"/>
      <c r="H628" s="30"/>
      <c r="I628" s="30"/>
      <c r="J628" s="28"/>
      <c r="K628" s="30"/>
      <c r="L628" s="30"/>
      <c r="M628" s="30"/>
      <c r="N628" s="30"/>
      <c r="O628" s="28"/>
      <c r="P628" s="30"/>
      <c r="Q628" s="30"/>
      <c r="R628" s="30"/>
      <c r="S628" s="36"/>
      <c r="T628" s="30"/>
      <c r="U628" s="36"/>
      <c r="V628" s="30"/>
      <c r="W628" s="28"/>
      <c r="X628" s="30"/>
      <c r="Y628" s="30"/>
      <c r="Z628" s="30"/>
      <c r="AA628" s="30"/>
      <c r="AB628" s="30"/>
      <c r="AC628" s="28"/>
      <c r="AD628" s="30"/>
      <c r="AE628" s="30"/>
      <c r="AF628" s="30"/>
      <c r="AG628" s="29"/>
      <c r="AH628" s="30"/>
      <c r="AI628" s="36"/>
      <c r="AJ628" s="30"/>
      <c r="AK628" s="29"/>
      <c r="AL628" s="30"/>
      <c r="AM628" s="30"/>
      <c r="AN628" s="30"/>
      <c r="AO628" s="30"/>
      <c r="AP628" s="30"/>
      <c r="AQ628" s="38"/>
      <c r="AR628" s="30"/>
      <c r="AS628" s="30"/>
      <c r="AT628" s="29"/>
      <c r="AU628" s="30"/>
      <c r="AV628" s="30"/>
      <c r="AW628" s="30"/>
      <c r="AX628" s="29"/>
      <c r="AY628" s="39"/>
      <c r="AZ628" s="30"/>
      <c r="BA628" s="30"/>
      <c r="BB628" s="29"/>
      <c r="BC628" s="52"/>
      <c r="BD628" s="30"/>
      <c r="BE628" s="29"/>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c r="CB628" s="30"/>
      <c r="CC628" s="30"/>
      <c r="CD628" s="30"/>
      <c r="CE628" s="30"/>
      <c r="CF628" s="30"/>
      <c r="CG628" s="30"/>
      <c r="CH628" s="30"/>
      <c r="CI628" s="30"/>
      <c r="CJ628" s="30"/>
      <c r="CK628" s="30"/>
      <c r="CL628" s="30"/>
      <c r="CM628" s="30"/>
      <c r="CN628" s="30"/>
      <c r="CO628" s="30"/>
      <c r="CP628" s="30"/>
      <c r="CQ628" s="30"/>
      <c r="CR628" s="30"/>
      <c r="CS628" s="30"/>
      <c r="CT628" s="30"/>
      <c r="CU628" s="30"/>
      <c r="CV628" s="30"/>
      <c r="CW628" s="30"/>
      <c r="CX628" s="30"/>
      <c r="CY628" s="30"/>
      <c r="CZ628" s="30"/>
      <c r="DA628" s="30"/>
      <c r="DB628" s="30"/>
      <c r="DC628" s="30"/>
      <c r="DD628" s="30"/>
      <c r="DE628" s="30"/>
      <c r="DF628" s="30"/>
      <c r="DG628" s="30"/>
      <c r="DH628" s="30"/>
      <c r="DI628" s="30"/>
      <c r="DJ628" s="30"/>
      <c r="DK628" s="30"/>
      <c r="DL628" s="30"/>
      <c r="DM628" s="30"/>
      <c r="DN628" s="30"/>
      <c r="DO628" s="30"/>
      <c r="DP628" s="30"/>
      <c r="DQ628" s="30"/>
      <c r="DR628" s="30"/>
      <c r="DS628" s="30"/>
      <c r="DT628" s="30"/>
      <c r="DU628" s="30"/>
      <c r="DV628" s="30"/>
      <c r="DW628" s="30"/>
      <c r="DX628" s="30"/>
      <c r="DY628" s="30"/>
      <c r="DZ628" s="30"/>
    </row>
    <row r="629">
      <c r="A629" s="30"/>
      <c r="B629" s="42"/>
      <c r="C629" s="43"/>
      <c r="D629" s="30"/>
      <c r="E629" s="28"/>
      <c r="F629" s="30"/>
      <c r="G629" s="30"/>
      <c r="H629" s="30"/>
      <c r="I629" s="30"/>
      <c r="J629" s="28"/>
      <c r="K629" s="30"/>
      <c r="L629" s="30"/>
      <c r="M629" s="30"/>
      <c r="N629" s="30"/>
      <c r="O629" s="28"/>
      <c r="P629" s="30"/>
      <c r="Q629" s="30"/>
      <c r="R629" s="30"/>
      <c r="S629" s="36"/>
      <c r="T629" s="30"/>
      <c r="U629" s="36"/>
      <c r="V629" s="30"/>
      <c r="W629" s="28"/>
      <c r="X629" s="30"/>
      <c r="Y629" s="30"/>
      <c r="Z629" s="30"/>
      <c r="AA629" s="30"/>
      <c r="AB629" s="30"/>
      <c r="AC629" s="28"/>
      <c r="AD629" s="30"/>
      <c r="AE629" s="30"/>
      <c r="AF629" s="30"/>
      <c r="AG629" s="29"/>
      <c r="AH629" s="30"/>
      <c r="AI629" s="36"/>
      <c r="AJ629" s="30"/>
      <c r="AK629" s="29"/>
      <c r="AL629" s="30"/>
      <c r="AM629" s="30"/>
      <c r="AN629" s="30"/>
      <c r="AO629" s="30"/>
      <c r="AP629" s="30"/>
      <c r="AQ629" s="38"/>
      <c r="AR629" s="30"/>
      <c r="AS629" s="30"/>
      <c r="AT629" s="29"/>
      <c r="AU629" s="30"/>
      <c r="AV629" s="30"/>
      <c r="AW629" s="30"/>
      <c r="AX629" s="29"/>
      <c r="AY629" s="39"/>
      <c r="AZ629" s="30"/>
      <c r="BA629" s="30"/>
      <c r="BB629" s="29"/>
      <c r="BC629" s="52"/>
      <c r="BD629" s="30"/>
      <c r="BE629" s="29"/>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c r="CB629" s="30"/>
      <c r="CC629" s="30"/>
      <c r="CD629" s="30"/>
      <c r="CE629" s="30"/>
      <c r="CF629" s="30"/>
      <c r="CG629" s="30"/>
      <c r="CH629" s="30"/>
      <c r="CI629" s="30"/>
      <c r="CJ629" s="30"/>
      <c r="CK629" s="30"/>
      <c r="CL629" s="30"/>
      <c r="CM629" s="30"/>
      <c r="CN629" s="30"/>
      <c r="CO629" s="30"/>
      <c r="CP629" s="30"/>
      <c r="CQ629" s="30"/>
      <c r="CR629" s="30"/>
      <c r="CS629" s="30"/>
      <c r="CT629" s="30"/>
      <c r="CU629" s="30"/>
      <c r="CV629" s="30"/>
      <c r="CW629" s="30"/>
      <c r="CX629" s="30"/>
      <c r="CY629" s="30"/>
      <c r="CZ629" s="30"/>
      <c r="DA629" s="30"/>
      <c r="DB629" s="30"/>
      <c r="DC629" s="30"/>
      <c r="DD629" s="30"/>
      <c r="DE629" s="30"/>
      <c r="DF629" s="30"/>
      <c r="DG629" s="30"/>
      <c r="DH629" s="30"/>
      <c r="DI629" s="30"/>
      <c r="DJ629" s="30"/>
      <c r="DK629" s="30"/>
      <c r="DL629" s="30"/>
      <c r="DM629" s="30"/>
      <c r="DN629" s="30"/>
      <c r="DO629" s="30"/>
      <c r="DP629" s="30"/>
      <c r="DQ629" s="30"/>
      <c r="DR629" s="30"/>
      <c r="DS629" s="30"/>
      <c r="DT629" s="30"/>
      <c r="DU629" s="30"/>
      <c r="DV629" s="30"/>
      <c r="DW629" s="30"/>
      <c r="DX629" s="30"/>
      <c r="DY629" s="30"/>
      <c r="DZ629" s="30"/>
    </row>
    <row r="630">
      <c r="A630" s="30"/>
      <c r="B630" s="42"/>
      <c r="C630" s="43"/>
      <c r="D630" s="30"/>
      <c r="E630" s="28"/>
      <c r="F630" s="30"/>
      <c r="G630" s="30"/>
      <c r="H630" s="30"/>
      <c r="I630" s="30"/>
      <c r="J630" s="28"/>
      <c r="K630" s="30"/>
      <c r="L630" s="30"/>
      <c r="M630" s="30"/>
      <c r="N630" s="30"/>
      <c r="O630" s="28"/>
      <c r="P630" s="30"/>
      <c r="Q630" s="30"/>
      <c r="R630" s="30"/>
      <c r="S630" s="36"/>
      <c r="T630" s="30"/>
      <c r="U630" s="36"/>
      <c r="V630" s="30"/>
      <c r="W630" s="28"/>
      <c r="X630" s="30"/>
      <c r="Y630" s="30"/>
      <c r="Z630" s="30"/>
      <c r="AA630" s="30"/>
      <c r="AB630" s="30"/>
      <c r="AC630" s="28"/>
      <c r="AD630" s="30"/>
      <c r="AE630" s="30"/>
      <c r="AF630" s="30"/>
      <c r="AG630" s="29"/>
      <c r="AH630" s="30"/>
      <c r="AI630" s="36"/>
      <c r="AJ630" s="30"/>
      <c r="AK630" s="29"/>
      <c r="AL630" s="30"/>
      <c r="AM630" s="30"/>
      <c r="AN630" s="30"/>
      <c r="AO630" s="30"/>
      <c r="AP630" s="30"/>
      <c r="AQ630" s="38"/>
      <c r="AR630" s="30"/>
      <c r="AS630" s="30"/>
      <c r="AT630" s="29"/>
      <c r="AU630" s="30"/>
      <c r="AV630" s="30"/>
      <c r="AW630" s="30"/>
      <c r="AX630" s="29"/>
      <c r="AY630" s="39"/>
      <c r="AZ630" s="30"/>
      <c r="BA630" s="30"/>
      <c r="BB630" s="29"/>
      <c r="BC630" s="52"/>
      <c r="BD630" s="30"/>
      <c r="BE630" s="29"/>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c r="CB630" s="30"/>
      <c r="CC630" s="30"/>
      <c r="CD630" s="30"/>
      <c r="CE630" s="30"/>
      <c r="CF630" s="30"/>
      <c r="CG630" s="30"/>
      <c r="CH630" s="30"/>
      <c r="CI630" s="30"/>
      <c r="CJ630" s="30"/>
      <c r="CK630" s="30"/>
      <c r="CL630" s="30"/>
      <c r="CM630" s="30"/>
      <c r="CN630" s="30"/>
      <c r="CO630" s="30"/>
      <c r="CP630" s="30"/>
      <c r="CQ630" s="30"/>
      <c r="CR630" s="30"/>
      <c r="CS630" s="30"/>
      <c r="CT630" s="30"/>
      <c r="CU630" s="30"/>
      <c r="CV630" s="30"/>
      <c r="CW630" s="30"/>
      <c r="CX630" s="30"/>
      <c r="CY630" s="30"/>
      <c r="CZ630" s="30"/>
      <c r="DA630" s="30"/>
      <c r="DB630" s="30"/>
      <c r="DC630" s="30"/>
      <c r="DD630" s="30"/>
      <c r="DE630" s="30"/>
      <c r="DF630" s="30"/>
      <c r="DG630" s="30"/>
      <c r="DH630" s="30"/>
      <c r="DI630" s="30"/>
      <c r="DJ630" s="30"/>
      <c r="DK630" s="30"/>
      <c r="DL630" s="30"/>
      <c r="DM630" s="30"/>
      <c r="DN630" s="30"/>
      <c r="DO630" s="30"/>
      <c r="DP630" s="30"/>
      <c r="DQ630" s="30"/>
      <c r="DR630" s="30"/>
      <c r="DS630" s="30"/>
      <c r="DT630" s="30"/>
      <c r="DU630" s="30"/>
      <c r="DV630" s="30"/>
      <c r="DW630" s="30"/>
      <c r="DX630" s="30"/>
      <c r="DY630" s="30"/>
      <c r="DZ630" s="30"/>
    </row>
    <row r="631">
      <c r="A631" s="30"/>
      <c r="B631" s="42"/>
      <c r="C631" s="43"/>
      <c r="D631" s="30"/>
      <c r="E631" s="28"/>
      <c r="F631" s="30"/>
      <c r="G631" s="30"/>
      <c r="H631" s="30"/>
      <c r="I631" s="30"/>
      <c r="J631" s="28"/>
      <c r="K631" s="30"/>
      <c r="L631" s="30"/>
      <c r="M631" s="30"/>
      <c r="N631" s="30"/>
      <c r="O631" s="28"/>
      <c r="P631" s="30"/>
      <c r="Q631" s="30"/>
      <c r="R631" s="30"/>
      <c r="S631" s="36"/>
      <c r="T631" s="30"/>
      <c r="U631" s="36"/>
      <c r="V631" s="30"/>
      <c r="W631" s="28"/>
      <c r="X631" s="30"/>
      <c r="Y631" s="30"/>
      <c r="Z631" s="30"/>
      <c r="AA631" s="30"/>
      <c r="AB631" s="30"/>
      <c r="AC631" s="28"/>
      <c r="AD631" s="30"/>
      <c r="AE631" s="30"/>
      <c r="AF631" s="30"/>
      <c r="AG631" s="29"/>
      <c r="AH631" s="30"/>
      <c r="AI631" s="36"/>
      <c r="AJ631" s="30"/>
      <c r="AK631" s="29"/>
      <c r="AL631" s="30"/>
      <c r="AM631" s="30"/>
      <c r="AN631" s="30"/>
      <c r="AO631" s="30"/>
      <c r="AP631" s="30"/>
      <c r="AQ631" s="38"/>
      <c r="AR631" s="30"/>
      <c r="AS631" s="30"/>
      <c r="AT631" s="29"/>
      <c r="AU631" s="30"/>
      <c r="AV631" s="30"/>
      <c r="AW631" s="30"/>
      <c r="AX631" s="29"/>
      <c r="AY631" s="39"/>
      <c r="AZ631" s="30"/>
      <c r="BA631" s="30"/>
      <c r="BB631" s="29"/>
      <c r="BC631" s="52"/>
      <c r="BD631" s="30"/>
      <c r="BE631" s="29"/>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0"/>
      <c r="CF631" s="30"/>
      <c r="CG631" s="30"/>
      <c r="CH631" s="30"/>
      <c r="CI631" s="30"/>
      <c r="CJ631" s="30"/>
      <c r="CK631" s="30"/>
      <c r="CL631" s="30"/>
      <c r="CM631" s="30"/>
      <c r="CN631" s="30"/>
      <c r="CO631" s="30"/>
      <c r="CP631" s="30"/>
      <c r="CQ631" s="30"/>
      <c r="CR631" s="30"/>
      <c r="CS631" s="30"/>
      <c r="CT631" s="30"/>
      <c r="CU631" s="30"/>
      <c r="CV631" s="30"/>
      <c r="CW631" s="30"/>
      <c r="CX631" s="30"/>
      <c r="CY631" s="30"/>
      <c r="CZ631" s="30"/>
      <c r="DA631" s="30"/>
      <c r="DB631" s="30"/>
      <c r="DC631" s="30"/>
      <c r="DD631" s="30"/>
      <c r="DE631" s="30"/>
      <c r="DF631" s="30"/>
      <c r="DG631" s="30"/>
      <c r="DH631" s="30"/>
      <c r="DI631" s="30"/>
      <c r="DJ631" s="30"/>
      <c r="DK631" s="30"/>
      <c r="DL631" s="30"/>
      <c r="DM631" s="30"/>
      <c r="DN631" s="30"/>
      <c r="DO631" s="30"/>
      <c r="DP631" s="30"/>
      <c r="DQ631" s="30"/>
      <c r="DR631" s="30"/>
      <c r="DS631" s="30"/>
      <c r="DT631" s="30"/>
      <c r="DU631" s="30"/>
      <c r="DV631" s="30"/>
      <c r="DW631" s="30"/>
      <c r="DX631" s="30"/>
      <c r="DY631" s="30"/>
      <c r="DZ631" s="30"/>
    </row>
    <row r="632">
      <c r="A632" s="30"/>
      <c r="B632" s="42"/>
      <c r="C632" s="43"/>
      <c r="D632" s="30"/>
      <c r="E632" s="28"/>
      <c r="F632" s="30"/>
      <c r="G632" s="30"/>
      <c r="H632" s="30"/>
      <c r="I632" s="30"/>
      <c r="J632" s="28"/>
      <c r="K632" s="30"/>
      <c r="L632" s="30"/>
      <c r="M632" s="30"/>
      <c r="N632" s="30"/>
      <c r="O632" s="28"/>
      <c r="P632" s="30"/>
      <c r="Q632" s="30"/>
      <c r="R632" s="30"/>
      <c r="S632" s="36"/>
      <c r="T632" s="30"/>
      <c r="U632" s="36"/>
      <c r="V632" s="30"/>
      <c r="W632" s="28"/>
      <c r="X632" s="30"/>
      <c r="Y632" s="30"/>
      <c r="Z632" s="30"/>
      <c r="AA632" s="30"/>
      <c r="AB632" s="30"/>
      <c r="AC632" s="28"/>
      <c r="AD632" s="30"/>
      <c r="AE632" s="30"/>
      <c r="AF632" s="30"/>
      <c r="AG632" s="29"/>
      <c r="AH632" s="30"/>
      <c r="AI632" s="36"/>
      <c r="AJ632" s="30"/>
      <c r="AK632" s="29"/>
      <c r="AL632" s="30"/>
      <c r="AM632" s="30"/>
      <c r="AN632" s="30"/>
      <c r="AO632" s="30"/>
      <c r="AP632" s="30"/>
      <c r="AQ632" s="38"/>
      <c r="AR632" s="30"/>
      <c r="AS632" s="30"/>
      <c r="AT632" s="29"/>
      <c r="AU632" s="30"/>
      <c r="AV632" s="30"/>
      <c r="AW632" s="30"/>
      <c r="AX632" s="29"/>
      <c r="AY632" s="39"/>
      <c r="AZ632" s="30"/>
      <c r="BA632" s="30"/>
      <c r="BB632" s="29"/>
      <c r="BC632" s="52"/>
      <c r="BD632" s="30"/>
      <c r="BE632" s="29"/>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c r="CB632" s="30"/>
      <c r="CC632" s="30"/>
      <c r="CD632" s="30"/>
      <c r="CE632" s="30"/>
      <c r="CF632" s="30"/>
      <c r="CG632" s="30"/>
      <c r="CH632" s="30"/>
      <c r="CI632" s="30"/>
      <c r="CJ632" s="30"/>
      <c r="CK632" s="30"/>
      <c r="CL632" s="30"/>
      <c r="CM632" s="30"/>
      <c r="CN632" s="30"/>
      <c r="CO632" s="30"/>
      <c r="CP632" s="30"/>
      <c r="CQ632" s="30"/>
      <c r="CR632" s="30"/>
      <c r="CS632" s="30"/>
      <c r="CT632" s="30"/>
      <c r="CU632" s="30"/>
      <c r="CV632" s="30"/>
      <c r="CW632" s="30"/>
      <c r="CX632" s="30"/>
      <c r="CY632" s="30"/>
      <c r="CZ632" s="30"/>
      <c r="DA632" s="30"/>
      <c r="DB632" s="30"/>
      <c r="DC632" s="30"/>
      <c r="DD632" s="30"/>
      <c r="DE632" s="30"/>
      <c r="DF632" s="30"/>
      <c r="DG632" s="30"/>
      <c r="DH632" s="30"/>
      <c r="DI632" s="30"/>
      <c r="DJ632" s="30"/>
      <c r="DK632" s="30"/>
      <c r="DL632" s="30"/>
      <c r="DM632" s="30"/>
      <c r="DN632" s="30"/>
      <c r="DO632" s="30"/>
      <c r="DP632" s="30"/>
      <c r="DQ632" s="30"/>
      <c r="DR632" s="30"/>
      <c r="DS632" s="30"/>
      <c r="DT632" s="30"/>
      <c r="DU632" s="30"/>
      <c r="DV632" s="30"/>
      <c r="DW632" s="30"/>
      <c r="DX632" s="30"/>
      <c r="DY632" s="30"/>
      <c r="DZ632" s="30"/>
    </row>
    <row r="633">
      <c r="A633" s="30"/>
      <c r="B633" s="42"/>
      <c r="C633" s="43"/>
      <c r="D633" s="30"/>
      <c r="E633" s="28"/>
      <c r="F633" s="30"/>
      <c r="G633" s="30"/>
      <c r="H633" s="30"/>
      <c r="I633" s="30"/>
      <c r="J633" s="28"/>
      <c r="K633" s="30"/>
      <c r="L633" s="30"/>
      <c r="M633" s="30"/>
      <c r="N633" s="30"/>
      <c r="O633" s="28"/>
      <c r="P633" s="30"/>
      <c r="Q633" s="30"/>
      <c r="R633" s="30"/>
      <c r="S633" s="36"/>
      <c r="T633" s="30"/>
      <c r="U633" s="36"/>
      <c r="V633" s="30"/>
      <c r="W633" s="28"/>
      <c r="X633" s="30"/>
      <c r="Y633" s="30"/>
      <c r="Z633" s="30"/>
      <c r="AA633" s="30"/>
      <c r="AB633" s="30"/>
      <c r="AC633" s="28"/>
      <c r="AD633" s="30"/>
      <c r="AE633" s="30"/>
      <c r="AF633" s="30"/>
      <c r="AG633" s="29"/>
      <c r="AH633" s="30"/>
      <c r="AI633" s="36"/>
      <c r="AJ633" s="30"/>
      <c r="AK633" s="29"/>
      <c r="AL633" s="30"/>
      <c r="AM633" s="30"/>
      <c r="AN633" s="30"/>
      <c r="AO633" s="30"/>
      <c r="AP633" s="30"/>
      <c r="AQ633" s="38"/>
      <c r="AR633" s="30"/>
      <c r="AS633" s="30"/>
      <c r="AT633" s="29"/>
      <c r="AU633" s="30"/>
      <c r="AV633" s="30"/>
      <c r="AW633" s="30"/>
      <c r="AX633" s="29"/>
      <c r="AY633" s="39"/>
      <c r="AZ633" s="30"/>
      <c r="BA633" s="30"/>
      <c r="BB633" s="29"/>
      <c r="BC633" s="52"/>
      <c r="BD633" s="30"/>
      <c r="BE633" s="29"/>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row>
    <row r="634">
      <c r="A634" s="30"/>
      <c r="B634" s="42"/>
      <c r="C634" s="43"/>
      <c r="D634" s="30"/>
      <c r="E634" s="28"/>
      <c r="F634" s="30"/>
      <c r="G634" s="30"/>
      <c r="H634" s="30"/>
      <c r="I634" s="30"/>
      <c r="J634" s="28"/>
      <c r="K634" s="30"/>
      <c r="L634" s="30"/>
      <c r="M634" s="30"/>
      <c r="N634" s="30"/>
      <c r="O634" s="28"/>
      <c r="P634" s="30"/>
      <c r="Q634" s="30"/>
      <c r="R634" s="30"/>
      <c r="S634" s="36"/>
      <c r="T634" s="30"/>
      <c r="U634" s="36"/>
      <c r="V634" s="30"/>
      <c r="W634" s="28"/>
      <c r="X634" s="30"/>
      <c r="Y634" s="30"/>
      <c r="Z634" s="30"/>
      <c r="AA634" s="30"/>
      <c r="AB634" s="30"/>
      <c r="AC634" s="28"/>
      <c r="AD634" s="30"/>
      <c r="AE634" s="30"/>
      <c r="AF634" s="30"/>
      <c r="AG634" s="29"/>
      <c r="AH634" s="30"/>
      <c r="AI634" s="36"/>
      <c r="AJ634" s="30"/>
      <c r="AK634" s="29"/>
      <c r="AL634" s="30"/>
      <c r="AM634" s="30"/>
      <c r="AN634" s="30"/>
      <c r="AO634" s="30"/>
      <c r="AP634" s="30"/>
      <c r="AQ634" s="38"/>
      <c r="AR634" s="30"/>
      <c r="AS634" s="30"/>
      <c r="AT634" s="29"/>
      <c r="AU634" s="30"/>
      <c r="AV634" s="30"/>
      <c r="AW634" s="30"/>
      <c r="AX634" s="29"/>
      <c r="AY634" s="39"/>
      <c r="AZ634" s="30"/>
      <c r="BA634" s="30"/>
      <c r="BB634" s="29"/>
      <c r="BC634" s="52"/>
      <c r="BD634" s="30"/>
      <c r="BE634" s="29"/>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c r="CB634" s="30"/>
      <c r="CC634" s="30"/>
      <c r="CD634" s="30"/>
      <c r="CE634" s="30"/>
      <c r="CF634" s="30"/>
      <c r="CG634" s="30"/>
      <c r="CH634" s="30"/>
      <c r="CI634" s="30"/>
      <c r="CJ634" s="30"/>
      <c r="CK634" s="30"/>
      <c r="CL634" s="30"/>
      <c r="CM634" s="30"/>
      <c r="CN634" s="30"/>
      <c r="CO634" s="30"/>
      <c r="CP634" s="30"/>
      <c r="CQ634" s="30"/>
      <c r="CR634" s="30"/>
      <c r="CS634" s="30"/>
      <c r="CT634" s="30"/>
      <c r="CU634" s="30"/>
      <c r="CV634" s="30"/>
      <c r="CW634" s="30"/>
      <c r="CX634" s="30"/>
      <c r="CY634" s="30"/>
      <c r="CZ634" s="30"/>
      <c r="DA634" s="30"/>
      <c r="DB634" s="30"/>
      <c r="DC634" s="30"/>
      <c r="DD634" s="30"/>
      <c r="DE634" s="30"/>
      <c r="DF634" s="30"/>
      <c r="DG634" s="30"/>
      <c r="DH634" s="30"/>
      <c r="DI634" s="30"/>
      <c r="DJ634" s="30"/>
      <c r="DK634" s="30"/>
      <c r="DL634" s="30"/>
      <c r="DM634" s="30"/>
      <c r="DN634" s="30"/>
      <c r="DO634" s="30"/>
      <c r="DP634" s="30"/>
      <c r="DQ634" s="30"/>
      <c r="DR634" s="30"/>
      <c r="DS634" s="30"/>
      <c r="DT634" s="30"/>
      <c r="DU634" s="30"/>
      <c r="DV634" s="30"/>
      <c r="DW634" s="30"/>
      <c r="DX634" s="30"/>
      <c r="DY634" s="30"/>
      <c r="DZ634" s="30"/>
    </row>
    <row r="635">
      <c r="A635" s="30"/>
      <c r="B635" s="42"/>
      <c r="C635" s="43"/>
      <c r="D635" s="30"/>
      <c r="E635" s="28"/>
      <c r="F635" s="30"/>
      <c r="G635" s="30"/>
      <c r="H635" s="30"/>
      <c r="I635" s="30"/>
      <c r="J635" s="28"/>
      <c r="K635" s="30"/>
      <c r="L635" s="30"/>
      <c r="M635" s="30"/>
      <c r="N635" s="30"/>
      <c r="O635" s="28"/>
      <c r="P635" s="30"/>
      <c r="Q635" s="30"/>
      <c r="R635" s="30"/>
      <c r="S635" s="36"/>
      <c r="T635" s="30"/>
      <c r="U635" s="36"/>
      <c r="V635" s="30"/>
      <c r="W635" s="28"/>
      <c r="X635" s="30"/>
      <c r="Y635" s="30"/>
      <c r="Z635" s="30"/>
      <c r="AA635" s="30"/>
      <c r="AB635" s="30"/>
      <c r="AC635" s="28"/>
      <c r="AD635" s="30"/>
      <c r="AE635" s="30"/>
      <c r="AF635" s="30"/>
      <c r="AG635" s="29"/>
      <c r="AH635" s="30"/>
      <c r="AI635" s="36"/>
      <c r="AJ635" s="30"/>
      <c r="AK635" s="29"/>
      <c r="AL635" s="30"/>
      <c r="AM635" s="30"/>
      <c r="AN635" s="30"/>
      <c r="AO635" s="30"/>
      <c r="AP635" s="30"/>
      <c r="AQ635" s="38"/>
      <c r="AR635" s="30"/>
      <c r="AS635" s="30"/>
      <c r="AT635" s="29"/>
      <c r="AU635" s="30"/>
      <c r="AV635" s="30"/>
      <c r="AW635" s="30"/>
      <c r="AX635" s="29"/>
      <c r="AY635" s="39"/>
      <c r="AZ635" s="30"/>
      <c r="BA635" s="30"/>
      <c r="BB635" s="29"/>
      <c r="BC635" s="52"/>
      <c r="BD635" s="30"/>
      <c r="BE635" s="29"/>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c r="CB635" s="30"/>
      <c r="CC635" s="30"/>
      <c r="CD635" s="30"/>
      <c r="CE635" s="30"/>
      <c r="CF635" s="30"/>
      <c r="CG635" s="30"/>
      <c r="CH635" s="30"/>
      <c r="CI635" s="30"/>
      <c r="CJ635" s="30"/>
      <c r="CK635" s="30"/>
      <c r="CL635" s="30"/>
      <c r="CM635" s="30"/>
      <c r="CN635" s="30"/>
      <c r="CO635" s="30"/>
      <c r="CP635" s="30"/>
      <c r="CQ635" s="30"/>
      <c r="CR635" s="30"/>
      <c r="CS635" s="30"/>
      <c r="CT635" s="30"/>
      <c r="CU635" s="30"/>
      <c r="CV635" s="30"/>
      <c r="CW635" s="30"/>
      <c r="CX635" s="30"/>
      <c r="CY635" s="30"/>
      <c r="CZ635" s="30"/>
      <c r="DA635" s="30"/>
      <c r="DB635" s="30"/>
      <c r="DC635" s="30"/>
      <c r="DD635" s="30"/>
      <c r="DE635" s="30"/>
      <c r="DF635" s="30"/>
      <c r="DG635" s="30"/>
      <c r="DH635" s="30"/>
      <c r="DI635" s="30"/>
      <c r="DJ635" s="30"/>
      <c r="DK635" s="30"/>
      <c r="DL635" s="30"/>
      <c r="DM635" s="30"/>
      <c r="DN635" s="30"/>
      <c r="DO635" s="30"/>
      <c r="DP635" s="30"/>
      <c r="DQ635" s="30"/>
      <c r="DR635" s="30"/>
      <c r="DS635" s="30"/>
      <c r="DT635" s="30"/>
      <c r="DU635" s="30"/>
      <c r="DV635" s="30"/>
      <c r="DW635" s="30"/>
      <c r="DX635" s="30"/>
      <c r="DY635" s="30"/>
      <c r="DZ635" s="30"/>
    </row>
    <row r="636">
      <c r="A636" s="30"/>
      <c r="B636" s="42"/>
      <c r="C636" s="43"/>
      <c r="D636" s="30"/>
      <c r="E636" s="28"/>
      <c r="F636" s="30"/>
      <c r="G636" s="30"/>
      <c r="H636" s="30"/>
      <c r="I636" s="30"/>
      <c r="J636" s="28"/>
      <c r="K636" s="30"/>
      <c r="L636" s="30"/>
      <c r="M636" s="30"/>
      <c r="N636" s="30"/>
      <c r="O636" s="28"/>
      <c r="P636" s="30"/>
      <c r="Q636" s="30"/>
      <c r="R636" s="30"/>
      <c r="S636" s="36"/>
      <c r="T636" s="30"/>
      <c r="U636" s="36"/>
      <c r="V636" s="30"/>
      <c r="W636" s="28"/>
      <c r="X636" s="30"/>
      <c r="Y636" s="30"/>
      <c r="Z636" s="30"/>
      <c r="AA636" s="30"/>
      <c r="AB636" s="30"/>
      <c r="AC636" s="28"/>
      <c r="AD636" s="30"/>
      <c r="AE636" s="30"/>
      <c r="AF636" s="30"/>
      <c r="AG636" s="29"/>
      <c r="AH636" s="30"/>
      <c r="AI636" s="36"/>
      <c r="AJ636" s="30"/>
      <c r="AK636" s="29"/>
      <c r="AL636" s="30"/>
      <c r="AM636" s="30"/>
      <c r="AN636" s="30"/>
      <c r="AO636" s="30"/>
      <c r="AP636" s="30"/>
      <c r="AQ636" s="38"/>
      <c r="AR636" s="30"/>
      <c r="AS636" s="30"/>
      <c r="AT636" s="29"/>
      <c r="AU636" s="30"/>
      <c r="AV636" s="30"/>
      <c r="AW636" s="30"/>
      <c r="AX636" s="29"/>
      <c r="AY636" s="39"/>
      <c r="AZ636" s="30"/>
      <c r="BA636" s="30"/>
      <c r="BB636" s="29"/>
      <c r="BC636" s="52"/>
      <c r="BD636" s="30"/>
      <c r="BE636" s="29"/>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c r="CE636" s="30"/>
      <c r="CF636" s="30"/>
      <c r="CG636" s="30"/>
      <c r="CH636" s="30"/>
      <c r="CI636" s="30"/>
      <c r="CJ636" s="30"/>
      <c r="CK636" s="30"/>
      <c r="CL636" s="30"/>
      <c r="CM636" s="30"/>
      <c r="CN636" s="30"/>
      <c r="CO636" s="30"/>
      <c r="CP636" s="30"/>
      <c r="CQ636" s="30"/>
      <c r="CR636" s="30"/>
      <c r="CS636" s="30"/>
      <c r="CT636" s="30"/>
      <c r="CU636" s="30"/>
      <c r="CV636" s="30"/>
      <c r="CW636" s="30"/>
      <c r="CX636" s="30"/>
      <c r="CY636" s="30"/>
      <c r="CZ636" s="30"/>
      <c r="DA636" s="30"/>
      <c r="DB636" s="30"/>
      <c r="DC636" s="30"/>
      <c r="DD636" s="30"/>
      <c r="DE636" s="30"/>
      <c r="DF636" s="30"/>
      <c r="DG636" s="30"/>
      <c r="DH636" s="30"/>
      <c r="DI636" s="30"/>
      <c r="DJ636" s="30"/>
      <c r="DK636" s="30"/>
      <c r="DL636" s="30"/>
      <c r="DM636" s="30"/>
      <c r="DN636" s="30"/>
      <c r="DO636" s="30"/>
      <c r="DP636" s="30"/>
      <c r="DQ636" s="30"/>
      <c r="DR636" s="30"/>
      <c r="DS636" s="30"/>
      <c r="DT636" s="30"/>
      <c r="DU636" s="30"/>
      <c r="DV636" s="30"/>
      <c r="DW636" s="30"/>
      <c r="DX636" s="30"/>
      <c r="DY636" s="30"/>
      <c r="DZ636" s="30"/>
    </row>
    <row r="637">
      <c r="A637" s="30"/>
      <c r="B637" s="42"/>
      <c r="C637" s="43"/>
      <c r="D637" s="30"/>
      <c r="E637" s="28"/>
      <c r="F637" s="30"/>
      <c r="G637" s="30"/>
      <c r="H637" s="30"/>
      <c r="I637" s="30"/>
      <c r="J637" s="28"/>
      <c r="K637" s="30"/>
      <c r="L637" s="30"/>
      <c r="M637" s="30"/>
      <c r="N637" s="30"/>
      <c r="O637" s="28"/>
      <c r="P637" s="30"/>
      <c r="Q637" s="30"/>
      <c r="R637" s="30"/>
      <c r="S637" s="36"/>
      <c r="T637" s="30"/>
      <c r="U637" s="36"/>
      <c r="V637" s="30"/>
      <c r="W637" s="28"/>
      <c r="X637" s="30"/>
      <c r="Y637" s="30"/>
      <c r="Z637" s="30"/>
      <c r="AA637" s="30"/>
      <c r="AB637" s="30"/>
      <c r="AC637" s="28"/>
      <c r="AD637" s="30"/>
      <c r="AE637" s="30"/>
      <c r="AF637" s="30"/>
      <c r="AG637" s="29"/>
      <c r="AH637" s="30"/>
      <c r="AI637" s="36"/>
      <c r="AJ637" s="30"/>
      <c r="AK637" s="29"/>
      <c r="AL637" s="30"/>
      <c r="AM637" s="30"/>
      <c r="AN637" s="30"/>
      <c r="AO637" s="30"/>
      <c r="AP637" s="30"/>
      <c r="AQ637" s="38"/>
      <c r="AR637" s="30"/>
      <c r="AS637" s="30"/>
      <c r="AT637" s="29"/>
      <c r="AU637" s="30"/>
      <c r="AV637" s="30"/>
      <c r="AW637" s="30"/>
      <c r="AX637" s="29"/>
      <c r="AY637" s="39"/>
      <c r="AZ637" s="30"/>
      <c r="BA637" s="30"/>
      <c r="BB637" s="29"/>
      <c r="BC637" s="52"/>
      <c r="BD637" s="30"/>
      <c r="BE637" s="29"/>
      <c r="BF637" s="30"/>
      <c r="BG637" s="30"/>
      <c r="BH637" s="30"/>
      <c r="BI637" s="30"/>
      <c r="BJ637" s="30"/>
      <c r="BK637" s="30"/>
      <c r="BL637" s="30"/>
      <c r="BM637" s="30"/>
      <c r="BN637" s="30"/>
      <c r="BO637" s="30"/>
      <c r="BP637" s="30"/>
      <c r="BQ637" s="30"/>
      <c r="BR637" s="30"/>
      <c r="BS637" s="30"/>
      <c r="BT637" s="30"/>
      <c r="BU637" s="30"/>
      <c r="BV637" s="30"/>
      <c r="BW637" s="30"/>
      <c r="BX637" s="30"/>
      <c r="BY637" s="30"/>
      <c r="BZ637" s="30"/>
      <c r="CA637" s="30"/>
      <c r="CB637" s="30"/>
      <c r="CC637" s="30"/>
      <c r="CD637" s="30"/>
      <c r="CE637" s="30"/>
      <c r="CF637" s="30"/>
      <c r="CG637" s="30"/>
      <c r="CH637" s="30"/>
      <c r="CI637" s="30"/>
      <c r="CJ637" s="30"/>
      <c r="CK637" s="30"/>
      <c r="CL637" s="30"/>
      <c r="CM637" s="30"/>
      <c r="CN637" s="30"/>
      <c r="CO637" s="30"/>
      <c r="CP637" s="30"/>
      <c r="CQ637" s="30"/>
      <c r="CR637" s="30"/>
      <c r="CS637" s="30"/>
      <c r="CT637" s="30"/>
      <c r="CU637" s="30"/>
      <c r="CV637" s="30"/>
      <c r="CW637" s="30"/>
      <c r="CX637" s="30"/>
      <c r="CY637" s="30"/>
      <c r="CZ637" s="30"/>
      <c r="DA637" s="30"/>
      <c r="DB637" s="30"/>
      <c r="DC637" s="30"/>
      <c r="DD637" s="30"/>
      <c r="DE637" s="30"/>
      <c r="DF637" s="30"/>
      <c r="DG637" s="30"/>
      <c r="DH637" s="30"/>
      <c r="DI637" s="30"/>
      <c r="DJ637" s="30"/>
      <c r="DK637" s="30"/>
      <c r="DL637" s="30"/>
      <c r="DM637" s="30"/>
      <c r="DN637" s="30"/>
      <c r="DO637" s="30"/>
      <c r="DP637" s="30"/>
      <c r="DQ637" s="30"/>
      <c r="DR637" s="30"/>
      <c r="DS637" s="30"/>
      <c r="DT637" s="30"/>
      <c r="DU637" s="30"/>
      <c r="DV637" s="30"/>
      <c r="DW637" s="30"/>
      <c r="DX637" s="30"/>
      <c r="DY637" s="30"/>
      <c r="DZ637" s="30"/>
    </row>
    <row r="638">
      <c r="A638" s="30"/>
      <c r="B638" s="42"/>
      <c r="C638" s="43"/>
      <c r="D638" s="30"/>
      <c r="E638" s="28"/>
      <c r="F638" s="30"/>
      <c r="G638" s="30"/>
      <c r="H638" s="30"/>
      <c r="I638" s="30"/>
      <c r="J638" s="28"/>
      <c r="K638" s="30"/>
      <c r="L638" s="30"/>
      <c r="M638" s="30"/>
      <c r="N638" s="30"/>
      <c r="O638" s="28"/>
      <c r="P638" s="30"/>
      <c r="Q638" s="30"/>
      <c r="R638" s="30"/>
      <c r="S638" s="36"/>
      <c r="T638" s="30"/>
      <c r="U638" s="36"/>
      <c r="V638" s="30"/>
      <c r="W638" s="28"/>
      <c r="X638" s="30"/>
      <c r="Y638" s="30"/>
      <c r="Z638" s="30"/>
      <c r="AA638" s="30"/>
      <c r="AB638" s="30"/>
      <c r="AC638" s="28"/>
      <c r="AD638" s="30"/>
      <c r="AE638" s="30"/>
      <c r="AF638" s="30"/>
      <c r="AG638" s="29"/>
      <c r="AH638" s="30"/>
      <c r="AI638" s="36"/>
      <c r="AJ638" s="30"/>
      <c r="AK638" s="29"/>
      <c r="AL638" s="30"/>
      <c r="AM638" s="30"/>
      <c r="AN638" s="30"/>
      <c r="AO638" s="30"/>
      <c r="AP638" s="30"/>
      <c r="AQ638" s="38"/>
      <c r="AR638" s="30"/>
      <c r="AS638" s="30"/>
      <c r="AT638" s="29"/>
      <c r="AU638" s="30"/>
      <c r="AV638" s="30"/>
      <c r="AW638" s="30"/>
      <c r="AX638" s="29"/>
      <c r="AY638" s="39"/>
      <c r="AZ638" s="30"/>
      <c r="BA638" s="30"/>
      <c r="BB638" s="29"/>
      <c r="BC638" s="52"/>
      <c r="BD638" s="30"/>
      <c r="BE638" s="29"/>
      <c r="BF638" s="30"/>
      <c r="BG638" s="30"/>
      <c r="BH638" s="30"/>
      <c r="BI638" s="30"/>
      <c r="BJ638" s="30"/>
      <c r="BK638" s="30"/>
      <c r="BL638" s="30"/>
      <c r="BM638" s="30"/>
      <c r="BN638" s="30"/>
      <c r="BO638" s="30"/>
      <c r="BP638" s="30"/>
      <c r="BQ638" s="30"/>
      <c r="BR638" s="30"/>
      <c r="BS638" s="30"/>
      <c r="BT638" s="30"/>
      <c r="BU638" s="30"/>
      <c r="BV638" s="30"/>
      <c r="BW638" s="30"/>
      <c r="BX638" s="30"/>
      <c r="BY638" s="30"/>
      <c r="BZ638" s="30"/>
      <c r="CA638" s="30"/>
      <c r="CB638" s="30"/>
      <c r="CC638" s="30"/>
      <c r="CD638" s="30"/>
      <c r="CE638" s="30"/>
      <c r="CF638" s="30"/>
      <c r="CG638" s="30"/>
      <c r="CH638" s="30"/>
      <c r="CI638" s="30"/>
      <c r="CJ638" s="30"/>
      <c r="CK638" s="30"/>
      <c r="CL638" s="30"/>
      <c r="CM638" s="30"/>
      <c r="CN638" s="30"/>
      <c r="CO638" s="30"/>
      <c r="CP638" s="30"/>
      <c r="CQ638" s="30"/>
      <c r="CR638" s="30"/>
      <c r="CS638" s="30"/>
      <c r="CT638" s="30"/>
      <c r="CU638" s="30"/>
      <c r="CV638" s="30"/>
      <c r="CW638" s="30"/>
      <c r="CX638" s="30"/>
      <c r="CY638" s="30"/>
      <c r="CZ638" s="30"/>
      <c r="DA638" s="30"/>
      <c r="DB638" s="30"/>
      <c r="DC638" s="30"/>
      <c r="DD638" s="30"/>
      <c r="DE638" s="30"/>
      <c r="DF638" s="30"/>
      <c r="DG638" s="30"/>
      <c r="DH638" s="30"/>
      <c r="DI638" s="30"/>
      <c r="DJ638" s="30"/>
      <c r="DK638" s="30"/>
      <c r="DL638" s="30"/>
      <c r="DM638" s="30"/>
      <c r="DN638" s="30"/>
      <c r="DO638" s="30"/>
      <c r="DP638" s="30"/>
      <c r="DQ638" s="30"/>
      <c r="DR638" s="30"/>
      <c r="DS638" s="30"/>
      <c r="DT638" s="30"/>
      <c r="DU638" s="30"/>
      <c r="DV638" s="30"/>
      <c r="DW638" s="30"/>
      <c r="DX638" s="30"/>
      <c r="DY638" s="30"/>
      <c r="DZ638" s="30"/>
    </row>
    <row r="639">
      <c r="A639" s="30"/>
      <c r="B639" s="42"/>
      <c r="C639" s="43"/>
      <c r="D639" s="30"/>
      <c r="E639" s="28"/>
      <c r="F639" s="30"/>
      <c r="G639" s="30"/>
      <c r="H639" s="30"/>
      <c r="I639" s="30"/>
      <c r="J639" s="28"/>
      <c r="K639" s="30"/>
      <c r="L639" s="30"/>
      <c r="M639" s="30"/>
      <c r="N639" s="30"/>
      <c r="O639" s="28"/>
      <c r="P639" s="30"/>
      <c r="Q639" s="30"/>
      <c r="R639" s="30"/>
      <c r="S639" s="36"/>
      <c r="T639" s="30"/>
      <c r="U639" s="36"/>
      <c r="V639" s="30"/>
      <c r="W639" s="28"/>
      <c r="X639" s="30"/>
      <c r="Y639" s="30"/>
      <c r="Z639" s="30"/>
      <c r="AA639" s="30"/>
      <c r="AB639" s="30"/>
      <c r="AC639" s="28"/>
      <c r="AD639" s="30"/>
      <c r="AE639" s="30"/>
      <c r="AF639" s="30"/>
      <c r="AG639" s="29"/>
      <c r="AH639" s="30"/>
      <c r="AI639" s="36"/>
      <c r="AJ639" s="30"/>
      <c r="AK639" s="29"/>
      <c r="AL639" s="30"/>
      <c r="AM639" s="30"/>
      <c r="AN639" s="30"/>
      <c r="AO639" s="30"/>
      <c r="AP639" s="30"/>
      <c r="AQ639" s="38"/>
      <c r="AR639" s="30"/>
      <c r="AS639" s="30"/>
      <c r="AT639" s="29"/>
      <c r="AU639" s="30"/>
      <c r="AV639" s="30"/>
      <c r="AW639" s="30"/>
      <c r="AX639" s="29"/>
      <c r="AY639" s="39"/>
      <c r="AZ639" s="30"/>
      <c r="BA639" s="30"/>
      <c r="BB639" s="29"/>
      <c r="BC639" s="52"/>
      <c r="BD639" s="30"/>
      <c r="BE639" s="29"/>
      <c r="BF639" s="30"/>
      <c r="BG639" s="30"/>
      <c r="BH639" s="30"/>
      <c r="BI639" s="30"/>
      <c r="BJ639" s="30"/>
      <c r="BK639" s="30"/>
      <c r="BL639" s="30"/>
      <c r="BM639" s="30"/>
      <c r="BN639" s="30"/>
      <c r="BO639" s="30"/>
      <c r="BP639" s="30"/>
      <c r="BQ639" s="30"/>
      <c r="BR639" s="30"/>
      <c r="BS639" s="30"/>
      <c r="BT639" s="30"/>
      <c r="BU639" s="30"/>
      <c r="BV639" s="30"/>
      <c r="BW639" s="30"/>
      <c r="BX639" s="30"/>
      <c r="BY639" s="30"/>
      <c r="BZ639" s="30"/>
      <c r="CA639" s="30"/>
      <c r="CB639" s="30"/>
      <c r="CC639" s="30"/>
      <c r="CD639" s="30"/>
      <c r="CE639" s="30"/>
      <c r="CF639" s="30"/>
      <c r="CG639" s="30"/>
      <c r="CH639" s="30"/>
      <c r="CI639" s="30"/>
      <c r="CJ639" s="30"/>
      <c r="CK639" s="30"/>
      <c r="CL639" s="30"/>
      <c r="CM639" s="30"/>
      <c r="CN639" s="30"/>
      <c r="CO639" s="30"/>
      <c r="CP639" s="30"/>
      <c r="CQ639" s="30"/>
      <c r="CR639" s="30"/>
      <c r="CS639" s="30"/>
      <c r="CT639" s="30"/>
      <c r="CU639" s="30"/>
      <c r="CV639" s="30"/>
      <c r="CW639" s="30"/>
      <c r="CX639" s="30"/>
      <c r="CY639" s="30"/>
      <c r="CZ639" s="30"/>
      <c r="DA639" s="30"/>
      <c r="DB639" s="30"/>
      <c r="DC639" s="30"/>
      <c r="DD639" s="30"/>
      <c r="DE639" s="30"/>
      <c r="DF639" s="30"/>
      <c r="DG639" s="30"/>
      <c r="DH639" s="30"/>
      <c r="DI639" s="30"/>
      <c r="DJ639" s="30"/>
      <c r="DK639" s="30"/>
      <c r="DL639" s="30"/>
      <c r="DM639" s="30"/>
      <c r="DN639" s="30"/>
      <c r="DO639" s="30"/>
      <c r="DP639" s="30"/>
      <c r="DQ639" s="30"/>
      <c r="DR639" s="30"/>
      <c r="DS639" s="30"/>
      <c r="DT639" s="30"/>
      <c r="DU639" s="30"/>
      <c r="DV639" s="30"/>
      <c r="DW639" s="30"/>
      <c r="DX639" s="30"/>
      <c r="DY639" s="30"/>
      <c r="DZ639" s="30"/>
    </row>
    <row r="640">
      <c r="A640" s="30"/>
      <c r="B640" s="42"/>
      <c r="C640" s="43"/>
      <c r="D640" s="30"/>
      <c r="E640" s="28"/>
      <c r="F640" s="30"/>
      <c r="G640" s="30"/>
      <c r="H640" s="30"/>
      <c r="I640" s="30"/>
      <c r="J640" s="28"/>
      <c r="K640" s="30"/>
      <c r="L640" s="30"/>
      <c r="M640" s="30"/>
      <c r="N640" s="30"/>
      <c r="O640" s="28"/>
      <c r="P640" s="30"/>
      <c r="Q640" s="30"/>
      <c r="R640" s="30"/>
      <c r="S640" s="36"/>
      <c r="T640" s="30"/>
      <c r="U640" s="36"/>
      <c r="V640" s="30"/>
      <c r="W640" s="28"/>
      <c r="X640" s="30"/>
      <c r="Y640" s="30"/>
      <c r="Z640" s="30"/>
      <c r="AA640" s="30"/>
      <c r="AB640" s="30"/>
      <c r="AC640" s="28"/>
      <c r="AD640" s="30"/>
      <c r="AE640" s="30"/>
      <c r="AF640" s="30"/>
      <c r="AG640" s="29"/>
      <c r="AH640" s="30"/>
      <c r="AI640" s="36"/>
      <c r="AJ640" s="30"/>
      <c r="AK640" s="29"/>
      <c r="AL640" s="30"/>
      <c r="AM640" s="30"/>
      <c r="AN640" s="30"/>
      <c r="AO640" s="30"/>
      <c r="AP640" s="30"/>
      <c r="AQ640" s="38"/>
      <c r="AR640" s="30"/>
      <c r="AS640" s="30"/>
      <c r="AT640" s="29"/>
      <c r="AU640" s="30"/>
      <c r="AV640" s="30"/>
      <c r="AW640" s="30"/>
      <c r="AX640" s="29"/>
      <c r="AY640" s="39"/>
      <c r="AZ640" s="30"/>
      <c r="BA640" s="30"/>
      <c r="BB640" s="29"/>
      <c r="BC640" s="52"/>
      <c r="BD640" s="30"/>
      <c r="BE640" s="29"/>
      <c r="BF640" s="30"/>
      <c r="BG640" s="30"/>
      <c r="BH640" s="30"/>
      <c r="BI640" s="30"/>
      <c r="BJ640" s="30"/>
      <c r="BK640" s="30"/>
      <c r="BL640" s="30"/>
      <c r="BM640" s="30"/>
      <c r="BN640" s="30"/>
      <c r="BO640" s="30"/>
      <c r="BP640" s="30"/>
      <c r="BQ640" s="30"/>
      <c r="BR640" s="30"/>
      <c r="BS640" s="30"/>
      <c r="BT640" s="30"/>
      <c r="BU640" s="30"/>
      <c r="BV640" s="30"/>
      <c r="BW640" s="30"/>
      <c r="BX640" s="30"/>
      <c r="BY640" s="30"/>
      <c r="BZ640" s="30"/>
      <c r="CA640" s="30"/>
      <c r="CB640" s="30"/>
      <c r="CC640" s="30"/>
      <c r="CD640" s="30"/>
      <c r="CE640" s="30"/>
      <c r="CF640" s="30"/>
      <c r="CG640" s="30"/>
      <c r="CH640" s="30"/>
      <c r="CI640" s="30"/>
      <c r="CJ640" s="30"/>
      <c r="CK640" s="30"/>
      <c r="CL640" s="30"/>
      <c r="CM640" s="30"/>
      <c r="CN640" s="30"/>
      <c r="CO640" s="30"/>
      <c r="CP640" s="30"/>
      <c r="CQ640" s="30"/>
      <c r="CR640" s="30"/>
      <c r="CS640" s="30"/>
      <c r="CT640" s="30"/>
      <c r="CU640" s="30"/>
      <c r="CV640" s="30"/>
      <c r="CW640" s="30"/>
      <c r="CX640" s="30"/>
      <c r="CY640" s="30"/>
      <c r="CZ640" s="30"/>
      <c r="DA640" s="30"/>
      <c r="DB640" s="30"/>
      <c r="DC640" s="30"/>
      <c r="DD640" s="30"/>
      <c r="DE640" s="30"/>
      <c r="DF640" s="30"/>
      <c r="DG640" s="30"/>
      <c r="DH640" s="30"/>
      <c r="DI640" s="30"/>
      <c r="DJ640" s="30"/>
      <c r="DK640" s="30"/>
      <c r="DL640" s="30"/>
      <c r="DM640" s="30"/>
      <c r="DN640" s="30"/>
      <c r="DO640" s="30"/>
      <c r="DP640" s="30"/>
      <c r="DQ640" s="30"/>
      <c r="DR640" s="30"/>
      <c r="DS640" s="30"/>
      <c r="DT640" s="30"/>
      <c r="DU640" s="30"/>
      <c r="DV640" s="30"/>
      <c r="DW640" s="30"/>
      <c r="DX640" s="30"/>
      <c r="DY640" s="30"/>
      <c r="DZ640" s="30"/>
    </row>
    <row r="641">
      <c r="A641" s="30"/>
      <c r="B641" s="42"/>
      <c r="C641" s="43"/>
      <c r="D641" s="30"/>
      <c r="E641" s="28"/>
      <c r="F641" s="30"/>
      <c r="G641" s="30"/>
      <c r="H641" s="30"/>
      <c r="I641" s="30"/>
      <c r="J641" s="28"/>
      <c r="K641" s="30"/>
      <c r="L641" s="30"/>
      <c r="M641" s="30"/>
      <c r="N641" s="30"/>
      <c r="O641" s="28"/>
      <c r="P641" s="30"/>
      <c r="Q641" s="30"/>
      <c r="R641" s="30"/>
      <c r="S641" s="36"/>
      <c r="T641" s="30"/>
      <c r="U641" s="36"/>
      <c r="V641" s="30"/>
      <c r="W641" s="28"/>
      <c r="X641" s="30"/>
      <c r="Y641" s="30"/>
      <c r="Z641" s="30"/>
      <c r="AA641" s="30"/>
      <c r="AB641" s="30"/>
      <c r="AC641" s="28"/>
      <c r="AD641" s="30"/>
      <c r="AE641" s="30"/>
      <c r="AF641" s="30"/>
      <c r="AG641" s="29"/>
      <c r="AH641" s="30"/>
      <c r="AI641" s="36"/>
      <c r="AJ641" s="30"/>
      <c r="AK641" s="29"/>
      <c r="AL641" s="30"/>
      <c r="AM641" s="30"/>
      <c r="AN641" s="30"/>
      <c r="AO641" s="30"/>
      <c r="AP641" s="30"/>
      <c r="AQ641" s="38"/>
      <c r="AR641" s="30"/>
      <c r="AS641" s="30"/>
      <c r="AT641" s="29"/>
      <c r="AU641" s="30"/>
      <c r="AV641" s="30"/>
      <c r="AW641" s="30"/>
      <c r="AX641" s="29"/>
      <c r="AY641" s="39"/>
      <c r="AZ641" s="30"/>
      <c r="BA641" s="30"/>
      <c r="BB641" s="29"/>
      <c r="BC641" s="52"/>
      <c r="BD641" s="30"/>
      <c r="BE641" s="29"/>
      <c r="BF641" s="30"/>
      <c r="BG641" s="30"/>
      <c r="BH641" s="30"/>
      <c r="BI641" s="30"/>
      <c r="BJ641" s="30"/>
      <c r="BK641" s="30"/>
      <c r="BL641" s="30"/>
      <c r="BM641" s="30"/>
      <c r="BN641" s="30"/>
      <c r="BO641" s="30"/>
      <c r="BP641" s="30"/>
      <c r="BQ641" s="30"/>
      <c r="BR641" s="30"/>
      <c r="BS641" s="30"/>
      <c r="BT641" s="30"/>
      <c r="BU641" s="30"/>
      <c r="BV641" s="30"/>
      <c r="BW641" s="30"/>
      <c r="BX641" s="30"/>
      <c r="BY641" s="30"/>
      <c r="BZ641" s="30"/>
      <c r="CA641" s="30"/>
      <c r="CB641" s="30"/>
      <c r="CC641" s="30"/>
      <c r="CD641" s="30"/>
      <c r="CE641" s="30"/>
      <c r="CF641" s="30"/>
      <c r="CG641" s="30"/>
      <c r="CH641" s="30"/>
      <c r="CI641" s="30"/>
      <c r="CJ641" s="30"/>
      <c r="CK641" s="30"/>
      <c r="CL641" s="30"/>
      <c r="CM641" s="30"/>
      <c r="CN641" s="30"/>
      <c r="CO641" s="30"/>
      <c r="CP641" s="30"/>
      <c r="CQ641" s="30"/>
      <c r="CR641" s="30"/>
      <c r="CS641" s="30"/>
      <c r="CT641" s="30"/>
      <c r="CU641" s="30"/>
      <c r="CV641" s="30"/>
      <c r="CW641" s="30"/>
      <c r="CX641" s="30"/>
      <c r="CY641" s="30"/>
      <c r="CZ641" s="30"/>
      <c r="DA641" s="30"/>
      <c r="DB641" s="30"/>
      <c r="DC641" s="30"/>
      <c r="DD641" s="30"/>
      <c r="DE641" s="30"/>
      <c r="DF641" s="30"/>
      <c r="DG641" s="30"/>
      <c r="DH641" s="30"/>
      <c r="DI641" s="30"/>
      <c r="DJ641" s="30"/>
      <c r="DK641" s="30"/>
      <c r="DL641" s="30"/>
      <c r="DM641" s="30"/>
      <c r="DN641" s="30"/>
      <c r="DO641" s="30"/>
      <c r="DP641" s="30"/>
      <c r="DQ641" s="30"/>
      <c r="DR641" s="30"/>
      <c r="DS641" s="30"/>
      <c r="DT641" s="30"/>
      <c r="DU641" s="30"/>
      <c r="DV641" s="30"/>
      <c r="DW641" s="30"/>
      <c r="DX641" s="30"/>
      <c r="DY641" s="30"/>
      <c r="DZ641" s="30"/>
    </row>
    <row r="642">
      <c r="A642" s="30"/>
      <c r="B642" s="42"/>
      <c r="C642" s="43"/>
      <c r="D642" s="30"/>
      <c r="E642" s="28"/>
      <c r="F642" s="30"/>
      <c r="G642" s="30"/>
      <c r="H642" s="30"/>
      <c r="I642" s="30"/>
      <c r="J642" s="28"/>
      <c r="K642" s="30"/>
      <c r="L642" s="30"/>
      <c r="M642" s="30"/>
      <c r="N642" s="30"/>
      <c r="O642" s="28"/>
      <c r="P642" s="30"/>
      <c r="Q642" s="30"/>
      <c r="R642" s="30"/>
      <c r="S642" s="36"/>
      <c r="T642" s="30"/>
      <c r="U642" s="36"/>
      <c r="V642" s="30"/>
      <c r="W642" s="28"/>
      <c r="X642" s="30"/>
      <c r="Y642" s="30"/>
      <c r="Z642" s="30"/>
      <c r="AA642" s="30"/>
      <c r="AB642" s="30"/>
      <c r="AC642" s="28"/>
      <c r="AD642" s="30"/>
      <c r="AE642" s="30"/>
      <c r="AF642" s="30"/>
      <c r="AG642" s="29"/>
      <c r="AH642" s="30"/>
      <c r="AI642" s="36"/>
      <c r="AJ642" s="30"/>
      <c r="AK642" s="29"/>
      <c r="AL642" s="30"/>
      <c r="AM642" s="30"/>
      <c r="AN642" s="30"/>
      <c r="AO642" s="30"/>
      <c r="AP642" s="30"/>
      <c r="AQ642" s="38"/>
      <c r="AR642" s="30"/>
      <c r="AS642" s="30"/>
      <c r="AT642" s="29"/>
      <c r="AU642" s="30"/>
      <c r="AV642" s="30"/>
      <c r="AW642" s="30"/>
      <c r="AX642" s="29"/>
      <c r="AY642" s="39"/>
      <c r="AZ642" s="30"/>
      <c r="BA642" s="30"/>
      <c r="BB642" s="29"/>
      <c r="BC642" s="52"/>
      <c r="BD642" s="30"/>
      <c r="BE642" s="29"/>
      <c r="BF642" s="30"/>
      <c r="BG642" s="30"/>
      <c r="BH642" s="30"/>
      <c r="BI642" s="30"/>
      <c r="BJ642" s="30"/>
      <c r="BK642" s="30"/>
      <c r="BL642" s="30"/>
      <c r="BM642" s="30"/>
      <c r="BN642" s="30"/>
      <c r="BO642" s="30"/>
      <c r="BP642" s="30"/>
      <c r="BQ642" s="30"/>
      <c r="BR642" s="30"/>
      <c r="BS642" s="30"/>
      <c r="BT642" s="30"/>
      <c r="BU642" s="30"/>
      <c r="BV642" s="30"/>
      <c r="BW642" s="30"/>
      <c r="BX642" s="30"/>
      <c r="BY642" s="30"/>
      <c r="BZ642" s="30"/>
      <c r="CA642" s="30"/>
      <c r="CB642" s="30"/>
      <c r="CC642" s="30"/>
      <c r="CD642" s="30"/>
      <c r="CE642" s="30"/>
      <c r="CF642" s="30"/>
      <c r="CG642" s="30"/>
      <c r="CH642" s="30"/>
      <c r="CI642" s="30"/>
      <c r="CJ642" s="30"/>
      <c r="CK642" s="30"/>
      <c r="CL642" s="30"/>
      <c r="CM642" s="30"/>
      <c r="CN642" s="30"/>
      <c r="CO642" s="30"/>
      <c r="CP642" s="30"/>
      <c r="CQ642" s="30"/>
      <c r="CR642" s="30"/>
      <c r="CS642" s="30"/>
      <c r="CT642" s="30"/>
      <c r="CU642" s="30"/>
      <c r="CV642" s="30"/>
      <c r="CW642" s="30"/>
      <c r="CX642" s="30"/>
      <c r="CY642" s="30"/>
      <c r="CZ642" s="30"/>
      <c r="DA642" s="30"/>
      <c r="DB642" s="30"/>
      <c r="DC642" s="30"/>
      <c r="DD642" s="30"/>
      <c r="DE642" s="30"/>
      <c r="DF642" s="30"/>
      <c r="DG642" s="30"/>
      <c r="DH642" s="30"/>
      <c r="DI642" s="30"/>
      <c r="DJ642" s="30"/>
      <c r="DK642" s="30"/>
      <c r="DL642" s="30"/>
      <c r="DM642" s="30"/>
      <c r="DN642" s="30"/>
      <c r="DO642" s="30"/>
      <c r="DP642" s="30"/>
      <c r="DQ642" s="30"/>
      <c r="DR642" s="30"/>
      <c r="DS642" s="30"/>
      <c r="DT642" s="30"/>
      <c r="DU642" s="30"/>
      <c r="DV642" s="30"/>
      <c r="DW642" s="30"/>
      <c r="DX642" s="30"/>
      <c r="DY642" s="30"/>
      <c r="DZ642" s="30"/>
    </row>
    <row r="643">
      <c r="A643" s="30"/>
      <c r="B643" s="42"/>
      <c r="C643" s="43"/>
      <c r="D643" s="30"/>
      <c r="E643" s="28"/>
      <c r="F643" s="30"/>
      <c r="G643" s="30"/>
      <c r="H643" s="30"/>
      <c r="I643" s="30"/>
      <c r="J643" s="28"/>
      <c r="K643" s="30"/>
      <c r="L643" s="30"/>
      <c r="M643" s="30"/>
      <c r="N643" s="30"/>
      <c r="O643" s="28"/>
      <c r="P643" s="30"/>
      <c r="Q643" s="30"/>
      <c r="R643" s="30"/>
      <c r="S643" s="36"/>
      <c r="T643" s="30"/>
      <c r="U643" s="36"/>
      <c r="V643" s="30"/>
      <c r="W643" s="28"/>
      <c r="X643" s="30"/>
      <c r="Y643" s="30"/>
      <c r="Z643" s="30"/>
      <c r="AA643" s="30"/>
      <c r="AB643" s="30"/>
      <c r="AC643" s="28"/>
      <c r="AD643" s="30"/>
      <c r="AE643" s="30"/>
      <c r="AF643" s="30"/>
      <c r="AG643" s="29"/>
      <c r="AH643" s="30"/>
      <c r="AI643" s="36"/>
      <c r="AJ643" s="30"/>
      <c r="AK643" s="29"/>
      <c r="AL643" s="30"/>
      <c r="AM643" s="30"/>
      <c r="AN643" s="30"/>
      <c r="AO643" s="30"/>
      <c r="AP643" s="30"/>
      <c r="AQ643" s="38"/>
      <c r="AR643" s="30"/>
      <c r="AS643" s="30"/>
      <c r="AT643" s="29"/>
      <c r="AU643" s="30"/>
      <c r="AV643" s="30"/>
      <c r="AW643" s="30"/>
      <c r="AX643" s="29"/>
      <c r="AY643" s="39"/>
      <c r="AZ643" s="30"/>
      <c r="BA643" s="30"/>
      <c r="BB643" s="29"/>
      <c r="BC643" s="52"/>
      <c r="BD643" s="30"/>
      <c r="BE643" s="29"/>
      <c r="BF643" s="30"/>
      <c r="BG643" s="30"/>
      <c r="BH643" s="30"/>
      <c r="BI643" s="30"/>
      <c r="BJ643" s="30"/>
      <c r="BK643" s="30"/>
      <c r="BL643" s="30"/>
      <c r="BM643" s="30"/>
      <c r="BN643" s="30"/>
      <c r="BO643" s="30"/>
      <c r="BP643" s="30"/>
      <c r="BQ643" s="30"/>
      <c r="BR643" s="30"/>
      <c r="BS643" s="30"/>
      <c r="BT643" s="30"/>
      <c r="BU643" s="30"/>
      <c r="BV643" s="30"/>
      <c r="BW643" s="30"/>
      <c r="BX643" s="30"/>
      <c r="BY643" s="30"/>
      <c r="BZ643" s="30"/>
      <c r="CA643" s="30"/>
      <c r="CB643" s="30"/>
      <c r="CC643" s="30"/>
      <c r="CD643" s="30"/>
      <c r="CE643" s="30"/>
      <c r="CF643" s="30"/>
      <c r="CG643" s="30"/>
      <c r="CH643" s="30"/>
      <c r="CI643" s="30"/>
      <c r="CJ643" s="30"/>
      <c r="CK643" s="30"/>
      <c r="CL643" s="30"/>
      <c r="CM643" s="30"/>
      <c r="CN643" s="30"/>
      <c r="CO643" s="30"/>
      <c r="CP643" s="30"/>
      <c r="CQ643" s="30"/>
      <c r="CR643" s="30"/>
      <c r="CS643" s="30"/>
      <c r="CT643" s="30"/>
      <c r="CU643" s="30"/>
      <c r="CV643" s="30"/>
      <c r="CW643" s="30"/>
      <c r="CX643" s="30"/>
      <c r="CY643" s="30"/>
      <c r="CZ643" s="30"/>
      <c r="DA643" s="30"/>
      <c r="DB643" s="30"/>
      <c r="DC643" s="30"/>
      <c r="DD643" s="30"/>
      <c r="DE643" s="30"/>
      <c r="DF643" s="30"/>
      <c r="DG643" s="30"/>
      <c r="DH643" s="30"/>
      <c r="DI643" s="30"/>
      <c r="DJ643" s="30"/>
      <c r="DK643" s="30"/>
      <c r="DL643" s="30"/>
      <c r="DM643" s="30"/>
      <c r="DN643" s="30"/>
      <c r="DO643" s="30"/>
      <c r="DP643" s="30"/>
      <c r="DQ643" s="30"/>
      <c r="DR643" s="30"/>
      <c r="DS643" s="30"/>
      <c r="DT643" s="30"/>
      <c r="DU643" s="30"/>
      <c r="DV643" s="30"/>
      <c r="DW643" s="30"/>
      <c r="DX643" s="30"/>
      <c r="DY643" s="30"/>
      <c r="DZ643" s="30"/>
    </row>
    <row r="644">
      <c r="A644" s="30"/>
      <c r="B644" s="42"/>
      <c r="C644" s="43"/>
      <c r="D644" s="30"/>
      <c r="E644" s="28"/>
      <c r="F644" s="30"/>
      <c r="G644" s="30"/>
      <c r="H644" s="30"/>
      <c r="I644" s="30"/>
      <c r="J644" s="28"/>
      <c r="K644" s="30"/>
      <c r="L644" s="30"/>
      <c r="M644" s="30"/>
      <c r="N644" s="30"/>
      <c r="O644" s="28"/>
      <c r="P644" s="30"/>
      <c r="Q644" s="30"/>
      <c r="R644" s="30"/>
      <c r="S644" s="36"/>
      <c r="T644" s="30"/>
      <c r="U644" s="36"/>
      <c r="V644" s="30"/>
      <c r="W644" s="28"/>
      <c r="X644" s="30"/>
      <c r="Y644" s="30"/>
      <c r="Z644" s="30"/>
      <c r="AA644" s="30"/>
      <c r="AB644" s="30"/>
      <c r="AC644" s="28"/>
      <c r="AD644" s="30"/>
      <c r="AE644" s="30"/>
      <c r="AF644" s="30"/>
      <c r="AG644" s="29"/>
      <c r="AH644" s="30"/>
      <c r="AI644" s="36"/>
      <c r="AJ644" s="30"/>
      <c r="AK644" s="29"/>
      <c r="AL644" s="30"/>
      <c r="AM644" s="30"/>
      <c r="AN644" s="30"/>
      <c r="AO644" s="30"/>
      <c r="AP644" s="30"/>
      <c r="AQ644" s="38"/>
      <c r="AR644" s="30"/>
      <c r="AS644" s="30"/>
      <c r="AT644" s="29"/>
      <c r="AU644" s="30"/>
      <c r="AV644" s="30"/>
      <c r="AW644" s="30"/>
      <c r="AX644" s="29"/>
      <c r="AY644" s="39"/>
      <c r="AZ644" s="30"/>
      <c r="BA644" s="30"/>
      <c r="BB644" s="29"/>
      <c r="BC644" s="52"/>
      <c r="BD644" s="30"/>
      <c r="BE644" s="29"/>
      <c r="BF644" s="30"/>
      <c r="BG644" s="30"/>
      <c r="BH644" s="30"/>
      <c r="BI644" s="30"/>
      <c r="BJ644" s="30"/>
      <c r="BK644" s="30"/>
      <c r="BL644" s="30"/>
      <c r="BM644" s="30"/>
      <c r="BN644" s="30"/>
      <c r="BO644" s="30"/>
      <c r="BP644" s="30"/>
      <c r="BQ644" s="30"/>
      <c r="BR644" s="30"/>
      <c r="BS644" s="30"/>
      <c r="BT644" s="30"/>
      <c r="BU644" s="30"/>
      <c r="BV644" s="30"/>
      <c r="BW644" s="30"/>
      <c r="BX644" s="30"/>
      <c r="BY644" s="30"/>
      <c r="BZ644" s="30"/>
      <c r="CA644" s="30"/>
      <c r="CB644" s="30"/>
      <c r="CC644" s="30"/>
      <c r="CD644" s="30"/>
      <c r="CE644" s="30"/>
      <c r="CF644" s="30"/>
      <c r="CG644" s="30"/>
      <c r="CH644" s="30"/>
      <c r="CI644" s="30"/>
      <c r="CJ644" s="30"/>
      <c r="CK644" s="30"/>
      <c r="CL644" s="30"/>
      <c r="CM644" s="30"/>
      <c r="CN644" s="30"/>
      <c r="CO644" s="30"/>
      <c r="CP644" s="30"/>
      <c r="CQ644" s="30"/>
      <c r="CR644" s="30"/>
      <c r="CS644" s="30"/>
      <c r="CT644" s="30"/>
      <c r="CU644" s="30"/>
      <c r="CV644" s="30"/>
      <c r="CW644" s="30"/>
      <c r="CX644" s="30"/>
      <c r="CY644" s="30"/>
      <c r="CZ644" s="30"/>
      <c r="DA644" s="30"/>
      <c r="DB644" s="30"/>
      <c r="DC644" s="30"/>
      <c r="DD644" s="30"/>
      <c r="DE644" s="30"/>
      <c r="DF644" s="30"/>
      <c r="DG644" s="30"/>
      <c r="DH644" s="30"/>
      <c r="DI644" s="30"/>
      <c r="DJ644" s="30"/>
      <c r="DK644" s="30"/>
      <c r="DL644" s="30"/>
      <c r="DM644" s="30"/>
      <c r="DN644" s="30"/>
      <c r="DO644" s="30"/>
      <c r="DP644" s="30"/>
      <c r="DQ644" s="30"/>
      <c r="DR644" s="30"/>
      <c r="DS644" s="30"/>
      <c r="DT644" s="30"/>
      <c r="DU644" s="30"/>
      <c r="DV644" s="30"/>
      <c r="DW644" s="30"/>
      <c r="DX644" s="30"/>
      <c r="DY644" s="30"/>
      <c r="DZ644" s="30"/>
    </row>
    <row r="645">
      <c r="A645" s="30"/>
      <c r="B645" s="42"/>
      <c r="C645" s="43"/>
      <c r="D645" s="30"/>
      <c r="E645" s="28"/>
      <c r="F645" s="30"/>
      <c r="G645" s="30"/>
      <c r="H645" s="30"/>
      <c r="I645" s="30"/>
      <c r="J645" s="28"/>
      <c r="K645" s="30"/>
      <c r="L645" s="30"/>
      <c r="M645" s="30"/>
      <c r="N645" s="30"/>
      <c r="O645" s="28"/>
      <c r="P645" s="30"/>
      <c r="Q645" s="30"/>
      <c r="R645" s="30"/>
      <c r="S645" s="36"/>
      <c r="T645" s="30"/>
      <c r="U645" s="36"/>
      <c r="V645" s="30"/>
      <c r="W645" s="28"/>
      <c r="X645" s="30"/>
      <c r="Y645" s="30"/>
      <c r="Z645" s="30"/>
      <c r="AA645" s="30"/>
      <c r="AB645" s="30"/>
      <c r="AC645" s="28"/>
      <c r="AD645" s="30"/>
      <c r="AE645" s="30"/>
      <c r="AF645" s="30"/>
      <c r="AG645" s="29"/>
      <c r="AH645" s="30"/>
      <c r="AI645" s="36"/>
      <c r="AJ645" s="30"/>
      <c r="AK645" s="29"/>
      <c r="AL645" s="30"/>
      <c r="AM645" s="30"/>
      <c r="AN645" s="30"/>
      <c r="AO645" s="30"/>
      <c r="AP645" s="30"/>
      <c r="AQ645" s="38"/>
      <c r="AR645" s="30"/>
      <c r="AS645" s="30"/>
      <c r="AT645" s="29"/>
      <c r="AU645" s="30"/>
      <c r="AV645" s="30"/>
      <c r="AW645" s="30"/>
      <c r="AX645" s="29"/>
      <c r="AY645" s="39"/>
      <c r="AZ645" s="30"/>
      <c r="BA645" s="30"/>
      <c r="BB645" s="29"/>
      <c r="BC645" s="52"/>
      <c r="BD645" s="30"/>
      <c r="BE645" s="29"/>
      <c r="BF645" s="30"/>
      <c r="BG645" s="30"/>
      <c r="BH645" s="30"/>
      <c r="BI645" s="30"/>
      <c r="BJ645" s="30"/>
      <c r="BK645" s="30"/>
      <c r="BL645" s="30"/>
      <c r="BM645" s="30"/>
      <c r="BN645" s="30"/>
      <c r="BO645" s="30"/>
      <c r="BP645" s="30"/>
      <c r="BQ645" s="30"/>
      <c r="BR645" s="30"/>
      <c r="BS645" s="30"/>
      <c r="BT645" s="30"/>
      <c r="BU645" s="30"/>
      <c r="BV645" s="30"/>
      <c r="BW645" s="30"/>
      <c r="BX645" s="30"/>
      <c r="BY645" s="30"/>
      <c r="BZ645" s="30"/>
      <c r="CA645" s="30"/>
      <c r="CB645" s="30"/>
      <c r="CC645" s="30"/>
      <c r="CD645" s="30"/>
      <c r="CE645" s="30"/>
      <c r="CF645" s="30"/>
      <c r="CG645" s="30"/>
      <c r="CH645" s="30"/>
      <c r="CI645" s="30"/>
      <c r="CJ645" s="30"/>
      <c r="CK645" s="30"/>
      <c r="CL645" s="30"/>
      <c r="CM645" s="30"/>
      <c r="CN645" s="30"/>
      <c r="CO645" s="30"/>
      <c r="CP645" s="30"/>
      <c r="CQ645" s="30"/>
      <c r="CR645" s="30"/>
      <c r="CS645" s="30"/>
      <c r="CT645" s="30"/>
      <c r="CU645" s="30"/>
      <c r="CV645" s="30"/>
      <c r="CW645" s="30"/>
      <c r="CX645" s="30"/>
      <c r="CY645" s="30"/>
      <c r="CZ645" s="30"/>
      <c r="DA645" s="30"/>
      <c r="DB645" s="30"/>
      <c r="DC645" s="30"/>
      <c r="DD645" s="30"/>
      <c r="DE645" s="30"/>
      <c r="DF645" s="30"/>
      <c r="DG645" s="30"/>
      <c r="DH645" s="30"/>
      <c r="DI645" s="30"/>
      <c r="DJ645" s="30"/>
      <c r="DK645" s="30"/>
      <c r="DL645" s="30"/>
      <c r="DM645" s="30"/>
      <c r="DN645" s="30"/>
      <c r="DO645" s="30"/>
      <c r="DP645" s="30"/>
      <c r="DQ645" s="30"/>
      <c r="DR645" s="30"/>
      <c r="DS645" s="30"/>
      <c r="DT645" s="30"/>
      <c r="DU645" s="30"/>
      <c r="DV645" s="30"/>
      <c r="DW645" s="30"/>
      <c r="DX645" s="30"/>
      <c r="DY645" s="30"/>
      <c r="DZ645" s="30"/>
    </row>
    <row r="646">
      <c r="A646" s="30"/>
      <c r="B646" s="42"/>
      <c r="C646" s="43"/>
      <c r="D646" s="30"/>
      <c r="E646" s="28"/>
      <c r="F646" s="30"/>
      <c r="G646" s="30"/>
      <c r="H646" s="30"/>
      <c r="I646" s="30"/>
      <c r="J646" s="28"/>
      <c r="K646" s="30"/>
      <c r="L646" s="30"/>
      <c r="M646" s="30"/>
      <c r="N646" s="30"/>
      <c r="O646" s="28"/>
      <c r="P646" s="30"/>
      <c r="Q646" s="30"/>
      <c r="R646" s="30"/>
      <c r="S646" s="36"/>
      <c r="T646" s="30"/>
      <c r="U646" s="36"/>
      <c r="V646" s="30"/>
      <c r="W646" s="28"/>
      <c r="X646" s="30"/>
      <c r="Y646" s="30"/>
      <c r="Z646" s="30"/>
      <c r="AA646" s="30"/>
      <c r="AB646" s="30"/>
      <c r="AC646" s="28"/>
      <c r="AD646" s="30"/>
      <c r="AE646" s="30"/>
      <c r="AF646" s="30"/>
      <c r="AG646" s="29"/>
      <c r="AH646" s="30"/>
      <c r="AI646" s="36"/>
      <c r="AJ646" s="30"/>
      <c r="AK646" s="29"/>
      <c r="AL646" s="30"/>
      <c r="AM646" s="30"/>
      <c r="AN646" s="30"/>
      <c r="AO646" s="30"/>
      <c r="AP646" s="30"/>
      <c r="AQ646" s="38"/>
      <c r="AR646" s="30"/>
      <c r="AS646" s="30"/>
      <c r="AT646" s="29"/>
      <c r="AU646" s="30"/>
      <c r="AV646" s="30"/>
      <c r="AW646" s="30"/>
      <c r="AX646" s="29"/>
      <c r="AY646" s="39"/>
      <c r="AZ646" s="30"/>
      <c r="BA646" s="30"/>
      <c r="BB646" s="29"/>
      <c r="BC646" s="52"/>
      <c r="BD646" s="30"/>
      <c r="BE646" s="29"/>
      <c r="BF646" s="30"/>
      <c r="BG646" s="30"/>
      <c r="BH646" s="30"/>
      <c r="BI646" s="30"/>
      <c r="BJ646" s="30"/>
      <c r="BK646" s="30"/>
      <c r="BL646" s="30"/>
      <c r="BM646" s="30"/>
      <c r="BN646" s="30"/>
      <c r="BO646" s="30"/>
      <c r="BP646" s="30"/>
      <c r="BQ646" s="30"/>
      <c r="BR646" s="30"/>
      <c r="BS646" s="30"/>
      <c r="BT646" s="30"/>
      <c r="BU646" s="30"/>
      <c r="BV646" s="30"/>
      <c r="BW646" s="30"/>
      <c r="BX646" s="30"/>
      <c r="BY646" s="30"/>
      <c r="BZ646" s="30"/>
      <c r="CA646" s="30"/>
      <c r="CB646" s="30"/>
      <c r="CC646" s="30"/>
      <c r="CD646" s="30"/>
      <c r="CE646" s="30"/>
      <c r="CF646" s="30"/>
      <c r="CG646" s="30"/>
      <c r="CH646" s="30"/>
      <c r="CI646" s="30"/>
      <c r="CJ646" s="30"/>
      <c r="CK646" s="30"/>
      <c r="CL646" s="30"/>
      <c r="CM646" s="30"/>
      <c r="CN646" s="30"/>
      <c r="CO646" s="30"/>
      <c r="CP646" s="30"/>
      <c r="CQ646" s="30"/>
      <c r="CR646" s="30"/>
      <c r="CS646" s="30"/>
      <c r="CT646" s="30"/>
      <c r="CU646" s="30"/>
      <c r="CV646" s="30"/>
      <c r="CW646" s="30"/>
      <c r="CX646" s="30"/>
      <c r="CY646" s="30"/>
      <c r="CZ646" s="30"/>
      <c r="DA646" s="30"/>
      <c r="DB646" s="30"/>
      <c r="DC646" s="30"/>
      <c r="DD646" s="30"/>
      <c r="DE646" s="30"/>
      <c r="DF646" s="30"/>
      <c r="DG646" s="30"/>
      <c r="DH646" s="30"/>
      <c r="DI646" s="30"/>
      <c r="DJ646" s="30"/>
      <c r="DK646" s="30"/>
      <c r="DL646" s="30"/>
      <c r="DM646" s="30"/>
      <c r="DN646" s="30"/>
      <c r="DO646" s="30"/>
      <c r="DP646" s="30"/>
      <c r="DQ646" s="30"/>
      <c r="DR646" s="30"/>
      <c r="DS646" s="30"/>
      <c r="DT646" s="30"/>
      <c r="DU646" s="30"/>
      <c r="DV646" s="30"/>
      <c r="DW646" s="30"/>
      <c r="DX646" s="30"/>
      <c r="DY646" s="30"/>
      <c r="DZ646" s="30"/>
    </row>
    <row r="647">
      <c r="A647" s="30"/>
      <c r="B647" s="42"/>
      <c r="C647" s="43"/>
      <c r="D647" s="30"/>
      <c r="E647" s="28"/>
      <c r="F647" s="30"/>
      <c r="G647" s="30"/>
      <c r="H647" s="30"/>
      <c r="I647" s="30"/>
      <c r="J647" s="28"/>
      <c r="K647" s="30"/>
      <c r="L647" s="30"/>
      <c r="M647" s="30"/>
      <c r="N647" s="30"/>
      <c r="O647" s="28"/>
      <c r="P647" s="30"/>
      <c r="Q647" s="30"/>
      <c r="R647" s="30"/>
      <c r="S647" s="36"/>
      <c r="T647" s="30"/>
      <c r="U647" s="36"/>
      <c r="V647" s="30"/>
      <c r="W647" s="28"/>
      <c r="X647" s="30"/>
      <c r="Y647" s="30"/>
      <c r="Z647" s="30"/>
      <c r="AA647" s="30"/>
      <c r="AB647" s="30"/>
      <c r="AC647" s="28"/>
      <c r="AD647" s="30"/>
      <c r="AE647" s="30"/>
      <c r="AF647" s="30"/>
      <c r="AG647" s="29"/>
      <c r="AH647" s="30"/>
      <c r="AI647" s="36"/>
      <c r="AJ647" s="30"/>
      <c r="AK647" s="29"/>
      <c r="AL647" s="30"/>
      <c r="AM647" s="30"/>
      <c r="AN647" s="30"/>
      <c r="AO647" s="30"/>
      <c r="AP647" s="30"/>
      <c r="AQ647" s="38"/>
      <c r="AR647" s="30"/>
      <c r="AS647" s="30"/>
      <c r="AT647" s="29"/>
      <c r="AU647" s="30"/>
      <c r="AV647" s="30"/>
      <c r="AW647" s="30"/>
      <c r="AX647" s="29"/>
      <c r="AY647" s="39"/>
      <c r="AZ647" s="30"/>
      <c r="BA647" s="30"/>
      <c r="BB647" s="29"/>
      <c r="BC647" s="52"/>
      <c r="BD647" s="30"/>
      <c r="BE647" s="29"/>
      <c r="BF647" s="30"/>
      <c r="BG647" s="30"/>
      <c r="BH647" s="30"/>
      <c r="BI647" s="30"/>
      <c r="BJ647" s="30"/>
      <c r="BK647" s="30"/>
      <c r="BL647" s="30"/>
      <c r="BM647" s="30"/>
      <c r="BN647" s="30"/>
      <c r="BO647" s="30"/>
      <c r="BP647" s="30"/>
      <c r="BQ647" s="30"/>
      <c r="BR647" s="30"/>
      <c r="BS647" s="30"/>
      <c r="BT647" s="30"/>
      <c r="BU647" s="30"/>
      <c r="BV647" s="30"/>
      <c r="BW647" s="30"/>
      <c r="BX647" s="30"/>
      <c r="BY647" s="30"/>
      <c r="BZ647" s="30"/>
      <c r="CA647" s="30"/>
      <c r="CB647" s="30"/>
      <c r="CC647" s="30"/>
      <c r="CD647" s="30"/>
      <c r="CE647" s="30"/>
      <c r="CF647" s="30"/>
      <c r="CG647" s="30"/>
      <c r="CH647" s="30"/>
      <c r="CI647" s="30"/>
      <c r="CJ647" s="30"/>
      <c r="CK647" s="30"/>
      <c r="CL647" s="30"/>
      <c r="CM647" s="30"/>
      <c r="CN647" s="30"/>
      <c r="CO647" s="30"/>
      <c r="CP647" s="30"/>
      <c r="CQ647" s="30"/>
      <c r="CR647" s="30"/>
      <c r="CS647" s="30"/>
      <c r="CT647" s="30"/>
      <c r="CU647" s="30"/>
      <c r="CV647" s="30"/>
      <c r="CW647" s="30"/>
      <c r="CX647" s="30"/>
      <c r="CY647" s="30"/>
      <c r="CZ647" s="30"/>
      <c r="DA647" s="30"/>
      <c r="DB647" s="30"/>
      <c r="DC647" s="30"/>
      <c r="DD647" s="30"/>
      <c r="DE647" s="30"/>
      <c r="DF647" s="30"/>
      <c r="DG647" s="30"/>
      <c r="DH647" s="30"/>
      <c r="DI647" s="30"/>
      <c r="DJ647" s="30"/>
      <c r="DK647" s="30"/>
      <c r="DL647" s="30"/>
      <c r="DM647" s="30"/>
      <c r="DN647" s="30"/>
      <c r="DO647" s="30"/>
      <c r="DP647" s="30"/>
      <c r="DQ647" s="30"/>
      <c r="DR647" s="30"/>
      <c r="DS647" s="30"/>
      <c r="DT647" s="30"/>
      <c r="DU647" s="30"/>
      <c r="DV647" s="30"/>
      <c r="DW647" s="30"/>
      <c r="DX647" s="30"/>
      <c r="DY647" s="30"/>
      <c r="DZ647" s="30"/>
    </row>
    <row r="648">
      <c r="A648" s="30"/>
      <c r="B648" s="42"/>
      <c r="C648" s="43"/>
      <c r="D648" s="30"/>
      <c r="E648" s="28"/>
      <c r="F648" s="30"/>
      <c r="G648" s="30"/>
      <c r="H648" s="30"/>
      <c r="I648" s="30"/>
      <c r="J648" s="28"/>
      <c r="K648" s="30"/>
      <c r="L648" s="30"/>
      <c r="M648" s="30"/>
      <c r="N648" s="30"/>
      <c r="O648" s="28"/>
      <c r="P648" s="30"/>
      <c r="Q648" s="30"/>
      <c r="R648" s="30"/>
      <c r="S648" s="36"/>
      <c r="T648" s="30"/>
      <c r="U648" s="36"/>
      <c r="V648" s="30"/>
      <c r="W648" s="28"/>
      <c r="X648" s="30"/>
      <c r="Y648" s="30"/>
      <c r="Z648" s="30"/>
      <c r="AA648" s="30"/>
      <c r="AB648" s="30"/>
      <c r="AC648" s="28"/>
      <c r="AD648" s="30"/>
      <c r="AE648" s="30"/>
      <c r="AF648" s="30"/>
      <c r="AG648" s="29"/>
      <c r="AH648" s="30"/>
      <c r="AI648" s="36"/>
      <c r="AJ648" s="30"/>
      <c r="AK648" s="29"/>
      <c r="AL648" s="30"/>
      <c r="AM648" s="30"/>
      <c r="AN648" s="30"/>
      <c r="AO648" s="30"/>
      <c r="AP648" s="30"/>
      <c r="AQ648" s="38"/>
      <c r="AR648" s="30"/>
      <c r="AS648" s="30"/>
      <c r="AT648" s="29"/>
      <c r="AU648" s="30"/>
      <c r="AV648" s="30"/>
      <c r="AW648" s="30"/>
      <c r="AX648" s="29"/>
      <c r="AY648" s="39"/>
      <c r="AZ648" s="30"/>
      <c r="BA648" s="30"/>
      <c r="BB648" s="29"/>
      <c r="BC648" s="52"/>
      <c r="BD648" s="30"/>
      <c r="BE648" s="29"/>
      <c r="BF648" s="30"/>
      <c r="BG648" s="30"/>
      <c r="BH648" s="30"/>
      <c r="BI648" s="30"/>
      <c r="BJ648" s="30"/>
      <c r="BK648" s="30"/>
      <c r="BL648" s="30"/>
      <c r="BM648" s="30"/>
      <c r="BN648" s="30"/>
      <c r="BO648" s="30"/>
      <c r="BP648" s="30"/>
      <c r="BQ648" s="30"/>
      <c r="BR648" s="30"/>
      <c r="BS648" s="30"/>
      <c r="BT648" s="30"/>
      <c r="BU648" s="30"/>
      <c r="BV648" s="30"/>
      <c r="BW648" s="30"/>
      <c r="BX648" s="30"/>
      <c r="BY648" s="30"/>
      <c r="BZ648" s="30"/>
      <c r="CA648" s="30"/>
      <c r="CB648" s="30"/>
      <c r="CC648" s="30"/>
      <c r="CD648" s="30"/>
      <c r="CE648" s="30"/>
      <c r="CF648" s="30"/>
      <c r="CG648" s="30"/>
      <c r="CH648" s="30"/>
      <c r="CI648" s="30"/>
      <c r="CJ648" s="30"/>
      <c r="CK648" s="30"/>
      <c r="CL648" s="30"/>
      <c r="CM648" s="30"/>
      <c r="CN648" s="30"/>
      <c r="CO648" s="30"/>
      <c r="CP648" s="30"/>
      <c r="CQ648" s="30"/>
      <c r="CR648" s="30"/>
      <c r="CS648" s="30"/>
      <c r="CT648" s="30"/>
      <c r="CU648" s="30"/>
      <c r="CV648" s="30"/>
      <c r="CW648" s="30"/>
      <c r="CX648" s="30"/>
      <c r="CY648" s="30"/>
      <c r="CZ648" s="30"/>
      <c r="DA648" s="30"/>
      <c r="DB648" s="30"/>
      <c r="DC648" s="30"/>
      <c r="DD648" s="30"/>
      <c r="DE648" s="30"/>
      <c r="DF648" s="30"/>
      <c r="DG648" s="30"/>
      <c r="DH648" s="30"/>
      <c r="DI648" s="30"/>
      <c r="DJ648" s="30"/>
      <c r="DK648" s="30"/>
      <c r="DL648" s="30"/>
      <c r="DM648" s="30"/>
      <c r="DN648" s="30"/>
      <c r="DO648" s="30"/>
      <c r="DP648" s="30"/>
      <c r="DQ648" s="30"/>
      <c r="DR648" s="30"/>
      <c r="DS648" s="30"/>
      <c r="DT648" s="30"/>
      <c r="DU648" s="30"/>
      <c r="DV648" s="30"/>
      <c r="DW648" s="30"/>
      <c r="DX648" s="30"/>
      <c r="DY648" s="30"/>
      <c r="DZ648" s="30"/>
    </row>
    <row r="649">
      <c r="A649" s="30"/>
      <c r="B649" s="42"/>
      <c r="C649" s="43"/>
      <c r="D649" s="30"/>
      <c r="E649" s="28"/>
      <c r="F649" s="30"/>
      <c r="G649" s="30"/>
      <c r="H649" s="30"/>
      <c r="I649" s="30"/>
      <c r="J649" s="28"/>
      <c r="K649" s="30"/>
      <c r="L649" s="30"/>
      <c r="M649" s="30"/>
      <c r="N649" s="30"/>
      <c r="O649" s="28"/>
      <c r="P649" s="30"/>
      <c r="Q649" s="30"/>
      <c r="R649" s="30"/>
      <c r="S649" s="36"/>
      <c r="T649" s="30"/>
      <c r="U649" s="36"/>
      <c r="V649" s="30"/>
      <c r="W649" s="28"/>
      <c r="X649" s="30"/>
      <c r="Y649" s="30"/>
      <c r="Z649" s="30"/>
      <c r="AA649" s="30"/>
      <c r="AB649" s="30"/>
      <c r="AC649" s="28"/>
      <c r="AD649" s="30"/>
      <c r="AE649" s="30"/>
      <c r="AF649" s="30"/>
      <c r="AG649" s="29"/>
      <c r="AH649" s="30"/>
      <c r="AI649" s="36"/>
      <c r="AJ649" s="30"/>
      <c r="AK649" s="29"/>
      <c r="AL649" s="30"/>
      <c r="AM649" s="30"/>
      <c r="AN649" s="30"/>
      <c r="AO649" s="30"/>
      <c r="AP649" s="30"/>
      <c r="AQ649" s="38"/>
      <c r="AR649" s="30"/>
      <c r="AS649" s="30"/>
      <c r="AT649" s="29"/>
      <c r="AU649" s="30"/>
      <c r="AV649" s="30"/>
      <c r="AW649" s="30"/>
      <c r="AX649" s="29"/>
      <c r="AY649" s="39"/>
      <c r="AZ649" s="30"/>
      <c r="BA649" s="30"/>
      <c r="BB649" s="29"/>
      <c r="BC649" s="52"/>
      <c r="BD649" s="30"/>
      <c r="BE649" s="29"/>
      <c r="BF649" s="30"/>
      <c r="BG649" s="30"/>
      <c r="BH649" s="30"/>
      <c r="BI649" s="30"/>
      <c r="BJ649" s="30"/>
      <c r="BK649" s="30"/>
      <c r="BL649" s="30"/>
      <c r="BM649" s="30"/>
      <c r="BN649" s="30"/>
      <c r="BO649" s="30"/>
      <c r="BP649" s="30"/>
      <c r="BQ649" s="30"/>
      <c r="BR649" s="30"/>
      <c r="BS649" s="30"/>
      <c r="BT649" s="30"/>
      <c r="BU649" s="30"/>
      <c r="BV649" s="30"/>
      <c r="BW649" s="30"/>
      <c r="BX649" s="30"/>
      <c r="BY649" s="30"/>
      <c r="BZ649" s="30"/>
      <c r="CA649" s="30"/>
      <c r="CB649" s="30"/>
      <c r="CC649" s="30"/>
      <c r="CD649" s="30"/>
      <c r="CE649" s="30"/>
      <c r="CF649" s="30"/>
      <c r="CG649" s="30"/>
      <c r="CH649" s="30"/>
      <c r="CI649" s="30"/>
      <c r="CJ649" s="30"/>
      <c r="CK649" s="30"/>
      <c r="CL649" s="30"/>
      <c r="CM649" s="30"/>
      <c r="CN649" s="30"/>
      <c r="CO649" s="30"/>
      <c r="CP649" s="30"/>
      <c r="CQ649" s="30"/>
      <c r="CR649" s="30"/>
      <c r="CS649" s="30"/>
      <c r="CT649" s="30"/>
      <c r="CU649" s="30"/>
      <c r="CV649" s="30"/>
      <c r="CW649" s="30"/>
      <c r="CX649" s="30"/>
      <c r="CY649" s="30"/>
      <c r="CZ649" s="30"/>
      <c r="DA649" s="30"/>
      <c r="DB649" s="30"/>
      <c r="DC649" s="30"/>
      <c r="DD649" s="30"/>
      <c r="DE649" s="30"/>
      <c r="DF649" s="30"/>
      <c r="DG649" s="30"/>
      <c r="DH649" s="30"/>
      <c r="DI649" s="30"/>
      <c r="DJ649" s="30"/>
      <c r="DK649" s="30"/>
      <c r="DL649" s="30"/>
      <c r="DM649" s="30"/>
      <c r="DN649" s="30"/>
      <c r="DO649" s="30"/>
      <c r="DP649" s="30"/>
      <c r="DQ649" s="30"/>
      <c r="DR649" s="30"/>
      <c r="DS649" s="30"/>
      <c r="DT649" s="30"/>
      <c r="DU649" s="30"/>
      <c r="DV649" s="30"/>
      <c r="DW649" s="30"/>
      <c r="DX649" s="30"/>
      <c r="DY649" s="30"/>
      <c r="DZ649" s="30"/>
    </row>
    <row r="650">
      <c r="A650" s="30"/>
      <c r="B650" s="42"/>
      <c r="C650" s="43"/>
      <c r="D650" s="30"/>
      <c r="E650" s="28"/>
      <c r="F650" s="30"/>
      <c r="G650" s="30"/>
      <c r="H650" s="30"/>
      <c r="I650" s="30"/>
      <c r="J650" s="28"/>
      <c r="K650" s="30"/>
      <c r="L650" s="30"/>
      <c r="M650" s="30"/>
      <c r="N650" s="30"/>
      <c r="O650" s="28"/>
      <c r="P650" s="30"/>
      <c r="Q650" s="30"/>
      <c r="R650" s="30"/>
      <c r="S650" s="36"/>
      <c r="T650" s="30"/>
      <c r="U650" s="36"/>
      <c r="V650" s="30"/>
      <c r="W650" s="28"/>
      <c r="X650" s="30"/>
      <c r="Y650" s="30"/>
      <c r="Z650" s="30"/>
      <c r="AA650" s="30"/>
      <c r="AB650" s="30"/>
      <c r="AC650" s="28"/>
      <c r="AD650" s="30"/>
      <c r="AE650" s="30"/>
      <c r="AF650" s="30"/>
      <c r="AG650" s="29"/>
      <c r="AH650" s="30"/>
      <c r="AI650" s="36"/>
      <c r="AJ650" s="30"/>
      <c r="AK650" s="29"/>
      <c r="AL650" s="30"/>
      <c r="AM650" s="30"/>
      <c r="AN650" s="30"/>
      <c r="AO650" s="30"/>
      <c r="AP650" s="30"/>
      <c r="AQ650" s="38"/>
      <c r="AR650" s="30"/>
      <c r="AS650" s="30"/>
      <c r="AT650" s="29"/>
      <c r="AU650" s="30"/>
      <c r="AV650" s="30"/>
      <c r="AW650" s="30"/>
      <c r="AX650" s="29"/>
      <c r="AY650" s="39"/>
      <c r="AZ650" s="30"/>
      <c r="BA650" s="30"/>
      <c r="BB650" s="29"/>
      <c r="BC650" s="52"/>
      <c r="BD650" s="30"/>
      <c r="BE650" s="29"/>
      <c r="BF650" s="30"/>
      <c r="BG650" s="30"/>
      <c r="BH650" s="30"/>
      <c r="BI650" s="30"/>
      <c r="BJ650" s="30"/>
      <c r="BK650" s="30"/>
      <c r="BL650" s="30"/>
      <c r="BM650" s="30"/>
      <c r="BN650" s="30"/>
      <c r="BO650" s="30"/>
      <c r="BP650" s="30"/>
      <c r="BQ650" s="30"/>
      <c r="BR650" s="30"/>
      <c r="BS650" s="30"/>
      <c r="BT650" s="30"/>
      <c r="BU650" s="30"/>
      <c r="BV650" s="30"/>
      <c r="BW650" s="30"/>
      <c r="BX650" s="30"/>
      <c r="BY650" s="30"/>
      <c r="BZ650" s="30"/>
      <c r="CA650" s="30"/>
      <c r="CB650" s="30"/>
      <c r="CC650" s="30"/>
      <c r="CD650" s="30"/>
      <c r="CE650" s="30"/>
      <c r="CF650" s="30"/>
      <c r="CG650" s="30"/>
      <c r="CH650" s="30"/>
      <c r="CI650" s="30"/>
      <c r="CJ650" s="30"/>
      <c r="CK650" s="30"/>
      <c r="CL650" s="30"/>
      <c r="CM650" s="30"/>
      <c r="CN650" s="30"/>
      <c r="CO650" s="30"/>
      <c r="CP650" s="30"/>
      <c r="CQ650" s="30"/>
      <c r="CR650" s="30"/>
      <c r="CS650" s="30"/>
      <c r="CT650" s="30"/>
      <c r="CU650" s="30"/>
      <c r="CV650" s="30"/>
      <c r="CW650" s="30"/>
      <c r="CX650" s="30"/>
      <c r="CY650" s="30"/>
      <c r="CZ650" s="30"/>
      <c r="DA650" s="30"/>
      <c r="DB650" s="30"/>
      <c r="DC650" s="30"/>
      <c r="DD650" s="30"/>
      <c r="DE650" s="30"/>
      <c r="DF650" s="30"/>
      <c r="DG650" s="30"/>
      <c r="DH650" s="30"/>
      <c r="DI650" s="30"/>
      <c r="DJ650" s="30"/>
      <c r="DK650" s="30"/>
      <c r="DL650" s="30"/>
      <c r="DM650" s="30"/>
      <c r="DN650" s="30"/>
      <c r="DO650" s="30"/>
      <c r="DP650" s="30"/>
      <c r="DQ650" s="30"/>
      <c r="DR650" s="30"/>
      <c r="DS650" s="30"/>
      <c r="DT650" s="30"/>
      <c r="DU650" s="30"/>
      <c r="DV650" s="30"/>
      <c r="DW650" s="30"/>
      <c r="DX650" s="30"/>
      <c r="DY650" s="30"/>
      <c r="DZ650" s="30"/>
    </row>
    <row r="651">
      <c r="A651" s="30"/>
      <c r="B651" s="42"/>
      <c r="C651" s="43"/>
      <c r="D651" s="30"/>
      <c r="E651" s="28"/>
      <c r="F651" s="30"/>
      <c r="G651" s="30"/>
      <c r="H651" s="30"/>
      <c r="I651" s="30"/>
      <c r="J651" s="28"/>
      <c r="K651" s="30"/>
      <c r="L651" s="30"/>
      <c r="M651" s="30"/>
      <c r="N651" s="30"/>
      <c r="O651" s="28"/>
      <c r="P651" s="30"/>
      <c r="Q651" s="30"/>
      <c r="R651" s="30"/>
      <c r="S651" s="36"/>
      <c r="T651" s="30"/>
      <c r="U651" s="36"/>
      <c r="V651" s="30"/>
      <c r="W651" s="28"/>
      <c r="X651" s="30"/>
      <c r="Y651" s="30"/>
      <c r="Z651" s="30"/>
      <c r="AA651" s="30"/>
      <c r="AB651" s="30"/>
      <c r="AC651" s="28"/>
      <c r="AD651" s="30"/>
      <c r="AE651" s="30"/>
      <c r="AF651" s="30"/>
      <c r="AG651" s="29"/>
      <c r="AH651" s="30"/>
      <c r="AI651" s="36"/>
      <c r="AJ651" s="30"/>
      <c r="AK651" s="29"/>
      <c r="AL651" s="30"/>
      <c r="AM651" s="30"/>
      <c r="AN651" s="30"/>
      <c r="AO651" s="30"/>
      <c r="AP651" s="30"/>
      <c r="AQ651" s="38"/>
      <c r="AR651" s="30"/>
      <c r="AS651" s="30"/>
      <c r="AT651" s="29"/>
      <c r="AU651" s="30"/>
      <c r="AV651" s="30"/>
      <c r="AW651" s="30"/>
      <c r="AX651" s="29"/>
      <c r="AY651" s="39"/>
      <c r="AZ651" s="30"/>
      <c r="BA651" s="30"/>
      <c r="BB651" s="29"/>
      <c r="BC651" s="52"/>
      <c r="BD651" s="30"/>
      <c r="BE651" s="29"/>
      <c r="BF651" s="30"/>
      <c r="BG651" s="30"/>
      <c r="BH651" s="30"/>
      <c r="BI651" s="30"/>
      <c r="BJ651" s="30"/>
      <c r="BK651" s="30"/>
      <c r="BL651" s="30"/>
      <c r="BM651" s="30"/>
      <c r="BN651" s="30"/>
      <c r="BO651" s="30"/>
      <c r="BP651" s="30"/>
      <c r="BQ651" s="30"/>
      <c r="BR651" s="30"/>
      <c r="BS651" s="30"/>
      <c r="BT651" s="30"/>
      <c r="BU651" s="30"/>
      <c r="BV651" s="30"/>
      <c r="BW651" s="30"/>
      <c r="BX651" s="30"/>
      <c r="BY651" s="30"/>
      <c r="BZ651" s="30"/>
      <c r="CA651" s="30"/>
      <c r="CB651" s="30"/>
      <c r="CC651" s="30"/>
      <c r="CD651" s="30"/>
      <c r="CE651" s="30"/>
      <c r="CF651" s="30"/>
      <c r="CG651" s="30"/>
      <c r="CH651" s="30"/>
      <c r="CI651" s="30"/>
      <c r="CJ651" s="30"/>
      <c r="CK651" s="30"/>
      <c r="CL651" s="30"/>
      <c r="CM651" s="30"/>
      <c r="CN651" s="30"/>
      <c r="CO651" s="30"/>
      <c r="CP651" s="30"/>
      <c r="CQ651" s="30"/>
      <c r="CR651" s="30"/>
      <c r="CS651" s="30"/>
      <c r="CT651" s="30"/>
      <c r="CU651" s="30"/>
      <c r="CV651" s="30"/>
      <c r="CW651" s="30"/>
      <c r="CX651" s="30"/>
      <c r="CY651" s="30"/>
      <c r="CZ651" s="30"/>
      <c r="DA651" s="30"/>
      <c r="DB651" s="30"/>
      <c r="DC651" s="30"/>
      <c r="DD651" s="30"/>
      <c r="DE651" s="30"/>
      <c r="DF651" s="30"/>
      <c r="DG651" s="30"/>
      <c r="DH651" s="30"/>
      <c r="DI651" s="30"/>
      <c r="DJ651" s="30"/>
      <c r="DK651" s="30"/>
      <c r="DL651" s="30"/>
      <c r="DM651" s="30"/>
      <c r="DN651" s="30"/>
      <c r="DO651" s="30"/>
      <c r="DP651" s="30"/>
      <c r="DQ651" s="30"/>
      <c r="DR651" s="30"/>
      <c r="DS651" s="30"/>
      <c r="DT651" s="30"/>
      <c r="DU651" s="30"/>
      <c r="DV651" s="30"/>
      <c r="DW651" s="30"/>
      <c r="DX651" s="30"/>
      <c r="DY651" s="30"/>
      <c r="DZ651" s="30"/>
    </row>
    <row r="652">
      <c r="A652" s="30"/>
      <c r="B652" s="42"/>
      <c r="C652" s="43"/>
      <c r="D652" s="30"/>
      <c r="E652" s="28"/>
      <c r="F652" s="30"/>
      <c r="G652" s="30"/>
      <c r="H652" s="30"/>
      <c r="I652" s="30"/>
      <c r="J652" s="28"/>
      <c r="K652" s="30"/>
      <c r="L652" s="30"/>
      <c r="M652" s="30"/>
      <c r="N652" s="30"/>
      <c r="O652" s="28"/>
      <c r="P652" s="30"/>
      <c r="Q652" s="30"/>
      <c r="R652" s="30"/>
      <c r="S652" s="36"/>
      <c r="T652" s="30"/>
      <c r="U652" s="36"/>
      <c r="V652" s="30"/>
      <c r="W652" s="28"/>
      <c r="X652" s="30"/>
      <c r="Y652" s="30"/>
      <c r="Z652" s="30"/>
      <c r="AA652" s="30"/>
      <c r="AB652" s="30"/>
      <c r="AC652" s="28"/>
      <c r="AD652" s="30"/>
      <c r="AE652" s="30"/>
      <c r="AF652" s="30"/>
      <c r="AG652" s="29"/>
      <c r="AH652" s="30"/>
      <c r="AI652" s="36"/>
      <c r="AJ652" s="30"/>
      <c r="AK652" s="29"/>
      <c r="AL652" s="30"/>
      <c r="AM652" s="30"/>
      <c r="AN652" s="30"/>
      <c r="AO652" s="30"/>
      <c r="AP652" s="30"/>
      <c r="AQ652" s="38"/>
      <c r="AR652" s="30"/>
      <c r="AS652" s="30"/>
      <c r="AT652" s="29"/>
      <c r="AU652" s="30"/>
      <c r="AV652" s="30"/>
      <c r="AW652" s="30"/>
      <c r="AX652" s="29"/>
      <c r="AY652" s="39"/>
      <c r="AZ652" s="30"/>
      <c r="BA652" s="30"/>
      <c r="BB652" s="29"/>
      <c r="BC652" s="52"/>
      <c r="BD652" s="30"/>
      <c r="BE652" s="29"/>
      <c r="BF652" s="30"/>
      <c r="BG652" s="30"/>
      <c r="BH652" s="30"/>
      <c r="BI652" s="30"/>
      <c r="BJ652" s="30"/>
      <c r="BK652" s="30"/>
      <c r="BL652" s="30"/>
      <c r="BM652" s="30"/>
      <c r="BN652" s="30"/>
      <c r="BO652" s="30"/>
      <c r="BP652" s="30"/>
      <c r="BQ652" s="30"/>
      <c r="BR652" s="30"/>
      <c r="BS652" s="30"/>
      <c r="BT652" s="30"/>
      <c r="BU652" s="30"/>
      <c r="BV652" s="30"/>
      <c r="BW652" s="30"/>
      <c r="BX652" s="30"/>
      <c r="BY652" s="30"/>
      <c r="BZ652" s="30"/>
      <c r="CA652" s="30"/>
      <c r="CB652" s="30"/>
      <c r="CC652" s="30"/>
      <c r="CD652" s="30"/>
      <c r="CE652" s="30"/>
      <c r="CF652" s="30"/>
      <c r="CG652" s="30"/>
      <c r="CH652" s="30"/>
      <c r="CI652" s="30"/>
      <c r="CJ652" s="30"/>
      <c r="CK652" s="30"/>
      <c r="CL652" s="30"/>
      <c r="CM652" s="30"/>
      <c r="CN652" s="30"/>
      <c r="CO652" s="30"/>
      <c r="CP652" s="30"/>
      <c r="CQ652" s="30"/>
      <c r="CR652" s="30"/>
      <c r="CS652" s="30"/>
      <c r="CT652" s="30"/>
      <c r="CU652" s="30"/>
      <c r="CV652" s="30"/>
      <c r="CW652" s="30"/>
      <c r="CX652" s="30"/>
      <c r="CY652" s="30"/>
      <c r="CZ652" s="30"/>
      <c r="DA652" s="30"/>
      <c r="DB652" s="30"/>
      <c r="DC652" s="30"/>
      <c r="DD652" s="30"/>
      <c r="DE652" s="30"/>
      <c r="DF652" s="30"/>
      <c r="DG652" s="30"/>
      <c r="DH652" s="30"/>
      <c r="DI652" s="30"/>
      <c r="DJ652" s="30"/>
      <c r="DK652" s="30"/>
      <c r="DL652" s="30"/>
      <c r="DM652" s="30"/>
      <c r="DN652" s="30"/>
      <c r="DO652" s="30"/>
      <c r="DP652" s="30"/>
      <c r="DQ652" s="30"/>
      <c r="DR652" s="30"/>
      <c r="DS652" s="30"/>
      <c r="DT652" s="30"/>
      <c r="DU652" s="30"/>
      <c r="DV652" s="30"/>
      <c r="DW652" s="30"/>
      <c r="DX652" s="30"/>
      <c r="DY652" s="30"/>
      <c r="DZ652" s="30"/>
    </row>
    <row r="653">
      <c r="A653" s="30"/>
      <c r="B653" s="42"/>
      <c r="C653" s="43"/>
      <c r="D653" s="30"/>
      <c r="E653" s="28"/>
      <c r="F653" s="30"/>
      <c r="G653" s="30"/>
      <c r="H653" s="30"/>
      <c r="I653" s="30"/>
      <c r="J653" s="28"/>
      <c r="K653" s="30"/>
      <c r="L653" s="30"/>
      <c r="M653" s="30"/>
      <c r="N653" s="30"/>
      <c r="O653" s="28"/>
      <c r="P653" s="30"/>
      <c r="Q653" s="30"/>
      <c r="R653" s="30"/>
      <c r="S653" s="36"/>
      <c r="T653" s="30"/>
      <c r="U653" s="36"/>
      <c r="V653" s="30"/>
      <c r="W653" s="28"/>
      <c r="X653" s="30"/>
      <c r="Y653" s="30"/>
      <c r="Z653" s="30"/>
      <c r="AA653" s="30"/>
      <c r="AB653" s="30"/>
      <c r="AC653" s="28"/>
      <c r="AD653" s="30"/>
      <c r="AE653" s="30"/>
      <c r="AF653" s="30"/>
      <c r="AG653" s="29"/>
      <c r="AH653" s="30"/>
      <c r="AI653" s="36"/>
      <c r="AJ653" s="30"/>
      <c r="AK653" s="29"/>
      <c r="AL653" s="30"/>
      <c r="AM653" s="30"/>
      <c r="AN653" s="30"/>
      <c r="AO653" s="30"/>
      <c r="AP653" s="30"/>
      <c r="AQ653" s="38"/>
      <c r="AR653" s="30"/>
      <c r="AS653" s="30"/>
      <c r="AT653" s="29"/>
      <c r="AU653" s="30"/>
      <c r="AV653" s="30"/>
      <c r="AW653" s="30"/>
      <c r="AX653" s="29"/>
      <c r="AY653" s="39"/>
      <c r="AZ653" s="30"/>
      <c r="BA653" s="30"/>
      <c r="BB653" s="29"/>
      <c r="BC653" s="52"/>
      <c r="BD653" s="30"/>
      <c r="BE653" s="29"/>
      <c r="BF653" s="30"/>
      <c r="BG653" s="30"/>
      <c r="BH653" s="30"/>
      <c r="BI653" s="30"/>
      <c r="BJ653" s="30"/>
      <c r="BK653" s="30"/>
      <c r="BL653" s="30"/>
      <c r="BM653" s="30"/>
      <c r="BN653" s="30"/>
      <c r="BO653" s="30"/>
      <c r="BP653" s="30"/>
      <c r="BQ653" s="30"/>
      <c r="BR653" s="30"/>
      <c r="BS653" s="30"/>
      <c r="BT653" s="30"/>
      <c r="BU653" s="30"/>
      <c r="BV653" s="30"/>
      <c r="BW653" s="30"/>
      <c r="BX653" s="30"/>
      <c r="BY653" s="30"/>
      <c r="BZ653" s="30"/>
      <c r="CA653" s="30"/>
      <c r="CB653" s="30"/>
      <c r="CC653" s="30"/>
      <c r="CD653" s="30"/>
      <c r="CE653" s="30"/>
      <c r="CF653" s="30"/>
      <c r="CG653" s="30"/>
      <c r="CH653" s="30"/>
      <c r="CI653" s="30"/>
      <c r="CJ653" s="30"/>
      <c r="CK653" s="30"/>
      <c r="CL653" s="30"/>
      <c r="CM653" s="30"/>
      <c r="CN653" s="30"/>
      <c r="CO653" s="30"/>
      <c r="CP653" s="30"/>
      <c r="CQ653" s="30"/>
      <c r="CR653" s="30"/>
      <c r="CS653" s="30"/>
      <c r="CT653" s="30"/>
      <c r="CU653" s="30"/>
      <c r="CV653" s="30"/>
      <c r="CW653" s="30"/>
      <c r="CX653" s="30"/>
      <c r="CY653" s="30"/>
      <c r="CZ653" s="30"/>
      <c r="DA653" s="30"/>
      <c r="DB653" s="30"/>
      <c r="DC653" s="30"/>
      <c r="DD653" s="30"/>
      <c r="DE653" s="30"/>
      <c r="DF653" s="30"/>
      <c r="DG653" s="30"/>
      <c r="DH653" s="30"/>
      <c r="DI653" s="30"/>
      <c r="DJ653" s="30"/>
      <c r="DK653" s="30"/>
      <c r="DL653" s="30"/>
      <c r="DM653" s="30"/>
      <c r="DN653" s="30"/>
      <c r="DO653" s="30"/>
      <c r="DP653" s="30"/>
      <c r="DQ653" s="30"/>
      <c r="DR653" s="30"/>
      <c r="DS653" s="30"/>
      <c r="DT653" s="30"/>
      <c r="DU653" s="30"/>
      <c r="DV653" s="30"/>
      <c r="DW653" s="30"/>
      <c r="DX653" s="30"/>
      <c r="DY653" s="30"/>
      <c r="DZ653" s="30"/>
    </row>
    <row r="654">
      <c r="A654" s="30"/>
      <c r="B654" s="42"/>
      <c r="C654" s="43"/>
      <c r="D654" s="30"/>
      <c r="E654" s="28"/>
      <c r="F654" s="30"/>
      <c r="G654" s="30"/>
      <c r="H654" s="30"/>
      <c r="I654" s="30"/>
      <c r="J654" s="28"/>
      <c r="K654" s="30"/>
      <c r="L654" s="30"/>
      <c r="M654" s="30"/>
      <c r="N654" s="30"/>
      <c r="O654" s="28"/>
      <c r="P654" s="30"/>
      <c r="Q654" s="30"/>
      <c r="R654" s="30"/>
      <c r="S654" s="36"/>
      <c r="T654" s="30"/>
      <c r="U654" s="36"/>
      <c r="V654" s="30"/>
      <c r="W654" s="28"/>
      <c r="X654" s="30"/>
      <c r="Y654" s="30"/>
      <c r="Z654" s="30"/>
      <c r="AA654" s="30"/>
      <c r="AB654" s="30"/>
      <c r="AC654" s="28"/>
      <c r="AD654" s="30"/>
      <c r="AE654" s="30"/>
      <c r="AF654" s="30"/>
      <c r="AG654" s="29"/>
      <c r="AH654" s="30"/>
      <c r="AI654" s="36"/>
      <c r="AJ654" s="30"/>
      <c r="AK654" s="29"/>
      <c r="AL654" s="30"/>
      <c r="AM654" s="30"/>
      <c r="AN654" s="30"/>
      <c r="AO654" s="30"/>
      <c r="AP654" s="30"/>
      <c r="AQ654" s="38"/>
      <c r="AR654" s="30"/>
      <c r="AS654" s="30"/>
      <c r="AT654" s="29"/>
      <c r="AU654" s="30"/>
      <c r="AV654" s="30"/>
      <c r="AW654" s="30"/>
      <c r="AX654" s="29"/>
      <c r="AY654" s="39"/>
      <c r="AZ654" s="30"/>
      <c r="BA654" s="30"/>
      <c r="BB654" s="29"/>
      <c r="BC654" s="52"/>
      <c r="BD654" s="30"/>
      <c r="BE654" s="29"/>
      <c r="BF654" s="30"/>
      <c r="BG654" s="30"/>
      <c r="BH654" s="30"/>
      <c r="BI654" s="30"/>
      <c r="BJ654" s="30"/>
      <c r="BK654" s="30"/>
      <c r="BL654" s="30"/>
      <c r="BM654" s="30"/>
      <c r="BN654" s="30"/>
      <c r="BO654" s="30"/>
      <c r="BP654" s="30"/>
      <c r="BQ654" s="30"/>
      <c r="BR654" s="30"/>
      <c r="BS654" s="30"/>
      <c r="BT654" s="30"/>
      <c r="BU654" s="30"/>
      <c r="BV654" s="30"/>
      <c r="BW654" s="30"/>
      <c r="BX654" s="30"/>
      <c r="BY654" s="30"/>
      <c r="BZ654" s="30"/>
      <c r="CA654" s="30"/>
      <c r="CB654" s="30"/>
      <c r="CC654" s="30"/>
      <c r="CD654" s="30"/>
      <c r="CE654" s="30"/>
      <c r="CF654" s="30"/>
      <c r="CG654" s="30"/>
      <c r="CH654" s="30"/>
      <c r="CI654" s="30"/>
      <c r="CJ654" s="30"/>
      <c r="CK654" s="30"/>
      <c r="CL654" s="30"/>
      <c r="CM654" s="30"/>
      <c r="CN654" s="30"/>
      <c r="CO654" s="30"/>
      <c r="CP654" s="30"/>
      <c r="CQ654" s="30"/>
      <c r="CR654" s="30"/>
      <c r="CS654" s="30"/>
      <c r="CT654" s="30"/>
      <c r="CU654" s="30"/>
      <c r="CV654" s="30"/>
      <c r="CW654" s="30"/>
      <c r="CX654" s="30"/>
      <c r="CY654" s="30"/>
      <c r="CZ654" s="30"/>
      <c r="DA654" s="30"/>
      <c r="DB654" s="30"/>
      <c r="DC654" s="30"/>
      <c r="DD654" s="30"/>
      <c r="DE654" s="30"/>
      <c r="DF654" s="30"/>
      <c r="DG654" s="30"/>
      <c r="DH654" s="30"/>
      <c r="DI654" s="30"/>
      <c r="DJ654" s="30"/>
      <c r="DK654" s="30"/>
      <c r="DL654" s="30"/>
      <c r="DM654" s="30"/>
      <c r="DN654" s="30"/>
      <c r="DO654" s="30"/>
      <c r="DP654" s="30"/>
      <c r="DQ654" s="30"/>
      <c r="DR654" s="30"/>
      <c r="DS654" s="30"/>
      <c r="DT654" s="30"/>
      <c r="DU654" s="30"/>
      <c r="DV654" s="30"/>
      <c r="DW654" s="30"/>
      <c r="DX654" s="30"/>
      <c r="DY654" s="30"/>
      <c r="DZ654" s="30"/>
    </row>
    <row r="655">
      <c r="A655" s="30"/>
      <c r="B655" s="42"/>
      <c r="C655" s="43"/>
      <c r="D655" s="30"/>
      <c r="E655" s="28"/>
      <c r="F655" s="30"/>
      <c r="G655" s="30"/>
      <c r="H655" s="30"/>
      <c r="I655" s="30"/>
      <c r="J655" s="28"/>
      <c r="K655" s="30"/>
      <c r="L655" s="30"/>
      <c r="M655" s="30"/>
      <c r="N655" s="30"/>
      <c r="O655" s="28"/>
      <c r="P655" s="30"/>
      <c r="Q655" s="30"/>
      <c r="R655" s="30"/>
      <c r="S655" s="36"/>
      <c r="T655" s="30"/>
      <c r="U655" s="36"/>
      <c r="V655" s="30"/>
      <c r="W655" s="28"/>
      <c r="X655" s="30"/>
      <c r="Y655" s="30"/>
      <c r="Z655" s="30"/>
      <c r="AA655" s="30"/>
      <c r="AB655" s="30"/>
      <c r="AC655" s="28"/>
      <c r="AD655" s="30"/>
      <c r="AE655" s="30"/>
      <c r="AF655" s="30"/>
      <c r="AG655" s="29"/>
      <c r="AH655" s="30"/>
      <c r="AI655" s="36"/>
      <c r="AJ655" s="30"/>
      <c r="AK655" s="29"/>
      <c r="AL655" s="30"/>
      <c r="AM655" s="30"/>
      <c r="AN655" s="30"/>
      <c r="AO655" s="30"/>
      <c r="AP655" s="30"/>
      <c r="AQ655" s="38"/>
      <c r="AR655" s="30"/>
      <c r="AS655" s="30"/>
      <c r="AT655" s="29"/>
      <c r="AU655" s="30"/>
      <c r="AV655" s="30"/>
      <c r="AW655" s="30"/>
      <c r="AX655" s="29"/>
      <c r="AY655" s="39"/>
      <c r="AZ655" s="30"/>
      <c r="BA655" s="30"/>
      <c r="BB655" s="29"/>
      <c r="BC655" s="52"/>
      <c r="BD655" s="30"/>
      <c r="BE655" s="29"/>
      <c r="BF655" s="30"/>
      <c r="BG655" s="30"/>
      <c r="BH655" s="30"/>
      <c r="BI655" s="30"/>
      <c r="BJ655" s="30"/>
      <c r="BK655" s="30"/>
      <c r="BL655" s="30"/>
      <c r="BM655" s="30"/>
      <c r="BN655" s="30"/>
      <c r="BO655" s="30"/>
      <c r="BP655" s="30"/>
      <c r="BQ655" s="30"/>
      <c r="BR655" s="30"/>
      <c r="BS655" s="30"/>
      <c r="BT655" s="30"/>
      <c r="BU655" s="30"/>
      <c r="BV655" s="30"/>
      <c r="BW655" s="30"/>
      <c r="BX655" s="30"/>
      <c r="BY655" s="30"/>
      <c r="BZ655" s="30"/>
      <c r="CA655" s="30"/>
      <c r="CB655" s="30"/>
      <c r="CC655" s="30"/>
      <c r="CD655" s="30"/>
      <c r="CE655" s="30"/>
      <c r="CF655" s="30"/>
      <c r="CG655" s="30"/>
      <c r="CH655" s="30"/>
      <c r="CI655" s="30"/>
      <c r="CJ655" s="30"/>
      <c r="CK655" s="30"/>
      <c r="CL655" s="30"/>
      <c r="CM655" s="30"/>
      <c r="CN655" s="30"/>
      <c r="CO655" s="30"/>
      <c r="CP655" s="30"/>
      <c r="CQ655" s="30"/>
      <c r="CR655" s="30"/>
      <c r="CS655" s="30"/>
      <c r="CT655" s="30"/>
      <c r="CU655" s="30"/>
      <c r="CV655" s="30"/>
      <c r="CW655" s="30"/>
      <c r="CX655" s="30"/>
      <c r="CY655" s="30"/>
      <c r="CZ655" s="30"/>
      <c r="DA655" s="30"/>
      <c r="DB655" s="30"/>
      <c r="DC655" s="30"/>
      <c r="DD655" s="30"/>
      <c r="DE655" s="30"/>
      <c r="DF655" s="30"/>
      <c r="DG655" s="30"/>
      <c r="DH655" s="30"/>
      <c r="DI655" s="30"/>
      <c r="DJ655" s="30"/>
      <c r="DK655" s="30"/>
      <c r="DL655" s="30"/>
      <c r="DM655" s="30"/>
      <c r="DN655" s="30"/>
      <c r="DO655" s="30"/>
      <c r="DP655" s="30"/>
      <c r="DQ655" s="30"/>
      <c r="DR655" s="30"/>
      <c r="DS655" s="30"/>
      <c r="DT655" s="30"/>
      <c r="DU655" s="30"/>
      <c r="DV655" s="30"/>
      <c r="DW655" s="30"/>
      <c r="DX655" s="30"/>
      <c r="DY655" s="30"/>
      <c r="DZ655" s="30"/>
    </row>
    <row r="656">
      <c r="A656" s="30"/>
      <c r="B656" s="42"/>
      <c r="C656" s="43"/>
      <c r="D656" s="30"/>
      <c r="E656" s="28"/>
      <c r="F656" s="30"/>
      <c r="G656" s="30"/>
      <c r="H656" s="30"/>
      <c r="I656" s="30"/>
      <c r="J656" s="28"/>
      <c r="K656" s="30"/>
      <c r="L656" s="30"/>
      <c r="M656" s="30"/>
      <c r="N656" s="30"/>
      <c r="O656" s="28"/>
      <c r="P656" s="30"/>
      <c r="Q656" s="30"/>
      <c r="R656" s="30"/>
      <c r="S656" s="36"/>
      <c r="T656" s="30"/>
      <c r="U656" s="36"/>
      <c r="V656" s="30"/>
      <c r="W656" s="28"/>
      <c r="X656" s="30"/>
      <c r="Y656" s="30"/>
      <c r="Z656" s="30"/>
      <c r="AA656" s="30"/>
      <c r="AB656" s="30"/>
      <c r="AC656" s="28"/>
      <c r="AD656" s="30"/>
      <c r="AE656" s="30"/>
      <c r="AF656" s="30"/>
      <c r="AG656" s="29"/>
      <c r="AH656" s="30"/>
      <c r="AI656" s="36"/>
      <c r="AJ656" s="30"/>
      <c r="AK656" s="29"/>
      <c r="AL656" s="30"/>
      <c r="AM656" s="30"/>
      <c r="AN656" s="30"/>
      <c r="AO656" s="30"/>
      <c r="AP656" s="30"/>
      <c r="AQ656" s="38"/>
      <c r="AR656" s="30"/>
      <c r="AS656" s="30"/>
      <c r="AT656" s="29"/>
      <c r="AU656" s="30"/>
      <c r="AV656" s="30"/>
      <c r="AW656" s="30"/>
      <c r="AX656" s="29"/>
      <c r="AY656" s="39"/>
      <c r="AZ656" s="30"/>
      <c r="BA656" s="30"/>
      <c r="BB656" s="29"/>
      <c r="BC656" s="52"/>
      <c r="BD656" s="30"/>
      <c r="BE656" s="29"/>
      <c r="BF656" s="30"/>
      <c r="BG656" s="30"/>
      <c r="BH656" s="30"/>
      <c r="BI656" s="30"/>
      <c r="BJ656" s="30"/>
      <c r="BK656" s="30"/>
      <c r="BL656" s="30"/>
      <c r="BM656" s="30"/>
      <c r="BN656" s="30"/>
      <c r="BO656" s="30"/>
      <c r="BP656" s="30"/>
      <c r="BQ656" s="30"/>
      <c r="BR656" s="30"/>
      <c r="BS656" s="30"/>
      <c r="BT656" s="30"/>
      <c r="BU656" s="30"/>
      <c r="BV656" s="30"/>
      <c r="BW656" s="30"/>
      <c r="BX656" s="30"/>
      <c r="BY656" s="30"/>
      <c r="BZ656" s="30"/>
      <c r="CA656" s="30"/>
      <c r="CB656" s="30"/>
      <c r="CC656" s="30"/>
      <c r="CD656" s="30"/>
      <c r="CE656" s="30"/>
      <c r="CF656" s="30"/>
      <c r="CG656" s="30"/>
      <c r="CH656" s="30"/>
      <c r="CI656" s="30"/>
      <c r="CJ656" s="30"/>
      <c r="CK656" s="30"/>
      <c r="CL656" s="30"/>
      <c r="CM656" s="30"/>
      <c r="CN656" s="30"/>
      <c r="CO656" s="30"/>
      <c r="CP656" s="30"/>
      <c r="CQ656" s="30"/>
      <c r="CR656" s="30"/>
      <c r="CS656" s="30"/>
      <c r="CT656" s="30"/>
      <c r="CU656" s="30"/>
      <c r="CV656" s="30"/>
      <c r="CW656" s="30"/>
      <c r="CX656" s="30"/>
      <c r="CY656" s="30"/>
      <c r="CZ656" s="30"/>
      <c r="DA656" s="30"/>
      <c r="DB656" s="30"/>
      <c r="DC656" s="30"/>
      <c r="DD656" s="30"/>
      <c r="DE656" s="30"/>
      <c r="DF656" s="30"/>
      <c r="DG656" s="30"/>
      <c r="DH656" s="30"/>
      <c r="DI656" s="30"/>
      <c r="DJ656" s="30"/>
      <c r="DK656" s="30"/>
      <c r="DL656" s="30"/>
      <c r="DM656" s="30"/>
      <c r="DN656" s="30"/>
      <c r="DO656" s="30"/>
      <c r="DP656" s="30"/>
      <c r="DQ656" s="30"/>
      <c r="DR656" s="30"/>
      <c r="DS656" s="30"/>
      <c r="DT656" s="30"/>
      <c r="DU656" s="30"/>
      <c r="DV656" s="30"/>
      <c r="DW656" s="30"/>
      <c r="DX656" s="30"/>
      <c r="DY656" s="30"/>
      <c r="DZ656" s="30"/>
    </row>
    <row r="657">
      <c r="A657" s="30"/>
      <c r="B657" s="42"/>
      <c r="C657" s="43"/>
      <c r="D657" s="30"/>
      <c r="E657" s="28"/>
      <c r="F657" s="30"/>
      <c r="G657" s="30"/>
      <c r="H657" s="30"/>
      <c r="I657" s="30"/>
      <c r="J657" s="28"/>
      <c r="K657" s="30"/>
      <c r="L657" s="30"/>
      <c r="M657" s="30"/>
      <c r="N657" s="30"/>
      <c r="O657" s="28"/>
      <c r="P657" s="30"/>
      <c r="Q657" s="30"/>
      <c r="R657" s="30"/>
      <c r="S657" s="36"/>
      <c r="T657" s="30"/>
      <c r="U657" s="36"/>
      <c r="V657" s="30"/>
      <c r="W657" s="28"/>
      <c r="X657" s="30"/>
      <c r="Y657" s="30"/>
      <c r="Z657" s="30"/>
      <c r="AA657" s="30"/>
      <c r="AB657" s="30"/>
      <c r="AC657" s="28"/>
      <c r="AD657" s="30"/>
      <c r="AE657" s="30"/>
      <c r="AF657" s="30"/>
      <c r="AG657" s="29"/>
      <c r="AH657" s="30"/>
      <c r="AI657" s="36"/>
      <c r="AJ657" s="30"/>
      <c r="AK657" s="29"/>
      <c r="AL657" s="30"/>
      <c r="AM657" s="30"/>
      <c r="AN657" s="30"/>
      <c r="AO657" s="30"/>
      <c r="AP657" s="30"/>
      <c r="AQ657" s="38"/>
      <c r="AR657" s="30"/>
      <c r="AS657" s="30"/>
      <c r="AT657" s="29"/>
      <c r="AU657" s="30"/>
      <c r="AV657" s="30"/>
      <c r="AW657" s="30"/>
      <c r="AX657" s="29"/>
      <c r="AY657" s="39"/>
      <c r="AZ657" s="30"/>
      <c r="BA657" s="30"/>
      <c r="BB657" s="29"/>
      <c r="BC657" s="52"/>
      <c r="BD657" s="30"/>
      <c r="BE657" s="29"/>
      <c r="BF657" s="30"/>
      <c r="BG657" s="30"/>
      <c r="BH657" s="30"/>
      <c r="BI657" s="30"/>
      <c r="BJ657" s="30"/>
      <c r="BK657" s="30"/>
      <c r="BL657" s="30"/>
      <c r="BM657" s="30"/>
      <c r="BN657" s="30"/>
      <c r="BO657" s="30"/>
      <c r="BP657" s="30"/>
      <c r="BQ657" s="30"/>
      <c r="BR657" s="30"/>
      <c r="BS657" s="30"/>
      <c r="BT657" s="30"/>
      <c r="BU657" s="30"/>
      <c r="BV657" s="30"/>
      <c r="BW657" s="30"/>
      <c r="BX657" s="30"/>
      <c r="BY657" s="30"/>
      <c r="BZ657" s="30"/>
      <c r="CA657" s="30"/>
      <c r="CB657" s="30"/>
      <c r="CC657" s="30"/>
      <c r="CD657" s="30"/>
      <c r="CE657" s="30"/>
      <c r="CF657" s="30"/>
      <c r="CG657" s="30"/>
      <c r="CH657" s="30"/>
      <c r="CI657" s="30"/>
      <c r="CJ657" s="30"/>
      <c r="CK657" s="30"/>
      <c r="CL657" s="30"/>
      <c r="CM657" s="30"/>
      <c r="CN657" s="30"/>
      <c r="CO657" s="30"/>
      <c r="CP657" s="30"/>
      <c r="CQ657" s="30"/>
      <c r="CR657" s="30"/>
      <c r="CS657" s="30"/>
      <c r="CT657" s="30"/>
      <c r="CU657" s="30"/>
      <c r="CV657" s="30"/>
      <c r="CW657" s="30"/>
      <c r="CX657" s="30"/>
      <c r="CY657" s="30"/>
      <c r="CZ657" s="30"/>
      <c r="DA657" s="30"/>
      <c r="DB657" s="30"/>
      <c r="DC657" s="30"/>
      <c r="DD657" s="30"/>
      <c r="DE657" s="30"/>
      <c r="DF657" s="30"/>
      <c r="DG657" s="30"/>
      <c r="DH657" s="30"/>
      <c r="DI657" s="30"/>
      <c r="DJ657" s="30"/>
      <c r="DK657" s="30"/>
      <c r="DL657" s="30"/>
      <c r="DM657" s="30"/>
      <c r="DN657" s="30"/>
      <c r="DO657" s="30"/>
      <c r="DP657" s="30"/>
      <c r="DQ657" s="30"/>
      <c r="DR657" s="30"/>
      <c r="DS657" s="30"/>
      <c r="DT657" s="30"/>
      <c r="DU657" s="30"/>
      <c r="DV657" s="30"/>
      <c r="DW657" s="30"/>
      <c r="DX657" s="30"/>
      <c r="DY657" s="30"/>
      <c r="DZ657" s="30"/>
    </row>
    <row r="658">
      <c r="A658" s="30"/>
      <c r="B658" s="42"/>
      <c r="C658" s="43"/>
      <c r="D658" s="30"/>
      <c r="E658" s="28"/>
      <c r="F658" s="30"/>
      <c r="G658" s="30"/>
      <c r="H658" s="30"/>
      <c r="I658" s="30"/>
      <c r="J658" s="28"/>
      <c r="K658" s="30"/>
      <c r="L658" s="30"/>
      <c r="M658" s="30"/>
      <c r="N658" s="30"/>
      <c r="O658" s="28"/>
      <c r="P658" s="30"/>
      <c r="Q658" s="30"/>
      <c r="R658" s="30"/>
      <c r="S658" s="36"/>
      <c r="T658" s="30"/>
      <c r="U658" s="36"/>
      <c r="V658" s="30"/>
      <c r="W658" s="28"/>
      <c r="X658" s="30"/>
      <c r="Y658" s="30"/>
      <c r="Z658" s="30"/>
      <c r="AA658" s="30"/>
      <c r="AB658" s="30"/>
      <c r="AC658" s="28"/>
      <c r="AD658" s="30"/>
      <c r="AE658" s="30"/>
      <c r="AF658" s="30"/>
      <c r="AG658" s="29"/>
      <c r="AH658" s="30"/>
      <c r="AI658" s="36"/>
      <c r="AJ658" s="30"/>
      <c r="AK658" s="29"/>
      <c r="AL658" s="30"/>
      <c r="AM658" s="30"/>
      <c r="AN658" s="30"/>
      <c r="AO658" s="30"/>
      <c r="AP658" s="30"/>
      <c r="AQ658" s="38"/>
      <c r="AR658" s="30"/>
      <c r="AS658" s="30"/>
      <c r="AT658" s="29"/>
      <c r="AU658" s="30"/>
      <c r="AV658" s="30"/>
      <c r="AW658" s="30"/>
      <c r="AX658" s="29"/>
      <c r="AY658" s="39"/>
      <c r="AZ658" s="30"/>
      <c r="BA658" s="30"/>
      <c r="BB658" s="29"/>
      <c r="BC658" s="52"/>
      <c r="BD658" s="30"/>
      <c r="BE658" s="29"/>
      <c r="BF658" s="30"/>
      <c r="BG658" s="30"/>
      <c r="BH658" s="30"/>
      <c r="BI658" s="30"/>
      <c r="BJ658" s="30"/>
      <c r="BK658" s="30"/>
      <c r="BL658" s="30"/>
      <c r="BM658" s="30"/>
      <c r="BN658" s="30"/>
      <c r="BO658" s="30"/>
      <c r="BP658" s="30"/>
      <c r="BQ658" s="30"/>
      <c r="BR658" s="30"/>
      <c r="BS658" s="30"/>
      <c r="BT658" s="30"/>
      <c r="BU658" s="30"/>
      <c r="BV658" s="30"/>
      <c r="BW658" s="30"/>
      <c r="BX658" s="30"/>
      <c r="BY658" s="30"/>
      <c r="BZ658" s="30"/>
      <c r="CA658" s="30"/>
      <c r="CB658" s="30"/>
      <c r="CC658" s="30"/>
      <c r="CD658" s="30"/>
      <c r="CE658" s="30"/>
      <c r="CF658" s="30"/>
      <c r="CG658" s="30"/>
      <c r="CH658" s="30"/>
      <c r="CI658" s="30"/>
      <c r="CJ658" s="30"/>
      <c r="CK658" s="30"/>
      <c r="CL658" s="30"/>
      <c r="CM658" s="30"/>
      <c r="CN658" s="30"/>
      <c r="CO658" s="30"/>
      <c r="CP658" s="30"/>
      <c r="CQ658" s="30"/>
      <c r="CR658" s="30"/>
      <c r="CS658" s="30"/>
      <c r="CT658" s="30"/>
      <c r="CU658" s="30"/>
      <c r="CV658" s="30"/>
      <c r="CW658" s="30"/>
      <c r="CX658" s="30"/>
      <c r="CY658" s="30"/>
      <c r="CZ658" s="30"/>
      <c r="DA658" s="30"/>
      <c r="DB658" s="30"/>
      <c r="DC658" s="30"/>
      <c r="DD658" s="30"/>
      <c r="DE658" s="30"/>
      <c r="DF658" s="30"/>
      <c r="DG658" s="30"/>
      <c r="DH658" s="30"/>
      <c r="DI658" s="30"/>
      <c r="DJ658" s="30"/>
      <c r="DK658" s="30"/>
      <c r="DL658" s="30"/>
      <c r="DM658" s="30"/>
      <c r="DN658" s="30"/>
      <c r="DO658" s="30"/>
      <c r="DP658" s="30"/>
      <c r="DQ658" s="30"/>
      <c r="DR658" s="30"/>
      <c r="DS658" s="30"/>
      <c r="DT658" s="30"/>
      <c r="DU658" s="30"/>
      <c r="DV658" s="30"/>
      <c r="DW658" s="30"/>
      <c r="DX658" s="30"/>
      <c r="DY658" s="30"/>
      <c r="DZ658" s="30"/>
    </row>
    <row r="659">
      <c r="A659" s="30"/>
      <c r="B659" s="42"/>
      <c r="C659" s="43"/>
      <c r="D659" s="30"/>
      <c r="E659" s="28"/>
      <c r="F659" s="30"/>
      <c r="G659" s="30"/>
      <c r="H659" s="30"/>
      <c r="I659" s="30"/>
      <c r="J659" s="28"/>
      <c r="K659" s="30"/>
      <c r="L659" s="30"/>
      <c r="M659" s="30"/>
      <c r="N659" s="30"/>
      <c r="O659" s="28"/>
      <c r="P659" s="30"/>
      <c r="Q659" s="30"/>
      <c r="R659" s="30"/>
      <c r="S659" s="36"/>
      <c r="T659" s="30"/>
      <c r="U659" s="36"/>
      <c r="V659" s="30"/>
      <c r="W659" s="28"/>
      <c r="X659" s="30"/>
      <c r="Y659" s="30"/>
      <c r="Z659" s="30"/>
      <c r="AA659" s="30"/>
      <c r="AB659" s="30"/>
      <c r="AC659" s="28"/>
      <c r="AD659" s="30"/>
      <c r="AE659" s="30"/>
      <c r="AF659" s="30"/>
      <c r="AG659" s="29"/>
      <c r="AH659" s="30"/>
      <c r="AI659" s="36"/>
      <c r="AJ659" s="30"/>
      <c r="AK659" s="29"/>
      <c r="AL659" s="30"/>
      <c r="AM659" s="30"/>
      <c r="AN659" s="30"/>
      <c r="AO659" s="30"/>
      <c r="AP659" s="30"/>
      <c r="AQ659" s="38"/>
      <c r="AR659" s="30"/>
      <c r="AS659" s="30"/>
      <c r="AT659" s="29"/>
      <c r="AU659" s="30"/>
      <c r="AV659" s="30"/>
      <c r="AW659" s="30"/>
      <c r="AX659" s="29"/>
      <c r="AY659" s="39"/>
      <c r="AZ659" s="30"/>
      <c r="BA659" s="30"/>
      <c r="BB659" s="29"/>
      <c r="BC659" s="52"/>
      <c r="BD659" s="30"/>
      <c r="BE659" s="29"/>
      <c r="BF659" s="30"/>
      <c r="BG659" s="30"/>
      <c r="BH659" s="30"/>
      <c r="BI659" s="30"/>
      <c r="BJ659" s="30"/>
      <c r="BK659" s="30"/>
      <c r="BL659" s="30"/>
      <c r="BM659" s="30"/>
      <c r="BN659" s="30"/>
      <c r="BO659" s="30"/>
      <c r="BP659" s="30"/>
      <c r="BQ659" s="30"/>
      <c r="BR659" s="30"/>
      <c r="BS659" s="30"/>
      <c r="BT659" s="30"/>
      <c r="BU659" s="30"/>
      <c r="BV659" s="30"/>
      <c r="BW659" s="30"/>
      <c r="BX659" s="30"/>
      <c r="BY659" s="30"/>
      <c r="BZ659" s="30"/>
      <c r="CA659" s="30"/>
      <c r="CB659" s="30"/>
      <c r="CC659" s="30"/>
      <c r="CD659" s="30"/>
      <c r="CE659" s="30"/>
      <c r="CF659" s="30"/>
      <c r="CG659" s="30"/>
      <c r="CH659" s="30"/>
      <c r="CI659" s="30"/>
      <c r="CJ659" s="30"/>
      <c r="CK659" s="30"/>
      <c r="CL659" s="30"/>
      <c r="CM659" s="30"/>
      <c r="CN659" s="30"/>
      <c r="CO659" s="30"/>
      <c r="CP659" s="30"/>
      <c r="CQ659" s="30"/>
      <c r="CR659" s="30"/>
      <c r="CS659" s="30"/>
      <c r="CT659" s="30"/>
      <c r="CU659" s="30"/>
      <c r="CV659" s="30"/>
      <c r="CW659" s="30"/>
      <c r="CX659" s="30"/>
      <c r="CY659" s="30"/>
      <c r="CZ659" s="30"/>
      <c r="DA659" s="30"/>
      <c r="DB659" s="30"/>
      <c r="DC659" s="30"/>
      <c r="DD659" s="30"/>
      <c r="DE659" s="30"/>
      <c r="DF659" s="30"/>
      <c r="DG659" s="30"/>
      <c r="DH659" s="30"/>
      <c r="DI659" s="30"/>
      <c r="DJ659" s="30"/>
      <c r="DK659" s="30"/>
      <c r="DL659" s="30"/>
      <c r="DM659" s="30"/>
      <c r="DN659" s="30"/>
      <c r="DO659" s="30"/>
      <c r="DP659" s="30"/>
      <c r="DQ659" s="30"/>
      <c r="DR659" s="30"/>
      <c r="DS659" s="30"/>
      <c r="DT659" s="30"/>
      <c r="DU659" s="30"/>
      <c r="DV659" s="30"/>
      <c r="DW659" s="30"/>
      <c r="DX659" s="30"/>
      <c r="DY659" s="30"/>
      <c r="DZ659" s="30"/>
    </row>
    <row r="660">
      <c r="A660" s="30"/>
      <c r="B660" s="42"/>
      <c r="C660" s="43"/>
      <c r="D660" s="30"/>
      <c r="E660" s="28"/>
      <c r="F660" s="30"/>
      <c r="G660" s="30"/>
      <c r="H660" s="30"/>
      <c r="I660" s="30"/>
      <c r="J660" s="28"/>
      <c r="K660" s="30"/>
      <c r="L660" s="30"/>
      <c r="M660" s="30"/>
      <c r="N660" s="30"/>
      <c r="O660" s="28"/>
      <c r="P660" s="30"/>
      <c r="Q660" s="30"/>
      <c r="R660" s="30"/>
      <c r="S660" s="36"/>
      <c r="T660" s="30"/>
      <c r="U660" s="36"/>
      <c r="V660" s="30"/>
      <c r="W660" s="28"/>
      <c r="X660" s="30"/>
      <c r="Y660" s="30"/>
      <c r="Z660" s="30"/>
      <c r="AA660" s="30"/>
      <c r="AB660" s="30"/>
      <c r="AC660" s="28"/>
      <c r="AD660" s="30"/>
      <c r="AE660" s="30"/>
      <c r="AF660" s="30"/>
      <c r="AG660" s="29"/>
      <c r="AH660" s="30"/>
      <c r="AI660" s="36"/>
      <c r="AJ660" s="30"/>
      <c r="AK660" s="29"/>
      <c r="AL660" s="30"/>
      <c r="AM660" s="30"/>
      <c r="AN660" s="30"/>
      <c r="AO660" s="30"/>
      <c r="AP660" s="30"/>
      <c r="AQ660" s="38"/>
      <c r="AR660" s="30"/>
      <c r="AS660" s="30"/>
      <c r="AT660" s="29"/>
      <c r="AU660" s="30"/>
      <c r="AV660" s="30"/>
      <c r="AW660" s="30"/>
      <c r="AX660" s="29"/>
      <c r="AY660" s="39"/>
      <c r="AZ660" s="30"/>
      <c r="BA660" s="30"/>
      <c r="BB660" s="29"/>
      <c r="BC660" s="52"/>
      <c r="BD660" s="30"/>
      <c r="BE660" s="29"/>
      <c r="BF660" s="30"/>
      <c r="BG660" s="30"/>
      <c r="BH660" s="30"/>
      <c r="BI660" s="30"/>
      <c r="BJ660" s="30"/>
      <c r="BK660" s="30"/>
      <c r="BL660" s="30"/>
      <c r="BM660" s="30"/>
      <c r="BN660" s="30"/>
      <c r="BO660" s="30"/>
      <c r="BP660" s="30"/>
      <c r="BQ660" s="30"/>
      <c r="BR660" s="30"/>
      <c r="BS660" s="30"/>
      <c r="BT660" s="30"/>
      <c r="BU660" s="30"/>
      <c r="BV660" s="30"/>
      <c r="BW660" s="30"/>
      <c r="BX660" s="30"/>
      <c r="BY660" s="30"/>
      <c r="BZ660" s="30"/>
      <c r="CA660" s="30"/>
      <c r="CB660" s="30"/>
      <c r="CC660" s="30"/>
      <c r="CD660" s="30"/>
      <c r="CE660" s="30"/>
      <c r="CF660" s="30"/>
      <c r="CG660" s="30"/>
      <c r="CH660" s="30"/>
      <c r="CI660" s="30"/>
      <c r="CJ660" s="30"/>
      <c r="CK660" s="30"/>
      <c r="CL660" s="30"/>
      <c r="CM660" s="30"/>
      <c r="CN660" s="30"/>
      <c r="CO660" s="30"/>
      <c r="CP660" s="30"/>
      <c r="CQ660" s="30"/>
      <c r="CR660" s="30"/>
      <c r="CS660" s="30"/>
      <c r="CT660" s="30"/>
      <c r="CU660" s="30"/>
      <c r="CV660" s="30"/>
      <c r="CW660" s="30"/>
      <c r="CX660" s="30"/>
      <c r="CY660" s="30"/>
      <c r="CZ660" s="30"/>
      <c r="DA660" s="30"/>
      <c r="DB660" s="30"/>
      <c r="DC660" s="30"/>
      <c r="DD660" s="30"/>
      <c r="DE660" s="30"/>
      <c r="DF660" s="30"/>
      <c r="DG660" s="30"/>
      <c r="DH660" s="30"/>
      <c r="DI660" s="30"/>
      <c r="DJ660" s="30"/>
      <c r="DK660" s="30"/>
      <c r="DL660" s="30"/>
      <c r="DM660" s="30"/>
      <c r="DN660" s="30"/>
      <c r="DO660" s="30"/>
      <c r="DP660" s="30"/>
      <c r="DQ660" s="30"/>
      <c r="DR660" s="30"/>
      <c r="DS660" s="30"/>
      <c r="DT660" s="30"/>
      <c r="DU660" s="30"/>
      <c r="DV660" s="30"/>
      <c r="DW660" s="30"/>
      <c r="DX660" s="30"/>
      <c r="DY660" s="30"/>
      <c r="DZ660" s="30"/>
    </row>
    <row r="661">
      <c r="A661" s="30"/>
      <c r="B661" s="42"/>
      <c r="C661" s="43"/>
      <c r="D661" s="30"/>
      <c r="E661" s="28"/>
      <c r="F661" s="30"/>
      <c r="G661" s="30"/>
      <c r="H661" s="30"/>
      <c r="I661" s="30"/>
      <c r="J661" s="28"/>
      <c r="K661" s="30"/>
      <c r="L661" s="30"/>
      <c r="M661" s="30"/>
      <c r="N661" s="30"/>
      <c r="O661" s="28"/>
      <c r="P661" s="30"/>
      <c r="Q661" s="30"/>
      <c r="R661" s="30"/>
      <c r="S661" s="36"/>
      <c r="T661" s="30"/>
      <c r="U661" s="36"/>
      <c r="V661" s="30"/>
      <c r="W661" s="28"/>
      <c r="X661" s="30"/>
      <c r="Y661" s="30"/>
      <c r="Z661" s="30"/>
      <c r="AA661" s="30"/>
      <c r="AB661" s="30"/>
      <c r="AC661" s="28"/>
      <c r="AD661" s="30"/>
      <c r="AE661" s="30"/>
      <c r="AF661" s="30"/>
      <c r="AG661" s="29"/>
      <c r="AH661" s="30"/>
      <c r="AI661" s="36"/>
      <c r="AJ661" s="30"/>
      <c r="AK661" s="29"/>
      <c r="AL661" s="30"/>
      <c r="AM661" s="30"/>
      <c r="AN661" s="30"/>
      <c r="AO661" s="30"/>
      <c r="AP661" s="30"/>
      <c r="AQ661" s="38"/>
      <c r="AR661" s="30"/>
      <c r="AS661" s="30"/>
      <c r="AT661" s="29"/>
      <c r="AU661" s="30"/>
      <c r="AV661" s="30"/>
      <c r="AW661" s="30"/>
      <c r="AX661" s="29"/>
      <c r="AY661" s="39"/>
      <c r="AZ661" s="30"/>
      <c r="BA661" s="30"/>
      <c r="BB661" s="29"/>
      <c r="BC661" s="52"/>
      <c r="BD661" s="30"/>
      <c r="BE661" s="29"/>
      <c r="BF661" s="30"/>
      <c r="BG661" s="30"/>
      <c r="BH661" s="30"/>
      <c r="BI661" s="30"/>
      <c r="BJ661" s="30"/>
      <c r="BK661" s="30"/>
      <c r="BL661" s="30"/>
      <c r="BM661" s="30"/>
      <c r="BN661" s="30"/>
      <c r="BO661" s="30"/>
      <c r="BP661" s="30"/>
      <c r="BQ661" s="30"/>
      <c r="BR661" s="30"/>
      <c r="BS661" s="30"/>
      <c r="BT661" s="30"/>
      <c r="BU661" s="30"/>
      <c r="BV661" s="30"/>
      <c r="BW661" s="30"/>
      <c r="BX661" s="30"/>
      <c r="BY661" s="30"/>
      <c r="BZ661" s="30"/>
      <c r="CA661" s="30"/>
      <c r="CB661" s="30"/>
      <c r="CC661" s="30"/>
      <c r="CD661" s="30"/>
      <c r="CE661" s="30"/>
      <c r="CF661" s="30"/>
      <c r="CG661" s="30"/>
      <c r="CH661" s="30"/>
      <c r="CI661" s="30"/>
      <c r="CJ661" s="30"/>
      <c r="CK661" s="30"/>
      <c r="CL661" s="30"/>
      <c r="CM661" s="30"/>
      <c r="CN661" s="30"/>
      <c r="CO661" s="30"/>
      <c r="CP661" s="30"/>
      <c r="CQ661" s="30"/>
      <c r="CR661" s="30"/>
      <c r="CS661" s="30"/>
      <c r="CT661" s="30"/>
      <c r="CU661" s="30"/>
      <c r="CV661" s="30"/>
      <c r="CW661" s="30"/>
      <c r="CX661" s="30"/>
      <c r="CY661" s="30"/>
      <c r="CZ661" s="30"/>
      <c r="DA661" s="30"/>
      <c r="DB661" s="30"/>
      <c r="DC661" s="30"/>
      <c r="DD661" s="30"/>
      <c r="DE661" s="30"/>
      <c r="DF661" s="30"/>
      <c r="DG661" s="30"/>
      <c r="DH661" s="30"/>
      <c r="DI661" s="30"/>
      <c r="DJ661" s="30"/>
      <c r="DK661" s="30"/>
      <c r="DL661" s="30"/>
      <c r="DM661" s="30"/>
      <c r="DN661" s="30"/>
      <c r="DO661" s="30"/>
      <c r="DP661" s="30"/>
      <c r="DQ661" s="30"/>
      <c r="DR661" s="30"/>
      <c r="DS661" s="30"/>
      <c r="DT661" s="30"/>
      <c r="DU661" s="30"/>
      <c r="DV661" s="30"/>
      <c r="DW661" s="30"/>
      <c r="DX661" s="30"/>
      <c r="DY661" s="30"/>
      <c r="DZ661" s="30"/>
    </row>
    <row r="662">
      <c r="A662" s="30"/>
      <c r="B662" s="42"/>
      <c r="C662" s="43"/>
      <c r="D662" s="30"/>
      <c r="E662" s="28"/>
      <c r="F662" s="30"/>
      <c r="G662" s="30"/>
      <c r="H662" s="30"/>
      <c r="I662" s="30"/>
      <c r="J662" s="28"/>
      <c r="K662" s="30"/>
      <c r="L662" s="30"/>
      <c r="M662" s="30"/>
      <c r="N662" s="30"/>
      <c r="O662" s="28"/>
      <c r="P662" s="30"/>
      <c r="Q662" s="30"/>
      <c r="R662" s="30"/>
      <c r="S662" s="36"/>
      <c r="T662" s="30"/>
      <c r="U662" s="36"/>
      <c r="V662" s="30"/>
      <c r="W662" s="28"/>
      <c r="X662" s="30"/>
      <c r="Y662" s="30"/>
      <c r="Z662" s="30"/>
      <c r="AA662" s="30"/>
      <c r="AB662" s="30"/>
      <c r="AC662" s="28"/>
      <c r="AD662" s="30"/>
      <c r="AE662" s="30"/>
      <c r="AF662" s="30"/>
      <c r="AG662" s="29"/>
      <c r="AH662" s="30"/>
      <c r="AI662" s="36"/>
      <c r="AJ662" s="30"/>
      <c r="AK662" s="29"/>
      <c r="AL662" s="30"/>
      <c r="AM662" s="30"/>
      <c r="AN662" s="30"/>
      <c r="AO662" s="30"/>
      <c r="AP662" s="30"/>
      <c r="AQ662" s="38"/>
      <c r="AR662" s="30"/>
      <c r="AS662" s="30"/>
      <c r="AT662" s="29"/>
      <c r="AU662" s="30"/>
      <c r="AV662" s="30"/>
      <c r="AW662" s="30"/>
      <c r="AX662" s="29"/>
      <c r="AY662" s="39"/>
      <c r="AZ662" s="30"/>
      <c r="BA662" s="30"/>
      <c r="BB662" s="29"/>
      <c r="BC662" s="52"/>
      <c r="BD662" s="30"/>
      <c r="BE662" s="29"/>
      <c r="BF662" s="30"/>
      <c r="BG662" s="30"/>
      <c r="BH662" s="30"/>
      <c r="BI662" s="30"/>
      <c r="BJ662" s="30"/>
      <c r="BK662" s="30"/>
      <c r="BL662" s="30"/>
      <c r="BM662" s="30"/>
      <c r="BN662" s="30"/>
      <c r="BO662" s="30"/>
      <c r="BP662" s="30"/>
      <c r="BQ662" s="30"/>
      <c r="BR662" s="30"/>
      <c r="BS662" s="30"/>
      <c r="BT662" s="30"/>
      <c r="BU662" s="30"/>
      <c r="BV662" s="30"/>
      <c r="BW662" s="30"/>
      <c r="BX662" s="30"/>
      <c r="BY662" s="30"/>
      <c r="BZ662" s="30"/>
      <c r="CA662" s="30"/>
      <c r="CB662" s="30"/>
      <c r="CC662" s="30"/>
      <c r="CD662" s="30"/>
      <c r="CE662" s="30"/>
      <c r="CF662" s="30"/>
      <c r="CG662" s="30"/>
      <c r="CH662" s="30"/>
      <c r="CI662" s="30"/>
      <c r="CJ662" s="30"/>
      <c r="CK662" s="30"/>
      <c r="CL662" s="30"/>
      <c r="CM662" s="30"/>
      <c r="CN662" s="30"/>
      <c r="CO662" s="30"/>
      <c r="CP662" s="30"/>
      <c r="CQ662" s="30"/>
      <c r="CR662" s="30"/>
      <c r="CS662" s="30"/>
      <c r="CT662" s="30"/>
      <c r="CU662" s="30"/>
      <c r="CV662" s="30"/>
      <c r="CW662" s="30"/>
      <c r="CX662" s="30"/>
      <c r="CY662" s="30"/>
      <c r="CZ662" s="30"/>
      <c r="DA662" s="30"/>
      <c r="DB662" s="30"/>
      <c r="DC662" s="30"/>
      <c r="DD662" s="30"/>
      <c r="DE662" s="30"/>
      <c r="DF662" s="30"/>
      <c r="DG662" s="30"/>
      <c r="DH662" s="30"/>
      <c r="DI662" s="30"/>
      <c r="DJ662" s="30"/>
      <c r="DK662" s="30"/>
      <c r="DL662" s="30"/>
      <c r="DM662" s="30"/>
      <c r="DN662" s="30"/>
      <c r="DO662" s="30"/>
      <c r="DP662" s="30"/>
      <c r="DQ662" s="30"/>
      <c r="DR662" s="30"/>
      <c r="DS662" s="30"/>
      <c r="DT662" s="30"/>
      <c r="DU662" s="30"/>
      <c r="DV662" s="30"/>
      <c r="DW662" s="30"/>
      <c r="DX662" s="30"/>
      <c r="DY662" s="30"/>
      <c r="DZ662" s="30"/>
    </row>
    <row r="663">
      <c r="A663" s="30"/>
      <c r="B663" s="42"/>
      <c r="C663" s="43"/>
      <c r="D663" s="30"/>
      <c r="E663" s="28"/>
      <c r="F663" s="30"/>
      <c r="G663" s="30"/>
      <c r="H663" s="30"/>
      <c r="I663" s="30"/>
      <c r="J663" s="28"/>
      <c r="K663" s="30"/>
      <c r="L663" s="30"/>
      <c r="M663" s="30"/>
      <c r="N663" s="30"/>
      <c r="O663" s="28"/>
      <c r="P663" s="30"/>
      <c r="Q663" s="30"/>
      <c r="R663" s="30"/>
      <c r="S663" s="36"/>
      <c r="T663" s="30"/>
      <c r="U663" s="36"/>
      <c r="V663" s="30"/>
      <c r="W663" s="28"/>
      <c r="X663" s="30"/>
      <c r="Y663" s="30"/>
      <c r="Z663" s="30"/>
      <c r="AA663" s="30"/>
      <c r="AB663" s="30"/>
      <c r="AC663" s="28"/>
      <c r="AD663" s="30"/>
      <c r="AE663" s="30"/>
      <c r="AF663" s="30"/>
      <c r="AG663" s="29"/>
      <c r="AH663" s="30"/>
      <c r="AI663" s="36"/>
      <c r="AJ663" s="30"/>
      <c r="AK663" s="29"/>
      <c r="AL663" s="30"/>
      <c r="AM663" s="30"/>
      <c r="AN663" s="30"/>
      <c r="AO663" s="30"/>
      <c r="AP663" s="30"/>
      <c r="AQ663" s="38"/>
      <c r="AR663" s="30"/>
      <c r="AS663" s="30"/>
      <c r="AT663" s="29"/>
      <c r="AU663" s="30"/>
      <c r="AV663" s="30"/>
      <c r="AW663" s="30"/>
      <c r="AX663" s="29"/>
      <c r="AY663" s="39"/>
      <c r="AZ663" s="30"/>
      <c r="BA663" s="30"/>
      <c r="BB663" s="29"/>
      <c r="BC663" s="52"/>
      <c r="BD663" s="30"/>
      <c r="BE663" s="29"/>
      <c r="BF663" s="30"/>
      <c r="BG663" s="30"/>
      <c r="BH663" s="30"/>
      <c r="BI663" s="30"/>
      <c r="BJ663" s="30"/>
      <c r="BK663" s="30"/>
      <c r="BL663" s="30"/>
      <c r="BM663" s="30"/>
      <c r="BN663" s="30"/>
      <c r="BO663" s="30"/>
      <c r="BP663" s="30"/>
      <c r="BQ663" s="30"/>
      <c r="BR663" s="30"/>
      <c r="BS663" s="30"/>
      <c r="BT663" s="30"/>
      <c r="BU663" s="30"/>
      <c r="BV663" s="30"/>
      <c r="BW663" s="30"/>
      <c r="BX663" s="30"/>
      <c r="BY663" s="30"/>
      <c r="BZ663" s="30"/>
      <c r="CA663" s="30"/>
      <c r="CB663" s="30"/>
      <c r="CC663" s="30"/>
      <c r="CD663" s="30"/>
      <c r="CE663" s="30"/>
      <c r="CF663" s="30"/>
      <c r="CG663" s="30"/>
      <c r="CH663" s="30"/>
      <c r="CI663" s="30"/>
      <c r="CJ663" s="30"/>
      <c r="CK663" s="30"/>
      <c r="CL663" s="30"/>
      <c r="CM663" s="30"/>
      <c r="CN663" s="30"/>
      <c r="CO663" s="30"/>
      <c r="CP663" s="30"/>
      <c r="CQ663" s="30"/>
      <c r="CR663" s="30"/>
      <c r="CS663" s="30"/>
      <c r="CT663" s="30"/>
      <c r="CU663" s="30"/>
      <c r="CV663" s="30"/>
      <c r="CW663" s="30"/>
      <c r="CX663" s="30"/>
      <c r="CY663" s="30"/>
      <c r="CZ663" s="30"/>
      <c r="DA663" s="30"/>
      <c r="DB663" s="30"/>
      <c r="DC663" s="30"/>
      <c r="DD663" s="30"/>
      <c r="DE663" s="30"/>
      <c r="DF663" s="30"/>
      <c r="DG663" s="30"/>
      <c r="DH663" s="30"/>
      <c r="DI663" s="30"/>
      <c r="DJ663" s="30"/>
      <c r="DK663" s="30"/>
      <c r="DL663" s="30"/>
      <c r="DM663" s="30"/>
      <c r="DN663" s="30"/>
      <c r="DO663" s="30"/>
      <c r="DP663" s="30"/>
      <c r="DQ663" s="30"/>
      <c r="DR663" s="30"/>
      <c r="DS663" s="30"/>
      <c r="DT663" s="30"/>
      <c r="DU663" s="30"/>
      <c r="DV663" s="30"/>
      <c r="DW663" s="30"/>
      <c r="DX663" s="30"/>
      <c r="DY663" s="30"/>
      <c r="DZ663" s="30"/>
    </row>
    <row r="664">
      <c r="A664" s="30"/>
      <c r="B664" s="42"/>
      <c r="C664" s="43"/>
      <c r="D664" s="30"/>
      <c r="E664" s="28"/>
      <c r="F664" s="30"/>
      <c r="G664" s="30"/>
      <c r="H664" s="30"/>
      <c r="I664" s="30"/>
      <c r="J664" s="28"/>
      <c r="K664" s="30"/>
      <c r="L664" s="30"/>
      <c r="M664" s="30"/>
      <c r="N664" s="30"/>
      <c r="O664" s="28"/>
      <c r="P664" s="30"/>
      <c r="Q664" s="30"/>
      <c r="R664" s="30"/>
      <c r="S664" s="36"/>
      <c r="T664" s="30"/>
      <c r="U664" s="36"/>
      <c r="V664" s="30"/>
      <c r="W664" s="28"/>
      <c r="X664" s="30"/>
      <c r="Y664" s="30"/>
      <c r="Z664" s="30"/>
      <c r="AA664" s="30"/>
      <c r="AB664" s="30"/>
      <c r="AC664" s="28"/>
      <c r="AD664" s="30"/>
      <c r="AE664" s="30"/>
      <c r="AF664" s="30"/>
      <c r="AG664" s="29"/>
      <c r="AH664" s="30"/>
      <c r="AI664" s="36"/>
      <c r="AJ664" s="30"/>
      <c r="AK664" s="29"/>
      <c r="AL664" s="30"/>
      <c r="AM664" s="30"/>
      <c r="AN664" s="30"/>
      <c r="AO664" s="30"/>
      <c r="AP664" s="30"/>
      <c r="AQ664" s="38"/>
      <c r="AR664" s="30"/>
      <c r="AS664" s="30"/>
      <c r="AT664" s="29"/>
      <c r="AU664" s="30"/>
      <c r="AV664" s="30"/>
      <c r="AW664" s="30"/>
      <c r="AX664" s="29"/>
      <c r="AY664" s="39"/>
      <c r="AZ664" s="30"/>
      <c r="BA664" s="30"/>
      <c r="BB664" s="29"/>
      <c r="BC664" s="52"/>
      <c r="BD664" s="30"/>
      <c r="BE664" s="29"/>
      <c r="BF664" s="30"/>
      <c r="BG664" s="30"/>
      <c r="BH664" s="30"/>
      <c r="BI664" s="30"/>
      <c r="BJ664" s="30"/>
      <c r="BK664" s="30"/>
      <c r="BL664" s="30"/>
      <c r="BM664" s="30"/>
      <c r="BN664" s="30"/>
      <c r="BO664" s="30"/>
      <c r="BP664" s="30"/>
      <c r="BQ664" s="30"/>
      <c r="BR664" s="30"/>
      <c r="BS664" s="30"/>
      <c r="BT664" s="30"/>
      <c r="BU664" s="30"/>
      <c r="BV664" s="30"/>
      <c r="BW664" s="30"/>
      <c r="BX664" s="30"/>
      <c r="BY664" s="30"/>
      <c r="BZ664" s="30"/>
      <c r="CA664" s="30"/>
      <c r="CB664" s="30"/>
      <c r="CC664" s="30"/>
      <c r="CD664" s="30"/>
      <c r="CE664" s="30"/>
      <c r="CF664" s="30"/>
      <c r="CG664" s="30"/>
      <c r="CH664" s="30"/>
      <c r="CI664" s="30"/>
      <c r="CJ664" s="30"/>
      <c r="CK664" s="30"/>
      <c r="CL664" s="30"/>
      <c r="CM664" s="30"/>
      <c r="CN664" s="30"/>
      <c r="CO664" s="30"/>
      <c r="CP664" s="30"/>
      <c r="CQ664" s="30"/>
      <c r="CR664" s="30"/>
      <c r="CS664" s="30"/>
      <c r="CT664" s="30"/>
      <c r="CU664" s="30"/>
      <c r="CV664" s="30"/>
      <c r="CW664" s="30"/>
      <c r="CX664" s="30"/>
      <c r="CY664" s="30"/>
      <c r="CZ664" s="30"/>
      <c r="DA664" s="30"/>
      <c r="DB664" s="30"/>
      <c r="DC664" s="30"/>
      <c r="DD664" s="30"/>
      <c r="DE664" s="30"/>
      <c r="DF664" s="30"/>
      <c r="DG664" s="30"/>
      <c r="DH664" s="30"/>
      <c r="DI664" s="30"/>
      <c r="DJ664" s="30"/>
      <c r="DK664" s="30"/>
      <c r="DL664" s="30"/>
      <c r="DM664" s="30"/>
      <c r="DN664" s="30"/>
      <c r="DO664" s="30"/>
      <c r="DP664" s="30"/>
      <c r="DQ664" s="30"/>
      <c r="DR664" s="30"/>
      <c r="DS664" s="30"/>
      <c r="DT664" s="30"/>
      <c r="DU664" s="30"/>
      <c r="DV664" s="30"/>
      <c r="DW664" s="30"/>
      <c r="DX664" s="30"/>
      <c r="DY664" s="30"/>
      <c r="DZ664" s="30"/>
    </row>
    <row r="665">
      <c r="A665" s="30"/>
      <c r="B665" s="42"/>
      <c r="C665" s="43"/>
      <c r="D665" s="30"/>
      <c r="E665" s="28"/>
      <c r="F665" s="30"/>
      <c r="G665" s="30"/>
      <c r="H665" s="30"/>
      <c r="I665" s="30"/>
      <c r="J665" s="28"/>
      <c r="K665" s="30"/>
      <c r="L665" s="30"/>
      <c r="M665" s="30"/>
      <c r="N665" s="30"/>
      <c r="O665" s="28"/>
      <c r="P665" s="30"/>
      <c r="Q665" s="30"/>
      <c r="R665" s="30"/>
      <c r="S665" s="36"/>
      <c r="T665" s="30"/>
      <c r="U665" s="36"/>
      <c r="V665" s="30"/>
      <c r="W665" s="28"/>
      <c r="X665" s="30"/>
      <c r="Y665" s="30"/>
      <c r="Z665" s="30"/>
      <c r="AA665" s="30"/>
      <c r="AB665" s="30"/>
      <c r="AC665" s="28"/>
      <c r="AD665" s="30"/>
      <c r="AE665" s="30"/>
      <c r="AF665" s="30"/>
      <c r="AG665" s="29"/>
      <c r="AH665" s="30"/>
      <c r="AI665" s="36"/>
      <c r="AJ665" s="30"/>
      <c r="AK665" s="29"/>
      <c r="AL665" s="30"/>
      <c r="AM665" s="30"/>
      <c r="AN665" s="30"/>
      <c r="AO665" s="30"/>
      <c r="AP665" s="30"/>
      <c r="AQ665" s="38"/>
      <c r="AR665" s="30"/>
      <c r="AS665" s="30"/>
      <c r="AT665" s="29"/>
      <c r="AU665" s="30"/>
      <c r="AV665" s="30"/>
      <c r="AW665" s="30"/>
      <c r="AX665" s="29"/>
      <c r="AY665" s="39"/>
      <c r="AZ665" s="30"/>
      <c r="BA665" s="30"/>
      <c r="BB665" s="29"/>
      <c r="BC665" s="52"/>
      <c r="BD665" s="30"/>
      <c r="BE665" s="29"/>
      <c r="BF665" s="30"/>
      <c r="BG665" s="30"/>
      <c r="BH665" s="30"/>
      <c r="BI665" s="30"/>
      <c r="BJ665" s="30"/>
      <c r="BK665" s="30"/>
      <c r="BL665" s="30"/>
      <c r="BM665" s="30"/>
      <c r="BN665" s="30"/>
      <c r="BO665" s="30"/>
      <c r="BP665" s="30"/>
      <c r="BQ665" s="30"/>
      <c r="BR665" s="30"/>
      <c r="BS665" s="30"/>
      <c r="BT665" s="30"/>
      <c r="BU665" s="30"/>
      <c r="BV665" s="30"/>
      <c r="BW665" s="30"/>
      <c r="BX665" s="30"/>
      <c r="BY665" s="30"/>
      <c r="BZ665" s="30"/>
      <c r="CA665" s="30"/>
      <c r="CB665" s="30"/>
      <c r="CC665" s="30"/>
      <c r="CD665" s="30"/>
      <c r="CE665" s="30"/>
      <c r="CF665" s="30"/>
      <c r="CG665" s="30"/>
      <c r="CH665" s="30"/>
      <c r="CI665" s="30"/>
      <c r="CJ665" s="30"/>
      <c r="CK665" s="30"/>
      <c r="CL665" s="30"/>
      <c r="CM665" s="30"/>
      <c r="CN665" s="30"/>
      <c r="CO665" s="30"/>
      <c r="CP665" s="30"/>
      <c r="CQ665" s="30"/>
      <c r="CR665" s="30"/>
      <c r="CS665" s="30"/>
      <c r="CT665" s="30"/>
      <c r="CU665" s="30"/>
      <c r="CV665" s="30"/>
      <c r="CW665" s="30"/>
      <c r="CX665" s="30"/>
      <c r="CY665" s="30"/>
      <c r="CZ665" s="30"/>
      <c r="DA665" s="30"/>
      <c r="DB665" s="30"/>
      <c r="DC665" s="30"/>
      <c r="DD665" s="30"/>
      <c r="DE665" s="30"/>
      <c r="DF665" s="30"/>
      <c r="DG665" s="30"/>
      <c r="DH665" s="30"/>
      <c r="DI665" s="30"/>
      <c r="DJ665" s="30"/>
      <c r="DK665" s="30"/>
      <c r="DL665" s="30"/>
      <c r="DM665" s="30"/>
      <c r="DN665" s="30"/>
      <c r="DO665" s="30"/>
      <c r="DP665" s="30"/>
      <c r="DQ665" s="30"/>
      <c r="DR665" s="30"/>
      <c r="DS665" s="30"/>
      <c r="DT665" s="30"/>
      <c r="DU665" s="30"/>
      <c r="DV665" s="30"/>
      <c r="DW665" s="30"/>
      <c r="DX665" s="30"/>
      <c r="DY665" s="30"/>
      <c r="DZ665" s="30"/>
    </row>
    <row r="666">
      <c r="A666" s="30"/>
      <c r="B666" s="42"/>
      <c r="C666" s="43"/>
      <c r="D666" s="30"/>
      <c r="E666" s="28"/>
      <c r="F666" s="30"/>
      <c r="G666" s="30"/>
      <c r="H666" s="30"/>
      <c r="I666" s="30"/>
      <c r="J666" s="28"/>
      <c r="K666" s="30"/>
      <c r="L666" s="30"/>
      <c r="M666" s="30"/>
      <c r="N666" s="30"/>
      <c r="O666" s="28"/>
      <c r="P666" s="30"/>
      <c r="Q666" s="30"/>
      <c r="R666" s="30"/>
      <c r="S666" s="36"/>
      <c r="T666" s="30"/>
      <c r="U666" s="36"/>
      <c r="V666" s="30"/>
      <c r="W666" s="28"/>
      <c r="X666" s="30"/>
      <c r="Y666" s="30"/>
      <c r="Z666" s="30"/>
      <c r="AA666" s="30"/>
      <c r="AB666" s="30"/>
      <c r="AC666" s="28"/>
      <c r="AD666" s="30"/>
      <c r="AE666" s="30"/>
      <c r="AF666" s="30"/>
      <c r="AG666" s="29"/>
      <c r="AH666" s="30"/>
      <c r="AI666" s="36"/>
      <c r="AJ666" s="30"/>
      <c r="AK666" s="29"/>
      <c r="AL666" s="30"/>
      <c r="AM666" s="30"/>
      <c r="AN666" s="30"/>
      <c r="AO666" s="30"/>
      <c r="AP666" s="30"/>
      <c r="AQ666" s="38"/>
      <c r="AR666" s="30"/>
      <c r="AS666" s="30"/>
      <c r="AT666" s="29"/>
      <c r="AU666" s="30"/>
      <c r="AV666" s="30"/>
      <c r="AW666" s="30"/>
      <c r="AX666" s="29"/>
      <c r="AY666" s="39"/>
      <c r="AZ666" s="30"/>
      <c r="BA666" s="30"/>
      <c r="BB666" s="29"/>
      <c r="BC666" s="52"/>
      <c r="BD666" s="30"/>
      <c r="BE666" s="29"/>
      <c r="BF666" s="30"/>
      <c r="BG666" s="30"/>
      <c r="BH666" s="30"/>
      <c r="BI666" s="30"/>
      <c r="BJ666" s="30"/>
      <c r="BK666" s="30"/>
      <c r="BL666" s="30"/>
      <c r="BM666" s="30"/>
      <c r="BN666" s="30"/>
      <c r="BO666" s="30"/>
      <c r="BP666" s="30"/>
      <c r="BQ666" s="30"/>
      <c r="BR666" s="30"/>
      <c r="BS666" s="30"/>
      <c r="BT666" s="30"/>
      <c r="BU666" s="30"/>
      <c r="BV666" s="30"/>
      <c r="BW666" s="30"/>
      <c r="BX666" s="30"/>
      <c r="BY666" s="30"/>
      <c r="BZ666" s="30"/>
      <c r="CA666" s="30"/>
      <c r="CB666" s="30"/>
      <c r="CC666" s="30"/>
      <c r="CD666" s="30"/>
      <c r="CE666" s="30"/>
      <c r="CF666" s="30"/>
      <c r="CG666" s="30"/>
      <c r="CH666" s="30"/>
      <c r="CI666" s="30"/>
      <c r="CJ666" s="30"/>
      <c r="CK666" s="30"/>
      <c r="CL666" s="30"/>
      <c r="CM666" s="30"/>
      <c r="CN666" s="30"/>
      <c r="CO666" s="30"/>
      <c r="CP666" s="30"/>
      <c r="CQ666" s="30"/>
      <c r="CR666" s="30"/>
      <c r="CS666" s="30"/>
      <c r="CT666" s="30"/>
      <c r="CU666" s="30"/>
      <c r="CV666" s="30"/>
      <c r="CW666" s="30"/>
      <c r="CX666" s="30"/>
      <c r="CY666" s="30"/>
      <c r="CZ666" s="30"/>
      <c r="DA666" s="30"/>
      <c r="DB666" s="30"/>
      <c r="DC666" s="30"/>
      <c r="DD666" s="30"/>
      <c r="DE666" s="30"/>
      <c r="DF666" s="30"/>
      <c r="DG666" s="30"/>
      <c r="DH666" s="30"/>
      <c r="DI666" s="30"/>
      <c r="DJ666" s="30"/>
      <c r="DK666" s="30"/>
      <c r="DL666" s="30"/>
      <c r="DM666" s="30"/>
      <c r="DN666" s="30"/>
      <c r="DO666" s="30"/>
      <c r="DP666" s="30"/>
      <c r="DQ666" s="30"/>
      <c r="DR666" s="30"/>
      <c r="DS666" s="30"/>
      <c r="DT666" s="30"/>
      <c r="DU666" s="30"/>
      <c r="DV666" s="30"/>
      <c r="DW666" s="30"/>
      <c r="DX666" s="30"/>
      <c r="DY666" s="30"/>
      <c r="DZ666" s="30"/>
    </row>
    <row r="667">
      <c r="A667" s="30"/>
      <c r="B667" s="42"/>
      <c r="C667" s="43"/>
      <c r="D667" s="30"/>
      <c r="E667" s="28"/>
      <c r="F667" s="30"/>
      <c r="G667" s="30"/>
      <c r="H667" s="30"/>
      <c r="I667" s="30"/>
      <c r="J667" s="28"/>
      <c r="K667" s="30"/>
      <c r="L667" s="30"/>
      <c r="M667" s="30"/>
      <c r="N667" s="30"/>
      <c r="O667" s="28"/>
      <c r="P667" s="30"/>
      <c r="Q667" s="30"/>
      <c r="R667" s="30"/>
      <c r="S667" s="36"/>
      <c r="T667" s="30"/>
      <c r="U667" s="36"/>
      <c r="V667" s="30"/>
      <c r="W667" s="28"/>
      <c r="X667" s="30"/>
      <c r="Y667" s="30"/>
      <c r="Z667" s="30"/>
      <c r="AA667" s="30"/>
      <c r="AB667" s="30"/>
      <c r="AC667" s="28"/>
      <c r="AD667" s="30"/>
      <c r="AE667" s="30"/>
      <c r="AF667" s="30"/>
      <c r="AG667" s="29"/>
      <c r="AH667" s="30"/>
      <c r="AI667" s="36"/>
      <c r="AJ667" s="30"/>
      <c r="AK667" s="29"/>
      <c r="AL667" s="30"/>
      <c r="AM667" s="30"/>
      <c r="AN667" s="30"/>
      <c r="AO667" s="30"/>
      <c r="AP667" s="30"/>
      <c r="AQ667" s="38"/>
      <c r="AR667" s="30"/>
      <c r="AS667" s="30"/>
      <c r="AT667" s="29"/>
      <c r="AU667" s="30"/>
      <c r="AV667" s="30"/>
      <c r="AW667" s="30"/>
      <c r="AX667" s="29"/>
      <c r="AY667" s="39"/>
      <c r="AZ667" s="30"/>
      <c r="BA667" s="30"/>
      <c r="BB667" s="29"/>
      <c r="BC667" s="52"/>
      <c r="BD667" s="30"/>
      <c r="BE667" s="29"/>
      <c r="BF667" s="30"/>
      <c r="BG667" s="30"/>
      <c r="BH667" s="30"/>
      <c r="BI667" s="30"/>
      <c r="BJ667" s="30"/>
      <c r="BK667" s="30"/>
      <c r="BL667" s="30"/>
      <c r="BM667" s="30"/>
      <c r="BN667" s="30"/>
      <c r="BO667" s="30"/>
      <c r="BP667" s="30"/>
      <c r="BQ667" s="30"/>
      <c r="BR667" s="30"/>
      <c r="BS667" s="30"/>
      <c r="BT667" s="30"/>
      <c r="BU667" s="30"/>
      <c r="BV667" s="30"/>
      <c r="BW667" s="30"/>
      <c r="BX667" s="30"/>
      <c r="BY667" s="30"/>
      <c r="BZ667" s="30"/>
      <c r="CA667" s="30"/>
      <c r="CB667" s="30"/>
      <c r="CC667" s="30"/>
      <c r="CD667" s="30"/>
      <c r="CE667" s="30"/>
      <c r="CF667" s="30"/>
      <c r="CG667" s="30"/>
      <c r="CH667" s="30"/>
      <c r="CI667" s="30"/>
      <c r="CJ667" s="30"/>
      <c r="CK667" s="30"/>
      <c r="CL667" s="30"/>
      <c r="CM667" s="30"/>
      <c r="CN667" s="30"/>
      <c r="CO667" s="30"/>
      <c r="CP667" s="30"/>
      <c r="CQ667" s="30"/>
      <c r="CR667" s="30"/>
      <c r="CS667" s="30"/>
      <c r="CT667" s="30"/>
      <c r="CU667" s="30"/>
      <c r="CV667" s="30"/>
      <c r="CW667" s="30"/>
      <c r="CX667" s="30"/>
      <c r="CY667" s="30"/>
      <c r="CZ667" s="30"/>
      <c r="DA667" s="30"/>
      <c r="DB667" s="30"/>
      <c r="DC667" s="30"/>
      <c r="DD667" s="30"/>
      <c r="DE667" s="30"/>
      <c r="DF667" s="30"/>
      <c r="DG667" s="30"/>
      <c r="DH667" s="30"/>
      <c r="DI667" s="30"/>
      <c r="DJ667" s="30"/>
      <c r="DK667" s="30"/>
      <c r="DL667" s="30"/>
      <c r="DM667" s="30"/>
      <c r="DN667" s="30"/>
      <c r="DO667" s="30"/>
      <c r="DP667" s="30"/>
      <c r="DQ667" s="30"/>
      <c r="DR667" s="30"/>
      <c r="DS667" s="30"/>
      <c r="DT667" s="30"/>
      <c r="DU667" s="30"/>
      <c r="DV667" s="30"/>
      <c r="DW667" s="30"/>
      <c r="DX667" s="30"/>
      <c r="DY667" s="30"/>
      <c r="DZ667" s="30"/>
    </row>
    <row r="668">
      <c r="A668" s="30"/>
      <c r="B668" s="42"/>
      <c r="C668" s="43"/>
      <c r="D668" s="30"/>
      <c r="E668" s="28"/>
      <c r="F668" s="30"/>
      <c r="G668" s="30"/>
      <c r="H668" s="30"/>
      <c r="I668" s="30"/>
      <c r="J668" s="28"/>
      <c r="K668" s="30"/>
      <c r="L668" s="30"/>
      <c r="M668" s="30"/>
      <c r="N668" s="30"/>
      <c r="O668" s="28"/>
      <c r="P668" s="30"/>
      <c r="Q668" s="30"/>
      <c r="R668" s="30"/>
      <c r="S668" s="36"/>
      <c r="T668" s="30"/>
      <c r="U668" s="36"/>
      <c r="V668" s="30"/>
      <c r="W668" s="28"/>
      <c r="X668" s="30"/>
      <c r="Y668" s="30"/>
      <c r="Z668" s="30"/>
      <c r="AA668" s="30"/>
      <c r="AB668" s="30"/>
      <c r="AC668" s="28"/>
      <c r="AD668" s="30"/>
      <c r="AE668" s="30"/>
      <c r="AF668" s="30"/>
      <c r="AG668" s="29"/>
      <c r="AH668" s="30"/>
      <c r="AI668" s="36"/>
      <c r="AJ668" s="30"/>
      <c r="AK668" s="29"/>
      <c r="AL668" s="30"/>
      <c r="AM668" s="30"/>
      <c r="AN668" s="30"/>
      <c r="AO668" s="30"/>
      <c r="AP668" s="30"/>
      <c r="AQ668" s="38"/>
      <c r="AR668" s="30"/>
      <c r="AS668" s="30"/>
      <c r="AT668" s="29"/>
      <c r="AU668" s="30"/>
      <c r="AV668" s="30"/>
      <c r="AW668" s="30"/>
      <c r="AX668" s="29"/>
      <c r="AY668" s="39"/>
      <c r="AZ668" s="30"/>
      <c r="BA668" s="30"/>
      <c r="BB668" s="29"/>
      <c r="BC668" s="52"/>
      <c r="BD668" s="30"/>
      <c r="BE668" s="29"/>
      <c r="BF668" s="30"/>
      <c r="BG668" s="30"/>
      <c r="BH668" s="30"/>
      <c r="BI668" s="30"/>
      <c r="BJ668" s="30"/>
      <c r="BK668" s="30"/>
      <c r="BL668" s="30"/>
      <c r="BM668" s="30"/>
      <c r="BN668" s="30"/>
      <c r="BO668" s="30"/>
      <c r="BP668" s="30"/>
      <c r="BQ668" s="30"/>
      <c r="BR668" s="30"/>
      <c r="BS668" s="30"/>
      <c r="BT668" s="30"/>
      <c r="BU668" s="30"/>
      <c r="BV668" s="30"/>
      <c r="BW668" s="30"/>
      <c r="BX668" s="30"/>
      <c r="BY668" s="30"/>
      <c r="BZ668" s="30"/>
      <c r="CA668" s="30"/>
      <c r="CB668" s="30"/>
      <c r="CC668" s="30"/>
      <c r="CD668" s="30"/>
      <c r="CE668" s="30"/>
      <c r="CF668" s="30"/>
      <c r="CG668" s="30"/>
      <c r="CH668" s="30"/>
      <c r="CI668" s="30"/>
      <c r="CJ668" s="30"/>
      <c r="CK668" s="30"/>
      <c r="CL668" s="30"/>
      <c r="CM668" s="30"/>
      <c r="CN668" s="30"/>
      <c r="CO668" s="30"/>
      <c r="CP668" s="30"/>
      <c r="CQ668" s="30"/>
      <c r="CR668" s="30"/>
      <c r="CS668" s="30"/>
      <c r="CT668" s="30"/>
      <c r="CU668" s="30"/>
      <c r="CV668" s="30"/>
      <c r="CW668" s="30"/>
      <c r="CX668" s="30"/>
      <c r="CY668" s="30"/>
      <c r="CZ668" s="30"/>
      <c r="DA668" s="30"/>
      <c r="DB668" s="30"/>
      <c r="DC668" s="30"/>
      <c r="DD668" s="30"/>
      <c r="DE668" s="30"/>
      <c r="DF668" s="30"/>
      <c r="DG668" s="30"/>
      <c r="DH668" s="30"/>
      <c r="DI668" s="30"/>
      <c r="DJ668" s="30"/>
      <c r="DK668" s="30"/>
      <c r="DL668" s="30"/>
      <c r="DM668" s="30"/>
      <c r="DN668" s="30"/>
      <c r="DO668" s="30"/>
      <c r="DP668" s="30"/>
      <c r="DQ668" s="30"/>
      <c r="DR668" s="30"/>
      <c r="DS668" s="30"/>
      <c r="DT668" s="30"/>
      <c r="DU668" s="30"/>
      <c r="DV668" s="30"/>
      <c r="DW668" s="30"/>
      <c r="DX668" s="30"/>
      <c r="DY668" s="30"/>
      <c r="DZ668" s="30"/>
    </row>
    <row r="669">
      <c r="A669" s="30"/>
      <c r="B669" s="42"/>
      <c r="C669" s="43"/>
      <c r="D669" s="30"/>
      <c r="E669" s="28"/>
      <c r="F669" s="30"/>
      <c r="G669" s="30"/>
      <c r="H669" s="30"/>
      <c r="I669" s="30"/>
      <c r="J669" s="28"/>
      <c r="K669" s="30"/>
      <c r="L669" s="30"/>
      <c r="M669" s="30"/>
      <c r="N669" s="30"/>
      <c r="O669" s="28"/>
      <c r="P669" s="30"/>
      <c r="Q669" s="30"/>
      <c r="R669" s="30"/>
      <c r="S669" s="36"/>
      <c r="T669" s="30"/>
      <c r="U669" s="36"/>
      <c r="V669" s="30"/>
      <c r="W669" s="28"/>
      <c r="X669" s="30"/>
      <c r="Y669" s="30"/>
      <c r="Z669" s="30"/>
      <c r="AA669" s="30"/>
      <c r="AB669" s="30"/>
      <c r="AC669" s="28"/>
      <c r="AD669" s="30"/>
      <c r="AE669" s="30"/>
      <c r="AF669" s="30"/>
      <c r="AG669" s="29"/>
      <c r="AH669" s="30"/>
      <c r="AI669" s="36"/>
      <c r="AJ669" s="30"/>
      <c r="AK669" s="29"/>
      <c r="AL669" s="30"/>
      <c r="AM669" s="30"/>
      <c r="AN669" s="30"/>
      <c r="AO669" s="30"/>
      <c r="AP669" s="30"/>
      <c r="AQ669" s="38"/>
      <c r="AR669" s="30"/>
      <c r="AS669" s="30"/>
      <c r="AT669" s="29"/>
      <c r="AU669" s="30"/>
      <c r="AV669" s="30"/>
      <c r="AW669" s="30"/>
      <c r="AX669" s="29"/>
      <c r="AY669" s="39"/>
      <c r="AZ669" s="30"/>
      <c r="BA669" s="30"/>
      <c r="BB669" s="29"/>
      <c r="BC669" s="52"/>
      <c r="BD669" s="30"/>
      <c r="BE669" s="29"/>
      <c r="BF669" s="30"/>
      <c r="BG669" s="30"/>
      <c r="BH669" s="30"/>
      <c r="BI669" s="30"/>
      <c r="BJ669" s="30"/>
      <c r="BK669" s="30"/>
      <c r="BL669" s="30"/>
      <c r="BM669" s="30"/>
      <c r="BN669" s="30"/>
      <c r="BO669" s="30"/>
      <c r="BP669" s="30"/>
      <c r="BQ669" s="30"/>
      <c r="BR669" s="30"/>
      <c r="BS669" s="30"/>
      <c r="BT669" s="30"/>
      <c r="BU669" s="30"/>
      <c r="BV669" s="30"/>
      <c r="BW669" s="30"/>
      <c r="BX669" s="30"/>
      <c r="BY669" s="30"/>
      <c r="BZ669" s="30"/>
      <c r="CA669" s="30"/>
      <c r="CB669" s="30"/>
      <c r="CC669" s="30"/>
      <c r="CD669" s="30"/>
      <c r="CE669" s="30"/>
      <c r="CF669" s="30"/>
      <c r="CG669" s="30"/>
      <c r="CH669" s="30"/>
      <c r="CI669" s="30"/>
      <c r="CJ669" s="30"/>
      <c r="CK669" s="30"/>
      <c r="CL669" s="30"/>
      <c r="CM669" s="30"/>
      <c r="CN669" s="30"/>
      <c r="CO669" s="30"/>
      <c r="CP669" s="30"/>
      <c r="CQ669" s="30"/>
      <c r="CR669" s="30"/>
      <c r="CS669" s="30"/>
      <c r="CT669" s="30"/>
      <c r="CU669" s="30"/>
      <c r="CV669" s="30"/>
      <c r="CW669" s="30"/>
      <c r="CX669" s="30"/>
      <c r="CY669" s="30"/>
      <c r="CZ669" s="30"/>
      <c r="DA669" s="30"/>
      <c r="DB669" s="30"/>
      <c r="DC669" s="30"/>
      <c r="DD669" s="30"/>
      <c r="DE669" s="30"/>
      <c r="DF669" s="30"/>
      <c r="DG669" s="30"/>
      <c r="DH669" s="30"/>
      <c r="DI669" s="30"/>
      <c r="DJ669" s="30"/>
      <c r="DK669" s="30"/>
      <c r="DL669" s="30"/>
      <c r="DM669" s="30"/>
      <c r="DN669" s="30"/>
      <c r="DO669" s="30"/>
      <c r="DP669" s="30"/>
      <c r="DQ669" s="30"/>
      <c r="DR669" s="30"/>
      <c r="DS669" s="30"/>
      <c r="DT669" s="30"/>
      <c r="DU669" s="30"/>
      <c r="DV669" s="30"/>
      <c r="DW669" s="30"/>
      <c r="DX669" s="30"/>
      <c r="DY669" s="30"/>
      <c r="DZ669" s="30"/>
    </row>
    <row r="670">
      <c r="A670" s="30"/>
      <c r="B670" s="42"/>
      <c r="C670" s="43"/>
      <c r="D670" s="30"/>
      <c r="E670" s="28"/>
      <c r="F670" s="30"/>
      <c r="G670" s="30"/>
      <c r="H670" s="30"/>
      <c r="I670" s="30"/>
      <c r="J670" s="28"/>
      <c r="K670" s="30"/>
      <c r="L670" s="30"/>
      <c r="M670" s="30"/>
      <c r="N670" s="30"/>
      <c r="O670" s="28"/>
      <c r="P670" s="30"/>
      <c r="Q670" s="30"/>
      <c r="R670" s="30"/>
      <c r="S670" s="36"/>
      <c r="T670" s="30"/>
      <c r="U670" s="36"/>
      <c r="V670" s="30"/>
      <c r="W670" s="28"/>
      <c r="X670" s="30"/>
      <c r="Y670" s="30"/>
      <c r="Z670" s="30"/>
      <c r="AA670" s="30"/>
      <c r="AB670" s="30"/>
      <c r="AC670" s="28"/>
      <c r="AD670" s="30"/>
      <c r="AE670" s="30"/>
      <c r="AF670" s="30"/>
      <c r="AG670" s="29"/>
      <c r="AH670" s="30"/>
      <c r="AI670" s="36"/>
      <c r="AJ670" s="30"/>
      <c r="AK670" s="29"/>
      <c r="AL670" s="30"/>
      <c r="AM670" s="30"/>
      <c r="AN670" s="30"/>
      <c r="AO670" s="30"/>
      <c r="AP670" s="30"/>
      <c r="AQ670" s="38"/>
      <c r="AR670" s="30"/>
      <c r="AS670" s="30"/>
      <c r="AT670" s="29"/>
      <c r="AU670" s="30"/>
      <c r="AV670" s="30"/>
      <c r="AW670" s="30"/>
      <c r="AX670" s="29"/>
      <c r="AY670" s="39"/>
      <c r="AZ670" s="30"/>
      <c r="BA670" s="30"/>
      <c r="BB670" s="29"/>
      <c r="BC670" s="52"/>
      <c r="BD670" s="30"/>
      <c r="BE670" s="29"/>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0"/>
      <c r="CF670" s="30"/>
      <c r="CG670" s="30"/>
      <c r="CH670" s="30"/>
      <c r="CI670" s="30"/>
      <c r="CJ670" s="30"/>
      <c r="CK670" s="30"/>
      <c r="CL670" s="30"/>
      <c r="CM670" s="30"/>
      <c r="CN670" s="30"/>
      <c r="CO670" s="30"/>
      <c r="CP670" s="30"/>
      <c r="CQ670" s="30"/>
      <c r="CR670" s="30"/>
      <c r="CS670" s="30"/>
      <c r="CT670" s="30"/>
      <c r="CU670" s="30"/>
      <c r="CV670" s="30"/>
      <c r="CW670" s="30"/>
      <c r="CX670" s="30"/>
      <c r="CY670" s="30"/>
      <c r="CZ670" s="30"/>
      <c r="DA670" s="30"/>
      <c r="DB670" s="30"/>
      <c r="DC670" s="30"/>
      <c r="DD670" s="30"/>
      <c r="DE670" s="30"/>
      <c r="DF670" s="30"/>
      <c r="DG670" s="30"/>
      <c r="DH670" s="30"/>
      <c r="DI670" s="30"/>
      <c r="DJ670" s="30"/>
      <c r="DK670" s="30"/>
      <c r="DL670" s="30"/>
      <c r="DM670" s="30"/>
      <c r="DN670" s="30"/>
      <c r="DO670" s="30"/>
      <c r="DP670" s="30"/>
      <c r="DQ670" s="30"/>
      <c r="DR670" s="30"/>
      <c r="DS670" s="30"/>
      <c r="DT670" s="30"/>
      <c r="DU670" s="30"/>
      <c r="DV670" s="30"/>
      <c r="DW670" s="30"/>
      <c r="DX670" s="30"/>
      <c r="DY670" s="30"/>
      <c r="DZ670" s="30"/>
    </row>
    <row r="671">
      <c r="A671" s="30"/>
      <c r="B671" s="42"/>
      <c r="C671" s="43"/>
      <c r="D671" s="30"/>
      <c r="E671" s="28"/>
      <c r="F671" s="30"/>
      <c r="G671" s="30"/>
      <c r="H671" s="30"/>
      <c r="I671" s="30"/>
      <c r="J671" s="28"/>
      <c r="K671" s="30"/>
      <c r="L671" s="30"/>
      <c r="M671" s="30"/>
      <c r="N671" s="30"/>
      <c r="O671" s="28"/>
      <c r="P671" s="30"/>
      <c r="Q671" s="30"/>
      <c r="R671" s="30"/>
      <c r="S671" s="36"/>
      <c r="T671" s="30"/>
      <c r="U671" s="36"/>
      <c r="V671" s="30"/>
      <c r="W671" s="28"/>
      <c r="X671" s="30"/>
      <c r="Y671" s="30"/>
      <c r="Z671" s="30"/>
      <c r="AA671" s="30"/>
      <c r="AB671" s="30"/>
      <c r="AC671" s="28"/>
      <c r="AD671" s="30"/>
      <c r="AE671" s="30"/>
      <c r="AF671" s="30"/>
      <c r="AG671" s="29"/>
      <c r="AH671" s="30"/>
      <c r="AI671" s="36"/>
      <c r="AJ671" s="30"/>
      <c r="AK671" s="29"/>
      <c r="AL671" s="30"/>
      <c r="AM671" s="30"/>
      <c r="AN671" s="30"/>
      <c r="AO671" s="30"/>
      <c r="AP671" s="30"/>
      <c r="AQ671" s="38"/>
      <c r="AR671" s="30"/>
      <c r="AS671" s="30"/>
      <c r="AT671" s="29"/>
      <c r="AU671" s="30"/>
      <c r="AV671" s="30"/>
      <c r="AW671" s="30"/>
      <c r="AX671" s="29"/>
      <c r="AY671" s="39"/>
      <c r="AZ671" s="30"/>
      <c r="BA671" s="30"/>
      <c r="BB671" s="29"/>
      <c r="BC671" s="52"/>
      <c r="BD671" s="30"/>
      <c r="BE671" s="29"/>
      <c r="BF671" s="30"/>
      <c r="BG671" s="30"/>
      <c r="BH671" s="30"/>
      <c r="BI671" s="30"/>
      <c r="BJ671" s="30"/>
      <c r="BK671" s="30"/>
      <c r="BL671" s="30"/>
      <c r="BM671" s="30"/>
      <c r="BN671" s="30"/>
      <c r="BO671" s="30"/>
      <c r="BP671" s="30"/>
      <c r="BQ671" s="30"/>
      <c r="BR671" s="30"/>
      <c r="BS671" s="30"/>
      <c r="BT671" s="30"/>
      <c r="BU671" s="30"/>
      <c r="BV671" s="30"/>
      <c r="BW671" s="30"/>
      <c r="BX671" s="30"/>
      <c r="BY671" s="30"/>
      <c r="BZ671" s="30"/>
      <c r="CA671" s="30"/>
      <c r="CB671" s="30"/>
      <c r="CC671" s="30"/>
      <c r="CD671" s="30"/>
      <c r="CE671" s="30"/>
      <c r="CF671" s="30"/>
      <c r="CG671" s="30"/>
      <c r="CH671" s="30"/>
      <c r="CI671" s="30"/>
      <c r="CJ671" s="30"/>
      <c r="CK671" s="30"/>
      <c r="CL671" s="30"/>
      <c r="CM671" s="30"/>
      <c r="CN671" s="30"/>
      <c r="CO671" s="30"/>
      <c r="CP671" s="30"/>
      <c r="CQ671" s="30"/>
      <c r="CR671" s="30"/>
      <c r="CS671" s="30"/>
      <c r="CT671" s="30"/>
      <c r="CU671" s="30"/>
      <c r="CV671" s="30"/>
      <c r="CW671" s="30"/>
      <c r="CX671" s="30"/>
      <c r="CY671" s="30"/>
      <c r="CZ671" s="30"/>
      <c r="DA671" s="30"/>
      <c r="DB671" s="30"/>
      <c r="DC671" s="30"/>
      <c r="DD671" s="30"/>
      <c r="DE671" s="30"/>
      <c r="DF671" s="30"/>
      <c r="DG671" s="30"/>
      <c r="DH671" s="30"/>
      <c r="DI671" s="30"/>
      <c r="DJ671" s="30"/>
      <c r="DK671" s="30"/>
      <c r="DL671" s="30"/>
      <c r="DM671" s="30"/>
      <c r="DN671" s="30"/>
      <c r="DO671" s="30"/>
      <c r="DP671" s="30"/>
      <c r="DQ671" s="30"/>
      <c r="DR671" s="30"/>
      <c r="DS671" s="30"/>
      <c r="DT671" s="30"/>
      <c r="DU671" s="30"/>
      <c r="DV671" s="30"/>
      <c r="DW671" s="30"/>
      <c r="DX671" s="30"/>
      <c r="DY671" s="30"/>
      <c r="DZ671" s="30"/>
    </row>
    <row r="672">
      <c r="A672" s="30"/>
      <c r="B672" s="42"/>
      <c r="C672" s="43"/>
      <c r="D672" s="30"/>
      <c r="E672" s="28"/>
      <c r="F672" s="30"/>
      <c r="G672" s="30"/>
      <c r="H672" s="30"/>
      <c r="I672" s="30"/>
      <c r="J672" s="28"/>
      <c r="K672" s="30"/>
      <c r="L672" s="30"/>
      <c r="M672" s="30"/>
      <c r="N672" s="30"/>
      <c r="O672" s="28"/>
      <c r="P672" s="30"/>
      <c r="Q672" s="30"/>
      <c r="R672" s="30"/>
      <c r="S672" s="36"/>
      <c r="T672" s="30"/>
      <c r="U672" s="36"/>
      <c r="V672" s="30"/>
      <c r="W672" s="28"/>
      <c r="X672" s="30"/>
      <c r="Y672" s="30"/>
      <c r="Z672" s="30"/>
      <c r="AA672" s="30"/>
      <c r="AB672" s="30"/>
      <c r="AC672" s="28"/>
      <c r="AD672" s="30"/>
      <c r="AE672" s="30"/>
      <c r="AF672" s="30"/>
      <c r="AG672" s="29"/>
      <c r="AH672" s="30"/>
      <c r="AI672" s="36"/>
      <c r="AJ672" s="30"/>
      <c r="AK672" s="29"/>
      <c r="AL672" s="30"/>
      <c r="AM672" s="30"/>
      <c r="AN672" s="30"/>
      <c r="AO672" s="30"/>
      <c r="AP672" s="30"/>
      <c r="AQ672" s="38"/>
      <c r="AR672" s="30"/>
      <c r="AS672" s="30"/>
      <c r="AT672" s="29"/>
      <c r="AU672" s="30"/>
      <c r="AV672" s="30"/>
      <c r="AW672" s="30"/>
      <c r="AX672" s="29"/>
      <c r="AY672" s="39"/>
      <c r="AZ672" s="30"/>
      <c r="BA672" s="30"/>
      <c r="BB672" s="29"/>
      <c r="BC672" s="52"/>
      <c r="BD672" s="30"/>
      <c r="BE672" s="29"/>
      <c r="BF672" s="30"/>
      <c r="BG672" s="30"/>
      <c r="BH672" s="30"/>
      <c r="BI672" s="30"/>
      <c r="BJ672" s="30"/>
      <c r="BK672" s="30"/>
      <c r="BL672" s="30"/>
      <c r="BM672" s="30"/>
      <c r="BN672" s="30"/>
      <c r="BO672" s="30"/>
      <c r="BP672" s="30"/>
      <c r="BQ672" s="30"/>
      <c r="BR672" s="30"/>
      <c r="BS672" s="30"/>
      <c r="BT672" s="30"/>
      <c r="BU672" s="30"/>
      <c r="BV672" s="30"/>
      <c r="BW672" s="30"/>
      <c r="BX672" s="30"/>
      <c r="BY672" s="30"/>
      <c r="BZ672" s="30"/>
      <c r="CA672" s="30"/>
      <c r="CB672" s="30"/>
      <c r="CC672" s="30"/>
      <c r="CD672" s="30"/>
      <c r="CE672" s="30"/>
      <c r="CF672" s="30"/>
      <c r="CG672" s="30"/>
      <c r="CH672" s="30"/>
      <c r="CI672" s="30"/>
      <c r="CJ672" s="30"/>
      <c r="CK672" s="30"/>
      <c r="CL672" s="30"/>
      <c r="CM672" s="30"/>
      <c r="CN672" s="30"/>
      <c r="CO672" s="30"/>
      <c r="CP672" s="30"/>
      <c r="CQ672" s="30"/>
      <c r="CR672" s="30"/>
      <c r="CS672" s="30"/>
      <c r="CT672" s="30"/>
      <c r="CU672" s="30"/>
      <c r="CV672" s="30"/>
      <c r="CW672" s="30"/>
      <c r="CX672" s="30"/>
      <c r="CY672" s="30"/>
      <c r="CZ672" s="30"/>
      <c r="DA672" s="30"/>
      <c r="DB672" s="30"/>
      <c r="DC672" s="30"/>
      <c r="DD672" s="30"/>
      <c r="DE672" s="30"/>
      <c r="DF672" s="30"/>
      <c r="DG672" s="30"/>
      <c r="DH672" s="30"/>
      <c r="DI672" s="30"/>
      <c r="DJ672" s="30"/>
      <c r="DK672" s="30"/>
      <c r="DL672" s="30"/>
      <c r="DM672" s="30"/>
      <c r="DN672" s="30"/>
      <c r="DO672" s="30"/>
      <c r="DP672" s="30"/>
      <c r="DQ672" s="30"/>
      <c r="DR672" s="30"/>
      <c r="DS672" s="30"/>
      <c r="DT672" s="30"/>
      <c r="DU672" s="30"/>
      <c r="DV672" s="30"/>
      <c r="DW672" s="30"/>
      <c r="DX672" s="30"/>
      <c r="DY672" s="30"/>
      <c r="DZ672" s="30"/>
    </row>
    <row r="673">
      <c r="A673" s="30"/>
      <c r="B673" s="42"/>
      <c r="C673" s="43"/>
      <c r="D673" s="30"/>
      <c r="E673" s="28"/>
      <c r="F673" s="30"/>
      <c r="G673" s="30"/>
      <c r="H673" s="30"/>
      <c r="I673" s="30"/>
      <c r="J673" s="28"/>
      <c r="K673" s="30"/>
      <c r="L673" s="30"/>
      <c r="M673" s="30"/>
      <c r="N673" s="30"/>
      <c r="O673" s="28"/>
      <c r="P673" s="30"/>
      <c r="Q673" s="30"/>
      <c r="R673" s="30"/>
      <c r="S673" s="36"/>
      <c r="T673" s="30"/>
      <c r="U673" s="36"/>
      <c r="V673" s="30"/>
      <c r="W673" s="28"/>
      <c r="X673" s="30"/>
      <c r="Y673" s="30"/>
      <c r="Z673" s="30"/>
      <c r="AA673" s="30"/>
      <c r="AB673" s="30"/>
      <c r="AC673" s="28"/>
      <c r="AD673" s="30"/>
      <c r="AE673" s="30"/>
      <c r="AF673" s="30"/>
      <c r="AG673" s="29"/>
      <c r="AH673" s="30"/>
      <c r="AI673" s="36"/>
      <c r="AJ673" s="30"/>
      <c r="AK673" s="29"/>
      <c r="AL673" s="30"/>
      <c r="AM673" s="30"/>
      <c r="AN673" s="30"/>
      <c r="AO673" s="30"/>
      <c r="AP673" s="30"/>
      <c r="AQ673" s="38"/>
      <c r="AR673" s="30"/>
      <c r="AS673" s="30"/>
      <c r="AT673" s="29"/>
      <c r="AU673" s="30"/>
      <c r="AV673" s="30"/>
      <c r="AW673" s="30"/>
      <c r="AX673" s="29"/>
      <c r="AY673" s="39"/>
      <c r="AZ673" s="30"/>
      <c r="BA673" s="30"/>
      <c r="BB673" s="29"/>
      <c r="BC673" s="52"/>
      <c r="BD673" s="30"/>
      <c r="BE673" s="29"/>
      <c r="BF673" s="30"/>
      <c r="BG673" s="30"/>
      <c r="BH673" s="30"/>
      <c r="BI673" s="30"/>
      <c r="BJ673" s="30"/>
      <c r="BK673" s="30"/>
      <c r="BL673" s="30"/>
      <c r="BM673" s="30"/>
      <c r="BN673" s="30"/>
      <c r="BO673" s="30"/>
      <c r="BP673" s="30"/>
      <c r="BQ673" s="30"/>
      <c r="BR673" s="30"/>
      <c r="BS673" s="30"/>
      <c r="BT673" s="30"/>
      <c r="BU673" s="30"/>
      <c r="BV673" s="30"/>
      <c r="BW673" s="30"/>
      <c r="BX673" s="30"/>
      <c r="BY673" s="30"/>
      <c r="BZ673" s="30"/>
      <c r="CA673" s="30"/>
      <c r="CB673" s="30"/>
      <c r="CC673" s="30"/>
      <c r="CD673" s="30"/>
      <c r="CE673" s="30"/>
      <c r="CF673" s="30"/>
      <c r="CG673" s="30"/>
      <c r="CH673" s="30"/>
      <c r="CI673" s="30"/>
      <c r="CJ673" s="30"/>
      <c r="CK673" s="30"/>
      <c r="CL673" s="30"/>
      <c r="CM673" s="30"/>
      <c r="CN673" s="30"/>
      <c r="CO673" s="30"/>
      <c r="CP673" s="30"/>
      <c r="CQ673" s="30"/>
      <c r="CR673" s="30"/>
      <c r="CS673" s="30"/>
      <c r="CT673" s="30"/>
      <c r="CU673" s="30"/>
      <c r="CV673" s="30"/>
      <c r="CW673" s="30"/>
      <c r="CX673" s="30"/>
      <c r="CY673" s="30"/>
      <c r="CZ673" s="30"/>
      <c r="DA673" s="30"/>
      <c r="DB673" s="30"/>
      <c r="DC673" s="30"/>
      <c r="DD673" s="30"/>
      <c r="DE673" s="30"/>
      <c r="DF673" s="30"/>
      <c r="DG673" s="30"/>
      <c r="DH673" s="30"/>
      <c r="DI673" s="30"/>
      <c r="DJ673" s="30"/>
      <c r="DK673" s="30"/>
      <c r="DL673" s="30"/>
      <c r="DM673" s="30"/>
      <c r="DN673" s="30"/>
      <c r="DO673" s="30"/>
      <c r="DP673" s="30"/>
      <c r="DQ673" s="30"/>
      <c r="DR673" s="30"/>
      <c r="DS673" s="30"/>
      <c r="DT673" s="30"/>
      <c r="DU673" s="30"/>
      <c r="DV673" s="30"/>
      <c r="DW673" s="30"/>
      <c r="DX673" s="30"/>
      <c r="DY673" s="30"/>
      <c r="DZ673" s="30"/>
    </row>
    <row r="674">
      <c r="A674" s="30"/>
      <c r="B674" s="42"/>
      <c r="C674" s="43"/>
      <c r="D674" s="30"/>
      <c r="E674" s="28"/>
      <c r="F674" s="30"/>
      <c r="G674" s="30"/>
      <c r="H674" s="30"/>
      <c r="I674" s="30"/>
      <c r="J674" s="28"/>
      <c r="K674" s="30"/>
      <c r="L674" s="30"/>
      <c r="M674" s="30"/>
      <c r="N674" s="30"/>
      <c r="O674" s="28"/>
      <c r="P674" s="30"/>
      <c r="Q674" s="30"/>
      <c r="R674" s="30"/>
      <c r="S674" s="36"/>
      <c r="T674" s="30"/>
      <c r="U674" s="36"/>
      <c r="V674" s="30"/>
      <c r="W674" s="28"/>
      <c r="X674" s="30"/>
      <c r="Y674" s="30"/>
      <c r="Z674" s="30"/>
      <c r="AA674" s="30"/>
      <c r="AB674" s="30"/>
      <c r="AC674" s="28"/>
      <c r="AD674" s="30"/>
      <c r="AE674" s="30"/>
      <c r="AF674" s="30"/>
      <c r="AG674" s="29"/>
      <c r="AH674" s="30"/>
      <c r="AI674" s="36"/>
      <c r="AJ674" s="30"/>
      <c r="AK674" s="29"/>
      <c r="AL674" s="30"/>
      <c r="AM674" s="30"/>
      <c r="AN674" s="30"/>
      <c r="AO674" s="30"/>
      <c r="AP674" s="30"/>
      <c r="AQ674" s="38"/>
      <c r="AR674" s="30"/>
      <c r="AS674" s="30"/>
      <c r="AT674" s="29"/>
      <c r="AU674" s="30"/>
      <c r="AV674" s="30"/>
      <c r="AW674" s="30"/>
      <c r="AX674" s="29"/>
      <c r="AY674" s="39"/>
      <c r="AZ674" s="30"/>
      <c r="BA674" s="30"/>
      <c r="BB674" s="29"/>
      <c r="BC674" s="52"/>
      <c r="BD674" s="30"/>
      <c r="BE674" s="29"/>
      <c r="BF674" s="30"/>
      <c r="BG674" s="30"/>
      <c r="BH674" s="30"/>
      <c r="BI674" s="30"/>
      <c r="BJ674" s="30"/>
      <c r="BK674" s="30"/>
      <c r="BL674" s="30"/>
      <c r="BM674" s="30"/>
      <c r="BN674" s="30"/>
      <c r="BO674" s="30"/>
      <c r="BP674" s="30"/>
      <c r="BQ674" s="30"/>
      <c r="BR674" s="30"/>
      <c r="BS674" s="30"/>
      <c r="BT674" s="30"/>
      <c r="BU674" s="30"/>
      <c r="BV674" s="30"/>
      <c r="BW674" s="30"/>
      <c r="BX674" s="30"/>
      <c r="BY674" s="30"/>
      <c r="BZ674" s="30"/>
      <c r="CA674" s="30"/>
      <c r="CB674" s="30"/>
      <c r="CC674" s="30"/>
      <c r="CD674" s="30"/>
      <c r="CE674" s="30"/>
      <c r="CF674" s="30"/>
      <c r="CG674" s="30"/>
      <c r="CH674" s="30"/>
      <c r="CI674" s="30"/>
      <c r="CJ674" s="30"/>
      <c r="CK674" s="30"/>
      <c r="CL674" s="30"/>
      <c r="CM674" s="30"/>
      <c r="CN674" s="30"/>
      <c r="CO674" s="30"/>
      <c r="CP674" s="30"/>
      <c r="CQ674" s="30"/>
      <c r="CR674" s="30"/>
      <c r="CS674" s="30"/>
      <c r="CT674" s="30"/>
      <c r="CU674" s="30"/>
      <c r="CV674" s="30"/>
      <c r="CW674" s="30"/>
      <c r="CX674" s="30"/>
      <c r="CY674" s="30"/>
      <c r="CZ674" s="30"/>
      <c r="DA674" s="30"/>
      <c r="DB674" s="30"/>
      <c r="DC674" s="30"/>
      <c r="DD674" s="30"/>
      <c r="DE674" s="30"/>
      <c r="DF674" s="30"/>
      <c r="DG674" s="30"/>
      <c r="DH674" s="30"/>
      <c r="DI674" s="30"/>
      <c r="DJ674" s="30"/>
      <c r="DK674" s="30"/>
      <c r="DL674" s="30"/>
      <c r="DM674" s="30"/>
      <c r="DN674" s="30"/>
      <c r="DO674" s="30"/>
      <c r="DP674" s="30"/>
      <c r="DQ674" s="30"/>
      <c r="DR674" s="30"/>
      <c r="DS674" s="30"/>
      <c r="DT674" s="30"/>
      <c r="DU674" s="30"/>
      <c r="DV674" s="30"/>
      <c r="DW674" s="30"/>
      <c r="DX674" s="30"/>
      <c r="DY674" s="30"/>
      <c r="DZ674" s="30"/>
    </row>
    <row r="675">
      <c r="A675" s="30"/>
      <c r="B675" s="42"/>
      <c r="C675" s="43"/>
      <c r="D675" s="30"/>
      <c r="E675" s="28"/>
      <c r="F675" s="30"/>
      <c r="G675" s="30"/>
      <c r="H675" s="30"/>
      <c r="I675" s="30"/>
      <c r="J675" s="28"/>
      <c r="K675" s="30"/>
      <c r="L675" s="30"/>
      <c r="M675" s="30"/>
      <c r="N675" s="30"/>
      <c r="O675" s="28"/>
      <c r="P675" s="30"/>
      <c r="Q675" s="30"/>
      <c r="R675" s="30"/>
      <c r="S675" s="36"/>
      <c r="T675" s="30"/>
      <c r="U675" s="36"/>
      <c r="V675" s="30"/>
      <c r="W675" s="28"/>
      <c r="X675" s="30"/>
      <c r="Y675" s="30"/>
      <c r="Z675" s="30"/>
      <c r="AA675" s="30"/>
      <c r="AB675" s="30"/>
      <c r="AC675" s="28"/>
      <c r="AD675" s="30"/>
      <c r="AE675" s="30"/>
      <c r="AF675" s="30"/>
      <c r="AG675" s="29"/>
      <c r="AH675" s="30"/>
      <c r="AI675" s="36"/>
      <c r="AJ675" s="30"/>
      <c r="AK675" s="29"/>
      <c r="AL675" s="30"/>
      <c r="AM675" s="30"/>
      <c r="AN675" s="30"/>
      <c r="AO675" s="30"/>
      <c r="AP675" s="30"/>
      <c r="AQ675" s="38"/>
      <c r="AR675" s="30"/>
      <c r="AS675" s="30"/>
      <c r="AT675" s="29"/>
      <c r="AU675" s="30"/>
      <c r="AV675" s="30"/>
      <c r="AW675" s="30"/>
      <c r="AX675" s="29"/>
      <c r="AY675" s="39"/>
      <c r="AZ675" s="30"/>
      <c r="BA675" s="30"/>
      <c r="BB675" s="29"/>
      <c r="BC675" s="52"/>
      <c r="BD675" s="30"/>
      <c r="BE675" s="29"/>
      <c r="BF675" s="30"/>
      <c r="BG675" s="30"/>
      <c r="BH675" s="30"/>
      <c r="BI675" s="30"/>
      <c r="BJ675" s="30"/>
      <c r="BK675" s="30"/>
      <c r="BL675" s="30"/>
      <c r="BM675" s="30"/>
      <c r="BN675" s="30"/>
      <c r="BO675" s="30"/>
      <c r="BP675" s="30"/>
      <c r="BQ675" s="30"/>
      <c r="BR675" s="30"/>
      <c r="BS675" s="30"/>
      <c r="BT675" s="30"/>
      <c r="BU675" s="30"/>
      <c r="BV675" s="30"/>
      <c r="BW675" s="30"/>
      <c r="BX675" s="30"/>
      <c r="BY675" s="30"/>
      <c r="BZ675" s="30"/>
      <c r="CA675" s="30"/>
      <c r="CB675" s="30"/>
      <c r="CC675" s="30"/>
      <c r="CD675" s="30"/>
      <c r="CE675" s="30"/>
      <c r="CF675" s="30"/>
      <c r="CG675" s="30"/>
      <c r="CH675" s="30"/>
      <c r="CI675" s="30"/>
      <c r="CJ675" s="30"/>
      <c r="CK675" s="30"/>
      <c r="CL675" s="30"/>
      <c r="CM675" s="30"/>
      <c r="CN675" s="30"/>
      <c r="CO675" s="30"/>
      <c r="CP675" s="30"/>
      <c r="CQ675" s="30"/>
      <c r="CR675" s="30"/>
      <c r="CS675" s="30"/>
      <c r="CT675" s="30"/>
      <c r="CU675" s="30"/>
      <c r="CV675" s="30"/>
      <c r="CW675" s="30"/>
      <c r="CX675" s="30"/>
      <c r="CY675" s="30"/>
      <c r="CZ675" s="30"/>
      <c r="DA675" s="30"/>
      <c r="DB675" s="30"/>
      <c r="DC675" s="30"/>
      <c r="DD675" s="30"/>
      <c r="DE675" s="30"/>
      <c r="DF675" s="30"/>
      <c r="DG675" s="30"/>
      <c r="DH675" s="30"/>
      <c r="DI675" s="30"/>
      <c r="DJ675" s="30"/>
      <c r="DK675" s="30"/>
      <c r="DL675" s="30"/>
      <c r="DM675" s="30"/>
      <c r="DN675" s="30"/>
      <c r="DO675" s="30"/>
      <c r="DP675" s="30"/>
      <c r="DQ675" s="30"/>
      <c r="DR675" s="30"/>
      <c r="DS675" s="30"/>
      <c r="DT675" s="30"/>
      <c r="DU675" s="30"/>
      <c r="DV675" s="30"/>
      <c r="DW675" s="30"/>
      <c r="DX675" s="30"/>
      <c r="DY675" s="30"/>
      <c r="DZ675" s="30"/>
    </row>
    <row r="676">
      <c r="A676" s="30"/>
      <c r="B676" s="42"/>
      <c r="C676" s="43"/>
      <c r="D676" s="30"/>
      <c r="E676" s="28"/>
      <c r="F676" s="30"/>
      <c r="G676" s="30"/>
      <c r="H676" s="30"/>
      <c r="I676" s="30"/>
      <c r="J676" s="28"/>
      <c r="K676" s="30"/>
      <c r="L676" s="30"/>
      <c r="M676" s="30"/>
      <c r="N676" s="30"/>
      <c r="O676" s="28"/>
      <c r="P676" s="30"/>
      <c r="Q676" s="30"/>
      <c r="R676" s="30"/>
      <c r="S676" s="36"/>
      <c r="T676" s="30"/>
      <c r="U676" s="36"/>
      <c r="V676" s="30"/>
      <c r="W676" s="28"/>
      <c r="X676" s="30"/>
      <c r="Y676" s="30"/>
      <c r="Z676" s="30"/>
      <c r="AA676" s="30"/>
      <c r="AB676" s="30"/>
      <c r="AC676" s="28"/>
      <c r="AD676" s="30"/>
      <c r="AE676" s="30"/>
      <c r="AF676" s="30"/>
      <c r="AG676" s="29"/>
      <c r="AH676" s="30"/>
      <c r="AI676" s="36"/>
      <c r="AJ676" s="30"/>
      <c r="AK676" s="29"/>
      <c r="AL676" s="30"/>
      <c r="AM676" s="30"/>
      <c r="AN676" s="30"/>
      <c r="AO676" s="30"/>
      <c r="AP676" s="30"/>
      <c r="AQ676" s="38"/>
      <c r="AR676" s="30"/>
      <c r="AS676" s="30"/>
      <c r="AT676" s="29"/>
      <c r="AU676" s="30"/>
      <c r="AV676" s="30"/>
      <c r="AW676" s="30"/>
      <c r="AX676" s="29"/>
      <c r="AY676" s="39"/>
      <c r="AZ676" s="30"/>
      <c r="BA676" s="30"/>
      <c r="BB676" s="29"/>
      <c r="BC676" s="52"/>
      <c r="BD676" s="30"/>
      <c r="BE676" s="29"/>
      <c r="BF676" s="30"/>
      <c r="BG676" s="30"/>
      <c r="BH676" s="30"/>
      <c r="BI676" s="30"/>
      <c r="BJ676" s="30"/>
      <c r="BK676" s="30"/>
      <c r="BL676" s="30"/>
      <c r="BM676" s="30"/>
      <c r="BN676" s="30"/>
      <c r="BO676" s="30"/>
      <c r="BP676" s="30"/>
      <c r="BQ676" s="30"/>
      <c r="BR676" s="30"/>
      <c r="BS676" s="30"/>
      <c r="BT676" s="30"/>
      <c r="BU676" s="30"/>
      <c r="BV676" s="30"/>
      <c r="BW676" s="30"/>
      <c r="BX676" s="30"/>
      <c r="BY676" s="30"/>
      <c r="BZ676" s="30"/>
      <c r="CA676" s="30"/>
      <c r="CB676" s="30"/>
      <c r="CC676" s="30"/>
      <c r="CD676" s="30"/>
      <c r="CE676" s="30"/>
      <c r="CF676" s="30"/>
      <c r="CG676" s="30"/>
      <c r="CH676" s="30"/>
      <c r="CI676" s="30"/>
      <c r="CJ676" s="30"/>
      <c r="CK676" s="30"/>
      <c r="CL676" s="30"/>
      <c r="CM676" s="30"/>
      <c r="CN676" s="30"/>
      <c r="CO676" s="30"/>
      <c r="CP676" s="30"/>
      <c r="CQ676" s="30"/>
      <c r="CR676" s="30"/>
      <c r="CS676" s="30"/>
      <c r="CT676" s="30"/>
      <c r="CU676" s="30"/>
      <c r="CV676" s="30"/>
      <c r="CW676" s="30"/>
      <c r="CX676" s="30"/>
      <c r="CY676" s="30"/>
      <c r="CZ676" s="30"/>
      <c r="DA676" s="30"/>
      <c r="DB676" s="30"/>
      <c r="DC676" s="30"/>
      <c r="DD676" s="30"/>
      <c r="DE676" s="30"/>
      <c r="DF676" s="30"/>
      <c r="DG676" s="30"/>
      <c r="DH676" s="30"/>
      <c r="DI676" s="30"/>
      <c r="DJ676" s="30"/>
      <c r="DK676" s="30"/>
      <c r="DL676" s="30"/>
      <c r="DM676" s="30"/>
      <c r="DN676" s="30"/>
      <c r="DO676" s="30"/>
      <c r="DP676" s="30"/>
      <c r="DQ676" s="30"/>
      <c r="DR676" s="30"/>
      <c r="DS676" s="30"/>
      <c r="DT676" s="30"/>
      <c r="DU676" s="30"/>
      <c r="DV676" s="30"/>
      <c r="DW676" s="30"/>
      <c r="DX676" s="30"/>
      <c r="DY676" s="30"/>
      <c r="DZ676" s="30"/>
    </row>
    <row r="677">
      <c r="A677" s="30"/>
      <c r="B677" s="42"/>
      <c r="C677" s="43"/>
      <c r="D677" s="30"/>
      <c r="E677" s="28"/>
      <c r="F677" s="30"/>
      <c r="G677" s="30"/>
      <c r="H677" s="30"/>
      <c r="I677" s="30"/>
      <c r="J677" s="28"/>
      <c r="K677" s="30"/>
      <c r="L677" s="30"/>
      <c r="M677" s="30"/>
      <c r="N677" s="30"/>
      <c r="O677" s="28"/>
      <c r="P677" s="30"/>
      <c r="Q677" s="30"/>
      <c r="R677" s="30"/>
      <c r="S677" s="36"/>
      <c r="T677" s="30"/>
      <c r="U677" s="36"/>
      <c r="V677" s="30"/>
      <c r="W677" s="28"/>
      <c r="X677" s="30"/>
      <c r="Y677" s="30"/>
      <c r="Z677" s="30"/>
      <c r="AA677" s="30"/>
      <c r="AB677" s="30"/>
      <c r="AC677" s="28"/>
      <c r="AD677" s="30"/>
      <c r="AE677" s="30"/>
      <c r="AF677" s="30"/>
      <c r="AG677" s="29"/>
      <c r="AH677" s="30"/>
      <c r="AI677" s="36"/>
      <c r="AJ677" s="30"/>
      <c r="AK677" s="29"/>
      <c r="AL677" s="30"/>
      <c r="AM677" s="30"/>
      <c r="AN677" s="30"/>
      <c r="AO677" s="30"/>
      <c r="AP677" s="30"/>
      <c r="AQ677" s="38"/>
      <c r="AR677" s="30"/>
      <c r="AS677" s="30"/>
      <c r="AT677" s="29"/>
      <c r="AU677" s="30"/>
      <c r="AV677" s="30"/>
      <c r="AW677" s="30"/>
      <c r="AX677" s="29"/>
      <c r="AY677" s="39"/>
      <c r="AZ677" s="30"/>
      <c r="BA677" s="30"/>
      <c r="BB677" s="29"/>
      <c r="BC677" s="52"/>
      <c r="BD677" s="30"/>
      <c r="BE677" s="29"/>
      <c r="BF677" s="30"/>
      <c r="BG677" s="30"/>
      <c r="BH677" s="30"/>
      <c r="BI677" s="30"/>
      <c r="BJ677" s="30"/>
      <c r="BK677" s="30"/>
      <c r="BL677" s="30"/>
      <c r="BM677" s="30"/>
      <c r="BN677" s="30"/>
      <c r="BO677" s="30"/>
      <c r="BP677" s="30"/>
      <c r="BQ677" s="30"/>
      <c r="BR677" s="30"/>
      <c r="BS677" s="30"/>
      <c r="BT677" s="30"/>
      <c r="BU677" s="30"/>
      <c r="BV677" s="30"/>
      <c r="BW677" s="30"/>
      <c r="BX677" s="30"/>
      <c r="BY677" s="30"/>
      <c r="BZ677" s="30"/>
      <c r="CA677" s="30"/>
      <c r="CB677" s="30"/>
      <c r="CC677" s="30"/>
      <c r="CD677" s="30"/>
      <c r="CE677" s="30"/>
      <c r="CF677" s="30"/>
      <c r="CG677" s="30"/>
      <c r="CH677" s="30"/>
      <c r="CI677" s="30"/>
      <c r="CJ677" s="30"/>
      <c r="CK677" s="30"/>
      <c r="CL677" s="30"/>
      <c r="CM677" s="30"/>
      <c r="CN677" s="30"/>
      <c r="CO677" s="30"/>
      <c r="CP677" s="30"/>
      <c r="CQ677" s="30"/>
      <c r="CR677" s="30"/>
      <c r="CS677" s="30"/>
      <c r="CT677" s="30"/>
      <c r="CU677" s="30"/>
      <c r="CV677" s="30"/>
      <c r="CW677" s="30"/>
      <c r="CX677" s="30"/>
      <c r="CY677" s="30"/>
      <c r="CZ677" s="30"/>
      <c r="DA677" s="30"/>
      <c r="DB677" s="30"/>
      <c r="DC677" s="30"/>
      <c r="DD677" s="30"/>
      <c r="DE677" s="30"/>
      <c r="DF677" s="30"/>
      <c r="DG677" s="30"/>
      <c r="DH677" s="30"/>
      <c r="DI677" s="30"/>
      <c r="DJ677" s="30"/>
      <c r="DK677" s="30"/>
      <c r="DL677" s="30"/>
      <c r="DM677" s="30"/>
      <c r="DN677" s="30"/>
      <c r="DO677" s="30"/>
      <c r="DP677" s="30"/>
      <c r="DQ677" s="30"/>
      <c r="DR677" s="30"/>
      <c r="DS677" s="30"/>
      <c r="DT677" s="30"/>
      <c r="DU677" s="30"/>
      <c r="DV677" s="30"/>
      <c r="DW677" s="30"/>
      <c r="DX677" s="30"/>
      <c r="DY677" s="30"/>
      <c r="DZ677" s="30"/>
    </row>
    <row r="678">
      <c r="A678" s="30"/>
      <c r="B678" s="42"/>
      <c r="C678" s="43"/>
      <c r="D678" s="30"/>
      <c r="E678" s="28"/>
      <c r="F678" s="30"/>
      <c r="G678" s="30"/>
      <c r="H678" s="30"/>
      <c r="I678" s="30"/>
      <c r="J678" s="28"/>
      <c r="K678" s="30"/>
      <c r="L678" s="30"/>
      <c r="M678" s="30"/>
      <c r="N678" s="30"/>
      <c r="O678" s="28"/>
      <c r="P678" s="30"/>
      <c r="Q678" s="30"/>
      <c r="R678" s="30"/>
      <c r="S678" s="36"/>
      <c r="T678" s="30"/>
      <c r="U678" s="36"/>
      <c r="V678" s="30"/>
      <c r="W678" s="28"/>
      <c r="X678" s="30"/>
      <c r="Y678" s="30"/>
      <c r="Z678" s="30"/>
      <c r="AA678" s="30"/>
      <c r="AB678" s="30"/>
      <c r="AC678" s="28"/>
      <c r="AD678" s="30"/>
      <c r="AE678" s="30"/>
      <c r="AF678" s="30"/>
      <c r="AG678" s="29"/>
      <c r="AH678" s="30"/>
      <c r="AI678" s="36"/>
      <c r="AJ678" s="30"/>
      <c r="AK678" s="29"/>
      <c r="AL678" s="30"/>
      <c r="AM678" s="30"/>
      <c r="AN678" s="30"/>
      <c r="AO678" s="30"/>
      <c r="AP678" s="30"/>
      <c r="AQ678" s="38"/>
      <c r="AR678" s="30"/>
      <c r="AS678" s="30"/>
      <c r="AT678" s="29"/>
      <c r="AU678" s="30"/>
      <c r="AV678" s="30"/>
      <c r="AW678" s="30"/>
      <c r="AX678" s="29"/>
      <c r="AY678" s="39"/>
      <c r="AZ678" s="30"/>
      <c r="BA678" s="30"/>
      <c r="BB678" s="29"/>
      <c r="BC678" s="52"/>
      <c r="BD678" s="30"/>
      <c r="BE678" s="29"/>
      <c r="BF678" s="30"/>
      <c r="BG678" s="30"/>
      <c r="BH678" s="30"/>
      <c r="BI678" s="30"/>
      <c r="BJ678" s="30"/>
      <c r="BK678" s="30"/>
      <c r="BL678" s="30"/>
      <c r="BM678" s="30"/>
      <c r="BN678" s="30"/>
      <c r="BO678" s="30"/>
      <c r="BP678" s="30"/>
      <c r="BQ678" s="30"/>
      <c r="BR678" s="30"/>
      <c r="BS678" s="30"/>
      <c r="BT678" s="30"/>
      <c r="BU678" s="30"/>
      <c r="BV678" s="30"/>
      <c r="BW678" s="30"/>
      <c r="BX678" s="30"/>
      <c r="BY678" s="30"/>
      <c r="BZ678" s="30"/>
      <c r="CA678" s="30"/>
      <c r="CB678" s="30"/>
      <c r="CC678" s="30"/>
      <c r="CD678" s="30"/>
      <c r="CE678" s="30"/>
      <c r="CF678" s="30"/>
      <c r="CG678" s="30"/>
      <c r="CH678" s="30"/>
      <c r="CI678" s="30"/>
      <c r="CJ678" s="30"/>
      <c r="CK678" s="30"/>
      <c r="CL678" s="30"/>
      <c r="CM678" s="30"/>
      <c r="CN678" s="30"/>
      <c r="CO678" s="30"/>
      <c r="CP678" s="30"/>
      <c r="CQ678" s="30"/>
      <c r="CR678" s="30"/>
      <c r="CS678" s="30"/>
      <c r="CT678" s="30"/>
      <c r="CU678" s="30"/>
      <c r="CV678" s="30"/>
      <c r="CW678" s="30"/>
      <c r="CX678" s="30"/>
      <c r="CY678" s="30"/>
      <c r="CZ678" s="30"/>
      <c r="DA678" s="30"/>
      <c r="DB678" s="30"/>
      <c r="DC678" s="30"/>
      <c r="DD678" s="30"/>
      <c r="DE678" s="30"/>
      <c r="DF678" s="30"/>
      <c r="DG678" s="30"/>
      <c r="DH678" s="30"/>
      <c r="DI678" s="30"/>
      <c r="DJ678" s="30"/>
      <c r="DK678" s="30"/>
      <c r="DL678" s="30"/>
      <c r="DM678" s="30"/>
      <c r="DN678" s="30"/>
      <c r="DO678" s="30"/>
      <c r="DP678" s="30"/>
      <c r="DQ678" s="30"/>
      <c r="DR678" s="30"/>
      <c r="DS678" s="30"/>
      <c r="DT678" s="30"/>
      <c r="DU678" s="30"/>
      <c r="DV678" s="30"/>
      <c r="DW678" s="30"/>
      <c r="DX678" s="30"/>
      <c r="DY678" s="30"/>
      <c r="DZ678" s="30"/>
    </row>
    <row r="679">
      <c r="A679" s="30"/>
      <c r="B679" s="42"/>
      <c r="C679" s="43"/>
      <c r="D679" s="30"/>
      <c r="E679" s="28"/>
      <c r="F679" s="30"/>
      <c r="G679" s="30"/>
      <c r="H679" s="30"/>
      <c r="I679" s="30"/>
      <c r="J679" s="28"/>
      <c r="K679" s="30"/>
      <c r="L679" s="30"/>
      <c r="M679" s="30"/>
      <c r="N679" s="30"/>
      <c r="O679" s="28"/>
      <c r="P679" s="30"/>
      <c r="Q679" s="30"/>
      <c r="R679" s="30"/>
      <c r="S679" s="36"/>
      <c r="T679" s="30"/>
      <c r="U679" s="36"/>
      <c r="V679" s="30"/>
      <c r="W679" s="28"/>
      <c r="X679" s="30"/>
      <c r="Y679" s="30"/>
      <c r="Z679" s="30"/>
      <c r="AA679" s="30"/>
      <c r="AB679" s="30"/>
      <c r="AC679" s="28"/>
      <c r="AD679" s="30"/>
      <c r="AE679" s="30"/>
      <c r="AF679" s="30"/>
      <c r="AG679" s="29"/>
      <c r="AH679" s="30"/>
      <c r="AI679" s="36"/>
      <c r="AJ679" s="30"/>
      <c r="AK679" s="29"/>
      <c r="AL679" s="30"/>
      <c r="AM679" s="30"/>
      <c r="AN679" s="30"/>
      <c r="AO679" s="30"/>
      <c r="AP679" s="30"/>
      <c r="AQ679" s="38"/>
      <c r="AR679" s="30"/>
      <c r="AS679" s="30"/>
      <c r="AT679" s="29"/>
      <c r="AU679" s="30"/>
      <c r="AV679" s="30"/>
      <c r="AW679" s="30"/>
      <c r="AX679" s="29"/>
      <c r="AY679" s="39"/>
      <c r="AZ679" s="30"/>
      <c r="BA679" s="30"/>
      <c r="BB679" s="29"/>
      <c r="BC679" s="52"/>
      <c r="BD679" s="30"/>
      <c r="BE679" s="29"/>
      <c r="BF679" s="30"/>
      <c r="BG679" s="30"/>
      <c r="BH679" s="30"/>
      <c r="BI679" s="30"/>
      <c r="BJ679" s="30"/>
      <c r="BK679" s="30"/>
      <c r="BL679" s="30"/>
      <c r="BM679" s="30"/>
      <c r="BN679" s="30"/>
      <c r="BO679" s="30"/>
      <c r="BP679" s="30"/>
      <c r="BQ679" s="30"/>
      <c r="BR679" s="30"/>
      <c r="BS679" s="30"/>
      <c r="BT679" s="30"/>
      <c r="BU679" s="30"/>
      <c r="BV679" s="30"/>
      <c r="BW679" s="30"/>
      <c r="BX679" s="30"/>
      <c r="BY679" s="30"/>
      <c r="BZ679" s="30"/>
      <c r="CA679" s="30"/>
      <c r="CB679" s="30"/>
      <c r="CC679" s="30"/>
      <c r="CD679" s="30"/>
      <c r="CE679" s="30"/>
      <c r="CF679" s="30"/>
      <c r="CG679" s="30"/>
      <c r="CH679" s="30"/>
      <c r="CI679" s="30"/>
      <c r="CJ679" s="30"/>
      <c r="CK679" s="30"/>
      <c r="CL679" s="30"/>
      <c r="CM679" s="30"/>
      <c r="CN679" s="30"/>
      <c r="CO679" s="30"/>
      <c r="CP679" s="30"/>
      <c r="CQ679" s="30"/>
      <c r="CR679" s="30"/>
      <c r="CS679" s="30"/>
      <c r="CT679" s="30"/>
      <c r="CU679" s="30"/>
      <c r="CV679" s="30"/>
      <c r="CW679" s="30"/>
      <c r="CX679" s="30"/>
      <c r="CY679" s="30"/>
      <c r="CZ679" s="30"/>
      <c r="DA679" s="30"/>
      <c r="DB679" s="30"/>
      <c r="DC679" s="30"/>
      <c r="DD679" s="30"/>
      <c r="DE679" s="30"/>
      <c r="DF679" s="30"/>
      <c r="DG679" s="30"/>
      <c r="DH679" s="30"/>
      <c r="DI679" s="30"/>
      <c r="DJ679" s="30"/>
      <c r="DK679" s="30"/>
      <c r="DL679" s="30"/>
      <c r="DM679" s="30"/>
      <c r="DN679" s="30"/>
      <c r="DO679" s="30"/>
      <c r="DP679" s="30"/>
      <c r="DQ679" s="30"/>
      <c r="DR679" s="30"/>
      <c r="DS679" s="30"/>
      <c r="DT679" s="30"/>
      <c r="DU679" s="30"/>
      <c r="DV679" s="30"/>
      <c r="DW679" s="30"/>
      <c r="DX679" s="30"/>
      <c r="DY679" s="30"/>
      <c r="DZ679" s="30"/>
    </row>
    <row r="680">
      <c r="A680" s="30"/>
      <c r="B680" s="42"/>
      <c r="C680" s="43"/>
      <c r="D680" s="30"/>
      <c r="E680" s="28"/>
      <c r="F680" s="30"/>
      <c r="G680" s="30"/>
      <c r="H680" s="30"/>
      <c r="I680" s="30"/>
      <c r="J680" s="28"/>
      <c r="K680" s="30"/>
      <c r="L680" s="30"/>
      <c r="M680" s="30"/>
      <c r="N680" s="30"/>
      <c r="O680" s="28"/>
      <c r="P680" s="30"/>
      <c r="Q680" s="30"/>
      <c r="R680" s="30"/>
      <c r="S680" s="36"/>
      <c r="T680" s="30"/>
      <c r="U680" s="36"/>
      <c r="V680" s="30"/>
      <c r="W680" s="28"/>
      <c r="X680" s="30"/>
      <c r="Y680" s="30"/>
      <c r="Z680" s="30"/>
      <c r="AA680" s="30"/>
      <c r="AB680" s="30"/>
      <c r="AC680" s="28"/>
      <c r="AD680" s="30"/>
      <c r="AE680" s="30"/>
      <c r="AF680" s="30"/>
      <c r="AG680" s="29"/>
      <c r="AH680" s="30"/>
      <c r="AI680" s="36"/>
      <c r="AJ680" s="30"/>
      <c r="AK680" s="29"/>
      <c r="AL680" s="30"/>
      <c r="AM680" s="30"/>
      <c r="AN680" s="30"/>
      <c r="AO680" s="30"/>
      <c r="AP680" s="30"/>
      <c r="AQ680" s="38"/>
      <c r="AR680" s="30"/>
      <c r="AS680" s="30"/>
      <c r="AT680" s="29"/>
      <c r="AU680" s="30"/>
      <c r="AV680" s="30"/>
      <c r="AW680" s="30"/>
      <c r="AX680" s="29"/>
      <c r="AY680" s="39"/>
      <c r="AZ680" s="30"/>
      <c r="BA680" s="30"/>
      <c r="BB680" s="29"/>
      <c r="BC680" s="52"/>
      <c r="BD680" s="30"/>
      <c r="BE680" s="29"/>
      <c r="BF680" s="30"/>
      <c r="BG680" s="30"/>
      <c r="BH680" s="30"/>
      <c r="BI680" s="30"/>
      <c r="BJ680" s="30"/>
      <c r="BK680" s="30"/>
      <c r="BL680" s="30"/>
      <c r="BM680" s="30"/>
      <c r="BN680" s="30"/>
      <c r="BO680" s="30"/>
      <c r="BP680" s="30"/>
      <c r="BQ680" s="30"/>
      <c r="BR680" s="30"/>
      <c r="BS680" s="30"/>
      <c r="BT680" s="30"/>
      <c r="BU680" s="30"/>
      <c r="BV680" s="30"/>
      <c r="BW680" s="30"/>
      <c r="BX680" s="30"/>
      <c r="BY680" s="30"/>
      <c r="BZ680" s="30"/>
      <c r="CA680" s="30"/>
      <c r="CB680" s="30"/>
      <c r="CC680" s="30"/>
      <c r="CD680" s="30"/>
      <c r="CE680" s="30"/>
      <c r="CF680" s="30"/>
      <c r="CG680" s="30"/>
      <c r="CH680" s="30"/>
      <c r="CI680" s="30"/>
      <c r="CJ680" s="30"/>
      <c r="CK680" s="30"/>
      <c r="CL680" s="30"/>
      <c r="CM680" s="30"/>
      <c r="CN680" s="30"/>
      <c r="CO680" s="30"/>
      <c r="CP680" s="30"/>
      <c r="CQ680" s="30"/>
      <c r="CR680" s="30"/>
      <c r="CS680" s="30"/>
      <c r="CT680" s="30"/>
      <c r="CU680" s="30"/>
      <c r="CV680" s="30"/>
      <c r="CW680" s="30"/>
      <c r="CX680" s="30"/>
      <c r="CY680" s="30"/>
      <c r="CZ680" s="30"/>
      <c r="DA680" s="30"/>
      <c r="DB680" s="30"/>
      <c r="DC680" s="30"/>
      <c r="DD680" s="30"/>
      <c r="DE680" s="30"/>
      <c r="DF680" s="30"/>
      <c r="DG680" s="30"/>
      <c r="DH680" s="30"/>
      <c r="DI680" s="30"/>
      <c r="DJ680" s="30"/>
      <c r="DK680" s="30"/>
      <c r="DL680" s="30"/>
      <c r="DM680" s="30"/>
      <c r="DN680" s="30"/>
      <c r="DO680" s="30"/>
      <c r="DP680" s="30"/>
      <c r="DQ680" s="30"/>
      <c r="DR680" s="30"/>
      <c r="DS680" s="30"/>
      <c r="DT680" s="30"/>
      <c r="DU680" s="30"/>
      <c r="DV680" s="30"/>
      <c r="DW680" s="30"/>
      <c r="DX680" s="30"/>
      <c r="DY680" s="30"/>
      <c r="DZ680" s="30"/>
    </row>
    <row r="681">
      <c r="A681" s="30"/>
      <c r="B681" s="42"/>
      <c r="C681" s="43"/>
      <c r="D681" s="30"/>
      <c r="E681" s="28"/>
      <c r="F681" s="30"/>
      <c r="G681" s="30"/>
      <c r="H681" s="30"/>
      <c r="I681" s="30"/>
      <c r="J681" s="28"/>
      <c r="K681" s="30"/>
      <c r="L681" s="30"/>
      <c r="M681" s="30"/>
      <c r="N681" s="30"/>
      <c r="O681" s="28"/>
      <c r="P681" s="30"/>
      <c r="Q681" s="30"/>
      <c r="R681" s="30"/>
      <c r="S681" s="36"/>
      <c r="T681" s="30"/>
      <c r="U681" s="36"/>
      <c r="V681" s="30"/>
      <c r="W681" s="28"/>
      <c r="X681" s="30"/>
      <c r="Y681" s="30"/>
      <c r="Z681" s="30"/>
      <c r="AA681" s="30"/>
      <c r="AB681" s="30"/>
      <c r="AC681" s="28"/>
      <c r="AD681" s="30"/>
      <c r="AE681" s="30"/>
      <c r="AF681" s="30"/>
      <c r="AG681" s="29"/>
      <c r="AH681" s="30"/>
      <c r="AI681" s="36"/>
      <c r="AJ681" s="30"/>
      <c r="AK681" s="29"/>
      <c r="AL681" s="30"/>
      <c r="AM681" s="30"/>
      <c r="AN681" s="30"/>
      <c r="AO681" s="30"/>
      <c r="AP681" s="30"/>
      <c r="AQ681" s="38"/>
      <c r="AR681" s="30"/>
      <c r="AS681" s="30"/>
      <c r="AT681" s="29"/>
      <c r="AU681" s="30"/>
      <c r="AV681" s="30"/>
      <c r="AW681" s="30"/>
      <c r="AX681" s="29"/>
      <c r="AY681" s="39"/>
      <c r="AZ681" s="30"/>
      <c r="BA681" s="30"/>
      <c r="BB681" s="29"/>
      <c r="BC681" s="52"/>
      <c r="BD681" s="30"/>
      <c r="BE681" s="29"/>
      <c r="BF681" s="30"/>
      <c r="BG681" s="30"/>
      <c r="BH681" s="30"/>
      <c r="BI681" s="30"/>
      <c r="BJ681" s="30"/>
      <c r="BK681" s="30"/>
      <c r="BL681" s="30"/>
      <c r="BM681" s="30"/>
      <c r="BN681" s="30"/>
      <c r="BO681" s="30"/>
      <c r="BP681" s="30"/>
      <c r="BQ681" s="30"/>
      <c r="BR681" s="30"/>
      <c r="BS681" s="30"/>
      <c r="BT681" s="30"/>
      <c r="BU681" s="30"/>
      <c r="BV681" s="30"/>
      <c r="BW681" s="30"/>
      <c r="BX681" s="30"/>
      <c r="BY681" s="30"/>
      <c r="BZ681" s="30"/>
      <c r="CA681" s="30"/>
      <c r="CB681" s="30"/>
      <c r="CC681" s="30"/>
      <c r="CD681" s="30"/>
      <c r="CE681" s="30"/>
      <c r="CF681" s="30"/>
      <c r="CG681" s="30"/>
      <c r="CH681" s="30"/>
      <c r="CI681" s="30"/>
      <c r="CJ681" s="30"/>
      <c r="CK681" s="30"/>
      <c r="CL681" s="30"/>
      <c r="CM681" s="30"/>
      <c r="CN681" s="30"/>
      <c r="CO681" s="30"/>
      <c r="CP681" s="30"/>
      <c r="CQ681" s="30"/>
      <c r="CR681" s="30"/>
      <c r="CS681" s="30"/>
      <c r="CT681" s="30"/>
      <c r="CU681" s="30"/>
      <c r="CV681" s="30"/>
      <c r="CW681" s="30"/>
      <c r="CX681" s="30"/>
      <c r="CY681" s="30"/>
      <c r="CZ681" s="30"/>
      <c r="DA681" s="30"/>
      <c r="DB681" s="30"/>
      <c r="DC681" s="30"/>
      <c r="DD681" s="30"/>
      <c r="DE681" s="30"/>
      <c r="DF681" s="30"/>
      <c r="DG681" s="30"/>
      <c r="DH681" s="30"/>
      <c r="DI681" s="30"/>
      <c r="DJ681" s="30"/>
      <c r="DK681" s="30"/>
      <c r="DL681" s="30"/>
      <c r="DM681" s="30"/>
      <c r="DN681" s="30"/>
      <c r="DO681" s="30"/>
      <c r="DP681" s="30"/>
      <c r="DQ681" s="30"/>
      <c r="DR681" s="30"/>
      <c r="DS681" s="30"/>
      <c r="DT681" s="30"/>
      <c r="DU681" s="30"/>
      <c r="DV681" s="30"/>
      <c r="DW681" s="30"/>
      <c r="DX681" s="30"/>
      <c r="DY681" s="30"/>
      <c r="DZ681" s="30"/>
    </row>
    <row r="682">
      <c r="A682" s="30"/>
      <c r="B682" s="42"/>
      <c r="C682" s="43"/>
      <c r="D682" s="30"/>
      <c r="E682" s="28"/>
      <c r="F682" s="30"/>
      <c r="G682" s="30"/>
      <c r="H682" s="30"/>
      <c r="I682" s="30"/>
      <c r="J682" s="28"/>
      <c r="K682" s="30"/>
      <c r="L682" s="30"/>
      <c r="M682" s="30"/>
      <c r="N682" s="30"/>
      <c r="O682" s="28"/>
      <c r="P682" s="30"/>
      <c r="Q682" s="30"/>
      <c r="R682" s="30"/>
      <c r="S682" s="36"/>
      <c r="T682" s="30"/>
      <c r="U682" s="36"/>
      <c r="V682" s="30"/>
      <c r="W682" s="28"/>
      <c r="X682" s="30"/>
      <c r="Y682" s="30"/>
      <c r="Z682" s="30"/>
      <c r="AA682" s="30"/>
      <c r="AB682" s="30"/>
      <c r="AC682" s="28"/>
      <c r="AD682" s="30"/>
      <c r="AE682" s="30"/>
      <c r="AF682" s="30"/>
      <c r="AG682" s="29"/>
      <c r="AH682" s="30"/>
      <c r="AI682" s="36"/>
      <c r="AJ682" s="30"/>
      <c r="AK682" s="29"/>
      <c r="AL682" s="30"/>
      <c r="AM682" s="30"/>
      <c r="AN682" s="30"/>
      <c r="AO682" s="30"/>
      <c r="AP682" s="30"/>
      <c r="AQ682" s="38"/>
      <c r="AR682" s="30"/>
      <c r="AS682" s="30"/>
      <c r="AT682" s="29"/>
      <c r="AU682" s="30"/>
      <c r="AV682" s="30"/>
      <c r="AW682" s="30"/>
      <c r="AX682" s="29"/>
      <c r="AY682" s="39"/>
      <c r="AZ682" s="30"/>
      <c r="BA682" s="30"/>
      <c r="BB682" s="29"/>
      <c r="BC682" s="52"/>
      <c r="BD682" s="30"/>
      <c r="BE682" s="29"/>
      <c r="BF682" s="30"/>
      <c r="BG682" s="30"/>
      <c r="BH682" s="30"/>
      <c r="BI682" s="30"/>
      <c r="BJ682" s="30"/>
      <c r="BK682" s="30"/>
      <c r="BL682" s="30"/>
      <c r="BM682" s="30"/>
      <c r="BN682" s="30"/>
      <c r="BO682" s="30"/>
      <c r="BP682" s="30"/>
      <c r="BQ682" s="30"/>
      <c r="BR682" s="30"/>
      <c r="BS682" s="30"/>
      <c r="BT682" s="30"/>
      <c r="BU682" s="30"/>
      <c r="BV682" s="30"/>
      <c r="BW682" s="30"/>
      <c r="BX682" s="30"/>
      <c r="BY682" s="30"/>
      <c r="BZ682" s="30"/>
      <c r="CA682" s="30"/>
      <c r="CB682" s="30"/>
      <c r="CC682" s="30"/>
      <c r="CD682" s="30"/>
      <c r="CE682" s="30"/>
      <c r="CF682" s="30"/>
      <c r="CG682" s="30"/>
      <c r="CH682" s="30"/>
      <c r="CI682" s="30"/>
      <c r="CJ682" s="30"/>
      <c r="CK682" s="30"/>
      <c r="CL682" s="30"/>
      <c r="CM682" s="30"/>
      <c r="CN682" s="30"/>
      <c r="CO682" s="30"/>
      <c r="CP682" s="30"/>
      <c r="CQ682" s="30"/>
      <c r="CR682" s="30"/>
      <c r="CS682" s="30"/>
      <c r="CT682" s="30"/>
      <c r="CU682" s="30"/>
      <c r="CV682" s="30"/>
      <c r="CW682" s="30"/>
      <c r="CX682" s="30"/>
      <c r="CY682" s="30"/>
      <c r="CZ682" s="30"/>
      <c r="DA682" s="30"/>
      <c r="DB682" s="30"/>
      <c r="DC682" s="30"/>
      <c r="DD682" s="30"/>
      <c r="DE682" s="30"/>
      <c r="DF682" s="30"/>
      <c r="DG682" s="30"/>
      <c r="DH682" s="30"/>
      <c r="DI682" s="30"/>
      <c r="DJ682" s="30"/>
      <c r="DK682" s="30"/>
      <c r="DL682" s="30"/>
      <c r="DM682" s="30"/>
      <c r="DN682" s="30"/>
      <c r="DO682" s="30"/>
      <c r="DP682" s="30"/>
      <c r="DQ682" s="30"/>
      <c r="DR682" s="30"/>
      <c r="DS682" s="30"/>
      <c r="DT682" s="30"/>
      <c r="DU682" s="30"/>
      <c r="DV682" s="30"/>
      <c r="DW682" s="30"/>
      <c r="DX682" s="30"/>
      <c r="DY682" s="30"/>
      <c r="DZ682" s="30"/>
    </row>
    <row r="683">
      <c r="A683" s="30"/>
      <c r="B683" s="42"/>
      <c r="C683" s="43"/>
      <c r="D683" s="30"/>
      <c r="E683" s="28"/>
      <c r="F683" s="30"/>
      <c r="G683" s="30"/>
      <c r="H683" s="30"/>
      <c r="I683" s="30"/>
      <c r="J683" s="28"/>
      <c r="K683" s="30"/>
      <c r="L683" s="30"/>
      <c r="M683" s="30"/>
      <c r="N683" s="30"/>
      <c r="O683" s="28"/>
      <c r="P683" s="30"/>
      <c r="Q683" s="30"/>
      <c r="R683" s="30"/>
      <c r="S683" s="36"/>
      <c r="T683" s="30"/>
      <c r="U683" s="36"/>
      <c r="V683" s="30"/>
      <c r="W683" s="28"/>
      <c r="X683" s="30"/>
      <c r="Y683" s="30"/>
      <c r="Z683" s="30"/>
      <c r="AA683" s="30"/>
      <c r="AB683" s="30"/>
      <c r="AC683" s="28"/>
      <c r="AD683" s="30"/>
      <c r="AE683" s="30"/>
      <c r="AF683" s="30"/>
      <c r="AG683" s="29"/>
      <c r="AH683" s="30"/>
      <c r="AI683" s="36"/>
      <c r="AJ683" s="30"/>
      <c r="AK683" s="29"/>
      <c r="AL683" s="30"/>
      <c r="AM683" s="30"/>
      <c r="AN683" s="30"/>
      <c r="AO683" s="30"/>
      <c r="AP683" s="30"/>
      <c r="AQ683" s="38"/>
      <c r="AR683" s="30"/>
      <c r="AS683" s="30"/>
      <c r="AT683" s="29"/>
      <c r="AU683" s="30"/>
      <c r="AV683" s="30"/>
      <c r="AW683" s="30"/>
      <c r="AX683" s="29"/>
      <c r="AY683" s="39"/>
      <c r="AZ683" s="30"/>
      <c r="BA683" s="30"/>
      <c r="BB683" s="29"/>
      <c r="BC683" s="52"/>
      <c r="BD683" s="30"/>
      <c r="BE683" s="29"/>
      <c r="BF683" s="30"/>
      <c r="BG683" s="30"/>
      <c r="BH683" s="30"/>
      <c r="BI683" s="30"/>
      <c r="BJ683" s="30"/>
      <c r="BK683" s="30"/>
      <c r="BL683" s="30"/>
      <c r="BM683" s="30"/>
      <c r="BN683" s="30"/>
      <c r="BO683" s="30"/>
      <c r="BP683" s="30"/>
      <c r="BQ683" s="30"/>
      <c r="BR683" s="30"/>
      <c r="BS683" s="30"/>
      <c r="BT683" s="30"/>
      <c r="BU683" s="30"/>
      <c r="BV683" s="30"/>
      <c r="BW683" s="30"/>
      <c r="BX683" s="30"/>
      <c r="BY683" s="30"/>
      <c r="BZ683" s="30"/>
      <c r="CA683" s="30"/>
      <c r="CB683" s="30"/>
      <c r="CC683" s="30"/>
      <c r="CD683" s="30"/>
      <c r="CE683" s="30"/>
      <c r="CF683" s="30"/>
      <c r="CG683" s="30"/>
      <c r="CH683" s="30"/>
      <c r="CI683" s="30"/>
      <c r="CJ683" s="30"/>
      <c r="CK683" s="30"/>
      <c r="CL683" s="30"/>
      <c r="CM683" s="30"/>
      <c r="CN683" s="30"/>
      <c r="CO683" s="30"/>
      <c r="CP683" s="30"/>
      <c r="CQ683" s="30"/>
      <c r="CR683" s="30"/>
      <c r="CS683" s="30"/>
      <c r="CT683" s="30"/>
      <c r="CU683" s="30"/>
      <c r="CV683" s="30"/>
      <c r="CW683" s="30"/>
      <c r="CX683" s="30"/>
      <c r="CY683" s="30"/>
      <c r="CZ683" s="30"/>
      <c r="DA683" s="30"/>
      <c r="DB683" s="30"/>
      <c r="DC683" s="30"/>
      <c r="DD683" s="30"/>
      <c r="DE683" s="30"/>
      <c r="DF683" s="30"/>
      <c r="DG683" s="30"/>
      <c r="DH683" s="30"/>
      <c r="DI683" s="30"/>
      <c r="DJ683" s="30"/>
      <c r="DK683" s="30"/>
      <c r="DL683" s="30"/>
      <c r="DM683" s="30"/>
      <c r="DN683" s="30"/>
      <c r="DO683" s="30"/>
      <c r="DP683" s="30"/>
      <c r="DQ683" s="30"/>
      <c r="DR683" s="30"/>
      <c r="DS683" s="30"/>
      <c r="DT683" s="30"/>
      <c r="DU683" s="30"/>
      <c r="DV683" s="30"/>
      <c r="DW683" s="30"/>
      <c r="DX683" s="30"/>
      <c r="DY683" s="30"/>
      <c r="DZ683" s="30"/>
    </row>
    <row r="684">
      <c r="A684" s="30"/>
      <c r="B684" s="42"/>
      <c r="C684" s="43"/>
      <c r="D684" s="30"/>
      <c r="E684" s="28"/>
      <c r="F684" s="30"/>
      <c r="G684" s="30"/>
      <c r="H684" s="30"/>
      <c r="I684" s="30"/>
      <c r="J684" s="28"/>
      <c r="K684" s="30"/>
      <c r="L684" s="30"/>
      <c r="M684" s="30"/>
      <c r="N684" s="30"/>
      <c r="O684" s="28"/>
      <c r="P684" s="30"/>
      <c r="Q684" s="30"/>
      <c r="R684" s="30"/>
      <c r="S684" s="36"/>
      <c r="T684" s="30"/>
      <c r="U684" s="36"/>
      <c r="V684" s="30"/>
      <c r="W684" s="28"/>
      <c r="X684" s="30"/>
      <c r="Y684" s="30"/>
      <c r="Z684" s="30"/>
      <c r="AA684" s="30"/>
      <c r="AB684" s="30"/>
      <c r="AC684" s="28"/>
      <c r="AD684" s="30"/>
      <c r="AE684" s="30"/>
      <c r="AF684" s="30"/>
      <c r="AG684" s="29"/>
      <c r="AH684" s="30"/>
      <c r="AI684" s="36"/>
      <c r="AJ684" s="30"/>
      <c r="AK684" s="29"/>
      <c r="AL684" s="30"/>
      <c r="AM684" s="30"/>
      <c r="AN684" s="30"/>
      <c r="AO684" s="30"/>
      <c r="AP684" s="30"/>
      <c r="AQ684" s="38"/>
      <c r="AR684" s="30"/>
      <c r="AS684" s="30"/>
      <c r="AT684" s="29"/>
      <c r="AU684" s="30"/>
      <c r="AV684" s="30"/>
      <c r="AW684" s="30"/>
      <c r="AX684" s="29"/>
      <c r="AY684" s="39"/>
      <c r="AZ684" s="30"/>
      <c r="BA684" s="30"/>
      <c r="BB684" s="29"/>
      <c r="BC684" s="52"/>
      <c r="BD684" s="30"/>
      <c r="BE684" s="29"/>
      <c r="BF684" s="30"/>
      <c r="BG684" s="30"/>
      <c r="BH684" s="30"/>
      <c r="BI684" s="30"/>
      <c r="BJ684" s="30"/>
      <c r="BK684" s="30"/>
      <c r="BL684" s="30"/>
      <c r="BM684" s="30"/>
      <c r="BN684" s="30"/>
      <c r="BO684" s="30"/>
      <c r="BP684" s="30"/>
      <c r="BQ684" s="30"/>
      <c r="BR684" s="30"/>
      <c r="BS684" s="30"/>
      <c r="BT684" s="30"/>
      <c r="BU684" s="30"/>
      <c r="BV684" s="30"/>
      <c r="BW684" s="30"/>
      <c r="BX684" s="30"/>
      <c r="BY684" s="30"/>
      <c r="BZ684" s="30"/>
      <c r="CA684" s="30"/>
      <c r="CB684" s="30"/>
      <c r="CC684" s="30"/>
      <c r="CD684" s="30"/>
      <c r="CE684" s="30"/>
      <c r="CF684" s="30"/>
      <c r="CG684" s="30"/>
      <c r="CH684" s="30"/>
      <c r="CI684" s="30"/>
      <c r="CJ684" s="30"/>
      <c r="CK684" s="30"/>
      <c r="CL684" s="30"/>
      <c r="CM684" s="30"/>
      <c r="CN684" s="30"/>
      <c r="CO684" s="30"/>
      <c r="CP684" s="30"/>
      <c r="CQ684" s="30"/>
      <c r="CR684" s="30"/>
      <c r="CS684" s="30"/>
      <c r="CT684" s="30"/>
      <c r="CU684" s="30"/>
      <c r="CV684" s="30"/>
      <c r="CW684" s="30"/>
      <c r="CX684" s="30"/>
      <c r="CY684" s="30"/>
      <c r="CZ684" s="30"/>
      <c r="DA684" s="30"/>
      <c r="DB684" s="30"/>
      <c r="DC684" s="30"/>
      <c r="DD684" s="30"/>
      <c r="DE684" s="30"/>
      <c r="DF684" s="30"/>
      <c r="DG684" s="30"/>
      <c r="DH684" s="30"/>
      <c r="DI684" s="30"/>
      <c r="DJ684" s="30"/>
      <c r="DK684" s="30"/>
      <c r="DL684" s="30"/>
      <c r="DM684" s="30"/>
      <c r="DN684" s="30"/>
      <c r="DO684" s="30"/>
      <c r="DP684" s="30"/>
      <c r="DQ684" s="30"/>
      <c r="DR684" s="30"/>
      <c r="DS684" s="30"/>
      <c r="DT684" s="30"/>
      <c r="DU684" s="30"/>
      <c r="DV684" s="30"/>
      <c r="DW684" s="30"/>
      <c r="DX684" s="30"/>
      <c r="DY684" s="30"/>
      <c r="DZ684" s="30"/>
    </row>
    <row r="685">
      <c r="A685" s="30"/>
      <c r="B685" s="42"/>
      <c r="C685" s="43"/>
      <c r="D685" s="30"/>
      <c r="E685" s="28"/>
      <c r="F685" s="30"/>
      <c r="G685" s="30"/>
      <c r="H685" s="30"/>
      <c r="I685" s="30"/>
      <c r="J685" s="28"/>
      <c r="K685" s="30"/>
      <c r="L685" s="30"/>
      <c r="M685" s="30"/>
      <c r="N685" s="30"/>
      <c r="O685" s="28"/>
      <c r="P685" s="30"/>
      <c r="Q685" s="30"/>
      <c r="R685" s="30"/>
      <c r="S685" s="36"/>
      <c r="T685" s="30"/>
      <c r="U685" s="36"/>
      <c r="V685" s="30"/>
      <c r="W685" s="28"/>
      <c r="X685" s="30"/>
      <c r="Y685" s="30"/>
      <c r="Z685" s="30"/>
      <c r="AA685" s="30"/>
      <c r="AB685" s="30"/>
      <c r="AC685" s="28"/>
      <c r="AD685" s="30"/>
      <c r="AE685" s="30"/>
      <c r="AF685" s="30"/>
      <c r="AG685" s="29"/>
      <c r="AH685" s="30"/>
      <c r="AI685" s="36"/>
      <c r="AJ685" s="30"/>
      <c r="AK685" s="29"/>
      <c r="AL685" s="30"/>
      <c r="AM685" s="30"/>
      <c r="AN685" s="30"/>
      <c r="AO685" s="30"/>
      <c r="AP685" s="30"/>
      <c r="AQ685" s="38"/>
      <c r="AR685" s="30"/>
      <c r="AS685" s="30"/>
      <c r="AT685" s="29"/>
      <c r="AU685" s="30"/>
      <c r="AV685" s="30"/>
      <c r="AW685" s="30"/>
      <c r="AX685" s="29"/>
      <c r="AY685" s="39"/>
      <c r="AZ685" s="30"/>
      <c r="BA685" s="30"/>
      <c r="BB685" s="29"/>
      <c r="BC685" s="52"/>
      <c r="BD685" s="30"/>
      <c r="BE685" s="29"/>
      <c r="BF685" s="30"/>
      <c r="BG685" s="30"/>
      <c r="BH685" s="30"/>
      <c r="BI685" s="30"/>
      <c r="BJ685" s="30"/>
      <c r="BK685" s="30"/>
      <c r="BL685" s="30"/>
      <c r="BM685" s="30"/>
      <c r="BN685" s="30"/>
      <c r="BO685" s="30"/>
      <c r="BP685" s="30"/>
      <c r="BQ685" s="30"/>
      <c r="BR685" s="30"/>
      <c r="BS685" s="30"/>
      <c r="BT685" s="30"/>
      <c r="BU685" s="30"/>
      <c r="BV685" s="30"/>
      <c r="BW685" s="30"/>
      <c r="BX685" s="30"/>
      <c r="BY685" s="30"/>
      <c r="BZ685" s="30"/>
      <c r="CA685" s="30"/>
      <c r="CB685" s="30"/>
      <c r="CC685" s="30"/>
      <c r="CD685" s="30"/>
      <c r="CE685" s="30"/>
      <c r="CF685" s="30"/>
      <c r="CG685" s="30"/>
      <c r="CH685" s="30"/>
      <c r="CI685" s="30"/>
      <c r="CJ685" s="30"/>
      <c r="CK685" s="30"/>
      <c r="CL685" s="30"/>
      <c r="CM685" s="30"/>
      <c r="CN685" s="30"/>
      <c r="CO685" s="30"/>
      <c r="CP685" s="30"/>
      <c r="CQ685" s="30"/>
      <c r="CR685" s="30"/>
      <c r="CS685" s="30"/>
      <c r="CT685" s="30"/>
      <c r="CU685" s="30"/>
      <c r="CV685" s="30"/>
      <c r="CW685" s="30"/>
      <c r="CX685" s="30"/>
      <c r="CY685" s="30"/>
      <c r="CZ685" s="30"/>
      <c r="DA685" s="30"/>
      <c r="DB685" s="30"/>
      <c r="DC685" s="30"/>
      <c r="DD685" s="30"/>
      <c r="DE685" s="30"/>
      <c r="DF685" s="30"/>
      <c r="DG685" s="30"/>
      <c r="DH685" s="30"/>
      <c r="DI685" s="30"/>
      <c r="DJ685" s="30"/>
      <c r="DK685" s="30"/>
      <c r="DL685" s="30"/>
      <c r="DM685" s="30"/>
      <c r="DN685" s="30"/>
      <c r="DO685" s="30"/>
      <c r="DP685" s="30"/>
      <c r="DQ685" s="30"/>
      <c r="DR685" s="30"/>
      <c r="DS685" s="30"/>
      <c r="DT685" s="30"/>
      <c r="DU685" s="30"/>
      <c r="DV685" s="30"/>
      <c r="DW685" s="30"/>
      <c r="DX685" s="30"/>
      <c r="DY685" s="30"/>
      <c r="DZ685" s="30"/>
    </row>
    <row r="686">
      <c r="A686" s="30"/>
      <c r="B686" s="42"/>
      <c r="C686" s="43"/>
      <c r="D686" s="30"/>
      <c r="E686" s="28"/>
      <c r="F686" s="30"/>
      <c r="G686" s="30"/>
      <c r="H686" s="30"/>
      <c r="I686" s="30"/>
      <c r="J686" s="28"/>
      <c r="K686" s="30"/>
      <c r="L686" s="30"/>
      <c r="M686" s="30"/>
      <c r="N686" s="30"/>
      <c r="O686" s="28"/>
      <c r="P686" s="30"/>
      <c r="Q686" s="30"/>
      <c r="R686" s="30"/>
      <c r="S686" s="36"/>
      <c r="T686" s="30"/>
      <c r="U686" s="36"/>
      <c r="V686" s="30"/>
      <c r="W686" s="28"/>
      <c r="X686" s="30"/>
      <c r="Y686" s="30"/>
      <c r="Z686" s="30"/>
      <c r="AA686" s="30"/>
      <c r="AB686" s="30"/>
      <c r="AC686" s="28"/>
      <c r="AD686" s="30"/>
      <c r="AE686" s="30"/>
      <c r="AF686" s="30"/>
      <c r="AG686" s="29"/>
      <c r="AH686" s="30"/>
      <c r="AI686" s="36"/>
      <c r="AJ686" s="30"/>
      <c r="AK686" s="29"/>
      <c r="AL686" s="30"/>
      <c r="AM686" s="30"/>
      <c r="AN686" s="30"/>
      <c r="AO686" s="30"/>
      <c r="AP686" s="30"/>
      <c r="AQ686" s="38"/>
      <c r="AR686" s="30"/>
      <c r="AS686" s="30"/>
      <c r="AT686" s="29"/>
      <c r="AU686" s="30"/>
      <c r="AV686" s="30"/>
      <c r="AW686" s="30"/>
      <c r="AX686" s="29"/>
      <c r="AY686" s="39"/>
      <c r="AZ686" s="30"/>
      <c r="BA686" s="30"/>
      <c r="BB686" s="29"/>
      <c r="BC686" s="52"/>
      <c r="BD686" s="30"/>
      <c r="BE686" s="29"/>
      <c r="BF686" s="30"/>
      <c r="BG686" s="30"/>
      <c r="BH686" s="30"/>
      <c r="BI686" s="30"/>
      <c r="BJ686" s="30"/>
      <c r="BK686" s="30"/>
      <c r="BL686" s="30"/>
      <c r="BM686" s="30"/>
      <c r="BN686" s="30"/>
      <c r="BO686" s="30"/>
      <c r="BP686" s="30"/>
      <c r="BQ686" s="30"/>
      <c r="BR686" s="30"/>
      <c r="BS686" s="30"/>
      <c r="BT686" s="30"/>
      <c r="BU686" s="30"/>
      <c r="BV686" s="30"/>
      <c r="BW686" s="30"/>
      <c r="BX686" s="30"/>
      <c r="BY686" s="30"/>
      <c r="BZ686" s="30"/>
      <c r="CA686" s="30"/>
      <c r="CB686" s="30"/>
      <c r="CC686" s="30"/>
      <c r="CD686" s="30"/>
      <c r="CE686" s="30"/>
      <c r="CF686" s="30"/>
      <c r="CG686" s="30"/>
      <c r="CH686" s="30"/>
      <c r="CI686" s="30"/>
      <c r="CJ686" s="30"/>
      <c r="CK686" s="30"/>
      <c r="CL686" s="30"/>
      <c r="CM686" s="30"/>
      <c r="CN686" s="30"/>
      <c r="CO686" s="30"/>
      <c r="CP686" s="30"/>
      <c r="CQ686" s="30"/>
      <c r="CR686" s="30"/>
      <c r="CS686" s="30"/>
      <c r="CT686" s="30"/>
      <c r="CU686" s="30"/>
      <c r="CV686" s="30"/>
      <c r="CW686" s="30"/>
      <c r="CX686" s="30"/>
      <c r="CY686" s="30"/>
      <c r="CZ686" s="30"/>
      <c r="DA686" s="30"/>
      <c r="DB686" s="30"/>
      <c r="DC686" s="30"/>
      <c r="DD686" s="30"/>
      <c r="DE686" s="30"/>
      <c r="DF686" s="30"/>
      <c r="DG686" s="30"/>
      <c r="DH686" s="30"/>
      <c r="DI686" s="30"/>
      <c r="DJ686" s="30"/>
      <c r="DK686" s="30"/>
      <c r="DL686" s="30"/>
      <c r="DM686" s="30"/>
      <c r="DN686" s="30"/>
      <c r="DO686" s="30"/>
      <c r="DP686" s="30"/>
      <c r="DQ686" s="30"/>
      <c r="DR686" s="30"/>
      <c r="DS686" s="30"/>
      <c r="DT686" s="30"/>
      <c r="DU686" s="30"/>
      <c r="DV686" s="30"/>
      <c r="DW686" s="30"/>
      <c r="DX686" s="30"/>
      <c r="DY686" s="30"/>
      <c r="DZ686" s="30"/>
    </row>
    <row r="687">
      <c r="A687" s="30"/>
      <c r="B687" s="42"/>
      <c r="C687" s="43"/>
      <c r="D687" s="30"/>
      <c r="E687" s="28"/>
      <c r="F687" s="30"/>
      <c r="G687" s="30"/>
      <c r="H687" s="30"/>
      <c r="I687" s="30"/>
      <c r="J687" s="28"/>
      <c r="K687" s="30"/>
      <c r="L687" s="30"/>
      <c r="M687" s="30"/>
      <c r="N687" s="30"/>
      <c r="O687" s="28"/>
      <c r="P687" s="30"/>
      <c r="Q687" s="30"/>
      <c r="R687" s="30"/>
      <c r="S687" s="36"/>
      <c r="T687" s="30"/>
      <c r="U687" s="36"/>
      <c r="V687" s="30"/>
      <c r="W687" s="28"/>
      <c r="X687" s="30"/>
      <c r="Y687" s="30"/>
      <c r="Z687" s="30"/>
      <c r="AA687" s="30"/>
      <c r="AB687" s="30"/>
      <c r="AC687" s="28"/>
      <c r="AD687" s="30"/>
      <c r="AE687" s="30"/>
      <c r="AF687" s="30"/>
      <c r="AG687" s="29"/>
      <c r="AH687" s="30"/>
      <c r="AI687" s="36"/>
      <c r="AJ687" s="30"/>
      <c r="AK687" s="29"/>
      <c r="AL687" s="30"/>
      <c r="AM687" s="30"/>
      <c r="AN687" s="30"/>
      <c r="AO687" s="30"/>
      <c r="AP687" s="30"/>
      <c r="AQ687" s="38"/>
      <c r="AR687" s="30"/>
      <c r="AS687" s="30"/>
      <c r="AT687" s="29"/>
      <c r="AU687" s="30"/>
      <c r="AV687" s="30"/>
      <c r="AW687" s="30"/>
      <c r="AX687" s="29"/>
      <c r="AY687" s="39"/>
      <c r="AZ687" s="30"/>
      <c r="BA687" s="30"/>
      <c r="BB687" s="29"/>
      <c r="BC687" s="52"/>
      <c r="BD687" s="30"/>
      <c r="BE687" s="29"/>
      <c r="BF687" s="30"/>
      <c r="BG687" s="30"/>
      <c r="BH687" s="30"/>
      <c r="BI687" s="30"/>
      <c r="BJ687" s="30"/>
      <c r="BK687" s="30"/>
      <c r="BL687" s="30"/>
      <c r="BM687" s="30"/>
      <c r="BN687" s="30"/>
      <c r="BO687" s="30"/>
      <c r="BP687" s="30"/>
      <c r="BQ687" s="30"/>
      <c r="BR687" s="30"/>
      <c r="BS687" s="30"/>
      <c r="BT687" s="30"/>
      <c r="BU687" s="30"/>
      <c r="BV687" s="30"/>
      <c r="BW687" s="30"/>
      <c r="BX687" s="30"/>
      <c r="BY687" s="30"/>
      <c r="BZ687" s="30"/>
      <c r="CA687" s="30"/>
      <c r="CB687" s="30"/>
      <c r="CC687" s="30"/>
      <c r="CD687" s="30"/>
      <c r="CE687" s="30"/>
      <c r="CF687" s="30"/>
      <c r="CG687" s="30"/>
      <c r="CH687" s="30"/>
      <c r="CI687" s="30"/>
      <c r="CJ687" s="30"/>
      <c r="CK687" s="30"/>
      <c r="CL687" s="30"/>
      <c r="CM687" s="30"/>
      <c r="CN687" s="30"/>
      <c r="CO687" s="30"/>
      <c r="CP687" s="30"/>
      <c r="CQ687" s="30"/>
      <c r="CR687" s="30"/>
      <c r="CS687" s="30"/>
      <c r="CT687" s="30"/>
      <c r="CU687" s="30"/>
      <c r="CV687" s="30"/>
      <c r="CW687" s="30"/>
      <c r="CX687" s="30"/>
      <c r="CY687" s="30"/>
      <c r="CZ687" s="30"/>
      <c r="DA687" s="30"/>
      <c r="DB687" s="30"/>
      <c r="DC687" s="30"/>
      <c r="DD687" s="30"/>
      <c r="DE687" s="30"/>
      <c r="DF687" s="30"/>
      <c r="DG687" s="30"/>
      <c r="DH687" s="30"/>
      <c r="DI687" s="30"/>
      <c r="DJ687" s="30"/>
      <c r="DK687" s="30"/>
      <c r="DL687" s="30"/>
      <c r="DM687" s="30"/>
      <c r="DN687" s="30"/>
      <c r="DO687" s="30"/>
      <c r="DP687" s="30"/>
      <c r="DQ687" s="30"/>
      <c r="DR687" s="30"/>
      <c r="DS687" s="30"/>
      <c r="DT687" s="30"/>
      <c r="DU687" s="30"/>
      <c r="DV687" s="30"/>
      <c r="DW687" s="30"/>
      <c r="DX687" s="30"/>
      <c r="DY687" s="30"/>
      <c r="DZ687" s="30"/>
    </row>
    <row r="688">
      <c r="A688" s="30"/>
      <c r="B688" s="42"/>
      <c r="C688" s="43"/>
      <c r="D688" s="30"/>
      <c r="E688" s="28"/>
      <c r="F688" s="30"/>
      <c r="G688" s="30"/>
      <c r="H688" s="30"/>
      <c r="I688" s="30"/>
      <c r="J688" s="28"/>
      <c r="K688" s="30"/>
      <c r="L688" s="30"/>
      <c r="M688" s="30"/>
      <c r="N688" s="30"/>
      <c r="O688" s="28"/>
      <c r="P688" s="30"/>
      <c r="Q688" s="30"/>
      <c r="R688" s="30"/>
      <c r="S688" s="36"/>
      <c r="T688" s="30"/>
      <c r="U688" s="36"/>
      <c r="V688" s="30"/>
      <c r="W688" s="28"/>
      <c r="X688" s="30"/>
      <c r="Y688" s="30"/>
      <c r="Z688" s="30"/>
      <c r="AA688" s="30"/>
      <c r="AB688" s="30"/>
      <c r="AC688" s="28"/>
      <c r="AD688" s="30"/>
      <c r="AE688" s="30"/>
      <c r="AF688" s="30"/>
      <c r="AG688" s="29"/>
      <c r="AH688" s="30"/>
      <c r="AI688" s="36"/>
      <c r="AJ688" s="30"/>
      <c r="AK688" s="29"/>
      <c r="AL688" s="30"/>
      <c r="AM688" s="30"/>
      <c r="AN688" s="30"/>
      <c r="AO688" s="30"/>
      <c r="AP688" s="30"/>
      <c r="AQ688" s="38"/>
      <c r="AR688" s="30"/>
      <c r="AS688" s="30"/>
      <c r="AT688" s="29"/>
      <c r="AU688" s="30"/>
      <c r="AV688" s="30"/>
      <c r="AW688" s="30"/>
      <c r="AX688" s="29"/>
      <c r="AY688" s="39"/>
      <c r="AZ688" s="30"/>
      <c r="BA688" s="30"/>
      <c r="BB688" s="29"/>
      <c r="BC688" s="52"/>
      <c r="BD688" s="30"/>
      <c r="BE688" s="29"/>
      <c r="BF688" s="30"/>
      <c r="BG688" s="30"/>
      <c r="BH688" s="30"/>
      <c r="BI688" s="30"/>
      <c r="BJ688" s="30"/>
      <c r="BK688" s="30"/>
      <c r="BL688" s="30"/>
      <c r="BM688" s="30"/>
      <c r="BN688" s="30"/>
      <c r="BO688" s="30"/>
      <c r="BP688" s="30"/>
      <c r="BQ688" s="30"/>
      <c r="BR688" s="30"/>
      <c r="BS688" s="30"/>
      <c r="BT688" s="30"/>
      <c r="BU688" s="30"/>
      <c r="BV688" s="30"/>
      <c r="BW688" s="30"/>
      <c r="BX688" s="30"/>
      <c r="BY688" s="30"/>
      <c r="BZ688" s="30"/>
      <c r="CA688" s="30"/>
      <c r="CB688" s="30"/>
      <c r="CC688" s="30"/>
      <c r="CD688" s="30"/>
      <c r="CE688" s="30"/>
      <c r="CF688" s="30"/>
      <c r="CG688" s="30"/>
      <c r="CH688" s="30"/>
      <c r="CI688" s="30"/>
      <c r="CJ688" s="30"/>
      <c r="CK688" s="30"/>
      <c r="CL688" s="30"/>
      <c r="CM688" s="30"/>
      <c r="CN688" s="30"/>
      <c r="CO688" s="30"/>
      <c r="CP688" s="30"/>
      <c r="CQ688" s="30"/>
      <c r="CR688" s="30"/>
      <c r="CS688" s="30"/>
      <c r="CT688" s="30"/>
      <c r="CU688" s="30"/>
      <c r="CV688" s="30"/>
      <c r="CW688" s="30"/>
      <c r="CX688" s="30"/>
      <c r="CY688" s="30"/>
      <c r="CZ688" s="30"/>
      <c r="DA688" s="30"/>
      <c r="DB688" s="30"/>
      <c r="DC688" s="30"/>
      <c r="DD688" s="30"/>
      <c r="DE688" s="30"/>
      <c r="DF688" s="30"/>
      <c r="DG688" s="30"/>
      <c r="DH688" s="30"/>
      <c r="DI688" s="30"/>
      <c r="DJ688" s="30"/>
      <c r="DK688" s="30"/>
      <c r="DL688" s="30"/>
      <c r="DM688" s="30"/>
      <c r="DN688" s="30"/>
      <c r="DO688" s="30"/>
      <c r="DP688" s="30"/>
      <c r="DQ688" s="30"/>
      <c r="DR688" s="30"/>
      <c r="DS688" s="30"/>
      <c r="DT688" s="30"/>
      <c r="DU688" s="30"/>
      <c r="DV688" s="30"/>
      <c r="DW688" s="30"/>
      <c r="DX688" s="30"/>
      <c r="DY688" s="30"/>
      <c r="DZ688" s="30"/>
    </row>
    <row r="689">
      <c r="A689" s="30"/>
      <c r="B689" s="42"/>
      <c r="C689" s="43"/>
      <c r="D689" s="30"/>
      <c r="E689" s="28"/>
      <c r="F689" s="30"/>
      <c r="G689" s="30"/>
      <c r="H689" s="30"/>
      <c r="I689" s="30"/>
      <c r="J689" s="28"/>
      <c r="K689" s="30"/>
      <c r="L689" s="30"/>
      <c r="M689" s="30"/>
      <c r="N689" s="30"/>
      <c r="O689" s="28"/>
      <c r="P689" s="30"/>
      <c r="Q689" s="30"/>
      <c r="R689" s="30"/>
      <c r="S689" s="36"/>
      <c r="T689" s="30"/>
      <c r="U689" s="36"/>
      <c r="V689" s="30"/>
      <c r="W689" s="28"/>
      <c r="X689" s="30"/>
      <c r="Y689" s="30"/>
      <c r="Z689" s="30"/>
      <c r="AA689" s="30"/>
      <c r="AB689" s="30"/>
      <c r="AC689" s="28"/>
      <c r="AD689" s="30"/>
      <c r="AE689" s="30"/>
      <c r="AF689" s="30"/>
      <c r="AG689" s="29"/>
      <c r="AH689" s="30"/>
      <c r="AI689" s="36"/>
      <c r="AJ689" s="30"/>
      <c r="AK689" s="29"/>
      <c r="AL689" s="30"/>
      <c r="AM689" s="30"/>
      <c r="AN689" s="30"/>
      <c r="AO689" s="30"/>
      <c r="AP689" s="30"/>
      <c r="AQ689" s="38"/>
      <c r="AR689" s="30"/>
      <c r="AS689" s="30"/>
      <c r="AT689" s="29"/>
      <c r="AU689" s="30"/>
      <c r="AV689" s="30"/>
      <c r="AW689" s="30"/>
      <c r="AX689" s="29"/>
      <c r="AY689" s="39"/>
      <c r="AZ689" s="30"/>
      <c r="BA689" s="30"/>
      <c r="BB689" s="29"/>
      <c r="BC689" s="52"/>
      <c r="BD689" s="30"/>
      <c r="BE689" s="29"/>
      <c r="BF689" s="30"/>
      <c r="BG689" s="30"/>
      <c r="BH689" s="30"/>
      <c r="BI689" s="30"/>
      <c r="BJ689" s="30"/>
      <c r="BK689" s="30"/>
      <c r="BL689" s="30"/>
      <c r="BM689" s="30"/>
      <c r="BN689" s="30"/>
      <c r="BO689" s="30"/>
      <c r="BP689" s="30"/>
      <c r="BQ689" s="30"/>
      <c r="BR689" s="30"/>
      <c r="BS689" s="30"/>
      <c r="BT689" s="30"/>
      <c r="BU689" s="30"/>
      <c r="BV689" s="30"/>
      <c r="BW689" s="30"/>
      <c r="BX689" s="30"/>
      <c r="BY689" s="30"/>
      <c r="BZ689" s="30"/>
      <c r="CA689" s="30"/>
      <c r="CB689" s="30"/>
      <c r="CC689" s="30"/>
      <c r="CD689" s="30"/>
      <c r="CE689" s="30"/>
      <c r="CF689" s="30"/>
      <c r="CG689" s="30"/>
      <c r="CH689" s="30"/>
      <c r="CI689" s="30"/>
      <c r="CJ689" s="30"/>
      <c r="CK689" s="30"/>
      <c r="CL689" s="30"/>
      <c r="CM689" s="30"/>
      <c r="CN689" s="30"/>
      <c r="CO689" s="30"/>
      <c r="CP689" s="30"/>
      <c r="CQ689" s="30"/>
      <c r="CR689" s="30"/>
      <c r="CS689" s="30"/>
      <c r="CT689" s="30"/>
      <c r="CU689" s="30"/>
      <c r="CV689" s="30"/>
      <c r="CW689" s="30"/>
      <c r="CX689" s="30"/>
      <c r="CY689" s="30"/>
      <c r="CZ689" s="30"/>
      <c r="DA689" s="30"/>
      <c r="DB689" s="30"/>
      <c r="DC689" s="30"/>
      <c r="DD689" s="30"/>
      <c r="DE689" s="30"/>
      <c r="DF689" s="30"/>
      <c r="DG689" s="30"/>
      <c r="DH689" s="30"/>
      <c r="DI689" s="30"/>
      <c r="DJ689" s="30"/>
      <c r="DK689" s="30"/>
      <c r="DL689" s="30"/>
      <c r="DM689" s="30"/>
      <c r="DN689" s="30"/>
      <c r="DO689" s="30"/>
      <c r="DP689" s="30"/>
      <c r="DQ689" s="30"/>
      <c r="DR689" s="30"/>
      <c r="DS689" s="30"/>
      <c r="DT689" s="30"/>
      <c r="DU689" s="30"/>
      <c r="DV689" s="30"/>
      <c r="DW689" s="30"/>
      <c r="DX689" s="30"/>
      <c r="DY689" s="30"/>
      <c r="DZ689" s="30"/>
    </row>
    <row r="690">
      <c r="A690" s="30"/>
      <c r="B690" s="42"/>
      <c r="C690" s="43"/>
      <c r="D690" s="30"/>
      <c r="E690" s="28"/>
      <c r="F690" s="30"/>
      <c r="G690" s="30"/>
      <c r="H690" s="30"/>
      <c r="I690" s="30"/>
      <c r="J690" s="28"/>
      <c r="K690" s="30"/>
      <c r="L690" s="30"/>
      <c r="M690" s="30"/>
      <c r="N690" s="30"/>
      <c r="O690" s="28"/>
      <c r="P690" s="30"/>
      <c r="Q690" s="30"/>
      <c r="R690" s="30"/>
      <c r="S690" s="36"/>
      <c r="T690" s="30"/>
      <c r="U690" s="36"/>
      <c r="V690" s="30"/>
      <c r="W690" s="28"/>
      <c r="X690" s="30"/>
      <c r="Y690" s="30"/>
      <c r="Z690" s="30"/>
      <c r="AA690" s="30"/>
      <c r="AB690" s="30"/>
      <c r="AC690" s="28"/>
      <c r="AD690" s="30"/>
      <c r="AE690" s="30"/>
      <c r="AF690" s="30"/>
      <c r="AG690" s="29"/>
      <c r="AH690" s="30"/>
      <c r="AI690" s="36"/>
      <c r="AJ690" s="30"/>
      <c r="AK690" s="29"/>
      <c r="AL690" s="30"/>
      <c r="AM690" s="30"/>
      <c r="AN690" s="30"/>
      <c r="AO690" s="30"/>
      <c r="AP690" s="30"/>
      <c r="AQ690" s="38"/>
      <c r="AR690" s="30"/>
      <c r="AS690" s="30"/>
      <c r="AT690" s="29"/>
      <c r="AU690" s="30"/>
      <c r="AV690" s="30"/>
      <c r="AW690" s="30"/>
      <c r="AX690" s="29"/>
      <c r="AY690" s="39"/>
      <c r="AZ690" s="30"/>
      <c r="BA690" s="30"/>
      <c r="BB690" s="29"/>
      <c r="BC690" s="52"/>
      <c r="BD690" s="30"/>
      <c r="BE690" s="29"/>
      <c r="BF690" s="30"/>
      <c r="BG690" s="30"/>
      <c r="BH690" s="30"/>
      <c r="BI690" s="30"/>
      <c r="BJ690" s="30"/>
      <c r="BK690" s="30"/>
      <c r="BL690" s="30"/>
      <c r="BM690" s="30"/>
      <c r="BN690" s="30"/>
      <c r="BO690" s="30"/>
      <c r="BP690" s="30"/>
      <c r="BQ690" s="30"/>
      <c r="BR690" s="30"/>
      <c r="BS690" s="30"/>
      <c r="BT690" s="30"/>
      <c r="BU690" s="30"/>
      <c r="BV690" s="30"/>
      <c r="BW690" s="30"/>
      <c r="BX690" s="30"/>
      <c r="BY690" s="30"/>
      <c r="BZ690" s="30"/>
      <c r="CA690" s="30"/>
      <c r="CB690" s="30"/>
      <c r="CC690" s="30"/>
      <c r="CD690" s="30"/>
      <c r="CE690" s="30"/>
      <c r="CF690" s="30"/>
      <c r="CG690" s="30"/>
      <c r="CH690" s="30"/>
      <c r="CI690" s="30"/>
      <c r="CJ690" s="30"/>
      <c r="CK690" s="30"/>
      <c r="CL690" s="30"/>
      <c r="CM690" s="30"/>
      <c r="CN690" s="30"/>
      <c r="CO690" s="30"/>
      <c r="CP690" s="30"/>
      <c r="CQ690" s="30"/>
      <c r="CR690" s="30"/>
      <c r="CS690" s="30"/>
      <c r="CT690" s="30"/>
      <c r="CU690" s="30"/>
      <c r="CV690" s="30"/>
      <c r="CW690" s="30"/>
      <c r="CX690" s="30"/>
      <c r="CY690" s="30"/>
      <c r="CZ690" s="30"/>
      <c r="DA690" s="30"/>
      <c r="DB690" s="30"/>
      <c r="DC690" s="30"/>
      <c r="DD690" s="30"/>
      <c r="DE690" s="30"/>
      <c r="DF690" s="30"/>
      <c r="DG690" s="30"/>
      <c r="DH690" s="30"/>
      <c r="DI690" s="30"/>
      <c r="DJ690" s="30"/>
      <c r="DK690" s="30"/>
      <c r="DL690" s="30"/>
      <c r="DM690" s="30"/>
      <c r="DN690" s="30"/>
      <c r="DO690" s="30"/>
      <c r="DP690" s="30"/>
      <c r="DQ690" s="30"/>
      <c r="DR690" s="30"/>
      <c r="DS690" s="30"/>
      <c r="DT690" s="30"/>
      <c r="DU690" s="30"/>
      <c r="DV690" s="30"/>
      <c r="DW690" s="30"/>
      <c r="DX690" s="30"/>
      <c r="DY690" s="30"/>
      <c r="DZ690" s="30"/>
    </row>
    <row r="691">
      <c r="A691" s="30"/>
      <c r="B691" s="42"/>
      <c r="C691" s="43"/>
      <c r="D691" s="30"/>
      <c r="E691" s="28"/>
      <c r="F691" s="30"/>
      <c r="G691" s="30"/>
      <c r="H691" s="30"/>
      <c r="I691" s="30"/>
      <c r="J691" s="28"/>
      <c r="K691" s="30"/>
      <c r="L691" s="30"/>
      <c r="M691" s="30"/>
      <c r="N691" s="30"/>
      <c r="O691" s="28"/>
      <c r="P691" s="30"/>
      <c r="Q691" s="30"/>
      <c r="R691" s="30"/>
      <c r="S691" s="36"/>
      <c r="T691" s="30"/>
      <c r="U691" s="36"/>
      <c r="V691" s="30"/>
      <c r="W691" s="28"/>
      <c r="X691" s="30"/>
      <c r="Y691" s="30"/>
      <c r="Z691" s="30"/>
      <c r="AA691" s="30"/>
      <c r="AB691" s="30"/>
      <c r="AC691" s="28"/>
      <c r="AD691" s="30"/>
      <c r="AE691" s="30"/>
      <c r="AF691" s="30"/>
      <c r="AG691" s="29"/>
      <c r="AH691" s="30"/>
      <c r="AI691" s="36"/>
      <c r="AJ691" s="30"/>
      <c r="AK691" s="29"/>
      <c r="AL691" s="30"/>
      <c r="AM691" s="30"/>
      <c r="AN691" s="30"/>
      <c r="AO691" s="30"/>
      <c r="AP691" s="30"/>
      <c r="AQ691" s="38"/>
      <c r="AR691" s="30"/>
      <c r="AS691" s="30"/>
      <c r="AT691" s="29"/>
      <c r="AU691" s="30"/>
      <c r="AV691" s="30"/>
      <c r="AW691" s="30"/>
      <c r="AX691" s="29"/>
      <c r="AY691" s="39"/>
      <c r="AZ691" s="30"/>
      <c r="BA691" s="30"/>
      <c r="BB691" s="29"/>
      <c r="BC691" s="52"/>
      <c r="BD691" s="30"/>
      <c r="BE691" s="29"/>
      <c r="BF691" s="30"/>
      <c r="BG691" s="30"/>
      <c r="BH691" s="30"/>
      <c r="BI691" s="30"/>
      <c r="BJ691" s="30"/>
      <c r="BK691" s="30"/>
      <c r="BL691" s="30"/>
      <c r="BM691" s="30"/>
      <c r="BN691" s="30"/>
      <c r="BO691" s="30"/>
      <c r="BP691" s="30"/>
      <c r="BQ691" s="30"/>
      <c r="BR691" s="30"/>
      <c r="BS691" s="30"/>
      <c r="BT691" s="30"/>
      <c r="BU691" s="30"/>
      <c r="BV691" s="30"/>
      <c r="BW691" s="30"/>
      <c r="BX691" s="30"/>
      <c r="BY691" s="30"/>
      <c r="BZ691" s="30"/>
      <c r="CA691" s="30"/>
      <c r="CB691" s="30"/>
      <c r="CC691" s="30"/>
      <c r="CD691" s="30"/>
      <c r="CE691" s="30"/>
      <c r="CF691" s="30"/>
      <c r="CG691" s="30"/>
      <c r="CH691" s="30"/>
      <c r="CI691" s="30"/>
      <c r="CJ691" s="30"/>
      <c r="CK691" s="30"/>
      <c r="CL691" s="30"/>
      <c r="CM691" s="30"/>
      <c r="CN691" s="30"/>
      <c r="CO691" s="30"/>
      <c r="CP691" s="30"/>
      <c r="CQ691" s="30"/>
      <c r="CR691" s="30"/>
      <c r="CS691" s="30"/>
      <c r="CT691" s="30"/>
      <c r="CU691" s="30"/>
      <c r="CV691" s="30"/>
      <c r="CW691" s="30"/>
      <c r="CX691" s="30"/>
      <c r="CY691" s="30"/>
      <c r="CZ691" s="30"/>
      <c r="DA691" s="30"/>
      <c r="DB691" s="30"/>
      <c r="DC691" s="30"/>
      <c r="DD691" s="30"/>
      <c r="DE691" s="30"/>
      <c r="DF691" s="30"/>
      <c r="DG691" s="30"/>
      <c r="DH691" s="30"/>
      <c r="DI691" s="30"/>
      <c r="DJ691" s="30"/>
      <c r="DK691" s="30"/>
      <c r="DL691" s="30"/>
      <c r="DM691" s="30"/>
      <c r="DN691" s="30"/>
      <c r="DO691" s="30"/>
      <c r="DP691" s="30"/>
      <c r="DQ691" s="30"/>
      <c r="DR691" s="30"/>
      <c r="DS691" s="30"/>
      <c r="DT691" s="30"/>
      <c r="DU691" s="30"/>
      <c r="DV691" s="30"/>
      <c r="DW691" s="30"/>
      <c r="DX691" s="30"/>
      <c r="DY691" s="30"/>
      <c r="DZ691" s="30"/>
    </row>
    <row r="692">
      <c r="A692" s="30"/>
      <c r="B692" s="42"/>
      <c r="C692" s="43"/>
      <c r="D692" s="30"/>
      <c r="E692" s="28"/>
      <c r="F692" s="30"/>
      <c r="G692" s="30"/>
      <c r="H692" s="30"/>
      <c r="I692" s="30"/>
      <c r="J692" s="28"/>
      <c r="K692" s="30"/>
      <c r="L692" s="30"/>
      <c r="M692" s="30"/>
      <c r="N692" s="30"/>
      <c r="O692" s="28"/>
      <c r="P692" s="30"/>
      <c r="Q692" s="30"/>
      <c r="R692" s="30"/>
      <c r="S692" s="36"/>
      <c r="T692" s="30"/>
      <c r="U692" s="36"/>
      <c r="V692" s="30"/>
      <c r="W692" s="28"/>
      <c r="X692" s="30"/>
      <c r="Y692" s="30"/>
      <c r="Z692" s="30"/>
      <c r="AA692" s="30"/>
      <c r="AB692" s="30"/>
      <c r="AC692" s="28"/>
      <c r="AD692" s="30"/>
      <c r="AE692" s="30"/>
      <c r="AF692" s="30"/>
      <c r="AG692" s="29"/>
      <c r="AH692" s="30"/>
      <c r="AI692" s="36"/>
      <c r="AJ692" s="30"/>
      <c r="AK692" s="29"/>
      <c r="AL692" s="30"/>
      <c r="AM692" s="30"/>
      <c r="AN692" s="30"/>
      <c r="AO692" s="30"/>
      <c r="AP692" s="30"/>
      <c r="AQ692" s="38"/>
      <c r="AR692" s="30"/>
      <c r="AS692" s="30"/>
      <c r="AT692" s="29"/>
      <c r="AU692" s="30"/>
      <c r="AV692" s="30"/>
      <c r="AW692" s="30"/>
      <c r="AX692" s="29"/>
      <c r="AY692" s="39"/>
      <c r="AZ692" s="30"/>
      <c r="BA692" s="30"/>
      <c r="BB692" s="29"/>
      <c r="BC692" s="52"/>
      <c r="BD692" s="30"/>
      <c r="BE692" s="29"/>
      <c r="BF692" s="30"/>
      <c r="BG692" s="30"/>
      <c r="BH692" s="30"/>
      <c r="BI692" s="30"/>
      <c r="BJ692" s="30"/>
      <c r="BK692" s="30"/>
      <c r="BL692" s="30"/>
      <c r="BM692" s="30"/>
      <c r="BN692" s="30"/>
      <c r="BO692" s="30"/>
      <c r="BP692" s="30"/>
      <c r="BQ692" s="30"/>
      <c r="BR692" s="30"/>
      <c r="BS692" s="30"/>
      <c r="BT692" s="30"/>
      <c r="BU692" s="30"/>
      <c r="BV692" s="30"/>
      <c r="BW692" s="30"/>
      <c r="BX692" s="30"/>
      <c r="BY692" s="30"/>
      <c r="BZ692" s="30"/>
      <c r="CA692" s="30"/>
      <c r="CB692" s="30"/>
      <c r="CC692" s="30"/>
      <c r="CD692" s="30"/>
      <c r="CE692" s="30"/>
      <c r="CF692" s="30"/>
      <c r="CG692" s="30"/>
      <c r="CH692" s="30"/>
      <c r="CI692" s="30"/>
      <c r="CJ692" s="30"/>
      <c r="CK692" s="30"/>
      <c r="CL692" s="30"/>
      <c r="CM692" s="30"/>
      <c r="CN692" s="30"/>
      <c r="CO692" s="30"/>
      <c r="CP692" s="30"/>
      <c r="CQ692" s="30"/>
      <c r="CR692" s="30"/>
      <c r="CS692" s="30"/>
      <c r="CT692" s="30"/>
      <c r="CU692" s="30"/>
      <c r="CV692" s="30"/>
      <c r="CW692" s="30"/>
      <c r="CX692" s="30"/>
      <c r="CY692" s="30"/>
      <c r="CZ692" s="30"/>
      <c r="DA692" s="30"/>
      <c r="DB692" s="30"/>
      <c r="DC692" s="30"/>
      <c r="DD692" s="30"/>
      <c r="DE692" s="30"/>
      <c r="DF692" s="30"/>
      <c r="DG692" s="30"/>
      <c r="DH692" s="30"/>
      <c r="DI692" s="30"/>
      <c r="DJ692" s="30"/>
      <c r="DK692" s="30"/>
      <c r="DL692" s="30"/>
      <c r="DM692" s="30"/>
      <c r="DN692" s="30"/>
      <c r="DO692" s="30"/>
      <c r="DP692" s="30"/>
      <c r="DQ692" s="30"/>
      <c r="DR692" s="30"/>
      <c r="DS692" s="30"/>
      <c r="DT692" s="30"/>
      <c r="DU692" s="30"/>
      <c r="DV692" s="30"/>
      <c r="DW692" s="30"/>
      <c r="DX692" s="30"/>
      <c r="DY692" s="30"/>
      <c r="DZ692" s="30"/>
    </row>
    <row r="693">
      <c r="A693" s="30"/>
      <c r="B693" s="42"/>
      <c r="C693" s="43"/>
      <c r="D693" s="30"/>
      <c r="E693" s="28"/>
      <c r="F693" s="30"/>
      <c r="G693" s="30"/>
      <c r="H693" s="30"/>
      <c r="I693" s="30"/>
      <c r="J693" s="28"/>
      <c r="K693" s="30"/>
      <c r="L693" s="30"/>
      <c r="M693" s="30"/>
      <c r="N693" s="30"/>
      <c r="O693" s="28"/>
      <c r="P693" s="30"/>
      <c r="Q693" s="30"/>
      <c r="R693" s="30"/>
      <c r="S693" s="36"/>
      <c r="T693" s="30"/>
      <c r="U693" s="36"/>
      <c r="V693" s="30"/>
      <c r="W693" s="28"/>
      <c r="X693" s="30"/>
      <c r="Y693" s="30"/>
      <c r="Z693" s="30"/>
      <c r="AA693" s="30"/>
      <c r="AB693" s="30"/>
      <c r="AC693" s="28"/>
      <c r="AD693" s="30"/>
      <c r="AE693" s="30"/>
      <c r="AF693" s="30"/>
      <c r="AG693" s="29"/>
      <c r="AH693" s="30"/>
      <c r="AI693" s="36"/>
      <c r="AJ693" s="30"/>
      <c r="AK693" s="29"/>
      <c r="AL693" s="30"/>
      <c r="AM693" s="30"/>
      <c r="AN693" s="30"/>
      <c r="AO693" s="30"/>
      <c r="AP693" s="30"/>
      <c r="AQ693" s="38"/>
      <c r="AR693" s="30"/>
      <c r="AS693" s="30"/>
      <c r="AT693" s="29"/>
      <c r="AU693" s="30"/>
      <c r="AV693" s="30"/>
      <c r="AW693" s="30"/>
      <c r="AX693" s="29"/>
      <c r="AY693" s="39"/>
      <c r="AZ693" s="30"/>
      <c r="BA693" s="30"/>
      <c r="BB693" s="29"/>
      <c r="BC693" s="52"/>
      <c r="BD693" s="30"/>
      <c r="BE693" s="29"/>
      <c r="BF693" s="30"/>
      <c r="BG693" s="30"/>
      <c r="BH693" s="30"/>
      <c r="BI693" s="30"/>
      <c r="BJ693" s="30"/>
      <c r="BK693" s="30"/>
      <c r="BL693" s="30"/>
      <c r="BM693" s="30"/>
      <c r="BN693" s="30"/>
      <c r="BO693" s="30"/>
      <c r="BP693" s="30"/>
      <c r="BQ693" s="30"/>
      <c r="BR693" s="30"/>
      <c r="BS693" s="30"/>
      <c r="BT693" s="30"/>
      <c r="BU693" s="30"/>
      <c r="BV693" s="30"/>
      <c r="BW693" s="30"/>
      <c r="BX693" s="30"/>
      <c r="BY693" s="30"/>
      <c r="BZ693" s="30"/>
      <c r="CA693" s="30"/>
      <c r="CB693" s="30"/>
      <c r="CC693" s="30"/>
      <c r="CD693" s="30"/>
      <c r="CE693" s="30"/>
      <c r="CF693" s="30"/>
      <c r="CG693" s="30"/>
      <c r="CH693" s="30"/>
      <c r="CI693" s="30"/>
      <c r="CJ693" s="30"/>
      <c r="CK693" s="30"/>
      <c r="CL693" s="30"/>
      <c r="CM693" s="30"/>
      <c r="CN693" s="30"/>
      <c r="CO693" s="30"/>
      <c r="CP693" s="30"/>
      <c r="CQ693" s="30"/>
      <c r="CR693" s="30"/>
      <c r="CS693" s="30"/>
      <c r="CT693" s="30"/>
      <c r="CU693" s="30"/>
      <c r="CV693" s="30"/>
      <c r="CW693" s="30"/>
      <c r="CX693" s="30"/>
      <c r="CY693" s="30"/>
      <c r="CZ693" s="30"/>
      <c r="DA693" s="30"/>
      <c r="DB693" s="30"/>
      <c r="DC693" s="30"/>
      <c r="DD693" s="30"/>
      <c r="DE693" s="30"/>
      <c r="DF693" s="30"/>
      <c r="DG693" s="30"/>
      <c r="DH693" s="30"/>
      <c r="DI693" s="30"/>
      <c r="DJ693" s="30"/>
      <c r="DK693" s="30"/>
      <c r="DL693" s="30"/>
      <c r="DM693" s="30"/>
      <c r="DN693" s="30"/>
      <c r="DO693" s="30"/>
      <c r="DP693" s="30"/>
      <c r="DQ693" s="30"/>
      <c r="DR693" s="30"/>
      <c r="DS693" s="30"/>
      <c r="DT693" s="30"/>
      <c r="DU693" s="30"/>
      <c r="DV693" s="30"/>
      <c r="DW693" s="30"/>
      <c r="DX693" s="30"/>
      <c r="DY693" s="30"/>
      <c r="DZ693" s="30"/>
    </row>
    <row r="694">
      <c r="A694" s="30"/>
      <c r="B694" s="42"/>
      <c r="C694" s="43"/>
      <c r="D694" s="30"/>
      <c r="E694" s="28"/>
      <c r="F694" s="30"/>
      <c r="G694" s="30"/>
      <c r="H694" s="30"/>
      <c r="I694" s="30"/>
      <c r="J694" s="28"/>
      <c r="K694" s="30"/>
      <c r="L694" s="30"/>
      <c r="M694" s="30"/>
      <c r="N694" s="30"/>
      <c r="O694" s="28"/>
      <c r="P694" s="30"/>
      <c r="Q694" s="30"/>
      <c r="R694" s="30"/>
      <c r="S694" s="36"/>
      <c r="T694" s="30"/>
      <c r="U694" s="36"/>
      <c r="V694" s="30"/>
      <c r="W694" s="28"/>
      <c r="X694" s="30"/>
      <c r="Y694" s="30"/>
      <c r="Z694" s="30"/>
      <c r="AA694" s="30"/>
      <c r="AB694" s="30"/>
      <c r="AC694" s="28"/>
      <c r="AD694" s="30"/>
      <c r="AE694" s="30"/>
      <c r="AF694" s="30"/>
      <c r="AG694" s="29"/>
      <c r="AH694" s="30"/>
      <c r="AI694" s="36"/>
      <c r="AJ694" s="30"/>
      <c r="AK694" s="29"/>
      <c r="AL694" s="30"/>
      <c r="AM694" s="30"/>
      <c r="AN694" s="30"/>
      <c r="AO694" s="30"/>
      <c r="AP694" s="30"/>
      <c r="AQ694" s="38"/>
      <c r="AR694" s="30"/>
      <c r="AS694" s="30"/>
      <c r="AT694" s="29"/>
      <c r="AU694" s="30"/>
      <c r="AV694" s="30"/>
      <c r="AW694" s="30"/>
      <c r="AX694" s="29"/>
      <c r="AY694" s="39"/>
      <c r="AZ694" s="30"/>
      <c r="BA694" s="30"/>
      <c r="BB694" s="29"/>
      <c r="BC694" s="52"/>
      <c r="BD694" s="30"/>
      <c r="BE694" s="29"/>
      <c r="BF694" s="30"/>
      <c r="BG694" s="30"/>
      <c r="BH694" s="30"/>
      <c r="BI694" s="30"/>
      <c r="BJ694" s="30"/>
      <c r="BK694" s="30"/>
      <c r="BL694" s="30"/>
      <c r="BM694" s="30"/>
      <c r="BN694" s="30"/>
      <c r="BO694" s="30"/>
      <c r="BP694" s="30"/>
      <c r="BQ694" s="30"/>
      <c r="BR694" s="30"/>
      <c r="BS694" s="30"/>
      <c r="BT694" s="30"/>
      <c r="BU694" s="30"/>
      <c r="BV694" s="30"/>
      <c r="BW694" s="30"/>
      <c r="BX694" s="30"/>
      <c r="BY694" s="30"/>
      <c r="BZ694" s="30"/>
      <c r="CA694" s="30"/>
      <c r="CB694" s="30"/>
      <c r="CC694" s="30"/>
      <c r="CD694" s="30"/>
      <c r="CE694" s="30"/>
      <c r="CF694" s="30"/>
      <c r="CG694" s="30"/>
      <c r="CH694" s="30"/>
      <c r="CI694" s="30"/>
      <c r="CJ694" s="30"/>
      <c r="CK694" s="30"/>
      <c r="CL694" s="30"/>
      <c r="CM694" s="30"/>
      <c r="CN694" s="30"/>
      <c r="CO694" s="30"/>
      <c r="CP694" s="30"/>
      <c r="CQ694" s="30"/>
      <c r="CR694" s="30"/>
      <c r="CS694" s="30"/>
      <c r="CT694" s="30"/>
      <c r="CU694" s="30"/>
      <c r="CV694" s="30"/>
      <c r="CW694" s="30"/>
      <c r="CX694" s="30"/>
      <c r="CY694" s="30"/>
      <c r="CZ694" s="30"/>
      <c r="DA694" s="30"/>
      <c r="DB694" s="30"/>
      <c r="DC694" s="30"/>
      <c r="DD694" s="30"/>
      <c r="DE694" s="30"/>
      <c r="DF694" s="30"/>
      <c r="DG694" s="30"/>
      <c r="DH694" s="30"/>
      <c r="DI694" s="30"/>
      <c r="DJ694" s="30"/>
      <c r="DK694" s="30"/>
      <c r="DL694" s="30"/>
      <c r="DM694" s="30"/>
      <c r="DN694" s="30"/>
      <c r="DO694" s="30"/>
      <c r="DP694" s="30"/>
      <c r="DQ694" s="30"/>
      <c r="DR694" s="30"/>
      <c r="DS694" s="30"/>
      <c r="DT694" s="30"/>
      <c r="DU694" s="30"/>
      <c r="DV694" s="30"/>
      <c r="DW694" s="30"/>
      <c r="DX694" s="30"/>
      <c r="DY694" s="30"/>
      <c r="DZ694" s="30"/>
    </row>
    <row r="695">
      <c r="A695" s="30"/>
      <c r="B695" s="42"/>
      <c r="C695" s="43"/>
      <c r="D695" s="30"/>
      <c r="E695" s="28"/>
      <c r="F695" s="30"/>
      <c r="G695" s="30"/>
      <c r="H695" s="30"/>
      <c r="I695" s="30"/>
      <c r="J695" s="28"/>
      <c r="K695" s="30"/>
      <c r="L695" s="30"/>
      <c r="M695" s="30"/>
      <c r="N695" s="30"/>
      <c r="O695" s="28"/>
      <c r="P695" s="30"/>
      <c r="Q695" s="30"/>
      <c r="R695" s="30"/>
      <c r="S695" s="36"/>
      <c r="T695" s="30"/>
      <c r="U695" s="36"/>
      <c r="V695" s="30"/>
      <c r="W695" s="28"/>
      <c r="X695" s="30"/>
      <c r="Y695" s="30"/>
      <c r="Z695" s="30"/>
      <c r="AA695" s="30"/>
      <c r="AB695" s="30"/>
      <c r="AC695" s="28"/>
      <c r="AD695" s="30"/>
      <c r="AE695" s="30"/>
      <c r="AF695" s="30"/>
      <c r="AG695" s="29"/>
      <c r="AH695" s="30"/>
      <c r="AI695" s="36"/>
      <c r="AJ695" s="30"/>
      <c r="AK695" s="29"/>
      <c r="AL695" s="30"/>
      <c r="AM695" s="30"/>
      <c r="AN695" s="30"/>
      <c r="AO695" s="30"/>
      <c r="AP695" s="30"/>
      <c r="AQ695" s="38"/>
      <c r="AR695" s="30"/>
      <c r="AS695" s="30"/>
      <c r="AT695" s="29"/>
      <c r="AU695" s="30"/>
      <c r="AV695" s="30"/>
      <c r="AW695" s="30"/>
      <c r="AX695" s="29"/>
      <c r="AY695" s="39"/>
      <c r="AZ695" s="30"/>
      <c r="BA695" s="30"/>
      <c r="BB695" s="29"/>
      <c r="BC695" s="52"/>
      <c r="BD695" s="30"/>
      <c r="BE695" s="29"/>
      <c r="BF695" s="30"/>
      <c r="BG695" s="30"/>
      <c r="BH695" s="30"/>
      <c r="BI695" s="30"/>
      <c r="BJ695" s="30"/>
      <c r="BK695" s="30"/>
      <c r="BL695" s="30"/>
      <c r="BM695" s="30"/>
      <c r="BN695" s="30"/>
      <c r="BO695" s="30"/>
      <c r="BP695" s="30"/>
      <c r="BQ695" s="30"/>
      <c r="BR695" s="30"/>
      <c r="BS695" s="30"/>
      <c r="BT695" s="30"/>
      <c r="BU695" s="30"/>
      <c r="BV695" s="30"/>
      <c r="BW695" s="30"/>
      <c r="BX695" s="30"/>
      <c r="BY695" s="30"/>
      <c r="BZ695" s="30"/>
      <c r="CA695" s="30"/>
      <c r="CB695" s="30"/>
      <c r="CC695" s="30"/>
      <c r="CD695" s="30"/>
      <c r="CE695" s="30"/>
      <c r="CF695" s="30"/>
      <c r="CG695" s="30"/>
      <c r="CH695" s="30"/>
      <c r="CI695" s="30"/>
      <c r="CJ695" s="30"/>
      <c r="CK695" s="30"/>
      <c r="CL695" s="30"/>
      <c r="CM695" s="30"/>
      <c r="CN695" s="30"/>
      <c r="CO695" s="30"/>
      <c r="CP695" s="30"/>
      <c r="CQ695" s="30"/>
      <c r="CR695" s="30"/>
      <c r="CS695" s="30"/>
      <c r="CT695" s="30"/>
      <c r="CU695" s="30"/>
      <c r="CV695" s="30"/>
      <c r="CW695" s="30"/>
      <c r="CX695" s="30"/>
      <c r="CY695" s="30"/>
      <c r="CZ695" s="30"/>
      <c r="DA695" s="30"/>
      <c r="DB695" s="30"/>
      <c r="DC695" s="30"/>
      <c r="DD695" s="30"/>
      <c r="DE695" s="30"/>
      <c r="DF695" s="30"/>
      <c r="DG695" s="30"/>
      <c r="DH695" s="30"/>
      <c r="DI695" s="30"/>
      <c r="DJ695" s="30"/>
      <c r="DK695" s="30"/>
      <c r="DL695" s="30"/>
      <c r="DM695" s="30"/>
      <c r="DN695" s="30"/>
      <c r="DO695" s="30"/>
      <c r="DP695" s="30"/>
      <c r="DQ695" s="30"/>
      <c r="DR695" s="30"/>
      <c r="DS695" s="30"/>
      <c r="DT695" s="30"/>
      <c r="DU695" s="30"/>
      <c r="DV695" s="30"/>
      <c r="DW695" s="30"/>
      <c r="DX695" s="30"/>
      <c r="DY695" s="30"/>
      <c r="DZ695" s="30"/>
    </row>
    <row r="696">
      <c r="A696" s="30"/>
      <c r="B696" s="42"/>
      <c r="C696" s="43"/>
      <c r="D696" s="30"/>
      <c r="E696" s="28"/>
      <c r="F696" s="30"/>
      <c r="G696" s="30"/>
      <c r="H696" s="30"/>
      <c r="I696" s="30"/>
      <c r="J696" s="28"/>
      <c r="K696" s="30"/>
      <c r="L696" s="30"/>
      <c r="M696" s="30"/>
      <c r="N696" s="30"/>
      <c r="O696" s="28"/>
      <c r="P696" s="30"/>
      <c r="Q696" s="30"/>
      <c r="R696" s="30"/>
      <c r="S696" s="36"/>
      <c r="T696" s="30"/>
      <c r="U696" s="36"/>
      <c r="V696" s="30"/>
      <c r="W696" s="28"/>
      <c r="X696" s="30"/>
      <c r="Y696" s="30"/>
      <c r="Z696" s="30"/>
      <c r="AA696" s="30"/>
      <c r="AB696" s="30"/>
      <c r="AC696" s="28"/>
      <c r="AD696" s="30"/>
      <c r="AE696" s="30"/>
      <c r="AF696" s="30"/>
      <c r="AG696" s="29"/>
      <c r="AH696" s="30"/>
      <c r="AI696" s="36"/>
      <c r="AJ696" s="30"/>
      <c r="AK696" s="29"/>
      <c r="AL696" s="30"/>
      <c r="AM696" s="30"/>
      <c r="AN696" s="30"/>
      <c r="AO696" s="30"/>
      <c r="AP696" s="30"/>
      <c r="AQ696" s="38"/>
      <c r="AR696" s="30"/>
      <c r="AS696" s="30"/>
      <c r="AT696" s="29"/>
      <c r="AU696" s="30"/>
      <c r="AV696" s="30"/>
      <c r="AW696" s="30"/>
      <c r="AX696" s="29"/>
      <c r="AY696" s="39"/>
      <c r="AZ696" s="30"/>
      <c r="BA696" s="30"/>
      <c r="BB696" s="29"/>
      <c r="BC696" s="52"/>
      <c r="BD696" s="30"/>
      <c r="BE696" s="29"/>
      <c r="BF696" s="30"/>
      <c r="BG696" s="30"/>
      <c r="BH696" s="30"/>
      <c r="BI696" s="30"/>
      <c r="BJ696" s="30"/>
      <c r="BK696" s="30"/>
      <c r="BL696" s="30"/>
      <c r="BM696" s="30"/>
      <c r="BN696" s="30"/>
      <c r="BO696" s="30"/>
      <c r="BP696" s="30"/>
      <c r="BQ696" s="30"/>
      <c r="BR696" s="30"/>
      <c r="BS696" s="30"/>
      <c r="BT696" s="30"/>
      <c r="BU696" s="30"/>
      <c r="BV696" s="30"/>
      <c r="BW696" s="30"/>
      <c r="BX696" s="30"/>
      <c r="BY696" s="30"/>
      <c r="BZ696" s="30"/>
      <c r="CA696" s="30"/>
      <c r="CB696" s="30"/>
      <c r="CC696" s="30"/>
      <c r="CD696" s="30"/>
      <c r="CE696" s="30"/>
      <c r="CF696" s="30"/>
      <c r="CG696" s="30"/>
      <c r="CH696" s="30"/>
      <c r="CI696" s="30"/>
      <c r="CJ696" s="30"/>
      <c r="CK696" s="30"/>
      <c r="CL696" s="30"/>
      <c r="CM696" s="30"/>
      <c r="CN696" s="30"/>
      <c r="CO696" s="30"/>
      <c r="CP696" s="30"/>
      <c r="CQ696" s="30"/>
      <c r="CR696" s="30"/>
      <c r="CS696" s="30"/>
      <c r="CT696" s="30"/>
      <c r="CU696" s="30"/>
      <c r="CV696" s="30"/>
      <c r="CW696" s="30"/>
      <c r="CX696" s="30"/>
      <c r="CY696" s="30"/>
      <c r="CZ696" s="30"/>
      <c r="DA696" s="30"/>
      <c r="DB696" s="30"/>
      <c r="DC696" s="30"/>
      <c r="DD696" s="30"/>
      <c r="DE696" s="30"/>
      <c r="DF696" s="30"/>
      <c r="DG696" s="30"/>
      <c r="DH696" s="30"/>
      <c r="DI696" s="30"/>
      <c r="DJ696" s="30"/>
      <c r="DK696" s="30"/>
      <c r="DL696" s="30"/>
      <c r="DM696" s="30"/>
      <c r="DN696" s="30"/>
      <c r="DO696" s="30"/>
      <c r="DP696" s="30"/>
      <c r="DQ696" s="30"/>
      <c r="DR696" s="30"/>
      <c r="DS696" s="30"/>
      <c r="DT696" s="30"/>
      <c r="DU696" s="30"/>
      <c r="DV696" s="30"/>
      <c r="DW696" s="30"/>
      <c r="DX696" s="30"/>
      <c r="DY696" s="30"/>
      <c r="DZ696" s="30"/>
    </row>
    <row r="697">
      <c r="A697" s="30"/>
      <c r="B697" s="42"/>
      <c r="C697" s="43"/>
      <c r="D697" s="30"/>
      <c r="E697" s="28"/>
      <c r="F697" s="30"/>
      <c r="G697" s="30"/>
      <c r="H697" s="30"/>
      <c r="I697" s="30"/>
      <c r="J697" s="28"/>
      <c r="K697" s="30"/>
      <c r="L697" s="30"/>
      <c r="M697" s="30"/>
      <c r="N697" s="30"/>
      <c r="O697" s="28"/>
      <c r="P697" s="30"/>
      <c r="Q697" s="30"/>
      <c r="R697" s="30"/>
      <c r="S697" s="36"/>
      <c r="T697" s="30"/>
      <c r="U697" s="36"/>
      <c r="V697" s="30"/>
      <c r="W697" s="28"/>
      <c r="X697" s="30"/>
      <c r="Y697" s="30"/>
      <c r="Z697" s="30"/>
      <c r="AA697" s="30"/>
      <c r="AB697" s="30"/>
      <c r="AC697" s="28"/>
      <c r="AD697" s="30"/>
      <c r="AE697" s="30"/>
      <c r="AF697" s="30"/>
      <c r="AG697" s="29"/>
      <c r="AH697" s="30"/>
      <c r="AI697" s="36"/>
      <c r="AJ697" s="30"/>
      <c r="AK697" s="29"/>
      <c r="AL697" s="30"/>
      <c r="AM697" s="30"/>
      <c r="AN697" s="30"/>
      <c r="AO697" s="30"/>
      <c r="AP697" s="30"/>
      <c r="AQ697" s="38"/>
      <c r="AR697" s="30"/>
      <c r="AS697" s="30"/>
      <c r="AT697" s="29"/>
      <c r="AU697" s="30"/>
      <c r="AV697" s="30"/>
      <c r="AW697" s="30"/>
      <c r="AX697" s="29"/>
      <c r="AY697" s="39"/>
      <c r="AZ697" s="30"/>
      <c r="BA697" s="30"/>
      <c r="BB697" s="29"/>
      <c r="BC697" s="52"/>
      <c r="BD697" s="30"/>
      <c r="BE697" s="29"/>
      <c r="BF697" s="30"/>
      <c r="BG697" s="30"/>
      <c r="BH697" s="30"/>
      <c r="BI697" s="30"/>
      <c r="BJ697" s="30"/>
      <c r="BK697" s="30"/>
      <c r="BL697" s="30"/>
      <c r="BM697" s="30"/>
      <c r="BN697" s="30"/>
      <c r="BO697" s="30"/>
      <c r="BP697" s="30"/>
      <c r="BQ697" s="30"/>
      <c r="BR697" s="30"/>
      <c r="BS697" s="30"/>
      <c r="BT697" s="30"/>
      <c r="BU697" s="30"/>
      <c r="BV697" s="30"/>
      <c r="BW697" s="30"/>
      <c r="BX697" s="30"/>
      <c r="BY697" s="30"/>
      <c r="BZ697" s="30"/>
      <c r="CA697" s="30"/>
      <c r="CB697" s="30"/>
      <c r="CC697" s="30"/>
      <c r="CD697" s="30"/>
      <c r="CE697" s="30"/>
      <c r="CF697" s="30"/>
      <c r="CG697" s="30"/>
      <c r="CH697" s="30"/>
      <c r="CI697" s="30"/>
      <c r="CJ697" s="30"/>
      <c r="CK697" s="30"/>
      <c r="CL697" s="30"/>
      <c r="CM697" s="30"/>
      <c r="CN697" s="30"/>
      <c r="CO697" s="30"/>
      <c r="CP697" s="30"/>
      <c r="CQ697" s="30"/>
      <c r="CR697" s="30"/>
      <c r="CS697" s="30"/>
      <c r="CT697" s="30"/>
      <c r="CU697" s="30"/>
      <c r="CV697" s="30"/>
      <c r="CW697" s="30"/>
      <c r="CX697" s="30"/>
      <c r="CY697" s="30"/>
      <c r="CZ697" s="30"/>
      <c r="DA697" s="30"/>
      <c r="DB697" s="30"/>
      <c r="DC697" s="30"/>
      <c r="DD697" s="30"/>
      <c r="DE697" s="30"/>
      <c r="DF697" s="30"/>
      <c r="DG697" s="30"/>
      <c r="DH697" s="30"/>
      <c r="DI697" s="30"/>
      <c r="DJ697" s="30"/>
      <c r="DK697" s="30"/>
      <c r="DL697" s="30"/>
      <c r="DM697" s="30"/>
      <c r="DN697" s="30"/>
      <c r="DO697" s="30"/>
      <c r="DP697" s="30"/>
      <c r="DQ697" s="30"/>
      <c r="DR697" s="30"/>
      <c r="DS697" s="30"/>
      <c r="DT697" s="30"/>
      <c r="DU697" s="30"/>
      <c r="DV697" s="30"/>
      <c r="DW697" s="30"/>
      <c r="DX697" s="30"/>
      <c r="DY697" s="30"/>
      <c r="DZ697" s="30"/>
    </row>
    <row r="698">
      <c r="A698" s="30"/>
      <c r="B698" s="42"/>
      <c r="C698" s="43"/>
      <c r="D698" s="30"/>
      <c r="E698" s="28"/>
      <c r="F698" s="30"/>
      <c r="G698" s="30"/>
      <c r="H698" s="30"/>
      <c r="I698" s="30"/>
      <c r="J698" s="28"/>
      <c r="K698" s="30"/>
      <c r="L698" s="30"/>
      <c r="M698" s="30"/>
      <c r="N698" s="30"/>
      <c r="O698" s="28"/>
      <c r="P698" s="30"/>
      <c r="Q698" s="30"/>
      <c r="R698" s="30"/>
      <c r="S698" s="36"/>
      <c r="T698" s="30"/>
      <c r="U698" s="36"/>
      <c r="V698" s="30"/>
      <c r="W698" s="28"/>
      <c r="X698" s="30"/>
      <c r="Y698" s="30"/>
      <c r="Z698" s="30"/>
      <c r="AA698" s="30"/>
      <c r="AB698" s="30"/>
      <c r="AC698" s="28"/>
      <c r="AD698" s="30"/>
      <c r="AE698" s="30"/>
      <c r="AF698" s="30"/>
      <c r="AG698" s="29"/>
      <c r="AH698" s="30"/>
      <c r="AI698" s="36"/>
      <c r="AJ698" s="30"/>
      <c r="AK698" s="29"/>
      <c r="AL698" s="30"/>
      <c r="AM698" s="30"/>
      <c r="AN698" s="30"/>
      <c r="AO698" s="30"/>
      <c r="AP698" s="30"/>
      <c r="AQ698" s="38"/>
      <c r="AR698" s="30"/>
      <c r="AS698" s="30"/>
      <c r="AT698" s="29"/>
      <c r="AU698" s="30"/>
      <c r="AV698" s="30"/>
      <c r="AW698" s="30"/>
      <c r="AX698" s="29"/>
      <c r="AY698" s="39"/>
      <c r="AZ698" s="30"/>
      <c r="BA698" s="30"/>
      <c r="BB698" s="29"/>
      <c r="BC698" s="52"/>
      <c r="BD698" s="30"/>
      <c r="BE698" s="29"/>
      <c r="BF698" s="30"/>
      <c r="BG698" s="30"/>
      <c r="BH698" s="30"/>
      <c r="BI698" s="30"/>
      <c r="BJ698" s="30"/>
      <c r="BK698" s="30"/>
      <c r="BL698" s="30"/>
      <c r="BM698" s="30"/>
      <c r="BN698" s="30"/>
      <c r="BO698" s="30"/>
      <c r="BP698" s="30"/>
      <c r="BQ698" s="30"/>
      <c r="BR698" s="30"/>
      <c r="BS698" s="30"/>
      <c r="BT698" s="30"/>
      <c r="BU698" s="30"/>
      <c r="BV698" s="30"/>
      <c r="BW698" s="30"/>
      <c r="BX698" s="30"/>
      <c r="BY698" s="30"/>
      <c r="BZ698" s="30"/>
      <c r="CA698" s="30"/>
      <c r="CB698" s="30"/>
      <c r="CC698" s="30"/>
      <c r="CD698" s="30"/>
      <c r="CE698" s="30"/>
      <c r="CF698" s="30"/>
      <c r="CG698" s="30"/>
      <c r="CH698" s="30"/>
      <c r="CI698" s="30"/>
      <c r="CJ698" s="30"/>
      <c r="CK698" s="30"/>
      <c r="CL698" s="30"/>
      <c r="CM698" s="30"/>
      <c r="CN698" s="30"/>
      <c r="CO698" s="30"/>
      <c r="CP698" s="30"/>
      <c r="CQ698" s="30"/>
      <c r="CR698" s="30"/>
      <c r="CS698" s="30"/>
      <c r="CT698" s="30"/>
      <c r="CU698" s="30"/>
      <c r="CV698" s="30"/>
      <c r="CW698" s="30"/>
      <c r="CX698" s="30"/>
      <c r="CY698" s="30"/>
      <c r="CZ698" s="30"/>
      <c r="DA698" s="30"/>
      <c r="DB698" s="30"/>
      <c r="DC698" s="30"/>
      <c r="DD698" s="30"/>
      <c r="DE698" s="30"/>
      <c r="DF698" s="30"/>
      <c r="DG698" s="30"/>
      <c r="DH698" s="30"/>
      <c r="DI698" s="30"/>
      <c r="DJ698" s="30"/>
      <c r="DK698" s="30"/>
      <c r="DL698" s="30"/>
      <c r="DM698" s="30"/>
      <c r="DN698" s="30"/>
      <c r="DO698" s="30"/>
      <c r="DP698" s="30"/>
      <c r="DQ698" s="30"/>
      <c r="DR698" s="30"/>
      <c r="DS698" s="30"/>
      <c r="DT698" s="30"/>
      <c r="DU698" s="30"/>
      <c r="DV698" s="30"/>
      <c r="DW698" s="30"/>
      <c r="DX698" s="30"/>
      <c r="DY698" s="30"/>
      <c r="DZ698" s="30"/>
    </row>
    <row r="699">
      <c r="A699" s="30"/>
      <c r="B699" s="42"/>
      <c r="C699" s="43"/>
      <c r="D699" s="30"/>
      <c r="E699" s="28"/>
      <c r="F699" s="30"/>
      <c r="G699" s="30"/>
      <c r="H699" s="30"/>
      <c r="I699" s="30"/>
      <c r="J699" s="28"/>
      <c r="K699" s="30"/>
      <c r="L699" s="30"/>
      <c r="M699" s="30"/>
      <c r="N699" s="30"/>
      <c r="O699" s="28"/>
      <c r="P699" s="30"/>
      <c r="Q699" s="30"/>
      <c r="R699" s="30"/>
      <c r="S699" s="36"/>
      <c r="T699" s="30"/>
      <c r="U699" s="36"/>
      <c r="V699" s="30"/>
      <c r="W699" s="28"/>
      <c r="X699" s="30"/>
      <c r="Y699" s="30"/>
      <c r="Z699" s="30"/>
      <c r="AA699" s="30"/>
      <c r="AB699" s="30"/>
      <c r="AC699" s="28"/>
      <c r="AD699" s="30"/>
      <c r="AE699" s="30"/>
      <c r="AF699" s="30"/>
      <c r="AG699" s="29"/>
      <c r="AH699" s="30"/>
      <c r="AI699" s="36"/>
      <c r="AJ699" s="30"/>
      <c r="AK699" s="29"/>
      <c r="AL699" s="30"/>
      <c r="AM699" s="30"/>
      <c r="AN699" s="30"/>
      <c r="AO699" s="30"/>
      <c r="AP699" s="30"/>
      <c r="AQ699" s="38"/>
      <c r="AR699" s="30"/>
      <c r="AS699" s="30"/>
      <c r="AT699" s="29"/>
      <c r="AU699" s="30"/>
      <c r="AV699" s="30"/>
      <c r="AW699" s="30"/>
      <c r="AX699" s="29"/>
      <c r="AY699" s="39"/>
      <c r="AZ699" s="30"/>
      <c r="BA699" s="30"/>
      <c r="BB699" s="29"/>
      <c r="BC699" s="52"/>
      <c r="BD699" s="30"/>
      <c r="BE699" s="29"/>
      <c r="BF699" s="30"/>
      <c r="BG699" s="30"/>
      <c r="BH699" s="30"/>
      <c r="BI699" s="30"/>
      <c r="BJ699" s="30"/>
      <c r="BK699" s="30"/>
      <c r="BL699" s="30"/>
      <c r="BM699" s="30"/>
      <c r="BN699" s="30"/>
      <c r="BO699" s="30"/>
      <c r="BP699" s="30"/>
      <c r="BQ699" s="30"/>
      <c r="BR699" s="30"/>
      <c r="BS699" s="30"/>
      <c r="BT699" s="30"/>
      <c r="BU699" s="30"/>
      <c r="BV699" s="30"/>
      <c r="BW699" s="30"/>
      <c r="BX699" s="30"/>
      <c r="BY699" s="30"/>
      <c r="BZ699" s="30"/>
      <c r="CA699" s="30"/>
      <c r="CB699" s="30"/>
      <c r="CC699" s="30"/>
      <c r="CD699" s="30"/>
      <c r="CE699" s="30"/>
      <c r="CF699" s="30"/>
      <c r="CG699" s="30"/>
      <c r="CH699" s="30"/>
      <c r="CI699" s="30"/>
      <c r="CJ699" s="30"/>
      <c r="CK699" s="30"/>
      <c r="CL699" s="30"/>
      <c r="CM699" s="30"/>
      <c r="CN699" s="30"/>
      <c r="CO699" s="30"/>
      <c r="CP699" s="30"/>
      <c r="CQ699" s="30"/>
      <c r="CR699" s="30"/>
      <c r="CS699" s="30"/>
      <c r="CT699" s="30"/>
      <c r="CU699" s="30"/>
      <c r="CV699" s="30"/>
      <c r="CW699" s="30"/>
      <c r="CX699" s="30"/>
      <c r="CY699" s="30"/>
      <c r="CZ699" s="30"/>
      <c r="DA699" s="30"/>
      <c r="DB699" s="30"/>
      <c r="DC699" s="30"/>
      <c r="DD699" s="30"/>
      <c r="DE699" s="30"/>
      <c r="DF699" s="30"/>
      <c r="DG699" s="30"/>
      <c r="DH699" s="30"/>
      <c r="DI699" s="30"/>
      <c r="DJ699" s="30"/>
      <c r="DK699" s="30"/>
      <c r="DL699" s="30"/>
      <c r="DM699" s="30"/>
      <c r="DN699" s="30"/>
      <c r="DO699" s="30"/>
      <c r="DP699" s="30"/>
      <c r="DQ699" s="30"/>
      <c r="DR699" s="30"/>
      <c r="DS699" s="30"/>
      <c r="DT699" s="30"/>
      <c r="DU699" s="30"/>
      <c r="DV699" s="30"/>
      <c r="DW699" s="30"/>
      <c r="DX699" s="30"/>
      <c r="DY699" s="30"/>
      <c r="DZ699" s="30"/>
    </row>
    <row r="700">
      <c r="A700" s="30"/>
      <c r="B700" s="42"/>
      <c r="C700" s="43"/>
      <c r="D700" s="30"/>
      <c r="E700" s="28"/>
      <c r="F700" s="30"/>
      <c r="G700" s="30"/>
      <c r="H700" s="30"/>
      <c r="I700" s="30"/>
      <c r="J700" s="28"/>
      <c r="K700" s="30"/>
      <c r="L700" s="30"/>
      <c r="M700" s="30"/>
      <c r="N700" s="30"/>
      <c r="O700" s="28"/>
      <c r="P700" s="30"/>
      <c r="Q700" s="30"/>
      <c r="R700" s="30"/>
      <c r="S700" s="36"/>
      <c r="T700" s="30"/>
      <c r="U700" s="36"/>
      <c r="V700" s="30"/>
      <c r="W700" s="28"/>
      <c r="X700" s="30"/>
      <c r="Y700" s="30"/>
      <c r="Z700" s="30"/>
      <c r="AA700" s="30"/>
      <c r="AB700" s="30"/>
      <c r="AC700" s="28"/>
      <c r="AD700" s="30"/>
      <c r="AE700" s="30"/>
      <c r="AF700" s="30"/>
      <c r="AG700" s="29"/>
      <c r="AH700" s="30"/>
      <c r="AI700" s="36"/>
      <c r="AJ700" s="30"/>
      <c r="AK700" s="29"/>
      <c r="AL700" s="30"/>
      <c r="AM700" s="30"/>
      <c r="AN700" s="30"/>
      <c r="AO700" s="30"/>
      <c r="AP700" s="30"/>
      <c r="AQ700" s="38"/>
      <c r="AR700" s="30"/>
      <c r="AS700" s="30"/>
      <c r="AT700" s="29"/>
      <c r="AU700" s="30"/>
      <c r="AV700" s="30"/>
      <c r="AW700" s="30"/>
      <c r="AX700" s="29"/>
      <c r="AY700" s="39"/>
      <c r="AZ700" s="30"/>
      <c r="BA700" s="30"/>
      <c r="BB700" s="29"/>
      <c r="BC700" s="52"/>
      <c r="BD700" s="30"/>
      <c r="BE700" s="29"/>
      <c r="BF700" s="30"/>
      <c r="BG700" s="30"/>
      <c r="BH700" s="30"/>
      <c r="BI700" s="30"/>
      <c r="BJ700" s="30"/>
      <c r="BK700" s="30"/>
      <c r="BL700" s="30"/>
      <c r="BM700" s="30"/>
      <c r="BN700" s="30"/>
      <c r="BO700" s="30"/>
      <c r="BP700" s="30"/>
      <c r="BQ700" s="30"/>
      <c r="BR700" s="30"/>
      <c r="BS700" s="30"/>
      <c r="BT700" s="30"/>
      <c r="BU700" s="30"/>
      <c r="BV700" s="30"/>
      <c r="BW700" s="30"/>
      <c r="BX700" s="30"/>
      <c r="BY700" s="30"/>
      <c r="BZ700" s="30"/>
      <c r="CA700" s="30"/>
      <c r="CB700" s="30"/>
      <c r="CC700" s="30"/>
      <c r="CD700" s="30"/>
      <c r="CE700" s="30"/>
      <c r="CF700" s="30"/>
      <c r="CG700" s="30"/>
      <c r="CH700" s="30"/>
      <c r="CI700" s="30"/>
      <c r="CJ700" s="30"/>
      <c r="CK700" s="30"/>
      <c r="CL700" s="30"/>
      <c r="CM700" s="30"/>
      <c r="CN700" s="30"/>
      <c r="CO700" s="30"/>
      <c r="CP700" s="30"/>
      <c r="CQ700" s="30"/>
      <c r="CR700" s="30"/>
      <c r="CS700" s="30"/>
      <c r="CT700" s="30"/>
      <c r="CU700" s="30"/>
      <c r="CV700" s="30"/>
      <c r="CW700" s="30"/>
      <c r="CX700" s="30"/>
      <c r="CY700" s="30"/>
      <c r="CZ700" s="30"/>
      <c r="DA700" s="30"/>
      <c r="DB700" s="30"/>
      <c r="DC700" s="30"/>
      <c r="DD700" s="30"/>
      <c r="DE700" s="30"/>
      <c r="DF700" s="30"/>
      <c r="DG700" s="30"/>
      <c r="DH700" s="30"/>
      <c r="DI700" s="30"/>
      <c r="DJ700" s="30"/>
      <c r="DK700" s="30"/>
      <c r="DL700" s="30"/>
      <c r="DM700" s="30"/>
      <c r="DN700" s="30"/>
      <c r="DO700" s="30"/>
      <c r="DP700" s="30"/>
      <c r="DQ700" s="30"/>
      <c r="DR700" s="30"/>
      <c r="DS700" s="30"/>
      <c r="DT700" s="30"/>
      <c r="DU700" s="30"/>
      <c r="DV700" s="30"/>
      <c r="DW700" s="30"/>
      <c r="DX700" s="30"/>
      <c r="DY700" s="30"/>
      <c r="DZ700" s="30"/>
    </row>
    <row r="701">
      <c r="A701" s="30"/>
      <c r="B701" s="42"/>
      <c r="C701" s="43"/>
      <c r="D701" s="30"/>
      <c r="E701" s="28"/>
      <c r="F701" s="30"/>
      <c r="G701" s="30"/>
      <c r="H701" s="30"/>
      <c r="I701" s="30"/>
      <c r="J701" s="28"/>
      <c r="K701" s="30"/>
      <c r="L701" s="30"/>
      <c r="M701" s="30"/>
      <c r="N701" s="30"/>
      <c r="O701" s="28"/>
      <c r="P701" s="30"/>
      <c r="Q701" s="30"/>
      <c r="R701" s="30"/>
      <c r="S701" s="36"/>
      <c r="T701" s="30"/>
      <c r="U701" s="36"/>
      <c r="V701" s="30"/>
      <c r="W701" s="28"/>
      <c r="X701" s="30"/>
      <c r="Y701" s="30"/>
      <c r="Z701" s="30"/>
      <c r="AA701" s="30"/>
      <c r="AB701" s="30"/>
      <c r="AC701" s="28"/>
      <c r="AD701" s="30"/>
      <c r="AE701" s="30"/>
      <c r="AF701" s="30"/>
      <c r="AG701" s="29"/>
      <c r="AH701" s="30"/>
      <c r="AI701" s="36"/>
      <c r="AJ701" s="30"/>
      <c r="AK701" s="29"/>
      <c r="AL701" s="30"/>
      <c r="AM701" s="30"/>
      <c r="AN701" s="30"/>
      <c r="AO701" s="30"/>
      <c r="AP701" s="30"/>
      <c r="AQ701" s="38"/>
      <c r="AR701" s="30"/>
      <c r="AS701" s="30"/>
      <c r="AT701" s="29"/>
      <c r="AU701" s="30"/>
      <c r="AV701" s="30"/>
      <c r="AW701" s="30"/>
      <c r="AX701" s="29"/>
      <c r="AY701" s="39"/>
      <c r="AZ701" s="30"/>
      <c r="BA701" s="30"/>
      <c r="BB701" s="29"/>
      <c r="BC701" s="52"/>
      <c r="BD701" s="30"/>
      <c r="BE701" s="29"/>
      <c r="BF701" s="30"/>
      <c r="BG701" s="30"/>
      <c r="BH701" s="30"/>
      <c r="BI701" s="30"/>
      <c r="BJ701" s="30"/>
      <c r="BK701" s="30"/>
      <c r="BL701" s="30"/>
      <c r="BM701" s="30"/>
      <c r="BN701" s="30"/>
      <c r="BO701" s="30"/>
      <c r="BP701" s="30"/>
      <c r="BQ701" s="30"/>
      <c r="BR701" s="30"/>
      <c r="BS701" s="30"/>
      <c r="BT701" s="30"/>
      <c r="BU701" s="30"/>
      <c r="BV701" s="30"/>
      <c r="BW701" s="30"/>
      <c r="BX701" s="30"/>
      <c r="BY701" s="30"/>
      <c r="BZ701" s="30"/>
      <c r="CA701" s="30"/>
      <c r="CB701" s="30"/>
      <c r="CC701" s="30"/>
      <c r="CD701" s="30"/>
      <c r="CE701" s="30"/>
      <c r="CF701" s="30"/>
      <c r="CG701" s="30"/>
      <c r="CH701" s="30"/>
      <c r="CI701" s="30"/>
      <c r="CJ701" s="30"/>
      <c r="CK701" s="30"/>
      <c r="CL701" s="30"/>
      <c r="CM701" s="30"/>
      <c r="CN701" s="30"/>
      <c r="CO701" s="30"/>
      <c r="CP701" s="30"/>
      <c r="CQ701" s="30"/>
      <c r="CR701" s="30"/>
      <c r="CS701" s="30"/>
      <c r="CT701" s="30"/>
      <c r="CU701" s="30"/>
      <c r="CV701" s="30"/>
      <c r="CW701" s="30"/>
      <c r="CX701" s="30"/>
      <c r="CY701" s="30"/>
      <c r="CZ701" s="30"/>
      <c r="DA701" s="30"/>
      <c r="DB701" s="30"/>
      <c r="DC701" s="30"/>
      <c r="DD701" s="30"/>
      <c r="DE701" s="30"/>
      <c r="DF701" s="30"/>
      <c r="DG701" s="30"/>
      <c r="DH701" s="30"/>
      <c r="DI701" s="30"/>
      <c r="DJ701" s="30"/>
      <c r="DK701" s="30"/>
      <c r="DL701" s="30"/>
      <c r="DM701" s="30"/>
      <c r="DN701" s="30"/>
      <c r="DO701" s="30"/>
      <c r="DP701" s="30"/>
      <c r="DQ701" s="30"/>
      <c r="DR701" s="30"/>
      <c r="DS701" s="30"/>
      <c r="DT701" s="30"/>
      <c r="DU701" s="30"/>
      <c r="DV701" s="30"/>
      <c r="DW701" s="30"/>
      <c r="DX701" s="30"/>
      <c r="DY701" s="30"/>
      <c r="DZ701" s="30"/>
    </row>
    <row r="702">
      <c r="A702" s="30"/>
      <c r="B702" s="42"/>
      <c r="C702" s="43"/>
      <c r="D702" s="30"/>
      <c r="E702" s="28"/>
      <c r="F702" s="30"/>
      <c r="G702" s="30"/>
      <c r="H702" s="30"/>
      <c r="I702" s="30"/>
      <c r="J702" s="28"/>
      <c r="K702" s="30"/>
      <c r="L702" s="30"/>
      <c r="M702" s="30"/>
      <c r="N702" s="30"/>
      <c r="O702" s="28"/>
      <c r="P702" s="30"/>
      <c r="Q702" s="30"/>
      <c r="R702" s="30"/>
      <c r="S702" s="36"/>
      <c r="T702" s="30"/>
      <c r="U702" s="36"/>
      <c r="V702" s="30"/>
      <c r="W702" s="28"/>
      <c r="X702" s="30"/>
      <c r="Y702" s="30"/>
      <c r="Z702" s="30"/>
      <c r="AA702" s="30"/>
      <c r="AB702" s="30"/>
      <c r="AC702" s="28"/>
      <c r="AD702" s="30"/>
      <c r="AE702" s="30"/>
      <c r="AF702" s="30"/>
      <c r="AG702" s="29"/>
      <c r="AH702" s="30"/>
      <c r="AI702" s="36"/>
      <c r="AJ702" s="30"/>
      <c r="AK702" s="29"/>
      <c r="AL702" s="30"/>
      <c r="AM702" s="30"/>
      <c r="AN702" s="30"/>
      <c r="AO702" s="30"/>
      <c r="AP702" s="30"/>
      <c r="AQ702" s="38"/>
      <c r="AR702" s="30"/>
      <c r="AS702" s="30"/>
      <c r="AT702" s="29"/>
      <c r="AU702" s="30"/>
      <c r="AV702" s="30"/>
      <c r="AW702" s="30"/>
      <c r="AX702" s="29"/>
      <c r="AY702" s="39"/>
      <c r="AZ702" s="30"/>
      <c r="BA702" s="30"/>
      <c r="BB702" s="29"/>
      <c r="BC702" s="52"/>
      <c r="BD702" s="30"/>
      <c r="BE702" s="29"/>
      <c r="BF702" s="30"/>
      <c r="BG702" s="30"/>
      <c r="BH702" s="30"/>
      <c r="BI702" s="30"/>
      <c r="BJ702" s="30"/>
      <c r="BK702" s="30"/>
      <c r="BL702" s="30"/>
      <c r="BM702" s="30"/>
      <c r="BN702" s="30"/>
      <c r="BO702" s="30"/>
      <c r="BP702" s="30"/>
      <c r="BQ702" s="30"/>
      <c r="BR702" s="30"/>
      <c r="BS702" s="30"/>
      <c r="BT702" s="30"/>
      <c r="BU702" s="30"/>
      <c r="BV702" s="30"/>
      <c r="BW702" s="30"/>
      <c r="BX702" s="30"/>
      <c r="BY702" s="30"/>
      <c r="BZ702" s="30"/>
      <c r="CA702" s="30"/>
      <c r="CB702" s="30"/>
      <c r="CC702" s="30"/>
      <c r="CD702" s="30"/>
      <c r="CE702" s="30"/>
      <c r="CF702" s="30"/>
      <c r="CG702" s="30"/>
      <c r="CH702" s="30"/>
      <c r="CI702" s="30"/>
      <c r="CJ702" s="30"/>
      <c r="CK702" s="30"/>
      <c r="CL702" s="30"/>
      <c r="CM702" s="30"/>
      <c r="CN702" s="30"/>
      <c r="CO702" s="30"/>
      <c r="CP702" s="30"/>
      <c r="CQ702" s="30"/>
      <c r="CR702" s="30"/>
      <c r="CS702" s="30"/>
      <c r="CT702" s="30"/>
      <c r="CU702" s="30"/>
      <c r="CV702" s="30"/>
      <c r="CW702" s="30"/>
      <c r="CX702" s="30"/>
      <c r="CY702" s="30"/>
      <c r="CZ702" s="30"/>
      <c r="DA702" s="30"/>
      <c r="DB702" s="30"/>
      <c r="DC702" s="30"/>
      <c r="DD702" s="30"/>
      <c r="DE702" s="30"/>
      <c r="DF702" s="30"/>
      <c r="DG702" s="30"/>
      <c r="DH702" s="30"/>
      <c r="DI702" s="30"/>
      <c r="DJ702" s="30"/>
      <c r="DK702" s="30"/>
      <c r="DL702" s="30"/>
      <c r="DM702" s="30"/>
      <c r="DN702" s="30"/>
      <c r="DO702" s="30"/>
      <c r="DP702" s="30"/>
      <c r="DQ702" s="30"/>
      <c r="DR702" s="30"/>
      <c r="DS702" s="30"/>
      <c r="DT702" s="30"/>
      <c r="DU702" s="30"/>
      <c r="DV702" s="30"/>
      <c r="DW702" s="30"/>
      <c r="DX702" s="30"/>
      <c r="DY702" s="30"/>
      <c r="DZ702" s="30"/>
    </row>
    <row r="703">
      <c r="A703" s="30"/>
      <c r="B703" s="42"/>
      <c r="C703" s="43"/>
      <c r="D703" s="30"/>
      <c r="E703" s="28"/>
      <c r="F703" s="30"/>
      <c r="G703" s="30"/>
      <c r="H703" s="30"/>
      <c r="I703" s="30"/>
      <c r="J703" s="28"/>
      <c r="K703" s="30"/>
      <c r="L703" s="30"/>
      <c r="M703" s="30"/>
      <c r="N703" s="30"/>
      <c r="O703" s="28"/>
      <c r="P703" s="30"/>
      <c r="Q703" s="30"/>
      <c r="R703" s="30"/>
      <c r="S703" s="36"/>
      <c r="T703" s="30"/>
      <c r="U703" s="36"/>
      <c r="V703" s="30"/>
      <c r="W703" s="28"/>
      <c r="X703" s="30"/>
      <c r="Y703" s="30"/>
      <c r="Z703" s="30"/>
      <c r="AA703" s="30"/>
      <c r="AB703" s="30"/>
      <c r="AC703" s="28"/>
      <c r="AD703" s="30"/>
      <c r="AE703" s="30"/>
      <c r="AF703" s="30"/>
      <c r="AG703" s="29"/>
      <c r="AH703" s="30"/>
      <c r="AI703" s="36"/>
      <c r="AJ703" s="30"/>
      <c r="AK703" s="29"/>
      <c r="AL703" s="30"/>
      <c r="AM703" s="30"/>
      <c r="AN703" s="30"/>
      <c r="AO703" s="30"/>
      <c r="AP703" s="30"/>
      <c r="AQ703" s="38"/>
      <c r="AR703" s="30"/>
      <c r="AS703" s="30"/>
      <c r="AT703" s="29"/>
      <c r="AU703" s="30"/>
      <c r="AV703" s="30"/>
      <c r="AW703" s="30"/>
      <c r="AX703" s="29"/>
      <c r="AY703" s="39"/>
      <c r="AZ703" s="30"/>
      <c r="BA703" s="30"/>
      <c r="BB703" s="29"/>
      <c r="BC703" s="52"/>
      <c r="BD703" s="30"/>
      <c r="BE703" s="29"/>
      <c r="BF703" s="30"/>
      <c r="BG703" s="30"/>
      <c r="BH703" s="30"/>
      <c r="BI703" s="30"/>
      <c r="BJ703" s="30"/>
      <c r="BK703" s="30"/>
      <c r="BL703" s="30"/>
      <c r="BM703" s="30"/>
      <c r="BN703" s="30"/>
      <c r="BO703" s="30"/>
      <c r="BP703" s="30"/>
      <c r="BQ703" s="30"/>
      <c r="BR703" s="30"/>
      <c r="BS703" s="30"/>
      <c r="BT703" s="30"/>
      <c r="BU703" s="30"/>
      <c r="BV703" s="30"/>
      <c r="BW703" s="30"/>
      <c r="BX703" s="30"/>
      <c r="BY703" s="30"/>
      <c r="BZ703" s="30"/>
      <c r="CA703" s="30"/>
      <c r="CB703" s="30"/>
      <c r="CC703" s="30"/>
      <c r="CD703" s="30"/>
      <c r="CE703" s="30"/>
      <c r="CF703" s="30"/>
      <c r="CG703" s="30"/>
      <c r="CH703" s="30"/>
      <c r="CI703" s="30"/>
      <c r="CJ703" s="30"/>
      <c r="CK703" s="30"/>
      <c r="CL703" s="30"/>
      <c r="CM703" s="30"/>
      <c r="CN703" s="30"/>
      <c r="CO703" s="30"/>
      <c r="CP703" s="30"/>
      <c r="CQ703" s="30"/>
      <c r="CR703" s="30"/>
      <c r="CS703" s="30"/>
      <c r="CT703" s="30"/>
      <c r="CU703" s="30"/>
      <c r="CV703" s="30"/>
      <c r="CW703" s="30"/>
      <c r="CX703" s="30"/>
      <c r="CY703" s="30"/>
      <c r="CZ703" s="30"/>
      <c r="DA703" s="30"/>
      <c r="DB703" s="30"/>
      <c r="DC703" s="30"/>
      <c r="DD703" s="30"/>
      <c r="DE703" s="30"/>
      <c r="DF703" s="30"/>
      <c r="DG703" s="30"/>
      <c r="DH703" s="30"/>
      <c r="DI703" s="30"/>
      <c r="DJ703" s="30"/>
      <c r="DK703" s="30"/>
      <c r="DL703" s="30"/>
      <c r="DM703" s="30"/>
      <c r="DN703" s="30"/>
      <c r="DO703" s="30"/>
      <c r="DP703" s="30"/>
      <c r="DQ703" s="30"/>
      <c r="DR703" s="30"/>
      <c r="DS703" s="30"/>
      <c r="DT703" s="30"/>
      <c r="DU703" s="30"/>
      <c r="DV703" s="30"/>
      <c r="DW703" s="30"/>
      <c r="DX703" s="30"/>
      <c r="DY703" s="30"/>
      <c r="DZ703" s="30"/>
    </row>
    <row r="704">
      <c r="A704" s="30"/>
      <c r="B704" s="42"/>
      <c r="C704" s="43"/>
      <c r="D704" s="30"/>
      <c r="E704" s="28"/>
      <c r="F704" s="30"/>
      <c r="G704" s="30"/>
      <c r="H704" s="30"/>
      <c r="I704" s="30"/>
      <c r="J704" s="28"/>
      <c r="K704" s="30"/>
      <c r="L704" s="30"/>
      <c r="M704" s="30"/>
      <c r="N704" s="30"/>
      <c r="O704" s="28"/>
      <c r="P704" s="30"/>
      <c r="Q704" s="30"/>
      <c r="R704" s="30"/>
      <c r="S704" s="36"/>
      <c r="T704" s="30"/>
      <c r="U704" s="36"/>
      <c r="V704" s="30"/>
      <c r="W704" s="28"/>
      <c r="X704" s="30"/>
      <c r="Y704" s="30"/>
      <c r="Z704" s="30"/>
      <c r="AA704" s="30"/>
      <c r="AB704" s="30"/>
      <c r="AC704" s="28"/>
      <c r="AD704" s="30"/>
      <c r="AE704" s="30"/>
      <c r="AF704" s="30"/>
      <c r="AG704" s="29"/>
      <c r="AH704" s="30"/>
      <c r="AI704" s="36"/>
      <c r="AJ704" s="30"/>
      <c r="AK704" s="29"/>
      <c r="AL704" s="30"/>
      <c r="AM704" s="30"/>
      <c r="AN704" s="30"/>
      <c r="AO704" s="30"/>
      <c r="AP704" s="30"/>
      <c r="AQ704" s="38"/>
      <c r="AR704" s="30"/>
      <c r="AS704" s="30"/>
      <c r="AT704" s="29"/>
      <c r="AU704" s="30"/>
      <c r="AV704" s="30"/>
      <c r="AW704" s="30"/>
      <c r="AX704" s="29"/>
      <c r="AY704" s="39"/>
      <c r="AZ704" s="30"/>
      <c r="BA704" s="30"/>
      <c r="BB704" s="29"/>
      <c r="BC704" s="52"/>
      <c r="BD704" s="30"/>
      <c r="BE704" s="29"/>
      <c r="BF704" s="30"/>
      <c r="BG704" s="30"/>
      <c r="BH704" s="30"/>
      <c r="BI704" s="30"/>
      <c r="BJ704" s="30"/>
      <c r="BK704" s="30"/>
      <c r="BL704" s="30"/>
      <c r="BM704" s="30"/>
      <c r="BN704" s="30"/>
      <c r="BO704" s="30"/>
      <c r="BP704" s="30"/>
      <c r="BQ704" s="30"/>
      <c r="BR704" s="30"/>
      <c r="BS704" s="30"/>
      <c r="BT704" s="30"/>
      <c r="BU704" s="30"/>
      <c r="BV704" s="30"/>
      <c r="BW704" s="30"/>
      <c r="BX704" s="30"/>
      <c r="BY704" s="30"/>
      <c r="BZ704" s="30"/>
      <c r="CA704" s="30"/>
      <c r="CB704" s="30"/>
      <c r="CC704" s="30"/>
      <c r="CD704" s="30"/>
      <c r="CE704" s="30"/>
      <c r="CF704" s="30"/>
      <c r="CG704" s="30"/>
      <c r="CH704" s="30"/>
      <c r="CI704" s="30"/>
      <c r="CJ704" s="30"/>
      <c r="CK704" s="30"/>
      <c r="CL704" s="30"/>
      <c r="CM704" s="30"/>
      <c r="CN704" s="30"/>
      <c r="CO704" s="30"/>
      <c r="CP704" s="30"/>
      <c r="CQ704" s="30"/>
      <c r="CR704" s="30"/>
      <c r="CS704" s="30"/>
      <c r="CT704" s="30"/>
      <c r="CU704" s="30"/>
      <c r="CV704" s="30"/>
      <c r="CW704" s="30"/>
      <c r="CX704" s="30"/>
      <c r="CY704" s="30"/>
      <c r="CZ704" s="30"/>
      <c r="DA704" s="30"/>
      <c r="DB704" s="30"/>
      <c r="DC704" s="30"/>
      <c r="DD704" s="30"/>
      <c r="DE704" s="30"/>
      <c r="DF704" s="30"/>
      <c r="DG704" s="30"/>
      <c r="DH704" s="30"/>
      <c r="DI704" s="30"/>
      <c r="DJ704" s="30"/>
      <c r="DK704" s="30"/>
      <c r="DL704" s="30"/>
      <c r="DM704" s="30"/>
      <c r="DN704" s="30"/>
      <c r="DO704" s="30"/>
      <c r="DP704" s="30"/>
      <c r="DQ704" s="30"/>
      <c r="DR704" s="30"/>
      <c r="DS704" s="30"/>
      <c r="DT704" s="30"/>
      <c r="DU704" s="30"/>
      <c r="DV704" s="30"/>
      <c r="DW704" s="30"/>
      <c r="DX704" s="30"/>
      <c r="DY704" s="30"/>
      <c r="DZ704" s="30"/>
    </row>
    <row r="705">
      <c r="A705" s="30"/>
      <c r="B705" s="42"/>
      <c r="C705" s="43"/>
      <c r="D705" s="30"/>
      <c r="E705" s="28"/>
      <c r="F705" s="30"/>
      <c r="G705" s="30"/>
      <c r="H705" s="30"/>
      <c r="I705" s="30"/>
      <c r="J705" s="28"/>
      <c r="K705" s="30"/>
      <c r="L705" s="30"/>
      <c r="M705" s="30"/>
      <c r="N705" s="30"/>
      <c r="O705" s="28"/>
      <c r="P705" s="30"/>
      <c r="Q705" s="30"/>
      <c r="R705" s="30"/>
      <c r="S705" s="36"/>
      <c r="T705" s="30"/>
      <c r="U705" s="36"/>
      <c r="V705" s="30"/>
      <c r="W705" s="28"/>
      <c r="X705" s="30"/>
      <c r="Y705" s="30"/>
      <c r="Z705" s="30"/>
      <c r="AA705" s="30"/>
      <c r="AB705" s="30"/>
      <c r="AC705" s="28"/>
      <c r="AD705" s="30"/>
      <c r="AE705" s="30"/>
      <c r="AF705" s="30"/>
      <c r="AG705" s="29"/>
      <c r="AH705" s="30"/>
      <c r="AI705" s="36"/>
      <c r="AJ705" s="30"/>
      <c r="AK705" s="29"/>
      <c r="AL705" s="30"/>
      <c r="AM705" s="30"/>
      <c r="AN705" s="30"/>
      <c r="AO705" s="30"/>
      <c r="AP705" s="30"/>
      <c r="AQ705" s="38"/>
      <c r="AR705" s="30"/>
      <c r="AS705" s="30"/>
      <c r="AT705" s="29"/>
      <c r="AU705" s="30"/>
      <c r="AV705" s="30"/>
      <c r="AW705" s="30"/>
      <c r="AX705" s="29"/>
      <c r="AY705" s="39"/>
      <c r="AZ705" s="30"/>
      <c r="BA705" s="30"/>
      <c r="BB705" s="29"/>
      <c r="BC705" s="52"/>
      <c r="BD705" s="30"/>
      <c r="BE705" s="29"/>
      <c r="BF705" s="30"/>
      <c r="BG705" s="30"/>
      <c r="BH705" s="30"/>
      <c r="BI705" s="30"/>
      <c r="BJ705" s="30"/>
      <c r="BK705" s="30"/>
      <c r="BL705" s="30"/>
      <c r="BM705" s="30"/>
      <c r="BN705" s="30"/>
      <c r="BO705" s="30"/>
      <c r="BP705" s="30"/>
      <c r="BQ705" s="30"/>
      <c r="BR705" s="30"/>
      <c r="BS705" s="30"/>
      <c r="BT705" s="30"/>
      <c r="BU705" s="30"/>
      <c r="BV705" s="30"/>
      <c r="BW705" s="30"/>
      <c r="BX705" s="30"/>
      <c r="BY705" s="30"/>
      <c r="BZ705" s="30"/>
      <c r="CA705" s="30"/>
      <c r="CB705" s="30"/>
      <c r="CC705" s="30"/>
      <c r="CD705" s="30"/>
      <c r="CE705" s="30"/>
      <c r="CF705" s="30"/>
      <c r="CG705" s="30"/>
      <c r="CH705" s="30"/>
      <c r="CI705" s="30"/>
      <c r="CJ705" s="30"/>
      <c r="CK705" s="30"/>
      <c r="CL705" s="30"/>
      <c r="CM705" s="30"/>
      <c r="CN705" s="30"/>
      <c r="CO705" s="30"/>
      <c r="CP705" s="30"/>
      <c r="CQ705" s="30"/>
      <c r="CR705" s="30"/>
      <c r="CS705" s="30"/>
      <c r="CT705" s="30"/>
      <c r="CU705" s="30"/>
      <c r="CV705" s="30"/>
      <c r="CW705" s="30"/>
      <c r="CX705" s="30"/>
      <c r="CY705" s="30"/>
      <c r="CZ705" s="30"/>
      <c r="DA705" s="30"/>
      <c r="DB705" s="30"/>
      <c r="DC705" s="30"/>
      <c r="DD705" s="30"/>
      <c r="DE705" s="30"/>
      <c r="DF705" s="30"/>
      <c r="DG705" s="30"/>
      <c r="DH705" s="30"/>
      <c r="DI705" s="30"/>
      <c r="DJ705" s="30"/>
      <c r="DK705" s="30"/>
      <c r="DL705" s="30"/>
      <c r="DM705" s="30"/>
      <c r="DN705" s="30"/>
      <c r="DO705" s="30"/>
      <c r="DP705" s="30"/>
      <c r="DQ705" s="30"/>
      <c r="DR705" s="30"/>
      <c r="DS705" s="30"/>
      <c r="DT705" s="30"/>
      <c r="DU705" s="30"/>
      <c r="DV705" s="30"/>
      <c r="DW705" s="30"/>
      <c r="DX705" s="30"/>
      <c r="DY705" s="30"/>
      <c r="DZ705" s="30"/>
    </row>
    <row r="706">
      <c r="A706" s="30"/>
      <c r="B706" s="42"/>
      <c r="C706" s="43"/>
      <c r="D706" s="30"/>
      <c r="E706" s="28"/>
      <c r="F706" s="30"/>
      <c r="G706" s="30"/>
      <c r="H706" s="30"/>
      <c r="I706" s="30"/>
      <c r="J706" s="28"/>
      <c r="K706" s="30"/>
      <c r="L706" s="30"/>
      <c r="M706" s="30"/>
      <c r="N706" s="30"/>
      <c r="O706" s="28"/>
      <c r="P706" s="30"/>
      <c r="Q706" s="30"/>
      <c r="R706" s="30"/>
      <c r="S706" s="36"/>
      <c r="T706" s="30"/>
      <c r="U706" s="36"/>
      <c r="V706" s="30"/>
      <c r="W706" s="28"/>
      <c r="X706" s="30"/>
      <c r="Y706" s="30"/>
      <c r="Z706" s="30"/>
      <c r="AA706" s="30"/>
      <c r="AB706" s="30"/>
      <c r="AC706" s="28"/>
      <c r="AD706" s="30"/>
      <c r="AE706" s="30"/>
      <c r="AF706" s="30"/>
      <c r="AG706" s="29"/>
      <c r="AH706" s="30"/>
      <c r="AI706" s="36"/>
      <c r="AJ706" s="30"/>
      <c r="AK706" s="29"/>
      <c r="AL706" s="30"/>
      <c r="AM706" s="30"/>
      <c r="AN706" s="30"/>
      <c r="AO706" s="30"/>
      <c r="AP706" s="30"/>
      <c r="AQ706" s="38"/>
      <c r="AR706" s="30"/>
      <c r="AS706" s="30"/>
      <c r="AT706" s="29"/>
      <c r="AU706" s="30"/>
      <c r="AV706" s="30"/>
      <c r="AW706" s="30"/>
      <c r="AX706" s="29"/>
      <c r="AY706" s="39"/>
      <c r="AZ706" s="30"/>
      <c r="BA706" s="30"/>
      <c r="BB706" s="29"/>
      <c r="BC706" s="52"/>
      <c r="BD706" s="30"/>
      <c r="BE706" s="29"/>
      <c r="BF706" s="30"/>
      <c r="BG706" s="30"/>
      <c r="BH706" s="30"/>
      <c r="BI706" s="30"/>
      <c r="BJ706" s="30"/>
      <c r="BK706" s="30"/>
      <c r="BL706" s="30"/>
      <c r="BM706" s="30"/>
      <c r="BN706" s="30"/>
      <c r="BO706" s="30"/>
      <c r="BP706" s="30"/>
      <c r="BQ706" s="30"/>
      <c r="BR706" s="30"/>
      <c r="BS706" s="30"/>
      <c r="BT706" s="30"/>
      <c r="BU706" s="30"/>
      <c r="BV706" s="30"/>
      <c r="BW706" s="30"/>
      <c r="BX706" s="30"/>
      <c r="BY706" s="30"/>
      <c r="BZ706" s="30"/>
      <c r="CA706" s="30"/>
      <c r="CB706" s="30"/>
      <c r="CC706" s="30"/>
      <c r="CD706" s="30"/>
      <c r="CE706" s="30"/>
      <c r="CF706" s="30"/>
      <c r="CG706" s="30"/>
      <c r="CH706" s="30"/>
      <c r="CI706" s="30"/>
      <c r="CJ706" s="30"/>
      <c r="CK706" s="30"/>
      <c r="CL706" s="30"/>
      <c r="CM706" s="30"/>
      <c r="CN706" s="30"/>
      <c r="CO706" s="30"/>
      <c r="CP706" s="30"/>
      <c r="CQ706" s="30"/>
      <c r="CR706" s="30"/>
      <c r="CS706" s="30"/>
      <c r="CT706" s="30"/>
      <c r="CU706" s="30"/>
      <c r="CV706" s="30"/>
      <c r="CW706" s="30"/>
      <c r="CX706" s="30"/>
      <c r="CY706" s="30"/>
      <c r="CZ706" s="30"/>
      <c r="DA706" s="30"/>
      <c r="DB706" s="30"/>
      <c r="DC706" s="30"/>
      <c r="DD706" s="30"/>
      <c r="DE706" s="30"/>
      <c r="DF706" s="30"/>
      <c r="DG706" s="30"/>
      <c r="DH706" s="30"/>
      <c r="DI706" s="30"/>
      <c r="DJ706" s="30"/>
      <c r="DK706" s="30"/>
      <c r="DL706" s="30"/>
      <c r="DM706" s="30"/>
      <c r="DN706" s="30"/>
      <c r="DO706" s="30"/>
      <c r="DP706" s="30"/>
      <c r="DQ706" s="30"/>
      <c r="DR706" s="30"/>
      <c r="DS706" s="30"/>
      <c r="DT706" s="30"/>
      <c r="DU706" s="30"/>
      <c r="DV706" s="30"/>
      <c r="DW706" s="30"/>
      <c r="DX706" s="30"/>
      <c r="DY706" s="30"/>
      <c r="DZ706" s="30"/>
    </row>
    <row r="707">
      <c r="A707" s="30"/>
      <c r="B707" s="42"/>
      <c r="C707" s="43"/>
      <c r="D707" s="30"/>
      <c r="E707" s="28"/>
      <c r="F707" s="30"/>
      <c r="G707" s="30"/>
      <c r="H707" s="30"/>
      <c r="I707" s="30"/>
      <c r="J707" s="28"/>
      <c r="K707" s="30"/>
      <c r="L707" s="30"/>
      <c r="M707" s="30"/>
      <c r="N707" s="30"/>
      <c r="O707" s="28"/>
      <c r="P707" s="30"/>
      <c r="Q707" s="30"/>
      <c r="R707" s="30"/>
      <c r="S707" s="36"/>
      <c r="T707" s="30"/>
      <c r="U707" s="36"/>
      <c r="V707" s="30"/>
      <c r="W707" s="28"/>
      <c r="X707" s="30"/>
      <c r="Y707" s="30"/>
      <c r="Z707" s="30"/>
      <c r="AA707" s="30"/>
      <c r="AB707" s="30"/>
      <c r="AC707" s="28"/>
      <c r="AD707" s="30"/>
      <c r="AE707" s="30"/>
      <c r="AF707" s="30"/>
      <c r="AG707" s="29"/>
      <c r="AH707" s="30"/>
      <c r="AI707" s="36"/>
      <c r="AJ707" s="30"/>
      <c r="AK707" s="29"/>
      <c r="AL707" s="30"/>
      <c r="AM707" s="30"/>
      <c r="AN707" s="30"/>
      <c r="AO707" s="30"/>
      <c r="AP707" s="30"/>
      <c r="AQ707" s="38"/>
      <c r="AR707" s="30"/>
      <c r="AS707" s="30"/>
      <c r="AT707" s="29"/>
      <c r="AU707" s="30"/>
      <c r="AV707" s="30"/>
      <c r="AW707" s="30"/>
      <c r="AX707" s="29"/>
      <c r="AY707" s="39"/>
      <c r="AZ707" s="30"/>
      <c r="BA707" s="30"/>
      <c r="BB707" s="29"/>
      <c r="BC707" s="52"/>
      <c r="BD707" s="30"/>
      <c r="BE707" s="29"/>
      <c r="BF707" s="30"/>
      <c r="BG707" s="30"/>
      <c r="BH707" s="30"/>
      <c r="BI707" s="30"/>
      <c r="BJ707" s="30"/>
      <c r="BK707" s="30"/>
      <c r="BL707" s="30"/>
      <c r="BM707" s="30"/>
      <c r="BN707" s="30"/>
      <c r="BO707" s="30"/>
      <c r="BP707" s="30"/>
      <c r="BQ707" s="30"/>
      <c r="BR707" s="30"/>
      <c r="BS707" s="30"/>
      <c r="BT707" s="30"/>
      <c r="BU707" s="30"/>
      <c r="BV707" s="30"/>
      <c r="BW707" s="30"/>
      <c r="BX707" s="30"/>
      <c r="BY707" s="30"/>
      <c r="BZ707" s="30"/>
      <c r="CA707" s="30"/>
      <c r="CB707" s="30"/>
      <c r="CC707" s="30"/>
      <c r="CD707" s="30"/>
      <c r="CE707" s="30"/>
      <c r="CF707" s="30"/>
      <c r="CG707" s="30"/>
      <c r="CH707" s="30"/>
      <c r="CI707" s="30"/>
      <c r="CJ707" s="30"/>
      <c r="CK707" s="30"/>
      <c r="CL707" s="30"/>
      <c r="CM707" s="30"/>
      <c r="CN707" s="30"/>
      <c r="CO707" s="30"/>
      <c r="CP707" s="30"/>
      <c r="CQ707" s="30"/>
      <c r="CR707" s="30"/>
      <c r="CS707" s="30"/>
      <c r="CT707" s="30"/>
      <c r="CU707" s="30"/>
      <c r="CV707" s="30"/>
      <c r="CW707" s="30"/>
      <c r="CX707" s="30"/>
      <c r="CY707" s="30"/>
      <c r="CZ707" s="30"/>
      <c r="DA707" s="30"/>
      <c r="DB707" s="30"/>
      <c r="DC707" s="30"/>
      <c r="DD707" s="30"/>
      <c r="DE707" s="30"/>
      <c r="DF707" s="30"/>
      <c r="DG707" s="30"/>
      <c r="DH707" s="30"/>
      <c r="DI707" s="30"/>
      <c r="DJ707" s="30"/>
      <c r="DK707" s="30"/>
      <c r="DL707" s="30"/>
      <c r="DM707" s="30"/>
      <c r="DN707" s="30"/>
      <c r="DO707" s="30"/>
      <c r="DP707" s="30"/>
      <c r="DQ707" s="30"/>
      <c r="DR707" s="30"/>
      <c r="DS707" s="30"/>
      <c r="DT707" s="30"/>
      <c r="DU707" s="30"/>
      <c r="DV707" s="30"/>
      <c r="DW707" s="30"/>
      <c r="DX707" s="30"/>
      <c r="DY707" s="30"/>
      <c r="DZ707" s="30"/>
    </row>
    <row r="708">
      <c r="A708" s="30"/>
      <c r="B708" s="42"/>
      <c r="C708" s="43"/>
      <c r="D708" s="30"/>
      <c r="E708" s="28"/>
      <c r="F708" s="30"/>
      <c r="G708" s="30"/>
      <c r="H708" s="30"/>
      <c r="I708" s="30"/>
      <c r="J708" s="28"/>
      <c r="K708" s="30"/>
      <c r="L708" s="30"/>
      <c r="M708" s="30"/>
      <c r="N708" s="30"/>
      <c r="O708" s="28"/>
      <c r="P708" s="30"/>
      <c r="Q708" s="30"/>
      <c r="R708" s="30"/>
      <c r="S708" s="36"/>
      <c r="T708" s="30"/>
      <c r="U708" s="36"/>
      <c r="V708" s="30"/>
      <c r="W708" s="28"/>
      <c r="X708" s="30"/>
      <c r="Y708" s="30"/>
      <c r="Z708" s="30"/>
      <c r="AA708" s="30"/>
      <c r="AB708" s="30"/>
      <c r="AC708" s="28"/>
      <c r="AD708" s="30"/>
      <c r="AE708" s="30"/>
      <c r="AF708" s="30"/>
      <c r="AG708" s="29"/>
      <c r="AH708" s="30"/>
      <c r="AI708" s="36"/>
      <c r="AJ708" s="30"/>
      <c r="AK708" s="29"/>
      <c r="AL708" s="30"/>
      <c r="AM708" s="30"/>
      <c r="AN708" s="30"/>
      <c r="AO708" s="30"/>
      <c r="AP708" s="30"/>
      <c r="AQ708" s="38"/>
      <c r="AR708" s="30"/>
      <c r="AS708" s="30"/>
      <c r="AT708" s="29"/>
      <c r="AU708" s="30"/>
      <c r="AV708" s="30"/>
      <c r="AW708" s="30"/>
      <c r="AX708" s="29"/>
      <c r="AY708" s="39"/>
      <c r="AZ708" s="30"/>
      <c r="BA708" s="30"/>
      <c r="BB708" s="29"/>
      <c r="BC708" s="52"/>
      <c r="BD708" s="30"/>
      <c r="BE708" s="29"/>
      <c r="BF708" s="30"/>
      <c r="BG708" s="30"/>
      <c r="BH708" s="30"/>
      <c r="BI708" s="30"/>
      <c r="BJ708" s="30"/>
      <c r="BK708" s="30"/>
      <c r="BL708" s="30"/>
      <c r="BM708" s="30"/>
      <c r="BN708" s="30"/>
      <c r="BO708" s="30"/>
      <c r="BP708" s="30"/>
      <c r="BQ708" s="30"/>
      <c r="BR708" s="30"/>
      <c r="BS708" s="30"/>
      <c r="BT708" s="30"/>
      <c r="BU708" s="30"/>
      <c r="BV708" s="30"/>
      <c r="BW708" s="30"/>
      <c r="BX708" s="30"/>
      <c r="BY708" s="30"/>
      <c r="BZ708" s="30"/>
      <c r="CA708" s="30"/>
      <c r="CB708" s="30"/>
      <c r="CC708" s="30"/>
      <c r="CD708" s="30"/>
      <c r="CE708" s="30"/>
      <c r="CF708" s="30"/>
      <c r="CG708" s="30"/>
      <c r="CH708" s="30"/>
      <c r="CI708" s="30"/>
      <c r="CJ708" s="30"/>
      <c r="CK708" s="30"/>
      <c r="CL708" s="30"/>
      <c r="CM708" s="30"/>
      <c r="CN708" s="30"/>
      <c r="CO708" s="30"/>
      <c r="CP708" s="30"/>
      <c r="CQ708" s="30"/>
      <c r="CR708" s="30"/>
      <c r="CS708" s="30"/>
      <c r="CT708" s="30"/>
      <c r="CU708" s="30"/>
      <c r="CV708" s="30"/>
      <c r="CW708" s="30"/>
      <c r="CX708" s="30"/>
      <c r="CY708" s="30"/>
      <c r="CZ708" s="30"/>
      <c r="DA708" s="30"/>
      <c r="DB708" s="30"/>
      <c r="DC708" s="30"/>
      <c r="DD708" s="30"/>
      <c r="DE708" s="30"/>
      <c r="DF708" s="30"/>
      <c r="DG708" s="30"/>
      <c r="DH708" s="30"/>
      <c r="DI708" s="30"/>
      <c r="DJ708" s="30"/>
      <c r="DK708" s="30"/>
      <c r="DL708" s="30"/>
      <c r="DM708" s="30"/>
      <c r="DN708" s="30"/>
      <c r="DO708" s="30"/>
      <c r="DP708" s="30"/>
      <c r="DQ708" s="30"/>
      <c r="DR708" s="30"/>
      <c r="DS708" s="30"/>
      <c r="DT708" s="30"/>
      <c r="DU708" s="30"/>
      <c r="DV708" s="30"/>
      <c r="DW708" s="30"/>
      <c r="DX708" s="30"/>
      <c r="DY708" s="30"/>
      <c r="DZ708" s="30"/>
    </row>
    <row r="709">
      <c r="A709" s="30"/>
      <c r="B709" s="42"/>
      <c r="C709" s="43"/>
      <c r="D709" s="30"/>
      <c r="E709" s="28"/>
      <c r="F709" s="30"/>
      <c r="G709" s="30"/>
      <c r="H709" s="30"/>
      <c r="I709" s="30"/>
      <c r="J709" s="28"/>
      <c r="K709" s="30"/>
      <c r="L709" s="30"/>
      <c r="M709" s="30"/>
      <c r="N709" s="30"/>
      <c r="O709" s="28"/>
      <c r="P709" s="30"/>
      <c r="Q709" s="30"/>
      <c r="R709" s="30"/>
      <c r="S709" s="36"/>
      <c r="T709" s="30"/>
      <c r="U709" s="36"/>
      <c r="V709" s="30"/>
      <c r="W709" s="28"/>
      <c r="X709" s="30"/>
      <c r="Y709" s="30"/>
      <c r="Z709" s="30"/>
      <c r="AA709" s="30"/>
      <c r="AB709" s="30"/>
      <c r="AC709" s="28"/>
      <c r="AD709" s="30"/>
      <c r="AE709" s="30"/>
      <c r="AF709" s="30"/>
      <c r="AG709" s="29"/>
      <c r="AH709" s="30"/>
      <c r="AI709" s="36"/>
      <c r="AJ709" s="30"/>
      <c r="AK709" s="29"/>
      <c r="AL709" s="30"/>
      <c r="AM709" s="30"/>
      <c r="AN709" s="30"/>
      <c r="AO709" s="30"/>
      <c r="AP709" s="30"/>
      <c r="AQ709" s="38"/>
      <c r="AR709" s="30"/>
      <c r="AS709" s="30"/>
      <c r="AT709" s="29"/>
      <c r="AU709" s="30"/>
      <c r="AV709" s="30"/>
      <c r="AW709" s="30"/>
      <c r="AX709" s="29"/>
      <c r="AY709" s="39"/>
      <c r="AZ709" s="30"/>
      <c r="BA709" s="30"/>
      <c r="BB709" s="29"/>
      <c r="BC709" s="52"/>
      <c r="BD709" s="30"/>
      <c r="BE709" s="29"/>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0"/>
      <c r="CF709" s="30"/>
      <c r="CG709" s="30"/>
      <c r="CH709" s="30"/>
      <c r="CI709" s="30"/>
      <c r="CJ709" s="30"/>
      <c r="CK709" s="30"/>
      <c r="CL709" s="30"/>
      <c r="CM709" s="30"/>
      <c r="CN709" s="30"/>
      <c r="CO709" s="30"/>
      <c r="CP709" s="30"/>
      <c r="CQ709" s="30"/>
      <c r="CR709" s="30"/>
      <c r="CS709" s="30"/>
      <c r="CT709" s="30"/>
      <c r="CU709" s="30"/>
      <c r="CV709" s="30"/>
      <c r="CW709" s="30"/>
      <c r="CX709" s="30"/>
      <c r="CY709" s="30"/>
      <c r="CZ709" s="30"/>
      <c r="DA709" s="30"/>
      <c r="DB709" s="30"/>
      <c r="DC709" s="30"/>
      <c r="DD709" s="30"/>
      <c r="DE709" s="30"/>
      <c r="DF709" s="30"/>
      <c r="DG709" s="30"/>
      <c r="DH709" s="30"/>
      <c r="DI709" s="30"/>
      <c r="DJ709" s="30"/>
      <c r="DK709" s="30"/>
      <c r="DL709" s="30"/>
      <c r="DM709" s="30"/>
      <c r="DN709" s="30"/>
      <c r="DO709" s="30"/>
      <c r="DP709" s="30"/>
      <c r="DQ709" s="30"/>
      <c r="DR709" s="30"/>
      <c r="DS709" s="30"/>
      <c r="DT709" s="30"/>
      <c r="DU709" s="30"/>
      <c r="DV709" s="30"/>
      <c r="DW709" s="30"/>
      <c r="DX709" s="30"/>
      <c r="DY709" s="30"/>
      <c r="DZ709" s="30"/>
    </row>
    <row r="710">
      <c r="A710" s="30"/>
      <c r="B710" s="42"/>
      <c r="C710" s="43"/>
      <c r="D710" s="30"/>
      <c r="E710" s="28"/>
      <c r="F710" s="30"/>
      <c r="G710" s="30"/>
      <c r="H710" s="30"/>
      <c r="I710" s="30"/>
      <c r="J710" s="28"/>
      <c r="K710" s="30"/>
      <c r="L710" s="30"/>
      <c r="M710" s="30"/>
      <c r="N710" s="30"/>
      <c r="O710" s="28"/>
      <c r="P710" s="30"/>
      <c r="Q710" s="30"/>
      <c r="R710" s="30"/>
      <c r="S710" s="36"/>
      <c r="T710" s="30"/>
      <c r="U710" s="36"/>
      <c r="V710" s="30"/>
      <c r="W710" s="28"/>
      <c r="X710" s="30"/>
      <c r="Y710" s="30"/>
      <c r="Z710" s="30"/>
      <c r="AA710" s="30"/>
      <c r="AB710" s="30"/>
      <c r="AC710" s="28"/>
      <c r="AD710" s="30"/>
      <c r="AE710" s="30"/>
      <c r="AF710" s="30"/>
      <c r="AG710" s="29"/>
      <c r="AH710" s="30"/>
      <c r="AI710" s="36"/>
      <c r="AJ710" s="30"/>
      <c r="AK710" s="29"/>
      <c r="AL710" s="30"/>
      <c r="AM710" s="30"/>
      <c r="AN710" s="30"/>
      <c r="AO710" s="30"/>
      <c r="AP710" s="30"/>
      <c r="AQ710" s="38"/>
      <c r="AR710" s="30"/>
      <c r="AS710" s="30"/>
      <c r="AT710" s="29"/>
      <c r="AU710" s="30"/>
      <c r="AV710" s="30"/>
      <c r="AW710" s="30"/>
      <c r="AX710" s="29"/>
      <c r="AY710" s="39"/>
      <c r="AZ710" s="30"/>
      <c r="BA710" s="30"/>
      <c r="BB710" s="29"/>
      <c r="BC710" s="52"/>
      <c r="BD710" s="30"/>
      <c r="BE710" s="29"/>
      <c r="BF710" s="30"/>
      <c r="BG710" s="30"/>
      <c r="BH710" s="30"/>
      <c r="BI710" s="30"/>
      <c r="BJ710" s="30"/>
      <c r="BK710" s="30"/>
      <c r="BL710" s="30"/>
      <c r="BM710" s="30"/>
      <c r="BN710" s="30"/>
      <c r="BO710" s="30"/>
      <c r="BP710" s="30"/>
      <c r="BQ710" s="30"/>
      <c r="BR710" s="30"/>
      <c r="BS710" s="30"/>
      <c r="BT710" s="30"/>
      <c r="BU710" s="30"/>
      <c r="BV710" s="30"/>
      <c r="BW710" s="30"/>
      <c r="BX710" s="30"/>
      <c r="BY710" s="30"/>
      <c r="BZ710" s="30"/>
      <c r="CA710" s="30"/>
      <c r="CB710" s="30"/>
      <c r="CC710" s="30"/>
      <c r="CD710" s="30"/>
      <c r="CE710" s="30"/>
      <c r="CF710" s="30"/>
      <c r="CG710" s="30"/>
      <c r="CH710" s="30"/>
      <c r="CI710" s="30"/>
      <c r="CJ710" s="30"/>
      <c r="CK710" s="30"/>
      <c r="CL710" s="30"/>
      <c r="CM710" s="30"/>
      <c r="CN710" s="30"/>
      <c r="CO710" s="30"/>
      <c r="CP710" s="30"/>
      <c r="CQ710" s="30"/>
      <c r="CR710" s="30"/>
      <c r="CS710" s="30"/>
      <c r="CT710" s="30"/>
      <c r="CU710" s="30"/>
      <c r="CV710" s="30"/>
      <c r="CW710" s="30"/>
      <c r="CX710" s="30"/>
      <c r="CY710" s="30"/>
      <c r="CZ710" s="30"/>
      <c r="DA710" s="30"/>
      <c r="DB710" s="30"/>
      <c r="DC710" s="30"/>
      <c r="DD710" s="30"/>
      <c r="DE710" s="30"/>
      <c r="DF710" s="30"/>
      <c r="DG710" s="30"/>
      <c r="DH710" s="30"/>
      <c r="DI710" s="30"/>
      <c r="DJ710" s="30"/>
      <c r="DK710" s="30"/>
      <c r="DL710" s="30"/>
      <c r="DM710" s="30"/>
      <c r="DN710" s="30"/>
      <c r="DO710" s="30"/>
      <c r="DP710" s="30"/>
      <c r="DQ710" s="30"/>
      <c r="DR710" s="30"/>
      <c r="DS710" s="30"/>
      <c r="DT710" s="30"/>
      <c r="DU710" s="30"/>
      <c r="DV710" s="30"/>
      <c r="DW710" s="30"/>
      <c r="DX710" s="30"/>
      <c r="DY710" s="30"/>
      <c r="DZ710" s="30"/>
    </row>
    <row r="711">
      <c r="A711" s="30"/>
      <c r="B711" s="42"/>
      <c r="C711" s="43"/>
      <c r="D711" s="30"/>
      <c r="E711" s="28"/>
      <c r="F711" s="30"/>
      <c r="G711" s="30"/>
      <c r="H711" s="30"/>
      <c r="I711" s="30"/>
      <c r="J711" s="28"/>
      <c r="K711" s="30"/>
      <c r="L711" s="30"/>
      <c r="M711" s="30"/>
      <c r="N711" s="30"/>
      <c r="O711" s="28"/>
      <c r="P711" s="30"/>
      <c r="Q711" s="30"/>
      <c r="R711" s="30"/>
      <c r="S711" s="36"/>
      <c r="T711" s="30"/>
      <c r="U711" s="36"/>
      <c r="V711" s="30"/>
      <c r="W711" s="28"/>
      <c r="X711" s="30"/>
      <c r="Y711" s="30"/>
      <c r="Z711" s="30"/>
      <c r="AA711" s="30"/>
      <c r="AB711" s="30"/>
      <c r="AC711" s="28"/>
      <c r="AD711" s="30"/>
      <c r="AE711" s="30"/>
      <c r="AF711" s="30"/>
      <c r="AG711" s="29"/>
      <c r="AH711" s="30"/>
      <c r="AI711" s="36"/>
      <c r="AJ711" s="30"/>
      <c r="AK711" s="29"/>
      <c r="AL711" s="30"/>
      <c r="AM711" s="30"/>
      <c r="AN711" s="30"/>
      <c r="AO711" s="30"/>
      <c r="AP711" s="30"/>
      <c r="AQ711" s="38"/>
      <c r="AR711" s="30"/>
      <c r="AS711" s="30"/>
      <c r="AT711" s="29"/>
      <c r="AU711" s="30"/>
      <c r="AV711" s="30"/>
      <c r="AW711" s="30"/>
      <c r="AX711" s="29"/>
      <c r="AY711" s="39"/>
      <c r="AZ711" s="30"/>
      <c r="BA711" s="30"/>
      <c r="BB711" s="29"/>
      <c r="BC711" s="52"/>
      <c r="BD711" s="30"/>
      <c r="BE711" s="29"/>
      <c r="BF711" s="30"/>
      <c r="BG711" s="30"/>
      <c r="BH711" s="30"/>
      <c r="BI711" s="30"/>
      <c r="BJ711" s="30"/>
      <c r="BK711" s="30"/>
      <c r="BL711" s="30"/>
      <c r="BM711" s="30"/>
      <c r="BN711" s="30"/>
      <c r="BO711" s="30"/>
      <c r="BP711" s="30"/>
      <c r="BQ711" s="30"/>
      <c r="BR711" s="30"/>
      <c r="BS711" s="30"/>
      <c r="BT711" s="30"/>
      <c r="BU711" s="30"/>
      <c r="BV711" s="30"/>
      <c r="BW711" s="30"/>
      <c r="BX711" s="30"/>
      <c r="BY711" s="30"/>
      <c r="BZ711" s="30"/>
      <c r="CA711" s="30"/>
      <c r="CB711" s="30"/>
      <c r="CC711" s="30"/>
      <c r="CD711" s="30"/>
      <c r="CE711" s="30"/>
      <c r="CF711" s="30"/>
      <c r="CG711" s="30"/>
      <c r="CH711" s="30"/>
      <c r="CI711" s="30"/>
      <c r="CJ711" s="30"/>
      <c r="CK711" s="30"/>
      <c r="CL711" s="30"/>
      <c r="CM711" s="30"/>
      <c r="CN711" s="30"/>
      <c r="CO711" s="30"/>
      <c r="CP711" s="30"/>
      <c r="CQ711" s="30"/>
      <c r="CR711" s="30"/>
      <c r="CS711" s="30"/>
      <c r="CT711" s="30"/>
      <c r="CU711" s="30"/>
      <c r="CV711" s="30"/>
      <c r="CW711" s="30"/>
      <c r="CX711" s="30"/>
      <c r="CY711" s="30"/>
      <c r="CZ711" s="30"/>
      <c r="DA711" s="30"/>
      <c r="DB711" s="30"/>
      <c r="DC711" s="30"/>
      <c r="DD711" s="30"/>
      <c r="DE711" s="30"/>
      <c r="DF711" s="30"/>
      <c r="DG711" s="30"/>
      <c r="DH711" s="30"/>
      <c r="DI711" s="30"/>
      <c r="DJ711" s="30"/>
      <c r="DK711" s="30"/>
      <c r="DL711" s="30"/>
      <c r="DM711" s="30"/>
      <c r="DN711" s="30"/>
      <c r="DO711" s="30"/>
      <c r="DP711" s="30"/>
      <c r="DQ711" s="30"/>
      <c r="DR711" s="30"/>
      <c r="DS711" s="30"/>
      <c r="DT711" s="30"/>
      <c r="DU711" s="30"/>
      <c r="DV711" s="30"/>
      <c r="DW711" s="30"/>
      <c r="DX711" s="30"/>
      <c r="DY711" s="30"/>
      <c r="DZ711" s="30"/>
    </row>
    <row r="712">
      <c r="A712" s="30"/>
      <c r="B712" s="42"/>
      <c r="C712" s="43"/>
      <c r="D712" s="30"/>
      <c r="E712" s="28"/>
      <c r="F712" s="30"/>
      <c r="G712" s="30"/>
      <c r="H712" s="30"/>
      <c r="I712" s="30"/>
      <c r="J712" s="28"/>
      <c r="K712" s="30"/>
      <c r="L712" s="30"/>
      <c r="M712" s="30"/>
      <c r="N712" s="30"/>
      <c r="O712" s="28"/>
      <c r="P712" s="30"/>
      <c r="Q712" s="30"/>
      <c r="R712" s="30"/>
      <c r="S712" s="36"/>
      <c r="T712" s="30"/>
      <c r="U712" s="36"/>
      <c r="V712" s="30"/>
      <c r="W712" s="28"/>
      <c r="X712" s="30"/>
      <c r="Y712" s="30"/>
      <c r="Z712" s="30"/>
      <c r="AA712" s="30"/>
      <c r="AB712" s="30"/>
      <c r="AC712" s="28"/>
      <c r="AD712" s="30"/>
      <c r="AE712" s="30"/>
      <c r="AF712" s="30"/>
      <c r="AG712" s="29"/>
      <c r="AH712" s="30"/>
      <c r="AI712" s="36"/>
      <c r="AJ712" s="30"/>
      <c r="AK712" s="29"/>
      <c r="AL712" s="30"/>
      <c r="AM712" s="30"/>
      <c r="AN712" s="30"/>
      <c r="AO712" s="30"/>
      <c r="AP712" s="30"/>
      <c r="AQ712" s="38"/>
      <c r="AR712" s="30"/>
      <c r="AS712" s="30"/>
      <c r="AT712" s="29"/>
      <c r="AU712" s="30"/>
      <c r="AV712" s="30"/>
      <c r="AW712" s="30"/>
      <c r="AX712" s="29"/>
      <c r="AY712" s="39"/>
      <c r="AZ712" s="30"/>
      <c r="BA712" s="30"/>
      <c r="BB712" s="29"/>
      <c r="BC712" s="52"/>
      <c r="BD712" s="30"/>
      <c r="BE712" s="29"/>
      <c r="BF712" s="30"/>
      <c r="BG712" s="30"/>
      <c r="BH712" s="30"/>
      <c r="BI712" s="30"/>
      <c r="BJ712" s="30"/>
      <c r="BK712" s="30"/>
      <c r="BL712" s="30"/>
      <c r="BM712" s="30"/>
      <c r="BN712" s="30"/>
      <c r="BO712" s="30"/>
      <c r="BP712" s="30"/>
      <c r="BQ712" s="30"/>
      <c r="BR712" s="30"/>
      <c r="BS712" s="30"/>
      <c r="BT712" s="30"/>
      <c r="BU712" s="30"/>
      <c r="BV712" s="30"/>
      <c r="BW712" s="30"/>
      <c r="BX712" s="30"/>
      <c r="BY712" s="30"/>
      <c r="BZ712" s="30"/>
      <c r="CA712" s="30"/>
      <c r="CB712" s="30"/>
      <c r="CC712" s="30"/>
      <c r="CD712" s="30"/>
      <c r="CE712" s="30"/>
      <c r="CF712" s="30"/>
      <c r="CG712" s="30"/>
      <c r="CH712" s="30"/>
      <c r="CI712" s="30"/>
      <c r="CJ712" s="30"/>
      <c r="CK712" s="30"/>
      <c r="CL712" s="30"/>
      <c r="CM712" s="30"/>
      <c r="CN712" s="30"/>
      <c r="CO712" s="30"/>
      <c r="CP712" s="30"/>
      <c r="CQ712" s="30"/>
      <c r="CR712" s="30"/>
      <c r="CS712" s="30"/>
      <c r="CT712" s="30"/>
      <c r="CU712" s="30"/>
      <c r="CV712" s="30"/>
      <c r="CW712" s="30"/>
      <c r="CX712" s="30"/>
      <c r="CY712" s="30"/>
      <c r="CZ712" s="30"/>
      <c r="DA712" s="30"/>
      <c r="DB712" s="30"/>
      <c r="DC712" s="30"/>
      <c r="DD712" s="30"/>
      <c r="DE712" s="30"/>
      <c r="DF712" s="30"/>
      <c r="DG712" s="30"/>
      <c r="DH712" s="30"/>
      <c r="DI712" s="30"/>
      <c r="DJ712" s="30"/>
      <c r="DK712" s="30"/>
      <c r="DL712" s="30"/>
      <c r="DM712" s="30"/>
      <c r="DN712" s="30"/>
      <c r="DO712" s="30"/>
      <c r="DP712" s="30"/>
      <c r="DQ712" s="30"/>
      <c r="DR712" s="30"/>
      <c r="DS712" s="30"/>
      <c r="DT712" s="30"/>
      <c r="DU712" s="30"/>
      <c r="DV712" s="30"/>
      <c r="DW712" s="30"/>
      <c r="DX712" s="30"/>
      <c r="DY712" s="30"/>
      <c r="DZ712" s="30"/>
    </row>
    <row r="713">
      <c r="A713" s="30"/>
      <c r="B713" s="42"/>
      <c r="C713" s="43"/>
      <c r="D713" s="30"/>
      <c r="E713" s="28"/>
      <c r="F713" s="30"/>
      <c r="G713" s="30"/>
      <c r="H713" s="30"/>
      <c r="I713" s="30"/>
      <c r="J713" s="28"/>
      <c r="K713" s="30"/>
      <c r="L713" s="30"/>
      <c r="M713" s="30"/>
      <c r="N713" s="30"/>
      <c r="O713" s="28"/>
      <c r="P713" s="30"/>
      <c r="Q713" s="30"/>
      <c r="R713" s="30"/>
      <c r="S713" s="36"/>
      <c r="T713" s="30"/>
      <c r="U713" s="36"/>
      <c r="V713" s="30"/>
      <c r="W713" s="28"/>
      <c r="X713" s="30"/>
      <c r="Y713" s="30"/>
      <c r="Z713" s="30"/>
      <c r="AA713" s="30"/>
      <c r="AB713" s="30"/>
      <c r="AC713" s="28"/>
      <c r="AD713" s="30"/>
      <c r="AE713" s="30"/>
      <c r="AF713" s="30"/>
      <c r="AG713" s="29"/>
      <c r="AH713" s="30"/>
      <c r="AI713" s="36"/>
      <c r="AJ713" s="30"/>
      <c r="AK713" s="29"/>
      <c r="AL713" s="30"/>
      <c r="AM713" s="30"/>
      <c r="AN713" s="30"/>
      <c r="AO713" s="30"/>
      <c r="AP713" s="30"/>
      <c r="AQ713" s="38"/>
      <c r="AR713" s="30"/>
      <c r="AS713" s="30"/>
      <c r="AT713" s="29"/>
      <c r="AU713" s="30"/>
      <c r="AV713" s="30"/>
      <c r="AW713" s="30"/>
      <c r="AX713" s="29"/>
      <c r="AY713" s="39"/>
      <c r="AZ713" s="30"/>
      <c r="BA713" s="30"/>
      <c r="BB713" s="29"/>
      <c r="BC713" s="52"/>
      <c r="BD713" s="30"/>
      <c r="BE713" s="29"/>
      <c r="BF713" s="30"/>
      <c r="BG713" s="30"/>
      <c r="BH713" s="30"/>
      <c r="BI713" s="30"/>
      <c r="BJ713" s="30"/>
      <c r="BK713" s="30"/>
      <c r="BL713" s="30"/>
      <c r="BM713" s="30"/>
      <c r="BN713" s="30"/>
      <c r="BO713" s="30"/>
      <c r="BP713" s="30"/>
      <c r="BQ713" s="30"/>
      <c r="BR713" s="30"/>
      <c r="BS713" s="30"/>
      <c r="BT713" s="30"/>
      <c r="BU713" s="30"/>
      <c r="BV713" s="30"/>
      <c r="BW713" s="30"/>
      <c r="BX713" s="30"/>
      <c r="BY713" s="30"/>
      <c r="BZ713" s="30"/>
      <c r="CA713" s="30"/>
      <c r="CB713" s="30"/>
      <c r="CC713" s="30"/>
      <c r="CD713" s="30"/>
      <c r="CE713" s="30"/>
      <c r="CF713" s="30"/>
      <c r="CG713" s="30"/>
      <c r="CH713" s="30"/>
      <c r="CI713" s="30"/>
      <c r="CJ713" s="30"/>
      <c r="CK713" s="30"/>
      <c r="CL713" s="30"/>
      <c r="CM713" s="30"/>
      <c r="CN713" s="30"/>
      <c r="CO713" s="30"/>
      <c r="CP713" s="30"/>
      <c r="CQ713" s="30"/>
      <c r="CR713" s="30"/>
      <c r="CS713" s="30"/>
      <c r="CT713" s="30"/>
      <c r="CU713" s="30"/>
      <c r="CV713" s="30"/>
      <c r="CW713" s="30"/>
      <c r="CX713" s="30"/>
      <c r="CY713" s="30"/>
      <c r="CZ713" s="30"/>
      <c r="DA713" s="30"/>
      <c r="DB713" s="30"/>
      <c r="DC713" s="30"/>
      <c r="DD713" s="30"/>
      <c r="DE713" s="30"/>
      <c r="DF713" s="30"/>
      <c r="DG713" s="30"/>
      <c r="DH713" s="30"/>
      <c r="DI713" s="30"/>
      <c r="DJ713" s="30"/>
      <c r="DK713" s="30"/>
      <c r="DL713" s="30"/>
      <c r="DM713" s="30"/>
      <c r="DN713" s="30"/>
      <c r="DO713" s="30"/>
      <c r="DP713" s="30"/>
      <c r="DQ713" s="30"/>
      <c r="DR713" s="30"/>
      <c r="DS713" s="30"/>
      <c r="DT713" s="30"/>
      <c r="DU713" s="30"/>
      <c r="DV713" s="30"/>
      <c r="DW713" s="30"/>
      <c r="DX713" s="30"/>
      <c r="DY713" s="30"/>
      <c r="DZ713" s="30"/>
    </row>
    <row r="714">
      <c r="A714" s="30"/>
      <c r="B714" s="42"/>
      <c r="C714" s="43"/>
      <c r="D714" s="30"/>
      <c r="E714" s="28"/>
      <c r="F714" s="30"/>
      <c r="G714" s="30"/>
      <c r="H714" s="30"/>
      <c r="I714" s="30"/>
      <c r="J714" s="28"/>
      <c r="K714" s="30"/>
      <c r="L714" s="30"/>
      <c r="M714" s="30"/>
      <c r="N714" s="30"/>
      <c r="O714" s="28"/>
      <c r="P714" s="30"/>
      <c r="Q714" s="30"/>
      <c r="R714" s="30"/>
      <c r="S714" s="36"/>
      <c r="T714" s="30"/>
      <c r="U714" s="36"/>
      <c r="V714" s="30"/>
      <c r="W714" s="28"/>
      <c r="X714" s="30"/>
      <c r="Y714" s="30"/>
      <c r="Z714" s="30"/>
      <c r="AA714" s="30"/>
      <c r="AB714" s="30"/>
      <c r="AC714" s="28"/>
      <c r="AD714" s="30"/>
      <c r="AE714" s="30"/>
      <c r="AF714" s="30"/>
      <c r="AG714" s="29"/>
      <c r="AH714" s="30"/>
      <c r="AI714" s="36"/>
      <c r="AJ714" s="30"/>
      <c r="AK714" s="29"/>
      <c r="AL714" s="30"/>
      <c r="AM714" s="30"/>
      <c r="AN714" s="30"/>
      <c r="AO714" s="30"/>
      <c r="AP714" s="30"/>
      <c r="AQ714" s="38"/>
      <c r="AR714" s="30"/>
      <c r="AS714" s="30"/>
      <c r="AT714" s="29"/>
      <c r="AU714" s="30"/>
      <c r="AV714" s="30"/>
      <c r="AW714" s="30"/>
      <c r="AX714" s="29"/>
      <c r="AY714" s="39"/>
      <c r="AZ714" s="30"/>
      <c r="BA714" s="30"/>
      <c r="BB714" s="29"/>
      <c r="BC714" s="52"/>
      <c r="BD714" s="30"/>
      <c r="BE714" s="29"/>
      <c r="BF714" s="30"/>
      <c r="BG714" s="30"/>
      <c r="BH714" s="30"/>
      <c r="BI714" s="30"/>
      <c r="BJ714" s="30"/>
      <c r="BK714" s="30"/>
      <c r="BL714" s="30"/>
      <c r="BM714" s="30"/>
      <c r="BN714" s="30"/>
      <c r="BO714" s="30"/>
      <c r="BP714" s="30"/>
      <c r="BQ714" s="30"/>
      <c r="BR714" s="30"/>
      <c r="BS714" s="30"/>
      <c r="BT714" s="30"/>
      <c r="BU714" s="30"/>
      <c r="BV714" s="30"/>
      <c r="BW714" s="30"/>
      <c r="BX714" s="30"/>
      <c r="BY714" s="30"/>
      <c r="BZ714" s="30"/>
      <c r="CA714" s="30"/>
      <c r="CB714" s="30"/>
      <c r="CC714" s="30"/>
      <c r="CD714" s="30"/>
      <c r="CE714" s="30"/>
      <c r="CF714" s="30"/>
      <c r="CG714" s="30"/>
      <c r="CH714" s="30"/>
      <c r="CI714" s="30"/>
      <c r="CJ714" s="30"/>
      <c r="CK714" s="30"/>
      <c r="CL714" s="30"/>
      <c r="CM714" s="30"/>
      <c r="CN714" s="30"/>
      <c r="CO714" s="30"/>
      <c r="CP714" s="30"/>
      <c r="CQ714" s="30"/>
      <c r="CR714" s="30"/>
      <c r="CS714" s="30"/>
      <c r="CT714" s="30"/>
      <c r="CU714" s="30"/>
      <c r="CV714" s="30"/>
      <c r="CW714" s="30"/>
      <c r="CX714" s="30"/>
      <c r="CY714" s="30"/>
      <c r="CZ714" s="30"/>
      <c r="DA714" s="30"/>
      <c r="DB714" s="30"/>
      <c r="DC714" s="30"/>
      <c r="DD714" s="30"/>
      <c r="DE714" s="30"/>
      <c r="DF714" s="30"/>
      <c r="DG714" s="30"/>
      <c r="DH714" s="30"/>
      <c r="DI714" s="30"/>
      <c r="DJ714" s="30"/>
      <c r="DK714" s="30"/>
      <c r="DL714" s="30"/>
      <c r="DM714" s="30"/>
      <c r="DN714" s="30"/>
      <c r="DO714" s="30"/>
      <c r="DP714" s="30"/>
      <c r="DQ714" s="30"/>
      <c r="DR714" s="30"/>
      <c r="DS714" s="30"/>
      <c r="DT714" s="30"/>
      <c r="DU714" s="30"/>
      <c r="DV714" s="30"/>
      <c r="DW714" s="30"/>
      <c r="DX714" s="30"/>
      <c r="DY714" s="30"/>
      <c r="DZ714" s="30"/>
    </row>
    <row r="715">
      <c r="A715" s="30"/>
      <c r="B715" s="42"/>
      <c r="C715" s="43"/>
      <c r="D715" s="30"/>
      <c r="E715" s="28"/>
      <c r="F715" s="30"/>
      <c r="G715" s="30"/>
      <c r="H715" s="30"/>
      <c r="I715" s="30"/>
      <c r="J715" s="28"/>
      <c r="K715" s="30"/>
      <c r="L715" s="30"/>
      <c r="M715" s="30"/>
      <c r="N715" s="30"/>
      <c r="O715" s="28"/>
      <c r="P715" s="30"/>
      <c r="Q715" s="30"/>
      <c r="R715" s="30"/>
      <c r="S715" s="36"/>
      <c r="T715" s="30"/>
      <c r="U715" s="36"/>
      <c r="V715" s="30"/>
      <c r="W715" s="28"/>
      <c r="X715" s="30"/>
      <c r="Y715" s="30"/>
      <c r="Z715" s="30"/>
      <c r="AA715" s="30"/>
      <c r="AB715" s="30"/>
      <c r="AC715" s="28"/>
      <c r="AD715" s="30"/>
      <c r="AE715" s="30"/>
      <c r="AF715" s="30"/>
      <c r="AG715" s="29"/>
      <c r="AH715" s="30"/>
      <c r="AI715" s="36"/>
      <c r="AJ715" s="30"/>
      <c r="AK715" s="29"/>
      <c r="AL715" s="30"/>
      <c r="AM715" s="30"/>
      <c r="AN715" s="30"/>
      <c r="AO715" s="30"/>
      <c r="AP715" s="30"/>
      <c r="AQ715" s="38"/>
      <c r="AR715" s="30"/>
      <c r="AS715" s="30"/>
      <c r="AT715" s="29"/>
      <c r="AU715" s="30"/>
      <c r="AV715" s="30"/>
      <c r="AW715" s="30"/>
      <c r="AX715" s="29"/>
      <c r="AY715" s="39"/>
      <c r="AZ715" s="30"/>
      <c r="BA715" s="30"/>
      <c r="BB715" s="29"/>
      <c r="BC715" s="52"/>
      <c r="BD715" s="30"/>
      <c r="BE715" s="29"/>
      <c r="BF715" s="30"/>
      <c r="BG715" s="30"/>
      <c r="BH715" s="30"/>
      <c r="BI715" s="30"/>
      <c r="BJ715" s="30"/>
      <c r="BK715" s="30"/>
      <c r="BL715" s="30"/>
      <c r="BM715" s="30"/>
      <c r="BN715" s="30"/>
      <c r="BO715" s="30"/>
      <c r="BP715" s="30"/>
      <c r="BQ715" s="30"/>
      <c r="BR715" s="30"/>
      <c r="BS715" s="30"/>
      <c r="BT715" s="30"/>
      <c r="BU715" s="30"/>
      <c r="BV715" s="30"/>
      <c r="BW715" s="30"/>
      <c r="BX715" s="30"/>
      <c r="BY715" s="30"/>
      <c r="BZ715" s="30"/>
      <c r="CA715" s="30"/>
      <c r="CB715" s="30"/>
      <c r="CC715" s="30"/>
      <c r="CD715" s="30"/>
      <c r="CE715" s="30"/>
      <c r="CF715" s="30"/>
      <c r="CG715" s="30"/>
      <c r="CH715" s="30"/>
      <c r="CI715" s="30"/>
      <c r="CJ715" s="30"/>
      <c r="CK715" s="30"/>
      <c r="CL715" s="30"/>
      <c r="CM715" s="30"/>
      <c r="CN715" s="30"/>
      <c r="CO715" s="30"/>
      <c r="CP715" s="30"/>
      <c r="CQ715" s="30"/>
      <c r="CR715" s="30"/>
      <c r="CS715" s="30"/>
      <c r="CT715" s="30"/>
      <c r="CU715" s="30"/>
      <c r="CV715" s="30"/>
      <c r="CW715" s="30"/>
      <c r="CX715" s="30"/>
      <c r="CY715" s="30"/>
      <c r="CZ715" s="30"/>
      <c r="DA715" s="30"/>
      <c r="DB715" s="30"/>
      <c r="DC715" s="30"/>
      <c r="DD715" s="30"/>
      <c r="DE715" s="30"/>
      <c r="DF715" s="30"/>
      <c r="DG715" s="30"/>
      <c r="DH715" s="30"/>
      <c r="DI715" s="30"/>
      <c r="DJ715" s="30"/>
      <c r="DK715" s="30"/>
      <c r="DL715" s="30"/>
      <c r="DM715" s="30"/>
      <c r="DN715" s="30"/>
      <c r="DO715" s="30"/>
      <c r="DP715" s="30"/>
      <c r="DQ715" s="30"/>
      <c r="DR715" s="30"/>
      <c r="DS715" s="30"/>
      <c r="DT715" s="30"/>
      <c r="DU715" s="30"/>
      <c r="DV715" s="30"/>
      <c r="DW715" s="30"/>
      <c r="DX715" s="30"/>
      <c r="DY715" s="30"/>
      <c r="DZ715" s="30"/>
    </row>
    <row r="716">
      <c r="A716" s="30"/>
      <c r="B716" s="42"/>
      <c r="C716" s="43"/>
      <c r="D716" s="30"/>
      <c r="E716" s="28"/>
      <c r="F716" s="30"/>
      <c r="G716" s="30"/>
      <c r="H716" s="30"/>
      <c r="I716" s="30"/>
      <c r="J716" s="28"/>
      <c r="K716" s="30"/>
      <c r="L716" s="30"/>
      <c r="M716" s="30"/>
      <c r="N716" s="30"/>
      <c r="O716" s="28"/>
      <c r="P716" s="30"/>
      <c r="Q716" s="30"/>
      <c r="R716" s="30"/>
      <c r="S716" s="36"/>
      <c r="T716" s="30"/>
      <c r="U716" s="36"/>
      <c r="V716" s="30"/>
      <c r="W716" s="28"/>
      <c r="X716" s="30"/>
      <c r="Y716" s="30"/>
      <c r="Z716" s="30"/>
      <c r="AA716" s="30"/>
      <c r="AB716" s="30"/>
      <c r="AC716" s="28"/>
      <c r="AD716" s="30"/>
      <c r="AE716" s="30"/>
      <c r="AF716" s="30"/>
      <c r="AG716" s="29"/>
      <c r="AH716" s="30"/>
      <c r="AI716" s="36"/>
      <c r="AJ716" s="30"/>
      <c r="AK716" s="29"/>
      <c r="AL716" s="30"/>
      <c r="AM716" s="30"/>
      <c r="AN716" s="30"/>
      <c r="AO716" s="30"/>
      <c r="AP716" s="30"/>
      <c r="AQ716" s="38"/>
      <c r="AR716" s="30"/>
      <c r="AS716" s="30"/>
      <c r="AT716" s="29"/>
      <c r="AU716" s="30"/>
      <c r="AV716" s="30"/>
      <c r="AW716" s="30"/>
      <c r="AX716" s="29"/>
      <c r="AY716" s="39"/>
      <c r="AZ716" s="30"/>
      <c r="BA716" s="30"/>
      <c r="BB716" s="29"/>
      <c r="BC716" s="52"/>
      <c r="BD716" s="30"/>
      <c r="BE716" s="29"/>
      <c r="BF716" s="30"/>
      <c r="BG716" s="30"/>
      <c r="BH716" s="30"/>
      <c r="BI716" s="30"/>
      <c r="BJ716" s="30"/>
      <c r="BK716" s="30"/>
      <c r="BL716" s="30"/>
      <c r="BM716" s="30"/>
      <c r="BN716" s="30"/>
      <c r="BO716" s="30"/>
      <c r="BP716" s="30"/>
      <c r="BQ716" s="30"/>
      <c r="BR716" s="30"/>
      <c r="BS716" s="30"/>
      <c r="BT716" s="30"/>
      <c r="BU716" s="30"/>
      <c r="BV716" s="30"/>
      <c r="BW716" s="30"/>
      <c r="BX716" s="30"/>
      <c r="BY716" s="30"/>
      <c r="BZ716" s="30"/>
      <c r="CA716" s="30"/>
      <c r="CB716" s="30"/>
      <c r="CC716" s="30"/>
      <c r="CD716" s="30"/>
      <c r="CE716" s="30"/>
      <c r="CF716" s="30"/>
      <c r="CG716" s="30"/>
      <c r="CH716" s="30"/>
      <c r="CI716" s="30"/>
      <c r="CJ716" s="30"/>
      <c r="CK716" s="30"/>
      <c r="CL716" s="30"/>
      <c r="CM716" s="30"/>
      <c r="CN716" s="30"/>
      <c r="CO716" s="30"/>
      <c r="CP716" s="30"/>
      <c r="CQ716" s="30"/>
      <c r="CR716" s="30"/>
      <c r="CS716" s="30"/>
      <c r="CT716" s="30"/>
      <c r="CU716" s="30"/>
      <c r="CV716" s="30"/>
      <c r="CW716" s="30"/>
      <c r="CX716" s="30"/>
      <c r="CY716" s="30"/>
      <c r="CZ716" s="30"/>
      <c r="DA716" s="30"/>
      <c r="DB716" s="30"/>
      <c r="DC716" s="30"/>
      <c r="DD716" s="30"/>
      <c r="DE716" s="30"/>
      <c r="DF716" s="30"/>
      <c r="DG716" s="30"/>
      <c r="DH716" s="30"/>
      <c r="DI716" s="30"/>
      <c r="DJ716" s="30"/>
      <c r="DK716" s="30"/>
      <c r="DL716" s="30"/>
      <c r="DM716" s="30"/>
      <c r="DN716" s="30"/>
      <c r="DO716" s="30"/>
      <c r="DP716" s="30"/>
      <c r="DQ716" s="30"/>
      <c r="DR716" s="30"/>
      <c r="DS716" s="30"/>
      <c r="DT716" s="30"/>
      <c r="DU716" s="30"/>
      <c r="DV716" s="30"/>
      <c r="DW716" s="30"/>
      <c r="DX716" s="30"/>
      <c r="DY716" s="30"/>
      <c r="DZ716" s="30"/>
    </row>
    <row r="717">
      <c r="A717" s="30"/>
      <c r="B717" s="42"/>
      <c r="C717" s="43"/>
      <c r="D717" s="30"/>
      <c r="E717" s="28"/>
      <c r="F717" s="30"/>
      <c r="G717" s="30"/>
      <c r="H717" s="30"/>
      <c r="I717" s="30"/>
      <c r="J717" s="28"/>
      <c r="K717" s="30"/>
      <c r="L717" s="30"/>
      <c r="M717" s="30"/>
      <c r="N717" s="30"/>
      <c r="O717" s="28"/>
      <c r="P717" s="30"/>
      <c r="Q717" s="30"/>
      <c r="R717" s="30"/>
      <c r="S717" s="36"/>
      <c r="T717" s="30"/>
      <c r="U717" s="36"/>
      <c r="V717" s="30"/>
      <c r="W717" s="28"/>
      <c r="X717" s="30"/>
      <c r="Y717" s="30"/>
      <c r="Z717" s="30"/>
      <c r="AA717" s="30"/>
      <c r="AB717" s="30"/>
      <c r="AC717" s="28"/>
      <c r="AD717" s="30"/>
      <c r="AE717" s="30"/>
      <c r="AF717" s="30"/>
      <c r="AG717" s="29"/>
      <c r="AH717" s="30"/>
      <c r="AI717" s="36"/>
      <c r="AJ717" s="30"/>
      <c r="AK717" s="29"/>
      <c r="AL717" s="30"/>
      <c r="AM717" s="30"/>
      <c r="AN717" s="30"/>
      <c r="AO717" s="30"/>
      <c r="AP717" s="30"/>
      <c r="AQ717" s="38"/>
      <c r="AR717" s="30"/>
      <c r="AS717" s="30"/>
      <c r="AT717" s="29"/>
      <c r="AU717" s="30"/>
      <c r="AV717" s="30"/>
      <c r="AW717" s="30"/>
      <c r="AX717" s="29"/>
      <c r="AY717" s="39"/>
      <c r="AZ717" s="30"/>
      <c r="BA717" s="30"/>
      <c r="BB717" s="29"/>
      <c r="BC717" s="52"/>
      <c r="BD717" s="30"/>
      <c r="BE717" s="29"/>
      <c r="BF717" s="30"/>
      <c r="BG717" s="30"/>
      <c r="BH717" s="30"/>
      <c r="BI717" s="30"/>
      <c r="BJ717" s="30"/>
      <c r="BK717" s="30"/>
      <c r="BL717" s="30"/>
      <c r="BM717" s="30"/>
      <c r="BN717" s="30"/>
      <c r="BO717" s="30"/>
      <c r="BP717" s="30"/>
      <c r="BQ717" s="30"/>
      <c r="BR717" s="30"/>
      <c r="BS717" s="30"/>
      <c r="BT717" s="30"/>
      <c r="BU717" s="30"/>
      <c r="BV717" s="30"/>
      <c r="BW717" s="30"/>
      <c r="BX717" s="30"/>
      <c r="BY717" s="30"/>
      <c r="BZ717" s="30"/>
      <c r="CA717" s="30"/>
      <c r="CB717" s="30"/>
      <c r="CC717" s="30"/>
      <c r="CD717" s="30"/>
      <c r="CE717" s="30"/>
      <c r="CF717" s="30"/>
      <c r="CG717" s="30"/>
      <c r="CH717" s="30"/>
      <c r="CI717" s="30"/>
      <c r="CJ717" s="30"/>
      <c r="CK717" s="30"/>
      <c r="CL717" s="30"/>
      <c r="CM717" s="30"/>
      <c r="CN717" s="30"/>
      <c r="CO717" s="30"/>
      <c r="CP717" s="30"/>
      <c r="CQ717" s="30"/>
      <c r="CR717" s="30"/>
      <c r="CS717" s="30"/>
      <c r="CT717" s="30"/>
      <c r="CU717" s="30"/>
      <c r="CV717" s="30"/>
      <c r="CW717" s="30"/>
      <c r="CX717" s="30"/>
      <c r="CY717" s="30"/>
      <c r="CZ717" s="30"/>
      <c r="DA717" s="30"/>
      <c r="DB717" s="30"/>
      <c r="DC717" s="30"/>
      <c r="DD717" s="30"/>
      <c r="DE717" s="30"/>
      <c r="DF717" s="30"/>
      <c r="DG717" s="30"/>
      <c r="DH717" s="30"/>
      <c r="DI717" s="30"/>
      <c r="DJ717" s="30"/>
      <c r="DK717" s="30"/>
      <c r="DL717" s="30"/>
      <c r="DM717" s="30"/>
      <c r="DN717" s="30"/>
      <c r="DO717" s="30"/>
      <c r="DP717" s="30"/>
      <c r="DQ717" s="30"/>
      <c r="DR717" s="30"/>
      <c r="DS717" s="30"/>
      <c r="DT717" s="30"/>
      <c r="DU717" s="30"/>
      <c r="DV717" s="30"/>
      <c r="DW717" s="30"/>
      <c r="DX717" s="30"/>
      <c r="DY717" s="30"/>
      <c r="DZ717" s="30"/>
    </row>
    <row r="718">
      <c r="A718" s="30"/>
      <c r="B718" s="42"/>
      <c r="C718" s="43"/>
      <c r="D718" s="30"/>
      <c r="E718" s="28"/>
      <c r="F718" s="30"/>
      <c r="G718" s="30"/>
      <c r="H718" s="30"/>
      <c r="I718" s="30"/>
      <c r="J718" s="28"/>
      <c r="K718" s="30"/>
      <c r="L718" s="30"/>
      <c r="M718" s="30"/>
      <c r="N718" s="30"/>
      <c r="O718" s="28"/>
      <c r="P718" s="30"/>
      <c r="Q718" s="30"/>
      <c r="R718" s="30"/>
      <c r="S718" s="36"/>
      <c r="T718" s="30"/>
      <c r="U718" s="36"/>
      <c r="V718" s="30"/>
      <c r="W718" s="28"/>
      <c r="X718" s="30"/>
      <c r="Y718" s="30"/>
      <c r="Z718" s="30"/>
      <c r="AA718" s="30"/>
      <c r="AB718" s="30"/>
      <c r="AC718" s="28"/>
      <c r="AD718" s="30"/>
      <c r="AE718" s="30"/>
      <c r="AF718" s="30"/>
      <c r="AG718" s="29"/>
      <c r="AH718" s="30"/>
      <c r="AI718" s="36"/>
      <c r="AJ718" s="30"/>
      <c r="AK718" s="29"/>
      <c r="AL718" s="30"/>
      <c r="AM718" s="30"/>
      <c r="AN718" s="30"/>
      <c r="AO718" s="30"/>
      <c r="AP718" s="30"/>
      <c r="AQ718" s="38"/>
      <c r="AR718" s="30"/>
      <c r="AS718" s="30"/>
      <c r="AT718" s="29"/>
      <c r="AU718" s="30"/>
      <c r="AV718" s="30"/>
      <c r="AW718" s="30"/>
      <c r="AX718" s="29"/>
      <c r="AY718" s="39"/>
      <c r="AZ718" s="30"/>
      <c r="BA718" s="30"/>
      <c r="BB718" s="29"/>
      <c r="BC718" s="52"/>
      <c r="BD718" s="30"/>
      <c r="BE718" s="29"/>
      <c r="BF718" s="30"/>
      <c r="BG718" s="30"/>
      <c r="BH718" s="30"/>
      <c r="BI718" s="30"/>
      <c r="BJ718" s="30"/>
      <c r="BK718" s="30"/>
      <c r="BL718" s="30"/>
      <c r="BM718" s="30"/>
      <c r="BN718" s="30"/>
      <c r="BO718" s="30"/>
      <c r="BP718" s="30"/>
      <c r="BQ718" s="30"/>
      <c r="BR718" s="30"/>
      <c r="BS718" s="30"/>
      <c r="BT718" s="30"/>
      <c r="BU718" s="30"/>
      <c r="BV718" s="30"/>
      <c r="BW718" s="30"/>
      <c r="BX718" s="30"/>
      <c r="BY718" s="30"/>
      <c r="BZ718" s="30"/>
      <c r="CA718" s="30"/>
      <c r="CB718" s="30"/>
      <c r="CC718" s="30"/>
      <c r="CD718" s="30"/>
      <c r="CE718" s="30"/>
      <c r="CF718" s="30"/>
      <c r="CG718" s="30"/>
      <c r="CH718" s="30"/>
      <c r="CI718" s="30"/>
      <c r="CJ718" s="30"/>
      <c r="CK718" s="30"/>
      <c r="CL718" s="30"/>
      <c r="CM718" s="30"/>
      <c r="CN718" s="30"/>
      <c r="CO718" s="30"/>
      <c r="CP718" s="30"/>
      <c r="CQ718" s="30"/>
      <c r="CR718" s="30"/>
      <c r="CS718" s="30"/>
      <c r="CT718" s="30"/>
      <c r="CU718" s="30"/>
      <c r="CV718" s="30"/>
      <c r="CW718" s="30"/>
      <c r="CX718" s="30"/>
      <c r="CY718" s="30"/>
      <c r="CZ718" s="30"/>
      <c r="DA718" s="30"/>
      <c r="DB718" s="30"/>
      <c r="DC718" s="30"/>
      <c r="DD718" s="30"/>
      <c r="DE718" s="30"/>
      <c r="DF718" s="30"/>
      <c r="DG718" s="30"/>
      <c r="DH718" s="30"/>
      <c r="DI718" s="30"/>
      <c r="DJ718" s="30"/>
      <c r="DK718" s="30"/>
      <c r="DL718" s="30"/>
      <c r="DM718" s="30"/>
      <c r="DN718" s="30"/>
      <c r="DO718" s="30"/>
      <c r="DP718" s="30"/>
      <c r="DQ718" s="30"/>
      <c r="DR718" s="30"/>
      <c r="DS718" s="30"/>
      <c r="DT718" s="30"/>
      <c r="DU718" s="30"/>
      <c r="DV718" s="30"/>
      <c r="DW718" s="30"/>
      <c r="DX718" s="30"/>
      <c r="DY718" s="30"/>
      <c r="DZ718" s="30"/>
    </row>
    <row r="719">
      <c r="A719" s="30"/>
      <c r="B719" s="42"/>
      <c r="C719" s="43"/>
      <c r="D719" s="30"/>
      <c r="E719" s="28"/>
      <c r="F719" s="30"/>
      <c r="G719" s="30"/>
      <c r="H719" s="30"/>
      <c r="I719" s="30"/>
      <c r="J719" s="28"/>
      <c r="K719" s="30"/>
      <c r="L719" s="30"/>
      <c r="M719" s="30"/>
      <c r="N719" s="30"/>
      <c r="O719" s="28"/>
      <c r="P719" s="30"/>
      <c r="Q719" s="30"/>
      <c r="R719" s="30"/>
      <c r="S719" s="36"/>
      <c r="T719" s="30"/>
      <c r="U719" s="36"/>
      <c r="V719" s="30"/>
      <c r="W719" s="28"/>
      <c r="X719" s="30"/>
      <c r="Y719" s="30"/>
      <c r="Z719" s="30"/>
      <c r="AA719" s="30"/>
      <c r="AB719" s="30"/>
      <c r="AC719" s="28"/>
      <c r="AD719" s="30"/>
      <c r="AE719" s="30"/>
      <c r="AF719" s="30"/>
      <c r="AG719" s="29"/>
      <c r="AH719" s="30"/>
      <c r="AI719" s="36"/>
      <c r="AJ719" s="30"/>
      <c r="AK719" s="29"/>
      <c r="AL719" s="30"/>
      <c r="AM719" s="30"/>
      <c r="AN719" s="30"/>
      <c r="AO719" s="30"/>
      <c r="AP719" s="30"/>
      <c r="AQ719" s="38"/>
      <c r="AR719" s="30"/>
      <c r="AS719" s="30"/>
      <c r="AT719" s="29"/>
      <c r="AU719" s="30"/>
      <c r="AV719" s="30"/>
      <c r="AW719" s="30"/>
      <c r="AX719" s="29"/>
      <c r="AY719" s="39"/>
      <c r="AZ719" s="30"/>
      <c r="BA719" s="30"/>
      <c r="BB719" s="29"/>
      <c r="BC719" s="52"/>
      <c r="BD719" s="30"/>
      <c r="BE719" s="29"/>
      <c r="BF719" s="30"/>
      <c r="BG719" s="30"/>
      <c r="BH719" s="30"/>
      <c r="BI719" s="30"/>
      <c r="BJ719" s="30"/>
      <c r="BK719" s="30"/>
      <c r="BL719" s="30"/>
      <c r="BM719" s="30"/>
      <c r="BN719" s="30"/>
      <c r="BO719" s="30"/>
      <c r="BP719" s="30"/>
      <c r="BQ719" s="30"/>
      <c r="BR719" s="30"/>
      <c r="BS719" s="30"/>
      <c r="BT719" s="30"/>
      <c r="BU719" s="30"/>
      <c r="BV719" s="30"/>
      <c r="BW719" s="30"/>
      <c r="BX719" s="30"/>
      <c r="BY719" s="30"/>
      <c r="BZ719" s="30"/>
      <c r="CA719" s="30"/>
      <c r="CB719" s="30"/>
      <c r="CC719" s="30"/>
      <c r="CD719" s="30"/>
      <c r="CE719" s="30"/>
      <c r="CF719" s="30"/>
      <c r="CG719" s="30"/>
      <c r="CH719" s="30"/>
      <c r="CI719" s="30"/>
      <c r="CJ719" s="30"/>
      <c r="CK719" s="30"/>
      <c r="CL719" s="30"/>
      <c r="CM719" s="30"/>
      <c r="CN719" s="30"/>
      <c r="CO719" s="30"/>
      <c r="CP719" s="30"/>
      <c r="CQ719" s="30"/>
      <c r="CR719" s="30"/>
      <c r="CS719" s="30"/>
      <c r="CT719" s="30"/>
      <c r="CU719" s="30"/>
      <c r="CV719" s="30"/>
      <c r="CW719" s="30"/>
      <c r="CX719" s="30"/>
      <c r="CY719" s="30"/>
      <c r="CZ719" s="30"/>
      <c r="DA719" s="30"/>
      <c r="DB719" s="30"/>
      <c r="DC719" s="30"/>
      <c r="DD719" s="30"/>
      <c r="DE719" s="30"/>
      <c r="DF719" s="30"/>
      <c r="DG719" s="30"/>
      <c r="DH719" s="30"/>
      <c r="DI719" s="30"/>
      <c r="DJ719" s="30"/>
      <c r="DK719" s="30"/>
      <c r="DL719" s="30"/>
      <c r="DM719" s="30"/>
      <c r="DN719" s="30"/>
      <c r="DO719" s="30"/>
      <c r="DP719" s="30"/>
      <c r="DQ719" s="30"/>
      <c r="DR719" s="30"/>
      <c r="DS719" s="30"/>
      <c r="DT719" s="30"/>
      <c r="DU719" s="30"/>
      <c r="DV719" s="30"/>
      <c r="DW719" s="30"/>
      <c r="DX719" s="30"/>
      <c r="DY719" s="30"/>
      <c r="DZ719" s="30"/>
    </row>
    <row r="720">
      <c r="A720" s="30"/>
      <c r="B720" s="42"/>
      <c r="C720" s="43"/>
      <c r="D720" s="30"/>
      <c r="E720" s="28"/>
      <c r="F720" s="30"/>
      <c r="G720" s="30"/>
      <c r="H720" s="30"/>
      <c r="I720" s="30"/>
      <c r="J720" s="28"/>
      <c r="K720" s="30"/>
      <c r="L720" s="30"/>
      <c r="M720" s="30"/>
      <c r="N720" s="30"/>
      <c r="O720" s="28"/>
      <c r="P720" s="30"/>
      <c r="Q720" s="30"/>
      <c r="R720" s="30"/>
      <c r="S720" s="36"/>
      <c r="T720" s="30"/>
      <c r="U720" s="36"/>
      <c r="V720" s="30"/>
      <c r="W720" s="28"/>
      <c r="X720" s="30"/>
      <c r="Y720" s="30"/>
      <c r="Z720" s="30"/>
      <c r="AA720" s="30"/>
      <c r="AB720" s="30"/>
      <c r="AC720" s="28"/>
      <c r="AD720" s="30"/>
      <c r="AE720" s="30"/>
      <c r="AF720" s="30"/>
      <c r="AG720" s="29"/>
      <c r="AH720" s="30"/>
      <c r="AI720" s="36"/>
      <c r="AJ720" s="30"/>
      <c r="AK720" s="29"/>
      <c r="AL720" s="30"/>
      <c r="AM720" s="30"/>
      <c r="AN720" s="30"/>
      <c r="AO720" s="30"/>
      <c r="AP720" s="30"/>
      <c r="AQ720" s="38"/>
      <c r="AR720" s="30"/>
      <c r="AS720" s="30"/>
      <c r="AT720" s="29"/>
      <c r="AU720" s="30"/>
      <c r="AV720" s="30"/>
      <c r="AW720" s="30"/>
      <c r="AX720" s="29"/>
      <c r="AY720" s="39"/>
      <c r="AZ720" s="30"/>
      <c r="BA720" s="30"/>
      <c r="BB720" s="29"/>
      <c r="BC720" s="52"/>
      <c r="BD720" s="30"/>
      <c r="BE720" s="29"/>
      <c r="BF720" s="30"/>
      <c r="BG720" s="30"/>
      <c r="BH720" s="30"/>
      <c r="BI720" s="30"/>
      <c r="BJ720" s="30"/>
      <c r="BK720" s="30"/>
      <c r="BL720" s="30"/>
      <c r="BM720" s="30"/>
      <c r="BN720" s="30"/>
      <c r="BO720" s="30"/>
      <c r="BP720" s="30"/>
      <c r="BQ720" s="30"/>
      <c r="BR720" s="30"/>
      <c r="BS720" s="30"/>
      <c r="BT720" s="30"/>
      <c r="BU720" s="30"/>
      <c r="BV720" s="30"/>
      <c r="BW720" s="30"/>
      <c r="BX720" s="30"/>
      <c r="BY720" s="30"/>
      <c r="BZ720" s="30"/>
      <c r="CA720" s="30"/>
      <c r="CB720" s="30"/>
      <c r="CC720" s="30"/>
      <c r="CD720" s="30"/>
      <c r="CE720" s="30"/>
      <c r="CF720" s="30"/>
      <c r="CG720" s="30"/>
      <c r="CH720" s="30"/>
      <c r="CI720" s="30"/>
      <c r="CJ720" s="30"/>
      <c r="CK720" s="30"/>
      <c r="CL720" s="30"/>
      <c r="CM720" s="30"/>
      <c r="CN720" s="30"/>
      <c r="CO720" s="30"/>
      <c r="CP720" s="30"/>
      <c r="CQ720" s="30"/>
      <c r="CR720" s="30"/>
      <c r="CS720" s="30"/>
      <c r="CT720" s="30"/>
      <c r="CU720" s="30"/>
      <c r="CV720" s="30"/>
      <c r="CW720" s="30"/>
      <c r="CX720" s="30"/>
      <c r="CY720" s="30"/>
      <c r="CZ720" s="30"/>
      <c r="DA720" s="30"/>
      <c r="DB720" s="30"/>
      <c r="DC720" s="30"/>
      <c r="DD720" s="30"/>
      <c r="DE720" s="30"/>
      <c r="DF720" s="30"/>
      <c r="DG720" s="30"/>
      <c r="DH720" s="30"/>
      <c r="DI720" s="30"/>
      <c r="DJ720" s="30"/>
      <c r="DK720" s="30"/>
      <c r="DL720" s="30"/>
      <c r="DM720" s="30"/>
      <c r="DN720" s="30"/>
      <c r="DO720" s="30"/>
      <c r="DP720" s="30"/>
      <c r="DQ720" s="30"/>
      <c r="DR720" s="30"/>
      <c r="DS720" s="30"/>
      <c r="DT720" s="30"/>
      <c r="DU720" s="30"/>
      <c r="DV720" s="30"/>
      <c r="DW720" s="30"/>
      <c r="DX720" s="30"/>
      <c r="DY720" s="30"/>
      <c r="DZ720" s="30"/>
    </row>
    <row r="721">
      <c r="A721" s="30"/>
      <c r="B721" s="42"/>
      <c r="C721" s="43"/>
      <c r="D721" s="30"/>
      <c r="E721" s="28"/>
      <c r="F721" s="30"/>
      <c r="G721" s="30"/>
      <c r="H721" s="30"/>
      <c r="I721" s="30"/>
      <c r="J721" s="28"/>
      <c r="K721" s="30"/>
      <c r="L721" s="30"/>
      <c r="M721" s="30"/>
      <c r="N721" s="30"/>
      <c r="O721" s="28"/>
      <c r="P721" s="30"/>
      <c r="Q721" s="30"/>
      <c r="R721" s="30"/>
      <c r="S721" s="36"/>
      <c r="T721" s="30"/>
      <c r="U721" s="36"/>
      <c r="V721" s="30"/>
      <c r="W721" s="28"/>
      <c r="X721" s="30"/>
      <c r="Y721" s="30"/>
      <c r="Z721" s="30"/>
      <c r="AA721" s="30"/>
      <c r="AB721" s="30"/>
      <c r="AC721" s="28"/>
      <c r="AD721" s="30"/>
      <c r="AE721" s="30"/>
      <c r="AF721" s="30"/>
      <c r="AG721" s="29"/>
      <c r="AH721" s="30"/>
      <c r="AI721" s="36"/>
      <c r="AJ721" s="30"/>
      <c r="AK721" s="29"/>
      <c r="AL721" s="30"/>
      <c r="AM721" s="30"/>
      <c r="AN721" s="30"/>
      <c r="AO721" s="30"/>
      <c r="AP721" s="30"/>
      <c r="AQ721" s="38"/>
      <c r="AR721" s="30"/>
      <c r="AS721" s="30"/>
      <c r="AT721" s="29"/>
      <c r="AU721" s="30"/>
      <c r="AV721" s="30"/>
      <c r="AW721" s="30"/>
      <c r="AX721" s="29"/>
      <c r="AY721" s="39"/>
      <c r="AZ721" s="30"/>
      <c r="BA721" s="30"/>
      <c r="BB721" s="29"/>
      <c r="BC721" s="52"/>
      <c r="BD721" s="30"/>
      <c r="BE721" s="29"/>
      <c r="BF721" s="30"/>
      <c r="BG721" s="30"/>
      <c r="BH721" s="30"/>
      <c r="BI721" s="30"/>
      <c r="BJ721" s="30"/>
      <c r="BK721" s="30"/>
      <c r="BL721" s="30"/>
      <c r="BM721" s="30"/>
      <c r="BN721" s="30"/>
      <c r="BO721" s="30"/>
      <c r="BP721" s="30"/>
      <c r="BQ721" s="30"/>
      <c r="BR721" s="30"/>
      <c r="BS721" s="30"/>
      <c r="BT721" s="30"/>
      <c r="BU721" s="30"/>
      <c r="BV721" s="30"/>
      <c r="BW721" s="30"/>
      <c r="BX721" s="30"/>
      <c r="BY721" s="30"/>
      <c r="BZ721" s="30"/>
      <c r="CA721" s="30"/>
      <c r="CB721" s="30"/>
      <c r="CC721" s="30"/>
      <c r="CD721" s="30"/>
      <c r="CE721" s="30"/>
      <c r="CF721" s="30"/>
      <c r="CG721" s="30"/>
      <c r="CH721" s="30"/>
      <c r="CI721" s="30"/>
      <c r="CJ721" s="30"/>
      <c r="CK721" s="30"/>
      <c r="CL721" s="30"/>
      <c r="CM721" s="30"/>
      <c r="CN721" s="30"/>
      <c r="CO721" s="30"/>
      <c r="CP721" s="30"/>
      <c r="CQ721" s="30"/>
      <c r="CR721" s="30"/>
      <c r="CS721" s="30"/>
      <c r="CT721" s="30"/>
      <c r="CU721" s="30"/>
      <c r="CV721" s="30"/>
      <c r="CW721" s="30"/>
      <c r="CX721" s="30"/>
      <c r="CY721" s="30"/>
      <c r="CZ721" s="30"/>
      <c r="DA721" s="30"/>
      <c r="DB721" s="30"/>
      <c r="DC721" s="30"/>
      <c r="DD721" s="30"/>
      <c r="DE721" s="30"/>
      <c r="DF721" s="30"/>
      <c r="DG721" s="30"/>
      <c r="DH721" s="30"/>
      <c r="DI721" s="30"/>
      <c r="DJ721" s="30"/>
      <c r="DK721" s="30"/>
      <c r="DL721" s="30"/>
      <c r="DM721" s="30"/>
      <c r="DN721" s="30"/>
      <c r="DO721" s="30"/>
      <c r="DP721" s="30"/>
      <c r="DQ721" s="30"/>
      <c r="DR721" s="30"/>
      <c r="DS721" s="30"/>
      <c r="DT721" s="30"/>
      <c r="DU721" s="30"/>
      <c r="DV721" s="30"/>
      <c r="DW721" s="30"/>
      <c r="DX721" s="30"/>
      <c r="DY721" s="30"/>
      <c r="DZ721" s="30"/>
    </row>
    <row r="722">
      <c r="A722" s="30"/>
      <c r="B722" s="42"/>
      <c r="C722" s="43"/>
      <c r="D722" s="30"/>
      <c r="E722" s="28"/>
      <c r="F722" s="30"/>
      <c r="G722" s="30"/>
      <c r="H722" s="30"/>
      <c r="I722" s="30"/>
      <c r="J722" s="28"/>
      <c r="K722" s="30"/>
      <c r="L722" s="30"/>
      <c r="M722" s="30"/>
      <c r="N722" s="30"/>
      <c r="O722" s="28"/>
      <c r="P722" s="30"/>
      <c r="Q722" s="30"/>
      <c r="R722" s="30"/>
      <c r="S722" s="36"/>
      <c r="T722" s="30"/>
      <c r="U722" s="36"/>
      <c r="V722" s="30"/>
      <c r="W722" s="28"/>
      <c r="X722" s="30"/>
      <c r="Y722" s="30"/>
      <c r="Z722" s="30"/>
      <c r="AA722" s="30"/>
      <c r="AB722" s="30"/>
      <c r="AC722" s="28"/>
      <c r="AD722" s="30"/>
      <c r="AE722" s="30"/>
      <c r="AF722" s="30"/>
      <c r="AG722" s="29"/>
      <c r="AH722" s="30"/>
      <c r="AI722" s="36"/>
      <c r="AJ722" s="30"/>
      <c r="AK722" s="29"/>
      <c r="AL722" s="30"/>
      <c r="AM722" s="30"/>
      <c r="AN722" s="30"/>
      <c r="AO722" s="30"/>
      <c r="AP722" s="30"/>
      <c r="AQ722" s="38"/>
      <c r="AR722" s="30"/>
      <c r="AS722" s="30"/>
      <c r="AT722" s="29"/>
      <c r="AU722" s="30"/>
      <c r="AV722" s="30"/>
      <c r="AW722" s="30"/>
      <c r="AX722" s="29"/>
      <c r="AY722" s="39"/>
      <c r="AZ722" s="30"/>
      <c r="BA722" s="30"/>
      <c r="BB722" s="29"/>
      <c r="BC722" s="52"/>
      <c r="BD722" s="30"/>
      <c r="BE722" s="29"/>
      <c r="BF722" s="30"/>
      <c r="BG722" s="30"/>
      <c r="BH722" s="30"/>
      <c r="BI722" s="30"/>
      <c r="BJ722" s="30"/>
      <c r="BK722" s="30"/>
      <c r="BL722" s="30"/>
      <c r="BM722" s="30"/>
      <c r="BN722" s="30"/>
      <c r="BO722" s="30"/>
      <c r="BP722" s="30"/>
      <c r="BQ722" s="30"/>
      <c r="BR722" s="30"/>
      <c r="BS722" s="30"/>
      <c r="BT722" s="30"/>
      <c r="BU722" s="30"/>
      <c r="BV722" s="30"/>
      <c r="BW722" s="30"/>
      <c r="BX722" s="30"/>
      <c r="BY722" s="30"/>
      <c r="BZ722" s="30"/>
      <c r="CA722" s="30"/>
      <c r="CB722" s="30"/>
      <c r="CC722" s="30"/>
      <c r="CD722" s="30"/>
      <c r="CE722" s="30"/>
      <c r="CF722" s="30"/>
      <c r="CG722" s="30"/>
      <c r="CH722" s="30"/>
      <c r="CI722" s="30"/>
      <c r="CJ722" s="30"/>
      <c r="CK722" s="30"/>
      <c r="CL722" s="30"/>
      <c r="CM722" s="30"/>
      <c r="CN722" s="30"/>
      <c r="CO722" s="30"/>
      <c r="CP722" s="30"/>
      <c r="CQ722" s="30"/>
      <c r="CR722" s="30"/>
      <c r="CS722" s="30"/>
      <c r="CT722" s="30"/>
      <c r="CU722" s="30"/>
      <c r="CV722" s="30"/>
      <c r="CW722" s="30"/>
      <c r="CX722" s="30"/>
      <c r="CY722" s="30"/>
      <c r="CZ722" s="30"/>
      <c r="DA722" s="30"/>
      <c r="DB722" s="30"/>
      <c r="DC722" s="30"/>
      <c r="DD722" s="30"/>
      <c r="DE722" s="30"/>
      <c r="DF722" s="30"/>
      <c r="DG722" s="30"/>
      <c r="DH722" s="30"/>
      <c r="DI722" s="30"/>
      <c r="DJ722" s="30"/>
      <c r="DK722" s="30"/>
      <c r="DL722" s="30"/>
      <c r="DM722" s="30"/>
      <c r="DN722" s="30"/>
      <c r="DO722" s="30"/>
      <c r="DP722" s="30"/>
      <c r="DQ722" s="30"/>
      <c r="DR722" s="30"/>
      <c r="DS722" s="30"/>
      <c r="DT722" s="30"/>
      <c r="DU722" s="30"/>
      <c r="DV722" s="30"/>
      <c r="DW722" s="30"/>
      <c r="DX722" s="30"/>
      <c r="DY722" s="30"/>
      <c r="DZ722" s="30"/>
    </row>
    <row r="723">
      <c r="A723" s="30"/>
      <c r="B723" s="42"/>
      <c r="C723" s="43"/>
      <c r="D723" s="30"/>
      <c r="E723" s="28"/>
      <c r="F723" s="30"/>
      <c r="G723" s="30"/>
      <c r="H723" s="30"/>
      <c r="I723" s="30"/>
      <c r="J723" s="28"/>
      <c r="K723" s="30"/>
      <c r="L723" s="30"/>
      <c r="M723" s="30"/>
      <c r="N723" s="30"/>
      <c r="O723" s="28"/>
      <c r="P723" s="30"/>
      <c r="Q723" s="30"/>
      <c r="R723" s="30"/>
      <c r="S723" s="36"/>
      <c r="T723" s="30"/>
      <c r="U723" s="36"/>
      <c r="V723" s="30"/>
      <c r="W723" s="28"/>
      <c r="X723" s="30"/>
      <c r="Y723" s="30"/>
      <c r="Z723" s="30"/>
      <c r="AA723" s="30"/>
      <c r="AB723" s="30"/>
      <c r="AC723" s="28"/>
      <c r="AD723" s="30"/>
      <c r="AE723" s="30"/>
      <c r="AF723" s="30"/>
      <c r="AG723" s="29"/>
      <c r="AH723" s="30"/>
      <c r="AI723" s="36"/>
      <c r="AJ723" s="30"/>
      <c r="AK723" s="29"/>
      <c r="AL723" s="30"/>
      <c r="AM723" s="30"/>
      <c r="AN723" s="30"/>
      <c r="AO723" s="30"/>
      <c r="AP723" s="30"/>
      <c r="AQ723" s="38"/>
      <c r="AR723" s="30"/>
      <c r="AS723" s="30"/>
      <c r="AT723" s="29"/>
      <c r="AU723" s="30"/>
      <c r="AV723" s="30"/>
      <c r="AW723" s="30"/>
      <c r="AX723" s="29"/>
      <c r="AY723" s="39"/>
      <c r="AZ723" s="30"/>
      <c r="BA723" s="30"/>
      <c r="BB723" s="29"/>
      <c r="BC723" s="52"/>
      <c r="BD723" s="30"/>
      <c r="BE723" s="29"/>
      <c r="BF723" s="30"/>
      <c r="BG723" s="30"/>
      <c r="BH723" s="30"/>
      <c r="BI723" s="30"/>
      <c r="BJ723" s="30"/>
      <c r="BK723" s="30"/>
      <c r="BL723" s="30"/>
      <c r="BM723" s="30"/>
      <c r="BN723" s="30"/>
      <c r="BO723" s="30"/>
      <c r="BP723" s="30"/>
      <c r="BQ723" s="30"/>
      <c r="BR723" s="30"/>
      <c r="BS723" s="30"/>
      <c r="BT723" s="30"/>
      <c r="BU723" s="30"/>
      <c r="BV723" s="30"/>
      <c r="BW723" s="30"/>
      <c r="BX723" s="30"/>
      <c r="BY723" s="30"/>
      <c r="BZ723" s="30"/>
      <c r="CA723" s="30"/>
      <c r="CB723" s="30"/>
      <c r="CC723" s="30"/>
      <c r="CD723" s="30"/>
      <c r="CE723" s="30"/>
      <c r="CF723" s="30"/>
      <c r="CG723" s="30"/>
      <c r="CH723" s="30"/>
      <c r="CI723" s="30"/>
      <c r="CJ723" s="30"/>
      <c r="CK723" s="30"/>
      <c r="CL723" s="30"/>
      <c r="CM723" s="30"/>
      <c r="CN723" s="30"/>
      <c r="CO723" s="30"/>
      <c r="CP723" s="30"/>
      <c r="CQ723" s="30"/>
      <c r="CR723" s="30"/>
      <c r="CS723" s="30"/>
      <c r="CT723" s="30"/>
      <c r="CU723" s="30"/>
      <c r="CV723" s="30"/>
      <c r="CW723" s="30"/>
      <c r="CX723" s="30"/>
      <c r="CY723" s="30"/>
      <c r="CZ723" s="30"/>
      <c r="DA723" s="30"/>
      <c r="DB723" s="30"/>
      <c r="DC723" s="30"/>
      <c r="DD723" s="30"/>
      <c r="DE723" s="30"/>
      <c r="DF723" s="30"/>
      <c r="DG723" s="30"/>
      <c r="DH723" s="30"/>
      <c r="DI723" s="30"/>
      <c r="DJ723" s="30"/>
      <c r="DK723" s="30"/>
      <c r="DL723" s="30"/>
      <c r="DM723" s="30"/>
      <c r="DN723" s="30"/>
      <c r="DO723" s="30"/>
      <c r="DP723" s="30"/>
      <c r="DQ723" s="30"/>
      <c r="DR723" s="30"/>
      <c r="DS723" s="30"/>
      <c r="DT723" s="30"/>
      <c r="DU723" s="30"/>
      <c r="DV723" s="30"/>
      <c r="DW723" s="30"/>
      <c r="DX723" s="30"/>
      <c r="DY723" s="30"/>
      <c r="DZ723" s="30"/>
    </row>
    <row r="724">
      <c r="A724" s="30"/>
      <c r="B724" s="42"/>
      <c r="C724" s="43"/>
      <c r="D724" s="30"/>
      <c r="E724" s="28"/>
      <c r="F724" s="30"/>
      <c r="G724" s="30"/>
      <c r="H724" s="30"/>
      <c r="I724" s="30"/>
      <c r="J724" s="28"/>
      <c r="K724" s="30"/>
      <c r="L724" s="30"/>
      <c r="M724" s="30"/>
      <c r="N724" s="30"/>
      <c r="O724" s="28"/>
      <c r="P724" s="30"/>
      <c r="Q724" s="30"/>
      <c r="R724" s="30"/>
      <c r="S724" s="36"/>
      <c r="T724" s="30"/>
      <c r="U724" s="36"/>
      <c r="V724" s="30"/>
      <c r="W724" s="28"/>
      <c r="X724" s="30"/>
      <c r="Y724" s="30"/>
      <c r="Z724" s="30"/>
      <c r="AA724" s="30"/>
      <c r="AB724" s="30"/>
      <c r="AC724" s="28"/>
      <c r="AD724" s="30"/>
      <c r="AE724" s="30"/>
      <c r="AF724" s="30"/>
      <c r="AG724" s="29"/>
      <c r="AH724" s="30"/>
      <c r="AI724" s="36"/>
      <c r="AJ724" s="30"/>
      <c r="AK724" s="29"/>
      <c r="AL724" s="30"/>
      <c r="AM724" s="30"/>
      <c r="AN724" s="30"/>
      <c r="AO724" s="30"/>
      <c r="AP724" s="30"/>
      <c r="AQ724" s="38"/>
      <c r="AR724" s="30"/>
      <c r="AS724" s="30"/>
      <c r="AT724" s="29"/>
      <c r="AU724" s="30"/>
      <c r="AV724" s="30"/>
      <c r="AW724" s="30"/>
      <c r="AX724" s="29"/>
      <c r="AY724" s="39"/>
      <c r="AZ724" s="30"/>
      <c r="BA724" s="30"/>
      <c r="BB724" s="29"/>
      <c r="BC724" s="52"/>
      <c r="BD724" s="30"/>
      <c r="BE724" s="29"/>
      <c r="BF724" s="30"/>
      <c r="BG724" s="30"/>
      <c r="BH724" s="30"/>
      <c r="BI724" s="30"/>
      <c r="BJ724" s="30"/>
      <c r="BK724" s="30"/>
      <c r="BL724" s="30"/>
      <c r="BM724" s="30"/>
      <c r="BN724" s="30"/>
      <c r="BO724" s="30"/>
      <c r="BP724" s="30"/>
      <c r="BQ724" s="30"/>
      <c r="BR724" s="30"/>
      <c r="BS724" s="30"/>
      <c r="BT724" s="30"/>
      <c r="BU724" s="30"/>
      <c r="BV724" s="30"/>
      <c r="BW724" s="30"/>
      <c r="BX724" s="30"/>
      <c r="BY724" s="30"/>
      <c r="BZ724" s="30"/>
      <c r="CA724" s="30"/>
      <c r="CB724" s="30"/>
      <c r="CC724" s="30"/>
      <c r="CD724" s="30"/>
      <c r="CE724" s="30"/>
      <c r="CF724" s="30"/>
      <c r="CG724" s="30"/>
      <c r="CH724" s="30"/>
      <c r="CI724" s="30"/>
      <c r="CJ724" s="30"/>
      <c r="CK724" s="30"/>
      <c r="CL724" s="30"/>
      <c r="CM724" s="30"/>
      <c r="CN724" s="30"/>
      <c r="CO724" s="30"/>
      <c r="CP724" s="30"/>
      <c r="CQ724" s="30"/>
      <c r="CR724" s="30"/>
      <c r="CS724" s="30"/>
      <c r="CT724" s="30"/>
      <c r="CU724" s="30"/>
      <c r="CV724" s="30"/>
      <c r="CW724" s="30"/>
      <c r="CX724" s="30"/>
      <c r="CY724" s="30"/>
      <c r="CZ724" s="30"/>
      <c r="DA724" s="30"/>
      <c r="DB724" s="30"/>
      <c r="DC724" s="30"/>
      <c r="DD724" s="30"/>
      <c r="DE724" s="30"/>
      <c r="DF724" s="30"/>
      <c r="DG724" s="30"/>
      <c r="DH724" s="30"/>
      <c r="DI724" s="30"/>
      <c r="DJ724" s="30"/>
      <c r="DK724" s="30"/>
      <c r="DL724" s="30"/>
      <c r="DM724" s="30"/>
      <c r="DN724" s="30"/>
      <c r="DO724" s="30"/>
      <c r="DP724" s="30"/>
      <c r="DQ724" s="30"/>
      <c r="DR724" s="30"/>
      <c r="DS724" s="30"/>
      <c r="DT724" s="30"/>
      <c r="DU724" s="30"/>
      <c r="DV724" s="30"/>
      <c r="DW724" s="30"/>
      <c r="DX724" s="30"/>
      <c r="DY724" s="30"/>
      <c r="DZ724" s="30"/>
    </row>
    <row r="725">
      <c r="A725" s="30"/>
      <c r="B725" s="42"/>
      <c r="C725" s="43"/>
      <c r="D725" s="30"/>
      <c r="E725" s="28"/>
      <c r="F725" s="30"/>
      <c r="G725" s="30"/>
      <c r="H725" s="30"/>
      <c r="I725" s="30"/>
      <c r="J725" s="28"/>
      <c r="K725" s="30"/>
      <c r="L725" s="30"/>
      <c r="M725" s="30"/>
      <c r="N725" s="30"/>
      <c r="O725" s="28"/>
      <c r="P725" s="30"/>
      <c r="Q725" s="30"/>
      <c r="R725" s="30"/>
      <c r="S725" s="36"/>
      <c r="T725" s="30"/>
      <c r="U725" s="36"/>
      <c r="V725" s="30"/>
      <c r="W725" s="28"/>
      <c r="X725" s="30"/>
      <c r="Y725" s="30"/>
      <c r="Z725" s="30"/>
      <c r="AA725" s="30"/>
      <c r="AB725" s="30"/>
      <c r="AC725" s="28"/>
      <c r="AD725" s="30"/>
      <c r="AE725" s="30"/>
      <c r="AF725" s="30"/>
      <c r="AG725" s="29"/>
      <c r="AH725" s="30"/>
      <c r="AI725" s="36"/>
      <c r="AJ725" s="30"/>
      <c r="AK725" s="29"/>
      <c r="AL725" s="30"/>
      <c r="AM725" s="30"/>
      <c r="AN725" s="30"/>
      <c r="AO725" s="30"/>
      <c r="AP725" s="30"/>
      <c r="AQ725" s="38"/>
      <c r="AR725" s="30"/>
      <c r="AS725" s="30"/>
      <c r="AT725" s="29"/>
      <c r="AU725" s="30"/>
      <c r="AV725" s="30"/>
      <c r="AW725" s="30"/>
      <c r="AX725" s="29"/>
      <c r="AY725" s="39"/>
      <c r="AZ725" s="30"/>
      <c r="BA725" s="30"/>
      <c r="BB725" s="29"/>
      <c r="BC725" s="52"/>
      <c r="BD725" s="30"/>
      <c r="BE725" s="29"/>
      <c r="BF725" s="30"/>
      <c r="BG725" s="30"/>
      <c r="BH725" s="30"/>
      <c r="BI725" s="30"/>
      <c r="BJ725" s="30"/>
      <c r="BK725" s="30"/>
      <c r="BL725" s="30"/>
      <c r="BM725" s="30"/>
      <c r="BN725" s="30"/>
      <c r="BO725" s="30"/>
      <c r="BP725" s="30"/>
      <c r="BQ725" s="30"/>
      <c r="BR725" s="30"/>
      <c r="BS725" s="30"/>
      <c r="BT725" s="30"/>
      <c r="BU725" s="30"/>
      <c r="BV725" s="30"/>
      <c r="BW725" s="30"/>
      <c r="BX725" s="30"/>
      <c r="BY725" s="30"/>
      <c r="BZ725" s="30"/>
      <c r="CA725" s="30"/>
      <c r="CB725" s="30"/>
      <c r="CC725" s="30"/>
      <c r="CD725" s="30"/>
      <c r="CE725" s="30"/>
      <c r="CF725" s="30"/>
      <c r="CG725" s="30"/>
      <c r="CH725" s="30"/>
      <c r="CI725" s="30"/>
      <c r="CJ725" s="30"/>
      <c r="CK725" s="30"/>
      <c r="CL725" s="30"/>
      <c r="CM725" s="30"/>
      <c r="CN725" s="30"/>
      <c r="CO725" s="30"/>
      <c r="CP725" s="30"/>
      <c r="CQ725" s="30"/>
      <c r="CR725" s="30"/>
      <c r="CS725" s="30"/>
      <c r="CT725" s="30"/>
      <c r="CU725" s="30"/>
      <c r="CV725" s="30"/>
      <c r="CW725" s="30"/>
      <c r="CX725" s="30"/>
      <c r="CY725" s="30"/>
      <c r="CZ725" s="30"/>
      <c r="DA725" s="30"/>
      <c r="DB725" s="30"/>
      <c r="DC725" s="30"/>
      <c r="DD725" s="30"/>
      <c r="DE725" s="30"/>
      <c r="DF725" s="30"/>
      <c r="DG725" s="30"/>
      <c r="DH725" s="30"/>
      <c r="DI725" s="30"/>
      <c r="DJ725" s="30"/>
      <c r="DK725" s="30"/>
      <c r="DL725" s="30"/>
      <c r="DM725" s="30"/>
      <c r="DN725" s="30"/>
      <c r="DO725" s="30"/>
      <c r="DP725" s="30"/>
      <c r="DQ725" s="30"/>
      <c r="DR725" s="30"/>
      <c r="DS725" s="30"/>
      <c r="DT725" s="30"/>
      <c r="DU725" s="30"/>
      <c r="DV725" s="30"/>
      <c r="DW725" s="30"/>
      <c r="DX725" s="30"/>
      <c r="DY725" s="30"/>
      <c r="DZ725" s="30"/>
    </row>
    <row r="726">
      <c r="A726" s="30"/>
      <c r="B726" s="42"/>
      <c r="C726" s="43"/>
      <c r="D726" s="30"/>
      <c r="E726" s="28"/>
      <c r="F726" s="30"/>
      <c r="G726" s="30"/>
      <c r="H726" s="30"/>
      <c r="I726" s="30"/>
      <c r="J726" s="28"/>
      <c r="K726" s="30"/>
      <c r="L726" s="30"/>
      <c r="M726" s="30"/>
      <c r="N726" s="30"/>
      <c r="O726" s="28"/>
      <c r="P726" s="30"/>
      <c r="Q726" s="30"/>
      <c r="R726" s="30"/>
      <c r="S726" s="36"/>
      <c r="T726" s="30"/>
      <c r="U726" s="36"/>
      <c r="V726" s="30"/>
      <c r="W726" s="28"/>
      <c r="X726" s="30"/>
      <c r="Y726" s="30"/>
      <c r="Z726" s="30"/>
      <c r="AA726" s="30"/>
      <c r="AB726" s="30"/>
      <c r="AC726" s="28"/>
      <c r="AD726" s="30"/>
      <c r="AE726" s="30"/>
      <c r="AF726" s="30"/>
      <c r="AG726" s="29"/>
      <c r="AH726" s="30"/>
      <c r="AI726" s="36"/>
      <c r="AJ726" s="30"/>
      <c r="AK726" s="29"/>
      <c r="AL726" s="30"/>
      <c r="AM726" s="30"/>
      <c r="AN726" s="30"/>
      <c r="AO726" s="30"/>
      <c r="AP726" s="30"/>
      <c r="AQ726" s="38"/>
      <c r="AR726" s="30"/>
      <c r="AS726" s="30"/>
      <c r="AT726" s="29"/>
      <c r="AU726" s="30"/>
      <c r="AV726" s="30"/>
      <c r="AW726" s="30"/>
      <c r="AX726" s="29"/>
      <c r="AY726" s="39"/>
      <c r="AZ726" s="30"/>
      <c r="BA726" s="30"/>
      <c r="BB726" s="29"/>
      <c r="BC726" s="52"/>
      <c r="BD726" s="30"/>
      <c r="BE726" s="29"/>
      <c r="BF726" s="30"/>
      <c r="BG726" s="30"/>
      <c r="BH726" s="30"/>
      <c r="BI726" s="30"/>
      <c r="BJ726" s="30"/>
      <c r="BK726" s="30"/>
      <c r="BL726" s="30"/>
      <c r="BM726" s="30"/>
      <c r="BN726" s="30"/>
      <c r="BO726" s="30"/>
      <c r="BP726" s="30"/>
      <c r="BQ726" s="30"/>
      <c r="BR726" s="30"/>
      <c r="BS726" s="30"/>
      <c r="BT726" s="30"/>
      <c r="BU726" s="30"/>
      <c r="BV726" s="30"/>
      <c r="BW726" s="30"/>
      <c r="BX726" s="30"/>
      <c r="BY726" s="30"/>
      <c r="BZ726" s="30"/>
      <c r="CA726" s="30"/>
      <c r="CB726" s="30"/>
      <c r="CC726" s="30"/>
      <c r="CD726" s="30"/>
      <c r="CE726" s="30"/>
      <c r="CF726" s="30"/>
      <c r="CG726" s="30"/>
      <c r="CH726" s="30"/>
      <c r="CI726" s="30"/>
      <c r="CJ726" s="30"/>
      <c r="CK726" s="30"/>
      <c r="CL726" s="30"/>
      <c r="CM726" s="30"/>
      <c r="CN726" s="30"/>
      <c r="CO726" s="30"/>
      <c r="CP726" s="30"/>
      <c r="CQ726" s="30"/>
      <c r="CR726" s="30"/>
      <c r="CS726" s="30"/>
      <c r="CT726" s="30"/>
      <c r="CU726" s="30"/>
      <c r="CV726" s="30"/>
      <c r="CW726" s="30"/>
      <c r="CX726" s="30"/>
      <c r="CY726" s="30"/>
      <c r="CZ726" s="30"/>
      <c r="DA726" s="30"/>
      <c r="DB726" s="30"/>
      <c r="DC726" s="30"/>
      <c r="DD726" s="30"/>
      <c r="DE726" s="30"/>
      <c r="DF726" s="30"/>
      <c r="DG726" s="30"/>
      <c r="DH726" s="30"/>
      <c r="DI726" s="30"/>
      <c r="DJ726" s="30"/>
      <c r="DK726" s="30"/>
      <c r="DL726" s="30"/>
      <c r="DM726" s="30"/>
      <c r="DN726" s="30"/>
      <c r="DO726" s="30"/>
      <c r="DP726" s="30"/>
      <c r="DQ726" s="30"/>
      <c r="DR726" s="30"/>
      <c r="DS726" s="30"/>
      <c r="DT726" s="30"/>
      <c r="DU726" s="30"/>
      <c r="DV726" s="30"/>
      <c r="DW726" s="30"/>
      <c r="DX726" s="30"/>
      <c r="DY726" s="30"/>
      <c r="DZ726" s="30"/>
    </row>
    <row r="727">
      <c r="A727" s="30"/>
      <c r="B727" s="42"/>
      <c r="C727" s="43"/>
      <c r="D727" s="30"/>
      <c r="E727" s="28"/>
      <c r="F727" s="30"/>
      <c r="G727" s="30"/>
      <c r="H727" s="30"/>
      <c r="I727" s="30"/>
      <c r="J727" s="28"/>
      <c r="K727" s="30"/>
      <c r="L727" s="30"/>
      <c r="M727" s="30"/>
      <c r="N727" s="30"/>
      <c r="O727" s="28"/>
      <c r="P727" s="30"/>
      <c r="Q727" s="30"/>
      <c r="R727" s="30"/>
      <c r="S727" s="36"/>
      <c r="T727" s="30"/>
      <c r="U727" s="36"/>
      <c r="V727" s="30"/>
      <c r="W727" s="28"/>
      <c r="X727" s="30"/>
      <c r="Y727" s="30"/>
      <c r="Z727" s="30"/>
      <c r="AA727" s="30"/>
      <c r="AB727" s="30"/>
      <c r="AC727" s="28"/>
      <c r="AD727" s="30"/>
      <c r="AE727" s="30"/>
      <c r="AF727" s="30"/>
      <c r="AG727" s="29"/>
      <c r="AH727" s="30"/>
      <c r="AI727" s="36"/>
      <c r="AJ727" s="30"/>
      <c r="AK727" s="29"/>
      <c r="AL727" s="30"/>
      <c r="AM727" s="30"/>
      <c r="AN727" s="30"/>
      <c r="AO727" s="30"/>
      <c r="AP727" s="30"/>
      <c r="AQ727" s="38"/>
      <c r="AR727" s="30"/>
      <c r="AS727" s="30"/>
      <c r="AT727" s="29"/>
      <c r="AU727" s="30"/>
      <c r="AV727" s="30"/>
      <c r="AW727" s="30"/>
      <c r="AX727" s="29"/>
      <c r="AY727" s="39"/>
      <c r="AZ727" s="30"/>
      <c r="BA727" s="30"/>
      <c r="BB727" s="29"/>
      <c r="BC727" s="52"/>
      <c r="BD727" s="30"/>
      <c r="BE727" s="29"/>
      <c r="BF727" s="30"/>
      <c r="BG727" s="30"/>
      <c r="BH727" s="30"/>
      <c r="BI727" s="30"/>
      <c r="BJ727" s="30"/>
      <c r="BK727" s="30"/>
      <c r="BL727" s="30"/>
      <c r="BM727" s="30"/>
      <c r="BN727" s="30"/>
      <c r="BO727" s="30"/>
      <c r="BP727" s="30"/>
      <c r="BQ727" s="30"/>
      <c r="BR727" s="30"/>
      <c r="BS727" s="30"/>
      <c r="BT727" s="30"/>
      <c r="BU727" s="30"/>
      <c r="BV727" s="30"/>
      <c r="BW727" s="30"/>
      <c r="BX727" s="30"/>
      <c r="BY727" s="30"/>
      <c r="BZ727" s="30"/>
      <c r="CA727" s="30"/>
      <c r="CB727" s="30"/>
      <c r="CC727" s="30"/>
      <c r="CD727" s="30"/>
      <c r="CE727" s="30"/>
      <c r="CF727" s="30"/>
      <c r="CG727" s="30"/>
      <c r="CH727" s="30"/>
      <c r="CI727" s="30"/>
      <c r="CJ727" s="30"/>
      <c r="CK727" s="30"/>
      <c r="CL727" s="30"/>
      <c r="CM727" s="30"/>
      <c r="CN727" s="30"/>
      <c r="CO727" s="30"/>
      <c r="CP727" s="30"/>
      <c r="CQ727" s="30"/>
      <c r="CR727" s="30"/>
      <c r="CS727" s="30"/>
      <c r="CT727" s="30"/>
      <c r="CU727" s="30"/>
      <c r="CV727" s="30"/>
      <c r="CW727" s="30"/>
      <c r="CX727" s="30"/>
      <c r="CY727" s="30"/>
      <c r="CZ727" s="30"/>
      <c r="DA727" s="30"/>
      <c r="DB727" s="30"/>
      <c r="DC727" s="30"/>
      <c r="DD727" s="30"/>
      <c r="DE727" s="30"/>
      <c r="DF727" s="30"/>
      <c r="DG727" s="30"/>
      <c r="DH727" s="30"/>
      <c r="DI727" s="30"/>
      <c r="DJ727" s="30"/>
      <c r="DK727" s="30"/>
      <c r="DL727" s="30"/>
      <c r="DM727" s="30"/>
      <c r="DN727" s="30"/>
      <c r="DO727" s="30"/>
      <c r="DP727" s="30"/>
      <c r="DQ727" s="30"/>
      <c r="DR727" s="30"/>
      <c r="DS727" s="30"/>
      <c r="DT727" s="30"/>
      <c r="DU727" s="30"/>
      <c r="DV727" s="30"/>
      <c r="DW727" s="30"/>
      <c r="DX727" s="30"/>
      <c r="DY727" s="30"/>
      <c r="DZ727" s="30"/>
    </row>
    <row r="728">
      <c r="A728" s="30"/>
      <c r="B728" s="42"/>
      <c r="C728" s="43"/>
      <c r="D728" s="30"/>
      <c r="E728" s="28"/>
      <c r="F728" s="30"/>
      <c r="G728" s="30"/>
      <c r="H728" s="30"/>
      <c r="I728" s="30"/>
      <c r="J728" s="28"/>
      <c r="K728" s="30"/>
      <c r="L728" s="30"/>
      <c r="M728" s="30"/>
      <c r="N728" s="30"/>
      <c r="O728" s="28"/>
      <c r="P728" s="30"/>
      <c r="Q728" s="30"/>
      <c r="R728" s="30"/>
      <c r="S728" s="36"/>
      <c r="T728" s="30"/>
      <c r="U728" s="36"/>
      <c r="V728" s="30"/>
      <c r="W728" s="28"/>
      <c r="X728" s="30"/>
      <c r="Y728" s="30"/>
      <c r="Z728" s="30"/>
      <c r="AA728" s="30"/>
      <c r="AB728" s="30"/>
      <c r="AC728" s="28"/>
      <c r="AD728" s="30"/>
      <c r="AE728" s="30"/>
      <c r="AF728" s="30"/>
      <c r="AG728" s="29"/>
      <c r="AH728" s="30"/>
      <c r="AI728" s="36"/>
      <c r="AJ728" s="30"/>
      <c r="AK728" s="29"/>
      <c r="AL728" s="30"/>
      <c r="AM728" s="30"/>
      <c r="AN728" s="30"/>
      <c r="AO728" s="30"/>
      <c r="AP728" s="30"/>
      <c r="AQ728" s="38"/>
      <c r="AR728" s="30"/>
      <c r="AS728" s="30"/>
      <c r="AT728" s="29"/>
      <c r="AU728" s="30"/>
      <c r="AV728" s="30"/>
      <c r="AW728" s="30"/>
      <c r="AX728" s="29"/>
      <c r="AY728" s="39"/>
      <c r="AZ728" s="30"/>
      <c r="BA728" s="30"/>
      <c r="BB728" s="29"/>
      <c r="BC728" s="52"/>
      <c r="BD728" s="30"/>
      <c r="BE728" s="29"/>
      <c r="BF728" s="30"/>
      <c r="BG728" s="30"/>
      <c r="BH728" s="30"/>
      <c r="BI728" s="30"/>
      <c r="BJ728" s="30"/>
      <c r="BK728" s="30"/>
      <c r="BL728" s="30"/>
      <c r="BM728" s="30"/>
      <c r="BN728" s="30"/>
      <c r="BO728" s="30"/>
      <c r="BP728" s="30"/>
      <c r="BQ728" s="30"/>
      <c r="BR728" s="30"/>
      <c r="BS728" s="30"/>
      <c r="BT728" s="30"/>
      <c r="BU728" s="30"/>
      <c r="BV728" s="30"/>
      <c r="BW728" s="30"/>
      <c r="BX728" s="30"/>
      <c r="BY728" s="30"/>
      <c r="BZ728" s="30"/>
      <c r="CA728" s="30"/>
      <c r="CB728" s="30"/>
      <c r="CC728" s="30"/>
      <c r="CD728" s="30"/>
      <c r="CE728" s="30"/>
      <c r="CF728" s="30"/>
      <c r="CG728" s="30"/>
      <c r="CH728" s="30"/>
      <c r="CI728" s="30"/>
      <c r="CJ728" s="30"/>
      <c r="CK728" s="30"/>
      <c r="CL728" s="30"/>
      <c r="CM728" s="30"/>
      <c r="CN728" s="30"/>
      <c r="CO728" s="30"/>
      <c r="CP728" s="30"/>
      <c r="CQ728" s="30"/>
      <c r="CR728" s="30"/>
      <c r="CS728" s="30"/>
      <c r="CT728" s="30"/>
      <c r="CU728" s="30"/>
      <c r="CV728" s="30"/>
      <c r="CW728" s="30"/>
      <c r="CX728" s="30"/>
      <c r="CY728" s="30"/>
      <c r="CZ728" s="30"/>
      <c r="DA728" s="30"/>
      <c r="DB728" s="30"/>
      <c r="DC728" s="30"/>
      <c r="DD728" s="30"/>
      <c r="DE728" s="30"/>
      <c r="DF728" s="30"/>
      <c r="DG728" s="30"/>
      <c r="DH728" s="30"/>
      <c r="DI728" s="30"/>
      <c r="DJ728" s="30"/>
      <c r="DK728" s="30"/>
      <c r="DL728" s="30"/>
      <c r="DM728" s="30"/>
      <c r="DN728" s="30"/>
      <c r="DO728" s="30"/>
      <c r="DP728" s="30"/>
      <c r="DQ728" s="30"/>
      <c r="DR728" s="30"/>
      <c r="DS728" s="30"/>
      <c r="DT728" s="30"/>
      <c r="DU728" s="30"/>
      <c r="DV728" s="30"/>
      <c r="DW728" s="30"/>
      <c r="DX728" s="30"/>
      <c r="DY728" s="30"/>
      <c r="DZ728" s="30"/>
    </row>
    <row r="729">
      <c r="A729" s="30"/>
      <c r="B729" s="42"/>
      <c r="C729" s="43"/>
      <c r="D729" s="30"/>
      <c r="E729" s="28"/>
      <c r="F729" s="30"/>
      <c r="G729" s="30"/>
      <c r="H729" s="30"/>
      <c r="I729" s="30"/>
      <c r="J729" s="28"/>
      <c r="K729" s="30"/>
      <c r="L729" s="30"/>
      <c r="M729" s="30"/>
      <c r="N729" s="30"/>
      <c r="O729" s="28"/>
      <c r="P729" s="30"/>
      <c r="Q729" s="30"/>
      <c r="R729" s="30"/>
      <c r="S729" s="36"/>
      <c r="T729" s="30"/>
      <c r="U729" s="36"/>
      <c r="V729" s="30"/>
      <c r="W729" s="28"/>
      <c r="X729" s="30"/>
      <c r="Y729" s="30"/>
      <c r="Z729" s="30"/>
      <c r="AA729" s="30"/>
      <c r="AB729" s="30"/>
      <c r="AC729" s="28"/>
      <c r="AD729" s="30"/>
      <c r="AE729" s="30"/>
      <c r="AF729" s="30"/>
      <c r="AG729" s="29"/>
      <c r="AH729" s="30"/>
      <c r="AI729" s="36"/>
      <c r="AJ729" s="30"/>
      <c r="AK729" s="29"/>
      <c r="AL729" s="30"/>
      <c r="AM729" s="30"/>
      <c r="AN729" s="30"/>
      <c r="AO729" s="30"/>
      <c r="AP729" s="30"/>
      <c r="AQ729" s="38"/>
      <c r="AR729" s="30"/>
      <c r="AS729" s="30"/>
      <c r="AT729" s="29"/>
      <c r="AU729" s="30"/>
      <c r="AV729" s="30"/>
      <c r="AW729" s="30"/>
      <c r="AX729" s="29"/>
      <c r="AY729" s="39"/>
      <c r="AZ729" s="30"/>
      <c r="BA729" s="30"/>
      <c r="BB729" s="29"/>
      <c r="BC729" s="52"/>
      <c r="BD729" s="30"/>
      <c r="BE729" s="29"/>
      <c r="BF729" s="30"/>
      <c r="BG729" s="30"/>
      <c r="BH729" s="30"/>
      <c r="BI729" s="30"/>
      <c r="BJ729" s="30"/>
      <c r="BK729" s="30"/>
      <c r="BL729" s="30"/>
      <c r="BM729" s="30"/>
      <c r="BN729" s="30"/>
      <c r="BO729" s="30"/>
      <c r="BP729" s="30"/>
      <c r="BQ729" s="30"/>
      <c r="BR729" s="30"/>
      <c r="BS729" s="30"/>
      <c r="BT729" s="30"/>
      <c r="BU729" s="30"/>
      <c r="BV729" s="30"/>
      <c r="BW729" s="30"/>
      <c r="BX729" s="30"/>
      <c r="BY729" s="30"/>
      <c r="BZ729" s="30"/>
      <c r="CA729" s="30"/>
      <c r="CB729" s="30"/>
      <c r="CC729" s="30"/>
      <c r="CD729" s="30"/>
      <c r="CE729" s="30"/>
      <c r="CF729" s="30"/>
      <c r="CG729" s="30"/>
      <c r="CH729" s="30"/>
      <c r="CI729" s="30"/>
      <c r="CJ729" s="30"/>
      <c r="CK729" s="30"/>
      <c r="CL729" s="30"/>
      <c r="CM729" s="30"/>
      <c r="CN729" s="30"/>
      <c r="CO729" s="30"/>
      <c r="CP729" s="30"/>
      <c r="CQ729" s="30"/>
      <c r="CR729" s="30"/>
      <c r="CS729" s="30"/>
      <c r="CT729" s="30"/>
      <c r="CU729" s="30"/>
      <c r="CV729" s="30"/>
      <c r="CW729" s="30"/>
      <c r="CX729" s="30"/>
      <c r="CY729" s="30"/>
      <c r="CZ729" s="30"/>
      <c r="DA729" s="30"/>
      <c r="DB729" s="30"/>
      <c r="DC729" s="30"/>
      <c r="DD729" s="30"/>
      <c r="DE729" s="30"/>
      <c r="DF729" s="30"/>
      <c r="DG729" s="30"/>
      <c r="DH729" s="30"/>
      <c r="DI729" s="30"/>
      <c r="DJ729" s="30"/>
      <c r="DK729" s="30"/>
      <c r="DL729" s="30"/>
      <c r="DM729" s="30"/>
      <c r="DN729" s="30"/>
      <c r="DO729" s="30"/>
      <c r="DP729" s="30"/>
      <c r="DQ729" s="30"/>
      <c r="DR729" s="30"/>
      <c r="DS729" s="30"/>
      <c r="DT729" s="30"/>
      <c r="DU729" s="30"/>
      <c r="DV729" s="30"/>
      <c r="DW729" s="30"/>
      <c r="DX729" s="30"/>
      <c r="DY729" s="30"/>
      <c r="DZ729" s="30"/>
    </row>
    <row r="730">
      <c r="A730" s="30"/>
      <c r="B730" s="42"/>
      <c r="C730" s="43"/>
      <c r="D730" s="30"/>
      <c r="E730" s="28"/>
      <c r="F730" s="30"/>
      <c r="G730" s="30"/>
      <c r="H730" s="30"/>
      <c r="I730" s="30"/>
      <c r="J730" s="28"/>
      <c r="K730" s="30"/>
      <c r="L730" s="30"/>
      <c r="M730" s="30"/>
      <c r="N730" s="30"/>
      <c r="O730" s="28"/>
      <c r="P730" s="30"/>
      <c r="Q730" s="30"/>
      <c r="R730" s="30"/>
      <c r="S730" s="36"/>
      <c r="T730" s="30"/>
      <c r="U730" s="36"/>
      <c r="V730" s="30"/>
      <c r="W730" s="28"/>
      <c r="X730" s="30"/>
      <c r="Y730" s="30"/>
      <c r="Z730" s="30"/>
      <c r="AA730" s="30"/>
      <c r="AB730" s="30"/>
      <c r="AC730" s="28"/>
      <c r="AD730" s="30"/>
      <c r="AE730" s="30"/>
      <c r="AF730" s="30"/>
      <c r="AG730" s="29"/>
      <c r="AH730" s="30"/>
      <c r="AI730" s="36"/>
      <c r="AJ730" s="30"/>
      <c r="AK730" s="29"/>
      <c r="AL730" s="30"/>
      <c r="AM730" s="30"/>
      <c r="AN730" s="30"/>
      <c r="AO730" s="30"/>
      <c r="AP730" s="30"/>
      <c r="AQ730" s="38"/>
      <c r="AR730" s="30"/>
      <c r="AS730" s="30"/>
      <c r="AT730" s="29"/>
      <c r="AU730" s="30"/>
      <c r="AV730" s="30"/>
      <c r="AW730" s="30"/>
      <c r="AX730" s="29"/>
      <c r="AY730" s="39"/>
      <c r="AZ730" s="30"/>
      <c r="BA730" s="30"/>
      <c r="BB730" s="29"/>
      <c r="BC730" s="52"/>
      <c r="BD730" s="30"/>
      <c r="BE730" s="29"/>
      <c r="BF730" s="30"/>
      <c r="BG730" s="30"/>
      <c r="BH730" s="30"/>
      <c r="BI730" s="30"/>
      <c r="BJ730" s="30"/>
      <c r="BK730" s="30"/>
      <c r="BL730" s="30"/>
      <c r="BM730" s="30"/>
      <c r="BN730" s="30"/>
      <c r="BO730" s="30"/>
      <c r="BP730" s="30"/>
      <c r="BQ730" s="30"/>
      <c r="BR730" s="30"/>
      <c r="BS730" s="30"/>
      <c r="BT730" s="30"/>
      <c r="BU730" s="30"/>
      <c r="BV730" s="30"/>
      <c r="BW730" s="30"/>
      <c r="BX730" s="30"/>
      <c r="BY730" s="30"/>
      <c r="BZ730" s="30"/>
      <c r="CA730" s="30"/>
      <c r="CB730" s="30"/>
      <c r="CC730" s="30"/>
      <c r="CD730" s="30"/>
      <c r="CE730" s="30"/>
      <c r="CF730" s="30"/>
      <c r="CG730" s="30"/>
      <c r="CH730" s="30"/>
      <c r="CI730" s="30"/>
      <c r="CJ730" s="30"/>
      <c r="CK730" s="30"/>
      <c r="CL730" s="30"/>
      <c r="CM730" s="30"/>
      <c r="CN730" s="30"/>
      <c r="CO730" s="30"/>
      <c r="CP730" s="30"/>
      <c r="CQ730" s="30"/>
      <c r="CR730" s="30"/>
      <c r="CS730" s="30"/>
      <c r="CT730" s="30"/>
      <c r="CU730" s="30"/>
      <c r="CV730" s="30"/>
      <c r="CW730" s="30"/>
      <c r="CX730" s="30"/>
      <c r="CY730" s="30"/>
      <c r="CZ730" s="30"/>
      <c r="DA730" s="30"/>
      <c r="DB730" s="30"/>
      <c r="DC730" s="30"/>
      <c r="DD730" s="30"/>
      <c r="DE730" s="30"/>
      <c r="DF730" s="30"/>
      <c r="DG730" s="30"/>
      <c r="DH730" s="30"/>
      <c r="DI730" s="30"/>
      <c r="DJ730" s="30"/>
      <c r="DK730" s="30"/>
      <c r="DL730" s="30"/>
      <c r="DM730" s="30"/>
      <c r="DN730" s="30"/>
      <c r="DO730" s="30"/>
      <c r="DP730" s="30"/>
      <c r="DQ730" s="30"/>
      <c r="DR730" s="30"/>
      <c r="DS730" s="30"/>
      <c r="DT730" s="30"/>
      <c r="DU730" s="30"/>
      <c r="DV730" s="30"/>
      <c r="DW730" s="30"/>
      <c r="DX730" s="30"/>
      <c r="DY730" s="30"/>
      <c r="DZ730" s="30"/>
    </row>
    <row r="731">
      <c r="A731" s="30"/>
      <c r="B731" s="42"/>
      <c r="C731" s="43"/>
      <c r="D731" s="30"/>
      <c r="E731" s="28"/>
      <c r="F731" s="30"/>
      <c r="G731" s="30"/>
      <c r="H731" s="30"/>
      <c r="I731" s="30"/>
      <c r="J731" s="28"/>
      <c r="K731" s="30"/>
      <c r="L731" s="30"/>
      <c r="M731" s="30"/>
      <c r="N731" s="30"/>
      <c r="O731" s="28"/>
      <c r="P731" s="30"/>
      <c r="Q731" s="30"/>
      <c r="R731" s="30"/>
      <c r="S731" s="36"/>
      <c r="T731" s="30"/>
      <c r="U731" s="36"/>
      <c r="V731" s="30"/>
      <c r="W731" s="28"/>
      <c r="X731" s="30"/>
      <c r="Y731" s="30"/>
      <c r="Z731" s="30"/>
      <c r="AA731" s="30"/>
      <c r="AB731" s="30"/>
      <c r="AC731" s="28"/>
      <c r="AD731" s="30"/>
      <c r="AE731" s="30"/>
      <c r="AF731" s="30"/>
      <c r="AG731" s="29"/>
      <c r="AH731" s="30"/>
      <c r="AI731" s="36"/>
      <c r="AJ731" s="30"/>
      <c r="AK731" s="29"/>
      <c r="AL731" s="30"/>
      <c r="AM731" s="30"/>
      <c r="AN731" s="30"/>
      <c r="AO731" s="30"/>
      <c r="AP731" s="30"/>
      <c r="AQ731" s="38"/>
      <c r="AR731" s="30"/>
      <c r="AS731" s="30"/>
      <c r="AT731" s="29"/>
      <c r="AU731" s="30"/>
      <c r="AV731" s="30"/>
      <c r="AW731" s="30"/>
      <c r="AX731" s="29"/>
      <c r="AY731" s="39"/>
      <c r="AZ731" s="30"/>
      <c r="BA731" s="30"/>
      <c r="BB731" s="29"/>
      <c r="BC731" s="52"/>
      <c r="BD731" s="30"/>
      <c r="BE731" s="29"/>
      <c r="BF731" s="30"/>
      <c r="BG731" s="30"/>
      <c r="BH731" s="30"/>
      <c r="BI731" s="30"/>
      <c r="BJ731" s="30"/>
      <c r="BK731" s="30"/>
      <c r="BL731" s="30"/>
      <c r="BM731" s="30"/>
      <c r="BN731" s="30"/>
      <c r="BO731" s="30"/>
      <c r="BP731" s="30"/>
      <c r="BQ731" s="30"/>
      <c r="BR731" s="30"/>
      <c r="BS731" s="30"/>
      <c r="BT731" s="30"/>
      <c r="BU731" s="30"/>
      <c r="BV731" s="30"/>
      <c r="BW731" s="30"/>
      <c r="BX731" s="30"/>
      <c r="BY731" s="30"/>
      <c r="BZ731" s="30"/>
      <c r="CA731" s="30"/>
      <c r="CB731" s="30"/>
      <c r="CC731" s="30"/>
      <c r="CD731" s="30"/>
      <c r="CE731" s="30"/>
      <c r="CF731" s="30"/>
      <c r="CG731" s="30"/>
      <c r="CH731" s="30"/>
      <c r="CI731" s="30"/>
      <c r="CJ731" s="30"/>
      <c r="CK731" s="30"/>
      <c r="CL731" s="30"/>
      <c r="CM731" s="30"/>
      <c r="CN731" s="30"/>
      <c r="CO731" s="30"/>
      <c r="CP731" s="30"/>
      <c r="CQ731" s="30"/>
      <c r="CR731" s="30"/>
      <c r="CS731" s="30"/>
      <c r="CT731" s="30"/>
      <c r="CU731" s="30"/>
      <c r="CV731" s="30"/>
      <c r="CW731" s="30"/>
      <c r="CX731" s="30"/>
      <c r="CY731" s="30"/>
      <c r="CZ731" s="30"/>
      <c r="DA731" s="30"/>
      <c r="DB731" s="30"/>
      <c r="DC731" s="30"/>
      <c r="DD731" s="30"/>
      <c r="DE731" s="30"/>
      <c r="DF731" s="30"/>
      <c r="DG731" s="30"/>
      <c r="DH731" s="30"/>
      <c r="DI731" s="30"/>
      <c r="DJ731" s="30"/>
      <c r="DK731" s="30"/>
      <c r="DL731" s="30"/>
      <c r="DM731" s="30"/>
      <c r="DN731" s="30"/>
      <c r="DO731" s="30"/>
      <c r="DP731" s="30"/>
      <c r="DQ731" s="30"/>
      <c r="DR731" s="30"/>
      <c r="DS731" s="30"/>
      <c r="DT731" s="30"/>
      <c r="DU731" s="30"/>
      <c r="DV731" s="30"/>
      <c r="DW731" s="30"/>
      <c r="DX731" s="30"/>
      <c r="DY731" s="30"/>
      <c r="DZ731" s="30"/>
    </row>
    <row r="732">
      <c r="A732" s="30"/>
      <c r="B732" s="42"/>
      <c r="C732" s="43"/>
      <c r="D732" s="30"/>
      <c r="E732" s="28"/>
      <c r="F732" s="30"/>
      <c r="G732" s="30"/>
      <c r="H732" s="30"/>
      <c r="I732" s="30"/>
      <c r="J732" s="28"/>
      <c r="K732" s="30"/>
      <c r="L732" s="30"/>
      <c r="M732" s="30"/>
      <c r="N732" s="30"/>
      <c r="O732" s="28"/>
      <c r="P732" s="30"/>
      <c r="Q732" s="30"/>
      <c r="R732" s="30"/>
      <c r="S732" s="36"/>
      <c r="T732" s="30"/>
      <c r="U732" s="36"/>
      <c r="V732" s="30"/>
      <c r="W732" s="28"/>
      <c r="X732" s="30"/>
      <c r="Y732" s="30"/>
      <c r="Z732" s="30"/>
      <c r="AA732" s="30"/>
      <c r="AB732" s="30"/>
      <c r="AC732" s="28"/>
      <c r="AD732" s="30"/>
      <c r="AE732" s="30"/>
      <c r="AF732" s="30"/>
      <c r="AG732" s="29"/>
      <c r="AH732" s="30"/>
      <c r="AI732" s="36"/>
      <c r="AJ732" s="30"/>
      <c r="AK732" s="29"/>
      <c r="AL732" s="30"/>
      <c r="AM732" s="30"/>
      <c r="AN732" s="30"/>
      <c r="AO732" s="30"/>
      <c r="AP732" s="30"/>
      <c r="AQ732" s="38"/>
      <c r="AR732" s="30"/>
      <c r="AS732" s="30"/>
      <c r="AT732" s="29"/>
      <c r="AU732" s="30"/>
      <c r="AV732" s="30"/>
      <c r="AW732" s="30"/>
      <c r="AX732" s="29"/>
      <c r="AY732" s="39"/>
      <c r="AZ732" s="30"/>
      <c r="BA732" s="30"/>
      <c r="BB732" s="29"/>
      <c r="BC732" s="52"/>
      <c r="BD732" s="30"/>
      <c r="BE732" s="29"/>
      <c r="BF732" s="30"/>
      <c r="BG732" s="30"/>
      <c r="BH732" s="30"/>
      <c r="BI732" s="30"/>
      <c r="BJ732" s="30"/>
      <c r="BK732" s="30"/>
      <c r="BL732" s="30"/>
      <c r="BM732" s="30"/>
      <c r="BN732" s="30"/>
      <c r="BO732" s="30"/>
      <c r="BP732" s="30"/>
      <c r="BQ732" s="30"/>
      <c r="BR732" s="30"/>
      <c r="BS732" s="30"/>
      <c r="BT732" s="30"/>
      <c r="BU732" s="30"/>
      <c r="BV732" s="30"/>
      <c r="BW732" s="30"/>
      <c r="BX732" s="30"/>
      <c r="BY732" s="30"/>
      <c r="BZ732" s="30"/>
      <c r="CA732" s="30"/>
      <c r="CB732" s="30"/>
      <c r="CC732" s="30"/>
      <c r="CD732" s="30"/>
      <c r="CE732" s="30"/>
      <c r="CF732" s="30"/>
      <c r="CG732" s="30"/>
      <c r="CH732" s="30"/>
      <c r="CI732" s="30"/>
      <c r="CJ732" s="30"/>
      <c r="CK732" s="30"/>
      <c r="CL732" s="30"/>
      <c r="CM732" s="30"/>
      <c r="CN732" s="30"/>
      <c r="CO732" s="30"/>
      <c r="CP732" s="30"/>
      <c r="CQ732" s="30"/>
      <c r="CR732" s="30"/>
      <c r="CS732" s="30"/>
      <c r="CT732" s="30"/>
      <c r="CU732" s="30"/>
      <c r="CV732" s="30"/>
      <c r="CW732" s="30"/>
      <c r="CX732" s="30"/>
      <c r="CY732" s="30"/>
      <c r="CZ732" s="30"/>
      <c r="DA732" s="30"/>
      <c r="DB732" s="30"/>
      <c r="DC732" s="30"/>
      <c r="DD732" s="30"/>
      <c r="DE732" s="30"/>
      <c r="DF732" s="30"/>
      <c r="DG732" s="30"/>
      <c r="DH732" s="30"/>
      <c r="DI732" s="30"/>
      <c r="DJ732" s="30"/>
      <c r="DK732" s="30"/>
      <c r="DL732" s="30"/>
      <c r="DM732" s="30"/>
      <c r="DN732" s="30"/>
      <c r="DO732" s="30"/>
      <c r="DP732" s="30"/>
      <c r="DQ732" s="30"/>
      <c r="DR732" s="30"/>
      <c r="DS732" s="30"/>
      <c r="DT732" s="30"/>
      <c r="DU732" s="30"/>
      <c r="DV732" s="30"/>
      <c r="DW732" s="30"/>
      <c r="DX732" s="30"/>
      <c r="DY732" s="30"/>
      <c r="DZ732" s="30"/>
    </row>
    <row r="733">
      <c r="A733" s="30"/>
      <c r="B733" s="42"/>
      <c r="C733" s="43"/>
      <c r="D733" s="30"/>
      <c r="E733" s="28"/>
      <c r="F733" s="30"/>
      <c r="G733" s="30"/>
      <c r="H733" s="30"/>
      <c r="I733" s="30"/>
      <c r="J733" s="28"/>
      <c r="K733" s="30"/>
      <c r="L733" s="30"/>
      <c r="M733" s="30"/>
      <c r="N733" s="30"/>
      <c r="O733" s="28"/>
      <c r="P733" s="30"/>
      <c r="Q733" s="30"/>
      <c r="R733" s="30"/>
      <c r="S733" s="36"/>
      <c r="T733" s="30"/>
      <c r="U733" s="36"/>
      <c r="V733" s="30"/>
      <c r="W733" s="28"/>
      <c r="X733" s="30"/>
      <c r="Y733" s="30"/>
      <c r="Z733" s="30"/>
      <c r="AA733" s="30"/>
      <c r="AB733" s="30"/>
      <c r="AC733" s="28"/>
      <c r="AD733" s="30"/>
      <c r="AE733" s="30"/>
      <c r="AF733" s="30"/>
      <c r="AG733" s="29"/>
      <c r="AH733" s="30"/>
      <c r="AI733" s="36"/>
      <c r="AJ733" s="30"/>
      <c r="AK733" s="29"/>
      <c r="AL733" s="30"/>
      <c r="AM733" s="30"/>
      <c r="AN733" s="30"/>
      <c r="AO733" s="30"/>
      <c r="AP733" s="30"/>
      <c r="AQ733" s="38"/>
      <c r="AR733" s="30"/>
      <c r="AS733" s="30"/>
      <c r="AT733" s="29"/>
      <c r="AU733" s="30"/>
      <c r="AV733" s="30"/>
      <c r="AW733" s="30"/>
      <c r="AX733" s="29"/>
      <c r="AY733" s="39"/>
      <c r="AZ733" s="30"/>
      <c r="BA733" s="30"/>
      <c r="BB733" s="29"/>
      <c r="BC733" s="52"/>
      <c r="BD733" s="30"/>
      <c r="BE733" s="29"/>
      <c r="BF733" s="30"/>
      <c r="BG733" s="30"/>
      <c r="BH733" s="30"/>
      <c r="BI733" s="30"/>
      <c r="BJ733" s="30"/>
      <c r="BK733" s="30"/>
      <c r="BL733" s="30"/>
      <c r="BM733" s="30"/>
      <c r="BN733" s="30"/>
      <c r="BO733" s="30"/>
      <c r="BP733" s="30"/>
      <c r="BQ733" s="30"/>
      <c r="BR733" s="30"/>
      <c r="BS733" s="30"/>
      <c r="BT733" s="30"/>
      <c r="BU733" s="30"/>
      <c r="BV733" s="30"/>
      <c r="BW733" s="30"/>
      <c r="BX733" s="30"/>
      <c r="BY733" s="30"/>
      <c r="BZ733" s="30"/>
      <c r="CA733" s="30"/>
      <c r="CB733" s="30"/>
      <c r="CC733" s="30"/>
      <c r="CD733" s="30"/>
      <c r="CE733" s="30"/>
      <c r="CF733" s="30"/>
      <c r="CG733" s="30"/>
      <c r="CH733" s="30"/>
      <c r="CI733" s="30"/>
      <c r="CJ733" s="30"/>
      <c r="CK733" s="30"/>
      <c r="CL733" s="30"/>
      <c r="CM733" s="30"/>
      <c r="CN733" s="30"/>
      <c r="CO733" s="30"/>
      <c r="CP733" s="30"/>
      <c r="CQ733" s="30"/>
      <c r="CR733" s="30"/>
      <c r="CS733" s="30"/>
      <c r="CT733" s="30"/>
      <c r="CU733" s="30"/>
      <c r="CV733" s="30"/>
      <c r="CW733" s="30"/>
      <c r="CX733" s="30"/>
      <c r="CY733" s="30"/>
      <c r="CZ733" s="30"/>
      <c r="DA733" s="30"/>
      <c r="DB733" s="30"/>
      <c r="DC733" s="30"/>
      <c r="DD733" s="30"/>
      <c r="DE733" s="30"/>
      <c r="DF733" s="30"/>
      <c r="DG733" s="30"/>
      <c r="DH733" s="30"/>
      <c r="DI733" s="30"/>
      <c r="DJ733" s="30"/>
      <c r="DK733" s="30"/>
      <c r="DL733" s="30"/>
      <c r="DM733" s="30"/>
      <c r="DN733" s="30"/>
      <c r="DO733" s="30"/>
      <c r="DP733" s="30"/>
      <c r="DQ733" s="30"/>
      <c r="DR733" s="30"/>
      <c r="DS733" s="30"/>
      <c r="DT733" s="30"/>
      <c r="DU733" s="30"/>
      <c r="DV733" s="30"/>
      <c r="DW733" s="30"/>
      <c r="DX733" s="30"/>
      <c r="DY733" s="30"/>
      <c r="DZ733" s="30"/>
    </row>
    <row r="734">
      <c r="A734" s="30"/>
      <c r="B734" s="42"/>
      <c r="C734" s="43"/>
      <c r="D734" s="30"/>
      <c r="E734" s="28"/>
      <c r="F734" s="30"/>
      <c r="G734" s="30"/>
      <c r="H734" s="30"/>
      <c r="I734" s="30"/>
      <c r="J734" s="28"/>
      <c r="K734" s="30"/>
      <c r="L734" s="30"/>
      <c r="M734" s="30"/>
      <c r="N734" s="30"/>
      <c r="O734" s="28"/>
      <c r="P734" s="30"/>
      <c r="Q734" s="30"/>
      <c r="R734" s="30"/>
      <c r="S734" s="36"/>
      <c r="T734" s="30"/>
      <c r="U734" s="36"/>
      <c r="V734" s="30"/>
      <c r="W734" s="28"/>
      <c r="X734" s="30"/>
      <c r="Y734" s="30"/>
      <c r="Z734" s="30"/>
      <c r="AA734" s="30"/>
      <c r="AB734" s="30"/>
      <c r="AC734" s="28"/>
      <c r="AD734" s="30"/>
      <c r="AE734" s="30"/>
      <c r="AF734" s="30"/>
      <c r="AG734" s="29"/>
      <c r="AH734" s="30"/>
      <c r="AI734" s="36"/>
      <c r="AJ734" s="30"/>
      <c r="AK734" s="29"/>
      <c r="AL734" s="30"/>
      <c r="AM734" s="30"/>
      <c r="AN734" s="30"/>
      <c r="AO734" s="30"/>
      <c r="AP734" s="30"/>
      <c r="AQ734" s="38"/>
      <c r="AR734" s="30"/>
      <c r="AS734" s="30"/>
      <c r="AT734" s="29"/>
      <c r="AU734" s="30"/>
      <c r="AV734" s="30"/>
      <c r="AW734" s="30"/>
      <c r="AX734" s="29"/>
      <c r="AY734" s="39"/>
      <c r="AZ734" s="30"/>
      <c r="BA734" s="30"/>
      <c r="BB734" s="29"/>
      <c r="BC734" s="52"/>
      <c r="BD734" s="30"/>
      <c r="BE734" s="29"/>
      <c r="BF734" s="30"/>
      <c r="BG734" s="30"/>
      <c r="BH734" s="30"/>
      <c r="BI734" s="30"/>
      <c r="BJ734" s="30"/>
      <c r="BK734" s="30"/>
      <c r="BL734" s="30"/>
      <c r="BM734" s="30"/>
      <c r="BN734" s="30"/>
      <c r="BO734" s="30"/>
      <c r="BP734" s="30"/>
      <c r="BQ734" s="30"/>
      <c r="BR734" s="30"/>
      <c r="BS734" s="30"/>
      <c r="BT734" s="30"/>
      <c r="BU734" s="30"/>
      <c r="BV734" s="30"/>
      <c r="BW734" s="30"/>
      <c r="BX734" s="30"/>
      <c r="BY734" s="30"/>
      <c r="BZ734" s="30"/>
      <c r="CA734" s="30"/>
      <c r="CB734" s="30"/>
      <c r="CC734" s="30"/>
      <c r="CD734" s="30"/>
      <c r="CE734" s="30"/>
      <c r="CF734" s="30"/>
      <c r="CG734" s="30"/>
      <c r="CH734" s="30"/>
      <c r="CI734" s="30"/>
      <c r="CJ734" s="30"/>
      <c r="CK734" s="30"/>
      <c r="CL734" s="30"/>
      <c r="CM734" s="30"/>
      <c r="CN734" s="30"/>
      <c r="CO734" s="30"/>
      <c r="CP734" s="30"/>
      <c r="CQ734" s="30"/>
      <c r="CR734" s="30"/>
      <c r="CS734" s="30"/>
      <c r="CT734" s="30"/>
      <c r="CU734" s="30"/>
      <c r="CV734" s="30"/>
      <c r="CW734" s="30"/>
      <c r="CX734" s="30"/>
      <c r="CY734" s="30"/>
      <c r="CZ734" s="30"/>
      <c r="DA734" s="30"/>
      <c r="DB734" s="30"/>
      <c r="DC734" s="30"/>
      <c r="DD734" s="30"/>
      <c r="DE734" s="30"/>
      <c r="DF734" s="30"/>
      <c r="DG734" s="30"/>
      <c r="DH734" s="30"/>
      <c r="DI734" s="30"/>
      <c r="DJ734" s="30"/>
      <c r="DK734" s="30"/>
      <c r="DL734" s="30"/>
      <c r="DM734" s="30"/>
      <c r="DN734" s="30"/>
      <c r="DO734" s="30"/>
      <c r="DP734" s="30"/>
      <c r="DQ734" s="30"/>
      <c r="DR734" s="30"/>
      <c r="DS734" s="30"/>
      <c r="DT734" s="30"/>
      <c r="DU734" s="30"/>
      <c r="DV734" s="30"/>
      <c r="DW734" s="30"/>
      <c r="DX734" s="30"/>
      <c r="DY734" s="30"/>
      <c r="DZ734" s="30"/>
    </row>
    <row r="735">
      <c r="A735" s="30"/>
      <c r="B735" s="42"/>
      <c r="C735" s="43"/>
      <c r="D735" s="30"/>
      <c r="E735" s="28"/>
      <c r="F735" s="30"/>
      <c r="G735" s="30"/>
      <c r="H735" s="30"/>
      <c r="I735" s="30"/>
      <c r="J735" s="28"/>
      <c r="K735" s="30"/>
      <c r="L735" s="30"/>
      <c r="M735" s="30"/>
      <c r="N735" s="30"/>
      <c r="O735" s="28"/>
      <c r="P735" s="30"/>
      <c r="Q735" s="30"/>
      <c r="R735" s="30"/>
      <c r="S735" s="36"/>
      <c r="T735" s="30"/>
      <c r="U735" s="36"/>
      <c r="V735" s="30"/>
      <c r="W735" s="28"/>
      <c r="X735" s="30"/>
      <c r="Y735" s="30"/>
      <c r="Z735" s="30"/>
      <c r="AA735" s="30"/>
      <c r="AB735" s="30"/>
      <c r="AC735" s="28"/>
      <c r="AD735" s="30"/>
      <c r="AE735" s="30"/>
      <c r="AF735" s="30"/>
      <c r="AG735" s="29"/>
      <c r="AH735" s="30"/>
      <c r="AI735" s="36"/>
      <c r="AJ735" s="30"/>
      <c r="AK735" s="29"/>
      <c r="AL735" s="30"/>
      <c r="AM735" s="30"/>
      <c r="AN735" s="30"/>
      <c r="AO735" s="30"/>
      <c r="AP735" s="30"/>
      <c r="AQ735" s="38"/>
      <c r="AR735" s="30"/>
      <c r="AS735" s="30"/>
      <c r="AT735" s="29"/>
      <c r="AU735" s="30"/>
      <c r="AV735" s="30"/>
      <c r="AW735" s="30"/>
      <c r="AX735" s="29"/>
      <c r="AY735" s="39"/>
      <c r="AZ735" s="30"/>
      <c r="BA735" s="30"/>
      <c r="BB735" s="29"/>
      <c r="BC735" s="52"/>
      <c r="BD735" s="30"/>
      <c r="BE735" s="29"/>
      <c r="BF735" s="30"/>
      <c r="BG735" s="30"/>
      <c r="BH735" s="30"/>
      <c r="BI735" s="30"/>
      <c r="BJ735" s="30"/>
      <c r="BK735" s="30"/>
      <c r="BL735" s="30"/>
      <c r="BM735" s="30"/>
      <c r="BN735" s="30"/>
      <c r="BO735" s="30"/>
      <c r="BP735" s="30"/>
      <c r="BQ735" s="30"/>
      <c r="BR735" s="30"/>
      <c r="BS735" s="30"/>
      <c r="BT735" s="30"/>
      <c r="BU735" s="30"/>
      <c r="BV735" s="30"/>
      <c r="BW735" s="30"/>
      <c r="BX735" s="30"/>
      <c r="BY735" s="30"/>
      <c r="BZ735" s="30"/>
      <c r="CA735" s="30"/>
      <c r="CB735" s="30"/>
      <c r="CC735" s="30"/>
      <c r="CD735" s="30"/>
      <c r="CE735" s="30"/>
      <c r="CF735" s="30"/>
      <c r="CG735" s="30"/>
      <c r="CH735" s="30"/>
      <c r="CI735" s="30"/>
      <c r="CJ735" s="30"/>
      <c r="CK735" s="30"/>
      <c r="CL735" s="30"/>
      <c r="CM735" s="30"/>
      <c r="CN735" s="30"/>
      <c r="CO735" s="30"/>
      <c r="CP735" s="30"/>
      <c r="CQ735" s="30"/>
      <c r="CR735" s="30"/>
      <c r="CS735" s="30"/>
      <c r="CT735" s="30"/>
      <c r="CU735" s="30"/>
      <c r="CV735" s="30"/>
      <c r="CW735" s="30"/>
      <c r="CX735" s="30"/>
      <c r="CY735" s="30"/>
      <c r="CZ735" s="30"/>
      <c r="DA735" s="30"/>
      <c r="DB735" s="30"/>
      <c r="DC735" s="30"/>
      <c r="DD735" s="30"/>
      <c r="DE735" s="30"/>
      <c r="DF735" s="30"/>
      <c r="DG735" s="30"/>
      <c r="DH735" s="30"/>
      <c r="DI735" s="30"/>
      <c r="DJ735" s="30"/>
      <c r="DK735" s="30"/>
      <c r="DL735" s="30"/>
      <c r="DM735" s="30"/>
      <c r="DN735" s="30"/>
      <c r="DO735" s="30"/>
      <c r="DP735" s="30"/>
      <c r="DQ735" s="30"/>
      <c r="DR735" s="30"/>
      <c r="DS735" s="30"/>
      <c r="DT735" s="30"/>
      <c r="DU735" s="30"/>
      <c r="DV735" s="30"/>
      <c r="DW735" s="30"/>
      <c r="DX735" s="30"/>
      <c r="DY735" s="30"/>
      <c r="DZ735" s="30"/>
    </row>
    <row r="736">
      <c r="A736" s="30"/>
      <c r="B736" s="42"/>
      <c r="C736" s="43"/>
      <c r="D736" s="30"/>
      <c r="E736" s="28"/>
      <c r="F736" s="30"/>
      <c r="G736" s="30"/>
      <c r="H736" s="30"/>
      <c r="I736" s="30"/>
      <c r="J736" s="28"/>
      <c r="K736" s="30"/>
      <c r="L736" s="30"/>
      <c r="M736" s="30"/>
      <c r="N736" s="30"/>
      <c r="O736" s="28"/>
      <c r="P736" s="30"/>
      <c r="Q736" s="30"/>
      <c r="R736" s="30"/>
      <c r="S736" s="36"/>
      <c r="T736" s="30"/>
      <c r="U736" s="36"/>
      <c r="V736" s="30"/>
      <c r="W736" s="28"/>
      <c r="X736" s="30"/>
      <c r="Y736" s="30"/>
      <c r="Z736" s="30"/>
      <c r="AA736" s="30"/>
      <c r="AB736" s="30"/>
      <c r="AC736" s="28"/>
      <c r="AD736" s="30"/>
      <c r="AE736" s="30"/>
      <c r="AF736" s="30"/>
      <c r="AG736" s="29"/>
      <c r="AH736" s="30"/>
      <c r="AI736" s="36"/>
      <c r="AJ736" s="30"/>
      <c r="AK736" s="29"/>
      <c r="AL736" s="30"/>
      <c r="AM736" s="30"/>
      <c r="AN736" s="30"/>
      <c r="AO736" s="30"/>
      <c r="AP736" s="30"/>
      <c r="AQ736" s="38"/>
      <c r="AR736" s="30"/>
      <c r="AS736" s="30"/>
      <c r="AT736" s="29"/>
      <c r="AU736" s="30"/>
      <c r="AV736" s="30"/>
      <c r="AW736" s="30"/>
      <c r="AX736" s="29"/>
      <c r="AY736" s="39"/>
      <c r="AZ736" s="30"/>
      <c r="BA736" s="30"/>
      <c r="BB736" s="29"/>
      <c r="BC736" s="52"/>
      <c r="BD736" s="30"/>
      <c r="BE736" s="29"/>
      <c r="BF736" s="30"/>
      <c r="BG736" s="30"/>
      <c r="BH736" s="30"/>
      <c r="BI736" s="30"/>
      <c r="BJ736" s="30"/>
      <c r="BK736" s="30"/>
      <c r="BL736" s="30"/>
      <c r="BM736" s="30"/>
      <c r="BN736" s="30"/>
      <c r="BO736" s="30"/>
      <c r="BP736" s="30"/>
      <c r="BQ736" s="30"/>
      <c r="BR736" s="30"/>
      <c r="BS736" s="30"/>
      <c r="BT736" s="30"/>
      <c r="BU736" s="30"/>
      <c r="BV736" s="30"/>
      <c r="BW736" s="30"/>
      <c r="BX736" s="30"/>
      <c r="BY736" s="30"/>
      <c r="BZ736" s="30"/>
      <c r="CA736" s="30"/>
      <c r="CB736" s="30"/>
      <c r="CC736" s="30"/>
      <c r="CD736" s="30"/>
      <c r="CE736" s="30"/>
      <c r="CF736" s="30"/>
      <c r="CG736" s="30"/>
      <c r="CH736" s="30"/>
      <c r="CI736" s="30"/>
      <c r="CJ736" s="30"/>
      <c r="CK736" s="30"/>
      <c r="CL736" s="30"/>
      <c r="CM736" s="30"/>
      <c r="CN736" s="30"/>
      <c r="CO736" s="30"/>
      <c r="CP736" s="30"/>
      <c r="CQ736" s="30"/>
      <c r="CR736" s="30"/>
      <c r="CS736" s="30"/>
      <c r="CT736" s="30"/>
      <c r="CU736" s="30"/>
      <c r="CV736" s="30"/>
      <c r="CW736" s="30"/>
      <c r="CX736" s="30"/>
      <c r="CY736" s="30"/>
      <c r="CZ736" s="30"/>
      <c r="DA736" s="30"/>
      <c r="DB736" s="30"/>
      <c r="DC736" s="30"/>
      <c r="DD736" s="30"/>
      <c r="DE736" s="30"/>
      <c r="DF736" s="30"/>
      <c r="DG736" s="30"/>
      <c r="DH736" s="30"/>
      <c r="DI736" s="30"/>
      <c r="DJ736" s="30"/>
      <c r="DK736" s="30"/>
      <c r="DL736" s="30"/>
      <c r="DM736" s="30"/>
      <c r="DN736" s="30"/>
      <c r="DO736" s="30"/>
      <c r="DP736" s="30"/>
      <c r="DQ736" s="30"/>
      <c r="DR736" s="30"/>
      <c r="DS736" s="30"/>
      <c r="DT736" s="30"/>
      <c r="DU736" s="30"/>
      <c r="DV736" s="30"/>
      <c r="DW736" s="30"/>
      <c r="DX736" s="30"/>
      <c r="DY736" s="30"/>
      <c r="DZ736" s="30"/>
    </row>
    <row r="737">
      <c r="A737" s="30"/>
      <c r="B737" s="42"/>
      <c r="C737" s="43"/>
      <c r="D737" s="30"/>
      <c r="E737" s="28"/>
      <c r="F737" s="30"/>
      <c r="G737" s="30"/>
      <c r="H737" s="30"/>
      <c r="I737" s="30"/>
      <c r="J737" s="28"/>
      <c r="K737" s="30"/>
      <c r="L737" s="30"/>
      <c r="M737" s="30"/>
      <c r="N737" s="30"/>
      <c r="O737" s="28"/>
      <c r="P737" s="30"/>
      <c r="Q737" s="30"/>
      <c r="R737" s="30"/>
      <c r="S737" s="36"/>
      <c r="T737" s="30"/>
      <c r="U737" s="36"/>
      <c r="V737" s="30"/>
      <c r="W737" s="28"/>
      <c r="X737" s="30"/>
      <c r="Y737" s="30"/>
      <c r="Z737" s="30"/>
      <c r="AA737" s="30"/>
      <c r="AB737" s="30"/>
      <c r="AC737" s="28"/>
      <c r="AD737" s="30"/>
      <c r="AE737" s="30"/>
      <c r="AF737" s="30"/>
      <c r="AG737" s="29"/>
      <c r="AH737" s="30"/>
      <c r="AI737" s="36"/>
      <c r="AJ737" s="30"/>
      <c r="AK737" s="29"/>
      <c r="AL737" s="30"/>
      <c r="AM737" s="30"/>
      <c r="AN737" s="30"/>
      <c r="AO737" s="30"/>
      <c r="AP737" s="30"/>
      <c r="AQ737" s="38"/>
      <c r="AR737" s="30"/>
      <c r="AS737" s="30"/>
      <c r="AT737" s="29"/>
      <c r="AU737" s="30"/>
      <c r="AV737" s="30"/>
      <c r="AW737" s="30"/>
      <c r="AX737" s="29"/>
      <c r="AY737" s="39"/>
      <c r="AZ737" s="30"/>
      <c r="BA737" s="30"/>
      <c r="BB737" s="29"/>
      <c r="BC737" s="52"/>
      <c r="BD737" s="30"/>
      <c r="BE737" s="29"/>
      <c r="BF737" s="30"/>
      <c r="BG737" s="30"/>
      <c r="BH737" s="30"/>
      <c r="BI737" s="30"/>
      <c r="BJ737" s="30"/>
      <c r="BK737" s="30"/>
      <c r="BL737" s="30"/>
      <c r="BM737" s="30"/>
      <c r="BN737" s="30"/>
      <c r="BO737" s="30"/>
      <c r="BP737" s="30"/>
      <c r="BQ737" s="30"/>
      <c r="BR737" s="30"/>
      <c r="BS737" s="30"/>
      <c r="BT737" s="30"/>
      <c r="BU737" s="30"/>
      <c r="BV737" s="30"/>
      <c r="BW737" s="30"/>
      <c r="BX737" s="30"/>
      <c r="BY737" s="30"/>
      <c r="BZ737" s="30"/>
      <c r="CA737" s="30"/>
      <c r="CB737" s="30"/>
      <c r="CC737" s="30"/>
      <c r="CD737" s="30"/>
      <c r="CE737" s="30"/>
      <c r="CF737" s="30"/>
      <c r="CG737" s="30"/>
      <c r="CH737" s="30"/>
      <c r="CI737" s="30"/>
      <c r="CJ737" s="30"/>
      <c r="CK737" s="30"/>
      <c r="CL737" s="30"/>
      <c r="CM737" s="30"/>
      <c r="CN737" s="30"/>
      <c r="CO737" s="30"/>
      <c r="CP737" s="30"/>
      <c r="CQ737" s="30"/>
      <c r="CR737" s="30"/>
      <c r="CS737" s="30"/>
      <c r="CT737" s="30"/>
      <c r="CU737" s="30"/>
      <c r="CV737" s="30"/>
      <c r="CW737" s="30"/>
      <c r="CX737" s="30"/>
      <c r="CY737" s="30"/>
      <c r="CZ737" s="30"/>
      <c r="DA737" s="30"/>
      <c r="DB737" s="30"/>
      <c r="DC737" s="30"/>
      <c r="DD737" s="30"/>
      <c r="DE737" s="30"/>
      <c r="DF737" s="30"/>
      <c r="DG737" s="30"/>
      <c r="DH737" s="30"/>
      <c r="DI737" s="30"/>
      <c r="DJ737" s="30"/>
      <c r="DK737" s="30"/>
      <c r="DL737" s="30"/>
      <c r="DM737" s="30"/>
      <c r="DN737" s="30"/>
      <c r="DO737" s="30"/>
      <c r="DP737" s="30"/>
      <c r="DQ737" s="30"/>
      <c r="DR737" s="30"/>
      <c r="DS737" s="30"/>
      <c r="DT737" s="30"/>
      <c r="DU737" s="30"/>
      <c r="DV737" s="30"/>
      <c r="DW737" s="30"/>
      <c r="DX737" s="30"/>
      <c r="DY737" s="30"/>
      <c r="DZ737" s="30"/>
    </row>
    <row r="738">
      <c r="A738" s="30"/>
      <c r="B738" s="42"/>
      <c r="C738" s="43"/>
      <c r="D738" s="30"/>
      <c r="E738" s="28"/>
      <c r="F738" s="30"/>
      <c r="G738" s="30"/>
      <c r="H738" s="30"/>
      <c r="I738" s="30"/>
      <c r="J738" s="28"/>
      <c r="K738" s="30"/>
      <c r="L738" s="30"/>
      <c r="M738" s="30"/>
      <c r="N738" s="30"/>
      <c r="O738" s="28"/>
      <c r="P738" s="30"/>
      <c r="Q738" s="30"/>
      <c r="R738" s="30"/>
      <c r="S738" s="36"/>
      <c r="T738" s="30"/>
      <c r="U738" s="36"/>
      <c r="V738" s="30"/>
      <c r="W738" s="28"/>
      <c r="X738" s="30"/>
      <c r="Y738" s="30"/>
      <c r="Z738" s="30"/>
      <c r="AA738" s="30"/>
      <c r="AB738" s="30"/>
      <c r="AC738" s="28"/>
      <c r="AD738" s="30"/>
      <c r="AE738" s="30"/>
      <c r="AF738" s="30"/>
      <c r="AG738" s="29"/>
      <c r="AH738" s="30"/>
      <c r="AI738" s="36"/>
      <c r="AJ738" s="30"/>
      <c r="AK738" s="29"/>
      <c r="AL738" s="30"/>
      <c r="AM738" s="30"/>
      <c r="AN738" s="30"/>
      <c r="AO738" s="30"/>
      <c r="AP738" s="30"/>
      <c r="AQ738" s="38"/>
      <c r="AR738" s="30"/>
      <c r="AS738" s="30"/>
      <c r="AT738" s="29"/>
      <c r="AU738" s="30"/>
      <c r="AV738" s="30"/>
      <c r="AW738" s="30"/>
      <c r="AX738" s="29"/>
      <c r="AY738" s="39"/>
      <c r="AZ738" s="30"/>
      <c r="BA738" s="30"/>
      <c r="BB738" s="29"/>
      <c r="BC738" s="52"/>
      <c r="BD738" s="30"/>
      <c r="BE738" s="29"/>
      <c r="BF738" s="30"/>
      <c r="BG738" s="30"/>
      <c r="BH738" s="30"/>
      <c r="BI738" s="30"/>
      <c r="BJ738" s="30"/>
      <c r="BK738" s="30"/>
      <c r="BL738" s="30"/>
      <c r="BM738" s="30"/>
      <c r="BN738" s="30"/>
      <c r="BO738" s="30"/>
      <c r="BP738" s="30"/>
      <c r="BQ738" s="30"/>
      <c r="BR738" s="30"/>
      <c r="BS738" s="30"/>
      <c r="BT738" s="30"/>
      <c r="BU738" s="30"/>
      <c r="BV738" s="30"/>
      <c r="BW738" s="30"/>
      <c r="BX738" s="30"/>
      <c r="BY738" s="30"/>
      <c r="BZ738" s="30"/>
      <c r="CA738" s="30"/>
      <c r="CB738" s="30"/>
      <c r="CC738" s="30"/>
      <c r="CD738" s="30"/>
      <c r="CE738" s="30"/>
      <c r="CF738" s="30"/>
      <c r="CG738" s="30"/>
      <c r="CH738" s="30"/>
      <c r="CI738" s="30"/>
      <c r="CJ738" s="30"/>
      <c r="CK738" s="30"/>
      <c r="CL738" s="30"/>
      <c r="CM738" s="30"/>
      <c r="CN738" s="30"/>
      <c r="CO738" s="30"/>
      <c r="CP738" s="30"/>
      <c r="CQ738" s="30"/>
      <c r="CR738" s="30"/>
      <c r="CS738" s="30"/>
      <c r="CT738" s="30"/>
      <c r="CU738" s="30"/>
      <c r="CV738" s="30"/>
      <c r="CW738" s="30"/>
      <c r="CX738" s="30"/>
      <c r="CY738" s="30"/>
      <c r="CZ738" s="30"/>
      <c r="DA738" s="30"/>
      <c r="DB738" s="30"/>
      <c r="DC738" s="30"/>
      <c r="DD738" s="30"/>
      <c r="DE738" s="30"/>
      <c r="DF738" s="30"/>
      <c r="DG738" s="30"/>
      <c r="DH738" s="30"/>
      <c r="DI738" s="30"/>
      <c r="DJ738" s="30"/>
      <c r="DK738" s="30"/>
      <c r="DL738" s="30"/>
      <c r="DM738" s="30"/>
      <c r="DN738" s="30"/>
      <c r="DO738" s="30"/>
      <c r="DP738" s="30"/>
      <c r="DQ738" s="30"/>
      <c r="DR738" s="30"/>
      <c r="DS738" s="30"/>
      <c r="DT738" s="30"/>
      <c r="DU738" s="30"/>
      <c r="DV738" s="30"/>
      <c r="DW738" s="30"/>
      <c r="DX738" s="30"/>
      <c r="DY738" s="30"/>
      <c r="DZ738" s="30"/>
    </row>
    <row r="739">
      <c r="A739" s="30"/>
      <c r="B739" s="42"/>
      <c r="C739" s="43"/>
      <c r="D739" s="30"/>
      <c r="E739" s="28"/>
      <c r="F739" s="30"/>
      <c r="G739" s="30"/>
      <c r="H739" s="30"/>
      <c r="I739" s="30"/>
      <c r="J739" s="28"/>
      <c r="K739" s="30"/>
      <c r="L739" s="30"/>
      <c r="M739" s="30"/>
      <c r="N739" s="30"/>
      <c r="O739" s="28"/>
      <c r="P739" s="30"/>
      <c r="Q739" s="30"/>
      <c r="R739" s="30"/>
      <c r="S739" s="36"/>
      <c r="T739" s="30"/>
      <c r="U739" s="36"/>
      <c r="V739" s="30"/>
      <c r="W739" s="28"/>
      <c r="X739" s="30"/>
      <c r="Y739" s="30"/>
      <c r="Z739" s="30"/>
      <c r="AA739" s="30"/>
      <c r="AB739" s="30"/>
      <c r="AC739" s="28"/>
      <c r="AD739" s="30"/>
      <c r="AE739" s="30"/>
      <c r="AF739" s="30"/>
      <c r="AG739" s="29"/>
      <c r="AH739" s="30"/>
      <c r="AI739" s="36"/>
      <c r="AJ739" s="30"/>
      <c r="AK739" s="29"/>
      <c r="AL739" s="30"/>
      <c r="AM739" s="30"/>
      <c r="AN739" s="30"/>
      <c r="AO739" s="30"/>
      <c r="AP739" s="30"/>
      <c r="AQ739" s="38"/>
      <c r="AR739" s="30"/>
      <c r="AS739" s="30"/>
      <c r="AT739" s="29"/>
      <c r="AU739" s="30"/>
      <c r="AV739" s="30"/>
      <c r="AW739" s="30"/>
      <c r="AX739" s="29"/>
      <c r="AY739" s="39"/>
      <c r="AZ739" s="30"/>
      <c r="BA739" s="30"/>
      <c r="BB739" s="29"/>
      <c r="BC739" s="52"/>
      <c r="BD739" s="30"/>
      <c r="BE739" s="29"/>
      <c r="BF739" s="30"/>
      <c r="BG739" s="30"/>
      <c r="BH739" s="30"/>
      <c r="BI739" s="30"/>
      <c r="BJ739" s="30"/>
      <c r="BK739" s="30"/>
      <c r="BL739" s="30"/>
      <c r="BM739" s="30"/>
      <c r="BN739" s="30"/>
      <c r="BO739" s="30"/>
      <c r="BP739" s="30"/>
      <c r="BQ739" s="30"/>
      <c r="BR739" s="30"/>
      <c r="BS739" s="30"/>
      <c r="BT739" s="30"/>
      <c r="BU739" s="30"/>
      <c r="BV739" s="30"/>
      <c r="BW739" s="30"/>
      <c r="BX739" s="30"/>
      <c r="BY739" s="30"/>
      <c r="BZ739" s="30"/>
      <c r="CA739" s="30"/>
      <c r="CB739" s="30"/>
      <c r="CC739" s="30"/>
      <c r="CD739" s="30"/>
      <c r="CE739" s="30"/>
      <c r="CF739" s="30"/>
      <c r="CG739" s="30"/>
      <c r="CH739" s="30"/>
      <c r="CI739" s="30"/>
      <c r="CJ739" s="30"/>
      <c r="CK739" s="30"/>
      <c r="CL739" s="30"/>
      <c r="CM739" s="30"/>
      <c r="CN739" s="30"/>
      <c r="CO739" s="30"/>
      <c r="CP739" s="30"/>
      <c r="CQ739" s="30"/>
      <c r="CR739" s="30"/>
      <c r="CS739" s="30"/>
      <c r="CT739" s="30"/>
      <c r="CU739" s="30"/>
      <c r="CV739" s="30"/>
      <c r="CW739" s="30"/>
      <c r="CX739" s="30"/>
      <c r="CY739" s="30"/>
      <c r="CZ739" s="30"/>
      <c r="DA739" s="30"/>
      <c r="DB739" s="30"/>
      <c r="DC739" s="30"/>
      <c r="DD739" s="30"/>
      <c r="DE739" s="30"/>
      <c r="DF739" s="30"/>
      <c r="DG739" s="30"/>
      <c r="DH739" s="30"/>
      <c r="DI739" s="30"/>
      <c r="DJ739" s="30"/>
      <c r="DK739" s="30"/>
      <c r="DL739" s="30"/>
      <c r="DM739" s="30"/>
      <c r="DN739" s="30"/>
      <c r="DO739" s="30"/>
      <c r="DP739" s="30"/>
      <c r="DQ739" s="30"/>
      <c r="DR739" s="30"/>
      <c r="DS739" s="30"/>
      <c r="DT739" s="30"/>
      <c r="DU739" s="30"/>
      <c r="DV739" s="30"/>
      <c r="DW739" s="30"/>
      <c r="DX739" s="30"/>
      <c r="DY739" s="30"/>
      <c r="DZ739" s="30"/>
    </row>
    <row r="740">
      <c r="A740" s="30"/>
      <c r="B740" s="42"/>
      <c r="C740" s="43"/>
      <c r="D740" s="30"/>
      <c r="E740" s="28"/>
      <c r="F740" s="30"/>
      <c r="G740" s="30"/>
      <c r="H740" s="30"/>
      <c r="I740" s="30"/>
      <c r="J740" s="28"/>
      <c r="K740" s="30"/>
      <c r="L740" s="30"/>
      <c r="M740" s="30"/>
      <c r="N740" s="30"/>
      <c r="O740" s="28"/>
      <c r="P740" s="30"/>
      <c r="Q740" s="30"/>
      <c r="R740" s="30"/>
      <c r="S740" s="36"/>
      <c r="T740" s="30"/>
      <c r="U740" s="36"/>
      <c r="V740" s="30"/>
      <c r="W740" s="28"/>
      <c r="X740" s="30"/>
      <c r="Y740" s="30"/>
      <c r="Z740" s="30"/>
      <c r="AA740" s="30"/>
      <c r="AB740" s="30"/>
      <c r="AC740" s="28"/>
      <c r="AD740" s="30"/>
      <c r="AE740" s="30"/>
      <c r="AF740" s="30"/>
      <c r="AG740" s="29"/>
      <c r="AH740" s="30"/>
      <c r="AI740" s="36"/>
      <c r="AJ740" s="30"/>
      <c r="AK740" s="29"/>
      <c r="AL740" s="30"/>
      <c r="AM740" s="30"/>
      <c r="AN740" s="30"/>
      <c r="AO740" s="30"/>
      <c r="AP740" s="30"/>
      <c r="AQ740" s="38"/>
      <c r="AR740" s="30"/>
      <c r="AS740" s="30"/>
      <c r="AT740" s="29"/>
      <c r="AU740" s="30"/>
      <c r="AV740" s="30"/>
      <c r="AW740" s="30"/>
      <c r="AX740" s="29"/>
      <c r="AY740" s="39"/>
      <c r="AZ740" s="30"/>
      <c r="BA740" s="30"/>
      <c r="BB740" s="29"/>
      <c r="BC740" s="52"/>
      <c r="BD740" s="30"/>
      <c r="BE740" s="29"/>
      <c r="BF740" s="30"/>
      <c r="BG740" s="30"/>
      <c r="BH740" s="30"/>
      <c r="BI740" s="30"/>
      <c r="BJ740" s="30"/>
      <c r="BK740" s="30"/>
      <c r="BL740" s="30"/>
      <c r="BM740" s="30"/>
      <c r="BN740" s="30"/>
      <c r="BO740" s="30"/>
      <c r="BP740" s="30"/>
      <c r="BQ740" s="30"/>
      <c r="BR740" s="30"/>
      <c r="BS740" s="30"/>
      <c r="BT740" s="30"/>
      <c r="BU740" s="30"/>
      <c r="BV740" s="30"/>
      <c r="BW740" s="30"/>
      <c r="BX740" s="30"/>
      <c r="BY740" s="30"/>
      <c r="BZ740" s="30"/>
      <c r="CA740" s="30"/>
      <c r="CB740" s="30"/>
      <c r="CC740" s="30"/>
      <c r="CD740" s="30"/>
      <c r="CE740" s="30"/>
      <c r="CF740" s="30"/>
      <c r="CG740" s="30"/>
      <c r="CH740" s="30"/>
      <c r="CI740" s="30"/>
      <c r="CJ740" s="30"/>
      <c r="CK740" s="30"/>
      <c r="CL740" s="30"/>
      <c r="CM740" s="30"/>
      <c r="CN740" s="30"/>
      <c r="CO740" s="30"/>
      <c r="CP740" s="30"/>
      <c r="CQ740" s="30"/>
      <c r="CR740" s="30"/>
      <c r="CS740" s="30"/>
      <c r="CT740" s="30"/>
      <c r="CU740" s="30"/>
      <c r="CV740" s="30"/>
      <c r="CW740" s="30"/>
      <c r="CX740" s="30"/>
      <c r="CY740" s="30"/>
      <c r="CZ740" s="30"/>
      <c r="DA740" s="30"/>
      <c r="DB740" s="30"/>
      <c r="DC740" s="30"/>
      <c r="DD740" s="30"/>
      <c r="DE740" s="30"/>
      <c r="DF740" s="30"/>
      <c r="DG740" s="30"/>
      <c r="DH740" s="30"/>
      <c r="DI740" s="30"/>
      <c r="DJ740" s="30"/>
      <c r="DK740" s="30"/>
      <c r="DL740" s="30"/>
      <c r="DM740" s="30"/>
      <c r="DN740" s="30"/>
      <c r="DO740" s="30"/>
      <c r="DP740" s="30"/>
      <c r="DQ740" s="30"/>
      <c r="DR740" s="30"/>
      <c r="DS740" s="30"/>
      <c r="DT740" s="30"/>
      <c r="DU740" s="30"/>
      <c r="DV740" s="30"/>
      <c r="DW740" s="30"/>
      <c r="DX740" s="30"/>
      <c r="DY740" s="30"/>
      <c r="DZ740" s="30"/>
    </row>
    <row r="741">
      <c r="A741" s="30"/>
      <c r="B741" s="42"/>
      <c r="C741" s="43"/>
      <c r="D741" s="30"/>
      <c r="E741" s="28"/>
      <c r="F741" s="30"/>
      <c r="G741" s="30"/>
      <c r="H741" s="30"/>
      <c r="I741" s="30"/>
      <c r="J741" s="28"/>
      <c r="K741" s="30"/>
      <c r="L741" s="30"/>
      <c r="M741" s="30"/>
      <c r="N741" s="30"/>
      <c r="O741" s="28"/>
      <c r="P741" s="30"/>
      <c r="Q741" s="30"/>
      <c r="R741" s="30"/>
      <c r="S741" s="36"/>
      <c r="T741" s="30"/>
      <c r="U741" s="36"/>
      <c r="V741" s="30"/>
      <c r="W741" s="28"/>
      <c r="X741" s="30"/>
      <c r="Y741" s="30"/>
      <c r="Z741" s="30"/>
      <c r="AA741" s="30"/>
      <c r="AB741" s="30"/>
      <c r="AC741" s="28"/>
      <c r="AD741" s="30"/>
      <c r="AE741" s="30"/>
      <c r="AF741" s="30"/>
      <c r="AG741" s="29"/>
      <c r="AH741" s="30"/>
      <c r="AI741" s="36"/>
      <c r="AJ741" s="30"/>
      <c r="AK741" s="29"/>
      <c r="AL741" s="30"/>
      <c r="AM741" s="30"/>
      <c r="AN741" s="30"/>
      <c r="AO741" s="30"/>
      <c r="AP741" s="30"/>
      <c r="AQ741" s="38"/>
      <c r="AR741" s="30"/>
      <c r="AS741" s="30"/>
      <c r="AT741" s="29"/>
      <c r="AU741" s="30"/>
      <c r="AV741" s="30"/>
      <c r="AW741" s="30"/>
      <c r="AX741" s="29"/>
      <c r="AY741" s="39"/>
      <c r="AZ741" s="30"/>
      <c r="BA741" s="30"/>
      <c r="BB741" s="29"/>
      <c r="BC741" s="52"/>
      <c r="BD741" s="30"/>
      <c r="BE741" s="29"/>
      <c r="BF741" s="30"/>
      <c r="BG741" s="30"/>
      <c r="BH741" s="30"/>
      <c r="BI741" s="30"/>
      <c r="BJ741" s="30"/>
      <c r="BK741" s="30"/>
      <c r="BL741" s="30"/>
      <c r="BM741" s="30"/>
      <c r="BN741" s="30"/>
      <c r="BO741" s="30"/>
      <c r="BP741" s="30"/>
      <c r="BQ741" s="30"/>
      <c r="BR741" s="30"/>
      <c r="BS741" s="30"/>
      <c r="BT741" s="30"/>
      <c r="BU741" s="30"/>
      <c r="BV741" s="30"/>
      <c r="BW741" s="30"/>
      <c r="BX741" s="30"/>
      <c r="BY741" s="30"/>
      <c r="BZ741" s="30"/>
      <c r="CA741" s="30"/>
      <c r="CB741" s="30"/>
      <c r="CC741" s="30"/>
      <c r="CD741" s="30"/>
      <c r="CE741" s="30"/>
      <c r="CF741" s="30"/>
      <c r="CG741" s="30"/>
      <c r="CH741" s="30"/>
      <c r="CI741" s="30"/>
      <c r="CJ741" s="30"/>
      <c r="CK741" s="30"/>
      <c r="CL741" s="30"/>
      <c r="CM741" s="30"/>
      <c r="CN741" s="30"/>
      <c r="CO741" s="30"/>
      <c r="CP741" s="30"/>
      <c r="CQ741" s="30"/>
      <c r="CR741" s="30"/>
      <c r="CS741" s="30"/>
      <c r="CT741" s="30"/>
      <c r="CU741" s="30"/>
      <c r="CV741" s="30"/>
      <c r="CW741" s="30"/>
      <c r="CX741" s="30"/>
      <c r="CY741" s="30"/>
      <c r="CZ741" s="30"/>
      <c r="DA741" s="30"/>
      <c r="DB741" s="30"/>
      <c r="DC741" s="30"/>
      <c r="DD741" s="30"/>
      <c r="DE741" s="30"/>
      <c r="DF741" s="30"/>
      <c r="DG741" s="30"/>
      <c r="DH741" s="30"/>
      <c r="DI741" s="30"/>
      <c r="DJ741" s="30"/>
      <c r="DK741" s="30"/>
      <c r="DL741" s="30"/>
      <c r="DM741" s="30"/>
      <c r="DN741" s="30"/>
      <c r="DO741" s="30"/>
      <c r="DP741" s="30"/>
      <c r="DQ741" s="30"/>
      <c r="DR741" s="30"/>
      <c r="DS741" s="30"/>
      <c r="DT741" s="30"/>
      <c r="DU741" s="30"/>
      <c r="DV741" s="30"/>
      <c r="DW741" s="30"/>
      <c r="DX741" s="30"/>
      <c r="DY741" s="30"/>
      <c r="DZ741" s="30"/>
    </row>
    <row r="742">
      <c r="A742" s="30"/>
      <c r="B742" s="42"/>
      <c r="C742" s="43"/>
      <c r="D742" s="30"/>
      <c r="E742" s="28"/>
      <c r="F742" s="30"/>
      <c r="G742" s="30"/>
      <c r="H742" s="30"/>
      <c r="I742" s="30"/>
      <c r="J742" s="28"/>
      <c r="K742" s="30"/>
      <c r="L742" s="30"/>
      <c r="M742" s="30"/>
      <c r="N742" s="30"/>
      <c r="O742" s="28"/>
      <c r="P742" s="30"/>
      <c r="Q742" s="30"/>
      <c r="R742" s="30"/>
      <c r="S742" s="36"/>
      <c r="T742" s="30"/>
      <c r="U742" s="36"/>
      <c r="V742" s="30"/>
      <c r="W742" s="28"/>
      <c r="X742" s="30"/>
      <c r="Y742" s="30"/>
      <c r="Z742" s="30"/>
      <c r="AA742" s="30"/>
      <c r="AB742" s="30"/>
      <c r="AC742" s="28"/>
      <c r="AD742" s="30"/>
      <c r="AE742" s="30"/>
      <c r="AF742" s="30"/>
      <c r="AG742" s="29"/>
      <c r="AH742" s="30"/>
      <c r="AI742" s="36"/>
      <c r="AJ742" s="30"/>
      <c r="AK742" s="29"/>
      <c r="AL742" s="30"/>
      <c r="AM742" s="30"/>
      <c r="AN742" s="30"/>
      <c r="AO742" s="30"/>
      <c r="AP742" s="30"/>
      <c r="AQ742" s="38"/>
      <c r="AR742" s="30"/>
      <c r="AS742" s="30"/>
      <c r="AT742" s="29"/>
      <c r="AU742" s="30"/>
      <c r="AV742" s="30"/>
      <c r="AW742" s="30"/>
      <c r="AX742" s="29"/>
      <c r="AY742" s="39"/>
      <c r="AZ742" s="30"/>
      <c r="BA742" s="30"/>
      <c r="BB742" s="29"/>
      <c r="BC742" s="52"/>
      <c r="BD742" s="30"/>
      <c r="BE742" s="29"/>
      <c r="BF742" s="30"/>
      <c r="BG742" s="30"/>
      <c r="BH742" s="30"/>
      <c r="BI742" s="30"/>
      <c r="BJ742" s="30"/>
      <c r="BK742" s="30"/>
      <c r="BL742" s="30"/>
      <c r="BM742" s="30"/>
      <c r="BN742" s="30"/>
      <c r="BO742" s="30"/>
      <c r="BP742" s="30"/>
      <c r="BQ742" s="30"/>
      <c r="BR742" s="30"/>
      <c r="BS742" s="30"/>
      <c r="BT742" s="30"/>
      <c r="BU742" s="30"/>
      <c r="BV742" s="30"/>
      <c r="BW742" s="30"/>
      <c r="BX742" s="30"/>
      <c r="BY742" s="30"/>
      <c r="BZ742" s="30"/>
      <c r="CA742" s="30"/>
      <c r="CB742" s="30"/>
      <c r="CC742" s="30"/>
      <c r="CD742" s="30"/>
      <c r="CE742" s="30"/>
      <c r="CF742" s="30"/>
      <c r="CG742" s="30"/>
      <c r="CH742" s="30"/>
      <c r="CI742" s="30"/>
      <c r="CJ742" s="30"/>
      <c r="CK742" s="30"/>
      <c r="CL742" s="30"/>
      <c r="CM742" s="30"/>
      <c r="CN742" s="30"/>
      <c r="CO742" s="30"/>
      <c r="CP742" s="30"/>
      <c r="CQ742" s="30"/>
      <c r="CR742" s="30"/>
      <c r="CS742" s="30"/>
      <c r="CT742" s="30"/>
      <c r="CU742" s="30"/>
      <c r="CV742" s="30"/>
      <c r="CW742" s="30"/>
      <c r="CX742" s="30"/>
      <c r="CY742" s="30"/>
      <c r="CZ742" s="30"/>
      <c r="DA742" s="30"/>
      <c r="DB742" s="30"/>
      <c r="DC742" s="30"/>
      <c r="DD742" s="30"/>
      <c r="DE742" s="30"/>
      <c r="DF742" s="30"/>
      <c r="DG742" s="30"/>
      <c r="DH742" s="30"/>
      <c r="DI742" s="30"/>
      <c r="DJ742" s="30"/>
      <c r="DK742" s="30"/>
      <c r="DL742" s="30"/>
      <c r="DM742" s="30"/>
      <c r="DN742" s="30"/>
      <c r="DO742" s="30"/>
      <c r="DP742" s="30"/>
      <c r="DQ742" s="30"/>
      <c r="DR742" s="30"/>
      <c r="DS742" s="30"/>
      <c r="DT742" s="30"/>
      <c r="DU742" s="30"/>
      <c r="DV742" s="30"/>
      <c r="DW742" s="30"/>
      <c r="DX742" s="30"/>
      <c r="DY742" s="30"/>
      <c r="DZ742" s="30"/>
    </row>
    <row r="743">
      <c r="A743" s="30"/>
      <c r="B743" s="42"/>
      <c r="C743" s="43"/>
      <c r="D743" s="30"/>
      <c r="E743" s="28"/>
      <c r="F743" s="30"/>
      <c r="G743" s="30"/>
      <c r="H743" s="30"/>
      <c r="I743" s="30"/>
      <c r="J743" s="28"/>
      <c r="K743" s="30"/>
      <c r="L743" s="30"/>
      <c r="M743" s="30"/>
      <c r="N743" s="30"/>
      <c r="O743" s="28"/>
      <c r="P743" s="30"/>
      <c r="Q743" s="30"/>
      <c r="R743" s="30"/>
      <c r="S743" s="36"/>
      <c r="T743" s="30"/>
      <c r="U743" s="36"/>
      <c r="V743" s="30"/>
      <c r="W743" s="28"/>
      <c r="X743" s="30"/>
      <c r="Y743" s="30"/>
      <c r="Z743" s="30"/>
      <c r="AA743" s="30"/>
      <c r="AB743" s="30"/>
      <c r="AC743" s="28"/>
      <c r="AD743" s="30"/>
      <c r="AE743" s="30"/>
      <c r="AF743" s="30"/>
      <c r="AG743" s="29"/>
      <c r="AH743" s="30"/>
      <c r="AI743" s="36"/>
      <c r="AJ743" s="30"/>
      <c r="AK743" s="29"/>
      <c r="AL743" s="30"/>
      <c r="AM743" s="30"/>
      <c r="AN743" s="30"/>
      <c r="AO743" s="30"/>
      <c r="AP743" s="30"/>
      <c r="AQ743" s="38"/>
      <c r="AR743" s="30"/>
      <c r="AS743" s="30"/>
      <c r="AT743" s="29"/>
      <c r="AU743" s="30"/>
      <c r="AV743" s="30"/>
      <c r="AW743" s="30"/>
      <c r="AX743" s="29"/>
      <c r="AY743" s="39"/>
      <c r="AZ743" s="30"/>
      <c r="BA743" s="30"/>
      <c r="BB743" s="29"/>
      <c r="BC743" s="52"/>
      <c r="BD743" s="30"/>
      <c r="BE743" s="29"/>
      <c r="BF743" s="30"/>
      <c r="BG743" s="30"/>
      <c r="BH743" s="30"/>
      <c r="BI743" s="30"/>
      <c r="BJ743" s="30"/>
      <c r="BK743" s="30"/>
      <c r="BL743" s="30"/>
      <c r="BM743" s="30"/>
      <c r="BN743" s="30"/>
      <c r="BO743" s="30"/>
      <c r="BP743" s="30"/>
      <c r="BQ743" s="30"/>
      <c r="BR743" s="30"/>
      <c r="BS743" s="30"/>
      <c r="BT743" s="30"/>
      <c r="BU743" s="30"/>
      <c r="BV743" s="30"/>
      <c r="BW743" s="30"/>
      <c r="BX743" s="30"/>
      <c r="BY743" s="30"/>
      <c r="BZ743" s="30"/>
      <c r="CA743" s="30"/>
      <c r="CB743" s="30"/>
      <c r="CC743" s="30"/>
      <c r="CD743" s="30"/>
      <c r="CE743" s="30"/>
      <c r="CF743" s="30"/>
      <c r="CG743" s="30"/>
      <c r="CH743" s="30"/>
      <c r="CI743" s="30"/>
      <c r="CJ743" s="30"/>
      <c r="CK743" s="30"/>
      <c r="CL743" s="30"/>
      <c r="CM743" s="30"/>
      <c r="CN743" s="30"/>
      <c r="CO743" s="30"/>
      <c r="CP743" s="30"/>
      <c r="CQ743" s="30"/>
      <c r="CR743" s="30"/>
      <c r="CS743" s="30"/>
      <c r="CT743" s="30"/>
      <c r="CU743" s="30"/>
      <c r="CV743" s="30"/>
      <c r="CW743" s="30"/>
      <c r="CX743" s="30"/>
      <c r="CY743" s="30"/>
      <c r="CZ743" s="30"/>
      <c r="DA743" s="30"/>
      <c r="DB743" s="30"/>
      <c r="DC743" s="30"/>
      <c r="DD743" s="30"/>
      <c r="DE743" s="30"/>
      <c r="DF743" s="30"/>
      <c r="DG743" s="30"/>
      <c r="DH743" s="30"/>
      <c r="DI743" s="30"/>
      <c r="DJ743" s="30"/>
      <c r="DK743" s="30"/>
      <c r="DL743" s="30"/>
      <c r="DM743" s="30"/>
      <c r="DN743" s="30"/>
      <c r="DO743" s="30"/>
      <c r="DP743" s="30"/>
      <c r="DQ743" s="30"/>
      <c r="DR743" s="30"/>
      <c r="DS743" s="30"/>
      <c r="DT743" s="30"/>
      <c r="DU743" s="30"/>
      <c r="DV743" s="30"/>
      <c r="DW743" s="30"/>
      <c r="DX743" s="30"/>
      <c r="DY743" s="30"/>
      <c r="DZ743" s="30"/>
    </row>
    <row r="744">
      <c r="A744" s="30"/>
      <c r="B744" s="42"/>
      <c r="C744" s="43"/>
      <c r="D744" s="30"/>
      <c r="E744" s="28"/>
      <c r="F744" s="30"/>
      <c r="G744" s="30"/>
      <c r="H744" s="30"/>
      <c r="I744" s="30"/>
      <c r="J744" s="28"/>
      <c r="K744" s="30"/>
      <c r="L744" s="30"/>
      <c r="M744" s="30"/>
      <c r="N744" s="30"/>
      <c r="O744" s="28"/>
      <c r="P744" s="30"/>
      <c r="Q744" s="30"/>
      <c r="R744" s="30"/>
      <c r="S744" s="36"/>
      <c r="T744" s="30"/>
      <c r="U744" s="36"/>
      <c r="V744" s="30"/>
      <c r="W744" s="28"/>
      <c r="X744" s="30"/>
      <c r="Y744" s="30"/>
      <c r="Z744" s="30"/>
      <c r="AA744" s="30"/>
      <c r="AB744" s="30"/>
      <c r="AC744" s="28"/>
      <c r="AD744" s="30"/>
      <c r="AE744" s="30"/>
      <c r="AF744" s="30"/>
      <c r="AG744" s="29"/>
      <c r="AH744" s="30"/>
      <c r="AI744" s="36"/>
      <c r="AJ744" s="30"/>
      <c r="AK744" s="29"/>
      <c r="AL744" s="30"/>
      <c r="AM744" s="30"/>
      <c r="AN744" s="30"/>
      <c r="AO744" s="30"/>
      <c r="AP744" s="30"/>
      <c r="AQ744" s="38"/>
      <c r="AR744" s="30"/>
      <c r="AS744" s="30"/>
      <c r="AT744" s="29"/>
      <c r="AU744" s="30"/>
      <c r="AV744" s="30"/>
      <c r="AW744" s="30"/>
      <c r="AX744" s="29"/>
      <c r="AY744" s="39"/>
      <c r="AZ744" s="30"/>
      <c r="BA744" s="30"/>
      <c r="BB744" s="29"/>
      <c r="BC744" s="52"/>
      <c r="BD744" s="30"/>
      <c r="BE744" s="29"/>
      <c r="BF744" s="30"/>
      <c r="BG744" s="30"/>
      <c r="BH744" s="30"/>
      <c r="BI744" s="30"/>
      <c r="BJ744" s="30"/>
      <c r="BK744" s="30"/>
      <c r="BL744" s="30"/>
      <c r="BM744" s="30"/>
      <c r="BN744" s="30"/>
      <c r="BO744" s="30"/>
      <c r="BP744" s="30"/>
      <c r="BQ744" s="30"/>
      <c r="BR744" s="30"/>
      <c r="BS744" s="30"/>
      <c r="BT744" s="30"/>
      <c r="BU744" s="30"/>
      <c r="BV744" s="30"/>
      <c r="BW744" s="30"/>
      <c r="BX744" s="30"/>
      <c r="BY744" s="30"/>
      <c r="BZ744" s="30"/>
      <c r="CA744" s="30"/>
      <c r="CB744" s="30"/>
      <c r="CC744" s="30"/>
      <c r="CD744" s="30"/>
      <c r="CE744" s="30"/>
      <c r="CF744" s="30"/>
      <c r="CG744" s="30"/>
      <c r="CH744" s="30"/>
      <c r="CI744" s="30"/>
      <c r="CJ744" s="30"/>
      <c r="CK744" s="30"/>
      <c r="CL744" s="30"/>
      <c r="CM744" s="30"/>
      <c r="CN744" s="30"/>
      <c r="CO744" s="30"/>
      <c r="CP744" s="30"/>
      <c r="CQ744" s="30"/>
      <c r="CR744" s="30"/>
      <c r="CS744" s="30"/>
      <c r="CT744" s="30"/>
      <c r="CU744" s="30"/>
      <c r="CV744" s="30"/>
      <c r="CW744" s="30"/>
      <c r="CX744" s="30"/>
      <c r="CY744" s="30"/>
      <c r="CZ744" s="30"/>
      <c r="DA744" s="30"/>
      <c r="DB744" s="30"/>
      <c r="DC744" s="30"/>
      <c r="DD744" s="30"/>
      <c r="DE744" s="30"/>
      <c r="DF744" s="30"/>
      <c r="DG744" s="30"/>
      <c r="DH744" s="30"/>
      <c r="DI744" s="30"/>
      <c r="DJ744" s="30"/>
      <c r="DK744" s="30"/>
      <c r="DL744" s="30"/>
      <c r="DM744" s="30"/>
      <c r="DN744" s="30"/>
      <c r="DO744" s="30"/>
      <c r="DP744" s="30"/>
      <c r="DQ744" s="30"/>
      <c r="DR744" s="30"/>
      <c r="DS744" s="30"/>
      <c r="DT744" s="30"/>
      <c r="DU744" s="30"/>
      <c r="DV744" s="30"/>
      <c r="DW744" s="30"/>
      <c r="DX744" s="30"/>
      <c r="DY744" s="30"/>
      <c r="DZ744" s="30"/>
    </row>
    <row r="745">
      <c r="A745" s="30"/>
      <c r="B745" s="42"/>
      <c r="C745" s="43"/>
      <c r="D745" s="30"/>
      <c r="E745" s="28"/>
      <c r="F745" s="30"/>
      <c r="G745" s="30"/>
      <c r="H745" s="30"/>
      <c r="I745" s="30"/>
      <c r="J745" s="28"/>
      <c r="K745" s="30"/>
      <c r="L745" s="30"/>
      <c r="M745" s="30"/>
      <c r="N745" s="30"/>
      <c r="O745" s="28"/>
      <c r="P745" s="30"/>
      <c r="Q745" s="30"/>
      <c r="R745" s="30"/>
      <c r="S745" s="36"/>
      <c r="T745" s="30"/>
      <c r="U745" s="36"/>
      <c r="V745" s="30"/>
      <c r="W745" s="28"/>
      <c r="X745" s="30"/>
      <c r="Y745" s="30"/>
      <c r="Z745" s="30"/>
      <c r="AA745" s="30"/>
      <c r="AB745" s="30"/>
      <c r="AC745" s="28"/>
      <c r="AD745" s="30"/>
      <c r="AE745" s="30"/>
      <c r="AF745" s="30"/>
      <c r="AG745" s="29"/>
      <c r="AH745" s="30"/>
      <c r="AI745" s="36"/>
      <c r="AJ745" s="30"/>
      <c r="AK745" s="29"/>
      <c r="AL745" s="30"/>
      <c r="AM745" s="30"/>
      <c r="AN745" s="30"/>
      <c r="AO745" s="30"/>
      <c r="AP745" s="30"/>
      <c r="AQ745" s="38"/>
      <c r="AR745" s="30"/>
      <c r="AS745" s="30"/>
      <c r="AT745" s="29"/>
      <c r="AU745" s="30"/>
      <c r="AV745" s="30"/>
      <c r="AW745" s="30"/>
      <c r="AX745" s="29"/>
      <c r="AY745" s="39"/>
      <c r="AZ745" s="30"/>
      <c r="BA745" s="30"/>
      <c r="BB745" s="29"/>
      <c r="BC745" s="52"/>
      <c r="BD745" s="30"/>
      <c r="BE745" s="29"/>
      <c r="BF745" s="30"/>
      <c r="BG745" s="30"/>
      <c r="BH745" s="30"/>
      <c r="BI745" s="30"/>
      <c r="BJ745" s="30"/>
      <c r="BK745" s="30"/>
      <c r="BL745" s="30"/>
      <c r="BM745" s="30"/>
      <c r="BN745" s="30"/>
      <c r="BO745" s="30"/>
      <c r="BP745" s="30"/>
      <c r="BQ745" s="30"/>
      <c r="BR745" s="30"/>
      <c r="BS745" s="30"/>
      <c r="BT745" s="30"/>
      <c r="BU745" s="30"/>
      <c r="BV745" s="30"/>
      <c r="BW745" s="30"/>
      <c r="BX745" s="30"/>
      <c r="BY745" s="30"/>
      <c r="BZ745" s="30"/>
      <c r="CA745" s="30"/>
      <c r="CB745" s="30"/>
      <c r="CC745" s="30"/>
      <c r="CD745" s="30"/>
      <c r="CE745" s="30"/>
      <c r="CF745" s="30"/>
      <c r="CG745" s="30"/>
      <c r="CH745" s="30"/>
      <c r="CI745" s="30"/>
      <c r="CJ745" s="30"/>
      <c r="CK745" s="30"/>
      <c r="CL745" s="30"/>
      <c r="CM745" s="30"/>
      <c r="CN745" s="30"/>
      <c r="CO745" s="30"/>
      <c r="CP745" s="30"/>
      <c r="CQ745" s="30"/>
      <c r="CR745" s="30"/>
      <c r="CS745" s="30"/>
      <c r="CT745" s="30"/>
      <c r="CU745" s="30"/>
      <c r="CV745" s="30"/>
      <c r="CW745" s="30"/>
      <c r="CX745" s="30"/>
      <c r="CY745" s="30"/>
      <c r="CZ745" s="30"/>
      <c r="DA745" s="30"/>
      <c r="DB745" s="30"/>
      <c r="DC745" s="30"/>
      <c r="DD745" s="30"/>
      <c r="DE745" s="30"/>
      <c r="DF745" s="30"/>
      <c r="DG745" s="30"/>
      <c r="DH745" s="30"/>
      <c r="DI745" s="30"/>
      <c r="DJ745" s="30"/>
      <c r="DK745" s="30"/>
      <c r="DL745" s="30"/>
      <c r="DM745" s="30"/>
      <c r="DN745" s="30"/>
      <c r="DO745" s="30"/>
      <c r="DP745" s="30"/>
      <c r="DQ745" s="30"/>
      <c r="DR745" s="30"/>
      <c r="DS745" s="30"/>
      <c r="DT745" s="30"/>
      <c r="DU745" s="30"/>
      <c r="DV745" s="30"/>
      <c r="DW745" s="30"/>
      <c r="DX745" s="30"/>
      <c r="DY745" s="30"/>
      <c r="DZ745" s="30"/>
    </row>
    <row r="746">
      <c r="A746" s="30"/>
      <c r="B746" s="42"/>
      <c r="C746" s="43"/>
      <c r="D746" s="30"/>
      <c r="E746" s="28"/>
      <c r="F746" s="30"/>
      <c r="G746" s="30"/>
      <c r="H746" s="30"/>
      <c r="I746" s="30"/>
      <c r="J746" s="28"/>
      <c r="K746" s="30"/>
      <c r="L746" s="30"/>
      <c r="M746" s="30"/>
      <c r="N746" s="30"/>
      <c r="O746" s="28"/>
      <c r="P746" s="30"/>
      <c r="Q746" s="30"/>
      <c r="R746" s="30"/>
      <c r="S746" s="36"/>
      <c r="T746" s="30"/>
      <c r="U746" s="36"/>
      <c r="V746" s="30"/>
      <c r="W746" s="28"/>
      <c r="X746" s="30"/>
      <c r="Y746" s="30"/>
      <c r="Z746" s="30"/>
      <c r="AA746" s="30"/>
      <c r="AB746" s="30"/>
      <c r="AC746" s="28"/>
      <c r="AD746" s="30"/>
      <c r="AE746" s="30"/>
      <c r="AF746" s="30"/>
      <c r="AG746" s="29"/>
      <c r="AH746" s="30"/>
      <c r="AI746" s="36"/>
      <c r="AJ746" s="30"/>
      <c r="AK746" s="29"/>
      <c r="AL746" s="30"/>
      <c r="AM746" s="30"/>
      <c r="AN746" s="30"/>
      <c r="AO746" s="30"/>
      <c r="AP746" s="30"/>
      <c r="AQ746" s="38"/>
      <c r="AR746" s="30"/>
      <c r="AS746" s="30"/>
      <c r="AT746" s="29"/>
      <c r="AU746" s="30"/>
      <c r="AV746" s="30"/>
      <c r="AW746" s="30"/>
      <c r="AX746" s="29"/>
      <c r="AY746" s="39"/>
      <c r="AZ746" s="30"/>
      <c r="BA746" s="30"/>
      <c r="BB746" s="29"/>
      <c r="BC746" s="52"/>
      <c r="BD746" s="30"/>
      <c r="BE746" s="29"/>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c r="CB746" s="30"/>
      <c r="CC746" s="30"/>
      <c r="CD746" s="30"/>
      <c r="CE746" s="30"/>
      <c r="CF746" s="30"/>
      <c r="CG746" s="30"/>
      <c r="CH746" s="30"/>
      <c r="CI746" s="30"/>
      <c r="CJ746" s="30"/>
      <c r="CK746" s="30"/>
      <c r="CL746" s="30"/>
      <c r="CM746" s="30"/>
      <c r="CN746" s="30"/>
      <c r="CO746" s="30"/>
      <c r="CP746" s="30"/>
      <c r="CQ746" s="30"/>
      <c r="CR746" s="30"/>
      <c r="CS746" s="30"/>
      <c r="CT746" s="30"/>
      <c r="CU746" s="30"/>
      <c r="CV746" s="30"/>
      <c r="CW746" s="30"/>
      <c r="CX746" s="30"/>
      <c r="CY746" s="30"/>
      <c r="CZ746" s="30"/>
      <c r="DA746" s="30"/>
      <c r="DB746" s="30"/>
      <c r="DC746" s="30"/>
      <c r="DD746" s="30"/>
      <c r="DE746" s="30"/>
      <c r="DF746" s="30"/>
      <c r="DG746" s="30"/>
      <c r="DH746" s="30"/>
      <c r="DI746" s="30"/>
      <c r="DJ746" s="30"/>
      <c r="DK746" s="30"/>
      <c r="DL746" s="30"/>
      <c r="DM746" s="30"/>
      <c r="DN746" s="30"/>
      <c r="DO746" s="30"/>
      <c r="DP746" s="30"/>
      <c r="DQ746" s="30"/>
      <c r="DR746" s="30"/>
      <c r="DS746" s="30"/>
      <c r="DT746" s="30"/>
      <c r="DU746" s="30"/>
      <c r="DV746" s="30"/>
      <c r="DW746" s="30"/>
      <c r="DX746" s="30"/>
      <c r="DY746" s="30"/>
      <c r="DZ746" s="30"/>
    </row>
    <row r="747">
      <c r="A747" s="30"/>
      <c r="B747" s="42"/>
      <c r="C747" s="43"/>
      <c r="D747" s="30"/>
      <c r="E747" s="28"/>
      <c r="F747" s="30"/>
      <c r="G747" s="30"/>
      <c r="H747" s="30"/>
      <c r="I747" s="30"/>
      <c r="J747" s="28"/>
      <c r="K747" s="30"/>
      <c r="L747" s="30"/>
      <c r="M747" s="30"/>
      <c r="N747" s="30"/>
      <c r="O747" s="28"/>
      <c r="P747" s="30"/>
      <c r="Q747" s="30"/>
      <c r="R747" s="30"/>
      <c r="S747" s="36"/>
      <c r="T747" s="30"/>
      <c r="U747" s="36"/>
      <c r="V747" s="30"/>
      <c r="W747" s="28"/>
      <c r="X747" s="30"/>
      <c r="Y747" s="30"/>
      <c r="Z747" s="30"/>
      <c r="AA747" s="30"/>
      <c r="AB747" s="30"/>
      <c r="AC747" s="28"/>
      <c r="AD747" s="30"/>
      <c r="AE747" s="30"/>
      <c r="AF747" s="30"/>
      <c r="AG747" s="29"/>
      <c r="AH747" s="30"/>
      <c r="AI747" s="36"/>
      <c r="AJ747" s="30"/>
      <c r="AK747" s="29"/>
      <c r="AL747" s="30"/>
      <c r="AM747" s="30"/>
      <c r="AN747" s="30"/>
      <c r="AO747" s="30"/>
      <c r="AP747" s="30"/>
      <c r="AQ747" s="38"/>
      <c r="AR747" s="30"/>
      <c r="AS747" s="30"/>
      <c r="AT747" s="29"/>
      <c r="AU747" s="30"/>
      <c r="AV747" s="30"/>
      <c r="AW747" s="30"/>
      <c r="AX747" s="29"/>
      <c r="AY747" s="39"/>
      <c r="AZ747" s="30"/>
      <c r="BA747" s="30"/>
      <c r="BB747" s="29"/>
      <c r="BC747" s="52"/>
      <c r="BD747" s="30"/>
      <c r="BE747" s="29"/>
      <c r="BF747" s="30"/>
      <c r="BG747" s="30"/>
      <c r="BH747" s="30"/>
      <c r="BI747" s="30"/>
      <c r="BJ747" s="30"/>
      <c r="BK747" s="30"/>
      <c r="BL747" s="30"/>
      <c r="BM747" s="30"/>
      <c r="BN747" s="30"/>
      <c r="BO747" s="30"/>
      <c r="BP747" s="30"/>
      <c r="BQ747" s="30"/>
      <c r="BR747" s="30"/>
      <c r="BS747" s="30"/>
      <c r="BT747" s="30"/>
      <c r="BU747" s="30"/>
      <c r="BV747" s="30"/>
      <c r="BW747" s="30"/>
      <c r="BX747" s="30"/>
      <c r="BY747" s="30"/>
      <c r="BZ747" s="30"/>
      <c r="CA747" s="30"/>
      <c r="CB747" s="30"/>
      <c r="CC747" s="30"/>
      <c r="CD747" s="30"/>
      <c r="CE747" s="30"/>
      <c r="CF747" s="30"/>
      <c r="CG747" s="30"/>
      <c r="CH747" s="30"/>
      <c r="CI747" s="30"/>
      <c r="CJ747" s="30"/>
      <c r="CK747" s="30"/>
      <c r="CL747" s="30"/>
      <c r="CM747" s="30"/>
      <c r="CN747" s="30"/>
      <c r="CO747" s="30"/>
      <c r="CP747" s="30"/>
      <c r="CQ747" s="30"/>
      <c r="CR747" s="30"/>
      <c r="CS747" s="30"/>
      <c r="CT747" s="30"/>
      <c r="CU747" s="30"/>
      <c r="CV747" s="30"/>
      <c r="CW747" s="30"/>
      <c r="CX747" s="30"/>
      <c r="CY747" s="30"/>
      <c r="CZ747" s="30"/>
      <c r="DA747" s="30"/>
      <c r="DB747" s="30"/>
      <c r="DC747" s="30"/>
      <c r="DD747" s="30"/>
      <c r="DE747" s="30"/>
      <c r="DF747" s="30"/>
      <c r="DG747" s="30"/>
      <c r="DH747" s="30"/>
      <c r="DI747" s="30"/>
      <c r="DJ747" s="30"/>
      <c r="DK747" s="30"/>
      <c r="DL747" s="30"/>
      <c r="DM747" s="30"/>
      <c r="DN747" s="30"/>
      <c r="DO747" s="30"/>
      <c r="DP747" s="30"/>
      <c r="DQ747" s="30"/>
      <c r="DR747" s="30"/>
      <c r="DS747" s="30"/>
      <c r="DT747" s="30"/>
      <c r="DU747" s="30"/>
      <c r="DV747" s="30"/>
      <c r="DW747" s="30"/>
      <c r="DX747" s="30"/>
      <c r="DY747" s="30"/>
      <c r="DZ747" s="30"/>
    </row>
    <row r="748">
      <c r="A748" s="30"/>
      <c r="B748" s="42"/>
      <c r="C748" s="43"/>
      <c r="D748" s="30"/>
      <c r="E748" s="28"/>
      <c r="F748" s="30"/>
      <c r="G748" s="30"/>
      <c r="H748" s="30"/>
      <c r="I748" s="30"/>
      <c r="J748" s="28"/>
      <c r="K748" s="30"/>
      <c r="L748" s="30"/>
      <c r="M748" s="30"/>
      <c r="N748" s="30"/>
      <c r="O748" s="28"/>
      <c r="P748" s="30"/>
      <c r="Q748" s="30"/>
      <c r="R748" s="30"/>
      <c r="S748" s="36"/>
      <c r="T748" s="30"/>
      <c r="U748" s="36"/>
      <c r="V748" s="30"/>
      <c r="W748" s="28"/>
      <c r="X748" s="30"/>
      <c r="Y748" s="30"/>
      <c r="Z748" s="30"/>
      <c r="AA748" s="30"/>
      <c r="AB748" s="30"/>
      <c r="AC748" s="28"/>
      <c r="AD748" s="30"/>
      <c r="AE748" s="30"/>
      <c r="AF748" s="30"/>
      <c r="AG748" s="29"/>
      <c r="AH748" s="30"/>
      <c r="AI748" s="36"/>
      <c r="AJ748" s="30"/>
      <c r="AK748" s="29"/>
      <c r="AL748" s="30"/>
      <c r="AM748" s="30"/>
      <c r="AN748" s="30"/>
      <c r="AO748" s="30"/>
      <c r="AP748" s="30"/>
      <c r="AQ748" s="38"/>
      <c r="AR748" s="30"/>
      <c r="AS748" s="30"/>
      <c r="AT748" s="29"/>
      <c r="AU748" s="30"/>
      <c r="AV748" s="30"/>
      <c r="AW748" s="30"/>
      <c r="AX748" s="29"/>
      <c r="AY748" s="39"/>
      <c r="AZ748" s="30"/>
      <c r="BA748" s="30"/>
      <c r="BB748" s="29"/>
      <c r="BC748" s="52"/>
      <c r="BD748" s="30"/>
      <c r="BE748" s="29"/>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0"/>
      <c r="CF748" s="30"/>
      <c r="CG748" s="30"/>
      <c r="CH748" s="30"/>
      <c r="CI748" s="30"/>
      <c r="CJ748" s="30"/>
      <c r="CK748" s="30"/>
      <c r="CL748" s="30"/>
      <c r="CM748" s="30"/>
      <c r="CN748" s="30"/>
      <c r="CO748" s="30"/>
      <c r="CP748" s="30"/>
      <c r="CQ748" s="30"/>
      <c r="CR748" s="30"/>
      <c r="CS748" s="30"/>
      <c r="CT748" s="30"/>
      <c r="CU748" s="30"/>
      <c r="CV748" s="30"/>
      <c r="CW748" s="30"/>
      <c r="CX748" s="30"/>
      <c r="CY748" s="30"/>
      <c r="CZ748" s="30"/>
      <c r="DA748" s="30"/>
      <c r="DB748" s="30"/>
      <c r="DC748" s="30"/>
      <c r="DD748" s="30"/>
      <c r="DE748" s="30"/>
      <c r="DF748" s="30"/>
      <c r="DG748" s="30"/>
      <c r="DH748" s="30"/>
      <c r="DI748" s="30"/>
      <c r="DJ748" s="30"/>
      <c r="DK748" s="30"/>
      <c r="DL748" s="30"/>
      <c r="DM748" s="30"/>
      <c r="DN748" s="30"/>
      <c r="DO748" s="30"/>
      <c r="DP748" s="30"/>
      <c r="DQ748" s="30"/>
      <c r="DR748" s="30"/>
      <c r="DS748" s="30"/>
      <c r="DT748" s="30"/>
      <c r="DU748" s="30"/>
      <c r="DV748" s="30"/>
      <c r="DW748" s="30"/>
      <c r="DX748" s="30"/>
      <c r="DY748" s="30"/>
      <c r="DZ748" s="30"/>
    </row>
    <row r="749">
      <c r="A749" s="30"/>
      <c r="B749" s="42"/>
      <c r="C749" s="43"/>
      <c r="D749" s="30"/>
      <c r="E749" s="28"/>
      <c r="F749" s="30"/>
      <c r="G749" s="30"/>
      <c r="H749" s="30"/>
      <c r="I749" s="30"/>
      <c r="J749" s="28"/>
      <c r="K749" s="30"/>
      <c r="L749" s="30"/>
      <c r="M749" s="30"/>
      <c r="N749" s="30"/>
      <c r="O749" s="28"/>
      <c r="P749" s="30"/>
      <c r="Q749" s="30"/>
      <c r="R749" s="30"/>
      <c r="S749" s="36"/>
      <c r="T749" s="30"/>
      <c r="U749" s="36"/>
      <c r="V749" s="30"/>
      <c r="W749" s="28"/>
      <c r="X749" s="30"/>
      <c r="Y749" s="30"/>
      <c r="Z749" s="30"/>
      <c r="AA749" s="30"/>
      <c r="AB749" s="30"/>
      <c r="AC749" s="28"/>
      <c r="AD749" s="30"/>
      <c r="AE749" s="30"/>
      <c r="AF749" s="30"/>
      <c r="AG749" s="29"/>
      <c r="AH749" s="30"/>
      <c r="AI749" s="36"/>
      <c r="AJ749" s="30"/>
      <c r="AK749" s="29"/>
      <c r="AL749" s="30"/>
      <c r="AM749" s="30"/>
      <c r="AN749" s="30"/>
      <c r="AO749" s="30"/>
      <c r="AP749" s="30"/>
      <c r="AQ749" s="38"/>
      <c r="AR749" s="30"/>
      <c r="AS749" s="30"/>
      <c r="AT749" s="29"/>
      <c r="AU749" s="30"/>
      <c r="AV749" s="30"/>
      <c r="AW749" s="30"/>
      <c r="AX749" s="29"/>
      <c r="AY749" s="39"/>
      <c r="AZ749" s="30"/>
      <c r="BA749" s="30"/>
      <c r="BB749" s="29"/>
      <c r="BC749" s="52"/>
      <c r="BD749" s="30"/>
      <c r="BE749" s="29"/>
      <c r="BF749" s="30"/>
      <c r="BG749" s="30"/>
      <c r="BH749" s="30"/>
      <c r="BI749" s="30"/>
      <c r="BJ749" s="30"/>
      <c r="BK749" s="30"/>
      <c r="BL749" s="30"/>
      <c r="BM749" s="30"/>
      <c r="BN749" s="30"/>
      <c r="BO749" s="30"/>
      <c r="BP749" s="30"/>
      <c r="BQ749" s="30"/>
      <c r="BR749" s="30"/>
      <c r="BS749" s="30"/>
      <c r="BT749" s="30"/>
      <c r="BU749" s="30"/>
      <c r="BV749" s="30"/>
      <c r="BW749" s="30"/>
      <c r="BX749" s="30"/>
      <c r="BY749" s="30"/>
      <c r="BZ749" s="30"/>
      <c r="CA749" s="30"/>
      <c r="CB749" s="30"/>
      <c r="CC749" s="30"/>
      <c r="CD749" s="30"/>
      <c r="CE749" s="30"/>
      <c r="CF749" s="30"/>
      <c r="CG749" s="30"/>
      <c r="CH749" s="30"/>
      <c r="CI749" s="30"/>
      <c r="CJ749" s="30"/>
      <c r="CK749" s="30"/>
      <c r="CL749" s="30"/>
      <c r="CM749" s="30"/>
      <c r="CN749" s="30"/>
      <c r="CO749" s="30"/>
      <c r="CP749" s="30"/>
      <c r="CQ749" s="30"/>
      <c r="CR749" s="30"/>
      <c r="CS749" s="30"/>
      <c r="CT749" s="30"/>
      <c r="CU749" s="30"/>
      <c r="CV749" s="30"/>
      <c r="CW749" s="30"/>
      <c r="CX749" s="30"/>
      <c r="CY749" s="30"/>
      <c r="CZ749" s="30"/>
      <c r="DA749" s="30"/>
      <c r="DB749" s="30"/>
      <c r="DC749" s="30"/>
      <c r="DD749" s="30"/>
      <c r="DE749" s="30"/>
      <c r="DF749" s="30"/>
      <c r="DG749" s="30"/>
      <c r="DH749" s="30"/>
      <c r="DI749" s="30"/>
      <c r="DJ749" s="30"/>
      <c r="DK749" s="30"/>
      <c r="DL749" s="30"/>
      <c r="DM749" s="30"/>
      <c r="DN749" s="30"/>
      <c r="DO749" s="30"/>
      <c r="DP749" s="30"/>
      <c r="DQ749" s="30"/>
      <c r="DR749" s="30"/>
      <c r="DS749" s="30"/>
      <c r="DT749" s="30"/>
      <c r="DU749" s="30"/>
      <c r="DV749" s="30"/>
      <c r="DW749" s="30"/>
      <c r="DX749" s="30"/>
      <c r="DY749" s="30"/>
      <c r="DZ749" s="30"/>
    </row>
    <row r="750">
      <c r="A750" s="30"/>
      <c r="B750" s="42"/>
      <c r="C750" s="43"/>
      <c r="D750" s="30"/>
      <c r="E750" s="28"/>
      <c r="F750" s="30"/>
      <c r="G750" s="30"/>
      <c r="H750" s="30"/>
      <c r="I750" s="30"/>
      <c r="J750" s="28"/>
      <c r="K750" s="30"/>
      <c r="L750" s="30"/>
      <c r="M750" s="30"/>
      <c r="N750" s="30"/>
      <c r="O750" s="28"/>
      <c r="P750" s="30"/>
      <c r="Q750" s="30"/>
      <c r="R750" s="30"/>
      <c r="S750" s="36"/>
      <c r="T750" s="30"/>
      <c r="U750" s="36"/>
      <c r="V750" s="30"/>
      <c r="W750" s="28"/>
      <c r="X750" s="30"/>
      <c r="Y750" s="30"/>
      <c r="Z750" s="30"/>
      <c r="AA750" s="30"/>
      <c r="AB750" s="30"/>
      <c r="AC750" s="28"/>
      <c r="AD750" s="30"/>
      <c r="AE750" s="30"/>
      <c r="AF750" s="30"/>
      <c r="AG750" s="29"/>
      <c r="AH750" s="30"/>
      <c r="AI750" s="36"/>
      <c r="AJ750" s="30"/>
      <c r="AK750" s="29"/>
      <c r="AL750" s="30"/>
      <c r="AM750" s="30"/>
      <c r="AN750" s="30"/>
      <c r="AO750" s="30"/>
      <c r="AP750" s="30"/>
      <c r="AQ750" s="38"/>
      <c r="AR750" s="30"/>
      <c r="AS750" s="30"/>
      <c r="AT750" s="29"/>
      <c r="AU750" s="30"/>
      <c r="AV750" s="30"/>
      <c r="AW750" s="30"/>
      <c r="AX750" s="29"/>
      <c r="AY750" s="39"/>
      <c r="AZ750" s="30"/>
      <c r="BA750" s="30"/>
      <c r="BB750" s="29"/>
      <c r="BC750" s="52"/>
      <c r="BD750" s="30"/>
      <c r="BE750" s="29"/>
      <c r="BF750" s="30"/>
      <c r="BG750" s="30"/>
      <c r="BH750" s="30"/>
      <c r="BI750" s="30"/>
      <c r="BJ750" s="30"/>
      <c r="BK750" s="30"/>
      <c r="BL750" s="30"/>
      <c r="BM750" s="30"/>
      <c r="BN750" s="30"/>
      <c r="BO750" s="30"/>
      <c r="BP750" s="30"/>
      <c r="BQ750" s="30"/>
      <c r="BR750" s="30"/>
      <c r="BS750" s="30"/>
      <c r="BT750" s="30"/>
      <c r="BU750" s="30"/>
      <c r="BV750" s="30"/>
      <c r="BW750" s="30"/>
      <c r="BX750" s="30"/>
      <c r="BY750" s="30"/>
      <c r="BZ750" s="30"/>
      <c r="CA750" s="30"/>
      <c r="CB750" s="30"/>
      <c r="CC750" s="30"/>
      <c r="CD750" s="30"/>
      <c r="CE750" s="30"/>
      <c r="CF750" s="30"/>
      <c r="CG750" s="30"/>
      <c r="CH750" s="30"/>
      <c r="CI750" s="30"/>
      <c r="CJ750" s="30"/>
      <c r="CK750" s="30"/>
      <c r="CL750" s="30"/>
      <c r="CM750" s="30"/>
      <c r="CN750" s="30"/>
      <c r="CO750" s="30"/>
      <c r="CP750" s="30"/>
      <c r="CQ750" s="30"/>
      <c r="CR750" s="30"/>
      <c r="CS750" s="30"/>
      <c r="CT750" s="30"/>
      <c r="CU750" s="30"/>
      <c r="CV750" s="30"/>
      <c r="CW750" s="30"/>
      <c r="CX750" s="30"/>
      <c r="CY750" s="30"/>
      <c r="CZ750" s="30"/>
      <c r="DA750" s="30"/>
      <c r="DB750" s="30"/>
      <c r="DC750" s="30"/>
      <c r="DD750" s="30"/>
      <c r="DE750" s="30"/>
      <c r="DF750" s="30"/>
      <c r="DG750" s="30"/>
      <c r="DH750" s="30"/>
      <c r="DI750" s="30"/>
      <c r="DJ750" s="30"/>
      <c r="DK750" s="30"/>
      <c r="DL750" s="30"/>
      <c r="DM750" s="30"/>
      <c r="DN750" s="30"/>
      <c r="DO750" s="30"/>
      <c r="DP750" s="30"/>
      <c r="DQ750" s="30"/>
      <c r="DR750" s="30"/>
      <c r="DS750" s="30"/>
      <c r="DT750" s="30"/>
      <c r="DU750" s="30"/>
      <c r="DV750" s="30"/>
      <c r="DW750" s="30"/>
      <c r="DX750" s="30"/>
      <c r="DY750" s="30"/>
      <c r="DZ750" s="30"/>
    </row>
    <row r="751">
      <c r="A751" s="30"/>
      <c r="B751" s="42"/>
      <c r="C751" s="43"/>
      <c r="D751" s="30"/>
      <c r="E751" s="28"/>
      <c r="F751" s="30"/>
      <c r="G751" s="30"/>
      <c r="H751" s="30"/>
      <c r="I751" s="30"/>
      <c r="J751" s="28"/>
      <c r="K751" s="30"/>
      <c r="L751" s="30"/>
      <c r="M751" s="30"/>
      <c r="N751" s="30"/>
      <c r="O751" s="28"/>
      <c r="P751" s="30"/>
      <c r="Q751" s="30"/>
      <c r="R751" s="30"/>
      <c r="S751" s="36"/>
      <c r="T751" s="30"/>
      <c r="U751" s="36"/>
      <c r="V751" s="30"/>
      <c r="W751" s="28"/>
      <c r="X751" s="30"/>
      <c r="Y751" s="30"/>
      <c r="Z751" s="30"/>
      <c r="AA751" s="30"/>
      <c r="AB751" s="30"/>
      <c r="AC751" s="28"/>
      <c r="AD751" s="30"/>
      <c r="AE751" s="30"/>
      <c r="AF751" s="30"/>
      <c r="AG751" s="29"/>
      <c r="AH751" s="30"/>
      <c r="AI751" s="36"/>
      <c r="AJ751" s="30"/>
      <c r="AK751" s="29"/>
      <c r="AL751" s="30"/>
      <c r="AM751" s="30"/>
      <c r="AN751" s="30"/>
      <c r="AO751" s="30"/>
      <c r="AP751" s="30"/>
      <c r="AQ751" s="38"/>
      <c r="AR751" s="30"/>
      <c r="AS751" s="30"/>
      <c r="AT751" s="29"/>
      <c r="AU751" s="30"/>
      <c r="AV751" s="30"/>
      <c r="AW751" s="30"/>
      <c r="AX751" s="29"/>
      <c r="AY751" s="39"/>
      <c r="AZ751" s="30"/>
      <c r="BA751" s="30"/>
      <c r="BB751" s="29"/>
      <c r="BC751" s="52"/>
      <c r="BD751" s="30"/>
      <c r="BE751" s="29"/>
      <c r="BF751" s="30"/>
      <c r="BG751" s="30"/>
      <c r="BH751" s="30"/>
      <c r="BI751" s="30"/>
      <c r="BJ751" s="30"/>
      <c r="BK751" s="30"/>
      <c r="BL751" s="30"/>
      <c r="BM751" s="30"/>
      <c r="BN751" s="30"/>
      <c r="BO751" s="30"/>
      <c r="BP751" s="30"/>
      <c r="BQ751" s="30"/>
      <c r="BR751" s="30"/>
      <c r="BS751" s="30"/>
      <c r="BT751" s="30"/>
      <c r="BU751" s="30"/>
      <c r="BV751" s="30"/>
      <c r="BW751" s="30"/>
      <c r="BX751" s="30"/>
      <c r="BY751" s="30"/>
      <c r="BZ751" s="30"/>
      <c r="CA751" s="30"/>
      <c r="CB751" s="30"/>
      <c r="CC751" s="30"/>
      <c r="CD751" s="30"/>
      <c r="CE751" s="30"/>
      <c r="CF751" s="30"/>
      <c r="CG751" s="30"/>
      <c r="CH751" s="30"/>
      <c r="CI751" s="30"/>
      <c r="CJ751" s="30"/>
      <c r="CK751" s="30"/>
      <c r="CL751" s="30"/>
      <c r="CM751" s="30"/>
      <c r="CN751" s="30"/>
      <c r="CO751" s="30"/>
      <c r="CP751" s="30"/>
      <c r="CQ751" s="30"/>
      <c r="CR751" s="30"/>
      <c r="CS751" s="30"/>
      <c r="CT751" s="30"/>
      <c r="CU751" s="30"/>
      <c r="CV751" s="30"/>
      <c r="CW751" s="30"/>
      <c r="CX751" s="30"/>
      <c r="CY751" s="30"/>
      <c r="CZ751" s="30"/>
      <c r="DA751" s="30"/>
      <c r="DB751" s="30"/>
      <c r="DC751" s="30"/>
      <c r="DD751" s="30"/>
      <c r="DE751" s="30"/>
      <c r="DF751" s="30"/>
      <c r="DG751" s="30"/>
      <c r="DH751" s="30"/>
      <c r="DI751" s="30"/>
      <c r="DJ751" s="30"/>
      <c r="DK751" s="30"/>
      <c r="DL751" s="30"/>
      <c r="DM751" s="30"/>
      <c r="DN751" s="30"/>
      <c r="DO751" s="30"/>
      <c r="DP751" s="30"/>
      <c r="DQ751" s="30"/>
      <c r="DR751" s="30"/>
      <c r="DS751" s="30"/>
      <c r="DT751" s="30"/>
      <c r="DU751" s="30"/>
      <c r="DV751" s="30"/>
      <c r="DW751" s="30"/>
      <c r="DX751" s="30"/>
      <c r="DY751" s="30"/>
      <c r="DZ751" s="30"/>
    </row>
    <row r="752">
      <c r="A752" s="30"/>
      <c r="B752" s="42"/>
      <c r="C752" s="43"/>
      <c r="D752" s="30"/>
      <c r="E752" s="28"/>
      <c r="F752" s="30"/>
      <c r="G752" s="30"/>
      <c r="H752" s="30"/>
      <c r="I752" s="30"/>
      <c r="J752" s="28"/>
      <c r="K752" s="30"/>
      <c r="L752" s="30"/>
      <c r="M752" s="30"/>
      <c r="N752" s="30"/>
      <c r="O752" s="28"/>
      <c r="P752" s="30"/>
      <c r="Q752" s="30"/>
      <c r="R752" s="30"/>
      <c r="S752" s="36"/>
      <c r="T752" s="30"/>
      <c r="U752" s="36"/>
      <c r="V752" s="30"/>
      <c r="W752" s="28"/>
      <c r="X752" s="30"/>
      <c r="Y752" s="30"/>
      <c r="Z752" s="30"/>
      <c r="AA752" s="30"/>
      <c r="AB752" s="30"/>
      <c r="AC752" s="28"/>
      <c r="AD752" s="30"/>
      <c r="AE752" s="30"/>
      <c r="AF752" s="30"/>
      <c r="AG752" s="29"/>
      <c r="AH752" s="30"/>
      <c r="AI752" s="36"/>
      <c r="AJ752" s="30"/>
      <c r="AK752" s="29"/>
      <c r="AL752" s="30"/>
      <c r="AM752" s="30"/>
      <c r="AN752" s="30"/>
      <c r="AO752" s="30"/>
      <c r="AP752" s="30"/>
      <c r="AQ752" s="38"/>
      <c r="AR752" s="30"/>
      <c r="AS752" s="30"/>
      <c r="AT752" s="29"/>
      <c r="AU752" s="30"/>
      <c r="AV752" s="30"/>
      <c r="AW752" s="30"/>
      <c r="AX752" s="29"/>
      <c r="AY752" s="39"/>
      <c r="AZ752" s="30"/>
      <c r="BA752" s="30"/>
      <c r="BB752" s="29"/>
      <c r="BC752" s="52"/>
      <c r="BD752" s="30"/>
      <c r="BE752" s="29"/>
      <c r="BF752" s="30"/>
      <c r="BG752" s="30"/>
      <c r="BH752" s="30"/>
      <c r="BI752" s="30"/>
      <c r="BJ752" s="30"/>
      <c r="BK752" s="30"/>
      <c r="BL752" s="30"/>
      <c r="BM752" s="30"/>
      <c r="BN752" s="30"/>
      <c r="BO752" s="30"/>
      <c r="BP752" s="30"/>
      <c r="BQ752" s="30"/>
      <c r="BR752" s="30"/>
      <c r="BS752" s="30"/>
      <c r="BT752" s="30"/>
      <c r="BU752" s="30"/>
      <c r="BV752" s="30"/>
      <c r="BW752" s="30"/>
      <c r="BX752" s="30"/>
      <c r="BY752" s="30"/>
      <c r="BZ752" s="30"/>
      <c r="CA752" s="30"/>
      <c r="CB752" s="30"/>
      <c r="CC752" s="30"/>
      <c r="CD752" s="30"/>
      <c r="CE752" s="30"/>
      <c r="CF752" s="30"/>
      <c r="CG752" s="30"/>
      <c r="CH752" s="30"/>
      <c r="CI752" s="30"/>
      <c r="CJ752" s="30"/>
      <c r="CK752" s="30"/>
      <c r="CL752" s="30"/>
      <c r="CM752" s="30"/>
      <c r="CN752" s="30"/>
      <c r="CO752" s="30"/>
      <c r="CP752" s="30"/>
      <c r="CQ752" s="30"/>
      <c r="CR752" s="30"/>
      <c r="CS752" s="30"/>
      <c r="CT752" s="30"/>
      <c r="CU752" s="30"/>
      <c r="CV752" s="30"/>
      <c r="CW752" s="30"/>
      <c r="CX752" s="30"/>
      <c r="CY752" s="30"/>
      <c r="CZ752" s="30"/>
      <c r="DA752" s="30"/>
      <c r="DB752" s="30"/>
      <c r="DC752" s="30"/>
      <c r="DD752" s="30"/>
      <c r="DE752" s="30"/>
      <c r="DF752" s="30"/>
      <c r="DG752" s="30"/>
      <c r="DH752" s="30"/>
      <c r="DI752" s="30"/>
      <c r="DJ752" s="30"/>
      <c r="DK752" s="30"/>
      <c r="DL752" s="30"/>
      <c r="DM752" s="30"/>
      <c r="DN752" s="30"/>
      <c r="DO752" s="30"/>
      <c r="DP752" s="30"/>
      <c r="DQ752" s="30"/>
      <c r="DR752" s="30"/>
      <c r="DS752" s="30"/>
      <c r="DT752" s="30"/>
      <c r="DU752" s="30"/>
      <c r="DV752" s="30"/>
      <c r="DW752" s="30"/>
      <c r="DX752" s="30"/>
      <c r="DY752" s="30"/>
      <c r="DZ752" s="30"/>
    </row>
    <row r="753">
      <c r="A753" s="30"/>
      <c r="B753" s="42"/>
      <c r="C753" s="43"/>
      <c r="D753" s="30"/>
      <c r="E753" s="28"/>
      <c r="F753" s="30"/>
      <c r="G753" s="30"/>
      <c r="H753" s="30"/>
      <c r="I753" s="30"/>
      <c r="J753" s="28"/>
      <c r="K753" s="30"/>
      <c r="L753" s="30"/>
      <c r="M753" s="30"/>
      <c r="N753" s="30"/>
      <c r="O753" s="28"/>
      <c r="P753" s="30"/>
      <c r="Q753" s="30"/>
      <c r="R753" s="30"/>
      <c r="S753" s="36"/>
      <c r="T753" s="30"/>
      <c r="U753" s="36"/>
      <c r="V753" s="30"/>
      <c r="W753" s="28"/>
      <c r="X753" s="30"/>
      <c r="Y753" s="30"/>
      <c r="Z753" s="30"/>
      <c r="AA753" s="30"/>
      <c r="AB753" s="30"/>
      <c r="AC753" s="28"/>
      <c r="AD753" s="30"/>
      <c r="AE753" s="30"/>
      <c r="AF753" s="30"/>
      <c r="AG753" s="29"/>
      <c r="AH753" s="30"/>
      <c r="AI753" s="36"/>
      <c r="AJ753" s="30"/>
      <c r="AK753" s="29"/>
      <c r="AL753" s="30"/>
      <c r="AM753" s="30"/>
      <c r="AN753" s="30"/>
      <c r="AO753" s="30"/>
      <c r="AP753" s="30"/>
      <c r="AQ753" s="38"/>
      <c r="AR753" s="30"/>
      <c r="AS753" s="30"/>
      <c r="AT753" s="29"/>
      <c r="AU753" s="30"/>
      <c r="AV753" s="30"/>
      <c r="AW753" s="30"/>
      <c r="AX753" s="29"/>
      <c r="AY753" s="39"/>
      <c r="AZ753" s="30"/>
      <c r="BA753" s="30"/>
      <c r="BB753" s="29"/>
      <c r="BC753" s="52"/>
      <c r="BD753" s="30"/>
      <c r="BE753" s="29"/>
      <c r="BF753" s="30"/>
      <c r="BG753" s="30"/>
      <c r="BH753" s="30"/>
      <c r="BI753" s="30"/>
      <c r="BJ753" s="30"/>
      <c r="BK753" s="30"/>
      <c r="BL753" s="30"/>
      <c r="BM753" s="30"/>
      <c r="BN753" s="30"/>
      <c r="BO753" s="30"/>
      <c r="BP753" s="30"/>
      <c r="BQ753" s="30"/>
      <c r="BR753" s="30"/>
      <c r="BS753" s="30"/>
      <c r="BT753" s="30"/>
      <c r="BU753" s="30"/>
      <c r="BV753" s="30"/>
      <c r="BW753" s="30"/>
      <c r="BX753" s="30"/>
      <c r="BY753" s="30"/>
      <c r="BZ753" s="30"/>
      <c r="CA753" s="30"/>
      <c r="CB753" s="30"/>
      <c r="CC753" s="30"/>
      <c r="CD753" s="30"/>
      <c r="CE753" s="30"/>
      <c r="CF753" s="30"/>
      <c r="CG753" s="30"/>
      <c r="CH753" s="30"/>
      <c r="CI753" s="30"/>
      <c r="CJ753" s="30"/>
      <c r="CK753" s="30"/>
      <c r="CL753" s="30"/>
      <c r="CM753" s="30"/>
      <c r="CN753" s="30"/>
      <c r="CO753" s="30"/>
      <c r="CP753" s="30"/>
      <c r="CQ753" s="30"/>
      <c r="CR753" s="30"/>
      <c r="CS753" s="30"/>
      <c r="CT753" s="30"/>
      <c r="CU753" s="30"/>
      <c r="CV753" s="30"/>
      <c r="CW753" s="30"/>
      <c r="CX753" s="30"/>
      <c r="CY753" s="30"/>
      <c r="CZ753" s="30"/>
      <c r="DA753" s="30"/>
      <c r="DB753" s="30"/>
      <c r="DC753" s="30"/>
      <c r="DD753" s="30"/>
      <c r="DE753" s="30"/>
      <c r="DF753" s="30"/>
      <c r="DG753" s="30"/>
      <c r="DH753" s="30"/>
      <c r="DI753" s="30"/>
      <c r="DJ753" s="30"/>
      <c r="DK753" s="30"/>
      <c r="DL753" s="30"/>
      <c r="DM753" s="30"/>
      <c r="DN753" s="30"/>
      <c r="DO753" s="30"/>
      <c r="DP753" s="30"/>
      <c r="DQ753" s="30"/>
      <c r="DR753" s="30"/>
      <c r="DS753" s="30"/>
      <c r="DT753" s="30"/>
      <c r="DU753" s="30"/>
      <c r="DV753" s="30"/>
      <c r="DW753" s="30"/>
      <c r="DX753" s="30"/>
      <c r="DY753" s="30"/>
      <c r="DZ753" s="30"/>
    </row>
    <row r="754">
      <c r="A754" s="30"/>
      <c r="B754" s="42"/>
      <c r="C754" s="43"/>
      <c r="D754" s="30"/>
      <c r="E754" s="28"/>
      <c r="F754" s="30"/>
      <c r="G754" s="30"/>
      <c r="H754" s="30"/>
      <c r="I754" s="30"/>
      <c r="J754" s="28"/>
      <c r="K754" s="30"/>
      <c r="L754" s="30"/>
      <c r="M754" s="30"/>
      <c r="N754" s="30"/>
      <c r="O754" s="28"/>
      <c r="P754" s="30"/>
      <c r="Q754" s="30"/>
      <c r="R754" s="30"/>
      <c r="S754" s="36"/>
      <c r="T754" s="30"/>
      <c r="U754" s="36"/>
      <c r="V754" s="30"/>
      <c r="W754" s="28"/>
      <c r="X754" s="30"/>
      <c r="Y754" s="30"/>
      <c r="Z754" s="30"/>
      <c r="AA754" s="30"/>
      <c r="AB754" s="30"/>
      <c r="AC754" s="28"/>
      <c r="AD754" s="30"/>
      <c r="AE754" s="30"/>
      <c r="AF754" s="30"/>
      <c r="AG754" s="29"/>
      <c r="AH754" s="30"/>
      <c r="AI754" s="36"/>
      <c r="AJ754" s="30"/>
      <c r="AK754" s="29"/>
      <c r="AL754" s="30"/>
      <c r="AM754" s="30"/>
      <c r="AN754" s="30"/>
      <c r="AO754" s="30"/>
      <c r="AP754" s="30"/>
      <c r="AQ754" s="38"/>
      <c r="AR754" s="30"/>
      <c r="AS754" s="30"/>
      <c r="AT754" s="29"/>
      <c r="AU754" s="30"/>
      <c r="AV754" s="30"/>
      <c r="AW754" s="30"/>
      <c r="AX754" s="29"/>
      <c r="AY754" s="39"/>
      <c r="AZ754" s="30"/>
      <c r="BA754" s="30"/>
      <c r="BB754" s="29"/>
      <c r="BC754" s="52"/>
      <c r="BD754" s="30"/>
      <c r="BE754" s="29"/>
      <c r="BF754" s="30"/>
      <c r="BG754" s="30"/>
      <c r="BH754" s="30"/>
      <c r="BI754" s="30"/>
      <c r="BJ754" s="30"/>
      <c r="BK754" s="30"/>
      <c r="BL754" s="30"/>
      <c r="BM754" s="30"/>
      <c r="BN754" s="30"/>
      <c r="BO754" s="30"/>
      <c r="BP754" s="30"/>
      <c r="BQ754" s="30"/>
      <c r="BR754" s="30"/>
      <c r="BS754" s="30"/>
      <c r="BT754" s="30"/>
      <c r="BU754" s="30"/>
      <c r="BV754" s="30"/>
      <c r="BW754" s="30"/>
      <c r="BX754" s="30"/>
      <c r="BY754" s="30"/>
      <c r="BZ754" s="30"/>
      <c r="CA754" s="30"/>
      <c r="CB754" s="30"/>
      <c r="CC754" s="30"/>
      <c r="CD754" s="30"/>
      <c r="CE754" s="30"/>
      <c r="CF754" s="30"/>
      <c r="CG754" s="30"/>
      <c r="CH754" s="30"/>
      <c r="CI754" s="30"/>
      <c r="CJ754" s="30"/>
      <c r="CK754" s="30"/>
      <c r="CL754" s="30"/>
      <c r="CM754" s="30"/>
      <c r="CN754" s="30"/>
      <c r="CO754" s="30"/>
      <c r="CP754" s="30"/>
      <c r="CQ754" s="30"/>
      <c r="CR754" s="30"/>
      <c r="CS754" s="30"/>
      <c r="CT754" s="30"/>
      <c r="CU754" s="30"/>
      <c r="CV754" s="30"/>
      <c r="CW754" s="30"/>
      <c r="CX754" s="30"/>
      <c r="CY754" s="30"/>
      <c r="CZ754" s="30"/>
      <c r="DA754" s="30"/>
      <c r="DB754" s="30"/>
      <c r="DC754" s="30"/>
      <c r="DD754" s="30"/>
      <c r="DE754" s="30"/>
      <c r="DF754" s="30"/>
      <c r="DG754" s="30"/>
      <c r="DH754" s="30"/>
      <c r="DI754" s="30"/>
      <c r="DJ754" s="30"/>
      <c r="DK754" s="30"/>
      <c r="DL754" s="30"/>
      <c r="DM754" s="30"/>
      <c r="DN754" s="30"/>
      <c r="DO754" s="30"/>
      <c r="DP754" s="30"/>
      <c r="DQ754" s="30"/>
      <c r="DR754" s="30"/>
      <c r="DS754" s="30"/>
      <c r="DT754" s="30"/>
      <c r="DU754" s="30"/>
      <c r="DV754" s="30"/>
      <c r="DW754" s="30"/>
      <c r="DX754" s="30"/>
      <c r="DY754" s="30"/>
      <c r="DZ754" s="30"/>
    </row>
    <row r="755">
      <c r="A755" s="30"/>
      <c r="B755" s="42"/>
      <c r="C755" s="43"/>
      <c r="D755" s="30"/>
      <c r="E755" s="28"/>
      <c r="F755" s="30"/>
      <c r="G755" s="30"/>
      <c r="H755" s="30"/>
      <c r="I755" s="30"/>
      <c r="J755" s="28"/>
      <c r="K755" s="30"/>
      <c r="L755" s="30"/>
      <c r="M755" s="30"/>
      <c r="N755" s="30"/>
      <c r="O755" s="28"/>
      <c r="P755" s="30"/>
      <c r="Q755" s="30"/>
      <c r="R755" s="30"/>
      <c r="S755" s="36"/>
      <c r="T755" s="30"/>
      <c r="U755" s="36"/>
      <c r="V755" s="30"/>
      <c r="W755" s="28"/>
      <c r="X755" s="30"/>
      <c r="Y755" s="30"/>
      <c r="Z755" s="30"/>
      <c r="AA755" s="30"/>
      <c r="AB755" s="30"/>
      <c r="AC755" s="28"/>
      <c r="AD755" s="30"/>
      <c r="AE755" s="30"/>
      <c r="AF755" s="30"/>
      <c r="AG755" s="29"/>
      <c r="AH755" s="30"/>
      <c r="AI755" s="36"/>
      <c r="AJ755" s="30"/>
      <c r="AK755" s="29"/>
      <c r="AL755" s="30"/>
      <c r="AM755" s="30"/>
      <c r="AN755" s="30"/>
      <c r="AO755" s="30"/>
      <c r="AP755" s="30"/>
      <c r="AQ755" s="38"/>
      <c r="AR755" s="30"/>
      <c r="AS755" s="30"/>
      <c r="AT755" s="29"/>
      <c r="AU755" s="30"/>
      <c r="AV755" s="30"/>
      <c r="AW755" s="30"/>
      <c r="AX755" s="29"/>
      <c r="AY755" s="39"/>
      <c r="AZ755" s="30"/>
      <c r="BA755" s="30"/>
      <c r="BB755" s="29"/>
      <c r="BC755" s="52"/>
      <c r="BD755" s="30"/>
      <c r="BE755" s="29"/>
      <c r="BF755" s="30"/>
      <c r="BG755" s="30"/>
      <c r="BH755" s="30"/>
      <c r="BI755" s="30"/>
      <c r="BJ755" s="30"/>
      <c r="BK755" s="30"/>
      <c r="BL755" s="30"/>
      <c r="BM755" s="30"/>
      <c r="BN755" s="30"/>
      <c r="BO755" s="30"/>
      <c r="BP755" s="30"/>
      <c r="BQ755" s="30"/>
      <c r="BR755" s="30"/>
      <c r="BS755" s="30"/>
      <c r="BT755" s="30"/>
      <c r="BU755" s="30"/>
      <c r="BV755" s="30"/>
      <c r="BW755" s="30"/>
      <c r="BX755" s="30"/>
      <c r="BY755" s="30"/>
      <c r="BZ755" s="30"/>
      <c r="CA755" s="30"/>
      <c r="CB755" s="30"/>
      <c r="CC755" s="30"/>
      <c r="CD755" s="30"/>
      <c r="CE755" s="30"/>
      <c r="CF755" s="30"/>
      <c r="CG755" s="30"/>
      <c r="CH755" s="30"/>
      <c r="CI755" s="30"/>
      <c r="CJ755" s="30"/>
      <c r="CK755" s="30"/>
      <c r="CL755" s="30"/>
      <c r="CM755" s="30"/>
      <c r="CN755" s="30"/>
      <c r="CO755" s="30"/>
      <c r="CP755" s="30"/>
      <c r="CQ755" s="30"/>
      <c r="CR755" s="30"/>
      <c r="CS755" s="30"/>
      <c r="CT755" s="30"/>
      <c r="CU755" s="30"/>
      <c r="CV755" s="30"/>
      <c r="CW755" s="30"/>
      <c r="CX755" s="30"/>
      <c r="CY755" s="30"/>
      <c r="CZ755" s="30"/>
      <c r="DA755" s="30"/>
      <c r="DB755" s="30"/>
      <c r="DC755" s="30"/>
      <c r="DD755" s="30"/>
      <c r="DE755" s="30"/>
      <c r="DF755" s="30"/>
      <c r="DG755" s="30"/>
      <c r="DH755" s="30"/>
      <c r="DI755" s="30"/>
      <c r="DJ755" s="30"/>
      <c r="DK755" s="30"/>
      <c r="DL755" s="30"/>
      <c r="DM755" s="30"/>
      <c r="DN755" s="30"/>
      <c r="DO755" s="30"/>
      <c r="DP755" s="30"/>
      <c r="DQ755" s="30"/>
      <c r="DR755" s="30"/>
      <c r="DS755" s="30"/>
      <c r="DT755" s="30"/>
      <c r="DU755" s="30"/>
      <c r="DV755" s="30"/>
      <c r="DW755" s="30"/>
      <c r="DX755" s="30"/>
      <c r="DY755" s="30"/>
      <c r="DZ755" s="30"/>
    </row>
    <row r="756">
      <c r="A756" s="30"/>
      <c r="B756" s="42"/>
      <c r="C756" s="43"/>
      <c r="D756" s="30"/>
      <c r="E756" s="28"/>
      <c r="F756" s="30"/>
      <c r="G756" s="30"/>
      <c r="H756" s="30"/>
      <c r="I756" s="30"/>
      <c r="J756" s="28"/>
      <c r="K756" s="30"/>
      <c r="L756" s="30"/>
      <c r="M756" s="30"/>
      <c r="N756" s="30"/>
      <c r="O756" s="28"/>
      <c r="P756" s="30"/>
      <c r="Q756" s="30"/>
      <c r="R756" s="30"/>
      <c r="S756" s="36"/>
      <c r="T756" s="30"/>
      <c r="U756" s="36"/>
      <c r="V756" s="30"/>
      <c r="W756" s="28"/>
      <c r="X756" s="30"/>
      <c r="Y756" s="30"/>
      <c r="Z756" s="30"/>
      <c r="AA756" s="30"/>
      <c r="AB756" s="30"/>
      <c r="AC756" s="28"/>
      <c r="AD756" s="30"/>
      <c r="AE756" s="30"/>
      <c r="AF756" s="30"/>
      <c r="AG756" s="29"/>
      <c r="AH756" s="30"/>
      <c r="AI756" s="36"/>
      <c r="AJ756" s="30"/>
      <c r="AK756" s="29"/>
      <c r="AL756" s="30"/>
      <c r="AM756" s="30"/>
      <c r="AN756" s="30"/>
      <c r="AO756" s="30"/>
      <c r="AP756" s="30"/>
      <c r="AQ756" s="38"/>
      <c r="AR756" s="30"/>
      <c r="AS756" s="30"/>
      <c r="AT756" s="29"/>
      <c r="AU756" s="30"/>
      <c r="AV756" s="30"/>
      <c r="AW756" s="30"/>
      <c r="AX756" s="29"/>
      <c r="AY756" s="39"/>
      <c r="AZ756" s="30"/>
      <c r="BA756" s="30"/>
      <c r="BB756" s="29"/>
      <c r="BC756" s="52"/>
      <c r="BD756" s="30"/>
      <c r="BE756" s="29"/>
      <c r="BF756" s="30"/>
      <c r="BG756" s="30"/>
      <c r="BH756" s="30"/>
      <c r="BI756" s="30"/>
      <c r="BJ756" s="30"/>
      <c r="BK756" s="30"/>
      <c r="BL756" s="30"/>
      <c r="BM756" s="30"/>
      <c r="BN756" s="30"/>
      <c r="BO756" s="30"/>
      <c r="BP756" s="30"/>
      <c r="BQ756" s="30"/>
      <c r="BR756" s="30"/>
      <c r="BS756" s="30"/>
      <c r="BT756" s="30"/>
      <c r="BU756" s="30"/>
      <c r="BV756" s="30"/>
      <c r="BW756" s="30"/>
      <c r="BX756" s="30"/>
      <c r="BY756" s="30"/>
      <c r="BZ756" s="30"/>
      <c r="CA756" s="30"/>
      <c r="CB756" s="30"/>
      <c r="CC756" s="30"/>
      <c r="CD756" s="30"/>
      <c r="CE756" s="30"/>
      <c r="CF756" s="30"/>
      <c r="CG756" s="30"/>
      <c r="CH756" s="30"/>
      <c r="CI756" s="30"/>
      <c r="CJ756" s="30"/>
      <c r="CK756" s="30"/>
      <c r="CL756" s="30"/>
      <c r="CM756" s="30"/>
      <c r="CN756" s="30"/>
      <c r="CO756" s="30"/>
      <c r="CP756" s="30"/>
      <c r="CQ756" s="30"/>
      <c r="CR756" s="30"/>
      <c r="CS756" s="30"/>
      <c r="CT756" s="30"/>
      <c r="CU756" s="30"/>
      <c r="CV756" s="30"/>
      <c r="CW756" s="30"/>
      <c r="CX756" s="30"/>
      <c r="CY756" s="30"/>
      <c r="CZ756" s="30"/>
      <c r="DA756" s="30"/>
      <c r="DB756" s="30"/>
      <c r="DC756" s="30"/>
      <c r="DD756" s="30"/>
      <c r="DE756" s="30"/>
      <c r="DF756" s="30"/>
      <c r="DG756" s="30"/>
      <c r="DH756" s="30"/>
      <c r="DI756" s="30"/>
      <c r="DJ756" s="30"/>
      <c r="DK756" s="30"/>
      <c r="DL756" s="30"/>
      <c r="DM756" s="30"/>
      <c r="DN756" s="30"/>
      <c r="DO756" s="30"/>
      <c r="DP756" s="30"/>
      <c r="DQ756" s="30"/>
      <c r="DR756" s="30"/>
      <c r="DS756" s="30"/>
      <c r="DT756" s="30"/>
      <c r="DU756" s="30"/>
      <c r="DV756" s="30"/>
      <c r="DW756" s="30"/>
      <c r="DX756" s="30"/>
      <c r="DY756" s="30"/>
      <c r="DZ756" s="30"/>
    </row>
    <row r="757">
      <c r="A757" s="30"/>
      <c r="B757" s="42"/>
      <c r="C757" s="43"/>
      <c r="D757" s="30"/>
      <c r="E757" s="28"/>
      <c r="F757" s="30"/>
      <c r="G757" s="30"/>
      <c r="H757" s="30"/>
      <c r="I757" s="30"/>
      <c r="J757" s="28"/>
      <c r="K757" s="30"/>
      <c r="L757" s="30"/>
      <c r="M757" s="30"/>
      <c r="N757" s="30"/>
      <c r="O757" s="28"/>
      <c r="P757" s="30"/>
      <c r="Q757" s="30"/>
      <c r="R757" s="30"/>
      <c r="S757" s="36"/>
      <c r="T757" s="30"/>
      <c r="U757" s="36"/>
      <c r="V757" s="30"/>
      <c r="W757" s="28"/>
      <c r="X757" s="30"/>
      <c r="Y757" s="30"/>
      <c r="Z757" s="30"/>
      <c r="AA757" s="30"/>
      <c r="AB757" s="30"/>
      <c r="AC757" s="28"/>
      <c r="AD757" s="30"/>
      <c r="AE757" s="30"/>
      <c r="AF757" s="30"/>
      <c r="AG757" s="29"/>
      <c r="AH757" s="30"/>
      <c r="AI757" s="36"/>
      <c r="AJ757" s="30"/>
      <c r="AK757" s="29"/>
      <c r="AL757" s="30"/>
      <c r="AM757" s="30"/>
      <c r="AN757" s="30"/>
      <c r="AO757" s="30"/>
      <c r="AP757" s="30"/>
      <c r="AQ757" s="38"/>
      <c r="AR757" s="30"/>
      <c r="AS757" s="30"/>
      <c r="AT757" s="29"/>
      <c r="AU757" s="30"/>
      <c r="AV757" s="30"/>
      <c r="AW757" s="30"/>
      <c r="AX757" s="29"/>
      <c r="AY757" s="39"/>
      <c r="AZ757" s="30"/>
      <c r="BA757" s="30"/>
      <c r="BB757" s="29"/>
      <c r="BC757" s="52"/>
      <c r="BD757" s="30"/>
      <c r="BE757" s="29"/>
      <c r="BF757" s="30"/>
      <c r="BG757" s="30"/>
      <c r="BH757" s="30"/>
      <c r="BI757" s="30"/>
      <c r="BJ757" s="30"/>
      <c r="BK757" s="30"/>
      <c r="BL757" s="30"/>
      <c r="BM757" s="30"/>
      <c r="BN757" s="30"/>
      <c r="BO757" s="30"/>
      <c r="BP757" s="30"/>
      <c r="BQ757" s="30"/>
      <c r="BR757" s="30"/>
      <c r="BS757" s="30"/>
      <c r="BT757" s="30"/>
      <c r="BU757" s="30"/>
      <c r="BV757" s="30"/>
      <c r="BW757" s="30"/>
      <c r="BX757" s="30"/>
      <c r="BY757" s="30"/>
      <c r="BZ757" s="30"/>
      <c r="CA757" s="30"/>
      <c r="CB757" s="30"/>
      <c r="CC757" s="30"/>
      <c r="CD757" s="30"/>
      <c r="CE757" s="30"/>
      <c r="CF757" s="30"/>
      <c r="CG757" s="30"/>
      <c r="CH757" s="30"/>
      <c r="CI757" s="30"/>
      <c r="CJ757" s="30"/>
      <c r="CK757" s="30"/>
      <c r="CL757" s="30"/>
      <c r="CM757" s="30"/>
      <c r="CN757" s="30"/>
      <c r="CO757" s="30"/>
      <c r="CP757" s="30"/>
      <c r="CQ757" s="30"/>
      <c r="CR757" s="30"/>
      <c r="CS757" s="30"/>
      <c r="CT757" s="30"/>
      <c r="CU757" s="30"/>
      <c r="CV757" s="30"/>
      <c r="CW757" s="30"/>
      <c r="CX757" s="30"/>
      <c r="CY757" s="30"/>
      <c r="CZ757" s="30"/>
      <c r="DA757" s="30"/>
      <c r="DB757" s="30"/>
      <c r="DC757" s="30"/>
      <c r="DD757" s="30"/>
      <c r="DE757" s="30"/>
      <c r="DF757" s="30"/>
      <c r="DG757" s="30"/>
      <c r="DH757" s="30"/>
      <c r="DI757" s="30"/>
      <c r="DJ757" s="30"/>
      <c r="DK757" s="30"/>
      <c r="DL757" s="30"/>
      <c r="DM757" s="30"/>
      <c r="DN757" s="30"/>
      <c r="DO757" s="30"/>
      <c r="DP757" s="30"/>
      <c r="DQ757" s="30"/>
      <c r="DR757" s="30"/>
      <c r="DS757" s="30"/>
      <c r="DT757" s="30"/>
      <c r="DU757" s="30"/>
      <c r="DV757" s="30"/>
      <c r="DW757" s="30"/>
      <c r="DX757" s="30"/>
      <c r="DY757" s="30"/>
      <c r="DZ757" s="30"/>
    </row>
    <row r="758">
      <c r="A758" s="30"/>
      <c r="B758" s="42"/>
      <c r="C758" s="43"/>
      <c r="D758" s="30"/>
      <c r="E758" s="28"/>
      <c r="F758" s="30"/>
      <c r="G758" s="30"/>
      <c r="H758" s="30"/>
      <c r="I758" s="30"/>
      <c r="J758" s="28"/>
      <c r="K758" s="30"/>
      <c r="L758" s="30"/>
      <c r="M758" s="30"/>
      <c r="N758" s="30"/>
      <c r="O758" s="28"/>
      <c r="P758" s="30"/>
      <c r="Q758" s="30"/>
      <c r="R758" s="30"/>
      <c r="S758" s="36"/>
      <c r="T758" s="30"/>
      <c r="U758" s="36"/>
      <c r="V758" s="30"/>
      <c r="W758" s="28"/>
      <c r="X758" s="30"/>
      <c r="Y758" s="30"/>
      <c r="Z758" s="30"/>
      <c r="AA758" s="30"/>
      <c r="AB758" s="30"/>
      <c r="AC758" s="28"/>
      <c r="AD758" s="30"/>
      <c r="AE758" s="30"/>
      <c r="AF758" s="30"/>
      <c r="AG758" s="29"/>
      <c r="AH758" s="30"/>
      <c r="AI758" s="36"/>
      <c r="AJ758" s="30"/>
      <c r="AK758" s="29"/>
      <c r="AL758" s="30"/>
      <c r="AM758" s="30"/>
      <c r="AN758" s="30"/>
      <c r="AO758" s="30"/>
      <c r="AP758" s="30"/>
      <c r="AQ758" s="38"/>
      <c r="AR758" s="30"/>
      <c r="AS758" s="30"/>
      <c r="AT758" s="29"/>
      <c r="AU758" s="30"/>
      <c r="AV758" s="30"/>
      <c r="AW758" s="30"/>
      <c r="AX758" s="29"/>
      <c r="AY758" s="39"/>
      <c r="AZ758" s="30"/>
      <c r="BA758" s="30"/>
      <c r="BB758" s="29"/>
      <c r="BC758" s="52"/>
      <c r="BD758" s="30"/>
      <c r="BE758" s="29"/>
      <c r="BF758" s="30"/>
      <c r="BG758" s="30"/>
      <c r="BH758" s="30"/>
      <c r="BI758" s="30"/>
      <c r="BJ758" s="30"/>
      <c r="BK758" s="30"/>
      <c r="BL758" s="30"/>
      <c r="BM758" s="30"/>
      <c r="BN758" s="30"/>
      <c r="BO758" s="30"/>
      <c r="BP758" s="30"/>
      <c r="BQ758" s="30"/>
      <c r="BR758" s="30"/>
      <c r="BS758" s="30"/>
      <c r="BT758" s="30"/>
      <c r="BU758" s="30"/>
      <c r="BV758" s="30"/>
      <c r="BW758" s="30"/>
      <c r="BX758" s="30"/>
      <c r="BY758" s="30"/>
      <c r="BZ758" s="30"/>
      <c r="CA758" s="30"/>
      <c r="CB758" s="30"/>
      <c r="CC758" s="30"/>
      <c r="CD758" s="30"/>
      <c r="CE758" s="30"/>
      <c r="CF758" s="30"/>
      <c r="CG758" s="30"/>
      <c r="CH758" s="30"/>
      <c r="CI758" s="30"/>
      <c r="CJ758" s="30"/>
      <c r="CK758" s="30"/>
      <c r="CL758" s="30"/>
      <c r="CM758" s="30"/>
      <c r="CN758" s="30"/>
      <c r="CO758" s="30"/>
      <c r="CP758" s="30"/>
      <c r="CQ758" s="30"/>
      <c r="CR758" s="30"/>
      <c r="CS758" s="30"/>
      <c r="CT758" s="30"/>
      <c r="CU758" s="30"/>
      <c r="CV758" s="30"/>
      <c r="CW758" s="30"/>
      <c r="CX758" s="30"/>
      <c r="CY758" s="30"/>
      <c r="CZ758" s="30"/>
      <c r="DA758" s="30"/>
      <c r="DB758" s="30"/>
      <c r="DC758" s="30"/>
      <c r="DD758" s="30"/>
      <c r="DE758" s="30"/>
      <c r="DF758" s="30"/>
      <c r="DG758" s="30"/>
      <c r="DH758" s="30"/>
      <c r="DI758" s="30"/>
      <c r="DJ758" s="30"/>
      <c r="DK758" s="30"/>
      <c r="DL758" s="30"/>
      <c r="DM758" s="30"/>
      <c r="DN758" s="30"/>
      <c r="DO758" s="30"/>
      <c r="DP758" s="30"/>
      <c r="DQ758" s="30"/>
      <c r="DR758" s="30"/>
      <c r="DS758" s="30"/>
      <c r="DT758" s="30"/>
      <c r="DU758" s="30"/>
      <c r="DV758" s="30"/>
      <c r="DW758" s="30"/>
      <c r="DX758" s="30"/>
      <c r="DY758" s="30"/>
      <c r="DZ758" s="30"/>
    </row>
    <row r="759">
      <c r="A759" s="30"/>
      <c r="B759" s="42"/>
      <c r="C759" s="43"/>
      <c r="D759" s="30"/>
      <c r="E759" s="28"/>
      <c r="F759" s="30"/>
      <c r="G759" s="30"/>
      <c r="H759" s="30"/>
      <c r="I759" s="30"/>
      <c r="J759" s="28"/>
      <c r="K759" s="30"/>
      <c r="L759" s="30"/>
      <c r="M759" s="30"/>
      <c r="N759" s="30"/>
      <c r="O759" s="28"/>
      <c r="P759" s="30"/>
      <c r="Q759" s="30"/>
      <c r="R759" s="30"/>
      <c r="S759" s="36"/>
      <c r="T759" s="30"/>
      <c r="U759" s="36"/>
      <c r="V759" s="30"/>
      <c r="W759" s="28"/>
      <c r="X759" s="30"/>
      <c r="Y759" s="30"/>
      <c r="Z759" s="30"/>
      <c r="AA759" s="30"/>
      <c r="AB759" s="30"/>
      <c r="AC759" s="28"/>
      <c r="AD759" s="30"/>
      <c r="AE759" s="30"/>
      <c r="AF759" s="30"/>
      <c r="AG759" s="29"/>
      <c r="AH759" s="30"/>
      <c r="AI759" s="36"/>
      <c r="AJ759" s="30"/>
      <c r="AK759" s="29"/>
      <c r="AL759" s="30"/>
      <c r="AM759" s="30"/>
      <c r="AN759" s="30"/>
      <c r="AO759" s="30"/>
      <c r="AP759" s="30"/>
      <c r="AQ759" s="38"/>
      <c r="AR759" s="30"/>
      <c r="AS759" s="30"/>
      <c r="AT759" s="29"/>
      <c r="AU759" s="30"/>
      <c r="AV759" s="30"/>
      <c r="AW759" s="30"/>
      <c r="AX759" s="29"/>
      <c r="AY759" s="39"/>
      <c r="AZ759" s="30"/>
      <c r="BA759" s="30"/>
      <c r="BB759" s="29"/>
      <c r="BC759" s="52"/>
      <c r="BD759" s="30"/>
      <c r="BE759" s="29"/>
      <c r="BF759" s="30"/>
      <c r="BG759" s="30"/>
      <c r="BH759" s="30"/>
      <c r="BI759" s="30"/>
      <c r="BJ759" s="30"/>
      <c r="BK759" s="30"/>
      <c r="BL759" s="30"/>
      <c r="BM759" s="30"/>
      <c r="BN759" s="30"/>
      <c r="BO759" s="30"/>
      <c r="BP759" s="30"/>
      <c r="BQ759" s="30"/>
      <c r="BR759" s="30"/>
      <c r="BS759" s="30"/>
      <c r="BT759" s="30"/>
      <c r="BU759" s="30"/>
      <c r="BV759" s="30"/>
      <c r="BW759" s="30"/>
      <c r="BX759" s="30"/>
      <c r="BY759" s="30"/>
      <c r="BZ759" s="30"/>
      <c r="CA759" s="30"/>
      <c r="CB759" s="30"/>
      <c r="CC759" s="30"/>
      <c r="CD759" s="30"/>
      <c r="CE759" s="30"/>
      <c r="CF759" s="30"/>
      <c r="CG759" s="30"/>
      <c r="CH759" s="30"/>
      <c r="CI759" s="30"/>
      <c r="CJ759" s="30"/>
      <c r="CK759" s="30"/>
      <c r="CL759" s="30"/>
      <c r="CM759" s="30"/>
      <c r="CN759" s="30"/>
      <c r="CO759" s="30"/>
      <c r="CP759" s="30"/>
      <c r="CQ759" s="30"/>
      <c r="CR759" s="30"/>
      <c r="CS759" s="30"/>
      <c r="CT759" s="30"/>
      <c r="CU759" s="30"/>
      <c r="CV759" s="30"/>
      <c r="CW759" s="30"/>
      <c r="CX759" s="30"/>
      <c r="CY759" s="30"/>
      <c r="CZ759" s="30"/>
      <c r="DA759" s="30"/>
      <c r="DB759" s="30"/>
      <c r="DC759" s="30"/>
      <c r="DD759" s="30"/>
      <c r="DE759" s="30"/>
      <c r="DF759" s="30"/>
      <c r="DG759" s="30"/>
      <c r="DH759" s="30"/>
      <c r="DI759" s="30"/>
      <c r="DJ759" s="30"/>
      <c r="DK759" s="30"/>
      <c r="DL759" s="30"/>
      <c r="DM759" s="30"/>
      <c r="DN759" s="30"/>
      <c r="DO759" s="30"/>
      <c r="DP759" s="30"/>
      <c r="DQ759" s="30"/>
      <c r="DR759" s="30"/>
      <c r="DS759" s="30"/>
      <c r="DT759" s="30"/>
      <c r="DU759" s="30"/>
      <c r="DV759" s="30"/>
      <c r="DW759" s="30"/>
      <c r="DX759" s="30"/>
      <c r="DY759" s="30"/>
      <c r="DZ759" s="30"/>
    </row>
    <row r="760">
      <c r="A760" s="30"/>
      <c r="B760" s="42"/>
      <c r="C760" s="43"/>
      <c r="D760" s="30"/>
      <c r="E760" s="28"/>
      <c r="F760" s="30"/>
      <c r="G760" s="30"/>
      <c r="H760" s="30"/>
      <c r="I760" s="30"/>
      <c r="J760" s="28"/>
      <c r="K760" s="30"/>
      <c r="L760" s="30"/>
      <c r="M760" s="30"/>
      <c r="N760" s="30"/>
      <c r="O760" s="28"/>
      <c r="P760" s="30"/>
      <c r="Q760" s="30"/>
      <c r="R760" s="30"/>
      <c r="S760" s="36"/>
      <c r="T760" s="30"/>
      <c r="U760" s="36"/>
      <c r="V760" s="30"/>
      <c r="W760" s="28"/>
      <c r="X760" s="30"/>
      <c r="Y760" s="30"/>
      <c r="Z760" s="30"/>
      <c r="AA760" s="30"/>
      <c r="AB760" s="30"/>
      <c r="AC760" s="28"/>
      <c r="AD760" s="30"/>
      <c r="AE760" s="30"/>
      <c r="AF760" s="30"/>
      <c r="AG760" s="29"/>
      <c r="AH760" s="30"/>
      <c r="AI760" s="36"/>
      <c r="AJ760" s="30"/>
      <c r="AK760" s="29"/>
      <c r="AL760" s="30"/>
      <c r="AM760" s="30"/>
      <c r="AN760" s="30"/>
      <c r="AO760" s="30"/>
      <c r="AP760" s="30"/>
      <c r="AQ760" s="38"/>
      <c r="AR760" s="30"/>
      <c r="AS760" s="30"/>
      <c r="AT760" s="29"/>
      <c r="AU760" s="30"/>
      <c r="AV760" s="30"/>
      <c r="AW760" s="30"/>
      <c r="AX760" s="29"/>
      <c r="AY760" s="39"/>
      <c r="AZ760" s="30"/>
      <c r="BA760" s="30"/>
      <c r="BB760" s="29"/>
      <c r="BC760" s="52"/>
      <c r="BD760" s="30"/>
      <c r="BE760" s="29"/>
      <c r="BF760" s="30"/>
      <c r="BG760" s="30"/>
      <c r="BH760" s="30"/>
      <c r="BI760" s="30"/>
      <c r="BJ760" s="30"/>
      <c r="BK760" s="30"/>
      <c r="BL760" s="30"/>
      <c r="BM760" s="30"/>
      <c r="BN760" s="30"/>
      <c r="BO760" s="30"/>
      <c r="BP760" s="30"/>
      <c r="BQ760" s="30"/>
      <c r="BR760" s="30"/>
      <c r="BS760" s="30"/>
      <c r="BT760" s="30"/>
      <c r="BU760" s="30"/>
      <c r="BV760" s="30"/>
      <c r="BW760" s="30"/>
      <c r="BX760" s="30"/>
      <c r="BY760" s="30"/>
      <c r="BZ760" s="30"/>
      <c r="CA760" s="30"/>
      <c r="CB760" s="30"/>
      <c r="CC760" s="30"/>
      <c r="CD760" s="30"/>
      <c r="CE760" s="30"/>
      <c r="CF760" s="30"/>
      <c r="CG760" s="30"/>
      <c r="CH760" s="30"/>
      <c r="CI760" s="30"/>
      <c r="CJ760" s="30"/>
      <c r="CK760" s="30"/>
      <c r="CL760" s="30"/>
      <c r="CM760" s="30"/>
      <c r="CN760" s="30"/>
      <c r="CO760" s="30"/>
      <c r="CP760" s="30"/>
      <c r="CQ760" s="30"/>
      <c r="CR760" s="30"/>
      <c r="CS760" s="30"/>
      <c r="CT760" s="30"/>
      <c r="CU760" s="30"/>
      <c r="CV760" s="30"/>
      <c r="CW760" s="30"/>
      <c r="CX760" s="30"/>
      <c r="CY760" s="30"/>
      <c r="CZ760" s="30"/>
      <c r="DA760" s="30"/>
      <c r="DB760" s="30"/>
      <c r="DC760" s="30"/>
      <c r="DD760" s="30"/>
      <c r="DE760" s="30"/>
      <c r="DF760" s="30"/>
      <c r="DG760" s="30"/>
      <c r="DH760" s="30"/>
      <c r="DI760" s="30"/>
      <c r="DJ760" s="30"/>
      <c r="DK760" s="30"/>
      <c r="DL760" s="30"/>
      <c r="DM760" s="30"/>
      <c r="DN760" s="30"/>
      <c r="DO760" s="30"/>
      <c r="DP760" s="30"/>
      <c r="DQ760" s="30"/>
      <c r="DR760" s="30"/>
      <c r="DS760" s="30"/>
      <c r="DT760" s="30"/>
      <c r="DU760" s="30"/>
      <c r="DV760" s="30"/>
      <c r="DW760" s="30"/>
      <c r="DX760" s="30"/>
      <c r="DY760" s="30"/>
      <c r="DZ760" s="30"/>
    </row>
    <row r="761">
      <c r="A761" s="30"/>
      <c r="B761" s="42"/>
      <c r="C761" s="43"/>
      <c r="D761" s="30"/>
      <c r="E761" s="28"/>
      <c r="F761" s="30"/>
      <c r="G761" s="30"/>
      <c r="H761" s="30"/>
      <c r="I761" s="30"/>
      <c r="J761" s="28"/>
      <c r="K761" s="30"/>
      <c r="L761" s="30"/>
      <c r="M761" s="30"/>
      <c r="N761" s="30"/>
      <c r="O761" s="28"/>
      <c r="P761" s="30"/>
      <c r="Q761" s="30"/>
      <c r="R761" s="30"/>
      <c r="S761" s="36"/>
      <c r="T761" s="30"/>
      <c r="U761" s="36"/>
      <c r="V761" s="30"/>
      <c r="W761" s="28"/>
      <c r="X761" s="30"/>
      <c r="Y761" s="30"/>
      <c r="Z761" s="30"/>
      <c r="AA761" s="30"/>
      <c r="AB761" s="30"/>
      <c r="AC761" s="28"/>
      <c r="AD761" s="30"/>
      <c r="AE761" s="30"/>
      <c r="AF761" s="30"/>
      <c r="AG761" s="29"/>
      <c r="AH761" s="30"/>
      <c r="AI761" s="36"/>
      <c r="AJ761" s="30"/>
      <c r="AK761" s="29"/>
      <c r="AL761" s="30"/>
      <c r="AM761" s="30"/>
      <c r="AN761" s="30"/>
      <c r="AO761" s="30"/>
      <c r="AP761" s="30"/>
      <c r="AQ761" s="38"/>
      <c r="AR761" s="30"/>
      <c r="AS761" s="30"/>
      <c r="AT761" s="29"/>
      <c r="AU761" s="30"/>
      <c r="AV761" s="30"/>
      <c r="AW761" s="30"/>
      <c r="AX761" s="29"/>
      <c r="AY761" s="39"/>
      <c r="AZ761" s="30"/>
      <c r="BA761" s="30"/>
      <c r="BB761" s="29"/>
      <c r="BC761" s="52"/>
      <c r="BD761" s="30"/>
      <c r="BE761" s="29"/>
      <c r="BF761" s="30"/>
      <c r="BG761" s="30"/>
      <c r="BH761" s="30"/>
      <c r="BI761" s="30"/>
      <c r="BJ761" s="30"/>
      <c r="BK761" s="30"/>
      <c r="BL761" s="30"/>
      <c r="BM761" s="30"/>
      <c r="BN761" s="30"/>
      <c r="BO761" s="30"/>
      <c r="BP761" s="30"/>
      <c r="BQ761" s="30"/>
      <c r="BR761" s="30"/>
      <c r="BS761" s="30"/>
      <c r="BT761" s="30"/>
      <c r="BU761" s="30"/>
      <c r="BV761" s="30"/>
      <c r="BW761" s="30"/>
      <c r="BX761" s="30"/>
      <c r="BY761" s="30"/>
      <c r="BZ761" s="30"/>
      <c r="CA761" s="30"/>
      <c r="CB761" s="30"/>
      <c r="CC761" s="30"/>
      <c r="CD761" s="30"/>
      <c r="CE761" s="30"/>
      <c r="CF761" s="30"/>
      <c r="CG761" s="30"/>
      <c r="CH761" s="30"/>
      <c r="CI761" s="30"/>
      <c r="CJ761" s="30"/>
      <c r="CK761" s="30"/>
      <c r="CL761" s="30"/>
      <c r="CM761" s="30"/>
      <c r="CN761" s="30"/>
      <c r="CO761" s="30"/>
      <c r="CP761" s="30"/>
      <c r="CQ761" s="30"/>
      <c r="CR761" s="30"/>
      <c r="CS761" s="30"/>
      <c r="CT761" s="30"/>
      <c r="CU761" s="30"/>
      <c r="CV761" s="30"/>
      <c r="CW761" s="30"/>
      <c r="CX761" s="30"/>
      <c r="CY761" s="30"/>
      <c r="CZ761" s="30"/>
      <c r="DA761" s="30"/>
      <c r="DB761" s="30"/>
      <c r="DC761" s="30"/>
      <c r="DD761" s="30"/>
      <c r="DE761" s="30"/>
      <c r="DF761" s="30"/>
      <c r="DG761" s="30"/>
      <c r="DH761" s="30"/>
      <c r="DI761" s="30"/>
      <c r="DJ761" s="30"/>
      <c r="DK761" s="30"/>
      <c r="DL761" s="30"/>
      <c r="DM761" s="30"/>
      <c r="DN761" s="30"/>
      <c r="DO761" s="30"/>
      <c r="DP761" s="30"/>
      <c r="DQ761" s="30"/>
      <c r="DR761" s="30"/>
      <c r="DS761" s="30"/>
      <c r="DT761" s="30"/>
      <c r="DU761" s="30"/>
      <c r="DV761" s="30"/>
      <c r="DW761" s="30"/>
      <c r="DX761" s="30"/>
      <c r="DY761" s="30"/>
      <c r="DZ761" s="30"/>
    </row>
    <row r="762">
      <c r="A762" s="30"/>
      <c r="B762" s="42"/>
      <c r="C762" s="43"/>
      <c r="D762" s="30"/>
      <c r="E762" s="28"/>
      <c r="F762" s="30"/>
      <c r="G762" s="30"/>
      <c r="H762" s="30"/>
      <c r="I762" s="30"/>
      <c r="J762" s="28"/>
      <c r="K762" s="30"/>
      <c r="L762" s="30"/>
      <c r="M762" s="30"/>
      <c r="N762" s="30"/>
      <c r="O762" s="28"/>
      <c r="P762" s="30"/>
      <c r="Q762" s="30"/>
      <c r="R762" s="30"/>
      <c r="S762" s="36"/>
      <c r="T762" s="30"/>
      <c r="U762" s="36"/>
      <c r="V762" s="30"/>
      <c r="W762" s="28"/>
      <c r="X762" s="30"/>
      <c r="Y762" s="30"/>
      <c r="Z762" s="30"/>
      <c r="AA762" s="30"/>
      <c r="AB762" s="30"/>
      <c r="AC762" s="28"/>
      <c r="AD762" s="30"/>
      <c r="AE762" s="30"/>
      <c r="AF762" s="30"/>
      <c r="AG762" s="29"/>
      <c r="AH762" s="30"/>
      <c r="AI762" s="36"/>
      <c r="AJ762" s="30"/>
      <c r="AK762" s="29"/>
      <c r="AL762" s="30"/>
      <c r="AM762" s="30"/>
      <c r="AN762" s="30"/>
      <c r="AO762" s="30"/>
      <c r="AP762" s="30"/>
      <c r="AQ762" s="38"/>
      <c r="AR762" s="30"/>
      <c r="AS762" s="30"/>
      <c r="AT762" s="29"/>
      <c r="AU762" s="30"/>
      <c r="AV762" s="30"/>
      <c r="AW762" s="30"/>
      <c r="AX762" s="29"/>
      <c r="AY762" s="39"/>
      <c r="AZ762" s="30"/>
      <c r="BA762" s="30"/>
      <c r="BB762" s="29"/>
      <c r="BC762" s="52"/>
      <c r="BD762" s="30"/>
      <c r="BE762" s="29"/>
      <c r="BF762" s="30"/>
      <c r="BG762" s="30"/>
      <c r="BH762" s="30"/>
      <c r="BI762" s="30"/>
      <c r="BJ762" s="30"/>
      <c r="BK762" s="30"/>
      <c r="BL762" s="30"/>
      <c r="BM762" s="30"/>
      <c r="BN762" s="30"/>
      <c r="BO762" s="30"/>
      <c r="BP762" s="30"/>
      <c r="BQ762" s="30"/>
      <c r="BR762" s="30"/>
      <c r="BS762" s="30"/>
      <c r="BT762" s="30"/>
      <c r="BU762" s="30"/>
      <c r="BV762" s="30"/>
      <c r="BW762" s="30"/>
      <c r="BX762" s="30"/>
      <c r="BY762" s="30"/>
      <c r="BZ762" s="30"/>
      <c r="CA762" s="30"/>
      <c r="CB762" s="30"/>
      <c r="CC762" s="30"/>
      <c r="CD762" s="30"/>
      <c r="CE762" s="30"/>
      <c r="CF762" s="30"/>
      <c r="CG762" s="30"/>
      <c r="CH762" s="30"/>
      <c r="CI762" s="30"/>
      <c r="CJ762" s="30"/>
      <c r="CK762" s="30"/>
      <c r="CL762" s="30"/>
      <c r="CM762" s="30"/>
      <c r="CN762" s="30"/>
      <c r="CO762" s="30"/>
      <c r="CP762" s="30"/>
      <c r="CQ762" s="30"/>
      <c r="CR762" s="30"/>
      <c r="CS762" s="30"/>
      <c r="CT762" s="30"/>
      <c r="CU762" s="30"/>
      <c r="CV762" s="30"/>
      <c r="CW762" s="30"/>
      <c r="CX762" s="30"/>
      <c r="CY762" s="30"/>
      <c r="CZ762" s="30"/>
      <c r="DA762" s="30"/>
      <c r="DB762" s="30"/>
      <c r="DC762" s="30"/>
      <c r="DD762" s="30"/>
      <c r="DE762" s="30"/>
      <c r="DF762" s="30"/>
      <c r="DG762" s="30"/>
      <c r="DH762" s="30"/>
      <c r="DI762" s="30"/>
      <c r="DJ762" s="30"/>
      <c r="DK762" s="30"/>
      <c r="DL762" s="30"/>
      <c r="DM762" s="30"/>
      <c r="DN762" s="30"/>
      <c r="DO762" s="30"/>
      <c r="DP762" s="30"/>
      <c r="DQ762" s="30"/>
      <c r="DR762" s="30"/>
      <c r="DS762" s="30"/>
      <c r="DT762" s="30"/>
      <c r="DU762" s="30"/>
      <c r="DV762" s="30"/>
      <c r="DW762" s="30"/>
      <c r="DX762" s="30"/>
      <c r="DY762" s="30"/>
      <c r="DZ762" s="30"/>
    </row>
    <row r="763">
      <c r="A763" s="30"/>
      <c r="B763" s="42"/>
      <c r="C763" s="43"/>
      <c r="D763" s="30"/>
      <c r="E763" s="28"/>
      <c r="F763" s="30"/>
      <c r="G763" s="30"/>
      <c r="H763" s="30"/>
      <c r="I763" s="30"/>
      <c r="J763" s="28"/>
      <c r="K763" s="30"/>
      <c r="L763" s="30"/>
      <c r="M763" s="30"/>
      <c r="N763" s="30"/>
      <c r="O763" s="28"/>
      <c r="P763" s="30"/>
      <c r="Q763" s="30"/>
      <c r="R763" s="30"/>
      <c r="S763" s="36"/>
      <c r="T763" s="30"/>
      <c r="U763" s="36"/>
      <c r="V763" s="30"/>
      <c r="W763" s="28"/>
      <c r="X763" s="30"/>
      <c r="Y763" s="30"/>
      <c r="Z763" s="30"/>
      <c r="AA763" s="30"/>
      <c r="AB763" s="30"/>
      <c r="AC763" s="28"/>
      <c r="AD763" s="30"/>
      <c r="AE763" s="30"/>
      <c r="AF763" s="30"/>
      <c r="AG763" s="29"/>
      <c r="AH763" s="30"/>
      <c r="AI763" s="36"/>
      <c r="AJ763" s="30"/>
      <c r="AK763" s="29"/>
      <c r="AL763" s="30"/>
      <c r="AM763" s="30"/>
      <c r="AN763" s="30"/>
      <c r="AO763" s="30"/>
      <c r="AP763" s="30"/>
      <c r="AQ763" s="38"/>
      <c r="AR763" s="30"/>
      <c r="AS763" s="30"/>
      <c r="AT763" s="29"/>
      <c r="AU763" s="30"/>
      <c r="AV763" s="30"/>
      <c r="AW763" s="30"/>
      <c r="AX763" s="29"/>
      <c r="AY763" s="39"/>
      <c r="AZ763" s="30"/>
      <c r="BA763" s="30"/>
      <c r="BB763" s="29"/>
      <c r="BC763" s="52"/>
      <c r="BD763" s="30"/>
      <c r="BE763" s="29"/>
      <c r="BF763" s="30"/>
      <c r="BG763" s="30"/>
      <c r="BH763" s="30"/>
      <c r="BI763" s="30"/>
      <c r="BJ763" s="30"/>
      <c r="BK763" s="30"/>
      <c r="BL763" s="30"/>
      <c r="BM763" s="30"/>
      <c r="BN763" s="30"/>
      <c r="BO763" s="30"/>
      <c r="BP763" s="30"/>
      <c r="BQ763" s="30"/>
      <c r="BR763" s="30"/>
      <c r="BS763" s="30"/>
      <c r="BT763" s="30"/>
      <c r="BU763" s="30"/>
      <c r="BV763" s="30"/>
      <c r="BW763" s="30"/>
      <c r="BX763" s="30"/>
      <c r="BY763" s="30"/>
      <c r="BZ763" s="30"/>
      <c r="CA763" s="30"/>
      <c r="CB763" s="30"/>
      <c r="CC763" s="30"/>
      <c r="CD763" s="30"/>
      <c r="CE763" s="30"/>
      <c r="CF763" s="30"/>
      <c r="CG763" s="30"/>
      <c r="CH763" s="30"/>
      <c r="CI763" s="30"/>
      <c r="CJ763" s="30"/>
      <c r="CK763" s="30"/>
      <c r="CL763" s="30"/>
      <c r="CM763" s="30"/>
      <c r="CN763" s="30"/>
      <c r="CO763" s="30"/>
      <c r="CP763" s="30"/>
      <c r="CQ763" s="30"/>
      <c r="CR763" s="30"/>
      <c r="CS763" s="30"/>
      <c r="CT763" s="30"/>
      <c r="CU763" s="30"/>
      <c r="CV763" s="30"/>
      <c r="CW763" s="30"/>
      <c r="CX763" s="30"/>
      <c r="CY763" s="30"/>
      <c r="CZ763" s="30"/>
      <c r="DA763" s="30"/>
      <c r="DB763" s="30"/>
      <c r="DC763" s="30"/>
      <c r="DD763" s="30"/>
      <c r="DE763" s="30"/>
      <c r="DF763" s="30"/>
      <c r="DG763" s="30"/>
      <c r="DH763" s="30"/>
      <c r="DI763" s="30"/>
      <c r="DJ763" s="30"/>
      <c r="DK763" s="30"/>
      <c r="DL763" s="30"/>
      <c r="DM763" s="30"/>
      <c r="DN763" s="30"/>
      <c r="DO763" s="30"/>
      <c r="DP763" s="30"/>
      <c r="DQ763" s="30"/>
      <c r="DR763" s="30"/>
      <c r="DS763" s="30"/>
      <c r="DT763" s="30"/>
      <c r="DU763" s="30"/>
      <c r="DV763" s="30"/>
      <c r="DW763" s="30"/>
      <c r="DX763" s="30"/>
      <c r="DY763" s="30"/>
      <c r="DZ763" s="30"/>
    </row>
    <row r="764">
      <c r="A764" s="30"/>
      <c r="B764" s="42"/>
      <c r="C764" s="43"/>
      <c r="D764" s="30"/>
      <c r="E764" s="28"/>
      <c r="F764" s="30"/>
      <c r="G764" s="30"/>
      <c r="H764" s="30"/>
      <c r="I764" s="30"/>
      <c r="J764" s="28"/>
      <c r="K764" s="30"/>
      <c r="L764" s="30"/>
      <c r="M764" s="30"/>
      <c r="N764" s="30"/>
      <c r="O764" s="28"/>
      <c r="P764" s="30"/>
      <c r="Q764" s="30"/>
      <c r="R764" s="30"/>
      <c r="S764" s="36"/>
      <c r="T764" s="30"/>
      <c r="U764" s="36"/>
      <c r="V764" s="30"/>
      <c r="W764" s="28"/>
      <c r="X764" s="30"/>
      <c r="Y764" s="30"/>
      <c r="Z764" s="30"/>
      <c r="AA764" s="30"/>
      <c r="AB764" s="30"/>
      <c r="AC764" s="28"/>
      <c r="AD764" s="30"/>
      <c r="AE764" s="30"/>
      <c r="AF764" s="30"/>
      <c r="AG764" s="29"/>
      <c r="AH764" s="30"/>
      <c r="AI764" s="36"/>
      <c r="AJ764" s="30"/>
      <c r="AK764" s="29"/>
      <c r="AL764" s="30"/>
      <c r="AM764" s="30"/>
      <c r="AN764" s="30"/>
      <c r="AO764" s="30"/>
      <c r="AP764" s="30"/>
      <c r="AQ764" s="38"/>
      <c r="AR764" s="30"/>
      <c r="AS764" s="30"/>
      <c r="AT764" s="29"/>
      <c r="AU764" s="30"/>
      <c r="AV764" s="30"/>
      <c r="AW764" s="30"/>
      <c r="AX764" s="29"/>
      <c r="AY764" s="39"/>
      <c r="AZ764" s="30"/>
      <c r="BA764" s="30"/>
      <c r="BB764" s="29"/>
      <c r="BC764" s="52"/>
      <c r="BD764" s="30"/>
      <c r="BE764" s="29"/>
      <c r="BF764" s="30"/>
      <c r="BG764" s="30"/>
      <c r="BH764" s="30"/>
      <c r="BI764" s="30"/>
      <c r="BJ764" s="30"/>
      <c r="BK764" s="30"/>
      <c r="BL764" s="30"/>
      <c r="BM764" s="30"/>
      <c r="BN764" s="30"/>
      <c r="BO764" s="30"/>
      <c r="BP764" s="30"/>
      <c r="BQ764" s="30"/>
      <c r="BR764" s="30"/>
      <c r="BS764" s="30"/>
      <c r="BT764" s="30"/>
      <c r="BU764" s="30"/>
      <c r="BV764" s="30"/>
      <c r="BW764" s="30"/>
      <c r="BX764" s="30"/>
      <c r="BY764" s="30"/>
      <c r="BZ764" s="30"/>
      <c r="CA764" s="30"/>
      <c r="CB764" s="30"/>
      <c r="CC764" s="30"/>
      <c r="CD764" s="30"/>
      <c r="CE764" s="30"/>
      <c r="CF764" s="30"/>
      <c r="CG764" s="30"/>
      <c r="CH764" s="30"/>
      <c r="CI764" s="30"/>
      <c r="CJ764" s="30"/>
      <c r="CK764" s="30"/>
      <c r="CL764" s="30"/>
      <c r="CM764" s="30"/>
      <c r="CN764" s="30"/>
      <c r="CO764" s="30"/>
      <c r="CP764" s="30"/>
      <c r="CQ764" s="30"/>
      <c r="CR764" s="30"/>
      <c r="CS764" s="30"/>
      <c r="CT764" s="30"/>
      <c r="CU764" s="30"/>
      <c r="CV764" s="30"/>
      <c r="CW764" s="30"/>
      <c r="CX764" s="30"/>
      <c r="CY764" s="30"/>
      <c r="CZ764" s="30"/>
      <c r="DA764" s="30"/>
      <c r="DB764" s="30"/>
      <c r="DC764" s="30"/>
      <c r="DD764" s="30"/>
      <c r="DE764" s="30"/>
      <c r="DF764" s="30"/>
      <c r="DG764" s="30"/>
      <c r="DH764" s="30"/>
      <c r="DI764" s="30"/>
      <c r="DJ764" s="30"/>
      <c r="DK764" s="30"/>
      <c r="DL764" s="30"/>
      <c r="DM764" s="30"/>
      <c r="DN764" s="30"/>
      <c r="DO764" s="30"/>
      <c r="DP764" s="30"/>
      <c r="DQ764" s="30"/>
      <c r="DR764" s="30"/>
      <c r="DS764" s="30"/>
      <c r="DT764" s="30"/>
      <c r="DU764" s="30"/>
      <c r="DV764" s="30"/>
      <c r="DW764" s="30"/>
      <c r="DX764" s="30"/>
      <c r="DY764" s="30"/>
      <c r="DZ764" s="30"/>
    </row>
    <row r="765">
      <c r="A765" s="30"/>
      <c r="B765" s="42"/>
      <c r="C765" s="43"/>
      <c r="D765" s="30"/>
      <c r="E765" s="28"/>
      <c r="F765" s="30"/>
      <c r="G765" s="30"/>
      <c r="H765" s="30"/>
      <c r="I765" s="30"/>
      <c r="J765" s="28"/>
      <c r="K765" s="30"/>
      <c r="L765" s="30"/>
      <c r="M765" s="30"/>
      <c r="N765" s="30"/>
      <c r="O765" s="28"/>
      <c r="P765" s="30"/>
      <c r="Q765" s="30"/>
      <c r="R765" s="30"/>
      <c r="S765" s="36"/>
      <c r="T765" s="30"/>
      <c r="U765" s="36"/>
      <c r="V765" s="30"/>
      <c r="W765" s="28"/>
      <c r="X765" s="30"/>
      <c r="Y765" s="30"/>
      <c r="Z765" s="30"/>
      <c r="AA765" s="30"/>
      <c r="AB765" s="30"/>
      <c r="AC765" s="28"/>
      <c r="AD765" s="30"/>
      <c r="AE765" s="30"/>
      <c r="AF765" s="30"/>
      <c r="AG765" s="29"/>
      <c r="AH765" s="30"/>
      <c r="AI765" s="36"/>
      <c r="AJ765" s="30"/>
      <c r="AK765" s="29"/>
      <c r="AL765" s="30"/>
      <c r="AM765" s="30"/>
      <c r="AN765" s="30"/>
      <c r="AO765" s="30"/>
      <c r="AP765" s="30"/>
      <c r="AQ765" s="38"/>
      <c r="AR765" s="30"/>
      <c r="AS765" s="30"/>
      <c r="AT765" s="29"/>
      <c r="AU765" s="30"/>
      <c r="AV765" s="30"/>
      <c r="AW765" s="30"/>
      <c r="AX765" s="29"/>
      <c r="AY765" s="39"/>
      <c r="AZ765" s="30"/>
      <c r="BA765" s="30"/>
      <c r="BB765" s="29"/>
      <c r="BC765" s="52"/>
      <c r="BD765" s="30"/>
      <c r="BE765" s="29"/>
      <c r="BF765" s="30"/>
      <c r="BG765" s="30"/>
      <c r="BH765" s="30"/>
      <c r="BI765" s="30"/>
      <c r="BJ765" s="30"/>
      <c r="BK765" s="30"/>
      <c r="BL765" s="30"/>
      <c r="BM765" s="30"/>
      <c r="BN765" s="30"/>
      <c r="BO765" s="30"/>
      <c r="BP765" s="30"/>
      <c r="BQ765" s="30"/>
      <c r="BR765" s="30"/>
      <c r="BS765" s="30"/>
      <c r="BT765" s="30"/>
      <c r="BU765" s="30"/>
      <c r="BV765" s="30"/>
      <c r="BW765" s="30"/>
      <c r="BX765" s="30"/>
      <c r="BY765" s="30"/>
      <c r="BZ765" s="30"/>
      <c r="CA765" s="30"/>
      <c r="CB765" s="30"/>
      <c r="CC765" s="30"/>
      <c r="CD765" s="30"/>
      <c r="CE765" s="30"/>
      <c r="CF765" s="30"/>
      <c r="CG765" s="30"/>
      <c r="CH765" s="30"/>
      <c r="CI765" s="30"/>
      <c r="CJ765" s="30"/>
      <c r="CK765" s="30"/>
      <c r="CL765" s="30"/>
      <c r="CM765" s="30"/>
      <c r="CN765" s="30"/>
      <c r="CO765" s="30"/>
      <c r="CP765" s="30"/>
      <c r="CQ765" s="30"/>
      <c r="CR765" s="30"/>
      <c r="CS765" s="30"/>
      <c r="CT765" s="30"/>
      <c r="CU765" s="30"/>
      <c r="CV765" s="30"/>
      <c r="CW765" s="30"/>
      <c r="CX765" s="30"/>
      <c r="CY765" s="30"/>
      <c r="CZ765" s="30"/>
      <c r="DA765" s="30"/>
      <c r="DB765" s="30"/>
      <c r="DC765" s="30"/>
      <c r="DD765" s="30"/>
      <c r="DE765" s="30"/>
      <c r="DF765" s="30"/>
      <c r="DG765" s="30"/>
      <c r="DH765" s="30"/>
      <c r="DI765" s="30"/>
      <c r="DJ765" s="30"/>
      <c r="DK765" s="30"/>
      <c r="DL765" s="30"/>
      <c r="DM765" s="30"/>
      <c r="DN765" s="30"/>
      <c r="DO765" s="30"/>
      <c r="DP765" s="30"/>
      <c r="DQ765" s="30"/>
      <c r="DR765" s="30"/>
      <c r="DS765" s="30"/>
      <c r="DT765" s="30"/>
      <c r="DU765" s="30"/>
      <c r="DV765" s="30"/>
      <c r="DW765" s="30"/>
      <c r="DX765" s="30"/>
      <c r="DY765" s="30"/>
      <c r="DZ765" s="30"/>
    </row>
    <row r="766">
      <c r="A766" s="30"/>
      <c r="B766" s="42"/>
      <c r="C766" s="43"/>
      <c r="D766" s="30"/>
      <c r="E766" s="28"/>
      <c r="F766" s="30"/>
      <c r="G766" s="30"/>
      <c r="H766" s="30"/>
      <c r="I766" s="30"/>
      <c r="J766" s="28"/>
      <c r="K766" s="30"/>
      <c r="L766" s="30"/>
      <c r="M766" s="30"/>
      <c r="N766" s="30"/>
      <c r="O766" s="28"/>
      <c r="P766" s="30"/>
      <c r="Q766" s="30"/>
      <c r="R766" s="30"/>
      <c r="S766" s="36"/>
      <c r="T766" s="30"/>
      <c r="U766" s="36"/>
      <c r="V766" s="30"/>
      <c r="W766" s="28"/>
      <c r="X766" s="30"/>
      <c r="Y766" s="30"/>
      <c r="Z766" s="30"/>
      <c r="AA766" s="30"/>
      <c r="AB766" s="30"/>
      <c r="AC766" s="28"/>
      <c r="AD766" s="30"/>
      <c r="AE766" s="30"/>
      <c r="AF766" s="30"/>
      <c r="AG766" s="29"/>
      <c r="AH766" s="30"/>
      <c r="AI766" s="36"/>
      <c r="AJ766" s="30"/>
      <c r="AK766" s="29"/>
      <c r="AL766" s="30"/>
      <c r="AM766" s="30"/>
      <c r="AN766" s="30"/>
      <c r="AO766" s="30"/>
      <c r="AP766" s="30"/>
      <c r="AQ766" s="38"/>
      <c r="AR766" s="30"/>
      <c r="AS766" s="30"/>
      <c r="AT766" s="29"/>
      <c r="AU766" s="30"/>
      <c r="AV766" s="30"/>
      <c r="AW766" s="30"/>
      <c r="AX766" s="29"/>
      <c r="AY766" s="39"/>
      <c r="AZ766" s="30"/>
      <c r="BA766" s="30"/>
      <c r="BB766" s="29"/>
      <c r="BC766" s="52"/>
      <c r="BD766" s="30"/>
      <c r="BE766" s="29"/>
      <c r="BF766" s="30"/>
      <c r="BG766" s="30"/>
      <c r="BH766" s="30"/>
      <c r="BI766" s="30"/>
      <c r="BJ766" s="30"/>
      <c r="BK766" s="30"/>
      <c r="BL766" s="30"/>
      <c r="BM766" s="30"/>
      <c r="BN766" s="30"/>
      <c r="BO766" s="30"/>
      <c r="BP766" s="30"/>
      <c r="BQ766" s="30"/>
      <c r="BR766" s="30"/>
      <c r="BS766" s="30"/>
      <c r="BT766" s="30"/>
      <c r="BU766" s="30"/>
      <c r="BV766" s="30"/>
      <c r="BW766" s="30"/>
      <c r="BX766" s="30"/>
      <c r="BY766" s="30"/>
      <c r="BZ766" s="30"/>
      <c r="CA766" s="30"/>
      <c r="CB766" s="30"/>
      <c r="CC766" s="30"/>
      <c r="CD766" s="30"/>
      <c r="CE766" s="30"/>
      <c r="CF766" s="30"/>
      <c r="CG766" s="30"/>
      <c r="CH766" s="30"/>
      <c r="CI766" s="30"/>
      <c r="CJ766" s="30"/>
      <c r="CK766" s="30"/>
      <c r="CL766" s="30"/>
      <c r="CM766" s="30"/>
      <c r="CN766" s="30"/>
      <c r="CO766" s="30"/>
      <c r="CP766" s="30"/>
      <c r="CQ766" s="30"/>
      <c r="CR766" s="30"/>
      <c r="CS766" s="30"/>
      <c r="CT766" s="30"/>
      <c r="CU766" s="30"/>
      <c r="CV766" s="30"/>
      <c r="CW766" s="30"/>
      <c r="CX766" s="30"/>
      <c r="CY766" s="30"/>
      <c r="CZ766" s="30"/>
      <c r="DA766" s="30"/>
      <c r="DB766" s="30"/>
      <c r="DC766" s="30"/>
      <c r="DD766" s="30"/>
      <c r="DE766" s="30"/>
      <c r="DF766" s="30"/>
      <c r="DG766" s="30"/>
      <c r="DH766" s="30"/>
      <c r="DI766" s="30"/>
      <c r="DJ766" s="30"/>
      <c r="DK766" s="30"/>
      <c r="DL766" s="30"/>
      <c r="DM766" s="30"/>
      <c r="DN766" s="30"/>
      <c r="DO766" s="30"/>
      <c r="DP766" s="30"/>
      <c r="DQ766" s="30"/>
      <c r="DR766" s="30"/>
      <c r="DS766" s="30"/>
      <c r="DT766" s="30"/>
      <c r="DU766" s="30"/>
      <c r="DV766" s="30"/>
      <c r="DW766" s="30"/>
      <c r="DX766" s="30"/>
      <c r="DY766" s="30"/>
      <c r="DZ766" s="30"/>
    </row>
    <row r="767">
      <c r="A767" s="30"/>
      <c r="B767" s="42"/>
      <c r="C767" s="43"/>
      <c r="D767" s="30"/>
      <c r="E767" s="28"/>
      <c r="F767" s="30"/>
      <c r="G767" s="30"/>
      <c r="H767" s="30"/>
      <c r="I767" s="30"/>
      <c r="J767" s="28"/>
      <c r="K767" s="30"/>
      <c r="L767" s="30"/>
      <c r="M767" s="30"/>
      <c r="N767" s="30"/>
      <c r="O767" s="28"/>
      <c r="P767" s="30"/>
      <c r="Q767" s="30"/>
      <c r="R767" s="30"/>
      <c r="S767" s="36"/>
      <c r="T767" s="30"/>
      <c r="U767" s="36"/>
      <c r="V767" s="30"/>
      <c r="W767" s="28"/>
      <c r="X767" s="30"/>
      <c r="Y767" s="30"/>
      <c r="Z767" s="30"/>
      <c r="AA767" s="30"/>
      <c r="AB767" s="30"/>
      <c r="AC767" s="28"/>
      <c r="AD767" s="30"/>
      <c r="AE767" s="30"/>
      <c r="AF767" s="30"/>
      <c r="AG767" s="29"/>
      <c r="AH767" s="30"/>
      <c r="AI767" s="36"/>
      <c r="AJ767" s="30"/>
      <c r="AK767" s="29"/>
      <c r="AL767" s="30"/>
      <c r="AM767" s="30"/>
      <c r="AN767" s="30"/>
      <c r="AO767" s="30"/>
      <c r="AP767" s="30"/>
      <c r="AQ767" s="38"/>
      <c r="AR767" s="30"/>
      <c r="AS767" s="30"/>
      <c r="AT767" s="29"/>
      <c r="AU767" s="30"/>
      <c r="AV767" s="30"/>
      <c r="AW767" s="30"/>
      <c r="AX767" s="29"/>
      <c r="AY767" s="39"/>
      <c r="AZ767" s="30"/>
      <c r="BA767" s="30"/>
      <c r="BB767" s="29"/>
      <c r="BC767" s="52"/>
      <c r="BD767" s="30"/>
      <c r="BE767" s="29"/>
      <c r="BF767" s="30"/>
      <c r="BG767" s="30"/>
      <c r="BH767" s="30"/>
      <c r="BI767" s="30"/>
      <c r="BJ767" s="30"/>
      <c r="BK767" s="30"/>
      <c r="BL767" s="30"/>
      <c r="BM767" s="30"/>
      <c r="BN767" s="30"/>
      <c r="BO767" s="30"/>
      <c r="BP767" s="30"/>
      <c r="BQ767" s="30"/>
      <c r="BR767" s="30"/>
      <c r="BS767" s="30"/>
      <c r="BT767" s="30"/>
      <c r="BU767" s="30"/>
      <c r="BV767" s="30"/>
      <c r="BW767" s="30"/>
      <c r="BX767" s="30"/>
      <c r="BY767" s="30"/>
      <c r="BZ767" s="30"/>
      <c r="CA767" s="30"/>
      <c r="CB767" s="30"/>
      <c r="CC767" s="30"/>
      <c r="CD767" s="30"/>
      <c r="CE767" s="30"/>
      <c r="CF767" s="30"/>
      <c r="CG767" s="30"/>
      <c r="CH767" s="30"/>
      <c r="CI767" s="30"/>
      <c r="CJ767" s="30"/>
      <c r="CK767" s="30"/>
      <c r="CL767" s="30"/>
      <c r="CM767" s="30"/>
      <c r="CN767" s="30"/>
      <c r="CO767" s="30"/>
      <c r="CP767" s="30"/>
      <c r="CQ767" s="30"/>
      <c r="CR767" s="30"/>
      <c r="CS767" s="30"/>
      <c r="CT767" s="30"/>
      <c r="CU767" s="30"/>
      <c r="CV767" s="30"/>
      <c r="CW767" s="30"/>
      <c r="CX767" s="30"/>
      <c r="CY767" s="30"/>
      <c r="CZ767" s="30"/>
      <c r="DA767" s="30"/>
      <c r="DB767" s="30"/>
      <c r="DC767" s="30"/>
      <c r="DD767" s="30"/>
      <c r="DE767" s="30"/>
      <c r="DF767" s="30"/>
      <c r="DG767" s="30"/>
      <c r="DH767" s="30"/>
      <c r="DI767" s="30"/>
      <c r="DJ767" s="30"/>
      <c r="DK767" s="30"/>
      <c r="DL767" s="30"/>
      <c r="DM767" s="30"/>
      <c r="DN767" s="30"/>
      <c r="DO767" s="30"/>
      <c r="DP767" s="30"/>
      <c r="DQ767" s="30"/>
      <c r="DR767" s="30"/>
      <c r="DS767" s="30"/>
      <c r="DT767" s="30"/>
      <c r="DU767" s="30"/>
      <c r="DV767" s="30"/>
      <c r="DW767" s="30"/>
      <c r="DX767" s="30"/>
      <c r="DY767" s="30"/>
      <c r="DZ767" s="30"/>
    </row>
    <row r="768">
      <c r="A768" s="30"/>
      <c r="B768" s="42"/>
      <c r="C768" s="43"/>
      <c r="D768" s="30"/>
      <c r="E768" s="28"/>
      <c r="F768" s="30"/>
      <c r="G768" s="30"/>
      <c r="H768" s="30"/>
      <c r="I768" s="30"/>
      <c r="J768" s="28"/>
      <c r="K768" s="30"/>
      <c r="L768" s="30"/>
      <c r="M768" s="30"/>
      <c r="N768" s="30"/>
      <c r="O768" s="28"/>
      <c r="P768" s="30"/>
      <c r="Q768" s="30"/>
      <c r="R768" s="30"/>
      <c r="S768" s="36"/>
      <c r="T768" s="30"/>
      <c r="U768" s="36"/>
      <c r="V768" s="30"/>
      <c r="W768" s="28"/>
      <c r="X768" s="30"/>
      <c r="Y768" s="30"/>
      <c r="Z768" s="30"/>
      <c r="AA768" s="30"/>
      <c r="AB768" s="30"/>
      <c r="AC768" s="28"/>
      <c r="AD768" s="30"/>
      <c r="AE768" s="30"/>
      <c r="AF768" s="30"/>
      <c r="AG768" s="29"/>
      <c r="AH768" s="30"/>
      <c r="AI768" s="36"/>
      <c r="AJ768" s="30"/>
      <c r="AK768" s="29"/>
      <c r="AL768" s="30"/>
      <c r="AM768" s="30"/>
      <c r="AN768" s="30"/>
      <c r="AO768" s="30"/>
      <c r="AP768" s="30"/>
      <c r="AQ768" s="38"/>
      <c r="AR768" s="30"/>
      <c r="AS768" s="30"/>
      <c r="AT768" s="29"/>
      <c r="AU768" s="30"/>
      <c r="AV768" s="30"/>
      <c r="AW768" s="30"/>
      <c r="AX768" s="29"/>
      <c r="AY768" s="39"/>
      <c r="AZ768" s="30"/>
      <c r="BA768" s="30"/>
      <c r="BB768" s="29"/>
      <c r="BC768" s="52"/>
      <c r="BD768" s="30"/>
      <c r="BE768" s="29"/>
      <c r="BF768" s="30"/>
      <c r="BG768" s="30"/>
      <c r="BH768" s="30"/>
      <c r="BI768" s="30"/>
      <c r="BJ768" s="30"/>
      <c r="BK768" s="30"/>
      <c r="BL768" s="30"/>
      <c r="BM768" s="30"/>
      <c r="BN768" s="30"/>
      <c r="BO768" s="30"/>
      <c r="BP768" s="30"/>
      <c r="BQ768" s="30"/>
      <c r="BR768" s="30"/>
      <c r="BS768" s="30"/>
      <c r="BT768" s="30"/>
      <c r="BU768" s="30"/>
      <c r="BV768" s="30"/>
      <c r="BW768" s="30"/>
      <c r="BX768" s="30"/>
      <c r="BY768" s="30"/>
      <c r="BZ768" s="30"/>
      <c r="CA768" s="30"/>
      <c r="CB768" s="30"/>
      <c r="CC768" s="30"/>
      <c r="CD768" s="30"/>
      <c r="CE768" s="30"/>
      <c r="CF768" s="30"/>
      <c r="CG768" s="30"/>
      <c r="CH768" s="30"/>
      <c r="CI768" s="30"/>
      <c r="CJ768" s="30"/>
      <c r="CK768" s="30"/>
      <c r="CL768" s="30"/>
      <c r="CM768" s="30"/>
      <c r="CN768" s="30"/>
      <c r="CO768" s="30"/>
      <c r="CP768" s="30"/>
      <c r="CQ768" s="30"/>
      <c r="CR768" s="30"/>
      <c r="CS768" s="30"/>
      <c r="CT768" s="30"/>
      <c r="CU768" s="30"/>
      <c r="CV768" s="30"/>
      <c r="CW768" s="30"/>
      <c r="CX768" s="30"/>
      <c r="CY768" s="30"/>
      <c r="CZ768" s="30"/>
      <c r="DA768" s="30"/>
      <c r="DB768" s="30"/>
      <c r="DC768" s="30"/>
      <c r="DD768" s="30"/>
      <c r="DE768" s="30"/>
      <c r="DF768" s="30"/>
      <c r="DG768" s="30"/>
      <c r="DH768" s="30"/>
      <c r="DI768" s="30"/>
      <c r="DJ768" s="30"/>
      <c r="DK768" s="30"/>
      <c r="DL768" s="30"/>
      <c r="DM768" s="30"/>
      <c r="DN768" s="30"/>
      <c r="DO768" s="30"/>
      <c r="DP768" s="30"/>
      <c r="DQ768" s="30"/>
      <c r="DR768" s="30"/>
      <c r="DS768" s="30"/>
      <c r="DT768" s="30"/>
      <c r="DU768" s="30"/>
      <c r="DV768" s="30"/>
      <c r="DW768" s="30"/>
      <c r="DX768" s="30"/>
      <c r="DY768" s="30"/>
      <c r="DZ768" s="30"/>
    </row>
    <row r="769">
      <c r="A769" s="30"/>
      <c r="B769" s="42"/>
      <c r="C769" s="43"/>
      <c r="D769" s="30"/>
      <c r="E769" s="28"/>
      <c r="F769" s="30"/>
      <c r="G769" s="30"/>
      <c r="H769" s="30"/>
      <c r="I769" s="30"/>
      <c r="J769" s="28"/>
      <c r="K769" s="30"/>
      <c r="L769" s="30"/>
      <c r="M769" s="30"/>
      <c r="N769" s="30"/>
      <c r="O769" s="28"/>
      <c r="P769" s="30"/>
      <c r="Q769" s="30"/>
      <c r="R769" s="30"/>
      <c r="S769" s="36"/>
      <c r="T769" s="30"/>
      <c r="U769" s="36"/>
      <c r="V769" s="30"/>
      <c r="W769" s="28"/>
      <c r="X769" s="30"/>
      <c r="Y769" s="30"/>
      <c r="Z769" s="30"/>
      <c r="AA769" s="30"/>
      <c r="AB769" s="30"/>
      <c r="AC769" s="28"/>
      <c r="AD769" s="30"/>
      <c r="AE769" s="30"/>
      <c r="AF769" s="30"/>
      <c r="AG769" s="29"/>
      <c r="AH769" s="30"/>
      <c r="AI769" s="36"/>
      <c r="AJ769" s="30"/>
      <c r="AK769" s="29"/>
      <c r="AL769" s="30"/>
      <c r="AM769" s="30"/>
      <c r="AN769" s="30"/>
      <c r="AO769" s="30"/>
      <c r="AP769" s="30"/>
      <c r="AQ769" s="38"/>
      <c r="AR769" s="30"/>
      <c r="AS769" s="30"/>
      <c r="AT769" s="29"/>
      <c r="AU769" s="30"/>
      <c r="AV769" s="30"/>
      <c r="AW769" s="30"/>
      <c r="AX769" s="29"/>
      <c r="AY769" s="39"/>
      <c r="AZ769" s="30"/>
      <c r="BA769" s="30"/>
      <c r="BB769" s="29"/>
      <c r="BC769" s="52"/>
      <c r="BD769" s="30"/>
      <c r="BE769" s="29"/>
      <c r="BF769" s="30"/>
      <c r="BG769" s="30"/>
      <c r="BH769" s="30"/>
      <c r="BI769" s="30"/>
      <c r="BJ769" s="30"/>
      <c r="BK769" s="30"/>
      <c r="BL769" s="30"/>
      <c r="BM769" s="30"/>
      <c r="BN769" s="30"/>
      <c r="BO769" s="30"/>
      <c r="BP769" s="30"/>
      <c r="BQ769" s="30"/>
      <c r="BR769" s="30"/>
      <c r="BS769" s="30"/>
      <c r="BT769" s="30"/>
      <c r="BU769" s="30"/>
      <c r="BV769" s="30"/>
      <c r="BW769" s="30"/>
      <c r="BX769" s="30"/>
      <c r="BY769" s="30"/>
      <c r="BZ769" s="30"/>
      <c r="CA769" s="30"/>
      <c r="CB769" s="30"/>
      <c r="CC769" s="30"/>
      <c r="CD769" s="30"/>
      <c r="CE769" s="30"/>
      <c r="CF769" s="30"/>
      <c r="CG769" s="30"/>
      <c r="CH769" s="30"/>
      <c r="CI769" s="30"/>
      <c r="CJ769" s="30"/>
      <c r="CK769" s="30"/>
      <c r="CL769" s="30"/>
      <c r="CM769" s="30"/>
      <c r="CN769" s="30"/>
      <c r="CO769" s="30"/>
      <c r="CP769" s="30"/>
      <c r="CQ769" s="30"/>
      <c r="CR769" s="30"/>
      <c r="CS769" s="30"/>
      <c r="CT769" s="30"/>
      <c r="CU769" s="30"/>
      <c r="CV769" s="30"/>
      <c r="CW769" s="30"/>
      <c r="CX769" s="30"/>
      <c r="CY769" s="30"/>
      <c r="CZ769" s="30"/>
      <c r="DA769" s="30"/>
      <c r="DB769" s="30"/>
      <c r="DC769" s="30"/>
      <c r="DD769" s="30"/>
      <c r="DE769" s="30"/>
      <c r="DF769" s="30"/>
      <c r="DG769" s="30"/>
      <c r="DH769" s="30"/>
      <c r="DI769" s="30"/>
      <c r="DJ769" s="30"/>
      <c r="DK769" s="30"/>
      <c r="DL769" s="30"/>
      <c r="DM769" s="30"/>
      <c r="DN769" s="30"/>
      <c r="DO769" s="30"/>
      <c r="DP769" s="30"/>
      <c r="DQ769" s="30"/>
      <c r="DR769" s="30"/>
      <c r="DS769" s="30"/>
      <c r="DT769" s="30"/>
      <c r="DU769" s="30"/>
      <c r="DV769" s="30"/>
      <c r="DW769" s="30"/>
      <c r="DX769" s="30"/>
      <c r="DY769" s="30"/>
      <c r="DZ769" s="30"/>
    </row>
    <row r="770">
      <c r="A770" s="30"/>
      <c r="B770" s="42"/>
      <c r="C770" s="43"/>
      <c r="D770" s="30"/>
      <c r="E770" s="28"/>
      <c r="F770" s="30"/>
      <c r="G770" s="30"/>
      <c r="H770" s="30"/>
      <c r="I770" s="30"/>
      <c r="J770" s="28"/>
      <c r="K770" s="30"/>
      <c r="L770" s="30"/>
      <c r="M770" s="30"/>
      <c r="N770" s="30"/>
      <c r="O770" s="28"/>
      <c r="P770" s="30"/>
      <c r="Q770" s="30"/>
      <c r="R770" s="30"/>
      <c r="S770" s="36"/>
      <c r="T770" s="30"/>
      <c r="U770" s="36"/>
      <c r="V770" s="30"/>
      <c r="W770" s="28"/>
      <c r="X770" s="30"/>
      <c r="Y770" s="30"/>
      <c r="Z770" s="30"/>
      <c r="AA770" s="30"/>
      <c r="AB770" s="30"/>
      <c r="AC770" s="28"/>
      <c r="AD770" s="30"/>
      <c r="AE770" s="30"/>
      <c r="AF770" s="30"/>
      <c r="AG770" s="29"/>
      <c r="AH770" s="30"/>
      <c r="AI770" s="36"/>
      <c r="AJ770" s="30"/>
      <c r="AK770" s="29"/>
      <c r="AL770" s="30"/>
      <c r="AM770" s="30"/>
      <c r="AN770" s="30"/>
      <c r="AO770" s="30"/>
      <c r="AP770" s="30"/>
      <c r="AQ770" s="38"/>
      <c r="AR770" s="30"/>
      <c r="AS770" s="30"/>
      <c r="AT770" s="29"/>
      <c r="AU770" s="30"/>
      <c r="AV770" s="30"/>
      <c r="AW770" s="30"/>
      <c r="AX770" s="29"/>
      <c r="AY770" s="39"/>
      <c r="AZ770" s="30"/>
      <c r="BA770" s="30"/>
      <c r="BB770" s="29"/>
      <c r="BC770" s="52"/>
      <c r="BD770" s="30"/>
      <c r="BE770" s="29"/>
      <c r="BF770" s="30"/>
      <c r="BG770" s="30"/>
      <c r="BH770" s="30"/>
      <c r="BI770" s="30"/>
      <c r="BJ770" s="30"/>
      <c r="BK770" s="30"/>
      <c r="BL770" s="30"/>
      <c r="BM770" s="30"/>
      <c r="BN770" s="30"/>
      <c r="BO770" s="30"/>
      <c r="BP770" s="30"/>
      <c r="BQ770" s="30"/>
      <c r="BR770" s="30"/>
      <c r="BS770" s="30"/>
      <c r="BT770" s="30"/>
      <c r="BU770" s="30"/>
      <c r="BV770" s="30"/>
      <c r="BW770" s="30"/>
      <c r="BX770" s="30"/>
      <c r="BY770" s="30"/>
      <c r="BZ770" s="30"/>
      <c r="CA770" s="30"/>
      <c r="CB770" s="30"/>
      <c r="CC770" s="30"/>
      <c r="CD770" s="30"/>
      <c r="CE770" s="30"/>
      <c r="CF770" s="30"/>
      <c r="CG770" s="30"/>
      <c r="CH770" s="30"/>
      <c r="CI770" s="30"/>
      <c r="CJ770" s="30"/>
      <c r="CK770" s="30"/>
      <c r="CL770" s="30"/>
      <c r="CM770" s="30"/>
      <c r="CN770" s="30"/>
      <c r="CO770" s="30"/>
      <c r="CP770" s="30"/>
      <c r="CQ770" s="30"/>
      <c r="CR770" s="30"/>
      <c r="CS770" s="30"/>
      <c r="CT770" s="30"/>
      <c r="CU770" s="30"/>
      <c r="CV770" s="30"/>
      <c r="CW770" s="30"/>
      <c r="CX770" s="30"/>
      <c r="CY770" s="30"/>
      <c r="CZ770" s="30"/>
      <c r="DA770" s="30"/>
      <c r="DB770" s="30"/>
      <c r="DC770" s="30"/>
      <c r="DD770" s="30"/>
      <c r="DE770" s="30"/>
      <c r="DF770" s="30"/>
      <c r="DG770" s="30"/>
      <c r="DH770" s="30"/>
      <c r="DI770" s="30"/>
      <c r="DJ770" s="30"/>
      <c r="DK770" s="30"/>
      <c r="DL770" s="30"/>
      <c r="DM770" s="30"/>
      <c r="DN770" s="30"/>
      <c r="DO770" s="30"/>
      <c r="DP770" s="30"/>
      <c r="DQ770" s="30"/>
      <c r="DR770" s="30"/>
      <c r="DS770" s="30"/>
      <c r="DT770" s="30"/>
      <c r="DU770" s="30"/>
      <c r="DV770" s="30"/>
      <c r="DW770" s="30"/>
      <c r="DX770" s="30"/>
      <c r="DY770" s="30"/>
      <c r="DZ770" s="30"/>
    </row>
    <row r="771">
      <c r="A771" s="30"/>
      <c r="B771" s="42"/>
      <c r="C771" s="43"/>
      <c r="D771" s="30"/>
      <c r="E771" s="28"/>
      <c r="F771" s="30"/>
      <c r="G771" s="30"/>
      <c r="H771" s="30"/>
      <c r="I771" s="30"/>
      <c r="J771" s="28"/>
      <c r="K771" s="30"/>
      <c r="L771" s="30"/>
      <c r="M771" s="30"/>
      <c r="N771" s="30"/>
      <c r="O771" s="28"/>
      <c r="P771" s="30"/>
      <c r="Q771" s="30"/>
      <c r="R771" s="30"/>
      <c r="S771" s="36"/>
      <c r="T771" s="30"/>
      <c r="U771" s="36"/>
      <c r="V771" s="30"/>
      <c r="W771" s="28"/>
      <c r="X771" s="30"/>
      <c r="Y771" s="30"/>
      <c r="Z771" s="30"/>
      <c r="AA771" s="30"/>
      <c r="AB771" s="30"/>
      <c r="AC771" s="28"/>
      <c r="AD771" s="30"/>
      <c r="AE771" s="30"/>
      <c r="AF771" s="30"/>
      <c r="AG771" s="29"/>
      <c r="AH771" s="30"/>
      <c r="AI771" s="36"/>
      <c r="AJ771" s="30"/>
      <c r="AK771" s="29"/>
      <c r="AL771" s="30"/>
      <c r="AM771" s="30"/>
      <c r="AN771" s="30"/>
      <c r="AO771" s="30"/>
      <c r="AP771" s="30"/>
      <c r="AQ771" s="38"/>
      <c r="AR771" s="30"/>
      <c r="AS771" s="30"/>
      <c r="AT771" s="29"/>
      <c r="AU771" s="30"/>
      <c r="AV771" s="30"/>
      <c r="AW771" s="30"/>
      <c r="AX771" s="29"/>
      <c r="AY771" s="39"/>
      <c r="AZ771" s="30"/>
      <c r="BA771" s="30"/>
      <c r="BB771" s="29"/>
      <c r="BC771" s="52"/>
      <c r="BD771" s="30"/>
      <c r="BE771" s="29"/>
      <c r="BF771" s="30"/>
      <c r="BG771" s="30"/>
      <c r="BH771" s="30"/>
      <c r="BI771" s="30"/>
      <c r="BJ771" s="30"/>
      <c r="BK771" s="30"/>
      <c r="BL771" s="30"/>
      <c r="BM771" s="30"/>
      <c r="BN771" s="30"/>
      <c r="BO771" s="30"/>
      <c r="BP771" s="30"/>
      <c r="BQ771" s="30"/>
      <c r="BR771" s="30"/>
      <c r="BS771" s="30"/>
      <c r="BT771" s="30"/>
      <c r="BU771" s="30"/>
      <c r="BV771" s="30"/>
      <c r="BW771" s="30"/>
      <c r="BX771" s="30"/>
      <c r="BY771" s="30"/>
      <c r="BZ771" s="30"/>
      <c r="CA771" s="30"/>
      <c r="CB771" s="30"/>
      <c r="CC771" s="30"/>
      <c r="CD771" s="30"/>
      <c r="CE771" s="30"/>
      <c r="CF771" s="30"/>
      <c r="CG771" s="30"/>
      <c r="CH771" s="30"/>
      <c r="CI771" s="30"/>
      <c r="CJ771" s="30"/>
      <c r="CK771" s="30"/>
      <c r="CL771" s="30"/>
      <c r="CM771" s="30"/>
      <c r="CN771" s="30"/>
      <c r="CO771" s="30"/>
      <c r="CP771" s="30"/>
      <c r="CQ771" s="30"/>
      <c r="CR771" s="30"/>
      <c r="CS771" s="30"/>
      <c r="CT771" s="30"/>
      <c r="CU771" s="30"/>
      <c r="CV771" s="30"/>
      <c r="CW771" s="30"/>
      <c r="CX771" s="30"/>
      <c r="CY771" s="30"/>
      <c r="CZ771" s="30"/>
      <c r="DA771" s="30"/>
      <c r="DB771" s="30"/>
      <c r="DC771" s="30"/>
      <c r="DD771" s="30"/>
      <c r="DE771" s="30"/>
      <c r="DF771" s="30"/>
      <c r="DG771" s="30"/>
      <c r="DH771" s="30"/>
      <c r="DI771" s="30"/>
      <c r="DJ771" s="30"/>
      <c r="DK771" s="30"/>
      <c r="DL771" s="30"/>
      <c r="DM771" s="30"/>
      <c r="DN771" s="30"/>
      <c r="DO771" s="30"/>
      <c r="DP771" s="30"/>
      <c r="DQ771" s="30"/>
      <c r="DR771" s="30"/>
      <c r="DS771" s="30"/>
      <c r="DT771" s="30"/>
      <c r="DU771" s="30"/>
      <c r="DV771" s="30"/>
      <c r="DW771" s="30"/>
      <c r="DX771" s="30"/>
      <c r="DY771" s="30"/>
      <c r="DZ771" s="30"/>
    </row>
    <row r="772">
      <c r="A772" s="30"/>
      <c r="B772" s="42"/>
      <c r="C772" s="43"/>
      <c r="D772" s="30"/>
      <c r="E772" s="28"/>
      <c r="F772" s="30"/>
      <c r="G772" s="30"/>
      <c r="H772" s="30"/>
      <c r="I772" s="30"/>
      <c r="J772" s="28"/>
      <c r="K772" s="30"/>
      <c r="L772" s="30"/>
      <c r="M772" s="30"/>
      <c r="N772" s="30"/>
      <c r="O772" s="28"/>
      <c r="P772" s="30"/>
      <c r="Q772" s="30"/>
      <c r="R772" s="30"/>
      <c r="S772" s="36"/>
      <c r="T772" s="30"/>
      <c r="U772" s="36"/>
      <c r="V772" s="30"/>
      <c r="W772" s="28"/>
      <c r="X772" s="30"/>
      <c r="Y772" s="30"/>
      <c r="Z772" s="30"/>
      <c r="AA772" s="30"/>
      <c r="AB772" s="30"/>
      <c r="AC772" s="28"/>
      <c r="AD772" s="30"/>
      <c r="AE772" s="30"/>
      <c r="AF772" s="30"/>
      <c r="AG772" s="29"/>
      <c r="AH772" s="30"/>
      <c r="AI772" s="36"/>
      <c r="AJ772" s="30"/>
      <c r="AK772" s="29"/>
      <c r="AL772" s="30"/>
      <c r="AM772" s="30"/>
      <c r="AN772" s="30"/>
      <c r="AO772" s="30"/>
      <c r="AP772" s="30"/>
      <c r="AQ772" s="38"/>
      <c r="AR772" s="30"/>
      <c r="AS772" s="30"/>
      <c r="AT772" s="29"/>
      <c r="AU772" s="30"/>
      <c r="AV772" s="30"/>
      <c r="AW772" s="30"/>
      <c r="AX772" s="29"/>
      <c r="AY772" s="39"/>
      <c r="AZ772" s="30"/>
      <c r="BA772" s="30"/>
      <c r="BB772" s="29"/>
      <c r="BC772" s="52"/>
      <c r="BD772" s="30"/>
      <c r="BE772" s="29"/>
      <c r="BF772" s="30"/>
      <c r="BG772" s="30"/>
      <c r="BH772" s="30"/>
      <c r="BI772" s="30"/>
      <c r="BJ772" s="30"/>
      <c r="BK772" s="30"/>
      <c r="BL772" s="30"/>
      <c r="BM772" s="30"/>
      <c r="BN772" s="30"/>
      <c r="BO772" s="30"/>
      <c r="BP772" s="30"/>
      <c r="BQ772" s="30"/>
      <c r="BR772" s="30"/>
      <c r="BS772" s="30"/>
      <c r="BT772" s="30"/>
      <c r="BU772" s="30"/>
      <c r="BV772" s="30"/>
      <c r="BW772" s="30"/>
      <c r="BX772" s="30"/>
      <c r="BY772" s="30"/>
      <c r="BZ772" s="30"/>
      <c r="CA772" s="30"/>
      <c r="CB772" s="30"/>
      <c r="CC772" s="30"/>
      <c r="CD772" s="30"/>
      <c r="CE772" s="30"/>
      <c r="CF772" s="30"/>
      <c r="CG772" s="30"/>
      <c r="CH772" s="30"/>
      <c r="CI772" s="30"/>
      <c r="CJ772" s="30"/>
      <c r="CK772" s="30"/>
      <c r="CL772" s="30"/>
      <c r="CM772" s="30"/>
      <c r="CN772" s="30"/>
      <c r="CO772" s="30"/>
      <c r="CP772" s="30"/>
      <c r="CQ772" s="30"/>
      <c r="CR772" s="30"/>
      <c r="CS772" s="30"/>
      <c r="CT772" s="30"/>
      <c r="CU772" s="30"/>
      <c r="CV772" s="30"/>
      <c r="CW772" s="30"/>
      <c r="CX772" s="30"/>
      <c r="CY772" s="30"/>
      <c r="CZ772" s="30"/>
      <c r="DA772" s="30"/>
      <c r="DB772" s="30"/>
      <c r="DC772" s="30"/>
      <c r="DD772" s="30"/>
      <c r="DE772" s="30"/>
      <c r="DF772" s="30"/>
      <c r="DG772" s="30"/>
      <c r="DH772" s="30"/>
      <c r="DI772" s="30"/>
      <c r="DJ772" s="30"/>
      <c r="DK772" s="30"/>
      <c r="DL772" s="30"/>
      <c r="DM772" s="30"/>
      <c r="DN772" s="30"/>
      <c r="DO772" s="30"/>
      <c r="DP772" s="30"/>
      <c r="DQ772" s="30"/>
      <c r="DR772" s="30"/>
      <c r="DS772" s="30"/>
      <c r="DT772" s="30"/>
      <c r="DU772" s="30"/>
      <c r="DV772" s="30"/>
      <c r="DW772" s="30"/>
      <c r="DX772" s="30"/>
      <c r="DY772" s="30"/>
      <c r="DZ772" s="30"/>
    </row>
    <row r="773">
      <c r="A773" s="30"/>
      <c r="B773" s="42"/>
      <c r="C773" s="43"/>
      <c r="D773" s="30"/>
      <c r="E773" s="28"/>
      <c r="F773" s="30"/>
      <c r="G773" s="30"/>
      <c r="H773" s="30"/>
      <c r="I773" s="30"/>
      <c r="J773" s="28"/>
      <c r="K773" s="30"/>
      <c r="L773" s="30"/>
      <c r="M773" s="30"/>
      <c r="N773" s="30"/>
      <c r="O773" s="28"/>
      <c r="P773" s="30"/>
      <c r="Q773" s="30"/>
      <c r="R773" s="30"/>
      <c r="S773" s="36"/>
      <c r="T773" s="30"/>
      <c r="U773" s="36"/>
      <c r="V773" s="30"/>
      <c r="W773" s="28"/>
      <c r="X773" s="30"/>
      <c r="Y773" s="30"/>
      <c r="Z773" s="30"/>
      <c r="AA773" s="30"/>
      <c r="AB773" s="30"/>
      <c r="AC773" s="28"/>
      <c r="AD773" s="30"/>
      <c r="AE773" s="30"/>
      <c r="AF773" s="30"/>
      <c r="AG773" s="29"/>
      <c r="AH773" s="30"/>
      <c r="AI773" s="36"/>
      <c r="AJ773" s="30"/>
      <c r="AK773" s="29"/>
      <c r="AL773" s="30"/>
      <c r="AM773" s="30"/>
      <c r="AN773" s="30"/>
      <c r="AO773" s="30"/>
      <c r="AP773" s="30"/>
      <c r="AQ773" s="38"/>
      <c r="AR773" s="30"/>
      <c r="AS773" s="30"/>
      <c r="AT773" s="29"/>
      <c r="AU773" s="30"/>
      <c r="AV773" s="30"/>
      <c r="AW773" s="30"/>
      <c r="AX773" s="29"/>
      <c r="AY773" s="39"/>
      <c r="AZ773" s="30"/>
      <c r="BA773" s="30"/>
      <c r="BB773" s="29"/>
      <c r="BC773" s="52"/>
      <c r="BD773" s="30"/>
      <c r="BE773" s="29"/>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c r="CB773" s="30"/>
      <c r="CC773" s="30"/>
      <c r="CD773" s="30"/>
      <c r="CE773" s="30"/>
      <c r="CF773" s="30"/>
      <c r="CG773" s="30"/>
      <c r="CH773" s="30"/>
      <c r="CI773" s="30"/>
      <c r="CJ773" s="30"/>
      <c r="CK773" s="30"/>
      <c r="CL773" s="30"/>
      <c r="CM773" s="30"/>
      <c r="CN773" s="30"/>
      <c r="CO773" s="30"/>
      <c r="CP773" s="30"/>
      <c r="CQ773" s="30"/>
      <c r="CR773" s="30"/>
      <c r="CS773" s="30"/>
      <c r="CT773" s="30"/>
      <c r="CU773" s="30"/>
      <c r="CV773" s="30"/>
      <c r="CW773" s="30"/>
      <c r="CX773" s="30"/>
      <c r="CY773" s="30"/>
      <c r="CZ773" s="30"/>
      <c r="DA773" s="30"/>
      <c r="DB773" s="30"/>
      <c r="DC773" s="30"/>
      <c r="DD773" s="30"/>
      <c r="DE773" s="30"/>
      <c r="DF773" s="30"/>
      <c r="DG773" s="30"/>
      <c r="DH773" s="30"/>
      <c r="DI773" s="30"/>
      <c r="DJ773" s="30"/>
      <c r="DK773" s="30"/>
      <c r="DL773" s="30"/>
      <c r="DM773" s="30"/>
      <c r="DN773" s="30"/>
      <c r="DO773" s="30"/>
      <c r="DP773" s="30"/>
      <c r="DQ773" s="30"/>
      <c r="DR773" s="30"/>
      <c r="DS773" s="30"/>
      <c r="DT773" s="30"/>
      <c r="DU773" s="30"/>
      <c r="DV773" s="30"/>
      <c r="DW773" s="30"/>
      <c r="DX773" s="30"/>
      <c r="DY773" s="30"/>
      <c r="DZ773" s="30"/>
    </row>
    <row r="774">
      <c r="A774" s="30"/>
      <c r="B774" s="42"/>
      <c r="C774" s="43"/>
      <c r="D774" s="30"/>
      <c r="E774" s="28"/>
      <c r="F774" s="30"/>
      <c r="G774" s="30"/>
      <c r="H774" s="30"/>
      <c r="I774" s="30"/>
      <c r="J774" s="28"/>
      <c r="K774" s="30"/>
      <c r="L774" s="30"/>
      <c r="M774" s="30"/>
      <c r="N774" s="30"/>
      <c r="O774" s="28"/>
      <c r="P774" s="30"/>
      <c r="Q774" s="30"/>
      <c r="R774" s="30"/>
      <c r="S774" s="36"/>
      <c r="T774" s="30"/>
      <c r="U774" s="36"/>
      <c r="V774" s="30"/>
      <c r="W774" s="28"/>
      <c r="X774" s="30"/>
      <c r="Y774" s="30"/>
      <c r="Z774" s="30"/>
      <c r="AA774" s="30"/>
      <c r="AB774" s="30"/>
      <c r="AC774" s="28"/>
      <c r="AD774" s="30"/>
      <c r="AE774" s="30"/>
      <c r="AF774" s="30"/>
      <c r="AG774" s="29"/>
      <c r="AH774" s="30"/>
      <c r="AI774" s="36"/>
      <c r="AJ774" s="30"/>
      <c r="AK774" s="29"/>
      <c r="AL774" s="30"/>
      <c r="AM774" s="30"/>
      <c r="AN774" s="30"/>
      <c r="AO774" s="30"/>
      <c r="AP774" s="30"/>
      <c r="AQ774" s="38"/>
      <c r="AR774" s="30"/>
      <c r="AS774" s="30"/>
      <c r="AT774" s="29"/>
      <c r="AU774" s="30"/>
      <c r="AV774" s="30"/>
      <c r="AW774" s="30"/>
      <c r="AX774" s="29"/>
      <c r="AY774" s="39"/>
      <c r="AZ774" s="30"/>
      <c r="BA774" s="30"/>
      <c r="BB774" s="29"/>
      <c r="BC774" s="52"/>
      <c r="BD774" s="30"/>
      <c r="BE774" s="29"/>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c r="CB774" s="30"/>
      <c r="CC774" s="30"/>
      <c r="CD774" s="30"/>
      <c r="CE774" s="30"/>
      <c r="CF774" s="30"/>
      <c r="CG774" s="30"/>
      <c r="CH774" s="30"/>
      <c r="CI774" s="30"/>
      <c r="CJ774" s="30"/>
      <c r="CK774" s="30"/>
      <c r="CL774" s="30"/>
      <c r="CM774" s="30"/>
      <c r="CN774" s="30"/>
      <c r="CO774" s="30"/>
      <c r="CP774" s="30"/>
      <c r="CQ774" s="30"/>
      <c r="CR774" s="30"/>
      <c r="CS774" s="30"/>
      <c r="CT774" s="30"/>
      <c r="CU774" s="30"/>
      <c r="CV774" s="30"/>
      <c r="CW774" s="30"/>
      <c r="CX774" s="30"/>
      <c r="CY774" s="30"/>
      <c r="CZ774" s="30"/>
      <c r="DA774" s="30"/>
      <c r="DB774" s="30"/>
      <c r="DC774" s="30"/>
      <c r="DD774" s="30"/>
      <c r="DE774" s="30"/>
      <c r="DF774" s="30"/>
      <c r="DG774" s="30"/>
      <c r="DH774" s="30"/>
      <c r="DI774" s="30"/>
      <c r="DJ774" s="30"/>
      <c r="DK774" s="30"/>
      <c r="DL774" s="30"/>
      <c r="DM774" s="30"/>
      <c r="DN774" s="30"/>
      <c r="DO774" s="30"/>
      <c r="DP774" s="30"/>
      <c r="DQ774" s="30"/>
      <c r="DR774" s="30"/>
      <c r="DS774" s="30"/>
      <c r="DT774" s="30"/>
      <c r="DU774" s="30"/>
      <c r="DV774" s="30"/>
      <c r="DW774" s="30"/>
      <c r="DX774" s="30"/>
      <c r="DY774" s="30"/>
      <c r="DZ774" s="30"/>
    </row>
    <row r="775">
      <c r="A775" s="30"/>
      <c r="B775" s="42"/>
      <c r="C775" s="43"/>
      <c r="D775" s="30"/>
      <c r="E775" s="28"/>
      <c r="F775" s="30"/>
      <c r="G775" s="30"/>
      <c r="H775" s="30"/>
      <c r="I775" s="30"/>
      <c r="J775" s="28"/>
      <c r="K775" s="30"/>
      <c r="L775" s="30"/>
      <c r="M775" s="30"/>
      <c r="N775" s="30"/>
      <c r="O775" s="28"/>
      <c r="P775" s="30"/>
      <c r="Q775" s="30"/>
      <c r="R775" s="30"/>
      <c r="S775" s="36"/>
      <c r="T775" s="30"/>
      <c r="U775" s="36"/>
      <c r="V775" s="30"/>
      <c r="W775" s="28"/>
      <c r="X775" s="30"/>
      <c r="Y775" s="30"/>
      <c r="Z775" s="30"/>
      <c r="AA775" s="30"/>
      <c r="AB775" s="30"/>
      <c r="AC775" s="28"/>
      <c r="AD775" s="30"/>
      <c r="AE775" s="30"/>
      <c r="AF775" s="30"/>
      <c r="AG775" s="29"/>
      <c r="AH775" s="30"/>
      <c r="AI775" s="36"/>
      <c r="AJ775" s="30"/>
      <c r="AK775" s="29"/>
      <c r="AL775" s="30"/>
      <c r="AM775" s="30"/>
      <c r="AN775" s="30"/>
      <c r="AO775" s="30"/>
      <c r="AP775" s="30"/>
      <c r="AQ775" s="38"/>
      <c r="AR775" s="30"/>
      <c r="AS775" s="30"/>
      <c r="AT775" s="29"/>
      <c r="AU775" s="30"/>
      <c r="AV775" s="30"/>
      <c r="AW775" s="30"/>
      <c r="AX775" s="29"/>
      <c r="AY775" s="39"/>
      <c r="AZ775" s="30"/>
      <c r="BA775" s="30"/>
      <c r="BB775" s="29"/>
      <c r="BC775" s="52"/>
      <c r="BD775" s="30"/>
      <c r="BE775" s="29"/>
      <c r="BF775" s="30"/>
      <c r="BG775" s="30"/>
      <c r="BH775" s="30"/>
      <c r="BI775" s="30"/>
      <c r="BJ775" s="30"/>
      <c r="BK775" s="30"/>
      <c r="BL775" s="30"/>
      <c r="BM775" s="30"/>
      <c r="BN775" s="30"/>
      <c r="BO775" s="30"/>
      <c r="BP775" s="30"/>
      <c r="BQ775" s="30"/>
      <c r="BR775" s="30"/>
      <c r="BS775" s="30"/>
      <c r="BT775" s="30"/>
      <c r="BU775" s="30"/>
      <c r="BV775" s="30"/>
      <c r="BW775" s="30"/>
      <c r="BX775" s="30"/>
      <c r="BY775" s="30"/>
      <c r="BZ775" s="30"/>
      <c r="CA775" s="30"/>
      <c r="CB775" s="30"/>
      <c r="CC775" s="30"/>
      <c r="CD775" s="30"/>
      <c r="CE775" s="30"/>
      <c r="CF775" s="30"/>
      <c r="CG775" s="30"/>
      <c r="CH775" s="30"/>
      <c r="CI775" s="30"/>
      <c r="CJ775" s="30"/>
      <c r="CK775" s="30"/>
      <c r="CL775" s="30"/>
      <c r="CM775" s="30"/>
      <c r="CN775" s="30"/>
      <c r="CO775" s="30"/>
      <c r="CP775" s="30"/>
      <c r="CQ775" s="30"/>
      <c r="CR775" s="30"/>
      <c r="CS775" s="30"/>
      <c r="CT775" s="30"/>
      <c r="CU775" s="30"/>
      <c r="CV775" s="30"/>
      <c r="CW775" s="30"/>
      <c r="CX775" s="30"/>
      <c r="CY775" s="30"/>
      <c r="CZ775" s="30"/>
      <c r="DA775" s="30"/>
      <c r="DB775" s="30"/>
      <c r="DC775" s="30"/>
      <c r="DD775" s="30"/>
      <c r="DE775" s="30"/>
      <c r="DF775" s="30"/>
      <c r="DG775" s="30"/>
      <c r="DH775" s="30"/>
      <c r="DI775" s="30"/>
      <c r="DJ775" s="30"/>
      <c r="DK775" s="30"/>
      <c r="DL775" s="30"/>
      <c r="DM775" s="30"/>
      <c r="DN775" s="30"/>
      <c r="DO775" s="30"/>
      <c r="DP775" s="30"/>
      <c r="DQ775" s="30"/>
      <c r="DR775" s="30"/>
      <c r="DS775" s="30"/>
      <c r="DT775" s="30"/>
      <c r="DU775" s="30"/>
      <c r="DV775" s="30"/>
      <c r="DW775" s="30"/>
      <c r="DX775" s="30"/>
      <c r="DY775" s="30"/>
      <c r="DZ775" s="30"/>
    </row>
    <row r="776">
      <c r="A776" s="30"/>
      <c r="B776" s="42"/>
      <c r="C776" s="43"/>
      <c r="D776" s="30"/>
      <c r="E776" s="28"/>
      <c r="F776" s="30"/>
      <c r="G776" s="30"/>
      <c r="H776" s="30"/>
      <c r="I776" s="30"/>
      <c r="J776" s="28"/>
      <c r="K776" s="30"/>
      <c r="L776" s="30"/>
      <c r="M776" s="30"/>
      <c r="N776" s="30"/>
      <c r="O776" s="28"/>
      <c r="P776" s="30"/>
      <c r="Q776" s="30"/>
      <c r="R776" s="30"/>
      <c r="S776" s="36"/>
      <c r="T776" s="30"/>
      <c r="U776" s="36"/>
      <c r="V776" s="30"/>
      <c r="W776" s="28"/>
      <c r="X776" s="30"/>
      <c r="Y776" s="30"/>
      <c r="Z776" s="30"/>
      <c r="AA776" s="30"/>
      <c r="AB776" s="30"/>
      <c r="AC776" s="28"/>
      <c r="AD776" s="30"/>
      <c r="AE776" s="30"/>
      <c r="AF776" s="30"/>
      <c r="AG776" s="29"/>
      <c r="AH776" s="30"/>
      <c r="AI776" s="36"/>
      <c r="AJ776" s="30"/>
      <c r="AK776" s="29"/>
      <c r="AL776" s="30"/>
      <c r="AM776" s="30"/>
      <c r="AN776" s="30"/>
      <c r="AO776" s="30"/>
      <c r="AP776" s="30"/>
      <c r="AQ776" s="38"/>
      <c r="AR776" s="30"/>
      <c r="AS776" s="30"/>
      <c r="AT776" s="29"/>
      <c r="AU776" s="30"/>
      <c r="AV776" s="30"/>
      <c r="AW776" s="30"/>
      <c r="AX776" s="29"/>
      <c r="AY776" s="39"/>
      <c r="AZ776" s="30"/>
      <c r="BA776" s="30"/>
      <c r="BB776" s="29"/>
      <c r="BC776" s="52"/>
      <c r="BD776" s="30"/>
      <c r="BE776" s="29"/>
      <c r="BF776" s="30"/>
      <c r="BG776" s="30"/>
      <c r="BH776" s="30"/>
      <c r="BI776" s="30"/>
      <c r="BJ776" s="30"/>
      <c r="BK776" s="30"/>
      <c r="BL776" s="30"/>
      <c r="BM776" s="30"/>
      <c r="BN776" s="30"/>
      <c r="BO776" s="30"/>
      <c r="BP776" s="30"/>
      <c r="BQ776" s="30"/>
      <c r="BR776" s="30"/>
      <c r="BS776" s="30"/>
      <c r="BT776" s="30"/>
      <c r="BU776" s="30"/>
      <c r="BV776" s="30"/>
      <c r="BW776" s="30"/>
      <c r="BX776" s="30"/>
      <c r="BY776" s="30"/>
      <c r="BZ776" s="30"/>
      <c r="CA776" s="30"/>
      <c r="CB776" s="30"/>
      <c r="CC776" s="30"/>
      <c r="CD776" s="30"/>
      <c r="CE776" s="30"/>
      <c r="CF776" s="30"/>
      <c r="CG776" s="30"/>
      <c r="CH776" s="30"/>
      <c r="CI776" s="30"/>
      <c r="CJ776" s="30"/>
      <c r="CK776" s="30"/>
      <c r="CL776" s="30"/>
      <c r="CM776" s="30"/>
      <c r="CN776" s="30"/>
      <c r="CO776" s="30"/>
      <c r="CP776" s="30"/>
      <c r="CQ776" s="30"/>
      <c r="CR776" s="30"/>
      <c r="CS776" s="30"/>
      <c r="CT776" s="30"/>
      <c r="CU776" s="30"/>
      <c r="CV776" s="30"/>
      <c r="CW776" s="30"/>
      <c r="CX776" s="30"/>
      <c r="CY776" s="30"/>
      <c r="CZ776" s="30"/>
      <c r="DA776" s="30"/>
      <c r="DB776" s="30"/>
      <c r="DC776" s="30"/>
      <c r="DD776" s="30"/>
      <c r="DE776" s="30"/>
      <c r="DF776" s="30"/>
      <c r="DG776" s="30"/>
      <c r="DH776" s="30"/>
      <c r="DI776" s="30"/>
      <c r="DJ776" s="30"/>
      <c r="DK776" s="30"/>
      <c r="DL776" s="30"/>
      <c r="DM776" s="30"/>
      <c r="DN776" s="30"/>
      <c r="DO776" s="30"/>
      <c r="DP776" s="30"/>
      <c r="DQ776" s="30"/>
      <c r="DR776" s="30"/>
      <c r="DS776" s="30"/>
      <c r="DT776" s="30"/>
      <c r="DU776" s="30"/>
      <c r="DV776" s="30"/>
      <c r="DW776" s="30"/>
      <c r="DX776" s="30"/>
      <c r="DY776" s="30"/>
      <c r="DZ776" s="30"/>
    </row>
    <row r="777">
      <c r="A777" s="30"/>
      <c r="B777" s="42"/>
      <c r="C777" s="43"/>
      <c r="D777" s="30"/>
      <c r="E777" s="28"/>
      <c r="F777" s="30"/>
      <c r="G777" s="30"/>
      <c r="H777" s="30"/>
      <c r="I777" s="30"/>
      <c r="J777" s="28"/>
      <c r="K777" s="30"/>
      <c r="L777" s="30"/>
      <c r="M777" s="30"/>
      <c r="N777" s="30"/>
      <c r="O777" s="28"/>
      <c r="P777" s="30"/>
      <c r="Q777" s="30"/>
      <c r="R777" s="30"/>
      <c r="S777" s="36"/>
      <c r="T777" s="30"/>
      <c r="U777" s="36"/>
      <c r="V777" s="30"/>
      <c r="W777" s="28"/>
      <c r="X777" s="30"/>
      <c r="Y777" s="30"/>
      <c r="Z777" s="30"/>
      <c r="AA777" s="30"/>
      <c r="AB777" s="30"/>
      <c r="AC777" s="28"/>
      <c r="AD777" s="30"/>
      <c r="AE777" s="30"/>
      <c r="AF777" s="30"/>
      <c r="AG777" s="29"/>
      <c r="AH777" s="30"/>
      <c r="AI777" s="36"/>
      <c r="AJ777" s="30"/>
      <c r="AK777" s="29"/>
      <c r="AL777" s="30"/>
      <c r="AM777" s="30"/>
      <c r="AN777" s="30"/>
      <c r="AO777" s="30"/>
      <c r="AP777" s="30"/>
      <c r="AQ777" s="38"/>
      <c r="AR777" s="30"/>
      <c r="AS777" s="30"/>
      <c r="AT777" s="29"/>
      <c r="AU777" s="30"/>
      <c r="AV777" s="30"/>
      <c r="AW777" s="30"/>
      <c r="AX777" s="29"/>
      <c r="AY777" s="39"/>
      <c r="AZ777" s="30"/>
      <c r="BA777" s="30"/>
      <c r="BB777" s="29"/>
      <c r="BC777" s="52"/>
      <c r="BD777" s="30"/>
      <c r="BE777" s="29"/>
      <c r="BF777" s="30"/>
      <c r="BG777" s="30"/>
      <c r="BH777" s="30"/>
      <c r="BI777" s="30"/>
      <c r="BJ777" s="30"/>
      <c r="BK777" s="30"/>
      <c r="BL777" s="30"/>
      <c r="BM777" s="30"/>
      <c r="BN777" s="30"/>
      <c r="BO777" s="30"/>
      <c r="BP777" s="30"/>
      <c r="BQ777" s="30"/>
      <c r="BR777" s="30"/>
      <c r="BS777" s="30"/>
      <c r="BT777" s="30"/>
      <c r="BU777" s="30"/>
      <c r="BV777" s="30"/>
      <c r="BW777" s="30"/>
      <c r="BX777" s="30"/>
      <c r="BY777" s="30"/>
      <c r="BZ777" s="30"/>
      <c r="CA777" s="30"/>
      <c r="CB777" s="30"/>
      <c r="CC777" s="30"/>
      <c r="CD777" s="30"/>
      <c r="CE777" s="30"/>
      <c r="CF777" s="30"/>
      <c r="CG777" s="30"/>
      <c r="CH777" s="30"/>
      <c r="CI777" s="30"/>
      <c r="CJ777" s="30"/>
      <c r="CK777" s="30"/>
      <c r="CL777" s="30"/>
      <c r="CM777" s="30"/>
      <c r="CN777" s="30"/>
      <c r="CO777" s="30"/>
      <c r="CP777" s="30"/>
      <c r="CQ777" s="30"/>
      <c r="CR777" s="30"/>
      <c r="CS777" s="30"/>
      <c r="CT777" s="30"/>
      <c r="CU777" s="30"/>
      <c r="CV777" s="30"/>
      <c r="CW777" s="30"/>
      <c r="CX777" s="30"/>
      <c r="CY777" s="30"/>
      <c r="CZ777" s="30"/>
      <c r="DA777" s="30"/>
      <c r="DB777" s="30"/>
      <c r="DC777" s="30"/>
      <c r="DD777" s="30"/>
      <c r="DE777" s="30"/>
      <c r="DF777" s="30"/>
      <c r="DG777" s="30"/>
      <c r="DH777" s="30"/>
      <c r="DI777" s="30"/>
      <c r="DJ777" s="30"/>
      <c r="DK777" s="30"/>
      <c r="DL777" s="30"/>
      <c r="DM777" s="30"/>
      <c r="DN777" s="30"/>
      <c r="DO777" s="30"/>
      <c r="DP777" s="30"/>
      <c r="DQ777" s="30"/>
      <c r="DR777" s="30"/>
      <c r="DS777" s="30"/>
      <c r="DT777" s="30"/>
      <c r="DU777" s="30"/>
      <c r="DV777" s="30"/>
      <c r="DW777" s="30"/>
      <c r="DX777" s="30"/>
      <c r="DY777" s="30"/>
      <c r="DZ777" s="30"/>
    </row>
    <row r="778">
      <c r="A778" s="30"/>
      <c r="B778" s="42"/>
      <c r="C778" s="43"/>
      <c r="D778" s="30"/>
      <c r="E778" s="28"/>
      <c r="F778" s="30"/>
      <c r="G778" s="30"/>
      <c r="H778" s="30"/>
      <c r="I778" s="30"/>
      <c r="J778" s="28"/>
      <c r="K778" s="30"/>
      <c r="L778" s="30"/>
      <c r="M778" s="30"/>
      <c r="N778" s="30"/>
      <c r="O778" s="28"/>
      <c r="P778" s="30"/>
      <c r="Q778" s="30"/>
      <c r="R778" s="30"/>
      <c r="S778" s="36"/>
      <c r="T778" s="30"/>
      <c r="U778" s="36"/>
      <c r="V778" s="30"/>
      <c r="W778" s="28"/>
      <c r="X778" s="30"/>
      <c r="Y778" s="30"/>
      <c r="Z778" s="30"/>
      <c r="AA778" s="30"/>
      <c r="AB778" s="30"/>
      <c r="AC778" s="28"/>
      <c r="AD778" s="30"/>
      <c r="AE778" s="30"/>
      <c r="AF778" s="30"/>
      <c r="AG778" s="29"/>
      <c r="AH778" s="30"/>
      <c r="AI778" s="36"/>
      <c r="AJ778" s="30"/>
      <c r="AK778" s="29"/>
      <c r="AL778" s="30"/>
      <c r="AM778" s="30"/>
      <c r="AN778" s="30"/>
      <c r="AO778" s="30"/>
      <c r="AP778" s="30"/>
      <c r="AQ778" s="38"/>
      <c r="AR778" s="30"/>
      <c r="AS778" s="30"/>
      <c r="AT778" s="29"/>
      <c r="AU778" s="30"/>
      <c r="AV778" s="30"/>
      <c r="AW778" s="30"/>
      <c r="AX778" s="29"/>
      <c r="AY778" s="39"/>
      <c r="AZ778" s="30"/>
      <c r="BA778" s="30"/>
      <c r="BB778" s="29"/>
      <c r="BC778" s="52"/>
      <c r="BD778" s="30"/>
      <c r="BE778" s="29"/>
      <c r="BF778" s="30"/>
      <c r="BG778" s="30"/>
      <c r="BH778" s="30"/>
      <c r="BI778" s="30"/>
      <c r="BJ778" s="30"/>
      <c r="BK778" s="30"/>
      <c r="BL778" s="30"/>
      <c r="BM778" s="30"/>
      <c r="BN778" s="30"/>
      <c r="BO778" s="30"/>
      <c r="BP778" s="30"/>
      <c r="BQ778" s="30"/>
      <c r="BR778" s="30"/>
      <c r="BS778" s="30"/>
      <c r="BT778" s="30"/>
      <c r="BU778" s="30"/>
      <c r="BV778" s="30"/>
      <c r="BW778" s="30"/>
      <c r="BX778" s="30"/>
      <c r="BY778" s="30"/>
      <c r="BZ778" s="30"/>
      <c r="CA778" s="30"/>
      <c r="CB778" s="30"/>
      <c r="CC778" s="30"/>
      <c r="CD778" s="30"/>
      <c r="CE778" s="30"/>
      <c r="CF778" s="30"/>
      <c r="CG778" s="30"/>
      <c r="CH778" s="30"/>
      <c r="CI778" s="30"/>
      <c r="CJ778" s="30"/>
      <c r="CK778" s="30"/>
      <c r="CL778" s="30"/>
      <c r="CM778" s="30"/>
      <c r="CN778" s="30"/>
      <c r="CO778" s="30"/>
      <c r="CP778" s="30"/>
      <c r="CQ778" s="30"/>
      <c r="CR778" s="30"/>
      <c r="CS778" s="30"/>
      <c r="CT778" s="30"/>
      <c r="CU778" s="30"/>
      <c r="CV778" s="30"/>
      <c r="CW778" s="30"/>
      <c r="CX778" s="30"/>
      <c r="CY778" s="30"/>
      <c r="CZ778" s="30"/>
      <c r="DA778" s="30"/>
      <c r="DB778" s="30"/>
      <c r="DC778" s="30"/>
      <c r="DD778" s="30"/>
      <c r="DE778" s="30"/>
      <c r="DF778" s="30"/>
      <c r="DG778" s="30"/>
      <c r="DH778" s="30"/>
      <c r="DI778" s="30"/>
      <c r="DJ778" s="30"/>
      <c r="DK778" s="30"/>
      <c r="DL778" s="30"/>
      <c r="DM778" s="30"/>
      <c r="DN778" s="30"/>
      <c r="DO778" s="30"/>
      <c r="DP778" s="30"/>
      <c r="DQ778" s="30"/>
      <c r="DR778" s="30"/>
      <c r="DS778" s="30"/>
      <c r="DT778" s="30"/>
      <c r="DU778" s="30"/>
      <c r="DV778" s="30"/>
      <c r="DW778" s="30"/>
      <c r="DX778" s="30"/>
      <c r="DY778" s="30"/>
      <c r="DZ778" s="30"/>
    </row>
    <row r="779">
      <c r="A779" s="30"/>
      <c r="B779" s="42"/>
      <c r="C779" s="43"/>
      <c r="D779" s="30"/>
      <c r="E779" s="28"/>
      <c r="F779" s="30"/>
      <c r="G779" s="30"/>
      <c r="H779" s="30"/>
      <c r="I779" s="30"/>
      <c r="J779" s="28"/>
      <c r="K779" s="30"/>
      <c r="L779" s="30"/>
      <c r="M779" s="30"/>
      <c r="N779" s="30"/>
      <c r="O779" s="28"/>
      <c r="P779" s="30"/>
      <c r="Q779" s="30"/>
      <c r="R779" s="30"/>
      <c r="S779" s="36"/>
      <c r="T779" s="30"/>
      <c r="U779" s="36"/>
      <c r="V779" s="30"/>
      <c r="W779" s="28"/>
      <c r="X779" s="30"/>
      <c r="Y779" s="30"/>
      <c r="Z779" s="30"/>
      <c r="AA779" s="30"/>
      <c r="AB779" s="30"/>
      <c r="AC779" s="28"/>
      <c r="AD779" s="30"/>
      <c r="AE779" s="30"/>
      <c r="AF779" s="30"/>
      <c r="AG779" s="29"/>
      <c r="AH779" s="30"/>
      <c r="AI779" s="36"/>
      <c r="AJ779" s="30"/>
      <c r="AK779" s="29"/>
      <c r="AL779" s="30"/>
      <c r="AM779" s="30"/>
      <c r="AN779" s="30"/>
      <c r="AO779" s="30"/>
      <c r="AP779" s="30"/>
      <c r="AQ779" s="38"/>
      <c r="AR779" s="30"/>
      <c r="AS779" s="30"/>
      <c r="AT779" s="29"/>
      <c r="AU779" s="30"/>
      <c r="AV779" s="30"/>
      <c r="AW779" s="30"/>
      <c r="AX779" s="29"/>
      <c r="AY779" s="39"/>
      <c r="AZ779" s="30"/>
      <c r="BA779" s="30"/>
      <c r="BB779" s="29"/>
      <c r="BC779" s="52"/>
      <c r="BD779" s="30"/>
      <c r="BE779" s="29"/>
      <c r="BF779" s="30"/>
      <c r="BG779" s="30"/>
      <c r="BH779" s="30"/>
      <c r="BI779" s="30"/>
      <c r="BJ779" s="30"/>
      <c r="BK779" s="30"/>
      <c r="BL779" s="30"/>
      <c r="BM779" s="30"/>
      <c r="BN779" s="30"/>
      <c r="BO779" s="30"/>
      <c r="BP779" s="30"/>
      <c r="BQ779" s="30"/>
      <c r="BR779" s="30"/>
      <c r="BS779" s="30"/>
      <c r="BT779" s="30"/>
      <c r="BU779" s="30"/>
      <c r="BV779" s="30"/>
      <c r="BW779" s="30"/>
      <c r="BX779" s="30"/>
      <c r="BY779" s="30"/>
      <c r="BZ779" s="30"/>
      <c r="CA779" s="30"/>
      <c r="CB779" s="30"/>
      <c r="CC779" s="30"/>
      <c r="CD779" s="30"/>
      <c r="CE779" s="30"/>
      <c r="CF779" s="30"/>
      <c r="CG779" s="30"/>
      <c r="CH779" s="30"/>
      <c r="CI779" s="30"/>
      <c r="CJ779" s="30"/>
      <c r="CK779" s="30"/>
      <c r="CL779" s="30"/>
      <c r="CM779" s="30"/>
      <c r="CN779" s="30"/>
      <c r="CO779" s="30"/>
      <c r="CP779" s="30"/>
      <c r="CQ779" s="30"/>
      <c r="CR779" s="30"/>
      <c r="CS779" s="30"/>
      <c r="CT779" s="30"/>
      <c r="CU779" s="30"/>
      <c r="CV779" s="30"/>
      <c r="CW779" s="30"/>
      <c r="CX779" s="30"/>
      <c r="CY779" s="30"/>
      <c r="CZ779" s="30"/>
      <c r="DA779" s="30"/>
      <c r="DB779" s="30"/>
      <c r="DC779" s="30"/>
      <c r="DD779" s="30"/>
      <c r="DE779" s="30"/>
      <c r="DF779" s="30"/>
      <c r="DG779" s="30"/>
      <c r="DH779" s="30"/>
      <c r="DI779" s="30"/>
      <c r="DJ779" s="30"/>
      <c r="DK779" s="30"/>
      <c r="DL779" s="30"/>
      <c r="DM779" s="30"/>
      <c r="DN779" s="30"/>
      <c r="DO779" s="30"/>
      <c r="DP779" s="30"/>
      <c r="DQ779" s="30"/>
      <c r="DR779" s="30"/>
      <c r="DS779" s="30"/>
      <c r="DT779" s="30"/>
      <c r="DU779" s="30"/>
      <c r="DV779" s="30"/>
      <c r="DW779" s="30"/>
      <c r="DX779" s="30"/>
      <c r="DY779" s="30"/>
      <c r="DZ779" s="30"/>
    </row>
    <row r="780">
      <c r="A780" s="30"/>
      <c r="B780" s="42"/>
      <c r="C780" s="43"/>
      <c r="D780" s="30"/>
      <c r="E780" s="28"/>
      <c r="F780" s="30"/>
      <c r="G780" s="30"/>
      <c r="H780" s="30"/>
      <c r="I780" s="30"/>
      <c r="J780" s="28"/>
      <c r="K780" s="30"/>
      <c r="L780" s="30"/>
      <c r="M780" s="30"/>
      <c r="N780" s="30"/>
      <c r="O780" s="28"/>
      <c r="P780" s="30"/>
      <c r="Q780" s="30"/>
      <c r="R780" s="30"/>
      <c r="S780" s="36"/>
      <c r="T780" s="30"/>
      <c r="U780" s="36"/>
      <c r="V780" s="30"/>
      <c r="W780" s="28"/>
      <c r="X780" s="30"/>
      <c r="Y780" s="30"/>
      <c r="Z780" s="30"/>
      <c r="AA780" s="30"/>
      <c r="AB780" s="30"/>
      <c r="AC780" s="28"/>
      <c r="AD780" s="30"/>
      <c r="AE780" s="30"/>
      <c r="AF780" s="30"/>
      <c r="AG780" s="29"/>
      <c r="AH780" s="30"/>
      <c r="AI780" s="36"/>
      <c r="AJ780" s="30"/>
      <c r="AK780" s="29"/>
      <c r="AL780" s="30"/>
      <c r="AM780" s="30"/>
      <c r="AN780" s="30"/>
      <c r="AO780" s="30"/>
      <c r="AP780" s="30"/>
      <c r="AQ780" s="38"/>
      <c r="AR780" s="30"/>
      <c r="AS780" s="30"/>
      <c r="AT780" s="29"/>
      <c r="AU780" s="30"/>
      <c r="AV780" s="30"/>
      <c r="AW780" s="30"/>
      <c r="AX780" s="29"/>
      <c r="AY780" s="39"/>
      <c r="AZ780" s="30"/>
      <c r="BA780" s="30"/>
      <c r="BB780" s="29"/>
      <c r="BC780" s="52"/>
      <c r="BD780" s="30"/>
      <c r="BE780" s="29"/>
      <c r="BF780" s="30"/>
      <c r="BG780" s="30"/>
      <c r="BH780" s="30"/>
      <c r="BI780" s="30"/>
      <c r="BJ780" s="30"/>
      <c r="BK780" s="30"/>
      <c r="BL780" s="30"/>
      <c r="BM780" s="30"/>
      <c r="BN780" s="30"/>
      <c r="BO780" s="30"/>
      <c r="BP780" s="30"/>
      <c r="BQ780" s="30"/>
      <c r="BR780" s="30"/>
      <c r="BS780" s="30"/>
      <c r="BT780" s="30"/>
      <c r="BU780" s="30"/>
      <c r="BV780" s="30"/>
      <c r="BW780" s="30"/>
      <c r="BX780" s="30"/>
      <c r="BY780" s="30"/>
      <c r="BZ780" s="30"/>
      <c r="CA780" s="30"/>
      <c r="CB780" s="30"/>
      <c r="CC780" s="30"/>
      <c r="CD780" s="30"/>
      <c r="CE780" s="30"/>
      <c r="CF780" s="30"/>
      <c r="CG780" s="30"/>
      <c r="CH780" s="30"/>
      <c r="CI780" s="30"/>
      <c r="CJ780" s="30"/>
      <c r="CK780" s="30"/>
      <c r="CL780" s="30"/>
      <c r="CM780" s="30"/>
      <c r="CN780" s="30"/>
      <c r="CO780" s="30"/>
      <c r="CP780" s="30"/>
      <c r="CQ780" s="30"/>
      <c r="CR780" s="30"/>
      <c r="CS780" s="30"/>
      <c r="CT780" s="30"/>
      <c r="CU780" s="30"/>
      <c r="CV780" s="30"/>
      <c r="CW780" s="30"/>
      <c r="CX780" s="30"/>
      <c r="CY780" s="30"/>
      <c r="CZ780" s="30"/>
      <c r="DA780" s="30"/>
      <c r="DB780" s="30"/>
      <c r="DC780" s="30"/>
      <c r="DD780" s="30"/>
      <c r="DE780" s="30"/>
      <c r="DF780" s="30"/>
      <c r="DG780" s="30"/>
      <c r="DH780" s="30"/>
      <c r="DI780" s="30"/>
      <c r="DJ780" s="30"/>
      <c r="DK780" s="30"/>
      <c r="DL780" s="30"/>
      <c r="DM780" s="30"/>
      <c r="DN780" s="30"/>
      <c r="DO780" s="30"/>
      <c r="DP780" s="30"/>
      <c r="DQ780" s="30"/>
      <c r="DR780" s="30"/>
      <c r="DS780" s="30"/>
      <c r="DT780" s="30"/>
      <c r="DU780" s="30"/>
      <c r="DV780" s="30"/>
      <c r="DW780" s="30"/>
      <c r="DX780" s="30"/>
      <c r="DY780" s="30"/>
      <c r="DZ780" s="30"/>
    </row>
    <row r="781">
      <c r="A781" s="30"/>
      <c r="B781" s="42"/>
      <c r="C781" s="43"/>
      <c r="D781" s="30"/>
      <c r="E781" s="28"/>
      <c r="F781" s="30"/>
      <c r="G781" s="30"/>
      <c r="H781" s="30"/>
      <c r="I781" s="30"/>
      <c r="J781" s="28"/>
      <c r="K781" s="30"/>
      <c r="L781" s="30"/>
      <c r="M781" s="30"/>
      <c r="N781" s="30"/>
      <c r="O781" s="28"/>
      <c r="P781" s="30"/>
      <c r="Q781" s="30"/>
      <c r="R781" s="30"/>
      <c r="S781" s="36"/>
      <c r="T781" s="30"/>
      <c r="U781" s="36"/>
      <c r="V781" s="30"/>
      <c r="W781" s="28"/>
      <c r="X781" s="30"/>
      <c r="Y781" s="30"/>
      <c r="Z781" s="30"/>
      <c r="AA781" s="30"/>
      <c r="AB781" s="30"/>
      <c r="AC781" s="28"/>
      <c r="AD781" s="30"/>
      <c r="AE781" s="30"/>
      <c r="AF781" s="30"/>
      <c r="AG781" s="29"/>
      <c r="AH781" s="30"/>
      <c r="AI781" s="36"/>
      <c r="AJ781" s="30"/>
      <c r="AK781" s="29"/>
      <c r="AL781" s="30"/>
      <c r="AM781" s="30"/>
      <c r="AN781" s="30"/>
      <c r="AO781" s="30"/>
      <c r="AP781" s="30"/>
      <c r="AQ781" s="38"/>
      <c r="AR781" s="30"/>
      <c r="AS781" s="30"/>
      <c r="AT781" s="29"/>
      <c r="AU781" s="30"/>
      <c r="AV781" s="30"/>
      <c r="AW781" s="30"/>
      <c r="AX781" s="29"/>
      <c r="AY781" s="39"/>
      <c r="AZ781" s="30"/>
      <c r="BA781" s="30"/>
      <c r="BB781" s="29"/>
      <c r="BC781" s="52"/>
      <c r="BD781" s="30"/>
      <c r="BE781" s="29"/>
      <c r="BF781" s="30"/>
      <c r="BG781" s="30"/>
      <c r="BH781" s="30"/>
      <c r="BI781" s="30"/>
      <c r="BJ781" s="30"/>
      <c r="BK781" s="30"/>
      <c r="BL781" s="30"/>
      <c r="BM781" s="30"/>
      <c r="BN781" s="30"/>
      <c r="BO781" s="30"/>
      <c r="BP781" s="30"/>
      <c r="BQ781" s="30"/>
      <c r="BR781" s="30"/>
      <c r="BS781" s="30"/>
      <c r="BT781" s="30"/>
      <c r="BU781" s="30"/>
      <c r="BV781" s="30"/>
      <c r="BW781" s="30"/>
      <c r="BX781" s="30"/>
      <c r="BY781" s="30"/>
      <c r="BZ781" s="30"/>
      <c r="CA781" s="30"/>
      <c r="CB781" s="30"/>
      <c r="CC781" s="30"/>
      <c r="CD781" s="30"/>
      <c r="CE781" s="30"/>
      <c r="CF781" s="30"/>
      <c r="CG781" s="30"/>
      <c r="CH781" s="30"/>
      <c r="CI781" s="30"/>
      <c r="CJ781" s="30"/>
      <c r="CK781" s="30"/>
      <c r="CL781" s="30"/>
      <c r="CM781" s="30"/>
      <c r="CN781" s="30"/>
      <c r="CO781" s="30"/>
      <c r="CP781" s="30"/>
      <c r="CQ781" s="30"/>
      <c r="CR781" s="30"/>
      <c r="CS781" s="30"/>
      <c r="CT781" s="30"/>
      <c r="CU781" s="30"/>
      <c r="CV781" s="30"/>
      <c r="CW781" s="30"/>
      <c r="CX781" s="30"/>
      <c r="CY781" s="30"/>
      <c r="CZ781" s="30"/>
      <c r="DA781" s="30"/>
      <c r="DB781" s="30"/>
      <c r="DC781" s="30"/>
      <c r="DD781" s="30"/>
      <c r="DE781" s="30"/>
      <c r="DF781" s="30"/>
      <c r="DG781" s="30"/>
      <c r="DH781" s="30"/>
      <c r="DI781" s="30"/>
      <c r="DJ781" s="30"/>
      <c r="DK781" s="30"/>
      <c r="DL781" s="30"/>
      <c r="DM781" s="30"/>
      <c r="DN781" s="30"/>
      <c r="DO781" s="30"/>
      <c r="DP781" s="30"/>
      <c r="DQ781" s="30"/>
      <c r="DR781" s="30"/>
      <c r="DS781" s="30"/>
      <c r="DT781" s="30"/>
      <c r="DU781" s="30"/>
      <c r="DV781" s="30"/>
      <c r="DW781" s="30"/>
      <c r="DX781" s="30"/>
      <c r="DY781" s="30"/>
      <c r="DZ781" s="30"/>
    </row>
    <row r="782">
      <c r="A782" s="30"/>
      <c r="B782" s="42"/>
      <c r="C782" s="43"/>
      <c r="D782" s="30"/>
      <c r="E782" s="28"/>
      <c r="F782" s="30"/>
      <c r="G782" s="30"/>
      <c r="H782" s="30"/>
      <c r="I782" s="30"/>
      <c r="J782" s="28"/>
      <c r="K782" s="30"/>
      <c r="L782" s="30"/>
      <c r="M782" s="30"/>
      <c r="N782" s="30"/>
      <c r="O782" s="28"/>
      <c r="P782" s="30"/>
      <c r="Q782" s="30"/>
      <c r="R782" s="30"/>
      <c r="S782" s="36"/>
      <c r="T782" s="30"/>
      <c r="U782" s="36"/>
      <c r="V782" s="30"/>
      <c r="W782" s="28"/>
      <c r="X782" s="30"/>
      <c r="Y782" s="30"/>
      <c r="Z782" s="30"/>
      <c r="AA782" s="30"/>
      <c r="AB782" s="30"/>
      <c r="AC782" s="28"/>
      <c r="AD782" s="30"/>
      <c r="AE782" s="30"/>
      <c r="AF782" s="30"/>
      <c r="AG782" s="29"/>
      <c r="AH782" s="30"/>
      <c r="AI782" s="36"/>
      <c r="AJ782" s="30"/>
      <c r="AK782" s="29"/>
      <c r="AL782" s="30"/>
      <c r="AM782" s="30"/>
      <c r="AN782" s="30"/>
      <c r="AO782" s="30"/>
      <c r="AP782" s="30"/>
      <c r="AQ782" s="38"/>
      <c r="AR782" s="30"/>
      <c r="AS782" s="30"/>
      <c r="AT782" s="29"/>
      <c r="AU782" s="30"/>
      <c r="AV782" s="30"/>
      <c r="AW782" s="30"/>
      <c r="AX782" s="29"/>
      <c r="AY782" s="39"/>
      <c r="AZ782" s="30"/>
      <c r="BA782" s="30"/>
      <c r="BB782" s="29"/>
      <c r="BC782" s="52"/>
      <c r="BD782" s="30"/>
      <c r="BE782" s="29"/>
      <c r="BF782" s="30"/>
      <c r="BG782" s="30"/>
      <c r="BH782" s="30"/>
      <c r="BI782" s="30"/>
      <c r="BJ782" s="30"/>
      <c r="BK782" s="30"/>
      <c r="BL782" s="30"/>
      <c r="BM782" s="30"/>
      <c r="BN782" s="30"/>
      <c r="BO782" s="30"/>
      <c r="BP782" s="30"/>
      <c r="BQ782" s="30"/>
      <c r="BR782" s="30"/>
      <c r="BS782" s="30"/>
      <c r="BT782" s="30"/>
      <c r="BU782" s="30"/>
      <c r="BV782" s="30"/>
      <c r="BW782" s="30"/>
      <c r="BX782" s="30"/>
      <c r="BY782" s="30"/>
      <c r="BZ782" s="30"/>
      <c r="CA782" s="30"/>
      <c r="CB782" s="30"/>
      <c r="CC782" s="30"/>
      <c r="CD782" s="30"/>
      <c r="CE782" s="30"/>
      <c r="CF782" s="30"/>
      <c r="CG782" s="30"/>
      <c r="CH782" s="30"/>
      <c r="CI782" s="30"/>
      <c r="CJ782" s="30"/>
      <c r="CK782" s="30"/>
      <c r="CL782" s="30"/>
      <c r="CM782" s="30"/>
      <c r="CN782" s="30"/>
      <c r="CO782" s="30"/>
      <c r="CP782" s="30"/>
      <c r="CQ782" s="30"/>
      <c r="CR782" s="30"/>
      <c r="CS782" s="30"/>
      <c r="CT782" s="30"/>
      <c r="CU782" s="30"/>
      <c r="CV782" s="30"/>
      <c r="CW782" s="30"/>
      <c r="CX782" s="30"/>
      <c r="CY782" s="30"/>
      <c r="CZ782" s="30"/>
      <c r="DA782" s="30"/>
      <c r="DB782" s="30"/>
      <c r="DC782" s="30"/>
      <c r="DD782" s="30"/>
      <c r="DE782" s="30"/>
      <c r="DF782" s="30"/>
      <c r="DG782" s="30"/>
      <c r="DH782" s="30"/>
      <c r="DI782" s="30"/>
      <c r="DJ782" s="30"/>
      <c r="DK782" s="30"/>
      <c r="DL782" s="30"/>
      <c r="DM782" s="30"/>
      <c r="DN782" s="30"/>
      <c r="DO782" s="30"/>
      <c r="DP782" s="30"/>
      <c r="DQ782" s="30"/>
      <c r="DR782" s="30"/>
      <c r="DS782" s="30"/>
      <c r="DT782" s="30"/>
      <c r="DU782" s="30"/>
      <c r="DV782" s="30"/>
      <c r="DW782" s="30"/>
      <c r="DX782" s="30"/>
      <c r="DY782" s="30"/>
      <c r="DZ782" s="30"/>
    </row>
    <row r="783">
      <c r="A783" s="30"/>
      <c r="B783" s="42"/>
      <c r="C783" s="43"/>
      <c r="D783" s="30"/>
      <c r="E783" s="28"/>
      <c r="F783" s="30"/>
      <c r="G783" s="30"/>
      <c r="H783" s="30"/>
      <c r="I783" s="30"/>
      <c r="J783" s="28"/>
      <c r="K783" s="30"/>
      <c r="L783" s="30"/>
      <c r="M783" s="30"/>
      <c r="N783" s="30"/>
      <c r="O783" s="28"/>
      <c r="P783" s="30"/>
      <c r="Q783" s="30"/>
      <c r="R783" s="30"/>
      <c r="S783" s="36"/>
      <c r="T783" s="30"/>
      <c r="U783" s="36"/>
      <c r="V783" s="30"/>
      <c r="W783" s="28"/>
      <c r="X783" s="30"/>
      <c r="Y783" s="30"/>
      <c r="Z783" s="30"/>
      <c r="AA783" s="30"/>
      <c r="AB783" s="30"/>
      <c r="AC783" s="28"/>
      <c r="AD783" s="30"/>
      <c r="AE783" s="30"/>
      <c r="AF783" s="30"/>
      <c r="AG783" s="29"/>
      <c r="AH783" s="30"/>
      <c r="AI783" s="36"/>
      <c r="AJ783" s="30"/>
      <c r="AK783" s="29"/>
      <c r="AL783" s="30"/>
      <c r="AM783" s="30"/>
      <c r="AN783" s="30"/>
      <c r="AO783" s="30"/>
      <c r="AP783" s="30"/>
      <c r="AQ783" s="38"/>
      <c r="AR783" s="30"/>
      <c r="AS783" s="30"/>
      <c r="AT783" s="29"/>
      <c r="AU783" s="30"/>
      <c r="AV783" s="30"/>
      <c r="AW783" s="30"/>
      <c r="AX783" s="29"/>
      <c r="AY783" s="39"/>
      <c r="AZ783" s="30"/>
      <c r="BA783" s="30"/>
      <c r="BB783" s="29"/>
      <c r="BC783" s="52"/>
      <c r="BD783" s="30"/>
      <c r="BE783" s="29"/>
      <c r="BF783" s="30"/>
      <c r="BG783" s="30"/>
      <c r="BH783" s="30"/>
      <c r="BI783" s="30"/>
      <c r="BJ783" s="30"/>
      <c r="BK783" s="30"/>
      <c r="BL783" s="30"/>
      <c r="BM783" s="30"/>
      <c r="BN783" s="30"/>
      <c r="BO783" s="30"/>
      <c r="BP783" s="30"/>
      <c r="BQ783" s="30"/>
      <c r="BR783" s="30"/>
      <c r="BS783" s="30"/>
      <c r="BT783" s="30"/>
      <c r="BU783" s="30"/>
      <c r="BV783" s="30"/>
      <c r="BW783" s="30"/>
      <c r="BX783" s="30"/>
      <c r="BY783" s="30"/>
      <c r="BZ783" s="30"/>
      <c r="CA783" s="30"/>
      <c r="CB783" s="30"/>
      <c r="CC783" s="30"/>
      <c r="CD783" s="30"/>
      <c r="CE783" s="30"/>
      <c r="CF783" s="30"/>
      <c r="CG783" s="30"/>
      <c r="CH783" s="30"/>
      <c r="CI783" s="30"/>
      <c r="CJ783" s="30"/>
      <c r="CK783" s="30"/>
      <c r="CL783" s="30"/>
      <c r="CM783" s="30"/>
      <c r="CN783" s="30"/>
      <c r="CO783" s="30"/>
      <c r="CP783" s="30"/>
      <c r="CQ783" s="30"/>
      <c r="CR783" s="30"/>
      <c r="CS783" s="30"/>
      <c r="CT783" s="30"/>
      <c r="CU783" s="30"/>
      <c r="CV783" s="30"/>
      <c r="CW783" s="30"/>
      <c r="CX783" s="30"/>
      <c r="CY783" s="30"/>
      <c r="CZ783" s="30"/>
      <c r="DA783" s="30"/>
      <c r="DB783" s="30"/>
      <c r="DC783" s="30"/>
      <c r="DD783" s="30"/>
      <c r="DE783" s="30"/>
      <c r="DF783" s="30"/>
      <c r="DG783" s="30"/>
      <c r="DH783" s="30"/>
      <c r="DI783" s="30"/>
      <c r="DJ783" s="30"/>
      <c r="DK783" s="30"/>
      <c r="DL783" s="30"/>
      <c r="DM783" s="30"/>
      <c r="DN783" s="30"/>
      <c r="DO783" s="30"/>
      <c r="DP783" s="30"/>
      <c r="DQ783" s="30"/>
      <c r="DR783" s="30"/>
      <c r="DS783" s="30"/>
      <c r="DT783" s="30"/>
      <c r="DU783" s="30"/>
      <c r="DV783" s="30"/>
      <c r="DW783" s="30"/>
      <c r="DX783" s="30"/>
      <c r="DY783" s="30"/>
      <c r="DZ783" s="30"/>
    </row>
    <row r="784">
      <c r="A784" s="30"/>
      <c r="B784" s="42"/>
      <c r="C784" s="43"/>
      <c r="D784" s="30"/>
      <c r="E784" s="28"/>
      <c r="F784" s="30"/>
      <c r="G784" s="30"/>
      <c r="H784" s="30"/>
      <c r="I784" s="30"/>
      <c r="J784" s="28"/>
      <c r="K784" s="30"/>
      <c r="L784" s="30"/>
      <c r="M784" s="30"/>
      <c r="N784" s="30"/>
      <c r="O784" s="28"/>
      <c r="P784" s="30"/>
      <c r="Q784" s="30"/>
      <c r="R784" s="30"/>
      <c r="S784" s="36"/>
      <c r="T784" s="30"/>
      <c r="U784" s="36"/>
      <c r="V784" s="30"/>
      <c r="W784" s="28"/>
      <c r="X784" s="30"/>
      <c r="Y784" s="30"/>
      <c r="Z784" s="30"/>
      <c r="AA784" s="30"/>
      <c r="AB784" s="30"/>
      <c r="AC784" s="28"/>
      <c r="AD784" s="30"/>
      <c r="AE784" s="30"/>
      <c r="AF784" s="30"/>
      <c r="AG784" s="29"/>
      <c r="AH784" s="30"/>
      <c r="AI784" s="36"/>
      <c r="AJ784" s="30"/>
      <c r="AK784" s="29"/>
      <c r="AL784" s="30"/>
      <c r="AM784" s="30"/>
      <c r="AN784" s="30"/>
      <c r="AO784" s="30"/>
      <c r="AP784" s="30"/>
      <c r="AQ784" s="38"/>
      <c r="AR784" s="30"/>
      <c r="AS784" s="30"/>
      <c r="AT784" s="29"/>
      <c r="AU784" s="30"/>
      <c r="AV784" s="30"/>
      <c r="AW784" s="30"/>
      <c r="AX784" s="29"/>
      <c r="AY784" s="39"/>
      <c r="AZ784" s="30"/>
      <c r="BA784" s="30"/>
      <c r="BB784" s="29"/>
      <c r="BC784" s="52"/>
      <c r="BD784" s="30"/>
      <c r="BE784" s="29"/>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c r="CB784" s="30"/>
      <c r="CC784" s="30"/>
      <c r="CD784" s="30"/>
      <c r="CE784" s="30"/>
      <c r="CF784" s="30"/>
      <c r="CG784" s="30"/>
      <c r="CH784" s="30"/>
      <c r="CI784" s="30"/>
      <c r="CJ784" s="30"/>
      <c r="CK784" s="30"/>
      <c r="CL784" s="30"/>
      <c r="CM784" s="30"/>
      <c r="CN784" s="30"/>
      <c r="CO784" s="30"/>
      <c r="CP784" s="30"/>
      <c r="CQ784" s="30"/>
      <c r="CR784" s="30"/>
      <c r="CS784" s="30"/>
      <c r="CT784" s="30"/>
      <c r="CU784" s="30"/>
      <c r="CV784" s="30"/>
      <c r="CW784" s="30"/>
      <c r="CX784" s="30"/>
      <c r="CY784" s="30"/>
      <c r="CZ784" s="30"/>
      <c r="DA784" s="30"/>
      <c r="DB784" s="30"/>
      <c r="DC784" s="30"/>
      <c r="DD784" s="30"/>
      <c r="DE784" s="30"/>
      <c r="DF784" s="30"/>
      <c r="DG784" s="30"/>
      <c r="DH784" s="30"/>
      <c r="DI784" s="30"/>
      <c r="DJ784" s="30"/>
      <c r="DK784" s="30"/>
      <c r="DL784" s="30"/>
      <c r="DM784" s="30"/>
      <c r="DN784" s="30"/>
      <c r="DO784" s="30"/>
      <c r="DP784" s="30"/>
      <c r="DQ784" s="30"/>
      <c r="DR784" s="30"/>
      <c r="DS784" s="30"/>
      <c r="DT784" s="30"/>
      <c r="DU784" s="30"/>
      <c r="DV784" s="30"/>
      <c r="DW784" s="30"/>
      <c r="DX784" s="30"/>
      <c r="DY784" s="30"/>
      <c r="DZ784" s="30"/>
    </row>
    <row r="785">
      <c r="A785" s="30"/>
      <c r="B785" s="42"/>
      <c r="C785" s="43"/>
      <c r="D785" s="30"/>
      <c r="E785" s="28"/>
      <c r="F785" s="30"/>
      <c r="G785" s="30"/>
      <c r="H785" s="30"/>
      <c r="I785" s="30"/>
      <c r="J785" s="28"/>
      <c r="K785" s="30"/>
      <c r="L785" s="30"/>
      <c r="M785" s="30"/>
      <c r="N785" s="30"/>
      <c r="O785" s="28"/>
      <c r="P785" s="30"/>
      <c r="Q785" s="30"/>
      <c r="R785" s="30"/>
      <c r="S785" s="36"/>
      <c r="T785" s="30"/>
      <c r="U785" s="36"/>
      <c r="V785" s="30"/>
      <c r="W785" s="28"/>
      <c r="X785" s="30"/>
      <c r="Y785" s="30"/>
      <c r="Z785" s="30"/>
      <c r="AA785" s="30"/>
      <c r="AB785" s="30"/>
      <c r="AC785" s="28"/>
      <c r="AD785" s="30"/>
      <c r="AE785" s="30"/>
      <c r="AF785" s="30"/>
      <c r="AG785" s="29"/>
      <c r="AH785" s="30"/>
      <c r="AI785" s="36"/>
      <c r="AJ785" s="30"/>
      <c r="AK785" s="29"/>
      <c r="AL785" s="30"/>
      <c r="AM785" s="30"/>
      <c r="AN785" s="30"/>
      <c r="AO785" s="30"/>
      <c r="AP785" s="30"/>
      <c r="AQ785" s="38"/>
      <c r="AR785" s="30"/>
      <c r="AS785" s="30"/>
      <c r="AT785" s="29"/>
      <c r="AU785" s="30"/>
      <c r="AV785" s="30"/>
      <c r="AW785" s="30"/>
      <c r="AX785" s="29"/>
      <c r="AY785" s="39"/>
      <c r="AZ785" s="30"/>
      <c r="BA785" s="30"/>
      <c r="BB785" s="29"/>
      <c r="BC785" s="52"/>
      <c r="BD785" s="30"/>
      <c r="BE785" s="29"/>
      <c r="BF785" s="30"/>
      <c r="BG785" s="30"/>
      <c r="BH785" s="30"/>
      <c r="BI785" s="30"/>
      <c r="BJ785" s="30"/>
      <c r="BK785" s="30"/>
      <c r="BL785" s="30"/>
      <c r="BM785" s="30"/>
      <c r="BN785" s="30"/>
      <c r="BO785" s="30"/>
      <c r="BP785" s="30"/>
      <c r="BQ785" s="30"/>
      <c r="BR785" s="30"/>
      <c r="BS785" s="30"/>
      <c r="BT785" s="30"/>
      <c r="BU785" s="30"/>
      <c r="BV785" s="30"/>
      <c r="BW785" s="30"/>
      <c r="BX785" s="30"/>
      <c r="BY785" s="30"/>
      <c r="BZ785" s="30"/>
      <c r="CA785" s="30"/>
      <c r="CB785" s="30"/>
      <c r="CC785" s="30"/>
      <c r="CD785" s="30"/>
      <c r="CE785" s="30"/>
      <c r="CF785" s="30"/>
      <c r="CG785" s="30"/>
      <c r="CH785" s="30"/>
      <c r="CI785" s="30"/>
      <c r="CJ785" s="30"/>
      <c r="CK785" s="30"/>
      <c r="CL785" s="30"/>
      <c r="CM785" s="30"/>
      <c r="CN785" s="30"/>
      <c r="CO785" s="30"/>
      <c r="CP785" s="30"/>
      <c r="CQ785" s="30"/>
      <c r="CR785" s="30"/>
      <c r="CS785" s="30"/>
      <c r="CT785" s="30"/>
      <c r="CU785" s="30"/>
      <c r="CV785" s="30"/>
      <c r="CW785" s="30"/>
      <c r="CX785" s="30"/>
      <c r="CY785" s="30"/>
      <c r="CZ785" s="30"/>
      <c r="DA785" s="30"/>
      <c r="DB785" s="30"/>
      <c r="DC785" s="30"/>
      <c r="DD785" s="30"/>
      <c r="DE785" s="30"/>
      <c r="DF785" s="30"/>
      <c r="DG785" s="30"/>
      <c r="DH785" s="30"/>
      <c r="DI785" s="30"/>
      <c r="DJ785" s="30"/>
      <c r="DK785" s="30"/>
      <c r="DL785" s="30"/>
      <c r="DM785" s="30"/>
      <c r="DN785" s="30"/>
      <c r="DO785" s="30"/>
      <c r="DP785" s="30"/>
      <c r="DQ785" s="30"/>
      <c r="DR785" s="30"/>
      <c r="DS785" s="30"/>
      <c r="DT785" s="30"/>
      <c r="DU785" s="30"/>
      <c r="DV785" s="30"/>
      <c r="DW785" s="30"/>
      <c r="DX785" s="30"/>
      <c r="DY785" s="30"/>
      <c r="DZ785" s="30"/>
    </row>
    <row r="786">
      <c r="A786" s="30"/>
      <c r="B786" s="42"/>
      <c r="C786" s="43"/>
      <c r="D786" s="30"/>
      <c r="E786" s="28"/>
      <c r="F786" s="30"/>
      <c r="G786" s="30"/>
      <c r="H786" s="30"/>
      <c r="I786" s="30"/>
      <c r="J786" s="28"/>
      <c r="K786" s="30"/>
      <c r="L786" s="30"/>
      <c r="M786" s="30"/>
      <c r="N786" s="30"/>
      <c r="O786" s="28"/>
      <c r="P786" s="30"/>
      <c r="Q786" s="30"/>
      <c r="R786" s="30"/>
      <c r="S786" s="36"/>
      <c r="T786" s="30"/>
      <c r="U786" s="36"/>
      <c r="V786" s="30"/>
      <c r="W786" s="28"/>
      <c r="X786" s="30"/>
      <c r="Y786" s="30"/>
      <c r="Z786" s="30"/>
      <c r="AA786" s="30"/>
      <c r="AB786" s="30"/>
      <c r="AC786" s="28"/>
      <c r="AD786" s="30"/>
      <c r="AE786" s="30"/>
      <c r="AF786" s="30"/>
      <c r="AG786" s="29"/>
      <c r="AH786" s="30"/>
      <c r="AI786" s="36"/>
      <c r="AJ786" s="30"/>
      <c r="AK786" s="29"/>
      <c r="AL786" s="30"/>
      <c r="AM786" s="30"/>
      <c r="AN786" s="30"/>
      <c r="AO786" s="30"/>
      <c r="AP786" s="30"/>
      <c r="AQ786" s="38"/>
      <c r="AR786" s="30"/>
      <c r="AS786" s="30"/>
      <c r="AT786" s="29"/>
      <c r="AU786" s="30"/>
      <c r="AV786" s="30"/>
      <c r="AW786" s="30"/>
      <c r="AX786" s="29"/>
      <c r="AY786" s="39"/>
      <c r="AZ786" s="30"/>
      <c r="BA786" s="30"/>
      <c r="BB786" s="29"/>
      <c r="BC786" s="52"/>
      <c r="BD786" s="30"/>
      <c r="BE786" s="29"/>
      <c r="BF786" s="30"/>
      <c r="BG786" s="30"/>
      <c r="BH786" s="30"/>
      <c r="BI786" s="30"/>
      <c r="BJ786" s="30"/>
      <c r="BK786" s="30"/>
      <c r="BL786" s="30"/>
      <c r="BM786" s="30"/>
      <c r="BN786" s="30"/>
      <c r="BO786" s="30"/>
      <c r="BP786" s="30"/>
      <c r="BQ786" s="30"/>
      <c r="BR786" s="30"/>
      <c r="BS786" s="30"/>
      <c r="BT786" s="30"/>
      <c r="BU786" s="30"/>
      <c r="BV786" s="30"/>
      <c r="BW786" s="30"/>
      <c r="BX786" s="30"/>
      <c r="BY786" s="30"/>
      <c r="BZ786" s="30"/>
      <c r="CA786" s="30"/>
      <c r="CB786" s="30"/>
      <c r="CC786" s="30"/>
      <c r="CD786" s="30"/>
      <c r="CE786" s="30"/>
      <c r="CF786" s="30"/>
      <c r="CG786" s="30"/>
      <c r="CH786" s="30"/>
      <c r="CI786" s="30"/>
      <c r="CJ786" s="30"/>
      <c r="CK786" s="30"/>
      <c r="CL786" s="30"/>
      <c r="CM786" s="30"/>
      <c r="CN786" s="30"/>
      <c r="CO786" s="30"/>
      <c r="CP786" s="30"/>
      <c r="CQ786" s="30"/>
      <c r="CR786" s="30"/>
      <c r="CS786" s="30"/>
      <c r="CT786" s="30"/>
      <c r="CU786" s="30"/>
      <c r="CV786" s="30"/>
      <c r="CW786" s="30"/>
      <c r="CX786" s="30"/>
      <c r="CY786" s="30"/>
      <c r="CZ786" s="30"/>
      <c r="DA786" s="30"/>
      <c r="DB786" s="30"/>
      <c r="DC786" s="30"/>
      <c r="DD786" s="30"/>
      <c r="DE786" s="30"/>
      <c r="DF786" s="30"/>
      <c r="DG786" s="30"/>
      <c r="DH786" s="30"/>
      <c r="DI786" s="30"/>
      <c r="DJ786" s="30"/>
      <c r="DK786" s="30"/>
      <c r="DL786" s="30"/>
      <c r="DM786" s="30"/>
      <c r="DN786" s="30"/>
      <c r="DO786" s="30"/>
      <c r="DP786" s="30"/>
      <c r="DQ786" s="30"/>
      <c r="DR786" s="30"/>
      <c r="DS786" s="30"/>
      <c r="DT786" s="30"/>
      <c r="DU786" s="30"/>
      <c r="DV786" s="30"/>
      <c r="DW786" s="30"/>
      <c r="DX786" s="30"/>
      <c r="DY786" s="30"/>
      <c r="DZ786" s="30"/>
    </row>
    <row r="787">
      <c r="A787" s="30"/>
      <c r="B787" s="42"/>
      <c r="C787" s="43"/>
      <c r="D787" s="30"/>
      <c r="E787" s="28"/>
      <c r="F787" s="30"/>
      <c r="G787" s="30"/>
      <c r="H787" s="30"/>
      <c r="I787" s="30"/>
      <c r="J787" s="28"/>
      <c r="K787" s="30"/>
      <c r="L787" s="30"/>
      <c r="M787" s="30"/>
      <c r="N787" s="30"/>
      <c r="O787" s="28"/>
      <c r="P787" s="30"/>
      <c r="Q787" s="30"/>
      <c r="R787" s="30"/>
      <c r="S787" s="36"/>
      <c r="T787" s="30"/>
      <c r="U787" s="36"/>
      <c r="V787" s="30"/>
      <c r="W787" s="28"/>
      <c r="X787" s="30"/>
      <c r="Y787" s="30"/>
      <c r="Z787" s="30"/>
      <c r="AA787" s="30"/>
      <c r="AB787" s="30"/>
      <c r="AC787" s="28"/>
      <c r="AD787" s="30"/>
      <c r="AE787" s="30"/>
      <c r="AF787" s="30"/>
      <c r="AG787" s="29"/>
      <c r="AH787" s="30"/>
      <c r="AI787" s="36"/>
      <c r="AJ787" s="30"/>
      <c r="AK787" s="29"/>
      <c r="AL787" s="30"/>
      <c r="AM787" s="30"/>
      <c r="AN787" s="30"/>
      <c r="AO787" s="30"/>
      <c r="AP787" s="30"/>
      <c r="AQ787" s="38"/>
      <c r="AR787" s="30"/>
      <c r="AS787" s="30"/>
      <c r="AT787" s="29"/>
      <c r="AU787" s="30"/>
      <c r="AV787" s="30"/>
      <c r="AW787" s="30"/>
      <c r="AX787" s="29"/>
      <c r="AY787" s="39"/>
      <c r="AZ787" s="30"/>
      <c r="BA787" s="30"/>
      <c r="BB787" s="29"/>
      <c r="BC787" s="52"/>
      <c r="BD787" s="30"/>
      <c r="BE787" s="29"/>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0"/>
      <c r="CF787" s="30"/>
      <c r="CG787" s="30"/>
      <c r="CH787" s="30"/>
      <c r="CI787" s="30"/>
      <c r="CJ787" s="30"/>
      <c r="CK787" s="30"/>
      <c r="CL787" s="30"/>
      <c r="CM787" s="30"/>
      <c r="CN787" s="30"/>
      <c r="CO787" s="30"/>
      <c r="CP787" s="30"/>
      <c r="CQ787" s="30"/>
      <c r="CR787" s="30"/>
      <c r="CS787" s="30"/>
      <c r="CT787" s="30"/>
      <c r="CU787" s="30"/>
      <c r="CV787" s="30"/>
      <c r="CW787" s="30"/>
      <c r="CX787" s="30"/>
      <c r="CY787" s="30"/>
      <c r="CZ787" s="30"/>
      <c r="DA787" s="30"/>
      <c r="DB787" s="30"/>
      <c r="DC787" s="30"/>
      <c r="DD787" s="30"/>
      <c r="DE787" s="30"/>
      <c r="DF787" s="30"/>
      <c r="DG787" s="30"/>
      <c r="DH787" s="30"/>
      <c r="DI787" s="30"/>
      <c r="DJ787" s="30"/>
      <c r="DK787" s="30"/>
      <c r="DL787" s="30"/>
      <c r="DM787" s="30"/>
      <c r="DN787" s="30"/>
      <c r="DO787" s="30"/>
      <c r="DP787" s="30"/>
      <c r="DQ787" s="30"/>
      <c r="DR787" s="30"/>
      <c r="DS787" s="30"/>
      <c r="DT787" s="30"/>
      <c r="DU787" s="30"/>
      <c r="DV787" s="30"/>
      <c r="DW787" s="30"/>
      <c r="DX787" s="30"/>
      <c r="DY787" s="30"/>
      <c r="DZ787" s="30"/>
    </row>
    <row r="788">
      <c r="A788" s="30"/>
      <c r="B788" s="42"/>
      <c r="C788" s="43"/>
      <c r="D788" s="30"/>
      <c r="E788" s="28"/>
      <c r="F788" s="30"/>
      <c r="G788" s="30"/>
      <c r="H788" s="30"/>
      <c r="I788" s="30"/>
      <c r="J788" s="28"/>
      <c r="K788" s="30"/>
      <c r="L788" s="30"/>
      <c r="M788" s="30"/>
      <c r="N788" s="30"/>
      <c r="O788" s="28"/>
      <c r="P788" s="30"/>
      <c r="Q788" s="30"/>
      <c r="R788" s="30"/>
      <c r="S788" s="36"/>
      <c r="T788" s="30"/>
      <c r="U788" s="36"/>
      <c r="V788" s="30"/>
      <c r="W788" s="28"/>
      <c r="X788" s="30"/>
      <c r="Y788" s="30"/>
      <c r="Z788" s="30"/>
      <c r="AA788" s="30"/>
      <c r="AB788" s="30"/>
      <c r="AC788" s="28"/>
      <c r="AD788" s="30"/>
      <c r="AE788" s="30"/>
      <c r="AF788" s="30"/>
      <c r="AG788" s="29"/>
      <c r="AH788" s="30"/>
      <c r="AI788" s="36"/>
      <c r="AJ788" s="30"/>
      <c r="AK788" s="29"/>
      <c r="AL788" s="30"/>
      <c r="AM788" s="30"/>
      <c r="AN788" s="30"/>
      <c r="AO788" s="30"/>
      <c r="AP788" s="30"/>
      <c r="AQ788" s="38"/>
      <c r="AR788" s="30"/>
      <c r="AS788" s="30"/>
      <c r="AT788" s="29"/>
      <c r="AU788" s="30"/>
      <c r="AV788" s="30"/>
      <c r="AW788" s="30"/>
      <c r="AX788" s="29"/>
      <c r="AY788" s="39"/>
      <c r="AZ788" s="30"/>
      <c r="BA788" s="30"/>
      <c r="BB788" s="29"/>
      <c r="BC788" s="52"/>
      <c r="BD788" s="30"/>
      <c r="BE788" s="29"/>
      <c r="BF788" s="30"/>
      <c r="BG788" s="30"/>
      <c r="BH788" s="30"/>
      <c r="BI788" s="30"/>
      <c r="BJ788" s="30"/>
      <c r="BK788" s="30"/>
      <c r="BL788" s="30"/>
      <c r="BM788" s="30"/>
      <c r="BN788" s="30"/>
      <c r="BO788" s="30"/>
      <c r="BP788" s="30"/>
      <c r="BQ788" s="30"/>
      <c r="BR788" s="30"/>
      <c r="BS788" s="30"/>
      <c r="BT788" s="30"/>
      <c r="BU788" s="30"/>
      <c r="BV788" s="30"/>
      <c r="BW788" s="30"/>
      <c r="BX788" s="30"/>
      <c r="BY788" s="30"/>
      <c r="BZ788" s="30"/>
      <c r="CA788" s="30"/>
      <c r="CB788" s="30"/>
      <c r="CC788" s="30"/>
      <c r="CD788" s="30"/>
      <c r="CE788" s="30"/>
      <c r="CF788" s="30"/>
      <c r="CG788" s="30"/>
      <c r="CH788" s="30"/>
      <c r="CI788" s="30"/>
      <c r="CJ788" s="30"/>
      <c r="CK788" s="30"/>
      <c r="CL788" s="30"/>
      <c r="CM788" s="30"/>
      <c r="CN788" s="30"/>
      <c r="CO788" s="30"/>
      <c r="CP788" s="30"/>
      <c r="CQ788" s="30"/>
      <c r="CR788" s="30"/>
      <c r="CS788" s="30"/>
      <c r="CT788" s="30"/>
      <c r="CU788" s="30"/>
      <c r="CV788" s="30"/>
      <c r="CW788" s="30"/>
      <c r="CX788" s="30"/>
      <c r="CY788" s="30"/>
      <c r="CZ788" s="30"/>
      <c r="DA788" s="30"/>
      <c r="DB788" s="30"/>
      <c r="DC788" s="30"/>
      <c r="DD788" s="30"/>
      <c r="DE788" s="30"/>
      <c r="DF788" s="30"/>
      <c r="DG788" s="30"/>
      <c r="DH788" s="30"/>
      <c r="DI788" s="30"/>
      <c r="DJ788" s="30"/>
      <c r="DK788" s="30"/>
      <c r="DL788" s="30"/>
      <c r="DM788" s="30"/>
      <c r="DN788" s="30"/>
      <c r="DO788" s="30"/>
      <c r="DP788" s="30"/>
      <c r="DQ788" s="30"/>
      <c r="DR788" s="30"/>
      <c r="DS788" s="30"/>
      <c r="DT788" s="30"/>
      <c r="DU788" s="30"/>
      <c r="DV788" s="30"/>
      <c r="DW788" s="30"/>
      <c r="DX788" s="30"/>
      <c r="DY788" s="30"/>
      <c r="DZ788" s="30"/>
    </row>
    <row r="789">
      <c r="A789" s="30"/>
      <c r="B789" s="42"/>
      <c r="C789" s="43"/>
      <c r="D789" s="30"/>
      <c r="E789" s="28"/>
      <c r="F789" s="30"/>
      <c r="G789" s="30"/>
      <c r="H789" s="30"/>
      <c r="I789" s="30"/>
      <c r="J789" s="28"/>
      <c r="K789" s="30"/>
      <c r="L789" s="30"/>
      <c r="M789" s="30"/>
      <c r="N789" s="30"/>
      <c r="O789" s="28"/>
      <c r="P789" s="30"/>
      <c r="Q789" s="30"/>
      <c r="R789" s="30"/>
      <c r="S789" s="36"/>
      <c r="T789" s="30"/>
      <c r="U789" s="36"/>
      <c r="V789" s="30"/>
      <c r="W789" s="28"/>
      <c r="X789" s="30"/>
      <c r="Y789" s="30"/>
      <c r="Z789" s="30"/>
      <c r="AA789" s="30"/>
      <c r="AB789" s="30"/>
      <c r="AC789" s="28"/>
      <c r="AD789" s="30"/>
      <c r="AE789" s="30"/>
      <c r="AF789" s="30"/>
      <c r="AG789" s="29"/>
      <c r="AH789" s="30"/>
      <c r="AI789" s="36"/>
      <c r="AJ789" s="30"/>
      <c r="AK789" s="29"/>
      <c r="AL789" s="30"/>
      <c r="AM789" s="30"/>
      <c r="AN789" s="30"/>
      <c r="AO789" s="30"/>
      <c r="AP789" s="30"/>
      <c r="AQ789" s="38"/>
      <c r="AR789" s="30"/>
      <c r="AS789" s="30"/>
      <c r="AT789" s="29"/>
      <c r="AU789" s="30"/>
      <c r="AV789" s="30"/>
      <c r="AW789" s="30"/>
      <c r="AX789" s="29"/>
      <c r="AY789" s="39"/>
      <c r="AZ789" s="30"/>
      <c r="BA789" s="30"/>
      <c r="BB789" s="29"/>
      <c r="BC789" s="52"/>
      <c r="BD789" s="30"/>
      <c r="BE789" s="29"/>
      <c r="BF789" s="30"/>
      <c r="BG789" s="30"/>
      <c r="BH789" s="30"/>
      <c r="BI789" s="30"/>
      <c r="BJ789" s="30"/>
      <c r="BK789" s="30"/>
      <c r="BL789" s="30"/>
      <c r="BM789" s="30"/>
      <c r="BN789" s="30"/>
      <c r="BO789" s="30"/>
      <c r="BP789" s="30"/>
      <c r="BQ789" s="30"/>
      <c r="BR789" s="30"/>
      <c r="BS789" s="30"/>
      <c r="BT789" s="30"/>
      <c r="BU789" s="30"/>
      <c r="BV789" s="30"/>
      <c r="BW789" s="30"/>
      <c r="BX789" s="30"/>
      <c r="BY789" s="30"/>
      <c r="BZ789" s="30"/>
      <c r="CA789" s="30"/>
      <c r="CB789" s="30"/>
      <c r="CC789" s="30"/>
      <c r="CD789" s="30"/>
      <c r="CE789" s="30"/>
      <c r="CF789" s="30"/>
      <c r="CG789" s="30"/>
      <c r="CH789" s="30"/>
      <c r="CI789" s="30"/>
      <c r="CJ789" s="30"/>
      <c r="CK789" s="30"/>
      <c r="CL789" s="30"/>
      <c r="CM789" s="30"/>
      <c r="CN789" s="30"/>
      <c r="CO789" s="30"/>
      <c r="CP789" s="30"/>
      <c r="CQ789" s="30"/>
      <c r="CR789" s="30"/>
      <c r="CS789" s="30"/>
      <c r="CT789" s="30"/>
      <c r="CU789" s="30"/>
      <c r="CV789" s="30"/>
      <c r="CW789" s="30"/>
      <c r="CX789" s="30"/>
      <c r="CY789" s="30"/>
      <c r="CZ789" s="30"/>
      <c r="DA789" s="30"/>
      <c r="DB789" s="30"/>
      <c r="DC789" s="30"/>
      <c r="DD789" s="30"/>
      <c r="DE789" s="30"/>
      <c r="DF789" s="30"/>
      <c r="DG789" s="30"/>
      <c r="DH789" s="30"/>
      <c r="DI789" s="30"/>
      <c r="DJ789" s="30"/>
      <c r="DK789" s="30"/>
      <c r="DL789" s="30"/>
      <c r="DM789" s="30"/>
      <c r="DN789" s="30"/>
      <c r="DO789" s="30"/>
      <c r="DP789" s="30"/>
      <c r="DQ789" s="30"/>
      <c r="DR789" s="30"/>
      <c r="DS789" s="30"/>
      <c r="DT789" s="30"/>
      <c r="DU789" s="30"/>
      <c r="DV789" s="30"/>
      <c r="DW789" s="30"/>
      <c r="DX789" s="30"/>
      <c r="DY789" s="30"/>
      <c r="DZ789" s="30"/>
    </row>
    <row r="790">
      <c r="A790" s="30"/>
      <c r="B790" s="42"/>
      <c r="C790" s="43"/>
      <c r="D790" s="30"/>
      <c r="E790" s="28"/>
      <c r="F790" s="30"/>
      <c r="G790" s="30"/>
      <c r="H790" s="30"/>
      <c r="I790" s="30"/>
      <c r="J790" s="28"/>
      <c r="K790" s="30"/>
      <c r="L790" s="30"/>
      <c r="M790" s="30"/>
      <c r="N790" s="30"/>
      <c r="O790" s="28"/>
      <c r="P790" s="30"/>
      <c r="Q790" s="30"/>
      <c r="R790" s="30"/>
      <c r="S790" s="36"/>
      <c r="T790" s="30"/>
      <c r="U790" s="36"/>
      <c r="V790" s="30"/>
      <c r="W790" s="28"/>
      <c r="X790" s="30"/>
      <c r="Y790" s="30"/>
      <c r="Z790" s="30"/>
      <c r="AA790" s="30"/>
      <c r="AB790" s="30"/>
      <c r="AC790" s="28"/>
      <c r="AD790" s="30"/>
      <c r="AE790" s="30"/>
      <c r="AF790" s="30"/>
      <c r="AG790" s="29"/>
      <c r="AH790" s="30"/>
      <c r="AI790" s="36"/>
      <c r="AJ790" s="30"/>
      <c r="AK790" s="29"/>
      <c r="AL790" s="30"/>
      <c r="AM790" s="30"/>
      <c r="AN790" s="30"/>
      <c r="AO790" s="30"/>
      <c r="AP790" s="30"/>
      <c r="AQ790" s="38"/>
      <c r="AR790" s="30"/>
      <c r="AS790" s="30"/>
      <c r="AT790" s="29"/>
      <c r="AU790" s="30"/>
      <c r="AV790" s="30"/>
      <c r="AW790" s="30"/>
      <c r="AX790" s="29"/>
      <c r="AY790" s="39"/>
      <c r="AZ790" s="30"/>
      <c r="BA790" s="30"/>
      <c r="BB790" s="29"/>
      <c r="BC790" s="52"/>
      <c r="BD790" s="30"/>
      <c r="BE790" s="29"/>
      <c r="BF790" s="30"/>
      <c r="BG790" s="30"/>
      <c r="BH790" s="30"/>
      <c r="BI790" s="30"/>
      <c r="BJ790" s="30"/>
      <c r="BK790" s="30"/>
      <c r="BL790" s="30"/>
      <c r="BM790" s="30"/>
      <c r="BN790" s="30"/>
      <c r="BO790" s="30"/>
      <c r="BP790" s="30"/>
      <c r="BQ790" s="30"/>
      <c r="BR790" s="30"/>
      <c r="BS790" s="30"/>
      <c r="BT790" s="30"/>
      <c r="BU790" s="30"/>
      <c r="BV790" s="30"/>
      <c r="BW790" s="30"/>
      <c r="BX790" s="30"/>
      <c r="BY790" s="30"/>
      <c r="BZ790" s="30"/>
      <c r="CA790" s="30"/>
      <c r="CB790" s="30"/>
      <c r="CC790" s="30"/>
      <c r="CD790" s="30"/>
      <c r="CE790" s="30"/>
      <c r="CF790" s="30"/>
      <c r="CG790" s="30"/>
      <c r="CH790" s="30"/>
      <c r="CI790" s="30"/>
      <c r="CJ790" s="30"/>
      <c r="CK790" s="30"/>
      <c r="CL790" s="30"/>
      <c r="CM790" s="30"/>
      <c r="CN790" s="30"/>
      <c r="CO790" s="30"/>
      <c r="CP790" s="30"/>
      <c r="CQ790" s="30"/>
      <c r="CR790" s="30"/>
      <c r="CS790" s="30"/>
      <c r="CT790" s="30"/>
      <c r="CU790" s="30"/>
      <c r="CV790" s="30"/>
      <c r="CW790" s="30"/>
      <c r="CX790" s="30"/>
      <c r="CY790" s="30"/>
      <c r="CZ790" s="30"/>
      <c r="DA790" s="30"/>
      <c r="DB790" s="30"/>
      <c r="DC790" s="30"/>
      <c r="DD790" s="30"/>
      <c r="DE790" s="30"/>
      <c r="DF790" s="30"/>
      <c r="DG790" s="30"/>
      <c r="DH790" s="30"/>
      <c r="DI790" s="30"/>
      <c r="DJ790" s="30"/>
      <c r="DK790" s="30"/>
      <c r="DL790" s="30"/>
      <c r="DM790" s="30"/>
      <c r="DN790" s="30"/>
      <c r="DO790" s="30"/>
      <c r="DP790" s="30"/>
      <c r="DQ790" s="30"/>
      <c r="DR790" s="30"/>
      <c r="DS790" s="30"/>
      <c r="DT790" s="30"/>
      <c r="DU790" s="30"/>
      <c r="DV790" s="30"/>
      <c r="DW790" s="30"/>
      <c r="DX790" s="30"/>
      <c r="DY790" s="30"/>
      <c r="DZ790" s="30"/>
    </row>
    <row r="791">
      <c r="A791" s="30"/>
      <c r="B791" s="42"/>
      <c r="C791" s="43"/>
      <c r="D791" s="30"/>
      <c r="E791" s="28"/>
      <c r="F791" s="30"/>
      <c r="G791" s="30"/>
      <c r="H791" s="30"/>
      <c r="I791" s="30"/>
      <c r="J791" s="28"/>
      <c r="K791" s="30"/>
      <c r="L791" s="30"/>
      <c r="M791" s="30"/>
      <c r="N791" s="30"/>
      <c r="O791" s="28"/>
      <c r="P791" s="30"/>
      <c r="Q791" s="30"/>
      <c r="R791" s="30"/>
      <c r="S791" s="36"/>
      <c r="T791" s="30"/>
      <c r="U791" s="36"/>
      <c r="V791" s="30"/>
      <c r="W791" s="28"/>
      <c r="X791" s="30"/>
      <c r="Y791" s="30"/>
      <c r="Z791" s="30"/>
      <c r="AA791" s="30"/>
      <c r="AB791" s="30"/>
      <c r="AC791" s="28"/>
      <c r="AD791" s="30"/>
      <c r="AE791" s="30"/>
      <c r="AF791" s="30"/>
      <c r="AG791" s="29"/>
      <c r="AH791" s="30"/>
      <c r="AI791" s="36"/>
      <c r="AJ791" s="30"/>
      <c r="AK791" s="29"/>
      <c r="AL791" s="30"/>
      <c r="AM791" s="30"/>
      <c r="AN791" s="30"/>
      <c r="AO791" s="30"/>
      <c r="AP791" s="30"/>
      <c r="AQ791" s="38"/>
      <c r="AR791" s="30"/>
      <c r="AS791" s="30"/>
      <c r="AT791" s="29"/>
      <c r="AU791" s="30"/>
      <c r="AV791" s="30"/>
      <c r="AW791" s="30"/>
      <c r="AX791" s="29"/>
      <c r="AY791" s="39"/>
      <c r="AZ791" s="30"/>
      <c r="BA791" s="30"/>
      <c r="BB791" s="29"/>
      <c r="BC791" s="52"/>
      <c r="BD791" s="30"/>
      <c r="BE791" s="29"/>
      <c r="BF791" s="30"/>
      <c r="BG791" s="30"/>
      <c r="BH791" s="30"/>
      <c r="BI791" s="30"/>
      <c r="BJ791" s="30"/>
      <c r="BK791" s="30"/>
      <c r="BL791" s="30"/>
      <c r="BM791" s="30"/>
      <c r="BN791" s="30"/>
      <c r="BO791" s="30"/>
      <c r="BP791" s="30"/>
      <c r="BQ791" s="30"/>
      <c r="BR791" s="30"/>
      <c r="BS791" s="30"/>
      <c r="BT791" s="30"/>
      <c r="BU791" s="30"/>
      <c r="BV791" s="30"/>
      <c r="BW791" s="30"/>
      <c r="BX791" s="30"/>
      <c r="BY791" s="30"/>
      <c r="BZ791" s="30"/>
      <c r="CA791" s="30"/>
      <c r="CB791" s="30"/>
      <c r="CC791" s="30"/>
      <c r="CD791" s="30"/>
      <c r="CE791" s="30"/>
      <c r="CF791" s="30"/>
      <c r="CG791" s="30"/>
      <c r="CH791" s="30"/>
      <c r="CI791" s="30"/>
      <c r="CJ791" s="30"/>
      <c r="CK791" s="30"/>
      <c r="CL791" s="30"/>
      <c r="CM791" s="30"/>
      <c r="CN791" s="30"/>
      <c r="CO791" s="30"/>
      <c r="CP791" s="30"/>
      <c r="CQ791" s="30"/>
      <c r="CR791" s="30"/>
      <c r="CS791" s="30"/>
      <c r="CT791" s="30"/>
      <c r="CU791" s="30"/>
      <c r="CV791" s="30"/>
      <c r="CW791" s="30"/>
      <c r="CX791" s="30"/>
      <c r="CY791" s="30"/>
      <c r="CZ791" s="30"/>
      <c r="DA791" s="30"/>
      <c r="DB791" s="30"/>
      <c r="DC791" s="30"/>
      <c r="DD791" s="30"/>
      <c r="DE791" s="30"/>
      <c r="DF791" s="30"/>
      <c r="DG791" s="30"/>
      <c r="DH791" s="30"/>
      <c r="DI791" s="30"/>
      <c r="DJ791" s="30"/>
      <c r="DK791" s="30"/>
      <c r="DL791" s="30"/>
      <c r="DM791" s="30"/>
      <c r="DN791" s="30"/>
      <c r="DO791" s="30"/>
      <c r="DP791" s="30"/>
      <c r="DQ791" s="30"/>
      <c r="DR791" s="30"/>
      <c r="DS791" s="30"/>
      <c r="DT791" s="30"/>
      <c r="DU791" s="30"/>
      <c r="DV791" s="30"/>
      <c r="DW791" s="30"/>
      <c r="DX791" s="30"/>
      <c r="DY791" s="30"/>
      <c r="DZ791" s="30"/>
    </row>
    <row r="792">
      <c r="A792" s="30"/>
      <c r="B792" s="42"/>
      <c r="C792" s="43"/>
      <c r="D792" s="30"/>
      <c r="E792" s="28"/>
      <c r="F792" s="30"/>
      <c r="G792" s="30"/>
      <c r="H792" s="30"/>
      <c r="I792" s="30"/>
      <c r="J792" s="28"/>
      <c r="K792" s="30"/>
      <c r="L792" s="30"/>
      <c r="M792" s="30"/>
      <c r="N792" s="30"/>
      <c r="O792" s="28"/>
      <c r="P792" s="30"/>
      <c r="Q792" s="30"/>
      <c r="R792" s="30"/>
      <c r="S792" s="36"/>
      <c r="T792" s="30"/>
      <c r="U792" s="36"/>
      <c r="V792" s="30"/>
      <c r="W792" s="28"/>
      <c r="X792" s="30"/>
      <c r="Y792" s="30"/>
      <c r="Z792" s="30"/>
      <c r="AA792" s="30"/>
      <c r="AB792" s="30"/>
      <c r="AC792" s="28"/>
      <c r="AD792" s="30"/>
      <c r="AE792" s="30"/>
      <c r="AF792" s="30"/>
      <c r="AG792" s="29"/>
      <c r="AH792" s="30"/>
      <c r="AI792" s="36"/>
      <c r="AJ792" s="30"/>
      <c r="AK792" s="29"/>
      <c r="AL792" s="30"/>
      <c r="AM792" s="30"/>
      <c r="AN792" s="30"/>
      <c r="AO792" s="30"/>
      <c r="AP792" s="30"/>
      <c r="AQ792" s="38"/>
      <c r="AR792" s="30"/>
      <c r="AS792" s="30"/>
      <c r="AT792" s="29"/>
      <c r="AU792" s="30"/>
      <c r="AV792" s="30"/>
      <c r="AW792" s="30"/>
      <c r="AX792" s="29"/>
      <c r="AY792" s="39"/>
      <c r="AZ792" s="30"/>
      <c r="BA792" s="30"/>
      <c r="BB792" s="29"/>
      <c r="BC792" s="52"/>
      <c r="BD792" s="30"/>
      <c r="BE792" s="29"/>
      <c r="BF792" s="30"/>
      <c r="BG792" s="30"/>
      <c r="BH792" s="30"/>
      <c r="BI792" s="30"/>
      <c r="BJ792" s="30"/>
      <c r="BK792" s="30"/>
      <c r="BL792" s="30"/>
      <c r="BM792" s="30"/>
      <c r="BN792" s="30"/>
      <c r="BO792" s="30"/>
      <c r="BP792" s="30"/>
      <c r="BQ792" s="30"/>
      <c r="BR792" s="30"/>
      <c r="BS792" s="30"/>
      <c r="BT792" s="30"/>
      <c r="BU792" s="30"/>
      <c r="BV792" s="30"/>
      <c r="BW792" s="30"/>
      <c r="BX792" s="30"/>
      <c r="BY792" s="30"/>
      <c r="BZ792" s="30"/>
      <c r="CA792" s="30"/>
      <c r="CB792" s="30"/>
      <c r="CC792" s="30"/>
      <c r="CD792" s="30"/>
      <c r="CE792" s="30"/>
      <c r="CF792" s="30"/>
      <c r="CG792" s="30"/>
      <c r="CH792" s="30"/>
      <c r="CI792" s="30"/>
      <c r="CJ792" s="30"/>
      <c r="CK792" s="30"/>
      <c r="CL792" s="30"/>
      <c r="CM792" s="30"/>
      <c r="CN792" s="30"/>
      <c r="CO792" s="30"/>
      <c r="CP792" s="30"/>
      <c r="CQ792" s="30"/>
      <c r="CR792" s="30"/>
      <c r="CS792" s="30"/>
      <c r="CT792" s="30"/>
      <c r="CU792" s="30"/>
      <c r="CV792" s="30"/>
      <c r="CW792" s="30"/>
      <c r="CX792" s="30"/>
      <c r="CY792" s="30"/>
      <c r="CZ792" s="30"/>
      <c r="DA792" s="30"/>
      <c r="DB792" s="30"/>
      <c r="DC792" s="30"/>
      <c r="DD792" s="30"/>
      <c r="DE792" s="30"/>
      <c r="DF792" s="30"/>
      <c r="DG792" s="30"/>
      <c r="DH792" s="30"/>
      <c r="DI792" s="30"/>
      <c r="DJ792" s="30"/>
      <c r="DK792" s="30"/>
      <c r="DL792" s="30"/>
      <c r="DM792" s="30"/>
      <c r="DN792" s="30"/>
      <c r="DO792" s="30"/>
      <c r="DP792" s="30"/>
      <c r="DQ792" s="30"/>
      <c r="DR792" s="30"/>
      <c r="DS792" s="30"/>
      <c r="DT792" s="30"/>
      <c r="DU792" s="30"/>
      <c r="DV792" s="30"/>
      <c r="DW792" s="30"/>
      <c r="DX792" s="30"/>
      <c r="DY792" s="30"/>
      <c r="DZ792" s="30"/>
    </row>
    <row r="793">
      <c r="A793" s="30"/>
      <c r="B793" s="42"/>
      <c r="C793" s="43"/>
      <c r="D793" s="30"/>
      <c r="E793" s="28"/>
      <c r="F793" s="30"/>
      <c r="G793" s="30"/>
      <c r="H793" s="30"/>
      <c r="I793" s="30"/>
      <c r="J793" s="28"/>
      <c r="K793" s="30"/>
      <c r="L793" s="30"/>
      <c r="M793" s="30"/>
      <c r="N793" s="30"/>
      <c r="O793" s="28"/>
      <c r="P793" s="30"/>
      <c r="Q793" s="30"/>
      <c r="R793" s="30"/>
      <c r="S793" s="36"/>
      <c r="T793" s="30"/>
      <c r="U793" s="36"/>
      <c r="V793" s="30"/>
      <c r="W793" s="28"/>
      <c r="X793" s="30"/>
      <c r="Y793" s="30"/>
      <c r="Z793" s="30"/>
      <c r="AA793" s="30"/>
      <c r="AB793" s="30"/>
      <c r="AC793" s="28"/>
      <c r="AD793" s="30"/>
      <c r="AE793" s="30"/>
      <c r="AF793" s="30"/>
      <c r="AG793" s="29"/>
      <c r="AH793" s="30"/>
      <c r="AI793" s="36"/>
      <c r="AJ793" s="30"/>
      <c r="AK793" s="29"/>
      <c r="AL793" s="30"/>
      <c r="AM793" s="30"/>
      <c r="AN793" s="30"/>
      <c r="AO793" s="30"/>
      <c r="AP793" s="30"/>
      <c r="AQ793" s="38"/>
      <c r="AR793" s="30"/>
      <c r="AS793" s="30"/>
      <c r="AT793" s="29"/>
      <c r="AU793" s="30"/>
      <c r="AV793" s="30"/>
      <c r="AW793" s="30"/>
      <c r="AX793" s="29"/>
      <c r="AY793" s="39"/>
      <c r="AZ793" s="30"/>
      <c r="BA793" s="30"/>
      <c r="BB793" s="29"/>
      <c r="BC793" s="52"/>
      <c r="BD793" s="30"/>
      <c r="BE793" s="29"/>
      <c r="BF793" s="30"/>
      <c r="BG793" s="30"/>
      <c r="BH793" s="30"/>
      <c r="BI793" s="30"/>
      <c r="BJ793" s="30"/>
      <c r="BK793" s="30"/>
      <c r="BL793" s="30"/>
      <c r="BM793" s="30"/>
      <c r="BN793" s="30"/>
      <c r="BO793" s="30"/>
      <c r="BP793" s="30"/>
      <c r="BQ793" s="30"/>
      <c r="BR793" s="30"/>
      <c r="BS793" s="30"/>
      <c r="BT793" s="30"/>
      <c r="BU793" s="30"/>
      <c r="BV793" s="30"/>
      <c r="BW793" s="30"/>
      <c r="BX793" s="30"/>
      <c r="BY793" s="30"/>
      <c r="BZ793" s="30"/>
      <c r="CA793" s="30"/>
      <c r="CB793" s="30"/>
      <c r="CC793" s="30"/>
      <c r="CD793" s="30"/>
      <c r="CE793" s="30"/>
      <c r="CF793" s="30"/>
      <c r="CG793" s="30"/>
      <c r="CH793" s="30"/>
      <c r="CI793" s="30"/>
      <c r="CJ793" s="30"/>
      <c r="CK793" s="30"/>
      <c r="CL793" s="30"/>
      <c r="CM793" s="30"/>
      <c r="CN793" s="30"/>
      <c r="CO793" s="30"/>
      <c r="CP793" s="30"/>
      <c r="CQ793" s="30"/>
      <c r="CR793" s="30"/>
      <c r="CS793" s="30"/>
      <c r="CT793" s="30"/>
      <c r="CU793" s="30"/>
      <c r="CV793" s="30"/>
      <c r="CW793" s="30"/>
      <c r="CX793" s="30"/>
      <c r="CY793" s="30"/>
      <c r="CZ793" s="30"/>
      <c r="DA793" s="30"/>
      <c r="DB793" s="30"/>
      <c r="DC793" s="30"/>
      <c r="DD793" s="30"/>
      <c r="DE793" s="30"/>
      <c r="DF793" s="30"/>
      <c r="DG793" s="30"/>
      <c r="DH793" s="30"/>
      <c r="DI793" s="30"/>
      <c r="DJ793" s="30"/>
      <c r="DK793" s="30"/>
      <c r="DL793" s="30"/>
      <c r="DM793" s="30"/>
      <c r="DN793" s="30"/>
      <c r="DO793" s="30"/>
      <c r="DP793" s="30"/>
      <c r="DQ793" s="30"/>
      <c r="DR793" s="30"/>
      <c r="DS793" s="30"/>
      <c r="DT793" s="30"/>
      <c r="DU793" s="30"/>
      <c r="DV793" s="30"/>
      <c r="DW793" s="30"/>
      <c r="DX793" s="30"/>
      <c r="DY793" s="30"/>
      <c r="DZ793" s="30"/>
    </row>
    <row r="794">
      <c r="A794" s="30"/>
      <c r="B794" s="42"/>
      <c r="C794" s="43"/>
      <c r="D794" s="30"/>
      <c r="E794" s="28"/>
      <c r="F794" s="30"/>
      <c r="G794" s="30"/>
      <c r="H794" s="30"/>
      <c r="I794" s="30"/>
      <c r="J794" s="28"/>
      <c r="K794" s="30"/>
      <c r="L794" s="30"/>
      <c r="M794" s="30"/>
      <c r="N794" s="30"/>
      <c r="O794" s="28"/>
      <c r="P794" s="30"/>
      <c r="Q794" s="30"/>
      <c r="R794" s="30"/>
      <c r="S794" s="36"/>
      <c r="T794" s="30"/>
      <c r="U794" s="36"/>
      <c r="V794" s="30"/>
      <c r="W794" s="28"/>
      <c r="X794" s="30"/>
      <c r="Y794" s="30"/>
      <c r="Z794" s="30"/>
      <c r="AA794" s="30"/>
      <c r="AB794" s="30"/>
      <c r="AC794" s="28"/>
      <c r="AD794" s="30"/>
      <c r="AE794" s="30"/>
      <c r="AF794" s="30"/>
      <c r="AG794" s="29"/>
      <c r="AH794" s="30"/>
      <c r="AI794" s="36"/>
      <c r="AJ794" s="30"/>
      <c r="AK794" s="29"/>
      <c r="AL794" s="30"/>
      <c r="AM794" s="30"/>
      <c r="AN794" s="30"/>
      <c r="AO794" s="30"/>
      <c r="AP794" s="30"/>
      <c r="AQ794" s="38"/>
      <c r="AR794" s="30"/>
      <c r="AS794" s="30"/>
      <c r="AT794" s="29"/>
      <c r="AU794" s="30"/>
      <c r="AV794" s="30"/>
      <c r="AW794" s="30"/>
      <c r="AX794" s="29"/>
      <c r="AY794" s="39"/>
      <c r="AZ794" s="30"/>
      <c r="BA794" s="30"/>
      <c r="BB794" s="29"/>
      <c r="BC794" s="52"/>
      <c r="BD794" s="30"/>
      <c r="BE794" s="29"/>
      <c r="BF794" s="30"/>
      <c r="BG794" s="30"/>
      <c r="BH794" s="30"/>
      <c r="BI794" s="30"/>
      <c r="BJ794" s="30"/>
      <c r="BK794" s="30"/>
      <c r="BL794" s="30"/>
      <c r="BM794" s="30"/>
      <c r="BN794" s="30"/>
      <c r="BO794" s="30"/>
      <c r="BP794" s="30"/>
      <c r="BQ794" s="30"/>
      <c r="BR794" s="30"/>
      <c r="BS794" s="30"/>
      <c r="BT794" s="30"/>
      <c r="BU794" s="30"/>
      <c r="BV794" s="30"/>
      <c r="BW794" s="30"/>
      <c r="BX794" s="30"/>
      <c r="BY794" s="30"/>
      <c r="BZ794" s="30"/>
      <c r="CA794" s="30"/>
      <c r="CB794" s="30"/>
      <c r="CC794" s="30"/>
      <c r="CD794" s="30"/>
      <c r="CE794" s="30"/>
      <c r="CF794" s="30"/>
      <c r="CG794" s="30"/>
      <c r="CH794" s="30"/>
      <c r="CI794" s="30"/>
      <c r="CJ794" s="30"/>
      <c r="CK794" s="30"/>
      <c r="CL794" s="30"/>
      <c r="CM794" s="30"/>
      <c r="CN794" s="30"/>
      <c r="CO794" s="30"/>
      <c r="CP794" s="30"/>
      <c r="CQ794" s="30"/>
      <c r="CR794" s="30"/>
      <c r="CS794" s="30"/>
      <c r="CT794" s="30"/>
      <c r="CU794" s="30"/>
      <c r="CV794" s="30"/>
      <c r="CW794" s="30"/>
      <c r="CX794" s="30"/>
      <c r="CY794" s="30"/>
      <c r="CZ794" s="30"/>
      <c r="DA794" s="30"/>
      <c r="DB794" s="30"/>
      <c r="DC794" s="30"/>
      <c r="DD794" s="30"/>
      <c r="DE794" s="30"/>
      <c r="DF794" s="30"/>
      <c r="DG794" s="30"/>
      <c r="DH794" s="30"/>
      <c r="DI794" s="30"/>
      <c r="DJ794" s="30"/>
      <c r="DK794" s="30"/>
      <c r="DL794" s="30"/>
      <c r="DM794" s="30"/>
      <c r="DN794" s="30"/>
      <c r="DO794" s="30"/>
      <c r="DP794" s="30"/>
      <c r="DQ794" s="30"/>
      <c r="DR794" s="30"/>
      <c r="DS794" s="30"/>
      <c r="DT794" s="30"/>
      <c r="DU794" s="30"/>
      <c r="DV794" s="30"/>
      <c r="DW794" s="30"/>
      <c r="DX794" s="30"/>
      <c r="DY794" s="30"/>
      <c r="DZ794" s="30"/>
    </row>
    <row r="795">
      <c r="A795" s="30"/>
      <c r="B795" s="42"/>
      <c r="C795" s="43"/>
      <c r="D795" s="30"/>
      <c r="E795" s="28"/>
      <c r="F795" s="30"/>
      <c r="G795" s="30"/>
      <c r="H795" s="30"/>
      <c r="I795" s="30"/>
      <c r="J795" s="28"/>
      <c r="K795" s="30"/>
      <c r="L795" s="30"/>
      <c r="M795" s="30"/>
      <c r="N795" s="30"/>
      <c r="O795" s="28"/>
      <c r="P795" s="30"/>
      <c r="Q795" s="30"/>
      <c r="R795" s="30"/>
      <c r="S795" s="36"/>
      <c r="T795" s="30"/>
      <c r="U795" s="36"/>
      <c r="V795" s="30"/>
      <c r="W795" s="28"/>
      <c r="X795" s="30"/>
      <c r="Y795" s="30"/>
      <c r="Z795" s="30"/>
      <c r="AA795" s="30"/>
      <c r="AB795" s="30"/>
      <c r="AC795" s="28"/>
      <c r="AD795" s="30"/>
      <c r="AE795" s="30"/>
      <c r="AF795" s="30"/>
      <c r="AG795" s="29"/>
      <c r="AH795" s="30"/>
      <c r="AI795" s="36"/>
      <c r="AJ795" s="30"/>
      <c r="AK795" s="29"/>
      <c r="AL795" s="30"/>
      <c r="AM795" s="30"/>
      <c r="AN795" s="30"/>
      <c r="AO795" s="30"/>
      <c r="AP795" s="30"/>
      <c r="AQ795" s="38"/>
      <c r="AR795" s="30"/>
      <c r="AS795" s="30"/>
      <c r="AT795" s="29"/>
      <c r="AU795" s="30"/>
      <c r="AV795" s="30"/>
      <c r="AW795" s="30"/>
      <c r="AX795" s="29"/>
      <c r="AY795" s="39"/>
      <c r="AZ795" s="30"/>
      <c r="BA795" s="30"/>
      <c r="BB795" s="29"/>
      <c r="BC795" s="52"/>
      <c r="BD795" s="30"/>
      <c r="BE795" s="29"/>
      <c r="BF795" s="30"/>
      <c r="BG795" s="30"/>
      <c r="BH795" s="30"/>
      <c r="BI795" s="30"/>
      <c r="BJ795" s="30"/>
      <c r="BK795" s="30"/>
      <c r="BL795" s="30"/>
      <c r="BM795" s="30"/>
      <c r="BN795" s="30"/>
      <c r="BO795" s="30"/>
      <c r="BP795" s="30"/>
      <c r="BQ795" s="30"/>
      <c r="BR795" s="30"/>
      <c r="BS795" s="30"/>
      <c r="BT795" s="30"/>
      <c r="BU795" s="30"/>
      <c r="BV795" s="30"/>
      <c r="BW795" s="30"/>
      <c r="BX795" s="30"/>
      <c r="BY795" s="30"/>
      <c r="BZ795" s="30"/>
      <c r="CA795" s="30"/>
      <c r="CB795" s="30"/>
      <c r="CC795" s="30"/>
      <c r="CD795" s="30"/>
      <c r="CE795" s="30"/>
      <c r="CF795" s="30"/>
      <c r="CG795" s="30"/>
      <c r="CH795" s="30"/>
      <c r="CI795" s="30"/>
      <c r="CJ795" s="30"/>
      <c r="CK795" s="30"/>
      <c r="CL795" s="30"/>
      <c r="CM795" s="30"/>
      <c r="CN795" s="30"/>
      <c r="CO795" s="30"/>
      <c r="CP795" s="30"/>
      <c r="CQ795" s="30"/>
      <c r="CR795" s="30"/>
      <c r="CS795" s="30"/>
      <c r="CT795" s="30"/>
      <c r="CU795" s="30"/>
      <c r="CV795" s="30"/>
      <c r="CW795" s="30"/>
      <c r="CX795" s="30"/>
      <c r="CY795" s="30"/>
      <c r="CZ795" s="30"/>
      <c r="DA795" s="30"/>
      <c r="DB795" s="30"/>
      <c r="DC795" s="30"/>
      <c r="DD795" s="30"/>
      <c r="DE795" s="30"/>
      <c r="DF795" s="30"/>
      <c r="DG795" s="30"/>
      <c r="DH795" s="30"/>
      <c r="DI795" s="30"/>
      <c r="DJ795" s="30"/>
      <c r="DK795" s="30"/>
      <c r="DL795" s="30"/>
      <c r="DM795" s="30"/>
      <c r="DN795" s="30"/>
      <c r="DO795" s="30"/>
      <c r="DP795" s="30"/>
      <c r="DQ795" s="30"/>
      <c r="DR795" s="30"/>
      <c r="DS795" s="30"/>
      <c r="DT795" s="30"/>
      <c r="DU795" s="30"/>
      <c r="DV795" s="30"/>
      <c r="DW795" s="30"/>
      <c r="DX795" s="30"/>
      <c r="DY795" s="30"/>
      <c r="DZ795" s="30"/>
    </row>
    <row r="796">
      <c r="A796" s="30"/>
      <c r="B796" s="42"/>
      <c r="C796" s="43"/>
      <c r="D796" s="30"/>
      <c r="E796" s="28"/>
      <c r="F796" s="30"/>
      <c r="G796" s="30"/>
      <c r="H796" s="30"/>
      <c r="I796" s="30"/>
      <c r="J796" s="28"/>
      <c r="K796" s="30"/>
      <c r="L796" s="30"/>
      <c r="M796" s="30"/>
      <c r="N796" s="30"/>
      <c r="O796" s="28"/>
      <c r="P796" s="30"/>
      <c r="Q796" s="30"/>
      <c r="R796" s="30"/>
      <c r="S796" s="36"/>
      <c r="T796" s="30"/>
      <c r="U796" s="36"/>
      <c r="V796" s="30"/>
      <c r="W796" s="28"/>
      <c r="X796" s="30"/>
      <c r="Y796" s="30"/>
      <c r="Z796" s="30"/>
      <c r="AA796" s="30"/>
      <c r="AB796" s="30"/>
      <c r="AC796" s="28"/>
      <c r="AD796" s="30"/>
      <c r="AE796" s="30"/>
      <c r="AF796" s="30"/>
      <c r="AG796" s="29"/>
      <c r="AH796" s="30"/>
      <c r="AI796" s="36"/>
      <c r="AJ796" s="30"/>
      <c r="AK796" s="29"/>
      <c r="AL796" s="30"/>
      <c r="AM796" s="30"/>
      <c r="AN796" s="30"/>
      <c r="AO796" s="30"/>
      <c r="AP796" s="30"/>
      <c r="AQ796" s="38"/>
      <c r="AR796" s="30"/>
      <c r="AS796" s="30"/>
      <c r="AT796" s="29"/>
      <c r="AU796" s="30"/>
      <c r="AV796" s="30"/>
      <c r="AW796" s="30"/>
      <c r="AX796" s="29"/>
      <c r="AY796" s="39"/>
      <c r="AZ796" s="30"/>
      <c r="BA796" s="30"/>
      <c r="BB796" s="29"/>
      <c r="BC796" s="52"/>
      <c r="BD796" s="30"/>
      <c r="BE796" s="29"/>
      <c r="BF796" s="30"/>
      <c r="BG796" s="30"/>
      <c r="BH796" s="30"/>
      <c r="BI796" s="30"/>
      <c r="BJ796" s="30"/>
      <c r="BK796" s="30"/>
      <c r="BL796" s="30"/>
      <c r="BM796" s="30"/>
      <c r="BN796" s="30"/>
      <c r="BO796" s="30"/>
      <c r="BP796" s="30"/>
      <c r="BQ796" s="30"/>
      <c r="BR796" s="30"/>
      <c r="BS796" s="30"/>
      <c r="BT796" s="30"/>
      <c r="BU796" s="30"/>
      <c r="BV796" s="30"/>
      <c r="BW796" s="30"/>
      <c r="BX796" s="30"/>
      <c r="BY796" s="30"/>
      <c r="BZ796" s="30"/>
      <c r="CA796" s="30"/>
      <c r="CB796" s="30"/>
      <c r="CC796" s="30"/>
      <c r="CD796" s="30"/>
      <c r="CE796" s="30"/>
      <c r="CF796" s="30"/>
      <c r="CG796" s="30"/>
      <c r="CH796" s="30"/>
      <c r="CI796" s="30"/>
      <c r="CJ796" s="30"/>
      <c r="CK796" s="30"/>
      <c r="CL796" s="30"/>
      <c r="CM796" s="30"/>
      <c r="CN796" s="30"/>
      <c r="CO796" s="30"/>
      <c r="CP796" s="30"/>
      <c r="CQ796" s="30"/>
      <c r="CR796" s="30"/>
      <c r="CS796" s="30"/>
      <c r="CT796" s="30"/>
      <c r="CU796" s="30"/>
      <c r="CV796" s="30"/>
      <c r="CW796" s="30"/>
      <c r="CX796" s="30"/>
      <c r="CY796" s="30"/>
      <c r="CZ796" s="30"/>
      <c r="DA796" s="30"/>
      <c r="DB796" s="30"/>
      <c r="DC796" s="30"/>
      <c r="DD796" s="30"/>
      <c r="DE796" s="30"/>
      <c r="DF796" s="30"/>
      <c r="DG796" s="30"/>
      <c r="DH796" s="30"/>
      <c r="DI796" s="30"/>
      <c r="DJ796" s="30"/>
      <c r="DK796" s="30"/>
      <c r="DL796" s="30"/>
      <c r="DM796" s="30"/>
      <c r="DN796" s="30"/>
      <c r="DO796" s="30"/>
      <c r="DP796" s="30"/>
      <c r="DQ796" s="30"/>
      <c r="DR796" s="30"/>
      <c r="DS796" s="30"/>
      <c r="DT796" s="30"/>
      <c r="DU796" s="30"/>
      <c r="DV796" s="30"/>
      <c r="DW796" s="30"/>
      <c r="DX796" s="30"/>
      <c r="DY796" s="30"/>
      <c r="DZ796" s="30"/>
    </row>
    <row r="797">
      <c r="A797" s="30"/>
      <c r="B797" s="42"/>
      <c r="C797" s="43"/>
      <c r="D797" s="30"/>
      <c r="E797" s="28"/>
      <c r="F797" s="30"/>
      <c r="G797" s="30"/>
      <c r="H797" s="30"/>
      <c r="I797" s="30"/>
      <c r="J797" s="28"/>
      <c r="K797" s="30"/>
      <c r="L797" s="30"/>
      <c r="M797" s="30"/>
      <c r="N797" s="30"/>
      <c r="O797" s="28"/>
      <c r="P797" s="30"/>
      <c r="Q797" s="30"/>
      <c r="R797" s="30"/>
      <c r="S797" s="36"/>
      <c r="T797" s="30"/>
      <c r="U797" s="36"/>
      <c r="V797" s="30"/>
      <c r="W797" s="28"/>
      <c r="X797" s="30"/>
      <c r="Y797" s="30"/>
      <c r="Z797" s="30"/>
      <c r="AA797" s="30"/>
      <c r="AB797" s="30"/>
      <c r="AC797" s="28"/>
      <c r="AD797" s="30"/>
      <c r="AE797" s="30"/>
      <c r="AF797" s="30"/>
      <c r="AG797" s="29"/>
      <c r="AH797" s="30"/>
      <c r="AI797" s="36"/>
      <c r="AJ797" s="30"/>
      <c r="AK797" s="29"/>
      <c r="AL797" s="30"/>
      <c r="AM797" s="30"/>
      <c r="AN797" s="30"/>
      <c r="AO797" s="30"/>
      <c r="AP797" s="30"/>
      <c r="AQ797" s="38"/>
      <c r="AR797" s="30"/>
      <c r="AS797" s="30"/>
      <c r="AT797" s="29"/>
      <c r="AU797" s="30"/>
      <c r="AV797" s="30"/>
      <c r="AW797" s="30"/>
      <c r="AX797" s="29"/>
      <c r="AY797" s="39"/>
      <c r="AZ797" s="30"/>
      <c r="BA797" s="30"/>
      <c r="BB797" s="29"/>
      <c r="BC797" s="52"/>
      <c r="BD797" s="30"/>
      <c r="BE797" s="29"/>
      <c r="BF797" s="30"/>
      <c r="BG797" s="30"/>
      <c r="BH797" s="30"/>
      <c r="BI797" s="30"/>
      <c r="BJ797" s="30"/>
      <c r="BK797" s="30"/>
      <c r="BL797" s="30"/>
      <c r="BM797" s="30"/>
      <c r="BN797" s="30"/>
      <c r="BO797" s="30"/>
      <c r="BP797" s="30"/>
      <c r="BQ797" s="30"/>
      <c r="BR797" s="30"/>
      <c r="BS797" s="30"/>
      <c r="BT797" s="30"/>
      <c r="BU797" s="30"/>
      <c r="BV797" s="30"/>
      <c r="BW797" s="30"/>
      <c r="BX797" s="30"/>
      <c r="BY797" s="30"/>
      <c r="BZ797" s="30"/>
      <c r="CA797" s="30"/>
      <c r="CB797" s="30"/>
      <c r="CC797" s="30"/>
      <c r="CD797" s="30"/>
      <c r="CE797" s="30"/>
      <c r="CF797" s="30"/>
      <c r="CG797" s="30"/>
      <c r="CH797" s="30"/>
      <c r="CI797" s="30"/>
      <c r="CJ797" s="30"/>
      <c r="CK797" s="30"/>
      <c r="CL797" s="30"/>
      <c r="CM797" s="30"/>
      <c r="CN797" s="30"/>
      <c r="CO797" s="30"/>
      <c r="CP797" s="30"/>
      <c r="CQ797" s="30"/>
      <c r="CR797" s="30"/>
      <c r="CS797" s="30"/>
      <c r="CT797" s="30"/>
      <c r="CU797" s="30"/>
      <c r="CV797" s="30"/>
      <c r="CW797" s="30"/>
      <c r="CX797" s="30"/>
      <c r="CY797" s="30"/>
      <c r="CZ797" s="30"/>
      <c r="DA797" s="30"/>
      <c r="DB797" s="30"/>
      <c r="DC797" s="30"/>
      <c r="DD797" s="30"/>
      <c r="DE797" s="30"/>
      <c r="DF797" s="30"/>
      <c r="DG797" s="30"/>
      <c r="DH797" s="30"/>
      <c r="DI797" s="30"/>
      <c r="DJ797" s="30"/>
      <c r="DK797" s="30"/>
      <c r="DL797" s="30"/>
      <c r="DM797" s="30"/>
      <c r="DN797" s="30"/>
      <c r="DO797" s="30"/>
      <c r="DP797" s="30"/>
      <c r="DQ797" s="30"/>
      <c r="DR797" s="30"/>
      <c r="DS797" s="30"/>
      <c r="DT797" s="30"/>
      <c r="DU797" s="30"/>
      <c r="DV797" s="30"/>
      <c r="DW797" s="30"/>
      <c r="DX797" s="30"/>
      <c r="DY797" s="30"/>
      <c r="DZ797" s="30"/>
    </row>
    <row r="798">
      <c r="A798" s="30"/>
      <c r="B798" s="42"/>
      <c r="C798" s="43"/>
      <c r="D798" s="30"/>
      <c r="E798" s="28"/>
      <c r="F798" s="30"/>
      <c r="G798" s="30"/>
      <c r="H798" s="30"/>
      <c r="I798" s="30"/>
      <c r="J798" s="28"/>
      <c r="K798" s="30"/>
      <c r="L798" s="30"/>
      <c r="M798" s="30"/>
      <c r="N798" s="30"/>
      <c r="O798" s="28"/>
      <c r="P798" s="30"/>
      <c r="Q798" s="30"/>
      <c r="R798" s="30"/>
      <c r="S798" s="36"/>
      <c r="T798" s="30"/>
      <c r="U798" s="36"/>
      <c r="V798" s="30"/>
      <c r="W798" s="28"/>
      <c r="X798" s="30"/>
      <c r="Y798" s="30"/>
      <c r="Z798" s="30"/>
      <c r="AA798" s="30"/>
      <c r="AB798" s="30"/>
      <c r="AC798" s="28"/>
      <c r="AD798" s="30"/>
      <c r="AE798" s="30"/>
      <c r="AF798" s="30"/>
      <c r="AG798" s="29"/>
      <c r="AH798" s="30"/>
      <c r="AI798" s="36"/>
      <c r="AJ798" s="30"/>
      <c r="AK798" s="29"/>
      <c r="AL798" s="30"/>
      <c r="AM798" s="30"/>
      <c r="AN798" s="30"/>
      <c r="AO798" s="30"/>
      <c r="AP798" s="30"/>
      <c r="AQ798" s="38"/>
      <c r="AR798" s="30"/>
      <c r="AS798" s="30"/>
      <c r="AT798" s="29"/>
      <c r="AU798" s="30"/>
      <c r="AV798" s="30"/>
      <c r="AW798" s="30"/>
      <c r="AX798" s="29"/>
      <c r="AY798" s="39"/>
      <c r="AZ798" s="30"/>
      <c r="BA798" s="30"/>
      <c r="BB798" s="29"/>
      <c r="BC798" s="52"/>
      <c r="BD798" s="30"/>
      <c r="BE798" s="29"/>
      <c r="BF798" s="30"/>
      <c r="BG798" s="30"/>
      <c r="BH798" s="30"/>
      <c r="BI798" s="30"/>
      <c r="BJ798" s="30"/>
      <c r="BK798" s="30"/>
      <c r="BL798" s="30"/>
      <c r="BM798" s="30"/>
      <c r="BN798" s="30"/>
      <c r="BO798" s="30"/>
      <c r="BP798" s="30"/>
      <c r="BQ798" s="30"/>
      <c r="BR798" s="30"/>
      <c r="BS798" s="30"/>
      <c r="BT798" s="30"/>
      <c r="BU798" s="30"/>
      <c r="BV798" s="30"/>
      <c r="BW798" s="30"/>
      <c r="BX798" s="30"/>
      <c r="BY798" s="30"/>
      <c r="BZ798" s="30"/>
      <c r="CA798" s="30"/>
      <c r="CB798" s="30"/>
      <c r="CC798" s="30"/>
      <c r="CD798" s="30"/>
      <c r="CE798" s="30"/>
      <c r="CF798" s="30"/>
      <c r="CG798" s="30"/>
      <c r="CH798" s="30"/>
      <c r="CI798" s="30"/>
      <c r="CJ798" s="30"/>
      <c r="CK798" s="30"/>
      <c r="CL798" s="30"/>
      <c r="CM798" s="30"/>
      <c r="CN798" s="30"/>
      <c r="CO798" s="30"/>
      <c r="CP798" s="30"/>
      <c r="CQ798" s="30"/>
      <c r="CR798" s="30"/>
      <c r="CS798" s="30"/>
      <c r="CT798" s="30"/>
      <c r="CU798" s="30"/>
      <c r="CV798" s="30"/>
      <c r="CW798" s="30"/>
      <c r="CX798" s="30"/>
      <c r="CY798" s="30"/>
      <c r="CZ798" s="30"/>
      <c r="DA798" s="30"/>
      <c r="DB798" s="30"/>
      <c r="DC798" s="30"/>
      <c r="DD798" s="30"/>
      <c r="DE798" s="30"/>
      <c r="DF798" s="30"/>
      <c r="DG798" s="30"/>
      <c r="DH798" s="30"/>
      <c r="DI798" s="30"/>
      <c r="DJ798" s="30"/>
      <c r="DK798" s="30"/>
      <c r="DL798" s="30"/>
      <c r="DM798" s="30"/>
      <c r="DN798" s="30"/>
      <c r="DO798" s="30"/>
      <c r="DP798" s="30"/>
      <c r="DQ798" s="30"/>
      <c r="DR798" s="30"/>
      <c r="DS798" s="30"/>
      <c r="DT798" s="30"/>
      <c r="DU798" s="30"/>
      <c r="DV798" s="30"/>
      <c r="DW798" s="30"/>
      <c r="DX798" s="30"/>
      <c r="DY798" s="30"/>
      <c r="DZ798" s="30"/>
    </row>
    <row r="799">
      <c r="A799" s="30"/>
      <c r="B799" s="42"/>
      <c r="C799" s="43"/>
      <c r="D799" s="30"/>
      <c r="E799" s="28"/>
      <c r="F799" s="30"/>
      <c r="G799" s="30"/>
      <c r="H799" s="30"/>
      <c r="I799" s="30"/>
      <c r="J799" s="28"/>
      <c r="K799" s="30"/>
      <c r="L799" s="30"/>
      <c r="M799" s="30"/>
      <c r="N799" s="30"/>
      <c r="O799" s="28"/>
      <c r="P799" s="30"/>
      <c r="Q799" s="30"/>
      <c r="R799" s="30"/>
      <c r="S799" s="36"/>
      <c r="T799" s="30"/>
      <c r="U799" s="36"/>
      <c r="V799" s="30"/>
      <c r="W799" s="28"/>
      <c r="X799" s="30"/>
      <c r="Y799" s="30"/>
      <c r="Z799" s="30"/>
      <c r="AA799" s="30"/>
      <c r="AB799" s="30"/>
      <c r="AC799" s="28"/>
      <c r="AD799" s="30"/>
      <c r="AE799" s="30"/>
      <c r="AF799" s="30"/>
      <c r="AG799" s="29"/>
      <c r="AH799" s="30"/>
      <c r="AI799" s="36"/>
      <c r="AJ799" s="30"/>
      <c r="AK799" s="29"/>
      <c r="AL799" s="30"/>
      <c r="AM799" s="30"/>
      <c r="AN799" s="30"/>
      <c r="AO799" s="30"/>
      <c r="AP799" s="30"/>
      <c r="AQ799" s="38"/>
      <c r="AR799" s="30"/>
      <c r="AS799" s="30"/>
      <c r="AT799" s="29"/>
      <c r="AU799" s="30"/>
      <c r="AV799" s="30"/>
      <c r="AW799" s="30"/>
      <c r="AX799" s="29"/>
      <c r="AY799" s="39"/>
      <c r="AZ799" s="30"/>
      <c r="BA799" s="30"/>
      <c r="BB799" s="29"/>
      <c r="BC799" s="52"/>
      <c r="BD799" s="30"/>
      <c r="BE799" s="29"/>
      <c r="BF799" s="30"/>
      <c r="BG799" s="30"/>
      <c r="BH799" s="30"/>
      <c r="BI799" s="30"/>
      <c r="BJ799" s="30"/>
      <c r="BK799" s="30"/>
      <c r="BL799" s="30"/>
      <c r="BM799" s="30"/>
      <c r="BN799" s="30"/>
      <c r="BO799" s="30"/>
      <c r="BP799" s="30"/>
      <c r="BQ799" s="30"/>
      <c r="BR799" s="30"/>
      <c r="BS799" s="30"/>
      <c r="BT799" s="30"/>
      <c r="BU799" s="30"/>
      <c r="BV799" s="30"/>
      <c r="BW799" s="30"/>
      <c r="BX799" s="30"/>
      <c r="BY799" s="30"/>
      <c r="BZ799" s="30"/>
      <c r="CA799" s="30"/>
      <c r="CB799" s="30"/>
      <c r="CC799" s="30"/>
      <c r="CD799" s="30"/>
      <c r="CE799" s="30"/>
      <c r="CF799" s="30"/>
      <c r="CG799" s="30"/>
      <c r="CH799" s="30"/>
      <c r="CI799" s="30"/>
      <c r="CJ799" s="30"/>
      <c r="CK799" s="30"/>
      <c r="CL799" s="30"/>
      <c r="CM799" s="30"/>
      <c r="CN799" s="30"/>
      <c r="CO799" s="30"/>
      <c r="CP799" s="30"/>
      <c r="CQ799" s="30"/>
      <c r="CR799" s="30"/>
      <c r="CS799" s="30"/>
      <c r="CT799" s="30"/>
      <c r="CU799" s="30"/>
      <c r="CV799" s="30"/>
      <c r="CW799" s="30"/>
      <c r="CX799" s="30"/>
      <c r="CY799" s="30"/>
      <c r="CZ799" s="30"/>
      <c r="DA799" s="30"/>
      <c r="DB799" s="30"/>
      <c r="DC799" s="30"/>
      <c r="DD799" s="30"/>
      <c r="DE799" s="30"/>
      <c r="DF799" s="30"/>
      <c r="DG799" s="30"/>
      <c r="DH799" s="30"/>
      <c r="DI799" s="30"/>
      <c r="DJ799" s="30"/>
      <c r="DK799" s="30"/>
      <c r="DL799" s="30"/>
      <c r="DM799" s="30"/>
      <c r="DN799" s="30"/>
      <c r="DO799" s="30"/>
      <c r="DP799" s="30"/>
      <c r="DQ799" s="30"/>
      <c r="DR799" s="30"/>
      <c r="DS799" s="30"/>
      <c r="DT799" s="30"/>
      <c r="DU799" s="30"/>
      <c r="DV799" s="30"/>
      <c r="DW799" s="30"/>
      <c r="DX799" s="30"/>
      <c r="DY799" s="30"/>
      <c r="DZ799" s="30"/>
    </row>
    <row r="800">
      <c r="A800" s="30"/>
      <c r="B800" s="42"/>
      <c r="C800" s="43"/>
      <c r="D800" s="30"/>
      <c r="E800" s="28"/>
      <c r="F800" s="30"/>
      <c r="G800" s="30"/>
      <c r="H800" s="30"/>
      <c r="I800" s="30"/>
      <c r="J800" s="28"/>
      <c r="K800" s="30"/>
      <c r="L800" s="30"/>
      <c r="M800" s="30"/>
      <c r="N800" s="30"/>
      <c r="O800" s="28"/>
      <c r="P800" s="30"/>
      <c r="Q800" s="30"/>
      <c r="R800" s="30"/>
      <c r="S800" s="36"/>
      <c r="T800" s="30"/>
      <c r="U800" s="36"/>
      <c r="V800" s="30"/>
      <c r="W800" s="28"/>
      <c r="X800" s="30"/>
      <c r="Y800" s="30"/>
      <c r="Z800" s="30"/>
      <c r="AA800" s="30"/>
      <c r="AB800" s="30"/>
      <c r="AC800" s="28"/>
      <c r="AD800" s="30"/>
      <c r="AE800" s="30"/>
      <c r="AF800" s="30"/>
      <c r="AG800" s="29"/>
      <c r="AH800" s="30"/>
      <c r="AI800" s="36"/>
      <c r="AJ800" s="30"/>
      <c r="AK800" s="29"/>
      <c r="AL800" s="30"/>
      <c r="AM800" s="30"/>
      <c r="AN800" s="30"/>
      <c r="AO800" s="30"/>
      <c r="AP800" s="30"/>
      <c r="AQ800" s="38"/>
      <c r="AR800" s="30"/>
      <c r="AS800" s="30"/>
      <c r="AT800" s="29"/>
      <c r="AU800" s="30"/>
      <c r="AV800" s="30"/>
      <c r="AW800" s="30"/>
      <c r="AX800" s="29"/>
      <c r="AY800" s="39"/>
      <c r="AZ800" s="30"/>
      <c r="BA800" s="30"/>
      <c r="BB800" s="29"/>
      <c r="BC800" s="52"/>
      <c r="BD800" s="30"/>
      <c r="BE800" s="29"/>
      <c r="BF800" s="30"/>
      <c r="BG800" s="30"/>
      <c r="BH800" s="30"/>
      <c r="BI800" s="30"/>
      <c r="BJ800" s="30"/>
      <c r="BK800" s="30"/>
      <c r="BL800" s="30"/>
      <c r="BM800" s="30"/>
      <c r="BN800" s="30"/>
      <c r="BO800" s="30"/>
      <c r="BP800" s="30"/>
      <c r="BQ800" s="30"/>
      <c r="BR800" s="30"/>
      <c r="BS800" s="30"/>
      <c r="BT800" s="30"/>
      <c r="BU800" s="30"/>
      <c r="BV800" s="30"/>
      <c r="BW800" s="30"/>
      <c r="BX800" s="30"/>
      <c r="BY800" s="30"/>
      <c r="BZ800" s="30"/>
      <c r="CA800" s="30"/>
      <c r="CB800" s="30"/>
      <c r="CC800" s="30"/>
      <c r="CD800" s="30"/>
      <c r="CE800" s="30"/>
      <c r="CF800" s="30"/>
      <c r="CG800" s="30"/>
      <c r="CH800" s="30"/>
      <c r="CI800" s="30"/>
      <c r="CJ800" s="30"/>
      <c r="CK800" s="30"/>
      <c r="CL800" s="30"/>
      <c r="CM800" s="30"/>
      <c r="CN800" s="30"/>
      <c r="CO800" s="30"/>
      <c r="CP800" s="30"/>
      <c r="CQ800" s="30"/>
      <c r="CR800" s="30"/>
      <c r="CS800" s="30"/>
      <c r="CT800" s="30"/>
      <c r="CU800" s="30"/>
      <c r="CV800" s="30"/>
      <c r="CW800" s="30"/>
      <c r="CX800" s="30"/>
      <c r="CY800" s="30"/>
      <c r="CZ800" s="30"/>
      <c r="DA800" s="30"/>
      <c r="DB800" s="30"/>
      <c r="DC800" s="30"/>
      <c r="DD800" s="30"/>
      <c r="DE800" s="30"/>
      <c r="DF800" s="30"/>
      <c r="DG800" s="30"/>
      <c r="DH800" s="30"/>
      <c r="DI800" s="30"/>
      <c r="DJ800" s="30"/>
      <c r="DK800" s="30"/>
      <c r="DL800" s="30"/>
      <c r="DM800" s="30"/>
      <c r="DN800" s="30"/>
      <c r="DO800" s="30"/>
      <c r="DP800" s="30"/>
      <c r="DQ800" s="30"/>
      <c r="DR800" s="30"/>
      <c r="DS800" s="30"/>
      <c r="DT800" s="30"/>
      <c r="DU800" s="30"/>
      <c r="DV800" s="30"/>
      <c r="DW800" s="30"/>
      <c r="DX800" s="30"/>
      <c r="DY800" s="30"/>
      <c r="DZ800" s="30"/>
    </row>
    <row r="801">
      <c r="A801" s="30"/>
      <c r="B801" s="42"/>
      <c r="C801" s="43"/>
      <c r="D801" s="30"/>
      <c r="E801" s="28"/>
      <c r="F801" s="30"/>
      <c r="G801" s="30"/>
      <c r="H801" s="30"/>
      <c r="I801" s="30"/>
      <c r="J801" s="28"/>
      <c r="K801" s="30"/>
      <c r="L801" s="30"/>
      <c r="M801" s="30"/>
      <c r="N801" s="30"/>
      <c r="O801" s="28"/>
      <c r="P801" s="30"/>
      <c r="Q801" s="30"/>
      <c r="R801" s="30"/>
      <c r="S801" s="36"/>
      <c r="T801" s="30"/>
      <c r="U801" s="36"/>
      <c r="V801" s="30"/>
      <c r="W801" s="28"/>
      <c r="X801" s="30"/>
      <c r="Y801" s="30"/>
      <c r="Z801" s="30"/>
      <c r="AA801" s="30"/>
      <c r="AB801" s="30"/>
      <c r="AC801" s="28"/>
      <c r="AD801" s="30"/>
      <c r="AE801" s="30"/>
      <c r="AF801" s="30"/>
      <c r="AG801" s="29"/>
      <c r="AH801" s="30"/>
      <c r="AI801" s="36"/>
      <c r="AJ801" s="30"/>
      <c r="AK801" s="29"/>
      <c r="AL801" s="30"/>
      <c r="AM801" s="30"/>
      <c r="AN801" s="30"/>
      <c r="AO801" s="30"/>
      <c r="AP801" s="30"/>
      <c r="AQ801" s="38"/>
      <c r="AR801" s="30"/>
      <c r="AS801" s="30"/>
      <c r="AT801" s="29"/>
      <c r="AU801" s="30"/>
      <c r="AV801" s="30"/>
      <c r="AW801" s="30"/>
      <c r="AX801" s="29"/>
      <c r="AY801" s="39"/>
      <c r="AZ801" s="30"/>
      <c r="BA801" s="30"/>
      <c r="BB801" s="29"/>
      <c r="BC801" s="52"/>
      <c r="BD801" s="30"/>
      <c r="BE801" s="29"/>
      <c r="BF801" s="30"/>
      <c r="BG801" s="30"/>
      <c r="BH801" s="30"/>
      <c r="BI801" s="30"/>
      <c r="BJ801" s="30"/>
      <c r="BK801" s="30"/>
      <c r="BL801" s="30"/>
      <c r="BM801" s="30"/>
      <c r="BN801" s="30"/>
      <c r="BO801" s="30"/>
      <c r="BP801" s="30"/>
      <c r="BQ801" s="30"/>
      <c r="BR801" s="30"/>
      <c r="BS801" s="30"/>
      <c r="BT801" s="30"/>
      <c r="BU801" s="30"/>
      <c r="BV801" s="30"/>
      <c r="BW801" s="30"/>
      <c r="BX801" s="30"/>
      <c r="BY801" s="30"/>
      <c r="BZ801" s="30"/>
      <c r="CA801" s="30"/>
      <c r="CB801" s="30"/>
      <c r="CC801" s="30"/>
      <c r="CD801" s="30"/>
      <c r="CE801" s="30"/>
      <c r="CF801" s="30"/>
      <c r="CG801" s="30"/>
      <c r="CH801" s="30"/>
      <c r="CI801" s="30"/>
      <c r="CJ801" s="30"/>
      <c r="CK801" s="30"/>
      <c r="CL801" s="30"/>
      <c r="CM801" s="30"/>
      <c r="CN801" s="30"/>
      <c r="CO801" s="30"/>
      <c r="CP801" s="30"/>
      <c r="CQ801" s="30"/>
      <c r="CR801" s="30"/>
      <c r="CS801" s="30"/>
      <c r="CT801" s="30"/>
      <c r="CU801" s="30"/>
      <c r="CV801" s="30"/>
      <c r="CW801" s="30"/>
      <c r="CX801" s="30"/>
      <c r="CY801" s="30"/>
      <c r="CZ801" s="30"/>
      <c r="DA801" s="30"/>
      <c r="DB801" s="30"/>
      <c r="DC801" s="30"/>
      <c r="DD801" s="30"/>
      <c r="DE801" s="30"/>
      <c r="DF801" s="30"/>
      <c r="DG801" s="30"/>
      <c r="DH801" s="30"/>
      <c r="DI801" s="30"/>
      <c r="DJ801" s="30"/>
      <c r="DK801" s="30"/>
      <c r="DL801" s="30"/>
      <c r="DM801" s="30"/>
      <c r="DN801" s="30"/>
      <c r="DO801" s="30"/>
      <c r="DP801" s="30"/>
      <c r="DQ801" s="30"/>
      <c r="DR801" s="30"/>
      <c r="DS801" s="30"/>
      <c r="DT801" s="30"/>
      <c r="DU801" s="30"/>
      <c r="DV801" s="30"/>
      <c r="DW801" s="30"/>
      <c r="DX801" s="30"/>
      <c r="DY801" s="30"/>
      <c r="DZ801" s="30"/>
    </row>
    <row r="802">
      <c r="A802" s="30"/>
      <c r="B802" s="42"/>
      <c r="C802" s="43"/>
      <c r="D802" s="30"/>
      <c r="E802" s="28"/>
      <c r="F802" s="30"/>
      <c r="G802" s="30"/>
      <c r="H802" s="30"/>
      <c r="I802" s="30"/>
      <c r="J802" s="28"/>
      <c r="K802" s="30"/>
      <c r="L802" s="30"/>
      <c r="M802" s="30"/>
      <c r="N802" s="30"/>
      <c r="O802" s="28"/>
      <c r="P802" s="30"/>
      <c r="Q802" s="30"/>
      <c r="R802" s="30"/>
      <c r="S802" s="36"/>
      <c r="T802" s="30"/>
      <c r="U802" s="36"/>
      <c r="V802" s="30"/>
      <c r="W802" s="28"/>
      <c r="X802" s="30"/>
      <c r="Y802" s="30"/>
      <c r="Z802" s="30"/>
      <c r="AA802" s="30"/>
      <c r="AB802" s="30"/>
      <c r="AC802" s="28"/>
      <c r="AD802" s="30"/>
      <c r="AE802" s="30"/>
      <c r="AF802" s="30"/>
      <c r="AG802" s="29"/>
      <c r="AH802" s="30"/>
      <c r="AI802" s="36"/>
      <c r="AJ802" s="30"/>
      <c r="AK802" s="29"/>
      <c r="AL802" s="30"/>
      <c r="AM802" s="30"/>
      <c r="AN802" s="30"/>
      <c r="AO802" s="30"/>
      <c r="AP802" s="30"/>
      <c r="AQ802" s="38"/>
      <c r="AR802" s="30"/>
      <c r="AS802" s="30"/>
      <c r="AT802" s="29"/>
      <c r="AU802" s="30"/>
      <c r="AV802" s="30"/>
      <c r="AW802" s="30"/>
      <c r="AX802" s="29"/>
      <c r="AY802" s="39"/>
      <c r="AZ802" s="30"/>
      <c r="BA802" s="30"/>
      <c r="BB802" s="29"/>
      <c r="BC802" s="52"/>
      <c r="BD802" s="30"/>
      <c r="BE802" s="29"/>
      <c r="BF802" s="30"/>
      <c r="BG802" s="30"/>
      <c r="BH802" s="30"/>
      <c r="BI802" s="30"/>
      <c r="BJ802" s="30"/>
      <c r="BK802" s="30"/>
      <c r="BL802" s="30"/>
      <c r="BM802" s="30"/>
      <c r="BN802" s="30"/>
      <c r="BO802" s="30"/>
      <c r="BP802" s="30"/>
      <c r="BQ802" s="30"/>
      <c r="BR802" s="30"/>
      <c r="BS802" s="30"/>
      <c r="BT802" s="30"/>
      <c r="BU802" s="30"/>
      <c r="BV802" s="30"/>
      <c r="BW802" s="30"/>
      <c r="BX802" s="30"/>
      <c r="BY802" s="30"/>
      <c r="BZ802" s="30"/>
      <c r="CA802" s="30"/>
      <c r="CB802" s="30"/>
      <c r="CC802" s="30"/>
      <c r="CD802" s="30"/>
      <c r="CE802" s="30"/>
      <c r="CF802" s="30"/>
      <c r="CG802" s="30"/>
      <c r="CH802" s="30"/>
      <c r="CI802" s="30"/>
      <c r="CJ802" s="30"/>
      <c r="CK802" s="30"/>
      <c r="CL802" s="30"/>
      <c r="CM802" s="30"/>
      <c r="CN802" s="30"/>
      <c r="CO802" s="30"/>
      <c r="CP802" s="30"/>
      <c r="CQ802" s="30"/>
      <c r="CR802" s="30"/>
      <c r="CS802" s="30"/>
      <c r="CT802" s="30"/>
      <c r="CU802" s="30"/>
      <c r="CV802" s="30"/>
      <c r="CW802" s="30"/>
      <c r="CX802" s="30"/>
      <c r="CY802" s="30"/>
      <c r="CZ802" s="30"/>
      <c r="DA802" s="30"/>
      <c r="DB802" s="30"/>
      <c r="DC802" s="30"/>
      <c r="DD802" s="30"/>
      <c r="DE802" s="30"/>
      <c r="DF802" s="30"/>
      <c r="DG802" s="30"/>
      <c r="DH802" s="30"/>
      <c r="DI802" s="30"/>
      <c r="DJ802" s="30"/>
      <c r="DK802" s="30"/>
      <c r="DL802" s="30"/>
      <c r="DM802" s="30"/>
      <c r="DN802" s="30"/>
      <c r="DO802" s="30"/>
      <c r="DP802" s="30"/>
      <c r="DQ802" s="30"/>
      <c r="DR802" s="30"/>
      <c r="DS802" s="30"/>
      <c r="DT802" s="30"/>
      <c r="DU802" s="30"/>
      <c r="DV802" s="30"/>
      <c r="DW802" s="30"/>
      <c r="DX802" s="30"/>
      <c r="DY802" s="30"/>
      <c r="DZ802" s="30"/>
    </row>
    <row r="803">
      <c r="A803" s="30"/>
      <c r="B803" s="42"/>
      <c r="C803" s="43"/>
      <c r="D803" s="30"/>
      <c r="E803" s="28"/>
      <c r="F803" s="30"/>
      <c r="G803" s="30"/>
      <c r="H803" s="30"/>
      <c r="I803" s="30"/>
      <c r="J803" s="28"/>
      <c r="K803" s="30"/>
      <c r="L803" s="30"/>
      <c r="M803" s="30"/>
      <c r="N803" s="30"/>
      <c r="O803" s="28"/>
      <c r="P803" s="30"/>
      <c r="Q803" s="30"/>
      <c r="R803" s="30"/>
      <c r="S803" s="36"/>
      <c r="T803" s="30"/>
      <c r="U803" s="36"/>
      <c r="V803" s="30"/>
      <c r="W803" s="28"/>
      <c r="X803" s="30"/>
      <c r="Y803" s="30"/>
      <c r="Z803" s="30"/>
      <c r="AA803" s="30"/>
      <c r="AB803" s="30"/>
      <c r="AC803" s="28"/>
      <c r="AD803" s="30"/>
      <c r="AE803" s="30"/>
      <c r="AF803" s="30"/>
      <c r="AG803" s="29"/>
      <c r="AH803" s="30"/>
      <c r="AI803" s="36"/>
      <c r="AJ803" s="30"/>
      <c r="AK803" s="29"/>
      <c r="AL803" s="30"/>
      <c r="AM803" s="30"/>
      <c r="AN803" s="30"/>
      <c r="AO803" s="30"/>
      <c r="AP803" s="30"/>
      <c r="AQ803" s="38"/>
      <c r="AR803" s="30"/>
      <c r="AS803" s="30"/>
      <c r="AT803" s="29"/>
      <c r="AU803" s="30"/>
      <c r="AV803" s="30"/>
      <c r="AW803" s="30"/>
      <c r="AX803" s="29"/>
      <c r="AY803" s="39"/>
      <c r="AZ803" s="30"/>
      <c r="BA803" s="30"/>
      <c r="BB803" s="29"/>
      <c r="BC803" s="52"/>
      <c r="BD803" s="30"/>
      <c r="BE803" s="29"/>
      <c r="BF803" s="30"/>
      <c r="BG803" s="30"/>
      <c r="BH803" s="30"/>
      <c r="BI803" s="30"/>
      <c r="BJ803" s="30"/>
      <c r="BK803" s="30"/>
      <c r="BL803" s="30"/>
      <c r="BM803" s="30"/>
      <c r="BN803" s="30"/>
      <c r="BO803" s="30"/>
      <c r="BP803" s="30"/>
      <c r="BQ803" s="30"/>
      <c r="BR803" s="30"/>
      <c r="BS803" s="30"/>
      <c r="BT803" s="30"/>
      <c r="BU803" s="30"/>
      <c r="BV803" s="30"/>
      <c r="BW803" s="30"/>
      <c r="BX803" s="30"/>
      <c r="BY803" s="30"/>
      <c r="BZ803" s="30"/>
      <c r="CA803" s="30"/>
      <c r="CB803" s="30"/>
      <c r="CC803" s="30"/>
      <c r="CD803" s="30"/>
      <c r="CE803" s="30"/>
      <c r="CF803" s="30"/>
      <c r="CG803" s="30"/>
      <c r="CH803" s="30"/>
      <c r="CI803" s="30"/>
      <c r="CJ803" s="30"/>
      <c r="CK803" s="30"/>
      <c r="CL803" s="30"/>
      <c r="CM803" s="30"/>
      <c r="CN803" s="30"/>
      <c r="CO803" s="30"/>
      <c r="CP803" s="30"/>
      <c r="CQ803" s="30"/>
      <c r="CR803" s="30"/>
      <c r="CS803" s="30"/>
      <c r="CT803" s="30"/>
      <c r="CU803" s="30"/>
      <c r="CV803" s="30"/>
      <c r="CW803" s="30"/>
      <c r="CX803" s="30"/>
      <c r="CY803" s="30"/>
      <c r="CZ803" s="30"/>
      <c r="DA803" s="30"/>
      <c r="DB803" s="30"/>
      <c r="DC803" s="30"/>
      <c r="DD803" s="30"/>
      <c r="DE803" s="30"/>
      <c r="DF803" s="30"/>
      <c r="DG803" s="30"/>
      <c r="DH803" s="30"/>
      <c r="DI803" s="30"/>
      <c r="DJ803" s="30"/>
      <c r="DK803" s="30"/>
      <c r="DL803" s="30"/>
      <c r="DM803" s="30"/>
      <c r="DN803" s="30"/>
      <c r="DO803" s="30"/>
      <c r="DP803" s="30"/>
      <c r="DQ803" s="30"/>
      <c r="DR803" s="30"/>
      <c r="DS803" s="30"/>
      <c r="DT803" s="30"/>
      <c r="DU803" s="30"/>
      <c r="DV803" s="30"/>
      <c r="DW803" s="30"/>
      <c r="DX803" s="30"/>
      <c r="DY803" s="30"/>
      <c r="DZ803" s="30"/>
    </row>
    <row r="804">
      <c r="A804" s="30"/>
      <c r="B804" s="42"/>
      <c r="C804" s="43"/>
      <c r="D804" s="30"/>
      <c r="E804" s="28"/>
      <c r="F804" s="30"/>
      <c r="G804" s="30"/>
      <c r="H804" s="30"/>
      <c r="I804" s="30"/>
      <c r="J804" s="28"/>
      <c r="K804" s="30"/>
      <c r="L804" s="30"/>
      <c r="M804" s="30"/>
      <c r="N804" s="30"/>
      <c r="O804" s="28"/>
      <c r="P804" s="30"/>
      <c r="Q804" s="30"/>
      <c r="R804" s="30"/>
      <c r="S804" s="36"/>
      <c r="T804" s="30"/>
      <c r="U804" s="36"/>
      <c r="V804" s="30"/>
      <c r="W804" s="28"/>
      <c r="X804" s="30"/>
      <c r="Y804" s="30"/>
      <c r="Z804" s="30"/>
      <c r="AA804" s="30"/>
      <c r="AB804" s="30"/>
      <c r="AC804" s="28"/>
      <c r="AD804" s="30"/>
      <c r="AE804" s="30"/>
      <c r="AF804" s="30"/>
      <c r="AG804" s="29"/>
      <c r="AH804" s="30"/>
      <c r="AI804" s="36"/>
      <c r="AJ804" s="30"/>
      <c r="AK804" s="29"/>
      <c r="AL804" s="30"/>
      <c r="AM804" s="30"/>
      <c r="AN804" s="30"/>
      <c r="AO804" s="30"/>
      <c r="AP804" s="30"/>
      <c r="AQ804" s="38"/>
      <c r="AR804" s="30"/>
      <c r="AS804" s="30"/>
      <c r="AT804" s="29"/>
      <c r="AU804" s="30"/>
      <c r="AV804" s="30"/>
      <c r="AW804" s="30"/>
      <c r="AX804" s="29"/>
      <c r="AY804" s="39"/>
      <c r="AZ804" s="30"/>
      <c r="BA804" s="30"/>
      <c r="BB804" s="29"/>
      <c r="BC804" s="52"/>
      <c r="BD804" s="30"/>
      <c r="BE804" s="29"/>
      <c r="BF804" s="30"/>
      <c r="BG804" s="30"/>
      <c r="BH804" s="30"/>
      <c r="BI804" s="30"/>
      <c r="BJ804" s="30"/>
      <c r="BK804" s="30"/>
      <c r="BL804" s="30"/>
      <c r="BM804" s="30"/>
      <c r="BN804" s="30"/>
      <c r="BO804" s="30"/>
      <c r="BP804" s="30"/>
      <c r="BQ804" s="30"/>
      <c r="BR804" s="30"/>
      <c r="BS804" s="30"/>
      <c r="BT804" s="30"/>
      <c r="BU804" s="30"/>
      <c r="BV804" s="30"/>
      <c r="BW804" s="30"/>
      <c r="BX804" s="30"/>
      <c r="BY804" s="30"/>
      <c r="BZ804" s="30"/>
      <c r="CA804" s="30"/>
      <c r="CB804" s="30"/>
      <c r="CC804" s="30"/>
      <c r="CD804" s="30"/>
      <c r="CE804" s="30"/>
      <c r="CF804" s="30"/>
      <c r="CG804" s="30"/>
      <c r="CH804" s="30"/>
      <c r="CI804" s="30"/>
      <c r="CJ804" s="30"/>
      <c r="CK804" s="30"/>
      <c r="CL804" s="30"/>
      <c r="CM804" s="30"/>
      <c r="CN804" s="30"/>
      <c r="CO804" s="30"/>
      <c r="CP804" s="30"/>
      <c r="CQ804" s="30"/>
      <c r="CR804" s="30"/>
      <c r="CS804" s="30"/>
      <c r="CT804" s="30"/>
      <c r="CU804" s="30"/>
      <c r="CV804" s="30"/>
      <c r="CW804" s="30"/>
      <c r="CX804" s="30"/>
      <c r="CY804" s="30"/>
      <c r="CZ804" s="30"/>
      <c r="DA804" s="30"/>
      <c r="DB804" s="30"/>
      <c r="DC804" s="30"/>
      <c r="DD804" s="30"/>
      <c r="DE804" s="30"/>
      <c r="DF804" s="30"/>
      <c r="DG804" s="30"/>
      <c r="DH804" s="30"/>
      <c r="DI804" s="30"/>
      <c r="DJ804" s="30"/>
      <c r="DK804" s="30"/>
      <c r="DL804" s="30"/>
      <c r="DM804" s="30"/>
      <c r="DN804" s="30"/>
      <c r="DO804" s="30"/>
      <c r="DP804" s="30"/>
      <c r="DQ804" s="30"/>
      <c r="DR804" s="30"/>
      <c r="DS804" s="30"/>
      <c r="DT804" s="30"/>
      <c r="DU804" s="30"/>
      <c r="DV804" s="30"/>
      <c r="DW804" s="30"/>
      <c r="DX804" s="30"/>
      <c r="DY804" s="30"/>
      <c r="DZ804" s="30"/>
    </row>
    <row r="805">
      <c r="A805" s="30"/>
      <c r="B805" s="42"/>
      <c r="C805" s="43"/>
      <c r="D805" s="30"/>
      <c r="E805" s="28"/>
      <c r="F805" s="30"/>
      <c r="G805" s="30"/>
      <c r="H805" s="30"/>
      <c r="I805" s="30"/>
      <c r="J805" s="28"/>
      <c r="K805" s="30"/>
      <c r="L805" s="30"/>
      <c r="M805" s="30"/>
      <c r="N805" s="30"/>
      <c r="O805" s="28"/>
      <c r="P805" s="30"/>
      <c r="Q805" s="30"/>
      <c r="R805" s="30"/>
      <c r="S805" s="36"/>
      <c r="T805" s="30"/>
      <c r="U805" s="36"/>
      <c r="V805" s="30"/>
      <c r="W805" s="28"/>
      <c r="X805" s="30"/>
      <c r="Y805" s="30"/>
      <c r="Z805" s="30"/>
      <c r="AA805" s="30"/>
      <c r="AB805" s="30"/>
      <c r="AC805" s="28"/>
      <c r="AD805" s="30"/>
      <c r="AE805" s="30"/>
      <c r="AF805" s="30"/>
      <c r="AG805" s="29"/>
      <c r="AH805" s="30"/>
      <c r="AI805" s="36"/>
      <c r="AJ805" s="30"/>
      <c r="AK805" s="29"/>
      <c r="AL805" s="30"/>
      <c r="AM805" s="30"/>
      <c r="AN805" s="30"/>
      <c r="AO805" s="30"/>
      <c r="AP805" s="30"/>
      <c r="AQ805" s="38"/>
      <c r="AR805" s="30"/>
      <c r="AS805" s="30"/>
      <c r="AT805" s="29"/>
      <c r="AU805" s="30"/>
      <c r="AV805" s="30"/>
      <c r="AW805" s="30"/>
      <c r="AX805" s="29"/>
      <c r="AY805" s="39"/>
      <c r="AZ805" s="30"/>
      <c r="BA805" s="30"/>
      <c r="BB805" s="29"/>
      <c r="BC805" s="52"/>
      <c r="BD805" s="30"/>
      <c r="BE805" s="29"/>
      <c r="BF805" s="30"/>
      <c r="BG805" s="30"/>
      <c r="BH805" s="30"/>
      <c r="BI805" s="30"/>
      <c r="BJ805" s="30"/>
      <c r="BK805" s="30"/>
      <c r="BL805" s="30"/>
      <c r="BM805" s="30"/>
      <c r="BN805" s="30"/>
      <c r="BO805" s="30"/>
      <c r="BP805" s="30"/>
      <c r="BQ805" s="30"/>
      <c r="BR805" s="30"/>
      <c r="BS805" s="30"/>
      <c r="BT805" s="30"/>
      <c r="BU805" s="30"/>
      <c r="BV805" s="30"/>
      <c r="BW805" s="30"/>
      <c r="BX805" s="30"/>
      <c r="BY805" s="30"/>
      <c r="BZ805" s="30"/>
      <c r="CA805" s="30"/>
      <c r="CB805" s="30"/>
      <c r="CC805" s="30"/>
      <c r="CD805" s="30"/>
      <c r="CE805" s="30"/>
      <c r="CF805" s="30"/>
      <c r="CG805" s="30"/>
      <c r="CH805" s="30"/>
      <c r="CI805" s="30"/>
      <c r="CJ805" s="30"/>
      <c r="CK805" s="30"/>
      <c r="CL805" s="30"/>
      <c r="CM805" s="30"/>
      <c r="CN805" s="30"/>
      <c r="CO805" s="30"/>
      <c r="CP805" s="30"/>
      <c r="CQ805" s="30"/>
      <c r="CR805" s="30"/>
      <c r="CS805" s="30"/>
      <c r="CT805" s="30"/>
      <c r="CU805" s="30"/>
      <c r="CV805" s="30"/>
      <c r="CW805" s="30"/>
      <c r="CX805" s="30"/>
      <c r="CY805" s="30"/>
      <c r="CZ805" s="30"/>
      <c r="DA805" s="30"/>
      <c r="DB805" s="30"/>
      <c r="DC805" s="30"/>
      <c r="DD805" s="30"/>
      <c r="DE805" s="30"/>
      <c r="DF805" s="30"/>
      <c r="DG805" s="30"/>
      <c r="DH805" s="30"/>
      <c r="DI805" s="30"/>
      <c r="DJ805" s="30"/>
      <c r="DK805" s="30"/>
      <c r="DL805" s="30"/>
      <c r="DM805" s="30"/>
      <c r="DN805" s="30"/>
      <c r="DO805" s="30"/>
      <c r="DP805" s="30"/>
      <c r="DQ805" s="30"/>
      <c r="DR805" s="30"/>
      <c r="DS805" s="30"/>
      <c r="DT805" s="30"/>
      <c r="DU805" s="30"/>
      <c r="DV805" s="30"/>
      <c r="DW805" s="30"/>
      <c r="DX805" s="30"/>
      <c r="DY805" s="30"/>
      <c r="DZ805" s="30"/>
    </row>
    <row r="806">
      <c r="A806" s="30"/>
      <c r="B806" s="42"/>
      <c r="C806" s="43"/>
      <c r="D806" s="30"/>
      <c r="E806" s="28"/>
      <c r="F806" s="30"/>
      <c r="G806" s="30"/>
      <c r="H806" s="30"/>
      <c r="I806" s="30"/>
      <c r="J806" s="28"/>
      <c r="K806" s="30"/>
      <c r="L806" s="30"/>
      <c r="M806" s="30"/>
      <c r="N806" s="30"/>
      <c r="O806" s="28"/>
      <c r="P806" s="30"/>
      <c r="Q806" s="30"/>
      <c r="R806" s="30"/>
      <c r="S806" s="36"/>
      <c r="T806" s="30"/>
      <c r="U806" s="36"/>
      <c r="V806" s="30"/>
      <c r="W806" s="28"/>
      <c r="X806" s="30"/>
      <c r="Y806" s="30"/>
      <c r="Z806" s="30"/>
      <c r="AA806" s="30"/>
      <c r="AB806" s="30"/>
      <c r="AC806" s="28"/>
      <c r="AD806" s="30"/>
      <c r="AE806" s="30"/>
      <c r="AF806" s="30"/>
      <c r="AG806" s="29"/>
      <c r="AH806" s="30"/>
      <c r="AI806" s="36"/>
      <c r="AJ806" s="30"/>
      <c r="AK806" s="29"/>
      <c r="AL806" s="30"/>
      <c r="AM806" s="30"/>
      <c r="AN806" s="30"/>
      <c r="AO806" s="30"/>
      <c r="AP806" s="30"/>
      <c r="AQ806" s="38"/>
      <c r="AR806" s="30"/>
      <c r="AS806" s="30"/>
      <c r="AT806" s="29"/>
      <c r="AU806" s="30"/>
      <c r="AV806" s="30"/>
      <c r="AW806" s="30"/>
      <c r="AX806" s="29"/>
      <c r="AY806" s="39"/>
      <c r="AZ806" s="30"/>
      <c r="BA806" s="30"/>
      <c r="BB806" s="29"/>
      <c r="BC806" s="52"/>
      <c r="BD806" s="30"/>
      <c r="BE806" s="29"/>
      <c r="BF806" s="30"/>
      <c r="BG806" s="30"/>
      <c r="BH806" s="30"/>
      <c r="BI806" s="30"/>
      <c r="BJ806" s="30"/>
      <c r="BK806" s="30"/>
      <c r="BL806" s="30"/>
      <c r="BM806" s="30"/>
      <c r="BN806" s="30"/>
      <c r="BO806" s="30"/>
      <c r="BP806" s="30"/>
      <c r="BQ806" s="30"/>
      <c r="BR806" s="30"/>
      <c r="BS806" s="30"/>
      <c r="BT806" s="30"/>
      <c r="BU806" s="30"/>
      <c r="BV806" s="30"/>
      <c r="BW806" s="30"/>
      <c r="BX806" s="30"/>
      <c r="BY806" s="30"/>
      <c r="BZ806" s="30"/>
      <c r="CA806" s="30"/>
      <c r="CB806" s="30"/>
      <c r="CC806" s="30"/>
      <c r="CD806" s="30"/>
      <c r="CE806" s="30"/>
      <c r="CF806" s="30"/>
      <c r="CG806" s="30"/>
      <c r="CH806" s="30"/>
      <c r="CI806" s="30"/>
      <c r="CJ806" s="30"/>
      <c r="CK806" s="30"/>
      <c r="CL806" s="30"/>
      <c r="CM806" s="30"/>
      <c r="CN806" s="30"/>
      <c r="CO806" s="30"/>
      <c r="CP806" s="30"/>
      <c r="CQ806" s="30"/>
      <c r="CR806" s="30"/>
      <c r="CS806" s="30"/>
      <c r="CT806" s="30"/>
      <c r="CU806" s="30"/>
      <c r="CV806" s="30"/>
      <c r="CW806" s="30"/>
      <c r="CX806" s="30"/>
      <c r="CY806" s="30"/>
      <c r="CZ806" s="30"/>
      <c r="DA806" s="30"/>
      <c r="DB806" s="30"/>
      <c r="DC806" s="30"/>
      <c r="DD806" s="30"/>
      <c r="DE806" s="30"/>
      <c r="DF806" s="30"/>
      <c r="DG806" s="30"/>
      <c r="DH806" s="30"/>
      <c r="DI806" s="30"/>
      <c r="DJ806" s="30"/>
      <c r="DK806" s="30"/>
      <c r="DL806" s="30"/>
      <c r="DM806" s="30"/>
      <c r="DN806" s="30"/>
      <c r="DO806" s="30"/>
      <c r="DP806" s="30"/>
      <c r="DQ806" s="30"/>
      <c r="DR806" s="30"/>
      <c r="DS806" s="30"/>
      <c r="DT806" s="30"/>
      <c r="DU806" s="30"/>
      <c r="DV806" s="30"/>
      <c r="DW806" s="30"/>
      <c r="DX806" s="30"/>
      <c r="DY806" s="30"/>
      <c r="DZ806" s="30"/>
    </row>
    <row r="807">
      <c r="A807" s="30"/>
      <c r="B807" s="42"/>
      <c r="C807" s="43"/>
      <c r="D807" s="30"/>
      <c r="E807" s="28"/>
      <c r="F807" s="30"/>
      <c r="G807" s="30"/>
      <c r="H807" s="30"/>
      <c r="I807" s="30"/>
      <c r="J807" s="28"/>
      <c r="K807" s="30"/>
      <c r="L807" s="30"/>
      <c r="M807" s="30"/>
      <c r="N807" s="30"/>
      <c r="O807" s="28"/>
      <c r="P807" s="30"/>
      <c r="Q807" s="30"/>
      <c r="R807" s="30"/>
      <c r="S807" s="36"/>
      <c r="T807" s="30"/>
      <c r="U807" s="36"/>
      <c r="V807" s="30"/>
      <c r="W807" s="28"/>
      <c r="X807" s="30"/>
      <c r="Y807" s="30"/>
      <c r="Z807" s="30"/>
      <c r="AA807" s="30"/>
      <c r="AB807" s="30"/>
      <c r="AC807" s="28"/>
      <c r="AD807" s="30"/>
      <c r="AE807" s="30"/>
      <c r="AF807" s="30"/>
      <c r="AG807" s="29"/>
      <c r="AH807" s="30"/>
      <c r="AI807" s="36"/>
      <c r="AJ807" s="30"/>
      <c r="AK807" s="29"/>
      <c r="AL807" s="30"/>
      <c r="AM807" s="30"/>
      <c r="AN807" s="30"/>
      <c r="AO807" s="30"/>
      <c r="AP807" s="30"/>
      <c r="AQ807" s="38"/>
      <c r="AR807" s="30"/>
      <c r="AS807" s="30"/>
      <c r="AT807" s="29"/>
      <c r="AU807" s="30"/>
      <c r="AV807" s="30"/>
      <c r="AW807" s="30"/>
      <c r="AX807" s="29"/>
      <c r="AY807" s="39"/>
      <c r="AZ807" s="30"/>
      <c r="BA807" s="30"/>
      <c r="BB807" s="29"/>
      <c r="BC807" s="52"/>
      <c r="BD807" s="30"/>
      <c r="BE807" s="29"/>
      <c r="BF807" s="30"/>
      <c r="BG807" s="30"/>
      <c r="BH807" s="30"/>
      <c r="BI807" s="30"/>
      <c r="BJ807" s="30"/>
      <c r="BK807" s="30"/>
      <c r="BL807" s="30"/>
      <c r="BM807" s="30"/>
      <c r="BN807" s="30"/>
      <c r="BO807" s="30"/>
      <c r="BP807" s="30"/>
      <c r="BQ807" s="30"/>
      <c r="BR807" s="30"/>
      <c r="BS807" s="30"/>
      <c r="BT807" s="30"/>
      <c r="BU807" s="30"/>
      <c r="BV807" s="30"/>
      <c r="BW807" s="30"/>
      <c r="BX807" s="30"/>
      <c r="BY807" s="30"/>
      <c r="BZ807" s="30"/>
      <c r="CA807" s="30"/>
      <c r="CB807" s="30"/>
      <c r="CC807" s="30"/>
      <c r="CD807" s="30"/>
      <c r="CE807" s="30"/>
      <c r="CF807" s="30"/>
      <c r="CG807" s="30"/>
      <c r="CH807" s="30"/>
      <c r="CI807" s="30"/>
      <c r="CJ807" s="30"/>
      <c r="CK807" s="30"/>
      <c r="CL807" s="30"/>
      <c r="CM807" s="30"/>
      <c r="CN807" s="30"/>
      <c r="CO807" s="30"/>
      <c r="CP807" s="30"/>
      <c r="CQ807" s="30"/>
      <c r="CR807" s="30"/>
      <c r="CS807" s="30"/>
      <c r="CT807" s="30"/>
      <c r="CU807" s="30"/>
      <c r="CV807" s="30"/>
      <c r="CW807" s="30"/>
      <c r="CX807" s="30"/>
      <c r="CY807" s="30"/>
      <c r="CZ807" s="30"/>
      <c r="DA807" s="30"/>
      <c r="DB807" s="30"/>
      <c r="DC807" s="30"/>
      <c r="DD807" s="30"/>
      <c r="DE807" s="30"/>
      <c r="DF807" s="30"/>
      <c r="DG807" s="30"/>
      <c r="DH807" s="30"/>
      <c r="DI807" s="30"/>
      <c r="DJ807" s="30"/>
      <c r="DK807" s="30"/>
      <c r="DL807" s="30"/>
      <c r="DM807" s="30"/>
      <c r="DN807" s="30"/>
      <c r="DO807" s="30"/>
      <c r="DP807" s="30"/>
      <c r="DQ807" s="30"/>
      <c r="DR807" s="30"/>
      <c r="DS807" s="30"/>
      <c r="DT807" s="30"/>
      <c r="DU807" s="30"/>
      <c r="DV807" s="30"/>
      <c r="DW807" s="30"/>
      <c r="DX807" s="30"/>
      <c r="DY807" s="30"/>
      <c r="DZ807" s="30"/>
    </row>
    <row r="808">
      <c r="A808" s="30"/>
      <c r="B808" s="42"/>
      <c r="C808" s="43"/>
      <c r="D808" s="30"/>
      <c r="E808" s="28"/>
      <c r="F808" s="30"/>
      <c r="G808" s="30"/>
      <c r="H808" s="30"/>
      <c r="I808" s="30"/>
      <c r="J808" s="28"/>
      <c r="K808" s="30"/>
      <c r="L808" s="30"/>
      <c r="M808" s="30"/>
      <c r="N808" s="30"/>
      <c r="O808" s="28"/>
      <c r="P808" s="30"/>
      <c r="Q808" s="30"/>
      <c r="R808" s="30"/>
      <c r="S808" s="36"/>
      <c r="T808" s="30"/>
      <c r="U808" s="36"/>
      <c r="V808" s="30"/>
      <c r="W808" s="28"/>
      <c r="X808" s="30"/>
      <c r="Y808" s="30"/>
      <c r="Z808" s="30"/>
      <c r="AA808" s="30"/>
      <c r="AB808" s="30"/>
      <c r="AC808" s="28"/>
      <c r="AD808" s="30"/>
      <c r="AE808" s="30"/>
      <c r="AF808" s="30"/>
      <c r="AG808" s="29"/>
      <c r="AH808" s="30"/>
      <c r="AI808" s="36"/>
      <c r="AJ808" s="30"/>
      <c r="AK808" s="29"/>
      <c r="AL808" s="30"/>
      <c r="AM808" s="30"/>
      <c r="AN808" s="30"/>
      <c r="AO808" s="30"/>
      <c r="AP808" s="30"/>
      <c r="AQ808" s="38"/>
      <c r="AR808" s="30"/>
      <c r="AS808" s="30"/>
      <c r="AT808" s="29"/>
      <c r="AU808" s="30"/>
      <c r="AV808" s="30"/>
      <c r="AW808" s="30"/>
      <c r="AX808" s="29"/>
      <c r="AY808" s="39"/>
      <c r="AZ808" s="30"/>
      <c r="BA808" s="30"/>
      <c r="BB808" s="29"/>
      <c r="BC808" s="52"/>
      <c r="BD808" s="30"/>
      <c r="BE808" s="29"/>
      <c r="BF808" s="30"/>
      <c r="BG808" s="30"/>
      <c r="BH808" s="30"/>
      <c r="BI808" s="30"/>
      <c r="BJ808" s="30"/>
      <c r="BK808" s="30"/>
      <c r="BL808" s="30"/>
      <c r="BM808" s="30"/>
      <c r="BN808" s="30"/>
      <c r="BO808" s="30"/>
      <c r="BP808" s="30"/>
      <c r="BQ808" s="30"/>
      <c r="BR808" s="30"/>
      <c r="BS808" s="30"/>
      <c r="BT808" s="30"/>
      <c r="BU808" s="30"/>
      <c r="BV808" s="30"/>
      <c r="BW808" s="30"/>
      <c r="BX808" s="30"/>
      <c r="BY808" s="30"/>
      <c r="BZ808" s="30"/>
      <c r="CA808" s="30"/>
      <c r="CB808" s="30"/>
      <c r="CC808" s="30"/>
      <c r="CD808" s="30"/>
      <c r="CE808" s="30"/>
      <c r="CF808" s="30"/>
      <c r="CG808" s="30"/>
      <c r="CH808" s="30"/>
      <c r="CI808" s="30"/>
      <c r="CJ808" s="30"/>
      <c r="CK808" s="30"/>
      <c r="CL808" s="30"/>
      <c r="CM808" s="30"/>
      <c r="CN808" s="30"/>
      <c r="CO808" s="30"/>
      <c r="CP808" s="30"/>
      <c r="CQ808" s="30"/>
      <c r="CR808" s="30"/>
      <c r="CS808" s="30"/>
      <c r="CT808" s="30"/>
      <c r="CU808" s="30"/>
      <c r="CV808" s="30"/>
      <c r="CW808" s="30"/>
      <c r="CX808" s="30"/>
      <c r="CY808" s="30"/>
      <c r="CZ808" s="30"/>
      <c r="DA808" s="30"/>
      <c r="DB808" s="30"/>
      <c r="DC808" s="30"/>
      <c r="DD808" s="30"/>
      <c r="DE808" s="30"/>
      <c r="DF808" s="30"/>
      <c r="DG808" s="30"/>
      <c r="DH808" s="30"/>
      <c r="DI808" s="30"/>
      <c r="DJ808" s="30"/>
      <c r="DK808" s="30"/>
      <c r="DL808" s="30"/>
      <c r="DM808" s="30"/>
      <c r="DN808" s="30"/>
      <c r="DO808" s="30"/>
      <c r="DP808" s="30"/>
      <c r="DQ808" s="30"/>
      <c r="DR808" s="30"/>
      <c r="DS808" s="30"/>
      <c r="DT808" s="30"/>
      <c r="DU808" s="30"/>
      <c r="DV808" s="30"/>
      <c r="DW808" s="30"/>
      <c r="DX808" s="30"/>
      <c r="DY808" s="30"/>
      <c r="DZ808" s="30"/>
    </row>
    <row r="809">
      <c r="A809" s="30"/>
      <c r="B809" s="42"/>
      <c r="C809" s="43"/>
      <c r="D809" s="30"/>
      <c r="E809" s="28"/>
      <c r="F809" s="30"/>
      <c r="G809" s="30"/>
      <c r="H809" s="30"/>
      <c r="I809" s="30"/>
      <c r="J809" s="28"/>
      <c r="K809" s="30"/>
      <c r="L809" s="30"/>
      <c r="M809" s="30"/>
      <c r="N809" s="30"/>
      <c r="O809" s="28"/>
      <c r="P809" s="30"/>
      <c r="Q809" s="30"/>
      <c r="R809" s="30"/>
      <c r="S809" s="36"/>
      <c r="T809" s="30"/>
      <c r="U809" s="36"/>
      <c r="V809" s="30"/>
      <c r="W809" s="28"/>
      <c r="X809" s="30"/>
      <c r="Y809" s="30"/>
      <c r="Z809" s="30"/>
      <c r="AA809" s="30"/>
      <c r="AB809" s="30"/>
      <c r="AC809" s="28"/>
      <c r="AD809" s="30"/>
      <c r="AE809" s="30"/>
      <c r="AF809" s="30"/>
      <c r="AG809" s="29"/>
      <c r="AH809" s="30"/>
      <c r="AI809" s="36"/>
      <c r="AJ809" s="30"/>
      <c r="AK809" s="29"/>
      <c r="AL809" s="30"/>
      <c r="AM809" s="30"/>
      <c r="AN809" s="30"/>
      <c r="AO809" s="30"/>
      <c r="AP809" s="30"/>
      <c r="AQ809" s="38"/>
      <c r="AR809" s="30"/>
      <c r="AS809" s="30"/>
      <c r="AT809" s="29"/>
      <c r="AU809" s="30"/>
      <c r="AV809" s="30"/>
      <c r="AW809" s="30"/>
      <c r="AX809" s="29"/>
      <c r="AY809" s="39"/>
      <c r="AZ809" s="30"/>
      <c r="BA809" s="30"/>
      <c r="BB809" s="29"/>
      <c r="BC809" s="52"/>
      <c r="BD809" s="30"/>
      <c r="BE809" s="29"/>
      <c r="BF809" s="30"/>
      <c r="BG809" s="30"/>
      <c r="BH809" s="30"/>
      <c r="BI809" s="30"/>
      <c r="BJ809" s="30"/>
      <c r="BK809" s="30"/>
      <c r="BL809" s="30"/>
      <c r="BM809" s="30"/>
      <c r="BN809" s="30"/>
      <c r="BO809" s="30"/>
      <c r="BP809" s="30"/>
      <c r="BQ809" s="30"/>
      <c r="BR809" s="30"/>
      <c r="BS809" s="30"/>
      <c r="BT809" s="30"/>
      <c r="BU809" s="30"/>
      <c r="BV809" s="30"/>
      <c r="BW809" s="30"/>
      <c r="BX809" s="30"/>
      <c r="BY809" s="30"/>
      <c r="BZ809" s="30"/>
      <c r="CA809" s="30"/>
      <c r="CB809" s="30"/>
      <c r="CC809" s="30"/>
      <c r="CD809" s="30"/>
      <c r="CE809" s="30"/>
      <c r="CF809" s="30"/>
      <c r="CG809" s="30"/>
      <c r="CH809" s="30"/>
      <c r="CI809" s="30"/>
      <c r="CJ809" s="30"/>
      <c r="CK809" s="30"/>
      <c r="CL809" s="30"/>
      <c r="CM809" s="30"/>
      <c r="CN809" s="30"/>
      <c r="CO809" s="30"/>
      <c r="CP809" s="30"/>
      <c r="CQ809" s="30"/>
      <c r="CR809" s="30"/>
      <c r="CS809" s="30"/>
      <c r="CT809" s="30"/>
      <c r="CU809" s="30"/>
      <c r="CV809" s="30"/>
      <c r="CW809" s="30"/>
      <c r="CX809" s="30"/>
      <c r="CY809" s="30"/>
      <c r="CZ809" s="30"/>
      <c r="DA809" s="30"/>
      <c r="DB809" s="30"/>
      <c r="DC809" s="30"/>
      <c r="DD809" s="30"/>
      <c r="DE809" s="30"/>
      <c r="DF809" s="30"/>
      <c r="DG809" s="30"/>
      <c r="DH809" s="30"/>
      <c r="DI809" s="30"/>
      <c r="DJ809" s="30"/>
      <c r="DK809" s="30"/>
      <c r="DL809" s="30"/>
      <c r="DM809" s="30"/>
      <c r="DN809" s="30"/>
      <c r="DO809" s="30"/>
      <c r="DP809" s="30"/>
      <c r="DQ809" s="30"/>
      <c r="DR809" s="30"/>
      <c r="DS809" s="30"/>
      <c r="DT809" s="30"/>
      <c r="DU809" s="30"/>
      <c r="DV809" s="30"/>
      <c r="DW809" s="30"/>
      <c r="DX809" s="30"/>
      <c r="DY809" s="30"/>
      <c r="DZ809" s="30"/>
    </row>
    <row r="810">
      <c r="A810" s="30"/>
      <c r="B810" s="42"/>
      <c r="C810" s="43"/>
      <c r="D810" s="30"/>
      <c r="E810" s="28"/>
      <c r="F810" s="30"/>
      <c r="G810" s="30"/>
      <c r="H810" s="30"/>
      <c r="I810" s="30"/>
      <c r="J810" s="28"/>
      <c r="K810" s="30"/>
      <c r="L810" s="30"/>
      <c r="M810" s="30"/>
      <c r="N810" s="30"/>
      <c r="O810" s="28"/>
      <c r="P810" s="30"/>
      <c r="Q810" s="30"/>
      <c r="R810" s="30"/>
      <c r="S810" s="36"/>
      <c r="T810" s="30"/>
      <c r="U810" s="36"/>
      <c r="V810" s="30"/>
      <c r="W810" s="28"/>
      <c r="X810" s="30"/>
      <c r="Y810" s="30"/>
      <c r="Z810" s="30"/>
      <c r="AA810" s="30"/>
      <c r="AB810" s="30"/>
      <c r="AC810" s="28"/>
      <c r="AD810" s="30"/>
      <c r="AE810" s="30"/>
      <c r="AF810" s="30"/>
      <c r="AG810" s="29"/>
      <c r="AH810" s="30"/>
      <c r="AI810" s="36"/>
      <c r="AJ810" s="30"/>
      <c r="AK810" s="29"/>
      <c r="AL810" s="30"/>
      <c r="AM810" s="30"/>
      <c r="AN810" s="30"/>
      <c r="AO810" s="30"/>
      <c r="AP810" s="30"/>
      <c r="AQ810" s="38"/>
      <c r="AR810" s="30"/>
      <c r="AS810" s="30"/>
      <c r="AT810" s="29"/>
      <c r="AU810" s="30"/>
      <c r="AV810" s="30"/>
      <c r="AW810" s="30"/>
      <c r="AX810" s="29"/>
      <c r="AY810" s="39"/>
      <c r="AZ810" s="30"/>
      <c r="BA810" s="30"/>
      <c r="BB810" s="29"/>
      <c r="BC810" s="52"/>
      <c r="BD810" s="30"/>
      <c r="BE810" s="29"/>
      <c r="BF810" s="30"/>
      <c r="BG810" s="30"/>
      <c r="BH810" s="30"/>
      <c r="BI810" s="30"/>
      <c r="BJ810" s="30"/>
      <c r="BK810" s="30"/>
      <c r="BL810" s="30"/>
      <c r="BM810" s="30"/>
      <c r="BN810" s="30"/>
      <c r="BO810" s="30"/>
      <c r="BP810" s="30"/>
      <c r="BQ810" s="30"/>
      <c r="BR810" s="30"/>
      <c r="BS810" s="30"/>
      <c r="BT810" s="30"/>
      <c r="BU810" s="30"/>
      <c r="BV810" s="30"/>
      <c r="BW810" s="30"/>
      <c r="BX810" s="30"/>
      <c r="BY810" s="30"/>
      <c r="BZ810" s="30"/>
      <c r="CA810" s="30"/>
      <c r="CB810" s="30"/>
      <c r="CC810" s="30"/>
      <c r="CD810" s="30"/>
      <c r="CE810" s="30"/>
      <c r="CF810" s="30"/>
      <c r="CG810" s="30"/>
      <c r="CH810" s="30"/>
      <c r="CI810" s="30"/>
      <c r="CJ810" s="30"/>
      <c r="CK810" s="30"/>
      <c r="CL810" s="30"/>
      <c r="CM810" s="30"/>
      <c r="CN810" s="30"/>
      <c r="CO810" s="30"/>
      <c r="CP810" s="30"/>
      <c r="CQ810" s="30"/>
      <c r="CR810" s="30"/>
      <c r="CS810" s="30"/>
      <c r="CT810" s="30"/>
      <c r="CU810" s="30"/>
      <c r="CV810" s="30"/>
      <c r="CW810" s="30"/>
      <c r="CX810" s="30"/>
      <c r="CY810" s="30"/>
      <c r="CZ810" s="30"/>
      <c r="DA810" s="30"/>
      <c r="DB810" s="30"/>
      <c r="DC810" s="30"/>
      <c r="DD810" s="30"/>
      <c r="DE810" s="30"/>
      <c r="DF810" s="30"/>
      <c r="DG810" s="30"/>
      <c r="DH810" s="30"/>
      <c r="DI810" s="30"/>
      <c r="DJ810" s="30"/>
      <c r="DK810" s="30"/>
      <c r="DL810" s="30"/>
      <c r="DM810" s="30"/>
      <c r="DN810" s="30"/>
      <c r="DO810" s="30"/>
      <c r="DP810" s="30"/>
      <c r="DQ810" s="30"/>
      <c r="DR810" s="30"/>
      <c r="DS810" s="30"/>
      <c r="DT810" s="30"/>
      <c r="DU810" s="30"/>
      <c r="DV810" s="30"/>
      <c r="DW810" s="30"/>
      <c r="DX810" s="30"/>
      <c r="DY810" s="30"/>
      <c r="DZ810" s="30"/>
    </row>
    <row r="811">
      <c r="A811" s="30"/>
      <c r="B811" s="42"/>
      <c r="C811" s="43"/>
      <c r="D811" s="30"/>
      <c r="E811" s="28"/>
      <c r="F811" s="30"/>
      <c r="G811" s="30"/>
      <c r="H811" s="30"/>
      <c r="I811" s="30"/>
      <c r="J811" s="28"/>
      <c r="K811" s="30"/>
      <c r="L811" s="30"/>
      <c r="M811" s="30"/>
      <c r="N811" s="30"/>
      <c r="O811" s="28"/>
      <c r="P811" s="30"/>
      <c r="Q811" s="30"/>
      <c r="R811" s="30"/>
      <c r="S811" s="36"/>
      <c r="T811" s="30"/>
      <c r="U811" s="36"/>
      <c r="V811" s="30"/>
      <c r="W811" s="28"/>
      <c r="X811" s="30"/>
      <c r="Y811" s="30"/>
      <c r="Z811" s="30"/>
      <c r="AA811" s="30"/>
      <c r="AB811" s="30"/>
      <c r="AC811" s="28"/>
      <c r="AD811" s="30"/>
      <c r="AE811" s="30"/>
      <c r="AF811" s="30"/>
      <c r="AG811" s="29"/>
      <c r="AH811" s="30"/>
      <c r="AI811" s="36"/>
      <c r="AJ811" s="30"/>
      <c r="AK811" s="29"/>
      <c r="AL811" s="30"/>
      <c r="AM811" s="30"/>
      <c r="AN811" s="30"/>
      <c r="AO811" s="30"/>
      <c r="AP811" s="30"/>
      <c r="AQ811" s="38"/>
      <c r="AR811" s="30"/>
      <c r="AS811" s="30"/>
      <c r="AT811" s="29"/>
      <c r="AU811" s="30"/>
      <c r="AV811" s="30"/>
      <c r="AW811" s="30"/>
      <c r="AX811" s="29"/>
      <c r="AY811" s="39"/>
      <c r="AZ811" s="30"/>
      <c r="BA811" s="30"/>
      <c r="BB811" s="29"/>
      <c r="BC811" s="52"/>
      <c r="BD811" s="30"/>
      <c r="BE811" s="29"/>
      <c r="BF811" s="30"/>
      <c r="BG811" s="30"/>
      <c r="BH811" s="30"/>
      <c r="BI811" s="30"/>
      <c r="BJ811" s="30"/>
      <c r="BK811" s="30"/>
      <c r="BL811" s="30"/>
      <c r="BM811" s="30"/>
      <c r="BN811" s="30"/>
      <c r="BO811" s="30"/>
      <c r="BP811" s="30"/>
      <c r="BQ811" s="30"/>
      <c r="BR811" s="30"/>
      <c r="BS811" s="30"/>
      <c r="BT811" s="30"/>
      <c r="BU811" s="30"/>
      <c r="BV811" s="30"/>
      <c r="BW811" s="30"/>
      <c r="BX811" s="30"/>
      <c r="BY811" s="30"/>
      <c r="BZ811" s="30"/>
      <c r="CA811" s="30"/>
      <c r="CB811" s="30"/>
      <c r="CC811" s="30"/>
      <c r="CD811" s="30"/>
      <c r="CE811" s="30"/>
      <c r="CF811" s="30"/>
      <c r="CG811" s="30"/>
      <c r="CH811" s="30"/>
      <c r="CI811" s="30"/>
      <c r="CJ811" s="30"/>
      <c r="CK811" s="30"/>
      <c r="CL811" s="30"/>
      <c r="CM811" s="30"/>
      <c r="CN811" s="30"/>
      <c r="CO811" s="30"/>
      <c r="CP811" s="30"/>
      <c r="CQ811" s="30"/>
      <c r="CR811" s="30"/>
      <c r="CS811" s="30"/>
      <c r="CT811" s="30"/>
      <c r="CU811" s="30"/>
      <c r="CV811" s="30"/>
      <c r="CW811" s="30"/>
      <c r="CX811" s="30"/>
      <c r="CY811" s="30"/>
      <c r="CZ811" s="30"/>
      <c r="DA811" s="30"/>
      <c r="DB811" s="30"/>
      <c r="DC811" s="30"/>
      <c r="DD811" s="30"/>
      <c r="DE811" s="30"/>
      <c r="DF811" s="30"/>
      <c r="DG811" s="30"/>
      <c r="DH811" s="30"/>
      <c r="DI811" s="30"/>
      <c r="DJ811" s="30"/>
      <c r="DK811" s="30"/>
      <c r="DL811" s="30"/>
      <c r="DM811" s="30"/>
      <c r="DN811" s="30"/>
      <c r="DO811" s="30"/>
      <c r="DP811" s="30"/>
      <c r="DQ811" s="30"/>
      <c r="DR811" s="30"/>
      <c r="DS811" s="30"/>
      <c r="DT811" s="30"/>
      <c r="DU811" s="30"/>
      <c r="DV811" s="30"/>
      <c r="DW811" s="30"/>
      <c r="DX811" s="30"/>
      <c r="DY811" s="30"/>
      <c r="DZ811" s="30"/>
    </row>
    <row r="812">
      <c r="A812" s="30"/>
      <c r="B812" s="42"/>
      <c r="C812" s="43"/>
      <c r="D812" s="30"/>
      <c r="E812" s="28"/>
      <c r="F812" s="30"/>
      <c r="G812" s="30"/>
      <c r="H812" s="30"/>
      <c r="I812" s="30"/>
      <c r="J812" s="28"/>
      <c r="K812" s="30"/>
      <c r="L812" s="30"/>
      <c r="M812" s="30"/>
      <c r="N812" s="30"/>
      <c r="O812" s="28"/>
      <c r="P812" s="30"/>
      <c r="Q812" s="30"/>
      <c r="R812" s="30"/>
      <c r="S812" s="36"/>
      <c r="T812" s="30"/>
      <c r="U812" s="36"/>
      <c r="V812" s="30"/>
      <c r="W812" s="28"/>
      <c r="X812" s="30"/>
      <c r="Y812" s="30"/>
      <c r="Z812" s="30"/>
      <c r="AA812" s="30"/>
      <c r="AB812" s="30"/>
      <c r="AC812" s="28"/>
      <c r="AD812" s="30"/>
      <c r="AE812" s="30"/>
      <c r="AF812" s="30"/>
      <c r="AG812" s="29"/>
      <c r="AH812" s="30"/>
      <c r="AI812" s="36"/>
      <c r="AJ812" s="30"/>
      <c r="AK812" s="29"/>
      <c r="AL812" s="30"/>
      <c r="AM812" s="30"/>
      <c r="AN812" s="30"/>
      <c r="AO812" s="30"/>
      <c r="AP812" s="30"/>
      <c r="AQ812" s="38"/>
      <c r="AR812" s="30"/>
      <c r="AS812" s="30"/>
      <c r="AT812" s="29"/>
      <c r="AU812" s="30"/>
      <c r="AV812" s="30"/>
      <c r="AW812" s="30"/>
      <c r="AX812" s="29"/>
      <c r="AY812" s="39"/>
      <c r="AZ812" s="30"/>
      <c r="BA812" s="30"/>
      <c r="BB812" s="29"/>
      <c r="BC812" s="52"/>
      <c r="BD812" s="30"/>
      <c r="BE812" s="29"/>
      <c r="BF812" s="30"/>
      <c r="BG812" s="30"/>
      <c r="BH812" s="30"/>
      <c r="BI812" s="30"/>
      <c r="BJ812" s="30"/>
      <c r="BK812" s="30"/>
      <c r="BL812" s="30"/>
      <c r="BM812" s="30"/>
      <c r="BN812" s="30"/>
      <c r="BO812" s="30"/>
      <c r="BP812" s="30"/>
      <c r="BQ812" s="30"/>
      <c r="BR812" s="30"/>
      <c r="BS812" s="30"/>
      <c r="BT812" s="30"/>
      <c r="BU812" s="30"/>
      <c r="BV812" s="30"/>
      <c r="BW812" s="30"/>
      <c r="BX812" s="30"/>
      <c r="BY812" s="30"/>
      <c r="BZ812" s="30"/>
      <c r="CA812" s="30"/>
      <c r="CB812" s="30"/>
      <c r="CC812" s="30"/>
      <c r="CD812" s="30"/>
      <c r="CE812" s="30"/>
      <c r="CF812" s="30"/>
      <c r="CG812" s="30"/>
      <c r="CH812" s="30"/>
      <c r="CI812" s="30"/>
      <c r="CJ812" s="30"/>
      <c r="CK812" s="30"/>
      <c r="CL812" s="30"/>
      <c r="CM812" s="30"/>
      <c r="CN812" s="30"/>
      <c r="CO812" s="30"/>
      <c r="CP812" s="30"/>
      <c r="CQ812" s="30"/>
      <c r="CR812" s="30"/>
      <c r="CS812" s="30"/>
      <c r="CT812" s="30"/>
      <c r="CU812" s="30"/>
      <c r="CV812" s="30"/>
      <c r="CW812" s="30"/>
      <c r="CX812" s="30"/>
      <c r="CY812" s="30"/>
      <c r="CZ812" s="30"/>
      <c r="DA812" s="30"/>
      <c r="DB812" s="30"/>
      <c r="DC812" s="30"/>
      <c r="DD812" s="30"/>
      <c r="DE812" s="30"/>
      <c r="DF812" s="30"/>
      <c r="DG812" s="30"/>
      <c r="DH812" s="30"/>
      <c r="DI812" s="30"/>
      <c r="DJ812" s="30"/>
      <c r="DK812" s="30"/>
      <c r="DL812" s="30"/>
      <c r="DM812" s="30"/>
      <c r="DN812" s="30"/>
      <c r="DO812" s="30"/>
      <c r="DP812" s="30"/>
      <c r="DQ812" s="30"/>
      <c r="DR812" s="30"/>
      <c r="DS812" s="30"/>
      <c r="DT812" s="30"/>
      <c r="DU812" s="30"/>
      <c r="DV812" s="30"/>
      <c r="DW812" s="30"/>
      <c r="DX812" s="30"/>
      <c r="DY812" s="30"/>
      <c r="DZ812" s="30"/>
    </row>
    <row r="813">
      <c r="A813" s="30"/>
      <c r="B813" s="42"/>
      <c r="C813" s="43"/>
      <c r="D813" s="30"/>
      <c r="E813" s="28"/>
      <c r="F813" s="30"/>
      <c r="G813" s="30"/>
      <c r="H813" s="30"/>
      <c r="I813" s="30"/>
      <c r="J813" s="28"/>
      <c r="K813" s="30"/>
      <c r="L813" s="30"/>
      <c r="M813" s="30"/>
      <c r="N813" s="30"/>
      <c r="O813" s="28"/>
      <c r="P813" s="30"/>
      <c r="Q813" s="30"/>
      <c r="R813" s="30"/>
      <c r="S813" s="36"/>
      <c r="T813" s="30"/>
      <c r="U813" s="36"/>
      <c r="V813" s="30"/>
      <c r="W813" s="28"/>
      <c r="X813" s="30"/>
      <c r="Y813" s="30"/>
      <c r="Z813" s="30"/>
      <c r="AA813" s="30"/>
      <c r="AB813" s="30"/>
      <c r="AC813" s="28"/>
      <c r="AD813" s="30"/>
      <c r="AE813" s="30"/>
      <c r="AF813" s="30"/>
      <c r="AG813" s="29"/>
      <c r="AH813" s="30"/>
      <c r="AI813" s="36"/>
      <c r="AJ813" s="30"/>
      <c r="AK813" s="29"/>
      <c r="AL813" s="30"/>
      <c r="AM813" s="30"/>
      <c r="AN813" s="30"/>
      <c r="AO813" s="30"/>
      <c r="AP813" s="30"/>
      <c r="AQ813" s="38"/>
      <c r="AR813" s="30"/>
      <c r="AS813" s="30"/>
      <c r="AT813" s="29"/>
      <c r="AU813" s="30"/>
      <c r="AV813" s="30"/>
      <c r="AW813" s="30"/>
      <c r="AX813" s="29"/>
      <c r="AY813" s="39"/>
      <c r="AZ813" s="30"/>
      <c r="BA813" s="30"/>
      <c r="BB813" s="29"/>
      <c r="BC813" s="52"/>
      <c r="BD813" s="30"/>
      <c r="BE813" s="29"/>
      <c r="BF813" s="30"/>
      <c r="BG813" s="30"/>
      <c r="BH813" s="30"/>
      <c r="BI813" s="30"/>
      <c r="BJ813" s="30"/>
      <c r="BK813" s="30"/>
      <c r="BL813" s="30"/>
      <c r="BM813" s="30"/>
      <c r="BN813" s="30"/>
      <c r="BO813" s="30"/>
      <c r="BP813" s="30"/>
      <c r="BQ813" s="30"/>
      <c r="BR813" s="30"/>
      <c r="BS813" s="30"/>
      <c r="BT813" s="30"/>
      <c r="BU813" s="30"/>
      <c r="BV813" s="30"/>
      <c r="BW813" s="30"/>
      <c r="BX813" s="30"/>
      <c r="BY813" s="30"/>
      <c r="BZ813" s="30"/>
      <c r="CA813" s="30"/>
      <c r="CB813" s="30"/>
      <c r="CC813" s="30"/>
      <c r="CD813" s="30"/>
      <c r="CE813" s="30"/>
      <c r="CF813" s="30"/>
      <c r="CG813" s="30"/>
      <c r="CH813" s="30"/>
      <c r="CI813" s="30"/>
      <c r="CJ813" s="30"/>
      <c r="CK813" s="30"/>
      <c r="CL813" s="30"/>
      <c r="CM813" s="30"/>
      <c r="CN813" s="30"/>
      <c r="CO813" s="30"/>
      <c r="CP813" s="30"/>
      <c r="CQ813" s="30"/>
      <c r="CR813" s="30"/>
      <c r="CS813" s="30"/>
      <c r="CT813" s="30"/>
      <c r="CU813" s="30"/>
      <c r="CV813" s="30"/>
      <c r="CW813" s="30"/>
      <c r="CX813" s="30"/>
      <c r="CY813" s="30"/>
      <c r="CZ813" s="30"/>
      <c r="DA813" s="30"/>
      <c r="DB813" s="30"/>
      <c r="DC813" s="30"/>
      <c r="DD813" s="30"/>
      <c r="DE813" s="30"/>
      <c r="DF813" s="30"/>
      <c r="DG813" s="30"/>
      <c r="DH813" s="30"/>
      <c r="DI813" s="30"/>
      <c r="DJ813" s="30"/>
      <c r="DK813" s="30"/>
      <c r="DL813" s="30"/>
      <c r="DM813" s="30"/>
      <c r="DN813" s="30"/>
      <c r="DO813" s="30"/>
      <c r="DP813" s="30"/>
      <c r="DQ813" s="30"/>
      <c r="DR813" s="30"/>
      <c r="DS813" s="30"/>
      <c r="DT813" s="30"/>
      <c r="DU813" s="30"/>
      <c r="DV813" s="30"/>
      <c r="DW813" s="30"/>
      <c r="DX813" s="30"/>
      <c r="DY813" s="30"/>
      <c r="DZ813" s="30"/>
    </row>
    <row r="814">
      <c r="A814" s="30"/>
      <c r="B814" s="42"/>
      <c r="C814" s="43"/>
      <c r="D814" s="30"/>
      <c r="E814" s="28"/>
      <c r="F814" s="30"/>
      <c r="G814" s="30"/>
      <c r="H814" s="30"/>
      <c r="I814" s="30"/>
      <c r="J814" s="28"/>
      <c r="K814" s="30"/>
      <c r="L814" s="30"/>
      <c r="M814" s="30"/>
      <c r="N814" s="30"/>
      <c r="O814" s="28"/>
      <c r="P814" s="30"/>
      <c r="Q814" s="30"/>
      <c r="R814" s="30"/>
      <c r="S814" s="36"/>
      <c r="T814" s="30"/>
      <c r="U814" s="36"/>
      <c r="V814" s="30"/>
      <c r="W814" s="28"/>
      <c r="X814" s="30"/>
      <c r="Y814" s="30"/>
      <c r="Z814" s="30"/>
      <c r="AA814" s="30"/>
      <c r="AB814" s="30"/>
      <c r="AC814" s="28"/>
      <c r="AD814" s="30"/>
      <c r="AE814" s="30"/>
      <c r="AF814" s="30"/>
      <c r="AG814" s="29"/>
      <c r="AH814" s="30"/>
      <c r="AI814" s="36"/>
      <c r="AJ814" s="30"/>
      <c r="AK814" s="29"/>
      <c r="AL814" s="30"/>
      <c r="AM814" s="30"/>
      <c r="AN814" s="30"/>
      <c r="AO814" s="30"/>
      <c r="AP814" s="30"/>
      <c r="AQ814" s="38"/>
      <c r="AR814" s="30"/>
      <c r="AS814" s="30"/>
      <c r="AT814" s="29"/>
      <c r="AU814" s="30"/>
      <c r="AV814" s="30"/>
      <c r="AW814" s="30"/>
      <c r="AX814" s="29"/>
      <c r="AY814" s="39"/>
      <c r="AZ814" s="30"/>
      <c r="BA814" s="30"/>
      <c r="BB814" s="29"/>
      <c r="BC814" s="52"/>
      <c r="BD814" s="30"/>
      <c r="BE814" s="29"/>
      <c r="BF814" s="30"/>
      <c r="BG814" s="30"/>
      <c r="BH814" s="30"/>
      <c r="BI814" s="30"/>
      <c r="BJ814" s="30"/>
      <c r="BK814" s="30"/>
      <c r="BL814" s="30"/>
      <c r="BM814" s="30"/>
      <c r="BN814" s="30"/>
      <c r="BO814" s="30"/>
      <c r="BP814" s="30"/>
      <c r="BQ814" s="30"/>
      <c r="BR814" s="30"/>
      <c r="BS814" s="30"/>
      <c r="BT814" s="30"/>
      <c r="BU814" s="30"/>
      <c r="BV814" s="30"/>
      <c r="BW814" s="30"/>
      <c r="BX814" s="30"/>
      <c r="BY814" s="30"/>
      <c r="BZ814" s="30"/>
      <c r="CA814" s="30"/>
      <c r="CB814" s="30"/>
      <c r="CC814" s="30"/>
      <c r="CD814" s="30"/>
      <c r="CE814" s="30"/>
      <c r="CF814" s="30"/>
      <c r="CG814" s="30"/>
      <c r="CH814" s="30"/>
      <c r="CI814" s="30"/>
      <c r="CJ814" s="30"/>
      <c r="CK814" s="30"/>
      <c r="CL814" s="30"/>
      <c r="CM814" s="30"/>
      <c r="CN814" s="30"/>
      <c r="CO814" s="30"/>
      <c r="CP814" s="30"/>
      <c r="CQ814" s="30"/>
      <c r="CR814" s="30"/>
      <c r="CS814" s="30"/>
      <c r="CT814" s="30"/>
      <c r="CU814" s="30"/>
      <c r="CV814" s="30"/>
      <c r="CW814" s="30"/>
      <c r="CX814" s="30"/>
      <c r="CY814" s="30"/>
      <c r="CZ814" s="30"/>
      <c r="DA814" s="30"/>
      <c r="DB814" s="30"/>
      <c r="DC814" s="30"/>
      <c r="DD814" s="30"/>
      <c r="DE814" s="30"/>
      <c r="DF814" s="30"/>
      <c r="DG814" s="30"/>
      <c r="DH814" s="30"/>
      <c r="DI814" s="30"/>
      <c r="DJ814" s="30"/>
      <c r="DK814" s="30"/>
      <c r="DL814" s="30"/>
      <c r="DM814" s="30"/>
      <c r="DN814" s="30"/>
      <c r="DO814" s="30"/>
      <c r="DP814" s="30"/>
      <c r="DQ814" s="30"/>
      <c r="DR814" s="30"/>
      <c r="DS814" s="30"/>
      <c r="DT814" s="30"/>
      <c r="DU814" s="30"/>
      <c r="DV814" s="30"/>
      <c r="DW814" s="30"/>
      <c r="DX814" s="30"/>
      <c r="DY814" s="30"/>
      <c r="DZ814" s="30"/>
    </row>
    <row r="815">
      <c r="A815" s="30"/>
      <c r="B815" s="42"/>
      <c r="C815" s="43"/>
      <c r="D815" s="30"/>
      <c r="E815" s="28"/>
      <c r="F815" s="30"/>
      <c r="G815" s="30"/>
      <c r="H815" s="30"/>
      <c r="I815" s="30"/>
      <c r="J815" s="28"/>
      <c r="K815" s="30"/>
      <c r="L815" s="30"/>
      <c r="M815" s="30"/>
      <c r="N815" s="30"/>
      <c r="O815" s="28"/>
      <c r="P815" s="30"/>
      <c r="Q815" s="30"/>
      <c r="R815" s="30"/>
      <c r="S815" s="36"/>
      <c r="T815" s="30"/>
      <c r="U815" s="36"/>
      <c r="V815" s="30"/>
      <c r="W815" s="28"/>
      <c r="X815" s="30"/>
      <c r="Y815" s="30"/>
      <c r="Z815" s="30"/>
      <c r="AA815" s="30"/>
      <c r="AB815" s="30"/>
      <c r="AC815" s="28"/>
      <c r="AD815" s="30"/>
      <c r="AE815" s="30"/>
      <c r="AF815" s="30"/>
      <c r="AG815" s="29"/>
      <c r="AH815" s="30"/>
      <c r="AI815" s="36"/>
      <c r="AJ815" s="30"/>
      <c r="AK815" s="29"/>
      <c r="AL815" s="30"/>
      <c r="AM815" s="30"/>
      <c r="AN815" s="30"/>
      <c r="AO815" s="30"/>
      <c r="AP815" s="30"/>
      <c r="AQ815" s="38"/>
      <c r="AR815" s="30"/>
      <c r="AS815" s="30"/>
      <c r="AT815" s="29"/>
      <c r="AU815" s="30"/>
      <c r="AV815" s="30"/>
      <c r="AW815" s="30"/>
      <c r="AX815" s="29"/>
      <c r="AY815" s="39"/>
      <c r="AZ815" s="30"/>
      <c r="BA815" s="30"/>
      <c r="BB815" s="29"/>
      <c r="BC815" s="52"/>
      <c r="BD815" s="30"/>
      <c r="BE815" s="29"/>
      <c r="BF815" s="30"/>
      <c r="BG815" s="30"/>
      <c r="BH815" s="30"/>
      <c r="BI815" s="30"/>
      <c r="BJ815" s="30"/>
      <c r="BK815" s="30"/>
      <c r="BL815" s="30"/>
      <c r="BM815" s="30"/>
      <c r="BN815" s="30"/>
      <c r="BO815" s="30"/>
      <c r="BP815" s="30"/>
      <c r="BQ815" s="30"/>
      <c r="BR815" s="30"/>
      <c r="BS815" s="30"/>
      <c r="BT815" s="30"/>
      <c r="BU815" s="30"/>
      <c r="BV815" s="30"/>
      <c r="BW815" s="30"/>
      <c r="BX815" s="30"/>
      <c r="BY815" s="30"/>
      <c r="BZ815" s="30"/>
      <c r="CA815" s="30"/>
      <c r="CB815" s="30"/>
      <c r="CC815" s="30"/>
      <c r="CD815" s="30"/>
      <c r="CE815" s="30"/>
      <c r="CF815" s="30"/>
      <c r="CG815" s="30"/>
      <c r="CH815" s="30"/>
      <c r="CI815" s="30"/>
      <c r="CJ815" s="30"/>
      <c r="CK815" s="30"/>
      <c r="CL815" s="30"/>
      <c r="CM815" s="30"/>
      <c r="CN815" s="30"/>
      <c r="CO815" s="30"/>
      <c r="CP815" s="30"/>
      <c r="CQ815" s="30"/>
      <c r="CR815" s="30"/>
      <c r="CS815" s="30"/>
      <c r="CT815" s="30"/>
      <c r="CU815" s="30"/>
      <c r="CV815" s="30"/>
      <c r="CW815" s="30"/>
      <c r="CX815" s="30"/>
      <c r="CY815" s="30"/>
      <c r="CZ815" s="30"/>
      <c r="DA815" s="30"/>
      <c r="DB815" s="30"/>
      <c r="DC815" s="30"/>
      <c r="DD815" s="30"/>
      <c r="DE815" s="30"/>
      <c r="DF815" s="30"/>
      <c r="DG815" s="30"/>
      <c r="DH815" s="30"/>
      <c r="DI815" s="30"/>
      <c r="DJ815" s="30"/>
      <c r="DK815" s="30"/>
      <c r="DL815" s="30"/>
      <c r="DM815" s="30"/>
      <c r="DN815" s="30"/>
      <c r="DO815" s="30"/>
      <c r="DP815" s="30"/>
      <c r="DQ815" s="30"/>
      <c r="DR815" s="30"/>
      <c r="DS815" s="30"/>
      <c r="DT815" s="30"/>
      <c r="DU815" s="30"/>
      <c r="DV815" s="30"/>
      <c r="DW815" s="30"/>
      <c r="DX815" s="30"/>
      <c r="DY815" s="30"/>
      <c r="DZ815" s="30"/>
    </row>
    <row r="816">
      <c r="A816" s="30"/>
      <c r="B816" s="42"/>
      <c r="C816" s="43"/>
      <c r="D816" s="30"/>
      <c r="E816" s="28"/>
      <c r="F816" s="30"/>
      <c r="G816" s="30"/>
      <c r="H816" s="30"/>
      <c r="I816" s="30"/>
      <c r="J816" s="28"/>
      <c r="K816" s="30"/>
      <c r="L816" s="30"/>
      <c r="M816" s="30"/>
      <c r="N816" s="30"/>
      <c r="O816" s="28"/>
      <c r="P816" s="30"/>
      <c r="Q816" s="30"/>
      <c r="R816" s="30"/>
      <c r="S816" s="36"/>
      <c r="T816" s="30"/>
      <c r="U816" s="36"/>
      <c r="V816" s="30"/>
      <c r="W816" s="28"/>
      <c r="X816" s="30"/>
      <c r="Y816" s="30"/>
      <c r="Z816" s="30"/>
      <c r="AA816" s="30"/>
      <c r="AB816" s="30"/>
      <c r="AC816" s="28"/>
      <c r="AD816" s="30"/>
      <c r="AE816" s="30"/>
      <c r="AF816" s="30"/>
      <c r="AG816" s="29"/>
      <c r="AH816" s="30"/>
      <c r="AI816" s="36"/>
      <c r="AJ816" s="30"/>
      <c r="AK816" s="29"/>
      <c r="AL816" s="30"/>
      <c r="AM816" s="30"/>
      <c r="AN816" s="30"/>
      <c r="AO816" s="30"/>
      <c r="AP816" s="30"/>
      <c r="AQ816" s="38"/>
      <c r="AR816" s="30"/>
      <c r="AS816" s="30"/>
      <c r="AT816" s="29"/>
      <c r="AU816" s="30"/>
      <c r="AV816" s="30"/>
      <c r="AW816" s="30"/>
      <c r="AX816" s="29"/>
      <c r="AY816" s="39"/>
      <c r="AZ816" s="30"/>
      <c r="BA816" s="30"/>
      <c r="BB816" s="29"/>
      <c r="BC816" s="52"/>
      <c r="BD816" s="30"/>
      <c r="BE816" s="29"/>
      <c r="BF816" s="30"/>
      <c r="BG816" s="30"/>
      <c r="BH816" s="30"/>
      <c r="BI816" s="30"/>
      <c r="BJ816" s="30"/>
      <c r="BK816" s="30"/>
      <c r="BL816" s="30"/>
      <c r="BM816" s="30"/>
      <c r="BN816" s="30"/>
      <c r="BO816" s="30"/>
      <c r="BP816" s="30"/>
      <c r="BQ816" s="30"/>
      <c r="BR816" s="30"/>
      <c r="BS816" s="30"/>
      <c r="BT816" s="30"/>
      <c r="BU816" s="30"/>
      <c r="BV816" s="30"/>
      <c r="BW816" s="30"/>
      <c r="BX816" s="30"/>
      <c r="BY816" s="30"/>
      <c r="BZ816" s="30"/>
      <c r="CA816" s="30"/>
      <c r="CB816" s="30"/>
      <c r="CC816" s="30"/>
      <c r="CD816" s="30"/>
      <c r="CE816" s="30"/>
      <c r="CF816" s="30"/>
      <c r="CG816" s="30"/>
      <c r="CH816" s="30"/>
      <c r="CI816" s="30"/>
      <c r="CJ816" s="30"/>
      <c r="CK816" s="30"/>
      <c r="CL816" s="30"/>
      <c r="CM816" s="30"/>
      <c r="CN816" s="30"/>
      <c r="CO816" s="30"/>
      <c r="CP816" s="30"/>
      <c r="CQ816" s="30"/>
      <c r="CR816" s="30"/>
      <c r="CS816" s="30"/>
      <c r="CT816" s="30"/>
      <c r="CU816" s="30"/>
      <c r="CV816" s="30"/>
      <c r="CW816" s="30"/>
      <c r="CX816" s="30"/>
      <c r="CY816" s="30"/>
      <c r="CZ816" s="30"/>
      <c r="DA816" s="30"/>
      <c r="DB816" s="30"/>
      <c r="DC816" s="30"/>
      <c r="DD816" s="30"/>
      <c r="DE816" s="30"/>
      <c r="DF816" s="30"/>
      <c r="DG816" s="30"/>
      <c r="DH816" s="30"/>
      <c r="DI816" s="30"/>
      <c r="DJ816" s="30"/>
      <c r="DK816" s="30"/>
      <c r="DL816" s="30"/>
      <c r="DM816" s="30"/>
      <c r="DN816" s="30"/>
      <c r="DO816" s="30"/>
      <c r="DP816" s="30"/>
      <c r="DQ816" s="30"/>
      <c r="DR816" s="30"/>
      <c r="DS816" s="30"/>
      <c r="DT816" s="30"/>
      <c r="DU816" s="30"/>
      <c r="DV816" s="30"/>
      <c r="DW816" s="30"/>
      <c r="DX816" s="30"/>
      <c r="DY816" s="30"/>
      <c r="DZ816" s="30"/>
    </row>
    <row r="817">
      <c r="A817" s="30"/>
      <c r="B817" s="42"/>
      <c r="C817" s="43"/>
      <c r="D817" s="30"/>
      <c r="E817" s="28"/>
      <c r="F817" s="30"/>
      <c r="G817" s="30"/>
      <c r="H817" s="30"/>
      <c r="I817" s="30"/>
      <c r="J817" s="28"/>
      <c r="K817" s="30"/>
      <c r="L817" s="30"/>
      <c r="M817" s="30"/>
      <c r="N817" s="30"/>
      <c r="O817" s="28"/>
      <c r="P817" s="30"/>
      <c r="Q817" s="30"/>
      <c r="R817" s="30"/>
      <c r="S817" s="36"/>
      <c r="T817" s="30"/>
      <c r="U817" s="36"/>
      <c r="V817" s="30"/>
      <c r="W817" s="28"/>
      <c r="X817" s="30"/>
      <c r="Y817" s="30"/>
      <c r="Z817" s="30"/>
      <c r="AA817" s="30"/>
      <c r="AB817" s="30"/>
      <c r="AC817" s="28"/>
      <c r="AD817" s="30"/>
      <c r="AE817" s="30"/>
      <c r="AF817" s="30"/>
      <c r="AG817" s="29"/>
      <c r="AH817" s="30"/>
      <c r="AI817" s="36"/>
      <c r="AJ817" s="30"/>
      <c r="AK817" s="29"/>
      <c r="AL817" s="30"/>
      <c r="AM817" s="30"/>
      <c r="AN817" s="30"/>
      <c r="AO817" s="30"/>
      <c r="AP817" s="30"/>
      <c r="AQ817" s="38"/>
      <c r="AR817" s="30"/>
      <c r="AS817" s="30"/>
      <c r="AT817" s="29"/>
      <c r="AU817" s="30"/>
      <c r="AV817" s="30"/>
      <c r="AW817" s="30"/>
      <c r="AX817" s="29"/>
      <c r="AY817" s="39"/>
      <c r="AZ817" s="30"/>
      <c r="BA817" s="30"/>
      <c r="BB817" s="29"/>
      <c r="BC817" s="52"/>
      <c r="BD817" s="30"/>
      <c r="BE817" s="29"/>
      <c r="BF817" s="30"/>
      <c r="BG817" s="30"/>
      <c r="BH817" s="30"/>
      <c r="BI817" s="30"/>
      <c r="BJ817" s="30"/>
      <c r="BK817" s="30"/>
      <c r="BL817" s="30"/>
      <c r="BM817" s="30"/>
      <c r="BN817" s="30"/>
      <c r="BO817" s="30"/>
      <c r="BP817" s="30"/>
      <c r="BQ817" s="30"/>
      <c r="BR817" s="30"/>
      <c r="BS817" s="30"/>
      <c r="BT817" s="30"/>
      <c r="BU817" s="30"/>
      <c r="BV817" s="30"/>
      <c r="BW817" s="30"/>
      <c r="BX817" s="30"/>
      <c r="BY817" s="30"/>
      <c r="BZ817" s="30"/>
      <c r="CA817" s="30"/>
      <c r="CB817" s="30"/>
      <c r="CC817" s="30"/>
      <c r="CD817" s="30"/>
      <c r="CE817" s="30"/>
      <c r="CF817" s="30"/>
      <c r="CG817" s="30"/>
      <c r="CH817" s="30"/>
      <c r="CI817" s="30"/>
      <c r="CJ817" s="30"/>
      <c r="CK817" s="30"/>
      <c r="CL817" s="30"/>
      <c r="CM817" s="30"/>
      <c r="CN817" s="30"/>
      <c r="CO817" s="30"/>
      <c r="CP817" s="30"/>
      <c r="CQ817" s="30"/>
      <c r="CR817" s="30"/>
      <c r="CS817" s="30"/>
      <c r="CT817" s="30"/>
      <c r="CU817" s="30"/>
      <c r="CV817" s="30"/>
      <c r="CW817" s="30"/>
      <c r="CX817" s="30"/>
      <c r="CY817" s="30"/>
      <c r="CZ817" s="30"/>
      <c r="DA817" s="30"/>
      <c r="DB817" s="30"/>
      <c r="DC817" s="30"/>
      <c r="DD817" s="30"/>
      <c r="DE817" s="30"/>
      <c r="DF817" s="30"/>
      <c r="DG817" s="30"/>
      <c r="DH817" s="30"/>
      <c r="DI817" s="30"/>
      <c r="DJ817" s="30"/>
      <c r="DK817" s="30"/>
      <c r="DL817" s="30"/>
      <c r="DM817" s="30"/>
      <c r="DN817" s="30"/>
      <c r="DO817" s="30"/>
      <c r="DP817" s="30"/>
      <c r="DQ817" s="30"/>
      <c r="DR817" s="30"/>
      <c r="DS817" s="30"/>
      <c r="DT817" s="30"/>
      <c r="DU817" s="30"/>
      <c r="DV817" s="30"/>
      <c r="DW817" s="30"/>
      <c r="DX817" s="30"/>
      <c r="DY817" s="30"/>
      <c r="DZ817" s="30"/>
    </row>
    <row r="818">
      <c r="A818" s="30"/>
      <c r="B818" s="42"/>
      <c r="C818" s="43"/>
      <c r="D818" s="30"/>
      <c r="E818" s="28"/>
      <c r="F818" s="30"/>
      <c r="G818" s="30"/>
      <c r="H818" s="30"/>
      <c r="I818" s="30"/>
      <c r="J818" s="28"/>
      <c r="K818" s="30"/>
      <c r="L818" s="30"/>
      <c r="M818" s="30"/>
      <c r="N818" s="30"/>
      <c r="O818" s="28"/>
      <c r="P818" s="30"/>
      <c r="Q818" s="30"/>
      <c r="R818" s="30"/>
      <c r="S818" s="36"/>
      <c r="T818" s="30"/>
      <c r="U818" s="36"/>
      <c r="V818" s="30"/>
      <c r="W818" s="28"/>
      <c r="X818" s="30"/>
      <c r="Y818" s="30"/>
      <c r="Z818" s="30"/>
      <c r="AA818" s="30"/>
      <c r="AB818" s="30"/>
      <c r="AC818" s="28"/>
      <c r="AD818" s="30"/>
      <c r="AE818" s="30"/>
      <c r="AF818" s="30"/>
      <c r="AG818" s="29"/>
      <c r="AH818" s="30"/>
      <c r="AI818" s="36"/>
      <c r="AJ818" s="30"/>
      <c r="AK818" s="29"/>
      <c r="AL818" s="30"/>
      <c r="AM818" s="30"/>
      <c r="AN818" s="30"/>
      <c r="AO818" s="30"/>
      <c r="AP818" s="30"/>
      <c r="AQ818" s="38"/>
      <c r="AR818" s="30"/>
      <c r="AS818" s="30"/>
      <c r="AT818" s="29"/>
      <c r="AU818" s="30"/>
      <c r="AV818" s="30"/>
      <c r="AW818" s="30"/>
      <c r="AX818" s="29"/>
      <c r="AY818" s="39"/>
      <c r="AZ818" s="30"/>
      <c r="BA818" s="30"/>
      <c r="BB818" s="29"/>
      <c r="BC818" s="52"/>
      <c r="BD818" s="30"/>
      <c r="BE818" s="29"/>
      <c r="BF818" s="30"/>
      <c r="BG818" s="30"/>
      <c r="BH818" s="30"/>
      <c r="BI818" s="30"/>
      <c r="BJ818" s="30"/>
      <c r="BK818" s="30"/>
      <c r="BL818" s="30"/>
      <c r="BM818" s="30"/>
      <c r="BN818" s="30"/>
      <c r="BO818" s="30"/>
      <c r="BP818" s="30"/>
      <c r="BQ818" s="30"/>
      <c r="BR818" s="30"/>
      <c r="BS818" s="30"/>
      <c r="BT818" s="30"/>
      <c r="BU818" s="30"/>
      <c r="BV818" s="30"/>
      <c r="BW818" s="30"/>
      <c r="BX818" s="30"/>
      <c r="BY818" s="30"/>
      <c r="BZ818" s="30"/>
      <c r="CA818" s="30"/>
      <c r="CB818" s="30"/>
      <c r="CC818" s="30"/>
      <c r="CD818" s="30"/>
      <c r="CE818" s="30"/>
      <c r="CF818" s="30"/>
      <c r="CG818" s="30"/>
      <c r="CH818" s="30"/>
      <c r="CI818" s="30"/>
      <c r="CJ818" s="30"/>
      <c r="CK818" s="30"/>
      <c r="CL818" s="30"/>
      <c r="CM818" s="30"/>
      <c r="CN818" s="30"/>
      <c r="CO818" s="30"/>
      <c r="CP818" s="30"/>
      <c r="CQ818" s="30"/>
      <c r="CR818" s="30"/>
      <c r="CS818" s="30"/>
      <c r="CT818" s="30"/>
      <c r="CU818" s="30"/>
      <c r="CV818" s="30"/>
      <c r="CW818" s="30"/>
      <c r="CX818" s="30"/>
      <c r="CY818" s="30"/>
      <c r="CZ818" s="30"/>
      <c r="DA818" s="30"/>
      <c r="DB818" s="30"/>
      <c r="DC818" s="30"/>
      <c r="DD818" s="30"/>
      <c r="DE818" s="30"/>
      <c r="DF818" s="30"/>
      <c r="DG818" s="30"/>
      <c r="DH818" s="30"/>
      <c r="DI818" s="30"/>
      <c r="DJ818" s="30"/>
      <c r="DK818" s="30"/>
      <c r="DL818" s="30"/>
      <c r="DM818" s="30"/>
      <c r="DN818" s="30"/>
      <c r="DO818" s="30"/>
      <c r="DP818" s="30"/>
      <c r="DQ818" s="30"/>
      <c r="DR818" s="30"/>
      <c r="DS818" s="30"/>
      <c r="DT818" s="30"/>
      <c r="DU818" s="30"/>
      <c r="DV818" s="30"/>
      <c r="DW818" s="30"/>
      <c r="DX818" s="30"/>
      <c r="DY818" s="30"/>
      <c r="DZ818" s="30"/>
    </row>
    <row r="819">
      <c r="A819" s="30"/>
      <c r="B819" s="42"/>
      <c r="C819" s="43"/>
      <c r="D819" s="30"/>
      <c r="E819" s="28"/>
      <c r="F819" s="30"/>
      <c r="G819" s="30"/>
      <c r="H819" s="30"/>
      <c r="I819" s="30"/>
      <c r="J819" s="28"/>
      <c r="K819" s="30"/>
      <c r="L819" s="30"/>
      <c r="M819" s="30"/>
      <c r="N819" s="30"/>
      <c r="O819" s="28"/>
      <c r="P819" s="30"/>
      <c r="Q819" s="30"/>
      <c r="R819" s="30"/>
      <c r="S819" s="36"/>
      <c r="T819" s="30"/>
      <c r="U819" s="36"/>
      <c r="V819" s="30"/>
      <c r="W819" s="28"/>
      <c r="X819" s="30"/>
      <c r="Y819" s="30"/>
      <c r="Z819" s="30"/>
      <c r="AA819" s="30"/>
      <c r="AB819" s="30"/>
      <c r="AC819" s="28"/>
      <c r="AD819" s="30"/>
      <c r="AE819" s="30"/>
      <c r="AF819" s="30"/>
      <c r="AG819" s="29"/>
      <c r="AH819" s="30"/>
      <c r="AI819" s="36"/>
      <c r="AJ819" s="30"/>
      <c r="AK819" s="29"/>
      <c r="AL819" s="30"/>
      <c r="AM819" s="30"/>
      <c r="AN819" s="30"/>
      <c r="AO819" s="30"/>
      <c r="AP819" s="30"/>
      <c r="AQ819" s="38"/>
      <c r="AR819" s="30"/>
      <c r="AS819" s="30"/>
      <c r="AT819" s="29"/>
      <c r="AU819" s="30"/>
      <c r="AV819" s="30"/>
      <c r="AW819" s="30"/>
      <c r="AX819" s="29"/>
      <c r="AY819" s="39"/>
      <c r="AZ819" s="30"/>
      <c r="BA819" s="30"/>
      <c r="BB819" s="29"/>
      <c r="BC819" s="52"/>
      <c r="BD819" s="30"/>
      <c r="BE819" s="29"/>
      <c r="BF819" s="30"/>
      <c r="BG819" s="30"/>
      <c r="BH819" s="30"/>
      <c r="BI819" s="30"/>
      <c r="BJ819" s="30"/>
      <c r="BK819" s="30"/>
      <c r="BL819" s="30"/>
      <c r="BM819" s="30"/>
      <c r="BN819" s="30"/>
      <c r="BO819" s="30"/>
      <c r="BP819" s="30"/>
      <c r="BQ819" s="30"/>
      <c r="BR819" s="30"/>
      <c r="BS819" s="30"/>
      <c r="BT819" s="30"/>
      <c r="BU819" s="30"/>
      <c r="BV819" s="30"/>
      <c r="BW819" s="30"/>
      <c r="BX819" s="30"/>
      <c r="BY819" s="30"/>
      <c r="BZ819" s="30"/>
      <c r="CA819" s="30"/>
      <c r="CB819" s="30"/>
      <c r="CC819" s="30"/>
      <c r="CD819" s="30"/>
      <c r="CE819" s="30"/>
      <c r="CF819" s="30"/>
      <c r="CG819" s="30"/>
      <c r="CH819" s="30"/>
      <c r="CI819" s="30"/>
      <c r="CJ819" s="30"/>
      <c r="CK819" s="30"/>
      <c r="CL819" s="30"/>
      <c r="CM819" s="30"/>
      <c r="CN819" s="30"/>
      <c r="CO819" s="30"/>
      <c r="CP819" s="30"/>
      <c r="CQ819" s="30"/>
      <c r="CR819" s="30"/>
      <c r="CS819" s="30"/>
      <c r="CT819" s="30"/>
      <c r="CU819" s="30"/>
      <c r="CV819" s="30"/>
      <c r="CW819" s="30"/>
      <c r="CX819" s="30"/>
      <c r="CY819" s="30"/>
      <c r="CZ819" s="30"/>
      <c r="DA819" s="30"/>
      <c r="DB819" s="30"/>
      <c r="DC819" s="30"/>
      <c r="DD819" s="30"/>
      <c r="DE819" s="30"/>
      <c r="DF819" s="30"/>
      <c r="DG819" s="30"/>
      <c r="DH819" s="30"/>
      <c r="DI819" s="30"/>
      <c r="DJ819" s="30"/>
      <c r="DK819" s="30"/>
      <c r="DL819" s="30"/>
      <c r="DM819" s="30"/>
      <c r="DN819" s="30"/>
      <c r="DO819" s="30"/>
      <c r="DP819" s="30"/>
      <c r="DQ819" s="30"/>
      <c r="DR819" s="30"/>
      <c r="DS819" s="30"/>
      <c r="DT819" s="30"/>
      <c r="DU819" s="30"/>
      <c r="DV819" s="30"/>
      <c r="DW819" s="30"/>
      <c r="DX819" s="30"/>
      <c r="DY819" s="30"/>
      <c r="DZ819" s="30"/>
    </row>
    <row r="820">
      <c r="A820" s="30"/>
      <c r="B820" s="42"/>
      <c r="C820" s="43"/>
      <c r="D820" s="30"/>
      <c r="E820" s="28"/>
      <c r="F820" s="30"/>
      <c r="G820" s="30"/>
      <c r="H820" s="30"/>
      <c r="I820" s="30"/>
      <c r="J820" s="28"/>
      <c r="K820" s="30"/>
      <c r="L820" s="30"/>
      <c r="M820" s="30"/>
      <c r="N820" s="30"/>
      <c r="O820" s="28"/>
      <c r="P820" s="30"/>
      <c r="Q820" s="30"/>
      <c r="R820" s="30"/>
      <c r="S820" s="36"/>
      <c r="T820" s="30"/>
      <c r="U820" s="36"/>
      <c r="V820" s="30"/>
      <c r="W820" s="28"/>
      <c r="X820" s="30"/>
      <c r="Y820" s="30"/>
      <c r="Z820" s="30"/>
      <c r="AA820" s="30"/>
      <c r="AB820" s="30"/>
      <c r="AC820" s="28"/>
      <c r="AD820" s="30"/>
      <c r="AE820" s="30"/>
      <c r="AF820" s="30"/>
      <c r="AG820" s="29"/>
      <c r="AH820" s="30"/>
      <c r="AI820" s="36"/>
      <c r="AJ820" s="30"/>
      <c r="AK820" s="29"/>
      <c r="AL820" s="30"/>
      <c r="AM820" s="30"/>
      <c r="AN820" s="30"/>
      <c r="AO820" s="30"/>
      <c r="AP820" s="30"/>
      <c r="AQ820" s="38"/>
      <c r="AR820" s="30"/>
      <c r="AS820" s="30"/>
      <c r="AT820" s="29"/>
      <c r="AU820" s="30"/>
      <c r="AV820" s="30"/>
      <c r="AW820" s="30"/>
      <c r="AX820" s="29"/>
      <c r="AY820" s="39"/>
      <c r="AZ820" s="30"/>
      <c r="BA820" s="30"/>
      <c r="BB820" s="29"/>
      <c r="BC820" s="52"/>
      <c r="BD820" s="30"/>
      <c r="BE820" s="29"/>
      <c r="BF820" s="30"/>
      <c r="BG820" s="30"/>
      <c r="BH820" s="30"/>
      <c r="BI820" s="30"/>
      <c r="BJ820" s="30"/>
      <c r="BK820" s="30"/>
      <c r="BL820" s="30"/>
      <c r="BM820" s="30"/>
      <c r="BN820" s="30"/>
      <c r="BO820" s="30"/>
      <c r="BP820" s="30"/>
      <c r="BQ820" s="30"/>
      <c r="BR820" s="30"/>
      <c r="BS820" s="30"/>
      <c r="BT820" s="30"/>
      <c r="BU820" s="30"/>
      <c r="BV820" s="30"/>
      <c r="BW820" s="30"/>
      <c r="BX820" s="30"/>
      <c r="BY820" s="30"/>
      <c r="BZ820" s="30"/>
      <c r="CA820" s="30"/>
      <c r="CB820" s="30"/>
      <c r="CC820" s="30"/>
      <c r="CD820" s="30"/>
      <c r="CE820" s="30"/>
      <c r="CF820" s="30"/>
      <c r="CG820" s="30"/>
      <c r="CH820" s="30"/>
      <c r="CI820" s="30"/>
      <c r="CJ820" s="30"/>
      <c r="CK820" s="30"/>
      <c r="CL820" s="30"/>
      <c r="CM820" s="30"/>
      <c r="CN820" s="30"/>
      <c r="CO820" s="30"/>
      <c r="CP820" s="30"/>
      <c r="CQ820" s="30"/>
      <c r="CR820" s="30"/>
      <c r="CS820" s="30"/>
      <c r="CT820" s="30"/>
      <c r="CU820" s="30"/>
      <c r="CV820" s="30"/>
      <c r="CW820" s="30"/>
      <c r="CX820" s="30"/>
      <c r="CY820" s="30"/>
      <c r="CZ820" s="30"/>
      <c r="DA820" s="30"/>
      <c r="DB820" s="30"/>
      <c r="DC820" s="30"/>
      <c r="DD820" s="30"/>
      <c r="DE820" s="30"/>
      <c r="DF820" s="30"/>
      <c r="DG820" s="30"/>
      <c r="DH820" s="30"/>
      <c r="DI820" s="30"/>
      <c r="DJ820" s="30"/>
      <c r="DK820" s="30"/>
      <c r="DL820" s="30"/>
      <c r="DM820" s="30"/>
      <c r="DN820" s="30"/>
      <c r="DO820" s="30"/>
      <c r="DP820" s="30"/>
      <c r="DQ820" s="30"/>
      <c r="DR820" s="30"/>
      <c r="DS820" s="30"/>
      <c r="DT820" s="30"/>
      <c r="DU820" s="30"/>
      <c r="DV820" s="30"/>
      <c r="DW820" s="30"/>
      <c r="DX820" s="30"/>
      <c r="DY820" s="30"/>
      <c r="DZ820" s="30"/>
    </row>
    <row r="821">
      <c r="A821" s="30"/>
      <c r="B821" s="42"/>
      <c r="C821" s="43"/>
      <c r="D821" s="30"/>
      <c r="E821" s="28"/>
      <c r="F821" s="30"/>
      <c r="G821" s="30"/>
      <c r="H821" s="30"/>
      <c r="I821" s="30"/>
      <c r="J821" s="28"/>
      <c r="K821" s="30"/>
      <c r="L821" s="30"/>
      <c r="M821" s="30"/>
      <c r="N821" s="30"/>
      <c r="O821" s="28"/>
      <c r="P821" s="30"/>
      <c r="Q821" s="30"/>
      <c r="R821" s="30"/>
      <c r="S821" s="36"/>
      <c r="T821" s="30"/>
      <c r="U821" s="36"/>
      <c r="V821" s="30"/>
      <c r="W821" s="28"/>
      <c r="X821" s="30"/>
      <c r="Y821" s="30"/>
      <c r="Z821" s="30"/>
      <c r="AA821" s="30"/>
      <c r="AB821" s="30"/>
      <c r="AC821" s="28"/>
      <c r="AD821" s="30"/>
      <c r="AE821" s="30"/>
      <c r="AF821" s="30"/>
      <c r="AG821" s="29"/>
      <c r="AH821" s="30"/>
      <c r="AI821" s="36"/>
      <c r="AJ821" s="30"/>
      <c r="AK821" s="29"/>
      <c r="AL821" s="30"/>
      <c r="AM821" s="30"/>
      <c r="AN821" s="30"/>
      <c r="AO821" s="30"/>
      <c r="AP821" s="30"/>
      <c r="AQ821" s="38"/>
      <c r="AR821" s="30"/>
      <c r="AS821" s="30"/>
      <c r="AT821" s="29"/>
      <c r="AU821" s="30"/>
      <c r="AV821" s="30"/>
      <c r="AW821" s="30"/>
      <c r="AX821" s="29"/>
      <c r="AY821" s="39"/>
      <c r="AZ821" s="30"/>
      <c r="BA821" s="30"/>
      <c r="BB821" s="29"/>
      <c r="BC821" s="52"/>
      <c r="BD821" s="30"/>
      <c r="BE821" s="29"/>
      <c r="BF821" s="30"/>
      <c r="BG821" s="30"/>
      <c r="BH821" s="30"/>
      <c r="BI821" s="30"/>
      <c r="BJ821" s="30"/>
      <c r="BK821" s="30"/>
      <c r="BL821" s="30"/>
      <c r="BM821" s="30"/>
      <c r="BN821" s="30"/>
      <c r="BO821" s="30"/>
      <c r="BP821" s="30"/>
      <c r="BQ821" s="30"/>
      <c r="BR821" s="30"/>
      <c r="BS821" s="30"/>
      <c r="BT821" s="30"/>
      <c r="BU821" s="30"/>
      <c r="BV821" s="30"/>
      <c r="BW821" s="30"/>
      <c r="BX821" s="30"/>
      <c r="BY821" s="30"/>
      <c r="BZ821" s="30"/>
      <c r="CA821" s="30"/>
      <c r="CB821" s="30"/>
      <c r="CC821" s="30"/>
      <c r="CD821" s="30"/>
      <c r="CE821" s="30"/>
      <c r="CF821" s="30"/>
      <c r="CG821" s="30"/>
      <c r="CH821" s="30"/>
      <c r="CI821" s="30"/>
      <c r="CJ821" s="30"/>
      <c r="CK821" s="30"/>
      <c r="CL821" s="30"/>
      <c r="CM821" s="30"/>
      <c r="CN821" s="30"/>
      <c r="CO821" s="30"/>
      <c r="CP821" s="30"/>
      <c r="CQ821" s="30"/>
      <c r="CR821" s="30"/>
      <c r="CS821" s="30"/>
      <c r="CT821" s="30"/>
      <c r="CU821" s="30"/>
      <c r="CV821" s="30"/>
      <c r="CW821" s="30"/>
      <c r="CX821" s="30"/>
      <c r="CY821" s="30"/>
      <c r="CZ821" s="30"/>
      <c r="DA821" s="30"/>
      <c r="DB821" s="30"/>
      <c r="DC821" s="30"/>
      <c r="DD821" s="30"/>
      <c r="DE821" s="30"/>
      <c r="DF821" s="30"/>
      <c r="DG821" s="30"/>
      <c r="DH821" s="30"/>
      <c r="DI821" s="30"/>
      <c r="DJ821" s="30"/>
      <c r="DK821" s="30"/>
      <c r="DL821" s="30"/>
      <c r="DM821" s="30"/>
      <c r="DN821" s="30"/>
      <c r="DO821" s="30"/>
      <c r="DP821" s="30"/>
      <c r="DQ821" s="30"/>
      <c r="DR821" s="30"/>
      <c r="DS821" s="30"/>
      <c r="DT821" s="30"/>
      <c r="DU821" s="30"/>
      <c r="DV821" s="30"/>
      <c r="DW821" s="30"/>
      <c r="DX821" s="30"/>
      <c r="DY821" s="30"/>
      <c r="DZ821" s="30"/>
    </row>
    <row r="822">
      <c r="A822" s="30"/>
      <c r="B822" s="42"/>
      <c r="C822" s="43"/>
      <c r="D822" s="30"/>
      <c r="E822" s="28"/>
      <c r="F822" s="30"/>
      <c r="G822" s="30"/>
      <c r="H822" s="30"/>
      <c r="I822" s="30"/>
      <c r="J822" s="28"/>
      <c r="K822" s="30"/>
      <c r="L822" s="30"/>
      <c r="M822" s="30"/>
      <c r="N822" s="30"/>
      <c r="O822" s="28"/>
      <c r="P822" s="30"/>
      <c r="Q822" s="30"/>
      <c r="R822" s="30"/>
      <c r="S822" s="36"/>
      <c r="T822" s="30"/>
      <c r="U822" s="36"/>
      <c r="V822" s="30"/>
      <c r="W822" s="28"/>
      <c r="X822" s="30"/>
      <c r="Y822" s="30"/>
      <c r="Z822" s="30"/>
      <c r="AA822" s="30"/>
      <c r="AB822" s="30"/>
      <c r="AC822" s="28"/>
      <c r="AD822" s="30"/>
      <c r="AE822" s="30"/>
      <c r="AF822" s="30"/>
      <c r="AG822" s="29"/>
      <c r="AH822" s="30"/>
      <c r="AI822" s="36"/>
      <c r="AJ822" s="30"/>
      <c r="AK822" s="29"/>
      <c r="AL822" s="30"/>
      <c r="AM822" s="30"/>
      <c r="AN822" s="30"/>
      <c r="AO822" s="30"/>
      <c r="AP822" s="30"/>
      <c r="AQ822" s="38"/>
      <c r="AR822" s="30"/>
      <c r="AS822" s="30"/>
      <c r="AT822" s="29"/>
      <c r="AU822" s="30"/>
      <c r="AV822" s="30"/>
      <c r="AW822" s="30"/>
      <c r="AX822" s="29"/>
      <c r="AY822" s="39"/>
      <c r="AZ822" s="30"/>
      <c r="BA822" s="30"/>
      <c r="BB822" s="29"/>
      <c r="BC822" s="52"/>
      <c r="BD822" s="30"/>
      <c r="BE822" s="29"/>
      <c r="BF822" s="30"/>
      <c r="BG822" s="30"/>
      <c r="BH822" s="30"/>
      <c r="BI822" s="30"/>
      <c r="BJ822" s="30"/>
      <c r="BK822" s="30"/>
      <c r="BL822" s="30"/>
      <c r="BM822" s="30"/>
      <c r="BN822" s="30"/>
      <c r="BO822" s="30"/>
      <c r="BP822" s="30"/>
      <c r="BQ822" s="30"/>
      <c r="BR822" s="30"/>
      <c r="BS822" s="30"/>
      <c r="BT822" s="30"/>
      <c r="BU822" s="30"/>
      <c r="BV822" s="30"/>
      <c r="BW822" s="30"/>
      <c r="BX822" s="30"/>
      <c r="BY822" s="30"/>
      <c r="BZ822" s="30"/>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c r="DB822" s="30"/>
      <c r="DC822" s="30"/>
      <c r="DD822" s="30"/>
      <c r="DE822" s="30"/>
      <c r="DF822" s="30"/>
      <c r="DG822" s="30"/>
      <c r="DH822" s="30"/>
      <c r="DI822" s="30"/>
      <c r="DJ822" s="30"/>
      <c r="DK822" s="30"/>
      <c r="DL822" s="30"/>
      <c r="DM822" s="30"/>
      <c r="DN822" s="30"/>
      <c r="DO822" s="30"/>
      <c r="DP822" s="30"/>
      <c r="DQ822" s="30"/>
      <c r="DR822" s="30"/>
      <c r="DS822" s="30"/>
      <c r="DT822" s="30"/>
      <c r="DU822" s="30"/>
      <c r="DV822" s="30"/>
      <c r="DW822" s="30"/>
      <c r="DX822" s="30"/>
      <c r="DY822" s="30"/>
      <c r="DZ822" s="30"/>
    </row>
    <row r="823">
      <c r="A823" s="30"/>
      <c r="B823" s="42"/>
      <c r="C823" s="43"/>
      <c r="D823" s="30"/>
      <c r="E823" s="28"/>
      <c r="F823" s="30"/>
      <c r="G823" s="30"/>
      <c r="H823" s="30"/>
      <c r="I823" s="30"/>
      <c r="J823" s="28"/>
      <c r="K823" s="30"/>
      <c r="L823" s="30"/>
      <c r="M823" s="30"/>
      <c r="N823" s="30"/>
      <c r="O823" s="28"/>
      <c r="P823" s="30"/>
      <c r="Q823" s="30"/>
      <c r="R823" s="30"/>
      <c r="S823" s="36"/>
      <c r="T823" s="30"/>
      <c r="U823" s="36"/>
      <c r="V823" s="30"/>
      <c r="W823" s="28"/>
      <c r="X823" s="30"/>
      <c r="Y823" s="30"/>
      <c r="Z823" s="30"/>
      <c r="AA823" s="30"/>
      <c r="AB823" s="30"/>
      <c r="AC823" s="28"/>
      <c r="AD823" s="30"/>
      <c r="AE823" s="30"/>
      <c r="AF823" s="30"/>
      <c r="AG823" s="29"/>
      <c r="AH823" s="30"/>
      <c r="AI823" s="36"/>
      <c r="AJ823" s="30"/>
      <c r="AK823" s="29"/>
      <c r="AL823" s="30"/>
      <c r="AM823" s="30"/>
      <c r="AN823" s="30"/>
      <c r="AO823" s="30"/>
      <c r="AP823" s="30"/>
      <c r="AQ823" s="38"/>
      <c r="AR823" s="30"/>
      <c r="AS823" s="30"/>
      <c r="AT823" s="29"/>
      <c r="AU823" s="30"/>
      <c r="AV823" s="30"/>
      <c r="AW823" s="30"/>
      <c r="AX823" s="29"/>
      <c r="AY823" s="39"/>
      <c r="AZ823" s="30"/>
      <c r="BA823" s="30"/>
      <c r="BB823" s="29"/>
      <c r="BC823" s="52"/>
      <c r="BD823" s="30"/>
      <c r="BE823" s="29"/>
      <c r="BF823" s="30"/>
      <c r="BG823" s="30"/>
      <c r="BH823" s="30"/>
      <c r="BI823" s="30"/>
      <c r="BJ823" s="30"/>
      <c r="BK823" s="30"/>
      <c r="BL823" s="30"/>
      <c r="BM823" s="30"/>
      <c r="BN823" s="30"/>
      <c r="BO823" s="30"/>
      <c r="BP823" s="30"/>
      <c r="BQ823" s="30"/>
      <c r="BR823" s="30"/>
      <c r="BS823" s="30"/>
      <c r="BT823" s="30"/>
      <c r="BU823" s="30"/>
      <c r="BV823" s="30"/>
      <c r="BW823" s="30"/>
      <c r="BX823" s="30"/>
      <c r="BY823" s="30"/>
      <c r="BZ823" s="30"/>
      <c r="CA823" s="30"/>
      <c r="CB823" s="30"/>
      <c r="CC823" s="30"/>
      <c r="CD823" s="30"/>
      <c r="CE823" s="30"/>
      <c r="CF823" s="30"/>
      <c r="CG823" s="30"/>
      <c r="CH823" s="30"/>
      <c r="CI823" s="30"/>
      <c r="CJ823" s="30"/>
      <c r="CK823" s="30"/>
      <c r="CL823" s="30"/>
      <c r="CM823" s="30"/>
      <c r="CN823" s="30"/>
      <c r="CO823" s="30"/>
      <c r="CP823" s="30"/>
      <c r="CQ823" s="30"/>
      <c r="CR823" s="30"/>
      <c r="CS823" s="30"/>
      <c r="CT823" s="30"/>
      <c r="CU823" s="30"/>
      <c r="CV823" s="30"/>
      <c r="CW823" s="30"/>
      <c r="CX823" s="30"/>
      <c r="CY823" s="30"/>
      <c r="CZ823" s="30"/>
      <c r="DA823" s="30"/>
      <c r="DB823" s="30"/>
      <c r="DC823" s="30"/>
      <c r="DD823" s="30"/>
      <c r="DE823" s="30"/>
      <c r="DF823" s="30"/>
      <c r="DG823" s="30"/>
      <c r="DH823" s="30"/>
      <c r="DI823" s="30"/>
      <c r="DJ823" s="30"/>
      <c r="DK823" s="30"/>
      <c r="DL823" s="30"/>
      <c r="DM823" s="30"/>
      <c r="DN823" s="30"/>
      <c r="DO823" s="30"/>
      <c r="DP823" s="30"/>
      <c r="DQ823" s="30"/>
      <c r="DR823" s="30"/>
      <c r="DS823" s="30"/>
      <c r="DT823" s="30"/>
      <c r="DU823" s="30"/>
      <c r="DV823" s="30"/>
      <c r="DW823" s="30"/>
      <c r="DX823" s="30"/>
      <c r="DY823" s="30"/>
      <c r="DZ823" s="30"/>
    </row>
    <row r="824">
      <c r="A824" s="30"/>
      <c r="B824" s="42"/>
      <c r="C824" s="43"/>
      <c r="D824" s="30"/>
      <c r="E824" s="28"/>
      <c r="F824" s="30"/>
      <c r="G824" s="30"/>
      <c r="H824" s="30"/>
      <c r="I824" s="30"/>
      <c r="J824" s="28"/>
      <c r="K824" s="30"/>
      <c r="L824" s="30"/>
      <c r="M824" s="30"/>
      <c r="N824" s="30"/>
      <c r="O824" s="28"/>
      <c r="P824" s="30"/>
      <c r="Q824" s="30"/>
      <c r="R824" s="30"/>
      <c r="S824" s="36"/>
      <c r="T824" s="30"/>
      <c r="U824" s="36"/>
      <c r="V824" s="30"/>
      <c r="W824" s="28"/>
      <c r="X824" s="30"/>
      <c r="Y824" s="30"/>
      <c r="Z824" s="30"/>
      <c r="AA824" s="30"/>
      <c r="AB824" s="30"/>
      <c r="AC824" s="28"/>
      <c r="AD824" s="30"/>
      <c r="AE824" s="30"/>
      <c r="AF824" s="30"/>
      <c r="AG824" s="29"/>
      <c r="AH824" s="30"/>
      <c r="AI824" s="36"/>
      <c r="AJ824" s="30"/>
      <c r="AK824" s="29"/>
      <c r="AL824" s="30"/>
      <c r="AM824" s="30"/>
      <c r="AN824" s="30"/>
      <c r="AO824" s="30"/>
      <c r="AP824" s="30"/>
      <c r="AQ824" s="38"/>
      <c r="AR824" s="30"/>
      <c r="AS824" s="30"/>
      <c r="AT824" s="29"/>
      <c r="AU824" s="30"/>
      <c r="AV824" s="30"/>
      <c r="AW824" s="30"/>
      <c r="AX824" s="29"/>
      <c r="AY824" s="39"/>
      <c r="AZ824" s="30"/>
      <c r="BA824" s="30"/>
      <c r="BB824" s="29"/>
      <c r="BC824" s="52"/>
      <c r="BD824" s="30"/>
      <c r="BE824" s="29"/>
      <c r="BF824" s="30"/>
      <c r="BG824" s="30"/>
      <c r="BH824" s="30"/>
      <c r="BI824" s="30"/>
      <c r="BJ824" s="30"/>
      <c r="BK824" s="30"/>
      <c r="BL824" s="30"/>
      <c r="BM824" s="30"/>
      <c r="BN824" s="30"/>
      <c r="BO824" s="30"/>
      <c r="BP824" s="30"/>
      <c r="BQ824" s="30"/>
      <c r="BR824" s="30"/>
      <c r="BS824" s="30"/>
      <c r="BT824" s="30"/>
      <c r="BU824" s="30"/>
      <c r="BV824" s="30"/>
      <c r="BW824" s="30"/>
      <c r="BX824" s="30"/>
      <c r="BY824" s="30"/>
      <c r="BZ824" s="30"/>
      <c r="CA824" s="30"/>
      <c r="CB824" s="30"/>
      <c r="CC824" s="30"/>
      <c r="CD824" s="30"/>
      <c r="CE824" s="30"/>
      <c r="CF824" s="30"/>
      <c r="CG824" s="30"/>
      <c r="CH824" s="30"/>
      <c r="CI824" s="30"/>
      <c r="CJ824" s="30"/>
      <c r="CK824" s="30"/>
      <c r="CL824" s="30"/>
      <c r="CM824" s="30"/>
      <c r="CN824" s="30"/>
      <c r="CO824" s="30"/>
      <c r="CP824" s="30"/>
      <c r="CQ824" s="30"/>
      <c r="CR824" s="30"/>
      <c r="CS824" s="30"/>
      <c r="CT824" s="30"/>
      <c r="CU824" s="30"/>
      <c r="CV824" s="30"/>
      <c r="CW824" s="30"/>
      <c r="CX824" s="30"/>
      <c r="CY824" s="30"/>
      <c r="CZ824" s="30"/>
      <c r="DA824" s="30"/>
      <c r="DB824" s="30"/>
      <c r="DC824" s="30"/>
      <c r="DD824" s="30"/>
      <c r="DE824" s="30"/>
      <c r="DF824" s="30"/>
      <c r="DG824" s="30"/>
      <c r="DH824" s="30"/>
      <c r="DI824" s="30"/>
      <c r="DJ824" s="30"/>
      <c r="DK824" s="30"/>
      <c r="DL824" s="30"/>
      <c r="DM824" s="30"/>
      <c r="DN824" s="30"/>
      <c r="DO824" s="30"/>
      <c r="DP824" s="30"/>
      <c r="DQ824" s="30"/>
      <c r="DR824" s="30"/>
      <c r="DS824" s="30"/>
      <c r="DT824" s="30"/>
      <c r="DU824" s="30"/>
      <c r="DV824" s="30"/>
      <c r="DW824" s="30"/>
      <c r="DX824" s="30"/>
      <c r="DY824" s="30"/>
      <c r="DZ824" s="30"/>
    </row>
    <row r="825">
      <c r="A825" s="30"/>
      <c r="B825" s="42"/>
      <c r="C825" s="43"/>
      <c r="D825" s="30"/>
      <c r="E825" s="28"/>
      <c r="F825" s="30"/>
      <c r="G825" s="30"/>
      <c r="H825" s="30"/>
      <c r="I825" s="30"/>
      <c r="J825" s="28"/>
      <c r="K825" s="30"/>
      <c r="L825" s="30"/>
      <c r="M825" s="30"/>
      <c r="N825" s="30"/>
      <c r="O825" s="28"/>
      <c r="P825" s="30"/>
      <c r="Q825" s="30"/>
      <c r="R825" s="30"/>
      <c r="S825" s="36"/>
      <c r="T825" s="30"/>
      <c r="U825" s="36"/>
      <c r="V825" s="30"/>
      <c r="W825" s="28"/>
      <c r="X825" s="30"/>
      <c r="Y825" s="30"/>
      <c r="Z825" s="30"/>
      <c r="AA825" s="30"/>
      <c r="AB825" s="30"/>
      <c r="AC825" s="28"/>
      <c r="AD825" s="30"/>
      <c r="AE825" s="30"/>
      <c r="AF825" s="30"/>
      <c r="AG825" s="29"/>
      <c r="AH825" s="30"/>
      <c r="AI825" s="36"/>
      <c r="AJ825" s="30"/>
      <c r="AK825" s="29"/>
      <c r="AL825" s="30"/>
      <c r="AM825" s="30"/>
      <c r="AN825" s="30"/>
      <c r="AO825" s="30"/>
      <c r="AP825" s="30"/>
      <c r="AQ825" s="38"/>
      <c r="AR825" s="30"/>
      <c r="AS825" s="30"/>
      <c r="AT825" s="29"/>
      <c r="AU825" s="30"/>
      <c r="AV825" s="30"/>
      <c r="AW825" s="30"/>
      <c r="AX825" s="29"/>
      <c r="AY825" s="39"/>
      <c r="AZ825" s="30"/>
      <c r="BA825" s="30"/>
      <c r="BB825" s="29"/>
      <c r="BC825" s="52"/>
      <c r="BD825" s="30"/>
      <c r="BE825" s="29"/>
      <c r="BF825" s="30"/>
      <c r="BG825" s="30"/>
      <c r="BH825" s="30"/>
      <c r="BI825" s="30"/>
      <c r="BJ825" s="30"/>
      <c r="BK825" s="30"/>
      <c r="BL825" s="30"/>
      <c r="BM825" s="30"/>
      <c r="BN825" s="30"/>
      <c r="BO825" s="30"/>
      <c r="BP825" s="30"/>
      <c r="BQ825" s="30"/>
      <c r="BR825" s="30"/>
      <c r="BS825" s="30"/>
      <c r="BT825" s="30"/>
      <c r="BU825" s="30"/>
      <c r="BV825" s="30"/>
      <c r="BW825" s="30"/>
      <c r="BX825" s="30"/>
      <c r="BY825" s="30"/>
      <c r="BZ825" s="30"/>
      <c r="CA825" s="30"/>
      <c r="CB825" s="30"/>
      <c r="CC825" s="30"/>
      <c r="CD825" s="30"/>
      <c r="CE825" s="30"/>
      <c r="CF825" s="30"/>
      <c r="CG825" s="30"/>
      <c r="CH825" s="30"/>
      <c r="CI825" s="30"/>
      <c r="CJ825" s="30"/>
      <c r="CK825" s="30"/>
      <c r="CL825" s="30"/>
      <c r="CM825" s="30"/>
      <c r="CN825" s="30"/>
      <c r="CO825" s="30"/>
      <c r="CP825" s="30"/>
      <c r="CQ825" s="30"/>
      <c r="CR825" s="30"/>
      <c r="CS825" s="30"/>
      <c r="CT825" s="30"/>
      <c r="CU825" s="30"/>
      <c r="CV825" s="30"/>
      <c r="CW825" s="30"/>
      <c r="CX825" s="30"/>
      <c r="CY825" s="30"/>
      <c r="CZ825" s="30"/>
      <c r="DA825" s="30"/>
      <c r="DB825" s="30"/>
      <c r="DC825" s="30"/>
      <c r="DD825" s="30"/>
      <c r="DE825" s="30"/>
      <c r="DF825" s="30"/>
      <c r="DG825" s="30"/>
      <c r="DH825" s="30"/>
      <c r="DI825" s="30"/>
      <c r="DJ825" s="30"/>
      <c r="DK825" s="30"/>
      <c r="DL825" s="30"/>
      <c r="DM825" s="30"/>
      <c r="DN825" s="30"/>
      <c r="DO825" s="30"/>
      <c r="DP825" s="30"/>
      <c r="DQ825" s="30"/>
      <c r="DR825" s="30"/>
      <c r="DS825" s="30"/>
      <c r="DT825" s="30"/>
      <c r="DU825" s="30"/>
      <c r="DV825" s="30"/>
      <c r="DW825" s="30"/>
      <c r="DX825" s="30"/>
      <c r="DY825" s="30"/>
      <c r="DZ825" s="30"/>
    </row>
    <row r="826">
      <c r="A826" s="30"/>
      <c r="B826" s="42"/>
      <c r="C826" s="43"/>
      <c r="D826" s="30"/>
      <c r="E826" s="28"/>
      <c r="F826" s="30"/>
      <c r="G826" s="30"/>
      <c r="H826" s="30"/>
      <c r="I826" s="30"/>
      <c r="J826" s="28"/>
      <c r="K826" s="30"/>
      <c r="L826" s="30"/>
      <c r="M826" s="30"/>
      <c r="N826" s="30"/>
      <c r="O826" s="28"/>
      <c r="P826" s="30"/>
      <c r="Q826" s="30"/>
      <c r="R826" s="30"/>
      <c r="S826" s="36"/>
      <c r="T826" s="30"/>
      <c r="U826" s="36"/>
      <c r="V826" s="30"/>
      <c r="W826" s="28"/>
      <c r="X826" s="30"/>
      <c r="Y826" s="30"/>
      <c r="Z826" s="30"/>
      <c r="AA826" s="30"/>
      <c r="AB826" s="30"/>
      <c r="AC826" s="28"/>
      <c r="AD826" s="30"/>
      <c r="AE826" s="30"/>
      <c r="AF826" s="30"/>
      <c r="AG826" s="29"/>
      <c r="AH826" s="30"/>
      <c r="AI826" s="36"/>
      <c r="AJ826" s="30"/>
      <c r="AK826" s="29"/>
      <c r="AL826" s="30"/>
      <c r="AM826" s="30"/>
      <c r="AN826" s="30"/>
      <c r="AO826" s="30"/>
      <c r="AP826" s="30"/>
      <c r="AQ826" s="38"/>
      <c r="AR826" s="30"/>
      <c r="AS826" s="30"/>
      <c r="AT826" s="29"/>
      <c r="AU826" s="30"/>
      <c r="AV826" s="30"/>
      <c r="AW826" s="30"/>
      <c r="AX826" s="29"/>
      <c r="AY826" s="39"/>
      <c r="AZ826" s="30"/>
      <c r="BA826" s="30"/>
      <c r="BB826" s="29"/>
      <c r="BC826" s="52"/>
      <c r="BD826" s="30"/>
      <c r="BE826" s="29"/>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0"/>
      <c r="CF826" s="30"/>
      <c r="CG826" s="30"/>
      <c r="CH826" s="30"/>
      <c r="CI826" s="30"/>
      <c r="CJ826" s="30"/>
      <c r="CK826" s="30"/>
      <c r="CL826" s="30"/>
      <c r="CM826" s="30"/>
      <c r="CN826" s="30"/>
      <c r="CO826" s="30"/>
      <c r="CP826" s="30"/>
      <c r="CQ826" s="30"/>
      <c r="CR826" s="30"/>
      <c r="CS826" s="30"/>
      <c r="CT826" s="30"/>
      <c r="CU826" s="30"/>
      <c r="CV826" s="30"/>
      <c r="CW826" s="30"/>
      <c r="CX826" s="30"/>
      <c r="CY826" s="30"/>
      <c r="CZ826" s="30"/>
      <c r="DA826" s="30"/>
      <c r="DB826" s="30"/>
      <c r="DC826" s="30"/>
      <c r="DD826" s="30"/>
      <c r="DE826" s="30"/>
      <c r="DF826" s="30"/>
      <c r="DG826" s="30"/>
      <c r="DH826" s="30"/>
      <c r="DI826" s="30"/>
      <c r="DJ826" s="30"/>
      <c r="DK826" s="30"/>
      <c r="DL826" s="30"/>
      <c r="DM826" s="30"/>
      <c r="DN826" s="30"/>
      <c r="DO826" s="30"/>
      <c r="DP826" s="30"/>
      <c r="DQ826" s="30"/>
      <c r="DR826" s="30"/>
      <c r="DS826" s="30"/>
      <c r="DT826" s="30"/>
      <c r="DU826" s="30"/>
      <c r="DV826" s="30"/>
      <c r="DW826" s="30"/>
      <c r="DX826" s="30"/>
      <c r="DY826" s="30"/>
      <c r="DZ826" s="30"/>
    </row>
    <row r="827">
      <c r="A827" s="30"/>
      <c r="B827" s="42"/>
      <c r="C827" s="43"/>
      <c r="D827" s="30"/>
      <c r="E827" s="28"/>
      <c r="F827" s="30"/>
      <c r="G827" s="30"/>
      <c r="H827" s="30"/>
      <c r="I827" s="30"/>
      <c r="J827" s="28"/>
      <c r="K827" s="30"/>
      <c r="L827" s="30"/>
      <c r="M827" s="30"/>
      <c r="N827" s="30"/>
      <c r="O827" s="28"/>
      <c r="P827" s="30"/>
      <c r="Q827" s="30"/>
      <c r="R827" s="30"/>
      <c r="S827" s="36"/>
      <c r="T827" s="30"/>
      <c r="U827" s="36"/>
      <c r="V827" s="30"/>
      <c r="W827" s="28"/>
      <c r="X827" s="30"/>
      <c r="Y827" s="30"/>
      <c r="Z827" s="30"/>
      <c r="AA827" s="30"/>
      <c r="AB827" s="30"/>
      <c r="AC827" s="28"/>
      <c r="AD827" s="30"/>
      <c r="AE827" s="30"/>
      <c r="AF827" s="30"/>
      <c r="AG827" s="29"/>
      <c r="AH827" s="30"/>
      <c r="AI827" s="36"/>
      <c r="AJ827" s="30"/>
      <c r="AK827" s="29"/>
      <c r="AL827" s="30"/>
      <c r="AM827" s="30"/>
      <c r="AN827" s="30"/>
      <c r="AO827" s="30"/>
      <c r="AP827" s="30"/>
      <c r="AQ827" s="38"/>
      <c r="AR827" s="30"/>
      <c r="AS827" s="30"/>
      <c r="AT827" s="29"/>
      <c r="AU827" s="30"/>
      <c r="AV827" s="30"/>
      <c r="AW827" s="30"/>
      <c r="AX827" s="29"/>
      <c r="AY827" s="39"/>
      <c r="AZ827" s="30"/>
      <c r="BA827" s="30"/>
      <c r="BB827" s="29"/>
      <c r="BC827" s="52"/>
      <c r="BD827" s="30"/>
      <c r="BE827" s="29"/>
      <c r="BF827" s="30"/>
      <c r="BG827" s="30"/>
      <c r="BH827" s="30"/>
      <c r="BI827" s="30"/>
      <c r="BJ827" s="30"/>
      <c r="BK827" s="30"/>
      <c r="BL827" s="30"/>
      <c r="BM827" s="30"/>
      <c r="BN827" s="30"/>
      <c r="BO827" s="30"/>
      <c r="BP827" s="30"/>
      <c r="BQ827" s="30"/>
      <c r="BR827" s="30"/>
      <c r="BS827" s="30"/>
      <c r="BT827" s="30"/>
      <c r="BU827" s="30"/>
      <c r="BV827" s="30"/>
      <c r="BW827" s="30"/>
      <c r="BX827" s="30"/>
      <c r="BY827" s="30"/>
      <c r="BZ827" s="30"/>
      <c r="CA827" s="30"/>
      <c r="CB827" s="30"/>
      <c r="CC827" s="30"/>
      <c r="CD827" s="30"/>
      <c r="CE827" s="30"/>
      <c r="CF827" s="30"/>
      <c r="CG827" s="30"/>
      <c r="CH827" s="30"/>
      <c r="CI827" s="30"/>
      <c r="CJ827" s="30"/>
      <c r="CK827" s="30"/>
      <c r="CL827" s="30"/>
      <c r="CM827" s="30"/>
      <c r="CN827" s="30"/>
      <c r="CO827" s="30"/>
      <c r="CP827" s="30"/>
      <c r="CQ827" s="30"/>
      <c r="CR827" s="30"/>
      <c r="CS827" s="30"/>
      <c r="CT827" s="30"/>
      <c r="CU827" s="30"/>
      <c r="CV827" s="30"/>
      <c r="CW827" s="30"/>
      <c r="CX827" s="30"/>
      <c r="CY827" s="30"/>
      <c r="CZ827" s="30"/>
      <c r="DA827" s="30"/>
      <c r="DB827" s="30"/>
      <c r="DC827" s="30"/>
      <c r="DD827" s="30"/>
      <c r="DE827" s="30"/>
      <c r="DF827" s="30"/>
      <c r="DG827" s="30"/>
      <c r="DH827" s="30"/>
      <c r="DI827" s="30"/>
      <c r="DJ827" s="30"/>
      <c r="DK827" s="30"/>
      <c r="DL827" s="30"/>
      <c r="DM827" s="30"/>
      <c r="DN827" s="30"/>
      <c r="DO827" s="30"/>
      <c r="DP827" s="30"/>
      <c r="DQ827" s="30"/>
      <c r="DR827" s="30"/>
      <c r="DS827" s="30"/>
      <c r="DT827" s="30"/>
      <c r="DU827" s="30"/>
      <c r="DV827" s="30"/>
      <c r="DW827" s="30"/>
      <c r="DX827" s="30"/>
      <c r="DY827" s="30"/>
      <c r="DZ827" s="30"/>
    </row>
    <row r="828">
      <c r="A828" s="30"/>
      <c r="B828" s="42"/>
      <c r="C828" s="43"/>
      <c r="D828" s="30"/>
      <c r="E828" s="28"/>
      <c r="F828" s="30"/>
      <c r="G828" s="30"/>
      <c r="H828" s="30"/>
      <c r="I828" s="30"/>
      <c r="J828" s="28"/>
      <c r="K828" s="30"/>
      <c r="L828" s="30"/>
      <c r="M828" s="30"/>
      <c r="N828" s="30"/>
      <c r="O828" s="28"/>
      <c r="P828" s="30"/>
      <c r="Q828" s="30"/>
      <c r="R828" s="30"/>
      <c r="S828" s="36"/>
      <c r="T828" s="30"/>
      <c r="U828" s="36"/>
      <c r="V828" s="30"/>
      <c r="W828" s="28"/>
      <c r="X828" s="30"/>
      <c r="Y828" s="30"/>
      <c r="Z828" s="30"/>
      <c r="AA828" s="30"/>
      <c r="AB828" s="30"/>
      <c r="AC828" s="28"/>
      <c r="AD828" s="30"/>
      <c r="AE828" s="30"/>
      <c r="AF828" s="30"/>
      <c r="AG828" s="29"/>
      <c r="AH828" s="30"/>
      <c r="AI828" s="36"/>
      <c r="AJ828" s="30"/>
      <c r="AK828" s="29"/>
      <c r="AL828" s="30"/>
      <c r="AM828" s="30"/>
      <c r="AN828" s="30"/>
      <c r="AO828" s="30"/>
      <c r="AP828" s="30"/>
      <c r="AQ828" s="38"/>
      <c r="AR828" s="30"/>
      <c r="AS828" s="30"/>
      <c r="AT828" s="29"/>
      <c r="AU828" s="30"/>
      <c r="AV828" s="30"/>
      <c r="AW828" s="30"/>
      <c r="AX828" s="29"/>
      <c r="AY828" s="39"/>
      <c r="AZ828" s="30"/>
      <c r="BA828" s="30"/>
      <c r="BB828" s="29"/>
      <c r="BC828" s="52"/>
      <c r="BD828" s="30"/>
      <c r="BE828" s="29"/>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c r="CE828" s="30"/>
      <c r="CF828" s="30"/>
      <c r="CG828" s="30"/>
      <c r="CH828" s="30"/>
      <c r="CI828" s="30"/>
      <c r="CJ828" s="30"/>
      <c r="CK828" s="30"/>
      <c r="CL828" s="30"/>
      <c r="CM828" s="30"/>
      <c r="CN828" s="30"/>
      <c r="CO828" s="30"/>
      <c r="CP828" s="30"/>
      <c r="CQ828" s="30"/>
      <c r="CR828" s="30"/>
      <c r="CS828" s="30"/>
      <c r="CT828" s="30"/>
      <c r="CU828" s="30"/>
      <c r="CV828" s="30"/>
      <c r="CW828" s="30"/>
      <c r="CX828" s="30"/>
      <c r="CY828" s="30"/>
      <c r="CZ828" s="30"/>
      <c r="DA828" s="30"/>
      <c r="DB828" s="30"/>
      <c r="DC828" s="30"/>
      <c r="DD828" s="30"/>
      <c r="DE828" s="30"/>
      <c r="DF828" s="30"/>
      <c r="DG828" s="30"/>
      <c r="DH828" s="30"/>
      <c r="DI828" s="30"/>
      <c r="DJ828" s="30"/>
      <c r="DK828" s="30"/>
      <c r="DL828" s="30"/>
      <c r="DM828" s="30"/>
      <c r="DN828" s="30"/>
      <c r="DO828" s="30"/>
      <c r="DP828" s="30"/>
      <c r="DQ828" s="30"/>
      <c r="DR828" s="30"/>
      <c r="DS828" s="30"/>
      <c r="DT828" s="30"/>
      <c r="DU828" s="30"/>
      <c r="DV828" s="30"/>
      <c r="DW828" s="30"/>
      <c r="DX828" s="30"/>
      <c r="DY828" s="30"/>
      <c r="DZ828" s="30"/>
    </row>
    <row r="829">
      <c r="A829" s="30"/>
      <c r="B829" s="42"/>
      <c r="C829" s="43"/>
      <c r="D829" s="30"/>
      <c r="E829" s="28"/>
      <c r="F829" s="30"/>
      <c r="G829" s="30"/>
      <c r="H829" s="30"/>
      <c r="I829" s="30"/>
      <c r="J829" s="28"/>
      <c r="K829" s="30"/>
      <c r="L829" s="30"/>
      <c r="M829" s="30"/>
      <c r="N829" s="30"/>
      <c r="O829" s="28"/>
      <c r="P829" s="30"/>
      <c r="Q829" s="30"/>
      <c r="R829" s="30"/>
      <c r="S829" s="36"/>
      <c r="T829" s="30"/>
      <c r="U829" s="36"/>
      <c r="V829" s="30"/>
      <c r="W829" s="28"/>
      <c r="X829" s="30"/>
      <c r="Y829" s="30"/>
      <c r="Z829" s="30"/>
      <c r="AA829" s="30"/>
      <c r="AB829" s="30"/>
      <c r="AC829" s="28"/>
      <c r="AD829" s="30"/>
      <c r="AE829" s="30"/>
      <c r="AF829" s="30"/>
      <c r="AG829" s="29"/>
      <c r="AH829" s="30"/>
      <c r="AI829" s="36"/>
      <c r="AJ829" s="30"/>
      <c r="AK829" s="29"/>
      <c r="AL829" s="30"/>
      <c r="AM829" s="30"/>
      <c r="AN829" s="30"/>
      <c r="AO829" s="30"/>
      <c r="AP829" s="30"/>
      <c r="AQ829" s="38"/>
      <c r="AR829" s="30"/>
      <c r="AS829" s="30"/>
      <c r="AT829" s="29"/>
      <c r="AU829" s="30"/>
      <c r="AV829" s="30"/>
      <c r="AW829" s="30"/>
      <c r="AX829" s="29"/>
      <c r="AY829" s="39"/>
      <c r="AZ829" s="30"/>
      <c r="BA829" s="30"/>
      <c r="BB829" s="29"/>
      <c r="BC829" s="52"/>
      <c r="BD829" s="30"/>
      <c r="BE829" s="29"/>
      <c r="BF829" s="30"/>
      <c r="BG829" s="30"/>
      <c r="BH829" s="30"/>
      <c r="BI829" s="30"/>
      <c r="BJ829" s="30"/>
      <c r="BK829" s="30"/>
      <c r="BL829" s="30"/>
      <c r="BM829" s="30"/>
      <c r="BN829" s="30"/>
      <c r="BO829" s="30"/>
      <c r="BP829" s="30"/>
      <c r="BQ829" s="30"/>
      <c r="BR829" s="30"/>
      <c r="BS829" s="30"/>
      <c r="BT829" s="30"/>
      <c r="BU829" s="30"/>
      <c r="BV829" s="30"/>
      <c r="BW829" s="30"/>
      <c r="BX829" s="30"/>
      <c r="BY829" s="30"/>
      <c r="BZ829" s="30"/>
      <c r="CA829" s="30"/>
      <c r="CB829" s="30"/>
      <c r="CC829" s="30"/>
      <c r="CD829" s="30"/>
      <c r="CE829" s="30"/>
      <c r="CF829" s="30"/>
      <c r="CG829" s="30"/>
      <c r="CH829" s="30"/>
      <c r="CI829" s="30"/>
      <c r="CJ829" s="30"/>
      <c r="CK829" s="30"/>
      <c r="CL829" s="30"/>
      <c r="CM829" s="30"/>
      <c r="CN829" s="30"/>
      <c r="CO829" s="30"/>
      <c r="CP829" s="30"/>
      <c r="CQ829" s="30"/>
      <c r="CR829" s="30"/>
      <c r="CS829" s="30"/>
      <c r="CT829" s="30"/>
      <c r="CU829" s="30"/>
      <c r="CV829" s="30"/>
      <c r="CW829" s="30"/>
      <c r="CX829" s="30"/>
      <c r="CY829" s="30"/>
      <c r="CZ829" s="30"/>
      <c r="DA829" s="30"/>
      <c r="DB829" s="30"/>
      <c r="DC829" s="30"/>
      <c r="DD829" s="30"/>
      <c r="DE829" s="30"/>
      <c r="DF829" s="30"/>
      <c r="DG829" s="30"/>
      <c r="DH829" s="30"/>
      <c r="DI829" s="30"/>
      <c r="DJ829" s="30"/>
      <c r="DK829" s="30"/>
      <c r="DL829" s="30"/>
      <c r="DM829" s="30"/>
      <c r="DN829" s="30"/>
      <c r="DO829" s="30"/>
      <c r="DP829" s="30"/>
      <c r="DQ829" s="30"/>
      <c r="DR829" s="30"/>
      <c r="DS829" s="30"/>
      <c r="DT829" s="30"/>
      <c r="DU829" s="30"/>
      <c r="DV829" s="30"/>
      <c r="DW829" s="30"/>
      <c r="DX829" s="30"/>
      <c r="DY829" s="30"/>
      <c r="DZ829" s="30"/>
    </row>
    <row r="830">
      <c r="A830" s="30"/>
      <c r="B830" s="42"/>
      <c r="C830" s="43"/>
      <c r="D830" s="30"/>
      <c r="E830" s="28"/>
      <c r="F830" s="30"/>
      <c r="G830" s="30"/>
      <c r="H830" s="30"/>
      <c r="I830" s="30"/>
      <c r="J830" s="28"/>
      <c r="K830" s="30"/>
      <c r="L830" s="30"/>
      <c r="M830" s="30"/>
      <c r="N830" s="30"/>
      <c r="O830" s="28"/>
      <c r="P830" s="30"/>
      <c r="Q830" s="30"/>
      <c r="R830" s="30"/>
      <c r="S830" s="36"/>
      <c r="T830" s="30"/>
      <c r="U830" s="36"/>
      <c r="V830" s="30"/>
      <c r="W830" s="28"/>
      <c r="X830" s="30"/>
      <c r="Y830" s="30"/>
      <c r="Z830" s="30"/>
      <c r="AA830" s="30"/>
      <c r="AB830" s="30"/>
      <c r="AC830" s="28"/>
      <c r="AD830" s="30"/>
      <c r="AE830" s="30"/>
      <c r="AF830" s="30"/>
      <c r="AG830" s="29"/>
      <c r="AH830" s="30"/>
      <c r="AI830" s="36"/>
      <c r="AJ830" s="30"/>
      <c r="AK830" s="29"/>
      <c r="AL830" s="30"/>
      <c r="AM830" s="30"/>
      <c r="AN830" s="30"/>
      <c r="AO830" s="30"/>
      <c r="AP830" s="30"/>
      <c r="AQ830" s="38"/>
      <c r="AR830" s="30"/>
      <c r="AS830" s="30"/>
      <c r="AT830" s="29"/>
      <c r="AU830" s="30"/>
      <c r="AV830" s="30"/>
      <c r="AW830" s="30"/>
      <c r="AX830" s="29"/>
      <c r="AY830" s="39"/>
      <c r="AZ830" s="30"/>
      <c r="BA830" s="30"/>
      <c r="BB830" s="29"/>
      <c r="BC830" s="52"/>
      <c r="BD830" s="30"/>
      <c r="BE830" s="29"/>
      <c r="BF830" s="30"/>
      <c r="BG830" s="30"/>
      <c r="BH830" s="30"/>
      <c r="BI830" s="30"/>
      <c r="BJ830" s="30"/>
      <c r="BK830" s="30"/>
      <c r="BL830" s="30"/>
      <c r="BM830" s="30"/>
      <c r="BN830" s="30"/>
      <c r="BO830" s="30"/>
      <c r="BP830" s="30"/>
      <c r="BQ830" s="30"/>
      <c r="BR830" s="30"/>
      <c r="BS830" s="30"/>
      <c r="BT830" s="30"/>
      <c r="BU830" s="30"/>
      <c r="BV830" s="30"/>
      <c r="BW830" s="30"/>
      <c r="BX830" s="30"/>
      <c r="BY830" s="30"/>
      <c r="BZ830" s="30"/>
      <c r="CA830" s="30"/>
      <c r="CB830" s="30"/>
      <c r="CC830" s="30"/>
      <c r="CD830" s="30"/>
      <c r="CE830" s="30"/>
      <c r="CF830" s="30"/>
      <c r="CG830" s="30"/>
      <c r="CH830" s="30"/>
      <c r="CI830" s="30"/>
      <c r="CJ830" s="30"/>
      <c r="CK830" s="30"/>
      <c r="CL830" s="30"/>
      <c r="CM830" s="30"/>
      <c r="CN830" s="30"/>
      <c r="CO830" s="30"/>
      <c r="CP830" s="30"/>
      <c r="CQ830" s="30"/>
      <c r="CR830" s="30"/>
      <c r="CS830" s="30"/>
      <c r="CT830" s="30"/>
      <c r="CU830" s="30"/>
      <c r="CV830" s="30"/>
      <c r="CW830" s="30"/>
      <c r="CX830" s="30"/>
      <c r="CY830" s="30"/>
      <c r="CZ830" s="30"/>
      <c r="DA830" s="30"/>
      <c r="DB830" s="30"/>
      <c r="DC830" s="30"/>
      <c r="DD830" s="30"/>
      <c r="DE830" s="30"/>
      <c r="DF830" s="30"/>
      <c r="DG830" s="30"/>
      <c r="DH830" s="30"/>
      <c r="DI830" s="30"/>
      <c r="DJ830" s="30"/>
      <c r="DK830" s="30"/>
      <c r="DL830" s="30"/>
      <c r="DM830" s="30"/>
      <c r="DN830" s="30"/>
      <c r="DO830" s="30"/>
      <c r="DP830" s="30"/>
      <c r="DQ830" s="30"/>
      <c r="DR830" s="30"/>
      <c r="DS830" s="30"/>
      <c r="DT830" s="30"/>
      <c r="DU830" s="30"/>
      <c r="DV830" s="30"/>
      <c r="DW830" s="30"/>
      <c r="DX830" s="30"/>
      <c r="DY830" s="30"/>
      <c r="DZ830" s="30"/>
    </row>
    <row r="831">
      <c r="A831" s="30"/>
      <c r="B831" s="42"/>
      <c r="C831" s="43"/>
      <c r="D831" s="30"/>
      <c r="E831" s="28"/>
      <c r="F831" s="30"/>
      <c r="G831" s="30"/>
      <c r="H831" s="30"/>
      <c r="I831" s="30"/>
      <c r="J831" s="28"/>
      <c r="K831" s="30"/>
      <c r="L831" s="30"/>
      <c r="M831" s="30"/>
      <c r="N831" s="30"/>
      <c r="O831" s="28"/>
      <c r="P831" s="30"/>
      <c r="Q831" s="30"/>
      <c r="R831" s="30"/>
      <c r="S831" s="36"/>
      <c r="T831" s="30"/>
      <c r="U831" s="36"/>
      <c r="V831" s="30"/>
      <c r="W831" s="28"/>
      <c r="X831" s="30"/>
      <c r="Y831" s="30"/>
      <c r="Z831" s="30"/>
      <c r="AA831" s="30"/>
      <c r="AB831" s="30"/>
      <c r="AC831" s="28"/>
      <c r="AD831" s="30"/>
      <c r="AE831" s="30"/>
      <c r="AF831" s="30"/>
      <c r="AG831" s="29"/>
      <c r="AH831" s="30"/>
      <c r="AI831" s="36"/>
      <c r="AJ831" s="30"/>
      <c r="AK831" s="29"/>
      <c r="AL831" s="30"/>
      <c r="AM831" s="30"/>
      <c r="AN831" s="30"/>
      <c r="AO831" s="30"/>
      <c r="AP831" s="30"/>
      <c r="AQ831" s="38"/>
      <c r="AR831" s="30"/>
      <c r="AS831" s="30"/>
      <c r="AT831" s="29"/>
      <c r="AU831" s="30"/>
      <c r="AV831" s="30"/>
      <c r="AW831" s="30"/>
      <c r="AX831" s="29"/>
      <c r="AY831" s="39"/>
      <c r="AZ831" s="30"/>
      <c r="BA831" s="30"/>
      <c r="BB831" s="29"/>
      <c r="BC831" s="52"/>
      <c r="BD831" s="30"/>
      <c r="BE831" s="29"/>
      <c r="BF831" s="30"/>
      <c r="BG831" s="30"/>
      <c r="BH831" s="30"/>
      <c r="BI831" s="30"/>
      <c r="BJ831" s="30"/>
      <c r="BK831" s="30"/>
      <c r="BL831" s="30"/>
      <c r="BM831" s="30"/>
      <c r="BN831" s="30"/>
      <c r="BO831" s="30"/>
      <c r="BP831" s="30"/>
      <c r="BQ831" s="30"/>
      <c r="BR831" s="30"/>
      <c r="BS831" s="30"/>
      <c r="BT831" s="30"/>
      <c r="BU831" s="30"/>
      <c r="BV831" s="30"/>
      <c r="BW831" s="30"/>
      <c r="BX831" s="30"/>
      <c r="BY831" s="30"/>
      <c r="BZ831" s="30"/>
      <c r="CA831" s="30"/>
      <c r="CB831" s="30"/>
      <c r="CC831" s="30"/>
      <c r="CD831" s="30"/>
      <c r="CE831" s="30"/>
      <c r="CF831" s="30"/>
      <c r="CG831" s="30"/>
      <c r="CH831" s="30"/>
      <c r="CI831" s="30"/>
      <c r="CJ831" s="30"/>
      <c r="CK831" s="30"/>
      <c r="CL831" s="30"/>
      <c r="CM831" s="30"/>
      <c r="CN831" s="30"/>
      <c r="CO831" s="30"/>
      <c r="CP831" s="30"/>
      <c r="CQ831" s="30"/>
      <c r="CR831" s="30"/>
      <c r="CS831" s="30"/>
      <c r="CT831" s="30"/>
      <c r="CU831" s="30"/>
      <c r="CV831" s="30"/>
      <c r="CW831" s="30"/>
      <c r="CX831" s="30"/>
      <c r="CY831" s="30"/>
      <c r="CZ831" s="30"/>
      <c r="DA831" s="30"/>
      <c r="DB831" s="30"/>
      <c r="DC831" s="30"/>
      <c r="DD831" s="30"/>
      <c r="DE831" s="30"/>
      <c r="DF831" s="30"/>
      <c r="DG831" s="30"/>
      <c r="DH831" s="30"/>
      <c r="DI831" s="30"/>
      <c r="DJ831" s="30"/>
      <c r="DK831" s="30"/>
      <c r="DL831" s="30"/>
      <c r="DM831" s="30"/>
      <c r="DN831" s="30"/>
      <c r="DO831" s="30"/>
      <c r="DP831" s="30"/>
      <c r="DQ831" s="30"/>
      <c r="DR831" s="30"/>
      <c r="DS831" s="30"/>
      <c r="DT831" s="30"/>
      <c r="DU831" s="30"/>
      <c r="DV831" s="30"/>
      <c r="DW831" s="30"/>
      <c r="DX831" s="30"/>
      <c r="DY831" s="30"/>
      <c r="DZ831" s="30"/>
    </row>
    <row r="832">
      <c r="A832" s="30"/>
      <c r="B832" s="42"/>
      <c r="C832" s="43"/>
      <c r="D832" s="30"/>
      <c r="E832" s="28"/>
      <c r="F832" s="30"/>
      <c r="G832" s="30"/>
      <c r="H832" s="30"/>
      <c r="I832" s="30"/>
      <c r="J832" s="28"/>
      <c r="K832" s="30"/>
      <c r="L832" s="30"/>
      <c r="M832" s="30"/>
      <c r="N832" s="30"/>
      <c r="O832" s="28"/>
      <c r="P832" s="30"/>
      <c r="Q832" s="30"/>
      <c r="R832" s="30"/>
      <c r="S832" s="36"/>
      <c r="T832" s="30"/>
      <c r="U832" s="36"/>
      <c r="V832" s="30"/>
      <c r="W832" s="28"/>
      <c r="X832" s="30"/>
      <c r="Y832" s="30"/>
      <c r="Z832" s="30"/>
      <c r="AA832" s="30"/>
      <c r="AB832" s="30"/>
      <c r="AC832" s="28"/>
      <c r="AD832" s="30"/>
      <c r="AE832" s="30"/>
      <c r="AF832" s="30"/>
      <c r="AG832" s="29"/>
      <c r="AH832" s="30"/>
      <c r="AI832" s="36"/>
      <c r="AJ832" s="30"/>
      <c r="AK832" s="29"/>
      <c r="AL832" s="30"/>
      <c r="AM832" s="30"/>
      <c r="AN832" s="30"/>
      <c r="AO832" s="30"/>
      <c r="AP832" s="30"/>
      <c r="AQ832" s="38"/>
      <c r="AR832" s="30"/>
      <c r="AS832" s="30"/>
      <c r="AT832" s="29"/>
      <c r="AU832" s="30"/>
      <c r="AV832" s="30"/>
      <c r="AW832" s="30"/>
      <c r="AX832" s="29"/>
      <c r="AY832" s="39"/>
      <c r="AZ832" s="30"/>
      <c r="BA832" s="30"/>
      <c r="BB832" s="29"/>
      <c r="BC832" s="52"/>
      <c r="BD832" s="30"/>
      <c r="BE832" s="29"/>
      <c r="BF832" s="30"/>
      <c r="BG832" s="30"/>
      <c r="BH832" s="30"/>
      <c r="BI832" s="30"/>
      <c r="BJ832" s="30"/>
      <c r="BK832" s="30"/>
      <c r="BL832" s="30"/>
      <c r="BM832" s="30"/>
      <c r="BN832" s="30"/>
      <c r="BO832" s="30"/>
      <c r="BP832" s="30"/>
      <c r="BQ832" s="30"/>
      <c r="BR832" s="30"/>
      <c r="BS832" s="30"/>
      <c r="BT832" s="30"/>
      <c r="BU832" s="30"/>
      <c r="BV832" s="30"/>
      <c r="BW832" s="30"/>
      <c r="BX832" s="30"/>
      <c r="BY832" s="30"/>
      <c r="BZ832" s="30"/>
      <c r="CA832" s="30"/>
      <c r="CB832" s="30"/>
      <c r="CC832" s="30"/>
      <c r="CD832" s="30"/>
      <c r="CE832" s="30"/>
      <c r="CF832" s="30"/>
      <c r="CG832" s="30"/>
      <c r="CH832" s="30"/>
      <c r="CI832" s="30"/>
      <c r="CJ832" s="30"/>
      <c r="CK832" s="30"/>
      <c r="CL832" s="30"/>
      <c r="CM832" s="30"/>
      <c r="CN832" s="30"/>
      <c r="CO832" s="30"/>
      <c r="CP832" s="30"/>
      <c r="CQ832" s="30"/>
      <c r="CR832" s="30"/>
      <c r="CS832" s="30"/>
      <c r="CT832" s="30"/>
      <c r="CU832" s="30"/>
      <c r="CV832" s="30"/>
      <c r="CW832" s="30"/>
      <c r="CX832" s="30"/>
      <c r="CY832" s="30"/>
      <c r="CZ832" s="30"/>
      <c r="DA832" s="30"/>
      <c r="DB832" s="30"/>
      <c r="DC832" s="30"/>
      <c r="DD832" s="30"/>
      <c r="DE832" s="30"/>
      <c r="DF832" s="30"/>
      <c r="DG832" s="30"/>
      <c r="DH832" s="30"/>
      <c r="DI832" s="30"/>
      <c r="DJ832" s="30"/>
      <c r="DK832" s="30"/>
      <c r="DL832" s="30"/>
      <c r="DM832" s="30"/>
      <c r="DN832" s="30"/>
      <c r="DO832" s="30"/>
      <c r="DP832" s="30"/>
      <c r="DQ832" s="30"/>
      <c r="DR832" s="30"/>
      <c r="DS832" s="30"/>
      <c r="DT832" s="30"/>
      <c r="DU832" s="30"/>
      <c r="DV832" s="30"/>
      <c r="DW832" s="30"/>
      <c r="DX832" s="30"/>
      <c r="DY832" s="30"/>
      <c r="DZ832" s="30"/>
    </row>
    <row r="833">
      <c r="A833" s="30"/>
      <c r="B833" s="42"/>
      <c r="C833" s="43"/>
      <c r="D833" s="30"/>
      <c r="E833" s="28"/>
      <c r="F833" s="30"/>
      <c r="G833" s="30"/>
      <c r="H833" s="30"/>
      <c r="I833" s="30"/>
      <c r="J833" s="28"/>
      <c r="K833" s="30"/>
      <c r="L833" s="30"/>
      <c r="M833" s="30"/>
      <c r="N833" s="30"/>
      <c r="O833" s="28"/>
      <c r="P833" s="30"/>
      <c r="Q833" s="30"/>
      <c r="R833" s="30"/>
      <c r="S833" s="36"/>
      <c r="T833" s="30"/>
      <c r="U833" s="36"/>
      <c r="V833" s="30"/>
      <c r="W833" s="28"/>
      <c r="X833" s="30"/>
      <c r="Y833" s="30"/>
      <c r="Z833" s="30"/>
      <c r="AA833" s="30"/>
      <c r="AB833" s="30"/>
      <c r="AC833" s="28"/>
      <c r="AD833" s="30"/>
      <c r="AE833" s="30"/>
      <c r="AF833" s="30"/>
      <c r="AG833" s="29"/>
      <c r="AH833" s="30"/>
      <c r="AI833" s="36"/>
      <c r="AJ833" s="30"/>
      <c r="AK833" s="29"/>
      <c r="AL833" s="30"/>
      <c r="AM833" s="30"/>
      <c r="AN833" s="30"/>
      <c r="AO833" s="30"/>
      <c r="AP833" s="30"/>
      <c r="AQ833" s="38"/>
      <c r="AR833" s="30"/>
      <c r="AS833" s="30"/>
      <c r="AT833" s="29"/>
      <c r="AU833" s="30"/>
      <c r="AV833" s="30"/>
      <c r="AW833" s="30"/>
      <c r="AX833" s="29"/>
      <c r="AY833" s="39"/>
      <c r="AZ833" s="30"/>
      <c r="BA833" s="30"/>
      <c r="BB833" s="29"/>
      <c r="BC833" s="52"/>
      <c r="BD833" s="30"/>
      <c r="BE833" s="29"/>
      <c r="BF833" s="30"/>
      <c r="BG833" s="30"/>
      <c r="BH833" s="30"/>
      <c r="BI833" s="30"/>
      <c r="BJ833" s="30"/>
      <c r="BK833" s="30"/>
      <c r="BL833" s="30"/>
      <c r="BM833" s="30"/>
      <c r="BN833" s="30"/>
      <c r="BO833" s="30"/>
      <c r="BP833" s="30"/>
      <c r="BQ833" s="30"/>
      <c r="BR833" s="30"/>
      <c r="BS833" s="30"/>
      <c r="BT833" s="30"/>
      <c r="BU833" s="30"/>
      <c r="BV833" s="30"/>
      <c r="BW833" s="30"/>
      <c r="BX833" s="30"/>
      <c r="BY833" s="30"/>
      <c r="BZ833" s="30"/>
      <c r="CA833" s="30"/>
      <c r="CB833" s="30"/>
      <c r="CC833" s="30"/>
      <c r="CD833" s="30"/>
      <c r="CE833" s="30"/>
      <c r="CF833" s="30"/>
      <c r="CG833" s="30"/>
      <c r="CH833" s="30"/>
      <c r="CI833" s="30"/>
      <c r="CJ833" s="30"/>
      <c r="CK833" s="30"/>
      <c r="CL833" s="30"/>
      <c r="CM833" s="30"/>
      <c r="CN833" s="30"/>
      <c r="CO833" s="30"/>
      <c r="CP833" s="30"/>
      <c r="CQ833" s="30"/>
      <c r="CR833" s="30"/>
      <c r="CS833" s="30"/>
      <c r="CT833" s="30"/>
      <c r="CU833" s="30"/>
      <c r="CV833" s="30"/>
      <c r="CW833" s="30"/>
      <c r="CX833" s="30"/>
      <c r="CY833" s="30"/>
      <c r="CZ833" s="30"/>
      <c r="DA833" s="30"/>
      <c r="DB833" s="30"/>
      <c r="DC833" s="30"/>
      <c r="DD833" s="30"/>
      <c r="DE833" s="30"/>
      <c r="DF833" s="30"/>
      <c r="DG833" s="30"/>
      <c r="DH833" s="30"/>
      <c r="DI833" s="30"/>
      <c r="DJ833" s="30"/>
      <c r="DK833" s="30"/>
      <c r="DL833" s="30"/>
      <c r="DM833" s="30"/>
      <c r="DN833" s="30"/>
      <c r="DO833" s="30"/>
      <c r="DP833" s="30"/>
      <c r="DQ833" s="30"/>
      <c r="DR833" s="30"/>
      <c r="DS833" s="30"/>
      <c r="DT833" s="30"/>
      <c r="DU833" s="30"/>
      <c r="DV833" s="30"/>
      <c r="DW833" s="30"/>
      <c r="DX833" s="30"/>
      <c r="DY833" s="30"/>
      <c r="DZ833" s="30"/>
    </row>
    <row r="834">
      <c r="A834" s="30"/>
      <c r="B834" s="42"/>
      <c r="C834" s="43"/>
      <c r="D834" s="30"/>
      <c r="E834" s="28"/>
      <c r="F834" s="30"/>
      <c r="G834" s="30"/>
      <c r="H834" s="30"/>
      <c r="I834" s="30"/>
      <c r="J834" s="28"/>
      <c r="K834" s="30"/>
      <c r="L834" s="30"/>
      <c r="M834" s="30"/>
      <c r="N834" s="30"/>
      <c r="O834" s="28"/>
      <c r="P834" s="30"/>
      <c r="Q834" s="30"/>
      <c r="R834" s="30"/>
      <c r="S834" s="36"/>
      <c r="T834" s="30"/>
      <c r="U834" s="36"/>
      <c r="V834" s="30"/>
      <c r="W834" s="28"/>
      <c r="X834" s="30"/>
      <c r="Y834" s="30"/>
      <c r="Z834" s="30"/>
      <c r="AA834" s="30"/>
      <c r="AB834" s="30"/>
      <c r="AC834" s="28"/>
      <c r="AD834" s="30"/>
      <c r="AE834" s="30"/>
      <c r="AF834" s="30"/>
      <c r="AG834" s="29"/>
      <c r="AH834" s="30"/>
      <c r="AI834" s="36"/>
      <c r="AJ834" s="30"/>
      <c r="AK834" s="29"/>
      <c r="AL834" s="30"/>
      <c r="AM834" s="30"/>
      <c r="AN834" s="30"/>
      <c r="AO834" s="30"/>
      <c r="AP834" s="30"/>
      <c r="AQ834" s="38"/>
      <c r="AR834" s="30"/>
      <c r="AS834" s="30"/>
      <c r="AT834" s="29"/>
      <c r="AU834" s="30"/>
      <c r="AV834" s="30"/>
      <c r="AW834" s="30"/>
      <c r="AX834" s="29"/>
      <c r="AY834" s="39"/>
      <c r="AZ834" s="30"/>
      <c r="BA834" s="30"/>
      <c r="BB834" s="29"/>
      <c r="BC834" s="52"/>
      <c r="BD834" s="30"/>
      <c r="BE834" s="29"/>
      <c r="BF834" s="30"/>
      <c r="BG834" s="30"/>
      <c r="BH834" s="30"/>
      <c r="BI834" s="30"/>
      <c r="BJ834" s="30"/>
      <c r="BK834" s="30"/>
      <c r="BL834" s="30"/>
      <c r="BM834" s="30"/>
      <c r="BN834" s="30"/>
      <c r="BO834" s="30"/>
      <c r="BP834" s="30"/>
      <c r="BQ834" s="30"/>
      <c r="BR834" s="30"/>
      <c r="BS834" s="30"/>
      <c r="BT834" s="30"/>
      <c r="BU834" s="30"/>
      <c r="BV834" s="30"/>
      <c r="BW834" s="30"/>
      <c r="BX834" s="30"/>
      <c r="BY834" s="30"/>
      <c r="BZ834" s="30"/>
      <c r="CA834" s="30"/>
      <c r="CB834" s="30"/>
      <c r="CC834" s="30"/>
      <c r="CD834" s="30"/>
      <c r="CE834" s="30"/>
      <c r="CF834" s="30"/>
      <c r="CG834" s="30"/>
      <c r="CH834" s="30"/>
      <c r="CI834" s="30"/>
      <c r="CJ834" s="30"/>
      <c r="CK834" s="30"/>
      <c r="CL834" s="30"/>
      <c r="CM834" s="30"/>
      <c r="CN834" s="30"/>
      <c r="CO834" s="30"/>
      <c r="CP834" s="30"/>
      <c r="CQ834" s="30"/>
      <c r="CR834" s="30"/>
      <c r="CS834" s="30"/>
      <c r="CT834" s="30"/>
      <c r="CU834" s="30"/>
      <c r="CV834" s="30"/>
      <c r="CW834" s="30"/>
      <c r="CX834" s="30"/>
      <c r="CY834" s="30"/>
      <c r="CZ834" s="30"/>
      <c r="DA834" s="30"/>
      <c r="DB834" s="30"/>
      <c r="DC834" s="30"/>
      <c r="DD834" s="30"/>
      <c r="DE834" s="30"/>
      <c r="DF834" s="30"/>
      <c r="DG834" s="30"/>
      <c r="DH834" s="30"/>
      <c r="DI834" s="30"/>
      <c r="DJ834" s="30"/>
      <c r="DK834" s="30"/>
      <c r="DL834" s="30"/>
      <c r="DM834" s="30"/>
      <c r="DN834" s="30"/>
      <c r="DO834" s="30"/>
      <c r="DP834" s="30"/>
      <c r="DQ834" s="30"/>
      <c r="DR834" s="30"/>
      <c r="DS834" s="30"/>
      <c r="DT834" s="30"/>
      <c r="DU834" s="30"/>
      <c r="DV834" s="30"/>
      <c r="DW834" s="30"/>
      <c r="DX834" s="30"/>
      <c r="DY834" s="30"/>
      <c r="DZ834" s="30"/>
    </row>
    <row r="835">
      <c r="A835" s="30"/>
      <c r="B835" s="42"/>
      <c r="C835" s="43"/>
      <c r="D835" s="30"/>
      <c r="E835" s="28"/>
      <c r="F835" s="30"/>
      <c r="G835" s="30"/>
      <c r="H835" s="30"/>
      <c r="I835" s="30"/>
      <c r="J835" s="28"/>
      <c r="K835" s="30"/>
      <c r="L835" s="30"/>
      <c r="M835" s="30"/>
      <c r="N835" s="30"/>
      <c r="O835" s="28"/>
      <c r="P835" s="30"/>
      <c r="Q835" s="30"/>
      <c r="R835" s="30"/>
      <c r="S835" s="36"/>
      <c r="T835" s="30"/>
      <c r="U835" s="36"/>
      <c r="V835" s="30"/>
      <c r="W835" s="28"/>
      <c r="X835" s="30"/>
      <c r="Y835" s="30"/>
      <c r="Z835" s="30"/>
      <c r="AA835" s="30"/>
      <c r="AB835" s="30"/>
      <c r="AC835" s="28"/>
      <c r="AD835" s="30"/>
      <c r="AE835" s="30"/>
      <c r="AF835" s="30"/>
      <c r="AG835" s="29"/>
      <c r="AH835" s="30"/>
      <c r="AI835" s="36"/>
      <c r="AJ835" s="30"/>
      <c r="AK835" s="29"/>
      <c r="AL835" s="30"/>
      <c r="AM835" s="30"/>
      <c r="AN835" s="30"/>
      <c r="AO835" s="30"/>
      <c r="AP835" s="30"/>
      <c r="AQ835" s="38"/>
      <c r="AR835" s="30"/>
      <c r="AS835" s="30"/>
      <c r="AT835" s="29"/>
      <c r="AU835" s="30"/>
      <c r="AV835" s="30"/>
      <c r="AW835" s="30"/>
      <c r="AX835" s="29"/>
      <c r="AY835" s="39"/>
      <c r="AZ835" s="30"/>
      <c r="BA835" s="30"/>
      <c r="BB835" s="29"/>
      <c r="BC835" s="52"/>
      <c r="BD835" s="30"/>
      <c r="BE835" s="29"/>
      <c r="BF835" s="30"/>
      <c r="BG835" s="30"/>
      <c r="BH835" s="30"/>
      <c r="BI835" s="30"/>
      <c r="BJ835" s="30"/>
      <c r="BK835" s="30"/>
      <c r="BL835" s="30"/>
      <c r="BM835" s="30"/>
      <c r="BN835" s="30"/>
      <c r="BO835" s="30"/>
      <c r="BP835" s="30"/>
      <c r="BQ835" s="30"/>
      <c r="BR835" s="30"/>
      <c r="BS835" s="30"/>
      <c r="BT835" s="30"/>
      <c r="BU835" s="30"/>
      <c r="BV835" s="30"/>
      <c r="BW835" s="30"/>
      <c r="BX835" s="30"/>
      <c r="BY835" s="30"/>
      <c r="BZ835" s="30"/>
      <c r="CA835" s="30"/>
      <c r="CB835" s="30"/>
      <c r="CC835" s="30"/>
      <c r="CD835" s="30"/>
      <c r="CE835" s="30"/>
      <c r="CF835" s="30"/>
      <c r="CG835" s="30"/>
      <c r="CH835" s="30"/>
      <c r="CI835" s="30"/>
      <c r="CJ835" s="30"/>
      <c r="CK835" s="30"/>
      <c r="CL835" s="30"/>
      <c r="CM835" s="30"/>
      <c r="CN835" s="30"/>
      <c r="CO835" s="30"/>
      <c r="CP835" s="30"/>
      <c r="CQ835" s="30"/>
      <c r="CR835" s="30"/>
      <c r="CS835" s="30"/>
      <c r="CT835" s="30"/>
      <c r="CU835" s="30"/>
      <c r="CV835" s="30"/>
      <c r="CW835" s="30"/>
      <c r="CX835" s="30"/>
      <c r="CY835" s="30"/>
      <c r="CZ835" s="30"/>
      <c r="DA835" s="30"/>
      <c r="DB835" s="30"/>
      <c r="DC835" s="30"/>
      <c r="DD835" s="30"/>
      <c r="DE835" s="30"/>
      <c r="DF835" s="30"/>
      <c r="DG835" s="30"/>
      <c r="DH835" s="30"/>
      <c r="DI835" s="30"/>
      <c r="DJ835" s="30"/>
      <c r="DK835" s="30"/>
      <c r="DL835" s="30"/>
      <c r="DM835" s="30"/>
      <c r="DN835" s="30"/>
      <c r="DO835" s="30"/>
      <c r="DP835" s="30"/>
      <c r="DQ835" s="30"/>
      <c r="DR835" s="30"/>
      <c r="DS835" s="30"/>
      <c r="DT835" s="30"/>
      <c r="DU835" s="30"/>
      <c r="DV835" s="30"/>
      <c r="DW835" s="30"/>
      <c r="DX835" s="30"/>
      <c r="DY835" s="30"/>
      <c r="DZ835" s="30"/>
    </row>
    <row r="836">
      <c r="A836" s="30"/>
      <c r="B836" s="42"/>
      <c r="C836" s="43"/>
      <c r="D836" s="30"/>
      <c r="E836" s="28"/>
      <c r="F836" s="30"/>
      <c r="G836" s="30"/>
      <c r="H836" s="30"/>
      <c r="I836" s="30"/>
      <c r="J836" s="28"/>
      <c r="K836" s="30"/>
      <c r="L836" s="30"/>
      <c r="M836" s="30"/>
      <c r="N836" s="30"/>
      <c r="O836" s="28"/>
      <c r="P836" s="30"/>
      <c r="Q836" s="30"/>
      <c r="R836" s="30"/>
      <c r="S836" s="36"/>
      <c r="T836" s="30"/>
      <c r="U836" s="36"/>
      <c r="V836" s="30"/>
      <c r="W836" s="28"/>
      <c r="X836" s="30"/>
      <c r="Y836" s="30"/>
      <c r="Z836" s="30"/>
      <c r="AA836" s="30"/>
      <c r="AB836" s="30"/>
      <c r="AC836" s="28"/>
      <c r="AD836" s="30"/>
      <c r="AE836" s="30"/>
      <c r="AF836" s="30"/>
      <c r="AG836" s="29"/>
      <c r="AH836" s="30"/>
      <c r="AI836" s="36"/>
      <c r="AJ836" s="30"/>
      <c r="AK836" s="29"/>
      <c r="AL836" s="30"/>
      <c r="AM836" s="30"/>
      <c r="AN836" s="30"/>
      <c r="AO836" s="30"/>
      <c r="AP836" s="30"/>
      <c r="AQ836" s="38"/>
      <c r="AR836" s="30"/>
      <c r="AS836" s="30"/>
      <c r="AT836" s="29"/>
      <c r="AU836" s="30"/>
      <c r="AV836" s="30"/>
      <c r="AW836" s="30"/>
      <c r="AX836" s="29"/>
      <c r="AY836" s="39"/>
      <c r="AZ836" s="30"/>
      <c r="BA836" s="30"/>
      <c r="BB836" s="29"/>
      <c r="BC836" s="52"/>
      <c r="BD836" s="30"/>
      <c r="BE836" s="29"/>
      <c r="BF836" s="30"/>
      <c r="BG836" s="30"/>
      <c r="BH836" s="30"/>
      <c r="BI836" s="30"/>
      <c r="BJ836" s="30"/>
      <c r="BK836" s="30"/>
      <c r="BL836" s="30"/>
      <c r="BM836" s="30"/>
      <c r="BN836" s="30"/>
      <c r="BO836" s="30"/>
      <c r="BP836" s="30"/>
      <c r="BQ836" s="30"/>
      <c r="BR836" s="30"/>
      <c r="BS836" s="30"/>
      <c r="BT836" s="30"/>
      <c r="BU836" s="30"/>
      <c r="BV836" s="30"/>
      <c r="BW836" s="30"/>
      <c r="BX836" s="30"/>
      <c r="BY836" s="30"/>
      <c r="BZ836" s="30"/>
      <c r="CA836" s="30"/>
      <c r="CB836" s="30"/>
      <c r="CC836" s="30"/>
      <c r="CD836" s="30"/>
      <c r="CE836" s="30"/>
      <c r="CF836" s="30"/>
      <c r="CG836" s="30"/>
      <c r="CH836" s="30"/>
      <c r="CI836" s="30"/>
      <c r="CJ836" s="30"/>
      <c r="CK836" s="30"/>
      <c r="CL836" s="30"/>
      <c r="CM836" s="30"/>
      <c r="CN836" s="30"/>
      <c r="CO836" s="30"/>
      <c r="CP836" s="30"/>
      <c r="CQ836" s="30"/>
      <c r="CR836" s="30"/>
      <c r="CS836" s="30"/>
      <c r="CT836" s="30"/>
      <c r="CU836" s="30"/>
      <c r="CV836" s="30"/>
      <c r="CW836" s="30"/>
      <c r="CX836" s="30"/>
      <c r="CY836" s="30"/>
      <c r="CZ836" s="30"/>
      <c r="DA836" s="30"/>
      <c r="DB836" s="30"/>
      <c r="DC836" s="30"/>
      <c r="DD836" s="30"/>
      <c r="DE836" s="30"/>
      <c r="DF836" s="30"/>
      <c r="DG836" s="30"/>
      <c r="DH836" s="30"/>
      <c r="DI836" s="30"/>
      <c r="DJ836" s="30"/>
      <c r="DK836" s="30"/>
      <c r="DL836" s="30"/>
      <c r="DM836" s="30"/>
      <c r="DN836" s="30"/>
      <c r="DO836" s="30"/>
      <c r="DP836" s="30"/>
      <c r="DQ836" s="30"/>
      <c r="DR836" s="30"/>
      <c r="DS836" s="30"/>
      <c r="DT836" s="30"/>
      <c r="DU836" s="30"/>
      <c r="DV836" s="30"/>
      <c r="DW836" s="30"/>
      <c r="DX836" s="30"/>
      <c r="DY836" s="30"/>
      <c r="DZ836" s="30"/>
    </row>
    <row r="837">
      <c r="A837" s="30"/>
      <c r="B837" s="42"/>
      <c r="C837" s="43"/>
      <c r="D837" s="30"/>
      <c r="E837" s="28"/>
      <c r="F837" s="30"/>
      <c r="G837" s="30"/>
      <c r="H837" s="30"/>
      <c r="I837" s="30"/>
      <c r="J837" s="28"/>
      <c r="K837" s="30"/>
      <c r="L837" s="30"/>
      <c r="M837" s="30"/>
      <c r="N837" s="30"/>
      <c r="O837" s="28"/>
      <c r="P837" s="30"/>
      <c r="Q837" s="30"/>
      <c r="R837" s="30"/>
      <c r="S837" s="36"/>
      <c r="T837" s="30"/>
      <c r="U837" s="36"/>
      <c r="V837" s="30"/>
      <c r="W837" s="28"/>
      <c r="X837" s="30"/>
      <c r="Y837" s="30"/>
      <c r="Z837" s="30"/>
      <c r="AA837" s="30"/>
      <c r="AB837" s="30"/>
      <c r="AC837" s="28"/>
      <c r="AD837" s="30"/>
      <c r="AE837" s="30"/>
      <c r="AF837" s="30"/>
      <c r="AG837" s="29"/>
      <c r="AH837" s="30"/>
      <c r="AI837" s="36"/>
      <c r="AJ837" s="30"/>
      <c r="AK837" s="29"/>
      <c r="AL837" s="30"/>
      <c r="AM837" s="30"/>
      <c r="AN837" s="30"/>
      <c r="AO837" s="30"/>
      <c r="AP837" s="30"/>
      <c r="AQ837" s="38"/>
      <c r="AR837" s="30"/>
      <c r="AS837" s="30"/>
      <c r="AT837" s="29"/>
      <c r="AU837" s="30"/>
      <c r="AV837" s="30"/>
      <c r="AW837" s="30"/>
      <c r="AX837" s="29"/>
      <c r="AY837" s="39"/>
      <c r="AZ837" s="30"/>
      <c r="BA837" s="30"/>
      <c r="BB837" s="29"/>
      <c r="BC837" s="52"/>
      <c r="BD837" s="30"/>
      <c r="BE837" s="29"/>
      <c r="BF837" s="30"/>
      <c r="BG837" s="30"/>
      <c r="BH837" s="30"/>
      <c r="BI837" s="30"/>
      <c r="BJ837" s="30"/>
      <c r="BK837" s="30"/>
      <c r="BL837" s="30"/>
      <c r="BM837" s="30"/>
      <c r="BN837" s="30"/>
      <c r="BO837" s="30"/>
      <c r="BP837" s="30"/>
      <c r="BQ837" s="30"/>
      <c r="BR837" s="30"/>
      <c r="BS837" s="30"/>
      <c r="BT837" s="30"/>
      <c r="BU837" s="30"/>
      <c r="BV837" s="30"/>
      <c r="BW837" s="30"/>
      <c r="BX837" s="30"/>
      <c r="BY837" s="30"/>
      <c r="BZ837" s="30"/>
      <c r="CA837" s="30"/>
      <c r="CB837" s="30"/>
      <c r="CC837" s="30"/>
      <c r="CD837" s="30"/>
      <c r="CE837" s="30"/>
      <c r="CF837" s="30"/>
      <c r="CG837" s="30"/>
      <c r="CH837" s="30"/>
      <c r="CI837" s="30"/>
      <c r="CJ837" s="30"/>
      <c r="CK837" s="30"/>
      <c r="CL837" s="30"/>
      <c r="CM837" s="30"/>
      <c r="CN837" s="30"/>
      <c r="CO837" s="30"/>
      <c r="CP837" s="30"/>
      <c r="CQ837" s="30"/>
      <c r="CR837" s="30"/>
      <c r="CS837" s="30"/>
      <c r="CT837" s="30"/>
      <c r="CU837" s="30"/>
      <c r="CV837" s="30"/>
      <c r="CW837" s="30"/>
      <c r="CX837" s="30"/>
      <c r="CY837" s="30"/>
      <c r="CZ837" s="30"/>
      <c r="DA837" s="30"/>
      <c r="DB837" s="30"/>
      <c r="DC837" s="30"/>
      <c r="DD837" s="30"/>
      <c r="DE837" s="30"/>
      <c r="DF837" s="30"/>
      <c r="DG837" s="30"/>
      <c r="DH837" s="30"/>
      <c r="DI837" s="30"/>
      <c r="DJ837" s="30"/>
      <c r="DK837" s="30"/>
      <c r="DL837" s="30"/>
      <c r="DM837" s="30"/>
      <c r="DN837" s="30"/>
      <c r="DO837" s="30"/>
      <c r="DP837" s="30"/>
      <c r="DQ837" s="30"/>
      <c r="DR837" s="30"/>
      <c r="DS837" s="30"/>
      <c r="DT837" s="30"/>
      <c r="DU837" s="30"/>
      <c r="DV837" s="30"/>
      <c r="DW837" s="30"/>
      <c r="DX837" s="30"/>
      <c r="DY837" s="30"/>
      <c r="DZ837" s="30"/>
    </row>
    <row r="838">
      <c r="A838" s="30"/>
      <c r="B838" s="42"/>
      <c r="C838" s="43"/>
      <c r="D838" s="30"/>
      <c r="E838" s="28"/>
      <c r="F838" s="30"/>
      <c r="G838" s="30"/>
      <c r="H838" s="30"/>
      <c r="I838" s="30"/>
      <c r="J838" s="28"/>
      <c r="K838" s="30"/>
      <c r="L838" s="30"/>
      <c r="M838" s="30"/>
      <c r="N838" s="30"/>
      <c r="O838" s="28"/>
      <c r="P838" s="30"/>
      <c r="Q838" s="30"/>
      <c r="R838" s="30"/>
      <c r="S838" s="36"/>
      <c r="T838" s="30"/>
      <c r="U838" s="36"/>
      <c r="V838" s="30"/>
      <c r="W838" s="28"/>
      <c r="X838" s="30"/>
      <c r="Y838" s="30"/>
      <c r="Z838" s="30"/>
      <c r="AA838" s="30"/>
      <c r="AB838" s="30"/>
      <c r="AC838" s="28"/>
      <c r="AD838" s="30"/>
      <c r="AE838" s="30"/>
      <c r="AF838" s="30"/>
      <c r="AG838" s="29"/>
      <c r="AH838" s="30"/>
      <c r="AI838" s="36"/>
      <c r="AJ838" s="30"/>
      <c r="AK838" s="29"/>
      <c r="AL838" s="30"/>
      <c r="AM838" s="30"/>
      <c r="AN838" s="30"/>
      <c r="AO838" s="30"/>
      <c r="AP838" s="30"/>
      <c r="AQ838" s="38"/>
      <c r="AR838" s="30"/>
      <c r="AS838" s="30"/>
      <c r="AT838" s="29"/>
      <c r="AU838" s="30"/>
      <c r="AV838" s="30"/>
      <c r="AW838" s="30"/>
      <c r="AX838" s="29"/>
      <c r="AY838" s="39"/>
      <c r="AZ838" s="30"/>
      <c r="BA838" s="30"/>
      <c r="BB838" s="29"/>
      <c r="BC838" s="52"/>
      <c r="BD838" s="30"/>
      <c r="BE838" s="29"/>
      <c r="BF838" s="30"/>
      <c r="BG838" s="30"/>
      <c r="BH838" s="30"/>
      <c r="BI838" s="30"/>
      <c r="BJ838" s="30"/>
      <c r="BK838" s="30"/>
      <c r="BL838" s="30"/>
      <c r="BM838" s="30"/>
      <c r="BN838" s="30"/>
      <c r="BO838" s="30"/>
      <c r="BP838" s="30"/>
      <c r="BQ838" s="30"/>
      <c r="BR838" s="30"/>
      <c r="BS838" s="30"/>
      <c r="BT838" s="30"/>
      <c r="BU838" s="30"/>
      <c r="BV838" s="30"/>
      <c r="BW838" s="30"/>
      <c r="BX838" s="30"/>
      <c r="BY838" s="30"/>
      <c r="BZ838" s="30"/>
      <c r="CA838" s="30"/>
      <c r="CB838" s="30"/>
      <c r="CC838" s="30"/>
      <c r="CD838" s="30"/>
      <c r="CE838" s="30"/>
      <c r="CF838" s="30"/>
      <c r="CG838" s="30"/>
      <c r="CH838" s="30"/>
      <c r="CI838" s="30"/>
      <c r="CJ838" s="30"/>
      <c r="CK838" s="30"/>
      <c r="CL838" s="30"/>
      <c r="CM838" s="30"/>
      <c r="CN838" s="30"/>
      <c r="CO838" s="30"/>
      <c r="CP838" s="30"/>
      <c r="CQ838" s="30"/>
      <c r="CR838" s="30"/>
      <c r="CS838" s="30"/>
      <c r="CT838" s="30"/>
      <c r="CU838" s="30"/>
      <c r="CV838" s="30"/>
      <c r="CW838" s="30"/>
      <c r="CX838" s="30"/>
      <c r="CY838" s="30"/>
      <c r="CZ838" s="30"/>
      <c r="DA838" s="30"/>
      <c r="DB838" s="30"/>
      <c r="DC838" s="30"/>
      <c r="DD838" s="30"/>
      <c r="DE838" s="30"/>
      <c r="DF838" s="30"/>
      <c r="DG838" s="30"/>
      <c r="DH838" s="30"/>
      <c r="DI838" s="30"/>
      <c r="DJ838" s="30"/>
      <c r="DK838" s="30"/>
      <c r="DL838" s="30"/>
      <c r="DM838" s="30"/>
      <c r="DN838" s="30"/>
      <c r="DO838" s="30"/>
      <c r="DP838" s="30"/>
      <c r="DQ838" s="30"/>
      <c r="DR838" s="30"/>
      <c r="DS838" s="30"/>
      <c r="DT838" s="30"/>
      <c r="DU838" s="30"/>
      <c r="DV838" s="30"/>
      <c r="DW838" s="30"/>
      <c r="DX838" s="30"/>
      <c r="DY838" s="30"/>
      <c r="DZ838" s="30"/>
    </row>
    <row r="839">
      <c r="A839" s="30"/>
      <c r="B839" s="42"/>
      <c r="C839" s="43"/>
      <c r="D839" s="30"/>
      <c r="E839" s="28"/>
      <c r="F839" s="30"/>
      <c r="G839" s="30"/>
      <c r="H839" s="30"/>
      <c r="I839" s="30"/>
      <c r="J839" s="28"/>
      <c r="K839" s="30"/>
      <c r="L839" s="30"/>
      <c r="M839" s="30"/>
      <c r="N839" s="30"/>
      <c r="O839" s="28"/>
      <c r="P839" s="30"/>
      <c r="Q839" s="30"/>
      <c r="R839" s="30"/>
      <c r="S839" s="36"/>
      <c r="T839" s="30"/>
      <c r="U839" s="36"/>
      <c r="V839" s="30"/>
      <c r="W839" s="28"/>
      <c r="X839" s="30"/>
      <c r="Y839" s="30"/>
      <c r="Z839" s="30"/>
      <c r="AA839" s="30"/>
      <c r="AB839" s="30"/>
      <c r="AC839" s="28"/>
      <c r="AD839" s="30"/>
      <c r="AE839" s="30"/>
      <c r="AF839" s="30"/>
      <c r="AG839" s="29"/>
      <c r="AH839" s="30"/>
      <c r="AI839" s="36"/>
      <c r="AJ839" s="30"/>
      <c r="AK839" s="29"/>
      <c r="AL839" s="30"/>
      <c r="AM839" s="30"/>
      <c r="AN839" s="30"/>
      <c r="AO839" s="30"/>
      <c r="AP839" s="30"/>
      <c r="AQ839" s="38"/>
      <c r="AR839" s="30"/>
      <c r="AS839" s="30"/>
      <c r="AT839" s="29"/>
      <c r="AU839" s="30"/>
      <c r="AV839" s="30"/>
      <c r="AW839" s="30"/>
      <c r="AX839" s="29"/>
      <c r="AY839" s="39"/>
      <c r="AZ839" s="30"/>
      <c r="BA839" s="30"/>
      <c r="BB839" s="29"/>
      <c r="BC839" s="52"/>
      <c r="BD839" s="30"/>
      <c r="BE839" s="29"/>
      <c r="BF839" s="30"/>
      <c r="BG839" s="30"/>
      <c r="BH839" s="30"/>
      <c r="BI839" s="30"/>
      <c r="BJ839" s="30"/>
      <c r="BK839" s="30"/>
      <c r="BL839" s="30"/>
      <c r="BM839" s="30"/>
      <c r="BN839" s="30"/>
      <c r="BO839" s="30"/>
      <c r="BP839" s="30"/>
      <c r="BQ839" s="30"/>
      <c r="BR839" s="30"/>
      <c r="BS839" s="30"/>
      <c r="BT839" s="30"/>
      <c r="BU839" s="30"/>
      <c r="BV839" s="30"/>
      <c r="BW839" s="30"/>
      <c r="BX839" s="30"/>
      <c r="BY839" s="30"/>
      <c r="BZ839" s="30"/>
      <c r="CA839" s="30"/>
      <c r="CB839" s="30"/>
      <c r="CC839" s="30"/>
      <c r="CD839" s="30"/>
      <c r="CE839" s="30"/>
      <c r="CF839" s="30"/>
      <c r="CG839" s="30"/>
      <c r="CH839" s="30"/>
      <c r="CI839" s="30"/>
      <c r="CJ839" s="30"/>
      <c r="CK839" s="30"/>
      <c r="CL839" s="30"/>
      <c r="CM839" s="30"/>
      <c r="CN839" s="30"/>
      <c r="CO839" s="30"/>
      <c r="CP839" s="30"/>
      <c r="CQ839" s="30"/>
      <c r="CR839" s="30"/>
      <c r="CS839" s="30"/>
      <c r="CT839" s="30"/>
      <c r="CU839" s="30"/>
      <c r="CV839" s="30"/>
      <c r="CW839" s="30"/>
      <c r="CX839" s="30"/>
      <c r="CY839" s="30"/>
      <c r="CZ839" s="30"/>
      <c r="DA839" s="30"/>
      <c r="DB839" s="30"/>
      <c r="DC839" s="30"/>
      <c r="DD839" s="30"/>
      <c r="DE839" s="30"/>
      <c r="DF839" s="30"/>
      <c r="DG839" s="30"/>
      <c r="DH839" s="30"/>
      <c r="DI839" s="30"/>
      <c r="DJ839" s="30"/>
      <c r="DK839" s="30"/>
      <c r="DL839" s="30"/>
      <c r="DM839" s="30"/>
      <c r="DN839" s="30"/>
      <c r="DO839" s="30"/>
      <c r="DP839" s="30"/>
      <c r="DQ839" s="30"/>
      <c r="DR839" s="30"/>
      <c r="DS839" s="30"/>
      <c r="DT839" s="30"/>
      <c r="DU839" s="30"/>
      <c r="DV839" s="30"/>
      <c r="DW839" s="30"/>
      <c r="DX839" s="30"/>
      <c r="DY839" s="30"/>
      <c r="DZ839" s="30"/>
    </row>
    <row r="840">
      <c r="A840" s="30"/>
      <c r="B840" s="42"/>
      <c r="C840" s="43"/>
      <c r="D840" s="30"/>
      <c r="E840" s="28"/>
      <c r="F840" s="30"/>
      <c r="G840" s="30"/>
      <c r="H840" s="30"/>
      <c r="I840" s="30"/>
      <c r="J840" s="28"/>
      <c r="K840" s="30"/>
      <c r="L840" s="30"/>
      <c r="M840" s="30"/>
      <c r="N840" s="30"/>
      <c r="O840" s="28"/>
      <c r="P840" s="30"/>
      <c r="Q840" s="30"/>
      <c r="R840" s="30"/>
      <c r="S840" s="36"/>
      <c r="T840" s="30"/>
      <c r="U840" s="36"/>
      <c r="V840" s="30"/>
      <c r="W840" s="28"/>
      <c r="X840" s="30"/>
      <c r="Y840" s="30"/>
      <c r="Z840" s="30"/>
      <c r="AA840" s="30"/>
      <c r="AB840" s="30"/>
      <c r="AC840" s="28"/>
      <c r="AD840" s="30"/>
      <c r="AE840" s="30"/>
      <c r="AF840" s="30"/>
      <c r="AG840" s="29"/>
      <c r="AH840" s="30"/>
      <c r="AI840" s="36"/>
      <c r="AJ840" s="30"/>
      <c r="AK840" s="29"/>
      <c r="AL840" s="30"/>
      <c r="AM840" s="30"/>
      <c r="AN840" s="30"/>
      <c r="AO840" s="30"/>
      <c r="AP840" s="30"/>
      <c r="AQ840" s="38"/>
      <c r="AR840" s="30"/>
      <c r="AS840" s="30"/>
      <c r="AT840" s="29"/>
      <c r="AU840" s="30"/>
      <c r="AV840" s="30"/>
      <c r="AW840" s="30"/>
      <c r="AX840" s="29"/>
      <c r="AY840" s="39"/>
      <c r="AZ840" s="30"/>
      <c r="BA840" s="30"/>
      <c r="BB840" s="29"/>
      <c r="BC840" s="52"/>
      <c r="BD840" s="30"/>
      <c r="BE840" s="29"/>
      <c r="BF840" s="30"/>
      <c r="BG840" s="30"/>
      <c r="BH840" s="30"/>
      <c r="BI840" s="30"/>
      <c r="BJ840" s="30"/>
      <c r="BK840" s="30"/>
      <c r="BL840" s="30"/>
      <c r="BM840" s="30"/>
      <c r="BN840" s="30"/>
      <c r="BO840" s="30"/>
      <c r="BP840" s="30"/>
      <c r="BQ840" s="30"/>
      <c r="BR840" s="30"/>
      <c r="BS840" s="30"/>
      <c r="BT840" s="30"/>
      <c r="BU840" s="30"/>
      <c r="BV840" s="30"/>
      <c r="BW840" s="30"/>
      <c r="BX840" s="30"/>
      <c r="BY840" s="30"/>
      <c r="BZ840" s="30"/>
      <c r="CA840" s="30"/>
      <c r="CB840" s="30"/>
      <c r="CC840" s="30"/>
      <c r="CD840" s="30"/>
      <c r="CE840" s="30"/>
      <c r="CF840" s="30"/>
      <c r="CG840" s="30"/>
      <c r="CH840" s="30"/>
      <c r="CI840" s="30"/>
      <c r="CJ840" s="30"/>
      <c r="CK840" s="30"/>
      <c r="CL840" s="30"/>
      <c r="CM840" s="30"/>
      <c r="CN840" s="30"/>
      <c r="CO840" s="30"/>
      <c r="CP840" s="30"/>
      <c r="CQ840" s="30"/>
      <c r="CR840" s="30"/>
      <c r="CS840" s="30"/>
      <c r="CT840" s="30"/>
      <c r="CU840" s="30"/>
      <c r="CV840" s="30"/>
      <c r="CW840" s="30"/>
      <c r="CX840" s="30"/>
      <c r="CY840" s="30"/>
      <c r="CZ840" s="30"/>
      <c r="DA840" s="30"/>
      <c r="DB840" s="30"/>
      <c r="DC840" s="30"/>
      <c r="DD840" s="30"/>
      <c r="DE840" s="30"/>
      <c r="DF840" s="30"/>
      <c r="DG840" s="30"/>
      <c r="DH840" s="30"/>
      <c r="DI840" s="30"/>
      <c r="DJ840" s="30"/>
      <c r="DK840" s="30"/>
      <c r="DL840" s="30"/>
      <c r="DM840" s="30"/>
      <c r="DN840" s="30"/>
      <c r="DO840" s="30"/>
      <c r="DP840" s="30"/>
      <c r="DQ840" s="30"/>
      <c r="DR840" s="30"/>
      <c r="DS840" s="30"/>
      <c r="DT840" s="30"/>
      <c r="DU840" s="30"/>
      <c r="DV840" s="30"/>
      <c r="DW840" s="30"/>
      <c r="DX840" s="30"/>
      <c r="DY840" s="30"/>
      <c r="DZ840" s="30"/>
    </row>
    <row r="841">
      <c r="A841" s="30"/>
      <c r="B841" s="42"/>
      <c r="C841" s="43"/>
      <c r="D841" s="30"/>
      <c r="E841" s="28"/>
      <c r="F841" s="30"/>
      <c r="G841" s="30"/>
      <c r="H841" s="30"/>
      <c r="I841" s="30"/>
      <c r="J841" s="28"/>
      <c r="K841" s="30"/>
      <c r="L841" s="30"/>
      <c r="M841" s="30"/>
      <c r="N841" s="30"/>
      <c r="O841" s="28"/>
      <c r="P841" s="30"/>
      <c r="Q841" s="30"/>
      <c r="R841" s="30"/>
      <c r="S841" s="36"/>
      <c r="T841" s="30"/>
      <c r="U841" s="36"/>
      <c r="V841" s="30"/>
      <c r="W841" s="28"/>
      <c r="X841" s="30"/>
      <c r="Y841" s="30"/>
      <c r="Z841" s="30"/>
      <c r="AA841" s="30"/>
      <c r="AB841" s="30"/>
      <c r="AC841" s="28"/>
      <c r="AD841" s="30"/>
      <c r="AE841" s="30"/>
      <c r="AF841" s="30"/>
      <c r="AG841" s="29"/>
      <c r="AH841" s="30"/>
      <c r="AI841" s="36"/>
      <c r="AJ841" s="30"/>
      <c r="AK841" s="29"/>
      <c r="AL841" s="30"/>
      <c r="AM841" s="30"/>
      <c r="AN841" s="30"/>
      <c r="AO841" s="30"/>
      <c r="AP841" s="30"/>
      <c r="AQ841" s="38"/>
      <c r="AR841" s="30"/>
      <c r="AS841" s="30"/>
      <c r="AT841" s="29"/>
      <c r="AU841" s="30"/>
      <c r="AV841" s="30"/>
      <c r="AW841" s="30"/>
      <c r="AX841" s="29"/>
      <c r="AY841" s="39"/>
      <c r="AZ841" s="30"/>
      <c r="BA841" s="30"/>
      <c r="BB841" s="29"/>
      <c r="BC841" s="52"/>
      <c r="BD841" s="30"/>
      <c r="BE841" s="29"/>
      <c r="BF841" s="30"/>
      <c r="BG841" s="30"/>
      <c r="BH841" s="30"/>
      <c r="BI841" s="30"/>
      <c r="BJ841" s="30"/>
      <c r="BK841" s="30"/>
      <c r="BL841" s="30"/>
      <c r="BM841" s="30"/>
      <c r="BN841" s="30"/>
      <c r="BO841" s="30"/>
      <c r="BP841" s="30"/>
      <c r="BQ841" s="30"/>
      <c r="BR841" s="30"/>
      <c r="BS841" s="30"/>
      <c r="BT841" s="30"/>
      <c r="BU841" s="30"/>
      <c r="BV841" s="30"/>
      <c r="BW841" s="30"/>
      <c r="BX841" s="30"/>
      <c r="BY841" s="30"/>
      <c r="BZ841" s="30"/>
      <c r="CA841" s="30"/>
      <c r="CB841" s="30"/>
      <c r="CC841" s="30"/>
      <c r="CD841" s="30"/>
      <c r="CE841" s="30"/>
      <c r="CF841" s="30"/>
      <c r="CG841" s="30"/>
      <c r="CH841" s="30"/>
      <c r="CI841" s="30"/>
      <c r="CJ841" s="30"/>
      <c r="CK841" s="30"/>
      <c r="CL841" s="30"/>
      <c r="CM841" s="30"/>
      <c r="CN841" s="30"/>
      <c r="CO841" s="30"/>
      <c r="CP841" s="30"/>
      <c r="CQ841" s="30"/>
      <c r="CR841" s="30"/>
      <c r="CS841" s="30"/>
      <c r="CT841" s="30"/>
      <c r="CU841" s="30"/>
      <c r="CV841" s="30"/>
      <c r="CW841" s="30"/>
      <c r="CX841" s="30"/>
      <c r="CY841" s="30"/>
      <c r="CZ841" s="30"/>
      <c r="DA841" s="30"/>
      <c r="DB841" s="30"/>
      <c r="DC841" s="30"/>
      <c r="DD841" s="30"/>
      <c r="DE841" s="30"/>
      <c r="DF841" s="30"/>
      <c r="DG841" s="30"/>
      <c r="DH841" s="30"/>
      <c r="DI841" s="30"/>
      <c r="DJ841" s="30"/>
      <c r="DK841" s="30"/>
      <c r="DL841" s="30"/>
      <c r="DM841" s="30"/>
      <c r="DN841" s="30"/>
      <c r="DO841" s="30"/>
      <c r="DP841" s="30"/>
      <c r="DQ841" s="30"/>
      <c r="DR841" s="30"/>
      <c r="DS841" s="30"/>
      <c r="DT841" s="30"/>
      <c r="DU841" s="30"/>
      <c r="DV841" s="30"/>
      <c r="DW841" s="30"/>
      <c r="DX841" s="30"/>
      <c r="DY841" s="30"/>
      <c r="DZ841" s="30"/>
    </row>
    <row r="842">
      <c r="A842" s="30"/>
      <c r="B842" s="42"/>
      <c r="C842" s="43"/>
      <c r="D842" s="30"/>
      <c r="E842" s="28"/>
      <c r="F842" s="30"/>
      <c r="G842" s="30"/>
      <c r="H842" s="30"/>
      <c r="I842" s="30"/>
      <c r="J842" s="28"/>
      <c r="K842" s="30"/>
      <c r="L842" s="30"/>
      <c r="M842" s="30"/>
      <c r="N842" s="30"/>
      <c r="O842" s="28"/>
      <c r="P842" s="30"/>
      <c r="Q842" s="30"/>
      <c r="R842" s="30"/>
      <c r="S842" s="36"/>
      <c r="T842" s="30"/>
      <c r="U842" s="36"/>
      <c r="V842" s="30"/>
      <c r="W842" s="28"/>
      <c r="X842" s="30"/>
      <c r="Y842" s="30"/>
      <c r="Z842" s="30"/>
      <c r="AA842" s="30"/>
      <c r="AB842" s="30"/>
      <c r="AC842" s="28"/>
      <c r="AD842" s="30"/>
      <c r="AE842" s="30"/>
      <c r="AF842" s="30"/>
      <c r="AG842" s="29"/>
      <c r="AH842" s="30"/>
      <c r="AI842" s="36"/>
      <c r="AJ842" s="30"/>
      <c r="AK842" s="29"/>
      <c r="AL842" s="30"/>
      <c r="AM842" s="30"/>
      <c r="AN842" s="30"/>
      <c r="AO842" s="30"/>
      <c r="AP842" s="30"/>
      <c r="AQ842" s="38"/>
      <c r="AR842" s="30"/>
      <c r="AS842" s="30"/>
      <c r="AT842" s="29"/>
      <c r="AU842" s="30"/>
      <c r="AV842" s="30"/>
      <c r="AW842" s="30"/>
      <c r="AX842" s="29"/>
      <c r="AY842" s="39"/>
      <c r="AZ842" s="30"/>
      <c r="BA842" s="30"/>
      <c r="BB842" s="29"/>
      <c r="BC842" s="52"/>
      <c r="BD842" s="30"/>
      <c r="BE842" s="29"/>
      <c r="BF842" s="30"/>
      <c r="BG842" s="30"/>
      <c r="BH842" s="30"/>
      <c r="BI842" s="30"/>
      <c r="BJ842" s="30"/>
      <c r="BK842" s="30"/>
      <c r="BL842" s="30"/>
      <c r="BM842" s="30"/>
      <c r="BN842" s="30"/>
      <c r="BO842" s="30"/>
      <c r="BP842" s="30"/>
      <c r="BQ842" s="30"/>
      <c r="BR842" s="30"/>
      <c r="BS842" s="30"/>
      <c r="BT842" s="30"/>
      <c r="BU842" s="30"/>
      <c r="BV842" s="30"/>
      <c r="BW842" s="30"/>
      <c r="BX842" s="30"/>
      <c r="BY842" s="30"/>
      <c r="BZ842" s="30"/>
      <c r="CA842" s="30"/>
      <c r="CB842" s="30"/>
      <c r="CC842" s="30"/>
      <c r="CD842" s="30"/>
      <c r="CE842" s="30"/>
      <c r="CF842" s="30"/>
      <c r="CG842" s="30"/>
      <c r="CH842" s="30"/>
      <c r="CI842" s="30"/>
      <c r="CJ842" s="30"/>
      <c r="CK842" s="30"/>
      <c r="CL842" s="30"/>
      <c r="CM842" s="30"/>
      <c r="CN842" s="30"/>
      <c r="CO842" s="30"/>
      <c r="CP842" s="30"/>
      <c r="CQ842" s="30"/>
      <c r="CR842" s="30"/>
      <c r="CS842" s="30"/>
      <c r="CT842" s="30"/>
      <c r="CU842" s="30"/>
      <c r="CV842" s="30"/>
      <c r="CW842" s="30"/>
      <c r="CX842" s="30"/>
      <c r="CY842" s="30"/>
      <c r="CZ842" s="30"/>
      <c r="DA842" s="30"/>
      <c r="DB842" s="30"/>
      <c r="DC842" s="30"/>
      <c r="DD842" s="30"/>
      <c r="DE842" s="30"/>
      <c r="DF842" s="30"/>
      <c r="DG842" s="30"/>
      <c r="DH842" s="30"/>
      <c r="DI842" s="30"/>
      <c r="DJ842" s="30"/>
      <c r="DK842" s="30"/>
      <c r="DL842" s="30"/>
      <c r="DM842" s="30"/>
      <c r="DN842" s="30"/>
      <c r="DO842" s="30"/>
      <c r="DP842" s="30"/>
      <c r="DQ842" s="30"/>
      <c r="DR842" s="30"/>
      <c r="DS842" s="30"/>
      <c r="DT842" s="30"/>
      <c r="DU842" s="30"/>
      <c r="DV842" s="30"/>
      <c r="DW842" s="30"/>
      <c r="DX842" s="30"/>
      <c r="DY842" s="30"/>
      <c r="DZ842" s="30"/>
    </row>
    <row r="843">
      <c r="A843" s="30"/>
      <c r="B843" s="42"/>
      <c r="C843" s="43"/>
      <c r="D843" s="30"/>
      <c r="E843" s="28"/>
      <c r="F843" s="30"/>
      <c r="G843" s="30"/>
      <c r="H843" s="30"/>
      <c r="I843" s="30"/>
      <c r="J843" s="28"/>
      <c r="K843" s="30"/>
      <c r="L843" s="30"/>
      <c r="M843" s="30"/>
      <c r="N843" s="30"/>
      <c r="O843" s="28"/>
      <c r="P843" s="30"/>
      <c r="Q843" s="30"/>
      <c r="R843" s="30"/>
      <c r="S843" s="36"/>
      <c r="T843" s="30"/>
      <c r="U843" s="36"/>
      <c r="V843" s="30"/>
      <c r="W843" s="28"/>
      <c r="X843" s="30"/>
      <c r="Y843" s="30"/>
      <c r="Z843" s="30"/>
      <c r="AA843" s="30"/>
      <c r="AB843" s="30"/>
      <c r="AC843" s="28"/>
      <c r="AD843" s="30"/>
      <c r="AE843" s="30"/>
      <c r="AF843" s="30"/>
      <c r="AG843" s="29"/>
      <c r="AH843" s="30"/>
      <c r="AI843" s="36"/>
      <c r="AJ843" s="30"/>
      <c r="AK843" s="29"/>
      <c r="AL843" s="30"/>
      <c r="AM843" s="30"/>
      <c r="AN843" s="30"/>
      <c r="AO843" s="30"/>
      <c r="AP843" s="30"/>
      <c r="AQ843" s="38"/>
      <c r="AR843" s="30"/>
      <c r="AS843" s="30"/>
      <c r="AT843" s="29"/>
      <c r="AU843" s="30"/>
      <c r="AV843" s="30"/>
      <c r="AW843" s="30"/>
      <c r="AX843" s="29"/>
      <c r="AY843" s="39"/>
      <c r="AZ843" s="30"/>
      <c r="BA843" s="30"/>
      <c r="BB843" s="29"/>
      <c r="BC843" s="52"/>
      <c r="BD843" s="30"/>
      <c r="BE843" s="29"/>
      <c r="BF843" s="30"/>
      <c r="BG843" s="30"/>
      <c r="BH843" s="30"/>
      <c r="BI843" s="30"/>
      <c r="BJ843" s="30"/>
      <c r="BK843" s="30"/>
      <c r="BL843" s="30"/>
      <c r="BM843" s="30"/>
      <c r="BN843" s="30"/>
      <c r="BO843" s="30"/>
      <c r="BP843" s="30"/>
      <c r="BQ843" s="30"/>
      <c r="BR843" s="30"/>
      <c r="BS843" s="30"/>
      <c r="BT843" s="30"/>
      <c r="BU843" s="30"/>
      <c r="BV843" s="30"/>
      <c r="BW843" s="30"/>
      <c r="BX843" s="30"/>
      <c r="BY843" s="30"/>
      <c r="BZ843" s="30"/>
      <c r="CA843" s="30"/>
      <c r="CB843" s="30"/>
      <c r="CC843" s="30"/>
      <c r="CD843" s="30"/>
      <c r="CE843" s="30"/>
      <c r="CF843" s="30"/>
      <c r="CG843" s="30"/>
      <c r="CH843" s="30"/>
      <c r="CI843" s="30"/>
      <c r="CJ843" s="30"/>
      <c r="CK843" s="30"/>
      <c r="CL843" s="30"/>
      <c r="CM843" s="30"/>
      <c r="CN843" s="30"/>
      <c r="CO843" s="30"/>
      <c r="CP843" s="30"/>
      <c r="CQ843" s="30"/>
      <c r="CR843" s="30"/>
      <c r="CS843" s="30"/>
      <c r="CT843" s="30"/>
      <c r="CU843" s="30"/>
      <c r="CV843" s="30"/>
      <c r="CW843" s="30"/>
      <c r="CX843" s="30"/>
      <c r="CY843" s="30"/>
      <c r="CZ843" s="30"/>
      <c r="DA843" s="30"/>
      <c r="DB843" s="30"/>
      <c r="DC843" s="30"/>
      <c r="DD843" s="30"/>
      <c r="DE843" s="30"/>
      <c r="DF843" s="30"/>
      <c r="DG843" s="30"/>
      <c r="DH843" s="30"/>
      <c r="DI843" s="30"/>
      <c r="DJ843" s="30"/>
      <c r="DK843" s="30"/>
      <c r="DL843" s="30"/>
      <c r="DM843" s="30"/>
      <c r="DN843" s="30"/>
      <c r="DO843" s="30"/>
      <c r="DP843" s="30"/>
      <c r="DQ843" s="30"/>
      <c r="DR843" s="30"/>
      <c r="DS843" s="30"/>
      <c r="DT843" s="30"/>
      <c r="DU843" s="30"/>
      <c r="DV843" s="30"/>
      <c r="DW843" s="30"/>
      <c r="DX843" s="30"/>
      <c r="DY843" s="30"/>
      <c r="DZ843" s="30"/>
    </row>
    <row r="844">
      <c r="A844" s="30"/>
      <c r="B844" s="42"/>
      <c r="C844" s="43"/>
      <c r="D844" s="30"/>
      <c r="E844" s="28"/>
      <c r="F844" s="30"/>
      <c r="G844" s="30"/>
      <c r="H844" s="30"/>
      <c r="I844" s="30"/>
      <c r="J844" s="28"/>
      <c r="K844" s="30"/>
      <c r="L844" s="30"/>
      <c r="M844" s="30"/>
      <c r="N844" s="30"/>
      <c r="O844" s="28"/>
      <c r="P844" s="30"/>
      <c r="Q844" s="30"/>
      <c r="R844" s="30"/>
      <c r="S844" s="36"/>
      <c r="T844" s="30"/>
      <c r="U844" s="36"/>
      <c r="V844" s="30"/>
      <c r="W844" s="28"/>
      <c r="X844" s="30"/>
      <c r="Y844" s="30"/>
      <c r="Z844" s="30"/>
      <c r="AA844" s="30"/>
      <c r="AB844" s="30"/>
      <c r="AC844" s="28"/>
      <c r="AD844" s="30"/>
      <c r="AE844" s="30"/>
      <c r="AF844" s="30"/>
      <c r="AG844" s="29"/>
      <c r="AH844" s="30"/>
      <c r="AI844" s="36"/>
      <c r="AJ844" s="30"/>
      <c r="AK844" s="29"/>
      <c r="AL844" s="30"/>
      <c r="AM844" s="30"/>
      <c r="AN844" s="30"/>
      <c r="AO844" s="30"/>
      <c r="AP844" s="30"/>
      <c r="AQ844" s="38"/>
      <c r="AR844" s="30"/>
      <c r="AS844" s="30"/>
      <c r="AT844" s="29"/>
      <c r="AU844" s="30"/>
      <c r="AV844" s="30"/>
      <c r="AW844" s="30"/>
      <c r="AX844" s="29"/>
      <c r="AY844" s="39"/>
      <c r="AZ844" s="30"/>
      <c r="BA844" s="30"/>
      <c r="BB844" s="29"/>
      <c r="BC844" s="52"/>
      <c r="BD844" s="30"/>
      <c r="BE844" s="29"/>
      <c r="BF844" s="30"/>
      <c r="BG844" s="30"/>
      <c r="BH844" s="30"/>
      <c r="BI844" s="30"/>
      <c r="BJ844" s="30"/>
      <c r="BK844" s="30"/>
      <c r="BL844" s="30"/>
      <c r="BM844" s="30"/>
      <c r="BN844" s="30"/>
      <c r="BO844" s="30"/>
      <c r="BP844" s="30"/>
      <c r="BQ844" s="30"/>
      <c r="BR844" s="30"/>
      <c r="BS844" s="30"/>
      <c r="BT844" s="30"/>
      <c r="BU844" s="30"/>
      <c r="BV844" s="30"/>
      <c r="BW844" s="30"/>
      <c r="BX844" s="30"/>
      <c r="BY844" s="30"/>
      <c r="BZ844" s="30"/>
      <c r="CA844" s="30"/>
      <c r="CB844" s="30"/>
      <c r="CC844" s="30"/>
      <c r="CD844" s="30"/>
      <c r="CE844" s="30"/>
      <c r="CF844" s="30"/>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c r="DD844" s="30"/>
      <c r="DE844" s="30"/>
      <c r="DF844" s="30"/>
      <c r="DG844" s="30"/>
      <c r="DH844" s="30"/>
      <c r="DI844" s="30"/>
      <c r="DJ844" s="30"/>
      <c r="DK844" s="30"/>
      <c r="DL844" s="30"/>
      <c r="DM844" s="30"/>
      <c r="DN844" s="30"/>
      <c r="DO844" s="30"/>
      <c r="DP844" s="30"/>
      <c r="DQ844" s="30"/>
      <c r="DR844" s="30"/>
      <c r="DS844" s="30"/>
      <c r="DT844" s="30"/>
      <c r="DU844" s="30"/>
      <c r="DV844" s="30"/>
      <c r="DW844" s="30"/>
      <c r="DX844" s="30"/>
      <c r="DY844" s="30"/>
      <c r="DZ844" s="30"/>
    </row>
    <row r="845">
      <c r="A845" s="30"/>
      <c r="B845" s="42"/>
      <c r="C845" s="43"/>
      <c r="D845" s="30"/>
      <c r="E845" s="28"/>
      <c r="F845" s="30"/>
      <c r="G845" s="30"/>
      <c r="H845" s="30"/>
      <c r="I845" s="30"/>
      <c r="J845" s="28"/>
      <c r="K845" s="30"/>
      <c r="L845" s="30"/>
      <c r="M845" s="30"/>
      <c r="N845" s="30"/>
      <c r="O845" s="28"/>
      <c r="P845" s="30"/>
      <c r="Q845" s="30"/>
      <c r="R845" s="30"/>
      <c r="S845" s="36"/>
      <c r="T845" s="30"/>
      <c r="U845" s="36"/>
      <c r="V845" s="30"/>
      <c r="W845" s="28"/>
      <c r="X845" s="30"/>
      <c r="Y845" s="30"/>
      <c r="Z845" s="30"/>
      <c r="AA845" s="30"/>
      <c r="AB845" s="30"/>
      <c r="AC845" s="28"/>
      <c r="AD845" s="30"/>
      <c r="AE845" s="30"/>
      <c r="AF845" s="30"/>
      <c r="AG845" s="29"/>
      <c r="AH845" s="30"/>
      <c r="AI845" s="36"/>
      <c r="AJ845" s="30"/>
      <c r="AK845" s="29"/>
      <c r="AL845" s="30"/>
      <c r="AM845" s="30"/>
      <c r="AN845" s="30"/>
      <c r="AO845" s="30"/>
      <c r="AP845" s="30"/>
      <c r="AQ845" s="38"/>
      <c r="AR845" s="30"/>
      <c r="AS845" s="30"/>
      <c r="AT845" s="29"/>
      <c r="AU845" s="30"/>
      <c r="AV845" s="30"/>
      <c r="AW845" s="30"/>
      <c r="AX845" s="29"/>
      <c r="AY845" s="39"/>
      <c r="AZ845" s="30"/>
      <c r="BA845" s="30"/>
      <c r="BB845" s="29"/>
      <c r="BC845" s="52"/>
      <c r="BD845" s="30"/>
      <c r="BE845" s="29"/>
      <c r="BF845" s="30"/>
      <c r="BG845" s="30"/>
      <c r="BH845" s="30"/>
      <c r="BI845" s="30"/>
      <c r="BJ845" s="30"/>
      <c r="BK845" s="30"/>
      <c r="BL845" s="30"/>
      <c r="BM845" s="30"/>
      <c r="BN845" s="30"/>
      <c r="BO845" s="30"/>
      <c r="BP845" s="30"/>
      <c r="BQ845" s="30"/>
      <c r="BR845" s="30"/>
      <c r="BS845" s="30"/>
      <c r="BT845" s="30"/>
      <c r="BU845" s="30"/>
      <c r="BV845" s="30"/>
      <c r="BW845" s="30"/>
      <c r="BX845" s="30"/>
      <c r="BY845" s="30"/>
      <c r="BZ845" s="30"/>
      <c r="CA845" s="30"/>
      <c r="CB845" s="30"/>
      <c r="CC845" s="30"/>
      <c r="CD845" s="30"/>
      <c r="CE845" s="30"/>
      <c r="CF845" s="30"/>
      <c r="CG845" s="30"/>
      <c r="CH845" s="30"/>
      <c r="CI845" s="30"/>
      <c r="CJ845" s="30"/>
      <c r="CK845" s="30"/>
      <c r="CL845" s="30"/>
      <c r="CM845" s="30"/>
      <c r="CN845" s="30"/>
      <c r="CO845" s="30"/>
      <c r="CP845" s="30"/>
      <c r="CQ845" s="30"/>
      <c r="CR845" s="30"/>
      <c r="CS845" s="30"/>
      <c r="CT845" s="30"/>
      <c r="CU845" s="30"/>
      <c r="CV845" s="30"/>
      <c r="CW845" s="30"/>
      <c r="CX845" s="30"/>
      <c r="CY845" s="30"/>
      <c r="CZ845" s="30"/>
      <c r="DA845" s="30"/>
      <c r="DB845" s="30"/>
      <c r="DC845" s="30"/>
      <c r="DD845" s="30"/>
      <c r="DE845" s="30"/>
      <c r="DF845" s="30"/>
      <c r="DG845" s="30"/>
      <c r="DH845" s="30"/>
      <c r="DI845" s="30"/>
      <c r="DJ845" s="30"/>
      <c r="DK845" s="30"/>
      <c r="DL845" s="30"/>
      <c r="DM845" s="30"/>
      <c r="DN845" s="30"/>
      <c r="DO845" s="30"/>
      <c r="DP845" s="30"/>
      <c r="DQ845" s="30"/>
      <c r="DR845" s="30"/>
      <c r="DS845" s="30"/>
      <c r="DT845" s="30"/>
      <c r="DU845" s="30"/>
      <c r="DV845" s="30"/>
      <c r="DW845" s="30"/>
      <c r="DX845" s="30"/>
      <c r="DY845" s="30"/>
      <c r="DZ845" s="30"/>
    </row>
    <row r="846">
      <c r="A846" s="30"/>
      <c r="B846" s="42"/>
      <c r="C846" s="43"/>
      <c r="D846" s="30"/>
      <c r="E846" s="28"/>
      <c r="F846" s="30"/>
      <c r="G846" s="30"/>
      <c r="H846" s="30"/>
      <c r="I846" s="30"/>
      <c r="J846" s="28"/>
      <c r="K846" s="30"/>
      <c r="L846" s="30"/>
      <c r="M846" s="30"/>
      <c r="N846" s="30"/>
      <c r="O846" s="28"/>
      <c r="P846" s="30"/>
      <c r="Q846" s="30"/>
      <c r="R846" s="30"/>
      <c r="S846" s="36"/>
      <c r="T846" s="30"/>
      <c r="U846" s="36"/>
      <c r="V846" s="30"/>
      <c r="W846" s="28"/>
      <c r="X846" s="30"/>
      <c r="Y846" s="30"/>
      <c r="Z846" s="30"/>
      <c r="AA846" s="30"/>
      <c r="AB846" s="30"/>
      <c r="AC846" s="28"/>
      <c r="AD846" s="30"/>
      <c r="AE846" s="30"/>
      <c r="AF846" s="30"/>
      <c r="AG846" s="29"/>
      <c r="AH846" s="30"/>
      <c r="AI846" s="36"/>
      <c r="AJ846" s="30"/>
      <c r="AK846" s="29"/>
      <c r="AL846" s="30"/>
      <c r="AM846" s="30"/>
      <c r="AN846" s="30"/>
      <c r="AO846" s="30"/>
      <c r="AP846" s="30"/>
      <c r="AQ846" s="38"/>
      <c r="AR846" s="30"/>
      <c r="AS846" s="30"/>
      <c r="AT846" s="29"/>
      <c r="AU846" s="30"/>
      <c r="AV846" s="30"/>
      <c r="AW846" s="30"/>
      <c r="AX846" s="29"/>
      <c r="AY846" s="39"/>
      <c r="AZ846" s="30"/>
      <c r="BA846" s="30"/>
      <c r="BB846" s="29"/>
      <c r="BC846" s="52"/>
      <c r="BD846" s="30"/>
      <c r="BE846" s="29"/>
      <c r="BF846" s="30"/>
      <c r="BG846" s="30"/>
      <c r="BH846" s="30"/>
      <c r="BI846" s="30"/>
      <c r="BJ846" s="30"/>
      <c r="BK846" s="30"/>
      <c r="BL846" s="30"/>
      <c r="BM846" s="30"/>
      <c r="BN846" s="30"/>
      <c r="BO846" s="30"/>
      <c r="BP846" s="30"/>
      <c r="BQ846" s="30"/>
      <c r="BR846" s="30"/>
      <c r="BS846" s="30"/>
      <c r="BT846" s="30"/>
      <c r="BU846" s="30"/>
      <c r="BV846" s="30"/>
      <c r="BW846" s="30"/>
      <c r="BX846" s="30"/>
      <c r="BY846" s="30"/>
      <c r="BZ846" s="30"/>
      <c r="CA846" s="30"/>
      <c r="CB846" s="30"/>
      <c r="CC846" s="30"/>
      <c r="CD846" s="30"/>
      <c r="CE846" s="30"/>
      <c r="CF846" s="30"/>
      <c r="CG846" s="30"/>
      <c r="CH846" s="30"/>
      <c r="CI846" s="30"/>
      <c r="CJ846" s="30"/>
      <c r="CK846" s="30"/>
      <c r="CL846" s="30"/>
      <c r="CM846" s="30"/>
      <c r="CN846" s="30"/>
      <c r="CO846" s="30"/>
      <c r="CP846" s="30"/>
      <c r="CQ846" s="30"/>
      <c r="CR846" s="30"/>
      <c r="CS846" s="30"/>
      <c r="CT846" s="30"/>
      <c r="CU846" s="30"/>
      <c r="CV846" s="30"/>
      <c r="CW846" s="30"/>
      <c r="CX846" s="30"/>
      <c r="CY846" s="30"/>
      <c r="CZ846" s="30"/>
      <c r="DA846" s="30"/>
      <c r="DB846" s="30"/>
      <c r="DC846" s="30"/>
      <c r="DD846" s="30"/>
      <c r="DE846" s="30"/>
      <c r="DF846" s="30"/>
      <c r="DG846" s="30"/>
      <c r="DH846" s="30"/>
      <c r="DI846" s="30"/>
      <c r="DJ846" s="30"/>
      <c r="DK846" s="30"/>
      <c r="DL846" s="30"/>
      <c r="DM846" s="30"/>
      <c r="DN846" s="30"/>
      <c r="DO846" s="30"/>
      <c r="DP846" s="30"/>
      <c r="DQ846" s="30"/>
      <c r="DR846" s="30"/>
      <c r="DS846" s="30"/>
      <c r="DT846" s="30"/>
      <c r="DU846" s="30"/>
      <c r="DV846" s="30"/>
      <c r="DW846" s="30"/>
      <c r="DX846" s="30"/>
      <c r="DY846" s="30"/>
      <c r="DZ846" s="30"/>
    </row>
    <row r="847">
      <c r="A847" s="30"/>
      <c r="B847" s="42"/>
      <c r="C847" s="43"/>
      <c r="D847" s="30"/>
      <c r="E847" s="28"/>
      <c r="F847" s="30"/>
      <c r="G847" s="30"/>
      <c r="H847" s="30"/>
      <c r="I847" s="30"/>
      <c r="J847" s="28"/>
      <c r="K847" s="30"/>
      <c r="L847" s="30"/>
      <c r="M847" s="30"/>
      <c r="N847" s="30"/>
      <c r="O847" s="28"/>
      <c r="P847" s="30"/>
      <c r="Q847" s="30"/>
      <c r="R847" s="30"/>
      <c r="S847" s="36"/>
      <c r="T847" s="30"/>
      <c r="U847" s="36"/>
      <c r="V847" s="30"/>
      <c r="W847" s="28"/>
      <c r="X847" s="30"/>
      <c r="Y847" s="30"/>
      <c r="Z847" s="30"/>
      <c r="AA847" s="30"/>
      <c r="AB847" s="30"/>
      <c r="AC847" s="28"/>
      <c r="AD847" s="30"/>
      <c r="AE847" s="30"/>
      <c r="AF847" s="30"/>
      <c r="AG847" s="29"/>
      <c r="AH847" s="30"/>
      <c r="AI847" s="36"/>
      <c r="AJ847" s="30"/>
      <c r="AK847" s="29"/>
      <c r="AL847" s="30"/>
      <c r="AM847" s="30"/>
      <c r="AN847" s="30"/>
      <c r="AO847" s="30"/>
      <c r="AP847" s="30"/>
      <c r="AQ847" s="38"/>
      <c r="AR847" s="30"/>
      <c r="AS847" s="30"/>
      <c r="AT847" s="29"/>
      <c r="AU847" s="30"/>
      <c r="AV847" s="30"/>
      <c r="AW847" s="30"/>
      <c r="AX847" s="29"/>
      <c r="AY847" s="39"/>
      <c r="AZ847" s="30"/>
      <c r="BA847" s="30"/>
      <c r="BB847" s="29"/>
      <c r="BC847" s="52"/>
      <c r="BD847" s="30"/>
      <c r="BE847" s="29"/>
      <c r="BF847" s="30"/>
      <c r="BG847" s="30"/>
      <c r="BH847" s="30"/>
      <c r="BI847" s="30"/>
      <c r="BJ847" s="30"/>
      <c r="BK847" s="30"/>
      <c r="BL847" s="30"/>
      <c r="BM847" s="30"/>
      <c r="BN847" s="30"/>
      <c r="BO847" s="30"/>
      <c r="BP847" s="30"/>
      <c r="BQ847" s="30"/>
      <c r="BR847" s="30"/>
      <c r="BS847" s="30"/>
      <c r="BT847" s="30"/>
      <c r="BU847" s="30"/>
      <c r="BV847" s="30"/>
      <c r="BW847" s="30"/>
      <c r="BX847" s="30"/>
      <c r="BY847" s="30"/>
      <c r="BZ847" s="30"/>
      <c r="CA847" s="30"/>
      <c r="CB847" s="30"/>
      <c r="CC847" s="30"/>
      <c r="CD847" s="30"/>
      <c r="CE847" s="30"/>
      <c r="CF847" s="30"/>
      <c r="CG847" s="30"/>
      <c r="CH847" s="30"/>
      <c r="CI847" s="30"/>
      <c r="CJ847" s="30"/>
      <c r="CK847" s="30"/>
      <c r="CL847" s="30"/>
      <c r="CM847" s="30"/>
      <c r="CN847" s="30"/>
      <c r="CO847" s="30"/>
      <c r="CP847" s="30"/>
      <c r="CQ847" s="30"/>
      <c r="CR847" s="30"/>
      <c r="CS847" s="30"/>
      <c r="CT847" s="30"/>
      <c r="CU847" s="30"/>
      <c r="CV847" s="30"/>
      <c r="CW847" s="30"/>
      <c r="CX847" s="30"/>
      <c r="CY847" s="30"/>
      <c r="CZ847" s="30"/>
      <c r="DA847" s="30"/>
      <c r="DB847" s="30"/>
      <c r="DC847" s="30"/>
      <c r="DD847" s="30"/>
      <c r="DE847" s="30"/>
      <c r="DF847" s="30"/>
      <c r="DG847" s="30"/>
      <c r="DH847" s="30"/>
      <c r="DI847" s="30"/>
      <c r="DJ847" s="30"/>
      <c r="DK847" s="30"/>
      <c r="DL847" s="30"/>
      <c r="DM847" s="30"/>
      <c r="DN847" s="30"/>
      <c r="DO847" s="30"/>
      <c r="DP847" s="30"/>
      <c r="DQ847" s="30"/>
      <c r="DR847" s="30"/>
      <c r="DS847" s="30"/>
      <c r="DT847" s="30"/>
      <c r="DU847" s="30"/>
      <c r="DV847" s="30"/>
      <c r="DW847" s="30"/>
      <c r="DX847" s="30"/>
      <c r="DY847" s="30"/>
      <c r="DZ847" s="30"/>
    </row>
    <row r="848">
      <c r="A848" s="30"/>
      <c r="B848" s="42"/>
      <c r="C848" s="43"/>
      <c r="D848" s="30"/>
      <c r="E848" s="28"/>
      <c r="F848" s="30"/>
      <c r="G848" s="30"/>
      <c r="H848" s="30"/>
      <c r="I848" s="30"/>
      <c r="J848" s="28"/>
      <c r="K848" s="30"/>
      <c r="L848" s="30"/>
      <c r="M848" s="30"/>
      <c r="N848" s="30"/>
      <c r="O848" s="28"/>
      <c r="P848" s="30"/>
      <c r="Q848" s="30"/>
      <c r="R848" s="30"/>
      <c r="S848" s="36"/>
      <c r="T848" s="30"/>
      <c r="U848" s="36"/>
      <c r="V848" s="30"/>
      <c r="W848" s="28"/>
      <c r="X848" s="30"/>
      <c r="Y848" s="30"/>
      <c r="Z848" s="30"/>
      <c r="AA848" s="30"/>
      <c r="AB848" s="30"/>
      <c r="AC848" s="28"/>
      <c r="AD848" s="30"/>
      <c r="AE848" s="30"/>
      <c r="AF848" s="30"/>
      <c r="AG848" s="29"/>
      <c r="AH848" s="30"/>
      <c r="AI848" s="36"/>
      <c r="AJ848" s="30"/>
      <c r="AK848" s="29"/>
      <c r="AL848" s="30"/>
      <c r="AM848" s="30"/>
      <c r="AN848" s="30"/>
      <c r="AO848" s="30"/>
      <c r="AP848" s="30"/>
      <c r="AQ848" s="38"/>
      <c r="AR848" s="30"/>
      <c r="AS848" s="30"/>
      <c r="AT848" s="29"/>
      <c r="AU848" s="30"/>
      <c r="AV848" s="30"/>
      <c r="AW848" s="30"/>
      <c r="AX848" s="29"/>
      <c r="AY848" s="39"/>
      <c r="AZ848" s="30"/>
      <c r="BA848" s="30"/>
      <c r="BB848" s="29"/>
      <c r="BC848" s="52"/>
      <c r="BD848" s="30"/>
      <c r="BE848" s="29"/>
      <c r="BF848" s="30"/>
      <c r="BG848" s="30"/>
      <c r="BH848" s="30"/>
      <c r="BI848" s="30"/>
      <c r="BJ848" s="30"/>
      <c r="BK848" s="30"/>
      <c r="BL848" s="30"/>
      <c r="BM848" s="30"/>
      <c r="BN848" s="30"/>
      <c r="BO848" s="30"/>
      <c r="BP848" s="30"/>
      <c r="BQ848" s="30"/>
      <c r="BR848" s="30"/>
      <c r="BS848" s="30"/>
      <c r="BT848" s="30"/>
      <c r="BU848" s="30"/>
      <c r="BV848" s="30"/>
      <c r="BW848" s="30"/>
      <c r="BX848" s="30"/>
      <c r="BY848" s="30"/>
      <c r="BZ848" s="30"/>
      <c r="CA848" s="30"/>
      <c r="CB848" s="30"/>
      <c r="CC848" s="30"/>
      <c r="CD848" s="30"/>
      <c r="CE848" s="30"/>
      <c r="CF848" s="30"/>
      <c r="CG848" s="30"/>
      <c r="CH848" s="30"/>
      <c r="CI848" s="30"/>
      <c r="CJ848" s="30"/>
      <c r="CK848" s="30"/>
      <c r="CL848" s="30"/>
      <c r="CM848" s="30"/>
      <c r="CN848" s="30"/>
      <c r="CO848" s="30"/>
      <c r="CP848" s="30"/>
      <c r="CQ848" s="30"/>
      <c r="CR848" s="30"/>
      <c r="CS848" s="30"/>
      <c r="CT848" s="30"/>
      <c r="CU848" s="30"/>
      <c r="CV848" s="30"/>
      <c r="CW848" s="30"/>
      <c r="CX848" s="30"/>
      <c r="CY848" s="30"/>
      <c r="CZ848" s="30"/>
      <c r="DA848" s="30"/>
      <c r="DB848" s="30"/>
      <c r="DC848" s="30"/>
      <c r="DD848" s="30"/>
      <c r="DE848" s="30"/>
      <c r="DF848" s="30"/>
      <c r="DG848" s="30"/>
      <c r="DH848" s="30"/>
      <c r="DI848" s="30"/>
      <c r="DJ848" s="30"/>
      <c r="DK848" s="30"/>
      <c r="DL848" s="30"/>
      <c r="DM848" s="30"/>
      <c r="DN848" s="30"/>
      <c r="DO848" s="30"/>
      <c r="DP848" s="30"/>
      <c r="DQ848" s="30"/>
      <c r="DR848" s="30"/>
      <c r="DS848" s="30"/>
      <c r="DT848" s="30"/>
      <c r="DU848" s="30"/>
      <c r="DV848" s="30"/>
      <c r="DW848" s="30"/>
      <c r="DX848" s="30"/>
      <c r="DY848" s="30"/>
      <c r="DZ848" s="30"/>
    </row>
    <row r="849">
      <c r="A849" s="30"/>
      <c r="B849" s="42"/>
      <c r="C849" s="43"/>
      <c r="D849" s="30"/>
      <c r="E849" s="28"/>
      <c r="F849" s="30"/>
      <c r="G849" s="30"/>
      <c r="H849" s="30"/>
      <c r="I849" s="30"/>
      <c r="J849" s="28"/>
      <c r="K849" s="30"/>
      <c r="L849" s="30"/>
      <c r="M849" s="30"/>
      <c r="N849" s="30"/>
      <c r="O849" s="28"/>
      <c r="P849" s="30"/>
      <c r="Q849" s="30"/>
      <c r="R849" s="30"/>
      <c r="S849" s="36"/>
      <c r="T849" s="30"/>
      <c r="U849" s="36"/>
      <c r="V849" s="30"/>
      <c r="W849" s="28"/>
      <c r="X849" s="30"/>
      <c r="Y849" s="30"/>
      <c r="Z849" s="30"/>
      <c r="AA849" s="30"/>
      <c r="AB849" s="30"/>
      <c r="AC849" s="28"/>
      <c r="AD849" s="30"/>
      <c r="AE849" s="30"/>
      <c r="AF849" s="30"/>
      <c r="AG849" s="29"/>
      <c r="AH849" s="30"/>
      <c r="AI849" s="36"/>
      <c r="AJ849" s="30"/>
      <c r="AK849" s="29"/>
      <c r="AL849" s="30"/>
      <c r="AM849" s="30"/>
      <c r="AN849" s="30"/>
      <c r="AO849" s="30"/>
      <c r="AP849" s="30"/>
      <c r="AQ849" s="38"/>
      <c r="AR849" s="30"/>
      <c r="AS849" s="30"/>
      <c r="AT849" s="29"/>
      <c r="AU849" s="30"/>
      <c r="AV849" s="30"/>
      <c r="AW849" s="30"/>
      <c r="AX849" s="29"/>
      <c r="AY849" s="39"/>
      <c r="AZ849" s="30"/>
      <c r="BA849" s="30"/>
      <c r="BB849" s="29"/>
      <c r="BC849" s="52"/>
      <c r="BD849" s="30"/>
      <c r="BE849" s="29"/>
      <c r="BF849" s="30"/>
      <c r="BG849" s="30"/>
      <c r="BH849" s="30"/>
      <c r="BI849" s="30"/>
      <c r="BJ849" s="30"/>
      <c r="BK849" s="30"/>
      <c r="BL849" s="30"/>
      <c r="BM849" s="30"/>
      <c r="BN849" s="30"/>
      <c r="BO849" s="30"/>
      <c r="BP849" s="30"/>
      <c r="BQ849" s="30"/>
      <c r="BR849" s="30"/>
      <c r="BS849" s="30"/>
      <c r="BT849" s="30"/>
      <c r="BU849" s="30"/>
      <c r="BV849" s="30"/>
      <c r="BW849" s="30"/>
      <c r="BX849" s="30"/>
      <c r="BY849" s="30"/>
      <c r="BZ849" s="30"/>
      <c r="CA849" s="30"/>
      <c r="CB849" s="30"/>
      <c r="CC849" s="30"/>
      <c r="CD849" s="30"/>
      <c r="CE849" s="30"/>
      <c r="CF849" s="30"/>
      <c r="CG849" s="30"/>
      <c r="CH849" s="30"/>
      <c r="CI849" s="30"/>
      <c r="CJ849" s="30"/>
      <c r="CK849" s="30"/>
      <c r="CL849" s="30"/>
      <c r="CM849" s="30"/>
      <c r="CN849" s="30"/>
      <c r="CO849" s="30"/>
      <c r="CP849" s="30"/>
      <c r="CQ849" s="30"/>
      <c r="CR849" s="30"/>
      <c r="CS849" s="30"/>
      <c r="CT849" s="30"/>
      <c r="CU849" s="30"/>
      <c r="CV849" s="30"/>
      <c r="CW849" s="30"/>
      <c r="CX849" s="30"/>
      <c r="CY849" s="30"/>
      <c r="CZ849" s="30"/>
      <c r="DA849" s="30"/>
      <c r="DB849" s="30"/>
      <c r="DC849" s="30"/>
      <c r="DD849" s="30"/>
      <c r="DE849" s="30"/>
      <c r="DF849" s="30"/>
      <c r="DG849" s="30"/>
      <c r="DH849" s="30"/>
      <c r="DI849" s="30"/>
      <c r="DJ849" s="30"/>
      <c r="DK849" s="30"/>
      <c r="DL849" s="30"/>
      <c r="DM849" s="30"/>
      <c r="DN849" s="30"/>
      <c r="DO849" s="30"/>
      <c r="DP849" s="30"/>
      <c r="DQ849" s="30"/>
      <c r="DR849" s="30"/>
      <c r="DS849" s="30"/>
      <c r="DT849" s="30"/>
      <c r="DU849" s="30"/>
      <c r="DV849" s="30"/>
      <c r="DW849" s="30"/>
      <c r="DX849" s="30"/>
      <c r="DY849" s="30"/>
      <c r="DZ849" s="30"/>
    </row>
    <row r="850">
      <c r="A850" s="30"/>
      <c r="B850" s="42"/>
      <c r="C850" s="43"/>
      <c r="D850" s="30"/>
      <c r="E850" s="28"/>
      <c r="F850" s="30"/>
      <c r="G850" s="30"/>
      <c r="H850" s="30"/>
      <c r="I850" s="30"/>
      <c r="J850" s="28"/>
      <c r="K850" s="30"/>
      <c r="L850" s="30"/>
      <c r="M850" s="30"/>
      <c r="N850" s="30"/>
      <c r="O850" s="28"/>
      <c r="P850" s="30"/>
      <c r="Q850" s="30"/>
      <c r="R850" s="30"/>
      <c r="S850" s="36"/>
      <c r="T850" s="30"/>
      <c r="U850" s="36"/>
      <c r="V850" s="30"/>
      <c r="W850" s="28"/>
      <c r="X850" s="30"/>
      <c r="Y850" s="30"/>
      <c r="Z850" s="30"/>
      <c r="AA850" s="30"/>
      <c r="AB850" s="30"/>
      <c r="AC850" s="28"/>
      <c r="AD850" s="30"/>
      <c r="AE850" s="30"/>
      <c r="AF850" s="30"/>
      <c r="AG850" s="29"/>
      <c r="AH850" s="30"/>
      <c r="AI850" s="36"/>
      <c r="AJ850" s="30"/>
      <c r="AK850" s="29"/>
      <c r="AL850" s="30"/>
      <c r="AM850" s="30"/>
      <c r="AN850" s="30"/>
      <c r="AO850" s="30"/>
      <c r="AP850" s="30"/>
      <c r="AQ850" s="38"/>
      <c r="AR850" s="30"/>
      <c r="AS850" s="30"/>
      <c r="AT850" s="29"/>
      <c r="AU850" s="30"/>
      <c r="AV850" s="30"/>
      <c r="AW850" s="30"/>
      <c r="AX850" s="29"/>
      <c r="AY850" s="39"/>
      <c r="AZ850" s="30"/>
      <c r="BA850" s="30"/>
      <c r="BB850" s="29"/>
      <c r="BC850" s="52"/>
      <c r="BD850" s="30"/>
      <c r="BE850" s="29"/>
      <c r="BF850" s="30"/>
      <c r="BG850" s="30"/>
      <c r="BH850" s="30"/>
      <c r="BI850" s="30"/>
      <c r="BJ850" s="30"/>
      <c r="BK850" s="30"/>
      <c r="BL850" s="30"/>
      <c r="BM850" s="30"/>
      <c r="BN850" s="30"/>
      <c r="BO850" s="30"/>
      <c r="BP850" s="30"/>
      <c r="BQ850" s="30"/>
      <c r="BR850" s="30"/>
      <c r="BS850" s="30"/>
      <c r="BT850" s="30"/>
      <c r="BU850" s="30"/>
      <c r="BV850" s="30"/>
      <c r="BW850" s="30"/>
      <c r="BX850" s="30"/>
      <c r="BY850" s="30"/>
      <c r="BZ850" s="30"/>
      <c r="CA850" s="30"/>
      <c r="CB850" s="30"/>
      <c r="CC850" s="30"/>
      <c r="CD850" s="30"/>
      <c r="CE850" s="30"/>
      <c r="CF850" s="30"/>
      <c r="CG850" s="30"/>
      <c r="CH850" s="30"/>
      <c r="CI850" s="30"/>
      <c r="CJ850" s="30"/>
      <c r="CK850" s="30"/>
      <c r="CL850" s="30"/>
      <c r="CM850" s="30"/>
      <c r="CN850" s="30"/>
      <c r="CO850" s="30"/>
      <c r="CP850" s="30"/>
      <c r="CQ850" s="30"/>
      <c r="CR850" s="30"/>
      <c r="CS850" s="30"/>
      <c r="CT850" s="30"/>
      <c r="CU850" s="30"/>
      <c r="CV850" s="30"/>
      <c r="CW850" s="30"/>
      <c r="CX850" s="30"/>
      <c r="CY850" s="30"/>
      <c r="CZ850" s="30"/>
      <c r="DA850" s="30"/>
      <c r="DB850" s="30"/>
      <c r="DC850" s="30"/>
      <c r="DD850" s="30"/>
      <c r="DE850" s="30"/>
      <c r="DF850" s="30"/>
      <c r="DG850" s="30"/>
      <c r="DH850" s="30"/>
      <c r="DI850" s="30"/>
      <c r="DJ850" s="30"/>
      <c r="DK850" s="30"/>
      <c r="DL850" s="30"/>
      <c r="DM850" s="30"/>
      <c r="DN850" s="30"/>
      <c r="DO850" s="30"/>
      <c r="DP850" s="30"/>
      <c r="DQ850" s="30"/>
      <c r="DR850" s="30"/>
      <c r="DS850" s="30"/>
      <c r="DT850" s="30"/>
      <c r="DU850" s="30"/>
      <c r="DV850" s="30"/>
      <c r="DW850" s="30"/>
      <c r="DX850" s="30"/>
      <c r="DY850" s="30"/>
      <c r="DZ850" s="30"/>
    </row>
    <row r="851">
      <c r="A851" s="30"/>
      <c r="B851" s="42"/>
      <c r="C851" s="43"/>
      <c r="D851" s="30"/>
      <c r="E851" s="28"/>
      <c r="F851" s="30"/>
      <c r="G851" s="30"/>
      <c r="H851" s="30"/>
      <c r="I851" s="30"/>
      <c r="J851" s="28"/>
      <c r="K851" s="30"/>
      <c r="L851" s="30"/>
      <c r="M851" s="30"/>
      <c r="N851" s="30"/>
      <c r="O851" s="28"/>
      <c r="P851" s="30"/>
      <c r="Q851" s="30"/>
      <c r="R851" s="30"/>
      <c r="S851" s="36"/>
      <c r="T851" s="30"/>
      <c r="U851" s="36"/>
      <c r="V851" s="30"/>
      <c r="W851" s="28"/>
      <c r="X851" s="30"/>
      <c r="Y851" s="30"/>
      <c r="Z851" s="30"/>
      <c r="AA851" s="30"/>
      <c r="AB851" s="30"/>
      <c r="AC851" s="28"/>
      <c r="AD851" s="30"/>
      <c r="AE851" s="30"/>
      <c r="AF851" s="30"/>
      <c r="AG851" s="29"/>
      <c r="AH851" s="30"/>
      <c r="AI851" s="36"/>
      <c r="AJ851" s="30"/>
      <c r="AK851" s="29"/>
      <c r="AL851" s="30"/>
      <c r="AM851" s="30"/>
      <c r="AN851" s="30"/>
      <c r="AO851" s="30"/>
      <c r="AP851" s="30"/>
      <c r="AQ851" s="38"/>
      <c r="AR851" s="30"/>
      <c r="AS851" s="30"/>
      <c r="AT851" s="29"/>
      <c r="AU851" s="30"/>
      <c r="AV851" s="30"/>
      <c r="AW851" s="30"/>
      <c r="AX851" s="29"/>
      <c r="AY851" s="39"/>
      <c r="AZ851" s="30"/>
      <c r="BA851" s="30"/>
      <c r="BB851" s="29"/>
      <c r="BC851" s="52"/>
      <c r="BD851" s="30"/>
      <c r="BE851" s="29"/>
      <c r="BF851" s="30"/>
      <c r="BG851" s="30"/>
      <c r="BH851" s="30"/>
      <c r="BI851" s="30"/>
      <c r="BJ851" s="30"/>
      <c r="BK851" s="30"/>
      <c r="BL851" s="30"/>
      <c r="BM851" s="30"/>
      <c r="BN851" s="30"/>
      <c r="BO851" s="30"/>
      <c r="BP851" s="30"/>
      <c r="BQ851" s="30"/>
      <c r="BR851" s="30"/>
      <c r="BS851" s="30"/>
      <c r="BT851" s="30"/>
      <c r="BU851" s="30"/>
      <c r="BV851" s="30"/>
      <c r="BW851" s="30"/>
      <c r="BX851" s="30"/>
      <c r="BY851" s="30"/>
      <c r="BZ851" s="30"/>
      <c r="CA851" s="30"/>
      <c r="CB851" s="30"/>
      <c r="CC851" s="30"/>
      <c r="CD851" s="30"/>
      <c r="CE851" s="30"/>
      <c r="CF851" s="30"/>
      <c r="CG851" s="30"/>
      <c r="CH851" s="30"/>
      <c r="CI851" s="30"/>
      <c r="CJ851" s="30"/>
      <c r="CK851" s="30"/>
      <c r="CL851" s="30"/>
      <c r="CM851" s="30"/>
      <c r="CN851" s="30"/>
      <c r="CO851" s="30"/>
      <c r="CP851" s="30"/>
      <c r="CQ851" s="30"/>
      <c r="CR851" s="30"/>
      <c r="CS851" s="30"/>
      <c r="CT851" s="30"/>
      <c r="CU851" s="30"/>
      <c r="CV851" s="30"/>
      <c r="CW851" s="30"/>
      <c r="CX851" s="30"/>
      <c r="CY851" s="30"/>
      <c r="CZ851" s="30"/>
      <c r="DA851" s="30"/>
      <c r="DB851" s="30"/>
      <c r="DC851" s="30"/>
      <c r="DD851" s="30"/>
      <c r="DE851" s="30"/>
      <c r="DF851" s="30"/>
      <c r="DG851" s="30"/>
      <c r="DH851" s="30"/>
      <c r="DI851" s="30"/>
      <c r="DJ851" s="30"/>
      <c r="DK851" s="30"/>
      <c r="DL851" s="30"/>
      <c r="DM851" s="30"/>
      <c r="DN851" s="30"/>
      <c r="DO851" s="30"/>
      <c r="DP851" s="30"/>
      <c r="DQ851" s="30"/>
      <c r="DR851" s="30"/>
      <c r="DS851" s="30"/>
      <c r="DT851" s="30"/>
      <c r="DU851" s="30"/>
      <c r="DV851" s="30"/>
      <c r="DW851" s="30"/>
      <c r="DX851" s="30"/>
      <c r="DY851" s="30"/>
      <c r="DZ851" s="30"/>
    </row>
    <row r="852">
      <c r="A852" s="30"/>
      <c r="B852" s="42"/>
      <c r="C852" s="43"/>
      <c r="D852" s="30"/>
      <c r="E852" s="28"/>
      <c r="F852" s="30"/>
      <c r="G852" s="30"/>
      <c r="H852" s="30"/>
      <c r="I852" s="30"/>
      <c r="J852" s="28"/>
      <c r="K852" s="30"/>
      <c r="L852" s="30"/>
      <c r="M852" s="30"/>
      <c r="N852" s="30"/>
      <c r="O852" s="28"/>
      <c r="P852" s="30"/>
      <c r="Q852" s="30"/>
      <c r="R852" s="30"/>
      <c r="S852" s="36"/>
      <c r="T852" s="30"/>
      <c r="U852" s="36"/>
      <c r="V852" s="30"/>
      <c r="W852" s="28"/>
      <c r="X852" s="30"/>
      <c r="Y852" s="30"/>
      <c r="Z852" s="30"/>
      <c r="AA852" s="30"/>
      <c r="AB852" s="30"/>
      <c r="AC852" s="28"/>
      <c r="AD852" s="30"/>
      <c r="AE852" s="30"/>
      <c r="AF852" s="30"/>
      <c r="AG852" s="29"/>
      <c r="AH852" s="30"/>
      <c r="AI852" s="36"/>
      <c r="AJ852" s="30"/>
      <c r="AK852" s="29"/>
      <c r="AL852" s="30"/>
      <c r="AM852" s="30"/>
      <c r="AN852" s="30"/>
      <c r="AO852" s="30"/>
      <c r="AP852" s="30"/>
      <c r="AQ852" s="38"/>
      <c r="AR852" s="30"/>
      <c r="AS852" s="30"/>
      <c r="AT852" s="29"/>
      <c r="AU852" s="30"/>
      <c r="AV852" s="30"/>
      <c r="AW852" s="30"/>
      <c r="AX852" s="29"/>
      <c r="AY852" s="39"/>
      <c r="AZ852" s="30"/>
      <c r="BA852" s="30"/>
      <c r="BB852" s="29"/>
      <c r="BC852" s="52"/>
      <c r="BD852" s="30"/>
      <c r="BE852" s="29"/>
      <c r="BF852" s="30"/>
      <c r="BG852" s="30"/>
      <c r="BH852" s="30"/>
      <c r="BI852" s="30"/>
      <c r="BJ852" s="30"/>
      <c r="BK852" s="30"/>
      <c r="BL852" s="30"/>
      <c r="BM852" s="30"/>
      <c r="BN852" s="30"/>
      <c r="BO852" s="30"/>
      <c r="BP852" s="30"/>
      <c r="BQ852" s="30"/>
      <c r="BR852" s="30"/>
      <c r="BS852" s="30"/>
      <c r="BT852" s="30"/>
      <c r="BU852" s="30"/>
      <c r="BV852" s="30"/>
      <c r="BW852" s="30"/>
      <c r="BX852" s="30"/>
      <c r="BY852" s="30"/>
      <c r="BZ852" s="30"/>
      <c r="CA852" s="30"/>
      <c r="CB852" s="30"/>
      <c r="CC852" s="30"/>
      <c r="CD852" s="30"/>
      <c r="CE852" s="30"/>
      <c r="CF852" s="30"/>
      <c r="CG852" s="30"/>
      <c r="CH852" s="30"/>
      <c r="CI852" s="30"/>
      <c r="CJ852" s="30"/>
      <c r="CK852" s="30"/>
      <c r="CL852" s="30"/>
      <c r="CM852" s="30"/>
      <c r="CN852" s="30"/>
      <c r="CO852" s="30"/>
      <c r="CP852" s="30"/>
      <c r="CQ852" s="30"/>
      <c r="CR852" s="30"/>
      <c r="CS852" s="30"/>
      <c r="CT852" s="30"/>
      <c r="CU852" s="30"/>
      <c r="CV852" s="30"/>
      <c r="CW852" s="30"/>
      <c r="CX852" s="30"/>
      <c r="CY852" s="30"/>
      <c r="CZ852" s="30"/>
      <c r="DA852" s="30"/>
      <c r="DB852" s="30"/>
      <c r="DC852" s="30"/>
      <c r="DD852" s="30"/>
      <c r="DE852" s="30"/>
      <c r="DF852" s="30"/>
      <c r="DG852" s="30"/>
      <c r="DH852" s="30"/>
      <c r="DI852" s="30"/>
      <c r="DJ852" s="30"/>
      <c r="DK852" s="30"/>
      <c r="DL852" s="30"/>
      <c r="DM852" s="30"/>
      <c r="DN852" s="30"/>
      <c r="DO852" s="30"/>
      <c r="DP852" s="30"/>
      <c r="DQ852" s="30"/>
      <c r="DR852" s="30"/>
      <c r="DS852" s="30"/>
      <c r="DT852" s="30"/>
      <c r="DU852" s="30"/>
      <c r="DV852" s="30"/>
      <c r="DW852" s="30"/>
      <c r="DX852" s="30"/>
      <c r="DY852" s="30"/>
      <c r="DZ852" s="30"/>
    </row>
    <row r="853">
      <c r="A853" s="30"/>
      <c r="B853" s="42"/>
      <c r="C853" s="43"/>
      <c r="D853" s="30"/>
      <c r="E853" s="28"/>
      <c r="F853" s="30"/>
      <c r="G853" s="30"/>
      <c r="H853" s="30"/>
      <c r="I853" s="30"/>
      <c r="J853" s="28"/>
      <c r="K853" s="30"/>
      <c r="L853" s="30"/>
      <c r="M853" s="30"/>
      <c r="N853" s="30"/>
      <c r="O853" s="28"/>
      <c r="P853" s="30"/>
      <c r="Q853" s="30"/>
      <c r="R853" s="30"/>
      <c r="S853" s="36"/>
      <c r="T853" s="30"/>
      <c r="U853" s="36"/>
      <c r="V853" s="30"/>
      <c r="W853" s="28"/>
      <c r="X853" s="30"/>
      <c r="Y853" s="30"/>
      <c r="Z853" s="30"/>
      <c r="AA853" s="30"/>
      <c r="AB853" s="30"/>
      <c r="AC853" s="28"/>
      <c r="AD853" s="30"/>
      <c r="AE853" s="30"/>
      <c r="AF853" s="30"/>
      <c r="AG853" s="29"/>
      <c r="AH853" s="30"/>
      <c r="AI853" s="36"/>
      <c r="AJ853" s="30"/>
      <c r="AK853" s="29"/>
      <c r="AL853" s="30"/>
      <c r="AM853" s="30"/>
      <c r="AN853" s="30"/>
      <c r="AO853" s="30"/>
      <c r="AP853" s="30"/>
      <c r="AQ853" s="38"/>
      <c r="AR853" s="30"/>
      <c r="AS853" s="30"/>
      <c r="AT853" s="29"/>
      <c r="AU853" s="30"/>
      <c r="AV853" s="30"/>
      <c r="AW853" s="30"/>
      <c r="AX853" s="29"/>
      <c r="AY853" s="39"/>
      <c r="AZ853" s="30"/>
      <c r="BA853" s="30"/>
      <c r="BB853" s="29"/>
      <c r="BC853" s="52"/>
      <c r="BD853" s="30"/>
      <c r="BE853" s="29"/>
      <c r="BF853" s="30"/>
      <c r="BG853" s="30"/>
      <c r="BH853" s="30"/>
      <c r="BI853" s="30"/>
      <c r="BJ853" s="30"/>
      <c r="BK853" s="30"/>
      <c r="BL853" s="30"/>
      <c r="BM853" s="30"/>
      <c r="BN853" s="30"/>
      <c r="BO853" s="30"/>
      <c r="BP853" s="30"/>
      <c r="BQ853" s="30"/>
      <c r="BR853" s="30"/>
      <c r="BS853" s="30"/>
      <c r="BT853" s="30"/>
      <c r="BU853" s="30"/>
      <c r="BV853" s="30"/>
      <c r="BW853" s="30"/>
      <c r="BX853" s="30"/>
      <c r="BY853" s="30"/>
      <c r="BZ853" s="30"/>
      <c r="CA853" s="30"/>
      <c r="CB853" s="30"/>
      <c r="CC853" s="30"/>
      <c r="CD853" s="30"/>
      <c r="CE853" s="30"/>
      <c r="CF853" s="30"/>
      <c r="CG853" s="30"/>
      <c r="CH853" s="30"/>
      <c r="CI853" s="30"/>
      <c r="CJ853" s="30"/>
      <c r="CK853" s="30"/>
      <c r="CL853" s="30"/>
      <c r="CM853" s="30"/>
      <c r="CN853" s="30"/>
      <c r="CO853" s="30"/>
      <c r="CP853" s="30"/>
      <c r="CQ853" s="30"/>
      <c r="CR853" s="30"/>
      <c r="CS853" s="30"/>
      <c r="CT853" s="30"/>
      <c r="CU853" s="30"/>
      <c r="CV853" s="30"/>
      <c r="CW853" s="30"/>
      <c r="CX853" s="30"/>
      <c r="CY853" s="30"/>
      <c r="CZ853" s="30"/>
      <c r="DA853" s="30"/>
      <c r="DB853" s="30"/>
      <c r="DC853" s="30"/>
      <c r="DD853" s="30"/>
      <c r="DE853" s="30"/>
      <c r="DF853" s="30"/>
      <c r="DG853" s="30"/>
      <c r="DH853" s="30"/>
      <c r="DI853" s="30"/>
      <c r="DJ853" s="30"/>
      <c r="DK853" s="30"/>
      <c r="DL853" s="30"/>
      <c r="DM853" s="30"/>
      <c r="DN853" s="30"/>
      <c r="DO853" s="30"/>
      <c r="DP853" s="30"/>
      <c r="DQ853" s="30"/>
      <c r="DR853" s="30"/>
      <c r="DS853" s="30"/>
      <c r="DT853" s="30"/>
      <c r="DU853" s="30"/>
      <c r="DV853" s="30"/>
      <c r="DW853" s="30"/>
      <c r="DX853" s="30"/>
      <c r="DY853" s="30"/>
      <c r="DZ853" s="30"/>
    </row>
    <row r="854">
      <c r="A854" s="30"/>
      <c r="B854" s="42"/>
      <c r="C854" s="43"/>
      <c r="D854" s="30"/>
      <c r="E854" s="28"/>
      <c r="F854" s="30"/>
      <c r="G854" s="30"/>
      <c r="H854" s="30"/>
      <c r="I854" s="30"/>
      <c r="J854" s="28"/>
      <c r="K854" s="30"/>
      <c r="L854" s="30"/>
      <c r="M854" s="30"/>
      <c r="N854" s="30"/>
      <c r="O854" s="28"/>
      <c r="P854" s="30"/>
      <c r="Q854" s="30"/>
      <c r="R854" s="30"/>
      <c r="S854" s="36"/>
      <c r="T854" s="30"/>
      <c r="U854" s="36"/>
      <c r="V854" s="30"/>
      <c r="W854" s="28"/>
      <c r="X854" s="30"/>
      <c r="Y854" s="30"/>
      <c r="Z854" s="30"/>
      <c r="AA854" s="30"/>
      <c r="AB854" s="30"/>
      <c r="AC854" s="28"/>
      <c r="AD854" s="30"/>
      <c r="AE854" s="30"/>
      <c r="AF854" s="30"/>
      <c r="AG854" s="29"/>
      <c r="AH854" s="30"/>
      <c r="AI854" s="36"/>
      <c r="AJ854" s="30"/>
      <c r="AK854" s="29"/>
      <c r="AL854" s="30"/>
      <c r="AM854" s="30"/>
      <c r="AN854" s="30"/>
      <c r="AO854" s="30"/>
      <c r="AP854" s="30"/>
      <c r="AQ854" s="38"/>
      <c r="AR854" s="30"/>
      <c r="AS854" s="30"/>
      <c r="AT854" s="29"/>
      <c r="AU854" s="30"/>
      <c r="AV854" s="30"/>
      <c r="AW854" s="30"/>
      <c r="AX854" s="29"/>
      <c r="AY854" s="39"/>
      <c r="AZ854" s="30"/>
      <c r="BA854" s="30"/>
      <c r="BB854" s="29"/>
      <c r="BC854" s="52"/>
      <c r="BD854" s="30"/>
      <c r="BE854" s="29"/>
      <c r="BF854" s="30"/>
      <c r="BG854" s="30"/>
      <c r="BH854" s="30"/>
      <c r="BI854" s="30"/>
      <c r="BJ854" s="30"/>
      <c r="BK854" s="30"/>
      <c r="BL854" s="30"/>
      <c r="BM854" s="30"/>
      <c r="BN854" s="30"/>
      <c r="BO854" s="30"/>
      <c r="BP854" s="30"/>
      <c r="BQ854" s="30"/>
      <c r="BR854" s="30"/>
      <c r="BS854" s="30"/>
      <c r="BT854" s="30"/>
      <c r="BU854" s="30"/>
      <c r="BV854" s="30"/>
      <c r="BW854" s="30"/>
      <c r="BX854" s="30"/>
      <c r="BY854" s="30"/>
      <c r="BZ854" s="30"/>
      <c r="CA854" s="30"/>
      <c r="CB854" s="30"/>
      <c r="CC854" s="30"/>
      <c r="CD854" s="30"/>
      <c r="CE854" s="30"/>
      <c r="CF854" s="30"/>
      <c r="CG854" s="30"/>
      <c r="CH854" s="30"/>
      <c r="CI854" s="30"/>
      <c r="CJ854" s="30"/>
      <c r="CK854" s="30"/>
      <c r="CL854" s="30"/>
      <c r="CM854" s="30"/>
      <c r="CN854" s="30"/>
      <c r="CO854" s="30"/>
      <c r="CP854" s="30"/>
      <c r="CQ854" s="30"/>
      <c r="CR854" s="30"/>
      <c r="CS854" s="30"/>
      <c r="CT854" s="30"/>
      <c r="CU854" s="30"/>
      <c r="CV854" s="30"/>
      <c r="CW854" s="30"/>
      <c r="CX854" s="30"/>
      <c r="CY854" s="30"/>
      <c r="CZ854" s="30"/>
      <c r="DA854" s="30"/>
      <c r="DB854" s="30"/>
      <c r="DC854" s="30"/>
      <c r="DD854" s="30"/>
      <c r="DE854" s="30"/>
      <c r="DF854" s="30"/>
      <c r="DG854" s="30"/>
      <c r="DH854" s="30"/>
      <c r="DI854" s="30"/>
      <c r="DJ854" s="30"/>
      <c r="DK854" s="30"/>
      <c r="DL854" s="30"/>
      <c r="DM854" s="30"/>
      <c r="DN854" s="30"/>
      <c r="DO854" s="30"/>
      <c r="DP854" s="30"/>
      <c r="DQ854" s="30"/>
      <c r="DR854" s="30"/>
      <c r="DS854" s="30"/>
      <c r="DT854" s="30"/>
      <c r="DU854" s="30"/>
      <c r="DV854" s="30"/>
      <c r="DW854" s="30"/>
      <c r="DX854" s="30"/>
      <c r="DY854" s="30"/>
      <c r="DZ854" s="30"/>
    </row>
    <row r="855">
      <c r="A855" s="30"/>
      <c r="B855" s="42"/>
      <c r="C855" s="43"/>
      <c r="D855" s="30"/>
      <c r="E855" s="28"/>
      <c r="F855" s="30"/>
      <c r="G855" s="30"/>
      <c r="H855" s="30"/>
      <c r="I855" s="30"/>
      <c r="J855" s="28"/>
      <c r="K855" s="30"/>
      <c r="L855" s="30"/>
      <c r="M855" s="30"/>
      <c r="N855" s="30"/>
      <c r="O855" s="28"/>
      <c r="P855" s="30"/>
      <c r="Q855" s="30"/>
      <c r="R855" s="30"/>
      <c r="S855" s="36"/>
      <c r="T855" s="30"/>
      <c r="U855" s="36"/>
      <c r="V855" s="30"/>
      <c r="W855" s="28"/>
      <c r="X855" s="30"/>
      <c r="Y855" s="30"/>
      <c r="Z855" s="30"/>
      <c r="AA855" s="30"/>
      <c r="AB855" s="30"/>
      <c r="AC855" s="28"/>
      <c r="AD855" s="30"/>
      <c r="AE855" s="30"/>
      <c r="AF855" s="30"/>
      <c r="AG855" s="29"/>
      <c r="AH855" s="30"/>
      <c r="AI855" s="36"/>
      <c r="AJ855" s="30"/>
      <c r="AK855" s="29"/>
      <c r="AL855" s="30"/>
      <c r="AM855" s="30"/>
      <c r="AN855" s="30"/>
      <c r="AO855" s="30"/>
      <c r="AP855" s="30"/>
      <c r="AQ855" s="38"/>
      <c r="AR855" s="30"/>
      <c r="AS855" s="30"/>
      <c r="AT855" s="29"/>
      <c r="AU855" s="30"/>
      <c r="AV855" s="30"/>
      <c r="AW855" s="30"/>
      <c r="AX855" s="29"/>
      <c r="AY855" s="39"/>
      <c r="AZ855" s="30"/>
      <c r="BA855" s="30"/>
      <c r="BB855" s="29"/>
      <c r="BC855" s="52"/>
      <c r="BD855" s="30"/>
      <c r="BE855" s="29"/>
      <c r="BF855" s="30"/>
      <c r="BG855" s="30"/>
      <c r="BH855" s="30"/>
      <c r="BI855" s="30"/>
      <c r="BJ855" s="30"/>
      <c r="BK855" s="30"/>
      <c r="BL855" s="30"/>
      <c r="BM855" s="30"/>
      <c r="BN855" s="30"/>
      <c r="BO855" s="30"/>
      <c r="BP855" s="30"/>
      <c r="BQ855" s="30"/>
      <c r="BR855" s="30"/>
      <c r="BS855" s="30"/>
      <c r="BT855" s="30"/>
      <c r="BU855" s="30"/>
      <c r="BV855" s="30"/>
      <c r="BW855" s="30"/>
      <c r="BX855" s="30"/>
      <c r="BY855" s="30"/>
      <c r="BZ855" s="30"/>
      <c r="CA855" s="30"/>
      <c r="CB855" s="30"/>
      <c r="CC855" s="30"/>
      <c r="CD855" s="30"/>
      <c r="CE855" s="30"/>
      <c r="CF855" s="30"/>
      <c r="CG855" s="30"/>
      <c r="CH855" s="30"/>
      <c r="CI855" s="30"/>
      <c r="CJ855" s="30"/>
      <c r="CK855" s="30"/>
      <c r="CL855" s="30"/>
      <c r="CM855" s="30"/>
      <c r="CN855" s="30"/>
      <c r="CO855" s="30"/>
      <c r="CP855" s="30"/>
      <c r="CQ855" s="30"/>
      <c r="CR855" s="30"/>
      <c r="CS855" s="30"/>
      <c r="CT855" s="30"/>
      <c r="CU855" s="30"/>
      <c r="CV855" s="30"/>
      <c r="CW855" s="30"/>
      <c r="CX855" s="30"/>
      <c r="CY855" s="30"/>
      <c r="CZ855" s="30"/>
      <c r="DA855" s="30"/>
      <c r="DB855" s="30"/>
      <c r="DC855" s="30"/>
      <c r="DD855" s="30"/>
      <c r="DE855" s="30"/>
      <c r="DF855" s="30"/>
      <c r="DG855" s="30"/>
      <c r="DH855" s="30"/>
      <c r="DI855" s="30"/>
      <c r="DJ855" s="30"/>
      <c r="DK855" s="30"/>
      <c r="DL855" s="30"/>
      <c r="DM855" s="30"/>
      <c r="DN855" s="30"/>
      <c r="DO855" s="30"/>
      <c r="DP855" s="30"/>
      <c r="DQ855" s="30"/>
      <c r="DR855" s="30"/>
      <c r="DS855" s="30"/>
      <c r="DT855" s="30"/>
      <c r="DU855" s="30"/>
      <c r="DV855" s="30"/>
      <c r="DW855" s="30"/>
      <c r="DX855" s="30"/>
      <c r="DY855" s="30"/>
      <c r="DZ855" s="30"/>
    </row>
    <row r="856">
      <c r="A856" s="30"/>
      <c r="B856" s="42"/>
      <c r="C856" s="43"/>
      <c r="D856" s="30"/>
      <c r="E856" s="28"/>
      <c r="F856" s="30"/>
      <c r="G856" s="30"/>
      <c r="H856" s="30"/>
      <c r="I856" s="30"/>
      <c r="J856" s="28"/>
      <c r="K856" s="30"/>
      <c r="L856" s="30"/>
      <c r="M856" s="30"/>
      <c r="N856" s="30"/>
      <c r="O856" s="28"/>
      <c r="P856" s="30"/>
      <c r="Q856" s="30"/>
      <c r="R856" s="30"/>
      <c r="S856" s="36"/>
      <c r="T856" s="30"/>
      <c r="U856" s="36"/>
      <c r="V856" s="30"/>
      <c r="W856" s="28"/>
      <c r="X856" s="30"/>
      <c r="Y856" s="30"/>
      <c r="Z856" s="30"/>
      <c r="AA856" s="30"/>
      <c r="AB856" s="30"/>
      <c r="AC856" s="28"/>
      <c r="AD856" s="30"/>
      <c r="AE856" s="30"/>
      <c r="AF856" s="30"/>
      <c r="AG856" s="29"/>
      <c r="AH856" s="30"/>
      <c r="AI856" s="36"/>
      <c r="AJ856" s="30"/>
      <c r="AK856" s="29"/>
      <c r="AL856" s="30"/>
      <c r="AM856" s="30"/>
      <c r="AN856" s="30"/>
      <c r="AO856" s="30"/>
      <c r="AP856" s="30"/>
      <c r="AQ856" s="38"/>
      <c r="AR856" s="30"/>
      <c r="AS856" s="30"/>
      <c r="AT856" s="29"/>
      <c r="AU856" s="30"/>
      <c r="AV856" s="30"/>
      <c r="AW856" s="30"/>
      <c r="AX856" s="29"/>
      <c r="AY856" s="39"/>
      <c r="AZ856" s="30"/>
      <c r="BA856" s="30"/>
      <c r="BB856" s="29"/>
      <c r="BC856" s="52"/>
      <c r="BD856" s="30"/>
      <c r="BE856" s="29"/>
      <c r="BF856" s="30"/>
      <c r="BG856" s="30"/>
      <c r="BH856" s="30"/>
      <c r="BI856" s="30"/>
      <c r="BJ856" s="30"/>
      <c r="BK856" s="30"/>
      <c r="BL856" s="30"/>
      <c r="BM856" s="30"/>
      <c r="BN856" s="30"/>
      <c r="BO856" s="30"/>
      <c r="BP856" s="30"/>
      <c r="BQ856" s="30"/>
      <c r="BR856" s="30"/>
      <c r="BS856" s="30"/>
      <c r="BT856" s="30"/>
      <c r="BU856" s="30"/>
      <c r="BV856" s="30"/>
      <c r="BW856" s="30"/>
      <c r="BX856" s="30"/>
      <c r="BY856" s="30"/>
      <c r="BZ856" s="30"/>
      <c r="CA856" s="30"/>
      <c r="CB856" s="30"/>
      <c r="CC856" s="30"/>
      <c r="CD856" s="30"/>
      <c r="CE856" s="30"/>
      <c r="CF856" s="30"/>
      <c r="CG856" s="30"/>
      <c r="CH856" s="30"/>
      <c r="CI856" s="30"/>
      <c r="CJ856" s="30"/>
      <c r="CK856" s="30"/>
      <c r="CL856" s="30"/>
      <c r="CM856" s="30"/>
      <c r="CN856" s="30"/>
      <c r="CO856" s="30"/>
      <c r="CP856" s="30"/>
      <c r="CQ856" s="30"/>
      <c r="CR856" s="30"/>
      <c r="CS856" s="30"/>
      <c r="CT856" s="30"/>
      <c r="CU856" s="30"/>
      <c r="CV856" s="30"/>
      <c r="CW856" s="30"/>
      <c r="CX856" s="30"/>
      <c r="CY856" s="30"/>
      <c r="CZ856" s="30"/>
      <c r="DA856" s="30"/>
      <c r="DB856" s="30"/>
      <c r="DC856" s="30"/>
      <c r="DD856" s="30"/>
      <c r="DE856" s="30"/>
      <c r="DF856" s="30"/>
      <c r="DG856" s="30"/>
      <c r="DH856" s="30"/>
      <c r="DI856" s="30"/>
      <c r="DJ856" s="30"/>
      <c r="DK856" s="30"/>
      <c r="DL856" s="30"/>
      <c r="DM856" s="30"/>
      <c r="DN856" s="30"/>
      <c r="DO856" s="30"/>
      <c r="DP856" s="30"/>
      <c r="DQ856" s="30"/>
      <c r="DR856" s="30"/>
      <c r="DS856" s="30"/>
      <c r="DT856" s="30"/>
      <c r="DU856" s="30"/>
      <c r="DV856" s="30"/>
      <c r="DW856" s="30"/>
      <c r="DX856" s="30"/>
      <c r="DY856" s="30"/>
      <c r="DZ856" s="30"/>
    </row>
    <row r="857">
      <c r="A857" s="30"/>
      <c r="B857" s="42"/>
      <c r="C857" s="43"/>
      <c r="D857" s="30"/>
      <c r="E857" s="28"/>
      <c r="F857" s="30"/>
      <c r="G857" s="30"/>
      <c r="H857" s="30"/>
      <c r="I857" s="30"/>
      <c r="J857" s="28"/>
      <c r="K857" s="30"/>
      <c r="L857" s="30"/>
      <c r="M857" s="30"/>
      <c r="N857" s="30"/>
      <c r="O857" s="28"/>
      <c r="P857" s="30"/>
      <c r="Q857" s="30"/>
      <c r="R857" s="30"/>
      <c r="S857" s="36"/>
      <c r="T857" s="30"/>
      <c r="U857" s="36"/>
      <c r="V857" s="30"/>
      <c r="W857" s="28"/>
      <c r="X857" s="30"/>
      <c r="Y857" s="30"/>
      <c r="Z857" s="30"/>
      <c r="AA857" s="30"/>
      <c r="AB857" s="30"/>
      <c r="AC857" s="28"/>
      <c r="AD857" s="30"/>
      <c r="AE857" s="30"/>
      <c r="AF857" s="30"/>
      <c r="AG857" s="29"/>
      <c r="AH857" s="30"/>
      <c r="AI857" s="36"/>
      <c r="AJ857" s="30"/>
      <c r="AK857" s="29"/>
      <c r="AL857" s="30"/>
      <c r="AM857" s="30"/>
      <c r="AN857" s="30"/>
      <c r="AO857" s="30"/>
      <c r="AP857" s="30"/>
      <c r="AQ857" s="38"/>
      <c r="AR857" s="30"/>
      <c r="AS857" s="30"/>
      <c r="AT857" s="29"/>
      <c r="AU857" s="30"/>
      <c r="AV857" s="30"/>
      <c r="AW857" s="30"/>
      <c r="AX857" s="29"/>
      <c r="AY857" s="39"/>
      <c r="AZ857" s="30"/>
      <c r="BA857" s="30"/>
      <c r="BB857" s="29"/>
      <c r="BC857" s="52"/>
      <c r="BD857" s="30"/>
      <c r="BE857" s="29"/>
      <c r="BF857" s="30"/>
      <c r="BG857" s="30"/>
      <c r="BH857" s="30"/>
      <c r="BI857" s="30"/>
      <c r="BJ857" s="30"/>
      <c r="BK857" s="30"/>
      <c r="BL857" s="30"/>
      <c r="BM857" s="30"/>
      <c r="BN857" s="30"/>
      <c r="BO857" s="30"/>
      <c r="BP857" s="30"/>
      <c r="BQ857" s="30"/>
      <c r="BR857" s="30"/>
      <c r="BS857" s="30"/>
      <c r="BT857" s="30"/>
      <c r="BU857" s="30"/>
      <c r="BV857" s="30"/>
      <c r="BW857" s="30"/>
      <c r="BX857" s="30"/>
      <c r="BY857" s="30"/>
      <c r="BZ857" s="30"/>
      <c r="CA857" s="30"/>
      <c r="CB857" s="30"/>
      <c r="CC857" s="30"/>
      <c r="CD857" s="30"/>
      <c r="CE857" s="30"/>
      <c r="CF857" s="30"/>
      <c r="CG857" s="30"/>
      <c r="CH857" s="30"/>
      <c r="CI857" s="30"/>
      <c r="CJ857" s="30"/>
      <c r="CK857" s="30"/>
      <c r="CL857" s="30"/>
      <c r="CM857" s="30"/>
      <c r="CN857" s="30"/>
      <c r="CO857" s="30"/>
      <c r="CP857" s="30"/>
      <c r="CQ857" s="30"/>
      <c r="CR857" s="30"/>
      <c r="CS857" s="30"/>
      <c r="CT857" s="30"/>
      <c r="CU857" s="30"/>
      <c r="CV857" s="30"/>
      <c r="CW857" s="30"/>
      <c r="CX857" s="30"/>
      <c r="CY857" s="30"/>
      <c r="CZ857" s="30"/>
      <c r="DA857" s="30"/>
      <c r="DB857" s="30"/>
      <c r="DC857" s="30"/>
      <c r="DD857" s="30"/>
      <c r="DE857" s="30"/>
      <c r="DF857" s="30"/>
      <c r="DG857" s="30"/>
      <c r="DH857" s="30"/>
      <c r="DI857" s="30"/>
      <c r="DJ857" s="30"/>
      <c r="DK857" s="30"/>
      <c r="DL857" s="30"/>
      <c r="DM857" s="30"/>
      <c r="DN857" s="30"/>
      <c r="DO857" s="30"/>
      <c r="DP857" s="30"/>
      <c r="DQ857" s="30"/>
      <c r="DR857" s="30"/>
      <c r="DS857" s="30"/>
      <c r="DT857" s="30"/>
      <c r="DU857" s="30"/>
      <c r="DV857" s="30"/>
      <c r="DW857" s="30"/>
      <c r="DX857" s="30"/>
      <c r="DY857" s="30"/>
      <c r="DZ857" s="30"/>
    </row>
    <row r="858">
      <c r="A858" s="30"/>
      <c r="B858" s="42"/>
      <c r="C858" s="43"/>
      <c r="D858" s="30"/>
      <c r="E858" s="28"/>
      <c r="F858" s="30"/>
      <c r="G858" s="30"/>
      <c r="H858" s="30"/>
      <c r="I858" s="30"/>
      <c r="J858" s="28"/>
      <c r="K858" s="30"/>
      <c r="L858" s="30"/>
      <c r="M858" s="30"/>
      <c r="N858" s="30"/>
      <c r="O858" s="28"/>
      <c r="P858" s="30"/>
      <c r="Q858" s="30"/>
      <c r="R858" s="30"/>
      <c r="S858" s="36"/>
      <c r="T858" s="30"/>
      <c r="U858" s="36"/>
      <c r="V858" s="30"/>
      <c r="W858" s="28"/>
      <c r="X858" s="30"/>
      <c r="Y858" s="30"/>
      <c r="Z858" s="30"/>
      <c r="AA858" s="30"/>
      <c r="AB858" s="30"/>
      <c r="AC858" s="28"/>
      <c r="AD858" s="30"/>
      <c r="AE858" s="30"/>
      <c r="AF858" s="30"/>
      <c r="AG858" s="29"/>
      <c r="AH858" s="30"/>
      <c r="AI858" s="36"/>
      <c r="AJ858" s="30"/>
      <c r="AK858" s="29"/>
      <c r="AL858" s="30"/>
      <c r="AM858" s="30"/>
      <c r="AN858" s="30"/>
      <c r="AO858" s="30"/>
      <c r="AP858" s="30"/>
      <c r="AQ858" s="38"/>
      <c r="AR858" s="30"/>
      <c r="AS858" s="30"/>
      <c r="AT858" s="29"/>
      <c r="AU858" s="30"/>
      <c r="AV858" s="30"/>
      <c r="AW858" s="30"/>
      <c r="AX858" s="29"/>
      <c r="AY858" s="39"/>
      <c r="AZ858" s="30"/>
      <c r="BA858" s="30"/>
      <c r="BB858" s="29"/>
      <c r="BC858" s="52"/>
      <c r="BD858" s="30"/>
      <c r="BE858" s="29"/>
      <c r="BF858" s="30"/>
      <c r="BG858" s="30"/>
      <c r="BH858" s="30"/>
      <c r="BI858" s="30"/>
      <c r="BJ858" s="30"/>
      <c r="BK858" s="30"/>
      <c r="BL858" s="30"/>
      <c r="BM858" s="30"/>
      <c r="BN858" s="30"/>
      <c r="BO858" s="30"/>
      <c r="BP858" s="30"/>
      <c r="BQ858" s="30"/>
      <c r="BR858" s="30"/>
      <c r="BS858" s="30"/>
      <c r="BT858" s="30"/>
      <c r="BU858" s="30"/>
      <c r="BV858" s="30"/>
      <c r="BW858" s="30"/>
      <c r="BX858" s="30"/>
      <c r="BY858" s="30"/>
      <c r="BZ858" s="30"/>
      <c r="CA858" s="30"/>
      <c r="CB858" s="30"/>
      <c r="CC858" s="30"/>
      <c r="CD858" s="30"/>
      <c r="CE858" s="30"/>
      <c r="CF858" s="30"/>
      <c r="CG858" s="30"/>
      <c r="CH858" s="30"/>
      <c r="CI858" s="30"/>
      <c r="CJ858" s="30"/>
      <c r="CK858" s="30"/>
      <c r="CL858" s="30"/>
      <c r="CM858" s="30"/>
      <c r="CN858" s="30"/>
      <c r="CO858" s="30"/>
      <c r="CP858" s="30"/>
      <c r="CQ858" s="30"/>
      <c r="CR858" s="30"/>
      <c r="CS858" s="30"/>
      <c r="CT858" s="30"/>
      <c r="CU858" s="30"/>
      <c r="CV858" s="30"/>
      <c r="CW858" s="30"/>
      <c r="CX858" s="30"/>
      <c r="CY858" s="30"/>
      <c r="CZ858" s="30"/>
      <c r="DA858" s="30"/>
      <c r="DB858" s="30"/>
      <c r="DC858" s="30"/>
      <c r="DD858" s="30"/>
      <c r="DE858" s="30"/>
      <c r="DF858" s="30"/>
      <c r="DG858" s="30"/>
      <c r="DH858" s="30"/>
      <c r="DI858" s="30"/>
      <c r="DJ858" s="30"/>
      <c r="DK858" s="30"/>
      <c r="DL858" s="30"/>
      <c r="DM858" s="30"/>
      <c r="DN858" s="30"/>
      <c r="DO858" s="30"/>
      <c r="DP858" s="30"/>
      <c r="DQ858" s="30"/>
      <c r="DR858" s="30"/>
      <c r="DS858" s="30"/>
      <c r="DT858" s="30"/>
      <c r="DU858" s="30"/>
      <c r="DV858" s="30"/>
      <c r="DW858" s="30"/>
      <c r="DX858" s="30"/>
      <c r="DY858" s="30"/>
      <c r="DZ858" s="30"/>
    </row>
    <row r="859">
      <c r="A859" s="30"/>
      <c r="B859" s="42"/>
      <c r="C859" s="43"/>
      <c r="D859" s="30"/>
      <c r="E859" s="28"/>
      <c r="F859" s="30"/>
      <c r="G859" s="30"/>
      <c r="H859" s="30"/>
      <c r="I859" s="30"/>
      <c r="J859" s="28"/>
      <c r="K859" s="30"/>
      <c r="L859" s="30"/>
      <c r="M859" s="30"/>
      <c r="N859" s="30"/>
      <c r="O859" s="28"/>
      <c r="P859" s="30"/>
      <c r="Q859" s="30"/>
      <c r="R859" s="30"/>
      <c r="S859" s="36"/>
      <c r="T859" s="30"/>
      <c r="U859" s="36"/>
      <c r="V859" s="30"/>
      <c r="W859" s="28"/>
      <c r="X859" s="30"/>
      <c r="Y859" s="30"/>
      <c r="Z859" s="30"/>
      <c r="AA859" s="30"/>
      <c r="AB859" s="30"/>
      <c r="AC859" s="28"/>
      <c r="AD859" s="30"/>
      <c r="AE859" s="30"/>
      <c r="AF859" s="30"/>
      <c r="AG859" s="29"/>
      <c r="AH859" s="30"/>
      <c r="AI859" s="36"/>
      <c r="AJ859" s="30"/>
      <c r="AK859" s="29"/>
      <c r="AL859" s="30"/>
      <c r="AM859" s="30"/>
      <c r="AN859" s="30"/>
      <c r="AO859" s="30"/>
      <c r="AP859" s="30"/>
      <c r="AQ859" s="38"/>
      <c r="AR859" s="30"/>
      <c r="AS859" s="30"/>
      <c r="AT859" s="29"/>
      <c r="AU859" s="30"/>
      <c r="AV859" s="30"/>
      <c r="AW859" s="30"/>
      <c r="AX859" s="29"/>
      <c r="AY859" s="39"/>
      <c r="AZ859" s="30"/>
      <c r="BA859" s="30"/>
      <c r="BB859" s="29"/>
      <c r="BC859" s="52"/>
      <c r="BD859" s="30"/>
      <c r="BE859" s="29"/>
      <c r="BF859" s="30"/>
      <c r="BG859" s="30"/>
      <c r="BH859" s="30"/>
      <c r="BI859" s="30"/>
      <c r="BJ859" s="30"/>
      <c r="BK859" s="30"/>
      <c r="BL859" s="30"/>
      <c r="BM859" s="30"/>
      <c r="BN859" s="30"/>
      <c r="BO859" s="30"/>
      <c r="BP859" s="30"/>
      <c r="BQ859" s="30"/>
      <c r="BR859" s="30"/>
      <c r="BS859" s="30"/>
      <c r="BT859" s="30"/>
      <c r="BU859" s="30"/>
      <c r="BV859" s="30"/>
      <c r="BW859" s="30"/>
      <c r="BX859" s="30"/>
      <c r="BY859" s="30"/>
      <c r="BZ859" s="30"/>
      <c r="CA859" s="30"/>
      <c r="CB859" s="30"/>
      <c r="CC859" s="30"/>
      <c r="CD859" s="30"/>
      <c r="CE859" s="30"/>
      <c r="CF859" s="30"/>
      <c r="CG859" s="30"/>
      <c r="CH859" s="30"/>
      <c r="CI859" s="30"/>
      <c r="CJ859" s="30"/>
      <c r="CK859" s="30"/>
      <c r="CL859" s="30"/>
      <c r="CM859" s="30"/>
      <c r="CN859" s="30"/>
      <c r="CO859" s="30"/>
      <c r="CP859" s="30"/>
      <c r="CQ859" s="30"/>
      <c r="CR859" s="30"/>
      <c r="CS859" s="30"/>
      <c r="CT859" s="30"/>
      <c r="CU859" s="30"/>
      <c r="CV859" s="30"/>
      <c r="CW859" s="30"/>
      <c r="CX859" s="30"/>
      <c r="CY859" s="30"/>
      <c r="CZ859" s="30"/>
      <c r="DA859" s="30"/>
      <c r="DB859" s="30"/>
      <c r="DC859" s="30"/>
      <c r="DD859" s="30"/>
      <c r="DE859" s="30"/>
      <c r="DF859" s="30"/>
      <c r="DG859" s="30"/>
      <c r="DH859" s="30"/>
      <c r="DI859" s="30"/>
      <c r="DJ859" s="30"/>
      <c r="DK859" s="30"/>
      <c r="DL859" s="30"/>
      <c r="DM859" s="30"/>
      <c r="DN859" s="30"/>
      <c r="DO859" s="30"/>
      <c r="DP859" s="30"/>
      <c r="DQ859" s="30"/>
      <c r="DR859" s="30"/>
      <c r="DS859" s="30"/>
      <c r="DT859" s="30"/>
      <c r="DU859" s="30"/>
      <c r="DV859" s="30"/>
      <c r="DW859" s="30"/>
      <c r="DX859" s="30"/>
      <c r="DY859" s="30"/>
      <c r="DZ859" s="30"/>
    </row>
    <row r="860">
      <c r="A860" s="30"/>
      <c r="B860" s="42"/>
      <c r="C860" s="43"/>
      <c r="D860" s="30"/>
      <c r="E860" s="28"/>
      <c r="F860" s="30"/>
      <c r="G860" s="30"/>
      <c r="H860" s="30"/>
      <c r="I860" s="30"/>
      <c r="J860" s="28"/>
      <c r="K860" s="30"/>
      <c r="L860" s="30"/>
      <c r="M860" s="30"/>
      <c r="N860" s="30"/>
      <c r="O860" s="28"/>
      <c r="P860" s="30"/>
      <c r="Q860" s="30"/>
      <c r="R860" s="30"/>
      <c r="S860" s="36"/>
      <c r="T860" s="30"/>
      <c r="U860" s="36"/>
      <c r="V860" s="30"/>
      <c r="W860" s="28"/>
      <c r="X860" s="30"/>
      <c r="Y860" s="30"/>
      <c r="Z860" s="30"/>
      <c r="AA860" s="30"/>
      <c r="AB860" s="30"/>
      <c r="AC860" s="28"/>
      <c r="AD860" s="30"/>
      <c r="AE860" s="30"/>
      <c r="AF860" s="30"/>
      <c r="AG860" s="29"/>
      <c r="AH860" s="30"/>
      <c r="AI860" s="36"/>
      <c r="AJ860" s="30"/>
      <c r="AK860" s="29"/>
      <c r="AL860" s="30"/>
      <c r="AM860" s="30"/>
      <c r="AN860" s="30"/>
      <c r="AO860" s="30"/>
      <c r="AP860" s="30"/>
      <c r="AQ860" s="38"/>
      <c r="AR860" s="30"/>
      <c r="AS860" s="30"/>
      <c r="AT860" s="29"/>
      <c r="AU860" s="30"/>
      <c r="AV860" s="30"/>
      <c r="AW860" s="30"/>
      <c r="AX860" s="29"/>
      <c r="AY860" s="39"/>
      <c r="AZ860" s="30"/>
      <c r="BA860" s="30"/>
      <c r="BB860" s="29"/>
      <c r="BC860" s="52"/>
      <c r="BD860" s="30"/>
      <c r="BE860" s="29"/>
      <c r="BF860" s="30"/>
      <c r="BG860" s="30"/>
      <c r="BH860" s="30"/>
      <c r="BI860" s="30"/>
      <c r="BJ860" s="30"/>
      <c r="BK860" s="30"/>
      <c r="BL860" s="30"/>
      <c r="BM860" s="30"/>
      <c r="BN860" s="30"/>
      <c r="BO860" s="30"/>
      <c r="BP860" s="30"/>
      <c r="BQ860" s="30"/>
      <c r="BR860" s="30"/>
      <c r="BS860" s="30"/>
      <c r="BT860" s="30"/>
      <c r="BU860" s="30"/>
      <c r="BV860" s="30"/>
      <c r="BW860" s="30"/>
      <c r="BX860" s="30"/>
      <c r="BY860" s="30"/>
      <c r="BZ860" s="30"/>
      <c r="CA860" s="30"/>
      <c r="CB860" s="30"/>
      <c r="CC860" s="30"/>
      <c r="CD860" s="30"/>
      <c r="CE860" s="30"/>
      <c r="CF860" s="30"/>
      <c r="CG860" s="30"/>
      <c r="CH860" s="30"/>
      <c r="CI860" s="30"/>
      <c r="CJ860" s="30"/>
      <c r="CK860" s="30"/>
      <c r="CL860" s="30"/>
      <c r="CM860" s="30"/>
      <c r="CN860" s="30"/>
      <c r="CO860" s="30"/>
      <c r="CP860" s="30"/>
      <c r="CQ860" s="30"/>
      <c r="CR860" s="30"/>
      <c r="CS860" s="30"/>
      <c r="CT860" s="30"/>
      <c r="CU860" s="30"/>
      <c r="CV860" s="30"/>
      <c r="CW860" s="30"/>
      <c r="CX860" s="30"/>
      <c r="CY860" s="30"/>
      <c r="CZ860" s="30"/>
      <c r="DA860" s="30"/>
      <c r="DB860" s="30"/>
      <c r="DC860" s="30"/>
      <c r="DD860" s="30"/>
      <c r="DE860" s="30"/>
      <c r="DF860" s="30"/>
      <c r="DG860" s="30"/>
      <c r="DH860" s="30"/>
      <c r="DI860" s="30"/>
      <c r="DJ860" s="30"/>
      <c r="DK860" s="30"/>
      <c r="DL860" s="30"/>
      <c r="DM860" s="30"/>
      <c r="DN860" s="30"/>
      <c r="DO860" s="30"/>
      <c r="DP860" s="30"/>
      <c r="DQ860" s="30"/>
      <c r="DR860" s="30"/>
      <c r="DS860" s="30"/>
      <c r="DT860" s="30"/>
      <c r="DU860" s="30"/>
      <c r="DV860" s="30"/>
      <c r="DW860" s="30"/>
      <c r="DX860" s="30"/>
      <c r="DY860" s="30"/>
      <c r="DZ860" s="30"/>
    </row>
    <row r="861">
      <c r="A861" s="30"/>
      <c r="B861" s="42"/>
      <c r="C861" s="43"/>
      <c r="D861" s="30"/>
      <c r="E861" s="28"/>
      <c r="F861" s="30"/>
      <c r="G861" s="30"/>
      <c r="H861" s="30"/>
      <c r="I861" s="30"/>
      <c r="J861" s="28"/>
      <c r="K861" s="30"/>
      <c r="L861" s="30"/>
      <c r="M861" s="30"/>
      <c r="N861" s="30"/>
      <c r="O861" s="28"/>
      <c r="P861" s="30"/>
      <c r="Q861" s="30"/>
      <c r="R861" s="30"/>
      <c r="S861" s="36"/>
      <c r="T861" s="30"/>
      <c r="U861" s="36"/>
      <c r="V861" s="30"/>
      <c r="W861" s="28"/>
      <c r="X861" s="30"/>
      <c r="Y861" s="30"/>
      <c r="Z861" s="30"/>
      <c r="AA861" s="30"/>
      <c r="AB861" s="30"/>
      <c r="AC861" s="28"/>
      <c r="AD861" s="30"/>
      <c r="AE861" s="30"/>
      <c r="AF861" s="30"/>
      <c r="AG861" s="29"/>
      <c r="AH861" s="30"/>
      <c r="AI861" s="36"/>
      <c r="AJ861" s="30"/>
      <c r="AK861" s="29"/>
      <c r="AL861" s="30"/>
      <c r="AM861" s="30"/>
      <c r="AN861" s="30"/>
      <c r="AO861" s="30"/>
      <c r="AP861" s="30"/>
      <c r="AQ861" s="38"/>
      <c r="AR861" s="30"/>
      <c r="AS861" s="30"/>
      <c r="AT861" s="29"/>
      <c r="AU861" s="30"/>
      <c r="AV861" s="30"/>
      <c r="AW861" s="30"/>
      <c r="AX861" s="29"/>
      <c r="AY861" s="39"/>
      <c r="AZ861" s="30"/>
      <c r="BA861" s="30"/>
      <c r="BB861" s="29"/>
      <c r="BC861" s="52"/>
      <c r="BD861" s="30"/>
      <c r="BE861" s="29"/>
      <c r="BF861" s="30"/>
      <c r="BG861" s="30"/>
      <c r="BH861" s="30"/>
      <c r="BI861" s="30"/>
      <c r="BJ861" s="30"/>
      <c r="BK861" s="30"/>
      <c r="BL861" s="30"/>
      <c r="BM861" s="30"/>
      <c r="BN861" s="30"/>
      <c r="BO861" s="30"/>
      <c r="BP861" s="30"/>
      <c r="BQ861" s="30"/>
      <c r="BR861" s="30"/>
      <c r="BS861" s="30"/>
      <c r="BT861" s="30"/>
      <c r="BU861" s="30"/>
      <c r="BV861" s="30"/>
      <c r="BW861" s="30"/>
      <c r="BX861" s="30"/>
      <c r="BY861" s="30"/>
      <c r="BZ861" s="30"/>
      <c r="CA861" s="30"/>
      <c r="CB861" s="30"/>
      <c r="CC861" s="30"/>
      <c r="CD861" s="30"/>
      <c r="CE861" s="30"/>
      <c r="CF861" s="30"/>
      <c r="CG861" s="30"/>
      <c r="CH861" s="30"/>
      <c r="CI861" s="30"/>
      <c r="CJ861" s="30"/>
      <c r="CK861" s="30"/>
      <c r="CL861" s="30"/>
      <c r="CM861" s="30"/>
      <c r="CN861" s="30"/>
      <c r="CO861" s="30"/>
      <c r="CP861" s="30"/>
      <c r="CQ861" s="30"/>
      <c r="CR861" s="30"/>
      <c r="CS861" s="30"/>
      <c r="CT861" s="30"/>
      <c r="CU861" s="30"/>
      <c r="CV861" s="30"/>
      <c r="CW861" s="30"/>
      <c r="CX861" s="30"/>
      <c r="CY861" s="30"/>
      <c r="CZ861" s="30"/>
      <c r="DA861" s="30"/>
      <c r="DB861" s="30"/>
      <c r="DC861" s="30"/>
      <c r="DD861" s="30"/>
      <c r="DE861" s="30"/>
      <c r="DF861" s="30"/>
      <c r="DG861" s="30"/>
      <c r="DH861" s="30"/>
      <c r="DI861" s="30"/>
      <c r="DJ861" s="30"/>
      <c r="DK861" s="30"/>
      <c r="DL861" s="30"/>
      <c r="DM861" s="30"/>
      <c r="DN861" s="30"/>
      <c r="DO861" s="30"/>
      <c r="DP861" s="30"/>
      <c r="DQ861" s="30"/>
      <c r="DR861" s="30"/>
      <c r="DS861" s="30"/>
      <c r="DT861" s="30"/>
      <c r="DU861" s="30"/>
      <c r="DV861" s="30"/>
      <c r="DW861" s="30"/>
      <c r="DX861" s="30"/>
      <c r="DY861" s="30"/>
      <c r="DZ861" s="30"/>
    </row>
    <row r="862">
      <c r="A862" s="30"/>
      <c r="B862" s="42"/>
      <c r="C862" s="43"/>
      <c r="D862" s="30"/>
      <c r="E862" s="28"/>
      <c r="F862" s="30"/>
      <c r="G862" s="30"/>
      <c r="H862" s="30"/>
      <c r="I862" s="30"/>
      <c r="J862" s="28"/>
      <c r="K862" s="30"/>
      <c r="L862" s="30"/>
      <c r="M862" s="30"/>
      <c r="N862" s="30"/>
      <c r="O862" s="28"/>
      <c r="P862" s="30"/>
      <c r="Q862" s="30"/>
      <c r="R862" s="30"/>
      <c r="S862" s="36"/>
      <c r="T862" s="30"/>
      <c r="U862" s="36"/>
      <c r="V862" s="30"/>
      <c r="W862" s="28"/>
      <c r="X862" s="30"/>
      <c r="Y862" s="30"/>
      <c r="Z862" s="30"/>
      <c r="AA862" s="30"/>
      <c r="AB862" s="30"/>
      <c r="AC862" s="28"/>
      <c r="AD862" s="30"/>
      <c r="AE862" s="30"/>
      <c r="AF862" s="30"/>
      <c r="AG862" s="29"/>
      <c r="AH862" s="30"/>
      <c r="AI862" s="36"/>
      <c r="AJ862" s="30"/>
      <c r="AK862" s="29"/>
      <c r="AL862" s="30"/>
      <c r="AM862" s="30"/>
      <c r="AN862" s="30"/>
      <c r="AO862" s="30"/>
      <c r="AP862" s="30"/>
      <c r="AQ862" s="38"/>
      <c r="AR862" s="30"/>
      <c r="AS862" s="30"/>
      <c r="AT862" s="29"/>
      <c r="AU862" s="30"/>
      <c r="AV862" s="30"/>
      <c r="AW862" s="30"/>
      <c r="AX862" s="29"/>
      <c r="AY862" s="39"/>
      <c r="AZ862" s="30"/>
      <c r="BA862" s="30"/>
      <c r="BB862" s="29"/>
      <c r="BC862" s="52"/>
      <c r="BD862" s="30"/>
      <c r="BE862" s="29"/>
      <c r="BF862" s="30"/>
      <c r="BG862" s="30"/>
      <c r="BH862" s="30"/>
      <c r="BI862" s="30"/>
      <c r="BJ862" s="30"/>
      <c r="BK862" s="30"/>
      <c r="BL862" s="30"/>
      <c r="BM862" s="30"/>
      <c r="BN862" s="30"/>
      <c r="BO862" s="30"/>
      <c r="BP862" s="30"/>
      <c r="BQ862" s="30"/>
      <c r="BR862" s="30"/>
      <c r="BS862" s="30"/>
      <c r="BT862" s="30"/>
      <c r="BU862" s="30"/>
      <c r="BV862" s="30"/>
      <c r="BW862" s="30"/>
      <c r="BX862" s="30"/>
      <c r="BY862" s="30"/>
      <c r="BZ862" s="30"/>
      <c r="CA862" s="30"/>
      <c r="CB862" s="30"/>
      <c r="CC862" s="30"/>
      <c r="CD862" s="30"/>
      <c r="CE862" s="30"/>
      <c r="CF862" s="30"/>
      <c r="CG862" s="30"/>
      <c r="CH862" s="30"/>
      <c r="CI862" s="30"/>
      <c r="CJ862" s="30"/>
      <c r="CK862" s="30"/>
      <c r="CL862" s="30"/>
      <c r="CM862" s="30"/>
      <c r="CN862" s="30"/>
      <c r="CO862" s="30"/>
      <c r="CP862" s="30"/>
      <c r="CQ862" s="30"/>
      <c r="CR862" s="30"/>
      <c r="CS862" s="30"/>
      <c r="CT862" s="30"/>
      <c r="CU862" s="30"/>
      <c r="CV862" s="30"/>
      <c r="CW862" s="30"/>
      <c r="CX862" s="30"/>
      <c r="CY862" s="30"/>
      <c r="CZ862" s="30"/>
      <c r="DA862" s="30"/>
      <c r="DB862" s="30"/>
      <c r="DC862" s="30"/>
      <c r="DD862" s="30"/>
      <c r="DE862" s="30"/>
      <c r="DF862" s="30"/>
      <c r="DG862" s="30"/>
      <c r="DH862" s="30"/>
      <c r="DI862" s="30"/>
      <c r="DJ862" s="30"/>
      <c r="DK862" s="30"/>
      <c r="DL862" s="30"/>
      <c r="DM862" s="30"/>
      <c r="DN862" s="30"/>
      <c r="DO862" s="30"/>
      <c r="DP862" s="30"/>
      <c r="DQ862" s="30"/>
      <c r="DR862" s="30"/>
      <c r="DS862" s="30"/>
      <c r="DT862" s="30"/>
      <c r="DU862" s="30"/>
      <c r="DV862" s="30"/>
      <c r="DW862" s="30"/>
      <c r="DX862" s="30"/>
      <c r="DY862" s="30"/>
      <c r="DZ862" s="30"/>
    </row>
    <row r="863">
      <c r="A863" s="30"/>
      <c r="B863" s="42"/>
      <c r="C863" s="43"/>
      <c r="D863" s="30"/>
      <c r="E863" s="28"/>
      <c r="F863" s="30"/>
      <c r="G863" s="30"/>
      <c r="H863" s="30"/>
      <c r="I863" s="30"/>
      <c r="J863" s="28"/>
      <c r="K863" s="30"/>
      <c r="L863" s="30"/>
      <c r="M863" s="30"/>
      <c r="N863" s="30"/>
      <c r="O863" s="28"/>
      <c r="P863" s="30"/>
      <c r="Q863" s="30"/>
      <c r="R863" s="30"/>
      <c r="S863" s="36"/>
      <c r="T863" s="30"/>
      <c r="U863" s="36"/>
      <c r="V863" s="30"/>
      <c r="W863" s="28"/>
      <c r="X863" s="30"/>
      <c r="Y863" s="30"/>
      <c r="Z863" s="30"/>
      <c r="AA863" s="30"/>
      <c r="AB863" s="30"/>
      <c r="AC863" s="28"/>
      <c r="AD863" s="30"/>
      <c r="AE863" s="30"/>
      <c r="AF863" s="30"/>
      <c r="AG863" s="29"/>
      <c r="AH863" s="30"/>
      <c r="AI863" s="36"/>
      <c r="AJ863" s="30"/>
      <c r="AK863" s="29"/>
      <c r="AL863" s="30"/>
      <c r="AM863" s="30"/>
      <c r="AN863" s="30"/>
      <c r="AO863" s="30"/>
      <c r="AP863" s="30"/>
      <c r="AQ863" s="38"/>
      <c r="AR863" s="30"/>
      <c r="AS863" s="30"/>
      <c r="AT863" s="29"/>
      <c r="AU863" s="30"/>
      <c r="AV863" s="30"/>
      <c r="AW863" s="30"/>
      <c r="AX863" s="29"/>
      <c r="AY863" s="39"/>
      <c r="AZ863" s="30"/>
      <c r="BA863" s="30"/>
      <c r="BB863" s="29"/>
      <c r="BC863" s="52"/>
      <c r="BD863" s="30"/>
      <c r="BE863" s="29"/>
      <c r="BF863" s="30"/>
      <c r="BG863" s="30"/>
      <c r="BH863" s="30"/>
      <c r="BI863" s="30"/>
      <c r="BJ863" s="30"/>
      <c r="BK863" s="30"/>
      <c r="BL863" s="30"/>
      <c r="BM863" s="30"/>
      <c r="BN863" s="30"/>
      <c r="BO863" s="30"/>
      <c r="BP863" s="30"/>
      <c r="BQ863" s="30"/>
      <c r="BR863" s="30"/>
      <c r="BS863" s="30"/>
      <c r="BT863" s="30"/>
      <c r="BU863" s="30"/>
      <c r="BV863" s="30"/>
      <c r="BW863" s="30"/>
      <c r="BX863" s="30"/>
      <c r="BY863" s="30"/>
      <c r="BZ863" s="30"/>
      <c r="CA863" s="30"/>
      <c r="CB863" s="30"/>
      <c r="CC863" s="30"/>
      <c r="CD863" s="30"/>
      <c r="CE863" s="30"/>
      <c r="CF863" s="30"/>
      <c r="CG863" s="30"/>
      <c r="CH863" s="30"/>
      <c r="CI863" s="30"/>
      <c r="CJ863" s="30"/>
      <c r="CK863" s="30"/>
      <c r="CL863" s="30"/>
      <c r="CM863" s="30"/>
      <c r="CN863" s="30"/>
      <c r="CO863" s="30"/>
      <c r="CP863" s="30"/>
      <c r="CQ863" s="30"/>
      <c r="CR863" s="30"/>
      <c r="CS863" s="30"/>
      <c r="CT863" s="30"/>
      <c r="CU863" s="30"/>
      <c r="CV863" s="30"/>
      <c r="CW863" s="30"/>
      <c r="CX863" s="30"/>
      <c r="CY863" s="30"/>
      <c r="CZ863" s="30"/>
      <c r="DA863" s="30"/>
      <c r="DB863" s="30"/>
      <c r="DC863" s="30"/>
      <c r="DD863" s="30"/>
      <c r="DE863" s="30"/>
      <c r="DF863" s="30"/>
      <c r="DG863" s="30"/>
      <c r="DH863" s="30"/>
      <c r="DI863" s="30"/>
      <c r="DJ863" s="30"/>
      <c r="DK863" s="30"/>
      <c r="DL863" s="30"/>
      <c r="DM863" s="30"/>
      <c r="DN863" s="30"/>
      <c r="DO863" s="30"/>
      <c r="DP863" s="30"/>
      <c r="DQ863" s="30"/>
      <c r="DR863" s="30"/>
      <c r="DS863" s="30"/>
      <c r="DT863" s="30"/>
      <c r="DU863" s="30"/>
      <c r="DV863" s="30"/>
      <c r="DW863" s="30"/>
      <c r="DX863" s="30"/>
      <c r="DY863" s="30"/>
      <c r="DZ863" s="30"/>
    </row>
    <row r="864">
      <c r="A864" s="30"/>
      <c r="B864" s="42"/>
      <c r="C864" s="43"/>
      <c r="D864" s="30"/>
      <c r="E864" s="28"/>
      <c r="F864" s="30"/>
      <c r="G864" s="30"/>
      <c r="H864" s="30"/>
      <c r="I864" s="30"/>
      <c r="J864" s="28"/>
      <c r="K864" s="30"/>
      <c r="L864" s="30"/>
      <c r="M864" s="30"/>
      <c r="N864" s="30"/>
      <c r="O864" s="28"/>
      <c r="P864" s="30"/>
      <c r="Q864" s="30"/>
      <c r="R864" s="30"/>
      <c r="S864" s="36"/>
      <c r="T864" s="30"/>
      <c r="U864" s="36"/>
      <c r="V864" s="30"/>
      <c r="W864" s="28"/>
      <c r="X864" s="30"/>
      <c r="Y864" s="30"/>
      <c r="Z864" s="30"/>
      <c r="AA864" s="30"/>
      <c r="AB864" s="30"/>
      <c r="AC864" s="28"/>
      <c r="AD864" s="30"/>
      <c r="AE864" s="30"/>
      <c r="AF864" s="30"/>
      <c r="AG864" s="29"/>
      <c r="AH864" s="30"/>
      <c r="AI864" s="36"/>
      <c r="AJ864" s="30"/>
      <c r="AK864" s="29"/>
      <c r="AL864" s="30"/>
      <c r="AM864" s="30"/>
      <c r="AN864" s="30"/>
      <c r="AO864" s="30"/>
      <c r="AP864" s="30"/>
      <c r="AQ864" s="38"/>
      <c r="AR864" s="30"/>
      <c r="AS864" s="30"/>
      <c r="AT864" s="29"/>
      <c r="AU864" s="30"/>
      <c r="AV864" s="30"/>
      <c r="AW864" s="30"/>
      <c r="AX864" s="29"/>
      <c r="AY864" s="39"/>
      <c r="AZ864" s="30"/>
      <c r="BA864" s="30"/>
      <c r="BB864" s="29"/>
      <c r="BC864" s="52"/>
      <c r="BD864" s="30"/>
      <c r="BE864" s="29"/>
      <c r="BF864" s="30"/>
      <c r="BG864" s="30"/>
      <c r="BH864" s="30"/>
      <c r="BI864" s="30"/>
      <c r="BJ864" s="30"/>
      <c r="BK864" s="30"/>
      <c r="BL864" s="30"/>
      <c r="BM864" s="30"/>
      <c r="BN864" s="30"/>
      <c r="BO864" s="30"/>
      <c r="BP864" s="30"/>
      <c r="BQ864" s="30"/>
      <c r="BR864" s="30"/>
      <c r="BS864" s="30"/>
      <c r="BT864" s="30"/>
      <c r="BU864" s="30"/>
      <c r="BV864" s="30"/>
      <c r="BW864" s="30"/>
      <c r="BX864" s="30"/>
      <c r="BY864" s="30"/>
      <c r="BZ864" s="30"/>
      <c r="CA864" s="30"/>
      <c r="CB864" s="30"/>
      <c r="CC864" s="30"/>
      <c r="CD864" s="30"/>
      <c r="CE864" s="30"/>
      <c r="CF864" s="30"/>
      <c r="CG864" s="30"/>
      <c r="CH864" s="30"/>
      <c r="CI864" s="30"/>
      <c r="CJ864" s="30"/>
      <c r="CK864" s="30"/>
      <c r="CL864" s="30"/>
      <c r="CM864" s="30"/>
      <c r="CN864" s="30"/>
      <c r="CO864" s="30"/>
      <c r="CP864" s="30"/>
      <c r="CQ864" s="30"/>
      <c r="CR864" s="30"/>
      <c r="CS864" s="30"/>
      <c r="CT864" s="30"/>
      <c r="CU864" s="30"/>
      <c r="CV864" s="30"/>
      <c r="CW864" s="30"/>
      <c r="CX864" s="30"/>
      <c r="CY864" s="30"/>
      <c r="CZ864" s="30"/>
      <c r="DA864" s="30"/>
      <c r="DB864" s="30"/>
      <c r="DC864" s="30"/>
      <c r="DD864" s="30"/>
      <c r="DE864" s="30"/>
      <c r="DF864" s="30"/>
      <c r="DG864" s="30"/>
      <c r="DH864" s="30"/>
      <c r="DI864" s="30"/>
      <c r="DJ864" s="30"/>
      <c r="DK864" s="30"/>
      <c r="DL864" s="30"/>
      <c r="DM864" s="30"/>
      <c r="DN864" s="30"/>
      <c r="DO864" s="30"/>
      <c r="DP864" s="30"/>
      <c r="DQ864" s="30"/>
      <c r="DR864" s="30"/>
      <c r="DS864" s="30"/>
      <c r="DT864" s="30"/>
      <c r="DU864" s="30"/>
      <c r="DV864" s="30"/>
      <c r="DW864" s="30"/>
      <c r="DX864" s="30"/>
      <c r="DY864" s="30"/>
      <c r="DZ864" s="30"/>
    </row>
    <row r="865">
      <c r="A865" s="30"/>
      <c r="B865" s="42"/>
      <c r="C865" s="43"/>
      <c r="D865" s="30"/>
      <c r="E865" s="28"/>
      <c r="F865" s="30"/>
      <c r="G865" s="30"/>
      <c r="H865" s="30"/>
      <c r="I865" s="30"/>
      <c r="J865" s="28"/>
      <c r="K865" s="30"/>
      <c r="L865" s="30"/>
      <c r="M865" s="30"/>
      <c r="N865" s="30"/>
      <c r="O865" s="28"/>
      <c r="P865" s="30"/>
      <c r="Q865" s="30"/>
      <c r="R865" s="30"/>
      <c r="S865" s="36"/>
      <c r="T865" s="30"/>
      <c r="U865" s="36"/>
      <c r="V865" s="30"/>
      <c r="W865" s="28"/>
      <c r="X865" s="30"/>
      <c r="Y865" s="30"/>
      <c r="Z865" s="30"/>
      <c r="AA865" s="30"/>
      <c r="AB865" s="30"/>
      <c r="AC865" s="28"/>
      <c r="AD865" s="30"/>
      <c r="AE865" s="30"/>
      <c r="AF865" s="30"/>
      <c r="AG865" s="29"/>
      <c r="AH865" s="30"/>
      <c r="AI865" s="36"/>
      <c r="AJ865" s="30"/>
      <c r="AK865" s="29"/>
      <c r="AL865" s="30"/>
      <c r="AM865" s="30"/>
      <c r="AN865" s="30"/>
      <c r="AO865" s="30"/>
      <c r="AP865" s="30"/>
      <c r="AQ865" s="38"/>
      <c r="AR865" s="30"/>
      <c r="AS865" s="30"/>
      <c r="AT865" s="29"/>
      <c r="AU865" s="30"/>
      <c r="AV865" s="30"/>
      <c r="AW865" s="30"/>
      <c r="AX865" s="29"/>
      <c r="AY865" s="39"/>
      <c r="AZ865" s="30"/>
      <c r="BA865" s="30"/>
      <c r="BB865" s="29"/>
      <c r="BC865" s="52"/>
      <c r="BD865" s="30"/>
      <c r="BE865" s="29"/>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0"/>
      <c r="CF865" s="30"/>
      <c r="CG865" s="30"/>
      <c r="CH865" s="30"/>
      <c r="CI865" s="30"/>
      <c r="CJ865" s="30"/>
      <c r="CK865" s="30"/>
      <c r="CL865" s="30"/>
      <c r="CM865" s="30"/>
      <c r="CN865" s="30"/>
      <c r="CO865" s="30"/>
      <c r="CP865" s="30"/>
      <c r="CQ865" s="30"/>
      <c r="CR865" s="30"/>
      <c r="CS865" s="30"/>
      <c r="CT865" s="30"/>
      <c r="CU865" s="30"/>
      <c r="CV865" s="30"/>
      <c r="CW865" s="30"/>
      <c r="CX865" s="30"/>
      <c r="CY865" s="30"/>
      <c r="CZ865" s="30"/>
      <c r="DA865" s="30"/>
      <c r="DB865" s="30"/>
      <c r="DC865" s="30"/>
      <c r="DD865" s="30"/>
      <c r="DE865" s="30"/>
      <c r="DF865" s="30"/>
      <c r="DG865" s="30"/>
      <c r="DH865" s="30"/>
      <c r="DI865" s="30"/>
      <c r="DJ865" s="30"/>
      <c r="DK865" s="30"/>
      <c r="DL865" s="30"/>
      <c r="DM865" s="30"/>
      <c r="DN865" s="30"/>
      <c r="DO865" s="30"/>
      <c r="DP865" s="30"/>
      <c r="DQ865" s="30"/>
      <c r="DR865" s="30"/>
      <c r="DS865" s="30"/>
      <c r="DT865" s="30"/>
      <c r="DU865" s="30"/>
      <c r="DV865" s="30"/>
      <c r="DW865" s="30"/>
      <c r="DX865" s="30"/>
      <c r="DY865" s="30"/>
      <c r="DZ865" s="30"/>
    </row>
    <row r="866">
      <c r="A866" s="30"/>
      <c r="B866" s="42"/>
      <c r="C866" s="43"/>
      <c r="D866" s="30"/>
      <c r="E866" s="28"/>
      <c r="F866" s="30"/>
      <c r="G866" s="30"/>
      <c r="H866" s="30"/>
      <c r="I866" s="30"/>
      <c r="J866" s="28"/>
      <c r="K866" s="30"/>
      <c r="L866" s="30"/>
      <c r="M866" s="30"/>
      <c r="N866" s="30"/>
      <c r="O866" s="28"/>
      <c r="P866" s="30"/>
      <c r="Q866" s="30"/>
      <c r="R866" s="30"/>
      <c r="S866" s="36"/>
      <c r="T866" s="30"/>
      <c r="U866" s="36"/>
      <c r="V866" s="30"/>
      <c r="W866" s="28"/>
      <c r="X866" s="30"/>
      <c r="Y866" s="30"/>
      <c r="Z866" s="30"/>
      <c r="AA866" s="30"/>
      <c r="AB866" s="30"/>
      <c r="AC866" s="28"/>
      <c r="AD866" s="30"/>
      <c r="AE866" s="30"/>
      <c r="AF866" s="30"/>
      <c r="AG866" s="29"/>
      <c r="AH866" s="30"/>
      <c r="AI866" s="36"/>
      <c r="AJ866" s="30"/>
      <c r="AK866" s="29"/>
      <c r="AL866" s="30"/>
      <c r="AM866" s="30"/>
      <c r="AN866" s="30"/>
      <c r="AO866" s="30"/>
      <c r="AP866" s="30"/>
      <c r="AQ866" s="38"/>
      <c r="AR866" s="30"/>
      <c r="AS866" s="30"/>
      <c r="AT866" s="29"/>
      <c r="AU866" s="30"/>
      <c r="AV866" s="30"/>
      <c r="AW866" s="30"/>
      <c r="AX866" s="29"/>
      <c r="AY866" s="39"/>
      <c r="AZ866" s="30"/>
      <c r="BA866" s="30"/>
      <c r="BB866" s="29"/>
      <c r="BC866" s="52"/>
      <c r="BD866" s="30"/>
      <c r="BE866" s="29"/>
      <c r="BF866" s="30"/>
      <c r="BG866" s="30"/>
      <c r="BH866" s="30"/>
      <c r="BI866" s="30"/>
      <c r="BJ866" s="30"/>
      <c r="BK866" s="30"/>
      <c r="BL866" s="30"/>
      <c r="BM866" s="30"/>
      <c r="BN866" s="30"/>
      <c r="BO866" s="30"/>
      <c r="BP866" s="30"/>
      <c r="BQ866" s="30"/>
      <c r="BR866" s="30"/>
      <c r="BS866" s="30"/>
      <c r="BT866" s="30"/>
      <c r="BU866" s="30"/>
      <c r="BV866" s="30"/>
      <c r="BW866" s="30"/>
      <c r="BX866" s="30"/>
      <c r="BY866" s="30"/>
      <c r="BZ866" s="30"/>
      <c r="CA866" s="30"/>
      <c r="CB866" s="30"/>
      <c r="CC866" s="30"/>
      <c r="CD866" s="30"/>
      <c r="CE866" s="30"/>
      <c r="CF866" s="30"/>
      <c r="CG866" s="30"/>
      <c r="CH866" s="30"/>
      <c r="CI866" s="30"/>
      <c r="CJ866" s="30"/>
      <c r="CK866" s="30"/>
      <c r="CL866" s="30"/>
      <c r="CM866" s="30"/>
      <c r="CN866" s="30"/>
      <c r="CO866" s="30"/>
      <c r="CP866" s="30"/>
      <c r="CQ866" s="30"/>
      <c r="CR866" s="30"/>
      <c r="CS866" s="30"/>
      <c r="CT866" s="30"/>
      <c r="CU866" s="30"/>
      <c r="CV866" s="30"/>
      <c r="CW866" s="30"/>
      <c r="CX866" s="30"/>
      <c r="CY866" s="30"/>
      <c r="CZ866" s="30"/>
      <c r="DA866" s="30"/>
      <c r="DB866" s="30"/>
      <c r="DC866" s="30"/>
      <c r="DD866" s="30"/>
      <c r="DE866" s="30"/>
      <c r="DF866" s="30"/>
      <c r="DG866" s="30"/>
      <c r="DH866" s="30"/>
      <c r="DI866" s="30"/>
      <c r="DJ866" s="30"/>
      <c r="DK866" s="30"/>
      <c r="DL866" s="30"/>
      <c r="DM866" s="30"/>
      <c r="DN866" s="30"/>
      <c r="DO866" s="30"/>
      <c r="DP866" s="30"/>
      <c r="DQ866" s="30"/>
      <c r="DR866" s="30"/>
      <c r="DS866" s="30"/>
      <c r="DT866" s="30"/>
      <c r="DU866" s="30"/>
      <c r="DV866" s="30"/>
      <c r="DW866" s="30"/>
      <c r="DX866" s="30"/>
      <c r="DY866" s="30"/>
      <c r="DZ866" s="30"/>
    </row>
    <row r="867">
      <c r="A867" s="30"/>
      <c r="B867" s="42"/>
      <c r="C867" s="43"/>
      <c r="D867" s="30"/>
      <c r="E867" s="28"/>
      <c r="F867" s="30"/>
      <c r="G867" s="30"/>
      <c r="H867" s="30"/>
      <c r="I867" s="30"/>
      <c r="J867" s="28"/>
      <c r="K867" s="30"/>
      <c r="L867" s="30"/>
      <c r="M867" s="30"/>
      <c r="N867" s="30"/>
      <c r="O867" s="28"/>
      <c r="P867" s="30"/>
      <c r="Q867" s="30"/>
      <c r="R867" s="30"/>
      <c r="S867" s="36"/>
      <c r="T867" s="30"/>
      <c r="U867" s="36"/>
      <c r="V867" s="30"/>
      <c r="W867" s="28"/>
      <c r="X867" s="30"/>
      <c r="Y867" s="30"/>
      <c r="Z867" s="30"/>
      <c r="AA867" s="30"/>
      <c r="AB867" s="30"/>
      <c r="AC867" s="28"/>
      <c r="AD867" s="30"/>
      <c r="AE867" s="30"/>
      <c r="AF867" s="30"/>
      <c r="AG867" s="29"/>
      <c r="AH867" s="30"/>
      <c r="AI867" s="36"/>
      <c r="AJ867" s="30"/>
      <c r="AK867" s="29"/>
      <c r="AL867" s="30"/>
      <c r="AM867" s="30"/>
      <c r="AN867" s="30"/>
      <c r="AO867" s="30"/>
      <c r="AP867" s="30"/>
      <c r="AQ867" s="38"/>
      <c r="AR867" s="30"/>
      <c r="AS867" s="30"/>
      <c r="AT867" s="29"/>
      <c r="AU867" s="30"/>
      <c r="AV867" s="30"/>
      <c r="AW867" s="30"/>
      <c r="AX867" s="29"/>
      <c r="AY867" s="39"/>
      <c r="AZ867" s="30"/>
      <c r="BA867" s="30"/>
      <c r="BB867" s="29"/>
      <c r="BC867" s="52"/>
      <c r="BD867" s="30"/>
      <c r="BE867" s="29"/>
      <c r="BF867" s="30"/>
      <c r="BG867" s="30"/>
      <c r="BH867" s="30"/>
      <c r="BI867" s="30"/>
      <c r="BJ867" s="30"/>
      <c r="BK867" s="30"/>
      <c r="BL867" s="30"/>
      <c r="BM867" s="30"/>
      <c r="BN867" s="30"/>
      <c r="BO867" s="30"/>
      <c r="BP867" s="30"/>
      <c r="BQ867" s="30"/>
      <c r="BR867" s="30"/>
      <c r="BS867" s="30"/>
      <c r="BT867" s="30"/>
      <c r="BU867" s="30"/>
      <c r="BV867" s="30"/>
      <c r="BW867" s="30"/>
      <c r="BX867" s="30"/>
      <c r="BY867" s="30"/>
      <c r="BZ867" s="30"/>
      <c r="CA867" s="30"/>
      <c r="CB867" s="30"/>
      <c r="CC867" s="30"/>
      <c r="CD867" s="30"/>
      <c r="CE867" s="30"/>
      <c r="CF867" s="30"/>
      <c r="CG867" s="30"/>
      <c r="CH867" s="30"/>
      <c r="CI867" s="30"/>
      <c r="CJ867" s="30"/>
      <c r="CK867" s="30"/>
      <c r="CL867" s="30"/>
      <c r="CM867" s="30"/>
      <c r="CN867" s="30"/>
      <c r="CO867" s="30"/>
      <c r="CP867" s="30"/>
      <c r="CQ867" s="30"/>
      <c r="CR867" s="30"/>
      <c r="CS867" s="30"/>
      <c r="CT867" s="30"/>
      <c r="CU867" s="30"/>
      <c r="CV867" s="30"/>
      <c r="CW867" s="30"/>
      <c r="CX867" s="30"/>
      <c r="CY867" s="30"/>
      <c r="CZ867" s="30"/>
      <c r="DA867" s="30"/>
      <c r="DB867" s="30"/>
      <c r="DC867" s="30"/>
      <c r="DD867" s="30"/>
      <c r="DE867" s="30"/>
      <c r="DF867" s="30"/>
      <c r="DG867" s="30"/>
      <c r="DH867" s="30"/>
      <c r="DI867" s="30"/>
      <c r="DJ867" s="30"/>
      <c r="DK867" s="30"/>
      <c r="DL867" s="30"/>
      <c r="DM867" s="30"/>
      <c r="DN867" s="30"/>
      <c r="DO867" s="30"/>
      <c r="DP867" s="30"/>
      <c r="DQ867" s="30"/>
      <c r="DR867" s="30"/>
      <c r="DS867" s="30"/>
      <c r="DT867" s="30"/>
      <c r="DU867" s="30"/>
      <c r="DV867" s="30"/>
      <c r="DW867" s="30"/>
      <c r="DX867" s="30"/>
      <c r="DY867" s="30"/>
      <c r="DZ867" s="30"/>
    </row>
    <row r="868">
      <c r="A868" s="30"/>
      <c r="B868" s="42"/>
      <c r="C868" s="43"/>
      <c r="D868" s="30"/>
      <c r="E868" s="28"/>
      <c r="F868" s="30"/>
      <c r="G868" s="30"/>
      <c r="H868" s="30"/>
      <c r="I868" s="30"/>
      <c r="J868" s="28"/>
      <c r="K868" s="30"/>
      <c r="L868" s="30"/>
      <c r="M868" s="30"/>
      <c r="N868" s="30"/>
      <c r="O868" s="28"/>
      <c r="P868" s="30"/>
      <c r="Q868" s="30"/>
      <c r="R868" s="30"/>
      <c r="S868" s="36"/>
      <c r="T868" s="30"/>
      <c r="U868" s="36"/>
      <c r="V868" s="30"/>
      <c r="W868" s="28"/>
      <c r="X868" s="30"/>
      <c r="Y868" s="30"/>
      <c r="Z868" s="30"/>
      <c r="AA868" s="30"/>
      <c r="AB868" s="30"/>
      <c r="AC868" s="28"/>
      <c r="AD868" s="30"/>
      <c r="AE868" s="30"/>
      <c r="AF868" s="30"/>
      <c r="AG868" s="29"/>
      <c r="AH868" s="30"/>
      <c r="AI868" s="36"/>
      <c r="AJ868" s="30"/>
      <c r="AK868" s="29"/>
      <c r="AL868" s="30"/>
      <c r="AM868" s="30"/>
      <c r="AN868" s="30"/>
      <c r="AO868" s="30"/>
      <c r="AP868" s="30"/>
      <c r="AQ868" s="38"/>
      <c r="AR868" s="30"/>
      <c r="AS868" s="30"/>
      <c r="AT868" s="29"/>
      <c r="AU868" s="30"/>
      <c r="AV868" s="30"/>
      <c r="AW868" s="30"/>
      <c r="AX868" s="29"/>
      <c r="AY868" s="39"/>
      <c r="AZ868" s="30"/>
      <c r="BA868" s="30"/>
      <c r="BB868" s="29"/>
      <c r="BC868" s="52"/>
      <c r="BD868" s="30"/>
      <c r="BE868" s="29"/>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c r="CB868" s="30"/>
      <c r="CC868" s="30"/>
      <c r="CD868" s="30"/>
      <c r="CE868" s="30"/>
      <c r="CF868" s="30"/>
      <c r="CG868" s="30"/>
      <c r="CH868" s="30"/>
      <c r="CI868" s="30"/>
      <c r="CJ868" s="30"/>
      <c r="CK868" s="30"/>
      <c r="CL868" s="30"/>
      <c r="CM868" s="30"/>
      <c r="CN868" s="30"/>
      <c r="CO868" s="30"/>
      <c r="CP868" s="30"/>
      <c r="CQ868" s="30"/>
      <c r="CR868" s="30"/>
      <c r="CS868" s="30"/>
      <c r="CT868" s="30"/>
      <c r="CU868" s="30"/>
      <c r="CV868" s="30"/>
      <c r="CW868" s="30"/>
      <c r="CX868" s="30"/>
      <c r="CY868" s="30"/>
      <c r="CZ868" s="30"/>
      <c r="DA868" s="30"/>
      <c r="DB868" s="30"/>
      <c r="DC868" s="30"/>
      <c r="DD868" s="30"/>
      <c r="DE868" s="30"/>
      <c r="DF868" s="30"/>
      <c r="DG868" s="30"/>
      <c r="DH868" s="30"/>
      <c r="DI868" s="30"/>
      <c r="DJ868" s="30"/>
      <c r="DK868" s="30"/>
      <c r="DL868" s="30"/>
      <c r="DM868" s="30"/>
      <c r="DN868" s="30"/>
      <c r="DO868" s="30"/>
      <c r="DP868" s="30"/>
      <c r="DQ868" s="30"/>
      <c r="DR868" s="30"/>
      <c r="DS868" s="30"/>
      <c r="DT868" s="30"/>
      <c r="DU868" s="30"/>
      <c r="DV868" s="30"/>
      <c r="DW868" s="30"/>
      <c r="DX868" s="30"/>
      <c r="DY868" s="30"/>
      <c r="DZ868" s="30"/>
    </row>
    <row r="869">
      <c r="A869" s="30"/>
      <c r="B869" s="42"/>
      <c r="C869" s="43"/>
      <c r="D869" s="30"/>
      <c r="E869" s="28"/>
      <c r="F869" s="30"/>
      <c r="G869" s="30"/>
      <c r="H869" s="30"/>
      <c r="I869" s="30"/>
      <c r="J869" s="28"/>
      <c r="K869" s="30"/>
      <c r="L869" s="30"/>
      <c r="M869" s="30"/>
      <c r="N869" s="30"/>
      <c r="O869" s="28"/>
      <c r="P869" s="30"/>
      <c r="Q869" s="30"/>
      <c r="R869" s="30"/>
      <c r="S869" s="36"/>
      <c r="T869" s="30"/>
      <c r="U869" s="36"/>
      <c r="V869" s="30"/>
      <c r="W869" s="28"/>
      <c r="X869" s="30"/>
      <c r="Y869" s="30"/>
      <c r="Z869" s="30"/>
      <c r="AA869" s="30"/>
      <c r="AB869" s="30"/>
      <c r="AC869" s="28"/>
      <c r="AD869" s="30"/>
      <c r="AE869" s="30"/>
      <c r="AF869" s="30"/>
      <c r="AG869" s="29"/>
      <c r="AH869" s="30"/>
      <c r="AI869" s="36"/>
      <c r="AJ869" s="30"/>
      <c r="AK869" s="29"/>
      <c r="AL869" s="30"/>
      <c r="AM869" s="30"/>
      <c r="AN869" s="30"/>
      <c r="AO869" s="30"/>
      <c r="AP869" s="30"/>
      <c r="AQ869" s="38"/>
      <c r="AR869" s="30"/>
      <c r="AS869" s="30"/>
      <c r="AT869" s="29"/>
      <c r="AU869" s="30"/>
      <c r="AV869" s="30"/>
      <c r="AW869" s="30"/>
      <c r="AX869" s="29"/>
      <c r="AY869" s="39"/>
      <c r="AZ869" s="30"/>
      <c r="BA869" s="30"/>
      <c r="BB869" s="29"/>
      <c r="BC869" s="52"/>
      <c r="BD869" s="30"/>
      <c r="BE869" s="29"/>
      <c r="BF869" s="30"/>
      <c r="BG869" s="30"/>
      <c r="BH869" s="30"/>
      <c r="BI869" s="30"/>
      <c r="BJ869" s="30"/>
      <c r="BK869" s="30"/>
      <c r="BL869" s="30"/>
      <c r="BM869" s="30"/>
      <c r="BN869" s="30"/>
      <c r="BO869" s="30"/>
      <c r="BP869" s="30"/>
      <c r="BQ869" s="30"/>
      <c r="BR869" s="30"/>
      <c r="BS869" s="30"/>
      <c r="BT869" s="30"/>
      <c r="BU869" s="30"/>
      <c r="BV869" s="30"/>
      <c r="BW869" s="30"/>
      <c r="BX869" s="30"/>
      <c r="BY869" s="30"/>
      <c r="BZ869" s="30"/>
      <c r="CA869" s="30"/>
      <c r="CB869" s="30"/>
      <c r="CC869" s="30"/>
      <c r="CD869" s="30"/>
      <c r="CE869" s="30"/>
      <c r="CF869" s="30"/>
      <c r="CG869" s="30"/>
      <c r="CH869" s="30"/>
      <c r="CI869" s="30"/>
      <c r="CJ869" s="30"/>
      <c r="CK869" s="30"/>
      <c r="CL869" s="30"/>
      <c r="CM869" s="30"/>
      <c r="CN869" s="30"/>
      <c r="CO869" s="30"/>
      <c r="CP869" s="30"/>
      <c r="CQ869" s="30"/>
      <c r="CR869" s="30"/>
      <c r="CS869" s="30"/>
      <c r="CT869" s="30"/>
      <c r="CU869" s="30"/>
      <c r="CV869" s="30"/>
      <c r="CW869" s="30"/>
      <c r="CX869" s="30"/>
      <c r="CY869" s="30"/>
      <c r="CZ869" s="30"/>
      <c r="DA869" s="30"/>
      <c r="DB869" s="30"/>
      <c r="DC869" s="30"/>
      <c r="DD869" s="30"/>
      <c r="DE869" s="30"/>
      <c r="DF869" s="30"/>
      <c r="DG869" s="30"/>
      <c r="DH869" s="30"/>
      <c r="DI869" s="30"/>
      <c r="DJ869" s="30"/>
      <c r="DK869" s="30"/>
      <c r="DL869" s="30"/>
      <c r="DM869" s="30"/>
      <c r="DN869" s="30"/>
      <c r="DO869" s="30"/>
      <c r="DP869" s="30"/>
      <c r="DQ869" s="30"/>
      <c r="DR869" s="30"/>
      <c r="DS869" s="30"/>
      <c r="DT869" s="30"/>
      <c r="DU869" s="30"/>
      <c r="DV869" s="30"/>
      <c r="DW869" s="30"/>
      <c r="DX869" s="30"/>
      <c r="DY869" s="30"/>
      <c r="DZ869" s="30"/>
    </row>
    <row r="870">
      <c r="A870" s="30"/>
      <c r="B870" s="42"/>
      <c r="C870" s="43"/>
      <c r="D870" s="30"/>
      <c r="E870" s="28"/>
      <c r="F870" s="30"/>
      <c r="G870" s="30"/>
      <c r="H870" s="30"/>
      <c r="I870" s="30"/>
      <c r="J870" s="28"/>
      <c r="K870" s="30"/>
      <c r="L870" s="30"/>
      <c r="M870" s="30"/>
      <c r="N870" s="30"/>
      <c r="O870" s="28"/>
      <c r="P870" s="30"/>
      <c r="Q870" s="30"/>
      <c r="R870" s="30"/>
      <c r="S870" s="36"/>
      <c r="T870" s="30"/>
      <c r="U870" s="36"/>
      <c r="V870" s="30"/>
      <c r="W870" s="28"/>
      <c r="X870" s="30"/>
      <c r="Y870" s="30"/>
      <c r="Z870" s="30"/>
      <c r="AA870" s="30"/>
      <c r="AB870" s="30"/>
      <c r="AC870" s="28"/>
      <c r="AD870" s="30"/>
      <c r="AE870" s="30"/>
      <c r="AF870" s="30"/>
      <c r="AG870" s="29"/>
      <c r="AH870" s="30"/>
      <c r="AI870" s="36"/>
      <c r="AJ870" s="30"/>
      <c r="AK870" s="29"/>
      <c r="AL870" s="30"/>
      <c r="AM870" s="30"/>
      <c r="AN870" s="30"/>
      <c r="AO870" s="30"/>
      <c r="AP870" s="30"/>
      <c r="AQ870" s="38"/>
      <c r="AR870" s="30"/>
      <c r="AS870" s="30"/>
      <c r="AT870" s="29"/>
      <c r="AU870" s="30"/>
      <c r="AV870" s="30"/>
      <c r="AW870" s="30"/>
      <c r="AX870" s="29"/>
      <c r="AY870" s="39"/>
      <c r="AZ870" s="30"/>
      <c r="BA870" s="30"/>
      <c r="BB870" s="29"/>
      <c r="BC870" s="52"/>
      <c r="BD870" s="30"/>
      <c r="BE870" s="29"/>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c r="CB870" s="30"/>
      <c r="CC870" s="30"/>
      <c r="CD870" s="30"/>
      <c r="CE870" s="30"/>
      <c r="CF870" s="30"/>
      <c r="CG870" s="30"/>
      <c r="CH870" s="30"/>
      <c r="CI870" s="30"/>
      <c r="CJ870" s="30"/>
      <c r="CK870" s="30"/>
      <c r="CL870" s="30"/>
      <c r="CM870" s="30"/>
      <c r="CN870" s="30"/>
      <c r="CO870" s="30"/>
      <c r="CP870" s="30"/>
      <c r="CQ870" s="30"/>
      <c r="CR870" s="30"/>
      <c r="CS870" s="30"/>
      <c r="CT870" s="30"/>
      <c r="CU870" s="30"/>
      <c r="CV870" s="30"/>
      <c r="CW870" s="30"/>
      <c r="CX870" s="30"/>
      <c r="CY870" s="30"/>
      <c r="CZ870" s="30"/>
      <c r="DA870" s="30"/>
      <c r="DB870" s="30"/>
      <c r="DC870" s="30"/>
      <c r="DD870" s="30"/>
      <c r="DE870" s="30"/>
      <c r="DF870" s="30"/>
      <c r="DG870" s="30"/>
      <c r="DH870" s="30"/>
      <c r="DI870" s="30"/>
      <c r="DJ870" s="30"/>
      <c r="DK870" s="30"/>
      <c r="DL870" s="30"/>
      <c r="DM870" s="30"/>
      <c r="DN870" s="30"/>
      <c r="DO870" s="30"/>
      <c r="DP870" s="30"/>
      <c r="DQ870" s="30"/>
      <c r="DR870" s="30"/>
      <c r="DS870" s="30"/>
      <c r="DT870" s="30"/>
      <c r="DU870" s="30"/>
      <c r="DV870" s="30"/>
      <c r="DW870" s="30"/>
      <c r="DX870" s="30"/>
      <c r="DY870" s="30"/>
      <c r="DZ870" s="30"/>
    </row>
    <row r="871">
      <c r="A871" s="30"/>
      <c r="B871" s="42"/>
      <c r="C871" s="43"/>
      <c r="D871" s="30"/>
      <c r="E871" s="28"/>
      <c r="F871" s="30"/>
      <c r="G871" s="30"/>
      <c r="H871" s="30"/>
      <c r="I871" s="30"/>
      <c r="J871" s="28"/>
      <c r="K871" s="30"/>
      <c r="L871" s="30"/>
      <c r="M871" s="30"/>
      <c r="N871" s="30"/>
      <c r="O871" s="28"/>
      <c r="P871" s="30"/>
      <c r="Q871" s="30"/>
      <c r="R871" s="30"/>
      <c r="S871" s="36"/>
      <c r="T871" s="30"/>
      <c r="U871" s="36"/>
      <c r="V871" s="30"/>
      <c r="W871" s="28"/>
      <c r="X871" s="30"/>
      <c r="Y871" s="30"/>
      <c r="Z871" s="30"/>
      <c r="AA871" s="30"/>
      <c r="AB871" s="30"/>
      <c r="AC871" s="28"/>
      <c r="AD871" s="30"/>
      <c r="AE871" s="30"/>
      <c r="AF871" s="30"/>
      <c r="AG871" s="29"/>
      <c r="AH871" s="30"/>
      <c r="AI871" s="36"/>
      <c r="AJ871" s="30"/>
      <c r="AK871" s="29"/>
      <c r="AL871" s="30"/>
      <c r="AM871" s="30"/>
      <c r="AN871" s="30"/>
      <c r="AO871" s="30"/>
      <c r="AP871" s="30"/>
      <c r="AQ871" s="38"/>
      <c r="AR871" s="30"/>
      <c r="AS871" s="30"/>
      <c r="AT871" s="29"/>
      <c r="AU871" s="30"/>
      <c r="AV871" s="30"/>
      <c r="AW871" s="30"/>
      <c r="AX871" s="29"/>
      <c r="AY871" s="39"/>
      <c r="AZ871" s="30"/>
      <c r="BA871" s="30"/>
      <c r="BB871" s="29"/>
      <c r="BC871" s="52"/>
      <c r="BD871" s="30"/>
      <c r="BE871" s="29"/>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c r="CB871" s="30"/>
      <c r="CC871" s="30"/>
      <c r="CD871" s="30"/>
      <c r="CE871" s="30"/>
      <c r="CF871" s="30"/>
      <c r="CG871" s="30"/>
      <c r="CH871" s="30"/>
      <c r="CI871" s="30"/>
      <c r="CJ871" s="30"/>
      <c r="CK871" s="30"/>
      <c r="CL871" s="30"/>
      <c r="CM871" s="30"/>
      <c r="CN871" s="30"/>
      <c r="CO871" s="30"/>
      <c r="CP871" s="30"/>
      <c r="CQ871" s="30"/>
      <c r="CR871" s="30"/>
      <c r="CS871" s="30"/>
      <c r="CT871" s="30"/>
      <c r="CU871" s="30"/>
      <c r="CV871" s="30"/>
      <c r="CW871" s="30"/>
      <c r="CX871" s="30"/>
      <c r="CY871" s="30"/>
      <c r="CZ871" s="30"/>
      <c r="DA871" s="30"/>
      <c r="DB871" s="30"/>
      <c r="DC871" s="30"/>
      <c r="DD871" s="30"/>
      <c r="DE871" s="30"/>
      <c r="DF871" s="30"/>
      <c r="DG871" s="30"/>
      <c r="DH871" s="30"/>
      <c r="DI871" s="30"/>
      <c r="DJ871" s="30"/>
      <c r="DK871" s="30"/>
      <c r="DL871" s="30"/>
      <c r="DM871" s="30"/>
      <c r="DN871" s="30"/>
      <c r="DO871" s="30"/>
      <c r="DP871" s="30"/>
      <c r="DQ871" s="30"/>
      <c r="DR871" s="30"/>
      <c r="DS871" s="30"/>
      <c r="DT871" s="30"/>
      <c r="DU871" s="30"/>
      <c r="DV871" s="30"/>
      <c r="DW871" s="30"/>
      <c r="DX871" s="30"/>
      <c r="DY871" s="30"/>
      <c r="DZ871" s="30"/>
    </row>
    <row r="872">
      <c r="A872" s="30"/>
      <c r="B872" s="42"/>
      <c r="C872" s="43"/>
      <c r="D872" s="30"/>
      <c r="E872" s="28"/>
      <c r="F872" s="30"/>
      <c r="G872" s="30"/>
      <c r="H872" s="30"/>
      <c r="I872" s="30"/>
      <c r="J872" s="28"/>
      <c r="K872" s="30"/>
      <c r="L872" s="30"/>
      <c r="M872" s="30"/>
      <c r="N872" s="30"/>
      <c r="O872" s="28"/>
      <c r="P872" s="30"/>
      <c r="Q872" s="30"/>
      <c r="R872" s="30"/>
      <c r="S872" s="36"/>
      <c r="T872" s="30"/>
      <c r="U872" s="36"/>
      <c r="V872" s="30"/>
      <c r="W872" s="28"/>
      <c r="X872" s="30"/>
      <c r="Y872" s="30"/>
      <c r="Z872" s="30"/>
      <c r="AA872" s="30"/>
      <c r="AB872" s="30"/>
      <c r="AC872" s="28"/>
      <c r="AD872" s="30"/>
      <c r="AE872" s="30"/>
      <c r="AF872" s="30"/>
      <c r="AG872" s="29"/>
      <c r="AH872" s="30"/>
      <c r="AI872" s="36"/>
      <c r="AJ872" s="30"/>
      <c r="AK872" s="29"/>
      <c r="AL872" s="30"/>
      <c r="AM872" s="30"/>
      <c r="AN872" s="30"/>
      <c r="AO872" s="30"/>
      <c r="AP872" s="30"/>
      <c r="AQ872" s="38"/>
      <c r="AR872" s="30"/>
      <c r="AS872" s="30"/>
      <c r="AT872" s="29"/>
      <c r="AU872" s="30"/>
      <c r="AV872" s="30"/>
      <c r="AW872" s="30"/>
      <c r="AX872" s="29"/>
      <c r="AY872" s="39"/>
      <c r="AZ872" s="30"/>
      <c r="BA872" s="30"/>
      <c r="BB872" s="29"/>
      <c r="BC872" s="52"/>
      <c r="BD872" s="30"/>
      <c r="BE872" s="29"/>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row>
    <row r="873">
      <c r="A873" s="30"/>
      <c r="B873" s="42"/>
      <c r="C873" s="43"/>
      <c r="D873" s="30"/>
      <c r="E873" s="28"/>
      <c r="F873" s="30"/>
      <c r="G873" s="30"/>
      <c r="H873" s="30"/>
      <c r="I873" s="30"/>
      <c r="J873" s="28"/>
      <c r="K873" s="30"/>
      <c r="L873" s="30"/>
      <c r="M873" s="30"/>
      <c r="N873" s="30"/>
      <c r="O873" s="28"/>
      <c r="P873" s="30"/>
      <c r="Q873" s="30"/>
      <c r="R873" s="30"/>
      <c r="S873" s="36"/>
      <c r="T873" s="30"/>
      <c r="U873" s="36"/>
      <c r="V873" s="30"/>
      <c r="W873" s="28"/>
      <c r="X873" s="30"/>
      <c r="Y873" s="30"/>
      <c r="Z873" s="30"/>
      <c r="AA873" s="30"/>
      <c r="AB873" s="30"/>
      <c r="AC873" s="28"/>
      <c r="AD873" s="30"/>
      <c r="AE873" s="30"/>
      <c r="AF873" s="30"/>
      <c r="AG873" s="29"/>
      <c r="AH873" s="30"/>
      <c r="AI873" s="36"/>
      <c r="AJ873" s="30"/>
      <c r="AK873" s="29"/>
      <c r="AL873" s="30"/>
      <c r="AM873" s="30"/>
      <c r="AN873" s="30"/>
      <c r="AO873" s="30"/>
      <c r="AP873" s="30"/>
      <c r="AQ873" s="38"/>
      <c r="AR873" s="30"/>
      <c r="AS873" s="30"/>
      <c r="AT873" s="29"/>
      <c r="AU873" s="30"/>
      <c r="AV873" s="30"/>
      <c r="AW873" s="30"/>
      <c r="AX873" s="29"/>
      <c r="AY873" s="39"/>
      <c r="AZ873" s="30"/>
      <c r="BA873" s="30"/>
      <c r="BB873" s="29"/>
      <c r="BC873" s="52"/>
      <c r="BD873" s="30"/>
      <c r="BE873" s="29"/>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c r="CB873" s="30"/>
      <c r="CC873" s="30"/>
      <c r="CD873" s="30"/>
      <c r="CE873" s="30"/>
      <c r="CF873" s="30"/>
      <c r="CG873" s="30"/>
      <c r="CH873" s="30"/>
      <c r="CI873" s="30"/>
      <c r="CJ873" s="30"/>
      <c r="CK873" s="30"/>
      <c r="CL873" s="30"/>
      <c r="CM873" s="30"/>
      <c r="CN873" s="30"/>
      <c r="CO873" s="30"/>
      <c r="CP873" s="30"/>
      <c r="CQ873" s="30"/>
      <c r="CR873" s="30"/>
      <c r="CS873" s="30"/>
      <c r="CT873" s="30"/>
      <c r="CU873" s="30"/>
      <c r="CV873" s="30"/>
      <c r="CW873" s="30"/>
      <c r="CX873" s="30"/>
      <c r="CY873" s="30"/>
      <c r="CZ873" s="30"/>
      <c r="DA873" s="30"/>
      <c r="DB873" s="30"/>
      <c r="DC873" s="30"/>
      <c r="DD873" s="30"/>
      <c r="DE873" s="30"/>
      <c r="DF873" s="30"/>
      <c r="DG873" s="30"/>
      <c r="DH873" s="30"/>
      <c r="DI873" s="30"/>
      <c r="DJ873" s="30"/>
      <c r="DK873" s="30"/>
      <c r="DL873" s="30"/>
      <c r="DM873" s="30"/>
      <c r="DN873" s="30"/>
      <c r="DO873" s="30"/>
      <c r="DP873" s="30"/>
      <c r="DQ873" s="30"/>
      <c r="DR873" s="30"/>
      <c r="DS873" s="30"/>
      <c r="DT873" s="30"/>
      <c r="DU873" s="30"/>
      <c r="DV873" s="30"/>
      <c r="DW873" s="30"/>
      <c r="DX873" s="30"/>
      <c r="DY873" s="30"/>
      <c r="DZ873" s="30"/>
    </row>
    <row r="874">
      <c r="A874" s="30"/>
      <c r="B874" s="42"/>
      <c r="C874" s="43"/>
      <c r="D874" s="30"/>
      <c r="E874" s="28"/>
      <c r="F874" s="30"/>
      <c r="G874" s="30"/>
      <c r="H874" s="30"/>
      <c r="I874" s="30"/>
      <c r="J874" s="28"/>
      <c r="K874" s="30"/>
      <c r="L874" s="30"/>
      <c r="M874" s="30"/>
      <c r="N874" s="30"/>
      <c r="O874" s="28"/>
      <c r="P874" s="30"/>
      <c r="Q874" s="30"/>
      <c r="R874" s="30"/>
      <c r="S874" s="36"/>
      <c r="T874" s="30"/>
      <c r="U874" s="36"/>
      <c r="V874" s="30"/>
      <c r="W874" s="28"/>
      <c r="X874" s="30"/>
      <c r="Y874" s="30"/>
      <c r="Z874" s="30"/>
      <c r="AA874" s="30"/>
      <c r="AB874" s="30"/>
      <c r="AC874" s="28"/>
      <c r="AD874" s="30"/>
      <c r="AE874" s="30"/>
      <c r="AF874" s="30"/>
      <c r="AG874" s="29"/>
      <c r="AH874" s="30"/>
      <c r="AI874" s="36"/>
      <c r="AJ874" s="30"/>
      <c r="AK874" s="29"/>
      <c r="AL874" s="30"/>
      <c r="AM874" s="30"/>
      <c r="AN874" s="30"/>
      <c r="AO874" s="30"/>
      <c r="AP874" s="30"/>
      <c r="AQ874" s="38"/>
      <c r="AR874" s="30"/>
      <c r="AS874" s="30"/>
      <c r="AT874" s="29"/>
      <c r="AU874" s="30"/>
      <c r="AV874" s="30"/>
      <c r="AW874" s="30"/>
      <c r="AX874" s="29"/>
      <c r="AY874" s="39"/>
      <c r="AZ874" s="30"/>
      <c r="BA874" s="30"/>
      <c r="BB874" s="29"/>
      <c r="BC874" s="52"/>
      <c r="BD874" s="30"/>
      <c r="BE874" s="29"/>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c r="CB874" s="30"/>
      <c r="CC874" s="30"/>
      <c r="CD874" s="30"/>
      <c r="CE874" s="30"/>
      <c r="CF874" s="30"/>
      <c r="CG874" s="30"/>
      <c r="CH874" s="30"/>
      <c r="CI874" s="30"/>
      <c r="CJ874" s="30"/>
      <c r="CK874" s="30"/>
      <c r="CL874" s="30"/>
      <c r="CM874" s="30"/>
      <c r="CN874" s="30"/>
      <c r="CO874" s="30"/>
      <c r="CP874" s="30"/>
      <c r="CQ874" s="30"/>
      <c r="CR874" s="30"/>
      <c r="CS874" s="30"/>
      <c r="CT874" s="30"/>
      <c r="CU874" s="30"/>
      <c r="CV874" s="30"/>
      <c r="CW874" s="30"/>
      <c r="CX874" s="30"/>
      <c r="CY874" s="30"/>
      <c r="CZ874" s="30"/>
      <c r="DA874" s="30"/>
      <c r="DB874" s="30"/>
      <c r="DC874" s="30"/>
      <c r="DD874" s="30"/>
      <c r="DE874" s="30"/>
      <c r="DF874" s="30"/>
      <c r="DG874" s="30"/>
      <c r="DH874" s="30"/>
      <c r="DI874" s="30"/>
      <c r="DJ874" s="30"/>
      <c r="DK874" s="30"/>
      <c r="DL874" s="30"/>
      <c r="DM874" s="30"/>
      <c r="DN874" s="30"/>
      <c r="DO874" s="30"/>
      <c r="DP874" s="30"/>
      <c r="DQ874" s="30"/>
      <c r="DR874" s="30"/>
      <c r="DS874" s="30"/>
      <c r="DT874" s="30"/>
      <c r="DU874" s="30"/>
      <c r="DV874" s="30"/>
      <c r="DW874" s="30"/>
      <c r="DX874" s="30"/>
      <c r="DY874" s="30"/>
      <c r="DZ874" s="30"/>
    </row>
    <row r="875">
      <c r="A875" s="30"/>
      <c r="B875" s="42"/>
      <c r="C875" s="43"/>
      <c r="D875" s="30"/>
      <c r="E875" s="28"/>
      <c r="F875" s="30"/>
      <c r="G875" s="30"/>
      <c r="H875" s="30"/>
      <c r="I875" s="30"/>
      <c r="J875" s="28"/>
      <c r="K875" s="30"/>
      <c r="L875" s="30"/>
      <c r="M875" s="30"/>
      <c r="N875" s="30"/>
      <c r="O875" s="28"/>
      <c r="P875" s="30"/>
      <c r="Q875" s="30"/>
      <c r="R875" s="30"/>
      <c r="S875" s="36"/>
      <c r="T875" s="30"/>
      <c r="U875" s="36"/>
      <c r="V875" s="30"/>
      <c r="W875" s="28"/>
      <c r="X875" s="30"/>
      <c r="Y875" s="30"/>
      <c r="Z875" s="30"/>
      <c r="AA875" s="30"/>
      <c r="AB875" s="30"/>
      <c r="AC875" s="28"/>
      <c r="AD875" s="30"/>
      <c r="AE875" s="30"/>
      <c r="AF875" s="30"/>
      <c r="AG875" s="29"/>
      <c r="AH875" s="30"/>
      <c r="AI875" s="36"/>
      <c r="AJ875" s="30"/>
      <c r="AK875" s="29"/>
      <c r="AL875" s="30"/>
      <c r="AM875" s="30"/>
      <c r="AN875" s="30"/>
      <c r="AO875" s="30"/>
      <c r="AP875" s="30"/>
      <c r="AQ875" s="38"/>
      <c r="AR875" s="30"/>
      <c r="AS875" s="30"/>
      <c r="AT875" s="29"/>
      <c r="AU875" s="30"/>
      <c r="AV875" s="30"/>
      <c r="AW875" s="30"/>
      <c r="AX875" s="29"/>
      <c r="AY875" s="39"/>
      <c r="AZ875" s="30"/>
      <c r="BA875" s="30"/>
      <c r="BB875" s="29"/>
      <c r="BC875" s="52"/>
      <c r="BD875" s="30"/>
      <c r="BE875" s="29"/>
      <c r="BF875" s="30"/>
      <c r="BG875" s="30"/>
      <c r="BH875" s="30"/>
      <c r="BI875" s="30"/>
      <c r="BJ875" s="30"/>
      <c r="BK875" s="30"/>
      <c r="BL875" s="30"/>
      <c r="BM875" s="30"/>
      <c r="BN875" s="30"/>
      <c r="BO875" s="30"/>
      <c r="BP875" s="30"/>
      <c r="BQ875" s="30"/>
      <c r="BR875" s="30"/>
      <c r="BS875" s="30"/>
      <c r="BT875" s="30"/>
      <c r="BU875" s="30"/>
      <c r="BV875" s="30"/>
      <c r="BW875" s="30"/>
      <c r="BX875" s="30"/>
      <c r="BY875" s="30"/>
      <c r="BZ875" s="30"/>
      <c r="CA875" s="30"/>
      <c r="CB875" s="30"/>
      <c r="CC875" s="30"/>
      <c r="CD875" s="30"/>
      <c r="CE875" s="30"/>
      <c r="CF875" s="30"/>
      <c r="CG875" s="30"/>
      <c r="CH875" s="30"/>
      <c r="CI875" s="30"/>
      <c r="CJ875" s="30"/>
      <c r="CK875" s="30"/>
      <c r="CL875" s="30"/>
      <c r="CM875" s="30"/>
      <c r="CN875" s="30"/>
      <c r="CO875" s="30"/>
      <c r="CP875" s="30"/>
      <c r="CQ875" s="30"/>
      <c r="CR875" s="30"/>
      <c r="CS875" s="30"/>
      <c r="CT875" s="30"/>
      <c r="CU875" s="30"/>
      <c r="CV875" s="30"/>
      <c r="CW875" s="30"/>
      <c r="CX875" s="30"/>
      <c r="CY875" s="30"/>
      <c r="CZ875" s="30"/>
      <c r="DA875" s="30"/>
      <c r="DB875" s="30"/>
      <c r="DC875" s="30"/>
      <c r="DD875" s="30"/>
      <c r="DE875" s="30"/>
      <c r="DF875" s="30"/>
      <c r="DG875" s="30"/>
      <c r="DH875" s="30"/>
      <c r="DI875" s="30"/>
      <c r="DJ875" s="30"/>
      <c r="DK875" s="30"/>
      <c r="DL875" s="30"/>
      <c r="DM875" s="30"/>
      <c r="DN875" s="30"/>
      <c r="DO875" s="30"/>
      <c r="DP875" s="30"/>
      <c r="DQ875" s="30"/>
      <c r="DR875" s="30"/>
      <c r="DS875" s="30"/>
      <c r="DT875" s="30"/>
      <c r="DU875" s="30"/>
      <c r="DV875" s="30"/>
      <c r="DW875" s="30"/>
      <c r="DX875" s="30"/>
      <c r="DY875" s="30"/>
      <c r="DZ875" s="30"/>
    </row>
    <row r="876">
      <c r="A876" s="30"/>
      <c r="B876" s="42"/>
      <c r="C876" s="43"/>
      <c r="D876" s="30"/>
      <c r="E876" s="28"/>
      <c r="F876" s="30"/>
      <c r="G876" s="30"/>
      <c r="H876" s="30"/>
      <c r="I876" s="30"/>
      <c r="J876" s="28"/>
      <c r="K876" s="30"/>
      <c r="L876" s="30"/>
      <c r="M876" s="30"/>
      <c r="N876" s="30"/>
      <c r="O876" s="28"/>
      <c r="P876" s="30"/>
      <c r="Q876" s="30"/>
      <c r="R876" s="30"/>
      <c r="S876" s="36"/>
      <c r="T876" s="30"/>
      <c r="U876" s="36"/>
      <c r="V876" s="30"/>
      <c r="W876" s="28"/>
      <c r="X876" s="30"/>
      <c r="Y876" s="30"/>
      <c r="Z876" s="30"/>
      <c r="AA876" s="30"/>
      <c r="AB876" s="30"/>
      <c r="AC876" s="28"/>
      <c r="AD876" s="30"/>
      <c r="AE876" s="30"/>
      <c r="AF876" s="30"/>
      <c r="AG876" s="29"/>
      <c r="AH876" s="30"/>
      <c r="AI876" s="36"/>
      <c r="AJ876" s="30"/>
      <c r="AK876" s="29"/>
      <c r="AL876" s="30"/>
      <c r="AM876" s="30"/>
      <c r="AN876" s="30"/>
      <c r="AO876" s="30"/>
      <c r="AP876" s="30"/>
      <c r="AQ876" s="38"/>
      <c r="AR876" s="30"/>
      <c r="AS876" s="30"/>
      <c r="AT876" s="29"/>
      <c r="AU876" s="30"/>
      <c r="AV876" s="30"/>
      <c r="AW876" s="30"/>
      <c r="AX876" s="29"/>
      <c r="AY876" s="39"/>
      <c r="AZ876" s="30"/>
      <c r="BA876" s="30"/>
      <c r="BB876" s="29"/>
      <c r="BC876" s="52"/>
      <c r="BD876" s="30"/>
      <c r="BE876" s="29"/>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c r="CB876" s="30"/>
      <c r="CC876" s="30"/>
      <c r="CD876" s="30"/>
      <c r="CE876" s="30"/>
      <c r="CF876" s="30"/>
      <c r="CG876" s="30"/>
      <c r="CH876" s="30"/>
      <c r="CI876" s="30"/>
      <c r="CJ876" s="30"/>
      <c r="CK876" s="30"/>
      <c r="CL876" s="30"/>
      <c r="CM876" s="30"/>
      <c r="CN876" s="30"/>
      <c r="CO876" s="30"/>
      <c r="CP876" s="30"/>
      <c r="CQ876" s="30"/>
      <c r="CR876" s="30"/>
      <c r="CS876" s="30"/>
      <c r="CT876" s="30"/>
      <c r="CU876" s="30"/>
      <c r="CV876" s="30"/>
      <c r="CW876" s="30"/>
      <c r="CX876" s="30"/>
      <c r="CY876" s="30"/>
      <c r="CZ876" s="30"/>
      <c r="DA876" s="30"/>
      <c r="DB876" s="30"/>
      <c r="DC876" s="30"/>
      <c r="DD876" s="30"/>
      <c r="DE876" s="30"/>
      <c r="DF876" s="30"/>
      <c r="DG876" s="30"/>
      <c r="DH876" s="30"/>
      <c r="DI876" s="30"/>
      <c r="DJ876" s="30"/>
      <c r="DK876" s="30"/>
      <c r="DL876" s="30"/>
      <c r="DM876" s="30"/>
      <c r="DN876" s="30"/>
      <c r="DO876" s="30"/>
      <c r="DP876" s="30"/>
      <c r="DQ876" s="30"/>
      <c r="DR876" s="30"/>
      <c r="DS876" s="30"/>
      <c r="DT876" s="30"/>
      <c r="DU876" s="30"/>
      <c r="DV876" s="30"/>
      <c r="DW876" s="30"/>
      <c r="DX876" s="30"/>
      <c r="DY876" s="30"/>
      <c r="DZ876" s="30"/>
    </row>
    <row r="877">
      <c r="A877" s="30"/>
      <c r="B877" s="42"/>
      <c r="C877" s="43"/>
      <c r="D877" s="30"/>
      <c r="E877" s="28"/>
      <c r="F877" s="30"/>
      <c r="G877" s="30"/>
      <c r="H877" s="30"/>
      <c r="I877" s="30"/>
      <c r="J877" s="28"/>
      <c r="K877" s="30"/>
      <c r="L877" s="30"/>
      <c r="M877" s="30"/>
      <c r="N877" s="30"/>
      <c r="O877" s="28"/>
      <c r="P877" s="30"/>
      <c r="Q877" s="30"/>
      <c r="R877" s="30"/>
      <c r="S877" s="36"/>
      <c r="T877" s="30"/>
      <c r="U877" s="36"/>
      <c r="V877" s="30"/>
      <c r="W877" s="28"/>
      <c r="X877" s="30"/>
      <c r="Y877" s="30"/>
      <c r="Z877" s="30"/>
      <c r="AA877" s="30"/>
      <c r="AB877" s="30"/>
      <c r="AC877" s="28"/>
      <c r="AD877" s="30"/>
      <c r="AE877" s="30"/>
      <c r="AF877" s="30"/>
      <c r="AG877" s="29"/>
      <c r="AH877" s="30"/>
      <c r="AI877" s="36"/>
      <c r="AJ877" s="30"/>
      <c r="AK877" s="29"/>
      <c r="AL877" s="30"/>
      <c r="AM877" s="30"/>
      <c r="AN877" s="30"/>
      <c r="AO877" s="30"/>
      <c r="AP877" s="30"/>
      <c r="AQ877" s="38"/>
      <c r="AR877" s="30"/>
      <c r="AS877" s="30"/>
      <c r="AT877" s="29"/>
      <c r="AU877" s="30"/>
      <c r="AV877" s="30"/>
      <c r="AW877" s="30"/>
      <c r="AX877" s="29"/>
      <c r="AY877" s="39"/>
      <c r="AZ877" s="30"/>
      <c r="BA877" s="30"/>
      <c r="BB877" s="29"/>
      <c r="BC877" s="52"/>
      <c r="BD877" s="30"/>
      <c r="BE877" s="29"/>
      <c r="BF877" s="30"/>
      <c r="BG877" s="30"/>
      <c r="BH877" s="30"/>
      <c r="BI877" s="30"/>
      <c r="BJ877" s="30"/>
      <c r="BK877" s="30"/>
      <c r="BL877" s="30"/>
      <c r="BM877" s="30"/>
      <c r="BN877" s="30"/>
      <c r="BO877" s="30"/>
      <c r="BP877" s="30"/>
      <c r="BQ877" s="30"/>
      <c r="BR877" s="30"/>
      <c r="BS877" s="30"/>
      <c r="BT877" s="30"/>
      <c r="BU877" s="30"/>
      <c r="BV877" s="30"/>
      <c r="BW877" s="30"/>
      <c r="BX877" s="30"/>
      <c r="BY877" s="30"/>
      <c r="BZ877" s="30"/>
      <c r="CA877" s="30"/>
      <c r="CB877" s="30"/>
      <c r="CC877" s="30"/>
      <c r="CD877" s="30"/>
      <c r="CE877" s="30"/>
      <c r="CF877" s="30"/>
      <c r="CG877" s="30"/>
      <c r="CH877" s="30"/>
      <c r="CI877" s="30"/>
      <c r="CJ877" s="30"/>
      <c r="CK877" s="30"/>
      <c r="CL877" s="30"/>
      <c r="CM877" s="30"/>
      <c r="CN877" s="30"/>
      <c r="CO877" s="30"/>
      <c r="CP877" s="30"/>
      <c r="CQ877" s="30"/>
      <c r="CR877" s="30"/>
      <c r="CS877" s="30"/>
      <c r="CT877" s="30"/>
      <c r="CU877" s="30"/>
      <c r="CV877" s="30"/>
      <c r="CW877" s="30"/>
      <c r="CX877" s="30"/>
      <c r="CY877" s="30"/>
      <c r="CZ877" s="30"/>
      <c r="DA877" s="30"/>
      <c r="DB877" s="30"/>
      <c r="DC877" s="30"/>
      <c r="DD877" s="30"/>
      <c r="DE877" s="30"/>
      <c r="DF877" s="30"/>
      <c r="DG877" s="30"/>
      <c r="DH877" s="30"/>
      <c r="DI877" s="30"/>
      <c r="DJ877" s="30"/>
      <c r="DK877" s="30"/>
      <c r="DL877" s="30"/>
      <c r="DM877" s="30"/>
      <c r="DN877" s="30"/>
      <c r="DO877" s="30"/>
      <c r="DP877" s="30"/>
      <c r="DQ877" s="30"/>
      <c r="DR877" s="30"/>
      <c r="DS877" s="30"/>
      <c r="DT877" s="30"/>
      <c r="DU877" s="30"/>
      <c r="DV877" s="30"/>
      <c r="DW877" s="30"/>
      <c r="DX877" s="30"/>
      <c r="DY877" s="30"/>
      <c r="DZ877" s="30"/>
    </row>
    <row r="878">
      <c r="A878" s="30"/>
      <c r="B878" s="42"/>
      <c r="C878" s="43"/>
      <c r="D878" s="30"/>
      <c r="E878" s="28"/>
      <c r="F878" s="30"/>
      <c r="G878" s="30"/>
      <c r="H878" s="30"/>
      <c r="I878" s="30"/>
      <c r="J878" s="28"/>
      <c r="K878" s="30"/>
      <c r="L878" s="30"/>
      <c r="M878" s="30"/>
      <c r="N878" s="30"/>
      <c r="O878" s="28"/>
      <c r="P878" s="30"/>
      <c r="Q878" s="30"/>
      <c r="R878" s="30"/>
      <c r="S878" s="36"/>
      <c r="T878" s="30"/>
      <c r="U878" s="36"/>
      <c r="V878" s="30"/>
      <c r="W878" s="28"/>
      <c r="X878" s="30"/>
      <c r="Y878" s="30"/>
      <c r="Z878" s="30"/>
      <c r="AA878" s="30"/>
      <c r="AB878" s="30"/>
      <c r="AC878" s="28"/>
      <c r="AD878" s="30"/>
      <c r="AE878" s="30"/>
      <c r="AF878" s="30"/>
      <c r="AG878" s="29"/>
      <c r="AH878" s="30"/>
      <c r="AI878" s="36"/>
      <c r="AJ878" s="30"/>
      <c r="AK878" s="29"/>
      <c r="AL878" s="30"/>
      <c r="AM878" s="30"/>
      <c r="AN878" s="30"/>
      <c r="AO878" s="30"/>
      <c r="AP878" s="30"/>
      <c r="AQ878" s="38"/>
      <c r="AR878" s="30"/>
      <c r="AS878" s="30"/>
      <c r="AT878" s="29"/>
      <c r="AU878" s="30"/>
      <c r="AV878" s="30"/>
      <c r="AW878" s="30"/>
      <c r="AX878" s="29"/>
      <c r="AY878" s="39"/>
      <c r="AZ878" s="30"/>
      <c r="BA878" s="30"/>
      <c r="BB878" s="29"/>
      <c r="BC878" s="52"/>
      <c r="BD878" s="30"/>
      <c r="BE878" s="29"/>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row>
    <row r="879">
      <c r="A879" s="30"/>
      <c r="B879" s="42"/>
      <c r="C879" s="43"/>
      <c r="D879" s="30"/>
      <c r="E879" s="28"/>
      <c r="F879" s="30"/>
      <c r="G879" s="30"/>
      <c r="H879" s="30"/>
      <c r="I879" s="30"/>
      <c r="J879" s="28"/>
      <c r="K879" s="30"/>
      <c r="L879" s="30"/>
      <c r="M879" s="30"/>
      <c r="N879" s="30"/>
      <c r="O879" s="28"/>
      <c r="P879" s="30"/>
      <c r="Q879" s="30"/>
      <c r="R879" s="30"/>
      <c r="S879" s="36"/>
      <c r="T879" s="30"/>
      <c r="U879" s="36"/>
      <c r="V879" s="30"/>
      <c r="W879" s="28"/>
      <c r="X879" s="30"/>
      <c r="Y879" s="30"/>
      <c r="Z879" s="30"/>
      <c r="AA879" s="30"/>
      <c r="AB879" s="30"/>
      <c r="AC879" s="28"/>
      <c r="AD879" s="30"/>
      <c r="AE879" s="30"/>
      <c r="AF879" s="30"/>
      <c r="AG879" s="29"/>
      <c r="AH879" s="30"/>
      <c r="AI879" s="36"/>
      <c r="AJ879" s="30"/>
      <c r="AK879" s="29"/>
      <c r="AL879" s="30"/>
      <c r="AM879" s="30"/>
      <c r="AN879" s="30"/>
      <c r="AO879" s="30"/>
      <c r="AP879" s="30"/>
      <c r="AQ879" s="38"/>
      <c r="AR879" s="30"/>
      <c r="AS879" s="30"/>
      <c r="AT879" s="29"/>
      <c r="AU879" s="30"/>
      <c r="AV879" s="30"/>
      <c r="AW879" s="30"/>
      <c r="AX879" s="29"/>
      <c r="AY879" s="39"/>
      <c r="AZ879" s="30"/>
      <c r="BA879" s="30"/>
      <c r="BB879" s="29"/>
      <c r="BC879" s="52"/>
      <c r="BD879" s="30"/>
      <c r="BE879" s="29"/>
      <c r="BF879" s="30"/>
      <c r="BG879" s="30"/>
      <c r="BH879" s="30"/>
      <c r="BI879" s="30"/>
      <c r="BJ879" s="30"/>
      <c r="BK879" s="30"/>
      <c r="BL879" s="30"/>
      <c r="BM879" s="30"/>
      <c r="BN879" s="30"/>
      <c r="BO879" s="30"/>
      <c r="BP879" s="30"/>
      <c r="BQ879" s="30"/>
      <c r="BR879" s="30"/>
      <c r="BS879" s="30"/>
      <c r="BT879" s="30"/>
      <c r="BU879" s="30"/>
      <c r="BV879" s="30"/>
      <c r="BW879" s="30"/>
      <c r="BX879" s="30"/>
      <c r="BY879" s="30"/>
      <c r="BZ879" s="30"/>
      <c r="CA879" s="30"/>
      <c r="CB879" s="30"/>
      <c r="CC879" s="30"/>
      <c r="CD879" s="30"/>
      <c r="CE879" s="30"/>
      <c r="CF879" s="30"/>
      <c r="CG879" s="30"/>
      <c r="CH879" s="30"/>
      <c r="CI879" s="30"/>
      <c r="CJ879" s="30"/>
      <c r="CK879" s="30"/>
      <c r="CL879" s="30"/>
      <c r="CM879" s="30"/>
      <c r="CN879" s="30"/>
      <c r="CO879" s="30"/>
      <c r="CP879" s="30"/>
      <c r="CQ879" s="30"/>
      <c r="CR879" s="30"/>
      <c r="CS879" s="30"/>
      <c r="CT879" s="30"/>
      <c r="CU879" s="30"/>
      <c r="CV879" s="30"/>
      <c r="CW879" s="30"/>
      <c r="CX879" s="30"/>
      <c r="CY879" s="30"/>
      <c r="CZ879" s="30"/>
      <c r="DA879" s="30"/>
      <c r="DB879" s="30"/>
      <c r="DC879" s="30"/>
      <c r="DD879" s="30"/>
      <c r="DE879" s="30"/>
      <c r="DF879" s="30"/>
      <c r="DG879" s="30"/>
      <c r="DH879" s="30"/>
      <c r="DI879" s="30"/>
      <c r="DJ879" s="30"/>
      <c r="DK879" s="30"/>
      <c r="DL879" s="30"/>
      <c r="DM879" s="30"/>
      <c r="DN879" s="30"/>
      <c r="DO879" s="30"/>
      <c r="DP879" s="30"/>
      <c r="DQ879" s="30"/>
      <c r="DR879" s="30"/>
      <c r="DS879" s="30"/>
      <c r="DT879" s="30"/>
      <c r="DU879" s="30"/>
      <c r="DV879" s="30"/>
      <c r="DW879" s="30"/>
      <c r="DX879" s="30"/>
      <c r="DY879" s="30"/>
      <c r="DZ879" s="30"/>
    </row>
    <row r="880">
      <c r="A880" s="30"/>
      <c r="B880" s="42"/>
      <c r="C880" s="43"/>
      <c r="D880" s="30"/>
      <c r="E880" s="28"/>
      <c r="F880" s="30"/>
      <c r="G880" s="30"/>
      <c r="H880" s="30"/>
      <c r="I880" s="30"/>
      <c r="J880" s="28"/>
      <c r="K880" s="30"/>
      <c r="L880" s="30"/>
      <c r="M880" s="30"/>
      <c r="N880" s="30"/>
      <c r="O880" s="28"/>
      <c r="P880" s="30"/>
      <c r="Q880" s="30"/>
      <c r="R880" s="30"/>
      <c r="S880" s="36"/>
      <c r="T880" s="30"/>
      <c r="U880" s="36"/>
      <c r="V880" s="30"/>
      <c r="W880" s="28"/>
      <c r="X880" s="30"/>
      <c r="Y880" s="30"/>
      <c r="Z880" s="30"/>
      <c r="AA880" s="30"/>
      <c r="AB880" s="30"/>
      <c r="AC880" s="28"/>
      <c r="AD880" s="30"/>
      <c r="AE880" s="30"/>
      <c r="AF880" s="30"/>
      <c r="AG880" s="29"/>
      <c r="AH880" s="30"/>
      <c r="AI880" s="36"/>
      <c r="AJ880" s="30"/>
      <c r="AK880" s="29"/>
      <c r="AL880" s="30"/>
      <c r="AM880" s="30"/>
      <c r="AN880" s="30"/>
      <c r="AO880" s="30"/>
      <c r="AP880" s="30"/>
      <c r="AQ880" s="38"/>
      <c r="AR880" s="30"/>
      <c r="AS880" s="30"/>
      <c r="AT880" s="29"/>
      <c r="AU880" s="30"/>
      <c r="AV880" s="30"/>
      <c r="AW880" s="30"/>
      <c r="AX880" s="29"/>
      <c r="AY880" s="39"/>
      <c r="AZ880" s="30"/>
      <c r="BA880" s="30"/>
      <c r="BB880" s="29"/>
      <c r="BC880" s="52"/>
      <c r="BD880" s="30"/>
      <c r="BE880" s="29"/>
      <c r="BF880" s="30"/>
      <c r="BG880" s="30"/>
      <c r="BH880" s="30"/>
      <c r="BI880" s="30"/>
      <c r="BJ880" s="30"/>
      <c r="BK880" s="30"/>
      <c r="BL880" s="30"/>
      <c r="BM880" s="30"/>
      <c r="BN880" s="30"/>
      <c r="BO880" s="30"/>
      <c r="BP880" s="30"/>
      <c r="BQ880" s="30"/>
      <c r="BR880" s="30"/>
      <c r="BS880" s="30"/>
      <c r="BT880" s="30"/>
      <c r="BU880" s="30"/>
      <c r="BV880" s="30"/>
      <c r="BW880" s="30"/>
      <c r="BX880" s="30"/>
      <c r="BY880" s="30"/>
      <c r="BZ880" s="30"/>
      <c r="CA880" s="30"/>
      <c r="CB880" s="30"/>
      <c r="CC880" s="30"/>
      <c r="CD880" s="30"/>
      <c r="CE880" s="30"/>
      <c r="CF880" s="30"/>
      <c r="CG880" s="30"/>
      <c r="CH880" s="30"/>
      <c r="CI880" s="30"/>
      <c r="CJ880" s="30"/>
      <c r="CK880" s="30"/>
      <c r="CL880" s="30"/>
      <c r="CM880" s="30"/>
      <c r="CN880" s="30"/>
      <c r="CO880" s="30"/>
      <c r="CP880" s="30"/>
      <c r="CQ880" s="30"/>
      <c r="CR880" s="30"/>
      <c r="CS880" s="30"/>
      <c r="CT880" s="30"/>
      <c r="CU880" s="30"/>
      <c r="CV880" s="30"/>
      <c r="CW880" s="30"/>
      <c r="CX880" s="30"/>
      <c r="CY880" s="30"/>
      <c r="CZ880" s="30"/>
      <c r="DA880" s="30"/>
      <c r="DB880" s="30"/>
      <c r="DC880" s="30"/>
      <c r="DD880" s="30"/>
      <c r="DE880" s="30"/>
      <c r="DF880" s="30"/>
      <c r="DG880" s="30"/>
      <c r="DH880" s="30"/>
      <c r="DI880" s="30"/>
      <c r="DJ880" s="30"/>
      <c r="DK880" s="30"/>
      <c r="DL880" s="30"/>
      <c r="DM880" s="30"/>
      <c r="DN880" s="30"/>
      <c r="DO880" s="30"/>
      <c r="DP880" s="30"/>
      <c r="DQ880" s="30"/>
      <c r="DR880" s="30"/>
      <c r="DS880" s="30"/>
      <c r="DT880" s="30"/>
      <c r="DU880" s="30"/>
      <c r="DV880" s="30"/>
      <c r="DW880" s="30"/>
      <c r="DX880" s="30"/>
      <c r="DY880" s="30"/>
      <c r="DZ880" s="30"/>
    </row>
    <row r="881">
      <c r="A881" s="30"/>
      <c r="B881" s="42"/>
      <c r="C881" s="43"/>
      <c r="D881" s="30"/>
      <c r="E881" s="28"/>
      <c r="F881" s="30"/>
      <c r="G881" s="30"/>
      <c r="H881" s="30"/>
      <c r="I881" s="30"/>
      <c r="J881" s="28"/>
      <c r="K881" s="30"/>
      <c r="L881" s="30"/>
      <c r="M881" s="30"/>
      <c r="N881" s="30"/>
      <c r="O881" s="28"/>
      <c r="P881" s="30"/>
      <c r="Q881" s="30"/>
      <c r="R881" s="30"/>
      <c r="S881" s="36"/>
      <c r="T881" s="30"/>
      <c r="U881" s="36"/>
      <c r="V881" s="30"/>
      <c r="W881" s="28"/>
      <c r="X881" s="30"/>
      <c r="Y881" s="30"/>
      <c r="Z881" s="30"/>
      <c r="AA881" s="30"/>
      <c r="AB881" s="30"/>
      <c r="AC881" s="28"/>
      <c r="AD881" s="30"/>
      <c r="AE881" s="30"/>
      <c r="AF881" s="30"/>
      <c r="AG881" s="29"/>
      <c r="AH881" s="30"/>
      <c r="AI881" s="36"/>
      <c r="AJ881" s="30"/>
      <c r="AK881" s="29"/>
      <c r="AL881" s="30"/>
      <c r="AM881" s="30"/>
      <c r="AN881" s="30"/>
      <c r="AO881" s="30"/>
      <c r="AP881" s="30"/>
      <c r="AQ881" s="38"/>
      <c r="AR881" s="30"/>
      <c r="AS881" s="30"/>
      <c r="AT881" s="29"/>
      <c r="AU881" s="30"/>
      <c r="AV881" s="30"/>
      <c r="AW881" s="30"/>
      <c r="AX881" s="29"/>
      <c r="AY881" s="39"/>
      <c r="AZ881" s="30"/>
      <c r="BA881" s="30"/>
      <c r="BB881" s="29"/>
      <c r="BC881" s="52"/>
      <c r="BD881" s="30"/>
      <c r="BE881" s="29"/>
      <c r="BF881" s="30"/>
      <c r="BG881" s="30"/>
      <c r="BH881" s="30"/>
      <c r="BI881" s="30"/>
      <c r="BJ881" s="30"/>
      <c r="BK881" s="30"/>
      <c r="BL881" s="30"/>
      <c r="BM881" s="30"/>
      <c r="BN881" s="30"/>
      <c r="BO881" s="30"/>
      <c r="BP881" s="30"/>
      <c r="BQ881" s="30"/>
      <c r="BR881" s="30"/>
      <c r="BS881" s="30"/>
      <c r="BT881" s="30"/>
      <c r="BU881" s="30"/>
      <c r="BV881" s="30"/>
      <c r="BW881" s="30"/>
      <c r="BX881" s="30"/>
      <c r="BY881" s="30"/>
      <c r="BZ881" s="30"/>
      <c r="CA881" s="30"/>
      <c r="CB881" s="30"/>
      <c r="CC881" s="30"/>
      <c r="CD881" s="30"/>
      <c r="CE881" s="30"/>
      <c r="CF881" s="30"/>
      <c r="CG881" s="30"/>
      <c r="CH881" s="30"/>
      <c r="CI881" s="30"/>
      <c r="CJ881" s="30"/>
      <c r="CK881" s="30"/>
      <c r="CL881" s="30"/>
      <c r="CM881" s="30"/>
      <c r="CN881" s="30"/>
      <c r="CO881" s="30"/>
      <c r="CP881" s="30"/>
      <c r="CQ881" s="30"/>
      <c r="CR881" s="30"/>
      <c r="CS881" s="30"/>
      <c r="CT881" s="30"/>
      <c r="CU881" s="30"/>
      <c r="CV881" s="30"/>
      <c r="CW881" s="30"/>
      <c r="CX881" s="30"/>
      <c r="CY881" s="30"/>
      <c r="CZ881" s="30"/>
      <c r="DA881" s="30"/>
      <c r="DB881" s="30"/>
      <c r="DC881" s="30"/>
      <c r="DD881" s="30"/>
      <c r="DE881" s="30"/>
      <c r="DF881" s="30"/>
      <c r="DG881" s="30"/>
      <c r="DH881" s="30"/>
      <c r="DI881" s="30"/>
      <c r="DJ881" s="30"/>
      <c r="DK881" s="30"/>
      <c r="DL881" s="30"/>
      <c r="DM881" s="30"/>
      <c r="DN881" s="30"/>
      <c r="DO881" s="30"/>
      <c r="DP881" s="30"/>
      <c r="DQ881" s="30"/>
      <c r="DR881" s="30"/>
      <c r="DS881" s="30"/>
      <c r="DT881" s="30"/>
      <c r="DU881" s="30"/>
      <c r="DV881" s="30"/>
      <c r="DW881" s="30"/>
      <c r="DX881" s="30"/>
      <c r="DY881" s="30"/>
      <c r="DZ881" s="30"/>
    </row>
    <row r="882">
      <c r="A882" s="30"/>
      <c r="B882" s="42"/>
      <c r="C882" s="43"/>
      <c r="D882" s="30"/>
      <c r="E882" s="28"/>
      <c r="F882" s="30"/>
      <c r="G882" s="30"/>
      <c r="H882" s="30"/>
      <c r="I882" s="30"/>
      <c r="J882" s="28"/>
      <c r="K882" s="30"/>
      <c r="L882" s="30"/>
      <c r="M882" s="30"/>
      <c r="N882" s="30"/>
      <c r="O882" s="28"/>
      <c r="P882" s="30"/>
      <c r="Q882" s="30"/>
      <c r="R882" s="30"/>
      <c r="S882" s="36"/>
      <c r="T882" s="30"/>
      <c r="U882" s="36"/>
      <c r="V882" s="30"/>
      <c r="W882" s="28"/>
      <c r="X882" s="30"/>
      <c r="Y882" s="30"/>
      <c r="Z882" s="30"/>
      <c r="AA882" s="30"/>
      <c r="AB882" s="30"/>
      <c r="AC882" s="28"/>
      <c r="AD882" s="30"/>
      <c r="AE882" s="30"/>
      <c r="AF882" s="30"/>
      <c r="AG882" s="29"/>
      <c r="AH882" s="30"/>
      <c r="AI882" s="36"/>
      <c r="AJ882" s="30"/>
      <c r="AK882" s="29"/>
      <c r="AL882" s="30"/>
      <c r="AM882" s="30"/>
      <c r="AN882" s="30"/>
      <c r="AO882" s="30"/>
      <c r="AP882" s="30"/>
      <c r="AQ882" s="38"/>
      <c r="AR882" s="30"/>
      <c r="AS882" s="30"/>
      <c r="AT882" s="29"/>
      <c r="AU882" s="30"/>
      <c r="AV882" s="30"/>
      <c r="AW882" s="30"/>
      <c r="AX882" s="29"/>
      <c r="AY882" s="39"/>
      <c r="AZ882" s="30"/>
      <c r="BA882" s="30"/>
      <c r="BB882" s="29"/>
      <c r="BC882" s="52"/>
      <c r="BD882" s="30"/>
      <c r="BE882" s="29"/>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c r="CB882" s="30"/>
      <c r="CC882" s="30"/>
      <c r="CD882" s="30"/>
      <c r="CE882" s="30"/>
      <c r="CF882" s="30"/>
      <c r="CG882" s="30"/>
      <c r="CH882" s="30"/>
      <c r="CI882" s="30"/>
      <c r="CJ882" s="30"/>
      <c r="CK882" s="30"/>
      <c r="CL882" s="30"/>
      <c r="CM882" s="30"/>
      <c r="CN882" s="30"/>
      <c r="CO882" s="30"/>
      <c r="CP882" s="30"/>
      <c r="CQ882" s="30"/>
      <c r="CR882" s="30"/>
      <c r="CS882" s="30"/>
      <c r="CT882" s="30"/>
      <c r="CU882" s="30"/>
      <c r="CV882" s="30"/>
      <c r="CW882" s="30"/>
      <c r="CX882" s="30"/>
      <c r="CY882" s="30"/>
      <c r="CZ882" s="30"/>
      <c r="DA882" s="30"/>
      <c r="DB882" s="30"/>
      <c r="DC882" s="30"/>
      <c r="DD882" s="30"/>
      <c r="DE882" s="30"/>
      <c r="DF882" s="30"/>
      <c r="DG882" s="30"/>
      <c r="DH882" s="30"/>
      <c r="DI882" s="30"/>
      <c r="DJ882" s="30"/>
      <c r="DK882" s="30"/>
      <c r="DL882" s="30"/>
      <c r="DM882" s="30"/>
      <c r="DN882" s="30"/>
      <c r="DO882" s="30"/>
      <c r="DP882" s="30"/>
      <c r="DQ882" s="30"/>
      <c r="DR882" s="30"/>
      <c r="DS882" s="30"/>
      <c r="DT882" s="30"/>
      <c r="DU882" s="30"/>
      <c r="DV882" s="30"/>
      <c r="DW882" s="30"/>
      <c r="DX882" s="30"/>
      <c r="DY882" s="30"/>
      <c r="DZ882" s="30"/>
    </row>
    <row r="883">
      <c r="A883" s="30"/>
      <c r="B883" s="42"/>
      <c r="C883" s="43"/>
      <c r="D883" s="30"/>
      <c r="E883" s="28"/>
      <c r="F883" s="30"/>
      <c r="G883" s="30"/>
      <c r="H883" s="30"/>
      <c r="I883" s="30"/>
      <c r="J883" s="28"/>
      <c r="K883" s="30"/>
      <c r="L883" s="30"/>
      <c r="M883" s="30"/>
      <c r="N883" s="30"/>
      <c r="O883" s="28"/>
      <c r="P883" s="30"/>
      <c r="Q883" s="30"/>
      <c r="R883" s="30"/>
      <c r="S883" s="36"/>
      <c r="T883" s="30"/>
      <c r="U883" s="36"/>
      <c r="V883" s="30"/>
      <c r="W883" s="28"/>
      <c r="X883" s="30"/>
      <c r="Y883" s="30"/>
      <c r="Z883" s="30"/>
      <c r="AA883" s="30"/>
      <c r="AB883" s="30"/>
      <c r="AC883" s="28"/>
      <c r="AD883" s="30"/>
      <c r="AE883" s="30"/>
      <c r="AF883" s="30"/>
      <c r="AG883" s="29"/>
      <c r="AH883" s="30"/>
      <c r="AI883" s="36"/>
      <c r="AJ883" s="30"/>
      <c r="AK883" s="29"/>
      <c r="AL883" s="30"/>
      <c r="AM883" s="30"/>
      <c r="AN883" s="30"/>
      <c r="AO883" s="30"/>
      <c r="AP883" s="30"/>
      <c r="AQ883" s="38"/>
      <c r="AR883" s="30"/>
      <c r="AS883" s="30"/>
      <c r="AT883" s="29"/>
      <c r="AU883" s="30"/>
      <c r="AV883" s="30"/>
      <c r="AW883" s="30"/>
      <c r="AX883" s="29"/>
      <c r="AY883" s="39"/>
      <c r="AZ883" s="30"/>
      <c r="BA883" s="30"/>
      <c r="BB883" s="29"/>
      <c r="BC883" s="52"/>
      <c r="BD883" s="30"/>
      <c r="BE883" s="29"/>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row>
    <row r="884">
      <c r="A884" s="30"/>
      <c r="B884" s="42"/>
      <c r="C884" s="43"/>
      <c r="D884" s="30"/>
      <c r="E884" s="28"/>
      <c r="F884" s="30"/>
      <c r="G884" s="30"/>
      <c r="H884" s="30"/>
      <c r="I884" s="30"/>
      <c r="J884" s="28"/>
      <c r="K884" s="30"/>
      <c r="L884" s="30"/>
      <c r="M884" s="30"/>
      <c r="N884" s="30"/>
      <c r="O884" s="28"/>
      <c r="P884" s="30"/>
      <c r="Q884" s="30"/>
      <c r="R884" s="30"/>
      <c r="S884" s="36"/>
      <c r="T884" s="30"/>
      <c r="U884" s="36"/>
      <c r="V884" s="30"/>
      <c r="W884" s="28"/>
      <c r="X884" s="30"/>
      <c r="Y884" s="30"/>
      <c r="Z884" s="30"/>
      <c r="AA884" s="30"/>
      <c r="AB884" s="30"/>
      <c r="AC884" s="28"/>
      <c r="AD884" s="30"/>
      <c r="AE884" s="30"/>
      <c r="AF884" s="30"/>
      <c r="AG884" s="29"/>
      <c r="AH884" s="30"/>
      <c r="AI884" s="36"/>
      <c r="AJ884" s="30"/>
      <c r="AK884" s="29"/>
      <c r="AL884" s="30"/>
      <c r="AM884" s="30"/>
      <c r="AN884" s="30"/>
      <c r="AO884" s="30"/>
      <c r="AP884" s="30"/>
      <c r="AQ884" s="38"/>
      <c r="AR884" s="30"/>
      <c r="AS884" s="30"/>
      <c r="AT884" s="29"/>
      <c r="AU884" s="30"/>
      <c r="AV884" s="30"/>
      <c r="AW884" s="30"/>
      <c r="AX884" s="29"/>
      <c r="AY884" s="39"/>
      <c r="AZ884" s="30"/>
      <c r="BA884" s="30"/>
      <c r="BB884" s="29"/>
      <c r="BC884" s="52"/>
      <c r="BD884" s="30"/>
      <c r="BE884" s="29"/>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c r="CB884" s="30"/>
      <c r="CC884" s="30"/>
      <c r="CD884" s="30"/>
      <c r="CE884" s="30"/>
      <c r="CF884" s="30"/>
      <c r="CG884" s="30"/>
      <c r="CH884" s="30"/>
      <c r="CI884" s="30"/>
      <c r="CJ884" s="30"/>
      <c r="CK884" s="30"/>
      <c r="CL884" s="30"/>
      <c r="CM884" s="30"/>
      <c r="CN884" s="30"/>
      <c r="CO884" s="30"/>
      <c r="CP884" s="30"/>
      <c r="CQ884" s="30"/>
      <c r="CR884" s="30"/>
      <c r="CS884" s="30"/>
      <c r="CT884" s="30"/>
      <c r="CU884" s="30"/>
      <c r="CV884" s="30"/>
      <c r="CW884" s="30"/>
      <c r="CX884" s="30"/>
      <c r="CY884" s="30"/>
      <c r="CZ884" s="30"/>
      <c r="DA884" s="30"/>
      <c r="DB884" s="30"/>
      <c r="DC884" s="30"/>
      <c r="DD884" s="30"/>
      <c r="DE884" s="30"/>
      <c r="DF884" s="30"/>
      <c r="DG884" s="30"/>
      <c r="DH884" s="30"/>
      <c r="DI884" s="30"/>
      <c r="DJ884" s="30"/>
      <c r="DK884" s="30"/>
      <c r="DL884" s="30"/>
      <c r="DM884" s="30"/>
      <c r="DN884" s="30"/>
      <c r="DO884" s="30"/>
      <c r="DP884" s="30"/>
      <c r="DQ884" s="30"/>
      <c r="DR884" s="30"/>
      <c r="DS884" s="30"/>
      <c r="DT884" s="30"/>
      <c r="DU884" s="30"/>
      <c r="DV884" s="30"/>
      <c r="DW884" s="30"/>
      <c r="DX884" s="30"/>
      <c r="DY884" s="30"/>
      <c r="DZ884" s="30"/>
    </row>
    <row r="885">
      <c r="A885" s="30"/>
      <c r="B885" s="42"/>
      <c r="C885" s="43"/>
      <c r="D885" s="30"/>
      <c r="E885" s="28"/>
      <c r="F885" s="30"/>
      <c r="G885" s="30"/>
      <c r="H885" s="30"/>
      <c r="I885" s="30"/>
      <c r="J885" s="28"/>
      <c r="K885" s="30"/>
      <c r="L885" s="30"/>
      <c r="M885" s="30"/>
      <c r="N885" s="30"/>
      <c r="O885" s="28"/>
      <c r="P885" s="30"/>
      <c r="Q885" s="30"/>
      <c r="R885" s="30"/>
      <c r="S885" s="36"/>
      <c r="T885" s="30"/>
      <c r="U885" s="36"/>
      <c r="V885" s="30"/>
      <c r="W885" s="28"/>
      <c r="X885" s="30"/>
      <c r="Y885" s="30"/>
      <c r="Z885" s="30"/>
      <c r="AA885" s="30"/>
      <c r="AB885" s="30"/>
      <c r="AC885" s="28"/>
      <c r="AD885" s="30"/>
      <c r="AE885" s="30"/>
      <c r="AF885" s="30"/>
      <c r="AG885" s="29"/>
      <c r="AH885" s="30"/>
      <c r="AI885" s="36"/>
      <c r="AJ885" s="30"/>
      <c r="AK885" s="29"/>
      <c r="AL885" s="30"/>
      <c r="AM885" s="30"/>
      <c r="AN885" s="30"/>
      <c r="AO885" s="30"/>
      <c r="AP885" s="30"/>
      <c r="AQ885" s="38"/>
      <c r="AR885" s="30"/>
      <c r="AS885" s="30"/>
      <c r="AT885" s="29"/>
      <c r="AU885" s="30"/>
      <c r="AV885" s="30"/>
      <c r="AW885" s="30"/>
      <c r="AX885" s="29"/>
      <c r="AY885" s="39"/>
      <c r="AZ885" s="30"/>
      <c r="BA885" s="30"/>
      <c r="BB885" s="29"/>
      <c r="BC885" s="52"/>
      <c r="BD885" s="30"/>
      <c r="BE885" s="29"/>
      <c r="BF885" s="30"/>
      <c r="BG885" s="30"/>
      <c r="BH885" s="30"/>
      <c r="BI885" s="30"/>
      <c r="BJ885" s="30"/>
      <c r="BK885" s="30"/>
      <c r="BL885" s="30"/>
      <c r="BM885" s="30"/>
      <c r="BN885" s="30"/>
      <c r="BO885" s="30"/>
      <c r="BP885" s="30"/>
      <c r="BQ885" s="30"/>
      <c r="BR885" s="30"/>
      <c r="BS885" s="30"/>
      <c r="BT885" s="30"/>
      <c r="BU885" s="30"/>
      <c r="BV885" s="30"/>
      <c r="BW885" s="30"/>
      <c r="BX885" s="30"/>
      <c r="BY885" s="30"/>
      <c r="BZ885" s="30"/>
      <c r="CA885" s="30"/>
      <c r="CB885" s="30"/>
      <c r="CC885" s="30"/>
      <c r="CD885" s="30"/>
      <c r="CE885" s="30"/>
      <c r="CF885" s="30"/>
      <c r="CG885" s="30"/>
      <c r="CH885" s="30"/>
      <c r="CI885" s="30"/>
      <c r="CJ885" s="30"/>
      <c r="CK885" s="30"/>
      <c r="CL885" s="30"/>
      <c r="CM885" s="30"/>
      <c r="CN885" s="30"/>
      <c r="CO885" s="30"/>
      <c r="CP885" s="30"/>
      <c r="CQ885" s="30"/>
      <c r="CR885" s="30"/>
      <c r="CS885" s="30"/>
      <c r="CT885" s="30"/>
      <c r="CU885" s="30"/>
      <c r="CV885" s="30"/>
      <c r="CW885" s="30"/>
      <c r="CX885" s="30"/>
      <c r="CY885" s="30"/>
      <c r="CZ885" s="30"/>
      <c r="DA885" s="30"/>
      <c r="DB885" s="30"/>
      <c r="DC885" s="30"/>
      <c r="DD885" s="30"/>
      <c r="DE885" s="30"/>
      <c r="DF885" s="30"/>
      <c r="DG885" s="30"/>
      <c r="DH885" s="30"/>
      <c r="DI885" s="30"/>
      <c r="DJ885" s="30"/>
      <c r="DK885" s="30"/>
      <c r="DL885" s="30"/>
      <c r="DM885" s="30"/>
      <c r="DN885" s="30"/>
      <c r="DO885" s="30"/>
      <c r="DP885" s="30"/>
      <c r="DQ885" s="30"/>
      <c r="DR885" s="30"/>
      <c r="DS885" s="30"/>
      <c r="DT885" s="30"/>
      <c r="DU885" s="30"/>
      <c r="DV885" s="30"/>
      <c r="DW885" s="30"/>
      <c r="DX885" s="30"/>
      <c r="DY885" s="30"/>
      <c r="DZ885" s="30"/>
    </row>
    <row r="886">
      <c r="A886" s="30"/>
      <c r="B886" s="42"/>
      <c r="C886" s="43"/>
      <c r="D886" s="30"/>
      <c r="E886" s="28"/>
      <c r="F886" s="30"/>
      <c r="G886" s="30"/>
      <c r="H886" s="30"/>
      <c r="I886" s="30"/>
      <c r="J886" s="28"/>
      <c r="K886" s="30"/>
      <c r="L886" s="30"/>
      <c r="M886" s="30"/>
      <c r="N886" s="30"/>
      <c r="O886" s="28"/>
      <c r="P886" s="30"/>
      <c r="Q886" s="30"/>
      <c r="R886" s="30"/>
      <c r="S886" s="36"/>
      <c r="T886" s="30"/>
      <c r="U886" s="36"/>
      <c r="V886" s="30"/>
      <c r="W886" s="28"/>
      <c r="X886" s="30"/>
      <c r="Y886" s="30"/>
      <c r="Z886" s="30"/>
      <c r="AA886" s="30"/>
      <c r="AB886" s="30"/>
      <c r="AC886" s="28"/>
      <c r="AD886" s="30"/>
      <c r="AE886" s="30"/>
      <c r="AF886" s="30"/>
      <c r="AG886" s="29"/>
      <c r="AH886" s="30"/>
      <c r="AI886" s="36"/>
      <c r="AJ886" s="30"/>
      <c r="AK886" s="29"/>
      <c r="AL886" s="30"/>
      <c r="AM886" s="30"/>
      <c r="AN886" s="30"/>
      <c r="AO886" s="30"/>
      <c r="AP886" s="30"/>
      <c r="AQ886" s="38"/>
      <c r="AR886" s="30"/>
      <c r="AS886" s="30"/>
      <c r="AT886" s="29"/>
      <c r="AU886" s="30"/>
      <c r="AV886" s="30"/>
      <c r="AW886" s="30"/>
      <c r="AX886" s="29"/>
      <c r="AY886" s="39"/>
      <c r="AZ886" s="30"/>
      <c r="BA886" s="30"/>
      <c r="BB886" s="29"/>
      <c r="BC886" s="52"/>
      <c r="BD886" s="30"/>
      <c r="BE886" s="29"/>
      <c r="BF886" s="30"/>
      <c r="BG886" s="30"/>
      <c r="BH886" s="30"/>
      <c r="BI886" s="30"/>
      <c r="BJ886" s="30"/>
      <c r="BK886" s="30"/>
      <c r="BL886" s="30"/>
      <c r="BM886" s="30"/>
      <c r="BN886" s="30"/>
      <c r="BO886" s="30"/>
      <c r="BP886" s="30"/>
      <c r="BQ886" s="30"/>
      <c r="BR886" s="30"/>
      <c r="BS886" s="30"/>
      <c r="BT886" s="30"/>
      <c r="BU886" s="30"/>
      <c r="BV886" s="30"/>
      <c r="BW886" s="30"/>
      <c r="BX886" s="30"/>
      <c r="BY886" s="30"/>
      <c r="BZ886" s="30"/>
      <c r="CA886" s="30"/>
      <c r="CB886" s="30"/>
      <c r="CC886" s="30"/>
      <c r="CD886" s="30"/>
      <c r="CE886" s="30"/>
      <c r="CF886" s="30"/>
      <c r="CG886" s="30"/>
      <c r="CH886" s="30"/>
      <c r="CI886" s="30"/>
      <c r="CJ886" s="30"/>
      <c r="CK886" s="30"/>
      <c r="CL886" s="30"/>
      <c r="CM886" s="30"/>
      <c r="CN886" s="30"/>
      <c r="CO886" s="30"/>
      <c r="CP886" s="30"/>
      <c r="CQ886" s="30"/>
      <c r="CR886" s="30"/>
      <c r="CS886" s="30"/>
      <c r="CT886" s="30"/>
      <c r="CU886" s="30"/>
      <c r="CV886" s="30"/>
      <c r="CW886" s="30"/>
      <c r="CX886" s="30"/>
      <c r="CY886" s="30"/>
      <c r="CZ886" s="30"/>
      <c r="DA886" s="30"/>
      <c r="DB886" s="30"/>
      <c r="DC886" s="30"/>
      <c r="DD886" s="30"/>
      <c r="DE886" s="30"/>
      <c r="DF886" s="30"/>
      <c r="DG886" s="30"/>
      <c r="DH886" s="30"/>
      <c r="DI886" s="30"/>
      <c r="DJ886" s="30"/>
      <c r="DK886" s="30"/>
      <c r="DL886" s="30"/>
      <c r="DM886" s="30"/>
      <c r="DN886" s="30"/>
      <c r="DO886" s="30"/>
      <c r="DP886" s="30"/>
      <c r="DQ886" s="30"/>
      <c r="DR886" s="30"/>
      <c r="DS886" s="30"/>
      <c r="DT886" s="30"/>
      <c r="DU886" s="30"/>
      <c r="DV886" s="30"/>
      <c r="DW886" s="30"/>
      <c r="DX886" s="30"/>
      <c r="DY886" s="30"/>
      <c r="DZ886" s="30"/>
    </row>
    <row r="887">
      <c r="A887" s="30"/>
      <c r="B887" s="42"/>
      <c r="C887" s="43"/>
      <c r="D887" s="30"/>
      <c r="E887" s="28"/>
      <c r="F887" s="30"/>
      <c r="G887" s="30"/>
      <c r="H887" s="30"/>
      <c r="I887" s="30"/>
      <c r="J887" s="28"/>
      <c r="K887" s="30"/>
      <c r="L887" s="30"/>
      <c r="M887" s="30"/>
      <c r="N887" s="30"/>
      <c r="O887" s="28"/>
      <c r="P887" s="30"/>
      <c r="Q887" s="30"/>
      <c r="R887" s="30"/>
      <c r="S887" s="36"/>
      <c r="T887" s="30"/>
      <c r="U887" s="36"/>
      <c r="V887" s="30"/>
      <c r="W887" s="28"/>
      <c r="X887" s="30"/>
      <c r="Y887" s="30"/>
      <c r="Z887" s="30"/>
      <c r="AA887" s="30"/>
      <c r="AB887" s="30"/>
      <c r="AC887" s="28"/>
      <c r="AD887" s="30"/>
      <c r="AE887" s="30"/>
      <c r="AF887" s="30"/>
      <c r="AG887" s="29"/>
      <c r="AH887" s="30"/>
      <c r="AI887" s="36"/>
      <c r="AJ887" s="30"/>
      <c r="AK887" s="29"/>
      <c r="AL887" s="30"/>
      <c r="AM887" s="30"/>
      <c r="AN887" s="30"/>
      <c r="AO887" s="30"/>
      <c r="AP887" s="30"/>
      <c r="AQ887" s="38"/>
      <c r="AR887" s="30"/>
      <c r="AS887" s="30"/>
      <c r="AT887" s="29"/>
      <c r="AU887" s="30"/>
      <c r="AV887" s="30"/>
      <c r="AW887" s="30"/>
      <c r="AX887" s="29"/>
      <c r="AY887" s="39"/>
      <c r="AZ887" s="30"/>
      <c r="BA887" s="30"/>
      <c r="BB887" s="29"/>
      <c r="BC887" s="52"/>
      <c r="BD887" s="30"/>
      <c r="BE887" s="29"/>
      <c r="BF887" s="30"/>
      <c r="BG887" s="30"/>
      <c r="BH887" s="30"/>
      <c r="BI887" s="30"/>
      <c r="BJ887" s="30"/>
      <c r="BK887" s="30"/>
      <c r="BL887" s="30"/>
      <c r="BM887" s="30"/>
      <c r="BN887" s="30"/>
      <c r="BO887" s="30"/>
      <c r="BP887" s="30"/>
      <c r="BQ887" s="30"/>
      <c r="BR887" s="30"/>
      <c r="BS887" s="30"/>
      <c r="BT887" s="30"/>
      <c r="BU887" s="30"/>
      <c r="BV887" s="30"/>
      <c r="BW887" s="30"/>
      <c r="BX887" s="30"/>
      <c r="BY887" s="30"/>
      <c r="BZ887" s="30"/>
      <c r="CA887" s="30"/>
      <c r="CB887" s="30"/>
      <c r="CC887" s="30"/>
      <c r="CD887" s="30"/>
      <c r="CE887" s="30"/>
      <c r="CF887" s="30"/>
      <c r="CG887" s="30"/>
      <c r="CH887" s="30"/>
      <c r="CI887" s="30"/>
      <c r="CJ887" s="30"/>
      <c r="CK887" s="30"/>
      <c r="CL887" s="30"/>
      <c r="CM887" s="30"/>
      <c r="CN887" s="30"/>
      <c r="CO887" s="30"/>
      <c r="CP887" s="30"/>
      <c r="CQ887" s="30"/>
      <c r="CR887" s="30"/>
      <c r="CS887" s="30"/>
      <c r="CT887" s="30"/>
      <c r="CU887" s="30"/>
      <c r="CV887" s="30"/>
      <c r="CW887" s="30"/>
      <c r="CX887" s="30"/>
      <c r="CY887" s="30"/>
      <c r="CZ887" s="30"/>
      <c r="DA887" s="30"/>
      <c r="DB887" s="30"/>
      <c r="DC887" s="30"/>
      <c r="DD887" s="30"/>
      <c r="DE887" s="30"/>
      <c r="DF887" s="30"/>
      <c r="DG887" s="30"/>
      <c r="DH887" s="30"/>
      <c r="DI887" s="30"/>
      <c r="DJ887" s="30"/>
      <c r="DK887" s="30"/>
      <c r="DL887" s="30"/>
      <c r="DM887" s="30"/>
      <c r="DN887" s="30"/>
      <c r="DO887" s="30"/>
      <c r="DP887" s="30"/>
      <c r="DQ887" s="30"/>
      <c r="DR887" s="30"/>
      <c r="DS887" s="30"/>
      <c r="DT887" s="30"/>
      <c r="DU887" s="30"/>
      <c r="DV887" s="30"/>
      <c r="DW887" s="30"/>
      <c r="DX887" s="30"/>
      <c r="DY887" s="30"/>
      <c r="DZ887" s="30"/>
    </row>
    <row r="888">
      <c r="A888" s="30"/>
      <c r="B888" s="42"/>
      <c r="C888" s="43"/>
      <c r="D888" s="30"/>
      <c r="E888" s="28"/>
      <c r="F888" s="30"/>
      <c r="G888" s="30"/>
      <c r="H888" s="30"/>
      <c r="I888" s="30"/>
      <c r="J888" s="28"/>
      <c r="K888" s="30"/>
      <c r="L888" s="30"/>
      <c r="M888" s="30"/>
      <c r="N888" s="30"/>
      <c r="O888" s="28"/>
      <c r="P888" s="30"/>
      <c r="Q888" s="30"/>
      <c r="R888" s="30"/>
      <c r="S888" s="36"/>
      <c r="T888" s="30"/>
      <c r="U888" s="36"/>
      <c r="V888" s="30"/>
      <c r="W888" s="28"/>
      <c r="X888" s="30"/>
      <c r="Y888" s="30"/>
      <c r="Z888" s="30"/>
      <c r="AA888" s="30"/>
      <c r="AB888" s="30"/>
      <c r="AC888" s="28"/>
      <c r="AD888" s="30"/>
      <c r="AE888" s="30"/>
      <c r="AF888" s="30"/>
      <c r="AG888" s="29"/>
      <c r="AH888" s="30"/>
      <c r="AI888" s="36"/>
      <c r="AJ888" s="30"/>
      <c r="AK888" s="29"/>
      <c r="AL888" s="30"/>
      <c r="AM888" s="30"/>
      <c r="AN888" s="30"/>
      <c r="AO888" s="30"/>
      <c r="AP888" s="30"/>
      <c r="AQ888" s="38"/>
      <c r="AR888" s="30"/>
      <c r="AS888" s="30"/>
      <c r="AT888" s="29"/>
      <c r="AU888" s="30"/>
      <c r="AV888" s="30"/>
      <c r="AW888" s="30"/>
      <c r="AX888" s="29"/>
      <c r="AY888" s="39"/>
      <c r="AZ888" s="30"/>
      <c r="BA888" s="30"/>
      <c r="BB888" s="29"/>
      <c r="BC888" s="52"/>
      <c r="BD888" s="30"/>
      <c r="BE888" s="29"/>
      <c r="BF888" s="30"/>
      <c r="BG888" s="30"/>
      <c r="BH888" s="30"/>
      <c r="BI888" s="30"/>
      <c r="BJ888" s="30"/>
      <c r="BK888" s="30"/>
      <c r="BL888" s="30"/>
      <c r="BM888" s="30"/>
      <c r="BN888" s="30"/>
      <c r="BO888" s="30"/>
      <c r="BP888" s="30"/>
      <c r="BQ888" s="30"/>
      <c r="BR888" s="30"/>
      <c r="BS888" s="30"/>
      <c r="BT888" s="30"/>
      <c r="BU888" s="30"/>
      <c r="BV888" s="30"/>
      <c r="BW888" s="30"/>
      <c r="BX888" s="30"/>
      <c r="BY888" s="30"/>
      <c r="BZ888" s="30"/>
      <c r="CA888" s="30"/>
      <c r="CB888" s="30"/>
      <c r="CC888" s="30"/>
      <c r="CD888" s="30"/>
      <c r="CE888" s="30"/>
      <c r="CF888" s="30"/>
      <c r="CG888" s="30"/>
      <c r="CH888" s="30"/>
      <c r="CI888" s="30"/>
      <c r="CJ888" s="30"/>
      <c r="CK888" s="30"/>
      <c r="CL888" s="30"/>
      <c r="CM888" s="30"/>
      <c r="CN888" s="30"/>
      <c r="CO888" s="30"/>
      <c r="CP888" s="30"/>
      <c r="CQ888" s="30"/>
      <c r="CR888" s="30"/>
      <c r="CS888" s="30"/>
      <c r="CT888" s="30"/>
      <c r="CU888" s="30"/>
      <c r="CV888" s="30"/>
      <c r="CW888" s="30"/>
      <c r="CX888" s="30"/>
      <c r="CY888" s="30"/>
      <c r="CZ888" s="30"/>
      <c r="DA888" s="30"/>
      <c r="DB888" s="30"/>
      <c r="DC888" s="30"/>
      <c r="DD888" s="30"/>
      <c r="DE888" s="30"/>
      <c r="DF888" s="30"/>
      <c r="DG888" s="30"/>
      <c r="DH888" s="30"/>
      <c r="DI888" s="30"/>
      <c r="DJ888" s="30"/>
      <c r="DK888" s="30"/>
      <c r="DL888" s="30"/>
      <c r="DM888" s="30"/>
      <c r="DN888" s="30"/>
      <c r="DO888" s="30"/>
      <c r="DP888" s="30"/>
      <c r="DQ888" s="30"/>
      <c r="DR888" s="30"/>
      <c r="DS888" s="30"/>
      <c r="DT888" s="30"/>
      <c r="DU888" s="30"/>
      <c r="DV888" s="30"/>
      <c r="DW888" s="30"/>
      <c r="DX888" s="30"/>
      <c r="DY888" s="30"/>
      <c r="DZ888" s="30"/>
    </row>
    <row r="889">
      <c r="A889" s="30"/>
      <c r="B889" s="42"/>
      <c r="C889" s="43"/>
      <c r="D889" s="30"/>
      <c r="E889" s="28"/>
      <c r="F889" s="30"/>
      <c r="G889" s="30"/>
      <c r="H889" s="30"/>
      <c r="I889" s="30"/>
      <c r="J889" s="28"/>
      <c r="K889" s="30"/>
      <c r="L889" s="30"/>
      <c r="M889" s="30"/>
      <c r="N889" s="30"/>
      <c r="O889" s="28"/>
      <c r="P889" s="30"/>
      <c r="Q889" s="30"/>
      <c r="R889" s="30"/>
      <c r="S889" s="36"/>
      <c r="T889" s="30"/>
      <c r="U889" s="36"/>
      <c r="V889" s="30"/>
      <c r="W889" s="28"/>
      <c r="X889" s="30"/>
      <c r="Y889" s="30"/>
      <c r="Z889" s="30"/>
      <c r="AA889" s="30"/>
      <c r="AB889" s="30"/>
      <c r="AC889" s="28"/>
      <c r="AD889" s="30"/>
      <c r="AE889" s="30"/>
      <c r="AF889" s="30"/>
      <c r="AG889" s="29"/>
      <c r="AH889" s="30"/>
      <c r="AI889" s="36"/>
      <c r="AJ889" s="30"/>
      <c r="AK889" s="29"/>
      <c r="AL889" s="30"/>
      <c r="AM889" s="30"/>
      <c r="AN889" s="30"/>
      <c r="AO889" s="30"/>
      <c r="AP889" s="30"/>
      <c r="AQ889" s="38"/>
      <c r="AR889" s="30"/>
      <c r="AS889" s="30"/>
      <c r="AT889" s="29"/>
      <c r="AU889" s="30"/>
      <c r="AV889" s="30"/>
      <c r="AW889" s="30"/>
      <c r="AX889" s="29"/>
      <c r="AY889" s="39"/>
      <c r="AZ889" s="30"/>
      <c r="BA889" s="30"/>
      <c r="BB889" s="29"/>
      <c r="BC889" s="52"/>
      <c r="BD889" s="30"/>
      <c r="BE889" s="29"/>
      <c r="BF889" s="30"/>
      <c r="BG889" s="30"/>
      <c r="BH889" s="30"/>
      <c r="BI889" s="30"/>
      <c r="BJ889" s="30"/>
      <c r="BK889" s="30"/>
      <c r="BL889" s="30"/>
      <c r="BM889" s="30"/>
      <c r="BN889" s="30"/>
      <c r="BO889" s="30"/>
      <c r="BP889" s="30"/>
      <c r="BQ889" s="30"/>
      <c r="BR889" s="30"/>
      <c r="BS889" s="30"/>
      <c r="BT889" s="30"/>
      <c r="BU889" s="30"/>
      <c r="BV889" s="30"/>
      <c r="BW889" s="30"/>
      <c r="BX889" s="30"/>
      <c r="BY889" s="30"/>
      <c r="BZ889" s="30"/>
      <c r="CA889" s="30"/>
      <c r="CB889" s="30"/>
      <c r="CC889" s="30"/>
      <c r="CD889" s="30"/>
      <c r="CE889" s="30"/>
      <c r="CF889" s="30"/>
      <c r="CG889" s="30"/>
      <c r="CH889" s="30"/>
      <c r="CI889" s="30"/>
      <c r="CJ889" s="30"/>
      <c r="CK889" s="30"/>
      <c r="CL889" s="30"/>
      <c r="CM889" s="30"/>
      <c r="CN889" s="30"/>
      <c r="CO889" s="30"/>
      <c r="CP889" s="30"/>
      <c r="CQ889" s="30"/>
      <c r="CR889" s="30"/>
      <c r="CS889" s="30"/>
      <c r="CT889" s="30"/>
      <c r="CU889" s="30"/>
      <c r="CV889" s="30"/>
      <c r="CW889" s="30"/>
      <c r="CX889" s="30"/>
      <c r="CY889" s="30"/>
      <c r="CZ889" s="30"/>
      <c r="DA889" s="30"/>
      <c r="DB889" s="30"/>
      <c r="DC889" s="30"/>
      <c r="DD889" s="30"/>
      <c r="DE889" s="30"/>
      <c r="DF889" s="30"/>
      <c r="DG889" s="30"/>
      <c r="DH889" s="30"/>
      <c r="DI889" s="30"/>
      <c r="DJ889" s="30"/>
      <c r="DK889" s="30"/>
      <c r="DL889" s="30"/>
      <c r="DM889" s="30"/>
      <c r="DN889" s="30"/>
      <c r="DO889" s="30"/>
      <c r="DP889" s="30"/>
      <c r="DQ889" s="30"/>
      <c r="DR889" s="30"/>
      <c r="DS889" s="30"/>
      <c r="DT889" s="30"/>
      <c r="DU889" s="30"/>
      <c r="DV889" s="30"/>
      <c r="DW889" s="30"/>
      <c r="DX889" s="30"/>
      <c r="DY889" s="30"/>
      <c r="DZ889" s="30"/>
    </row>
    <row r="890">
      <c r="A890" s="30"/>
      <c r="B890" s="42"/>
      <c r="C890" s="43"/>
      <c r="D890" s="30"/>
      <c r="E890" s="28"/>
      <c r="F890" s="30"/>
      <c r="G890" s="30"/>
      <c r="H890" s="30"/>
      <c r="I890" s="30"/>
      <c r="J890" s="28"/>
      <c r="K890" s="30"/>
      <c r="L890" s="30"/>
      <c r="M890" s="30"/>
      <c r="N890" s="30"/>
      <c r="O890" s="28"/>
      <c r="P890" s="30"/>
      <c r="Q890" s="30"/>
      <c r="R890" s="30"/>
      <c r="S890" s="36"/>
      <c r="T890" s="30"/>
      <c r="U890" s="36"/>
      <c r="V890" s="30"/>
      <c r="W890" s="28"/>
      <c r="X890" s="30"/>
      <c r="Y890" s="30"/>
      <c r="Z890" s="30"/>
      <c r="AA890" s="30"/>
      <c r="AB890" s="30"/>
      <c r="AC890" s="28"/>
      <c r="AD890" s="30"/>
      <c r="AE890" s="30"/>
      <c r="AF890" s="30"/>
      <c r="AG890" s="29"/>
      <c r="AH890" s="30"/>
      <c r="AI890" s="36"/>
      <c r="AJ890" s="30"/>
      <c r="AK890" s="29"/>
      <c r="AL890" s="30"/>
      <c r="AM890" s="30"/>
      <c r="AN890" s="30"/>
      <c r="AO890" s="30"/>
      <c r="AP890" s="30"/>
      <c r="AQ890" s="38"/>
      <c r="AR890" s="30"/>
      <c r="AS890" s="30"/>
      <c r="AT890" s="29"/>
      <c r="AU890" s="30"/>
      <c r="AV890" s="30"/>
      <c r="AW890" s="30"/>
      <c r="AX890" s="29"/>
      <c r="AY890" s="39"/>
      <c r="AZ890" s="30"/>
      <c r="BA890" s="30"/>
      <c r="BB890" s="29"/>
      <c r="BC890" s="52"/>
      <c r="BD890" s="30"/>
      <c r="BE890" s="29"/>
      <c r="BF890" s="30"/>
      <c r="BG890" s="30"/>
      <c r="BH890" s="30"/>
      <c r="BI890" s="30"/>
      <c r="BJ890" s="30"/>
      <c r="BK890" s="30"/>
      <c r="BL890" s="30"/>
      <c r="BM890" s="30"/>
      <c r="BN890" s="30"/>
      <c r="BO890" s="30"/>
      <c r="BP890" s="30"/>
      <c r="BQ890" s="30"/>
      <c r="BR890" s="30"/>
      <c r="BS890" s="30"/>
      <c r="BT890" s="30"/>
      <c r="BU890" s="30"/>
      <c r="BV890" s="30"/>
      <c r="BW890" s="30"/>
      <c r="BX890" s="30"/>
      <c r="BY890" s="30"/>
      <c r="BZ890" s="30"/>
      <c r="CA890" s="30"/>
      <c r="CB890" s="30"/>
      <c r="CC890" s="30"/>
      <c r="CD890" s="30"/>
      <c r="CE890" s="30"/>
      <c r="CF890" s="30"/>
      <c r="CG890" s="30"/>
      <c r="CH890" s="30"/>
      <c r="CI890" s="30"/>
      <c r="CJ890" s="30"/>
      <c r="CK890" s="30"/>
      <c r="CL890" s="30"/>
      <c r="CM890" s="30"/>
      <c r="CN890" s="30"/>
      <c r="CO890" s="30"/>
      <c r="CP890" s="30"/>
      <c r="CQ890" s="30"/>
      <c r="CR890" s="30"/>
      <c r="CS890" s="30"/>
      <c r="CT890" s="30"/>
      <c r="CU890" s="30"/>
      <c r="CV890" s="30"/>
      <c r="CW890" s="30"/>
      <c r="CX890" s="30"/>
      <c r="CY890" s="30"/>
      <c r="CZ890" s="30"/>
      <c r="DA890" s="30"/>
      <c r="DB890" s="30"/>
      <c r="DC890" s="30"/>
      <c r="DD890" s="30"/>
      <c r="DE890" s="30"/>
      <c r="DF890" s="30"/>
      <c r="DG890" s="30"/>
      <c r="DH890" s="30"/>
      <c r="DI890" s="30"/>
      <c r="DJ890" s="30"/>
      <c r="DK890" s="30"/>
      <c r="DL890" s="30"/>
      <c r="DM890" s="30"/>
      <c r="DN890" s="30"/>
      <c r="DO890" s="30"/>
      <c r="DP890" s="30"/>
      <c r="DQ890" s="30"/>
      <c r="DR890" s="30"/>
      <c r="DS890" s="30"/>
      <c r="DT890" s="30"/>
      <c r="DU890" s="30"/>
      <c r="DV890" s="30"/>
      <c r="DW890" s="30"/>
      <c r="DX890" s="30"/>
      <c r="DY890" s="30"/>
      <c r="DZ890" s="30"/>
    </row>
    <row r="891">
      <c r="A891" s="30"/>
      <c r="B891" s="42"/>
      <c r="C891" s="43"/>
      <c r="D891" s="30"/>
      <c r="E891" s="28"/>
      <c r="F891" s="30"/>
      <c r="G891" s="30"/>
      <c r="H891" s="30"/>
      <c r="I891" s="30"/>
      <c r="J891" s="28"/>
      <c r="K891" s="30"/>
      <c r="L891" s="30"/>
      <c r="M891" s="30"/>
      <c r="N891" s="30"/>
      <c r="O891" s="28"/>
      <c r="P891" s="30"/>
      <c r="Q891" s="30"/>
      <c r="R891" s="30"/>
      <c r="S891" s="36"/>
      <c r="T891" s="30"/>
      <c r="U891" s="36"/>
      <c r="V891" s="30"/>
      <c r="W891" s="28"/>
      <c r="X891" s="30"/>
      <c r="Y891" s="30"/>
      <c r="Z891" s="30"/>
      <c r="AA891" s="30"/>
      <c r="AB891" s="30"/>
      <c r="AC891" s="28"/>
      <c r="AD891" s="30"/>
      <c r="AE891" s="30"/>
      <c r="AF891" s="30"/>
      <c r="AG891" s="29"/>
      <c r="AH891" s="30"/>
      <c r="AI891" s="36"/>
      <c r="AJ891" s="30"/>
      <c r="AK891" s="29"/>
      <c r="AL891" s="30"/>
      <c r="AM891" s="30"/>
      <c r="AN891" s="30"/>
      <c r="AO891" s="30"/>
      <c r="AP891" s="30"/>
      <c r="AQ891" s="38"/>
      <c r="AR891" s="30"/>
      <c r="AS891" s="30"/>
      <c r="AT891" s="29"/>
      <c r="AU891" s="30"/>
      <c r="AV891" s="30"/>
      <c r="AW891" s="30"/>
      <c r="AX891" s="29"/>
      <c r="AY891" s="39"/>
      <c r="AZ891" s="30"/>
      <c r="BA891" s="30"/>
      <c r="BB891" s="29"/>
      <c r="BC891" s="52"/>
      <c r="BD891" s="30"/>
      <c r="BE891" s="29"/>
      <c r="BF891" s="30"/>
      <c r="BG891" s="30"/>
      <c r="BH891" s="30"/>
      <c r="BI891" s="30"/>
      <c r="BJ891" s="30"/>
      <c r="BK891" s="30"/>
      <c r="BL891" s="30"/>
      <c r="BM891" s="30"/>
      <c r="BN891" s="30"/>
      <c r="BO891" s="30"/>
      <c r="BP891" s="30"/>
      <c r="BQ891" s="30"/>
      <c r="BR891" s="30"/>
      <c r="BS891" s="30"/>
      <c r="BT891" s="30"/>
      <c r="BU891" s="30"/>
      <c r="BV891" s="30"/>
      <c r="BW891" s="30"/>
      <c r="BX891" s="30"/>
      <c r="BY891" s="30"/>
      <c r="BZ891" s="30"/>
      <c r="CA891" s="30"/>
      <c r="CB891" s="30"/>
      <c r="CC891" s="30"/>
      <c r="CD891" s="30"/>
      <c r="CE891" s="30"/>
      <c r="CF891" s="30"/>
      <c r="CG891" s="30"/>
      <c r="CH891" s="30"/>
      <c r="CI891" s="30"/>
      <c r="CJ891" s="30"/>
      <c r="CK891" s="30"/>
      <c r="CL891" s="30"/>
      <c r="CM891" s="30"/>
      <c r="CN891" s="30"/>
      <c r="CO891" s="30"/>
      <c r="CP891" s="30"/>
      <c r="CQ891" s="30"/>
      <c r="CR891" s="30"/>
      <c r="CS891" s="30"/>
      <c r="CT891" s="30"/>
      <c r="CU891" s="30"/>
      <c r="CV891" s="30"/>
      <c r="CW891" s="30"/>
      <c r="CX891" s="30"/>
      <c r="CY891" s="30"/>
      <c r="CZ891" s="30"/>
      <c r="DA891" s="30"/>
      <c r="DB891" s="30"/>
      <c r="DC891" s="30"/>
      <c r="DD891" s="30"/>
      <c r="DE891" s="30"/>
      <c r="DF891" s="30"/>
      <c r="DG891" s="30"/>
      <c r="DH891" s="30"/>
      <c r="DI891" s="30"/>
      <c r="DJ891" s="30"/>
      <c r="DK891" s="30"/>
      <c r="DL891" s="30"/>
      <c r="DM891" s="30"/>
      <c r="DN891" s="30"/>
      <c r="DO891" s="30"/>
      <c r="DP891" s="30"/>
      <c r="DQ891" s="30"/>
      <c r="DR891" s="30"/>
      <c r="DS891" s="30"/>
      <c r="DT891" s="30"/>
      <c r="DU891" s="30"/>
      <c r="DV891" s="30"/>
      <c r="DW891" s="30"/>
      <c r="DX891" s="30"/>
      <c r="DY891" s="30"/>
      <c r="DZ891" s="30"/>
    </row>
    <row r="892">
      <c r="A892" s="30"/>
      <c r="B892" s="42"/>
      <c r="C892" s="43"/>
      <c r="D892" s="30"/>
      <c r="E892" s="28"/>
      <c r="F892" s="30"/>
      <c r="G892" s="30"/>
      <c r="H892" s="30"/>
      <c r="I892" s="30"/>
      <c r="J892" s="28"/>
      <c r="K892" s="30"/>
      <c r="L892" s="30"/>
      <c r="M892" s="30"/>
      <c r="N892" s="30"/>
      <c r="O892" s="28"/>
      <c r="P892" s="30"/>
      <c r="Q892" s="30"/>
      <c r="R892" s="30"/>
      <c r="S892" s="36"/>
      <c r="T892" s="30"/>
      <c r="U892" s="36"/>
      <c r="V892" s="30"/>
      <c r="W892" s="28"/>
      <c r="X892" s="30"/>
      <c r="Y892" s="30"/>
      <c r="Z892" s="30"/>
      <c r="AA892" s="30"/>
      <c r="AB892" s="30"/>
      <c r="AC892" s="28"/>
      <c r="AD892" s="30"/>
      <c r="AE892" s="30"/>
      <c r="AF892" s="30"/>
      <c r="AG892" s="29"/>
      <c r="AH892" s="30"/>
      <c r="AI892" s="36"/>
      <c r="AJ892" s="30"/>
      <c r="AK892" s="29"/>
      <c r="AL892" s="30"/>
      <c r="AM892" s="30"/>
      <c r="AN892" s="30"/>
      <c r="AO892" s="30"/>
      <c r="AP892" s="30"/>
      <c r="AQ892" s="38"/>
      <c r="AR892" s="30"/>
      <c r="AS892" s="30"/>
      <c r="AT892" s="29"/>
      <c r="AU892" s="30"/>
      <c r="AV892" s="30"/>
      <c r="AW892" s="30"/>
      <c r="AX892" s="29"/>
      <c r="AY892" s="39"/>
      <c r="AZ892" s="30"/>
      <c r="BA892" s="30"/>
      <c r="BB892" s="29"/>
      <c r="BC892" s="52"/>
      <c r="BD892" s="30"/>
      <c r="BE892" s="29"/>
      <c r="BF892" s="30"/>
      <c r="BG892" s="30"/>
      <c r="BH892" s="30"/>
      <c r="BI892" s="30"/>
      <c r="BJ892" s="30"/>
      <c r="BK892" s="30"/>
      <c r="BL892" s="30"/>
      <c r="BM892" s="30"/>
      <c r="BN892" s="30"/>
      <c r="BO892" s="30"/>
      <c r="BP892" s="30"/>
      <c r="BQ892" s="30"/>
      <c r="BR892" s="30"/>
      <c r="BS892" s="30"/>
      <c r="BT892" s="30"/>
      <c r="BU892" s="30"/>
      <c r="BV892" s="30"/>
      <c r="BW892" s="30"/>
      <c r="BX892" s="30"/>
      <c r="BY892" s="30"/>
      <c r="BZ892" s="30"/>
      <c r="CA892" s="30"/>
      <c r="CB892" s="30"/>
      <c r="CC892" s="30"/>
      <c r="CD892" s="30"/>
      <c r="CE892" s="30"/>
      <c r="CF892" s="30"/>
      <c r="CG892" s="30"/>
      <c r="CH892" s="30"/>
      <c r="CI892" s="30"/>
      <c r="CJ892" s="30"/>
      <c r="CK892" s="30"/>
      <c r="CL892" s="30"/>
      <c r="CM892" s="30"/>
      <c r="CN892" s="30"/>
      <c r="CO892" s="30"/>
      <c r="CP892" s="30"/>
      <c r="CQ892" s="30"/>
      <c r="CR892" s="30"/>
      <c r="CS892" s="30"/>
      <c r="CT892" s="30"/>
      <c r="CU892" s="30"/>
      <c r="CV892" s="30"/>
      <c r="CW892" s="30"/>
      <c r="CX892" s="30"/>
      <c r="CY892" s="30"/>
      <c r="CZ892" s="30"/>
      <c r="DA892" s="30"/>
      <c r="DB892" s="30"/>
      <c r="DC892" s="30"/>
      <c r="DD892" s="30"/>
      <c r="DE892" s="30"/>
      <c r="DF892" s="30"/>
      <c r="DG892" s="30"/>
      <c r="DH892" s="30"/>
      <c r="DI892" s="30"/>
      <c r="DJ892" s="30"/>
      <c r="DK892" s="30"/>
      <c r="DL892" s="30"/>
      <c r="DM892" s="30"/>
      <c r="DN892" s="30"/>
      <c r="DO892" s="30"/>
      <c r="DP892" s="30"/>
      <c r="DQ892" s="30"/>
      <c r="DR892" s="30"/>
      <c r="DS892" s="30"/>
      <c r="DT892" s="30"/>
      <c r="DU892" s="30"/>
      <c r="DV892" s="30"/>
      <c r="DW892" s="30"/>
      <c r="DX892" s="30"/>
      <c r="DY892" s="30"/>
      <c r="DZ892" s="30"/>
    </row>
    <row r="893">
      <c r="A893" s="30"/>
      <c r="B893" s="42"/>
      <c r="C893" s="43"/>
      <c r="D893" s="30"/>
      <c r="E893" s="28"/>
      <c r="F893" s="30"/>
      <c r="G893" s="30"/>
      <c r="H893" s="30"/>
      <c r="I893" s="30"/>
      <c r="J893" s="28"/>
      <c r="K893" s="30"/>
      <c r="L893" s="30"/>
      <c r="M893" s="30"/>
      <c r="N893" s="30"/>
      <c r="O893" s="28"/>
      <c r="P893" s="30"/>
      <c r="Q893" s="30"/>
      <c r="R893" s="30"/>
      <c r="S893" s="36"/>
      <c r="T893" s="30"/>
      <c r="U893" s="36"/>
      <c r="V893" s="30"/>
      <c r="W893" s="28"/>
      <c r="X893" s="30"/>
      <c r="Y893" s="30"/>
      <c r="Z893" s="30"/>
      <c r="AA893" s="30"/>
      <c r="AB893" s="30"/>
      <c r="AC893" s="28"/>
      <c r="AD893" s="30"/>
      <c r="AE893" s="30"/>
      <c r="AF893" s="30"/>
      <c r="AG893" s="29"/>
      <c r="AH893" s="30"/>
      <c r="AI893" s="36"/>
      <c r="AJ893" s="30"/>
      <c r="AK893" s="29"/>
      <c r="AL893" s="30"/>
      <c r="AM893" s="30"/>
      <c r="AN893" s="30"/>
      <c r="AO893" s="30"/>
      <c r="AP893" s="30"/>
      <c r="AQ893" s="38"/>
      <c r="AR893" s="30"/>
      <c r="AS893" s="30"/>
      <c r="AT893" s="29"/>
      <c r="AU893" s="30"/>
      <c r="AV893" s="30"/>
      <c r="AW893" s="30"/>
      <c r="AX893" s="29"/>
      <c r="AY893" s="39"/>
      <c r="AZ893" s="30"/>
      <c r="BA893" s="30"/>
      <c r="BB893" s="29"/>
      <c r="BC893" s="52"/>
      <c r="BD893" s="30"/>
      <c r="BE893" s="29"/>
      <c r="BF893" s="30"/>
      <c r="BG893" s="30"/>
      <c r="BH893" s="30"/>
      <c r="BI893" s="30"/>
      <c r="BJ893" s="30"/>
      <c r="BK893" s="30"/>
      <c r="BL893" s="30"/>
      <c r="BM893" s="30"/>
      <c r="BN893" s="30"/>
      <c r="BO893" s="30"/>
      <c r="BP893" s="30"/>
      <c r="BQ893" s="30"/>
      <c r="BR893" s="30"/>
      <c r="BS893" s="30"/>
      <c r="BT893" s="30"/>
      <c r="BU893" s="30"/>
      <c r="BV893" s="30"/>
      <c r="BW893" s="30"/>
      <c r="BX893" s="30"/>
      <c r="BY893" s="30"/>
      <c r="BZ893" s="30"/>
      <c r="CA893" s="30"/>
      <c r="CB893" s="30"/>
      <c r="CC893" s="30"/>
      <c r="CD893" s="30"/>
      <c r="CE893" s="30"/>
      <c r="CF893" s="30"/>
      <c r="CG893" s="30"/>
      <c r="CH893" s="30"/>
      <c r="CI893" s="30"/>
      <c r="CJ893" s="30"/>
      <c r="CK893" s="30"/>
      <c r="CL893" s="30"/>
      <c r="CM893" s="30"/>
      <c r="CN893" s="30"/>
      <c r="CO893" s="30"/>
      <c r="CP893" s="30"/>
      <c r="CQ893" s="30"/>
      <c r="CR893" s="30"/>
      <c r="CS893" s="30"/>
      <c r="CT893" s="30"/>
      <c r="CU893" s="30"/>
      <c r="CV893" s="30"/>
      <c r="CW893" s="30"/>
      <c r="CX893" s="30"/>
      <c r="CY893" s="30"/>
      <c r="CZ893" s="30"/>
      <c r="DA893" s="30"/>
      <c r="DB893" s="30"/>
      <c r="DC893" s="30"/>
      <c r="DD893" s="30"/>
      <c r="DE893" s="30"/>
      <c r="DF893" s="30"/>
      <c r="DG893" s="30"/>
      <c r="DH893" s="30"/>
      <c r="DI893" s="30"/>
      <c r="DJ893" s="30"/>
      <c r="DK893" s="30"/>
      <c r="DL893" s="30"/>
      <c r="DM893" s="30"/>
      <c r="DN893" s="30"/>
      <c r="DO893" s="30"/>
      <c r="DP893" s="30"/>
      <c r="DQ893" s="30"/>
      <c r="DR893" s="30"/>
      <c r="DS893" s="30"/>
      <c r="DT893" s="30"/>
      <c r="DU893" s="30"/>
      <c r="DV893" s="30"/>
      <c r="DW893" s="30"/>
      <c r="DX893" s="30"/>
      <c r="DY893" s="30"/>
      <c r="DZ893" s="30"/>
    </row>
    <row r="894">
      <c r="A894" s="30"/>
      <c r="B894" s="42"/>
      <c r="C894" s="43"/>
      <c r="D894" s="30"/>
      <c r="E894" s="28"/>
      <c r="F894" s="30"/>
      <c r="G894" s="30"/>
      <c r="H894" s="30"/>
      <c r="I894" s="30"/>
      <c r="J894" s="28"/>
      <c r="K894" s="30"/>
      <c r="L894" s="30"/>
      <c r="M894" s="30"/>
      <c r="N894" s="30"/>
      <c r="O894" s="28"/>
      <c r="P894" s="30"/>
      <c r="Q894" s="30"/>
      <c r="R894" s="30"/>
      <c r="S894" s="36"/>
      <c r="T894" s="30"/>
      <c r="U894" s="36"/>
      <c r="V894" s="30"/>
      <c r="W894" s="28"/>
      <c r="X894" s="30"/>
      <c r="Y894" s="30"/>
      <c r="Z894" s="30"/>
      <c r="AA894" s="30"/>
      <c r="AB894" s="30"/>
      <c r="AC894" s="28"/>
      <c r="AD894" s="30"/>
      <c r="AE894" s="30"/>
      <c r="AF894" s="30"/>
      <c r="AG894" s="29"/>
      <c r="AH894" s="30"/>
      <c r="AI894" s="36"/>
      <c r="AJ894" s="30"/>
      <c r="AK894" s="29"/>
      <c r="AL894" s="30"/>
      <c r="AM894" s="30"/>
      <c r="AN894" s="30"/>
      <c r="AO894" s="30"/>
      <c r="AP894" s="30"/>
      <c r="AQ894" s="38"/>
      <c r="AR894" s="30"/>
      <c r="AS894" s="30"/>
      <c r="AT894" s="29"/>
      <c r="AU894" s="30"/>
      <c r="AV894" s="30"/>
      <c r="AW894" s="30"/>
      <c r="AX894" s="29"/>
      <c r="AY894" s="39"/>
      <c r="AZ894" s="30"/>
      <c r="BA894" s="30"/>
      <c r="BB894" s="29"/>
      <c r="BC894" s="52"/>
      <c r="BD894" s="30"/>
      <c r="BE894" s="29"/>
      <c r="BF894" s="30"/>
      <c r="BG894" s="30"/>
      <c r="BH894" s="30"/>
      <c r="BI894" s="30"/>
      <c r="BJ894" s="30"/>
      <c r="BK894" s="30"/>
      <c r="BL894" s="30"/>
      <c r="BM894" s="30"/>
      <c r="BN894" s="30"/>
      <c r="BO894" s="30"/>
      <c r="BP894" s="30"/>
      <c r="BQ894" s="30"/>
      <c r="BR894" s="30"/>
      <c r="BS894" s="30"/>
      <c r="BT894" s="30"/>
      <c r="BU894" s="30"/>
      <c r="BV894" s="30"/>
      <c r="BW894" s="30"/>
      <c r="BX894" s="30"/>
      <c r="BY894" s="30"/>
      <c r="BZ894" s="30"/>
      <c r="CA894" s="30"/>
      <c r="CB894" s="30"/>
      <c r="CC894" s="30"/>
      <c r="CD894" s="30"/>
      <c r="CE894" s="30"/>
      <c r="CF894" s="30"/>
      <c r="CG894" s="30"/>
      <c r="CH894" s="30"/>
      <c r="CI894" s="30"/>
      <c r="CJ894" s="30"/>
      <c r="CK894" s="30"/>
      <c r="CL894" s="30"/>
      <c r="CM894" s="30"/>
      <c r="CN894" s="30"/>
      <c r="CO894" s="30"/>
      <c r="CP894" s="30"/>
      <c r="CQ894" s="30"/>
      <c r="CR894" s="30"/>
      <c r="CS894" s="30"/>
      <c r="CT894" s="30"/>
      <c r="CU894" s="30"/>
      <c r="CV894" s="30"/>
      <c r="CW894" s="30"/>
      <c r="CX894" s="30"/>
      <c r="CY894" s="30"/>
      <c r="CZ894" s="30"/>
      <c r="DA894" s="30"/>
      <c r="DB894" s="30"/>
      <c r="DC894" s="30"/>
      <c r="DD894" s="30"/>
      <c r="DE894" s="30"/>
      <c r="DF894" s="30"/>
      <c r="DG894" s="30"/>
      <c r="DH894" s="30"/>
      <c r="DI894" s="30"/>
      <c r="DJ894" s="30"/>
      <c r="DK894" s="30"/>
      <c r="DL894" s="30"/>
      <c r="DM894" s="30"/>
      <c r="DN894" s="30"/>
      <c r="DO894" s="30"/>
      <c r="DP894" s="30"/>
      <c r="DQ894" s="30"/>
      <c r="DR894" s="30"/>
      <c r="DS894" s="30"/>
      <c r="DT894" s="30"/>
      <c r="DU894" s="30"/>
      <c r="DV894" s="30"/>
      <c r="DW894" s="30"/>
      <c r="DX894" s="30"/>
      <c r="DY894" s="30"/>
      <c r="DZ894" s="30"/>
    </row>
    <row r="895">
      <c r="A895" s="30"/>
      <c r="B895" s="42"/>
      <c r="C895" s="43"/>
      <c r="D895" s="30"/>
      <c r="E895" s="28"/>
      <c r="F895" s="30"/>
      <c r="G895" s="30"/>
      <c r="H895" s="30"/>
      <c r="I895" s="30"/>
      <c r="J895" s="28"/>
      <c r="K895" s="30"/>
      <c r="L895" s="30"/>
      <c r="M895" s="30"/>
      <c r="N895" s="30"/>
      <c r="O895" s="28"/>
      <c r="P895" s="30"/>
      <c r="Q895" s="30"/>
      <c r="R895" s="30"/>
      <c r="S895" s="36"/>
      <c r="T895" s="30"/>
      <c r="U895" s="36"/>
      <c r="V895" s="30"/>
      <c r="W895" s="28"/>
      <c r="X895" s="30"/>
      <c r="Y895" s="30"/>
      <c r="Z895" s="30"/>
      <c r="AA895" s="30"/>
      <c r="AB895" s="30"/>
      <c r="AC895" s="28"/>
      <c r="AD895" s="30"/>
      <c r="AE895" s="30"/>
      <c r="AF895" s="30"/>
      <c r="AG895" s="29"/>
      <c r="AH895" s="30"/>
      <c r="AI895" s="36"/>
      <c r="AJ895" s="30"/>
      <c r="AK895" s="29"/>
      <c r="AL895" s="30"/>
      <c r="AM895" s="30"/>
      <c r="AN895" s="30"/>
      <c r="AO895" s="30"/>
      <c r="AP895" s="30"/>
      <c r="AQ895" s="38"/>
      <c r="AR895" s="30"/>
      <c r="AS895" s="30"/>
      <c r="AT895" s="29"/>
      <c r="AU895" s="30"/>
      <c r="AV895" s="30"/>
      <c r="AW895" s="30"/>
      <c r="AX895" s="29"/>
      <c r="AY895" s="39"/>
      <c r="AZ895" s="30"/>
      <c r="BA895" s="30"/>
      <c r="BB895" s="29"/>
      <c r="BC895" s="52"/>
      <c r="BD895" s="30"/>
      <c r="BE895" s="29"/>
      <c r="BF895" s="30"/>
      <c r="BG895" s="30"/>
      <c r="BH895" s="30"/>
      <c r="BI895" s="30"/>
      <c r="BJ895" s="30"/>
      <c r="BK895" s="30"/>
      <c r="BL895" s="30"/>
      <c r="BM895" s="30"/>
      <c r="BN895" s="30"/>
      <c r="BO895" s="30"/>
      <c r="BP895" s="30"/>
      <c r="BQ895" s="30"/>
      <c r="BR895" s="30"/>
      <c r="BS895" s="30"/>
      <c r="BT895" s="30"/>
      <c r="BU895" s="30"/>
      <c r="BV895" s="30"/>
      <c r="BW895" s="30"/>
      <c r="BX895" s="30"/>
      <c r="BY895" s="30"/>
      <c r="BZ895" s="30"/>
      <c r="CA895" s="30"/>
      <c r="CB895" s="30"/>
      <c r="CC895" s="30"/>
      <c r="CD895" s="30"/>
      <c r="CE895" s="30"/>
      <c r="CF895" s="30"/>
      <c r="CG895" s="30"/>
      <c r="CH895" s="30"/>
      <c r="CI895" s="30"/>
      <c r="CJ895" s="30"/>
      <c r="CK895" s="30"/>
      <c r="CL895" s="30"/>
      <c r="CM895" s="30"/>
      <c r="CN895" s="30"/>
      <c r="CO895" s="30"/>
      <c r="CP895" s="30"/>
      <c r="CQ895" s="30"/>
      <c r="CR895" s="30"/>
      <c r="CS895" s="30"/>
      <c r="CT895" s="30"/>
      <c r="CU895" s="30"/>
      <c r="CV895" s="30"/>
      <c r="CW895" s="30"/>
      <c r="CX895" s="30"/>
      <c r="CY895" s="30"/>
      <c r="CZ895" s="30"/>
      <c r="DA895" s="30"/>
      <c r="DB895" s="30"/>
      <c r="DC895" s="30"/>
      <c r="DD895" s="30"/>
      <c r="DE895" s="30"/>
      <c r="DF895" s="30"/>
      <c r="DG895" s="30"/>
      <c r="DH895" s="30"/>
      <c r="DI895" s="30"/>
      <c r="DJ895" s="30"/>
      <c r="DK895" s="30"/>
      <c r="DL895" s="30"/>
      <c r="DM895" s="30"/>
      <c r="DN895" s="30"/>
      <c r="DO895" s="30"/>
      <c r="DP895" s="30"/>
      <c r="DQ895" s="30"/>
      <c r="DR895" s="30"/>
      <c r="DS895" s="30"/>
      <c r="DT895" s="30"/>
      <c r="DU895" s="30"/>
      <c r="DV895" s="30"/>
      <c r="DW895" s="30"/>
      <c r="DX895" s="30"/>
      <c r="DY895" s="30"/>
      <c r="DZ895" s="30"/>
    </row>
    <row r="896">
      <c r="A896" s="30"/>
      <c r="B896" s="42"/>
      <c r="C896" s="43"/>
      <c r="D896" s="30"/>
      <c r="E896" s="28"/>
      <c r="F896" s="30"/>
      <c r="G896" s="30"/>
      <c r="H896" s="30"/>
      <c r="I896" s="30"/>
      <c r="J896" s="28"/>
      <c r="K896" s="30"/>
      <c r="L896" s="30"/>
      <c r="M896" s="30"/>
      <c r="N896" s="30"/>
      <c r="O896" s="28"/>
      <c r="P896" s="30"/>
      <c r="Q896" s="30"/>
      <c r="R896" s="30"/>
      <c r="S896" s="36"/>
      <c r="T896" s="30"/>
      <c r="U896" s="36"/>
      <c r="V896" s="30"/>
      <c r="W896" s="28"/>
      <c r="X896" s="30"/>
      <c r="Y896" s="30"/>
      <c r="Z896" s="30"/>
      <c r="AA896" s="30"/>
      <c r="AB896" s="30"/>
      <c r="AC896" s="28"/>
      <c r="AD896" s="30"/>
      <c r="AE896" s="30"/>
      <c r="AF896" s="30"/>
      <c r="AG896" s="29"/>
      <c r="AH896" s="30"/>
      <c r="AI896" s="36"/>
      <c r="AJ896" s="30"/>
      <c r="AK896" s="29"/>
      <c r="AL896" s="30"/>
      <c r="AM896" s="30"/>
      <c r="AN896" s="30"/>
      <c r="AO896" s="30"/>
      <c r="AP896" s="30"/>
      <c r="AQ896" s="38"/>
      <c r="AR896" s="30"/>
      <c r="AS896" s="30"/>
      <c r="AT896" s="29"/>
      <c r="AU896" s="30"/>
      <c r="AV896" s="30"/>
      <c r="AW896" s="30"/>
      <c r="AX896" s="29"/>
      <c r="AY896" s="39"/>
      <c r="AZ896" s="30"/>
      <c r="BA896" s="30"/>
      <c r="BB896" s="29"/>
      <c r="BC896" s="52"/>
      <c r="BD896" s="30"/>
      <c r="BE896" s="29"/>
      <c r="BF896" s="30"/>
      <c r="BG896" s="30"/>
      <c r="BH896" s="30"/>
      <c r="BI896" s="30"/>
      <c r="BJ896" s="30"/>
      <c r="BK896" s="30"/>
      <c r="BL896" s="30"/>
      <c r="BM896" s="30"/>
      <c r="BN896" s="30"/>
      <c r="BO896" s="30"/>
      <c r="BP896" s="30"/>
      <c r="BQ896" s="30"/>
      <c r="BR896" s="30"/>
      <c r="BS896" s="30"/>
      <c r="BT896" s="30"/>
      <c r="BU896" s="30"/>
      <c r="BV896" s="30"/>
      <c r="BW896" s="30"/>
      <c r="BX896" s="30"/>
      <c r="BY896" s="30"/>
      <c r="BZ896" s="30"/>
      <c r="CA896" s="30"/>
      <c r="CB896" s="30"/>
      <c r="CC896" s="30"/>
      <c r="CD896" s="30"/>
      <c r="CE896" s="30"/>
      <c r="CF896" s="30"/>
      <c r="CG896" s="30"/>
      <c r="CH896" s="30"/>
      <c r="CI896" s="30"/>
      <c r="CJ896" s="30"/>
      <c r="CK896" s="30"/>
      <c r="CL896" s="30"/>
      <c r="CM896" s="30"/>
      <c r="CN896" s="30"/>
      <c r="CO896" s="30"/>
      <c r="CP896" s="30"/>
      <c r="CQ896" s="30"/>
      <c r="CR896" s="30"/>
      <c r="CS896" s="30"/>
      <c r="CT896" s="30"/>
      <c r="CU896" s="30"/>
      <c r="CV896" s="30"/>
      <c r="CW896" s="30"/>
      <c r="CX896" s="30"/>
      <c r="CY896" s="30"/>
      <c r="CZ896" s="30"/>
      <c r="DA896" s="30"/>
      <c r="DB896" s="30"/>
      <c r="DC896" s="30"/>
      <c r="DD896" s="30"/>
      <c r="DE896" s="30"/>
      <c r="DF896" s="30"/>
      <c r="DG896" s="30"/>
      <c r="DH896" s="30"/>
      <c r="DI896" s="30"/>
      <c r="DJ896" s="30"/>
      <c r="DK896" s="30"/>
      <c r="DL896" s="30"/>
      <c r="DM896" s="30"/>
      <c r="DN896" s="30"/>
      <c r="DO896" s="30"/>
      <c r="DP896" s="30"/>
      <c r="DQ896" s="30"/>
      <c r="DR896" s="30"/>
      <c r="DS896" s="30"/>
      <c r="DT896" s="30"/>
      <c r="DU896" s="30"/>
      <c r="DV896" s="30"/>
      <c r="DW896" s="30"/>
      <c r="DX896" s="30"/>
      <c r="DY896" s="30"/>
      <c r="DZ896" s="30"/>
    </row>
    <row r="897">
      <c r="A897" s="30"/>
      <c r="B897" s="42"/>
      <c r="C897" s="43"/>
      <c r="D897" s="30"/>
      <c r="E897" s="28"/>
      <c r="F897" s="30"/>
      <c r="G897" s="30"/>
      <c r="H897" s="30"/>
      <c r="I897" s="30"/>
      <c r="J897" s="28"/>
      <c r="K897" s="30"/>
      <c r="L897" s="30"/>
      <c r="M897" s="30"/>
      <c r="N897" s="30"/>
      <c r="O897" s="28"/>
      <c r="P897" s="30"/>
      <c r="Q897" s="30"/>
      <c r="R897" s="30"/>
      <c r="S897" s="36"/>
      <c r="T897" s="30"/>
      <c r="U897" s="36"/>
      <c r="V897" s="30"/>
      <c r="W897" s="28"/>
      <c r="X897" s="30"/>
      <c r="Y897" s="30"/>
      <c r="Z897" s="30"/>
      <c r="AA897" s="30"/>
      <c r="AB897" s="30"/>
      <c r="AC897" s="28"/>
      <c r="AD897" s="30"/>
      <c r="AE897" s="30"/>
      <c r="AF897" s="30"/>
      <c r="AG897" s="29"/>
      <c r="AH897" s="30"/>
      <c r="AI897" s="36"/>
      <c r="AJ897" s="30"/>
      <c r="AK897" s="29"/>
      <c r="AL897" s="30"/>
      <c r="AM897" s="30"/>
      <c r="AN897" s="30"/>
      <c r="AO897" s="30"/>
      <c r="AP897" s="30"/>
      <c r="AQ897" s="38"/>
      <c r="AR897" s="30"/>
      <c r="AS897" s="30"/>
      <c r="AT897" s="29"/>
      <c r="AU897" s="30"/>
      <c r="AV897" s="30"/>
      <c r="AW897" s="30"/>
      <c r="AX897" s="29"/>
      <c r="AY897" s="39"/>
      <c r="AZ897" s="30"/>
      <c r="BA897" s="30"/>
      <c r="BB897" s="29"/>
      <c r="BC897" s="52"/>
      <c r="BD897" s="30"/>
      <c r="BE897" s="29"/>
      <c r="BF897" s="30"/>
      <c r="BG897" s="30"/>
      <c r="BH897" s="30"/>
      <c r="BI897" s="30"/>
      <c r="BJ897" s="30"/>
      <c r="BK897" s="30"/>
      <c r="BL897" s="30"/>
      <c r="BM897" s="30"/>
      <c r="BN897" s="30"/>
      <c r="BO897" s="30"/>
      <c r="BP897" s="30"/>
      <c r="BQ897" s="30"/>
      <c r="BR897" s="30"/>
      <c r="BS897" s="30"/>
      <c r="BT897" s="30"/>
      <c r="BU897" s="30"/>
      <c r="BV897" s="30"/>
      <c r="BW897" s="30"/>
      <c r="BX897" s="30"/>
      <c r="BY897" s="30"/>
      <c r="BZ897" s="30"/>
      <c r="CA897" s="30"/>
      <c r="CB897" s="30"/>
      <c r="CC897" s="30"/>
      <c r="CD897" s="30"/>
      <c r="CE897" s="30"/>
      <c r="CF897" s="30"/>
      <c r="CG897" s="30"/>
      <c r="CH897" s="30"/>
      <c r="CI897" s="30"/>
      <c r="CJ897" s="30"/>
      <c r="CK897" s="30"/>
      <c r="CL897" s="30"/>
      <c r="CM897" s="30"/>
      <c r="CN897" s="30"/>
      <c r="CO897" s="30"/>
      <c r="CP897" s="30"/>
      <c r="CQ897" s="30"/>
      <c r="CR897" s="30"/>
      <c r="CS897" s="30"/>
      <c r="CT897" s="30"/>
      <c r="CU897" s="30"/>
      <c r="CV897" s="30"/>
      <c r="CW897" s="30"/>
      <c r="CX897" s="30"/>
      <c r="CY897" s="30"/>
      <c r="CZ897" s="30"/>
      <c r="DA897" s="30"/>
      <c r="DB897" s="30"/>
      <c r="DC897" s="30"/>
      <c r="DD897" s="30"/>
      <c r="DE897" s="30"/>
      <c r="DF897" s="30"/>
      <c r="DG897" s="30"/>
      <c r="DH897" s="30"/>
      <c r="DI897" s="30"/>
      <c r="DJ897" s="30"/>
      <c r="DK897" s="30"/>
      <c r="DL897" s="30"/>
      <c r="DM897" s="30"/>
      <c r="DN897" s="30"/>
      <c r="DO897" s="30"/>
      <c r="DP897" s="30"/>
      <c r="DQ897" s="30"/>
      <c r="DR897" s="30"/>
      <c r="DS897" s="30"/>
      <c r="DT897" s="30"/>
      <c r="DU897" s="30"/>
      <c r="DV897" s="30"/>
      <c r="DW897" s="30"/>
      <c r="DX897" s="30"/>
      <c r="DY897" s="30"/>
      <c r="DZ897" s="30"/>
    </row>
    <row r="898">
      <c r="A898" s="30"/>
      <c r="B898" s="42"/>
      <c r="C898" s="43"/>
      <c r="D898" s="30"/>
      <c r="E898" s="28"/>
      <c r="F898" s="30"/>
      <c r="G898" s="30"/>
      <c r="H898" s="30"/>
      <c r="I898" s="30"/>
      <c r="J898" s="28"/>
      <c r="K898" s="30"/>
      <c r="L898" s="30"/>
      <c r="M898" s="30"/>
      <c r="N898" s="30"/>
      <c r="O898" s="28"/>
      <c r="P898" s="30"/>
      <c r="Q898" s="30"/>
      <c r="R898" s="30"/>
      <c r="S898" s="36"/>
      <c r="T898" s="30"/>
      <c r="U898" s="36"/>
      <c r="V898" s="30"/>
      <c r="W898" s="28"/>
      <c r="X898" s="30"/>
      <c r="Y898" s="30"/>
      <c r="Z898" s="30"/>
      <c r="AA898" s="30"/>
      <c r="AB898" s="30"/>
      <c r="AC898" s="28"/>
      <c r="AD898" s="30"/>
      <c r="AE898" s="30"/>
      <c r="AF898" s="30"/>
      <c r="AG898" s="29"/>
      <c r="AH898" s="30"/>
      <c r="AI898" s="36"/>
      <c r="AJ898" s="30"/>
      <c r="AK898" s="29"/>
      <c r="AL898" s="30"/>
      <c r="AM898" s="30"/>
      <c r="AN898" s="30"/>
      <c r="AO898" s="30"/>
      <c r="AP898" s="30"/>
      <c r="AQ898" s="38"/>
      <c r="AR898" s="30"/>
      <c r="AS898" s="30"/>
      <c r="AT898" s="29"/>
      <c r="AU898" s="30"/>
      <c r="AV898" s="30"/>
      <c r="AW898" s="30"/>
      <c r="AX898" s="29"/>
      <c r="AY898" s="39"/>
      <c r="AZ898" s="30"/>
      <c r="BA898" s="30"/>
      <c r="BB898" s="29"/>
      <c r="BC898" s="52"/>
      <c r="BD898" s="30"/>
      <c r="BE898" s="29"/>
      <c r="BF898" s="30"/>
      <c r="BG898" s="30"/>
      <c r="BH898" s="30"/>
      <c r="BI898" s="30"/>
      <c r="BJ898" s="30"/>
      <c r="BK898" s="30"/>
      <c r="BL898" s="30"/>
      <c r="BM898" s="30"/>
      <c r="BN898" s="30"/>
      <c r="BO898" s="30"/>
      <c r="BP898" s="30"/>
      <c r="BQ898" s="30"/>
      <c r="BR898" s="30"/>
      <c r="BS898" s="30"/>
      <c r="BT898" s="30"/>
      <c r="BU898" s="30"/>
      <c r="BV898" s="30"/>
      <c r="BW898" s="30"/>
      <c r="BX898" s="30"/>
      <c r="BY898" s="30"/>
      <c r="BZ898" s="30"/>
      <c r="CA898" s="30"/>
      <c r="CB898" s="30"/>
      <c r="CC898" s="30"/>
      <c r="CD898" s="30"/>
      <c r="CE898" s="30"/>
      <c r="CF898" s="30"/>
      <c r="CG898" s="30"/>
      <c r="CH898" s="30"/>
      <c r="CI898" s="30"/>
      <c r="CJ898" s="30"/>
      <c r="CK898" s="30"/>
      <c r="CL898" s="30"/>
      <c r="CM898" s="30"/>
      <c r="CN898" s="30"/>
      <c r="CO898" s="30"/>
      <c r="CP898" s="30"/>
      <c r="CQ898" s="30"/>
      <c r="CR898" s="30"/>
      <c r="CS898" s="30"/>
      <c r="CT898" s="30"/>
      <c r="CU898" s="30"/>
      <c r="CV898" s="30"/>
      <c r="CW898" s="30"/>
      <c r="CX898" s="30"/>
      <c r="CY898" s="30"/>
      <c r="CZ898" s="30"/>
      <c r="DA898" s="30"/>
      <c r="DB898" s="30"/>
      <c r="DC898" s="30"/>
      <c r="DD898" s="30"/>
      <c r="DE898" s="30"/>
      <c r="DF898" s="30"/>
      <c r="DG898" s="30"/>
      <c r="DH898" s="30"/>
      <c r="DI898" s="30"/>
      <c r="DJ898" s="30"/>
      <c r="DK898" s="30"/>
      <c r="DL898" s="30"/>
      <c r="DM898" s="30"/>
      <c r="DN898" s="30"/>
      <c r="DO898" s="30"/>
      <c r="DP898" s="30"/>
      <c r="DQ898" s="30"/>
      <c r="DR898" s="30"/>
      <c r="DS898" s="30"/>
      <c r="DT898" s="30"/>
      <c r="DU898" s="30"/>
      <c r="DV898" s="30"/>
      <c r="DW898" s="30"/>
      <c r="DX898" s="30"/>
      <c r="DY898" s="30"/>
      <c r="DZ898" s="30"/>
    </row>
    <row r="899">
      <c r="A899" s="30"/>
      <c r="B899" s="42"/>
      <c r="C899" s="43"/>
      <c r="D899" s="30"/>
      <c r="E899" s="28"/>
      <c r="F899" s="30"/>
      <c r="G899" s="30"/>
      <c r="H899" s="30"/>
      <c r="I899" s="30"/>
      <c r="J899" s="28"/>
      <c r="K899" s="30"/>
      <c r="L899" s="30"/>
      <c r="M899" s="30"/>
      <c r="N899" s="30"/>
      <c r="O899" s="28"/>
      <c r="P899" s="30"/>
      <c r="Q899" s="30"/>
      <c r="R899" s="30"/>
      <c r="S899" s="36"/>
      <c r="T899" s="30"/>
      <c r="U899" s="36"/>
      <c r="V899" s="30"/>
      <c r="W899" s="28"/>
      <c r="X899" s="30"/>
      <c r="Y899" s="30"/>
      <c r="Z899" s="30"/>
      <c r="AA899" s="30"/>
      <c r="AB899" s="30"/>
      <c r="AC899" s="28"/>
      <c r="AD899" s="30"/>
      <c r="AE899" s="30"/>
      <c r="AF899" s="30"/>
      <c r="AG899" s="29"/>
      <c r="AH899" s="30"/>
      <c r="AI899" s="36"/>
      <c r="AJ899" s="30"/>
      <c r="AK899" s="29"/>
      <c r="AL899" s="30"/>
      <c r="AM899" s="30"/>
      <c r="AN899" s="30"/>
      <c r="AO899" s="30"/>
      <c r="AP899" s="30"/>
      <c r="AQ899" s="38"/>
      <c r="AR899" s="30"/>
      <c r="AS899" s="30"/>
      <c r="AT899" s="29"/>
      <c r="AU899" s="30"/>
      <c r="AV899" s="30"/>
      <c r="AW899" s="30"/>
      <c r="AX899" s="29"/>
      <c r="AY899" s="39"/>
      <c r="AZ899" s="30"/>
      <c r="BA899" s="30"/>
      <c r="BB899" s="29"/>
      <c r="BC899" s="52"/>
      <c r="BD899" s="30"/>
      <c r="BE899" s="29"/>
      <c r="BF899" s="30"/>
      <c r="BG899" s="30"/>
      <c r="BH899" s="30"/>
      <c r="BI899" s="30"/>
      <c r="BJ899" s="30"/>
      <c r="BK899" s="30"/>
      <c r="BL899" s="30"/>
      <c r="BM899" s="30"/>
      <c r="BN899" s="30"/>
      <c r="BO899" s="30"/>
      <c r="BP899" s="30"/>
      <c r="BQ899" s="30"/>
      <c r="BR899" s="30"/>
      <c r="BS899" s="30"/>
      <c r="BT899" s="30"/>
      <c r="BU899" s="30"/>
      <c r="BV899" s="30"/>
      <c r="BW899" s="30"/>
      <c r="BX899" s="30"/>
      <c r="BY899" s="30"/>
      <c r="BZ899" s="30"/>
      <c r="CA899" s="30"/>
      <c r="CB899" s="30"/>
      <c r="CC899" s="30"/>
      <c r="CD899" s="30"/>
      <c r="CE899" s="30"/>
      <c r="CF899" s="30"/>
      <c r="CG899" s="30"/>
      <c r="CH899" s="30"/>
      <c r="CI899" s="30"/>
      <c r="CJ899" s="30"/>
      <c r="CK899" s="30"/>
      <c r="CL899" s="30"/>
      <c r="CM899" s="30"/>
      <c r="CN899" s="30"/>
      <c r="CO899" s="30"/>
      <c r="CP899" s="30"/>
      <c r="CQ899" s="30"/>
      <c r="CR899" s="30"/>
      <c r="CS899" s="30"/>
      <c r="CT899" s="30"/>
      <c r="CU899" s="30"/>
      <c r="CV899" s="30"/>
      <c r="CW899" s="30"/>
      <c r="CX899" s="30"/>
      <c r="CY899" s="30"/>
      <c r="CZ899" s="30"/>
      <c r="DA899" s="30"/>
      <c r="DB899" s="30"/>
      <c r="DC899" s="30"/>
      <c r="DD899" s="30"/>
      <c r="DE899" s="30"/>
      <c r="DF899" s="30"/>
      <c r="DG899" s="30"/>
      <c r="DH899" s="30"/>
      <c r="DI899" s="30"/>
      <c r="DJ899" s="30"/>
      <c r="DK899" s="30"/>
      <c r="DL899" s="30"/>
      <c r="DM899" s="30"/>
      <c r="DN899" s="30"/>
      <c r="DO899" s="30"/>
      <c r="DP899" s="30"/>
      <c r="DQ899" s="30"/>
      <c r="DR899" s="30"/>
      <c r="DS899" s="30"/>
      <c r="DT899" s="30"/>
      <c r="DU899" s="30"/>
      <c r="DV899" s="30"/>
      <c r="DW899" s="30"/>
      <c r="DX899" s="30"/>
      <c r="DY899" s="30"/>
      <c r="DZ899" s="30"/>
    </row>
    <row r="900">
      <c r="A900" s="30"/>
      <c r="B900" s="42"/>
      <c r="C900" s="43"/>
      <c r="D900" s="30"/>
      <c r="E900" s="28"/>
      <c r="F900" s="30"/>
      <c r="G900" s="30"/>
      <c r="H900" s="30"/>
      <c r="I900" s="30"/>
      <c r="J900" s="28"/>
      <c r="K900" s="30"/>
      <c r="L900" s="30"/>
      <c r="M900" s="30"/>
      <c r="N900" s="30"/>
      <c r="O900" s="28"/>
      <c r="P900" s="30"/>
      <c r="Q900" s="30"/>
      <c r="R900" s="30"/>
      <c r="S900" s="36"/>
      <c r="T900" s="30"/>
      <c r="U900" s="36"/>
      <c r="V900" s="30"/>
      <c r="W900" s="28"/>
      <c r="X900" s="30"/>
      <c r="Y900" s="30"/>
      <c r="Z900" s="30"/>
      <c r="AA900" s="30"/>
      <c r="AB900" s="30"/>
      <c r="AC900" s="28"/>
      <c r="AD900" s="30"/>
      <c r="AE900" s="30"/>
      <c r="AF900" s="30"/>
      <c r="AG900" s="29"/>
      <c r="AH900" s="30"/>
      <c r="AI900" s="36"/>
      <c r="AJ900" s="30"/>
      <c r="AK900" s="29"/>
      <c r="AL900" s="30"/>
      <c r="AM900" s="30"/>
      <c r="AN900" s="30"/>
      <c r="AO900" s="30"/>
      <c r="AP900" s="30"/>
      <c r="AQ900" s="38"/>
      <c r="AR900" s="30"/>
      <c r="AS900" s="30"/>
      <c r="AT900" s="29"/>
      <c r="AU900" s="30"/>
      <c r="AV900" s="30"/>
      <c r="AW900" s="30"/>
      <c r="AX900" s="29"/>
      <c r="AY900" s="39"/>
      <c r="AZ900" s="30"/>
      <c r="BA900" s="30"/>
      <c r="BB900" s="29"/>
      <c r="BC900" s="52"/>
      <c r="BD900" s="30"/>
      <c r="BE900" s="29"/>
      <c r="BF900" s="30"/>
      <c r="BG900" s="30"/>
      <c r="BH900" s="30"/>
      <c r="BI900" s="30"/>
      <c r="BJ900" s="30"/>
      <c r="BK900" s="30"/>
      <c r="BL900" s="30"/>
      <c r="BM900" s="30"/>
      <c r="BN900" s="30"/>
      <c r="BO900" s="30"/>
      <c r="BP900" s="30"/>
      <c r="BQ900" s="30"/>
      <c r="BR900" s="30"/>
      <c r="BS900" s="30"/>
      <c r="BT900" s="30"/>
      <c r="BU900" s="30"/>
      <c r="BV900" s="30"/>
      <c r="BW900" s="30"/>
      <c r="BX900" s="30"/>
      <c r="BY900" s="30"/>
      <c r="BZ900" s="30"/>
      <c r="CA900" s="30"/>
      <c r="CB900" s="30"/>
      <c r="CC900" s="30"/>
      <c r="CD900" s="30"/>
      <c r="CE900" s="30"/>
      <c r="CF900" s="30"/>
      <c r="CG900" s="30"/>
      <c r="CH900" s="30"/>
      <c r="CI900" s="30"/>
      <c r="CJ900" s="30"/>
      <c r="CK900" s="30"/>
      <c r="CL900" s="30"/>
      <c r="CM900" s="30"/>
      <c r="CN900" s="30"/>
      <c r="CO900" s="30"/>
      <c r="CP900" s="30"/>
      <c r="CQ900" s="30"/>
      <c r="CR900" s="30"/>
      <c r="CS900" s="30"/>
      <c r="CT900" s="30"/>
      <c r="CU900" s="30"/>
      <c r="CV900" s="30"/>
      <c r="CW900" s="30"/>
      <c r="CX900" s="30"/>
      <c r="CY900" s="30"/>
      <c r="CZ900" s="30"/>
      <c r="DA900" s="30"/>
      <c r="DB900" s="30"/>
      <c r="DC900" s="30"/>
      <c r="DD900" s="30"/>
      <c r="DE900" s="30"/>
      <c r="DF900" s="30"/>
      <c r="DG900" s="30"/>
      <c r="DH900" s="30"/>
      <c r="DI900" s="30"/>
      <c r="DJ900" s="30"/>
      <c r="DK900" s="30"/>
      <c r="DL900" s="30"/>
      <c r="DM900" s="30"/>
      <c r="DN900" s="30"/>
      <c r="DO900" s="30"/>
      <c r="DP900" s="30"/>
      <c r="DQ900" s="30"/>
      <c r="DR900" s="30"/>
      <c r="DS900" s="30"/>
      <c r="DT900" s="30"/>
      <c r="DU900" s="30"/>
      <c r="DV900" s="30"/>
      <c r="DW900" s="30"/>
      <c r="DX900" s="30"/>
      <c r="DY900" s="30"/>
      <c r="DZ900" s="30"/>
    </row>
    <row r="901">
      <c r="A901" s="30"/>
      <c r="B901" s="42"/>
      <c r="C901" s="43"/>
      <c r="D901" s="30"/>
      <c r="E901" s="28"/>
      <c r="F901" s="30"/>
      <c r="G901" s="30"/>
      <c r="H901" s="30"/>
      <c r="I901" s="30"/>
      <c r="J901" s="28"/>
      <c r="K901" s="30"/>
      <c r="L901" s="30"/>
      <c r="M901" s="30"/>
      <c r="N901" s="30"/>
      <c r="O901" s="28"/>
      <c r="P901" s="30"/>
      <c r="Q901" s="30"/>
      <c r="R901" s="30"/>
      <c r="S901" s="36"/>
      <c r="T901" s="30"/>
      <c r="U901" s="36"/>
      <c r="V901" s="30"/>
      <c r="W901" s="28"/>
      <c r="X901" s="30"/>
      <c r="Y901" s="30"/>
      <c r="Z901" s="30"/>
      <c r="AA901" s="30"/>
      <c r="AB901" s="30"/>
      <c r="AC901" s="28"/>
      <c r="AD901" s="30"/>
      <c r="AE901" s="30"/>
      <c r="AF901" s="30"/>
      <c r="AG901" s="29"/>
      <c r="AH901" s="30"/>
      <c r="AI901" s="36"/>
      <c r="AJ901" s="30"/>
      <c r="AK901" s="29"/>
      <c r="AL901" s="30"/>
      <c r="AM901" s="30"/>
      <c r="AN901" s="30"/>
      <c r="AO901" s="30"/>
      <c r="AP901" s="30"/>
      <c r="AQ901" s="38"/>
      <c r="AR901" s="30"/>
      <c r="AS901" s="30"/>
      <c r="AT901" s="29"/>
      <c r="AU901" s="30"/>
      <c r="AV901" s="30"/>
      <c r="AW901" s="30"/>
      <c r="AX901" s="29"/>
      <c r="AY901" s="39"/>
      <c r="AZ901" s="30"/>
      <c r="BA901" s="30"/>
      <c r="BB901" s="29"/>
      <c r="BC901" s="52"/>
      <c r="BD901" s="30"/>
      <c r="BE901" s="29"/>
      <c r="BF901" s="30"/>
      <c r="BG901" s="30"/>
      <c r="BH901" s="30"/>
      <c r="BI901" s="30"/>
      <c r="BJ901" s="30"/>
      <c r="BK901" s="30"/>
      <c r="BL901" s="30"/>
      <c r="BM901" s="30"/>
      <c r="BN901" s="30"/>
      <c r="BO901" s="30"/>
      <c r="BP901" s="30"/>
      <c r="BQ901" s="30"/>
      <c r="BR901" s="30"/>
      <c r="BS901" s="30"/>
      <c r="BT901" s="30"/>
      <c r="BU901" s="30"/>
      <c r="BV901" s="30"/>
      <c r="BW901" s="30"/>
      <c r="BX901" s="30"/>
      <c r="BY901" s="30"/>
      <c r="BZ901" s="30"/>
      <c r="CA901" s="30"/>
      <c r="CB901" s="30"/>
      <c r="CC901" s="30"/>
      <c r="CD901" s="30"/>
      <c r="CE901" s="30"/>
      <c r="CF901" s="30"/>
      <c r="CG901" s="30"/>
      <c r="CH901" s="30"/>
      <c r="CI901" s="30"/>
      <c r="CJ901" s="30"/>
      <c r="CK901" s="30"/>
      <c r="CL901" s="30"/>
      <c r="CM901" s="30"/>
      <c r="CN901" s="30"/>
      <c r="CO901" s="30"/>
      <c r="CP901" s="30"/>
      <c r="CQ901" s="30"/>
      <c r="CR901" s="30"/>
      <c r="CS901" s="30"/>
      <c r="CT901" s="30"/>
      <c r="CU901" s="30"/>
      <c r="CV901" s="30"/>
      <c r="CW901" s="30"/>
      <c r="CX901" s="30"/>
      <c r="CY901" s="30"/>
      <c r="CZ901" s="30"/>
      <c r="DA901" s="30"/>
      <c r="DB901" s="30"/>
      <c r="DC901" s="30"/>
      <c r="DD901" s="30"/>
      <c r="DE901" s="30"/>
      <c r="DF901" s="30"/>
      <c r="DG901" s="30"/>
      <c r="DH901" s="30"/>
      <c r="DI901" s="30"/>
      <c r="DJ901" s="30"/>
      <c r="DK901" s="30"/>
      <c r="DL901" s="30"/>
      <c r="DM901" s="30"/>
      <c r="DN901" s="30"/>
      <c r="DO901" s="30"/>
      <c r="DP901" s="30"/>
      <c r="DQ901" s="30"/>
      <c r="DR901" s="30"/>
      <c r="DS901" s="30"/>
      <c r="DT901" s="30"/>
      <c r="DU901" s="30"/>
      <c r="DV901" s="30"/>
      <c r="DW901" s="30"/>
      <c r="DX901" s="30"/>
      <c r="DY901" s="30"/>
      <c r="DZ901" s="30"/>
    </row>
    <row r="902">
      <c r="A902" s="30"/>
      <c r="B902" s="42"/>
      <c r="C902" s="43"/>
      <c r="D902" s="30"/>
      <c r="E902" s="28"/>
      <c r="F902" s="30"/>
      <c r="G902" s="30"/>
      <c r="H902" s="30"/>
      <c r="I902" s="30"/>
      <c r="J902" s="28"/>
      <c r="K902" s="30"/>
      <c r="L902" s="30"/>
      <c r="M902" s="30"/>
      <c r="N902" s="30"/>
      <c r="O902" s="28"/>
      <c r="P902" s="30"/>
      <c r="Q902" s="30"/>
      <c r="R902" s="30"/>
      <c r="S902" s="36"/>
      <c r="T902" s="30"/>
      <c r="U902" s="36"/>
      <c r="V902" s="30"/>
      <c r="W902" s="28"/>
      <c r="X902" s="30"/>
      <c r="Y902" s="30"/>
      <c r="Z902" s="30"/>
      <c r="AA902" s="30"/>
      <c r="AB902" s="30"/>
      <c r="AC902" s="28"/>
      <c r="AD902" s="30"/>
      <c r="AE902" s="30"/>
      <c r="AF902" s="30"/>
      <c r="AG902" s="29"/>
      <c r="AH902" s="30"/>
      <c r="AI902" s="36"/>
      <c r="AJ902" s="30"/>
      <c r="AK902" s="29"/>
      <c r="AL902" s="30"/>
      <c r="AM902" s="30"/>
      <c r="AN902" s="30"/>
      <c r="AO902" s="30"/>
      <c r="AP902" s="30"/>
      <c r="AQ902" s="38"/>
      <c r="AR902" s="30"/>
      <c r="AS902" s="30"/>
      <c r="AT902" s="29"/>
      <c r="AU902" s="30"/>
      <c r="AV902" s="30"/>
      <c r="AW902" s="30"/>
      <c r="AX902" s="29"/>
      <c r="AY902" s="39"/>
      <c r="AZ902" s="30"/>
      <c r="BA902" s="30"/>
      <c r="BB902" s="29"/>
      <c r="BC902" s="52"/>
      <c r="BD902" s="30"/>
      <c r="BE902" s="29"/>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row>
    <row r="903">
      <c r="A903" s="30"/>
      <c r="B903" s="42"/>
      <c r="C903" s="43"/>
      <c r="D903" s="30"/>
      <c r="E903" s="28"/>
      <c r="F903" s="30"/>
      <c r="G903" s="30"/>
      <c r="H903" s="30"/>
      <c r="I903" s="30"/>
      <c r="J903" s="28"/>
      <c r="K903" s="30"/>
      <c r="L903" s="30"/>
      <c r="M903" s="30"/>
      <c r="N903" s="30"/>
      <c r="O903" s="28"/>
      <c r="P903" s="30"/>
      <c r="Q903" s="30"/>
      <c r="R903" s="30"/>
      <c r="S903" s="36"/>
      <c r="T903" s="30"/>
      <c r="U903" s="36"/>
      <c r="V903" s="30"/>
      <c r="W903" s="28"/>
      <c r="X903" s="30"/>
      <c r="Y903" s="30"/>
      <c r="Z903" s="30"/>
      <c r="AA903" s="30"/>
      <c r="AB903" s="30"/>
      <c r="AC903" s="28"/>
      <c r="AD903" s="30"/>
      <c r="AE903" s="30"/>
      <c r="AF903" s="30"/>
      <c r="AG903" s="29"/>
      <c r="AH903" s="30"/>
      <c r="AI903" s="36"/>
      <c r="AJ903" s="30"/>
      <c r="AK903" s="29"/>
      <c r="AL903" s="30"/>
      <c r="AM903" s="30"/>
      <c r="AN903" s="30"/>
      <c r="AO903" s="30"/>
      <c r="AP903" s="30"/>
      <c r="AQ903" s="38"/>
      <c r="AR903" s="30"/>
      <c r="AS903" s="30"/>
      <c r="AT903" s="29"/>
      <c r="AU903" s="30"/>
      <c r="AV903" s="30"/>
      <c r="AW903" s="30"/>
      <c r="AX903" s="29"/>
      <c r="AY903" s="39"/>
      <c r="AZ903" s="30"/>
      <c r="BA903" s="30"/>
      <c r="BB903" s="29"/>
      <c r="BC903" s="52"/>
      <c r="BD903" s="30"/>
      <c r="BE903" s="29"/>
      <c r="BF903" s="30"/>
      <c r="BG903" s="30"/>
      <c r="BH903" s="30"/>
      <c r="BI903" s="30"/>
      <c r="BJ903" s="30"/>
      <c r="BK903" s="30"/>
      <c r="BL903" s="30"/>
      <c r="BM903" s="30"/>
      <c r="BN903" s="30"/>
      <c r="BO903" s="30"/>
      <c r="BP903" s="30"/>
      <c r="BQ903" s="30"/>
      <c r="BR903" s="30"/>
      <c r="BS903" s="30"/>
      <c r="BT903" s="30"/>
      <c r="BU903" s="30"/>
      <c r="BV903" s="30"/>
      <c r="BW903" s="30"/>
      <c r="BX903" s="30"/>
      <c r="BY903" s="30"/>
      <c r="BZ903" s="30"/>
      <c r="CA903" s="30"/>
      <c r="CB903" s="30"/>
      <c r="CC903" s="30"/>
      <c r="CD903" s="30"/>
      <c r="CE903" s="30"/>
      <c r="CF903" s="30"/>
      <c r="CG903" s="30"/>
      <c r="CH903" s="30"/>
      <c r="CI903" s="30"/>
      <c r="CJ903" s="30"/>
      <c r="CK903" s="30"/>
      <c r="CL903" s="30"/>
      <c r="CM903" s="30"/>
      <c r="CN903" s="30"/>
      <c r="CO903" s="30"/>
      <c r="CP903" s="30"/>
      <c r="CQ903" s="30"/>
      <c r="CR903" s="30"/>
      <c r="CS903" s="30"/>
      <c r="CT903" s="30"/>
      <c r="CU903" s="30"/>
      <c r="CV903" s="30"/>
      <c r="CW903" s="30"/>
      <c r="CX903" s="30"/>
      <c r="CY903" s="30"/>
      <c r="CZ903" s="30"/>
      <c r="DA903" s="30"/>
      <c r="DB903" s="30"/>
      <c r="DC903" s="30"/>
      <c r="DD903" s="30"/>
      <c r="DE903" s="30"/>
      <c r="DF903" s="30"/>
      <c r="DG903" s="30"/>
      <c r="DH903" s="30"/>
      <c r="DI903" s="30"/>
      <c r="DJ903" s="30"/>
      <c r="DK903" s="30"/>
      <c r="DL903" s="30"/>
      <c r="DM903" s="30"/>
      <c r="DN903" s="30"/>
      <c r="DO903" s="30"/>
      <c r="DP903" s="30"/>
      <c r="DQ903" s="30"/>
      <c r="DR903" s="30"/>
      <c r="DS903" s="30"/>
      <c r="DT903" s="30"/>
      <c r="DU903" s="30"/>
      <c r="DV903" s="30"/>
      <c r="DW903" s="30"/>
      <c r="DX903" s="30"/>
      <c r="DY903" s="30"/>
      <c r="DZ903" s="30"/>
    </row>
    <row r="904">
      <c r="A904" s="30"/>
      <c r="B904" s="42"/>
      <c r="C904" s="43"/>
      <c r="D904" s="30"/>
      <c r="E904" s="28"/>
      <c r="F904" s="30"/>
      <c r="G904" s="30"/>
      <c r="H904" s="30"/>
      <c r="I904" s="30"/>
      <c r="J904" s="28"/>
      <c r="K904" s="30"/>
      <c r="L904" s="30"/>
      <c r="M904" s="30"/>
      <c r="N904" s="30"/>
      <c r="O904" s="28"/>
      <c r="P904" s="30"/>
      <c r="Q904" s="30"/>
      <c r="R904" s="30"/>
      <c r="S904" s="36"/>
      <c r="T904" s="30"/>
      <c r="U904" s="36"/>
      <c r="V904" s="30"/>
      <c r="W904" s="28"/>
      <c r="X904" s="30"/>
      <c r="Y904" s="30"/>
      <c r="Z904" s="30"/>
      <c r="AA904" s="30"/>
      <c r="AB904" s="30"/>
      <c r="AC904" s="28"/>
      <c r="AD904" s="30"/>
      <c r="AE904" s="30"/>
      <c r="AF904" s="30"/>
      <c r="AG904" s="29"/>
      <c r="AH904" s="30"/>
      <c r="AI904" s="36"/>
      <c r="AJ904" s="30"/>
      <c r="AK904" s="29"/>
      <c r="AL904" s="30"/>
      <c r="AM904" s="30"/>
      <c r="AN904" s="30"/>
      <c r="AO904" s="30"/>
      <c r="AP904" s="30"/>
      <c r="AQ904" s="38"/>
      <c r="AR904" s="30"/>
      <c r="AS904" s="30"/>
      <c r="AT904" s="29"/>
      <c r="AU904" s="30"/>
      <c r="AV904" s="30"/>
      <c r="AW904" s="30"/>
      <c r="AX904" s="29"/>
      <c r="AY904" s="39"/>
      <c r="AZ904" s="30"/>
      <c r="BA904" s="30"/>
      <c r="BB904" s="29"/>
      <c r="BC904" s="52"/>
      <c r="BD904" s="30"/>
      <c r="BE904" s="29"/>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0"/>
      <c r="CF904" s="30"/>
      <c r="CG904" s="30"/>
      <c r="CH904" s="30"/>
      <c r="CI904" s="30"/>
      <c r="CJ904" s="30"/>
      <c r="CK904" s="30"/>
      <c r="CL904" s="30"/>
      <c r="CM904" s="30"/>
      <c r="CN904" s="30"/>
      <c r="CO904" s="30"/>
      <c r="CP904" s="30"/>
      <c r="CQ904" s="30"/>
      <c r="CR904" s="30"/>
      <c r="CS904" s="30"/>
      <c r="CT904" s="30"/>
      <c r="CU904" s="30"/>
      <c r="CV904" s="30"/>
      <c r="CW904" s="30"/>
      <c r="CX904" s="30"/>
      <c r="CY904" s="30"/>
      <c r="CZ904" s="30"/>
      <c r="DA904" s="30"/>
      <c r="DB904" s="30"/>
      <c r="DC904" s="30"/>
      <c r="DD904" s="30"/>
      <c r="DE904" s="30"/>
      <c r="DF904" s="30"/>
      <c r="DG904" s="30"/>
      <c r="DH904" s="30"/>
      <c r="DI904" s="30"/>
      <c r="DJ904" s="30"/>
      <c r="DK904" s="30"/>
      <c r="DL904" s="30"/>
      <c r="DM904" s="30"/>
      <c r="DN904" s="30"/>
      <c r="DO904" s="30"/>
      <c r="DP904" s="30"/>
      <c r="DQ904" s="30"/>
      <c r="DR904" s="30"/>
      <c r="DS904" s="30"/>
      <c r="DT904" s="30"/>
      <c r="DU904" s="30"/>
      <c r="DV904" s="30"/>
      <c r="DW904" s="30"/>
      <c r="DX904" s="30"/>
      <c r="DY904" s="30"/>
      <c r="DZ904" s="30"/>
    </row>
    <row r="905">
      <c r="A905" s="30"/>
      <c r="B905" s="42"/>
      <c r="C905" s="43"/>
      <c r="D905" s="30"/>
      <c r="E905" s="28"/>
      <c r="F905" s="30"/>
      <c r="G905" s="30"/>
      <c r="H905" s="30"/>
      <c r="I905" s="30"/>
      <c r="J905" s="28"/>
      <c r="K905" s="30"/>
      <c r="L905" s="30"/>
      <c r="M905" s="30"/>
      <c r="N905" s="30"/>
      <c r="O905" s="28"/>
      <c r="P905" s="30"/>
      <c r="Q905" s="30"/>
      <c r="R905" s="30"/>
      <c r="S905" s="36"/>
      <c r="T905" s="30"/>
      <c r="U905" s="36"/>
      <c r="V905" s="30"/>
      <c r="W905" s="28"/>
      <c r="X905" s="30"/>
      <c r="Y905" s="30"/>
      <c r="Z905" s="30"/>
      <c r="AA905" s="30"/>
      <c r="AB905" s="30"/>
      <c r="AC905" s="28"/>
      <c r="AD905" s="30"/>
      <c r="AE905" s="30"/>
      <c r="AF905" s="30"/>
      <c r="AG905" s="29"/>
      <c r="AH905" s="30"/>
      <c r="AI905" s="36"/>
      <c r="AJ905" s="30"/>
      <c r="AK905" s="29"/>
      <c r="AL905" s="30"/>
      <c r="AM905" s="30"/>
      <c r="AN905" s="30"/>
      <c r="AO905" s="30"/>
      <c r="AP905" s="30"/>
      <c r="AQ905" s="38"/>
      <c r="AR905" s="30"/>
      <c r="AS905" s="30"/>
      <c r="AT905" s="29"/>
      <c r="AU905" s="30"/>
      <c r="AV905" s="30"/>
      <c r="AW905" s="30"/>
      <c r="AX905" s="29"/>
      <c r="AY905" s="39"/>
      <c r="AZ905" s="30"/>
      <c r="BA905" s="30"/>
      <c r="BB905" s="29"/>
      <c r="BC905" s="52"/>
      <c r="BD905" s="30"/>
      <c r="BE905" s="29"/>
      <c r="BF905" s="30"/>
      <c r="BG905" s="30"/>
      <c r="BH905" s="30"/>
      <c r="BI905" s="30"/>
      <c r="BJ905" s="30"/>
      <c r="BK905" s="30"/>
      <c r="BL905" s="30"/>
      <c r="BM905" s="30"/>
      <c r="BN905" s="30"/>
      <c r="BO905" s="30"/>
      <c r="BP905" s="30"/>
      <c r="BQ905" s="30"/>
      <c r="BR905" s="30"/>
      <c r="BS905" s="30"/>
      <c r="BT905" s="30"/>
      <c r="BU905" s="30"/>
      <c r="BV905" s="30"/>
      <c r="BW905" s="30"/>
      <c r="BX905" s="30"/>
      <c r="BY905" s="30"/>
      <c r="BZ905" s="30"/>
      <c r="CA905" s="30"/>
      <c r="CB905" s="30"/>
      <c r="CC905" s="30"/>
      <c r="CD905" s="30"/>
      <c r="CE905" s="30"/>
      <c r="CF905" s="30"/>
      <c r="CG905" s="30"/>
      <c r="CH905" s="30"/>
      <c r="CI905" s="30"/>
      <c r="CJ905" s="30"/>
      <c r="CK905" s="30"/>
      <c r="CL905" s="30"/>
      <c r="CM905" s="30"/>
      <c r="CN905" s="30"/>
      <c r="CO905" s="30"/>
      <c r="CP905" s="30"/>
      <c r="CQ905" s="30"/>
      <c r="CR905" s="30"/>
      <c r="CS905" s="30"/>
      <c r="CT905" s="30"/>
      <c r="CU905" s="30"/>
      <c r="CV905" s="30"/>
      <c r="CW905" s="30"/>
      <c r="CX905" s="30"/>
      <c r="CY905" s="30"/>
      <c r="CZ905" s="30"/>
      <c r="DA905" s="30"/>
      <c r="DB905" s="30"/>
      <c r="DC905" s="30"/>
      <c r="DD905" s="30"/>
      <c r="DE905" s="30"/>
      <c r="DF905" s="30"/>
      <c r="DG905" s="30"/>
      <c r="DH905" s="30"/>
      <c r="DI905" s="30"/>
      <c r="DJ905" s="30"/>
      <c r="DK905" s="30"/>
      <c r="DL905" s="30"/>
      <c r="DM905" s="30"/>
      <c r="DN905" s="30"/>
      <c r="DO905" s="30"/>
      <c r="DP905" s="30"/>
      <c r="DQ905" s="30"/>
      <c r="DR905" s="30"/>
      <c r="DS905" s="30"/>
      <c r="DT905" s="30"/>
      <c r="DU905" s="30"/>
      <c r="DV905" s="30"/>
      <c r="DW905" s="30"/>
      <c r="DX905" s="30"/>
      <c r="DY905" s="30"/>
      <c r="DZ905" s="30"/>
    </row>
    <row r="906">
      <c r="A906" s="30"/>
      <c r="B906" s="42"/>
      <c r="C906" s="43"/>
      <c r="D906" s="30"/>
      <c r="E906" s="28"/>
      <c r="F906" s="30"/>
      <c r="G906" s="30"/>
      <c r="H906" s="30"/>
      <c r="I906" s="30"/>
      <c r="J906" s="28"/>
      <c r="K906" s="30"/>
      <c r="L906" s="30"/>
      <c r="M906" s="30"/>
      <c r="N906" s="30"/>
      <c r="O906" s="28"/>
      <c r="P906" s="30"/>
      <c r="Q906" s="30"/>
      <c r="R906" s="30"/>
      <c r="S906" s="36"/>
      <c r="T906" s="30"/>
      <c r="U906" s="36"/>
      <c r="V906" s="30"/>
      <c r="W906" s="28"/>
      <c r="X906" s="30"/>
      <c r="Y906" s="30"/>
      <c r="Z906" s="30"/>
      <c r="AA906" s="30"/>
      <c r="AB906" s="30"/>
      <c r="AC906" s="28"/>
      <c r="AD906" s="30"/>
      <c r="AE906" s="30"/>
      <c r="AF906" s="30"/>
      <c r="AG906" s="29"/>
      <c r="AH906" s="30"/>
      <c r="AI906" s="36"/>
      <c r="AJ906" s="30"/>
      <c r="AK906" s="29"/>
      <c r="AL906" s="30"/>
      <c r="AM906" s="30"/>
      <c r="AN906" s="30"/>
      <c r="AO906" s="30"/>
      <c r="AP906" s="30"/>
      <c r="AQ906" s="38"/>
      <c r="AR906" s="30"/>
      <c r="AS906" s="30"/>
      <c r="AT906" s="29"/>
      <c r="AU906" s="30"/>
      <c r="AV906" s="30"/>
      <c r="AW906" s="30"/>
      <c r="AX906" s="29"/>
      <c r="AY906" s="39"/>
      <c r="AZ906" s="30"/>
      <c r="BA906" s="30"/>
      <c r="BB906" s="29"/>
      <c r="BC906" s="52"/>
      <c r="BD906" s="30"/>
      <c r="BE906" s="29"/>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row>
    <row r="907">
      <c r="A907" s="30"/>
      <c r="B907" s="42"/>
      <c r="C907" s="43"/>
      <c r="D907" s="30"/>
      <c r="E907" s="28"/>
      <c r="F907" s="30"/>
      <c r="G907" s="30"/>
      <c r="H907" s="30"/>
      <c r="I907" s="30"/>
      <c r="J907" s="28"/>
      <c r="K907" s="30"/>
      <c r="L907" s="30"/>
      <c r="M907" s="30"/>
      <c r="N907" s="30"/>
      <c r="O907" s="28"/>
      <c r="P907" s="30"/>
      <c r="Q907" s="30"/>
      <c r="R907" s="30"/>
      <c r="S907" s="36"/>
      <c r="T907" s="30"/>
      <c r="U907" s="36"/>
      <c r="V907" s="30"/>
      <c r="W907" s="28"/>
      <c r="X907" s="30"/>
      <c r="Y907" s="30"/>
      <c r="Z907" s="30"/>
      <c r="AA907" s="30"/>
      <c r="AB907" s="30"/>
      <c r="AC907" s="28"/>
      <c r="AD907" s="30"/>
      <c r="AE907" s="30"/>
      <c r="AF907" s="30"/>
      <c r="AG907" s="29"/>
      <c r="AH907" s="30"/>
      <c r="AI907" s="36"/>
      <c r="AJ907" s="30"/>
      <c r="AK907" s="29"/>
      <c r="AL907" s="30"/>
      <c r="AM907" s="30"/>
      <c r="AN907" s="30"/>
      <c r="AO907" s="30"/>
      <c r="AP907" s="30"/>
      <c r="AQ907" s="38"/>
      <c r="AR907" s="30"/>
      <c r="AS907" s="30"/>
      <c r="AT907" s="29"/>
      <c r="AU907" s="30"/>
      <c r="AV907" s="30"/>
      <c r="AW907" s="30"/>
      <c r="AX907" s="29"/>
      <c r="AY907" s="39"/>
      <c r="AZ907" s="30"/>
      <c r="BA907" s="30"/>
      <c r="BB907" s="29"/>
      <c r="BC907" s="52"/>
      <c r="BD907" s="30"/>
      <c r="BE907" s="29"/>
      <c r="BF907" s="30"/>
      <c r="BG907" s="30"/>
      <c r="BH907" s="30"/>
      <c r="BI907" s="30"/>
      <c r="BJ907" s="30"/>
      <c r="BK907" s="30"/>
      <c r="BL907" s="30"/>
      <c r="BM907" s="30"/>
      <c r="BN907" s="30"/>
      <c r="BO907" s="30"/>
      <c r="BP907" s="30"/>
      <c r="BQ907" s="30"/>
      <c r="BR907" s="30"/>
      <c r="BS907" s="30"/>
      <c r="BT907" s="30"/>
      <c r="BU907" s="30"/>
      <c r="BV907" s="30"/>
      <c r="BW907" s="30"/>
      <c r="BX907" s="30"/>
      <c r="BY907" s="30"/>
      <c r="BZ907" s="30"/>
      <c r="CA907" s="30"/>
      <c r="CB907" s="30"/>
      <c r="CC907" s="30"/>
      <c r="CD907" s="30"/>
      <c r="CE907" s="30"/>
      <c r="CF907" s="30"/>
      <c r="CG907" s="30"/>
      <c r="CH907" s="30"/>
      <c r="CI907" s="30"/>
      <c r="CJ907" s="30"/>
      <c r="CK907" s="30"/>
      <c r="CL907" s="30"/>
      <c r="CM907" s="30"/>
      <c r="CN907" s="30"/>
      <c r="CO907" s="30"/>
      <c r="CP907" s="30"/>
      <c r="CQ907" s="30"/>
      <c r="CR907" s="30"/>
      <c r="CS907" s="30"/>
      <c r="CT907" s="30"/>
      <c r="CU907" s="30"/>
      <c r="CV907" s="30"/>
      <c r="CW907" s="30"/>
      <c r="CX907" s="30"/>
      <c r="CY907" s="30"/>
      <c r="CZ907" s="30"/>
      <c r="DA907" s="30"/>
      <c r="DB907" s="30"/>
      <c r="DC907" s="30"/>
      <c r="DD907" s="30"/>
      <c r="DE907" s="30"/>
      <c r="DF907" s="30"/>
      <c r="DG907" s="30"/>
      <c r="DH907" s="30"/>
      <c r="DI907" s="30"/>
      <c r="DJ907" s="30"/>
      <c r="DK907" s="30"/>
      <c r="DL907" s="30"/>
      <c r="DM907" s="30"/>
      <c r="DN907" s="30"/>
      <c r="DO907" s="30"/>
      <c r="DP907" s="30"/>
      <c r="DQ907" s="30"/>
      <c r="DR907" s="30"/>
      <c r="DS907" s="30"/>
      <c r="DT907" s="30"/>
      <c r="DU907" s="30"/>
      <c r="DV907" s="30"/>
      <c r="DW907" s="30"/>
      <c r="DX907" s="30"/>
      <c r="DY907" s="30"/>
      <c r="DZ907" s="30"/>
    </row>
    <row r="908">
      <c r="A908" s="30"/>
      <c r="B908" s="42"/>
      <c r="C908" s="43"/>
      <c r="D908" s="30"/>
      <c r="E908" s="28"/>
      <c r="F908" s="30"/>
      <c r="G908" s="30"/>
      <c r="H908" s="30"/>
      <c r="I908" s="30"/>
      <c r="J908" s="28"/>
      <c r="K908" s="30"/>
      <c r="L908" s="30"/>
      <c r="M908" s="30"/>
      <c r="N908" s="30"/>
      <c r="O908" s="28"/>
      <c r="P908" s="30"/>
      <c r="Q908" s="30"/>
      <c r="R908" s="30"/>
      <c r="S908" s="36"/>
      <c r="T908" s="30"/>
      <c r="U908" s="36"/>
      <c r="V908" s="30"/>
      <c r="W908" s="28"/>
      <c r="X908" s="30"/>
      <c r="Y908" s="30"/>
      <c r="Z908" s="30"/>
      <c r="AA908" s="30"/>
      <c r="AB908" s="30"/>
      <c r="AC908" s="28"/>
      <c r="AD908" s="30"/>
      <c r="AE908" s="30"/>
      <c r="AF908" s="30"/>
      <c r="AG908" s="29"/>
      <c r="AH908" s="30"/>
      <c r="AI908" s="36"/>
      <c r="AJ908" s="30"/>
      <c r="AK908" s="29"/>
      <c r="AL908" s="30"/>
      <c r="AM908" s="30"/>
      <c r="AN908" s="30"/>
      <c r="AO908" s="30"/>
      <c r="AP908" s="30"/>
      <c r="AQ908" s="38"/>
      <c r="AR908" s="30"/>
      <c r="AS908" s="30"/>
      <c r="AT908" s="29"/>
      <c r="AU908" s="30"/>
      <c r="AV908" s="30"/>
      <c r="AW908" s="30"/>
      <c r="AX908" s="29"/>
      <c r="AY908" s="39"/>
      <c r="AZ908" s="30"/>
      <c r="BA908" s="30"/>
      <c r="BB908" s="29"/>
      <c r="BC908" s="52"/>
      <c r="BD908" s="30"/>
      <c r="BE908" s="29"/>
      <c r="BF908" s="30"/>
      <c r="BG908" s="30"/>
      <c r="BH908" s="30"/>
      <c r="BI908" s="30"/>
      <c r="BJ908" s="30"/>
      <c r="BK908" s="30"/>
      <c r="BL908" s="30"/>
      <c r="BM908" s="30"/>
      <c r="BN908" s="30"/>
      <c r="BO908" s="30"/>
      <c r="BP908" s="30"/>
      <c r="BQ908" s="30"/>
      <c r="BR908" s="30"/>
      <c r="BS908" s="30"/>
      <c r="BT908" s="30"/>
      <c r="BU908" s="30"/>
      <c r="BV908" s="30"/>
      <c r="BW908" s="30"/>
      <c r="BX908" s="30"/>
      <c r="BY908" s="30"/>
      <c r="BZ908" s="30"/>
      <c r="CA908" s="30"/>
      <c r="CB908" s="30"/>
      <c r="CC908" s="30"/>
      <c r="CD908" s="30"/>
      <c r="CE908" s="30"/>
      <c r="CF908" s="30"/>
      <c r="CG908" s="30"/>
      <c r="CH908" s="30"/>
      <c r="CI908" s="30"/>
      <c r="CJ908" s="30"/>
      <c r="CK908" s="30"/>
      <c r="CL908" s="30"/>
      <c r="CM908" s="30"/>
      <c r="CN908" s="30"/>
      <c r="CO908" s="30"/>
      <c r="CP908" s="30"/>
      <c r="CQ908" s="30"/>
      <c r="CR908" s="30"/>
      <c r="CS908" s="30"/>
      <c r="CT908" s="30"/>
      <c r="CU908" s="30"/>
      <c r="CV908" s="30"/>
      <c r="CW908" s="30"/>
      <c r="CX908" s="30"/>
      <c r="CY908" s="30"/>
      <c r="CZ908" s="30"/>
      <c r="DA908" s="30"/>
      <c r="DB908" s="30"/>
      <c r="DC908" s="30"/>
      <c r="DD908" s="30"/>
      <c r="DE908" s="30"/>
      <c r="DF908" s="30"/>
      <c r="DG908" s="30"/>
      <c r="DH908" s="30"/>
      <c r="DI908" s="30"/>
      <c r="DJ908" s="30"/>
      <c r="DK908" s="30"/>
      <c r="DL908" s="30"/>
      <c r="DM908" s="30"/>
      <c r="DN908" s="30"/>
      <c r="DO908" s="30"/>
      <c r="DP908" s="30"/>
      <c r="DQ908" s="30"/>
      <c r="DR908" s="30"/>
      <c r="DS908" s="30"/>
      <c r="DT908" s="30"/>
      <c r="DU908" s="30"/>
      <c r="DV908" s="30"/>
      <c r="DW908" s="30"/>
      <c r="DX908" s="30"/>
      <c r="DY908" s="30"/>
      <c r="DZ908" s="30"/>
    </row>
    <row r="909">
      <c r="A909" s="30"/>
      <c r="B909" s="42"/>
      <c r="C909" s="43"/>
      <c r="D909" s="30"/>
      <c r="E909" s="28"/>
      <c r="F909" s="30"/>
      <c r="G909" s="30"/>
      <c r="H909" s="30"/>
      <c r="I909" s="30"/>
      <c r="J909" s="28"/>
      <c r="K909" s="30"/>
      <c r="L909" s="30"/>
      <c r="M909" s="30"/>
      <c r="N909" s="30"/>
      <c r="O909" s="28"/>
      <c r="P909" s="30"/>
      <c r="Q909" s="30"/>
      <c r="R909" s="30"/>
      <c r="S909" s="36"/>
      <c r="T909" s="30"/>
      <c r="U909" s="36"/>
      <c r="V909" s="30"/>
      <c r="W909" s="28"/>
      <c r="X909" s="30"/>
      <c r="Y909" s="30"/>
      <c r="Z909" s="30"/>
      <c r="AA909" s="30"/>
      <c r="AB909" s="30"/>
      <c r="AC909" s="28"/>
      <c r="AD909" s="30"/>
      <c r="AE909" s="30"/>
      <c r="AF909" s="30"/>
      <c r="AG909" s="29"/>
      <c r="AH909" s="30"/>
      <c r="AI909" s="36"/>
      <c r="AJ909" s="30"/>
      <c r="AK909" s="29"/>
      <c r="AL909" s="30"/>
      <c r="AM909" s="30"/>
      <c r="AN909" s="30"/>
      <c r="AO909" s="30"/>
      <c r="AP909" s="30"/>
      <c r="AQ909" s="38"/>
      <c r="AR909" s="30"/>
      <c r="AS909" s="30"/>
      <c r="AT909" s="29"/>
      <c r="AU909" s="30"/>
      <c r="AV909" s="30"/>
      <c r="AW909" s="30"/>
      <c r="AX909" s="29"/>
      <c r="AY909" s="39"/>
      <c r="AZ909" s="30"/>
      <c r="BA909" s="30"/>
      <c r="BB909" s="29"/>
      <c r="BC909" s="52"/>
      <c r="BD909" s="30"/>
      <c r="BE909" s="29"/>
      <c r="BF909" s="30"/>
      <c r="BG909" s="30"/>
      <c r="BH909" s="30"/>
      <c r="BI909" s="30"/>
      <c r="BJ909" s="30"/>
      <c r="BK909" s="30"/>
      <c r="BL909" s="30"/>
      <c r="BM909" s="30"/>
      <c r="BN909" s="30"/>
      <c r="BO909" s="30"/>
      <c r="BP909" s="30"/>
      <c r="BQ909" s="30"/>
      <c r="BR909" s="30"/>
      <c r="BS909" s="30"/>
      <c r="BT909" s="30"/>
      <c r="BU909" s="30"/>
      <c r="BV909" s="30"/>
      <c r="BW909" s="30"/>
      <c r="BX909" s="30"/>
      <c r="BY909" s="30"/>
      <c r="BZ909" s="30"/>
      <c r="CA909" s="30"/>
      <c r="CB909" s="30"/>
      <c r="CC909" s="30"/>
      <c r="CD909" s="30"/>
      <c r="CE909" s="30"/>
      <c r="CF909" s="30"/>
      <c r="CG909" s="30"/>
      <c r="CH909" s="30"/>
      <c r="CI909" s="30"/>
      <c r="CJ909" s="30"/>
      <c r="CK909" s="30"/>
      <c r="CL909" s="30"/>
      <c r="CM909" s="30"/>
      <c r="CN909" s="30"/>
      <c r="CO909" s="30"/>
      <c r="CP909" s="30"/>
      <c r="CQ909" s="30"/>
      <c r="CR909" s="30"/>
      <c r="CS909" s="30"/>
      <c r="CT909" s="30"/>
      <c r="CU909" s="30"/>
      <c r="CV909" s="30"/>
      <c r="CW909" s="30"/>
      <c r="CX909" s="30"/>
      <c r="CY909" s="30"/>
      <c r="CZ909" s="30"/>
      <c r="DA909" s="30"/>
      <c r="DB909" s="30"/>
      <c r="DC909" s="30"/>
      <c r="DD909" s="30"/>
      <c r="DE909" s="30"/>
      <c r="DF909" s="30"/>
      <c r="DG909" s="30"/>
      <c r="DH909" s="30"/>
      <c r="DI909" s="30"/>
      <c r="DJ909" s="30"/>
      <c r="DK909" s="30"/>
      <c r="DL909" s="30"/>
      <c r="DM909" s="30"/>
      <c r="DN909" s="30"/>
      <c r="DO909" s="30"/>
      <c r="DP909" s="30"/>
      <c r="DQ909" s="30"/>
      <c r="DR909" s="30"/>
      <c r="DS909" s="30"/>
      <c r="DT909" s="30"/>
      <c r="DU909" s="30"/>
      <c r="DV909" s="30"/>
      <c r="DW909" s="30"/>
      <c r="DX909" s="30"/>
      <c r="DY909" s="30"/>
      <c r="DZ909" s="30"/>
    </row>
    <row r="910">
      <c r="A910" s="30"/>
      <c r="B910" s="42"/>
      <c r="C910" s="43"/>
      <c r="D910" s="30"/>
      <c r="E910" s="28"/>
      <c r="F910" s="30"/>
      <c r="G910" s="30"/>
      <c r="H910" s="30"/>
      <c r="I910" s="30"/>
      <c r="J910" s="28"/>
      <c r="K910" s="30"/>
      <c r="L910" s="30"/>
      <c r="M910" s="30"/>
      <c r="N910" s="30"/>
      <c r="O910" s="28"/>
      <c r="P910" s="30"/>
      <c r="Q910" s="30"/>
      <c r="R910" s="30"/>
      <c r="S910" s="36"/>
      <c r="T910" s="30"/>
      <c r="U910" s="36"/>
      <c r="V910" s="30"/>
      <c r="W910" s="28"/>
      <c r="X910" s="30"/>
      <c r="Y910" s="30"/>
      <c r="Z910" s="30"/>
      <c r="AA910" s="30"/>
      <c r="AB910" s="30"/>
      <c r="AC910" s="28"/>
      <c r="AD910" s="30"/>
      <c r="AE910" s="30"/>
      <c r="AF910" s="30"/>
      <c r="AG910" s="29"/>
      <c r="AH910" s="30"/>
      <c r="AI910" s="36"/>
      <c r="AJ910" s="30"/>
      <c r="AK910" s="29"/>
      <c r="AL910" s="30"/>
      <c r="AM910" s="30"/>
      <c r="AN910" s="30"/>
      <c r="AO910" s="30"/>
      <c r="AP910" s="30"/>
      <c r="AQ910" s="38"/>
      <c r="AR910" s="30"/>
      <c r="AS910" s="30"/>
      <c r="AT910" s="29"/>
      <c r="AU910" s="30"/>
      <c r="AV910" s="30"/>
      <c r="AW910" s="30"/>
      <c r="AX910" s="29"/>
      <c r="AY910" s="39"/>
      <c r="AZ910" s="30"/>
      <c r="BA910" s="30"/>
      <c r="BB910" s="29"/>
      <c r="BC910" s="52"/>
      <c r="BD910" s="30"/>
      <c r="BE910" s="29"/>
      <c r="BF910" s="30"/>
      <c r="BG910" s="30"/>
      <c r="BH910" s="30"/>
      <c r="BI910" s="30"/>
      <c r="BJ910" s="30"/>
      <c r="BK910" s="30"/>
      <c r="BL910" s="30"/>
      <c r="BM910" s="30"/>
      <c r="BN910" s="30"/>
      <c r="BO910" s="30"/>
      <c r="BP910" s="30"/>
      <c r="BQ910" s="30"/>
      <c r="BR910" s="30"/>
      <c r="BS910" s="30"/>
      <c r="BT910" s="30"/>
      <c r="BU910" s="30"/>
      <c r="BV910" s="30"/>
      <c r="BW910" s="30"/>
      <c r="BX910" s="30"/>
      <c r="BY910" s="30"/>
      <c r="BZ910" s="30"/>
      <c r="CA910" s="30"/>
      <c r="CB910" s="30"/>
      <c r="CC910" s="30"/>
      <c r="CD910" s="30"/>
      <c r="CE910" s="30"/>
      <c r="CF910" s="30"/>
      <c r="CG910" s="30"/>
      <c r="CH910" s="30"/>
      <c r="CI910" s="30"/>
      <c r="CJ910" s="30"/>
      <c r="CK910" s="30"/>
      <c r="CL910" s="30"/>
      <c r="CM910" s="30"/>
      <c r="CN910" s="30"/>
      <c r="CO910" s="30"/>
      <c r="CP910" s="30"/>
      <c r="CQ910" s="30"/>
      <c r="CR910" s="30"/>
      <c r="CS910" s="30"/>
      <c r="CT910" s="30"/>
      <c r="CU910" s="30"/>
      <c r="CV910" s="30"/>
      <c r="CW910" s="30"/>
      <c r="CX910" s="30"/>
      <c r="CY910" s="30"/>
      <c r="CZ910" s="30"/>
      <c r="DA910" s="30"/>
      <c r="DB910" s="30"/>
      <c r="DC910" s="30"/>
      <c r="DD910" s="30"/>
      <c r="DE910" s="30"/>
      <c r="DF910" s="30"/>
      <c r="DG910" s="30"/>
      <c r="DH910" s="30"/>
      <c r="DI910" s="30"/>
      <c r="DJ910" s="30"/>
      <c r="DK910" s="30"/>
      <c r="DL910" s="30"/>
      <c r="DM910" s="30"/>
      <c r="DN910" s="30"/>
      <c r="DO910" s="30"/>
      <c r="DP910" s="30"/>
      <c r="DQ910" s="30"/>
      <c r="DR910" s="30"/>
      <c r="DS910" s="30"/>
      <c r="DT910" s="30"/>
      <c r="DU910" s="30"/>
      <c r="DV910" s="30"/>
      <c r="DW910" s="30"/>
      <c r="DX910" s="30"/>
      <c r="DY910" s="30"/>
      <c r="DZ910" s="30"/>
    </row>
    <row r="911">
      <c r="A911" s="30"/>
      <c r="B911" s="42"/>
      <c r="C911" s="43"/>
      <c r="D911" s="30"/>
      <c r="E911" s="28"/>
      <c r="F911" s="30"/>
      <c r="G911" s="30"/>
      <c r="H911" s="30"/>
      <c r="I911" s="30"/>
      <c r="J911" s="28"/>
      <c r="K911" s="30"/>
      <c r="L911" s="30"/>
      <c r="M911" s="30"/>
      <c r="N911" s="30"/>
      <c r="O911" s="28"/>
      <c r="P911" s="30"/>
      <c r="Q911" s="30"/>
      <c r="R911" s="30"/>
      <c r="S911" s="36"/>
      <c r="T911" s="30"/>
      <c r="U911" s="36"/>
      <c r="V911" s="30"/>
      <c r="W911" s="28"/>
      <c r="X911" s="30"/>
      <c r="Y911" s="30"/>
      <c r="Z911" s="30"/>
      <c r="AA911" s="30"/>
      <c r="AB911" s="30"/>
      <c r="AC911" s="28"/>
      <c r="AD911" s="30"/>
      <c r="AE911" s="30"/>
      <c r="AF911" s="30"/>
      <c r="AG911" s="29"/>
      <c r="AH911" s="30"/>
      <c r="AI911" s="36"/>
      <c r="AJ911" s="30"/>
      <c r="AK911" s="29"/>
      <c r="AL911" s="30"/>
      <c r="AM911" s="30"/>
      <c r="AN911" s="30"/>
      <c r="AO911" s="30"/>
      <c r="AP911" s="30"/>
      <c r="AQ911" s="38"/>
      <c r="AR911" s="30"/>
      <c r="AS911" s="30"/>
      <c r="AT911" s="29"/>
      <c r="AU911" s="30"/>
      <c r="AV911" s="30"/>
      <c r="AW911" s="30"/>
      <c r="AX911" s="29"/>
      <c r="AY911" s="39"/>
      <c r="AZ911" s="30"/>
      <c r="BA911" s="30"/>
      <c r="BB911" s="29"/>
      <c r="BC911" s="52"/>
      <c r="BD911" s="30"/>
      <c r="BE911" s="29"/>
      <c r="BF911" s="30"/>
      <c r="BG911" s="30"/>
      <c r="BH911" s="30"/>
      <c r="BI911" s="30"/>
      <c r="BJ911" s="30"/>
      <c r="BK911" s="30"/>
      <c r="BL911" s="30"/>
      <c r="BM911" s="30"/>
      <c r="BN911" s="30"/>
      <c r="BO911" s="30"/>
      <c r="BP911" s="30"/>
      <c r="BQ911" s="30"/>
      <c r="BR911" s="30"/>
      <c r="BS911" s="30"/>
      <c r="BT911" s="30"/>
      <c r="BU911" s="30"/>
      <c r="BV911" s="30"/>
      <c r="BW911" s="30"/>
      <c r="BX911" s="30"/>
      <c r="BY911" s="30"/>
      <c r="BZ911" s="30"/>
      <c r="CA911" s="30"/>
      <c r="CB911" s="30"/>
      <c r="CC911" s="30"/>
      <c r="CD911" s="30"/>
      <c r="CE911" s="30"/>
      <c r="CF911" s="30"/>
      <c r="CG911" s="30"/>
      <c r="CH911" s="30"/>
      <c r="CI911" s="30"/>
      <c r="CJ911" s="30"/>
      <c r="CK911" s="30"/>
      <c r="CL911" s="30"/>
      <c r="CM911" s="30"/>
      <c r="CN911" s="30"/>
      <c r="CO911" s="30"/>
      <c r="CP911" s="30"/>
      <c r="CQ911" s="30"/>
      <c r="CR911" s="30"/>
      <c r="CS911" s="30"/>
      <c r="CT911" s="30"/>
      <c r="CU911" s="30"/>
      <c r="CV911" s="30"/>
      <c r="CW911" s="30"/>
      <c r="CX911" s="30"/>
      <c r="CY911" s="30"/>
      <c r="CZ911" s="30"/>
      <c r="DA911" s="30"/>
      <c r="DB911" s="30"/>
      <c r="DC911" s="30"/>
      <c r="DD911" s="30"/>
      <c r="DE911" s="30"/>
      <c r="DF911" s="30"/>
      <c r="DG911" s="30"/>
      <c r="DH911" s="30"/>
      <c r="DI911" s="30"/>
      <c r="DJ911" s="30"/>
      <c r="DK911" s="30"/>
      <c r="DL911" s="30"/>
      <c r="DM911" s="30"/>
      <c r="DN911" s="30"/>
      <c r="DO911" s="30"/>
      <c r="DP911" s="30"/>
      <c r="DQ911" s="30"/>
      <c r="DR911" s="30"/>
      <c r="DS911" s="30"/>
      <c r="DT911" s="30"/>
      <c r="DU911" s="30"/>
      <c r="DV911" s="30"/>
      <c r="DW911" s="30"/>
      <c r="DX911" s="30"/>
      <c r="DY911" s="30"/>
      <c r="DZ911" s="30"/>
    </row>
    <row r="912">
      <c r="A912" s="30"/>
      <c r="B912" s="42"/>
      <c r="C912" s="43"/>
      <c r="D912" s="30"/>
      <c r="E912" s="28"/>
      <c r="F912" s="30"/>
      <c r="G912" s="30"/>
      <c r="H912" s="30"/>
      <c r="I912" s="30"/>
      <c r="J912" s="28"/>
      <c r="K912" s="30"/>
      <c r="L912" s="30"/>
      <c r="M912" s="30"/>
      <c r="N912" s="30"/>
      <c r="O912" s="28"/>
      <c r="P912" s="30"/>
      <c r="Q912" s="30"/>
      <c r="R912" s="30"/>
      <c r="S912" s="36"/>
      <c r="T912" s="30"/>
      <c r="U912" s="36"/>
      <c r="V912" s="30"/>
      <c r="W912" s="28"/>
      <c r="X912" s="30"/>
      <c r="Y912" s="30"/>
      <c r="Z912" s="30"/>
      <c r="AA912" s="30"/>
      <c r="AB912" s="30"/>
      <c r="AC912" s="28"/>
      <c r="AD912" s="30"/>
      <c r="AE912" s="30"/>
      <c r="AF912" s="30"/>
      <c r="AG912" s="29"/>
      <c r="AH912" s="30"/>
      <c r="AI912" s="36"/>
      <c r="AJ912" s="30"/>
      <c r="AK912" s="29"/>
      <c r="AL912" s="30"/>
      <c r="AM912" s="30"/>
      <c r="AN912" s="30"/>
      <c r="AO912" s="30"/>
      <c r="AP912" s="30"/>
      <c r="AQ912" s="38"/>
      <c r="AR912" s="30"/>
      <c r="AS912" s="30"/>
      <c r="AT912" s="29"/>
      <c r="AU912" s="30"/>
      <c r="AV912" s="30"/>
      <c r="AW912" s="30"/>
      <c r="AX912" s="29"/>
      <c r="AY912" s="39"/>
      <c r="AZ912" s="30"/>
      <c r="BA912" s="30"/>
      <c r="BB912" s="29"/>
      <c r="BC912" s="52"/>
      <c r="BD912" s="30"/>
      <c r="BE912" s="29"/>
      <c r="BF912" s="30"/>
      <c r="BG912" s="30"/>
      <c r="BH912" s="30"/>
      <c r="BI912" s="30"/>
      <c r="BJ912" s="30"/>
      <c r="BK912" s="30"/>
      <c r="BL912" s="30"/>
      <c r="BM912" s="30"/>
      <c r="BN912" s="30"/>
      <c r="BO912" s="30"/>
      <c r="BP912" s="30"/>
      <c r="BQ912" s="30"/>
      <c r="BR912" s="30"/>
      <c r="BS912" s="30"/>
      <c r="BT912" s="30"/>
      <c r="BU912" s="30"/>
      <c r="BV912" s="30"/>
      <c r="BW912" s="30"/>
      <c r="BX912" s="30"/>
      <c r="BY912" s="30"/>
      <c r="BZ912" s="30"/>
      <c r="CA912" s="30"/>
      <c r="CB912" s="30"/>
      <c r="CC912" s="30"/>
      <c r="CD912" s="30"/>
      <c r="CE912" s="30"/>
      <c r="CF912" s="30"/>
      <c r="CG912" s="30"/>
      <c r="CH912" s="30"/>
      <c r="CI912" s="30"/>
      <c r="CJ912" s="30"/>
      <c r="CK912" s="30"/>
      <c r="CL912" s="30"/>
      <c r="CM912" s="30"/>
      <c r="CN912" s="30"/>
      <c r="CO912" s="30"/>
      <c r="CP912" s="30"/>
      <c r="CQ912" s="30"/>
      <c r="CR912" s="30"/>
      <c r="CS912" s="30"/>
      <c r="CT912" s="30"/>
      <c r="CU912" s="30"/>
      <c r="CV912" s="30"/>
      <c r="CW912" s="30"/>
      <c r="CX912" s="30"/>
      <c r="CY912" s="30"/>
      <c r="CZ912" s="30"/>
      <c r="DA912" s="30"/>
      <c r="DB912" s="30"/>
      <c r="DC912" s="30"/>
      <c r="DD912" s="30"/>
      <c r="DE912" s="30"/>
      <c r="DF912" s="30"/>
      <c r="DG912" s="30"/>
      <c r="DH912" s="30"/>
      <c r="DI912" s="30"/>
      <c r="DJ912" s="30"/>
      <c r="DK912" s="30"/>
      <c r="DL912" s="30"/>
      <c r="DM912" s="30"/>
      <c r="DN912" s="30"/>
      <c r="DO912" s="30"/>
      <c r="DP912" s="30"/>
      <c r="DQ912" s="30"/>
      <c r="DR912" s="30"/>
      <c r="DS912" s="30"/>
      <c r="DT912" s="30"/>
      <c r="DU912" s="30"/>
      <c r="DV912" s="30"/>
      <c r="DW912" s="30"/>
      <c r="DX912" s="30"/>
      <c r="DY912" s="30"/>
      <c r="DZ912" s="30"/>
    </row>
    <row r="913">
      <c r="A913" s="30"/>
      <c r="B913" s="42"/>
      <c r="C913" s="43"/>
      <c r="D913" s="30"/>
      <c r="E913" s="28"/>
      <c r="F913" s="30"/>
      <c r="G913" s="30"/>
      <c r="H913" s="30"/>
      <c r="I913" s="30"/>
      <c r="J913" s="28"/>
      <c r="K913" s="30"/>
      <c r="L913" s="30"/>
      <c r="M913" s="30"/>
      <c r="N913" s="30"/>
      <c r="O913" s="28"/>
      <c r="P913" s="30"/>
      <c r="Q913" s="30"/>
      <c r="R913" s="30"/>
      <c r="S913" s="36"/>
      <c r="T913" s="30"/>
      <c r="U913" s="36"/>
      <c r="V913" s="30"/>
      <c r="W913" s="28"/>
      <c r="X913" s="30"/>
      <c r="Y913" s="30"/>
      <c r="Z913" s="30"/>
      <c r="AA913" s="30"/>
      <c r="AB913" s="30"/>
      <c r="AC913" s="28"/>
      <c r="AD913" s="30"/>
      <c r="AE913" s="30"/>
      <c r="AF913" s="30"/>
      <c r="AG913" s="29"/>
      <c r="AH913" s="30"/>
      <c r="AI913" s="36"/>
      <c r="AJ913" s="30"/>
      <c r="AK913" s="29"/>
      <c r="AL913" s="30"/>
      <c r="AM913" s="30"/>
      <c r="AN913" s="30"/>
      <c r="AO913" s="30"/>
      <c r="AP913" s="30"/>
      <c r="AQ913" s="38"/>
      <c r="AR913" s="30"/>
      <c r="AS913" s="30"/>
      <c r="AT913" s="29"/>
      <c r="AU913" s="30"/>
      <c r="AV913" s="30"/>
      <c r="AW913" s="30"/>
      <c r="AX913" s="29"/>
      <c r="AY913" s="39"/>
      <c r="AZ913" s="30"/>
      <c r="BA913" s="30"/>
      <c r="BB913" s="29"/>
      <c r="BC913" s="52"/>
      <c r="BD913" s="30"/>
      <c r="BE913" s="29"/>
      <c r="BF913" s="30"/>
      <c r="BG913" s="30"/>
      <c r="BH913" s="30"/>
      <c r="BI913" s="30"/>
      <c r="BJ913" s="30"/>
      <c r="BK913" s="30"/>
      <c r="BL913" s="30"/>
      <c r="BM913" s="30"/>
      <c r="BN913" s="30"/>
      <c r="BO913" s="30"/>
      <c r="BP913" s="30"/>
      <c r="BQ913" s="30"/>
      <c r="BR913" s="30"/>
      <c r="BS913" s="30"/>
      <c r="BT913" s="30"/>
      <c r="BU913" s="30"/>
      <c r="BV913" s="30"/>
      <c r="BW913" s="30"/>
      <c r="BX913" s="30"/>
      <c r="BY913" s="30"/>
      <c r="BZ913" s="30"/>
      <c r="CA913" s="30"/>
      <c r="CB913" s="30"/>
      <c r="CC913" s="30"/>
      <c r="CD913" s="30"/>
      <c r="CE913" s="30"/>
      <c r="CF913" s="30"/>
      <c r="CG913" s="30"/>
      <c r="CH913" s="30"/>
      <c r="CI913" s="30"/>
      <c r="CJ913" s="30"/>
      <c r="CK913" s="30"/>
      <c r="CL913" s="30"/>
      <c r="CM913" s="30"/>
      <c r="CN913" s="30"/>
      <c r="CO913" s="30"/>
      <c r="CP913" s="30"/>
      <c r="CQ913" s="30"/>
      <c r="CR913" s="30"/>
      <c r="CS913" s="30"/>
      <c r="CT913" s="30"/>
      <c r="CU913" s="30"/>
      <c r="CV913" s="30"/>
      <c r="CW913" s="30"/>
      <c r="CX913" s="30"/>
      <c r="CY913" s="30"/>
      <c r="CZ913" s="30"/>
      <c r="DA913" s="30"/>
      <c r="DB913" s="30"/>
      <c r="DC913" s="30"/>
      <c r="DD913" s="30"/>
      <c r="DE913" s="30"/>
      <c r="DF913" s="30"/>
      <c r="DG913" s="30"/>
      <c r="DH913" s="30"/>
      <c r="DI913" s="30"/>
      <c r="DJ913" s="30"/>
      <c r="DK913" s="30"/>
      <c r="DL913" s="30"/>
      <c r="DM913" s="30"/>
      <c r="DN913" s="30"/>
      <c r="DO913" s="30"/>
      <c r="DP913" s="30"/>
      <c r="DQ913" s="30"/>
      <c r="DR913" s="30"/>
      <c r="DS913" s="30"/>
      <c r="DT913" s="30"/>
      <c r="DU913" s="30"/>
      <c r="DV913" s="30"/>
      <c r="DW913" s="30"/>
      <c r="DX913" s="30"/>
      <c r="DY913" s="30"/>
      <c r="DZ913" s="30"/>
    </row>
    <row r="914">
      <c r="A914" s="30"/>
      <c r="B914" s="42"/>
      <c r="C914" s="43"/>
      <c r="D914" s="30"/>
      <c r="E914" s="28"/>
      <c r="F914" s="30"/>
      <c r="G914" s="30"/>
      <c r="H914" s="30"/>
      <c r="I914" s="30"/>
      <c r="J914" s="28"/>
      <c r="K914" s="30"/>
      <c r="L914" s="30"/>
      <c r="M914" s="30"/>
      <c r="N914" s="30"/>
      <c r="O914" s="28"/>
      <c r="P914" s="30"/>
      <c r="Q914" s="30"/>
      <c r="R914" s="30"/>
      <c r="S914" s="36"/>
      <c r="T914" s="30"/>
      <c r="U914" s="36"/>
      <c r="V914" s="30"/>
      <c r="W914" s="28"/>
      <c r="X914" s="30"/>
      <c r="Y914" s="30"/>
      <c r="Z914" s="30"/>
      <c r="AA914" s="30"/>
      <c r="AB914" s="30"/>
      <c r="AC914" s="28"/>
      <c r="AD914" s="30"/>
      <c r="AE914" s="30"/>
      <c r="AF914" s="30"/>
      <c r="AG914" s="29"/>
      <c r="AH914" s="30"/>
      <c r="AI914" s="36"/>
      <c r="AJ914" s="30"/>
      <c r="AK914" s="29"/>
      <c r="AL914" s="30"/>
      <c r="AM914" s="30"/>
      <c r="AN914" s="30"/>
      <c r="AO914" s="30"/>
      <c r="AP914" s="30"/>
      <c r="AQ914" s="38"/>
      <c r="AR914" s="30"/>
      <c r="AS914" s="30"/>
      <c r="AT914" s="29"/>
      <c r="AU914" s="30"/>
      <c r="AV914" s="30"/>
      <c r="AW914" s="30"/>
      <c r="AX914" s="29"/>
      <c r="AY914" s="39"/>
      <c r="AZ914" s="30"/>
      <c r="BA914" s="30"/>
      <c r="BB914" s="29"/>
      <c r="BC914" s="52"/>
      <c r="BD914" s="30"/>
      <c r="BE914" s="29"/>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row>
    <row r="915">
      <c r="A915" s="30"/>
      <c r="B915" s="42"/>
      <c r="C915" s="43"/>
      <c r="D915" s="30"/>
      <c r="E915" s="28"/>
      <c r="F915" s="30"/>
      <c r="G915" s="30"/>
      <c r="H915" s="30"/>
      <c r="I915" s="30"/>
      <c r="J915" s="28"/>
      <c r="K915" s="30"/>
      <c r="L915" s="30"/>
      <c r="M915" s="30"/>
      <c r="N915" s="30"/>
      <c r="O915" s="28"/>
      <c r="P915" s="30"/>
      <c r="Q915" s="30"/>
      <c r="R915" s="30"/>
      <c r="S915" s="36"/>
      <c r="T915" s="30"/>
      <c r="U915" s="36"/>
      <c r="V915" s="30"/>
      <c r="W915" s="28"/>
      <c r="X915" s="30"/>
      <c r="Y915" s="30"/>
      <c r="Z915" s="30"/>
      <c r="AA915" s="30"/>
      <c r="AB915" s="30"/>
      <c r="AC915" s="28"/>
      <c r="AD915" s="30"/>
      <c r="AE915" s="30"/>
      <c r="AF915" s="30"/>
      <c r="AG915" s="29"/>
      <c r="AH915" s="30"/>
      <c r="AI915" s="36"/>
      <c r="AJ915" s="30"/>
      <c r="AK915" s="29"/>
      <c r="AL915" s="30"/>
      <c r="AM915" s="30"/>
      <c r="AN915" s="30"/>
      <c r="AO915" s="30"/>
      <c r="AP915" s="30"/>
      <c r="AQ915" s="38"/>
      <c r="AR915" s="30"/>
      <c r="AS915" s="30"/>
      <c r="AT915" s="29"/>
      <c r="AU915" s="30"/>
      <c r="AV915" s="30"/>
      <c r="AW915" s="30"/>
      <c r="AX915" s="29"/>
      <c r="AY915" s="39"/>
      <c r="AZ915" s="30"/>
      <c r="BA915" s="30"/>
      <c r="BB915" s="29"/>
      <c r="BC915" s="52"/>
      <c r="BD915" s="30"/>
      <c r="BE915" s="29"/>
      <c r="BF915" s="30"/>
      <c r="BG915" s="30"/>
      <c r="BH915" s="30"/>
      <c r="BI915" s="30"/>
      <c r="BJ915" s="30"/>
      <c r="BK915" s="30"/>
      <c r="BL915" s="30"/>
      <c r="BM915" s="30"/>
      <c r="BN915" s="30"/>
      <c r="BO915" s="30"/>
      <c r="BP915" s="30"/>
      <c r="BQ915" s="30"/>
      <c r="BR915" s="30"/>
      <c r="BS915" s="30"/>
      <c r="BT915" s="30"/>
      <c r="BU915" s="30"/>
      <c r="BV915" s="30"/>
      <c r="BW915" s="30"/>
      <c r="BX915" s="30"/>
      <c r="BY915" s="30"/>
      <c r="BZ915" s="30"/>
      <c r="CA915" s="30"/>
      <c r="CB915" s="30"/>
      <c r="CC915" s="30"/>
      <c r="CD915" s="30"/>
      <c r="CE915" s="30"/>
      <c r="CF915" s="30"/>
      <c r="CG915" s="30"/>
      <c r="CH915" s="30"/>
      <c r="CI915" s="30"/>
      <c r="CJ915" s="30"/>
      <c r="CK915" s="30"/>
      <c r="CL915" s="30"/>
      <c r="CM915" s="30"/>
      <c r="CN915" s="30"/>
      <c r="CO915" s="30"/>
      <c r="CP915" s="30"/>
      <c r="CQ915" s="30"/>
      <c r="CR915" s="30"/>
      <c r="CS915" s="30"/>
      <c r="CT915" s="30"/>
      <c r="CU915" s="30"/>
      <c r="CV915" s="30"/>
      <c r="CW915" s="30"/>
      <c r="CX915" s="30"/>
      <c r="CY915" s="30"/>
      <c r="CZ915" s="30"/>
      <c r="DA915" s="30"/>
      <c r="DB915" s="30"/>
      <c r="DC915" s="30"/>
      <c r="DD915" s="30"/>
      <c r="DE915" s="30"/>
      <c r="DF915" s="30"/>
      <c r="DG915" s="30"/>
      <c r="DH915" s="30"/>
      <c r="DI915" s="30"/>
      <c r="DJ915" s="30"/>
      <c r="DK915" s="30"/>
      <c r="DL915" s="30"/>
      <c r="DM915" s="30"/>
      <c r="DN915" s="30"/>
      <c r="DO915" s="30"/>
      <c r="DP915" s="30"/>
      <c r="DQ915" s="30"/>
      <c r="DR915" s="30"/>
      <c r="DS915" s="30"/>
      <c r="DT915" s="30"/>
      <c r="DU915" s="30"/>
      <c r="DV915" s="30"/>
      <c r="DW915" s="30"/>
      <c r="DX915" s="30"/>
      <c r="DY915" s="30"/>
      <c r="DZ915" s="30"/>
    </row>
    <row r="916">
      <c r="A916" s="30"/>
      <c r="B916" s="42"/>
      <c r="C916" s="43"/>
      <c r="D916" s="30"/>
      <c r="E916" s="28"/>
      <c r="F916" s="30"/>
      <c r="G916" s="30"/>
      <c r="H916" s="30"/>
      <c r="I916" s="30"/>
      <c r="J916" s="28"/>
      <c r="K916" s="30"/>
      <c r="L916" s="30"/>
      <c r="M916" s="30"/>
      <c r="N916" s="30"/>
      <c r="O916" s="28"/>
      <c r="P916" s="30"/>
      <c r="Q916" s="30"/>
      <c r="R916" s="30"/>
      <c r="S916" s="36"/>
      <c r="T916" s="30"/>
      <c r="U916" s="36"/>
      <c r="V916" s="30"/>
      <c r="W916" s="28"/>
      <c r="X916" s="30"/>
      <c r="Y916" s="30"/>
      <c r="Z916" s="30"/>
      <c r="AA916" s="30"/>
      <c r="AB916" s="30"/>
      <c r="AC916" s="28"/>
      <c r="AD916" s="30"/>
      <c r="AE916" s="30"/>
      <c r="AF916" s="30"/>
      <c r="AG916" s="29"/>
      <c r="AH916" s="30"/>
      <c r="AI916" s="36"/>
      <c r="AJ916" s="30"/>
      <c r="AK916" s="29"/>
      <c r="AL916" s="30"/>
      <c r="AM916" s="30"/>
      <c r="AN916" s="30"/>
      <c r="AO916" s="30"/>
      <c r="AP916" s="30"/>
      <c r="AQ916" s="38"/>
      <c r="AR916" s="30"/>
      <c r="AS916" s="30"/>
      <c r="AT916" s="29"/>
      <c r="AU916" s="30"/>
      <c r="AV916" s="30"/>
      <c r="AW916" s="30"/>
      <c r="AX916" s="29"/>
      <c r="AY916" s="39"/>
      <c r="AZ916" s="30"/>
      <c r="BA916" s="30"/>
      <c r="BB916" s="29"/>
      <c r="BC916" s="52"/>
      <c r="BD916" s="30"/>
      <c r="BE916" s="29"/>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c r="CB916" s="30"/>
      <c r="CC916" s="30"/>
      <c r="CD916" s="30"/>
      <c r="CE916" s="30"/>
      <c r="CF916" s="30"/>
      <c r="CG916" s="30"/>
      <c r="CH916" s="30"/>
      <c r="CI916" s="30"/>
      <c r="CJ916" s="30"/>
      <c r="CK916" s="30"/>
      <c r="CL916" s="30"/>
      <c r="CM916" s="30"/>
      <c r="CN916" s="30"/>
      <c r="CO916" s="30"/>
      <c r="CP916" s="30"/>
      <c r="CQ916" s="30"/>
      <c r="CR916" s="30"/>
      <c r="CS916" s="30"/>
      <c r="CT916" s="30"/>
      <c r="CU916" s="30"/>
      <c r="CV916" s="30"/>
      <c r="CW916" s="30"/>
      <c r="CX916" s="30"/>
      <c r="CY916" s="30"/>
      <c r="CZ916" s="30"/>
      <c r="DA916" s="30"/>
      <c r="DB916" s="30"/>
      <c r="DC916" s="30"/>
      <c r="DD916" s="30"/>
      <c r="DE916" s="30"/>
      <c r="DF916" s="30"/>
      <c r="DG916" s="30"/>
      <c r="DH916" s="30"/>
      <c r="DI916" s="30"/>
      <c r="DJ916" s="30"/>
      <c r="DK916" s="30"/>
      <c r="DL916" s="30"/>
      <c r="DM916" s="30"/>
      <c r="DN916" s="30"/>
      <c r="DO916" s="30"/>
      <c r="DP916" s="30"/>
      <c r="DQ916" s="30"/>
      <c r="DR916" s="30"/>
      <c r="DS916" s="30"/>
      <c r="DT916" s="30"/>
      <c r="DU916" s="30"/>
      <c r="DV916" s="30"/>
      <c r="DW916" s="30"/>
      <c r="DX916" s="30"/>
      <c r="DY916" s="30"/>
      <c r="DZ916" s="30"/>
    </row>
    <row r="917">
      <c r="A917" s="30"/>
      <c r="B917" s="42"/>
      <c r="C917" s="43"/>
      <c r="D917" s="30"/>
      <c r="E917" s="28"/>
      <c r="F917" s="30"/>
      <c r="G917" s="30"/>
      <c r="H917" s="30"/>
      <c r="I917" s="30"/>
      <c r="J917" s="28"/>
      <c r="K917" s="30"/>
      <c r="L917" s="30"/>
      <c r="M917" s="30"/>
      <c r="N917" s="30"/>
      <c r="O917" s="28"/>
      <c r="P917" s="30"/>
      <c r="Q917" s="30"/>
      <c r="R917" s="30"/>
      <c r="S917" s="36"/>
      <c r="T917" s="30"/>
      <c r="U917" s="36"/>
      <c r="V917" s="30"/>
      <c r="W917" s="28"/>
      <c r="X917" s="30"/>
      <c r="Y917" s="30"/>
      <c r="Z917" s="30"/>
      <c r="AA917" s="30"/>
      <c r="AB917" s="30"/>
      <c r="AC917" s="28"/>
      <c r="AD917" s="30"/>
      <c r="AE917" s="30"/>
      <c r="AF917" s="30"/>
      <c r="AG917" s="29"/>
      <c r="AH917" s="30"/>
      <c r="AI917" s="36"/>
      <c r="AJ917" s="30"/>
      <c r="AK917" s="29"/>
      <c r="AL917" s="30"/>
      <c r="AM917" s="30"/>
      <c r="AN917" s="30"/>
      <c r="AO917" s="30"/>
      <c r="AP917" s="30"/>
      <c r="AQ917" s="38"/>
      <c r="AR917" s="30"/>
      <c r="AS917" s="30"/>
      <c r="AT917" s="29"/>
      <c r="AU917" s="30"/>
      <c r="AV917" s="30"/>
      <c r="AW917" s="30"/>
      <c r="AX917" s="29"/>
      <c r="AY917" s="39"/>
      <c r="AZ917" s="30"/>
      <c r="BA917" s="30"/>
      <c r="BB917" s="29"/>
      <c r="BC917" s="52"/>
      <c r="BD917" s="30"/>
      <c r="BE917" s="29"/>
      <c r="BF917" s="30"/>
      <c r="BG917" s="30"/>
      <c r="BH917" s="30"/>
      <c r="BI917" s="30"/>
      <c r="BJ917" s="30"/>
      <c r="BK917" s="30"/>
      <c r="BL917" s="30"/>
      <c r="BM917" s="30"/>
      <c r="BN917" s="30"/>
      <c r="BO917" s="30"/>
      <c r="BP917" s="30"/>
      <c r="BQ917" s="30"/>
      <c r="BR917" s="30"/>
      <c r="BS917" s="30"/>
      <c r="BT917" s="30"/>
      <c r="BU917" s="30"/>
      <c r="BV917" s="30"/>
      <c r="BW917" s="30"/>
      <c r="BX917" s="30"/>
      <c r="BY917" s="30"/>
      <c r="BZ917" s="30"/>
      <c r="CA917" s="30"/>
      <c r="CB917" s="30"/>
      <c r="CC917" s="30"/>
      <c r="CD917" s="30"/>
      <c r="CE917" s="30"/>
      <c r="CF917" s="30"/>
      <c r="CG917" s="30"/>
      <c r="CH917" s="30"/>
      <c r="CI917" s="30"/>
      <c r="CJ917" s="30"/>
      <c r="CK917" s="30"/>
      <c r="CL917" s="30"/>
      <c r="CM917" s="30"/>
      <c r="CN917" s="30"/>
      <c r="CO917" s="30"/>
      <c r="CP917" s="30"/>
      <c r="CQ917" s="30"/>
      <c r="CR917" s="30"/>
      <c r="CS917" s="30"/>
      <c r="CT917" s="30"/>
      <c r="CU917" s="30"/>
      <c r="CV917" s="30"/>
      <c r="CW917" s="30"/>
      <c r="CX917" s="30"/>
      <c r="CY917" s="30"/>
      <c r="CZ917" s="30"/>
      <c r="DA917" s="30"/>
      <c r="DB917" s="30"/>
      <c r="DC917" s="30"/>
      <c r="DD917" s="30"/>
      <c r="DE917" s="30"/>
      <c r="DF917" s="30"/>
      <c r="DG917" s="30"/>
      <c r="DH917" s="30"/>
      <c r="DI917" s="30"/>
      <c r="DJ917" s="30"/>
      <c r="DK917" s="30"/>
      <c r="DL917" s="30"/>
      <c r="DM917" s="30"/>
      <c r="DN917" s="30"/>
      <c r="DO917" s="30"/>
      <c r="DP917" s="30"/>
      <c r="DQ917" s="30"/>
      <c r="DR917" s="30"/>
      <c r="DS917" s="30"/>
      <c r="DT917" s="30"/>
      <c r="DU917" s="30"/>
      <c r="DV917" s="30"/>
      <c r="DW917" s="30"/>
      <c r="DX917" s="30"/>
      <c r="DY917" s="30"/>
      <c r="DZ917" s="30"/>
    </row>
    <row r="918">
      <c r="A918" s="30"/>
      <c r="B918" s="42"/>
      <c r="C918" s="43"/>
      <c r="D918" s="30"/>
      <c r="E918" s="28"/>
      <c r="F918" s="30"/>
      <c r="G918" s="30"/>
      <c r="H918" s="30"/>
      <c r="I918" s="30"/>
      <c r="J918" s="28"/>
      <c r="K918" s="30"/>
      <c r="L918" s="30"/>
      <c r="M918" s="30"/>
      <c r="N918" s="30"/>
      <c r="O918" s="28"/>
      <c r="P918" s="30"/>
      <c r="Q918" s="30"/>
      <c r="R918" s="30"/>
      <c r="S918" s="36"/>
      <c r="T918" s="30"/>
      <c r="U918" s="36"/>
      <c r="V918" s="30"/>
      <c r="W918" s="28"/>
      <c r="X918" s="30"/>
      <c r="Y918" s="30"/>
      <c r="Z918" s="30"/>
      <c r="AA918" s="30"/>
      <c r="AB918" s="30"/>
      <c r="AC918" s="28"/>
      <c r="AD918" s="30"/>
      <c r="AE918" s="30"/>
      <c r="AF918" s="30"/>
      <c r="AG918" s="29"/>
      <c r="AH918" s="30"/>
      <c r="AI918" s="36"/>
      <c r="AJ918" s="30"/>
      <c r="AK918" s="29"/>
      <c r="AL918" s="30"/>
      <c r="AM918" s="30"/>
      <c r="AN918" s="30"/>
      <c r="AO918" s="30"/>
      <c r="AP918" s="30"/>
      <c r="AQ918" s="38"/>
      <c r="AR918" s="30"/>
      <c r="AS918" s="30"/>
      <c r="AT918" s="29"/>
      <c r="AU918" s="30"/>
      <c r="AV918" s="30"/>
      <c r="AW918" s="30"/>
      <c r="AX918" s="29"/>
      <c r="AY918" s="39"/>
      <c r="AZ918" s="30"/>
      <c r="BA918" s="30"/>
      <c r="BB918" s="29"/>
      <c r="BC918" s="52"/>
      <c r="BD918" s="30"/>
      <c r="BE918" s="29"/>
      <c r="BF918" s="30"/>
      <c r="BG918" s="30"/>
      <c r="BH918" s="30"/>
      <c r="BI918" s="30"/>
      <c r="BJ918" s="30"/>
      <c r="BK918" s="30"/>
      <c r="BL918" s="30"/>
      <c r="BM918" s="30"/>
      <c r="BN918" s="30"/>
      <c r="BO918" s="30"/>
      <c r="BP918" s="30"/>
      <c r="BQ918" s="30"/>
      <c r="BR918" s="30"/>
      <c r="BS918" s="30"/>
      <c r="BT918" s="30"/>
      <c r="BU918" s="30"/>
      <c r="BV918" s="30"/>
      <c r="BW918" s="30"/>
      <c r="BX918" s="30"/>
      <c r="BY918" s="30"/>
      <c r="BZ918" s="30"/>
      <c r="CA918" s="30"/>
      <c r="CB918" s="30"/>
      <c r="CC918" s="30"/>
      <c r="CD918" s="30"/>
      <c r="CE918" s="30"/>
      <c r="CF918" s="30"/>
      <c r="CG918" s="30"/>
      <c r="CH918" s="30"/>
      <c r="CI918" s="30"/>
      <c r="CJ918" s="30"/>
      <c r="CK918" s="30"/>
      <c r="CL918" s="30"/>
      <c r="CM918" s="30"/>
      <c r="CN918" s="30"/>
      <c r="CO918" s="30"/>
      <c r="CP918" s="30"/>
      <c r="CQ918" s="30"/>
      <c r="CR918" s="30"/>
      <c r="CS918" s="30"/>
      <c r="CT918" s="30"/>
      <c r="CU918" s="30"/>
      <c r="CV918" s="30"/>
      <c r="CW918" s="30"/>
      <c r="CX918" s="30"/>
      <c r="CY918" s="30"/>
      <c r="CZ918" s="30"/>
      <c r="DA918" s="30"/>
      <c r="DB918" s="30"/>
      <c r="DC918" s="30"/>
      <c r="DD918" s="30"/>
      <c r="DE918" s="30"/>
      <c r="DF918" s="30"/>
      <c r="DG918" s="30"/>
      <c r="DH918" s="30"/>
      <c r="DI918" s="30"/>
      <c r="DJ918" s="30"/>
      <c r="DK918" s="30"/>
      <c r="DL918" s="30"/>
      <c r="DM918" s="30"/>
      <c r="DN918" s="30"/>
      <c r="DO918" s="30"/>
      <c r="DP918" s="30"/>
      <c r="DQ918" s="30"/>
      <c r="DR918" s="30"/>
      <c r="DS918" s="30"/>
      <c r="DT918" s="30"/>
      <c r="DU918" s="30"/>
      <c r="DV918" s="30"/>
      <c r="DW918" s="30"/>
      <c r="DX918" s="30"/>
      <c r="DY918" s="30"/>
      <c r="DZ918" s="30"/>
    </row>
    <row r="919">
      <c r="A919" s="30"/>
      <c r="B919" s="42"/>
      <c r="C919" s="43"/>
      <c r="D919" s="30"/>
      <c r="E919" s="28"/>
      <c r="F919" s="30"/>
      <c r="G919" s="30"/>
      <c r="H919" s="30"/>
      <c r="I919" s="30"/>
      <c r="J919" s="28"/>
      <c r="K919" s="30"/>
      <c r="L919" s="30"/>
      <c r="M919" s="30"/>
      <c r="N919" s="30"/>
      <c r="O919" s="28"/>
      <c r="P919" s="30"/>
      <c r="Q919" s="30"/>
      <c r="R919" s="30"/>
      <c r="S919" s="36"/>
      <c r="T919" s="30"/>
      <c r="U919" s="36"/>
      <c r="V919" s="30"/>
      <c r="W919" s="28"/>
      <c r="X919" s="30"/>
      <c r="Y919" s="30"/>
      <c r="Z919" s="30"/>
      <c r="AA919" s="30"/>
      <c r="AB919" s="30"/>
      <c r="AC919" s="28"/>
      <c r="AD919" s="30"/>
      <c r="AE919" s="30"/>
      <c r="AF919" s="30"/>
      <c r="AG919" s="29"/>
      <c r="AH919" s="30"/>
      <c r="AI919" s="36"/>
      <c r="AJ919" s="30"/>
      <c r="AK919" s="29"/>
      <c r="AL919" s="30"/>
      <c r="AM919" s="30"/>
      <c r="AN919" s="30"/>
      <c r="AO919" s="30"/>
      <c r="AP919" s="30"/>
      <c r="AQ919" s="38"/>
      <c r="AR919" s="30"/>
      <c r="AS919" s="30"/>
      <c r="AT919" s="29"/>
      <c r="AU919" s="30"/>
      <c r="AV919" s="30"/>
      <c r="AW919" s="30"/>
      <c r="AX919" s="29"/>
      <c r="AY919" s="39"/>
      <c r="AZ919" s="30"/>
      <c r="BA919" s="30"/>
      <c r="BB919" s="29"/>
      <c r="BC919" s="52"/>
      <c r="BD919" s="30"/>
      <c r="BE919" s="29"/>
      <c r="BF919" s="30"/>
      <c r="BG919" s="30"/>
      <c r="BH919" s="30"/>
      <c r="BI919" s="30"/>
      <c r="BJ919" s="30"/>
      <c r="BK919" s="30"/>
      <c r="BL919" s="30"/>
      <c r="BM919" s="30"/>
      <c r="BN919" s="30"/>
      <c r="BO919" s="30"/>
      <c r="BP919" s="30"/>
      <c r="BQ919" s="30"/>
      <c r="BR919" s="30"/>
      <c r="BS919" s="30"/>
      <c r="BT919" s="30"/>
      <c r="BU919" s="30"/>
      <c r="BV919" s="30"/>
      <c r="BW919" s="30"/>
      <c r="BX919" s="30"/>
      <c r="BY919" s="30"/>
      <c r="BZ919" s="30"/>
      <c r="CA919" s="30"/>
      <c r="CB919" s="30"/>
      <c r="CC919" s="30"/>
      <c r="CD919" s="30"/>
      <c r="CE919" s="30"/>
      <c r="CF919" s="30"/>
      <c r="CG919" s="30"/>
      <c r="CH919" s="30"/>
      <c r="CI919" s="30"/>
      <c r="CJ919" s="30"/>
      <c r="CK919" s="30"/>
      <c r="CL919" s="30"/>
      <c r="CM919" s="30"/>
      <c r="CN919" s="30"/>
      <c r="CO919" s="30"/>
      <c r="CP919" s="30"/>
      <c r="CQ919" s="30"/>
      <c r="CR919" s="30"/>
      <c r="CS919" s="30"/>
      <c r="CT919" s="30"/>
      <c r="CU919" s="30"/>
      <c r="CV919" s="30"/>
      <c r="CW919" s="30"/>
      <c r="CX919" s="30"/>
      <c r="CY919" s="30"/>
      <c r="CZ919" s="30"/>
      <c r="DA919" s="30"/>
      <c r="DB919" s="30"/>
      <c r="DC919" s="30"/>
      <c r="DD919" s="30"/>
      <c r="DE919" s="30"/>
      <c r="DF919" s="30"/>
      <c r="DG919" s="30"/>
      <c r="DH919" s="30"/>
      <c r="DI919" s="30"/>
      <c r="DJ919" s="30"/>
      <c r="DK919" s="30"/>
      <c r="DL919" s="30"/>
      <c r="DM919" s="30"/>
      <c r="DN919" s="30"/>
      <c r="DO919" s="30"/>
      <c r="DP919" s="30"/>
      <c r="DQ919" s="30"/>
      <c r="DR919" s="30"/>
      <c r="DS919" s="30"/>
      <c r="DT919" s="30"/>
      <c r="DU919" s="30"/>
      <c r="DV919" s="30"/>
      <c r="DW919" s="30"/>
      <c r="DX919" s="30"/>
      <c r="DY919" s="30"/>
      <c r="DZ919" s="30"/>
    </row>
    <row r="920">
      <c r="A920" s="30"/>
      <c r="B920" s="42"/>
      <c r="C920" s="43"/>
      <c r="D920" s="30"/>
      <c r="E920" s="28"/>
      <c r="F920" s="30"/>
      <c r="G920" s="30"/>
      <c r="H920" s="30"/>
      <c r="I920" s="30"/>
      <c r="J920" s="28"/>
      <c r="K920" s="30"/>
      <c r="L920" s="30"/>
      <c r="M920" s="30"/>
      <c r="N920" s="30"/>
      <c r="O920" s="28"/>
      <c r="P920" s="30"/>
      <c r="Q920" s="30"/>
      <c r="R920" s="30"/>
      <c r="S920" s="36"/>
      <c r="T920" s="30"/>
      <c r="U920" s="36"/>
      <c r="V920" s="30"/>
      <c r="W920" s="28"/>
      <c r="X920" s="30"/>
      <c r="Y920" s="30"/>
      <c r="Z920" s="30"/>
      <c r="AA920" s="30"/>
      <c r="AB920" s="30"/>
      <c r="AC920" s="28"/>
      <c r="AD920" s="30"/>
      <c r="AE920" s="30"/>
      <c r="AF920" s="30"/>
      <c r="AG920" s="29"/>
      <c r="AH920" s="30"/>
      <c r="AI920" s="36"/>
      <c r="AJ920" s="30"/>
      <c r="AK920" s="29"/>
      <c r="AL920" s="30"/>
      <c r="AM920" s="30"/>
      <c r="AN920" s="30"/>
      <c r="AO920" s="30"/>
      <c r="AP920" s="30"/>
      <c r="AQ920" s="38"/>
      <c r="AR920" s="30"/>
      <c r="AS920" s="30"/>
      <c r="AT920" s="29"/>
      <c r="AU920" s="30"/>
      <c r="AV920" s="30"/>
      <c r="AW920" s="30"/>
      <c r="AX920" s="29"/>
      <c r="AY920" s="39"/>
      <c r="AZ920" s="30"/>
      <c r="BA920" s="30"/>
      <c r="BB920" s="29"/>
      <c r="BC920" s="52"/>
      <c r="BD920" s="30"/>
      <c r="BE920" s="29"/>
      <c r="BF920" s="30"/>
      <c r="BG920" s="30"/>
      <c r="BH920" s="30"/>
      <c r="BI920" s="30"/>
      <c r="BJ920" s="30"/>
      <c r="BK920" s="30"/>
      <c r="BL920" s="30"/>
      <c r="BM920" s="30"/>
      <c r="BN920" s="30"/>
      <c r="BO920" s="30"/>
      <c r="BP920" s="30"/>
      <c r="BQ920" s="30"/>
      <c r="BR920" s="30"/>
      <c r="BS920" s="30"/>
      <c r="BT920" s="30"/>
      <c r="BU920" s="30"/>
      <c r="BV920" s="30"/>
      <c r="BW920" s="30"/>
      <c r="BX920" s="30"/>
      <c r="BY920" s="30"/>
      <c r="BZ920" s="30"/>
      <c r="CA920" s="30"/>
      <c r="CB920" s="30"/>
      <c r="CC920" s="30"/>
      <c r="CD920" s="30"/>
      <c r="CE920" s="30"/>
      <c r="CF920" s="30"/>
      <c r="CG920" s="30"/>
      <c r="CH920" s="30"/>
      <c r="CI920" s="30"/>
      <c r="CJ920" s="30"/>
      <c r="CK920" s="30"/>
      <c r="CL920" s="30"/>
      <c r="CM920" s="30"/>
      <c r="CN920" s="30"/>
      <c r="CO920" s="30"/>
      <c r="CP920" s="30"/>
      <c r="CQ920" s="30"/>
      <c r="CR920" s="30"/>
      <c r="CS920" s="30"/>
      <c r="CT920" s="30"/>
      <c r="CU920" s="30"/>
      <c r="CV920" s="30"/>
      <c r="CW920" s="30"/>
      <c r="CX920" s="30"/>
      <c r="CY920" s="30"/>
      <c r="CZ920" s="30"/>
      <c r="DA920" s="30"/>
      <c r="DB920" s="30"/>
      <c r="DC920" s="30"/>
      <c r="DD920" s="30"/>
      <c r="DE920" s="30"/>
      <c r="DF920" s="30"/>
      <c r="DG920" s="30"/>
      <c r="DH920" s="30"/>
      <c r="DI920" s="30"/>
      <c r="DJ920" s="30"/>
      <c r="DK920" s="30"/>
      <c r="DL920" s="30"/>
      <c r="DM920" s="30"/>
      <c r="DN920" s="30"/>
      <c r="DO920" s="30"/>
      <c r="DP920" s="30"/>
      <c r="DQ920" s="30"/>
      <c r="DR920" s="30"/>
      <c r="DS920" s="30"/>
      <c r="DT920" s="30"/>
      <c r="DU920" s="30"/>
      <c r="DV920" s="30"/>
      <c r="DW920" s="30"/>
      <c r="DX920" s="30"/>
      <c r="DY920" s="30"/>
      <c r="DZ920" s="30"/>
    </row>
    <row r="921">
      <c r="A921" s="30"/>
      <c r="B921" s="42"/>
      <c r="C921" s="43"/>
      <c r="D921" s="30"/>
      <c r="E921" s="28"/>
      <c r="F921" s="30"/>
      <c r="G921" s="30"/>
      <c r="H921" s="30"/>
      <c r="I921" s="30"/>
      <c r="J921" s="28"/>
      <c r="K921" s="30"/>
      <c r="L921" s="30"/>
      <c r="M921" s="30"/>
      <c r="N921" s="30"/>
      <c r="O921" s="28"/>
      <c r="P921" s="30"/>
      <c r="Q921" s="30"/>
      <c r="R921" s="30"/>
      <c r="S921" s="36"/>
      <c r="T921" s="30"/>
      <c r="U921" s="36"/>
      <c r="V921" s="30"/>
      <c r="W921" s="28"/>
      <c r="X921" s="30"/>
      <c r="Y921" s="30"/>
      <c r="Z921" s="30"/>
      <c r="AA921" s="30"/>
      <c r="AB921" s="30"/>
      <c r="AC921" s="28"/>
      <c r="AD921" s="30"/>
      <c r="AE921" s="30"/>
      <c r="AF921" s="30"/>
      <c r="AG921" s="29"/>
      <c r="AH921" s="30"/>
      <c r="AI921" s="36"/>
      <c r="AJ921" s="30"/>
      <c r="AK921" s="29"/>
      <c r="AL921" s="30"/>
      <c r="AM921" s="30"/>
      <c r="AN921" s="30"/>
      <c r="AO921" s="30"/>
      <c r="AP921" s="30"/>
      <c r="AQ921" s="38"/>
      <c r="AR921" s="30"/>
      <c r="AS921" s="30"/>
      <c r="AT921" s="29"/>
      <c r="AU921" s="30"/>
      <c r="AV921" s="30"/>
      <c r="AW921" s="30"/>
      <c r="AX921" s="29"/>
      <c r="AY921" s="39"/>
      <c r="AZ921" s="30"/>
      <c r="BA921" s="30"/>
      <c r="BB921" s="29"/>
      <c r="BC921" s="52"/>
      <c r="BD921" s="30"/>
      <c r="BE921" s="29"/>
      <c r="BF921" s="30"/>
      <c r="BG921" s="30"/>
      <c r="BH921" s="30"/>
      <c r="BI921" s="30"/>
      <c r="BJ921" s="30"/>
      <c r="BK921" s="30"/>
      <c r="BL921" s="30"/>
      <c r="BM921" s="30"/>
      <c r="BN921" s="30"/>
      <c r="BO921" s="30"/>
      <c r="BP921" s="30"/>
      <c r="BQ921" s="30"/>
      <c r="BR921" s="30"/>
      <c r="BS921" s="30"/>
      <c r="BT921" s="30"/>
      <c r="BU921" s="30"/>
      <c r="BV921" s="30"/>
      <c r="BW921" s="30"/>
      <c r="BX921" s="30"/>
      <c r="BY921" s="30"/>
      <c r="BZ921" s="30"/>
      <c r="CA921" s="30"/>
      <c r="CB921" s="30"/>
      <c r="CC921" s="30"/>
      <c r="CD921" s="30"/>
      <c r="CE921" s="30"/>
      <c r="CF921" s="30"/>
      <c r="CG921" s="30"/>
      <c r="CH921" s="30"/>
      <c r="CI921" s="30"/>
      <c r="CJ921" s="30"/>
      <c r="CK921" s="30"/>
      <c r="CL921" s="30"/>
      <c r="CM921" s="30"/>
      <c r="CN921" s="30"/>
      <c r="CO921" s="30"/>
      <c r="CP921" s="30"/>
      <c r="CQ921" s="30"/>
      <c r="CR921" s="30"/>
      <c r="CS921" s="30"/>
      <c r="CT921" s="30"/>
      <c r="CU921" s="30"/>
      <c r="CV921" s="30"/>
      <c r="CW921" s="30"/>
      <c r="CX921" s="30"/>
      <c r="CY921" s="30"/>
      <c r="CZ921" s="30"/>
      <c r="DA921" s="30"/>
      <c r="DB921" s="30"/>
      <c r="DC921" s="30"/>
      <c r="DD921" s="30"/>
      <c r="DE921" s="30"/>
      <c r="DF921" s="30"/>
      <c r="DG921" s="30"/>
      <c r="DH921" s="30"/>
      <c r="DI921" s="30"/>
      <c r="DJ921" s="30"/>
      <c r="DK921" s="30"/>
      <c r="DL921" s="30"/>
      <c r="DM921" s="30"/>
      <c r="DN921" s="30"/>
      <c r="DO921" s="30"/>
      <c r="DP921" s="30"/>
      <c r="DQ921" s="30"/>
      <c r="DR921" s="30"/>
      <c r="DS921" s="30"/>
      <c r="DT921" s="30"/>
      <c r="DU921" s="30"/>
      <c r="DV921" s="30"/>
      <c r="DW921" s="30"/>
      <c r="DX921" s="30"/>
      <c r="DY921" s="30"/>
      <c r="DZ921" s="30"/>
    </row>
    <row r="922">
      <c r="A922" s="30"/>
      <c r="B922" s="42"/>
      <c r="C922" s="43"/>
      <c r="D922" s="30"/>
      <c r="E922" s="28"/>
      <c r="F922" s="30"/>
      <c r="G922" s="30"/>
      <c r="H922" s="30"/>
      <c r="I922" s="30"/>
      <c r="J922" s="28"/>
      <c r="K922" s="30"/>
      <c r="L922" s="30"/>
      <c r="M922" s="30"/>
      <c r="N922" s="30"/>
      <c r="O922" s="28"/>
      <c r="P922" s="30"/>
      <c r="Q922" s="30"/>
      <c r="R922" s="30"/>
      <c r="S922" s="36"/>
      <c r="T922" s="30"/>
      <c r="U922" s="36"/>
      <c r="V922" s="30"/>
      <c r="W922" s="28"/>
      <c r="X922" s="30"/>
      <c r="Y922" s="30"/>
      <c r="Z922" s="30"/>
      <c r="AA922" s="30"/>
      <c r="AB922" s="30"/>
      <c r="AC922" s="28"/>
      <c r="AD922" s="30"/>
      <c r="AE922" s="30"/>
      <c r="AF922" s="30"/>
      <c r="AG922" s="29"/>
      <c r="AH922" s="30"/>
      <c r="AI922" s="36"/>
      <c r="AJ922" s="30"/>
      <c r="AK922" s="29"/>
      <c r="AL922" s="30"/>
      <c r="AM922" s="30"/>
      <c r="AN922" s="30"/>
      <c r="AO922" s="30"/>
      <c r="AP922" s="30"/>
      <c r="AQ922" s="38"/>
      <c r="AR922" s="30"/>
      <c r="AS922" s="30"/>
      <c r="AT922" s="29"/>
      <c r="AU922" s="30"/>
      <c r="AV922" s="30"/>
      <c r="AW922" s="30"/>
      <c r="AX922" s="29"/>
      <c r="AY922" s="39"/>
      <c r="AZ922" s="30"/>
      <c r="BA922" s="30"/>
      <c r="BB922" s="29"/>
      <c r="BC922" s="52"/>
      <c r="BD922" s="30"/>
      <c r="BE922" s="29"/>
      <c r="BF922" s="30"/>
      <c r="BG922" s="30"/>
      <c r="BH922" s="30"/>
      <c r="BI922" s="30"/>
      <c r="BJ922" s="30"/>
      <c r="BK922" s="30"/>
      <c r="BL922" s="30"/>
      <c r="BM922" s="30"/>
      <c r="BN922" s="30"/>
      <c r="BO922" s="30"/>
      <c r="BP922" s="30"/>
      <c r="BQ922" s="30"/>
      <c r="BR922" s="30"/>
      <c r="BS922" s="30"/>
      <c r="BT922" s="30"/>
      <c r="BU922" s="30"/>
      <c r="BV922" s="30"/>
      <c r="BW922" s="30"/>
      <c r="BX922" s="30"/>
      <c r="BY922" s="30"/>
      <c r="BZ922" s="30"/>
      <c r="CA922" s="30"/>
      <c r="CB922" s="30"/>
      <c r="CC922" s="30"/>
      <c r="CD922" s="30"/>
      <c r="CE922" s="30"/>
      <c r="CF922" s="30"/>
      <c r="CG922" s="30"/>
      <c r="CH922" s="30"/>
      <c r="CI922" s="30"/>
      <c r="CJ922" s="30"/>
      <c r="CK922" s="30"/>
      <c r="CL922" s="30"/>
      <c r="CM922" s="30"/>
      <c r="CN922" s="30"/>
      <c r="CO922" s="30"/>
      <c r="CP922" s="30"/>
      <c r="CQ922" s="30"/>
      <c r="CR922" s="30"/>
      <c r="CS922" s="30"/>
      <c r="CT922" s="30"/>
      <c r="CU922" s="30"/>
      <c r="CV922" s="30"/>
      <c r="CW922" s="30"/>
      <c r="CX922" s="30"/>
      <c r="CY922" s="30"/>
      <c r="CZ922" s="30"/>
      <c r="DA922" s="30"/>
      <c r="DB922" s="30"/>
      <c r="DC922" s="30"/>
      <c r="DD922" s="30"/>
      <c r="DE922" s="30"/>
      <c r="DF922" s="30"/>
      <c r="DG922" s="30"/>
      <c r="DH922" s="30"/>
      <c r="DI922" s="30"/>
      <c r="DJ922" s="30"/>
      <c r="DK922" s="30"/>
      <c r="DL922" s="30"/>
      <c r="DM922" s="30"/>
      <c r="DN922" s="30"/>
      <c r="DO922" s="30"/>
      <c r="DP922" s="30"/>
      <c r="DQ922" s="30"/>
      <c r="DR922" s="30"/>
      <c r="DS922" s="30"/>
      <c r="DT922" s="30"/>
      <c r="DU922" s="30"/>
      <c r="DV922" s="30"/>
      <c r="DW922" s="30"/>
      <c r="DX922" s="30"/>
      <c r="DY922" s="30"/>
      <c r="DZ922" s="30"/>
    </row>
    <row r="923">
      <c r="A923" s="30"/>
      <c r="B923" s="42"/>
      <c r="C923" s="43"/>
      <c r="D923" s="30"/>
      <c r="E923" s="28"/>
      <c r="F923" s="30"/>
      <c r="G923" s="30"/>
      <c r="H923" s="30"/>
      <c r="I923" s="30"/>
      <c r="J923" s="28"/>
      <c r="K923" s="30"/>
      <c r="L923" s="30"/>
      <c r="M923" s="30"/>
      <c r="N923" s="30"/>
      <c r="O923" s="28"/>
      <c r="P923" s="30"/>
      <c r="Q923" s="30"/>
      <c r="R923" s="30"/>
      <c r="S923" s="36"/>
      <c r="T923" s="30"/>
      <c r="U923" s="36"/>
      <c r="V923" s="30"/>
      <c r="W923" s="28"/>
      <c r="X923" s="30"/>
      <c r="Y923" s="30"/>
      <c r="Z923" s="30"/>
      <c r="AA923" s="30"/>
      <c r="AB923" s="30"/>
      <c r="AC923" s="28"/>
      <c r="AD923" s="30"/>
      <c r="AE923" s="30"/>
      <c r="AF923" s="30"/>
      <c r="AG923" s="29"/>
      <c r="AH923" s="30"/>
      <c r="AI923" s="36"/>
      <c r="AJ923" s="30"/>
      <c r="AK923" s="29"/>
      <c r="AL923" s="30"/>
      <c r="AM923" s="30"/>
      <c r="AN923" s="30"/>
      <c r="AO923" s="30"/>
      <c r="AP923" s="30"/>
      <c r="AQ923" s="38"/>
      <c r="AR923" s="30"/>
      <c r="AS923" s="30"/>
      <c r="AT923" s="29"/>
      <c r="AU923" s="30"/>
      <c r="AV923" s="30"/>
      <c r="AW923" s="30"/>
      <c r="AX923" s="29"/>
      <c r="AY923" s="39"/>
      <c r="AZ923" s="30"/>
      <c r="BA923" s="30"/>
      <c r="BB923" s="29"/>
      <c r="BC923" s="52"/>
      <c r="BD923" s="30"/>
      <c r="BE923" s="29"/>
      <c r="BF923" s="30"/>
      <c r="BG923" s="30"/>
      <c r="BH923" s="30"/>
      <c r="BI923" s="30"/>
      <c r="BJ923" s="30"/>
      <c r="BK923" s="30"/>
      <c r="BL923" s="30"/>
      <c r="BM923" s="30"/>
      <c r="BN923" s="30"/>
      <c r="BO923" s="30"/>
      <c r="BP923" s="30"/>
      <c r="BQ923" s="30"/>
      <c r="BR923" s="30"/>
      <c r="BS923" s="30"/>
      <c r="BT923" s="30"/>
      <c r="BU923" s="30"/>
      <c r="BV923" s="30"/>
      <c r="BW923" s="30"/>
      <c r="BX923" s="30"/>
      <c r="BY923" s="30"/>
      <c r="BZ923" s="30"/>
      <c r="CA923" s="30"/>
      <c r="CB923" s="30"/>
      <c r="CC923" s="30"/>
      <c r="CD923" s="30"/>
      <c r="CE923" s="30"/>
      <c r="CF923" s="30"/>
      <c r="CG923" s="30"/>
      <c r="CH923" s="30"/>
      <c r="CI923" s="30"/>
      <c r="CJ923" s="30"/>
      <c r="CK923" s="30"/>
      <c r="CL923" s="30"/>
      <c r="CM923" s="30"/>
      <c r="CN923" s="30"/>
      <c r="CO923" s="30"/>
      <c r="CP923" s="30"/>
      <c r="CQ923" s="30"/>
      <c r="CR923" s="30"/>
      <c r="CS923" s="30"/>
      <c r="CT923" s="30"/>
      <c r="CU923" s="30"/>
      <c r="CV923" s="30"/>
      <c r="CW923" s="30"/>
      <c r="CX923" s="30"/>
      <c r="CY923" s="30"/>
      <c r="CZ923" s="30"/>
      <c r="DA923" s="30"/>
      <c r="DB923" s="30"/>
      <c r="DC923" s="30"/>
      <c r="DD923" s="30"/>
      <c r="DE923" s="30"/>
      <c r="DF923" s="30"/>
      <c r="DG923" s="30"/>
      <c r="DH923" s="30"/>
      <c r="DI923" s="30"/>
      <c r="DJ923" s="30"/>
      <c r="DK923" s="30"/>
      <c r="DL923" s="30"/>
      <c r="DM923" s="30"/>
      <c r="DN923" s="30"/>
      <c r="DO923" s="30"/>
      <c r="DP923" s="30"/>
      <c r="DQ923" s="30"/>
      <c r="DR923" s="30"/>
      <c r="DS923" s="30"/>
      <c r="DT923" s="30"/>
      <c r="DU923" s="30"/>
      <c r="DV923" s="30"/>
      <c r="DW923" s="30"/>
      <c r="DX923" s="30"/>
      <c r="DY923" s="30"/>
      <c r="DZ923" s="30"/>
    </row>
    <row r="924">
      <c r="A924" s="30"/>
      <c r="B924" s="42"/>
      <c r="C924" s="43"/>
      <c r="D924" s="30"/>
      <c r="E924" s="28"/>
      <c r="F924" s="30"/>
      <c r="G924" s="30"/>
      <c r="H924" s="30"/>
      <c r="I924" s="30"/>
      <c r="J924" s="28"/>
      <c r="K924" s="30"/>
      <c r="L924" s="30"/>
      <c r="M924" s="30"/>
      <c r="N924" s="30"/>
      <c r="O924" s="28"/>
      <c r="P924" s="30"/>
      <c r="Q924" s="30"/>
      <c r="R924" s="30"/>
      <c r="S924" s="36"/>
      <c r="T924" s="30"/>
      <c r="U924" s="36"/>
      <c r="V924" s="30"/>
      <c r="W924" s="28"/>
      <c r="X924" s="30"/>
      <c r="Y924" s="30"/>
      <c r="Z924" s="30"/>
      <c r="AA924" s="30"/>
      <c r="AB924" s="30"/>
      <c r="AC924" s="28"/>
      <c r="AD924" s="30"/>
      <c r="AE924" s="30"/>
      <c r="AF924" s="30"/>
      <c r="AG924" s="29"/>
      <c r="AH924" s="30"/>
      <c r="AI924" s="36"/>
      <c r="AJ924" s="30"/>
      <c r="AK924" s="29"/>
      <c r="AL924" s="30"/>
      <c r="AM924" s="30"/>
      <c r="AN924" s="30"/>
      <c r="AO924" s="30"/>
      <c r="AP924" s="30"/>
      <c r="AQ924" s="38"/>
      <c r="AR924" s="30"/>
      <c r="AS924" s="30"/>
      <c r="AT924" s="29"/>
      <c r="AU924" s="30"/>
      <c r="AV924" s="30"/>
      <c r="AW924" s="30"/>
      <c r="AX924" s="29"/>
      <c r="AY924" s="39"/>
      <c r="AZ924" s="30"/>
      <c r="BA924" s="30"/>
      <c r="BB924" s="29"/>
      <c r="BC924" s="52"/>
      <c r="BD924" s="30"/>
      <c r="BE924" s="29"/>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c r="CE924" s="30"/>
      <c r="CF924" s="30"/>
      <c r="CG924" s="30"/>
      <c r="CH924" s="30"/>
      <c r="CI924" s="30"/>
      <c r="CJ924" s="30"/>
      <c r="CK924" s="30"/>
      <c r="CL924" s="30"/>
      <c r="CM924" s="30"/>
      <c r="CN924" s="30"/>
      <c r="CO924" s="30"/>
      <c r="CP924" s="30"/>
      <c r="CQ924" s="30"/>
      <c r="CR924" s="30"/>
      <c r="CS924" s="30"/>
      <c r="CT924" s="30"/>
      <c r="CU924" s="30"/>
      <c r="CV924" s="30"/>
      <c r="CW924" s="30"/>
      <c r="CX924" s="30"/>
      <c r="CY924" s="30"/>
      <c r="CZ924" s="30"/>
      <c r="DA924" s="30"/>
      <c r="DB924" s="30"/>
      <c r="DC924" s="30"/>
      <c r="DD924" s="30"/>
      <c r="DE924" s="30"/>
      <c r="DF924" s="30"/>
      <c r="DG924" s="30"/>
      <c r="DH924" s="30"/>
      <c r="DI924" s="30"/>
      <c r="DJ924" s="30"/>
      <c r="DK924" s="30"/>
      <c r="DL924" s="30"/>
      <c r="DM924" s="30"/>
      <c r="DN924" s="30"/>
      <c r="DO924" s="30"/>
      <c r="DP924" s="30"/>
      <c r="DQ924" s="30"/>
      <c r="DR924" s="30"/>
      <c r="DS924" s="30"/>
      <c r="DT924" s="30"/>
      <c r="DU924" s="30"/>
      <c r="DV924" s="30"/>
      <c r="DW924" s="30"/>
      <c r="DX924" s="30"/>
      <c r="DY924" s="30"/>
      <c r="DZ924" s="30"/>
    </row>
    <row r="925">
      <c r="A925" s="30"/>
      <c r="B925" s="42"/>
      <c r="C925" s="43"/>
      <c r="D925" s="30"/>
      <c r="E925" s="28"/>
      <c r="F925" s="30"/>
      <c r="G925" s="30"/>
      <c r="H925" s="30"/>
      <c r="I925" s="30"/>
      <c r="J925" s="28"/>
      <c r="K925" s="30"/>
      <c r="L925" s="30"/>
      <c r="M925" s="30"/>
      <c r="N925" s="30"/>
      <c r="O925" s="28"/>
      <c r="P925" s="30"/>
      <c r="Q925" s="30"/>
      <c r="R925" s="30"/>
      <c r="S925" s="36"/>
      <c r="T925" s="30"/>
      <c r="U925" s="36"/>
      <c r="V925" s="30"/>
      <c r="W925" s="28"/>
      <c r="X925" s="30"/>
      <c r="Y925" s="30"/>
      <c r="Z925" s="30"/>
      <c r="AA925" s="30"/>
      <c r="AB925" s="30"/>
      <c r="AC925" s="28"/>
      <c r="AD925" s="30"/>
      <c r="AE925" s="30"/>
      <c r="AF925" s="30"/>
      <c r="AG925" s="29"/>
      <c r="AH925" s="30"/>
      <c r="AI925" s="36"/>
      <c r="AJ925" s="30"/>
      <c r="AK925" s="29"/>
      <c r="AL925" s="30"/>
      <c r="AM925" s="30"/>
      <c r="AN925" s="30"/>
      <c r="AO925" s="30"/>
      <c r="AP925" s="30"/>
      <c r="AQ925" s="38"/>
      <c r="AR925" s="30"/>
      <c r="AS925" s="30"/>
      <c r="AT925" s="29"/>
      <c r="AU925" s="30"/>
      <c r="AV925" s="30"/>
      <c r="AW925" s="30"/>
      <c r="AX925" s="29"/>
      <c r="AY925" s="39"/>
      <c r="AZ925" s="30"/>
      <c r="BA925" s="30"/>
      <c r="BB925" s="29"/>
      <c r="BC925" s="52"/>
      <c r="BD925" s="30"/>
      <c r="BE925" s="29"/>
      <c r="BF925" s="30"/>
      <c r="BG925" s="30"/>
      <c r="BH925" s="30"/>
      <c r="BI925" s="30"/>
      <c r="BJ925" s="30"/>
      <c r="BK925" s="30"/>
      <c r="BL925" s="30"/>
      <c r="BM925" s="30"/>
      <c r="BN925" s="30"/>
      <c r="BO925" s="30"/>
      <c r="BP925" s="30"/>
      <c r="BQ925" s="30"/>
      <c r="BR925" s="30"/>
      <c r="BS925" s="30"/>
      <c r="BT925" s="30"/>
      <c r="BU925" s="30"/>
      <c r="BV925" s="30"/>
      <c r="BW925" s="30"/>
      <c r="BX925" s="30"/>
      <c r="BY925" s="30"/>
      <c r="BZ925" s="30"/>
      <c r="CA925" s="30"/>
      <c r="CB925" s="30"/>
      <c r="CC925" s="30"/>
      <c r="CD925" s="30"/>
      <c r="CE925" s="30"/>
      <c r="CF925" s="30"/>
      <c r="CG925" s="30"/>
      <c r="CH925" s="30"/>
      <c r="CI925" s="30"/>
      <c r="CJ925" s="30"/>
      <c r="CK925" s="30"/>
      <c r="CL925" s="30"/>
      <c r="CM925" s="30"/>
      <c r="CN925" s="30"/>
      <c r="CO925" s="30"/>
      <c r="CP925" s="30"/>
      <c r="CQ925" s="30"/>
      <c r="CR925" s="30"/>
      <c r="CS925" s="30"/>
      <c r="CT925" s="30"/>
      <c r="CU925" s="30"/>
      <c r="CV925" s="30"/>
      <c r="CW925" s="30"/>
      <c r="CX925" s="30"/>
      <c r="CY925" s="30"/>
      <c r="CZ925" s="30"/>
      <c r="DA925" s="30"/>
      <c r="DB925" s="30"/>
      <c r="DC925" s="30"/>
      <c r="DD925" s="30"/>
      <c r="DE925" s="30"/>
      <c r="DF925" s="30"/>
      <c r="DG925" s="30"/>
      <c r="DH925" s="30"/>
      <c r="DI925" s="30"/>
      <c r="DJ925" s="30"/>
      <c r="DK925" s="30"/>
      <c r="DL925" s="30"/>
      <c r="DM925" s="30"/>
      <c r="DN925" s="30"/>
      <c r="DO925" s="30"/>
      <c r="DP925" s="30"/>
      <c r="DQ925" s="30"/>
      <c r="DR925" s="30"/>
      <c r="DS925" s="30"/>
      <c r="DT925" s="30"/>
      <c r="DU925" s="30"/>
      <c r="DV925" s="30"/>
      <c r="DW925" s="30"/>
      <c r="DX925" s="30"/>
      <c r="DY925" s="30"/>
      <c r="DZ925" s="30"/>
    </row>
    <row r="926">
      <c r="A926" s="30"/>
      <c r="B926" s="42"/>
      <c r="C926" s="43"/>
      <c r="D926" s="30"/>
      <c r="E926" s="28"/>
      <c r="F926" s="30"/>
      <c r="G926" s="30"/>
      <c r="H926" s="30"/>
      <c r="I926" s="30"/>
      <c r="J926" s="28"/>
      <c r="K926" s="30"/>
      <c r="L926" s="30"/>
      <c r="M926" s="30"/>
      <c r="N926" s="30"/>
      <c r="O926" s="28"/>
      <c r="P926" s="30"/>
      <c r="Q926" s="30"/>
      <c r="R926" s="30"/>
      <c r="S926" s="36"/>
      <c r="T926" s="30"/>
      <c r="U926" s="36"/>
      <c r="V926" s="30"/>
      <c r="W926" s="28"/>
      <c r="X926" s="30"/>
      <c r="Y926" s="30"/>
      <c r="Z926" s="30"/>
      <c r="AA926" s="30"/>
      <c r="AB926" s="30"/>
      <c r="AC926" s="28"/>
      <c r="AD926" s="30"/>
      <c r="AE926" s="30"/>
      <c r="AF926" s="30"/>
      <c r="AG926" s="29"/>
      <c r="AH926" s="30"/>
      <c r="AI926" s="36"/>
      <c r="AJ926" s="30"/>
      <c r="AK926" s="29"/>
      <c r="AL926" s="30"/>
      <c r="AM926" s="30"/>
      <c r="AN926" s="30"/>
      <c r="AO926" s="30"/>
      <c r="AP926" s="30"/>
      <c r="AQ926" s="38"/>
      <c r="AR926" s="30"/>
      <c r="AS926" s="30"/>
      <c r="AT926" s="29"/>
      <c r="AU926" s="30"/>
      <c r="AV926" s="30"/>
      <c r="AW926" s="30"/>
      <c r="AX926" s="29"/>
      <c r="AY926" s="39"/>
      <c r="AZ926" s="30"/>
      <c r="BA926" s="30"/>
      <c r="BB926" s="29"/>
      <c r="BC926" s="52"/>
      <c r="BD926" s="30"/>
      <c r="BE926" s="29"/>
      <c r="BF926" s="30"/>
      <c r="BG926" s="30"/>
      <c r="BH926" s="30"/>
      <c r="BI926" s="30"/>
      <c r="BJ926" s="30"/>
      <c r="BK926" s="30"/>
      <c r="BL926" s="30"/>
      <c r="BM926" s="30"/>
      <c r="BN926" s="30"/>
      <c r="BO926" s="30"/>
      <c r="BP926" s="30"/>
      <c r="BQ926" s="30"/>
      <c r="BR926" s="30"/>
      <c r="BS926" s="30"/>
      <c r="BT926" s="30"/>
      <c r="BU926" s="30"/>
      <c r="BV926" s="30"/>
      <c r="BW926" s="30"/>
      <c r="BX926" s="30"/>
      <c r="BY926" s="30"/>
      <c r="BZ926" s="30"/>
      <c r="CA926" s="30"/>
      <c r="CB926" s="30"/>
      <c r="CC926" s="30"/>
      <c r="CD926" s="30"/>
      <c r="CE926" s="30"/>
      <c r="CF926" s="30"/>
      <c r="CG926" s="30"/>
      <c r="CH926" s="30"/>
      <c r="CI926" s="30"/>
      <c r="CJ926" s="30"/>
      <c r="CK926" s="30"/>
      <c r="CL926" s="30"/>
      <c r="CM926" s="30"/>
      <c r="CN926" s="30"/>
      <c r="CO926" s="30"/>
      <c r="CP926" s="30"/>
      <c r="CQ926" s="30"/>
      <c r="CR926" s="30"/>
      <c r="CS926" s="30"/>
      <c r="CT926" s="30"/>
      <c r="CU926" s="30"/>
      <c r="CV926" s="30"/>
      <c r="CW926" s="30"/>
      <c r="CX926" s="30"/>
      <c r="CY926" s="30"/>
      <c r="CZ926" s="30"/>
      <c r="DA926" s="30"/>
      <c r="DB926" s="30"/>
      <c r="DC926" s="30"/>
      <c r="DD926" s="30"/>
      <c r="DE926" s="30"/>
      <c r="DF926" s="30"/>
      <c r="DG926" s="30"/>
      <c r="DH926" s="30"/>
      <c r="DI926" s="30"/>
      <c r="DJ926" s="30"/>
      <c r="DK926" s="30"/>
      <c r="DL926" s="30"/>
      <c r="DM926" s="30"/>
      <c r="DN926" s="30"/>
      <c r="DO926" s="30"/>
      <c r="DP926" s="30"/>
      <c r="DQ926" s="30"/>
      <c r="DR926" s="30"/>
      <c r="DS926" s="30"/>
      <c r="DT926" s="30"/>
      <c r="DU926" s="30"/>
      <c r="DV926" s="30"/>
      <c r="DW926" s="30"/>
      <c r="DX926" s="30"/>
      <c r="DY926" s="30"/>
      <c r="DZ926" s="30"/>
    </row>
    <row r="927">
      <c r="A927" s="30"/>
      <c r="B927" s="42"/>
      <c r="C927" s="43"/>
      <c r="D927" s="30"/>
      <c r="E927" s="28"/>
      <c r="F927" s="30"/>
      <c r="G927" s="30"/>
      <c r="H927" s="30"/>
      <c r="I927" s="30"/>
      <c r="J927" s="28"/>
      <c r="K927" s="30"/>
      <c r="L927" s="30"/>
      <c r="M927" s="30"/>
      <c r="N927" s="30"/>
      <c r="O927" s="28"/>
      <c r="P927" s="30"/>
      <c r="Q927" s="30"/>
      <c r="R927" s="30"/>
      <c r="S927" s="36"/>
      <c r="T927" s="30"/>
      <c r="U927" s="36"/>
      <c r="V927" s="30"/>
      <c r="W927" s="28"/>
      <c r="X927" s="30"/>
      <c r="Y927" s="30"/>
      <c r="Z927" s="30"/>
      <c r="AA927" s="30"/>
      <c r="AB927" s="30"/>
      <c r="AC927" s="28"/>
      <c r="AD927" s="30"/>
      <c r="AE927" s="30"/>
      <c r="AF927" s="30"/>
      <c r="AG927" s="29"/>
      <c r="AH927" s="30"/>
      <c r="AI927" s="36"/>
      <c r="AJ927" s="30"/>
      <c r="AK927" s="29"/>
      <c r="AL927" s="30"/>
      <c r="AM927" s="30"/>
      <c r="AN927" s="30"/>
      <c r="AO927" s="30"/>
      <c r="AP927" s="30"/>
      <c r="AQ927" s="38"/>
      <c r="AR927" s="30"/>
      <c r="AS927" s="30"/>
      <c r="AT927" s="29"/>
      <c r="AU927" s="30"/>
      <c r="AV927" s="30"/>
      <c r="AW927" s="30"/>
      <c r="AX927" s="29"/>
      <c r="AY927" s="39"/>
      <c r="AZ927" s="30"/>
      <c r="BA927" s="30"/>
      <c r="BB927" s="29"/>
      <c r="BC927" s="52"/>
      <c r="BD927" s="30"/>
      <c r="BE927" s="29"/>
      <c r="BF927" s="30"/>
      <c r="BG927" s="30"/>
      <c r="BH927" s="30"/>
      <c r="BI927" s="30"/>
      <c r="BJ927" s="30"/>
      <c r="BK927" s="30"/>
      <c r="BL927" s="30"/>
      <c r="BM927" s="30"/>
      <c r="BN927" s="30"/>
      <c r="BO927" s="30"/>
      <c r="BP927" s="30"/>
      <c r="BQ927" s="30"/>
      <c r="BR927" s="30"/>
      <c r="BS927" s="30"/>
      <c r="BT927" s="30"/>
      <c r="BU927" s="30"/>
      <c r="BV927" s="30"/>
      <c r="BW927" s="30"/>
      <c r="BX927" s="30"/>
      <c r="BY927" s="30"/>
      <c r="BZ927" s="30"/>
      <c r="CA927" s="30"/>
      <c r="CB927" s="30"/>
      <c r="CC927" s="30"/>
      <c r="CD927" s="30"/>
      <c r="CE927" s="30"/>
      <c r="CF927" s="30"/>
      <c r="CG927" s="30"/>
      <c r="CH927" s="30"/>
      <c r="CI927" s="30"/>
      <c r="CJ927" s="30"/>
      <c r="CK927" s="30"/>
      <c r="CL927" s="30"/>
      <c r="CM927" s="30"/>
      <c r="CN927" s="30"/>
      <c r="CO927" s="30"/>
      <c r="CP927" s="30"/>
      <c r="CQ927" s="30"/>
      <c r="CR927" s="30"/>
      <c r="CS927" s="30"/>
      <c r="CT927" s="30"/>
      <c r="CU927" s="30"/>
      <c r="CV927" s="30"/>
      <c r="CW927" s="30"/>
      <c r="CX927" s="30"/>
      <c r="CY927" s="30"/>
      <c r="CZ927" s="30"/>
      <c r="DA927" s="30"/>
      <c r="DB927" s="30"/>
      <c r="DC927" s="30"/>
      <c r="DD927" s="30"/>
      <c r="DE927" s="30"/>
      <c r="DF927" s="30"/>
      <c r="DG927" s="30"/>
      <c r="DH927" s="30"/>
      <c r="DI927" s="30"/>
      <c r="DJ927" s="30"/>
      <c r="DK927" s="30"/>
      <c r="DL927" s="30"/>
      <c r="DM927" s="30"/>
      <c r="DN927" s="30"/>
      <c r="DO927" s="30"/>
      <c r="DP927" s="30"/>
      <c r="DQ927" s="30"/>
      <c r="DR927" s="30"/>
      <c r="DS927" s="30"/>
      <c r="DT927" s="30"/>
      <c r="DU927" s="30"/>
      <c r="DV927" s="30"/>
      <c r="DW927" s="30"/>
      <c r="DX927" s="30"/>
      <c r="DY927" s="30"/>
      <c r="DZ927" s="30"/>
    </row>
    <row r="928">
      <c r="A928" s="30"/>
      <c r="B928" s="42"/>
      <c r="C928" s="43"/>
      <c r="D928" s="30"/>
      <c r="E928" s="28"/>
      <c r="F928" s="30"/>
      <c r="G928" s="30"/>
      <c r="H928" s="30"/>
      <c r="I928" s="30"/>
      <c r="J928" s="28"/>
      <c r="K928" s="30"/>
      <c r="L928" s="30"/>
      <c r="M928" s="30"/>
      <c r="N928" s="30"/>
      <c r="O928" s="28"/>
      <c r="P928" s="30"/>
      <c r="Q928" s="30"/>
      <c r="R928" s="30"/>
      <c r="S928" s="36"/>
      <c r="T928" s="30"/>
      <c r="U928" s="36"/>
      <c r="V928" s="30"/>
      <c r="W928" s="28"/>
      <c r="X928" s="30"/>
      <c r="Y928" s="30"/>
      <c r="Z928" s="30"/>
      <c r="AA928" s="30"/>
      <c r="AB928" s="30"/>
      <c r="AC928" s="28"/>
      <c r="AD928" s="30"/>
      <c r="AE928" s="30"/>
      <c r="AF928" s="30"/>
      <c r="AG928" s="29"/>
      <c r="AH928" s="30"/>
      <c r="AI928" s="36"/>
      <c r="AJ928" s="30"/>
      <c r="AK928" s="29"/>
      <c r="AL928" s="30"/>
      <c r="AM928" s="30"/>
      <c r="AN928" s="30"/>
      <c r="AO928" s="30"/>
      <c r="AP928" s="30"/>
      <c r="AQ928" s="38"/>
      <c r="AR928" s="30"/>
      <c r="AS928" s="30"/>
      <c r="AT928" s="29"/>
      <c r="AU928" s="30"/>
      <c r="AV928" s="30"/>
      <c r="AW928" s="30"/>
      <c r="AX928" s="29"/>
      <c r="AY928" s="39"/>
      <c r="AZ928" s="30"/>
      <c r="BA928" s="30"/>
      <c r="BB928" s="29"/>
      <c r="BC928" s="52"/>
      <c r="BD928" s="30"/>
      <c r="BE928" s="29"/>
      <c r="BF928" s="30"/>
      <c r="BG928" s="30"/>
      <c r="BH928" s="30"/>
      <c r="BI928" s="30"/>
      <c r="BJ928" s="30"/>
      <c r="BK928" s="30"/>
      <c r="BL928" s="30"/>
      <c r="BM928" s="30"/>
      <c r="BN928" s="30"/>
      <c r="BO928" s="30"/>
      <c r="BP928" s="30"/>
      <c r="BQ928" s="30"/>
      <c r="BR928" s="30"/>
      <c r="BS928" s="30"/>
      <c r="BT928" s="30"/>
      <c r="BU928" s="30"/>
      <c r="BV928" s="30"/>
      <c r="BW928" s="30"/>
      <c r="BX928" s="30"/>
      <c r="BY928" s="30"/>
      <c r="BZ928" s="30"/>
      <c r="CA928" s="30"/>
      <c r="CB928" s="30"/>
      <c r="CC928" s="30"/>
      <c r="CD928" s="30"/>
      <c r="CE928" s="30"/>
      <c r="CF928" s="30"/>
      <c r="CG928" s="30"/>
      <c r="CH928" s="30"/>
      <c r="CI928" s="30"/>
      <c r="CJ928" s="30"/>
      <c r="CK928" s="30"/>
      <c r="CL928" s="30"/>
      <c r="CM928" s="30"/>
      <c r="CN928" s="30"/>
      <c r="CO928" s="30"/>
      <c r="CP928" s="30"/>
      <c r="CQ928" s="30"/>
      <c r="CR928" s="30"/>
      <c r="CS928" s="30"/>
      <c r="CT928" s="30"/>
      <c r="CU928" s="30"/>
      <c r="CV928" s="30"/>
      <c r="CW928" s="30"/>
      <c r="CX928" s="30"/>
      <c r="CY928" s="30"/>
      <c r="CZ928" s="30"/>
      <c r="DA928" s="30"/>
      <c r="DB928" s="30"/>
      <c r="DC928" s="30"/>
      <c r="DD928" s="30"/>
      <c r="DE928" s="30"/>
      <c r="DF928" s="30"/>
      <c r="DG928" s="30"/>
      <c r="DH928" s="30"/>
      <c r="DI928" s="30"/>
      <c r="DJ928" s="30"/>
      <c r="DK928" s="30"/>
      <c r="DL928" s="30"/>
      <c r="DM928" s="30"/>
      <c r="DN928" s="30"/>
      <c r="DO928" s="30"/>
      <c r="DP928" s="30"/>
      <c r="DQ928" s="30"/>
      <c r="DR928" s="30"/>
      <c r="DS928" s="30"/>
      <c r="DT928" s="30"/>
      <c r="DU928" s="30"/>
      <c r="DV928" s="30"/>
      <c r="DW928" s="30"/>
      <c r="DX928" s="30"/>
      <c r="DY928" s="30"/>
      <c r="DZ928" s="30"/>
    </row>
    <row r="929">
      <c r="A929" s="30"/>
      <c r="B929" s="42"/>
      <c r="C929" s="43"/>
      <c r="D929" s="30"/>
      <c r="E929" s="28"/>
      <c r="F929" s="30"/>
      <c r="G929" s="30"/>
      <c r="H929" s="30"/>
      <c r="I929" s="30"/>
      <c r="J929" s="28"/>
      <c r="K929" s="30"/>
      <c r="L929" s="30"/>
      <c r="M929" s="30"/>
      <c r="N929" s="30"/>
      <c r="O929" s="28"/>
      <c r="P929" s="30"/>
      <c r="Q929" s="30"/>
      <c r="R929" s="30"/>
      <c r="S929" s="36"/>
      <c r="T929" s="30"/>
      <c r="U929" s="36"/>
      <c r="V929" s="30"/>
      <c r="W929" s="28"/>
      <c r="X929" s="30"/>
      <c r="Y929" s="30"/>
      <c r="Z929" s="30"/>
      <c r="AA929" s="30"/>
      <c r="AB929" s="30"/>
      <c r="AC929" s="28"/>
      <c r="AD929" s="30"/>
      <c r="AE929" s="30"/>
      <c r="AF929" s="30"/>
      <c r="AG929" s="29"/>
      <c r="AH929" s="30"/>
      <c r="AI929" s="36"/>
      <c r="AJ929" s="30"/>
      <c r="AK929" s="29"/>
      <c r="AL929" s="30"/>
      <c r="AM929" s="30"/>
      <c r="AN929" s="30"/>
      <c r="AO929" s="30"/>
      <c r="AP929" s="30"/>
      <c r="AQ929" s="38"/>
      <c r="AR929" s="30"/>
      <c r="AS929" s="30"/>
      <c r="AT929" s="29"/>
      <c r="AU929" s="30"/>
      <c r="AV929" s="30"/>
      <c r="AW929" s="30"/>
      <c r="AX929" s="29"/>
      <c r="AY929" s="39"/>
      <c r="AZ929" s="30"/>
      <c r="BA929" s="30"/>
      <c r="BB929" s="29"/>
      <c r="BC929" s="52"/>
      <c r="BD929" s="30"/>
      <c r="BE929" s="29"/>
      <c r="BF929" s="30"/>
      <c r="BG929" s="30"/>
      <c r="BH929" s="30"/>
      <c r="BI929" s="30"/>
      <c r="BJ929" s="30"/>
      <c r="BK929" s="30"/>
      <c r="BL929" s="30"/>
      <c r="BM929" s="30"/>
      <c r="BN929" s="30"/>
      <c r="BO929" s="30"/>
      <c r="BP929" s="30"/>
      <c r="BQ929" s="30"/>
      <c r="BR929" s="30"/>
      <c r="BS929" s="30"/>
      <c r="BT929" s="30"/>
      <c r="BU929" s="30"/>
      <c r="BV929" s="30"/>
      <c r="BW929" s="30"/>
      <c r="BX929" s="30"/>
      <c r="BY929" s="30"/>
      <c r="BZ929" s="30"/>
      <c r="CA929" s="30"/>
      <c r="CB929" s="30"/>
      <c r="CC929" s="30"/>
      <c r="CD929" s="30"/>
      <c r="CE929" s="30"/>
      <c r="CF929" s="30"/>
      <c r="CG929" s="30"/>
      <c r="CH929" s="30"/>
      <c r="CI929" s="30"/>
      <c r="CJ929" s="30"/>
      <c r="CK929" s="30"/>
      <c r="CL929" s="30"/>
      <c r="CM929" s="30"/>
      <c r="CN929" s="30"/>
      <c r="CO929" s="30"/>
      <c r="CP929" s="30"/>
      <c r="CQ929" s="30"/>
      <c r="CR929" s="30"/>
      <c r="CS929" s="30"/>
      <c r="CT929" s="30"/>
      <c r="CU929" s="30"/>
      <c r="CV929" s="30"/>
      <c r="CW929" s="30"/>
      <c r="CX929" s="30"/>
      <c r="CY929" s="30"/>
      <c r="CZ929" s="30"/>
      <c r="DA929" s="30"/>
      <c r="DB929" s="30"/>
      <c r="DC929" s="30"/>
      <c r="DD929" s="30"/>
      <c r="DE929" s="30"/>
      <c r="DF929" s="30"/>
      <c r="DG929" s="30"/>
      <c r="DH929" s="30"/>
      <c r="DI929" s="30"/>
      <c r="DJ929" s="30"/>
      <c r="DK929" s="30"/>
      <c r="DL929" s="30"/>
      <c r="DM929" s="30"/>
      <c r="DN929" s="30"/>
      <c r="DO929" s="30"/>
      <c r="DP929" s="30"/>
      <c r="DQ929" s="30"/>
      <c r="DR929" s="30"/>
      <c r="DS929" s="30"/>
      <c r="DT929" s="30"/>
      <c r="DU929" s="30"/>
      <c r="DV929" s="30"/>
      <c r="DW929" s="30"/>
      <c r="DX929" s="30"/>
      <c r="DY929" s="30"/>
      <c r="DZ929" s="30"/>
    </row>
    <row r="930">
      <c r="A930" s="30"/>
      <c r="B930" s="42"/>
      <c r="C930" s="43"/>
      <c r="D930" s="30"/>
      <c r="E930" s="28"/>
      <c r="F930" s="30"/>
      <c r="G930" s="30"/>
      <c r="H930" s="30"/>
      <c r="I930" s="30"/>
      <c r="J930" s="28"/>
      <c r="K930" s="30"/>
      <c r="L930" s="30"/>
      <c r="M930" s="30"/>
      <c r="N930" s="30"/>
      <c r="O930" s="28"/>
      <c r="P930" s="30"/>
      <c r="Q930" s="30"/>
      <c r="R930" s="30"/>
      <c r="S930" s="36"/>
      <c r="T930" s="30"/>
      <c r="U930" s="36"/>
      <c r="V930" s="30"/>
      <c r="W930" s="28"/>
      <c r="X930" s="30"/>
      <c r="Y930" s="30"/>
      <c r="Z930" s="30"/>
      <c r="AA930" s="30"/>
      <c r="AB930" s="30"/>
      <c r="AC930" s="28"/>
      <c r="AD930" s="30"/>
      <c r="AE930" s="30"/>
      <c r="AF930" s="30"/>
      <c r="AG930" s="29"/>
      <c r="AH930" s="30"/>
      <c r="AI930" s="36"/>
      <c r="AJ930" s="30"/>
      <c r="AK930" s="29"/>
      <c r="AL930" s="30"/>
      <c r="AM930" s="30"/>
      <c r="AN930" s="30"/>
      <c r="AO930" s="30"/>
      <c r="AP930" s="30"/>
      <c r="AQ930" s="38"/>
      <c r="AR930" s="30"/>
      <c r="AS930" s="30"/>
      <c r="AT930" s="29"/>
      <c r="AU930" s="30"/>
      <c r="AV930" s="30"/>
      <c r="AW930" s="30"/>
      <c r="AX930" s="29"/>
      <c r="AY930" s="39"/>
      <c r="AZ930" s="30"/>
      <c r="BA930" s="30"/>
      <c r="BB930" s="29"/>
      <c r="BC930" s="52"/>
      <c r="BD930" s="30"/>
      <c r="BE930" s="29"/>
      <c r="BF930" s="30"/>
      <c r="BG930" s="30"/>
      <c r="BH930" s="30"/>
      <c r="BI930" s="30"/>
      <c r="BJ930" s="30"/>
      <c r="BK930" s="30"/>
      <c r="BL930" s="30"/>
      <c r="BM930" s="30"/>
      <c r="BN930" s="30"/>
      <c r="BO930" s="30"/>
      <c r="BP930" s="30"/>
      <c r="BQ930" s="30"/>
      <c r="BR930" s="30"/>
      <c r="BS930" s="30"/>
      <c r="BT930" s="30"/>
      <c r="BU930" s="30"/>
      <c r="BV930" s="30"/>
      <c r="BW930" s="30"/>
      <c r="BX930" s="30"/>
      <c r="BY930" s="30"/>
      <c r="BZ930" s="30"/>
      <c r="CA930" s="30"/>
      <c r="CB930" s="30"/>
      <c r="CC930" s="30"/>
      <c r="CD930" s="30"/>
      <c r="CE930" s="30"/>
      <c r="CF930" s="30"/>
      <c r="CG930" s="30"/>
      <c r="CH930" s="30"/>
      <c r="CI930" s="30"/>
      <c r="CJ930" s="30"/>
      <c r="CK930" s="30"/>
      <c r="CL930" s="30"/>
      <c r="CM930" s="30"/>
      <c r="CN930" s="30"/>
      <c r="CO930" s="30"/>
      <c r="CP930" s="30"/>
      <c r="CQ930" s="30"/>
      <c r="CR930" s="30"/>
      <c r="CS930" s="30"/>
      <c r="CT930" s="30"/>
      <c r="CU930" s="30"/>
      <c r="CV930" s="30"/>
      <c r="CW930" s="30"/>
      <c r="CX930" s="30"/>
      <c r="CY930" s="30"/>
      <c r="CZ930" s="30"/>
      <c r="DA930" s="30"/>
      <c r="DB930" s="30"/>
      <c r="DC930" s="30"/>
      <c r="DD930" s="30"/>
      <c r="DE930" s="30"/>
      <c r="DF930" s="30"/>
      <c r="DG930" s="30"/>
      <c r="DH930" s="30"/>
      <c r="DI930" s="30"/>
      <c r="DJ930" s="30"/>
      <c r="DK930" s="30"/>
      <c r="DL930" s="30"/>
      <c r="DM930" s="30"/>
      <c r="DN930" s="30"/>
      <c r="DO930" s="30"/>
      <c r="DP930" s="30"/>
      <c r="DQ930" s="30"/>
      <c r="DR930" s="30"/>
      <c r="DS930" s="30"/>
      <c r="DT930" s="30"/>
      <c r="DU930" s="30"/>
      <c r="DV930" s="30"/>
      <c r="DW930" s="30"/>
      <c r="DX930" s="30"/>
      <c r="DY930" s="30"/>
      <c r="DZ930" s="30"/>
    </row>
    <row r="931">
      <c r="A931" s="30"/>
      <c r="B931" s="42"/>
      <c r="C931" s="43"/>
      <c r="D931" s="30"/>
      <c r="E931" s="28"/>
      <c r="F931" s="30"/>
      <c r="G931" s="30"/>
      <c r="H931" s="30"/>
      <c r="I931" s="30"/>
      <c r="J931" s="28"/>
      <c r="K931" s="30"/>
      <c r="L931" s="30"/>
      <c r="M931" s="30"/>
      <c r="N931" s="30"/>
      <c r="O931" s="28"/>
      <c r="P931" s="30"/>
      <c r="Q931" s="30"/>
      <c r="R931" s="30"/>
      <c r="S931" s="36"/>
      <c r="T931" s="30"/>
      <c r="U931" s="36"/>
      <c r="V931" s="30"/>
      <c r="W931" s="28"/>
      <c r="X931" s="30"/>
      <c r="Y931" s="30"/>
      <c r="Z931" s="30"/>
      <c r="AA931" s="30"/>
      <c r="AB931" s="30"/>
      <c r="AC931" s="28"/>
      <c r="AD931" s="30"/>
      <c r="AE931" s="30"/>
      <c r="AF931" s="30"/>
      <c r="AG931" s="29"/>
      <c r="AH931" s="30"/>
      <c r="AI931" s="36"/>
      <c r="AJ931" s="30"/>
      <c r="AK931" s="29"/>
      <c r="AL931" s="30"/>
      <c r="AM931" s="30"/>
      <c r="AN931" s="30"/>
      <c r="AO931" s="30"/>
      <c r="AP931" s="30"/>
      <c r="AQ931" s="38"/>
      <c r="AR931" s="30"/>
      <c r="AS931" s="30"/>
      <c r="AT931" s="29"/>
      <c r="AU931" s="30"/>
      <c r="AV931" s="30"/>
      <c r="AW931" s="30"/>
      <c r="AX931" s="29"/>
      <c r="AY931" s="39"/>
      <c r="AZ931" s="30"/>
      <c r="BA931" s="30"/>
      <c r="BB931" s="29"/>
      <c r="BC931" s="52"/>
      <c r="BD931" s="30"/>
      <c r="BE931" s="29"/>
      <c r="BF931" s="30"/>
      <c r="BG931" s="30"/>
      <c r="BH931" s="30"/>
      <c r="BI931" s="30"/>
      <c r="BJ931" s="30"/>
      <c r="BK931" s="30"/>
      <c r="BL931" s="30"/>
      <c r="BM931" s="30"/>
      <c r="BN931" s="30"/>
      <c r="BO931" s="30"/>
      <c r="BP931" s="30"/>
      <c r="BQ931" s="30"/>
      <c r="BR931" s="30"/>
      <c r="BS931" s="30"/>
      <c r="BT931" s="30"/>
      <c r="BU931" s="30"/>
      <c r="BV931" s="30"/>
      <c r="BW931" s="30"/>
      <c r="BX931" s="30"/>
      <c r="BY931" s="30"/>
      <c r="BZ931" s="30"/>
      <c r="CA931" s="30"/>
      <c r="CB931" s="30"/>
      <c r="CC931" s="30"/>
      <c r="CD931" s="30"/>
      <c r="CE931" s="30"/>
      <c r="CF931" s="30"/>
      <c r="CG931" s="30"/>
      <c r="CH931" s="30"/>
      <c r="CI931" s="30"/>
      <c r="CJ931" s="30"/>
      <c r="CK931" s="30"/>
      <c r="CL931" s="30"/>
      <c r="CM931" s="30"/>
      <c r="CN931" s="30"/>
      <c r="CO931" s="30"/>
      <c r="CP931" s="30"/>
      <c r="CQ931" s="30"/>
      <c r="CR931" s="30"/>
      <c r="CS931" s="30"/>
      <c r="CT931" s="30"/>
      <c r="CU931" s="30"/>
      <c r="CV931" s="30"/>
      <c r="CW931" s="30"/>
      <c r="CX931" s="30"/>
      <c r="CY931" s="30"/>
      <c r="CZ931" s="30"/>
      <c r="DA931" s="30"/>
      <c r="DB931" s="30"/>
      <c r="DC931" s="30"/>
      <c r="DD931" s="30"/>
      <c r="DE931" s="30"/>
      <c r="DF931" s="30"/>
      <c r="DG931" s="30"/>
      <c r="DH931" s="30"/>
      <c r="DI931" s="30"/>
      <c r="DJ931" s="30"/>
      <c r="DK931" s="30"/>
      <c r="DL931" s="30"/>
      <c r="DM931" s="30"/>
      <c r="DN931" s="30"/>
      <c r="DO931" s="30"/>
      <c r="DP931" s="30"/>
      <c r="DQ931" s="30"/>
      <c r="DR931" s="30"/>
      <c r="DS931" s="30"/>
      <c r="DT931" s="30"/>
      <c r="DU931" s="30"/>
      <c r="DV931" s="30"/>
      <c r="DW931" s="30"/>
      <c r="DX931" s="30"/>
      <c r="DY931" s="30"/>
      <c r="DZ931" s="30"/>
    </row>
    <row r="932">
      <c r="A932" s="30"/>
      <c r="B932" s="42"/>
      <c r="C932" s="43"/>
      <c r="D932" s="30"/>
      <c r="E932" s="28"/>
      <c r="F932" s="30"/>
      <c r="G932" s="30"/>
      <c r="H932" s="30"/>
      <c r="I932" s="30"/>
      <c r="J932" s="28"/>
      <c r="K932" s="30"/>
      <c r="L932" s="30"/>
      <c r="M932" s="30"/>
      <c r="N932" s="30"/>
      <c r="O932" s="28"/>
      <c r="P932" s="30"/>
      <c r="Q932" s="30"/>
      <c r="R932" s="30"/>
      <c r="S932" s="36"/>
      <c r="T932" s="30"/>
      <c r="U932" s="36"/>
      <c r="V932" s="30"/>
      <c r="W932" s="28"/>
      <c r="X932" s="30"/>
      <c r="Y932" s="30"/>
      <c r="Z932" s="30"/>
      <c r="AA932" s="30"/>
      <c r="AB932" s="30"/>
      <c r="AC932" s="28"/>
      <c r="AD932" s="30"/>
      <c r="AE932" s="30"/>
      <c r="AF932" s="30"/>
      <c r="AG932" s="29"/>
      <c r="AH932" s="30"/>
      <c r="AI932" s="36"/>
      <c r="AJ932" s="30"/>
      <c r="AK932" s="29"/>
      <c r="AL932" s="30"/>
      <c r="AM932" s="30"/>
      <c r="AN932" s="30"/>
      <c r="AO932" s="30"/>
      <c r="AP932" s="30"/>
      <c r="AQ932" s="38"/>
      <c r="AR932" s="30"/>
      <c r="AS932" s="30"/>
      <c r="AT932" s="29"/>
      <c r="AU932" s="30"/>
      <c r="AV932" s="30"/>
      <c r="AW932" s="30"/>
      <c r="AX932" s="29"/>
      <c r="AY932" s="39"/>
      <c r="AZ932" s="30"/>
      <c r="BA932" s="30"/>
      <c r="BB932" s="29"/>
      <c r="BC932" s="52"/>
      <c r="BD932" s="30"/>
      <c r="BE932" s="29"/>
      <c r="BF932" s="30"/>
      <c r="BG932" s="30"/>
      <c r="BH932" s="30"/>
      <c r="BI932" s="30"/>
      <c r="BJ932" s="30"/>
      <c r="BK932" s="30"/>
      <c r="BL932" s="30"/>
      <c r="BM932" s="30"/>
      <c r="BN932" s="30"/>
      <c r="BO932" s="30"/>
      <c r="BP932" s="30"/>
      <c r="BQ932" s="30"/>
      <c r="BR932" s="30"/>
      <c r="BS932" s="30"/>
      <c r="BT932" s="30"/>
      <c r="BU932" s="30"/>
      <c r="BV932" s="30"/>
      <c r="BW932" s="30"/>
      <c r="BX932" s="30"/>
      <c r="BY932" s="30"/>
      <c r="BZ932" s="30"/>
      <c r="CA932" s="30"/>
      <c r="CB932" s="30"/>
      <c r="CC932" s="30"/>
      <c r="CD932" s="30"/>
      <c r="CE932" s="30"/>
      <c r="CF932" s="30"/>
      <c r="CG932" s="30"/>
      <c r="CH932" s="30"/>
      <c r="CI932" s="30"/>
      <c r="CJ932" s="30"/>
      <c r="CK932" s="30"/>
      <c r="CL932" s="30"/>
      <c r="CM932" s="30"/>
      <c r="CN932" s="30"/>
      <c r="CO932" s="30"/>
      <c r="CP932" s="30"/>
      <c r="CQ932" s="30"/>
      <c r="CR932" s="30"/>
      <c r="CS932" s="30"/>
      <c r="CT932" s="30"/>
      <c r="CU932" s="30"/>
      <c r="CV932" s="30"/>
      <c r="CW932" s="30"/>
      <c r="CX932" s="30"/>
      <c r="CY932" s="30"/>
      <c r="CZ932" s="30"/>
      <c r="DA932" s="30"/>
      <c r="DB932" s="30"/>
      <c r="DC932" s="30"/>
      <c r="DD932" s="30"/>
      <c r="DE932" s="30"/>
      <c r="DF932" s="30"/>
      <c r="DG932" s="30"/>
      <c r="DH932" s="30"/>
      <c r="DI932" s="30"/>
      <c r="DJ932" s="30"/>
      <c r="DK932" s="30"/>
      <c r="DL932" s="30"/>
      <c r="DM932" s="30"/>
      <c r="DN932" s="30"/>
      <c r="DO932" s="30"/>
      <c r="DP932" s="30"/>
      <c r="DQ932" s="30"/>
      <c r="DR932" s="30"/>
      <c r="DS932" s="30"/>
      <c r="DT932" s="30"/>
      <c r="DU932" s="30"/>
      <c r="DV932" s="30"/>
      <c r="DW932" s="30"/>
      <c r="DX932" s="30"/>
      <c r="DY932" s="30"/>
      <c r="DZ932" s="30"/>
    </row>
    <row r="933">
      <c r="A933" s="30"/>
      <c r="B933" s="42"/>
      <c r="C933" s="43"/>
      <c r="D933" s="30"/>
      <c r="E933" s="28"/>
      <c r="F933" s="30"/>
      <c r="G933" s="30"/>
      <c r="H933" s="30"/>
      <c r="I933" s="30"/>
      <c r="J933" s="28"/>
      <c r="K933" s="30"/>
      <c r="L933" s="30"/>
      <c r="M933" s="30"/>
      <c r="N933" s="30"/>
      <c r="O933" s="28"/>
      <c r="P933" s="30"/>
      <c r="Q933" s="30"/>
      <c r="R933" s="30"/>
      <c r="S933" s="36"/>
      <c r="T933" s="30"/>
      <c r="U933" s="36"/>
      <c r="V933" s="30"/>
      <c r="W933" s="28"/>
      <c r="X933" s="30"/>
      <c r="Y933" s="30"/>
      <c r="Z933" s="30"/>
      <c r="AA933" s="30"/>
      <c r="AB933" s="30"/>
      <c r="AC933" s="28"/>
      <c r="AD933" s="30"/>
      <c r="AE933" s="30"/>
      <c r="AF933" s="30"/>
      <c r="AG933" s="29"/>
      <c r="AH933" s="30"/>
      <c r="AI933" s="36"/>
      <c r="AJ933" s="30"/>
      <c r="AK933" s="29"/>
      <c r="AL933" s="30"/>
      <c r="AM933" s="30"/>
      <c r="AN933" s="30"/>
      <c r="AO933" s="30"/>
      <c r="AP933" s="30"/>
      <c r="AQ933" s="38"/>
      <c r="AR933" s="30"/>
      <c r="AS933" s="30"/>
      <c r="AT933" s="29"/>
      <c r="AU933" s="30"/>
      <c r="AV933" s="30"/>
      <c r="AW933" s="30"/>
      <c r="AX933" s="29"/>
      <c r="AY933" s="39"/>
      <c r="AZ933" s="30"/>
      <c r="BA933" s="30"/>
      <c r="BB933" s="29"/>
      <c r="BC933" s="52"/>
      <c r="BD933" s="30"/>
      <c r="BE933" s="29"/>
      <c r="BF933" s="30"/>
      <c r="BG933" s="30"/>
      <c r="BH933" s="30"/>
      <c r="BI933" s="30"/>
      <c r="BJ933" s="30"/>
      <c r="BK933" s="30"/>
      <c r="BL933" s="30"/>
      <c r="BM933" s="30"/>
      <c r="BN933" s="30"/>
      <c r="BO933" s="30"/>
      <c r="BP933" s="30"/>
      <c r="BQ933" s="30"/>
      <c r="BR933" s="30"/>
      <c r="BS933" s="30"/>
      <c r="BT933" s="30"/>
      <c r="BU933" s="30"/>
      <c r="BV933" s="30"/>
      <c r="BW933" s="30"/>
      <c r="BX933" s="30"/>
      <c r="BY933" s="30"/>
      <c r="BZ933" s="30"/>
      <c r="CA933" s="30"/>
      <c r="CB933" s="30"/>
      <c r="CC933" s="30"/>
      <c r="CD933" s="30"/>
      <c r="CE933" s="30"/>
      <c r="CF933" s="30"/>
      <c r="CG933" s="30"/>
      <c r="CH933" s="30"/>
      <c r="CI933" s="30"/>
      <c r="CJ933" s="30"/>
      <c r="CK933" s="30"/>
      <c r="CL933" s="30"/>
      <c r="CM933" s="30"/>
      <c r="CN933" s="30"/>
      <c r="CO933" s="30"/>
      <c r="CP933" s="30"/>
      <c r="CQ933" s="30"/>
      <c r="CR933" s="30"/>
      <c r="CS933" s="30"/>
      <c r="CT933" s="30"/>
      <c r="CU933" s="30"/>
      <c r="CV933" s="30"/>
      <c r="CW933" s="30"/>
      <c r="CX933" s="30"/>
      <c r="CY933" s="30"/>
      <c r="CZ933" s="30"/>
      <c r="DA933" s="30"/>
      <c r="DB933" s="30"/>
      <c r="DC933" s="30"/>
      <c r="DD933" s="30"/>
      <c r="DE933" s="30"/>
      <c r="DF933" s="30"/>
      <c r="DG933" s="30"/>
      <c r="DH933" s="30"/>
      <c r="DI933" s="30"/>
      <c r="DJ933" s="30"/>
      <c r="DK933" s="30"/>
      <c r="DL933" s="30"/>
      <c r="DM933" s="30"/>
      <c r="DN933" s="30"/>
      <c r="DO933" s="30"/>
      <c r="DP933" s="30"/>
      <c r="DQ933" s="30"/>
      <c r="DR933" s="30"/>
      <c r="DS933" s="30"/>
      <c r="DT933" s="30"/>
      <c r="DU933" s="30"/>
      <c r="DV933" s="30"/>
      <c r="DW933" s="30"/>
      <c r="DX933" s="30"/>
      <c r="DY933" s="30"/>
      <c r="DZ933" s="30"/>
    </row>
    <row r="934">
      <c r="A934" s="30"/>
      <c r="B934" s="42"/>
      <c r="C934" s="43"/>
      <c r="D934" s="30"/>
      <c r="E934" s="28"/>
      <c r="F934" s="30"/>
      <c r="G934" s="30"/>
      <c r="H934" s="30"/>
      <c r="I934" s="30"/>
      <c r="J934" s="28"/>
      <c r="K934" s="30"/>
      <c r="L934" s="30"/>
      <c r="M934" s="30"/>
      <c r="N934" s="30"/>
      <c r="O934" s="28"/>
      <c r="P934" s="30"/>
      <c r="Q934" s="30"/>
      <c r="R934" s="30"/>
      <c r="S934" s="36"/>
      <c r="T934" s="30"/>
      <c r="U934" s="36"/>
      <c r="V934" s="30"/>
      <c r="W934" s="28"/>
      <c r="X934" s="30"/>
      <c r="Y934" s="30"/>
      <c r="Z934" s="30"/>
      <c r="AA934" s="30"/>
      <c r="AB934" s="30"/>
      <c r="AC934" s="28"/>
      <c r="AD934" s="30"/>
      <c r="AE934" s="30"/>
      <c r="AF934" s="30"/>
      <c r="AG934" s="29"/>
      <c r="AH934" s="30"/>
      <c r="AI934" s="36"/>
      <c r="AJ934" s="30"/>
      <c r="AK934" s="29"/>
      <c r="AL934" s="30"/>
      <c r="AM934" s="30"/>
      <c r="AN934" s="30"/>
      <c r="AO934" s="30"/>
      <c r="AP934" s="30"/>
      <c r="AQ934" s="38"/>
      <c r="AR934" s="30"/>
      <c r="AS934" s="30"/>
      <c r="AT934" s="29"/>
      <c r="AU934" s="30"/>
      <c r="AV934" s="30"/>
      <c r="AW934" s="30"/>
      <c r="AX934" s="29"/>
      <c r="AY934" s="39"/>
      <c r="AZ934" s="30"/>
      <c r="BA934" s="30"/>
      <c r="BB934" s="29"/>
      <c r="BC934" s="52"/>
      <c r="BD934" s="30"/>
      <c r="BE934" s="29"/>
      <c r="BF934" s="30"/>
      <c r="BG934" s="30"/>
      <c r="BH934" s="30"/>
      <c r="BI934" s="30"/>
      <c r="BJ934" s="30"/>
      <c r="BK934" s="30"/>
      <c r="BL934" s="30"/>
      <c r="BM934" s="30"/>
      <c r="BN934" s="30"/>
      <c r="BO934" s="30"/>
      <c r="BP934" s="30"/>
      <c r="BQ934" s="30"/>
      <c r="BR934" s="30"/>
      <c r="BS934" s="30"/>
      <c r="BT934" s="30"/>
      <c r="BU934" s="30"/>
      <c r="BV934" s="30"/>
      <c r="BW934" s="30"/>
      <c r="BX934" s="30"/>
      <c r="BY934" s="30"/>
      <c r="BZ934" s="30"/>
      <c r="CA934" s="30"/>
      <c r="CB934" s="30"/>
      <c r="CC934" s="30"/>
      <c r="CD934" s="30"/>
      <c r="CE934" s="30"/>
      <c r="CF934" s="30"/>
      <c r="CG934" s="30"/>
      <c r="CH934" s="30"/>
      <c r="CI934" s="30"/>
      <c r="CJ934" s="30"/>
      <c r="CK934" s="30"/>
      <c r="CL934" s="30"/>
      <c r="CM934" s="30"/>
      <c r="CN934" s="30"/>
      <c r="CO934" s="30"/>
      <c r="CP934" s="30"/>
      <c r="CQ934" s="30"/>
      <c r="CR934" s="30"/>
      <c r="CS934" s="30"/>
      <c r="CT934" s="30"/>
      <c r="CU934" s="30"/>
      <c r="CV934" s="30"/>
      <c r="CW934" s="30"/>
      <c r="CX934" s="30"/>
      <c r="CY934" s="30"/>
      <c r="CZ934" s="30"/>
      <c r="DA934" s="30"/>
      <c r="DB934" s="30"/>
      <c r="DC934" s="30"/>
      <c r="DD934" s="30"/>
      <c r="DE934" s="30"/>
      <c r="DF934" s="30"/>
      <c r="DG934" s="30"/>
      <c r="DH934" s="30"/>
      <c r="DI934" s="30"/>
      <c r="DJ934" s="30"/>
      <c r="DK934" s="30"/>
      <c r="DL934" s="30"/>
      <c r="DM934" s="30"/>
      <c r="DN934" s="30"/>
      <c r="DO934" s="30"/>
      <c r="DP934" s="30"/>
      <c r="DQ934" s="30"/>
      <c r="DR934" s="30"/>
      <c r="DS934" s="30"/>
      <c r="DT934" s="30"/>
      <c r="DU934" s="30"/>
      <c r="DV934" s="30"/>
      <c r="DW934" s="30"/>
      <c r="DX934" s="30"/>
      <c r="DY934" s="30"/>
      <c r="DZ934" s="30"/>
    </row>
    <row r="935">
      <c r="A935" s="30"/>
      <c r="B935" s="42"/>
      <c r="C935" s="43"/>
      <c r="D935" s="30"/>
      <c r="E935" s="28"/>
      <c r="F935" s="30"/>
      <c r="G935" s="30"/>
      <c r="H935" s="30"/>
      <c r="I935" s="30"/>
      <c r="J935" s="28"/>
      <c r="K935" s="30"/>
      <c r="L935" s="30"/>
      <c r="M935" s="30"/>
      <c r="N935" s="30"/>
      <c r="O935" s="28"/>
      <c r="P935" s="30"/>
      <c r="Q935" s="30"/>
      <c r="R935" s="30"/>
      <c r="S935" s="36"/>
      <c r="T935" s="30"/>
      <c r="U935" s="36"/>
      <c r="V935" s="30"/>
      <c r="W935" s="28"/>
      <c r="X935" s="30"/>
      <c r="Y935" s="30"/>
      <c r="Z935" s="30"/>
      <c r="AA935" s="30"/>
      <c r="AB935" s="30"/>
      <c r="AC935" s="28"/>
      <c r="AD935" s="30"/>
      <c r="AE935" s="30"/>
      <c r="AF935" s="30"/>
      <c r="AG935" s="29"/>
      <c r="AH935" s="30"/>
      <c r="AI935" s="36"/>
      <c r="AJ935" s="30"/>
      <c r="AK935" s="29"/>
      <c r="AL935" s="30"/>
      <c r="AM935" s="30"/>
      <c r="AN935" s="30"/>
      <c r="AO935" s="30"/>
      <c r="AP935" s="30"/>
      <c r="AQ935" s="38"/>
      <c r="AR935" s="30"/>
      <c r="AS935" s="30"/>
      <c r="AT935" s="29"/>
      <c r="AU935" s="30"/>
      <c r="AV935" s="30"/>
      <c r="AW935" s="30"/>
      <c r="AX935" s="29"/>
      <c r="AY935" s="39"/>
      <c r="AZ935" s="30"/>
      <c r="BA935" s="30"/>
      <c r="BB935" s="29"/>
      <c r="BC935" s="52"/>
      <c r="BD935" s="30"/>
      <c r="BE935" s="29"/>
      <c r="BF935" s="30"/>
      <c r="BG935" s="30"/>
      <c r="BH935" s="30"/>
      <c r="BI935" s="30"/>
      <c r="BJ935" s="30"/>
      <c r="BK935" s="30"/>
      <c r="BL935" s="30"/>
      <c r="BM935" s="30"/>
      <c r="BN935" s="30"/>
      <c r="BO935" s="30"/>
      <c r="BP935" s="30"/>
      <c r="BQ935" s="30"/>
      <c r="BR935" s="30"/>
      <c r="BS935" s="30"/>
      <c r="BT935" s="30"/>
      <c r="BU935" s="30"/>
      <c r="BV935" s="30"/>
      <c r="BW935" s="30"/>
      <c r="BX935" s="30"/>
      <c r="BY935" s="30"/>
      <c r="BZ935" s="30"/>
      <c r="CA935" s="30"/>
      <c r="CB935" s="30"/>
      <c r="CC935" s="30"/>
      <c r="CD935" s="30"/>
      <c r="CE935" s="30"/>
      <c r="CF935" s="30"/>
      <c r="CG935" s="30"/>
      <c r="CH935" s="30"/>
      <c r="CI935" s="30"/>
      <c r="CJ935" s="30"/>
      <c r="CK935" s="30"/>
      <c r="CL935" s="30"/>
      <c r="CM935" s="30"/>
      <c r="CN935" s="30"/>
      <c r="CO935" s="30"/>
      <c r="CP935" s="30"/>
      <c r="CQ935" s="30"/>
      <c r="CR935" s="30"/>
      <c r="CS935" s="30"/>
      <c r="CT935" s="30"/>
      <c r="CU935" s="30"/>
      <c r="CV935" s="30"/>
      <c r="CW935" s="30"/>
      <c r="CX935" s="30"/>
      <c r="CY935" s="30"/>
      <c r="CZ935" s="30"/>
      <c r="DA935" s="30"/>
      <c r="DB935" s="30"/>
      <c r="DC935" s="30"/>
      <c r="DD935" s="30"/>
      <c r="DE935" s="30"/>
      <c r="DF935" s="30"/>
      <c r="DG935" s="30"/>
      <c r="DH935" s="30"/>
      <c r="DI935" s="30"/>
      <c r="DJ935" s="30"/>
      <c r="DK935" s="30"/>
      <c r="DL935" s="30"/>
      <c r="DM935" s="30"/>
      <c r="DN935" s="30"/>
      <c r="DO935" s="30"/>
      <c r="DP935" s="30"/>
      <c r="DQ935" s="30"/>
      <c r="DR935" s="30"/>
      <c r="DS935" s="30"/>
      <c r="DT935" s="30"/>
      <c r="DU935" s="30"/>
      <c r="DV935" s="30"/>
      <c r="DW935" s="30"/>
      <c r="DX935" s="30"/>
      <c r="DY935" s="30"/>
      <c r="DZ935" s="30"/>
    </row>
    <row r="936">
      <c r="A936" s="30"/>
      <c r="B936" s="42"/>
      <c r="C936" s="43"/>
      <c r="D936" s="30"/>
      <c r="E936" s="28"/>
      <c r="F936" s="30"/>
      <c r="G936" s="30"/>
      <c r="H936" s="30"/>
      <c r="I936" s="30"/>
      <c r="J936" s="28"/>
      <c r="K936" s="30"/>
      <c r="L936" s="30"/>
      <c r="M936" s="30"/>
      <c r="N936" s="30"/>
      <c r="O936" s="28"/>
      <c r="P936" s="30"/>
      <c r="Q936" s="30"/>
      <c r="R936" s="30"/>
      <c r="S936" s="36"/>
      <c r="T936" s="30"/>
      <c r="U936" s="36"/>
      <c r="V936" s="30"/>
      <c r="W936" s="28"/>
      <c r="X936" s="30"/>
      <c r="Y936" s="30"/>
      <c r="Z936" s="30"/>
      <c r="AA936" s="30"/>
      <c r="AB936" s="30"/>
      <c r="AC936" s="28"/>
      <c r="AD936" s="30"/>
      <c r="AE936" s="30"/>
      <c r="AF936" s="30"/>
      <c r="AG936" s="29"/>
      <c r="AH936" s="30"/>
      <c r="AI936" s="36"/>
      <c r="AJ936" s="30"/>
      <c r="AK936" s="29"/>
      <c r="AL936" s="30"/>
      <c r="AM936" s="30"/>
      <c r="AN936" s="30"/>
      <c r="AO936" s="30"/>
      <c r="AP936" s="30"/>
      <c r="AQ936" s="38"/>
      <c r="AR936" s="30"/>
      <c r="AS936" s="30"/>
      <c r="AT936" s="29"/>
      <c r="AU936" s="30"/>
      <c r="AV936" s="30"/>
      <c r="AW936" s="30"/>
      <c r="AX936" s="29"/>
      <c r="AY936" s="39"/>
      <c r="AZ936" s="30"/>
      <c r="BA936" s="30"/>
      <c r="BB936" s="29"/>
      <c r="BC936" s="52"/>
      <c r="BD936" s="30"/>
      <c r="BE936" s="29"/>
      <c r="BF936" s="30"/>
      <c r="BG936" s="30"/>
      <c r="BH936" s="30"/>
      <c r="BI936" s="30"/>
      <c r="BJ936" s="30"/>
      <c r="BK936" s="30"/>
      <c r="BL936" s="30"/>
      <c r="BM936" s="30"/>
      <c r="BN936" s="30"/>
      <c r="BO936" s="30"/>
      <c r="BP936" s="30"/>
      <c r="BQ936" s="30"/>
      <c r="BR936" s="30"/>
      <c r="BS936" s="30"/>
      <c r="BT936" s="30"/>
      <c r="BU936" s="30"/>
      <c r="BV936" s="30"/>
      <c r="BW936" s="30"/>
      <c r="BX936" s="30"/>
      <c r="BY936" s="30"/>
      <c r="BZ936" s="30"/>
      <c r="CA936" s="30"/>
      <c r="CB936" s="30"/>
      <c r="CC936" s="30"/>
      <c r="CD936" s="30"/>
      <c r="CE936" s="30"/>
      <c r="CF936" s="30"/>
      <c r="CG936" s="30"/>
      <c r="CH936" s="30"/>
      <c r="CI936" s="30"/>
      <c r="CJ936" s="30"/>
      <c r="CK936" s="30"/>
      <c r="CL936" s="30"/>
      <c r="CM936" s="30"/>
      <c r="CN936" s="30"/>
      <c r="CO936" s="30"/>
      <c r="CP936" s="30"/>
      <c r="CQ936" s="30"/>
      <c r="CR936" s="30"/>
      <c r="CS936" s="30"/>
      <c r="CT936" s="30"/>
      <c r="CU936" s="30"/>
      <c r="CV936" s="30"/>
      <c r="CW936" s="30"/>
      <c r="CX936" s="30"/>
      <c r="CY936" s="30"/>
      <c r="CZ936" s="30"/>
      <c r="DA936" s="30"/>
      <c r="DB936" s="30"/>
      <c r="DC936" s="30"/>
      <c r="DD936" s="30"/>
      <c r="DE936" s="30"/>
      <c r="DF936" s="30"/>
      <c r="DG936" s="30"/>
      <c r="DH936" s="30"/>
      <c r="DI936" s="30"/>
      <c r="DJ936" s="30"/>
      <c r="DK936" s="30"/>
      <c r="DL936" s="30"/>
      <c r="DM936" s="30"/>
      <c r="DN936" s="30"/>
      <c r="DO936" s="30"/>
      <c r="DP936" s="30"/>
      <c r="DQ936" s="30"/>
      <c r="DR936" s="30"/>
      <c r="DS936" s="30"/>
      <c r="DT936" s="30"/>
      <c r="DU936" s="30"/>
      <c r="DV936" s="30"/>
      <c r="DW936" s="30"/>
      <c r="DX936" s="30"/>
      <c r="DY936" s="30"/>
      <c r="DZ936" s="30"/>
    </row>
    <row r="937">
      <c r="A937" s="30"/>
      <c r="B937" s="42"/>
      <c r="C937" s="43"/>
      <c r="D937" s="30"/>
      <c r="E937" s="28"/>
      <c r="F937" s="30"/>
      <c r="G937" s="30"/>
      <c r="H937" s="30"/>
      <c r="I937" s="30"/>
      <c r="J937" s="28"/>
      <c r="K937" s="30"/>
      <c r="L937" s="30"/>
      <c r="M937" s="30"/>
      <c r="N937" s="30"/>
      <c r="O937" s="28"/>
      <c r="P937" s="30"/>
      <c r="Q937" s="30"/>
      <c r="R937" s="30"/>
      <c r="S937" s="36"/>
      <c r="T937" s="30"/>
      <c r="U937" s="36"/>
      <c r="V937" s="30"/>
      <c r="W937" s="28"/>
      <c r="X937" s="30"/>
      <c r="Y937" s="30"/>
      <c r="Z937" s="30"/>
      <c r="AA937" s="30"/>
      <c r="AB937" s="30"/>
      <c r="AC937" s="28"/>
      <c r="AD937" s="30"/>
      <c r="AE937" s="30"/>
      <c r="AF937" s="30"/>
      <c r="AG937" s="29"/>
      <c r="AH937" s="30"/>
      <c r="AI937" s="36"/>
      <c r="AJ937" s="30"/>
      <c r="AK937" s="29"/>
      <c r="AL937" s="30"/>
      <c r="AM937" s="30"/>
      <c r="AN937" s="30"/>
      <c r="AO937" s="30"/>
      <c r="AP937" s="30"/>
      <c r="AQ937" s="38"/>
      <c r="AR937" s="30"/>
      <c r="AS937" s="30"/>
      <c r="AT937" s="29"/>
      <c r="AU937" s="30"/>
      <c r="AV937" s="30"/>
      <c r="AW937" s="30"/>
      <c r="AX937" s="29"/>
      <c r="AY937" s="39"/>
      <c r="AZ937" s="30"/>
      <c r="BA937" s="30"/>
      <c r="BB937" s="29"/>
      <c r="BC937" s="52"/>
      <c r="BD937" s="30"/>
      <c r="BE937" s="29"/>
      <c r="BF937" s="30"/>
      <c r="BG937" s="30"/>
      <c r="BH937" s="30"/>
      <c r="BI937" s="30"/>
      <c r="BJ937" s="30"/>
      <c r="BK937" s="30"/>
      <c r="BL937" s="30"/>
      <c r="BM937" s="30"/>
      <c r="BN937" s="30"/>
      <c r="BO937" s="30"/>
      <c r="BP937" s="30"/>
      <c r="BQ937" s="30"/>
      <c r="BR937" s="30"/>
      <c r="BS937" s="30"/>
      <c r="BT937" s="30"/>
      <c r="BU937" s="30"/>
      <c r="BV937" s="30"/>
      <c r="BW937" s="30"/>
      <c r="BX937" s="30"/>
      <c r="BY937" s="30"/>
      <c r="BZ937" s="30"/>
      <c r="CA937" s="30"/>
      <c r="CB937" s="30"/>
      <c r="CC937" s="30"/>
      <c r="CD937" s="30"/>
      <c r="CE937" s="30"/>
      <c r="CF937" s="30"/>
      <c r="CG937" s="30"/>
      <c r="CH937" s="30"/>
      <c r="CI937" s="30"/>
      <c r="CJ937" s="30"/>
      <c r="CK937" s="30"/>
      <c r="CL937" s="30"/>
      <c r="CM937" s="30"/>
      <c r="CN937" s="30"/>
      <c r="CO937" s="30"/>
      <c r="CP937" s="30"/>
      <c r="CQ937" s="30"/>
      <c r="CR937" s="30"/>
      <c r="CS937" s="30"/>
      <c r="CT937" s="30"/>
      <c r="CU937" s="30"/>
      <c r="CV937" s="30"/>
      <c r="CW937" s="30"/>
      <c r="CX937" s="30"/>
      <c r="CY937" s="30"/>
      <c r="CZ937" s="30"/>
      <c r="DA937" s="30"/>
      <c r="DB937" s="30"/>
      <c r="DC937" s="30"/>
      <c r="DD937" s="30"/>
      <c r="DE937" s="30"/>
      <c r="DF937" s="30"/>
      <c r="DG937" s="30"/>
      <c r="DH937" s="30"/>
      <c r="DI937" s="30"/>
      <c r="DJ937" s="30"/>
      <c r="DK937" s="30"/>
      <c r="DL937" s="30"/>
      <c r="DM937" s="30"/>
      <c r="DN937" s="30"/>
      <c r="DO937" s="30"/>
      <c r="DP937" s="30"/>
      <c r="DQ937" s="30"/>
      <c r="DR937" s="30"/>
      <c r="DS937" s="30"/>
      <c r="DT937" s="30"/>
      <c r="DU937" s="30"/>
      <c r="DV937" s="30"/>
      <c r="DW937" s="30"/>
      <c r="DX937" s="30"/>
      <c r="DY937" s="30"/>
      <c r="DZ937" s="30"/>
    </row>
    <row r="938">
      <c r="A938" s="30"/>
      <c r="B938" s="42"/>
      <c r="C938" s="43"/>
      <c r="D938" s="30"/>
      <c r="E938" s="28"/>
      <c r="F938" s="30"/>
      <c r="G938" s="30"/>
      <c r="H938" s="30"/>
      <c r="I938" s="30"/>
      <c r="J938" s="28"/>
      <c r="K938" s="30"/>
      <c r="L938" s="30"/>
      <c r="M938" s="30"/>
      <c r="N938" s="30"/>
      <c r="O938" s="28"/>
      <c r="P938" s="30"/>
      <c r="Q938" s="30"/>
      <c r="R938" s="30"/>
      <c r="S938" s="36"/>
      <c r="T938" s="30"/>
      <c r="U938" s="36"/>
      <c r="V938" s="30"/>
      <c r="W938" s="28"/>
      <c r="X938" s="30"/>
      <c r="Y938" s="30"/>
      <c r="Z938" s="30"/>
      <c r="AA938" s="30"/>
      <c r="AB938" s="30"/>
      <c r="AC938" s="28"/>
      <c r="AD938" s="30"/>
      <c r="AE938" s="30"/>
      <c r="AF938" s="30"/>
      <c r="AG938" s="29"/>
      <c r="AH938" s="30"/>
      <c r="AI938" s="36"/>
      <c r="AJ938" s="30"/>
      <c r="AK938" s="29"/>
      <c r="AL938" s="30"/>
      <c r="AM938" s="30"/>
      <c r="AN938" s="30"/>
      <c r="AO938" s="30"/>
      <c r="AP938" s="30"/>
      <c r="AQ938" s="38"/>
      <c r="AR938" s="30"/>
      <c r="AS938" s="30"/>
      <c r="AT938" s="29"/>
      <c r="AU938" s="30"/>
      <c r="AV938" s="30"/>
      <c r="AW938" s="30"/>
      <c r="AX938" s="29"/>
      <c r="AY938" s="39"/>
      <c r="AZ938" s="30"/>
      <c r="BA938" s="30"/>
      <c r="BB938" s="29"/>
      <c r="BC938" s="52"/>
      <c r="BD938" s="30"/>
      <c r="BE938" s="29"/>
      <c r="BF938" s="30"/>
      <c r="BG938" s="30"/>
      <c r="BH938" s="30"/>
      <c r="BI938" s="30"/>
      <c r="BJ938" s="30"/>
      <c r="BK938" s="30"/>
      <c r="BL938" s="30"/>
      <c r="BM938" s="30"/>
      <c r="BN938" s="30"/>
      <c r="BO938" s="30"/>
      <c r="BP938" s="30"/>
      <c r="BQ938" s="30"/>
      <c r="BR938" s="30"/>
      <c r="BS938" s="30"/>
      <c r="BT938" s="30"/>
      <c r="BU938" s="30"/>
      <c r="BV938" s="30"/>
      <c r="BW938" s="30"/>
      <c r="BX938" s="30"/>
      <c r="BY938" s="30"/>
      <c r="BZ938" s="30"/>
      <c r="CA938" s="30"/>
      <c r="CB938" s="30"/>
      <c r="CC938" s="30"/>
      <c r="CD938" s="30"/>
      <c r="CE938" s="30"/>
      <c r="CF938" s="30"/>
      <c r="CG938" s="30"/>
      <c r="CH938" s="30"/>
      <c r="CI938" s="30"/>
      <c r="CJ938" s="30"/>
      <c r="CK938" s="30"/>
      <c r="CL938" s="30"/>
      <c r="CM938" s="30"/>
      <c r="CN938" s="30"/>
      <c r="CO938" s="30"/>
      <c r="CP938" s="30"/>
      <c r="CQ938" s="30"/>
      <c r="CR938" s="30"/>
      <c r="CS938" s="30"/>
      <c r="CT938" s="30"/>
      <c r="CU938" s="30"/>
      <c r="CV938" s="30"/>
      <c r="CW938" s="30"/>
      <c r="CX938" s="30"/>
      <c r="CY938" s="30"/>
      <c r="CZ938" s="30"/>
      <c r="DA938" s="30"/>
      <c r="DB938" s="30"/>
      <c r="DC938" s="30"/>
      <c r="DD938" s="30"/>
      <c r="DE938" s="30"/>
      <c r="DF938" s="30"/>
      <c r="DG938" s="30"/>
      <c r="DH938" s="30"/>
      <c r="DI938" s="30"/>
      <c r="DJ938" s="30"/>
      <c r="DK938" s="30"/>
      <c r="DL938" s="30"/>
      <c r="DM938" s="30"/>
      <c r="DN938" s="30"/>
      <c r="DO938" s="30"/>
      <c r="DP938" s="30"/>
      <c r="DQ938" s="30"/>
      <c r="DR938" s="30"/>
      <c r="DS938" s="30"/>
      <c r="DT938" s="30"/>
      <c r="DU938" s="30"/>
      <c r="DV938" s="30"/>
      <c r="DW938" s="30"/>
      <c r="DX938" s="30"/>
      <c r="DY938" s="30"/>
      <c r="DZ938" s="30"/>
    </row>
    <row r="939">
      <c r="A939" s="30"/>
      <c r="B939" s="42"/>
      <c r="C939" s="43"/>
      <c r="D939" s="30"/>
      <c r="E939" s="28"/>
      <c r="F939" s="30"/>
      <c r="G939" s="30"/>
      <c r="H939" s="30"/>
      <c r="I939" s="30"/>
      <c r="J939" s="28"/>
      <c r="K939" s="30"/>
      <c r="L939" s="30"/>
      <c r="M939" s="30"/>
      <c r="N939" s="30"/>
      <c r="O939" s="28"/>
      <c r="P939" s="30"/>
      <c r="Q939" s="30"/>
      <c r="R939" s="30"/>
      <c r="S939" s="36"/>
      <c r="T939" s="30"/>
      <c r="U939" s="36"/>
      <c r="V939" s="30"/>
      <c r="W939" s="28"/>
      <c r="X939" s="30"/>
      <c r="Y939" s="30"/>
      <c r="Z939" s="30"/>
      <c r="AA939" s="30"/>
      <c r="AB939" s="30"/>
      <c r="AC939" s="28"/>
      <c r="AD939" s="30"/>
      <c r="AE939" s="30"/>
      <c r="AF939" s="30"/>
      <c r="AG939" s="29"/>
      <c r="AH939" s="30"/>
      <c r="AI939" s="36"/>
      <c r="AJ939" s="30"/>
      <c r="AK939" s="29"/>
      <c r="AL939" s="30"/>
      <c r="AM939" s="30"/>
      <c r="AN939" s="30"/>
      <c r="AO939" s="30"/>
      <c r="AP939" s="30"/>
      <c r="AQ939" s="38"/>
      <c r="AR939" s="30"/>
      <c r="AS939" s="30"/>
      <c r="AT939" s="29"/>
      <c r="AU939" s="30"/>
      <c r="AV939" s="30"/>
      <c r="AW939" s="30"/>
      <c r="AX939" s="29"/>
      <c r="AY939" s="39"/>
      <c r="AZ939" s="30"/>
      <c r="BA939" s="30"/>
      <c r="BB939" s="29"/>
      <c r="BC939" s="52"/>
      <c r="BD939" s="30"/>
      <c r="BE939" s="29"/>
      <c r="BF939" s="30"/>
      <c r="BG939" s="30"/>
      <c r="BH939" s="30"/>
      <c r="BI939" s="30"/>
      <c r="BJ939" s="30"/>
      <c r="BK939" s="30"/>
      <c r="BL939" s="30"/>
      <c r="BM939" s="30"/>
      <c r="BN939" s="30"/>
      <c r="BO939" s="30"/>
      <c r="BP939" s="30"/>
      <c r="BQ939" s="30"/>
      <c r="BR939" s="30"/>
      <c r="BS939" s="30"/>
      <c r="BT939" s="30"/>
      <c r="BU939" s="30"/>
      <c r="BV939" s="30"/>
      <c r="BW939" s="30"/>
      <c r="BX939" s="30"/>
      <c r="BY939" s="30"/>
      <c r="BZ939" s="30"/>
      <c r="CA939" s="30"/>
      <c r="CB939" s="30"/>
      <c r="CC939" s="30"/>
      <c r="CD939" s="30"/>
      <c r="CE939" s="30"/>
      <c r="CF939" s="30"/>
      <c r="CG939" s="30"/>
      <c r="CH939" s="30"/>
      <c r="CI939" s="30"/>
      <c r="CJ939" s="30"/>
      <c r="CK939" s="30"/>
      <c r="CL939" s="30"/>
      <c r="CM939" s="30"/>
      <c r="CN939" s="30"/>
      <c r="CO939" s="30"/>
      <c r="CP939" s="30"/>
      <c r="CQ939" s="30"/>
      <c r="CR939" s="30"/>
      <c r="CS939" s="30"/>
      <c r="CT939" s="30"/>
      <c r="CU939" s="30"/>
      <c r="CV939" s="30"/>
      <c r="CW939" s="30"/>
      <c r="CX939" s="30"/>
      <c r="CY939" s="30"/>
      <c r="CZ939" s="30"/>
      <c r="DA939" s="30"/>
      <c r="DB939" s="30"/>
      <c r="DC939" s="30"/>
      <c r="DD939" s="30"/>
      <c r="DE939" s="30"/>
      <c r="DF939" s="30"/>
      <c r="DG939" s="30"/>
      <c r="DH939" s="30"/>
      <c r="DI939" s="30"/>
      <c r="DJ939" s="30"/>
      <c r="DK939" s="30"/>
      <c r="DL939" s="30"/>
      <c r="DM939" s="30"/>
      <c r="DN939" s="30"/>
      <c r="DO939" s="30"/>
      <c r="DP939" s="30"/>
      <c r="DQ939" s="30"/>
      <c r="DR939" s="30"/>
      <c r="DS939" s="30"/>
      <c r="DT939" s="30"/>
      <c r="DU939" s="30"/>
      <c r="DV939" s="30"/>
      <c r="DW939" s="30"/>
      <c r="DX939" s="30"/>
      <c r="DY939" s="30"/>
      <c r="DZ939" s="30"/>
    </row>
    <row r="940">
      <c r="A940" s="30"/>
      <c r="B940" s="42"/>
      <c r="C940" s="43"/>
      <c r="D940" s="30"/>
      <c r="E940" s="28"/>
      <c r="F940" s="30"/>
      <c r="G940" s="30"/>
      <c r="H940" s="30"/>
      <c r="I940" s="30"/>
      <c r="J940" s="28"/>
      <c r="K940" s="30"/>
      <c r="L940" s="30"/>
      <c r="M940" s="30"/>
      <c r="N940" s="30"/>
      <c r="O940" s="28"/>
      <c r="P940" s="30"/>
      <c r="Q940" s="30"/>
      <c r="R940" s="30"/>
      <c r="S940" s="36"/>
      <c r="T940" s="30"/>
      <c r="U940" s="36"/>
      <c r="V940" s="30"/>
      <c r="W940" s="28"/>
      <c r="X940" s="30"/>
      <c r="Y940" s="30"/>
      <c r="Z940" s="30"/>
      <c r="AA940" s="30"/>
      <c r="AB940" s="30"/>
      <c r="AC940" s="28"/>
      <c r="AD940" s="30"/>
      <c r="AE940" s="30"/>
      <c r="AF940" s="30"/>
      <c r="AG940" s="29"/>
      <c r="AH940" s="30"/>
      <c r="AI940" s="36"/>
      <c r="AJ940" s="30"/>
      <c r="AK940" s="29"/>
      <c r="AL940" s="30"/>
      <c r="AM940" s="30"/>
      <c r="AN940" s="30"/>
      <c r="AO940" s="30"/>
      <c r="AP940" s="30"/>
      <c r="AQ940" s="38"/>
      <c r="AR940" s="30"/>
      <c r="AS940" s="30"/>
      <c r="AT940" s="29"/>
      <c r="AU940" s="30"/>
      <c r="AV940" s="30"/>
      <c r="AW940" s="30"/>
      <c r="AX940" s="29"/>
      <c r="AY940" s="39"/>
      <c r="AZ940" s="30"/>
      <c r="BA940" s="30"/>
      <c r="BB940" s="29"/>
      <c r="BC940" s="52"/>
      <c r="BD940" s="30"/>
      <c r="BE940" s="29"/>
      <c r="BF940" s="30"/>
      <c r="BG940" s="30"/>
      <c r="BH940" s="30"/>
      <c r="BI940" s="30"/>
      <c r="BJ940" s="30"/>
      <c r="BK940" s="30"/>
      <c r="BL940" s="30"/>
      <c r="BM940" s="30"/>
      <c r="BN940" s="30"/>
      <c r="BO940" s="30"/>
      <c r="BP940" s="30"/>
      <c r="BQ940" s="30"/>
      <c r="BR940" s="30"/>
      <c r="BS940" s="30"/>
      <c r="BT940" s="30"/>
      <c r="BU940" s="30"/>
      <c r="BV940" s="30"/>
      <c r="BW940" s="30"/>
      <c r="BX940" s="30"/>
      <c r="BY940" s="30"/>
      <c r="BZ940" s="30"/>
      <c r="CA940" s="30"/>
      <c r="CB940" s="30"/>
      <c r="CC940" s="30"/>
      <c r="CD940" s="30"/>
      <c r="CE940" s="30"/>
      <c r="CF940" s="30"/>
      <c r="CG940" s="30"/>
      <c r="CH940" s="30"/>
      <c r="CI940" s="30"/>
      <c r="CJ940" s="30"/>
      <c r="CK940" s="30"/>
      <c r="CL940" s="30"/>
      <c r="CM940" s="30"/>
      <c r="CN940" s="30"/>
      <c r="CO940" s="30"/>
      <c r="CP940" s="30"/>
      <c r="CQ940" s="30"/>
      <c r="CR940" s="30"/>
      <c r="CS940" s="30"/>
      <c r="CT940" s="30"/>
      <c r="CU940" s="30"/>
      <c r="CV940" s="30"/>
      <c r="CW940" s="30"/>
      <c r="CX940" s="30"/>
      <c r="CY940" s="30"/>
      <c r="CZ940" s="30"/>
      <c r="DA940" s="30"/>
      <c r="DB940" s="30"/>
      <c r="DC940" s="30"/>
      <c r="DD940" s="30"/>
      <c r="DE940" s="30"/>
      <c r="DF940" s="30"/>
      <c r="DG940" s="30"/>
      <c r="DH940" s="30"/>
      <c r="DI940" s="30"/>
      <c r="DJ940" s="30"/>
      <c r="DK940" s="30"/>
      <c r="DL940" s="30"/>
      <c r="DM940" s="30"/>
      <c r="DN940" s="30"/>
      <c r="DO940" s="30"/>
      <c r="DP940" s="30"/>
      <c r="DQ940" s="30"/>
      <c r="DR940" s="30"/>
      <c r="DS940" s="30"/>
      <c r="DT940" s="30"/>
      <c r="DU940" s="30"/>
      <c r="DV940" s="30"/>
      <c r="DW940" s="30"/>
      <c r="DX940" s="30"/>
      <c r="DY940" s="30"/>
      <c r="DZ940" s="30"/>
    </row>
    <row r="941">
      <c r="A941" s="30"/>
      <c r="B941" s="42"/>
      <c r="C941" s="43"/>
      <c r="D941" s="30"/>
      <c r="E941" s="28"/>
      <c r="F941" s="30"/>
      <c r="G941" s="30"/>
      <c r="H941" s="30"/>
      <c r="I941" s="30"/>
      <c r="J941" s="28"/>
      <c r="K941" s="30"/>
      <c r="L941" s="30"/>
      <c r="M941" s="30"/>
      <c r="N941" s="30"/>
      <c r="O941" s="28"/>
      <c r="P941" s="30"/>
      <c r="Q941" s="30"/>
      <c r="R941" s="30"/>
      <c r="S941" s="36"/>
      <c r="T941" s="30"/>
      <c r="U941" s="36"/>
      <c r="V941" s="30"/>
      <c r="W941" s="28"/>
      <c r="X941" s="30"/>
      <c r="Y941" s="30"/>
      <c r="Z941" s="30"/>
      <c r="AA941" s="30"/>
      <c r="AB941" s="30"/>
      <c r="AC941" s="28"/>
      <c r="AD941" s="30"/>
      <c r="AE941" s="30"/>
      <c r="AF941" s="30"/>
      <c r="AG941" s="29"/>
      <c r="AH941" s="30"/>
      <c r="AI941" s="36"/>
      <c r="AJ941" s="30"/>
      <c r="AK941" s="29"/>
      <c r="AL941" s="30"/>
      <c r="AM941" s="30"/>
      <c r="AN941" s="30"/>
      <c r="AO941" s="30"/>
      <c r="AP941" s="30"/>
      <c r="AQ941" s="38"/>
      <c r="AR941" s="30"/>
      <c r="AS941" s="30"/>
      <c r="AT941" s="29"/>
      <c r="AU941" s="30"/>
      <c r="AV941" s="30"/>
      <c r="AW941" s="30"/>
      <c r="AX941" s="29"/>
      <c r="AY941" s="39"/>
      <c r="AZ941" s="30"/>
      <c r="BA941" s="30"/>
      <c r="BB941" s="29"/>
      <c r="BC941" s="52"/>
      <c r="BD941" s="30"/>
      <c r="BE941" s="29"/>
      <c r="BF941" s="30"/>
      <c r="BG941" s="30"/>
      <c r="BH941" s="30"/>
      <c r="BI941" s="30"/>
      <c r="BJ941" s="30"/>
      <c r="BK941" s="30"/>
      <c r="BL941" s="30"/>
      <c r="BM941" s="30"/>
      <c r="BN941" s="30"/>
      <c r="BO941" s="30"/>
      <c r="BP941" s="30"/>
      <c r="BQ941" s="30"/>
      <c r="BR941" s="30"/>
      <c r="BS941" s="30"/>
      <c r="BT941" s="30"/>
      <c r="BU941" s="30"/>
      <c r="BV941" s="30"/>
      <c r="BW941" s="30"/>
      <c r="BX941" s="30"/>
      <c r="BY941" s="30"/>
      <c r="BZ941" s="30"/>
      <c r="CA941" s="30"/>
      <c r="CB941" s="30"/>
      <c r="CC941" s="30"/>
      <c r="CD941" s="30"/>
      <c r="CE941" s="30"/>
      <c r="CF941" s="30"/>
      <c r="CG941" s="30"/>
      <c r="CH941" s="30"/>
      <c r="CI941" s="30"/>
      <c r="CJ941" s="30"/>
      <c r="CK941" s="30"/>
      <c r="CL941" s="30"/>
      <c r="CM941" s="30"/>
      <c r="CN941" s="30"/>
      <c r="CO941" s="30"/>
      <c r="CP941" s="30"/>
      <c r="CQ941" s="30"/>
      <c r="CR941" s="30"/>
      <c r="CS941" s="30"/>
      <c r="CT941" s="30"/>
      <c r="CU941" s="30"/>
      <c r="CV941" s="30"/>
      <c r="CW941" s="30"/>
      <c r="CX941" s="30"/>
      <c r="CY941" s="30"/>
      <c r="CZ941" s="30"/>
      <c r="DA941" s="30"/>
      <c r="DB941" s="30"/>
      <c r="DC941" s="30"/>
      <c r="DD941" s="30"/>
      <c r="DE941" s="30"/>
      <c r="DF941" s="30"/>
      <c r="DG941" s="30"/>
      <c r="DH941" s="30"/>
      <c r="DI941" s="30"/>
      <c r="DJ941" s="30"/>
      <c r="DK941" s="30"/>
      <c r="DL941" s="30"/>
      <c r="DM941" s="30"/>
      <c r="DN941" s="30"/>
      <c r="DO941" s="30"/>
      <c r="DP941" s="30"/>
      <c r="DQ941" s="30"/>
      <c r="DR941" s="30"/>
      <c r="DS941" s="30"/>
      <c r="DT941" s="30"/>
      <c r="DU941" s="30"/>
      <c r="DV941" s="30"/>
      <c r="DW941" s="30"/>
      <c r="DX941" s="30"/>
      <c r="DY941" s="30"/>
      <c r="DZ941" s="30"/>
    </row>
    <row r="942">
      <c r="A942" s="30"/>
      <c r="B942" s="42"/>
      <c r="C942" s="43"/>
      <c r="D942" s="30"/>
      <c r="E942" s="28"/>
      <c r="F942" s="30"/>
      <c r="G942" s="30"/>
      <c r="H942" s="30"/>
      <c r="I942" s="30"/>
      <c r="J942" s="28"/>
      <c r="K942" s="30"/>
      <c r="L942" s="30"/>
      <c r="M942" s="30"/>
      <c r="N942" s="30"/>
      <c r="O942" s="28"/>
      <c r="P942" s="30"/>
      <c r="Q942" s="30"/>
      <c r="R942" s="30"/>
      <c r="S942" s="36"/>
      <c r="T942" s="30"/>
      <c r="U942" s="36"/>
      <c r="V942" s="30"/>
      <c r="W942" s="28"/>
      <c r="X942" s="30"/>
      <c r="Y942" s="30"/>
      <c r="Z942" s="30"/>
      <c r="AA942" s="30"/>
      <c r="AB942" s="30"/>
      <c r="AC942" s="28"/>
      <c r="AD942" s="30"/>
      <c r="AE942" s="30"/>
      <c r="AF942" s="30"/>
      <c r="AG942" s="29"/>
      <c r="AH942" s="30"/>
      <c r="AI942" s="36"/>
      <c r="AJ942" s="30"/>
      <c r="AK942" s="29"/>
      <c r="AL942" s="30"/>
      <c r="AM942" s="30"/>
      <c r="AN942" s="30"/>
      <c r="AO942" s="30"/>
      <c r="AP942" s="30"/>
      <c r="AQ942" s="38"/>
      <c r="AR942" s="30"/>
      <c r="AS942" s="30"/>
      <c r="AT942" s="29"/>
      <c r="AU942" s="30"/>
      <c r="AV942" s="30"/>
      <c r="AW942" s="30"/>
      <c r="AX942" s="29"/>
      <c r="AY942" s="39"/>
      <c r="AZ942" s="30"/>
      <c r="BA942" s="30"/>
      <c r="BB942" s="29"/>
      <c r="BC942" s="52"/>
      <c r="BD942" s="30"/>
      <c r="BE942" s="29"/>
      <c r="BF942" s="30"/>
      <c r="BG942" s="30"/>
      <c r="BH942" s="30"/>
      <c r="BI942" s="30"/>
      <c r="BJ942" s="30"/>
      <c r="BK942" s="30"/>
      <c r="BL942" s="30"/>
      <c r="BM942" s="30"/>
      <c r="BN942" s="30"/>
      <c r="BO942" s="30"/>
      <c r="BP942" s="30"/>
      <c r="BQ942" s="30"/>
      <c r="BR942" s="30"/>
      <c r="BS942" s="30"/>
      <c r="BT942" s="30"/>
      <c r="BU942" s="30"/>
      <c r="BV942" s="30"/>
      <c r="BW942" s="30"/>
      <c r="BX942" s="30"/>
      <c r="BY942" s="30"/>
      <c r="BZ942" s="30"/>
      <c r="CA942" s="30"/>
      <c r="CB942" s="30"/>
      <c r="CC942" s="30"/>
      <c r="CD942" s="30"/>
      <c r="CE942" s="30"/>
      <c r="CF942" s="30"/>
      <c r="CG942" s="30"/>
      <c r="CH942" s="30"/>
      <c r="CI942" s="30"/>
      <c r="CJ942" s="30"/>
      <c r="CK942" s="30"/>
      <c r="CL942" s="30"/>
      <c r="CM942" s="30"/>
      <c r="CN942" s="30"/>
      <c r="CO942" s="30"/>
      <c r="CP942" s="30"/>
      <c r="CQ942" s="30"/>
      <c r="CR942" s="30"/>
      <c r="CS942" s="30"/>
      <c r="CT942" s="30"/>
      <c r="CU942" s="30"/>
      <c r="CV942" s="30"/>
      <c r="CW942" s="30"/>
      <c r="CX942" s="30"/>
      <c r="CY942" s="30"/>
      <c r="CZ942" s="30"/>
      <c r="DA942" s="30"/>
      <c r="DB942" s="30"/>
      <c r="DC942" s="30"/>
      <c r="DD942" s="30"/>
      <c r="DE942" s="30"/>
      <c r="DF942" s="30"/>
      <c r="DG942" s="30"/>
      <c r="DH942" s="30"/>
      <c r="DI942" s="30"/>
      <c r="DJ942" s="30"/>
      <c r="DK942" s="30"/>
      <c r="DL942" s="30"/>
      <c r="DM942" s="30"/>
      <c r="DN942" s="30"/>
      <c r="DO942" s="30"/>
      <c r="DP942" s="30"/>
      <c r="DQ942" s="30"/>
      <c r="DR942" s="30"/>
      <c r="DS942" s="30"/>
      <c r="DT942" s="30"/>
      <c r="DU942" s="30"/>
      <c r="DV942" s="30"/>
      <c r="DW942" s="30"/>
      <c r="DX942" s="30"/>
      <c r="DY942" s="30"/>
      <c r="DZ942" s="30"/>
    </row>
    <row r="943">
      <c r="A943" s="30"/>
      <c r="B943" s="42"/>
      <c r="C943" s="43"/>
      <c r="D943" s="30"/>
      <c r="E943" s="28"/>
      <c r="F943" s="30"/>
      <c r="G943" s="30"/>
      <c r="H943" s="30"/>
      <c r="I943" s="30"/>
      <c r="J943" s="28"/>
      <c r="K943" s="30"/>
      <c r="L943" s="30"/>
      <c r="M943" s="30"/>
      <c r="N943" s="30"/>
      <c r="O943" s="28"/>
      <c r="P943" s="30"/>
      <c r="Q943" s="30"/>
      <c r="R943" s="30"/>
      <c r="S943" s="36"/>
      <c r="T943" s="30"/>
      <c r="U943" s="36"/>
      <c r="V943" s="30"/>
      <c r="W943" s="28"/>
      <c r="X943" s="30"/>
      <c r="Y943" s="30"/>
      <c r="Z943" s="30"/>
      <c r="AA943" s="30"/>
      <c r="AB943" s="30"/>
      <c r="AC943" s="28"/>
      <c r="AD943" s="30"/>
      <c r="AE943" s="30"/>
      <c r="AF943" s="30"/>
      <c r="AG943" s="29"/>
      <c r="AH943" s="30"/>
      <c r="AI943" s="36"/>
      <c r="AJ943" s="30"/>
      <c r="AK943" s="29"/>
      <c r="AL943" s="30"/>
      <c r="AM943" s="30"/>
      <c r="AN943" s="30"/>
      <c r="AO943" s="30"/>
      <c r="AP943" s="30"/>
      <c r="AQ943" s="38"/>
      <c r="AR943" s="30"/>
      <c r="AS943" s="30"/>
      <c r="AT943" s="29"/>
      <c r="AU943" s="30"/>
      <c r="AV943" s="30"/>
      <c r="AW943" s="30"/>
      <c r="AX943" s="29"/>
      <c r="AY943" s="39"/>
      <c r="AZ943" s="30"/>
      <c r="BA943" s="30"/>
      <c r="BB943" s="29"/>
      <c r="BC943" s="52"/>
      <c r="BD943" s="30"/>
      <c r="BE943" s="29"/>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0"/>
      <c r="CF943" s="30"/>
      <c r="CG943" s="30"/>
      <c r="CH943" s="30"/>
      <c r="CI943" s="30"/>
      <c r="CJ943" s="30"/>
      <c r="CK943" s="30"/>
      <c r="CL943" s="30"/>
      <c r="CM943" s="30"/>
      <c r="CN943" s="30"/>
      <c r="CO943" s="30"/>
      <c r="CP943" s="30"/>
      <c r="CQ943" s="30"/>
      <c r="CR943" s="30"/>
      <c r="CS943" s="30"/>
      <c r="CT943" s="30"/>
      <c r="CU943" s="30"/>
      <c r="CV943" s="30"/>
      <c r="CW943" s="30"/>
      <c r="CX943" s="30"/>
      <c r="CY943" s="30"/>
      <c r="CZ943" s="30"/>
      <c r="DA943" s="30"/>
      <c r="DB943" s="30"/>
      <c r="DC943" s="30"/>
      <c r="DD943" s="30"/>
      <c r="DE943" s="30"/>
      <c r="DF943" s="30"/>
      <c r="DG943" s="30"/>
      <c r="DH943" s="30"/>
      <c r="DI943" s="30"/>
      <c r="DJ943" s="30"/>
      <c r="DK943" s="30"/>
      <c r="DL943" s="30"/>
      <c r="DM943" s="30"/>
      <c r="DN943" s="30"/>
      <c r="DO943" s="30"/>
      <c r="DP943" s="30"/>
      <c r="DQ943" s="30"/>
      <c r="DR943" s="30"/>
      <c r="DS943" s="30"/>
      <c r="DT943" s="30"/>
      <c r="DU943" s="30"/>
      <c r="DV943" s="30"/>
      <c r="DW943" s="30"/>
      <c r="DX943" s="30"/>
      <c r="DY943" s="30"/>
      <c r="DZ943" s="30"/>
    </row>
    <row r="944">
      <c r="A944" s="30"/>
      <c r="B944" s="42"/>
      <c r="C944" s="43"/>
      <c r="D944" s="30"/>
      <c r="E944" s="28"/>
      <c r="F944" s="30"/>
      <c r="G944" s="30"/>
      <c r="H944" s="30"/>
      <c r="I944" s="30"/>
      <c r="J944" s="28"/>
      <c r="K944" s="30"/>
      <c r="L944" s="30"/>
      <c r="M944" s="30"/>
      <c r="N944" s="30"/>
      <c r="O944" s="28"/>
      <c r="P944" s="30"/>
      <c r="Q944" s="30"/>
      <c r="R944" s="30"/>
      <c r="S944" s="36"/>
      <c r="T944" s="30"/>
      <c r="U944" s="36"/>
      <c r="V944" s="30"/>
      <c r="W944" s="28"/>
      <c r="X944" s="30"/>
      <c r="Y944" s="30"/>
      <c r="Z944" s="30"/>
      <c r="AA944" s="30"/>
      <c r="AB944" s="30"/>
      <c r="AC944" s="28"/>
      <c r="AD944" s="30"/>
      <c r="AE944" s="30"/>
      <c r="AF944" s="30"/>
      <c r="AG944" s="29"/>
      <c r="AH944" s="30"/>
      <c r="AI944" s="36"/>
      <c r="AJ944" s="30"/>
      <c r="AK944" s="29"/>
      <c r="AL944" s="30"/>
      <c r="AM944" s="30"/>
      <c r="AN944" s="30"/>
      <c r="AO944" s="30"/>
      <c r="AP944" s="30"/>
      <c r="AQ944" s="38"/>
      <c r="AR944" s="30"/>
      <c r="AS944" s="30"/>
      <c r="AT944" s="29"/>
      <c r="AU944" s="30"/>
      <c r="AV944" s="30"/>
      <c r="AW944" s="30"/>
      <c r="AX944" s="29"/>
      <c r="AY944" s="39"/>
      <c r="AZ944" s="30"/>
      <c r="BA944" s="30"/>
      <c r="BB944" s="29"/>
      <c r="BC944" s="52"/>
      <c r="BD944" s="30"/>
      <c r="BE944" s="29"/>
      <c r="BF944" s="30"/>
      <c r="BG944" s="30"/>
      <c r="BH944" s="30"/>
      <c r="BI944" s="30"/>
      <c r="BJ944" s="30"/>
      <c r="BK944" s="30"/>
      <c r="BL944" s="30"/>
      <c r="BM944" s="30"/>
      <c r="BN944" s="30"/>
      <c r="BO944" s="30"/>
      <c r="BP944" s="30"/>
      <c r="BQ944" s="30"/>
      <c r="BR944" s="30"/>
      <c r="BS944" s="30"/>
      <c r="BT944" s="30"/>
      <c r="BU944" s="30"/>
      <c r="BV944" s="30"/>
      <c r="BW944" s="30"/>
      <c r="BX944" s="30"/>
      <c r="BY944" s="30"/>
      <c r="BZ944" s="30"/>
      <c r="CA944" s="30"/>
      <c r="CB944" s="30"/>
      <c r="CC944" s="30"/>
      <c r="CD944" s="30"/>
      <c r="CE944" s="30"/>
      <c r="CF944" s="30"/>
      <c r="CG944" s="30"/>
      <c r="CH944" s="30"/>
      <c r="CI944" s="30"/>
      <c r="CJ944" s="30"/>
      <c r="CK944" s="30"/>
      <c r="CL944" s="30"/>
      <c r="CM944" s="30"/>
      <c r="CN944" s="30"/>
      <c r="CO944" s="30"/>
      <c r="CP944" s="30"/>
      <c r="CQ944" s="30"/>
      <c r="CR944" s="30"/>
      <c r="CS944" s="30"/>
      <c r="CT944" s="30"/>
      <c r="CU944" s="30"/>
      <c r="CV944" s="30"/>
      <c r="CW944" s="30"/>
      <c r="CX944" s="30"/>
      <c r="CY944" s="30"/>
      <c r="CZ944" s="30"/>
      <c r="DA944" s="30"/>
      <c r="DB944" s="30"/>
      <c r="DC944" s="30"/>
      <c r="DD944" s="30"/>
      <c r="DE944" s="30"/>
      <c r="DF944" s="30"/>
      <c r="DG944" s="30"/>
      <c r="DH944" s="30"/>
      <c r="DI944" s="30"/>
      <c r="DJ944" s="30"/>
      <c r="DK944" s="30"/>
      <c r="DL944" s="30"/>
      <c r="DM944" s="30"/>
      <c r="DN944" s="30"/>
      <c r="DO944" s="30"/>
      <c r="DP944" s="30"/>
      <c r="DQ944" s="30"/>
      <c r="DR944" s="30"/>
      <c r="DS944" s="30"/>
      <c r="DT944" s="30"/>
      <c r="DU944" s="30"/>
      <c r="DV944" s="30"/>
      <c r="DW944" s="30"/>
      <c r="DX944" s="30"/>
      <c r="DY944" s="30"/>
      <c r="DZ944" s="30"/>
    </row>
    <row r="945">
      <c r="A945" s="30"/>
      <c r="B945" s="42"/>
      <c r="C945" s="43"/>
      <c r="D945" s="30"/>
      <c r="E945" s="28"/>
      <c r="F945" s="30"/>
      <c r="G945" s="30"/>
      <c r="H945" s="30"/>
      <c r="I945" s="30"/>
      <c r="J945" s="28"/>
      <c r="K945" s="30"/>
      <c r="L945" s="30"/>
      <c r="M945" s="30"/>
      <c r="N945" s="30"/>
      <c r="O945" s="28"/>
      <c r="P945" s="30"/>
      <c r="Q945" s="30"/>
      <c r="R945" s="30"/>
      <c r="S945" s="36"/>
      <c r="T945" s="30"/>
      <c r="U945" s="36"/>
      <c r="V945" s="30"/>
      <c r="W945" s="28"/>
      <c r="X945" s="30"/>
      <c r="Y945" s="30"/>
      <c r="Z945" s="30"/>
      <c r="AA945" s="30"/>
      <c r="AB945" s="30"/>
      <c r="AC945" s="28"/>
      <c r="AD945" s="30"/>
      <c r="AE945" s="30"/>
      <c r="AF945" s="30"/>
      <c r="AG945" s="29"/>
      <c r="AH945" s="30"/>
      <c r="AI945" s="36"/>
      <c r="AJ945" s="30"/>
      <c r="AK945" s="29"/>
      <c r="AL945" s="30"/>
      <c r="AM945" s="30"/>
      <c r="AN945" s="30"/>
      <c r="AO945" s="30"/>
      <c r="AP945" s="30"/>
      <c r="AQ945" s="38"/>
      <c r="AR945" s="30"/>
      <c r="AS945" s="30"/>
      <c r="AT945" s="29"/>
      <c r="AU945" s="30"/>
      <c r="AV945" s="30"/>
      <c r="AW945" s="30"/>
      <c r="AX945" s="29"/>
      <c r="AY945" s="39"/>
      <c r="AZ945" s="30"/>
      <c r="BA945" s="30"/>
      <c r="BB945" s="29"/>
      <c r="BC945" s="52"/>
      <c r="BD945" s="30"/>
      <c r="BE945" s="29"/>
      <c r="BF945" s="30"/>
      <c r="BG945" s="30"/>
      <c r="BH945" s="30"/>
      <c r="BI945" s="30"/>
      <c r="BJ945" s="30"/>
      <c r="BK945" s="30"/>
      <c r="BL945" s="30"/>
      <c r="BM945" s="30"/>
      <c r="BN945" s="30"/>
      <c r="BO945" s="30"/>
      <c r="BP945" s="30"/>
      <c r="BQ945" s="30"/>
      <c r="BR945" s="30"/>
      <c r="BS945" s="30"/>
      <c r="BT945" s="30"/>
      <c r="BU945" s="30"/>
      <c r="BV945" s="30"/>
      <c r="BW945" s="30"/>
      <c r="BX945" s="30"/>
      <c r="BY945" s="30"/>
      <c r="BZ945" s="30"/>
      <c r="CA945" s="30"/>
      <c r="CB945" s="30"/>
      <c r="CC945" s="30"/>
      <c r="CD945" s="30"/>
      <c r="CE945" s="30"/>
      <c r="CF945" s="30"/>
      <c r="CG945" s="30"/>
      <c r="CH945" s="30"/>
      <c r="CI945" s="30"/>
      <c r="CJ945" s="30"/>
      <c r="CK945" s="30"/>
      <c r="CL945" s="30"/>
      <c r="CM945" s="30"/>
      <c r="CN945" s="30"/>
      <c r="CO945" s="30"/>
      <c r="CP945" s="30"/>
      <c r="CQ945" s="30"/>
      <c r="CR945" s="30"/>
      <c r="CS945" s="30"/>
      <c r="CT945" s="30"/>
      <c r="CU945" s="30"/>
      <c r="CV945" s="30"/>
      <c r="CW945" s="30"/>
      <c r="CX945" s="30"/>
      <c r="CY945" s="30"/>
      <c r="CZ945" s="30"/>
      <c r="DA945" s="30"/>
      <c r="DB945" s="30"/>
      <c r="DC945" s="30"/>
      <c r="DD945" s="30"/>
      <c r="DE945" s="30"/>
      <c r="DF945" s="30"/>
      <c r="DG945" s="30"/>
      <c r="DH945" s="30"/>
      <c r="DI945" s="30"/>
      <c r="DJ945" s="30"/>
      <c r="DK945" s="30"/>
      <c r="DL945" s="30"/>
      <c r="DM945" s="30"/>
      <c r="DN945" s="30"/>
      <c r="DO945" s="30"/>
      <c r="DP945" s="30"/>
      <c r="DQ945" s="30"/>
      <c r="DR945" s="30"/>
      <c r="DS945" s="30"/>
      <c r="DT945" s="30"/>
      <c r="DU945" s="30"/>
      <c r="DV945" s="30"/>
      <c r="DW945" s="30"/>
      <c r="DX945" s="30"/>
      <c r="DY945" s="30"/>
      <c r="DZ945" s="30"/>
    </row>
    <row r="946">
      <c r="A946" s="30"/>
      <c r="B946" s="42"/>
      <c r="C946" s="43"/>
      <c r="D946" s="30"/>
      <c r="E946" s="28"/>
      <c r="F946" s="30"/>
      <c r="G946" s="30"/>
      <c r="H946" s="30"/>
      <c r="I946" s="30"/>
      <c r="J946" s="28"/>
      <c r="K946" s="30"/>
      <c r="L946" s="30"/>
      <c r="M946" s="30"/>
      <c r="N946" s="30"/>
      <c r="O946" s="28"/>
      <c r="P946" s="30"/>
      <c r="Q946" s="30"/>
      <c r="R946" s="30"/>
      <c r="S946" s="36"/>
      <c r="T946" s="30"/>
      <c r="U946" s="36"/>
      <c r="V946" s="30"/>
      <c r="W946" s="28"/>
      <c r="X946" s="30"/>
      <c r="Y946" s="30"/>
      <c r="Z946" s="30"/>
      <c r="AA946" s="30"/>
      <c r="AB946" s="30"/>
      <c r="AC946" s="28"/>
      <c r="AD946" s="30"/>
      <c r="AE946" s="30"/>
      <c r="AF946" s="30"/>
      <c r="AG946" s="29"/>
      <c r="AH946" s="30"/>
      <c r="AI946" s="36"/>
      <c r="AJ946" s="30"/>
      <c r="AK946" s="29"/>
      <c r="AL946" s="30"/>
      <c r="AM946" s="30"/>
      <c r="AN946" s="30"/>
      <c r="AO946" s="30"/>
      <c r="AP946" s="30"/>
      <c r="AQ946" s="38"/>
      <c r="AR946" s="30"/>
      <c r="AS946" s="30"/>
      <c r="AT946" s="29"/>
      <c r="AU946" s="30"/>
      <c r="AV946" s="30"/>
      <c r="AW946" s="30"/>
      <c r="AX946" s="29"/>
      <c r="AY946" s="39"/>
      <c r="AZ946" s="30"/>
      <c r="BA946" s="30"/>
      <c r="BB946" s="29"/>
      <c r="BC946" s="52"/>
      <c r="BD946" s="30"/>
      <c r="BE946" s="29"/>
      <c r="BF946" s="30"/>
      <c r="BG946" s="30"/>
      <c r="BH946" s="30"/>
      <c r="BI946" s="30"/>
      <c r="BJ946" s="30"/>
      <c r="BK946" s="30"/>
      <c r="BL946" s="30"/>
      <c r="BM946" s="30"/>
      <c r="BN946" s="30"/>
      <c r="BO946" s="30"/>
      <c r="BP946" s="30"/>
      <c r="BQ946" s="30"/>
      <c r="BR946" s="30"/>
      <c r="BS946" s="30"/>
      <c r="BT946" s="30"/>
      <c r="BU946" s="30"/>
      <c r="BV946" s="30"/>
      <c r="BW946" s="30"/>
      <c r="BX946" s="30"/>
      <c r="BY946" s="30"/>
      <c r="BZ946" s="30"/>
      <c r="CA946" s="30"/>
      <c r="CB946" s="30"/>
      <c r="CC946" s="30"/>
      <c r="CD946" s="30"/>
      <c r="CE946" s="30"/>
      <c r="CF946" s="30"/>
      <c r="CG946" s="30"/>
      <c r="CH946" s="30"/>
      <c r="CI946" s="30"/>
      <c r="CJ946" s="30"/>
      <c r="CK946" s="30"/>
      <c r="CL946" s="30"/>
      <c r="CM946" s="30"/>
      <c r="CN946" s="30"/>
      <c r="CO946" s="30"/>
      <c r="CP946" s="30"/>
      <c r="CQ946" s="30"/>
      <c r="CR946" s="30"/>
      <c r="CS946" s="30"/>
      <c r="CT946" s="30"/>
      <c r="CU946" s="30"/>
      <c r="CV946" s="30"/>
      <c r="CW946" s="30"/>
      <c r="CX946" s="30"/>
      <c r="CY946" s="30"/>
      <c r="CZ946" s="30"/>
      <c r="DA946" s="30"/>
      <c r="DB946" s="30"/>
      <c r="DC946" s="30"/>
      <c r="DD946" s="30"/>
      <c r="DE946" s="30"/>
      <c r="DF946" s="30"/>
      <c r="DG946" s="30"/>
      <c r="DH946" s="30"/>
      <c r="DI946" s="30"/>
      <c r="DJ946" s="30"/>
      <c r="DK946" s="30"/>
      <c r="DL946" s="30"/>
      <c r="DM946" s="30"/>
      <c r="DN946" s="30"/>
      <c r="DO946" s="30"/>
      <c r="DP946" s="30"/>
      <c r="DQ946" s="30"/>
      <c r="DR946" s="30"/>
      <c r="DS946" s="30"/>
      <c r="DT946" s="30"/>
      <c r="DU946" s="30"/>
      <c r="DV946" s="30"/>
      <c r="DW946" s="30"/>
      <c r="DX946" s="30"/>
      <c r="DY946" s="30"/>
      <c r="DZ946" s="30"/>
    </row>
    <row r="947">
      <c r="A947" s="30"/>
      <c r="B947" s="42"/>
      <c r="C947" s="43"/>
      <c r="D947" s="30"/>
      <c r="E947" s="28"/>
      <c r="F947" s="30"/>
      <c r="G947" s="30"/>
      <c r="H947" s="30"/>
      <c r="I947" s="30"/>
      <c r="J947" s="28"/>
      <c r="K947" s="30"/>
      <c r="L947" s="30"/>
      <c r="M947" s="30"/>
      <c r="N947" s="30"/>
      <c r="O947" s="28"/>
      <c r="P947" s="30"/>
      <c r="Q947" s="30"/>
      <c r="R947" s="30"/>
      <c r="S947" s="36"/>
      <c r="T947" s="30"/>
      <c r="U947" s="36"/>
      <c r="V947" s="30"/>
      <c r="W947" s="28"/>
      <c r="X947" s="30"/>
      <c r="Y947" s="30"/>
      <c r="Z947" s="30"/>
      <c r="AA947" s="30"/>
      <c r="AB947" s="30"/>
      <c r="AC947" s="28"/>
      <c r="AD947" s="30"/>
      <c r="AE947" s="30"/>
      <c r="AF947" s="30"/>
      <c r="AG947" s="29"/>
      <c r="AH947" s="30"/>
      <c r="AI947" s="36"/>
      <c r="AJ947" s="30"/>
      <c r="AK947" s="29"/>
      <c r="AL947" s="30"/>
      <c r="AM947" s="30"/>
      <c r="AN947" s="30"/>
      <c r="AO947" s="30"/>
      <c r="AP947" s="30"/>
      <c r="AQ947" s="38"/>
      <c r="AR947" s="30"/>
      <c r="AS947" s="30"/>
      <c r="AT947" s="29"/>
      <c r="AU947" s="30"/>
      <c r="AV947" s="30"/>
      <c r="AW947" s="30"/>
      <c r="AX947" s="29"/>
      <c r="AY947" s="39"/>
      <c r="AZ947" s="30"/>
      <c r="BA947" s="30"/>
      <c r="BB947" s="29"/>
      <c r="BC947" s="52"/>
      <c r="BD947" s="30"/>
      <c r="BE947" s="29"/>
      <c r="BF947" s="30"/>
      <c r="BG947" s="30"/>
      <c r="BH947" s="30"/>
      <c r="BI947" s="30"/>
      <c r="BJ947" s="30"/>
      <c r="BK947" s="30"/>
      <c r="BL947" s="30"/>
      <c r="BM947" s="30"/>
      <c r="BN947" s="30"/>
      <c r="BO947" s="30"/>
      <c r="BP947" s="30"/>
      <c r="BQ947" s="30"/>
      <c r="BR947" s="30"/>
      <c r="BS947" s="30"/>
      <c r="BT947" s="30"/>
      <c r="BU947" s="30"/>
      <c r="BV947" s="30"/>
      <c r="BW947" s="30"/>
      <c r="BX947" s="30"/>
      <c r="BY947" s="30"/>
      <c r="BZ947" s="30"/>
      <c r="CA947" s="30"/>
      <c r="CB947" s="30"/>
      <c r="CC947" s="30"/>
      <c r="CD947" s="30"/>
      <c r="CE947" s="30"/>
      <c r="CF947" s="30"/>
      <c r="CG947" s="30"/>
      <c r="CH947" s="30"/>
      <c r="CI947" s="30"/>
      <c r="CJ947" s="30"/>
      <c r="CK947" s="30"/>
      <c r="CL947" s="30"/>
      <c r="CM947" s="30"/>
      <c r="CN947" s="30"/>
      <c r="CO947" s="30"/>
      <c r="CP947" s="30"/>
      <c r="CQ947" s="30"/>
      <c r="CR947" s="30"/>
      <c r="CS947" s="30"/>
      <c r="CT947" s="30"/>
      <c r="CU947" s="30"/>
      <c r="CV947" s="30"/>
      <c r="CW947" s="30"/>
      <c r="CX947" s="30"/>
      <c r="CY947" s="30"/>
      <c r="CZ947" s="30"/>
      <c r="DA947" s="30"/>
      <c r="DB947" s="30"/>
      <c r="DC947" s="30"/>
      <c r="DD947" s="30"/>
      <c r="DE947" s="30"/>
      <c r="DF947" s="30"/>
      <c r="DG947" s="30"/>
      <c r="DH947" s="30"/>
      <c r="DI947" s="30"/>
      <c r="DJ947" s="30"/>
      <c r="DK947" s="30"/>
      <c r="DL947" s="30"/>
      <c r="DM947" s="30"/>
      <c r="DN947" s="30"/>
      <c r="DO947" s="30"/>
      <c r="DP947" s="30"/>
      <c r="DQ947" s="30"/>
      <c r="DR947" s="30"/>
      <c r="DS947" s="30"/>
      <c r="DT947" s="30"/>
      <c r="DU947" s="30"/>
      <c r="DV947" s="30"/>
      <c r="DW947" s="30"/>
      <c r="DX947" s="30"/>
      <c r="DY947" s="30"/>
      <c r="DZ947" s="30"/>
    </row>
    <row r="948">
      <c r="A948" s="30"/>
      <c r="B948" s="42"/>
      <c r="C948" s="43"/>
      <c r="D948" s="30"/>
      <c r="E948" s="28"/>
      <c r="F948" s="30"/>
      <c r="G948" s="30"/>
      <c r="H948" s="30"/>
      <c r="I948" s="30"/>
      <c r="J948" s="28"/>
      <c r="K948" s="30"/>
      <c r="L948" s="30"/>
      <c r="M948" s="30"/>
      <c r="N948" s="30"/>
      <c r="O948" s="28"/>
      <c r="P948" s="30"/>
      <c r="Q948" s="30"/>
      <c r="R948" s="30"/>
      <c r="S948" s="36"/>
      <c r="T948" s="30"/>
      <c r="U948" s="36"/>
      <c r="V948" s="30"/>
      <c r="W948" s="28"/>
      <c r="X948" s="30"/>
      <c r="Y948" s="30"/>
      <c r="Z948" s="30"/>
      <c r="AA948" s="30"/>
      <c r="AB948" s="30"/>
      <c r="AC948" s="28"/>
      <c r="AD948" s="30"/>
      <c r="AE948" s="30"/>
      <c r="AF948" s="30"/>
      <c r="AG948" s="29"/>
      <c r="AH948" s="30"/>
      <c r="AI948" s="36"/>
      <c r="AJ948" s="30"/>
      <c r="AK948" s="29"/>
      <c r="AL948" s="30"/>
      <c r="AM948" s="30"/>
      <c r="AN948" s="30"/>
      <c r="AO948" s="30"/>
      <c r="AP948" s="30"/>
      <c r="AQ948" s="38"/>
      <c r="AR948" s="30"/>
      <c r="AS948" s="30"/>
      <c r="AT948" s="29"/>
      <c r="AU948" s="30"/>
      <c r="AV948" s="30"/>
      <c r="AW948" s="30"/>
      <c r="AX948" s="29"/>
      <c r="AY948" s="39"/>
      <c r="AZ948" s="30"/>
      <c r="BA948" s="30"/>
      <c r="BB948" s="29"/>
      <c r="BC948" s="52"/>
      <c r="BD948" s="30"/>
      <c r="BE948" s="29"/>
      <c r="BF948" s="30"/>
      <c r="BG948" s="30"/>
      <c r="BH948" s="30"/>
      <c r="BI948" s="30"/>
      <c r="BJ948" s="30"/>
      <c r="BK948" s="30"/>
      <c r="BL948" s="30"/>
      <c r="BM948" s="30"/>
      <c r="BN948" s="30"/>
      <c r="BO948" s="30"/>
      <c r="BP948" s="30"/>
      <c r="BQ948" s="30"/>
      <c r="BR948" s="30"/>
      <c r="BS948" s="30"/>
      <c r="BT948" s="30"/>
      <c r="BU948" s="30"/>
      <c r="BV948" s="30"/>
      <c r="BW948" s="30"/>
      <c r="BX948" s="30"/>
      <c r="BY948" s="30"/>
      <c r="BZ948" s="30"/>
      <c r="CA948" s="30"/>
      <c r="CB948" s="30"/>
      <c r="CC948" s="30"/>
      <c r="CD948" s="30"/>
      <c r="CE948" s="30"/>
      <c r="CF948" s="30"/>
      <c r="CG948" s="30"/>
      <c r="CH948" s="30"/>
      <c r="CI948" s="30"/>
      <c r="CJ948" s="30"/>
      <c r="CK948" s="30"/>
      <c r="CL948" s="30"/>
      <c r="CM948" s="30"/>
      <c r="CN948" s="30"/>
      <c r="CO948" s="30"/>
      <c r="CP948" s="30"/>
      <c r="CQ948" s="30"/>
      <c r="CR948" s="30"/>
      <c r="CS948" s="30"/>
      <c r="CT948" s="30"/>
      <c r="CU948" s="30"/>
      <c r="CV948" s="30"/>
      <c r="CW948" s="30"/>
      <c r="CX948" s="30"/>
      <c r="CY948" s="30"/>
      <c r="CZ948" s="30"/>
      <c r="DA948" s="30"/>
      <c r="DB948" s="30"/>
      <c r="DC948" s="30"/>
      <c r="DD948" s="30"/>
      <c r="DE948" s="30"/>
      <c r="DF948" s="30"/>
      <c r="DG948" s="30"/>
      <c r="DH948" s="30"/>
      <c r="DI948" s="30"/>
      <c r="DJ948" s="30"/>
      <c r="DK948" s="30"/>
      <c r="DL948" s="30"/>
      <c r="DM948" s="30"/>
      <c r="DN948" s="30"/>
      <c r="DO948" s="30"/>
      <c r="DP948" s="30"/>
      <c r="DQ948" s="30"/>
      <c r="DR948" s="30"/>
      <c r="DS948" s="30"/>
      <c r="DT948" s="30"/>
      <c r="DU948" s="30"/>
      <c r="DV948" s="30"/>
      <c r="DW948" s="30"/>
      <c r="DX948" s="30"/>
      <c r="DY948" s="30"/>
      <c r="DZ948" s="30"/>
    </row>
    <row r="949">
      <c r="A949" s="30"/>
      <c r="B949" s="42"/>
      <c r="C949" s="43"/>
      <c r="D949" s="30"/>
      <c r="E949" s="28"/>
      <c r="F949" s="30"/>
      <c r="G949" s="30"/>
      <c r="H949" s="30"/>
      <c r="I949" s="30"/>
      <c r="J949" s="28"/>
      <c r="K949" s="30"/>
      <c r="L949" s="30"/>
      <c r="M949" s="30"/>
      <c r="N949" s="30"/>
      <c r="O949" s="28"/>
      <c r="P949" s="30"/>
      <c r="Q949" s="30"/>
      <c r="R949" s="30"/>
      <c r="S949" s="36"/>
      <c r="T949" s="30"/>
      <c r="U949" s="36"/>
      <c r="V949" s="30"/>
      <c r="W949" s="28"/>
      <c r="X949" s="30"/>
      <c r="Y949" s="30"/>
      <c r="Z949" s="30"/>
      <c r="AA949" s="30"/>
      <c r="AB949" s="30"/>
      <c r="AC949" s="28"/>
      <c r="AD949" s="30"/>
      <c r="AE949" s="30"/>
      <c r="AF949" s="30"/>
      <c r="AG949" s="29"/>
      <c r="AH949" s="30"/>
      <c r="AI949" s="36"/>
      <c r="AJ949" s="30"/>
      <c r="AK949" s="29"/>
      <c r="AL949" s="30"/>
      <c r="AM949" s="30"/>
      <c r="AN949" s="30"/>
      <c r="AO949" s="30"/>
      <c r="AP949" s="30"/>
      <c r="AQ949" s="38"/>
      <c r="AR949" s="30"/>
      <c r="AS949" s="30"/>
      <c r="AT949" s="29"/>
      <c r="AU949" s="30"/>
      <c r="AV949" s="30"/>
      <c r="AW949" s="30"/>
      <c r="AX949" s="29"/>
      <c r="AY949" s="39"/>
      <c r="AZ949" s="30"/>
      <c r="BA949" s="30"/>
      <c r="BB949" s="29"/>
      <c r="BC949" s="52"/>
      <c r="BD949" s="30"/>
      <c r="BE949" s="29"/>
      <c r="BF949" s="30"/>
      <c r="BG949" s="30"/>
      <c r="BH949" s="30"/>
      <c r="BI949" s="30"/>
      <c r="BJ949" s="30"/>
      <c r="BK949" s="30"/>
      <c r="BL949" s="30"/>
      <c r="BM949" s="30"/>
      <c r="BN949" s="30"/>
      <c r="BO949" s="30"/>
      <c r="BP949" s="30"/>
      <c r="BQ949" s="30"/>
      <c r="BR949" s="30"/>
      <c r="BS949" s="30"/>
      <c r="BT949" s="30"/>
      <c r="BU949" s="30"/>
      <c r="BV949" s="30"/>
      <c r="BW949" s="30"/>
      <c r="BX949" s="30"/>
      <c r="BY949" s="30"/>
      <c r="BZ949" s="30"/>
      <c r="CA949" s="30"/>
      <c r="CB949" s="30"/>
      <c r="CC949" s="30"/>
      <c r="CD949" s="30"/>
      <c r="CE949" s="30"/>
      <c r="CF949" s="30"/>
      <c r="CG949" s="30"/>
      <c r="CH949" s="30"/>
      <c r="CI949" s="30"/>
      <c r="CJ949" s="30"/>
      <c r="CK949" s="30"/>
      <c r="CL949" s="30"/>
      <c r="CM949" s="30"/>
      <c r="CN949" s="30"/>
      <c r="CO949" s="30"/>
      <c r="CP949" s="30"/>
      <c r="CQ949" s="30"/>
      <c r="CR949" s="30"/>
      <c r="CS949" s="30"/>
      <c r="CT949" s="30"/>
      <c r="CU949" s="30"/>
      <c r="CV949" s="30"/>
      <c r="CW949" s="30"/>
      <c r="CX949" s="30"/>
      <c r="CY949" s="30"/>
      <c r="CZ949" s="30"/>
      <c r="DA949" s="30"/>
      <c r="DB949" s="30"/>
      <c r="DC949" s="30"/>
      <c r="DD949" s="30"/>
      <c r="DE949" s="30"/>
      <c r="DF949" s="30"/>
      <c r="DG949" s="30"/>
      <c r="DH949" s="30"/>
      <c r="DI949" s="30"/>
      <c r="DJ949" s="30"/>
      <c r="DK949" s="30"/>
      <c r="DL949" s="30"/>
      <c r="DM949" s="30"/>
      <c r="DN949" s="30"/>
      <c r="DO949" s="30"/>
      <c r="DP949" s="30"/>
      <c r="DQ949" s="30"/>
      <c r="DR949" s="30"/>
      <c r="DS949" s="30"/>
      <c r="DT949" s="30"/>
      <c r="DU949" s="30"/>
      <c r="DV949" s="30"/>
      <c r="DW949" s="30"/>
      <c r="DX949" s="30"/>
      <c r="DY949" s="30"/>
      <c r="DZ949" s="30"/>
    </row>
    <row r="950">
      <c r="A950" s="30"/>
      <c r="B950" s="42"/>
      <c r="C950" s="43"/>
      <c r="D950" s="30"/>
      <c r="E950" s="28"/>
      <c r="F950" s="30"/>
      <c r="G950" s="30"/>
      <c r="H950" s="30"/>
      <c r="I950" s="30"/>
      <c r="J950" s="28"/>
      <c r="K950" s="30"/>
      <c r="L950" s="30"/>
      <c r="M950" s="30"/>
      <c r="N950" s="30"/>
      <c r="O950" s="28"/>
      <c r="P950" s="30"/>
      <c r="Q950" s="30"/>
      <c r="R950" s="30"/>
      <c r="S950" s="36"/>
      <c r="T950" s="30"/>
      <c r="U950" s="36"/>
      <c r="V950" s="30"/>
      <c r="W950" s="28"/>
      <c r="X950" s="30"/>
      <c r="Y950" s="30"/>
      <c r="Z950" s="30"/>
      <c r="AA950" s="30"/>
      <c r="AB950" s="30"/>
      <c r="AC950" s="28"/>
      <c r="AD950" s="30"/>
      <c r="AE950" s="30"/>
      <c r="AF950" s="30"/>
      <c r="AG950" s="29"/>
      <c r="AH950" s="30"/>
      <c r="AI950" s="36"/>
      <c r="AJ950" s="30"/>
      <c r="AK950" s="29"/>
      <c r="AL950" s="30"/>
      <c r="AM950" s="30"/>
      <c r="AN950" s="30"/>
      <c r="AO950" s="30"/>
      <c r="AP950" s="30"/>
      <c r="AQ950" s="38"/>
      <c r="AR950" s="30"/>
      <c r="AS950" s="30"/>
      <c r="AT950" s="29"/>
      <c r="AU950" s="30"/>
      <c r="AV950" s="30"/>
      <c r="AW950" s="30"/>
      <c r="AX950" s="29"/>
      <c r="AY950" s="39"/>
      <c r="AZ950" s="30"/>
      <c r="BA950" s="30"/>
      <c r="BB950" s="29"/>
      <c r="BC950" s="52"/>
      <c r="BD950" s="30"/>
      <c r="BE950" s="29"/>
      <c r="BF950" s="30"/>
      <c r="BG950" s="30"/>
      <c r="BH950" s="30"/>
      <c r="BI950" s="30"/>
      <c r="BJ950" s="30"/>
      <c r="BK950" s="30"/>
      <c r="BL950" s="30"/>
      <c r="BM950" s="30"/>
      <c r="BN950" s="30"/>
      <c r="BO950" s="30"/>
      <c r="BP950" s="30"/>
      <c r="BQ950" s="30"/>
      <c r="BR950" s="30"/>
      <c r="BS950" s="30"/>
      <c r="BT950" s="30"/>
      <c r="BU950" s="30"/>
      <c r="BV950" s="30"/>
      <c r="BW950" s="30"/>
      <c r="BX950" s="30"/>
      <c r="BY950" s="30"/>
      <c r="BZ950" s="30"/>
      <c r="CA950" s="30"/>
      <c r="CB950" s="30"/>
      <c r="CC950" s="30"/>
      <c r="CD950" s="30"/>
      <c r="CE950" s="30"/>
      <c r="CF950" s="30"/>
      <c r="CG950" s="30"/>
      <c r="CH950" s="30"/>
      <c r="CI950" s="30"/>
      <c r="CJ950" s="30"/>
      <c r="CK950" s="30"/>
      <c r="CL950" s="30"/>
      <c r="CM950" s="30"/>
      <c r="CN950" s="30"/>
      <c r="CO950" s="30"/>
      <c r="CP950" s="30"/>
      <c r="CQ950" s="30"/>
      <c r="CR950" s="30"/>
      <c r="CS950" s="30"/>
      <c r="CT950" s="30"/>
      <c r="CU950" s="30"/>
      <c r="CV950" s="30"/>
      <c r="CW950" s="30"/>
      <c r="CX950" s="30"/>
      <c r="CY950" s="30"/>
      <c r="CZ950" s="30"/>
      <c r="DA950" s="30"/>
      <c r="DB950" s="30"/>
      <c r="DC950" s="30"/>
      <c r="DD950" s="30"/>
      <c r="DE950" s="30"/>
      <c r="DF950" s="30"/>
      <c r="DG950" s="30"/>
      <c r="DH950" s="30"/>
      <c r="DI950" s="30"/>
      <c r="DJ950" s="30"/>
      <c r="DK950" s="30"/>
      <c r="DL950" s="30"/>
      <c r="DM950" s="30"/>
      <c r="DN950" s="30"/>
      <c r="DO950" s="30"/>
      <c r="DP950" s="30"/>
      <c r="DQ950" s="30"/>
      <c r="DR950" s="30"/>
      <c r="DS950" s="30"/>
      <c r="DT950" s="30"/>
      <c r="DU950" s="30"/>
      <c r="DV950" s="30"/>
      <c r="DW950" s="30"/>
      <c r="DX950" s="30"/>
      <c r="DY950" s="30"/>
      <c r="DZ950" s="30"/>
    </row>
    <row r="951">
      <c r="A951" s="30"/>
      <c r="B951" s="42"/>
      <c r="C951" s="43"/>
      <c r="D951" s="30"/>
      <c r="E951" s="28"/>
      <c r="F951" s="30"/>
      <c r="G951" s="30"/>
      <c r="H951" s="30"/>
      <c r="I951" s="30"/>
      <c r="J951" s="28"/>
      <c r="K951" s="30"/>
      <c r="L951" s="30"/>
      <c r="M951" s="30"/>
      <c r="N951" s="30"/>
      <c r="O951" s="28"/>
      <c r="P951" s="30"/>
      <c r="Q951" s="30"/>
      <c r="R951" s="30"/>
      <c r="S951" s="36"/>
      <c r="T951" s="30"/>
      <c r="U951" s="36"/>
      <c r="V951" s="30"/>
      <c r="W951" s="28"/>
      <c r="X951" s="30"/>
      <c r="Y951" s="30"/>
      <c r="Z951" s="30"/>
      <c r="AA951" s="30"/>
      <c r="AB951" s="30"/>
      <c r="AC951" s="28"/>
      <c r="AD951" s="30"/>
      <c r="AE951" s="30"/>
      <c r="AF951" s="30"/>
      <c r="AG951" s="29"/>
      <c r="AH951" s="30"/>
      <c r="AI951" s="36"/>
      <c r="AJ951" s="30"/>
      <c r="AK951" s="29"/>
      <c r="AL951" s="30"/>
      <c r="AM951" s="30"/>
      <c r="AN951" s="30"/>
      <c r="AO951" s="30"/>
      <c r="AP951" s="30"/>
      <c r="AQ951" s="38"/>
      <c r="AR951" s="30"/>
      <c r="AS951" s="30"/>
      <c r="AT951" s="29"/>
      <c r="AU951" s="30"/>
      <c r="AV951" s="30"/>
      <c r="AW951" s="30"/>
      <c r="AX951" s="29"/>
      <c r="AY951" s="39"/>
      <c r="AZ951" s="30"/>
      <c r="BA951" s="30"/>
      <c r="BB951" s="29"/>
      <c r="BC951" s="52"/>
      <c r="BD951" s="30"/>
      <c r="BE951" s="29"/>
      <c r="BF951" s="30"/>
      <c r="BG951" s="30"/>
      <c r="BH951" s="30"/>
      <c r="BI951" s="30"/>
      <c r="BJ951" s="30"/>
      <c r="BK951" s="30"/>
      <c r="BL951" s="30"/>
      <c r="BM951" s="30"/>
      <c r="BN951" s="30"/>
      <c r="BO951" s="30"/>
      <c r="BP951" s="30"/>
      <c r="BQ951" s="30"/>
      <c r="BR951" s="30"/>
      <c r="BS951" s="30"/>
      <c r="BT951" s="30"/>
      <c r="BU951" s="30"/>
      <c r="BV951" s="30"/>
      <c r="BW951" s="30"/>
      <c r="BX951" s="30"/>
      <c r="BY951" s="30"/>
      <c r="BZ951" s="30"/>
      <c r="CA951" s="30"/>
      <c r="CB951" s="30"/>
      <c r="CC951" s="30"/>
      <c r="CD951" s="30"/>
      <c r="CE951" s="30"/>
      <c r="CF951" s="30"/>
      <c r="CG951" s="30"/>
      <c r="CH951" s="30"/>
      <c r="CI951" s="30"/>
      <c r="CJ951" s="30"/>
      <c r="CK951" s="30"/>
      <c r="CL951" s="30"/>
      <c r="CM951" s="30"/>
      <c r="CN951" s="30"/>
      <c r="CO951" s="30"/>
      <c r="CP951" s="30"/>
      <c r="CQ951" s="30"/>
      <c r="CR951" s="30"/>
      <c r="CS951" s="30"/>
      <c r="CT951" s="30"/>
      <c r="CU951" s="30"/>
      <c r="CV951" s="30"/>
      <c r="CW951" s="30"/>
      <c r="CX951" s="30"/>
      <c r="CY951" s="30"/>
      <c r="CZ951" s="30"/>
      <c r="DA951" s="30"/>
      <c r="DB951" s="30"/>
      <c r="DC951" s="30"/>
      <c r="DD951" s="30"/>
      <c r="DE951" s="30"/>
      <c r="DF951" s="30"/>
      <c r="DG951" s="30"/>
      <c r="DH951" s="30"/>
      <c r="DI951" s="30"/>
      <c r="DJ951" s="30"/>
      <c r="DK951" s="30"/>
      <c r="DL951" s="30"/>
      <c r="DM951" s="30"/>
      <c r="DN951" s="30"/>
      <c r="DO951" s="30"/>
      <c r="DP951" s="30"/>
      <c r="DQ951" s="30"/>
      <c r="DR951" s="30"/>
      <c r="DS951" s="30"/>
      <c r="DT951" s="30"/>
      <c r="DU951" s="30"/>
      <c r="DV951" s="30"/>
      <c r="DW951" s="30"/>
      <c r="DX951" s="30"/>
      <c r="DY951" s="30"/>
      <c r="DZ951" s="30"/>
    </row>
    <row r="952">
      <c r="A952" s="30"/>
      <c r="B952" s="42"/>
      <c r="C952" s="43"/>
      <c r="D952" s="30"/>
      <c r="E952" s="28"/>
      <c r="F952" s="30"/>
      <c r="G952" s="30"/>
      <c r="H952" s="30"/>
      <c r="I952" s="30"/>
      <c r="J952" s="28"/>
      <c r="K952" s="30"/>
      <c r="L952" s="30"/>
      <c r="M952" s="30"/>
      <c r="N952" s="30"/>
      <c r="O952" s="28"/>
      <c r="P952" s="30"/>
      <c r="Q952" s="30"/>
      <c r="R952" s="30"/>
      <c r="S952" s="36"/>
      <c r="T952" s="30"/>
      <c r="U952" s="36"/>
      <c r="V952" s="30"/>
      <c r="W952" s="28"/>
      <c r="X952" s="30"/>
      <c r="Y952" s="30"/>
      <c r="Z952" s="30"/>
      <c r="AA952" s="30"/>
      <c r="AB952" s="30"/>
      <c r="AC952" s="28"/>
      <c r="AD952" s="30"/>
      <c r="AE952" s="30"/>
      <c r="AF952" s="30"/>
      <c r="AG952" s="29"/>
      <c r="AH952" s="30"/>
      <c r="AI952" s="36"/>
      <c r="AJ952" s="30"/>
      <c r="AK952" s="29"/>
      <c r="AL952" s="30"/>
      <c r="AM952" s="30"/>
      <c r="AN952" s="30"/>
      <c r="AO952" s="30"/>
      <c r="AP952" s="30"/>
      <c r="AQ952" s="38"/>
      <c r="AR952" s="30"/>
      <c r="AS952" s="30"/>
      <c r="AT952" s="29"/>
      <c r="AU952" s="30"/>
      <c r="AV952" s="30"/>
      <c r="AW952" s="30"/>
      <c r="AX952" s="29"/>
      <c r="AY952" s="39"/>
      <c r="AZ952" s="30"/>
      <c r="BA952" s="30"/>
      <c r="BB952" s="29"/>
      <c r="BC952" s="52"/>
      <c r="BD952" s="30"/>
      <c r="BE952" s="29"/>
      <c r="BF952" s="30"/>
      <c r="BG952" s="30"/>
      <c r="BH952" s="30"/>
      <c r="BI952" s="30"/>
      <c r="BJ952" s="30"/>
      <c r="BK952" s="30"/>
      <c r="BL952" s="30"/>
      <c r="BM952" s="30"/>
      <c r="BN952" s="30"/>
      <c r="BO952" s="30"/>
      <c r="BP952" s="30"/>
      <c r="BQ952" s="30"/>
      <c r="BR952" s="30"/>
      <c r="BS952" s="30"/>
      <c r="BT952" s="30"/>
      <c r="BU952" s="30"/>
      <c r="BV952" s="30"/>
      <c r="BW952" s="30"/>
      <c r="BX952" s="30"/>
      <c r="BY952" s="30"/>
      <c r="BZ952" s="30"/>
      <c r="CA952" s="30"/>
      <c r="CB952" s="30"/>
      <c r="CC952" s="30"/>
      <c r="CD952" s="30"/>
      <c r="CE952" s="30"/>
      <c r="CF952" s="30"/>
      <c r="CG952" s="30"/>
      <c r="CH952" s="30"/>
      <c r="CI952" s="30"/>
      <c r="CJ952" s="30"/>
      <c r="CK952" s="30"/>
      <c r="CL952" s="30"/>
      <c r="CM952" s="30"/>
      <c r="CN952" s="30"/>
      <c r="CO952" s="30"/>
      <c r="CP952" s="30"/>
      <c r="CQ952" s="30"/>
      <c r="CR952" s="30"/>
      <c r="CS952" s="30"/>
      <c r="CT952" s="30"/>
      <c r="CU952" s="30"/>
      <c r="CV952" s="30"/>
      <c r="CW952" s="30"/>
      <c r="CX952" s="30"/>
      <c r="CY952" s="30"/>
      <c r="CZ952" s="30"/>
      <c r="DA952" s="30"/>
      <c r="DB952" s="30"/>
      <c r="DC952" s="30"/>
      <c r="DD952" s="30"/>
      <c r="DE952" s="30"/>
      <c r="DF952" s="30"/>
      <c r="DG952" s="30"/>
      <c r="DH952" s="30"/>
      <c r="DI952" s="30"/>
      <c r="DJ952" s="30"/>
      <c r="DK952" s="30"/>
      <c r="DL952" s="30"/>
      <c r="DM952" s="30"/>
      <c r="DN952" s="30"/>
      <c r="DO952" s="30"/>
      <c r="DP952" s="30"/>
      <c r="DQ952" s="30"/>
      <c r="DR952" s="30"/>
      <c r="DS952" s="30"/>
      <c r="DT952" s="30"/>
      <c r="DU952" s="30"/>
      <c r="DV952" s="30"/>
      <c r="DW952" s="30"/>
      <c r="DX952" s="30"/>
      <c r="DY952" s="30"/>
      <c r="DZ952" s="30"/>
    </row>
    <row r="953">
      <c r="A953" s="30"/>
      <c r="B953" s="42"/>
      <c r="C953" s="43"/>
      <c r="D953" s="30"/>
      <c r="E953" s="28"/>
      <c r="F953" s="30"/>
      <c r="G953" s="30"/>
      <c r="H953" s="30"/>
      <c r="I953" s="30"/>
      <c r="J953" s="28"/>
      <c r="K953" s="30"/>
      <c r="L953" s="30"/>
      <c r="M953" s="30"/>
      <c r="N953" s="30"/>
      <c r="O953" s="28"/>
      <c r="P953" s="30"/>
      <c r="Q953" s="30"/>
      <c r="R953" s="30"/>
      <c r="S953" s="36"/>
      <c r="T953" s="30"/>
      <c r="U953" s="36"/>
      <c r="V953" s="30"/>
      <c r="W953" s="28"/>
      <c r="X953" s="30"/>
      <c r="Y953" s="30"/>
      <c r="Z953" s="30"/>
      <c r="AA953" s="30"/>
      <c r="AB953" s="30"/>
      <c r="AC953" s="28"/>
      <c r="AD953" s="30"/>
      <c r="AE953" s="30"/>
      <c r="AF953" s="30"/>
      <c r="AG953" s="29"/>
      <c r="AH953" s="30"/>
      <c r="AI953" s="36"/>
      <c r="AJ953" s="30"/>
      <c r="AK953" s="29"/>
      <c r="AL953" s="30"/>
      <c r="AM953" s="30"/>
      <c r="AN953" s="30"/>
      <c r="AO953" s="30"/>
      <c r="AP953" s="30"/>
      <c r="AQ953" s="38"/>
      <c r="AR953" s="30"/>
      <c r="AS953" s="30"/>
      <c r="AT953" s="29"/>
      <c r="AU953" s="30"/>
      <c r="AV953" s="30"/>
      <c r="AW953" s="30"/>
      <c r="AX953" s="29"/>
      <c r="AY953" s="39"/>
      <c r="AZ953" s="30"/>
      <c r="BA953" s="30"/>
      <c r="BB953" s="29"/>
      <c r="BC953" s="52"/>
      <c r="BD953" s="30"/>
      <c r="BE953" s="29"/>
      <c r="BF953" s="30"/>
      <c r="BG953" s="30"/>
      <c r="BH953" s="30"/>
      <c r="BI953" s="30"/>
      <c r="BJ953" s="30"/>
      <c r="BK953" s="30"/>
      <c r="BL953" s="30"/>
      <c r="BM953" s="30"/>
      <c r="BN953" s="30"/>
      <c r="BO953" s="30"/>
      <c r="BP953" s="30"/>
      <c r="BQ953" s="30"/>
      <c r="BR953" s="30"/>
      <c r="BS953" s="30"/>
      <c r="BT953" s="30"/>
      <c r="BU953" s="30"/>
      <c r="BV953" s="30"/>
      <c r="BW953" s="30"/>
      <c r="BX953" s="30"/>
      <c r="BY953" s="30"/>
      <c r="BZ953" s="30"/>
      <c r="CA953" s="30"/>
      <c r="CB953" s="30"/>
      <c r="CC953" s="30"/>
      <c r="CD953" s="30"/>
      <c r="CE953" s="30"/>
      <c r="CF953" s="30"/>
      <c r="CG953" s="30"/>
      <c r="CH953" s="30"/>
      <c r="CI953" s="30"/>
      <c r="CJ953" s="30"/>
      <c r="CK953" s="30"/>
      <c r="CL953" s="30"/>
      <c r="CM953" s="30"/>
      <c r="CN953" s="30"/>
      <c r="CO953" s="30"/>
      <c r="CP953" s="30"/>
      <c r="CQ953" s="30"/>
      <c r="CR953" s="30"/>
      <c r="CS953" s="30"/>
      <c r="CT953" s="30"/>
      <c r="CU953" s="30"/>
      <c r="CV953" s="30"/>
      <c r="CW953" s="30"/>
      <c r="CX953" s="30"/>
      <c r="CY953" s="30"/>
      <c r="CZ953" s="30"/>
      <c r="DA953" s="30"/>
      <c r="DB953" s="30"/>
      <c r="DC953" s="30"/>
      <c r="DD953" s="30"/>
      <c r="DE953" s="30"/>
      <c r="DF953" s="30"/>
      <c r="DG953" s="30"/>
      <c r="DH953" s="30"/>
      <c r="DI953" s="30"/>
      <c r="DJ953" s="30"/>
      <c r="DK953" s="30"/>
      <c r="DL953" s="30"/>
      <c r="DM953" s="30"/>
      <c r="DN953" s="30"/>
      <c r="DO953" s="30"/>
      <c r="DP953" s="30"/>
      <c r="DQ953" s="30"/>
      <c r="DR953" s="30"/>
      <c r="DS953" s="30"/>
      <c r="DT953" s="30"/>
      <c r="DU953" s="30"/>
      <c r="DV953" s="30"/>
      <c r="DW953" s="30"/>
      <c r="DX953" s="30"/>
      <c r="DY953" s="30"/>
      <c r="DZ953" s="30"/>
    </row>
    <row r="954">
      <c r="A954" s="30"/>
      <c r="B954" s="42"/>
      <c r="C954" s="43"/>
      <c r="D954" s="30"/>
      <c r="E954" s="28"/>
      <c r="F954" s="30"/>
      <c r="G954" s="30"/>
      <c r="H954" s="30"/>
      <c r="I954" s="30"/>
      <c r="J954" s="28"/>
      <c r="K954" s="30"/>
      <c r="L954" s="30"/>
      <c r="M954" s="30"/>
      <c r="N954" s="30"/>
      <c r="O954" s="28"/>
      <c r="P954" s="30"/>
      <c r="Q954" s="30"/>
      <c r="R954" s="30"/>
      <c r="S954" s="36"/>
      <c r="T954" s="30"/>
      <c r="U954" s="36"/>
      <c r="V954" s="30"/>
      <c r="W954" s="28"/>
      <c r="X954" s="30"/>
      <c r="Y954" s="30"/>
      <c r="Z954" s="30"/>
      <c r="AA954" s="30"/>
      <c r="AB954" s="30"/>
      <c r="AC954" s="28"/>
      <c r="AD954" s="30"/>
      <c r="AE954" s="30"/>
      <c r="AF954" s="30"/>
      <c r="AG954" s="29"/>
      <c r="AH954" s="30"/>
      <c r="AI954" s="36"/>
      <c r="AJ954" s="30"/>
      <c r="AK954" s="29"/>
      <c r="AL954" s="30"/>
      <c r="AM954" s="30"/>
      <c r="AN954" s="30"/>
      <c r="AO954" s="30"/>
      <c r="AP954" s="30"/>
      <c r="AQ954" s="38"/>
      <c r="AR954" s="30"/>
      <c r="AS954" s="30"/>
      <c r="AT954" s="29"/>
      <c r="AU954" s="30"/>
      <c r="AV954" s="30"/>
      <c r="AW954" s="30"/>
      <c r="AX954" s="29"/>
      <c r="AY954" s="39"/>
      <c r="AZ954" s="30"/>
      <c r="BA954" s="30"/>
      <c r="BB954" s="29"/>
      <c r="BC954" s="52"/>
      <c r="BD954" s="30"/>
      <c r="BE954" s="29"/>
      <c r="BF954" s="30"/>
      <c r="BG954" s="30"/>
      <c r="BH954" s="30"/>
      <c r="BI954" s="30"/>
      <c r="BJ954" s="30"/>
      <c r="BK954" s="30"/>
      <c r="BL954" s="30"/>
      <c r="BM954" s="30"/>
      <c r="BN954" s="30"/>
      <c r="BO954" s="30"/>
      <c r="BP954" s="30"/>
      <c r="BQ954" s="30"/>
      <c r="BR954" s="30"/>
      <c r="BS954" s="30"/>
      <c r="BT954" s="30"/>
      <c r="BU954" s="30"/>
      <c r="BV954" s="30"/>
      <c r="BW954" s="30"/>
      <c r="BX954" s="30"/>
      <c r="BY954" s="30"/>
      <c r="BZ954" s="30"/>
      <c r="CA954" s="30"/>
      <c r="CB954" s="30"/>
      <c r="CC954" s="30"/>
      <c r="CD954" s="30"/>
      <c r="CE954" s="30"/>
      <c r="CF954" s="30"/>
      <c r="CG954" s="30"/>
      <c r="CH954" s="30"/>
      <c r="CI954" s="30"/>
      <c r="CJ954" s="30"/>
      <c r="CK954" s="30"/>
      <c r="CL954" s="30"/>
      <c r="CM954" s="30"/>
      <c r="CN954" s="30"/>
      <c r="CO954" s="30"/>
      <c r="CP954" s="30"/>
      <c r="CQ954" s="30"/>
      <c r="CR954" s="30"/>
      <c r="CS954" s="30"/>
      <c r="CT954" s="30"/>
      <c r="CU954" s="30"/>
      <c r="CV954" s="30"/>
      <c r="CW954" s="30"/>
      <c r="CX954" s="30"/>
      <c r="CY954" s="30"/>
      <c r="CZ954" s="30"/>
      <c r="DA954" s="30"/>
      <c r="DB954" s="30"/>
      <c r="DC954" s="30"/>
      <c r="DD954" s="30"/>
      <c r="DE954" s="30"/>
      <c r="DF954" s="30"/>
      <c r="DG954" s="30"/>
      <c r="DH954" s="30"/>
      <c r="DI954" s="30"/>
      <c r="DJ954" s="30"/>
      <c r="DK954" s="30"/>
      <c r="DL954" s="30"/>
      <c r="DM954" s="30"/>
      <c r="DN954" s="30"/>
      <c r="DO954" s="30"/>
      <c r="DP954" s="30"/>
      <c r="DQ954" s="30"/>
      <c r="DR954" s="30"/>
      <c r="DS954" s="30"/>
      <c r="DT954" s="30"/>
      <c r="DU954" s="30"/>
      <c r="DV954" s="30"/>
      <c r="DW954" s="30"/>
      <c r="DX954" s="30"/>
      <c r="DY954" s="30"/>
      <c r="DZ954" s="30"/>
    </row>
    <row r="955">
      <c r="A955" s="30"/>
      <c r="B955" s="42"/>
      <c r="C955" s="43"/>
      <c r="D955" s="30"/>
      <c r="E955" s="28"/>
      <c r="F955" s="30"/>
      <c r="G955" s="30"/>
      <c r="H955" s="30"/>
      <c r="I955" s="30"/>
      <c r="J955" s="28"/>
      <c r="K955" s="30"/>
      <c r="L955" s="30"/>
      <c r="M955" s="30"/>
      <c r="N955" s="30"/>
      <c r="O955" s="28"/>
      <c r="P955" s="30"/>
      <c r="Q955" s="30"/>
      <c r="R955" s="30"/>
      <c r="S955" s="36"/>
      <c r="T955" s="30"/>
      <c r="U955" s="36"/>
      <c r="V955" s="30"/>
      <c r="W955" s="28"/>
      <c r="X955" s="30"/>
      <c r="Y955" s="30"/>
      <c r="Z955" s="30"/>
      <c r="AA955" s="30"/>
      <c r="AB955" s="30"/>
      <c r="AC955" s="28"/>
      <c r="AD955" s="30"/>
      <c r="AE955" s="30"/>
      <c r="AF955" s="30"/>
      <c r="AG955" s="29"/>
      <c r="AH955" s="30"/>
      <c r="AI955" s="36"/>
      <c r="AJ955" s="30"/>
      <c r="AK955" s="29"/>
      <c r="AL955" s="30"/>
      <c r="AM955" s="30"/>
      <c r="AN955" s="30"/>
      <c r="AO955" s="30"/>
      <c r="AP955" s="30"/>
      <c r="AQ955" s="38"/>
      <c r="AR955" s="30"/>
      <c r="AS955" s="30"/>
      <c r="AT955" s="29"/>
      <c r="AU955" s="30"/>
      <c r="AV955" s="30"/>
      <c r="AW955" s="30"/>
      <c r="AX955" s="29"/>
      <c r="AY955" s="39"/>
      <c r="AZ955" s="30"/>
      <c r="BA955" s="30"/>
      <c r="BB955" s="29"/>
      <c r="BC955" s="52"/>
      <c r="BD955" s="30"/>
      <c r="BE955" s="29"/>
      <c r="BF955" s="30"/>
      <c r="BG955" s="30"/>
      <c r="BH955" s="30"/>
      <c r="BI955" s="30"/>
      <c r="BJ955" s="30"/>
      <c r="BK955" s="30"/>
      <c r="BL955" s="30"/>
      <c r="BM955" s="30"/>
      <c r="BN955" s="30"/>
      <c r="BO955" s="30"/>
      <c r="BP955" s="30"/>
      <c r="BQ955" s="30"/>
      <c r="BR955" s="30"/>
      <c r="BS955" s="30"/>
      <c r="BT955" s="30"/>
      <c r="BU955" s="30"/>
      <c r="BV955" s="30"/>
      <c r="BW955" s="30"/>
      <c r="BX955" s="30"/>
      <c r="BY955" s="30"/>
      <c r="BZ955" s="30"/>
      <c r="CA955" s="30"/>
      <c r="CB955" s="30"/>
      <c r="CC955" s="30"/>
      <c r="CD955" s="30"/>
      <c r="CE955" s="30"/>
      <c r="CF955" s="30"/>
      <c r="CG955" s="30"/>
      <c r="CH955" s="30"/>
      <c r="CI955" s="30"/>
      <c r="CJ955" s="30"/>
      <c r="CK955" s="30"/>
      <c r="CL955" s="30"/>
      <c r="CM955" s="30"/>
      <c r="CN955" s="30"/>
      <c r="CO955" s="30"/>
      <c r="CP955" s="30"/>
      <c r="CQ955" s="30"/>
      <c r="CR955" s="30"/>
      <c r="CS955" s="30"/>
      <c r="CT955" s="30"/>
      <c r="CU955" s="30"/>
      <c r="CV955" s="30"/>
      <c r="CW955" s="30"/>
      <c r="CX955" s="30"/>
      <c r="CY955" s="30"/>
      <c r="CZ955" s="30"/>
      <c r="DA955" s="30"/>
      <c r="DB955" s="30"/>
      <c r="DC955" s="30"/>
      <c r="DD955" s="30"/>
      <c r="DE955" s="30"/>
      <c r="DF955" s="30"/>
      <c r="DG955" s="30"/>
      <c r="DH955" s="30"/>
      <c r="DI955" s="30"/>
      <c r="DJ955" s="30"/>
      <c r="DK955" s="30"/>
      <c r="DL955" s="30"/>
      <c r="DM955" s="30"/>
      <c r="DN955" s="30"/>
      <c r="DO955" s="30"/>
      <c r="DP955" s="30"/>
      <c r="DQ955" s="30"/>
      <c r="DR955" s="30"/>
      <c r="DS955" s="30"/>
      <c r="DT955" s="30"/>
      <c r="DU955" s="30"/>
      <c r="DV955" s="30"/>
      <c r="DW955" s="30"/>
      <c r="DX955" s="30"/>
      <c r="DY955" s="30"/>
      <c r="DZ955" s="30"/>
    </row>
    <row r="956">
      <c r="A956" s="30"/>
      <c r="B956" s="42"/>
      <c r="C956" s="43"/>
      <c r="D956" s="30"/>
      <c r="E956" s="28"/>
      <c r="F956" s="30"/>
      <c r="G956" s="30"/>
      <c r="H956" s="30"/>
      <c r="I956" s="30"/>
      <c r="J956" s="28"/>
      <c r="K956" s="30"/>
      <c r="L956" s="30"/>
      <c r="M956" s="30"/>
      <c r="N956" s="30"/>
      <c r="O956" s="28"/>
      <c r="P956" s="30"/>
      <c r="Q956" s="30"/>
      <c r="R956" s="30"/>
      <c r="S956" s="36"/>
      <c r="T956" s="30"/>
      <c r="U956" s="36"/>
      <c r="V956" s="30"/>
      <c r="W956" s="28"/>
      <c r="X956" s="30"/>
      <c r="Y956" s="30"/>
      <c r="Z956" s="30"/>
      <c r="AA956" s="30"/>
      <c r="AB956" s="30"/>
      <c r="AC956" s="28"/>
      <c r="AD956" s="30"/>
      <c r="AE956" s="30"/>
      <c r="AF956" s="30"/>
      <c r="AG956" s="29"/>
      <c r="AH956" s="30"/>
      <c r="AI956" s="36"/>
      <c r="AJ956" s="30"/>
      <c r="AK956" s="29"/>
      <c r="AL956" s="30"/>
      <c r="AM956" s="30"/>
      <c r="AN956" s="30"/>
      <c r="AO956" s="30"/>
      <c r="AP956" s="30"/>
      <c r="AQ956" s="38"/>
      <c r="AR956" s="30"/>
      <c r="AS956" s="30"/>
      <c r="AT956" s="29"/>
      <c r="AU956" s="30"/>
      <c r="AV956" s="30"/>
      <c r="AW956" s="30"/>
      <c r="AX956" s="29"/>
      <c r="AY956" s="39"/>
      <c r="AZ956" s="30"/>
      <c r="BA956" s="30"/>
      <c r="BB956" s="29"/>
      <c r="BC956" s="52"/>
      <c r="BD956" s="30"/>
      <c r="BE956" s="29"/>
      <c r="BF956" s="30"/>
      <c r="BG956" s="30"/>
      <c r="BH956" s="30"/>
      <c r="BI956" s="30"/>
      <c r="BJ956" s="30"/>
      <c r="BK956" s="30"/>
      <c r="BL956" s="30"/>
      <c r="BM956" s="30"/>
      <c r="BN956" s="30"/>
      <c r="BO956" s="30"/>
      <c r="BP956" s="30"/>
      <c r="BQ956" s="30"/>
      <c r="BR956" s="30"/>
      <c r="BS956" s="30"/>
      <c r="BT956" s="30"/>
      <c r="BU956" s="30"/>
      <c r="BV956" s="30"/>
      <c r="BW956" s="30"/>
      <c r="BX956" s="30"/>
      <c r="BY956" s="30"/>
      <c r="BZ956" s="30"/>
      <c r="CA956" s="30"/>
      <c r="CB956" s="30"/>
      <c r="CC956" s="30"/>
      <c r="CD956" s="30"/>
      <c r="CE956" s="30"/>
      <c r="CF956" s="30"/>
      <c r="CG956" s="30"/>
      <c r="CH956" s="30"/>
      <c r="CI956" s="30"/>
      <c r="CJ956" s="30"/>
      <c r="CK956" s="30"/>
      <c r="CL956" s="30"/>
      <c r="CM956" s="30"/>
      <c r="CN956" s="30"/>
      <c r="CO956" s="30"/>
      <c r="CP956" s="30"/>
      <c r="CQ956" s="30"/>
      <c r="CR956" s="30"/>
      <c r="CS956" s="30"/>
      <c r="CT956" s="30"/>
      <c r="CU956" s="30"/>
      <c r="CV956" s="30"/>
      <c r="CW956" s="30"/>
      <c r="CX956" s="30"/>
      <c r="CY956" s="30"/>
      <c r="CZ956" s="30"/>
      <c r="DA956" s="30"/>
      <c r="DB956" s="30"/>
      <c r="DC956" s="30"/>
      <c r="DD956" s="30"/>
      <c r="DE956" s="30"/>
      <c r="DF956" s="30"/>
      <c r="DG956" s="30"/>
      <c r="DH956" s="30"/>
      <c r="DI956" s="30"/>
      <c r="DJ956" s="30"/>
      <c r="DK956" s="30"/>
      <c r="DL956" s="30"/>
      <c r="DM956" s="30"/>
      <c r="DN956" s="30"/>
      <c r="DO956" s="30"/>
      <c r="DP956" s="30"/>
      <c r="DQ956" s="30"/>
      <c r="DR956" s="30"/>
      <c r="DS956" s="30"/>
      <c r="DT956" s="30"/>
      <c r="DU956" s="30"/>
      <c r="DV956" s="30"/>
      <c r="DW956" s="30"/>
      <c r="DX956" s="30"/>
      <c r="DY956" s="30"/>
      <c r="DZ956" s="30"/>
    </row>
    <row r="957">
      <c r="A957" s="30"/>
      <c r="B957" s="42"/>
      <c r="C957" s="43"/>
      <c r="D957" s="30"/>
      <c r="E957" s="28"/>
      <c r="F957" s="30"/>
      <c r="G957" s="30"/>
      <c r="H957" s="30"/>
      <c r="I957" s="30"/>
      <c r="J957" s="28"/>
      <c r="K957" s="30"/>
      <c r="L957" s="30"/>
      <c r="M957" s="30"/>
      <c r="N957" s="30"/>
      <c r="O957" s="28"/>
      <c r="P957" s="30"/>
      <c r="Q957" s="30"/>
      <c r="R957" s="30"/>
      <c r="S957" s="36"/>
      <c r="T957" s="30"/>
      <c r="U957" s="36"/>
      <c r="V957" s="30"/>
      <c r="W957" s="28"/>
      <c r="X957" s="30"/>
      <c r="Y957" s="30"/>
      <c r="Z957" s="30"/>
      <c r="AA957" s="30"/>
      <c r="AB957" s="30"/>
      <c r="AC957" s="28"/>
      <c r="AD957" s="30"/>
      <c r="AE957" s="30"/>
      <c r="AF957" s="30"/>
      <c r="AG957" s="29"/>
      <c r="AH957" s="30"/>
      <c r="AI957" s="36"/>
      <c r="AJ957" s="30"/>
      <c r="AK957" s="29"/>
      <c r="AL957" s="30"/>
      <c r="AM957" s="30"/>
      <c r="AN957" s="30"/>
      <c r="AO957" s="30"/>
      <c r="AP957" s="30"/>
      <c r="AQ957" s="38"/>
      <c r="AR957" s="30"/>
      <c r="AS957" s="30"/>
      <c r="AT957" s="29"/>
      <c r="AU957" s="30"/>
      <c r="AV957" s="30"/>
      <c r="AW957" s="30"/>
      <c r="AX957" s="29"/>
      <c r="AY957" s="39"/>
      <c r="AZ957" s="30"/>
      <c r="BA957" s="30"/>
      <c r="BB957" s="29"/>
      <c r="BC957" s="52"/>
      <c r="BD957" s="30"/>
      <c r="BE957" s="29"/>
      <c r="BF957" s="30"/>
      <c r="BG957" s="30"/>
      <c r="BH957" s="30"/>
      <c r="BI957" s="30"/>
      <c r="BJ957" s="30"/>
      <c r="BK957" s="30"/>
      <c r="BL957" s="30"/>
      <c r="BM957" s="30"/>
      <c r="BN957" s="30"/>
      <c r="BO957" s="30"/>
      <c r="BP957" s="30"/>
      <c r="BQ957" s="30"/>
      <c r="BR957" s="30"/>
      <c r="BS957" s="30"/>
      <c r="BT957" s="30"/>
      <c r="BU957" s="30"/>
      <c r="BV957" s="30"/>
      <c r="BW957" s="30"/>
      <c r="BX957" s="30"/>
      <c r="BY957" s="30"/>
      <c r="BZ957" s="30"/>
      <c r="CA957" s="30"/>
      <c r="CB957" s="30"/>
      <c r="CC957" s="30"/>
      <c r="CD957" s="30"/>
      <c r="CE957" s="30"/>
      <c r="CF957" s="30"/>
      <c r="CG957" s="30"/>
      <c r="CH957" s="30"/>
      <c r="CI957" s="30"/>
      <c r="CJ957" s="30"/>
      <c r="CK957" s="30"/>
      <c r="CL957" s="30"/>
      <c r="CM957" s="30"/>
      <c r="CN957" s="30"/>
      <c r="CO957" s="30"/>
      <c r="CP957" s="30"/>
      <c r="CQ957" s="30"/>
      <c r="CR957" s="30"/>
      <c r="CS957" s="30"/>
      <c r="CT957" s="30"/>
      <c r="CU957" s="30"/>
      <c r="CV957" s="30"/>
      <c r="CW957" s="30"/>
      <c r="CX957" s="30"/>
      <c r="CY957" s="30"/>
      <c r="CZ957" s="30"/>
      <c r="DA957" s="30"/>
      <c r="DB957" s="30"/>
      <c r="DC957" s="30"/>
      <c r="DD957" s="30"/>
      <c r="DE957" s="30"/>
      <c r="DF957" s="30"/>
      <c r="DG957" s="30"/>
      <c r="DH957" s="30"/>
      <c r="DI957" s="30"/>
      <c r="DJ957" s="30"/>
      <c r="DK957" s="30"/>
      <c r="DL957" s="30"/>
      <c r="DM957" s="30"/>
      <c r="DN957" s="30"/>
      <c r="DO957" s="30"/>
      <c r="DP957" s="30"/>
      <c r="DQ957" s="30"/>
      <c r="DR957" s="30"/>
      <c r="DS957" s="30"/>
      <c r="DT957" s="30"/>
      <c r="DU957" s="30"/>
      <c r="DV957" s="30"/>
      <c r="DW957" s="30"/>
      <c r="DX957" s="30"/>
      <c r="DY957" s="30"/>
      <c r="DZ957" s="30"/>
    </row>
    <row r="958">
      <c r="A958" s="30"/>
      <c r="B958" s="42"/>
      <c r="C958" s="43"/>
      <c r="D958" s="30"/>
      <c r="E958" s="28"/>
      <c r="F958" s="30"/>
      <c r="G958" s="30"/>
      <c r="H958" s="30"/>
      <c r="I958" s="30"/>
      <c r="J958" s="28"/>
      <c r="K958" s="30"/>
      <c r="L958" s="30"/>
      <c r="M958" s="30"/>
      <c r="N958" s="30"/>
      <c r="O958" s="28"/>
      <c r="P958" s="30"/>
      <c r="Q958" s="30"/>
      <c r="R958" s="30"/>
      <c r="S958" s="36"/>
      <c r="T958" s="30"/>
      <c r="U958" s="36"/>
      <c r="V958" s="30"/>
      <c r="W958" s="28"/>
      <c r="X958" s="30"/>
      <c r="Y958" s="30"/>
      <c r="Z958" s="30"/>
      <c r="AA958" s="30"/>
      <c r="AB958" s="30"/>
      <c r="AC958" s="28"/>
      <c r="AD958" s="30"/>
      <c r="AE958" s="30"/>
      <c r="AF958" s="30"/>
      <c r="AG958" s="29"/>
      <c r="AH958" s="30"/>
      <c r="AI958" s="36"/>
      <c r="AJ958" s="30"/>
      <c r="AK958" s="29"/>
      <c r="AL958" s="30"/>
      <c r="AM958" s="30"/>
      <c r="AN958" s="30"/>
      <c r="AO958" s="30"/>
      <c r="AP958" s="30"/>
      <c r="AQ958" s="38"/>
      <c r="AR958" s="30"/>
      <c r="AS958" s="30"/>
      <c r="AT958" s="29"/>
      <c r="AU958" s="30"/>
      <c r="AV958" s="30"/>
      <c r="AW958" s="30"/>
      <c r="AX958" s="29"/>
      <c r="AY958" s="39"/>
      <c r="AZ958" s="30"/>
      <c r="BA958" s="30"/>
      <c r="BB958" s="29"/>
      <c r="BC958" s="52"/>
      <c r="BD958" s="30"/>
      <c r="BE958" s="29"/>
      <c r="BF958" s="30"/>
      <c r="BG958" s="30"/>
      <c r="BH958" s="30"/>
      <c r="BI958" s="30"/>
      <c r="BJ958" s="30"/>
      <c r="BK958" s="30"/>
      <c r="BL958" s="30"/>
      <c r="BM958" s="30"/>
      <c r="BN958" s="30"/>
      <c r="BO958" s="30"/>
      <c r="BP958" s="30"/>
      <c r="BQ958" s="30"/>
      <c r="BR958" s="30"/>
      <c r="BS958" s="30"/>
      <c r="BT958" s="30"/>
      <c r="BU958" s="30"/>
      <c r="BV958" s="30"/>
      <c r="BW958" s="30"/>
      <c r="BX958" s="30"/>
      <c r="BY958" s="30"/>
      <c r="BZ958" s="30"/>
      <c r="CA958" s="30"/>
      <c r="CB958" s="30"/>
      <c r="CC958" s="30"/>
      <c r="CD958" s="30"/>
      <c r="CE958" s="30"/>
      <c r="CF958" s="30"/>
      <c r="CG958" s="30"/>
      <c r="CH958" s="30"/>
      <c r="CI958" s="30"/>
      <c r="CJ958" s="30"/>
      <c r="CK958" s="30"/>
      <c r="CL958" s="30"/>
      <c r="CM958" s="30"/>
      <c r="CN958" s="30"/>
      <c r="CO958" s="30"/>
      <c r="CP958" s="30"/>
      <c r="CQ958" s="30"/>
      <c r="CR958" s="30"/>
      <c r="CS958" s="30"/>
      <c r="CT958" s="30"/>
      <c r="CU958" s="30"/>
      <c r="CV958" s="30"/>
      <c r="CW958" s="30"/>
      <c r="CX958" s="30"/>
      <c r="CY958" s="30"/>
      <c r="CZ958" s="30"/>
      <c r="DA958" s="30"/>
      <c r="DB958" s="30"/>
      <c r="DC958" s="30"/>
      <c r="DD958" s="30"/>
      <c r="DE958" s="30"/>
      <c r="DF958" s="30"/>
      <c r="DG958" s="30"/>
      <c r="DH958" s="30"/>
      <c r="DI958" s="30"/>
      <c r="DJ958" s="30"/>
      <c r="DK958" s="30"/>
      <c r="DL958" s="30"/>
      <c r="DM958" s="30"/>
      <c r="DN958" s="30"/>
      <c r="DO958" s="30"/>
      <c r="DP958" s="30"/>
      <c r="DQ958" s="30"/>
      <c r="DR958" s="30"/>
      <c r="DS958" s="30"/>
      <c r="DT958" s="30"/>
      <c r="DU958" s="30"/>
      <c r="DV958" s="30"/>
      <c r="DW958" s="30"/>
      <c r="DX958" s="30"/>
      <c r="DY958" s="30"/>
      <c r="DZ958" s="30"/>
    </row>
    <row r="959">
      <c r="A959" s="30"/>
      <c r="B959" s="42"/>
      <c r="C959" s="43"/>
      <c r="D959" s="30"/>
      <c r="E959" s="28"/>
      <c r="F959" s="30"/>
      <c r="G959" s="30"/>
      <c r="H959" s="30"/>
      <c r="I959" s="30"/>
      <c r="J959" s="28"/>
      <c r="K959" s="30"/>
      <c r="L959" s="30"/>
      <c r="M959" s="30"/>
      <c r="N959" s="30"/>
      <c r="O959" s="28"/>
      <c r="P959" s="30"/>
      <c r="Q959" s="30"/>
      <c r="R959" s="30"/>
      <c r="S959" s="36"/>
      <c r="T959" s="30"/>
      <c r="U959" s="36"/>
      <c r="V959" s="30"/>
      <c r="W959" s="28"/>
      <c r="X959" s="30"/>
      <c r="Y959" s="30"/>
      <c r="Z959" s="30"/>
      <c r="AA959" s="30"/>
      <c r="AB959" s="30"/>
      <c r="AC959" s="28"/>
      <c r="AD959" s="30"/>
      <c r="AE959" s="30"/>
      <c r="AF959" s="30"/>
      <c r="AG959" s="29"/>
      <c r="AH959" s="30"/>
      <c r="AI959" s="36"/>
      <c r="AJ959" s="30"/>
      <c r="AK959" s="29"/>
      <c r="AL959" s="30"/>
      <c r="AM959" s="30"/>
      <c r="AN959" s="30"/>
      <c r="AO959" s="30"/>
      <c r="AP959" s="30"/>
      <c r="AQ959" s="38"/>
      <c r="AR959" s="30"/>
      <c r="AS959" s="30"/>
      <c r="AT959" s="29"/>
      <c r="AU959" s="30"/>
      <c r="AV959" s="30"/>
      <c r="AW959" s="30"/>
      <c r="AX959" s="29"/>
      <c r="AY959" s="39"/>
      <c r="AZ959" s="30"/>
      <c r="BA959" s="30"/>
      <c r="BB959" s="29"/>
      <c r="BC959" s="52"/>
      <c r="BD959" s="30"/>
      <c r="BE959" s="29"/>
      <c r="BF959" s="30"/>
      <c r="BG959" s="30"/>
      <c r="BH959" s="30"/>
      <c r="BI959" s="30"/>
      <c r="BJ959" s="30"/>
      <c r="BK959" s="30"/>
      <c r="BL959" s="30"/>
      <c r="BM959" s="30"/>
      <c r="BN959" s="30"/>
      <c r="BO959" s="30"/>
      <c r="BP959" s="30"/>
      <c r="BQ959" s="30"/>
      <c r="BR959" s="30"/>
      <c r="BS959" s="30"/>
      <c r="BT959" s="30"/>
      <c r="BU959" s="30"/>
      <c r="BV959" s="30"/>
      <c r="BW959" s="30"/>
      <c r="BX959" s="30"/>
      <c r="BY959" s="30"/>
      <c r="BZ959" s="30"/>
      <c r="CA959" s="30"/>
      <c r="CB959" s="30"/>
      <c r="CC959" s="30"/>
      <c r="CD959" s="30"/>
      <c r="CE959" s="30"/>
      <c r="CF959" s="30"/>
      <c r="CG959" s="30"/>
      <c r="CH959" s="30"/>
      <c r="CI959" s="30"/>
      <c r="CJ959" s="30"/>
      <c r="CK959" s="30"/>
      <c r="CL959" s="30"/>
      <c r="CM959" s="30"/>
      <c r="CN959" s="30"/>
      <c r="CO959" s="30"/>
      <c r="CP959" s="30"/>
      <c r="CQ959" s="30"/>
      <c r="CR959" s="30"/>
      <c r="CS959" s="30"/>
      <c r="CT959" s="30"/>
      <c r="CU959" s="30"/>
      <c r="CV959" s="30"/>
      <c r="CW959" s="30"/>
      <c r="CX959" s="30"/>
      <c r="CY959" s="30"/>
      <c r="CZ959" s="30"/>
      <c r="DA959" s="30"/>
      <c r="DB959" s="30"/>
      <c r="DC959" s="30"/>
      <c r="DD959" s="30"/>
      <c r="DE959" s="30"/>
      <c r="DF959" s="30"/>
      <c r="DG959" s="30"/>
      <c r="DH959" s="30"/>
      <c r="DI959" s="30"/>
      <c r="DJ959" s="30"/>
      <c r="DK959" s="30"/>
      <c r="DL959" s="30"/>
      <c r="DM959" s="30"/>
      <c r="DN959" s="30"/>
      <c r="DO959" s="30"/>
      <c r="DP959" s="30"/>
      <c r="DQ959" s="30"/>
      <c r="DR959" s="30"/>
      <c r="DS959" s="30"/>
      <c r="DT959" s="30"/>
      <c r="DU959" s="30"/>
      <c r="DV959" s="30"/>
      <c r="DW959" s="30"/>
      <c r="DX959" s="30"/>
      <c r="DY959" s="30"/>
      <c r="DZ959" s="30"/>
    </row>
    <row r="960">
      <c r="A960" s="30"/>
      <c r="B960" s="42"/>
      <c r="C960" s="43"/>
      <c r="D960" s="30"/>
      <c r="E960" s="28"/>
      <c r="F960" s="30"/>
      <c r="G960" s="30"/>
      <c r="H960" s="30"/>
      <c r="I960" s="30"/>
      <c r="J960" s="28"/>
      <c r="K960" s="30"/>
      <c r="L960" s="30"/>
      <c r="M960" s="30"/>
      <c r="N960" s="30"/>
      <c r="O960" s="28"/>
      <c r="P960" s="30"/>
      <c r="Q960" s="30"/>
      <c r="R960" s="30"/>
      <c r="S960" s="36"/>
      <c r="T960" s="30"/>
      <c r="U960" s="36"/>
      <c r="V960" s="30"/>
      <c r="W960" s="28"/>
      <c r="X960" s="30"/>
      <c r="Y960" s="30"/>
      <c r="Z960" s="30"/>
      <c r="AA960" s="30"/>
      <c r="AB960" s="30"/>
      <c r="AC960" s="28"/>
      <c r="AD960" s="30"/>
      <c r="AE960" s="30"/>
      <c r="AF960" s="30"/>
      <c r="AG960" s="29"/>
      <c r="AH960" s="30"/>
      <c r="AI960" s="36"/>
      <c r="AJ960" s="30"/>
      <c r="AK960" s="29"/>
      <c r="AL960" s="30"/>
      <c r="AM960" s="30"/>
      <c r="AN960" s="30"/>
      <c r="AO960" s="30"/>
      <c r="AP960" s="30"/>
      <c r="AQ960" s="38"/>
      <c r="AR960" s="30"/>
      <c r="AS960" s="30"/>
      <c r="AT960" s="29"/>
      <c r="AU960" s="30"/>
      <c r="AV960" s="30"/>
      <c r="AW960" s="30"/>
      <c r="AX960" s="29"/>
      <c r="AY960" s="39"/>
      <c r="AZ960" s="30"/>
      <c r="BA960" s="30"/>
      <c r="BB960" s="29"/>
      <c r="BC960" s="52"/>
      <c r="BD960" s="30"/>
      <c r="BE960" s="29"/>
      <c r="BF960" s="30"/>
      <c r="BG960" s="30"/>
      <c r="BH960" s="30"/>
      <c r="BI960" s="30"/>
      <c r="BJ960" s="30"/>
      <c r="BK960" s="30"/>
      <c r="BL960" s="30"/>
      <c r="BM960" s="30"/>
      <c r="BN960" s="30"/>
      <c r="BO960" s="30"/>
      <c r="BP960" s="30"/>
      <c r="BQ960" s="30"/>
      <c r="BR960" s="30"/>
      <c r="BS960" s="30"/>
      <c r="BT960" s="30"/>
      <c r="BU960" s="30"/>
      <c r="BV960" s="30"/>
      <c r="BW960" s="30"/>
      <c r="BX960" s="30"/>
      <c r="BY960" s="30"/>
      <c r="BZ960" s="30"/>
      <c r="CA960" s="30"/>
      <c r="CB960" s="30"/>
      <c r="CC960" s="30"/>
      <c r="CD960" s="30"/>
      <c r="CE960" s="30"/>
      <c r="CF960" s="30"/>
      <c r="CG960" s="30"/>
      <c r="CH960" s="30"/>
      <c r="CI960" s="30"/>
      <c r="CJ960" s="30"/>
      <c r="CK960" s="30"/>
      <c r="CL960" s="30"/>
      <c r="CM960" s="30"/>
      <c r="CN960" s="30"/>
      <c r="CO960" s="30"/>
      <c r="CP960" s="30"/>
      <c r="CQ960" s="30"/>
      <c r="CR960" s="30"/>
      <c r="CS960" s="30"/>
      <c r="CT960" s="30"/>
      <c r="CU960" s="30"/>
      <c r="CV960" s="30"/>
      <c r="CW960" s="30"/>
      <c r="CX960" s="30"/>
      <c r="CY960" s="30"/>
      <c r="CZ960" s="30"/>
      <c r="DA960" s="30"/>
      <c r="DB960" s="30"/>
      <c r="DC960" s="30"/>
      <c r="DD960" s="30"/>
      <c r="DE960" s="30"/>
      <c r="DF960" s="30"/>
      <c r="DG960" s="30"/>
      <c r="DH960" s="30"/>
      <c r="DI960" s="30"/>
      <c r="DJ960" s="30"/>
      <c r="DK960" s="30"/>
      <c r="DL960" s="30"/>
      <c r="DM960" s="30"/>
      <c r="DN960" s="30"/>
      <c r="DO960" s="30"/>
      <c r="DP960" s="30"/>
      <c r="DQ960" s="30"/>
      <c r="DR960" s="30"/>
      <c r="DS960" s="30"/>
      <c r="DT960" s="30"/>
      <c r="DU960" s="30"/>
      <c r="DV960" s="30"/>
      <c r="DW960" s="30"/>
      <c r="DX960" s="30"/>
      <c r="DY960" s="30"/>
      <c r="DZ960" s="30"/>
    </row>
    <row r="961">
      <c r="A961" s="30"/>
      <c r="B961" s="42"/>
      <c r="C961" s="43"/>
      <c r="D961" s="30"/>
      <c r="E961" s="28"/>
      <c r="F961" s="30"/>
      <c r="G961" s="30"/>
      <c r="H961" s="30"/>
      <c r="I961" s="30"/>
      <c r="J961" s="28"/>
      <c r="K961" s="30"/>
      <c r="L961" s="30"/>
      <c r="M961" s="30"/>
      <c r="N961" s="30"/>
      <c r="O961" s="28"/>
      <c r="P961" s="30"/>
      <c r="Q961" s="30"/>
      <c r="R961" s="30"/>
      <c r="S961" s="36"/>
      <c r="T961" s="30"/>
      <c r="U961" s="36"/>
      <c r="V961" s="30"/>
      <c r="W961" s="28"/>
      <c r="X961" s="30"/>
      <c r="Y961" s="30"/>
      <c r="Z961" s="30"/>
      <c r="AA961" s="30"/>
      <c r="AB961" s="30"/>
      <c r="AC961" s="28"/>
      <c r="AD961" s="30"/>
      <c r="AE961" s="30"/>
      <c r="AF961" s="30"/>
      <c r="AG961" s="29"/>
      <c r="AH961" s="30"/>
      <c r="AI961" s="36"/>
      <c r="AJ961" s="30"/>
      <c r="AK961" s="29"/>
      <c r="AL961" s="30"/>
      <c r="AM961" s="30"/>
      <c r="AN961" s="30"/>
      <c r="AO961" s="30"/>
      <c r="AP961" s="30"/>
      <c r="AQ961" s="38"/>
      <c r="AR961" s="30"/>
      <c r="AS961" s="30"/>
      <c r="AT961" s="29"/>
      <c r="AU961" s="30"/>
      <c r="AV961" s="30"/>
      <c r="AW961" s="30"/>
      <c r="AX961" s="29"/>
      <c r="AY961" s="39"/>
      <c r="AZ961" s="30"/>
      <c r="BA961" s="30"/>
      <c r="BB961" s="29"/>
      <c r="BC961" s="52"/>
      <c r="BD961" s="30"/>
      <c r="BE961" s="29"/>
      <c r="BF961" s="30"/>
      <c r="BG961" s="30"/>
      <c r="BH961" s="30"/>
      <c r="BI961" s="30"/>
      <c r="BJ961" s="30"/>
      <c r="BK961" s="30"/>
      <c r="BL961" s="30"/>
      <c r="BM961" s="30"/>
      <c r="BN961" s="30"/>
      <c r="BO961" s="30"/>
      <c r="BP961" s="30"/>
      <c r="BQ961" s="30"/>
      <c r="BR961" s="30"/>
      <c r="BS961" s="30"/>
      <c r="BT961" s="30"/>
      <c r="BU961" s="30"/>
      <c r="BV961" s="30"/>
      <c r="BW961" s="30"/>
      <c r="BX961" s="30"/>
      <c r="BY961" s="30"/>
      <c r="BZ961" s="30"/>
      <c r="CA961" s="30"/>
      <c r="CB961" s="30"/>
      <c r="CC961" s="30"/>
      <c r="CD961" s="30"/>
      <c r="CE961" s="30"/>
      <c r="CF961" s="30"/>
      <c r="CG961" s="30"/>
      <c r="CH961" s="30"/>
      <c r="CI961" s="30"/>
      <c r="CJ961" s="30"/>
      <c r="CK961" s="30"/>
      <c r="CL961" s="30"/>
      <c r="CM961" s="30"/>
      <c r="CN961" s="30"/>
      <c r="CO961" s="30"/>
      <c r="CP961" s="30"/>
      <c r="CQ961" s="30"/>
      <c r="CR961" s="30"/>
      <c r="CS961" s="30"/>
      <c r="CT961" s="30"/>
      <c r="CU961" s="30"/>
      <c r="CV961" s="30"/>
      <c r="CW961" s="30"/>
      <c r="CX961" s="30"/>
      <c r="CY961" s="30"/>
      <c r="CZ961" s="30"/>
      <c r="DA961" s="30"/>
      <c r="DB961" s="30"/>
      <c r="DC961" s="30"/>
      <c r="DD961" s="30"/>
      <c r="DE961" s="30"/>
      <c r="DF961" s="30"/>
      <c r="DG961" s="30"/>
      <c r="DH961" s="30"/>
      <c r="DI961" s="30"/>
      <c r="DJ961" s="30"/>
      <c r="DK961" s="30"/>
      <c r="DL961" s="30"/>
      <c r="DM961" s="30"/>
      <c r="DN961" s="30"/>
      <c r="DO961" s="30"/>
      <c r="DP961" s="30"/>
      <c r="DQ961" s="30"/>
      <c r="DR961" s="30"/>
      <c r="DS961" s="30"/>
      <c r="DT961" s="30"/>
      <c r="DU961" s="30"/>
      <c r="DV961" s="30"/>
      <c r="DW961" s="30"/>
      <c r="DX961" s="30"/>
      <c r="DY961" s="30"/>
      <c r="DZ961" s="30"/>
    </row>
    <row r="962">
      <c r="A962" s="30"/>
      <c r="B962" s="42"/>
      <c r="C962" s="43"/>
      <c r="D962" s="30"/>
      <c r="E962" s="28"/>
      <c r="F962" s="30"/>
      <c r="G962" s="30"/>
      <c r="H962" s="30"/>
      <c r="I962" s="30"/>
      <c r="J962" s="28"/>
      <c r="K962" s="30"/>
      <c r="L962" s="30"/>
      <c r="M962" s="30"/>
      <c r="N962" s="30"/>
      <c r="O962" s="28"/>
      <c r="P962" s="30"/>
      <c r="Q962" s="30"/>
      <c r="R962" s="30"/>
      <c r="S962" s="36"/>
      <c r="T962" s="30"/>
      <c r="U962" s="36"/>
      <c r="V962" s="30"/>
      <c r="W962" s="28"/>
      <c r="X962" s="30"/>
      <c r="Y962" s="30"/>
      <c r="Z962" s="30"/>
      <c r="AA962" s="30"/>
      <c r="AB962" s="30"/>
      <c r="AC962" s="28"/>
      <c r="AD962" s="30"/>
      <c r="AE962" s="30"/>
      <c r="AF962" s="30"/>
      <c r="AG962" s="29"/>
      <c r="AH962" s="30"/>
      <c r="AI962" s="36"/>
      <c r="AJ962" s="30"/>
      <c r="AK962" s="29"/>
      <c r="AL962" s="30"/>
      <c r="AM962" s="30"/>
      <c r="AN962" s="30"/>
      <c r="AO962" s="30"/>
      <c r="AP962" s="30"/>
      <c r="AQ962" s="38"/>
      <c r="AR962" s="30"/>
      <c r="AS962" s="30"/>
      <c r="AT962" s="29"/>
      <c r="AU962" s="30"/>
      <c r="AV962" s="30"/>
      <c r="AW962" s="30"/>
      <c r="AX962" s="29"/>
      <c r="AY962" s="39"/>
      <c r="AZ962" s="30"/>
      <c r="BA962" s="30"/>
      <c r="BB962" s="29"/>
      <c r="BC962" s="52"/>
      <c r="BD962" s="30"/>
      <c r="BE962" s="29"/>
      <c r="BF962" s="30"/>
      <c r="BG962" s="30"/>
      <c r="BH962" s="30"/>
      <c r="BI962" s="30"/>
      <c r="BJ962" s="30"/>
      <c r="BK962" s="30"/>
      <c r="BL962" s="30"/>
      <c r="BM962" s="30"/>
      <c r="BN962" s="30"/>
      <c r="BO962" s="30"/>
      <c r="BP962" s="30"/>
      <c r="BQ962" s="30"/>
      <c r="BR962" s="30"/>
      <c r="BS962" s="30"/>
      <c r="BT962" s="30"/>
      <c r="BU962" s="30"/>
      <c r="BV962" s="30"/>
      <c r="BW962" s="30"/>
      <c r="BX962" s="30"/>
      <c r="BY962" s="30"/>
      <c r="BZ962" s="30"/>
      <c r="CA962" s="30"/>
      <c r="CB962" s="30"/>
      <c r="CC962" s="30"/>
      <c r="CD962" s="30"/>
      <c r="CE962" s="30"/>
      <c r="CF962" s="30"/>
      <c r="CG962" s="30"/>
      <c r="CH962" s="30"/>
      <c r="CI962" s="30"/>
      <c r="CJ962" s="30"/>
      <c r="CK962" s="30"/>
      <c r="CL962" s="30"/>
      <c r="CM962" s="30"/>
      <c r="CN962" s="30"/>
      <c r="CO962" s="30"/>
      <c r="CP962" s="30"/>
      <c r="CQ962" s="30"/>
      <c r="CR962" s="30"/>
      <c r="CS962" s="30"/>
      <c r="CT962" s="30"/>
      <c r="CU962" s="30"/>
      <c r="CV962" s="30"/>
      <c r="CW962" s="30"/>
      <c r="CX962" s="30"/>
      <c r="CY962" s="30"/>
      <c r="CZ962" s="30"/>
      <c r="DA962" s="30"/>
      <c r="DB962" s="30"/>
      <c r="DC962" s="30"/>
      <c r="DD962" s="30"/>
      <c r="DE962" s="30"/>
      <c r="DF962" s="30"/>
      <c r="DG962" s="30"/>
      <c r="DH962" s="30"/>
      <c r="DI962" s="30"/>
      <c r="DJ962" s="30"/>
      <c r="DK962" s="30"/>
      <c r="DL962" s="30"/>
      <c r="DM962" s="30"/>
      <c r="DN962" s="30"/>
      <c r="DO962" s="30"/>
      <c r="DP962" s="30"/>
      <c r="DQ962" s="30"/>
      <c r="DR962" s="30"/>
      <c r="DS962" s="30"/>
      <c r="DT962" s="30"/>
      <c r="DU962" s="30"/>
      <c r="DV962" s="30"/>
      <c r="DW962" s="30"/>
      <c r="DX962" s="30"/>
      <c r="DY962" s="30"/>
      <c r="DZ962" s="30"/>
    </row>
    <row r="963">
      <c r="A963" s="30"/>
      <c r="B963" s="42"/>
      <c r="C963" s="43"/>
      <c r="D963" s="30"/>
      <c r="E963" s="28"/>
      <c r="F963" s="30"/>
      <c r="G963" s="30"/>
      <c r="H963" s="30"/>
      <c r="I963" s="30"/>
      <c r="J963" s="28"/>
      <c r="K963" s="30"/>
      <c r="L963" s="30"/>
      <c r="M963" s="30"/>
      <c r="N963" s="30"/>
      <c r="O963" s="28"/>
      <c r="P963" s="30"/>
      <c r="Q963" s="30"/>
      <c r="R963" s="30"/>
      <c r="S963" s="36"/>
      <c r="T963" s="30"/>
      <c r="U963" s="36"/>
      <c r="V963" s="30"/>
      <c r="W963" s="28"/>
      <c r="X963" s="30"/>
      <c r="Y963" s="30"/>
      <c r="Z963" s="30"/>
      <c r="AA963" s="30"/>
      <c r="AB963" s="30"/>
      <c r="AC963" s="28"/>
      <c r="AD963" s="30"/>
      <c r="AE963" s="30"/>
      <c r="AF963" s="30"/>
      <c r="AG963" s="29"/>
      <c r="AH963" s="30"/>
      <c r="AI963" s="36"/>
      <c r="AJ963" s="30"/>
      <c r="AK963" s="29"/>
      <c r="AL963" s="30"/>
      <c r="AM963" s="30"/>
      <c r="AN963" s="30"/>
      <c r="AO963" s="30"/>
      <c r="AP963" s="30"/>
      <c r="AQ963" s="38"/>
      <c r="AR963" s="30"/>
      <c r="AS963" s="30"/>
      <c r="AT963" s="29"/>
      <c r="AU963" s="30"/>
      <c r="AV963" s="30"/>
      <c r="AW963" s="30"/>
      <c r="AX963" s="29"/>
      <c r="AY963" s="39"/>
      <c r="AZ963" s="30"/>
      <c r="BA963" s="30"/>
      <c r="BB963" s="29"/>
      <c r="BC963" s="52"/>
      <c r="BD963" s="30"/>
      <c r="BE963" s="29"/>
      <c r="BF963" s="30"/>
      <c r="BG963" s="30"/>
      <c r="BH963" s="30"/>
      <c r="BI963" s="30"/>
      <c r="BJ963" s="30"/>
      <c r="BK963" s="30"/>
      <c r="BL963" s="30"/>
      <c r="BM963" s="30"/>
      <c r="BN963" s="30"/>
      <c r="BO963" s="30"/>
      <c r="BP963" s="30"/>
      <c r="BQ963" s="30"/>
      <c r="BR963" s="30"/>
      <c r="BS963" s="30"/>
      <c r="BT963" s="30"/>
      <c r="BU963" s="30"/>
      <c r="BV963" s="30"/>
      <c r="BW963" s="30"/>
      <c r="BX963" s="30"/>
      <c r="BY963" s="30"/>
      <c r="BZ963" s="30"/>
      <c r="CA963" s="30"/>
      <c r="CB963" s="30"/>
      <c r="CC963" s="30"/>
      <c r="CD963" s="30"/>
      <c r="CE963" s="30"/>
      <c r="CF963" s="30"/>
      <c r="CG963" s="30"/>
      <c r="CH963" s="30"/>
      <c r="CI963" s="30"/>
      <c r="CJ963" s="30"/>
      <c r="CK963" s="30"/>
      <c r="CL963" s="30"/>
      <c r="CM963" s="30"/>
      <c r="CN963" s="30"/>
      <c r="CO963" s="30"/>
      <c r="CP963" s="30"/>
      <c r="CQ963" s="30"/>
      <c r="CR963" s="30"/>
      <c r="CS963" s="30"/>
      <c r="CT963" s="30"/>
      <c r="CU963" s="30"/>
      <c r="CV963" s="30"/>
      <c r="CW963" s="30"/>
      <c r="CX963" s="30"/>
      <c r="CY963" s="30"/>
      <c r="CZ963" s="30"/>
      <c r="DA963" s="30"/>
      <c r="DB963" s="30"/>
      <c r="DC963" s="30"/>
      <c r="DD963" s="30"/>
      <c r="DE963" s="30"/>
      <c r="DF963" s="30"/>
      <c r="DG963" s="30"/>
      <c r="DH963" s="30"/>
      <c r="DI963" s="30"/>
      <c r="DJ963" s="30"/>
      <c r="DK963" s="30"/>
      <c r="DL963" s="30"/>
      <c r="DM963" s="30"/>
      <c r="DN963" s="30"/>
      <c r="DO963" s="30"/>
      <c r="DP963" s="30"/>
      <c r="DQ963" s="30"/>
      <c r="DR963" s="30"/>
      <c r="DS963" s="30"/>
      <c r="DT963" s="30"/>
      <c r="DU963" s="30"/>
      <c r="DV963" s="30"/>
      <c r="DW963" s="30"/>
      <c r="DX963" s="30"/>
      <c r="DY963" s="30"/>
      <c r="DZ963" s="30"/>
    </row>
    <row r="964">
      <c r="A964" s="30"/>
      <c r="B964" s="42"/>
      <c r="C964" s="43"/>
      <c r="D964" s="30"/>
      <c r="E964" s="28"/>
      <c r="F964" s="30"/>
      <c r="G964" s="30"/>
      <c r="H964" s="30"/>
      <c r="I964" s="30"/>
      <c r="J964" s="28"/>
      <c r="K964" s="30"/>
      <c r="L964" s="30"/>
      <c r="M964" s="30"/>
      <c r="N964" s="30"/>
      <c r="O964" s="28"/>
      <c r="P964" s="30"/>
      <c r="Q964" s="30"/>
      <c r="R964" s="30"/>
      <c r="S964" s="36"/>
      <c r="T964" s="30"/>
      <c r="U964" s="36"/>
      <c r="V964" s="30"/>
      <c r="W964" s="28"/>
      <c r="X964" s="30"/>
      <c r="Y964" s="30"/>
      <c r="Z964" s="30"/>
      <c r="AA964" s="30"/>
      <c r="AB964" s="30"/>
      <c r="AC964" s="28"/>
      <c r="AD964" s="30"/>
      <c r="AE964" s="30"/>
      <c r="AF964" s="30"/>
      <c r="AG964" s="29"/>
      <c r="AH964" s="30"/>
      <c r="AI964" s="36"/>
      <c r="AJ964" s="30"/>
      <c r="AK964" s="29"/>
      <c r="AL964" s="30"/>
      <c r="AM964" s="30"/>
      <c r="AN964" s="30"/>
      <c r="AO964" s="30"/>
      <c r="AP964" s="30"/>
      <c r="AQ964" s="38"/>
      <c r="AR964" s="30"/>
      <c r="AS964" s="30"/>
      <c r="AT964" s="29"/>
      <c r="AU964" s="30"/>
      <c r="AV964" s="30"/>
      <c r="AW964" s="30"/>
      <c r="AX964" s="29"/>
      <c r="AY964" s="39"/>
      <c r="AZ964" s="30"/>
      <c r="BA964" s="30"/>
      <c r="BB964" s="29"/>
      <c r="BC964" s="52"/>
      <c r="BD964" s="30"/>
      <c r="BE964" s="29"/>
      <c r="BF964" s="30"/>
      <c r="BG964" s="30"/>
      <c r="BH964" s="30"/>
      <c r="BI964" s="30"/>
      <c r="BJ964" s="30"/>
      <c r="BK964" s="30"/>
      <c r="BL964" s="30"/>
      <c r="BM964" s="30"/>
      <c r="BN964" s="30"/>
      <c r="BO964" s="30"/>
      <c r="BP964" s="30"/>
      <c r="BQ964" s="30"/>
      <c r="BR964" s="30"/>
      <c r="BS964" s="30"/>
      <c r="BT964" s="30"/>
      <c r="BU964" s="30"/>
      <c r="BV964" s="30"/>
      <c r="BW964" s="30"/>
      <c r="BX964" s="30"/>
      <c r="BY964" s="30"/>
      <c r="BZ964" s="30"/>
      <c r="CA964" s="30"/>
      <c r="CB964" s="30"/>
      <c r="CC964" s="30"/>
      <c r="CD964" s="30"/>
      <c r="CE964" s="30"/>
      <c r="CF964" s="30"/>
      <c r="CG964" s="30"/>
      <c r="CH964" s="30"/>
      <c r="CI964" s="30"/>
      <c r="CJ964" s="30"/>
      <c r="CK964" s="30"/>
      <c r="CL964" s="30"/>
      <c r="CM964" s="30"/>
      <c r="CN964" s="30"/>
      <c r="CO964" s="30"/>
      <c r="CP964" s="30"/>
      <c r="CQ964" s="30"/>
      <c r="CR964" s="30"/>
      <c r="CS964" s="30"/>
      <c r="CT964" s="30"/>
      <c r="CU964" s="30"/>
      <c r="CV964" s="30"/>
      <c r="CW964" s="30"/>
      <c r="CX964" s="30"/>
      <c r="CY964" s="30"/>
      <c r="CZ964" s="30"/>
      <c r="DA964" s="30"/>
      <c r="DB964" s="30"/>
      <c r="DC964" s="30"/>
      <c r="DD964" s="30"/>
      <c r="DE964" s="30"/>
      <c r="DF964" s="30"/>
      <c r="DG964" s="30"/>
      <c r="DH964" s="30"/>
      <c r="DI964" s="30"/>
      <c r="DJ964" s="30"/>
      <c r="DK964" s="30"/>
      <c r="DL964" s="30"/>
      <c r="DM964" s="30"/>
      <c r="DN964" s="30"/>
      <c r="DO964" s="30"/>
      <c r="DP964" s="30"/>
      <c r="DQ964" s="30"/>
      <c r="DR964" s="30"/>
      <c r="DS964" s="30"/>
      <c r="DT964" s="30"/>
      <c r="DU964" s="30"/>
      <c r="DV964" s="30"/>
      <c r="DW964" s="30"/>
      <c r="DX964" s="30"/>
      <c r="DY964" s="30"/>
      <c r="DZ964" s="30"/>
    </row>
    <row r="965">
      <c r="A965" s="30"/>
      <c r="B965" s="42"/>
      <c r="C965" s="43"/>
      <c r="D965" s="30"/>
      <c r="E965" s="28"/>
      <c r="F965" s="30"/>
      <c r="G965" s="30"/>
      <c r="H965" s="30"/>
      <c r="I965" s="30"/>
      <c r="J965" s="28"/>
      <c r="K965" s="30"/>
      <c r="L965" s="30"/>
      <c r="M965" s="30"/>
      <c r="N965" s="30"/>
      <c r="O965" s="28"/>
      <c r="P965" s="30"/>
      <c r="Q965" s="30"/>
      <c r="R965" s="30"/>
      <c r="S965" s="36"/>
      <c r="T965" s="30"/>
      <c r="U965" s="36"/>
      <c r="V965" s="30"/>
      <c r="W965" s="28"/>
      <c r="X965" s="30"/>
      <c r="Y965" s="30"/>
      <c r="Z965" s="30"/>
      <c r="AA965" s="30"/>
      <c r="AB965" s="30"/>
      <c r="AC965" s="28"/>
      <c r="AD965" s="30"/>
      <c r="AE965" s="30"/>
      <c r="AF965" s="30"/>
      <c r="AG965" s="29"/>
      <c r="AH965" s="30"/>
      <c r="AI965" s="36"/>
      <c r="AJ965" s="30"/>
      <c r="AK965" s="29"/>
      <c r="AL965" s="30"/>
      <c r="AM965" s="30"/>
      <c r="AN965" s="30"/>
      <c r="AO965" s="30"/>
      <c r="AP965" s="30"/>
      <c r="AQ965" s="38"/>
      <c r="AR965" s="30"/>
      <c r="AS965" s="30"/>
      <c r="AT965" s="29"/>
      <c r="AU965" s="30"/>
      <c r="AV965" s="30"/>
      <c r="AW965" s="30"/>
      <c r="AX965" s="29"/>
      <c r="AY965" s="39"/>
      <c r="AZ965" s="30"/>
      <c r="BA965" s="30"/>
      <c r="BB965" s="29"/>
      <c r="BC965" s="52"/>
      <c r="BD965" s="30"/>
      <c r="BE965" s="29"/>
      <c r="BF965" s="30"/>
      <c r="BG965" s="30"/>
      <c r="BH965" s="30"/>
      <c r="BI965" s="30"/>
      <c r="BJ965" s="30"/>
      <c r="BK965" s="30"/>
      <c r="BL965" s="30"/>
      <c r="BM965" s="30"/>
      <c r="BN965" s="30"/>
      <c r="BO965" s="30"/>
      <c r="BP965" s="30"/>
      <c r="BQ965" s="30"/>
      <c r="BR965" s="30"/>
      <c r="BS965" s="30"/>
      <c r="BT965" s="30"/>
      <c r="BU965" s="30"/>
      <c r="BV965" s="30"/>
      <c r="BW965" s="30"/>
      <c r="BX965" s="30"/>
      <c r="BY965" s="30"/>
      <c r="BZ965" s="30"/>
      <c r="CA965" s="30"/>
      <c r="CB965" s="30"/>
      <c r="CC965" s="30"/>
      <c r="CD965" s="30"/>
      <c r="CE965" s="30"/>
      <c r="CF965" s="30"/>
      <c r="CG965" s="30"/>
      <c r="CH965" s="30"/>
      <c r="CI965" s="30"/>
      <c r="CJ965" s="30"/>
      <c r="CK965" s="30"/>
      <c r="CL965" s="30"/>
      <c r="CM965" s="30"/>
      <c r="CN965" s="30"/>
      <c r="CO965" s="30"/>
      <c r="CP965" s="30"/>
      <c r="CQ965" s="30"/>
      <c r="CR965" s="30"/>
      <c r="CS965" s="30"/>
      <c r="CT965" s="30"/>
      <c r="CU965" s="30"/>
      <c r="CV965" s="30"/>
      <c r="CW965" s="30"/>
      <c r="CX965" s="30"/>
      <c r="CY965" s="30"/>
      <c r="CZ965" s="30"/>
      <c r="DA965" s="30"/>
      <c r="DB965" s="30"/>
      <c r="DC965" s="30"/>
      <c r="DD965" s="30"/>
      <c r="DE965" s="30"/>
      <c r="DF965" s="30"/>
      <c r="DG965" s="30"/>
      <c r="DH965" s="30"/>
      <c r="DI965" s="30"/>
      <c r="DJ965" s="30"/>
      <c r="DK965" s="30"/>
      <c r="DL965" s="30"/>
      <c r="DM965" s="30"/>
      <c r="DN965" s="30"/>
      <c r="DO965" s="30"/>
      <c r="DP965" s="30"/>
      <c r="DQ965" s="30"/>
      <c r="DR965" s="30"/>
      <c r="DS965" s="30"/>
      <c r="DT965" s="30"/>
      <c r="DU965" s="30"/>
      <c r="DV965" s="30"/>
      <c r="DW965" s="30"/>
      <c r="DX965" s="30"/>
      <c r="DY965" s="30"/>
      <c r="DZ965" s="30"/>
    </row>
    <row r="966">
      <c r="A966" s="30"/>
      <c r="B966" s="42"/>
      <c r="C966" s="43"/>
      <c r="D966" s="30"/>
      <c r="E966" s="28"/>
      <c r="F966" s="30"/>
      <c r="G966" s="30"/>
      <c r="H966" s="30"/>
      <c r="I966" s="30"/>
      <c r="J966" s="28"/>
      <c r="K966" s="30"/>
      <c r="L966" s="30"/>
      <c r="M966" s="30"/>
      <c r="N966" s="30"/>
      <c r="O966" s="28"/>
      <c r="P966" s="30"/>
      <c r="Q966" s="30"/>
      <c r="R966" s="30"/>
      <c r="S966" s="36"/>
      <c r="T966" s="30"/>
      <c r="U966" s="36"/>
      <c r="V966" s="30"/>
      <c r="W966" s="28"/>
      <c r="X966" s="30"/>
      <c r="Y966" s="30"/>
      <c r="Z966" s="30"/>
      <c r="AA966" s="30"/>
      <c r="AB966" s="30"/>
      <c r="AC966" s="28"/>
      <c r="AD966" s="30"/>
      <c r="AE966" s="30"/>
      <c r="AF966" s="30"/>
      <c r="AG966" s="29"/>
      <c r="AH966" s="30"/>
      <c r="AI966" s="36"/>
      <c r="AJ966" s="30"/>
      <c r="AK966" s="29"/>
      <c r="AL966" s="30"/>
      <c r="AM966" s="30"/>
      <c r="AN966" s="30"/>
      <c r="AO966" s="30"/>
      <c r="AP966" s="30"/>
      <c r="AQ966" s="38"/>
      <c r="AR966" s="30"/>
      <c r="AS966" s="30"/>
      <c r="AT966" s="29"/>
      <c r="AU966" s="30"/>
      <c r="AV966" s="30"/>
      <c r="AW966" s="30"/>
      <c r="AX966" s="29"/>
      <c r="AY966" s="39"/>
      <c r="AZ966" s="30"/>
      <c r="BA966" s="30"/>
      <c r="BB966" s="29"/>
      <c r="BC966" s="52"/>
      <c r="BD966" s="30"/>
      <c r="BE966" s="29"/>
      <c r="BF966" s="30"/>
      <c r="BG966" s="30"/>
      <c r="BH966" s="30"/>
      <c r="BI966" s="30"/>
      <c r="BJ966" s="30"/>
      <c r="BK966" s="30"/>
      <c r="BL966" s="30"/>
      <c r="BM966" s="30"/>
      <c r="BN966" s="30"/>
      <c r="BO966" s="30"/>
      <c r="BP966" s="30"/>
      <c r="BQ966" s="30"/>
      <c r="BR966" s="30"/>
      <c r="BS966" s="30"/>
      <c r="BT966" s="30"/>
      <c r="BU966" s="30"/>
      <c r="BV966" s="30"/>
      <c r="BW966" s="30"/>
      <c r="BX966" s="30"/>
      <c r="BY966" s="30"/>
      <c r="BZ966" s="30"/>
      <c r="CA966" s="30"/>
      <c r="CB966" s="30"/>
      <c r="CC966" s="30"/>
      <c r="CD966" s="30"/>
      <c r="CE966" s="30"/>
      <c r="CF966" s="30"/>
      <c r="CG966" s="30"/>
      <c r="CH966" s="30"/>
      <c r="CI966" s="30"/>
      <c r="CJ966" s="30"/>
      <c r="CK966" s="30"/>
      <c r="CL966" s="30"/>
      <c r="CM966" s="30"/>
      <c r="CN966" s="30"/>
      <c r="CO966" s="30"/>
      <c r="CP966" s="30"/>
      <c r="CQ966" s="30"/>
      <c r="CR966" s="30"/>
      <c r="CS966" s="30"/>
      <c r="CT966" s="30"/>
      <c r="CU966" s="30"/>
      <c r="CV966" s="30"/>
      <c r="CW966" s="30"/>
      <c r="CX966" s="30"/>
      <c r="CY966" s="30"/>
      <c r="CZ966" s="30"/>
      <c r="DA966" s="30"/>
      <c r="DB966" s="30"/>
      <c r="DC966" s="30"/>
      <c r="DD966" s="30"/>
      <c r="DE966" s="30"/>
      <c r="DF966" s="30"/>
      <c r="DG966" s="30"/>
      <c r="DH966" s="30"/>
      <c r="DI966" s="30"/>
      <c r="DJ966" s="30"/>
      <c r="DK966" s="30"/>
      <c r="DL966" s="30"/>
      <c r="DM966" s="30"/>
      <c r="DN966" s="30"/>
      <c r="DO966" s="30"/>
      <c r="DP966" s="30"/>
      <c r="DQ966" s="30"/>
      <c r="DR966" s="30"/>
      <c r="DS966" s="30"/>
      <c r="DT966" s="30"/>
      <c r="DU966" s="30"/>
      <c r="DV966" s="30"/>
      <c r="DW966" s="30"/>
      <c r="DX966" s="30"/>
      <c r="DY966" s="30"/>
      <c r="DZ966" s="30"/>
    </row>
    <row r="967">
      <c r="A967" s="30"/>
      <c r="B967" s="42"/>
      <c r="C967" s="43"/>
      <c r="D967" s="30"/>
      <c r="E967" s="28"/>
      <c r="F967" s="30"/>
      <c r="G967" s="30"/>
      <c r="H967" s="30"/>
      <c r="I967" s="30"/>
      <c r="J967" s="28"/>
      <c r="K967" s="30"/>
      <c r="L967" s="30"/>
      <c r="M967" s="30"/>
      <c r="N967" s="30"/>
      <c r="O967" s="28"/>
      <c r="P967" s="30"/>
      <c r="Q967" s="30"/>
      <c r="R967" s="30"/>
      <c r="S967" s="36"/>
      <c r="T967" s="30"/>
      <c r="U967" s="36"/>
      <c r="V967" s="30"/>
      <c r="W967" s="28"/>
      <c r="X967" s="30"/>
      <c r="Y967" s="30"/>
      <c r="Z967" s="30"/>
      <c r="AA967" s="30"/>
      <c r="AB967" s="30"/>
      <c r="AC967" s="28"/>
      <c r="AD967" s="30"/>
      <c r="AE967" s="30"/>
      <c r="AF967" s="30"/>
      <c r="AG967" s="29"/>
      <c r="AH967" s="30"/>
      <c r="AI967" s="36"/>
      <c r="AJ967" s="30"/>
      <c r="AK967" s="29"/>
      <c r="AL967" s="30"/>
      <c r="AM967" s="30"/>
      <c r="AN967" s="30"/>
      <c r="AO967" s="30"/>
      <c r="AP967" s="30"/>
      <c r="AQ967" s="38"/>
      <c r="AR967" s="30"/>
      <c r="AS967" s="30"/>
      <c r="AT967" s="29"/>
      <c r="AU967" s="30"/>
      <c r="AV967" s="30"/>
      <c r="AW967" s="30"/>
      <c r="AX967" s="29"/>
      <c r="AY967" s="39"/>
      <c r="AZ967" s="30"/>
      <c r="BA967" s="30"/>
      <c r="BB967" s="29"/>
      <c r="BC967" s="52"/>
      <c r="BD967" s="30"/>
      <c r="BE967" s="29"/>
      <c r="BF967" s="30"/>
      <c r="BG967" s="30"/>
      <c r="BH967" s="30"/>
      <c r="BI967" s="30"/>
      <c r="BJ967" s="30"/>
      <c r="BK967" s="30"/>
      <c r="BL967" s="30"/>
      <c r="BM967" s="30"/>
      <c r="BN967" s="30"/>
      <c r="BO967" s="30"/>
      <c r="BP967" s="30"/>
      <c r="BQ967" s="30"/>
      <c r="BR967" s="30"/>
      <c r="BS967" s="30"/>
      <c r="BT967" s="30"/>
      <c r="BU967" s="30"/>
      <c r="BV967" s="30"/>
      <c r="BW967" s="30"/>
      <c r="BX967" s="30"/>
      <c r="BY967" s="30"/>
      <c r="BZ967" s="30"/>
      <c r="CA967" s="30"/>
      <c r="CB967" s="30"/>
      <c r="CC967" s="30"/>
      <c r="CD967" s="30"/>
      <c r="CE967" s="30"/>
      <c r="CF967" s="30"/>
      <c r="CG967" s="30"/>
      <c r="CH967" s="30"/>
      <c r="CI967" s="30"/>
      <c r="CJ967" s="30"/>
      <c r="CK967" s="30"/>
      <c r="CL967" s="30"/>
      <c r="CM967" s="30"/>
      <c r="CN967" s="30"/>
      <c r="CO967" s="30"/>
      <c r="CP967" s="30"/>
      <c r="CQ967" s="30"/>
      <c r="CR967" s="30"/>
      <c r="CS967" s="30"/>
      <c r="CT967" s="30"/>
      <c r="CU967" s="30"/>
      <c r="CV967" s="30"/>
      <c r="CW967" s="30"/>
      <c r="CX967" s="30"/>
      <c r="CY967" s="30"/>
      <c r="CZ967" s="30"/>
      <c r="DA967" s="30"/>
      <c r="DB967" s="30"/>
      <c r="DC967" s="30"/>
      <c r="DD967" s="30"/>
      <c r="DE967" s="30"/>
      <c r="DF967" s="30"/>
      <c r="DG967" s="30"/>
      <c r="DH967" s="30"/>
      <c r="DI967" s="30"/>
      <c r="DJ967" s="30"/>
      <c r="DK967" s="30"/>
      <c r="DL967" s="30"/>
      <c r="DM967" s="30"/>
      <c r="DN967" s="30"/>
      <c r="DO967" s="30"/>
      <c r="DP967" s="30"/>
      <c r="DQ967" s="30"/>
      <c r="DR967" s="30"/>
      <c r="DS967" s="30"/>
      <c r="DT967" s="30"/>
      <c r="DU967" s="30"/>
      <c r="DV967" s="30"/>
      <c r="DW967" s="30"/>
      <c r="DX967" s="30"/>
      <c r="DY967" s="30"/>
      <c r="DZ967" s="30"/>
    </row>
    <row r="968">
      <c r="A968" s="30"/>
      <c r="B968" s="42"/>
      <c r="C968" s="43"/>
      <c r="D968" s="30"/>
      <c r="E968" s="28"/>
      <c r="F968" s="30"/>
      <c r="G968" s="30"/>
      <c r="H968" s="30"/>
      <c r="I968" s="30"/>
      <c r="J968" s="28"/>
      <c r="K968" s="30"/>
      <c r="L968" s="30"/>
      <c r="M968" s="30"/>
      <c r="N968" s="30"/>
      <c r="O968" s="28"/>
      <c r="P968" s="30"/>
      <c r="Q968" s="30"/>
      <c r="R968" s="30"/>
      <c r="S968" s="36"/>
      <c r="T968" s="30"/>
      <c r="U968" s="36"/>
      <c r="V968" s="30"/>
      <c r="W968" s="28"/>
      <c r="X968" s="30"/>
      <c r="Y968" s="30"/>
      <c r="Z968" s="30"/>
      <c r="AA968" s="30"/>
      <c r="AB968" s="30"/>
      <c r="AC968" s="28"/>
      <c r="AD968" s="30"/>
      <c r="AE968" s="30"/>
      <c r="AF968" s="30"/>
      <c r="AG968" s="29"/>
      <c r="AH968" s="30"/>
      <c r="AI968" s="36"/>
      <c r="AJ968" s="30"/>
      <c r="AK968" s="29"/>
      <c r="AL968" s="30"/>
      <c r="AM968" s="30"/>
      <c r="AN968" s="30"/>
      <c r="AO968" s="30"/>
      <c r="AP968" s="30"/>
      <c r="AQ968" s="38"/>
      <c r="AR968" s="30"/>
      <c r="AS968" s="30"/>
      <c r="AT968" s="29"/>
      <c r="AU968" s="30"/>
      <c r="AV968" s="30"/>
      <c r="AW968" s="30"/>
      <c r="AX968" s="29"/>
      <c r="AY968" s="39"/>
      <c r="AZ968" s="30"/>
      <c r="BA968" s="30"/>
      <c r="BB968" s="29"/>
      <c r="BC968" s="52"/>
      <c r="BD968" s="30"/>
      <c r="BE968" s="29"/>
      <c r="BF968" s="30"/>
      <c r="BG968" s="30"/>
      <c r="BH968" s="30"/>
      <c r="BI968" s="30"/>
      <c r="BJ968" s="30"/>
      <c r="BK968" s="30"/>
      <c r="BL968" s="30"/>
      <c r="BM968" s="30"/>
      <c r="BN968" s="30"/>
      <c r="BO968" s="30"/>
      <c r="BP968" s="30"/>
      <c r="BQ968" s="30"/>
      <c r="BR968" s="30"/>
      <c r="BS968" s="30"/>
      <c r="BT968" s="30"/>
      <c r="BU968" s="30"/>
      <c r="BV968" s="30"/>
      <c r="BW968" s="30"/>
      <c r="BX968" s="30"/>
      <c r="BY968" s="30"/>
      <c r="BZ968" s="30"/>
      <c r="CA968" s="30"/>
      <c r="CB968" s="30"/>
      <c r="CC968" s="30"/>
      <c r="CD968" s="30"/>
      <c r="CE968" s="30"/>
      <c r="CF968" s="30"/>
      <c r="CG968" s="30"/>
      <c r="CH968" s="30"/>
      <c r="CI968" s="30"/>
      <c r="CJ968" s="30"/>
      <c r="CK968" s="30"/>
      <c r="CL968" s="30"/>
      <c r="CM968" s="30"/>
      <c r="CN968" s="30"/>
      <c r="CO968" s="30"/>
      <c r="CP968" s="30"/>
      <c r="CQ968" s="30"/>
      <c r="CR968" s="30"/>
      <c r="CS968" s="30"/>
      <c r="CT968" s="30"/>
      <c r="CU968" s="30"/>
      <c r="CV968" s="30"/>
      <c r="CW968" s="30"/>
      <c r="CX968" s="30"/>
      <c r="CY968" s="30"/>
      <c r="CZ968" s="30"/>
      <c r="DA968" s="30"/>
      <c r="DB968" s="30"/>
      <c r="DC968" s="30"/>
      <c r="DD968" s="30"/>
      <c r="DE968" s="30"/>
      <c r="DF968" s="30"/>
      <c r="DG968" s="30"/>
      <c r="DH968" s="30"/>
      <c r="DI968" s="30"/>
      <c r="DJ968" s="30"/>
      <c r="DK968" s="30"/>
      <c r="DL968" s="30"/>
      <c r="DM968" s="30"/>
      <c r="DN968" s="30"/>
      <c r="DO968" s="30"/>
      <c r="DP968" s="30"/>
      <c r="DQ968" s="30"/>
      <c r="DR968" s="30"/>
      <c r="DS968" s="30"/>
      <c r="DT968" s="30"/>
      <c r="DU968" s="30"/>
      <c r="DV968" s="30"/>
      <c r="DW968" s="30"/>
      <c r="DX968" s="30"/>
      <c r="DY968" s="30"/>
      <c r="DZ968" s="30"/>
    </row>
    <row r="969">
      <c r="A969" s="30"/>
      <c r="B969" s="42"/>
      <c r="C969" s="43"/>
      <c r="D969" s="30"/>
      <c r="E969" s="28"/>
      <c r="F969" s="30"/>
      <c r="G969" s="30"/>
      <c r="H969" s="30"/>
      <c r="I969" s="30"/>
      <c r="J969" s="28"/>
      <c r="K969" s="30"/>
      <c r="L969" s="30"/>
      <c r="M969" s="30"/>
      <c r="N969" s="30"/>
      <c r="O969" s="28"/>
      <c r="P969" s="30"/>
      <c r="Q969" s="30"/>
      <c r="R969" s="30"/>
      <c r="S969" s="36"/>
      <c r="T969" s="30"/>
      <c r="U969" s="36"/>
      <c r="V969" s="30"/>
      <c r="W969" s="28"/>
      <c r="X969" s="30"/>
      <c r="Y969" s="30"/>
      <c r="Z969" s="30"/>
      <c r="AA969" s="30"/>
      <c r="AB969" s="30"/>
      <c r="AC969" s="28"/>
      <c r="AD969" s="30"/>
      <c r="AE969" s="30"/>
      <c r="AF969" s="30"/>
      <c r="AG969" s="29"/>
      <c r="AH969" s="30"/>
      <c r="AI969" s="36"/>
      <c r="AJ969" s="30"/>
      <c r="AK969" s="29"/>
      <c r="AL969" s="30"/>
      <c r="AM969" s="30"/>
      <c r="AN969" s="30"/>
      <c r="AO969" s="30"/>
      <c r="AP969" s="30"/>
      <c r="AQ969" s="38"/>
      <c r="AR969" s="30"/>
      <c r="AS969" s="30"/>
      <c r="AT969" s="29"/>
      <c r="AU969" s="30"/>
      <c r="AV969" s="30"/>
      <c r="AW969" s="30"/>
      <c r="AX969" s="29"/>
      <c r="AY969" s="39"/>
      <c r="AZ969" s="30"/>
      <c r="BA969" s="30"/>
      <c r="BB969" s="29"/>
      <c r="BC969" s="52"/>
      <c r="BD969" s="30"/>
      <c r="BE969" s="29"/>
      <c r="BF969" s="30"/>
      <c r="BG969" s="30"/>
      <c r="BH969" s="30"/>
      <c r="BI969" s="30"/>
      <c r="BJ969" s="30"/>
      <c r="BK969" s="30"/>
      <c r="BL969" s="30"/>
      <c r="BM969" s="30"/>
      <c r="BN969" s="30"/>
      <c r="BO969" s="30"/>
      <c r="BP969" s="30"/>
      <c r="BQ969" s="30"/>
      <c r="BR969" s="30"/>
      <c r="BS969" s="30"/>
      <c r="BT969" s="30"/>
      <c r="BU969" s="30"/>
      <c r="BV969" s="30"/>
      <c r="BW969" s="30"/>
      <c r="BX969" s="30"/>
      <c r="BY969" s="30"/>
      <c r="BZ969" s="30"/>
      <c r="CA969" s="30"/>
      <c r="CB969" s="30"/>
      <c r="CC969" s="30"/>
      <c r="CD969" s="30"/>
      <c r="CE969" s="30"/>
      <c r="CF969" s="30"/>
      <c r="CG969" s="30"/>
      <c r="CH969" s="30"/>
      <c r="CI969" s="30"/>
      <c r="CJ969" s="30"/>
      <c r="CK969" s="30"/>
      <c r="CL969" s="30"/>
      <c r="CM969" s="30"/>
      <c r="CN969" s="30"/>
      <c r="CO969" s="30"/>
      <c r="CP969" s="30"/>
      <c r="CQ969" s="30"/>
      <c r="CR969" s="30"/>
      <c r="CS969" s="30"/>
      <c r="CT969" s="30"/>
      <c r="CU969" s="30"/>
      <c r="CV969" s="30"/>
      <c r="CW969" s="30"/>
      <c r="CX969" s="30"/>
      <c r="CY969" s="30"/>
      <c r="CZ969" s="30"/>
      <c r="DA969" s="30"/>
      <c r="DB969" s="30"/>
      <c r="DC969" s="30"/>
      <c r="DD969" s="30"/>
      <c r="DE969" s="30"/>
      <c r="DF969" s="30"/>
      <c r="DG969" s="30"/>
      <c r="DH969" s="30"/>
      <c r="DI969" s="30"/>
      <c r="DJ969" s="30"/>
      <c r="DK969" s="30"/>
      <c r="DL969" s="30"/>
      <c r="DM969" s="30"/>
      <c r="DN969" s="30"/>
      <c r="DO969" s="30"/>
      <c r="DP969" s="30"/>
      <c r="DQ969" s="30"/>
      <c r="DR969" s="30"/>
      <c r="DS969" s="30"/>
      <c r="DT969" s="30"/>
      <c r="DU969" s="30"/>
      <c r="DV969" s="30"/>
      <c r="DW969" s="30"/>
      <c r="DX969" s="30"/>
      <c r="DY969" s="30"/>
      <c r="DZ969" s="30"/>
    </row>
    <row r="970">
      <c r="A970" s="30"/>
      <c r="B970" s="42"/>
      <c r="C970" s="43"/>
      <c r="D970" s="30"/>
      <c r="E970" s="28"/>
      <c r="F970" s="30"/>
      <c r="G970" s="30"/>
      <c r="H970" s="30"/>
      <c r="I970" s="30"/>
      <c r="J970" s="28"/>
      <c r="K970" s="30"/>
      <c r="L970" s="30"/>
      <c r="M970" s="30"/>
      <c r="N970" s="30"/>
      <c r="O970" s="28"/>
      <c r="P970" s="30"/>
      <c r="Q970" s="30"/>
      <c r="R970" s="30"/>
      <c r="S970" s="36"/>
      <c r="T970" s="30"/>
      <c r="U970" s="36"/>
      <c r="V970" s="30"/>
      <c r="W970" s="28"/>
      <c r="X970" s="30"/>
      <c r="Y970" s="30"/>
      <c r="Z970" s="30"/>
      <c r="AA970" s="30"/>
      <c r="AB970" s="30"/>
      <c r="AC970" s="28"/>
      <c r="AD970" s="30"/>
      <c r="AE970" s="30"/>
      <c r="AF970" s="30"/>
      <c r="AG970" s="29"/>
      <c r="AH970" s="30"/>
      <c r="AI970" s="36"/>
      <c r="AJ970" s="30"/>
      <c r="AK970" s="29"/>
      <c r="AL970" s="30"/>
      <c r="AM970" s="30"/>
      <c r="AN970" s="30"/>
      <c r="AO970" s="30"/>
      <c r="AP970" s="30"/>
      <c r="AQ970" s="38"/>
      <c r="AR970" s="30"/>
      <c r="AS970" s="30"/>
      <c r="AT970" s="29"/>
      <c r="AU970" s="30"/>
      <c r="AV970" s="30"/>
      <c r="AW970" s="30"/>
      <c r="AX970" s="29"/>
      <c r="AY970" s="39"/>
      <c r="AZ970" s="30"/>
      <c r="BA970" s="30"/>
      <c r="BB970" s="29"/>
      <c r="BC970" s="52"/>
      <c r="BD970" s="30"/>
      <c r="BE970" s="29"/>
      <c r="BF970" s="30"/>
      <c r="BG970" s="30"/>
      <c r="BH970" s="30"/>
      <c r="BI970" s="30"/>
      <c r="BJ970" s="30"/>
      <c r="BK970" s="30"/>
      <c r="BL970" s="30"/>
      <c r="BM970" s="30"/>
      <c r="BN970" s="30"/>
      <c r="BO970" s="30"/>
      <c r="BP970" s="30"/>
      <c r="BQ970" s="30"/>
      <c r="BR970" s="30"/>
      <c r="BS970" s="30"/>
      <c r="BT970" s="30"/>
      <c r="BU970" s="30"/>
      <c r="BV970" s="30"/>
      <c r="BW970" s="30"/>
      <c r="BX970" s="30"/>
      <c r="BY970" s="30"/>
      <c r="BZ970" s="30"/>
      <c r="CA970" s="30"/>
      <c r="CB970" s="30"/>
      <c r="CC970" s="30"/>
      <c r="CD970" s="30"/>
      <c r="CE970" s="30"/>
      <c r="CF970" s="30"/>
      <c r="CG970" s="30"/>
      <c r="CH970" s="30"/>
      <c r="CI970" s="30"/>
      <c r="CJ970" s="30"/>
      <c r="CK970" s="30"/>
      <c r="CL970" s="30"/>
      <c r="CM970" s="30"/>
      <c r="CN970" s="30"/>
      <c r="CO970" s="30"/>
      <c r="CP970" s="30"/>
      <c r="CQ970" s="30"/>
      <c r="CR970" s="30"/>
      <c r="CS970" s="30"/>
      <c r="CT970" s="30"/>
      <c r="CU970" s="30"/>
      <c r="CV970" s="30"/>
      <c r="CW970" s="30"/>
      <c r="CX970" s="30"/>
      <c r="CY970" s="30"/>
      <c r="CZ970" s="30"/>
      <c r="DA970" s="30"/>
      <c r="DB970" s="30"/>
      <c r="DC970" s="30"/>
      <c r="DD970" s="30"/>
      <c r="DE970" s="30"/>
      <c r="DF970" s="30"/>
      <c r="DG970" s="30"/>
      <c r="DH970" s="30"/>
      <c r="DI970" s="30"/>
      <c r="DJ970" s="30"/>
      <c r="DK970" s="30"/>
      <c r="DL970" s="30"/>
      <c r="DM970" s="30"/>
      <c r="DN970" s="30"/>
      <c r="DO970" s="30"/>
      <c r="DP970" s="30"/>
      <c r="DQ970" s="30"/>
      <c r="DR970" s="30"/>
      <c r="DS970" s="30"/>
      <c r="DT970" s="30"/>
      <c r="DU970" s="30"/>
      <c r="DV970" s="30"/>
      <c r="DW970" s="30"/>
      <c r="DX970" s="30"/>
      <c r="DY970" s="30"/>
      <c r="DZ970" s="30"/>
    </row>
    <row r="971">
      <c r="A971" s="30"/>
      <c r="B971" s="42"/>
      <c r="C971" s="43"/>
      <c r="D971" s="30"/>
      <c r="E971" s="28"/>
      <c r="F971" s="30"/>
      <c r="G971" s="30"/>
      <c r="H971" s="30"/>
      <c r="I971" s="30"/>
      <c r="J971" s="28"/>
      <c r="K971" s="30"/>
      <c r="L971" s="30"/>
      <c r="M971" s="30"/>
      <c r="N971" s="30"/>
      <c r="O971" s="28"/>
      <c r="P971" s="30"/>
      <c r="Q971" s="30"/>
      <c r="R971" s="30"/>
      <c r="S971" s="36"/>
      <c r="T971" s="30"/>
      <c r="U971" s="36"/>
      <c r="V971" s="30"/>
      <c r="W971" s="28"/>
      <c r="X971" s="30"/>
      <c r="Y971" s="30"/>
      <c r="Z971" s="30"/>
      <c r="AA971" s="30"/>
      <c r="AB971" s="30"/>
      <c r="AC971" s="28"/>
      <c r="AD971" s="30"/>
      <c r="AE971" s="30"/>
      <c r="AF971" s="30"/>
      <c r="AG971" s="29"/>
      <c r="AH971" s="30"/>
      <c r="AI971" s="36"/>
      <c r="AJ971" s="30"/>
      <c r="AK971" s="29"/>
      <c r="AL971" s="30"/>
      <c r="AM971" s="30"/>
      <c r="AN971" s="30"/>
      <c r="AO971" s="30"/>
      <c r="AP971" s="30"/>
      <c r="AQ971" s="38"/>
      <c r="AR971" s="30"/>
      <c r="AS971" s="30"/>
      <c r="AT971" s="29"/>
      <c r="AU971" s="30"/>
      <c r="AV971" s="30"/>
      <c r="AW971" s="30"/>
      <c r="AX971" s="29"/>
      <c r="AY971" s="39"/>
      <c r="AZ971" s="30"/>
      <c r="BA971" s="30"/>
      <c r="BB971" s="29"/>
      <c r="BC971" s="52"/>
      <c r="BD971" s="30"/>
      <c r="BE971" s="29"/>
      <c r="BF971" s="30"/>
      <c r="BG971" s="30"/>
      <c r="BH971" s="30"/>
      <c r="BI971" s="30"/>
      <c r="BJ971" s="30"/>
      <c r="BK971" s="30"/>
      <c r="BL971" s="30"/>
      <c r="BM971" s="30"/>
      <c r="BN971" s="30"/>
      <c r="BO971" s="30"/>
      <c r="BP971" s="30"/>
      <c r="BQ971" s="30"/>
      <c r="BR971" s="30"/>
      <c r="BS971" s="30"/>
      <c r="BT971" s="30"/>
      <c r="BU971" s="30"/>
      <c r="BV971" s="30"/>
      <c r="BW971" s="30"/>
      <c r="BX971" s="30"/>
      <c r="BY971" s="30"/>
      <c r="BZ971" s="30"/>
      <c r="CA971" s="30"/>
      <c r="CB971" s="30"/>
      <c r="CC971" s="30"/>
      <c r="CD971" s="30"/>
      <c r="CE971" s="30"/>
      <c r="CF971" s="30"/>
      <c r="CG971" s="30"/>
      <c r="CH971" s="30"/>
      <c r="CI971" s="30"/>
      <c r="CJ971" s="30"/>
      <c r="CK971" s="30"/>
      <c r="CL971" s="30"/>
      <c r="CM971" s="30"/>
      <c r="CN971" s="30"/>
      <c r="CO971" s="30"/>
      <c r="CP971" s="30"/>
      <c r="CQ971" s="30"/>
      <c r="CR971" s="30"/>
      <c r="CS971" s="30"/>
      <c r="CT971" s="30"/>
      <c r="CU971" s="30"/>
      <c r="CV971" s="30"/>
      <c r="CW971" s="30"/>
      <c r="CX971" s="30"/>
      <c r="CY971" s="30"/>
      <c r="CZ971" s="30"/>
      <c r="DA971" s="30"/>
      <c r="DB971" s="30"/>
      <c r="DC971" s="30"/>
      <c r="DD971" s="30"/>
      <c r="DE971" s="30"/>
      <c r="DF971" s="30"/>
      <c r="DG971" s="30"/>
      <c r="DH971" s="30"/>
      <c r="DI971" s="30"/>
      <c r="DJ971" s="30"/>
      <c r="DK971" s="30"/>
      <c r="DL971" s="30"/>
      <c r="DM971" s="30"/>
      <c r="DN971" s="30"/>
      <c r="DO971" s="30"/>
      <c r="DP971" s="30"/>
      <c r="DQ971" s="30"/>
      <c r="DR971" s="30"/>
      <c r="DS971" s="30"/>
      <c r="DT971" s="30"/>
      <c r="DU971" s="30"/>
      <c r="DV971" s="30"/>
      <c r="DW971" s="30"/>
      <c r="DX971" s="30"/>
      <c r="DY971" s="30"/>
      <c r="DZ971" s="30"/>
    </row>
    <row r="972">
      <c r="A972" s="30"/>
      <c r="B972" s="42"/>
      <c r="C972" s="43"/>
      <c r="D972" s="30"/>
      <c r="E972" s="28"/>
      <c r="F972" s="30"/>
      <c r="G972" s="30"/>
      <c r="H972" s="30"/>
      <c r="I972" s="30"/>
      <c r="J972" s="28"/>
      <c r="K972" s="30"/>
      <c r="L972" s="30"/>
      <c r="M972" s="30"/>
      <c r="N972" s="30"/>
      <c r="O972" s="28"/>
      <c r="P972" s="30"/>
      <c r="Q972" s="30"/>
      <c r="R972" s="30"/>
      <c r="S972" s="36"/>
      <c r="T972" s="30"/>
      <c r="U972" s="36"/>
      <c r="V972" s="30"/>
      <c r="W972" s="28"/>
      <c r="X972" s="30"/>
      <c r="Y972" s="30"/>
      <c r="Z972" s="30"/>
      <c r="AA972" s="30"/>
      <c r="AB972" s="30"/>
      <c r="AC972" s="28"/>
      <c r="AD972" s="30"/>
      <c r="AE972" s="30"/>
      <c r="AF972" s="30"/>
      <c r="AG972" s="29"/>
      <c r="AH972" s="30"/>
      <c r="AI972" s="36"/>
      <c r="AJ972" s="30"/>
      <c r="AK972" s="29"/>
      <c r="AL972" s="30"/>
      <c r="AM972" s="30"/>
      <c r="AN972" s="30"/>
      <c r="AO972" s="30"/>
      <c r="AP972" s="30"/>
      <c r="AQ972" s="38"/>
      <c r="AR972" s="30"/>
      <c r="AS972" s="30"/>
      <c r="AT972" s="29"/>
      <c r="AU972" s="30"/>
      <c r="AV972" s="30"/>
      <c r="AW972" s="30"/>
      <c r="AX972" s="29"/>
      <c r="AY972" s="39"/>
      <c r="AZ972" s="30"/>
      <c r="BA972" s="30"/>
      <c r="BB972" s="29"/>
      <c r="BC972" s="52"/>
      <c r="BD972" s="30"/>
      <c r="BE972" s="29"/>
      <c r="BF972" s="30"/>
      <c r="BG972" s="30"/>
      <c r="BH972" s="30"/>
      <c r="BI972" s="30"/>
      <c r="BJ972" s="30"/>
      <c r="BK972" s="30"/>
      <c r="BL972" s="30"/>
      <c r="BM972" s="30"/>
      <c r="BN972" s="30"/>
      <c r="BO972" s="30"/>
      <c r="BP972" s="30"/>
      <c r="BQ972" s="30"/>
      <c r="BR972" s="30"/>
      <c r="BS972" s="30"/>
      <c r="BT972" s="30"/>
      <c r="BU972" s="30"/>
      <c r="BV972" s="30"/>
      <c r="BW972" s="30"/>
      <c r="BX972" s="30"/>
      <c r="BY972" s="30"/>
      <c r="BZ972" s="30"/>
      <c r="CA972" s="30"/>
      <c r="CB972" s="30"/>
      <c r="CC972" s="30"/>
      <c r="CD972" s="30"/>
      <c r="CE972" s="30"/>
      <c r="CF972" s="30"/>
      <c r="CG972" s="30"/>
      <c r="CH972" s="30"/>
      <c r="CI972" s="30"/>
      <c r="CJ972" s="30"/>
      <c r="CK972" s="30"/>
      <c r="CL972" s="30"/>
      <c r="CM972" s="30"/>
      <c r="CN972" s="30"/>
      <c r="CO972" s="30"/>
      <c r="CP972" s="30"/>
      <c r="CQ972" s="30"/>
      <c r="CR972" s="30"/>
      <c r="CS972" s="30"/>
      <c r="CT972" s="30"/>
      <c r="CU972" s="30"/>
      <c r="CV972" s="30"/>
      <c r="CW972" s="30"/>
      <c r="CX972" s="30"/>
      <c r="CY972" s="30"/>
      <c r="CZ972" s="30"/>
      <c r="DA972" s="30"/>
      <c r="DB972" s="30"/>
      <c r="DC972" s="30"/>
      <c r="DD972" s="30"/>
      <c r="DE972" s="30"/>
      <c r="DF972" s="30"/>
      <c r="DG972" s="30"/>
      <c r="DH972" s="30"/>
      <c r="DI972" s="30"/>
      <c r="DJ972" s="30"/>
      <c r="DK972" s="30"/>
      <c r="DL972" s="30"/>
      <c r="DM972" s="30"/>
      <c r="DN972" s="30"/>
      <c r="DO972" s="30"/>
      <c r="DP972" s="30"/>
      <c r="DQ972" s="30"/>
      <c r="DR972" s="30"/>
      <c r="DS972" s="30"/>
      <c r="DT972" s="30"/>
      <c r="DU972" s="30"/>
      <c r="DV972" s="30"/>
      <c r="DW972" s="30"/>
      <c r="DX972" s="30"/>
      <c r="DY972" s="30"/>
      <c r="DZ972" s="30"/>
    </row>
    <row r="973">
      <c r="A973" s="30"/>
      <c r="B973" s="42"/>
      <c r="C973" s="43"/>
      <c r="D973" s="30"/>
      <c r="E973" s="28"/>
      <c r="F973" s="30"/>
      <c r="G973" s="30"/>
      <c r="H973" s="30"/>
      <c r="I973" s="30"/>
      <c r="J973" s="28"/>
      <c r="K973" s="30"/>
      <c r="L973" s="30"/>
      <c r="M973" s="30"/>
      <c r="N973" s="30"/>
      <c r="O973" s="28"/>
      <c r="P973" s="30"/>
      <c r="Q973" s="30"/>
      <c r="R973" s="30"/>
      <c r="S973" s="36"/>
      <c r="T973" s="30"/>
      <c r="U973" s="36"/>
      <c r="V973" s="30"/>
      <c r="W973" s="28"/>
      <c r="X973" s="30"/>
      <c r="Y973" s="30"/>
      <c r="Z973" s="30"/>
      <c r="AA973" s="30"/>
      <c r="AB973" s="30"/>
      <c r="AC973" s="28"/>
      <c r="AD973" s="30"/>
      <c r="AE973" s="30"/>
      <c r="AF973" s="30"/>
      <c r="AG973" s="29"/>
      <c r="AH973" s="30"/>
      <c r="AI973" s="36"/>
      <c r="AJ973" s="30"/>
      <c r="AK973" s="29"/>
      <c r="AL973" s="30"/>
      <c r="AM973" s="30"/>
      <c r="AN973" s="30"/>
      <c r="AO973" s="30"/>
      <c r="AP973" s="30"/>
      <c r="AQ973" s="38"/>
      <c r="AR973" s="30"/>
      <c r="AS973" s="30"/>
      <c r="AT973" s="29"/>
      <c r="AU973" s="30"/>
      <c r="AV973" s="30"/>
      <c r="AW973" s="30"/>
      <c r="AX973" s="29"/>
      <c r="AY973" s="39"/>
      <c r="AZ973" s="30"/>
      <c r="BA973" s="30"/>
      <c r="BB973" s="29"/>
      <c r="BC973" s="52"/>
      <c r="BD973" s="30"/>
      <c r="BE973" s="29"/>
      <c r="BF973" s="30"/>
      <c r="BG973" s="30"/>
      <c r="BH973" s="30"/>
      <c r="BI973" s="30"/>
      <c r="BJ973" s="30"/>
      <c r="BK973" s="30"/>
      <c r="BL973" s="30"/>
      <c r="BM973" s="30"/>
      <c r="BN973" s="30"/>
      <c r="BO973" s="30"/>
      <c r="BP973" s="30"/>
      <c r="BQ973" s="30"/>
      <c r="BR973" s="30"/>
      <c r="BS973" s="30"/>
      <c r="BT973" s="30"/>
      <c r="BU973" s="30"/>
      <c r="BV973" s="30"/>
      <c r="BW973" s="30"/>
      <c r="BX973" s="30"/>
      <c r="BY973" s="30"/>
      <c r="BZ973" s="30"/>
      <c r="CA973" s="30"/>
      <c r="CB973" s="30"/>
      <c r="CC973" s="30"/>
      <c r="CD973" s="30"/>
      <c r="CE973" s="30"/>
      <c r="CF973" s="30"/>
      <c r="CG973" s="30"/>
      <c r="CH973" s="30"/>
      <c r="CI973" s="30"/>
      <c r="CJ973" s="30"/>
      <c r="CK973" s="30"/>
      <c r="CL973" s="30"/>
      <c r="CM973" s="30"/>
      <c r="CN973" s="30"/>
      <c r="CO973" s="30"/>
      <c r="CP973" s="30"/>
      <c r="CQ973" s="30"/>
      <c r="CR973" s="30"/>
      <c r="CS973" s="30"/>
      <c r="CT973" s="30"/>
      <c r="CU973" s="30"/>
      <c r="CV973" s="30"/>
      <c r="CW973" s="30"/>
      <c r="CX973" s="30"/>
      <c r="CY973" s="30"/>
      <c r="CZ973" s="30"/>
      <c r="DA973" s="30"/>
      <c r="DB973" s="30"/>
      <c r="DC973" s="30"/>
      <c r="DD973" s="30"/>
      <c r="DE973" s="30"/>
      <c r="DF973" s="30"/>
      <c r="DG973" s="30"/>
      <c r="DH973" s="30"/>
      <c r="DI973" s="30"/>
      <c r="DJ973" s="30"/>
      <c r="DK973" s="30"/>
      <c r="DL973" s="30"/>
      <c r="DM973" s="30"/>
      <c r="DN973" s="30"/>
      <c r="DO973" s="30"/>
      <c r="DP973" s="30"/>
      <c r="DQ973" s="30"/>
      <c r="DR973" s="30"/>
      <c r="DS973" s="30"/>
      <c r="DT973" s="30"/>
      <c r="DU973" s="30"/>
      <c r="DV973" s="30"/>
      <c r="DW973" s="30"/>
      <c r="DX973" s="30"/>
      <c r="DY973" s="30"/>
      <c r="DZ973" s="30"/>
    </row>
    <row r="974">
      <c r="A974" s="30"/>
      <c r="B974" s="42"/>
      <c r="C974" s="43"/>
      <c r="D974" s="30"/>
      <c r="E974" s="28"/>
      <c r="F974" s="30"/>
      <c r="G974" s="30"/>
      <c r="H974" s="30"/>
      <c r="I974" s="30"/>
      <c r="J974" s="28"/>
      <c r="K974" s="30"/>
      <c r="L974" s="30"/>
      <c r="M974" s="30"/>
      <c r="N974" s="30"/>
      <c r="O974" s="28"/>
      <c r="P974" s="30"/>
      <c r="Q974" s="30"/>
      <c r="R974" s="30"/>
      <c r="S974" s="36"/>
      <c r="T974" s="30"/>
      <c r="U974" s="36"/>
      <c r="V974" s="30"/>
      <c r="W974" s="28"/>
      <c r="X974" s="30"/>
      <c r="Y974" s="30"/>
      <c r="Z974" s="30"/>
      <c r="AA974" s="30"/>
      <c r="AB974" s="30"/>
      <c r="AC974" s="28"/>
      <c r="AD974" s="30"/>
      <c r="AE974" s="30"/>
      <c r="AF974" s="30"/>
      <c r="AG974" s="29"/>
      <c r="AH974" s="30"/>
      <c r="AI974" s="36"/>
      <c r="AJ974" s="30"/>
      <c r="AK974" s="29"/>
      <c r="AL974" s="30"/>
      <c r="AM974" s="30"/>
      <c r="AN974" s="30"/>
      <c r="AO974" s="30"/>
      <c r="AP974" s="30"/>
      <c r="AQ974" s="38"/>
      <c r="AR974" s="30"/>
      <c r="AS974" s="30"/>
      <c r="AT974" s="29"/>
      <c r="AU974" s="30"/>
      <c r="AV974" s="30"/>
      <c r="AW974" s="30"/>
      <c r="AX974" s="29"/>
      <c r="AY974" s="39"/>
      <c r="AZ974" s="30"/>
      <c r="BA974" s="30"/>
      <c r="BB974" s="29"/>
      <c r="BC974" s="52"/>
      <c r="BD974" s="30"/>
      <c r="BE974" s="29"/>
      <c r="BF974" s="30"/>
      <c r="BG974" s="30"/>
      <c r="BH974" s="30"/>
      <c r="BI974" s="30"/>
      <c r="BJ974" s="30"/>
      <c r="BK974" s="30"/>
      <c r="BL974" s="30"/>
      <c r="BM974" s="30"/>
      <c r="BN974" s="30"/>
      <c r="BO974" s="30"/>
      <c r="BP974" s="30"/>
      <c r="BQ974" s="30"/>
      <c r="BR974" s="30"/>
      <c r="BS974" s="30"/>
      <c r="BT974" s="30"/>
      <c r="BU974" s="30"/>
      <c r="BV974" s="30"/>
      <c r="BW974" s="30"/>
      <c r="BX974" s="30"/>
      <c r="BY974" s="30"/>
      <c r="BZ974" s="30"/>
      <c r="CA974" s="30"/>
      <c r="CB974" s="30"/>
      <c r="CC974" s="30"/>
      <c r="CD974" s="30"/>
      <c r="CE974" s="30"/>
      <c r="CF974" s="30"/>
      <c r="CG974" s="30"/>
      <c r="CH974" s="30"/>
      <c r="CI974" s="30"/>
      <c r="CJ974" s="30"/>
      <c r="CK974" s="30"/>
      <c r="CL974" s="30"/>
      <c r="CM974" s="30"/>
      <c r="CN974" s="30"/>
      <c r="CO974" s="30"/>
      <c r="CP974" s="30"/>
      <c r="CQ974" s="30"/>
      <c r="CR974" s="30"/>
      <c r="CS974" s="30"/>
      <c r="CT974" s="30"/>
      <c r="CU974" s="30"/>
      <c r="CV974" s="30"/>
      <c r="CW974" s="30"/>
      <c r="CX974" s="30"/>
      <c r="CY974" s="30"/>
      <c r="CZ974" s="30"/>
      <c r="DA974" s="30"/>
      <c r="DB974" s="30"/>
      <c r="DC974" s="30"/>
      <c r="DD974" s="30"/>
      <c r="DE974" s="30"/>
      <c r="DF974" s="30"/>
      <c r="DG974" s="30"/>
      <c r="DH974" s="30"/>
      <c r="DI974" s="30"/>
      <c r="DJ974" s="30"/>
      <c r="DK974" s="30"/>
      <c r="DL974" s="30"/>
      <c r="DM974" s="30"/>
      <c r="DN974" s="30"/>
      <c r="DO974" s="30"/>
      <c r="DP974" s="30"/>
      <c r="DQ974" s="30"/>
      <c r="DR974" s="30"/>
      <c r="DS974" s="30"/>
      <c r="DT974" s="30"/>
      <c r="DU974" s="30"/>
      <c r="DV974" s="30"/>
      <c r="DW974" s="30"/>
      <c r="DX974" s="30"/>
      <c r="DY974" s="30"/>
      <c r="DZ974" s="30"/>
    </row>
    <row r="975">
      <c r="A975" s="30"/>
      <c r="B975" s="42"/>
      <c r="C975" s="43"/>
      <c r="D975" s="30"/>
      <c r="E975" s="28"/>
      <c r="F975" s="30"/>
      <c r="G975" s="30"/>
      <c r="H975" s="30"/>
      <c r="I975" s="30"/>
      <c r="J975" s="28"/>
      <c r="K975" s="30"/>
      <c r="L975" s="30"/>
      <c r="M975" s="30"/>
      <c r="N975" s="30"/>
      <c r="O975" s="28"/>
      <c r="P975" s="30"/>
      <c r="Q975" s="30"/>
      <c r="R975" s="30"/>
      <c r="S975" s="36"/>
      <c r="T975" s="30"/>
      <c r="U975" s="36"/>
      <c r="V975" s="30"/>
      <c r="W975" s="28"/>
      <c r="X975" s="30"/>
      <c r="Y975" s="30"/>
      <c r="Z975" s="30"/>
      <c r="AA975" s="30"/>
      <c r="AB975" s="30"/>
      <c r="AC975" s="28"/>
      <c r="AD975" s="30"/>
      <c r="AE975" s="30"/>
      <c r="AF975" s="30"/>
      <c r="AG975" s="29"/>
      <c r="AH975" s="30"/>
      <c r="AI975" s="36"/>
      <c r="AJ975" s="30"/>
      <c r="AK975" s="29"/>
      <c r="AL975" s="30"/>
      <c r="AM975" s="30"/>
      <c r="AN975" s="30"/>
      <c r="AO975" s="30"/>
      <c r="AP975" s="30"/>
      <c r="AQ975" s="38"/>
      <c r="AR975" s="30"/>
      <c r="AS975" s="30"/>
      <c r="AT975" s="29"/>
      <c r="AU975" s="30"/>
      <c r="AV975" s="30"/>
      <c r="AW975" s="30"/>
      <c r="AX975" s="29"/>
      <c r="AY975" s="39"/>
      <c r="AZ975" s="30"/>
      <c r="BA975" s="30"/>
      <c r="BB975" s="29"/>
      <c r="BC975" s="52"/>
      <c r="BD975" s="30"/>
      <c r="BE975" s="29"/>
      <c r="BF975" s="30"/>
      <c r="BG975" s="30"/>
      <c r="BH975" s="30"/>
      <c r="BI975" s="30"/>
      <c r="BJ975" s="30"/>
      <c r="BK975" s="30"/>
      <c r="BL975" s="30"/>
      <c r="BM975" s="30"/>
      <c r="BN975" s="30"/>
      <c r="BO975" s="30"/>
      <c r="BP975" s="30"/>
      <c r="BQ975" s="30"/>
      <c r="BR975" s="30"/>
      <c r="BS975" s="30"/>
      <c r="BT975" s="30"/>
      <c r="BU975" s="30"/>
      <c r="BV975" s="30"/>
      <c r="BW975" s="30"/>
      <c r="BX975" s="30"/>
      <c r="BY975" s="30"/>
      <c r="BZ975" s="30"/>
      <c r="CA975" s="30"/>
      <c r="CB975" s="30"/>
      <c r="CC975" s="30"/>
      <c r="CD975" s="30"/>
      <c r="CE975" s="30"/>
      <c r="CF975" s="30"/>
      <c r="CG975" s="30"/>
      <c r="CH975" s="30"/>
      <c r="CI975" s="30"/>
      <c r="CJ975" s="30"/>
      <c r="CK975" s="30"/>
      <c r="CL975" s="30"/>
      <c r="CM975" s="30"/>
      <c r="CN975" s="30"/>
      <c r="CO975" s="30"/>
      <c r="CP975" s="30"/>
      <c r="CQ975" s="30"/>
      <c r="CR975" s="30"/>
      <c r="CS975" s="30"/>
      <c r="CT975" s="30"/>
      <c r="CU975" s="30"/>
      <c r="CV975" s="30"/>
      <c r="CW975" s="30"/>
      <c r="CX975" s="30"/>
      <c r="CY975" s="30"/>
      <c r="CZ975" s="30"/>
      <c r="DA975" s="30"/>
      <c r="DB975" s="30"/>
      <c r="DC975" s="30"/>
      <c r="DD975" s="30"/>
      <c r="DE975" s="30"/>
      <c r="DF975" s="30"/>
      <c r="DG975" s="30"/>
      <c r="DH975" s="30"/>
      <c r="DI975" s="30"/>
      <c r="DJ975" s="30"/>
      <c r="DK975" s="30"/>
      <c r="DL975" s="30"/>
      <c r="DM975" s="30"/>
      <c r="DN975" s="30"/>
      <c r="DO975" s="30"/>
      <c r="DP975" s="30"/>
      <c r="DQ975" s="30"/>
      <c r="DR975" s="30"/>
      <c r="DS975" s="30"/>
      <c r="DT975" s="30"/>
      <c r="DU975" s="30"/>
      <c r="DV975" s="30"/>
      <c r="DW975" s="30"/>
      <c r="DX975" s="30"/>
      <c r="DY975" s="30"/>
      <c r="DZ975" s="30"/>
    </row>
    <row r="976">
      <c r="A976" s="30"/>
      <c r="B976" s="42"/>
      <c r="C976" s="43"/>
      <c r="D976" s="30"/>
      <c r="E976" s="28"/>
      <c r="F976" s="30"/>
      <c r="G976" s="30"/>
      <c r="H976" s="30"/>
      <c r="I976" s="30"/>
      <c r="J976" s="28"/>
      <c r="K976" s="30"/>
      <c r="L976" s="30"/>
      <c r="M976" s="30"/>
      <c r="N976" s="30"/>
      <c r="O976" s="28"/>
      <c r="P976" s="30"/>
      <c r="Q976" s="30"/>
      <c r="R976" s="30"/>
      <c r="S976" s="36"/>
      <c r="T976" s="30"/>
      <c r="U976" s="36"/>
      <c r="V976" s="30"/>
      <c r="W976" s="28"/>
      <c r="X976" s="30"/>
      <c r="Y976" s="30"/>
      <c r="Z976" s="30"/>
      <c r="AA976" s="30"/>
      <c r="AB976" s="30"/>
      <c r="AC976" s="28"/>
      <c r="AD976" s="30"/>
      <c r="AE976" s="30"/>
      <c r="AF976" s="30"/>
      <c r="AG976" s="29"/>
      <c r="AH976" s="30"/>
      <c r="AI976" s="36"/>
      <c r="AJ976" s="30"/>
      <c r="AK976" s="29"/>
      <c r="AL976" s="30"/>
      <c r="AM976" s="30"/>
      <c r="AN976" s="30"/>
      <c r="AO976" s="30"/>
      <c r="AP976" s="30"/>
      <c r="AQ976" s="38"/>
      <c r="AR976" s="30"/>
      <c r="AS976" s="30"/>
      <c r="AT976" s="29"/>
      <c r="AU976" s="30"/>
      <c r="AV976" s="30"/>
      <c r="AW976" s="30"/>
      <c r="AX976" s="29"/>
      <c r="AY976" s="39"/>
      <c r="AZ976" s="30"/>
      <c r="BA976" s="30"/>
      <c r="BB976" s="29"/>
      <c r="BC976" s="52"/>
      <c r="BD976" s="30"/>
      <c r="BE976" s="29"/>
      <c r="BF976" s="30"/>
      <c r="BG976" s="30"/>
      <c r="BH976" s="30"/>
      <c r="BI976" s="30"/>
      <c r="BJ976" s="30"/>
      <c r="BK976" s="30"/>
      <c r="BL976" s="30"/>
      <c r="BM976" s="30"/>
      <c r="BN976" s="30"/>
      <c r="BO976" s="30"/>
      <c r="BP976" s="30"/>
      <c r="BQ976" s="30"/>
      <c r="BR976" s="30"/>
      <c r="BS976" s="30"/>
      <c r="BT976" s="30"/>
      <c r="BU976" s="30"/>
      <c r="BV976" s="30"/>
      <c r="BW976" s="30"/>
      <c r="BX976" s="30"/>
      <c r="BY976" s="30"/>
      <c r="BZ976" s="30"/>
      <c r="CA976" s="30"/>
      <c r="CB976" s="30"/>
      <c r="CC976" s="30"/>
      <c r="CD976" s="30"/>
      <c r="CE976" s="30"/>
      <c r="CF976" s="30"/>
      <c r="CG976" s="30"/>
      <c r="CH976" s="30"/>
      <c r="CI976" s="30"/>
      <c r="CJ976" s="30"/>
      <c r="CK976" s="30"/>
      <c r="CL976" s="30"/>
      <c r="CM976" s="30"/>
      <c r="CN976" s="30"/>
      <c r="CO976" s="30"/>
      <c r="CP976" s="30"/>
      <c r="CQ976" s="30"/>
      <c r="CR976" s="30"/>
      <c r="CS976" s="30"/>
      <c r="CT976" s="30"/>
      <c r="CU976" s="30"/>
      <c r="CV976" s="30"/>
      <c r="CW976" s="30"/>
      <c r="CX976" s="30"/>
      <c r="CY976" s="30"/>
      <c r="CZ976" s="30"/>
      <c r="DA976" s="30"/>
      <c r="DB976" s="30"/>
      <c r="DC976" s="30"/>
      <c r="DD976" s="30"/>
      <c r="DE976" s="30"/>
      <c r="DF976" s="30"/>
      <c r="DG976" s="30"/>
      <c r="DH976" s="30"/>
      <c r="DI976" s="30"/>
      <c r="DJ976" s="30"/>
      <c r="DK976" s="30"/>
      <c r="DL976" s="30"/>
      <c r="DM976" s="30"/>
      <c r="DN976" s="30"/>
      <c r="DO976" s="30"/>
      <c r="DP976" s="30"/>
      <c r="DQ976" s="30"/>
      <c r="DR976" s="30"/>
      <c r="DS976" s="30"/>
      <c r="DT976" s="30"/>
      <c r="DU976" s="30"/>
      <c r="DV976" s="30"/>
      <c r="DW976" s="30"/>
      <c r="DX976" s="30"/>
      <c r="DY976" s="30"/>
      <c r="DZ976" s="30"/>
    </row>
    <row r="977">
      <c r="A977" s="30"/>
      <c r="B977" s="42"/>
      <c r="C977" s="43"/>
      <c r="D977" s="30"/>
      <c r="E977" s="28"/>
      <c r="F977" s="30"/>
      <c r="G977" s="30"/>
      <c r="H977" s="30"/>
      <c r="I977" s="30"/>
      <c r="J977" s="28"/>
      <c r="K977" s="30"/>
      <c r="L977" s="30"/>
      <c r="M977" s="30"/>
      <c r="N977" s="30"/>
      <c r="O977" s="28"/>
      <c r="P977" s="30"/>
      <c r="Q977" s="30"/>
      <c r="R977" s="30"/>
      <c r="S977" s="36"/>
      <c r="T977" s="30"/>
      <c r="U977" s="36"/>
      <c r="V977" s="30"/>
      <c r="W977" s="28"/>
      <c r="X977" s="30"/>
      <c r="Y977" s="30"/>
      <c r="Z977" s="30"/>
      <c r="AA977" s="30"/>
      <c r="AB977" s="30"/>
      <c r="AC977" s="28"/>
      <c r="AD977" s="30"/>
      <c r="AE977" s="30"/>
      <c r="AF977" s="30"/>
      <c r="AG977" s="29"/>
      <c r="AH977" s="30"/>
      <c r="AI977" s="36"/>
      <c r="AJ977" s="30"/>
      <c r="AK977" s="29"/>
      <c r="AL977" s="30"/>
      <c r="AM977" s="30"/>
      <c r="AN977" s="30"/>
      <c r="AO977" s="30"/>
      <c r="AP977" s="30"/>
      <c r="AQ977" s="38"/>
      <c r="AR977" s="30"/>
      <c r="AS977" s="30"/>
      <c r="AT977" s="29"/>
      <c r="AU977" s="30"/>
      <c r="AV977" s="30"/>
      <c r="AW977" s="30"/>
      <c r="AX977" s="29"/>
      <c r="AY977" s="39"/>
      <c r="AZ977" s="30"/>
      <c r="BA977" s="30"/>
      <c r="BB977" s="29"/>
      <c r="BC977" s="52"/>
      <c r="BD977" s="30"/>
      <c r="BE977" s="29"/>
      <c r="BF977" s="30"/>
      <c r="BG977" s="30"/>
      <c r="BH977" s="30"/>
      <c r="BI977" s="30"/>
      <c r="BJ977" s="30"/>
      <c r="BK977" s="30"/>
      <c r="BL977" s="30"/>
      <c r="BM977" s="30"/>
      <c r="BN977" s="30"/>
      <c r="BO977" s="30"/>
      <c r="BP977" s="30"/>
      <c r="BQ977" s="30"/>
      <c r="BR977" s="30"/>
      <c r="BS977" s="30"/>
      <c r="BT977" s="30"/>
      <c r="BU977" s="30"/>
      <c r="BV977" s="30"/>
      <c r="BW977" s="30"/>
      <c r="BX977" s="30"/>
      <c r="BY977" s="30"/>
      <c r="BZ977" s="30"/>
      <c r="CA977" s="30"/>
      <c r="CB977" s="30"/>
      <c r="CC977" s="30"/>
      <c r="CD977" s="30"/>
      <c r="CE977" s="30"/>
      <c r="CF977" s="30"/>
      <c r="CG977" s="30"/>
      <c r="CH977" s="30"/>
      <c r="CI977" s="30"/>
      <c r="CJ977" s="30"/>
      <c r="CK977" s="30"/>
      <c r="CL977" s="30"/>
      <c r="CM977" s="30"/>
      <c r="CN977" s="30"/>
      <c r="CO977" s="30"/>
      <c r="CP977" s="30"/>
      <c r="CQ977" s="30"/>
      <c r="CR977" s="30"/>
      <c r="CS977" s="30"/>
      <c r="CT977" s="30"/>
      <c r="CU977" s="30"/>
      <c r="CV977" s="30"/>
      <c r="CW977" s="30"/>
      <c r="CX977" s="30"/>
      <c r="CY977" s="30"/>
      <c r="CZ977" s="30"/>
      <c r="DA977" s="30"/>
      <c r="DB977" s="30"/>
      <c r="DC977" s="30"/>
      <c r="DD977" s="30"/>
      <c r="DE977" s="30"/>
      <c r="DF977" s="30"/>
      <c r="DG977" s="30"/>
      <c r="DH977" s="30"/>
      <c r="DI977" s="30"/>
      <c r="DJ977" s="30"/>
      <c r="DK977" s="30"/>
      <c r="DL977" s="30"/>
      <c r="DM977" s="30"/>
      <c r="DN977" s="30"/>
      <c r="DO977" s="30"/>
      <c r="DP977" s="30"/>
      <c r="DQ977" s="30"/>
      <c r="DR977" s="30"/>
      <c r="DS977" s="30"/>
      <c r="DT977" s="30"/>
      <c r="DU977" s="30"/>
      <c r="DV977" s="30"/>
      <c r="DW977" s="30"/>
      <c r="DX977" s="30"/>
      <c r="DY977" s="30"/>
      <c r="DZ977" s="30"/>
    </row>
    <row r="978">
      <c r="A978" s="30"/>
      <c r="B978" s="42"/>
      <c r="C978" s="43"/>
      <c r="D978" s="30"/>
      <c r="E978" s="28"/>
      <c r="F978" s="30"/>
      <c r="G978" s="30"/>
      <c r="H978" s="30"/>
      <c r="I978" s="30"/>
      <c r="J978" s="28"/>
      <c r="K978" s="30"/>
      <c r="L978" s="30"/>
      <c r="M978" s="30"/>
      <c r="N978" s="30"/>
      <c r="O978" s="28"/>
      <c r="P978" s="30"/>
      <c r="Q978" s="30"/>
      <c r="R978" s="30"/>
      <c r="S978" s="36"/>
      <c r="T978" s="30"/>
      <c r="U978" s="36"/>
      <c r="V978" s="30"/>
      <c r="W978" s="28"/>
      <c r="X978" s="30"/>
      <c r="Y978" s="30"/>
      <c r="Z978" s="30"/>
      <c r="AA978" s="30"/>
      <c r="AB978" s="30"/>
      <c r="AC978" s="28"/>
      <c r="AD978" s="30"/>
      <c r="AE978" s="30"/>
      <c r="AF978" s="30"/>
      <c r="AG978" s="29"/>
      <c r="AH978" s="30"/>
      <c r="AI978" s="36"/>
      <c r="AJ978" s="30"/>
      <c r="AK978" s="29"/>
      <c r="AL978" s="30"/>
      <c r="AM978" s="30"/>
      <c r="AN978" s="30"/>
      <c r="AO978" s="30"/>
      <c r="AP978" s="30"/>
      <c r="AQ978" s="38"/>
      <c r="AR978" s="30"/>
      <c r="AS978" s="30"/>
      <c r="AT978" s="29"/>
      <c r="AU978" s="30"/>
      <c r="AV978" s="30"/>
      <c r="AW978" s="30"/>
      <c r="AX978" s="29"/>
      <c r="AY978" s="39"/>
      <c r="AZ978" s="30"/>
      <c r="BA978" s="30"/>
      <c r="BB978" s="29"/>
      <c r="BC978" s="52"/>
      <c r="BD978" s="30"/>
      <c r="BE978" s="29"/>
      <c r="BF978" s="30"/>
      <c r="BG978" s="30"/>
      <c r="BH978" s="30"/>
      <c r="BI978" s="30"/>
      <c r="BJ978" s="30"/>
      <c r="BK978" s="30"/>
      <c r="BL978" s="30"/>
      <c r="BM978" s="30"/>
      <c r="BN978" s="30"/>
      <c r="BO978" s="30"/>
      <c r="BP978" s="30"/>
      <c r="BQ978" s="30"/>
      <c r="BR978" s="30"/>
      <c r="BS978" s="30"/>
      <c r="BT978" s="30"/>
      <c r="BU978" s="30"/>
      <c r="BV978" s="30"/>
      <c r="BW978" s="30"/>
      <c r="BX978" s="30"/>
      <c r="BY978" s="30"/>
      <c r="BZ978" s="30"/>
      <c r="CA978" s="30"/>
      <c r="CB978" s="30"/>
      <c r="CC978" s="30"/>
      <c r="CD978" s="30"/>
      <c r="CE978" s="30"/>
      <c r="CF978" s="30"/>
      <c r="CG978" s="30"/>
      <c r="CH978" s="30"/>
      <c r="CI978" s="30"/>
      <c r="CJ978" s="30"/>
      <c r="CK978" s="30"/>
      <c r="CL978" s="30"/>
      <c r="CM978" s="30"/>
      <c r="CN978" s="30"/>
      <c r="CO978" s="30"/>
      <c r="CP978" s="30"/>
      <c r="CQ978" s="30"/>
      <c r="CR978" s="30"/>
      <c r="CS978" s="30"/>
      <c r="CT978" s="30"/>
      <c r="CU978" s="30"/>
      <c r="CV978" s="30"/>
      <c r="CW978" s="30"/>
      <c r="CX978" s="30"/>
      <c r="CY978" s="30"/>
      <c r="CZ978" s="30"/>
      <c r="DA978" s="30"/>
      <c r="DB978" s="30"/>
      <c r="DC978" s="30"/>
      <c r="DD978" s="30"/>
      <c r="DE978" s="30"/>
      <c r="DF978" s="30"/>
      <c r="DG978" s="30"/>
      <c r="DH978" s="30"/>
      <c r="DI978" s="30"/>
      <c r="DJ978" s="30"/>
      <c r="DK978" s="30"/>
      <c r="DL978" s="30"/>
      <c r="DM978" s="30"/>
      <c r="DN978" s="30"/>
      <c r="DO978" s="30"/>
      <c r="DP978" s="30"/>
      <c r="DQ978" s="30"/>
      <c r="DR978" s="30"/>
      <c r="DS978" s="30"/>
      <c r="DT978" s="30"/>
      <c r="DU978" s="30"/>
      <c r="DV978" s="30"/>
      <c r="DW978" s="30"/>
      <c r="DX978" s="30"/>
      <c r="DY978" s="30"/>
      <c r="DZ978" s="30"/>
    </row>
    <row r="979">
      <c r="A979" s="30"/>
      <c r="B979" s="42"/>
      <c r="C979" s="43"/>
      <c r="D979" s="30"/>
      <c r="E979" s="28"/>
      <c r="F979" s="30"/>
      <c r="G979" s="30"/>
      <c r="H979" s="30"/>
      <c r="I979" s="30"/>
      <c r="J979" s="28"/>
      <c r="K979" s="30"/>
      <c r="L979" s="30"/>
      <c r="M979" s="30"/>
      <c r="N979" s="30"/>
      <c r="O979" s="28"/>
      <c r="P979" s="30"/>
      <c r="Q979" s="30"/>
      <c r="R979" s="30"/>
      <c r="S979" s="36"/>
      <c r="T979" s="30"/>
      <c r="U979" s="36"/>
      <c r="V979" s="30"/>
      <c r="W979" s="28"/>
      <c r="X979" s="30"/>
      <c r="Y979" s="30"/>
      <c r="Z979" s="30"/>
      <c r="AA979" s="30"/>
      <c r="AB979" s="30"/>
      <c r="AC979" s="28"/>
      <c r="AD979" s="30"/>
      <c r="AE979" s="30"/>
      <c r="AF979" s="30"/>
      <c r="AG979" s="29"/>
      <c r="AH979" s="30"/>
      <c r="AI979" s="36"/>
      <c r="AJ979" s="30"/>
      <c r="AK979" s="29"/>
      <c r="AL979" s="30"/>
      <c r="AM979" s="30"/>
      <c r="AN979" s="30"/>
      <c r="AO979" s="30"/>
      <c r="AP979" s="30"/>
      <c r="AQ979" s="38"/>
      <c r="AR979" s="30"/>
      <c r="AS979" s="30"/>
      <c r="AT979" s="29"/>
      <c r="AU979" s="30"/>
      <c r="AV979" s="30"/>
      <c r="AW979" s="30"/>
      <c r="AX979" s="29"/>
      <c r="AY979" s="39"/>
      <c r="AZ979" s="30"/>
      <c r="BA979" s="30"/>
      <c r="BB979" s="29"/>
      <c r="BC979" s="52"/>
      <c r="BD979" s="30"/>
      <c r="BE979" s="29"/>
      <c r="BF979" s="30"/>
      <c r="BG979" s="30"/>
      <c r="BH979" s="30"/>
      <c r="BI979" s="30"/>
      <c r="BJ979" s="30"/>
      <c r="BK979" s="30"/>
      <c r="BL979" s="30"/>
      <c r="BM979" s="30"/>
      <c r="BN979" s="30"/>
      <c r="BO979" s="30"/>
      <c r="BP979" s="30"/>
      <c r="BQ979" s="30"/>
      <c r="BR979" s="30"/>
      <c r="BS979" s="30"/>
      <c r="BT979" s="30"/>
      <c r="BU979" s="30"/>
      <c r="BV979" s="30"/>
      <c r="BW979" s="30"/>
      <c r="BX979" s="30"/>
      <c r="BY979" s="30"/>
      <c r="BZ979" s="30"/>
      <c r="CA979" s="30"/>
      <c r="CB979" s="30"/>
      <c r="CC979" s="30"/>
      <c r="CD979" s="30"/>
      <c r="CE979" s="30"/>
      <c r="CF979" s="30"/>
      <c r="CG979" s="30"/>
      <c r="CH979" s="30"/>
      <c r="CI979" s="30"/>
      <c r="CJ979" s="30"/>
      <c r="CK979" s="30"/>
      <c r="CL979" s="30"/>
      <c r="CM979" s="30"/>
      <c r="CN979" s="30"/>
      <c r="CO979" s="30"/>
      <c r="CP979" s="30"/>
      <c r="CQ979" s="30"/>
      <c r="CR979" s="30"/>
      <c r="CS979" s="30"/>
      <c r="CT979" s="30"/>
      <c r="CU979" s="30"/>
      <c r="CV979" s="30"/>
      <c r="CW979" s="30"/>
      <c r="CX979" s="30"/>
      <c r="CY979" s="30"/>
      <c r="CZ979" s="30"/>
      <c r="DA979" s="30"/>
      <c r="DB979" s="30"/>
      <c r="DC979" s="30"/>
      <c r="DD979" s="30"/>
      <c r="DE979" s="30"/>
      <c r="DF979" s="30"/>
      <c r="DG979" s="30"/>
      <c r="DH979" s="30"/>
      <c r="DI979" s="30"/>
      <c r="DJ979" s="30"/>
      <c r="DK979" s="30"/>
      <c r="DL979" s="30"/>
      <c r="DM979" s="30"/>
      <c r="DN979" s="30"/>
      <c r="DO979" s="30"/>
      <c r="DP979" s="30"/>
      <c r="DQ979" s="30"/>
      <c r="DR979" s="30"/>
      <c r="DS979" s="30"/>
      <c r="DT979" s="30"/>
      <c r="DU979" s="30"/>
      <c r="DV979" s="30"/>
      <c r="DW979" s="30"/>
      <c r="DX979" s="30"/>
      <c r="DY979" s="30"/>
      <c r="DZ979" s="30"/>
    </row>
    <row r="980">
      <c r="A980" s="30"/>
      <c r="B980" s="42"/>
      <c r="C980" s="43"/>
      <c r="D980" s="30"/>
      <c r="E980" s="28"/>
      <c r="F980" s="30"/>
      <c r="G980" s="30"/>
      <c r="H980" s="30"/>
      <c r="I980" s="30"/>
      <c r="J980" s="28"/>
      <c r="K980" s="30"/>
      <c r="L980" s="30"/>
      <c r="M980" s="30"/>
      <c r="N980" s="30"/>
      <c r="O980" s="28"/>
      <c r="P980" s="30"/>
      <c r="Q980" s="30"/>
      <c r="R980" s="30"/>
      <c r="S980" s="36"/>
      <c r="T980" s="30"/>
      <c r="U980" s="36"/>
      <c r="V980" s="30"/>
      <c r="W980" s="28"/>
      <c r="X980" s="30"/>
      <c r="Y980" s="30"/>
      <c r="Z980" s="30"/>
      <c r="AA980" s="30"/>
      <c r="AB980" s="30"/>
      <c r="AC980" s="28"/>
      <c r="AD980" s="30"/>
      <c r="AE980" s="30"/>
      <c r="AF980" s="30"/>
      <c r="AG980" s="29"/>
      <c r="AH980" s="30"/>
      <c r="AI980" s="36"/>
      <c r="AJ980" s="30"/>
      <c r="AK980" s="29"/>
      <c r="AL980" s="30"/>
      <c r="AM980" s="30"/>
      <c r="AN980" s="30"/>
      <c r="AO980" s="30"/>
      <c r="AP980" s="30"/>
      <c r="AQ980" s="38"/>
      <c r="AR980" s="30"/>
      <c r="AS980" s="30"/>
      <c r="AT980" s="29"/>
      <c r="AU980" s="30"/>
      <c r="AV980" s="30"/>
      <c r="AW980" s="30"/>
      <c r="AX980" s="29"/>
      <c r="AY980" s="39"/>
      <c r="AZ980" s="30"/>
      <c r="BA980" s="30"/>
      <c r="BB980" s="29"/>
      <c r="BC980" s="52"/>
      <c r="BD980" s="30"/>
      <c r="BE980" s="29"/>
      <c r="BF980" s="30"/>
      <c r="BG980" s="30"/>
      <c r="BH980" s="30"/>
      <c r="BI980" s="30"/>
      <c r="BJ980" s="30"/>
      <c r="BK980" s="30"/>
      <c r="BL980" s="30"/>
      <c r="BM980" s="30"/>
      <c r="BN980" s="30"/>
      <c r="BO980" s="30"/>
      <c r="BP980" s="30"/>
      <c r="BQ980" s="30"/>
      <c r="BR980" s="30"/>
      <c r="BS980" s="30"/>
      <c r="BT980" s="30"/>
      <c r="BU980" s="30"/>
      <c r="BV980" s="30"/>
      <c r="BW980" s="30"/>
      <c r="BX980" s="30"/>
      <c r="BY980" s="30"/>
      <c r="BZ980" s="30"/>
      <c r="CA980" s="30"/>
      <c r="CB980" s="30"/>
      <c r="CC980" s="30"/>
      <c r="CD980" s="30"/>
      <c r="CE980" s="30"/>
      <c r="CF980" s="30"/>
      <c r="CG980" s="30"/>
      <c r="CH980" s="30"/>
      <c r="CI980" s="30"/>
      <c r="CJ980" s="30"/>
      <c r="CK980" s="30"/>
      <c r="CL980" s="30"/>
      <c r="CM980" s="30"/>
      <c r="CN980" s="30"/>
      <c r="CO980" s="30"/>
      <c r="CP980" s="30"/>
      <c r="CQ980" s="30"/>
      <c r="CR980" s="30"/>
      <c r="CS980" s="30"/>
      <c r="CT980" s="30"/>
      <c r="CU980" s="30"/>
      <c r="CV980" s="30"/>
      <c r="CW980" s="30"/>
      <c r="CX980" s="30"/>
      <c r="CY980" s="30"/>
      <c r="CZ980" s="30"/>
      <c r="DA980" s="30"/>
      <c r="DB980" s="30"/>
      <c r="DC980" s="30"/>
      <c r="DD980" s="30"/>
      <c r="DE980" s="30"/>
      <c r="DF980" s="30"/>
      <c r="DG980" s="30"/>
      <c r="DH980" s="30"/>
      <c r="DI980" s="30"/>
      <c r="DJ980" s="30"/>
      <c r="DK980" s="30"/>
      <c r="DL980" s="30"/>
      <c r="DM980" s="30"/>
      <c r="DN980" s="30"/>
      <c r="DO980" s="30"/>
      <c r="DP980" s="30"/>
      <c r="DQ980" s="30"/>
      <c r="DR980" s="30"/>
      <c r="DS980" s="30"/>
      <c r="DT980" s="30"/>
      <c r="DU980" s="30"/>
      <c r="DV980" s="30"/>
      <c r="DW980" s="30"/>
      <c r="DX980" s="30"/>
      <c r="DY980" s="30"/>
      <c r="DZ980" s="30"/>
    </row>
    <row r="981">
      <c r="A981" s="30"/>
      <c r="B981" s="42"/>
      <c r="C981" s="43"/>
      <c r="D981" s="30"/>
      <c r="E981" s="28"/>
      <c r="F981" s="30"/>
      <c r="G981" s="30"/>
      <c r="H981" s="30"/>
      <c r="I981" s="30"/>
      <c r="J981" s="28"/>
      <c r="K981" s="30"/>
      <c r="L981" s="30"/>
      <c r="M981" s="30"/>
      <c r="N981" s="30"/>
      <c r="O981" s="28"/>
      <c r="P981" s="30"/>
      <c r="Q981" s="30"/>
      <c r="R981" s="30"/>
      <c r="S981" s="36"/>
      <c r="T981" s="30"/>
      <c r="U981" s="36"/>
      <c r="V981" s="30"/>
      <c r="W981" s="28"/>
      <c r="X981" s="30"/>
      <c r="Y981" s="30"/>
      <c r="Z981" s="30"/>
      <c r="AA981" s="30"/>
      <c r="AB981" s="30"/>
      <c r="AC981" s="28"/>
      <c r="AD981" s="30"/>
      <c r="AE981" s="30"/>
      <c r="AF981" s="30"/>
      <c r="AG981" s="29"/>
      <c r="AH981" s="30"/>
      <c r="AI981" s="36"/>
      <c r="AJ981" s="30"/>
      <c r="AK981" s="29"/>
      <c r="AL981" s="30"/>
      <c r="AM981" s="30"/>
      <c r="AN981" s="30"/>
      <c r="AO981" s="30"/>
      <c r="AP981" s="30"/>
      <c r="AQ981" s="38"/>
      <c r="AR981" s="30"/>
      <c r="AS981" s="30"/>
      <c r="AT981" s="29"/>
      <c r="AU981" s="30"/>
      <c r="AV981" s="30"/>
      <c r="AW981" s="30"/>
      <c r="AX981" s="29"/>
      <c r="AY981" s="39"/>
      <c r="AZ981" s="30"/>
      <c r="BA981" s="30"/>
      <c r="BB981" s="29"/>
      <c r="BC981" s="52"/>
      <c r="BD981" s="30"/>
      <c r="BE981" s="29"/>
      <c r="BF981" s="30"/>
      <c r="BG981" s="30"/>
      <c r="BH981" s="30"/>
      <c r="BI981" s="30"/>
      <c r="BJ981" s="30"/>
      <c r="BK981" s="30"/>
      <c r="BL981" s="30"/>
      <c r="BM981" s="30"/>
      <c r="BN981" s="30"/>
      <c r="BO981" s="30"/>
      <c r="BP981" s="30"/>
      <c r="BQ981" s="30"/>
      <c r="BR981" s="30"/>
      <c r="BS981" s="30"/>
      <c r="BT981" s="30"/>
      <c r="BU981" s="30"/>
      <c r="BV981" s="30"/>
      <c r="BW981" s="30"/>
      <c r="BX981" s="30"/>
      <c r="BY981" s="30"/>
      <c r="BZ981" s="30"/>
      <c r="CA981" s="30"/>
      <c r="CB981" s="30"/>
      <c r="CC981" s="30"/>
      <c r="CD981" s="30"/>
      <c r="CE981" s="30"/>
      <c r="CF981" s="30"/>
      <c r="CG981" s="30"/>
      <c r="CH981" s="30"/>
      <c r="CI981" s="30"/>
      <c r="CJ981" s="30"/>
      <c r="CK981" s="30"/>
      <c r="CL981" s="30"/>
      <c r="CM981" s="30"/>
      <c r="CN981" s="30"/>
      <c r="CO981" s="30"/>
      <c r="CP981" s="30"/>
      <c r="CQ981" s="30"/>
      <c r="CR981" s="30"/>
      <c r="CS981" s="30"/>
      <c r="CT981" s="30"/>
      <c r="CU981" s="30"/>
      <c r="CV981" s="30"/>
      <c r="CW981" s="30"/>
      <c r="CX981" s="30"/>
      <c r="CY981" s="30"/>
      <c r="CZ981" s="30"/>
      <c r="DA981" s="30"/>
      <c r="DB981" s="30"/>
      <c r="DC981" s="30"/>
      <c r="DD981" s="30"/>
      <c r="DE981" s="30"/>
      <c r="DF981" s="30"/>
      <c r="DG981" s="30"/>
      <c r="DH981" s="30"/>
      <c r="DI981" s="30"/>
      <c r="DJ981" s="30"/>
      <c r="DK981" s="30"/>
      <c r="DL981" s="30"/>
      <c r="DM981" s="30"/>
      <c r="DN981" s="30"/>
      <c r="DO981" s="30"/>
      <c r="DP981" s="30"/>
      <c r="DQ981" s="30"/>
      <c r="DR981" s="30"/>
      <c r="DS981" s="30"/>
      <c r="DT981" s="30"/>
      <c r="DU981" s="30"/>
      <c r="DV981" s="30"/>
      <c r="DW981" s="30"/>
      <c r="DX981" s="30"/>
      <c r="DY981" s="30"/>
      <c r="DZ981" s="30"/>
    </row>
    <row r="982">
      <c r="A982" s="30"/>
      <c r="B982" s="42"/>
      <c r="C982" s="43"/>
      <c r="D982" s="30"/>
      <c r="E982" s="28"/>
      <c r="F982" s="30"/>
      <c r="G982" s="30"/>
      <c r="H982" s="30"/>
      <c r="I982" s="30"/>
      <c r="J982" s="28"/>
      <c r="K982" s="30"/>
      <c r="L982" s="30"/>
      <c r="M982" s="30"/>
      <c r="N982" s="30"/>
      <c r="O982" s="28"/>
      <c r="P982" s="30"/>
      <c r="Q982" s="30"/>
      <c r="R982" s="30"/>
      <c r="S982" s="36"/>
      <c r="T982" s="30"/>
      <c r="U982" s="36"/>
      <c r="V982" s="30"/>
      <c r="W982" s="28"/>
      <c r="X982" s="30"/>
      <c r="Y982" s="30"/>
      <c r="Z982" s="30"/>
      <c r="AA982" s="30"/>
      <c r="AB982" s="30"/>
      <c r="AC982" s="28"/>
      <c r="AD982" s="30"/>
      <c r="AE982" s="30"/>
      <c r="AF982" s="30"/>
      <c r="AG982" s="29"/>
      <c r="AH982" s="30"/>
      <c r="AI982" s="36"/>
      <c r="AJ982" s="30"/>
      <c r="AK982" s="29"/>
      <c r="AL982" s="30"/>
      <c r="AM982" s="30"/>
      <c r="AN982" s="30"/>
      <c r="AO982" s="30"/>
      <c r="AP982" s="30"/>
      <c r="AQ982" s="38"/>
      <c r="AR982" s="30"/>
      <c r="AS982" s="30"/>
      <c r="AT982" s="29"/>
      <c r="AU982" s="30"/>
      <c r="AV982" s="30"/>
      <c r="AW982" s="30"/>
      <c r="AX982" s="29"/>
      <c r="AY982" s="39"/>
      <c r="AZ982" s="30"/>
      <c r="BA982" s="30"/>
      <c r="BB982" s="29"/>
      <c r="BC982" s="52"/>
      <c r="BD982" s="30"/>
      <c r="BE982" s="29"/>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0"/>
      <c r="CF982" s="30"/>
      <c r="CG982" s="30"/>
      <c r="CH982" s="30"/>
      <c r="CI982" s="30"/>
      <c r="CJ982" s="30"/>
      <c r="CK982" s="30"/>
      <c r="CL982" s="30"/>
      <c r="CM982" s="30"/>
      <c r="CN982" s="30"/>
      <c r="CO982" s="30"/>
      <c r="CP982" s="30"/>
      <c r="CQ982" s="30"/>
      <c r="CR982" s="30"/>
      <c r="CS982" s="30"/>
      <c r="CT982" s="30"/>
      <c r="CU982" s="30"/>
      <c r="CV982" s="30"/>
      <c r="CW982" s="30"/>
      <c r="CX982" s="30"/>
      <c r="CY982" s="30"/>
      <c r="CZ982" s="30"/>
      <c r="DA982" s="30"/>
      <c r="DB982" s="30"/>
      <c r="DC982" s="30"/>
      <c r="DD982" s="30"/>
      <c r="DE982" s="30"/>
      <c r="DF982" s="30"/>
      <c r="DG982" s="30"/>
      <c r="DH982" s="30"/>
      <c r="DI982" s="30"/>
      <c r="DJ982" s="30"/>
      <c r="DK982" s="30"/>
      <c r="DL982" s="30"/>
      <c r="DM982" s="30"/>
      <c r="DN982" s="30"/>
      <c r="DO982" s="30"/>
      <c r="DP982" s="30"/>
      <c r="DQ982" s="30"/>
      <c r="DR982" s="30"/>
      <c r="DS982" s="30"/>
      <c r="DT982" s="30"/>
      <c r="DU982" s="30"/>
      <c r="DV982" s="30"/>
      <c r="DW982" s="30"/>
      <c r="DX982" s="30"/>
      <c r="DY982" s="30"/>
      <c r="DZ982" s="30"/>
    </row>
    <row r="983">
      <c r="A983" s="30"/>
      <c r="B983" s="42"/>
      <c r="C983" s="43"/>
      <c r="D983" s="30"/>
      <c r="E983" s="28"/>
      <c r="F983" s="30"/>
      <c r="G983" s="30"/>
      <c r="H983" s="30"/>
      <c r="I983" s="30"/>
      <c r="J983" s="28"/>
      <c r="K983" s="30"/>
      <c r="L983" s="30"/>
      <c r="M983" s="30"/>
      <c r="N983" s="30"/>
      <c r="O983" s="28"/>
      <c r="P983" s="30"/>
      <c r="Q983" s="30"/>
      <c r="R983" s="30"/>
      <c r="S983" s="36"/>
      <c r="T983" s="30"/>
      <c r="U983" s="36"/>
      <c r="V983" s="30"/>
      <c r="W983" s="28"/>
      <c r="X983" s="30"/>
      <c r="Y983" s="30"/>
      <c r="Z983" s="30"/>
      <c r="AA983" s="30"/>
      <c r="AB983" s="30"/>
      <c r="AC983" s="28"/>
      <c r="AD983" s="30"/>
      <c r="AE983" s="30"/>
      <c r="AF983" s="30"/>
      <c r="AG983" s="29"/>
      <c r="AH983" s="30"/>
      <c r="AI983" s="36"/>
      <c r="AJ983" s="30"/>
      <c r="AK983" s="29"/>
      <c r="AL983" s="30"/>
      <c r="AM983" s="30"/>
      <c r="AN983" s="30"/>
      <c r="AO983" s="30"/>
      <c r="AP983" s="30"/>
      <c r="AQ983" s="38"/>
      <c r="AR983" s="30"/>
      <c r="AS983" s="30"/>
      <c r="AT983" s="29"/>
      <c r="AU983" s="30"/>
      <c r="AV983" s="30"/>
      <c r="AW983" s="30"/>
      <c r="AX983" s="29"/>
      <c r="AY983" s="39"/>
      <c r="AZ983" s="30"/>
      <c r="BA983" s="30"/>
      <c r="BB983" s="29"/>
      <c r="BC983" s="52"/>
      <c r="BD983" s="30"/>
      <c r="BE983" s="29"/>
      <c r="BF983" s="30"/>
      <c r="BG983" s="30"/>
      <c r="BH983" s="30"/>
      <c r="BI983" s="30"/>
      <c r="BJ983" s="30"/>
      <c r="BK983" s="30"/>
      <c r="BL983" s="30"/>
      <c r="BM983" s="30"/>
      <c r="BN983" s="30"/>
      <c r="BO983" s="30"/>
      <c r="BP983" s="30"/>
      <c r="BQ983" s="30"/>
      <c r="BR983" s="30"/>
      <c r="BS983" s="30"/>
      <c r="BT983" s="30"/>
      <c r="BU983" s="30"/>
      <c r="BV983" s="30"/>
      <c r="BW983" s="30"/>
      <c r="BX983" s="30"/>
      <c r="BY983" s="30"/>
      <c r="BZ983" s="30"/>
      <c r="CA983" s="30"/>
      <c r="CB983" s="30"/>
      <c r="CC983" s="30"/>
      <c r="CD983" s="30"/>
      <c r="CE983" s="30"/>
      <c r="CF983" s="30"/>
      <c r="CG983" s="30"/>
      <c r="CH983" s="30"/>
      <c r="CI983" s="30"/>
      <c r="CJ983" s="30"/>
      <c r="CK983" s="30"/>
      <c r="CL983" s="30"/>
      <c r="CM983" s="30"/>
      <c r="CN983" s="30"/>
      <c r="CO983" s="30"/>
      <c r="CP983" s="30"/>
      <c r="CQ983" s="30"/>
      <c r="CR983" s="30"/>
      <c r="CS983" s="30"/>
      <c r="CT983" s="30"/>
      <c r="CU983" s="30"/>
      <c r="CV983" s="30"/>
      <c r="CW983" s="30"/>
      <c r="CX983" s="30"/>
      <c r="CY983" s="30"/>
      <c r="CZ983" s="30"/>
      <c r="DA983" s="30"/>
      <c r="DB983" s="30"/>
      <c r="DC983" s="30"/>
      <c r="DD983" s="30"/>
      <c r="DE983" s="30"/>
      <c r="DF983" s="30"/>
      <c r="DG983" s="30"/>
      <c r="DH983" s="30"/>
      <c r="DI983" s="30"/>
      <c r="DJ983" s="30"/>
      <c r="DK983" s="30"/>
      <c r="DL983" s="30"/>
      <c r="DM983" s="30"/>
      <c r="DN983" s="30"/>
      <c r="DO983" s="30"/>
      <c r="DP983" s="30"/>
      <c r="DQ983" s="30"/>
      <c r="DR983" s="30"/>
      <c r="DS983" s="30"/>
      <c r="DT983" s="30"/>
      <c r="DU983" s="30"/>
      <c r="DV983" s="30"/>
      <c r="DW983" s="30"/>
      <c r="DX983" s="30"/>
      <c r="DY983" s="30"/>
      <c r="DZ983" s="30"/>
    </row>
    <row r="984">
      <c r="A984" s="30"/>
      <c r="B984" s="42"/>
      <c r="C984" s="43"/>
      <c r="D984" s="30"/>
      <c r="E984" s="28"/>
      <c r="F984" s="30"/>
      <c r="G984" s="30"/>
      <c r="H984" s="30"/>
      <c r="I984" s="30"/>
      <c r="J984" s="28"/>
      <c r="K984" s="30"/>
      <c r="L984" s="30"/>
      <c r="M984" s="30"/>
      <c r="N984" s="30"/>
      <c r="O984" s="28"/>
      <c r="P984" s="30"/>
      <c r="Q984" s="30"/>
      <c r="R984" s="30"/>
      <c r="S984" s="36"/>
      <c r="T984" s="30"/>
      <c r="U984" s="36"/>
      <c r="V984" s="30"/>
      <c r="W984" s="28"/>
      <c r="X984" s="30"/>
      <c r="Y984" s="30"/>
      <c r="Z984" s="30"/>
      <c r="AA984" s="30"/>
      <c r="AB984" s="30"/>
      <c r="AC984" s="28"/>
      <c r="AD984" s="30"/>
      <c r="AE984" s="30"/>
      <c r="AF984" s="30"/>
      <c r="AG984" s="29"/>
      <c r="AH984" s="30"/>
      <c r="AI984" s="36"/>
      <c r="AJ984" s="30"/>
      <c r="AK984" s="29"/>
      <c r="AL984" s="30"/>
      <c r="AM984" s="30"/>
      <c r="AN984" s="30"/>
      <c r="AO984" s="30"/>
      <c r="AP984" s="30"/>
      <c r="AQ984" s="38"/>
      <c r="AR984" s="30"/>
      <c r="AS984" s="30"/>
      <c r="AT984" s="29"/>
      <c r="AU984" s="30"/>
      <c r="AV984" s="30"/>
      <c r="AW984" s="30"/>
      <c r="AX984" s="29"/>
      <c r="AY984" s="39"/>
      <c r="AZ984" s="30"/>
      <c r="BA984" s="30"/>
      <c r="BB984" s="29"/>
      <c r="BC984" s="52"/>
      <c r="BD984" s="30"/>
      <c r="BE984" s="29"/>
      <c r="BF984" s="30"/>
      <c r="BG984" s="30"/>
      <c r="BH984" s="30"/>
      <c r="BI984" s="30"/>
      <c r="BJ984" s="30"/>
      <c r="BK984" s="30"/>
      <c r="BL984" s="30"/>
      <c r="BM984" s="30"/>
      <c r="BN984" s="30"/>
      <c r="BO984" s="30"/>
      <c r="BP984" s="30"/>
      <c r="BQ984" s="30"/>
      <c r="BR984" s="30"/>
      <c r="BS984" s="30"/>
      <c r="BT984" s="30"/>
      <c r="BU984" s="30"/>
      <c r="BV984" s="30"/>
      <c r="BW984" s="30"/>
      <c r="BX984" s="30"/>
      <c r="BY984" s="30"/>
      <c r="BZ984" s="30"/>
      <c r="CA984" s="30"/>
      <c r="CB984" s="30"/>
      <c r="CC984" s="30"/>
      <c r="CD984" s="30"/>
      <c r="CE984" s="30"/>
      <c r="CF984" s="30"/>
      <c r="CG984" s="30"/>
      <c r="CH984" s="30"/>
      <c r="CI984" s="30"/>
      <c r="CJ984" s="30"/>
      <c r="CK984" s="30"/>
      <c r="CL984" s="30"/>
      <c r="CM984" s="30"/>
      <c r="CN984" s="30"/>
      <c r="CO984" s="30"/>
      <c r="CP984" s="30"/>
      <c r="CQ984" s="30"/>
      <c r="CR984" s="30"/>
      <c r="CS984" s="30"/>
      <c r="CT984" s="30"/>
      <c r="CU984" s="30"/>
      <c r="CV984" s="30"/>
      <c r="CW984" s="30"/>
      <c r="CX984" s="30"/>
      <c r="CY984" s="30"/>
      <c r="CZ984" s="30"/>
      <c r="DA984" s="30"/>
      <c r="DB984" s="30"/>
      <c r="DC984" s="30"/>
      <c r="DD984" s="30"/>
      <c r="DE984" s="30"/>
      <c r="DF984" s="30"/>
      <c r="DG984" s="30"/>
      <c r="DH984" s="30"/>
      <c r="DI984" s="30"/>
      <c r="DJ984" s="30"/>
      <c r="DK984" s="30"/>
      <c r="DL984" s="30"/>
      <c r="DM984" s="30"/>
      <c r="DN984" s="30"/>
      <c r="DO984" s="30"/>
      <c r="DP984" s="30"/>
      <c r="DQ984" s="30"/>
      <c r="DR984" s="30"/>
      <c r="DS984" s="30"/>
      <c r="DT984" s="30"/>
      <c r="DU984" s="30"/>
      <c r="DV984" s="30"/>
      <c r="DW984" s="30"/>
      <c r="DX984" s="30"/>
      <c r="DY984" s="30"/>
      <c r="DZ984" s="30"/>
    </row>
    <row r="985">
      <c r="A985" s="30"/>
      <c r="B985" s="42"/>
      <c r="C985" s="43"/>
      <c r="D985" s="30"/>
      <c r="E985" s="28"/>
      <c r="F985" s="30"/>
      <c r="G985" s="30"/>
      <c r="H985" s="30"/>
      <c r="I985" s="30"/>
      <c r="J985" s="28"/>
      <c r="K985" s="30"/>
      <c r="L985" s="30"/>
      <c r="M985" s="30"/>
      <c r="N985" s="30"/>
      <c r="O985" s="28"/>
      <c r="P985" s="30"/>
      <c r="Q985" s="30"/>
      <c r="R985" s="30"/>
      <c r="S985" s="36"/>
      <c r="T985" s="30"/>
      <c r="U985" s="36"/>
      <c r="V985" s="30"/>
      <c r="W985" s="28"/>
      <c r="X985" s="30"/>
      <c r="Y985" s="30"/>
      <c r="Z985" s="30"/>
      <c r="AA985" s="30"/>
      <c r="AB985" s="30"/>
      <c r="AC985" s="28"/>
      <c r="AD985" s="30"/>
      <c r="AE985" s="30"/>
      <c r="AF985" s="30"/>
      <c r="AG985" s="29"/>
      <c r="AH985" s="30"/>
      <c r="AI985" s="36"/>
      <c r="AJ985" s="30"/>
      <c r="AK985" s="29"/>
      <c r="AL985" s="30"/>
      <c r="AM985" s="30"/>
      <c r="AN985" s="30"/>
      <c r="AO985" s="30"/>
      <c r="AP985" s="30"/>
      <c r="AQ985" s="38"/>
      <c r="AR985" s="30"/>
      <c r="AS985" s="30"/>
      <c r="AT985" s="29"/>
      <c r="AU985" s="30"/>
      <c r="AV985" s="30"/>
      <c r="AW985" s="30"/>
      <c r="AX985" s="29"/>
      <c r="AY985" s="39"/>
      <c r="AZ985" s="30"/>
      <c r="BA985" s="30"/>
      <c r="BB985" s="29"/>
      <c r="BC985" s="52"/>
      <c r="BD985" s="30"/>
      <c r="BE985" s="29"/>
      <c r="BF985" s="30"/>
      <c r="BG985" s="30"/>
      <c r="BH985" s="30"/>
      <c r="BI985" s="30"/>
      <c r="BJ985" s="30"/>
      <c r="BK985" s="30"/>
      <c r="BL985" s="30"/>
      <c r="BM985" s="30"/>
      <c r="BN985" s="30"/>
      <c r="BO985" s="30"/>
      <c r="BP985" s="30"/>
      <c r="BQ985" s="30"/>
      <c r="BR985" s="30"/>
      <c r="BS985" s="30"/>
      <c r="BT985" s="30"/>
      <c r="BU985" s="30"/>
      <c r="BV985" s="30"/>
      <c r="BW985" s="30"/>
      <c r="BX985" s="30"/>
      <c r="BY985" s="30"/>
      <c r="BZ985" s="30"/>
      <c r="CA985" s="30"/>
      <c r="CB985" s="30"/>
      <c r="CC985" s="30"/>
      <c r="CD985" s="30"/>
      <c r="CE985" s="30"/>
      <c r="CF985" s="30"/>
      <c r="CG985" s="30"/>
      <c r="CH985" s="30"/>
      <c r="CI985" s="30"/>
      <c r="CJ985" s="30"/>
      <c r="CK985" s="30"/>
      <c r="CL985" s="30"/>
      <c r="CM985" s="30"/>
      <c r="CN985" s="30"/>
      <c r="CO985" s="30"/>
      <c r="CP985" s="30"/>
      <c r="CQ985" s="30"/>
      <c r="CR985" s="30"/>
      <c r="CS985" s="30"/>
      <c r="CT985" s="30"/>
      <c r="CU985" s="30"/>
      <c r="CV985" s="30"/>
      <c r="CW985" s="30"/>
      <c r="CX985" s="30"/>
      <c r="CY985" s="30"/>
      <c r="CZ985" s="30"/>
      <c r="DA985" s="30"/>
      <c r="DB985" s="30"/>
      <c r="DC985" s="30"/>
      <c r="DD985" s="30"/>
      <c r="DE985" s="30"/>
      <c r="DF985" s="30"/>
      <c r="DG985" s="30"/>
      <c r="DH985" s="30"/>
      <c r="DI985" s="30"/>
      <c r="DJ985" s="30"/>
      <c r="DK985" s="30"/>
      <c r="DL985" s="30"/>
      <c r="DM985" s="30"/>
      <c r="DN985" s="30"/>
      <c r="DO985" s="30"/>
      <c r="DP985" s="30"/>
      <c r="DQ985" s="30"/>
      <c r="DR985" s="30"/>
      <c r="DS985" s="30"/>
      <c r="DT985" s="30"/>
      <c r="DU985" s="30"/>
      <c r="DV985" s="30"/>
      <c r="DW985" s="30"/>
      <c r="DX985" s="30"/>
      <c r="DY985" s="30"/>
      <c r="DZ985" s="30"/>
    </row>
    <row r="986">
      <c r="A986" s="30"/>
      <c r="B986" s="42"/>
      <c r="C986" s="43"/>
      <c r="D986" s="30"/>
      <c r="E986" s="28"/>
      <c r="F986" s="30"/>
      <c r="G986" s="30"/>
      <c r="H986" s="30"/>
      <c r="I986" s="30"/>
      <c r="J986" s="28"/>
      <c r="K986" s="30"/>
      <c r="L986" s="30"/>
      <c r="M986" s="30"/>
      <c r="N986" s="30"/>
      <c r="O986" s="28"/>
      <c r="P986" s="30"/>
      <c r="Q986" s="30"/>
      <c r="R986" s="30"/>
      <c r="S986" s="36"/>
      <c r="T986" s="30"/>
      <c r="U986" s="36"/>
      <c r="V986" s="30"/>
      <c r="W986" s="28"/>
      <c r="X986" s="30"/>
      <c r="Y986" s="30"/>
      <c r="Z986" s="30"/>
      <c r="AA986" s="30"/>
      <c r="AB986" s="30"/>
      <c r="AC986" s="28"/>
      <c r="AD986" s="30"/>
      <c r="AE986" s="30"/>
      <c r="AF986" s="30"/>
      <c r="AG986" s="29"/>
      <c r="AH986" s="30"/>
      <c r="AI986" s="36"/>
      <c r="AJ986" s="30"/>
      <c r="AK986" s="29"/>
      <c r="AL986" s="30"/>
      <c r="AM986" s="30"/>
      <c r="AN986" s="30"/>
      <c r="AO986" s="30"/>
      <c r="AP986" s="30"/>
      <c r="AQ986" s="38"/>
      <c r="AR986" s="30"/>
      <c r="AS986" s="30"/>
      <c r="AT986" s="29"/>
      <c r="AU986" s="30"/>
      <c r="AV986" s="30"/>
      <c r="AW986" s="30"/>
      <c r="AX986" s="29"/>
      <c r="AY986" s="39"/>
      <c r="AZ986" s="30"/>
      <c r="BA986" s="30"/>
      <c r="BB986" s="29"/>
      <c r="BC986" s="52"/>
      <c r="BD986" s="30"/>
      <c r="BE986" s="29"/>
      <c r="BF986" s="30"/>
      <c r="BG986" s="30"/>
      <c r="BH986" s="30"/>
      <c r="BI986" s="30"/>
      <c r="BJ986" s="30"/>
      <c r="BK986" s="30"/>
      <c r="BL986" s="30"/>
      <c r="BM986" s="30"/>
      <c r="BN986" s="30"/>
      <c r="BO986" s="30"/>
      <c r="BP986" s="30"/>
      <c r="BQ986" s="30"/>
      <c r="BR986" s="30"/>
      <c r="BS986" s="30"/>
      <c r="BT986" s="30"/>
      <c r="BU986" s="30"/>
      <c r="BV986" s="30"/>
      <c r="BW986" s="30"/>
      <c r="BX986" s="30"/>
      <c r="BY986" s="30"/>
      <c r="BZ986" s="30"/>
      <c r="CA986" s="30"/>
      <c r="CB986" s="30"/>
      <c r="CC986" s="30"/>
      <c r="CD986" s="30"/>
      <c r="CE986" s="30"/>
      <c r="CF986" s="30"/>
      <c r="CG986" s="30"/>
      <c r="CH986" s="30"/>
      <c r="CI986" s="30"/>
      <c r="CJ986" s="30"/>
      <c r="CK986" s="30"/>
      <c r="CL986" s="30"/>
      <c r="CM986" s="30"/>
      <c r="CN986" s="30"/>
      <c r="CO986" s="30"/>
      <c r="CP986" s="30"/>
      <c r="CQ986" s="30"/>
      <c r="CR986" s="30"/>
      <c r="CS986" s="30"/>
      <c r="CT986" s="30"/>
      <c r="CU986" s="30"/>
      <c r="CV986" s="30"/>
      <c r="CW986" s="30"/>
      <c r="CX986" s="30"/>
      <c r="CY986" s="30"/>
      <c r="CZ986" s="30"/>
      <c r="DA986" s="30"/>
      <c r="DB986" s="30"/>
      <c r="DC986" s="30"/>
      <c r="DD986" s="30"/>
      <c r="DE986" s="30"/>
      <c r="DF986" s="30"/>
      <c r="DG986" s="30"/>
      <c r="DH986" s="30"/>
      <c r="DI986" s="30"/>
      <c r="DJ986" s="30"/>
      <c r="DK986" s="30"/>
      <c r="DL986" s="30"/>
      <c r="DM986" s="30"/>
      <c r="DN986" s="30"/>
      <c r="DO986" s="30"/>
      <c r="DP986" s="30"/>
      <c r="DQ986" s="30"/>
      <c r="DR986" s="30"/>
      <c r="DS986" s="30"/>
      <c r="DT986" s="30"/>
      <c r="DU986" s="30"/>
      <c r="DV986" s="30"/>
      <c r="DW986" s="30"/>
      <c r="DX986" s="30"/>
      <c r="DY986" s="30"/>
      <c r="DZ986" s="30"/>
    </row>
    <row r="987">
      <c r="A987" s="30"/>
      <c r="B987" s="42"/>
      <c r="C987" s="43"/>
      <c r="D987" s="30"/>
      <c r="E987" s="28"/>
      <c r="F987" s="30"/>
      <c r="G987" s="30"/>
      <c r="H987" s="30"/>
      <c r="I987" s="30"/>
      <c r="J987" s="28"/>
      <c r="K987" s="30"/>
      <c r="L987" s="30"/>
      <c r="M987" s="30"/>
      <c r="N987" s="30"/>
      <c r="O987" s="28"/>
      <c r="P987" s="30"/>
      <c r="Q987" s="30"/>
      <c r="R987" s="30"/>
      <c r="S987" s="36"/>
      <c r="T987" s="30"/>
      <c r="U987" s="36"/>
      <c r="V987" s="30"/>
      <c r="W987" s="28"/>
      <c r="X987" s="30"/>
      <c r="Y987" s="30"/>
      <c r="Z987" s="30"/>
      <c r="AA987" s="30"/>
      <c r="AB987" s="30"/>
      <c r="AC987" s="28"/>
      <c r="AD987" s="30"/>
      <c r="AE987" s="30"/>
      <c r="AF987" s="30"/>
      <c r="AG987" s="29"/>
      <c r="AH987" s="30"/>
      <c r="AI987" s="36"/>
      <c r="AJ987" s="30"/>
      <c r="AK987" s="29"/>
      <c r="AL987" s="30"/>
      <c r="AM987" s="30"/>
      <c r="AN987" s="30"/>
      <c r="AO987" s="30"/>
      <c r="AP987" s="30"/>
      <c r="AQ987" s="38"/>
      <c r="AR987" s="30"/>
      <c r="AS987" s="30"/>
      <c r="AT987" s="29"/>
      <c r="AU987" s="30"/>
      <c r="AV987" s="30"/>
      <c r="AW987" s="30"/>
      <c r="AX987" s="29"/>
      <c r="AY987" s="39"/>
      <c r="AZ987" s="30"/>
      <c r="BA987" s="30"/>
      <c r="BB987" s="29"/>
      <c r="BC987" s="52"/>
      <c r="BD987" s="30"/>
      <c r="BE987" s="29"/>
      <c r="BF987" s="30"/>
      <c r="BG987" s="30"/>
      <c r="BH987" s="30"/>
      <c r="BI987" s="30"/>
      <c r="BJ987" s="30"/>
      <c r="BK987" s="30"/>
      <c r="BL987" s="30"/>
      <c r="BM987" s="30"/>
      <c r="BN987" s="30"/>
      <c r="BO987" s="30"/>
      <c r="BP987" s="30"/>
      <c r="BQ987" s="30"/>
      <c r="BR987" s="30"/>
      <c r="BS987" s="30"/>
      <c r="BT987" s="30"/>
      <c r="BU987" s="30"/>
      <c r="BV987" s="30"/>
      <c r="BW987" s="30"/>
      <c r="BX987" s="30"/>
      <c r="BY987" s="30"/>
      <c r="BZ987" s="30"/>
      <c r="CA987" s="30"/>
      <c r="CB987" s="30"/>
      <c r="CC987" s="30"/>
      <c r="CD987" s="30"/>
      <c r="CE987" s="30"/>
      <c r="CF987" s="30"/>
      <c r="CG987" s="30"/>
      <c r="CH987" s="30"/>
      <c r="CI987" s="30"/>
      <c r="CJ987" s="30"/>
      <c r="CK987" s="30"/>
      <c r="CL987" s="30"/>
      <c r="CM987" s="30"/>
      <c r="CN987" s="30"/>
      <c r="CO987" s="30"/>
      <c r="CP987" s="30"/>
      <c r="CQ987" s="30"/>
      <c r="CR987" s="30"/>
      <c r="CS987" s="30"/>
      <c r="CT987" s="30"/>
      <c r="CU987" s="30"/>
      <c r="CV987" s="30"/>
      <c r="CW987" s="30"/>
      <c r="CX987" s="30"/>
      <c r="CY987" s="30"/>
      <c r="CZ987" s="30"/>
      <c r="DA987" s="30"/>
      <c r="DB987" s="30"/>
      <c r="DC987" s="30"/>
      <c r="DD987" s="30"/>
      <c r="DE987" s="30"/>
      <c r="DF987" s="30"/>
      <c r="DG987" s="30"/>
      <c r="DH987" s="30"/>
      <c r="DI987" s="30"/>
      <c r="DJ987" s="30"/>
      <c r="DK987" s="30"/>
      <c r="DL987" s="30"/>
      <c r="DM987" s="30"/>
      <c r="DN987" s="30"/>
      <c r="DO987" s="30"/>
      <c r="DP987" s="30"/>
      <c r="DQ987" s="30"/>
      <c r="DR987" s="30"/>
      <c r="DS987" s="30"/>
      <c r="DT987" s="30"/>
      <c r="DU987" s="30"/>
      <c r="DV987" s="30"/>
      <c r="DW987" s="30"/>
      <c r="DX987" s="30"/>
      <c r="DY987" s="30"/>
      <c r="DZ987" s="30"/>
    </row>
    <row r="988">
      <c r="A988" s="30"/>
      <c r="B988" s="42"/>
      <c r="C988" s="43"/>
      <c r="D988" s="30"/>
      <c r="E988" s="28"/>
      <c r="F988" s="30"/>
      <c r="G988" s="30"/>
      <c r="H988" s="30"/>
      <c r="I988" s="30"/>
      <c r="J988" s="28"/>
      <c r="K988" s="30"/>
      <c r="L988" s="30"/>
      <c r="M988" s="30"/>
      <c r="N988" s="30"/>
      <c r="O988" s="28"/>
      <c r="P988" s="30"/>
      <c r="Q988" s="30"/>
      <c r="R988" s="30"/>
      <c r="S988" s="36"/>
      <c r="T988" s="30"/>
      <c r="U988" s="36"/>
      <c r="V988" s="30"/>
      <c r="W988" s="28"/>
      <c r="X988" s="30"/>
      <c r="Y988" s="30"/>
      <c r="Z988" s="30"/>
      <c r="AA988" s="30"/>
      <c r="AB988" s="30"/>
      <c r="AC988" s="28"/>
      <c r="AD988" s="30"/>
      <c r="AE988" s="30"/>
      <c r="AF988" s="30"/>
      <c r="AG988" s="29"/>
      <c r="AH988" s="30"/>
      <c r="AI988" s="36"/>
      <c r="AJ988" s="30"/>
      <c r="AK988" s="29"/>
      <c r="AL988" s="30"/>
      <c r="AM988" s="30"/>
      <c r="AN988" s="30"/>
      <c r="AO988" s="30"/>
      <c r="AP988" s="30"/>
      <c r="AQ988" s="38"/>
      <c r="AR988" s="30"/>
      <c r="AS988" s="30"/>
      <c r="AT988" s="29"/>
      <c r="AU988" s="30"/>
      <c r="AV988" s="30"/>
      <c r="AW988" s="30"/>
      <c r="AX988" s="29"/>
      <c r="AY988" s="39"/>
      <c r="AZ988" s="30"/>
      <c r="BA988" s="30"/>
      <c r="BB988" s="29"/>
      <c r="BC988" s="52"/>
      <c r="BD988" s="30"/>
      <c r="BE988" s="29"/>
      <c r="BF988" s="30"/>
      <c r="BG988" s="30"/>
      <c r="BH988" s="30"/>
      <c r="BI988" s="30"/>
      <c r="BJ988" s="30"/>
      <c r="BK988" s="30"/>
      <c r="BL988" s="30"/>
      <c r="BM988" s="30"/>
      <c r="BN988" s="30"/>
      <c r="BO988" s="30"/>
      <c r="BP988" s="30"/>
      <c r="BQ988" s="30"/>
      <c r="BR988" s="30"/>
      <c r="BS988" s="30"/>
      <c r="BT988" s="30"/>
      <c r="BU988" s="30"/>
      <c r="BV988" s="30"/>
      <c r="BW988" s="30"/>
      <c r="BX988" s="30"/>
      <c r="BY988" s="30"/>
      <c r="BZ988" s="30"/>
      <c r="CA988" s="30"/>
      <c r="CB988" s="30"/>
      <c r="CC988" s="30"/>
      <c r="CD988" s="30"/>
      <c r="CE988" s="30"/>
      <c r="CF988" s="30"/>
      <c r="CG988" s="30"/>
      <c r="CH988" s="30"/>
      <c r="CI988" s="30"/>
      <c r="CJ988" s="30"/>
      <c r="CK988" s="30"/>
      <c r="CL988" s="30"/>
      <c r="CM988" s="30"/>
      <c r="CN988" s="30"/>
      <c r="CO988" s="30"/>
      <c r="CP988" s="30"/>
      <c r="CQ988" s="30"/>
      <c r="CR988" s="30"/>
      <c r="CS988" s="30"/>
      <c r="CT988" s="30"/>
      <c r="CU988" s="30"/>
      <c r="CV988" s="30"/>
      <c r="CW988" s="30"/>
      <c r="CX988" s="30"/>
      <c r="CY988" s="30"/>
      <c r="CZ988" s="30"/>
      <c r="DA988" s="30"/>
      <c r="DB988" s="30"/>
      <c r="DC988" s="30"/>
      <c r="DD988" s="30"/>
      <c r="DE988" s="30"/>
      <c r="DF988" s="30"/>
      <c r="DG988" s="30"/>
      <c r="DH988" s="30"/>
      <c r="DI988" s="30"/>
      <c r="DJ988" s="30"/>
      <c r="DK988" s="30"/>
      <c r="DL988" s="30"/>
      <c r="DM988" s="30"/>
      <c r="DN988" s="30"/>
      <c r="DO988" s="30"/>
      <c r="DP988" s="30"/>
      <c r="DQ988" s="30"/>
      <c r="DR988" s="30"/>
      <c r="DS988" s="30"/>
      <c r="DT988" s="30"/>
      <c r="DU988" s="30"/>
      <c r="DV988" s="30"/>
      <c r="DW988" s="30"/>
      <c r="DX988" s="30"/>
      <c r="DY988" s="30"/>
      <c r="DZ988" s="30"/>
    </row>
    <row r="989">
      <c r="A989" s="30"/>
      <c r="B989" s="42"/>
      <c r="C989" s="43"/>
      <c r="D989" s="30"/>
      <c r="E989" s="28"/>
      <c r="F989" s="30"/>
      <c r="G989" s="30"/>
      <c r="H989" s="30"/>
      <c r="I989" s="30"/>
      <c r="J989" s="28"/>
      <c r="K989" s="30"/>
      <c r="L989" s="30"/>
      <c r="M989" s="30"/>
      <c r="N989" s="30"/>
      <c r="O989" s="28"/>
      <c r="P989" s="30"/>
      <c r="Q989" s="30"/>
      <c r="R989" s="30"/>
      <c r="S989" s="36"/>
      <c r="T989" s="30"/>
      <c r="U989" s="36"/>
      <c r="V989" s="30"/>
      <c r="W989" s="28"/>
      <c r="X989" s="30"/>
      <c r="Y989" s="30"/>
      <c r="Z989" s="30"/>
      <c r="AA989" s="30"/>
      <c r="AB989" s="30"/>
      <c r="AC989" s="28"/>
      <c r="AD989" s="30"/>
      <c r="AE989" s="30"/>
      <c r="AF989" s="30"/>
      <c r="AG989" s="29"/>
      <c r="AH989" s="30"/>
      <c r="AI989" s="36"/>
      <c r="AJ989" s="30"/>
      <c r="AK989" s="29"/>
      <c r="AL989" s="30"/>
      <c r="AM989" s="30"/>
      <c r="AN989" s="30"/>
      <c r="AO989" s="30"/>
      <c r="AP989" s="30"/>
      <c r="AQ989" s="38"/>
      <c r="AR989" s="30"/>
      <c r="AS989" s="30"/>
      <c r="AT989" s="29"/>
      <c r="AU989" s="30"/>
      <c r="AV989" s="30"/>
      <c r="AW989" s="30"/>
      <c r="AX989" s="29"/>
      <c r="AY989" s="39"/>
      <c r="AZ989" s="30"/>
      <c r="BA989" s="30"/>
      <c r="BB989" s="29"/>
      <c r="BC989" s="52"/>
      <c r="BD989" s="30"/>
      <c r="BE989" s="29"/>
      <c r="BF989" s="30"/>
      <c r="BG989" s="30"/>
      <c r="BH989" s="30"/>
      <c r="BI989" s="30"/>
      <c r="BJ989" s="30"/>
      <c r="BK989" s="30"/>
      <c r="BL989" s="30"/>
      <c r="BM989" s="30"/>
      <c r="BN989" s="30"/>
      <c r="BO989" s="30"/>
      <c r="BP989" s="30"/>
      <c r="BQ989" s="30"/>
      <c r="BR989" s="30"/>
      <c r="BS989" s="30"/>
      <c r="BT989" s="30"/>
      <c r="BU989" s="30"/>
      <c r="BV989" s="30"/>
      <c r="BW989" s="30"/>
      <c r="BX989" s="30"/>
      <c r="BY989" s="30"/>
      <c r="BZ989" s="30"/>
      <c r="CA989" s="30"/>
      <c r="CB989" s="30"/>
      <c r="CC989" s="30"/>
      <c r="CD989" s="30"/>
      <c r="CE989" s="30"/>
      <c r="CF989" s="30"/>
      <c r="CG989" s="30"/>
      <c r="CH989" s="30"/>
      <c r="CI989" s="30"/>
      <c r="CJ989" s="30"/>
      <c r="CK989" s="30"/>
      <c r="CL989" s="30"/>
      <c r="CM989" s="30"/>
      <c r="CN989" s="30"/>
      <c r="CO989" s="30"/>
      <c r="CP989" s="30"/>
      <c r="CQ989" s="30"/>
      <c r="CR989" s="30"/>
      <c r="CS989" s="30"/>
      <c r="CT989" s="30"/>
      <c r="CU989" s="30"/>
      <c r="CV989" s="30"/>
      <c r="CW989" s="30"/>
      <c r="CX989" s="30"/>
      <c r="CY989" s="30"/>
      <c r="CZ989" s="30"/>
      <c r="DA989" s="30"/>
      <c r="DB989" s="30"/>
      <c r="DC989" s="30"/>
      <c r="DD989" s="30"/>
      <c r="DE989" s="30"/>
      <c r="DF989" s="30"/>
      <c r="DG989" s="30"/>
      <c r="DH989" s="30"/>
      <c r="DI989" s="30"/>
      <c r="DJ989" s="30"/>
      <c r="DK989" s="30"/>
      <c r="DL989" s="30"/>
      <c r="DM989" s="30"/>
      <c r="DN989" s="30"/>
      <c r="DO989" s="30"/>
      <c r="DP989" s="30"/>
      <c r="DQ989" s="30"/>
      <c r="DR989" s="30"/>
      <c r="DS989" s="30"/>
      <c r="DT989" s="30"/>
      <c r="DU989" s="30"/>
      <c r="DV989" s="30"/>
      <c r="DW989" s="30"/>
      <c r="DX989" s="30"/>
      <c r="DY989" s="30"/>
      <c r="DZ989" s="30"/>
    </row>
    <row r="990">
      <c r="A990" s="30"/>
      <c r="B990" s="42"/>
      <c r="C990" s="43"/>
      <c r="D990" s="30"/>
      <c r="E990" s="28"/>
      <c r="F990" s="30"/>
      <c r="G990" s="30"/>
      <c r="H990" s="30"/>
      <c r="I990" s="30"/>
      <c r="J990" s="28"/>
      <c r="K990" s="30"/>
      <c r="L990" s="30"/>
      <c r="M990" s="30"/>
      <c r="N990" s="30"/>
      <c r="O990" s="28"/>
      <c r="P990" s="30"/>
      <c r="Q990" s="30"/>
      <c r="R990" s="30"/>
      <c r="S990" s="36"/>
      <c r="T990" s="30"/>
      <c r="U990" s="36"/>
      <c r="V990" s="30"/>
      <c r="W990" s="28"/>
      <c r="X990" s="30"/>
      <c r="Y990" s="30"/>
      <c r="Z990" s="30"/>
      <c r="AA990" s="30"/>
      <c r="AB990" s="30"/>
      <c r="AC990" s="28"/>
      <c r="AD990" s="30"/>
      <c r="AE990" s="30"/>
      <c r="AF990" s="30"/>
      <c r="AG990" s="29"/>
      <c r="AH990" s="30"/>
      <c r="AI990" s="36"/>
      <c r="AJ990" s="30"/>
      <c r="AK990" s="29"/>
      <c r="AL990" s="30"/>
      <c r="AM990" s="30"/>
      <c r="AN990" s="30"/>
      <c r="AO990" s="30"/>
      <c r="AP990" s="30"/>
      <c r="AQ990" s="38"/>
      <c r="AR990" s="30"/>
      <c r="AS990" s="30"/>
      <c r="AT990" s="29"/>
      <c r="AU990" s="30"/>
      <c r="AV990" s="30"/>
      <c r="AW990" s="30"/>
      <c r="AX990" s="29"/>
      <c r="AY990" s="39"/>
      <c r="AZ990" s="30"/>
      <c r="BA990" s="30"/>
      <c r="BB990" s="29"/>
      <c r="BC990" s="52"/>
      <c r="BD990" s="30"/>
      <c r="BE990" s="29"/>
      <c r="BF990" s="30"/>
      <c r="BG990" s="30"/>
      <c r="BH990" s="30"/>
      <c r="BI990" s="30"/>
      <c r="BJ990" s="30"/>
      <c r="BK990" s="30"/>
      <c r="BL990" s="30"/>
      <c r="BM990" s="30"/>
      <c r="BN990" s="30"/>
      <c r="BO990" s="30"/>
      <c r="BP990" s="30"/>
      <c r="BQ990" s="30"/>
      <c r="BR990" s="30"/>
      <c r="BS990" s="30"/>
      <c r="BT990" s="30"/>
      <c r="BU990" s="30"/>
      <c r="BV990" s="30"/>
      <c r="BW990" s="30"/>
      <c r="BX990" s="30"/>
      <c r="BY990" s="30"/>
      <c r="BZ990" s="30"/>
      <c r="CA990" s="30"/>
      <c r="CB990" s="30"/>
      <c r="CC990" s="30"/>
      <c r="CD990" s="30"/>
      <c r="CE990" s="30"/>
      <c r="CF990" s="30"/>
      <c r="CG990" s="30"/>
      <c r="CH990" s="30"/>
      <c r="CI990" s="30"/>
      <c r="CJ990" s="30"/>
      <c r="CK990" s="30"/>
      <c r="CL990" s="30"/>
      <c r="CM990" s="30"/>
      <c r="CN990" s="30"/>
      <c r="CO990" s="30"/>
      <c r="CP990" s="30"/>
      <c r="CQ990" s="30"/>
      <c r="CR990" s="30"/>
      <c r="CS990" s="30"/>
      <c r="CT990" s="30"/>
      <c r="CU990" s="30"/>
      <c r="CV990" s="30"/>
      <c r="CW990" s="30"/>
      <c r="CX990" s="30"/>
      <c r="CY990" s="30"/>
      <c r="CZ990" s="30"/>
      <c r="DA990" s="30"/>
      <c r="DB990" s="30"/>
      <c r="DC990" s="30"/>
      <c r="DD990" s="30"/>
      <c r="DE990" s="30"/>
      <c r="DF990" s="30"/>
      <c r="DG990" s="30"/>
      <c r="DH990" s="30"/>
      <c r="DI990" s="30"/>
      <c r="DJ990" s="30"/>
      <c r="DK990" s="30"/>
      <c r="DL990" s="30"/>
      <c r="DM990" s="30"/>
      <c r="DN990" s="30"/>
      <c r="DO990" s="30"/>
      <c r="DP990" s="30"/>
      <c r="DQ990" s="30"/>
      <c r="DR990" s="30"/>
      <c r="DS990" s="30"/>
      <c r="DT990" s="30"/>
      <c r="DU990" s="30"/>
      <c r="DV990" s="30"/>
      <c r="DW990" s="30"/>
      <c r="DX990" s="30"/>
      <c r="DY990" s="30"/>
      <c r="DZ990" s="30"/>
    </row>
    <row r="991">
      <c r="A991" s="30"/>
      <c r="B991" s="42"/>
      <c r="C991" s="43"/>
      <c r="D991" s="30"/>
      <c r="E991" s="28"/>
      <c r="F991" s="30"/>
      <c r="G991" s="30"/>
      <c r="H991" s="30"/>
      <c r="I991" s="30"/>
      <c r="J991" s="28"/>
      <c r="K991" s="30"/>
      <c r="L991" s="30"/>
      <c r="M991" s="30"/>
      <c r="N991" s="30"/>
      <c r="O991" s="28"/>
      <c r="P991" s="30"/>
      <c r="Q991" s="30"/>
      <c r="R991" s="30"/>
      <c r="S991" s="36"/>
      <c r="T991" s="30"/>
      <c r="U991" s="36"/>
      <c r="V991" s="30"/>
      <c r="W991" s="28"/>
      <c r="X991" s="30"/>
      <c r="Y991" s="30"/>
      <c r="Z991" s="30"/>
      <c r="AA991" s="30"/>
      <c r="AB991" s="30"/>
      <c r="AC991" s="28"/>
      <c r="AD991" s="30"/>
      <c r="AE991" s="30"/>
      <c r="AF991" s="30"/>
      <c r="AG991" s="29"/>
      <c r="AH991" s="30"/>
      <c r="AI991" s="36"/>
      <c r="AJ991" s="30"/>
      <c r="AK991" s="29"/>
      <c r="AL991" s="30"/>
      <c r="AM991" s="30"/>
      <c r="AN991" s="30"/>
      <c r="AO991" s="30"/>
      <c r="AP991" s="30"/>
      <c r="AQ991" s="38"/>
      <c r="AR991" s="30"/>
      <c r="AS991" s="30"/>
      <c r="AT991" s="29"/>
      <c r="AU991" s="30"/>
      <c r="AV991" s="30"/>
      <c r="AW991" s="30"/>
      <c r="AX991" s="29"/>
      <c r="AY991" s="39"/>
      <c r="AZ991" s="30"/>
      <c r="BA991" s="30"/>
      <c r="BB991" s="29"/>
      <c r="BC991" s="52"/>
      <c r="BD991" s="30"/>
      <c r="BE991" s="29"/>
      <c r="BF991" s="30"/>
      <c r="BG991" s="30"/>
      <c r="BH991" s="30"/>
      <c r="BI991" s="30"/>
      <c r="BJ991" s="30"/>
      <c r="BK991" s="30"/>
      <c r="BL991" s="30"/>
      <c r="BM991" s="30"/>
      <c r="BN991" s="30"/>
      <c r="BO991" s="30"/>
      <c r="BP991" s="30"/>
      <c r="BQ991" s="30"/>
      <c r="BR991" s="30"/>
      <c r="BS991" s="30"/>
      <c r="BT991" s="30"/>
      <c r="BU991" s="30"/>
      <c r="BV991" s="30"/>
      <c r="BW991" s="30"/>
      <c r="BX991" s="30"/>
      <c r="BY991" s="30"/>
      <c r="BZ991" s="30"/>
      <c r="CA991" s="30"/>
      <c r="CB991" s="30"/>
      <c r="CC991" s="30"/>
      <c r="CD991" s="30"/>
      <c r="CE991" s="30"/>
      <c r="CF991" s="30"/>
      <c r="CG991" s="30"/>
      <c r="CH991" s="30"/>
      <c r="CI991" s="30"/>
      <c r="CJ991" s="30"/>
      <c r="CK991" s="30"/>
      <c r="CL991" s="30"/>
      <c r="CM991" s="30"/>
      <c r="CN991" s="30"/>
      <c r="CO991" s="30"/>
      <c r="CP991" s="30"/>
      <c r="CQ991" s="30"/>
      <c r="CR991" s="30"/>
      <c r="CS991" s="30"/>
      <c r="CT991" s="30"/>
      <c r="CU991" s="30"/>
      <c r="CV991" s="30"/>
      <c r="CW991" s="30"/>
      <c r="CX991" s="30"/>
      <c r="CY991" s="30"/>
      <c r="CZ991" s="30"/>
      <c r="DA991" s="30"/>
      <c r="DB991" s="30"/>
      <c r="DC991" s="30"/>
      <c r="DD991" s="30"/>
      <c r="DE991" s="30"/>
      <c r="DF991" s="30"/>
      <c r="DG991" s="30"/>
      <c r="DH991" s="30"/>
      <c r="DI991" s="30"/>
      <c r="DJ991" s="30"/>
      <c r="DK991" s="30"/>
      <c r="DL991" s="30"/>
      <c r="DM991" s="30"/>
      <c r="DN991" s="30"/>
      <c r="DO991" s="30"/>
      <c r="DP991" s="30"/>
      <c r="DQ991" s="30"/>
      <c r="DR991" s="30"/>
      <c r="DS991" s="30"/>
      <c r="DT991" s="30"/>
      <c r="DU991" s="30"/>
      <c r="DV991" s="30"/>
      <c r="DW991" s="30"/>
      <c r="DX991" s="30"/>
      <c r="DY991" s="30"/>
      <c r="DZ991" s="30"/>
    </row>
    <row r="992">
      <c r="A992" s="30"/>
      <c r="B992" s="42"/>
      <c r="C992" s="43"/>
      <c r="D992" s="30"/>
      <c r="E992" s="28"/>
      <c r="F992" s="30"/>
      <c r="G992" s="30"/>
      <c r="H992" s="30"/>
      <c r="I992" s="30"/>
      <c r="J992" s="28"/>
      <c r="K992" s="30"/>
      <c r="L992" s="30"/>
      <c r="M992" s="30"/>
      <c r="N992" s="30"/>
      <c r="O992" s="28"/>
      <c r="P992" s="30"/>
      <c r="Q992" s="30"/>
      <c r="R992" s="30"/>
      <c r="S992" s="36"/>
      <c r="T992" s="30"/>
      <c r="U992" s="36"/>
      <c r="V992" s="30"/>
      <c r="W992" s="28"/>
      <c r="X992" s="30"/>
      <c r="Y992" s="30"/>
      <c r="Z992" s="30"/>
      <c r="AA992" s="30"/>
      <c r="AB992" s="30"/>
      <c r="AC992" s="28"/>
      <c r="AD992" s="30"/>
      <c r="AE992" s="30"/>
      <c r="AF992" s="30"/>
      <c r="AG992" s="29"/>
      <c r="AH992" s="30"/>
      <c r="AI992" s="36"/>
      <c r="AJ992" s="30"/>
      <c r="AK992" s="29"/>
      <c r="AL992" s="30"/>
      <c r="AM992" s="30"/>
      <c r="AN992" s="30"/>
      <c r="AO992" s="30"/>
      <c r="AP992" s="30"/>
      <c r="AQ992" s="38"/>
      <c r="AR992" s="30"/>
      <c r="AS992" s="30"/>
      <c r="AT992" s="29"/>
      <c r="AU992" s="30"/>
      <c r="AV992" s="30"/>
      <c r="AW992" s="30"/>
      <c r="AX992" s="29"/>
      <c r="AY992" s="39"/>
      <c r="AZ992" s="30"/>
      <c r="BA992" s="30"/>
      <c r="BB992" s="29"/>
      <c r="BC992" s="52"/>
      <c r="BD992" s="30"/>
      <c r="BE992" s="29"/>
      <c r="BF992" s="30"/>
      <c r="BG992" s="30"/>
      <c r="BH992" s="30"/>
      <c r="BI992" s="30"/>
      <c r="BJ992" s="30"/>
      <c r="BK992" s="30"/>
      <c r="BL992" s="30"/>
      <c r="BM992" s="30"/>
      <c r="BN992" s="30"/>
      <c r="BO992" s="30"/>
      <c r="BP992" s="30"/>
      <c r="BQ992" s="30"/>
      <c r="BR992" s="30"/>
      <c r="BS992" s="30"/>
      <c r="BT992" s="30"/>
      <c r="BU992" s="30"/>
      <c r="BV992" s="30"/>
      <c r="BW992" s="30"/>
      <c r="BX992" s="30"/>
      <c r="BY992" s="30"/>
      <c r="BZ992" s="30"/>
      <c r="CA992" s="30"/>
      <c r="CB992" s="30"/>
      <c r="CC992" s="30"/>
      <c r="CD992" s="30"/>
      <c r="CE992" s="30"/>
      <c r="CF992" s="30"/>
      <c r="CG992" s="30"/>
      <c r="CH992" s="30"/>
      <c r="CI992" s="30"/>
      <c r="CJ992" s="30"/>
      <c r="CK992" s="30"/>
      <c r="CL992" s="30"/>
      <c r="CM992" s="30"/>
      <c r="CN992" s="30"/>
      <c r="CO992" s="30"/>
      <c r="CP992" s="30"/>
      <c r="CQ992" s="30"/>
      <c r="CR992" s="30"/>
      <c r="CS992" s="30"/>
      <c r="CT992" s="30"/>
      <c r="CU992" s="30"/>
      <c r="CV992" s="30"/>
      <c r="CW992" s="30"/>
      <c r="CX992" s="30"/>
      <c r="CY992" s="30"/>
      <c r="CZ992" s="30"/>
      <c r="DA992" s="30"/>
      <c r="DB992" s="30"/>
      <c r="DC992" s="30"/>
      <c r="DD992" s="30"/>
      <c r="DE992" s="30"/>
      <c r="DF992" s="30"/>
      <c r="DG992" s="30"/>
      <c r="DH992" s="30"/>
      <c r="DI992" s="30"/>
      <c r="DJ992" s="30"/>
      <c r="DK992" s="30"/>
      <c r="DL992" s="30"/>
      <c r="DM992" s="30"/>
      <c r="DN992" s="30"/>
      <c r="DO992" s="30"/>
      <c r="DP992" s="30"/>
      <c r="DQ992" s="30"/>
      <c r="DR992" s="30"/>
      <c r="DS992" s="30"/>
      <c r="DT992" s="30"/>
      <c r="DU992" s="30"/>
      <c r="DV992" s="30"/>
      <c r="DW992" s="30"/>
      <c r="DX992" s="30"/>
      <c r="DY992" s="30"/>
      <c r="DZ992" s="30"/>
    </row>
    <row r="993">
      <c r="A993" s="30"/>
      <c r="B993" s="42"/>
      <c r="C993" s="43"/>
      <c r="D993" s="30"/>
      <c r="E993" s="28"/>
      <c r="F993" s="30"/>
      <c r="G993" s="30"/>
      <c r="H993" s="30"/>
      <c r="I993" s="30"/>
      <c r="J993" s="28"/>
      <c r="K993" s="30"/>
      <c r="L993" s="30"/>
      <c r="M993" s="30"/>
      <c r="N993" s="30"/>
      <c r="O993" s="28"/>
      <c r="P993" s="30"/>
      <c r="Q993" s="30"/>
      <c r="R993" s="30"/>
      <c r="S993" s="36"/>
      <c r="T993" s="30"/>
      <c r="U993" s="36"/>
      <c r="V993" s="30"/>
      <c r="W993" s="28"/>
      <c r="X993" s="30"/>
      <c r="Y993" s="30"/>
      <c r="Z993" s="30"/>
      <c r="AA993" s="30"/>
      <c r="AB993" s="30"/>
      <c r="AC993" s="28"/>
      <c r="AD993" s="30"/>
      <c r="AE993" s="30"/>
      <c r="AF993" s="30"/>
      <c r="AG993" s="29"/>
      <c r="AH993" s="30"/>
      <c r="AI993" s="36"/>
      <c r="AJ993" s="30"/>
      <c r="AK993" s="29"/>
      <c r="AL993" s="30"/>
      <c r="AM993" s="30"/>
      <c r="AN993" s="30"/>
      <c r="AO993" s="30"/>
      <c r="AP993" s="30"/>
      <c r="AQ993" s="38"/>
      <c r="AR993" s="30"/>
      <c r="AS993" s="30"/>
      <c r="AT993" s="29"/>
      <c r="AU993" s="30"/>
      <c r="AV993" s="30"/>
      <c r="AW993" s="30"/>
      <c r="AX993" s="29"/>
      <c r="AY993" s="39"/>
      <c r="AZ993" s="30"/>
      <c r="BA993" s="30"/>
      <c r="BB993" s="29"/>
      <c r="BC993" s="52"/>
      <c r="BD993" s="30"/>
      <c r="BE993" s="29"/>
      <c r="BF993" s="30"/>
      <c r="BG993" s="30"/>
      <c r="BH993" s="30"/>
      <c r="BI993" s="30"/>
      <c r="BJ993" s="30"/>
      <c r="BK993" s="30"/>
      <c r="BL993" s="30"/>
      <c r="BM993" s="30"/>
      <c r="BN993" s="30"/>
      <c r="BO993" s="30"/>
      <c r="BP993" s="30"/>
      <c r="BQ993" s="30"/>
      <c r="BR993" s="30"/>
      <c r="BS993" s="30"/>
      <c r="BT993" s="30"/>
      <c r="BU993" s="30"/>
      <c r="BV993" s="30"/>
      <c r="BW993" s="30"/>
      <c r="BX993" s="30"/>
      <c r="BY993" s="30"/>
      <c r="BZ993" s="30"/>
      <c r="CA993" s="30"/>
      <c r="CB993" s="30"/>
      <c r="CC993" s="30"/>
      <c r="CD993" s="30"/>
      <c r="CE993" s="30"/>
      <c r="CF993" s="30"/>
      <c r="CG993" s="30"/>
      <c r="CH993" s="30"/>
      <c r="CI993" s="30"/>
      <c r="CJ993" s="30"/>
      <c r="CK993" s="30"/>
      <c r="CL993" s="30"/>
      <c r="CM993" s="30"/>
      <c r="CN993" s="30"/>
      <c r="CO993" s="30"/>
      <c r="CP993" s="30"/>
      <c r="CQ993" s="30"/>
      <c r="CR993" s="30"/>
      <c r="CS993" s="30"/>
      <c r="CT993" s="30"/>
      <c r="CU993" s="30"/>
      <c r="CV993" s="30"/>
      <c r="CW993" s="30"/>
      <c r="CX993" s="30"/>
      <c r="CY993" s="30"/>
      <c r="CZ993" s="30"/>
      <c r="DA993" s="30"/>
      <c r="DB993" s="30"/>
      <c r="DC993" s="30"/>
      <c r="DD993" s="30"/>
      <c r="DE993" s="30"/>
      <c r="DF993" s="30"/>
      <c r="DG993" s="30"/>
      <c r="DH993" s="30"/>
      <c r="DI993" s="30"/>
      <c r="DJ993" s="30"/>
      <c r="DK993" s="30"/>
      <c r="DL993" s="30"/>
      <c r="DM993" s="30"/>
      <c r="DN993" s="30"/>
      <c r="DO993" s="30"/>
      <c r="DP993" s="30"/>
      <c r="DQ993" s="30"/>
      <c r="DR993" s="30"/>
      <c r="DS993" s="30"/>
      <c r="DT993" s="30"/>
      <c r="DU993" s="30"/>
      <c r="DV993" s="30"/>
      <c r="DW993" s="30"/>
      <c r="DX993" s="30"/>
      <c r="DY993" s="30"/>
      <c r="DZ993" s="30"/>
    </row>
    <row r="994">
      <c r="A994" s="30"/>
      <c r="B994" s="42"/>
      <c r="C994" s="43"/>
      <c r="D994" s="30"/>
      <c r="E994" s="28"/>
      <c r="F994" s="30"/>
      <c r="G994" s="30"/>
      <c r="H994" s="30"/>
      <c r="I994" s="30"/>
      <c r="J994" s="28"/>
      <c r="K994" s="30"/>
      <c r="L994" s="30"/>
      <c r="M994" s="30"/>
      <c r="N994" s="30"/>
      <c r="O994" s="28"/>
      <c r="P994" s="30"/>
      <c r="Q994" s="30"/>
      <c r="R994" s="30"/>
      <c r="S994" s="36"/>
      <c r="T994" s="30"/>
      <c r="U994" s="36"/>
      <c r="V994" s="30"/>
      <c r="W994" s="28"/>
      <c r="X994" s="30"/>
      <c r="Y994" s="30"/>
      <c r="Z994" s="30"/>
      <c r="AA994" s="30"/>
      <c r="AB994" s="30"/>
      <c r="AC994" s="28"/>
      <c r="AD994" s="30"/>
      <c r="AE994" s="30"/>
      <c r="AF994" s="30"/>
      <c r="AG994" s="29"/>
      <c r="AH994" s="30"/>
      <c r="AI994" s="36"/>
      <c r="AJ994" s="30"/>
      <c r="AK994" s="29"/>
      <c r="AL994" s="30"/>
      <c r="AM994" s="30"/>
      <c r="AN994" s="30"/>
      <c r="AO994" s="30"/>
      <c r="AP994" s="30"/>
      <c r="AQ994" s="38"/>
      <c r="AR994" s="30"/>
      <c r="AS994" s="30"/>
      <c r="AT994" s="29"/>
      <c r="AU994" s="30"/>
      <c r="AV994" s="30"/>
      <c r="AW994" s="30"/>
      <c r="AX994" s="29"/>
      <c r="AY994" s="39"/>
      <c r="AZ994" s="30"/>
      <c r="BA994" s="30"/>
      <c r="BB994" s="29"/>
      <c r="BC994" s="52"/>
      <c r="BD994" s="30"/>
      <c r="BE994" s="29"/>
      <c r="BF994" s="30"/>
      <c r="BG994" s="30"/>
      <c r="BH994" s="30"/>
      <c r="BI994" s="30"/>
      <c r="BJ994" s="30"/>
      <c r="BK994" s="30"/>
      <c r="BL994" s="30"/>
      <c r="BM994" s="30"/>
      <c r="BN994" s="30"/>
      <c r="BO994" s="30"/>
      <c r="BP994" s="30"/>
      <c r="BQ994" s="30"/>
      <c r="BR994" s="30"/>
      <c r="BS994" s="30"/>
      <c r="BT994" s="30"/>
      <c r="BU994" s="30"/>
      <c r="BV994" s="30"/>
      <c r="BW994" s="30"/>
      <c r="BX994" s="30"/>
      <c r="BY994" s="30"/>
      <c r="BZ994" s="30"/>
      <c r="CA994" s="30"/>
      <c r="CB994" s="30"/>
      <c r="CC994" s="30"/>
      <c r="CD994" s="30"/>
      <c r="CE994" s="30"/>
      <c r="CF994" s="30"/>
      <c r="CG994" s="30"/>
      <c r="CH994" s="30"/>
      <c r="CI994" s="30"/>
      <c r="CJ994" s="30"/>
      <c r="CK994" s="30"/>
      <c r="CL994" s="30"/>
      <c r="CM994" s="30"/>
      <c r="CN994" s="30"/>
      <c r="CO994" s="30"/>
      <c r="CP994" s="30"/>
      <c r="CQ994" s="30"/>
      <c r="CR994" s="30"/>
      <c r="CS994" s="30"/>
      <c r="CT994" s="30"/>
      <c r="CU994" s="30"/>
      <c r="CV994" s="30"/>
      <c r="CW994" s="30"/>
      <c r="CX994" s="30"/>
      <c r="CY994" s="30"/>
      <c r="CZ994" s="30"/>
      <c r="DA994" s="30"/>
      <c r="DB994" s="30"/>
      <c r="DC994" s="30"/>
      <c r="DD994" s="30"/>
      <c r="DE994" s="30"/>
      <c r="DF994" s="30"/>
      <c r="DG994" s="30"/>
      <c r="DH994" s="30"/>
      <c r="DI994" s="30"/>
      <c r="DJ994" s="30"/>
      <c r="DK994" s="30"/>
      <c r="DL994" s="30"/>
      <c r="DM994" s="30"/>
      <c r="DN994" s="30"/>
      <c r="DO994" s="30"/>
      <c r="DP994" s="30"/>
      <c r="DQ994" s="30"/>
      <c r="DR994" s="30"/>
      <c r="DS994" s="30"/>
      <c r="DT994" s="30"/>
      <c r="DU994" s="30"/>
      <c r="DV994" s="30"/>
      <c r="DW994" s="30"/>
      <c r="DX994" s="30"/>
      <c r="DY994" s="30"/>
      <c r="DZ994" s="30"/>
    </row>
    <row r="995">
      <c r="A995" s="30"/>
      <c r="B995" s="42"/>
      <c r="C995" s="43"/>
      <c r="D995" s="30"/>
      <c r="E995" s="28"/>
      <c r="F995" s="30"/>
      <c r="G995" s="30"/>
      <c r="H995" s="30"/>
      <c r="I995" s="30"/>
      <c r="J995" s="28"/>
      <c r="K995" s="30"/>
      <c r="L995" s="30"/>
      <c r="M995" s="30"/>
      <c r="N995" s="30"/>
      <c r="O995" s="28"/>
      <c r="P995" s="30"/>
      <c r="Q995" s="30"/>
      <c r="R995" s="30"/>
      <c r="S995" s="36"/>
      <c r="T995" s="30"/>
      <c r="U995" s="36"/>
      <c r="V995" s="30"/>
      <c r="W995" s="28"/>
      <c r="X995" s="30"/>
      <c r="Y995" s="30"/>
      <c r="Z995" s="30"/>
      <c r="AA995" s="30"/>
      <c r="AB995" s="30"/>
      <c r="AC995" s="28"/>
      <c r="AD995" s="30"/>
      <c r="AE995" s="30"/>
      <c r="AF995" s="30"/>
      <c r="AG995" s="29"/>
      <c r="AH995" s="30"/>
      <c r="AI995" s="36"/>
      <c r="AJ995" s="30"/>
      <c r="AK995" s="29"/>
      <c r="AL995" s="30"/>
      <c r="AM995" s="30"/>
      <c r="AN995" s="30"/>
      <c r="AO995" s="30"/>
      <c r="AP995" s="30"/>
      <c r="AQ995" s="38"/>
      <c r="AR995" s="30"/>
      <c r="AS995" s="30"/>
      <c r="AT995" s="29"/>
      <c r="AU995" s="30"/>
      <c r="AV995" s="30"/>
      <c r="AW995" s="30"/>
      <c r="AX995" s="29"/>
      <c r="AY995" s="39"/>
      <c r="AZ995" s="30"/>
      <c r="BA995" s="30"/>
      <c r="BB995" s="29"/>
      <c r="BC995" s="52"/>
      <c r="BD995" s="30"/>
      <c r="BE995" s="29"/>
      <c r="BF995" s="30"/>
      <c r="BG995" s="30"/>
      <c r="BH995" s="30"/>
      <c r="BI995" s="30"/>
      <c r="BJ995" s="30"/>
      <c r="BK995" s="30"/>
      <c r="BL995" s="30"/>
      <c r="BM995" s="30"/>
      <c r="BN995" s="30"/>
      <c r="BO995" s="30"/>
      <c r="BP995" s="30"/>
      <c r="BQ995" s="30"/>
      <c r="BR995" s="30"/>
      <c r="BS995" s="30"/>
      <c r="BT995" s="30"/>
      <c r="BU995" s="30"/>
      <c r="BV995" s="30"/>
      <c r="BW995" s="30"/>
      <c r="BX995" s="30"/>
      <c r="BY995" s="30"/>
      <c r="BZ995" s="30"/>
      <c r="CA995" s="30"/>
      <c r="CB995" s="30"/>
      <c r="CC995" s="30"/>
      <c r="CD995" s="30"/>
      <c r="CE995" s="30"/>
      <c r="CF995" s="30"/>
      <c r="CG995" s="30"/>
      <c r="CH995" s="30"/>
      <c r="CI995" s="30"/>
      <c r="CJ995" s="30"/>
      <c r="CK995" s="30"/>
      <c r="CL995" s="30"/>
      <c r="CM995" s="30"/>
      <c r="CN995" s="30"/>
      <c r="CO995" s="30"/>
      <c r="CP995" s="30"/>
      <c r="CQ995" s="30"/>
      <c r="CR995" s="30"/>
      <c r="CS995" s="30"/>
      <c r="CT995" s="30"/>
      <c r="CU995" s="30"/>
      <c r="CV995" s="30"/>
      <c r="CW995" s="30"/>
      <c r="CX995" s="30"/>
      <c r="CY995" s="30"/>
      <c r="CZ995" s="30"/>
      <c r="DA995" s="30"/>
      <c r="DB995" s="30"/>
      <c r="DC995" s="30"/>
      <c r="DD995" s="30"/>
      <c r="DE995" s="30"/>
      <c r="DF995" s="30"/>
      <c r="DG995" s="30"/>
      <c r="DH995" s="30"/>
      <c r="DI995" s="30"/>
      <c r="DJ995" s="30"/>
      <c r="DK995" s="30"/>
      <c r="DL995" s="30"/>
      <c r="DM995" s="30"/>
      <c r="DN995" s="30"/>
      <c r="DO995" s="30"/>
      <c r="DP995" s="30"/>
      <c r="DQ995" s="30"/>
      <c r="DR995" s="30"/>
      <c r="DS995" s="30"/>
      <c r="DT995" s="30"/>
      <c r="DU995" s="30"/>
      <c r="DV995" s="30"/>
      <c r="DW995" s="30"/>
      <c r="DX995" s="30"/>
      <c r="DY995" s="30"/>
      <c r="DZ995" s="30"/>
    </row>
    <row r="996">
      <c r="A996" s="30"/>
      <c r="B996" s="42"/>
      <c r="C996" s="43"/>
      <c r="D996" s="30"/>
      <c r="E996" s="28"/>
      <c r="F996" s="30"/>
      <c r="G996" s="30"/>
      <c r="H996" s="30"/>
      <c r="I996" s="30"/>
      <c r="J996" s="28"/>
      <c r="K996" s="30"/>
      <c r="L996" s="30"/>
      <c r="M996" s="30"/>
      <c r="N996" s="30"/>
      <c r="O996" s="28"/>
      <c r="P996" s="30"/>
      <c r="Q996" s="30"/>
      <c r="R996" s="30"/>
      <c r="S996" s="36"/>
      <c r="T996" s="30"/>
      <c r="U996" s="36"/>
      <c r="V996" s="30"/>
      <c r="W996" s="28"/>
      <c r="X996" s="30"/>
      <c r="Y996" s="30"/>
      <c r="Z996" s="30"/>
      <c r="AA996" s="30"/>
      <c r="AB996" s="30"/>
      <c r="AC996" s="28"/>
      <c r="AD996" s="30"/>
      <c r="AE996" s="30"/>
      <c r="AF996" s="30"/>
      <c r="AG996" s="29"/>
      <c r="AH996" s="30"/>
      <c r="AI996" s="36"/>
      <c r="AJ996" s="30"/>
      <c r="AK996" s="29"/>
      <c r="AL996" s="30"/>
      <c r="AM996" s="30"/>
      <c r="AN996" s="30"/>
      <c r="AO996" s="30"/>
      <c r="AP996" s="30"/>
      <c r="AQ996" s="38"/>
      <c r="AR996" s="30"/>
      <c r="AS996" s="30"/>
      <c r="AT996" s="29"/>
      <c r="AU996" s="30"/>
      <c r="AV996" s="30"/>
      <c r="AW996" s="30"/>
      <c r="AX996" s="29"/>
      <c r="AY996" s="39"/>
      <c r="AZ996" s="30"/>
      <c r="BA996" s="30"/>
      <c r="BB996" s="29"/>
      <c r="BC996" s="52"/>
      <c r="BD996" s="30"/>
      <c r="BE996" s="29"/>
      <c r="BF996" s="30"/>
      <c r="BG996" s="30"/>
      <c r="BH996" s="30"/>
      <c r="BI996" s="30"/>
      <c r="BJ996" s="30"/>
      <c r="BK996" s="30"/>
      <c r="BL996" s="30"/>
      <c r="BM996" s="30"/>
      <c r="BN996" s="30"/>
      <c r="BO996" s="30"/>
      <c r="BP996" s="30"/>
      <c r="BQ996" s="30"/>
      <c r="BR996" s="30"/>
      <c r="BS996" s="30"/>
      <c r="BT996" s="30"/>
      <c r="BU996" s="30"/>
      <c r="BV996" s="30"/>
      <c r="BW996" s="30"/>
      <c r="BX996" s="30"/>
      <c r="BY996" s="30"/>
      <c r="BZ996" s="30"/>
      <c r="CA996" s="30"/>
      <c r="CB996" s="30"/>
      <c r="CC996" s="30"/>
      <c r="CD996" s="30"/>
      <c r="CE996" s="30"/>
      <c r="CF996" s="30"/>
      <c r="CG996" s="30"/>
      <c r="CH996" s="30"/>
      <c r="CI996" s="30"/>
      <c r="CJ996" s="30"/>
      <c r="CK996" s="30"/>
      <c r="CL996" s="30"/>
      <c r="CM996" s="30"/>
      <c r="CN996" s="30"/>
      <c r="CO996" s="30"/>
      <c r="CP996" s="30"/>
      <c r="CQ996" s="30"/>
      <c r="CR996" s="30"/>
      <c r="CS996" s="30"/>
      <c r="CT996" s="30"/>
      <c r="CU996" s="30"/>
      <c r="CV996" s="30"/>
      <c r="CW996" s="30"/>
      <c r="CX996" s="30"/>
      <c r="CY996" s="30"/>
      <c r="CZ996" s="30"/>
      <c r="DA996" s="30"/>
      <c r="DB996" s="30"/>
      <c r="DC996" s="30"/>
      <c r="DD996" s="30"/>
      <c r="DE996" s="30"/>
      <c r="DF996" s="30"/>
      <c r="DG996" s="30"/>
      <c r="DH996" s="30"/>
      <c r="DI996" s="30"/>
      <c r="DJ996" s="30"/>
      <c r="DK996" s="30"/>
      <c r="DL996" s="30"/>
      <c r="DM996" s="30"/>
      <c r="DN996" s="30"/>
      <c r="DO996" s="30"/>
      <c r="DP996" s="30"/>
      <c r="DQ996" s="30"/>
      <c r="DR996" s="30"/>
      <c r="DS996" s="30"/>
      <c r="DT996" s="30"/>
      <c r="DU996" s="30"/>
      <c r="DV996" s="30"/>
      <c r="DW996" s="30"/>
      <c r="DX996" s="30"/>
      <c r="DY996" s="30"/>
      <c r="DZ996" s="30"/>
    </row>
    <row r="997">
      <c r="A997" s="30"/>
      <c r="B997" s="42"/>
      <c r="C997" s="43"/>
      <c r="D997" s="30"/>
      <c r="E997" s="28"/>
      <c r="F997" s="30"/>
      <c r="G997" s="30"/>
      <c r="H997" s="30"/>
      <c r="I997" s="30"/>
      <c r="J997" s="28"/>
      <c r="K997" s="30"/>
      <c r="L997" s="30"/>
      <c r="M997" s="30"/>
      <c r="N997" s="30"/>
      <c r="O997" s="28"/>
      <c r="P997" s="30"/>
      <c r="Q997" s="30"/>
      <c r="R997" s="30"/>
      <c r="S997" s="36"/>
      <c r="T997" s="30"/>
      <c r="U997" s="36"/>
      <c r="V997" s="30"/>
      <c r="W997" s="28"/>
      <c r="X997" s="30"/>
      <c r="Y997" s="30"/>
      <c r="Z997" s="30"/>
      <c r="AA997" s="30"/>
      <c r="AB997" s="30"/>
      <c r="AC997" s="28"/>
      <c r="AD997" s="30"/>
      <c r="AE997" s="30"/>
      <c r="AF997" s="30"/>
      <c r="AG997" s="29"/>
      <c r="AH997" s="30"/>
      <c r="AI997" s="36"/>
      <c r="AJ997" s="30"/>
      <c r="AK997" s="29"/>
      <c r="AL997" s="30"/>
      <c r="AM997" s="30"/>
      <c r="AN997" s="30"/>
      <c r="AO997" s="30"/>
      <c r="AP997" s="30"/>
      <c r="AQ997" s="38"/>
      <c r="AR997" s="30"/>
      <c r="AS997" s="30"/>
      <c r="AT997" s="29"/>
      <c r="AU997" s="30"/>
      <c r="AV997" s="30"/>
      <c r="AW997" s="30"/>
      <c r="AX997" s="29"/>
      <c r="AY997" s="39"/>
      <c r="AZ997" s="30"/>
      <c r="BA997" s="30"/>
      <c r="BB997" s="29"/>
      <c r="BC997" s="52"/>
      <c r="BD997" s="30"/>
      <c r="BE997" s="29"/>
      <c r="BF997" s="30"/>
      <c r="BG997" s="30"/>
      <c r="BH997" s="30"/>
      <c r="BI997" s="30"/>
      <c r="BJ997" s="30"/>
      <c r="BK997" s="30"/>
      <c r="BL997" s="30"/>
      <c r="BM997" s="30"/>
      <c r="BN997" s="30"/>
      <c r="BO997" s="30"/>
      <c r="BP997" s="30"/>
      <c r="BQ997" s="30"/>
      <c r="BR997" s="30"/>
      <c r="BS997" s="30"/>
      <c r="BT997" s="30"/>
      <c r="BU997" s="30"/>
      <c r="BV997" s="30"/>
      <c r="BW997" s="30"/>
      <c r="BX997" s="30"/>
      <c r="BY997" s="30"/>
      <c r="BZ997" s="30"/>
      <c r="CA997" s="30"/>
      <c r="CB997" s="30"/>
      <c r="CC997" s="30"/>
      <c r="CD997" s="30"/>
      <c r="CE997" s="30"/>
      <c r="CF997" s="30"/>
      <c r="CG997" s="30"/>
      <c r="CH997" s="30"/>
      <c r="CI997" s="30"/>
      <c r="CJ997" s="30"/>
      <c r="CK997" s="30"/>
      <c r="CL997" s="30"/>
      <c r="CM997" s="30"/>
      <c r="CN997" s="30"/>
      <c r="CO997" s="30"/>
      <c r="CP997" s="30"/>
      <c r="CQ997" s="30"/>
      <c r="CR997" s="30"/>
      <c r="CS997" s="30"/>
      <c r="CT997" s="30"/>
      <c r="CU997" s="30"/>
      <c r="CV997" s="30"/>
      <c r="CW997" s="30"/>
      <c r="CX997" s="30"/>
      <c r="CY997" s="30"/>
      <c r="CZ997" s="30"/>
      <c r="DA997" s="30"/>
      <c r="DB997" s="30"/>
      <c r="DC997" s="30"/>
      <c r="DD997" s="30"/>
      <c r="DE997" s="30"/>
      <c r="DF997" s="30"/>
      <c r="DG997" s="30"/>
      <c r="DH997" s="30"/>
      <c r="DI997" s="30"/>
      <c r="DJ997" s="30"/>
      <c r="DK997" s="30"/>
      <c r="DL997" s="30"/>
      <c r="DM997" s="30"/>
      <c r="DN997" s="30"/>
      <c r="DO997" s="30"/>
      <c r="DP997" s="30"/>
      <c r="DQ997" s="30"/>
      <c r="DR997" s="30"/>
      <c r="DS997" s="30"/>
      <c r="DT997" s="30"/>
      <c r="DU997" s="30"/>
      <c r="DV997" s="30"/>
      <c r="DW997" s="30"/>
      <c r="DX997" s="30"/>
      <c r="DY997" s="30"/>
      <c r="DZ997" s="30"/>
    </row>
    <row r="998">
      <c r="A998" s="30"/>
      <c r="B998" s="42"/>
      <c r="C998" s="43"/>
      <c r="D998" s="30"/>
      <c r="E998" s="28"/>
      <c r="F998" s="30"/>
      <c r="G998" s="30"/>
      <c r="H998" s="30"/>
      <c r="I998" s="30"/>
      <c r="J998" s="28"/>
      <c r="K998" s="30"/>
      <c r="L998" s="30"/>
      <c r="M998" s="30"/>
      <c r="N998" s="30"/>
      <c r="O998" s="28"/>
      <c r="P998" s="30"/>
      <c r="Q998" s="30"/>
      <c r="R998" s="30"/>
      <c r="S998" s="36"/>
      <c r="T998" s="30"/>
      <c r="U998" s="36"/>
      <c r="V998" s="30"/>
      <c r="W998" s="28"/>
      <c r="X998" s="30"/>
      <c r="Y998" s="30"/>
      <c r="Z998" s="30"/>
      <c r="AA998" s="30"/>
      <c r="AB998" s="30"/>
      <c r="AC998" s="28"/>
      <c r="AD998" s="30"/>
      <c r="AE998" s="30"/>
      <c r="AF998" s="30"/>
      <c r="AG998" s="29"/>
      <c r="AH998" s="30"/>
      <c r="AI998" s="36"/>
      <c r="AJ998" s="30"/>
      <c r="AK998" s="29"/>
      <c r="AL998" s="30"/>
      <c r="AM998" s="30"/>
      <c r="AN998" s="30"/>
      <c r="AO998" s="30"/>
      <c r="AP998" s="30"/>
      <c r="AQ998" s="38"/>
      <c r="AR998" s="30"/>
      <c r="AS998" s="30"/>
      <c r="AT998" s="29"/>
      <c r="AU998" s="30"/>
      <c r="AV998" s="30"/>
      <c r="AW998" s="30"/>
      <c r="AX998" s="29"/>
      <c r="AY998" s="39"/>
      <c r="AZ998" s="30"/>
      <c r="BA998" s="30"/>
      <c r="BB998" s="29"/>
      <c r="BC998" s="52"/>
      <c r="BD998" s="30"/>
      <c r="BE998" s="29"/>
      <c r="BF998" s="30"/>
      <c r="BG998" s="30"/>
      <c r="BH998" s="30"/>
      <c r="BI998" s="30"/>
      <c r="BJ998" s="30"/>
      <c r="BK998" s="30"/>
      <c r="BL998" s="30"/>
      <c r="BM998" s="30"/>
      <c r="BN998" s="30"/>
      <c r="BO998" s="30"/>
      <c r="BP998" s="30"/>
      <c r="BQ998" s="30"/>
      <c r="BR998" s="30"/>
      <c r="BS998" s="30"/>
      <c r="BT998" s="30"/>
      <c r="BU998" s="30"/>
      <c r="BV998" s="30"/>
      <c r="BW998" s="30"/>
      <c r="BX998" s="30"/>
      <c r="BY998" s="30"/>
      <c r="BZ998" s="30"/>
      <c r="CA998" s="30"/>
      <c r="CB998" s="30"/>
      <c r="CC998" s="30"/>
      <c r="CD998" s="30"/>
      <c r="CE998" s="30"/>
      <c r="CF998" s="30"/>
      <c r="CG998" s="30"/>
      <c r="CH998" s="30"/>
      <c r="CI998" s="30"/>
      <c r="CJ998" s="30"/>
      <c r="CK998" s="30"/>
      <c r="CL998" s="30"/>
      <c r="CM998" s="30"/>
      <c r="CN998" s="30"/>
      <c r="CO998" s="30"/>
      <c r="CP998" s="30"/>
      <c r="CQ998" s="30"/>
      <c r="CR998" s="30"/>
      <c r="CS998" s="30"/>
      <c r="CT998" s="30"/>
      <c r="CU998" s="30"/>
      <c r="CV998" s="30"/>
      <c r="CW998" s="30"/>
      <c r="CX998" s="30"/>
      <c r="CY998" s="30"/>
      <c r="CZ998" s="30"/>
      <c r="DA998" s="30"/>
      <c r="DB998" s="30"/>
      <c r="DC998" s="30"/>
      <c r="DD998" s="30"/>
      <c r="DE998" s="30"/>
      <c r="DF998" s="30"/>
      <c r="DG998" s="30"/>
      <c r="DH998" s="30"/>
      <c r="DI998" s="30"/>
      <c r="DJ998" s="30"/>
      <c r="DK998" s="30"/>
      <c r="DL998" s="30"/>
      <c r="DM998" s="30"/>
      <c r="DN998" s="30"/>
      <c r="DO998" s="30"/>
      <c r="DP998" s="30"/>
      <c r="DQ998" s="30"/>
      <c r="DR998" s="30"/>
      <c r="DS998" s="30"/>
      <c r="DT998" s="30"/>
      <c r="DU998" s="30"/>
      <c r="DV998" s="30"/>
      <c r="DW998" s="30"/>
      <c r="DX998" s="30"/>
      <c r="DY998" s="30"/>
      <c r="DZ998" s="30"/>
    </row>
    <row r="999">
      <c r="A999" s="30"/>
      <c r="B999" s="42"/>
      <c r="C999" s="43"/>
      <c r="D999" s="30"/>
      <c r="E999" s="28"/>
      <c r="F999" s="30"/>
      <c r="G999" s="30"/>
      <c r="H999" s="30"/>
      <c r="I999" s="30"/>
      <c r="J999" s="28"/>
      <c r="K999" s="30"/>
      <c r="L999" s="30"/>
      <c r="M999" s="30"/>
      <c r="N999" s="30"/>
      <c r="O999" s="28"/>
      <c r="P999" s="30"/>
      <c r="Q999" s="30"/>
      <c r="R999" s="30"/>
      <c r="S999" s="36"/>
      <c r="T999" s="30"/>
      <c r="U999" s="36"/>
      <c r="V999" s="30"/>
      <c r="W999" s="28"/>
      <c r="X999" s="30"/>
      <c r="Y999" s="30"/>
      <c r="Z999" s="30"/>
      <c r="AA999" s="30"/>
      <c r="AB999" s="30"/>
      <c r="AC999" s="28"/>
      <c r="AD999" s="30"/>
      <c r="AE999" s="30"/>
      <c r="AF999" s="30"/>
      <c r="AG999" s="29"/>
      <c r="AH999" s="30"/>
      <c r="AI999" s="36"/>
      <c r="AJ999" s="30"/>
      <c r="AK999" s="29"/>
      <c r="AL999" s="30"/>
      <c r="AM999" s="30"/>
      <c r="AN999" s="30"/>
      <c r="AO999" s="30"/>
      <c r="AP999" s="30"/>
      <c r="AQ999" s="38"/>
      <c r="AR999" s="30"/>
      <c r="AS999" s="30"/>
      <c r="AT999" s="29"/>
      <c r="AU999" s="30"/>
      <c r="AV999" s="30"/>
      <c r="AW999" s="30"/>
      <c r="AX999" s="29"/>
      <c r="AY999" s="39"/>
      <c r="AZ999" s="30"/>
      <c r="BA999" s="30"/>
      <c r="BB999" s="29"/>
      <c r="BC999" s="52"/>
      <c r="BD999" s="30"/>
      <c r="BE999" s="29"/>
      <c r="BF999" s="30"/>
      <c r="BG999" s="30"/>
      <c r="BH999" s="30"/>
      <c r="BI999" s="30"/>
      <c r="BJ999" s="30"/>
      <c r="BK999" s="30"/>
      <c r="BL999" s="30"/>
      <c r="BM999" s="30"/>
      <c r="BN999" s="30"/>
      <c r="BO999" s="30"/>
      <c r="BP999" s="30"/>
      <c r="BQ999" s="30"/>
      <c r="BR999" s="30"/>
      <c r="BS999" s="30"/>
      <c r="BT999" s="30"/>
      <c r="BU999" s="30"/>
      <c r="BV999" s="30"/>
      <c r="BW999" s="30"/>
      <c r="BX999" s="30"/>
      <c r="BY999" s="30"/>
      <c r="BZ999" s="30"/>
      <c r="CA999" s="30"/>
      <c r="CB999" s="30"/>
      <c r="CC999" s="30"/>
      <c r="CD999" s="30"/>
      <c r="CE999" s="30"/>
      <c r="CF999" s="30"/>
      <c r="CG999" s="30"/>
      <c r="CH999" s="30"/>
      <c r="CI999" s="30"/>
      <c r="CJ999" s="30"/>
      <c r="CK999" s="30"/>
      <c r="CL999" s="30"/>
      <c r="CM999" s="30"/>
      <c r="CN999" s="30"/>
      <c r="CO999" s="30"/>
      <c r="CP999" s="30"/>
      <c r="CQ999" s="30"/>
      <c r="CR999" s="30"/>
      <c r="CS999" s="30"/>
      <c r="CT999" s="30"/>
      <c r="CU999" s="30"/>
      <c r="CV999" s="30"/>
      <c r="CW999" s="30"/>
      <c r="CX999" s="30"/>
      <c r="CY999" s="30"/>
      <c r="CZ999" s="30"/>
      <c r="DA999" s="30"/>
      <c r="DB999" s="30"/>
      <c r="DC999" s="30"/>
      <c r="DD999" s="30"/>
      <c r="DE999" s="30"/>
      <c r="DF999" s="30"/>
      <c r="DG999" s="30"/>
      <c r="DH999" s="30"/>
      <c r="DI999" s="30"/>
      <c r="DJ999" s="30"/>
      <c r="DK999" s="30"/>
      <c r="DL999" s="30"/>
      <c r="DM999" s="30"/>
      <c r="DN999" s="30"/>
      <c r="DO999" s="30"/>
      <c r="DP999" s="30"/>
      <c r="DQ999" s="30"/>
      <c r="DR999" s="30"/>
      <c r="DS999" s="30"/>
      <c r="DT999" s="30"/>
      <c r="DU999" s="30"/>
      <c r="DV999" s="30"/>
      <c r="DW999" s="30"/>
      <c r="DX999" s="30"/>
      <c r="DY999" s="30"/>
      <c r="DZ999" s="30"/>
    </row>
    <row r="1000">
      <c r="A1000" s="30"/>
      <c r="B1000" s="42"/>
      <c r="C1000" s="43"/>
      <c r="D1000" s="30"/>
      <c r="E1000" s="28"/>
      <c r="F1000" s="30"/>
      <c r="G1000" s="30"/>
      <c r="H1000" s="30"/>
      <c r="I1000" s="30"/>
      <c r="J1000" s="28"/>
      <c r="K1000" s="30"/>
      <c r="L1000" s="30"/>
      <c r="M1000" s="30"/>
      <c r="N1000" s="30"/>
      <c r="O1000" s="28"/>
      <c r="P1000" s="30"/>
      <c r="Q1000" s="30"/>
      <c r="R1000" s="30"/>
      <c r="S1000" s="36"/>
      <c r="T1000" s="30"/>
      <c r="U1000" s="36"/>
      <c r="V1000" s="30"/>
      <c r="W1000" s="28"/>
      <c r="X1000" s="30"/>
      <c r="Y1000" s="30"/>
      <c r="Z1000" s="30"/>
      <c r="AA1000" s="30"/>
      <c r="AB1000" s="30"/>
      <c r="AC1000" s="28"/>
      <c r="AD1000" s="30"/>
      <c r="AE1000" s="30"/>
      <c r="AF1000" s="30"/>
      <c r="AG1000" s="29"/>
      <c r="AH1000" s="30"/>
      <c r="AI1000" s="36"/>
      <c r="AJ1000" s="30"/>
      <c r="AK1000" s="29"/>
      <c r="AL1000" s="30"/>
      <c r="AM1000" s="30"/>
      <c r="AN1000" s="30"/>
      <c r="AO1000" s="30"/>
      <c r="AP1000" s="30"/>
      <c r="AQ1000" s="38"/>
      <c r="AR1000" s="30"/>
      <c r="AS1000" s="30"/>
      <c r="AT1000" s="29"/>
      <c r="AU1000" s="30"/>
      <c r="AV1000" s="30"/>
      <c r="AW1000" s="30"/>
      <c r="AX1000" s="29"/>
      <c r="AY1000" s="39"/>
      <c r="AZ1000" s="30"/>
      <c r="BA1000" s="30"/>
      <c r="BB1000" s="29"/>
      <c r="BC1000" s="52"/>
      <c r="BD1000" s="30"/>
      <c r="BE1000" s="29"/>
      <c r="BF1000" s="30"/>
      <c r="BG1000" s="30"/>
      <c r="BH1000" s="30"/>
      <c r="BI1000" s="30"/>
      <c r="BJ1000" s="30"/>
      <c r="BK1000" s="30"/>
      <c r="BL1000" s="30"/>
      <c r="BM1000" s="30"/>
      <c r="BN1000" s="30"/>
      <c r="BO1000" s="30"/>
      <c r="BP1000" s="30"/>
      <c r="BQ1000" s="30"/>
      <c r="BR1000" s="30"/>
      <c r="BS1000" s="30"/>
      <c r="BT1000" s="30"/>
      <c r="BU1000" s="30"/>
      <c r="BV1000" s="30"/>
      <c r="BW1000" s="30"/>
      <c r="BX1000" s="30"/>
      <c r="BY1000" s="30"/>
      <c r="BZ1000" s="30"/>
      <c r="CA1000" s="30"/>
      <c r="CB1000" s="30"/>
      <c r="CC1000" s="30"/>
      <c r="CD1000" s="30"/>
      <c r="CE1000" s="30"/>
      <c r="CF1000" s="30"/>
      <c r="CG1000" s="30"/>
      <c r="CH1000" s="30"/>
      <c r="CI1000" s="30"/>
      <c r="CJ1000" s="30"/>
      <c r="CK1000" s="30"/>
      <c r="CL1000" s="30"/>
      <c r="CM1000" s="30"/>
      <c r="CN1000" s="30"/>
      <c r="CO1000" s="30"/>
      <c r="CP1000" s="30"/>
      <c r="CQ1000" s="30"/>
      <c r="CR1000" s="30"/>
      <c r="CS1000" s="30"/>
      <c r="CT1000" s="30"/>
      <c r="CU1000" s="30"/>
      <c r="CV1000" s="30"/>
      <c r="CW1000" s="30"/>
      <c r="CX1000" s="30"/>
      <c r="CY1000" s="30"/>
      <c r="CZ1000" s="30"/>
      <c r="DA1000" s="30"/>
      <c r="DB1000" s="30"/>
      <c r="DC1000" s="30"/>
      <c r="DD1000" s="30"/>
      <c r="DE1000" s="30"/>
      <c r="DF1000" s="30"/>
      <c r="DG1000" s="30"/>
      <c r="DH1000" s="30"/>
      <c r="DI1000" s="30"/>
      <c r="DJ1000" s="30"/>
      <c r="DK1000" s="30"/>
      <c r="DL1000" s="30"/>
      <c r="DM1000" s="30"/>
      <c r="DN1000" s="30"/>
      <c r="DO1000" s="30"/>
      <c r="DP1000" s="30"/>
      <c r="DQ1000" s="30"/>
      <c r="DR1000" s="30"/>
      <c r="DS1000" s="30"/>
      <c r="DT1000" s="30"/>
      <c r="DU1000" s="30"/>
      <c r="DV1000" s="30"/>
      <c r="DW1000" s="30"/>
      <c r="DX1000" s="30"/>
      <c r="DY1000" s="30"/>
      <c r="DZ1000" s="30"/>
    </row>
    <row r="1001">
      <c r="A1001" s="30"/>
      <c r="B1001" s="42"/>
      <c r="C1001" s="43"/>
      <c r="D1001" s="30"/>
      <c r="E1001" s="28"/>
      <c r="F1001" s="30"/>
      <c r="G1001" s="30"/>
      <c r="H1001" s="30"/>
      <c r="I1001" s="30"/>
      <c r="J1001" s="28"/>
      <c r="K1001" s="30"/>
      <c r="L1001" s="30"/>
      <c r="M1001" s="30"/>
      <c r="N1001" s="30"/>
      <c r="O1001" s="28"/>
      <c r="P1001" s="30"/>
      <c r="Q1001" s="30"/>
      <c r="R1001" s="30"/>
      <c r="S1001" s="36"/>
      <c r="T1001" s="30"/>
      <c r="U1001" s="36"/>
      <c r="V1001" s="30"/>
      <c r="W1001" s="28"/>
      <c r="X1001" s="30"/>
      <c r="Y1001" s="30"/>
      <c r="Z1001" s="30"/>
      <c r="AA1001" s="30"/>
      <c r="AB1001" s="30"/>
      <c r="AC1001" s="28"/>
      <c r="AD1001" s="30"/>
      <c r="AE1001" s="30"/>
      <c r="AF1001" s="30"/>
      <c r="AG1001" s="29"/>
      <c r="AH1001" s="30"/>
      <c r="AI1001" s="36"/>
      <c r="AJ1001" s="30"/>
      <c r="AK1001" s="29"/>
      <c r="AL1001" s="30"/>
      <c r="AM1001" s="30"/>
      <c r="AN1001" s="30"/>
      <c r="AO1001" s="30"/>
      <c r="AP1001" s="30"/>
      <c r="AQ1001" s="38"/>
      <c r="AR1001" s="30"/>
      <c r="AS1001" s="30"/>
      <c r="AT1001" s="29"/>
      <c r="AU1001" s="30"/>
      <c r="AV1001" s="30"/>
      <c r="AW1001" s="30"/>
      <c r="AX1001" s="29"/>
      <c r="AY1001" s="39"/>
      <c r="AZ1001" s="30"/>
      <c r="BA1001" s="30"/>
      <c r="BB1001" s="29"/>
      <c r="BC1001" s="52"/>
      <c r="BD1001" s="30"/>
      <c r="BE1001" s="29"/>
      <c r="BF1001" s="30"/>
      <c r="BG1001" s="30"/>
      <c r="BH1001" s="30"/>
      <c r="BI1001" s="30"/>
      <c r="BJ1001" s="30"/>
      <c r="BK1001" s="30"/>
      <c r="BL1001" s="30"/>
      <c r="BM1001" s="30"/>
      <c r="BN1001" s="30"/>
      <c r="BO1001" s="30"/>
      <c r="BP1001" s="30"/>
      <c r="BQ1001" s="30"/>
      <c r="BR1001" s="30"/>
      <c r="BS1001" s="30"/>
      <c r="BT1001" s="30"/>
      <c r="BU1001" s="30"/>
      <c r="BV1001" s="30"/>
      <c r="BW1001" s="30"/>
      <c r="BX1001" s="30"/>
      <c r="BY1001" s="30"/>
      <c r="BZ1001" s="30"/>
      <c r="CA1001" s="30"/>
      <c r="CB1001" s="30"/>
      <c r="CC1001" s="30"/>
      <c r="CD1001" s="30"/>
      <c r="CE1001" s="30"/>
      <c r="CF1001" s="30"/>
      <c r="CG1001" s="30"/>
      <c r="CH1001" s="30"/>
      <c r="CI1001" s="30"/>
      <c r="CJ1001" s="30"/>
      <c r="CK1001" s="30"/>
      <c r="CL1001" s="30"/>
      <c r="CM1001" s="30"/>
      <c r="CN1001" s="30"/>
      <c r="CO1001" s="30"/>
      <c r="CP1001" s="30"/>
      <c r="CQ1001" s="30"/>
      <c r="CR1001" s="30"/>
      <c r="CS1001" s="30"/>
      <c r="CT1001" s="30"/>
      <c r="CU1001" s="30"/>
      <c r="CV1001" s="30"/>
      <c r="CW1001" s="30"/>
      <c r="CX1001" s="30"/>
      <c r="CY1001" s="30"/>
      <c r="CZ1001" s="30"/>
      <c r="DA1001" s="30"/>
      <c r="DB1001" s="30"/>
      <c r="DC1001" s="30"/>
      <c r="DD1001" s="30"/>
      <c r="DE1001" s="30"/>
      <c r="DF1001" s="30"/>
      <c r="DG1001" s="30"/>
      <c r="DH1001" s="30"/>
      <c r="DI1001" s="30"/>
      <c r="DJ1001" s="30"/>
      <c r="DK1001" s="30"/>
      <c r="DL1001" s="30"/>
      <c r="DM1001" s="30"/>
      <c r="DN1001" s="30"/>
      <c r="DO1001" s="30"/>
      <c r="DP1001" s="30"/>
      <c r="DQ1001" s="30"/>
      <c r="DR1001" s="30"/>
      <c r="DS1001" s="30"/>
      <c r="DT1001" s="30"/>
      <c r="DU1001" s="30"/>
      <c r="DV1001" s="30"/>
      <c r="DW1001" s="30"/>
      <c r="DX1001" s="30"/>
      <c r="DY1001" s="30"/>
      <c r="DZ1001" s="30"/>
    </row>
    <row r="1002">
      <c r="A1002" s="30"/>
      <c r="B1002" s="42"/>
      <c r="C1002" s="43"/>
      <c r="D1002" s="30"/>
      <c r="E1002" s="28"/>
      <c r="F1002" s="30"/>
      <c r="G1002" s="30"/>
      <c r="H1002" s="30"/>
      <c r="I1002" s="30"/>
      <c r="J1002" s="28"/>
      <c r="K1002" s="30"/>
      <c r="L1002" s="30"/>
      <c r="M1002" s="30"/>
      <c r="N1002" s="30"/>
      <c r="O1002" s="28"/>
      <c r="P1002" s="30"/>
      <c r="Q1002" s="30"/>
      <c r="R1002" s="30"/>
      <c r="S1002" s="36"/>
      <c r="T1002" s="30"/>
      <c r="U1002" s="36"/>
      <c r="V1002" s="30"/>
      <c r="W1002" s="28"/>
      <c r="X1002" s="30"/>
      <c r="Y1002" s="30"/>
      <c r="Z1002" s="30"/>
      <c r="AA1002" s="30"/>
      <c r="AB1002" s="30"/>
      <c r="AC1002" s="28"/>
      <c r="AD1002" s="30"/>
      <c r="AE1002" s="30"/>
      <c r="AF1002" s="30"/>
      <c r="AG1002" s="29"/>
      <c r="AH1002" s="30"/>
      <c r="AI1002" s="36"/>
      <c r="AJ1002" s="30"/>
      <c r="AK1002" s="29"/>
      <c r="AL1002" s="30"/>
      <c r="AM1002" s="30"/>
      <c r="AN1002" s="30"/>
      <c r="AO1002" s="30"/>
      <c r="AP1002" s="30"/>
      <c r="AQ1002" s="38"/>
      <c r="AR1002" s="30"/>
      <c r="AS1002" s="30"/>
      <c r="AT1002" s="29"/>
      <c r="AU1002" s="30"/>
      <c r="AV1002" s="30"/>
      <c r="AW1002" s="30"/>
      <c r="AX1002" s="29"/>
      <c r="AY1002" s="39"/>
      <c r="AZ1002" s="30"/>
      <c r="BA1002" s="30"/>
      <c r="BB1002" s="29"/>
      <c r="BC1002" s="52"/>
      <c r="BD1002" s="30"/>
      <c r="BE1002" s="29"/>
      <c r="BF1002" s="30"/>
      <c r="BG1002" s="30"/>
      <c r="BH1002" s="30"/>
      <c r="BI1002" s="30"/>
      <c r="BJ1002" s="30"/>
      <c r="BK1002" s="30"/>
      <c r="BL1002" s="30"/>
      <c r="BM1002" s="30"/>
      <c r="BN1002" s="30"/>
      <c r="BO1002" s="30"/>
      <c r="BP1002" s="30"/>
      <c r="BQ1002" s="30"/>
      <c r="BR1002" s="30"/>
      <c r="BS1002" s="30"/>
      <c r="BT1002" s="30"/>
      <c r="BU1002" s="30"/>
      <c r="BV1002" s="30"/>
      <c r="BW1002" s="30"/>
      <c r="BX1002" s="30"/>
      <c r="BY1002" s="30"/>
      <c r="BZ1002" s="30"/>
      <c r="CA1002" s="30"/>
      <c r="CB1002" s="30"/>
      <c r="CC1002" s="30"/>
      <c r="CD1002" s="30"/>
      <c r="CE1002" s="30"/>
      <c r="CF1002" s="30"/>
      <c r="CG1002" s="30"/>
      <c r="CH1002" s="30"/>
      <c r="CI1002" s="30"/>
      <c r="CJ1002" s="30"/>
      <c r="CK1002" s="30"/>
      <c r="CL1002" s="30"/>
      <c r="CM1002" s="30"/>
      <c r="CN1002" s="30"/>
      <c r="CO1002" s="30"/>
      <c r="CP1002" s="30"/>
      <c r="CQ1002" s="30"/>
      <c r="CR1002" s="30"/>
      <c r="CS1002" s="30"/>
      <c r="CT1002" s="30"/>
      <c r="CU1002" s="30"/>
      <c r="CV1002" s="30"/>
      <c r="CW1002" s="30"/>
      <c r="CX1002" s="30"/>
      <c r="CY1002" s="30"/>
      <c r="CZ1002" s="30"/>
      <c r="DA1002" s="30"/>
      <c r="DB1002" s="30"/>
      <c r="DC1002" s="30"/>
      <c r="DD1002" s="30"/>
      <c r="DE1002" s="30"/>
      <c r="DF1002" s="30"/>
      <c r="DG1002" s="30"/>
      <c r="DH1002" s="30"/>
      <c r="DI1002" s="30"/>
      <c r="DJ1002" s="30"/>
      <c r="DK1002" s="30"/>
      <c r="DL1002" s="30"/>
      <c r="DM1002" s="30"/>
      <c r="DN1002" s="30"/>
      <c r="DO1002" s="30"/>
      <c r="DP1002" s="30"/>
      <c r="DQ1002" s="30"/>
      <c r="DR1002" s="30"/>
      <c r="DS1002" s="30"/>
      <c r="DT1002" s="30"/>
      <c r="DU1002" s="30"/>
      <c r="DV1002" s="30"/>
      <c r="DW1002" s="30"/>
      <c r="DX1002" s="30"/>
      <c r="DY1002" s="30"/>
      <c r="DZ1002" s="30"/>
    </row>
    <row r="1003">
      <c r="A1003" s="30"/>
      <c r="B1003" s="42"/>
      <c r="C1003" s="43"/>
      <c r="D1003" s="30"/>
      <c r="E1003" s="28"/>
      <c r="F1003" s="30"/>
      <c r="G1003" s="30"/>
      <c r="H1003" s="30"/>
      <c r="I1003" s="30"/>
      <c r="J1003" s="28"/>
      <c r="K1003" s="30"/>
      <c r="L1003" s="30"/>
      <c r="M1003" s="30"/>
      <c r="N1003" s="30"/>
      <c r="O1003" s="28"/>
      <c r="P1003" s="30"/>
      <c r="Q1003" s="30"/>
      <c r="R1003" s="30"/>
      <c r="S1003" s="36"/>
      <c r="T1003" s="30"/>
      <c r="U1003" s="36"/>
      <c r="V1003" s="30"/>
      <c r="W1003" s="28"/>
      <c r="X1003" s="30"/>
      <c r="Y1003" s="30"/>
      <c r="Z1003" s="30"/>
      <c r="AA1003" s="30"/>
      <c r="AB1003" s="30"/>
      <c r="AC1003" s="28"/>
      <c r="AD1003" s="30"/>
      <c r="AE1003" s="30"/>
      <c r="AF1003" s="30"/>
      <c r="AG1003" s="29"/>
      <c r="AH1003" s="30"/>
      <c r="AI1003" s="36"/>
      <c r="AJ1003" s="30"/>
      <c r="AK1003" s="29"/>
      <c r="AL1003" s="30"/>
      <c r="AM1003" s="30"/>
      <c r="AN1003" s="30"/>
      <c r="AO1003" s="30"/>
      <c r="AP1003" s="30"/>
      <c r="AQ1003" s="38"/>
      <c r="AR1003" s="30"/>
      <c r="AS1003" s="30"/>
      <c r="AT1003" s="29"/>
      <c r="AU1003" s="30"/>
      <c r="AV1003" s="30"/>
      <c r="AW1003" s="30"/>
      <c r="AX1003" s="29"/>
      <c r="AY1003" s="39"/>
      <c r="AZ1003" s="30"/>
      <c r="BA1003" s="30"/>
      <c r="BB1003" s="29"/>
      <c r="BC1003" s="52"/>
      <c r="BD1003" s="30"/>
      <c r="BE1003" s="29"/>
      <c r="BF1003" s="30"/>
      <c r="BG1003" s="30"/>
      <c r="BH1003" s="30"/>
      <c r="BI1003" s="30"/>
      <c r="BJ1003" s="30"/>
      <c r="BK1003" s="30"/>
      <c r="BL1003" s="30"/>
      <c r="BM1003" s="30"/>
      <c r="BN1003" s="30"/>
      <c r="BO1003" s="30"/>
      <c r="BP1003" s="30"/>
      <c r="BQ1003" s="30"/>
      <c r="BR1003" s="30"/>
      <c r="BS1003" s="30"/>
      <c r="BT1003" s="30"/>
      <c r="BU1003" s="30"/>
      <c r="BV1003" s="30"/>
      <c r="BW1003" s="30"/>
      <c r="BX1003" s="30"/>
      <c r="BY1003" s="30"/>
      <c r="BZ1003" s="30"/>
      <c r="CA1003" s="30"/>
      <c r="CB1003" s="30"/>
      <c r="CC1003" s="30"/>
      <c r="CD1003" s="30"/>
      <c r="CE1003" s="30"/>
      <c r="CF1003" s="30"/>
      <c r="CG1003" s="30"/>
      <c r="CH1003" s="30"/>
      <c r="CI1003" s="30"/>
      <c r="CJ1003" s="30"/>
      <c r="CK1003" s="30"/>
      <c r="CL1003" s="30"/>
      <c r="CM1003" s="30"/>
      <c r="CN1003" s="30"/>
      <c r="CO1003" s="30"/>
      <c r="CP1003" s="30"/>
      <c r="CQ1003" s="30"/>
      <c r="CR1003" s="30"/>
      <c r="CS1003" s="30"/>
      <c r="CT1003" s="30"/>
      <c r="CU1003" s="30"/>
      <c r="CV1003" s="30"/>
      <c r="CW1003" s="30"/>
      <c r="CX1003" s="30"/>
      <c r="CY1003" s="30"/>
      <c r="CZ1003" s="30"/>
      <c r="DA1003" s="30"/>
      <c r="DB1003" s="30"/>
      <c r="DC1003" s="30"/>
      <c r="DD1003" s="30"/>
      <c r="DE1003" s="30"/>
      <c r="DF1003" s="30"/>
      <c r="DG1003" s="30"/>
      <c r="DH1003" s="30"/>
      <c r="DI1003" s="30"/>
      <c r="DJ1003" s="30"/>
      <c r="DK1003" s="30"/>
      <c r="DL1003" s="30"/>
      <c r="DM1003" s="30"/>
      <c r="DN1003" s="30"/>
      <c r="DO1003" s="30"/>
      <c r="DP1003" s="30"/>
      <c r="DQ1003" s="30"/>
      <c r="DR1003" s="30"/>
      <c r="DS1003" s="30"/>
      <c r="DT1003" s="30"/>
      <c r="DU1003" s="30"/>
      <c r="DV1003" s="30"/>
      <c r="DW1003" s="30"/>
      <c r="DX1003" s="30"/>
      <c r="DY1003" s="30"/>
      <c r="DZ1003" s="30"/>
    </row>
    <row r="1004">
      <c r="A1004" s="30"/>
      <c r="B1004" s="42"/>
      <c r="C1004" s="43"/>
      <c r="D1004" s="30"/>
      <c r="E1004" s="28"/>
      <c r="F1004" s="30"/>
      <c r="G1004" s="30"/>
      <c r="H1004" s="30"/>
      <c r="I1004" s="30"/>
      <c r="J1004" s="28"/>
      <c r="K1004" s="30"/>
      <c r="L1004" s="30"/>
      <c r="M1004" s="30"/>
      <c r="N1004" s="30"/>
      <c r="O1004" s="28"/>
      <c r="P1004" s="30"/>
      <c r="Q1004" s="30"/>
      <c r="R1004" s="30"/>
      <c r="S1004" s="36"/>
      <c r="T1004" s="30"/>
      <c r="U1004" s="36"/>
      <c r="V1004" s="30"/>
      <c r="W1004" s="28"/>
      <c r="X1004" s="30"/>
      <c r="Y1004" s="30"/>
      <c r="Z1004" s="30"/>
      <c r="AA1004" s="30"/>
      <c r="AB1004" s="30"/>
      <c r="AC1004" s="28"/>
      <c r="AD1004" s="30"/>
      <c r="AE1004" s="30"/>
      <c r="AF1004" s="30"/>
      <c r="AG1004" s="29"/>
      <c r="AH1004" s="30"/>
      <c r="AI1004" s="36"/>
      <c r="AJ1004" s="30"/>
      <c r="AK1004" s="29"/>
      <c r="AL1004" s="30"/>
      <c r="AM1004" s="30"/>
      <c r="AN1004" s="30"/>
      <c r="AO1004" s="30"/>
      <c r="AP1004" s="30"/>
      <c r="AQ1004" s="38"/>
      <c r="AR1004" s="30"/>
      <c r="AS1004" s="30"/>
      <c r="AT1004" s="29"/>
      <c r="AU1004" s="30"/>
      <c r="AV1004" s="30"/>
      <c r="AW1004" s="30"/>
      <c r="AX1004" s="29"/>
      <c r="AY1004" s="39"/>
      <c r="AZ1004" s="30"/>
      <c r="BA1004" s="30"/>
      <c r="BB1004" s="29"/>
      <c r="BC1004" s="52"/>
      <c r="BD1004" s="30"/>
      <c r="BE1004" s="29"/>
      <c r="BF1004" s="30"/>
      <c r="BG1004" s="30"/>
      <c r="BH1004" s="30"/>
      <c r="BI1004" s="30"/>
      <c r="BJ1004" s="30"/>
      <c r="BK1004" s="30"/>
      <c r="BL1004" s="30"/>
      <c r="BM1004" s="30"/>
      <c r="BN1004" s="30"/>
      <c r="BO1004" s="30"/>
      <c r="BP1004" s="30"/>
      <c r="BQ1004" s="30"/>
      <c r="BR1004" s="30"/>
      <c r="BS1004" s="30"/>
      <c r="BT1004" s="30"/>
      <c r="BU1004" s="30"/>
      <c r="BV1004" s="30"/>
      <c r="BW1004" s="30"/>
      <c r="BX1004" s="30"/>
      <c r="BY1004" s="30"/>
      <c r="BZ1004" s="30"/>
      <c r="CA1004" s="30"/>
      <c r="CB1004" s="30"/>
      <c r="CC1004" s="30"/>
      <c r="CD1004" s="30"/>
      <c r="CE1004" s="30"/>
      <c r="CF1004" s="30"/>
      <c r="CG1004" s="30"/>
      <c r="CH1004" s="30"/>
      <c r="CI1004" s="30"/>
      <c r="CJ1004" s="30"/>
      <c r="CK1004" s="30"/>
      <c r="CL1004" s="30"/>
      <c r="CM1004" s="30"/>
      <c r="CN1004" s="30"/>
      <c r="CO1004" s="30"/>
      <c r="CP1004" s="30"/>
      <c r="CQ1004" s="30"/>
      <c r="CR1004" s="30"/>
      <c r="CS1004" s="30"/>
      <c r="CT1004" s="30"/>
      <c r="CU1004" s="30"/>
      <c r="CV1004" s="30"/>
      <c r="CW1004" s="30"/>
      <c r="CX1004" s="30"/>
      <c r="CY1004" s="30"/>
      <c r="CZ1004" s="30"/>
      <c r="DA1004" s="30"/>
      <c r="DB1004" s="30"/>
      <c r="DC1004" s="30"/>
      <c r="DD1004" s="30"/>
      <c r="DE1004" s="30"/>
      <c r="DF1004" s="30"/>
      <c r="DG1004" s="30"/>
      <c r="DH1004" s="30"/>
      <c r="DI1004" s="30"/>
      <c r="DJ1004" s="30"/>
      <c r="DK1004" s="30"/>
      <c r="DL1004" s="30"/>
      <c r="DM1004" s="30"/>
      <c r="DN1004" s="30"/>
      <c r="DO1004" s="30"/>
      <c r="DP1004" s="30"/>
      <c r="DQ1004" s="30"/>
      <c r="DR1004" s="30"/>
      <c r="DS1004" s="30"/>
      <c r="DT1004" s="30"/>
      <c r="DU1004" s="30"/>
      <c r="DV1004" s="30"/>
      <c r="DW1004" s="30"/>
      <c r="DX1004" s="30"/>
      <c r="DY1004" s="30"/>
      <c r="DZ1004" s="30"/>
    </row>
    <row r="1005">
      <c r="A1005" s="30"/>
      <c r="B1005" s="42"/>
      <c r="C1005" s="43"/>
      <c r="D1005" s="30"/>
      <c r="E1005" s="28"/>
      <c r="F1005" s="30"/>
      <c r="G1005" s="30"/>
      <c r="H1005" s="30"/>
      <c r="I1005" s="30"/>
      <c r="J1005" s="28"/>
      <c r="K1005" s="30"/>
      <c r="L1005" s="30"/>
      <c r="M1005" s="30"/>
      <c r="N1005" s="30"/>
      <c r="O1005" s="28"/>
      <c r="P1005" s="30"/>
      <c r="Q1005" s="30"/>
      <c r="R1005" s="30"/>
      <c r="S1005" s="36"/>
      <c r="T1005" s="30"/>
      <c r="U1005" s="36"/>
      <c r="V1005" s="30"/>
      <c r="W1005" s="28"/>
      <c r="X1005" s="30"/>
      <c r="Y1005" s="30"/>
      <c r="Z1005" s="30"/>
      <c r="AA1005" s="30"/>
      <c r="AB1005" s="30"/>
      <c r="AC1005" s="28"/>
      <c r="AD1005" s="30"/>
      <c r="AE1005" s="30"/>
      <c r="AF1005" s="30"/>
      <c r="AG1005" s="29"/>
      <c r="AH1005" s="30"/>
      <c r="AI1005" s="36"/>
      <c r="AJ1005" s="30"/>
      <c r="AK1005" s="29"/>
      <c r="AL1005" s="30"/>
      <c r="AM1005" s="30"/>
      <c r="AN1005" s="30"/>
      <c r="AO1005" s="30"/>
      <c r="AP1005" s="30"/>
      <c r="AQ1005" s="38"/>
      <c r="AR1005" s="30"/>
      <c r="AS1005" s="30"/>
      <c r="AT1005" s="29"/>
      <c r="AU1005" s="30"/>
      <c r="AV1005" s="30"/>
      <c r="AW1005" s="30"/>
      <c r="AX1005" s="29"/>
      <c r="AY1005" s="39"/>
      <c r="AZ1005" s="30"/>
      <c r="BA1005" s="30"/>
      <c r="BB1005" s="29"/>
      <c r="BC1005" s="52"/>
      <c r="BD1005" s="30"/>
      <c r="BE1005" s="29"/>
      <c r="BF1005" s="30"/>
      <c r="BG1005" s="30"/>
      <c r="BH1005" s="30"/>
      <c r="BI1005" s="30"/>
      <c r="BJ1005" s="30"/>
      <c r="BK1005" s="30"/>
      <c r="BL1005" s="30"/>
      <c r="BM1005" s="30"/>
      <c r="BN1005" s="30"/>
      <c r="BO1005" s="30"/>
      <c r="BP1005" s="30"/>
      <c r="BQ1005" s="30"/>
      <c r="BR1005" s="30"/>
      <c r="BS1005" s="30"/>
      <c r="BT1005" s="30"/>
      <c r="BU1005" s="30"/>
      <c r="BV1005" s="30"/>
      <c r="BW1005" s="30"/>
      <c r="BX1005" s="30"/>
      <c r="BY1005" s="30"/>
      <c r="BZ1005" s="30"/>
      <c r="CA1005" s="30"/>
      <c r="CB1005" s="30"/>
      <c r="CC1005" s="30"/>
      <c r="CD1005" s="30"/>
      <c r="CE1005" s="30"/>
      <c r="CF1005" s="30"/>
      <c r="CG1005" s="30"/>
      <c r="CH1005" s="30"/>
      <c r="CI1005" s="30"/>
      <c r="CJ1005" s="30"/>
      <c r="CK1005" s="30"/>
      <c r="CL1005" s="30"/>
      <c r="CM1005" s="30"/>
      <c r="CN1005" s="30"/>
      <c r="CO1005" s="30"/>
      <c r="CP1005" s="30"/>
      <c r="CQ1005" s="30"/>
      <c r="CR1005" s="30"/>
      <c r="CS1005" s="30"/>
      <c r="CT1005" s="30"/>
      <c r="CU1005" s="30"/>
      <c r="CV1005" s="30"/>
      <c r="CW1005" s="30"/>
      <c r="CX1005" s="30"/>
      <c r="CY1005" s="30"/>
      <c r="CZ1005" s="30"/>
      <c r="DA1005" s="30"/>
      <c r="DB1005" s="30"/>
      <c r="DC1005" s="30"/>
      <c r="DD1005" s="30"/>
      <c r="DE1005" s="30"/>
      <c r="DF1005" s="30"/>
      <c r="DG1005" s="30"/>
      <c r="DH1005" s="30"/>
      <c r="DI1005" s="30"/>
      <c r="DJ1005" s="30"/>
      <c r="DK1005" s="30"/>
      <c r="DL1005" s="30"/>
      <c r="DM1005" s="30"/>
      <c r="DN1005" s="30"/>
      <c r="DO1005" s="30"/>
      <c r="DP1005" s="30"/>
      <c r="DQ1005" s="30"/>
      <c r="DR1005" s="30"/>
      <c r="DS1005" s="30"/>
      <c r="DT1005" s="30"/>
      <c r="DU1005" s="30"/>
      <c r="DV1005" s="30"/>
      <c r="DW1005" s="30"/>
      <c r="DX1005" s="30"/>
      <c r="DY1005" s="30"/>
      <c r="DZ1005" s="30"/>
    </row>
    <row r="1006">
      <c r="A1006" s="30"/>
      <c r="B1006" s="42"/>
      <c r="C1006" s="43"/>
      <c r="D1006" s="30"/>
      <c r="E1006" s="28"/>
      <c r="F1006" s="30"/>
      <c r="G1006" s="30"/>
      <c r="H1006" s="30"/>
      <c r="I1006" s="30"/>
      <c r="J1006" s="28"/>
      <c r="K1006" s="30"/>
      <c r="L1006" s="30"/>
      <c r="M1006" s="30"/>
      <c r="N1006" s="30"/>
      <c r="O1006" s="28"/>
      <c r="P1006" s="30"/>
      <c r="Q1006" s="30"/>
      <c r="R1006" s="30"/>
      <c r="S1006" s="36"/>
      <c r="T1006" s="30"/>
      <c r="U1006" s="36"/>
      <c r="V1006" s="30"/>
      <c r="W1006" s="28"/>
      <c r="X1006" s="30"/>
      <c r="Y1006" s="30"/>
      <c r="Z1006" s="30"/>
      <c r="AA1006" s="30"/>
      <c r="AB1006" s="30"/>
      <c r="AC1006" s="28"/>
      <c r="AD1006" s="30"/>
      <c r="AE1006" s="30"/>
      <c r="AF1006" s="30"/>
      <c r="AG1006" s="29"/>
      <c r="AH1006" s="30"/>
      <c r="AI1006" s="36"/>
      <c r="AJ1006" s="30"/>
      <c r="AK1006" s="29"/>
      <c r="AL1006" s="30"/>
      <c r="AM1006" s="30"/>
      <c r="AN1006" s="30"/>
      <c r="AO1006" s="30"/>
      <c r="AP1006" s="30"/>
      <c r="AQ1006" s="38"/>
      <c r="AR1006" s="30"/>
      <c r="AS1006" s="30"/>
      <c r="AT1006" s="29"/>
      <c r="AU1006" s="30"/>
      <c r="AV1006" s="30"/>
      <c r="AW1006" s="30"/>
      <c r="AX1006" s="29"/>
      <c r="AY1006" s="39"/>
      <c r="AZ1006" s="30"/>
      <c r="BA1006" s="30"/>
      <c r="BB1006" s="29"/>
      <c r="BC1006" s="52"/>
      <c r="BD1006" s="30"/>
      <c r="BE1006" s="29"/>
      <c r="BF1006" s="30"/>
      <c r="BG1006" s="30"/>
      <c r="BH1006" s="30"/>
      <c r="BI1006" s="30"/>
      <c r="BJ1006" s="30"/>
      <c r="BK1006" s="30"/>
      <c r="BL1006" s="30"/>
      <c r="BM1006" s="30"/>
      <c r="BN1006" s="30"/>
      <c r="BO1006" s="30"/>
      <c r="BP1006" s="30"/>
      <c r="BQ1006" s="30"/>
      <c r="BR1006" s="30"/>
      <c r="BS1006" s="30"/>
      <c r="BT1006" s="30"/>
      <c r="BU1006" s="30"/>
      <c r="BV1006" s="30"/>
      <c r="BW1006" s="30"/>
      <c r="BX1006" s="30"/>
      <c r="BY1006" s="30"/>
      <c r="BZ1006" s="30"/>
      <c r="CA1006" s="30"/>
      <c r="CB1006" s="30"/>
      <c r="CC1006" s="30"/>
      <c r="CD1006" s="30"/>
      <c r="CE1006" s="30"/>
      <c r="CF1006" s="30"/>
      <c r="CG1006" s="30"/>
      <c r="CH1006" s="30"/>
      <c r="CI1006" s="30"/>
      <c r="CJ1006" s="30"/>
      <c r="CK1006" s="30"/>
      <c r="CL1006" s="30"/>
      <c r="CM1006" s="30"/>
      <c r="CN1006" s="30"/>
      <c r="CO1006" s="30"/>
      <c r="CP1006" s="30"/>
      <c r="CQ1006" s="30"/>
      <c r="CR1006" s="30"/>
      <c r="CS1006" s="30"/>
      <c r="CT1006" s="30"/>
      <c r="CU1006" s="30"/>
      <c r="CV1006" s="30"/>
      <c r="CW1006" s="30"/>
      <c r="CX1006" s="30"/>
      <c r="CY1006" s="30"/>
      <c r="CZ1006" s="30"/>
      <c r="DA1006" s="30"/>
      <c r="DB1006" s="30"/>
      <c r="DC1006" s="30"/>
      <c r="DD1006" s="30"/>
      <c r="DE1006" s="30"/>
      <c r="DF1006" s="30"/>
      <c r="DG1006" s="30"/>
      <c r="DH1006" s="30"/>
      <c r="DI1006" s="30"/>
      <c r="DJ1006" s="30"/>
      <c r="DK1006" s="30"/>
      <c r="DL1006" s="30"/>
      <c r="DM1006" s="30"/>
      <c r="DN1006" s="30"/>
      <c r="DO1006" s="30"/>
      <c r="DP1006" s="30"/>
      <c r="DQ1006" s="30"/>
      <c r="DR1006" s="30"/>
      <c r="DS1006" s="30"/>
      <c r="DT1006" s="30"/>
      <c r="DU1006" s="30"/>
      <c r="DV1006" s="30"/>
      <c r="DW1006" s="30"/>
      <c r="DX1006" s="30"/>
      <c r="DY1006" s="30"/>
      <c r="DZ1006" s="30"/>
    </row>
    <row r="1007">
      <c r="A1007" s="30"/>
      <c r="B1007" s="42"/>
      <c r="C1007" s="43"/>
      <c r="D1007" s="30"/>
      <c r="E1007" s="28"/>
      <c r="F1007" s="30"/>
      <c r="G1007" s="30"/>
      <c r="H1007" s="30"/>
      <c r="I1007" s="30"/>
      <c r="J1007" s="28"/>
      <c r="K1007" s="30"/>
      <c r="L1007" s="30"/>
      <c r="M1007" s="30"/>
      <c r="N1007" s="30"/>
      <c r="O1007" s="28"/>
      <c r="P1007" s="30"/>
      <c r="Q1007" s="30"/>
      <c r="R1007" s="30"/>
      <c r="S1007" s="36"/>
      <c r="T1007" s="30"/>
      <c r="U1007" s="36"/>
      <c r="V1007" s="30"/>
      <c r="W1007" s="28"/>
      <c r="X1007" s="30"/>
      <c r="Y1007" s="30"/>
      <c r="Z1007" s="30"/>
      <c r="AA1007" s="30"/>
      <c r="AB1007" s="30"/>
      <c r="AC1007" s="28"/>
      <c r="AD1007" s="30"/>
      <c r="AE1007" s="30"/>
      <c r="AF1007" s="30"/>
      <c r="AG1007" s="29"/>
      <c r="AH1007" s="30"/>
      <c r="AI1007" s="36"/>
      <c r="AJ1007" s="30"/>
      <c r="AK1007" s="29"/>
      <c r="AL1007" s="30"/>
      <c r="AM1007" s="30"/>
      <c r="AN1007" s="30"/>
      <c r="AO1007" s="30"/>
      <c r="AP1007" s="30"/>
      <c r="AQ1007" s="38"/>
      <c r="AR1007" s="30"/>
      <c r="AS1007" s="30"/>
      <c r="AT1007" s="29"/>
      <c r="AU1007" s="30"/>
      <c r="AV1007" s="30"/>
      <c r="AW1007" s="30"/>
      <c r="AX1007" s="29"/>
      <c r="AY1007" s="39"/>
      <c r="AZ1007" s="30"/>
      <c r="BA1007" s="30"/>
      <c r="BB1007" s="29"/>
      <c r="BC1007" s="52"/>
      <c r="BD1007" s="30"/>
      <c r="BE1007" s="29"/>
      <c r="BF1007" s="30"/>
      <c r="BG1007" s="30"/>
      <c r="BH1007" s="30"/>
      <c r="BI1007" s="30"/>
      <c r="BJ1007" s="30"/>
      <c r="BK1007" s="30"/>
      <c r="BL1007" s="30"/>
      <c r="BM1007" s="30"/>
      <c r="BN1007" s="30"/>
      <c r="BO1007" s="30"/>
      <c r="BP1007" s="30"/>
      <c r="BQ1007" s="30"/>
      <c r="BR1007" s="30"/>
      <c r="BS1007" s="30"/>
      <c r="BT1007" s="30"/>
      <c r="BU1007" s="30"/>
      <c r="BV1007" s="30"/>
      <c r="BW1007" s="30"/>
      <c r="BX1007" s="30"/>
      <c r="BY1007" s="30"/>
      <c r="BZ1007" s="30"/>
      <c r="CA1007" s="30"/>
      <c r="CB1007" s="30"/>
      <c r="CC1007" s="30"/>
      <c r="CD1007" s="30"/>
      <c r="CE1007" s="30"/>
      <c r="CF1007" s="30"/>
      <c r="CG1007" s="30"/>
      <c r="CH1007" s="30"/>
      <c r="CI1007" s="30"/>
      <c r="CJ1007" s="30"/>
      <c r="CK1007" s="30"/>
      <c r="CL1007" s="30"/>
      <c r="CM1007" s="30"/>
      <c r="CN1007" s="30"/>
      <c r="CO1007" s="30"/>
      <c r="CP1007" s="30"/>
      <c r="CQ1007" s="30"/>
      <c r="CR1007" s="30"/>
      <c r="CS1007" s="30"/>
      <c r="CT1007" s="30"/>
      <c r="CU1007" s="30"/>
      <c r="CV1007" s="30"/>
      <c r="CW1007" s="30"/>
      <c r="CX1007" s="30"/>
      <c r="CY1007" s="30"/>
      <c r="CZ1007" s="30"/>
      <c r="DA1007" s="30"/>
      <c r="DB1007" s="30"/>
      <c r="DC1007" s="30"/>
      <c r="DD1007" s="30"/>
      <c r="DE1007" s="30"/>
      <c r="DF1007" s="30"/>
      <c r="DG1007" s="30"/>
      <c r="DH1007" s="30"/>
      <c r="DI1007" s="30"/>
      <c r="DJ1007" s="30"/>
      <c r="DK1007" s="30"/>
      <c r="DL1007" s="30"/>
      <c r="DM1007" s="30"/>
      <c r="DN1007" s="30"/>
      <c r="DO1007" s="30"/>
      <c r="DP1007" s="30"/>
      <c r="DQ1007" s="30"/>
      <c r="DR1007" s="30"/>
      <c r="DS1007" s="30"/>
      <c r="DT1007" s="30"/>
      <c r="DU1007" s="30"/>
      <c r="DV1007" s="30"/>
      <c r="DW1007" s="30"/>
      <c r="DX1007" s="30"/>
      <c r="DY1007" s="30"/>
      <c r="DZ1007" s="30"/>
    </row>
    <row r="1008">
      <c r="A1008" s="30"/>
      <c r="B1008" s="42"/>
      <c r="C1008" s="43"/>
      <c r="D1008" s="30"/>
      <c r="E1008" s="28"/>
      <c r="F1008" s="30"/>
      <c r="G1008" s="30"/>
      <c r="H1008" s="30"/>
      <c r="I1008" s="30"/>
      <c r="J1008" s="28"/>
      <c r="K1008" s="30"/>
      <c r="L1008" s="30"/>
      <c r="M1008" s="30"/>
      <c r="N1008" s="30"/>
      <c r="O1008" s="28"/>
      <c r="P1008" s="30"/>
      <c r="Q1008" s="30"/>
      <c r="R1008" s="30"/>
      <c r="S1008" s="36"/>
      <c r="T1008" s="30"/>
      <c r="U1008" s="36"/>
      <c r="V1008" s="30"/>
      <c r="W1008" s="28"/>
      <c r="X1008" s="30"/>
      <c r="Y1008" s="30"/>
      <c r="Z1008" s="30"/>
      <c r="AA1008" s="30"/>
      <c r="AB1008" s="30"/>
      <c r="AC1008" s="28"/>
      <c r="AD1008" s="30"/>
      <c r="AE1008" s="30"/>
      <c r="AF1008" s="30"/>
      <c r="AG1008" s="29"/>
      <c r="AH1008" s="30"/>
      <c r="AI1008" s="36"/>
      <c r="AJ1008" s="30"/>
      <c r="AK1008" s="29"/>
      <c r="AL1008" s="30"/>
      <c r="AM1008" s="30"/>
      <c r="AN1008" s="30"/>
      <c r="AO1008" s="30"/>
      <c r="AP1008" s="30"/>
      <c r="AQ1008" s="38"/>
      <c r="AR1008" s="30"/>
      <c r="AS1008" s="30"/>
      <c r="AT1008" s="29"/>
      <c r="AU1008" s="30"/>
      <c r="AV1008" s="30"/>
      <c r="AW1008" s="30"/>
      <c r="AX1008" s="29"/>
      <c r="AY1008" s="39"/>
      <c r="AZ1008" s="30"/>
      <c r="BA1008" s="30"/>
      <c r="BB1008" s="29"/>
      <c r="BC1008" s="52"/>
      <c r="BD1008" s="30"/>
      <c r="BE1008" s="29"/>
      <c r="BF1008" s="30"/>
      <c r="BG1008" s="30"/>
      <c r="BH1008" s="30"/>
      <c r="BI1008" s="30"/>
      <c r="BJ1008" s="30"/>
      <c r="BK1008" s="30"/>
      <c r="BL1008" s="30"/>
      <c r="BM1008" s="30"/>
      <c r="BN1008" s="30"/>
      <c r="BO1008" s="30"/>
      <c r="BP1008" s="30"/>
      <c r="BQ1008" s="30"/>
      <c r="BR1008" s="30"/>
      <c r="BS1008" s="30"/>
      <c r="BT1008" s="30"/>
      <c r="BU1008" s="30"/>
      <c r="BV1008" s="30"/>
      <c r="BW1008" s="30"/>
      <c r="BX1008" s="30"/>
      <c r="BY1008" s="30"/>
      <c r="BZ1008" s="30"/>
      <c r="CA1008" s="30"/>
      <c r="CB1008" s="30"/>
      <c r="CC1008" s="30"/>
      <c r="CD1008" s="30"/>
      <c r="CE1008" s="30"/>
      <c r="CF1008" s="30"/>
      <c r="CG1008" s="30"/>
      <c r="CH1008" s="30"/>
      <c r="CI1008" s="30"/>
      <c r="CJ1008" s="30"/>
      <c r="CK1008" s="30"/>
      <c r="CL1008" s="30"/>
      <c r="CM1008" s="30"/>
      <c r="CN1008" s="30"/>
      <c r="CO1008" s="30"/>
      <c r="CP1008" s="30"/>
      <c r="CQ1008" s="30"/>
      <c r="CR1008" s="30"/>
      <c r="CS1008" s="30"/>
      <c r="CT1008" s="30"/>
      <c r="CU1008" s="30"/>
      <c r="CV1008" s="30"/>
      <c r="CW1008" s="30"/>
      <c r="CX1008" s="30"/>
      <c r="CY1008" s="30"/>
      <c r="CZ1008" s="30"/>
      <c r="DA1008" s="30"/>
      <c r="DB1008" s="30"/>
      <c r="DC1008" s="30"/>
      <c r="DD1008" s="30"/>
      <c r="DE1008" s="30"/>
      <c r="DF1008" s="30"/>
      <c r="DG1008" s="30"/>
      <c r="DH1008" s="30"/>
      <c r="DI1008" s="30"/>
      <c r="DJ1008" s="30"/>
      <c r="DK1008" s="30"/>
      <c r="DL1008" s="30"/>
      <c r="DM1008" s="30"/>
      <c r="DN1008" s="30"/>
      <c r="DO1008" s="30"/>
      <c r="DP1008" s="30"/>
      <c r="DQ1008" s="30"/>
      <c r="DR1008" s="30"/>
      <c r="DS1008" s="30"/>
      <c r="DT1008" s="30"/>
      <c r="DU1008" s="30"/>
      <c r="DV1008" s="30"/>
      <c r="DW1008" s="30"/>
      <c r="DX1008" s="30"/>
      <c r="DY1008" s="30"/>
      <c r="DZ1008" s="30"/>
    </row>
    <row r="1009">
      <c r="A1009" s="30"/>
      <c r="B1009" s="42"/>
      <c r="C1009" s="43"/>
      <c r="D1009" s="30"/>
      <c r="E1009" s="28"/>
      <c r="F1009" s="30"/>
      <c r="G1009" s="30"/>
      <c r="H1009" s="30"/>
      <c r="I1009" s="30"/>
      <c r="J1009" s="28"/>
      <c r="K1009" s="30"/>
      <c r="L1009" s="30"/>
      <c r="M1009" s="30"/>
      <c r="N1009" s="30"/>
      <c r="O1009" s="28"/>
      <c r="P1009" s="30"/>
      <c r="Q1009" s="30"/>
      <c r="R1009" s="30"/>
      <c r="S1009" s="36"/>
      <c r="T1009" s="30"/>
      <c r="U1009" s="36"/>
      <c r="V1009" s="30"/>
      <c r="W1009" s="28"/>
      <c r="X1009" s="30"/>
      <c r="Y1009" s="30"/>
      <c r="Z1009" s="30"/>
      <c r="AA1009" s="30"/>
      <c r="AB1009" s="30"/>
      <c r="AC1009" s="28"/>
      <c r="AD1009" s="30"/>
      <c r="AE1009" s="30"/>
      <c r="AF1009" s="30"/>
      <c r="AG1009" s="29"/>
      <c r="AH1009" s="30"/>
      <c r="AI1009" s="36"/>
      <c r="AJ1009" s="30"/>
      <c r="AK1009" s="29"/>
      <c r="AL1009" s="30"/>
      <c r="AM1009" s="30"/>
      <c r="AN1009" s="30"/>
      <c r="AO1009" s="30"/>
      <c r="AP1009" s="30"/>
      <c r="AQ1009" s="38"/>
      <c r="AR1009" s="30"/>
      <c r="AS1009" s="30"/>
      <c r="AT1009" s="29"/>
      <c r="AU1009" s="30"/>
      <c r="AV1009" s="30"/>
      <c r="AW1009" s="30"/>
      <c r="AX1009" s="29"/>
      <c r="AY1009" s="39"/>
      <c r="AZ1009" s="30"/>
      <c r="BA1009" s="30"/>
      <c r="BB1009" s="29"/>
      <c r="BC1009" s="52"/>
      <c r="BD1009" s="30"/>
      <c r="BE1009" s="29"/>
      <c r="BF1009" s="30"/>
      <c r="BG1009" s="30"/>
      <c r="BH1009" s="30"/>
      <c r="BI1009" s="30"/>
      <c r="BJ1009" s="30"/>
      <c r="BK1009" s="30"/>
      <c r="BL1009" s="30"/>
      <c r="BM1009" s="30"/>
      <c r="BN1009" s="30"/>
      <c r="BO1009" s="30"/>
      <c r="BP1009" s="30"/>
      <c r="BQ1009" s="30"/>
      <c r="BR1009" s="30"/>
      <c r="BS1009" s="30"/>
      <c r="BT1009" s="30"/>
      <c r="BU1009" s="30"/>
      <c r="BV1009" s="30"/>
      <c r="BW1009" s="30"/>
      <c r="BX1009" s="30"/>
      <c r="BY1009" s="30"/>
      <c r="BZ1009" s="30"/>
      <c r="CA1009" s="30"/>
      <c r="CB1009" s="30"/>
      <c r="CC1009" s="30"/>
      <c r="CD1009" s="30"/>
      <c r="CE1009" s="30"/>
      <c r="CF1009" s="30"/>
      <c r="CG1009" s="30"/>
      <c r="CH1009" s="30"/>
      <c r="CI1009" s="30"/>
      <c r="CJ1009" s="30"/>
      <c r="CK1009" s="30"/>
      <c r="CL1009" s="30"/>
      <c r="CM1009" s="30"/>
      <c r="CN1009" s="30"/>
      <c r="CO1009" s="30"/>
      <c r="CP1009" s="30"/>
      <c r="CQ1009" s="30"/>
      <c r="CR1009" s="30"/>
      <c r="CS1009" s="30"/>
      <c r="CT1009" s="30"/>
      <c r="CU1009" s="30"/>
      <c r="CV1009" s="30"/>
      <c r="CW1009" s="30"/>
      <c r="CX1009" s="30"/>
      <c r="CY1009" s="30"/>
      <c r="CZ1009" s="30"/>
      <c r="DA1009" s="30"/>
      <c r="DB1009" s="30"/>
      <c r="DC1009" s="30"/>
      <c r="DD1009" s="30"/>
      <c r="DE1009" s="30"/>
      <c r="DF1009" s="30"/>
      <c r="DG1009" s="30"/>
      <c r="DH1009" s="30"/>
      <c r="DI1009" s="30"/>
      <c r="DJ1009" s="30"/>
      <c r="DK1009" s="30"/>
      <c r="DL1009" s="30"/>
      <c r="DM1009" s="30"/>
      <c r="DN1009" s="30"/>
      <c r="DO1009" s="30"/>
      <c r="DP1009" s="30"/>
      <c r="DQ1009" s="30"/>
      <c r="DR1009" s="30"/>
      <c r="DS1009" s="30"/>
      <c r="DT1009" s="30"/>
      <c r="DU1009" s="30"/>
      <c r="DV1009" s="30"/>
      <c r="DW1009" s="30"/>
      <c r="DX1009" s="30"/>
      <c r="DY1009" s="30"/>
      <c r="DZ1009" s="30"/>
    </row>
    <row r="1010">
      <c r="A1010" s="30"/>
      <c r="B1010" s="42"/>
      <c r="C1010" s="43"/>
      <c r="D1010" s="30"/>
      <c r="E1010" s="28"/>
      <c r="F1010" s="30"/>
      <c r="G1010" s="30"/>
      <c r="H1010" s="30"/>
      <c r="I1010" s="30"/>
      <c r="J1010" s="28"/>
      <c r="K1010" s="30"/>
      <c r="L1010" s="30"/>
      <c r="M1010" s="30"/>
      <c r="N1010" s="30"/>
      <c r="O1010" s="28"/>
      <c r="P1010" s="30"/>
      <c r="Q1010" s="30"/>
      <c r="R1010" s="30"/>
      <c r="S1010" s="36"/>
      <c r="T1010" s="30"/>
      <c r="U1010" s="36"/>
      <c r="V1010" s="30"/>
      <c r="W1010" s="28"/>
      <c r="X1010" s="30"/>
      <c r="Y1010" s="30"/>
      <c r="Z1010" s="30"/>
      <c r="AA1010" s="30"/>
      <c r="AB1010" s="30"/>
      <c r="AC1010" s="28"/>
      <c r="AD1010" s="30"/>
      <c r="AE1010" s="30"/>
      <c r="AF1010" s="30"/>
      <c r="AG1010" s="29"/>
      <c r="AH1010" s="30"/>
      <c r="AI1010" s="36"/>
      <c r="AJ1010" s="30"/>
      <c r="AK1010" s="29"/>
      <c r="AL1010" s="30"/>
      <c r="AM1010" s="30"/>
      <c r="AN1010" s="30"/>
      <c r="AO1010" s="30"/>
      <c r="AP1010" s="30"/>
      <c r="AQ1010" s="38"/>
      <c r="AR1010" s="30"/>
      <c r="AS1010" s="30"/>
      <c r="AT1010" s="29"/>
      <c r="AU1010" s="30"/>
      <c r="AV1010" s="30"/>
      <c r="AW1010" s="30"/>
      <c r="AX1010" s="29"/>
      <c r="AY1010" s="39"/>
      <c r="AZ1010" s="30"/>
      <c r="BA1010" s="30"/>
      <c r="BB1010" s="29"/>
      <c r="BC1010" s="52"/>
      <c r="BD1010" s="30"/>
      <c r="BE1010" s="29"/>
      <c r="BF1010" s="30"/>
      <c r="BG1010" s="30"/>
      <c r="BH1010" s="30"/>
      <c r="BI1010" s="30"/>
      <c r="BJ1010" s="30"/>
      <c r="BK1010" s="30"/>
      <c r="BL1010" s="30"/>
      <c r="BM1010" s="30"/>
      <c r="BN1010" s="30"/>
      <c r="BO1010" s="30"/>
      <c r="BP1010" s="30"/>
      <c r="BQ1010" s="30"/>
      <c r="BR1010" s="30"/>
      <c r="BS1010" s="30"/>
      <c r="BT1010" s="30"/>
      <c r="BU1010" s="30"/>
      <c r="BV1010" s="30"/>
      <c r="BW1010" s="30"/>
      <c r="BX1010" s="30"/>
      <c r="BY1010" s="30"/>
      <c r="BZ1010" s="30"/>
      <c r="CA1010" s="30"/>
      <c r="CB1010" s="30"/>
      <c r="CC1010" s="30"/>
      <c r="CD1010" s="30"/>
      <c r="CE1010" s="30"/>
      <c r="CF1010" s="30"/>
      <c r="CG1010" s="30"/>
      <c r="CH1010" s="30"/>
      <c r="CI1010" s="30"/>
      <c r="CJ1010" s="30"/>
      <c r="CK1010" s="30"/>
      <c r="CL1010" s="30"/>
      <c r="CM1010" s="30"/>
      <c r="CN1010" s="30"/>
      <c r="CO1010" s="30"/>
      <c r="CP1010" s="30"/>
      <c r="CQ1010" s="30"/>
      <c r="CR1010" s="30"/>
      <c r="CS1010" s="30"/>
      <c r="CT1010" s="30"/>
      <c r="CU1010" s="30"/>
      <c r="CV1010" s="30"/>
      <c r="CW1010" s="30"/>
      <c r="CX1010" s="30"/>
      <c r="CY1010" s="30"/>
      <c r="CZ1010" s="30"/>
      <c r="DA1010" s="30"/>
      <c r="DB1010" s="30"/>
      <c r="DC1010" s="30"/>
      <c r="DD1010" s="30"/>
      <c r="DE1010" s="30"/>
      <c r="DF1010" s="30"/>
      <c r="DG1010" s="30"/>
      <c r="DH1010" s="30"/>
      <c r="DI1010" s="30"/>
      <c r="DJ1010" s="30"/>
      <c r="DK1010" s="30"/>
      <c r="DL1010" s="30"/>
      <c r="DM1010" s="30"/>
      <c r="DN1010" s="30"/>
      <c r="DO1010" s="30"/>
      <c r="DP1010" s="30"/>
      <c r="DQ1010" s="30"/>
      <c r="DR1010" s="30"/>
      <c r="DS1010" s="30"/>
      <c r="DT1010" s="30"/>
      <c r="DU1010" s="30"/>
      <c r="DV1010" s="30"/>
      <c r="DW1010" s="30"/>
      <c r="DX1010" s="30"/>
      <c r="DY1010" s="30"/>
      <c r="DZ1010" s="30"/>
    </row>
    <row r="1011">
      <c r="A1011" s="30"/>
      <c r="B1011" s="42"/>
      <c r="C1011" s="43"/>
      <c r="D1011" s="30"/>
      <c r="E1011" s="28"/>
      <c r="F1011" s="30"/>
      <c r="G1011" s="30"/>
      <c r="H1011" s="30"/>
      <c r="I1011" s="30"/>
      <c r="J1011" s="28"/>
      <c r="K1011" s="30"/>
      <c r="L1011" s="30"/>
      <c r="M1011" s="30"/>
      <c r="N1011" s="30"/>
      <c r="O1011" s="28"/>
      <c r="P1011" s="30"/>
      <c r="Q1011" s="30"/>
      <c r="R1011" s="30"/>
      <c r="S1011" s="36"/>
      <c r="T1011" s="30"/>
      <c r="U1011" s="36"/>
      <c r="V1011" s="30"/>
      <c r="W1011" s="28"/>
      <c r="X1011" s="30"/>
      <c r="Y1011" s="30"/>
      <c r="Z1011" s="30"/>
      <c r="AA1011" s="30"/>
      <c r="AB1011" s="30"/>
      <c r="AC1011" s="28"/>
      <c r="AD1011" s="30"/>
      <c r="AE1011" s="30"/>
      <c r="AF1011" s="30"/>
      <c r="AG1011" s="29"/>
      <c r="AH1011" s="30"/>
      <c r="AI1011" s="36"/>
      <c r="AJ1011" s="30"/>
      <c r="AK1011" s="29"/>
      <c r="AL1011" s="30"/>
      <c r="AM1011" s="30"/>
      <c r="AN1011" s="30"/>
      <c r="AO1011" s="30"/>
      <c r="AP1011" s="30"/>
      <c r="AQ1011" s="38"/>
      <c r="AR1011" s="30"/>
      <c r="AS1011" s="30"/>
      <c r="AT1011" s="29"/>
      <c r="AU1011" s="30"/>
      <c r="AV1011" s="30"/>
      <c r="AW1011" s="30"/>
      <c r="AX1011" s="29"/>
      <c r="AY1011" s="39"/>
      <c r="AZ1011" s="30"/>
      <c r="BA1011" s="30"/>
      <c r="BB1011" s="29"/>
      <c r="BC1011" s="52"/>
      <c r="BD1011" s="30"/>
      <c r="BE1011" s="29"/>
      <c r="BF1011" s="30"/>
      <c r="BG1011" s="30"/>
      <c r="BH1011" s="30"/>
      <c r="BI1011" s="30"/>
      <c r="BJ1011" s="30"/>
      <c r="BK1011" s="30"/>
      <c r="BL1011" s="30"/>
      <c r="BM1011" s="30"/>
      <c r="BN1011" s="30"/>
      <c r="BO1011" s="30"/>
      <c r="BP1011" s="30"/>
      <c r="BQ1011" s="30"/>
      <c r="BR1011" s="30"/>
      <c r="BS1011" s="30"/>
      <c r="BT1011" s="30"/>
      <c r="BU1011" s="30"/>
      <c r="BV1011" s="30"/>
      <c r="BW1011" s="30"/>
      <c r="BX1011" s="30"/>
      <c r="BY1011" s="30"/>
      <c r="BZ1011" s="30"/>
      <c r="CA1011" s="30"/>
      <c r="CB1011" s="30"/>
      <c r="CC1011" s="30"/>
      <c r="CD1011" s="30"/>
      <c r="CE1011" s="30"/>
      <c r="CF1011" s="30"/>
      <c r="CG1011" s="30"/>
      <c r="CH1011" s="30"/>
      <c r="CI1011" s="30"/>
      <c r="CJ1011" s="30"/>
      <c r="CK1011" s="30"/>
      <c r="CL1011" s="30"/>
      <c r="CM1011" s="30"/>
      <c r="CN1011" s="30"/>
      <c r="CO1011" s="30"/>
      <c r="CP1011" s="30"/>
      <c r="CQ1011" s="30"/>
      <c r="CR1011" s="30"/>
      <c r="CS1011" s="30"/>
      <c r="CT1011" s="30"/>
      <c r="CU1011" s="30"/>
      <c r="CV1011" s="30"/>
      <c r="CW1011" s="30"/>
      <c r="CX1011" s="30"/>
      <c r="CY1011" s="30"/>
      <c r="CZ1011" s="30"/>
      <c r="DA1011" s="30"/>
      <c r="DB1011" s="30"/>
      <c r="DC1011" s="30"/>
      <c r="DD1011" s="30"/>
      <c r="DE1011" s="30"/>
      <c r="DF1011" s="30"/>
      <c r="DG1011" s="30"/>
      <c r="DH1011" s="30"/>
      <c r="DI1011" s="30"/>
      <c r="DJ1011" s="30"/>
      <c r="DK1011" s="30"/>
      <c r="DL1011" s="30"/>
      <c r="DM1011" s="30"/>
      <c r="DN1011" s="30"/>
      <c r="DO1011" s="30"/>
      <c r="DP1011" s="30"/>
      <c r="DQ1011" s="30"/>
      <c r="DR1011" s="30"/>
      <c r="DS1011" s="30"/>
      <c r="DT1011" s="30"/>
      <c r="DU1011" s="30"/>
      <c r="DV1011" s="30"/>
      <c r="DW1011" s="30"/>
      <c r="DX1011" s="30"/>
      <c r="DY1011" s="30"/>
      <c r="DZ1011" s="30"/>
    </row>
    <row r="1012">
      <c r="A1012" s="30"/>
      <c r="B1012" s="42"/>
      <c r="C1012" s="43"/>
      <c r="D1012" s="30"/>
      <c r="E1012" s="28"/>
      <c r="F1012" s="30"/>
      <c r="G1012" s="30"/>
      <c r="H1012" s="30"/>
      <c r="I1012" s="30"/>
      <c r="J1012" s="28"/>
      <c r="K1012" s="30"/>
      <c r="L1012" s="30"/>
      <c r="M1012" s="30"/>
      <c r="N1012" s="30"/>
      <c r="O1012" s="28"/>
      <c r="P1012" s="30"/>
      <c r="Q1012" s="30"/>
      <c r="R1012" s="30"/>
      <c r="S1012" s="36"/>
      <c r="T1012" s="30"/>
      <c r="U1012" s="36"/>
      <c r="V1012" s="30"/>
      <c r="W1012" s="28"/>
      <c r="X1012" s="30"/>
      <c r="Y1012" s="30"/>
      <c r="Z1012" s="30"/>
      <c r="AA1012" s="30"/>
      <c r="AB1012" s="30"/>
      <c r="AC1012" s="28"/>
      <c r="AD1012" s="30"/>
      <c r="AE1012" s="30"/>
      <c r="AF1012" s="30"/>
      <c r="AG1012" s="29"/>
      <c r="AH1012" s="30"/>
      <c r="AI1012" s="36"/>
      <c r="AJ1012" s="30"/>
      <c r="AK1012" s="29"/>
      <c r="AL1012" s="30"/>
      <c r="AM1012" s="30"/>
      <c r="AN1012" s="30"/>
      <c r="AO1012" s="30"/>
      <c r="AP1012" s="30"/>
      <c r="AQ1012" s="38"/>
      <c r="AR1012" s="30"/>
      <c r="AS1012" s="30"/>
      <c r="AT1012" s="29"/>
      <c r="AU1012" s="30"/>
      <c r="AV1012" s="30"/>
      <c r="AW1012" s="30"/>
      <c r="AX1012" s="29"/>
      <c r="AY1012" s="39"/>
      <c r="AZ1012" s="30"/>
      <c r="BA1012" s="30"/>
      <c r="BB1012" s="29"/>
      <c r="BC1012" s="52"/>
      <c r="BD1012" s="30"/>
      <c r="BE1012" s="29"/>
      <c r="BF1012" s="30"/>
      <c r="BG1012" s="30"/>
      <c r="BH1012" s="30"/>
      <c r="BI1012" s="30"/>
      <c r="BJ1012" s="30"/>
      <c r="BK1012" s="30"/>
      <c r="BL1012" s="30"/>
      <c r="BM1012" s="30"/>
      <c r="BN1012" s="30"/>
      <c r="BO1012" s="30"/>
      <c r="BP1012" s="30"/>
      <c r="BQ1012" s="30"/>
      <c r="BR1012" s="30"/>
      <c r="BS1012" s="30"/>
      <c r="BT1012" s="30"/>
      <c r="BU1012" s="30"/>
      <c r="BV1012" s="30"/>
      <c r="BW1012" s="30"/>
      <c r="BX1012" s="30"/>
      <c r="BY1012" s="30"/>
      <c r="BZ1012" s="30"/>
      <c r="CA1012" s="30"/>
      <c r="CB1012" s="30"/>
      <c r="CC1012" s="30"/>
      <c r="CD1012" s="30"/>
      <c r="CE1012" s="30"/>
      <c r="CF1012" s="30"/>
      <c r="CG1012" s="30"/>
      <c r="CH1012" s="30"/>
      <c r="CI1012" s="30"/>
      <c r="CJ1012" s="30"/>
      <c r="CK1012" s="30"/>
      <c r="CL1012" s="30"/>
      <c r="CM1012" s="30"/>
      <c r="CN1012" s="30"/>
      <c r="CO1012" s="30"/>
      <c r="CP1012" s="30"/>
      <c r="CQ1012" s="30"/>
      <c r="CR1012" s="30"/>
      <c r="CS1012" s="30"/>
      <c r="CT1012" s="30"/>
      <c r="CU1012" s="30"/>
      <c r="CV1012" s="30"/>
      <c r="CW1012" s="30"/>
      <c r="CX1012" s="30"/>
      <c r="CY1012" s="30"/>
      <c r="CZ1012" s="30"/>
      <c r="DA1012" s="30"/>
      <c r="DB1012" s="30"/>
      <c r="DC1012" s="30"/>
      <c r="DD1012" s="30"/>
      <c r="DE1012" s="30"/>
      <c r="DF1012" s="30"/>
      <c r="DG1012" s="30"/>
      <c r="DH1012" s="30"/>
      <c r="DI1012" s="30"/>
      <c r="DJ1012" s="30"/>
      <c r="DK1012" s="30"/>
      <c r="DL1012" s="30"/>
      <c r="DM1012" s="30"/>
      <c r="DN1012" s="30"/>
      <c r="DO1012" s="30"/>
      <c r="DP1012" s="30"/>
      <c r="DQ1012" s="30"/>
      <c r="DR1012" s="30"/>
      <c r="DS1012" s="30"/>
      <c r="DT1012" s="30"/>
      <c r="DU1012" s="30"/>
      <c r="DV1012" s="30"/>
      <c r="DW1012" s="30"/>
      <c r="DX1012" s="30"/>
      <c r="DY1012" s="30"/>
      <c r="DZ1012" s="30"/>
    </row>
    <row r="1013">
      <c r="A1013" s="30"/>
      <c r="B1013" s="42"/>
      <c r="C1013" s="43"/>
      <c r="D1013" s="30"/>
      <c r="E1013" s="28"/>
      <c r="F1013" s="30"/>
      <c r="G1013" s="30"/>
      <c r="H1013" s="30"/>
      <c r="I1013" s="30"/>
      <c r="J1013" s="28"/>
      <c r="K1013" s="30"/>
      <c r="L1013" s="30"/>
      <c r="M1013" s="30"/>
      <c r="N1013" s="30"/>
      <c r="O1013" s="28"/>
      <c r="P1013" s="30"/>
      <c r="Q1013" s="30"/>
      <c r="R1013" s="30"/>
      <c r="S1013" s="36"/>
      <c r="T1013" s="30"/>
      <c r="U1013" s="36"/>
      <c r="V1013" s="30"/>
      <c r="W1013" s="28"/>
      <c r="X1013" s="30"/>
      <c r="Y1013" s="30"/>
      <c r="Z1013" s="30"/>
      <c r="AA1013" s="30"/>
      <c r="AB1013" s="30"/>
      <c r="AC1013" s="28"/>
      <c r="AD1013" s="30"/>
      <c r="AE1013" s="30"/>
      <c r="AF1013" s="30"/>
      <c r="AG1013" s="29"/>
      <c r="AH1013" s="30"/>
      <c r="AI1013" s="36"/>
      <c r="AJ1013" s="30"/>
      <c r="AK1013" s="29"/>
      <c r="AL1013" s="30"/>
      <c r="AM1013" s="30"/>
      <c r="AN1013" s="30"/>
      <c r="AO1013" s="30"/>
      <c r="AP1013" s="30"/>
      <c r="AQ1013" s="38"/>
      <c r="AR1013" s="30"/>
      <c r="AS1013" s="30"/>
      <c r="AT1013" s="29"/>
      <c r="AU1013" s="30"/>
      <c r="AV1013" s="30"/>
      <c r="AW1013" s="30"/>
      <c r="AX1013" s="29"/>
      <c r="AY1013" s="39"/>
      <c r="AZ1013" s="30"/>
      <c r="BA1013" s="30"/>
      <c r="BB1013" s="29"/>
      <c r="BC1013" s="52"/>
      <c r="BD1013" s="30"/>
      <c r="BE1013" s="29"/>
      <c r="BF1013" s="30"/>
      <c r="BG1013" s="30"/>
      <c r="BH1013" s="30"/>
      <c r="BI1013" s="30"/>
      <c r="BJ1013" s="30"/>
      <c r="BK1013" s="30"/>
      <c r="BL1013" s="30"/>
      <c r="BM1013" s="30"/>
      <c r="BN1013" s="30"/>
      <c r="BO1013" s="30"/>
      <c r="BP1013" s="30"/>
      <c r="BQ1013" s="30"/>
      <c r="BR1013" s="30"/>
      <c r="BS1013" s="30"/>
      <c r="BT1013" s="30"/>
      <c r="BU1013" s="30"/>
      <c r="BV1013" s="30"/>
      <c r="BW1013" s="30"/>
      <c r="BX1013" s="30"/>
      <c r="BY1013" s="30"/>
      <c r="BZ1013" s="30"/>
      <c r="CA1013" s="30"/>
      <c r="CB1013" s="30"/>
      <c r="CC1013" s="30"/>
      <c r="CD1013" s="30"/>
      <c r="CE1013" s="30"/>
      <c r="CF1013" s="30"/>
      <c r="CG1013" s="30"/>
      <c r="CH1013" s="30"/>
      <c r="CI1013" s="30"/>
      <c r="CJ1013" s="30"/>
      <c r="CK1013" s="30"/>
      <c r="CL1013" s="30"/>
      <c r="CM1013" s="30"/>
      <c r="CN1013" s="30"/>
      <c r="CO1013" s="30"/>
      <c r="CP1013" s="30"/>
      <c r="CQ1013" s="30"/>
      <c r="CR1013" s="30"/>
      <c r="CS1013" s="30"/>
      <c r="CT1013" s="30"/>
      <c r="CU1013" s="30"/>
      <c r="CV1013" s="30"/>
      <c r="CW1013" s="30"/>
      <c r="CX1013" s="30"/>
      <c r="CY1013" s="30"/>
      <c r="CZ1013" s="30"/>
      <c r="DA1013" s="30"/>
      <c r="DB1013" s="30"/>
      <c r="DC1013" s="30"/>
      <c r="DD1013" s="30"/>
      <c r="DE1013" s="30"/>
      <c r="DF1013" s="30"/>
      <c r="DG1013" s="30"/>
      <c r="DH1013" s="30"/>
      <c r="DI1013" s="30"/>
      <c r="DJ1013" s="30"/>
      <c r="DK1013" s="30"/>
      <c r="DL1013" s="30"/>
      <c r="DM1013" s="30"/>
      <c r="DN1013" s="30"/>
      <c r="DO1013" s="30"/>
      <c r="DP1013" s="30"/>
      <c r="DQ1013" s="30"/>
      <c r="DR1013" s="30"/>
      <c r="DS1013" s="30"/>
      <c r="DT1013" s="30"/>
      <c r="DU1013" s="30"/>
      <c r="DV1013" s="30"/>
      <c r="DW1013" s="30"/>
      <c r="DX1013" s="30"/>
      <c r="DY1013" s="30"/>
      <c r="DZ1013" s="30"/>
    </row>
    <row r="1014">
      <c r="A1014" s="30"/>
      <c r="B1014" s="42"/>
      <c r="C1014" s="43"/>
      <c r="D1014" s="30"/>
      <c r="E1014" s="28"/>
      <c r="F1014" s="30"/>
      <c r="G1014" s="30"/>
      <c r="H1014" s="30"/>
      <c r="I1014" s="30"/>
      <c r="J1014" s="28"/>
      <c r="K1014" s="30"/>
      <c r="L1014" s="30"/>
      <c r="M1014" s="30"/>
      <c r="N1014" s="30"/>
      <c r="O1014" s="28"/>
      <c r="P1014" s="30"/>
      <c r="Q1014" s="30"/>
      <c r="R1014" s="30"/>
      <c r="S1014" s="36"/>
      <c r="T1014" s="30"/>
      <c r="U1014" s="36"/>
      <c r="V1014" s="30"/>
      <c r="W1014" s="28"/>
      <c r="X1014" s="30"/>
      <c r="Y1014" s="30"/>
      <c r="Z1014" s="30"/>
      <c r="AA1014" s="30"/>
      <c r="AB1014" s="30"/>
      <c r="AC1014" s="28"/>
      <c r="AD1014" s="30"/>
      <c r="AE1014" s="30"/>
      <c r="AF1014" s="30"/>
      <c r="AG1014" s="29"/>
      <c r="AH1014" s="30"/>
      <c r="AI1014" s="36"/>
      <c r="AJ1014" s="30"/>
      <c r="AK1014" s="29"/>
      <c r="AL1014" s="30"/>
      <c r="AM1014" s="30"/>
      <c r="AN1014" s="30"/>
      <c r="AO1014" s="30"/>
      <c r="AP1014" s="30"/>
      <c r="AQ1014" s="38"/>
      <c r="AR1014" s="30"/>
      <c r="AS1014" s="30"/>
      <c r="AT1014" s="29"/>
      <c r="AU1014" s="30"/>
      <c r="AV1014" s="30"/>
      <c r="AW1014" s="30"/>
      <c r="AX1014" s="29"/>
      <c r="AY1014" s="39"/>
      <c r="AZ1014" s="30"/>
      <c r="BA1014" s="30"/>
      <c r="BB1014" s="29"/>
      <c r="BC1014" s="52"/>
      <c r="BD1014" s="30"/>
      <c r="BE1014" s="29"/>
      <c r="BF1014" s="30"/>
      <c r="BG1014" s="30"/>
      <c r="BH1014" s="30"/>
      <c r="BI1014" s="30"/>
      <c r="BJ1014" s="30"/>
      <c r="BK1014" s="30"/>
      <c r="BL1014" s="30"/>
      <c r="BM1014" s="30"/>
      <c r="BN1014" s="30"/>
      <c r="BO1014" s="30"/>
      <c r="BP1014" s="30"/>
      <c r="BQ1014" s="30"/>
      <c r="BR1014" s="30"/>
      <c r="BS1014" s="30"/>
      <c r="BT1014" s="30"/>
      <c r="BU1014" s="30"/>
      <c r="BV1014" s="30"/>
      <c r="BW1014" s="30"/>
      <c r="BX1014" s="30"/>
      <c r="BY1014" s="30"/>
      <c r="BZ1014" s="30"/>
      <c r="CA1014" s="30"/>
      <c r="CB1014" s="30"/>
      <c r="CC1014" s="30"/>
      <c r="CD1014" s="30"/>
      <c r="CE1014" s="30"/>
      <c r="CF1014" s="30"/>
      <c r="CG1014" s="30"/>
      <c r="CH1014" s="30"/>
      <c r="CI1014" s="30"/>
      <c r="CJ1014" s="30"/>
      <c r="CK1014" s="30"/>
      <c r="CL1014" s="30"/>
      <c r="CM1014" s="30"/>
      <c r="CN1014" s="30"/>
      <c r="CO1014" s="30"/>
      <c r="CP1014" s="30"/>
      <c r="CQ1014" s="30"/>
      <c r="CR1014" s="30"/>
      <c r="CS1014" s="30"/>
      <c r="CT1014" s="30"/>
      <c r="CU1014" s="30"/>
      <c r="CV1014" s="30"/>
      <c r="CW1014" s="30"/>
      <c r="CX1014" s="30"/>
      <c r="CY1014" s="30"/>
      <c r="CZ1014" s="30"/>
      <c r="DA1014" s="30"/>
      <c r="DB1014" s="30"/>
      <c r="DC1014" s="30"/>
      <c r="DD1014" s="30"/>
      <c r="DE1014" s="30"/>
      <c r="DF1014" s="30"/>
      <c r="DG1014" s="30"/>
      <c r="DH1014" s="30"/>
      <c r="DI1014" s="30"/>
      <c r="DJ1014" s="30"/>
      <c r="DK1014" s="30"/>
      <c r="DL1014" s="30"/>
      <c r="DM1014" s="30"/>
      <c r="DN1014" s="30"/>
      <c r="DO1014" s="30"/>
      <c r="DP1014" s="30"/>
      <c r="DQ1014" s="30"/>
      <c r="DR1014" s="30"/>
      <c r="DS1014" s="30"/>
      <c r="DT1014" s="30"/>
      <c r="DU1014" s="30"/>
      <c r="DV1014" s="30"/>
      <c r="DW1014" s="30"/>
      <c r="DX1014" s="30"/>
      <c r="DY1014" s="30"/>
      <c r="DZ1014" s="30"/>
    </row>
    <row r="1015">
      <c r="A1015" s="30"/>
      <c r="B1015" s="42"/>
      <c r="C1015" s="43"/>
      <c r="D1015" s="30"/>
      <c r="E1015" s="28"/>
      <c r="F1015" s="30"/>
      <c r="G1015" s="30"/>
      <c r="H1015" s="30"/>
      <c r="I1015" s="30"/>
      <c r="J1015" s="28"/>
      <c r="K1015" s="30"/>
      <c r="L1015" s="30"/>
      <c r="M1015" s="30"/>
      <c r="N1015" s="30"/>
      <c r="O1015" s="28"/>
      <c r="P1015" s="30"/>
      <c r="Q1015" s="30"/>
      <c r="R1015" s="30"/>
      <c r="S1015" s="36"/>
      <c r="T1015" s="30"/>
      <c r="U1015" s="36"/>
      <c r="V1015" s="30"/>
      <c r="W1015" s="28"/>
      <c r="X1015" s="30"/>
      <c r="Y1015" s="30"/>
      <c r="Z1015" s="30"/>
      <c r="AA1015" s="30"/>
      <c r="AB1015" s="30"/>
      <c r="AC1015" s="28"/>
      <c r="AD1015" s="30"/>
      <c r="AE1015" s="30"/>
      <c r="AF1015" s="30"/>
      <c r="AG1015" s="29"/>
      <c r="AH1015" s="30"/>
      <c r="AI1015" s="36"/>
      <c r="AJ1015" s="30"/>
      <c r="AK1015" s="29"/>
      <c r="AL1015" s="30"/>
      <c r="AM1015" s="30"/>
      <c r="AN1015" s="30"/>
      <c r="AO1015" s="30"/>
      <c r="AP1015" s="30"/>
      <c r="AQ1015" s="38"/>
      <c r="AR1015" s="30"/>
      <c r="AS1015" s="30"/>
      <c r="AT1015" s="29"/>
      <c r="AU1015" s="30"/>
      <c r="AV1015" s="30"/>
      <c r="AW1015" s="30"/>
      <c r="AX1015" s="29"/>
      <c r="AY1015" s="39"/>
      <c r="AZ1015" s="30"/>
      <c r="BA1015" s="30"/>
      <c r="BB1015" s="29"/>
      <c r="BC1015" s="52"/>
      <c r="BD1015" s="30"/>
      <c r="BE1015" s="29"/>
      <c r="BF1015" s="30"/>
      <c r="BG1015" s="30"/>
      <c r="BH1015" s="30"/>
      <c r="BI1015" s="30"/>
      <c r="BJ1015" s="30"/>
      <c r="BK1015" s="30"/>
      <c r="BL1015" s="30"/>
      <c r="BM1015" s="30"/>
      <c r="BN1015" s="30"/>
      <c r="BO1015" s="30"/>
      <c r="BP1015" s="30"/>
      <c r="BQ1015" s="30"/>
      <c r="BR1015" s="30"/>
      <c r="BS1015" s="30"/>
      <c r="BT1015" s="30"/>
      <c r="BU1015" s="30"/>
      <c r="BV1015" s="30"/>
      <c r="BW1015" s="30"/>
      <c r="BX1015" s="30"/>
      <c r="BY1015" s="30"/>
      <c r="BZ1015" s="30"/>
      <c r="CA1015" s="30"/>
      <c r="CB1015" s="30"/>
      <c r="CC1015" s="30"/>
      <c r="CD1015" s="30"/>
      <c r="CE1015" s="30"/>
      <c r="CF1015" s="30"/>
      <c r="CG1015" s="30"/>
      <c r="CH1015" s="30"/>
      <c r="CI1015" s="30"/>
      <c r="CJ1015" s="30"/>
      <c r="CK1015" s="30"/>
      <c r="CL1015" s="30"/>
      <c r="CM1015" s="30"/>
      <c r="CN1015" s="30"/>
      <c r="CO1015" s="30"/>
      <c r="CP1015" s="30"/>
      <c r="CQ1015" s="30"/>
      <c r="CR1015" s="30"/>
      <c r="CS1015" s="30"/>
      <c r="CT1015" s="30"/>
      <c r="CU1015" s="30"/>
      <c r="CV1015" s="30"/>
      <c r="CW1015" s="30"/>
      <c r="CX1015" s="30"/>
      <c r="CY1015" s="30"/>
      <c r="CZ1015" s="30"/>
      <c r="DA1015" s="30"/>
      <c r="DB1015" s="30"/>
      <c r="DC1015" s="30"/>
      <c r="DD1015" s="30"/>
      <c r="DE1015" s="30"/>
      <c r="DF1015" s="30"/>
      <c r="DG1015" s="30"/>
      <c r="DH1015" s="30"/>
      <c r="DI1015" s="30"/>
      <c r="DJ1015" s="30"/>
      <c r="DK1015" s="30"/>
      <c r="DL1015" s="30"/>
      <c r="DM1015" s="30"/>
      <c r="DN1015" s="30"/>
      <c r="DO1015" s="30"/>
      <c r="DP1015" s="30"/>
      <c r="DQ1015" s="30"/>
      <c r="DR1015" s="30"/>
      <c r="DS1015" s="30"/>
      <c r="DT1015" s="30"/>
      <c r="DU1015" s="30"/>
      <c r="DV1015" s="30"/>
      <c r="DW1015" s="30"/>
      <c r="DX1015" s="30"/>
      <c r="DY1015" s="30"/>
      <c r="DZ1015" s="30"/>
    </row>
    <row r="1016">
      <c r="A1016" s="30"/>
      <c r="B1016" s="42"/>
      <c r="C1016" s="43"/>
      <c r="D1016" s="30"/>
      <c r="E1016" s="28"/>
      <c r="F1016" s="30"/>
      <c r="G1016" s="30"/>
      <c r="H1016" s="30"/>
      <c r="I1016" s="30"/>
      <c r="J1016" s="28"/>
      <c r="K1016" s="30"/>
      <c r="L1016" s="30"/>
      <c r="M1016" s="30"/>
      <c r="N1016" s="30"/>
      <c r="O1016" s="28"/>
      <c r="P1016" s="30"/>
      <c r="Q1016" s="30"/>
      <c r="R1016" s="30"/>
      <c r="S1016" s="36"/>
      <c r="T1016" s="30"/>
      <c r="U1016" s="36"/>
      <c r="V1016" s="30"/>
      <c r="W1016" s="28"/>
      <c r="X1016" s="30"/>
      <c r="Y1016" s="30"/>
      <c r="Z1016" s="30"/>
      <c r="AA1016" s="30"/>
      <c r="AB1016" s="30"/>
      <c r="AC1016" s="28"/>
      <c r="AD1016" s="30"/>
      <c r="AE1016" s="30"/>
      <c r="AF1016" s="30"/>
      <c r="AG1016" s="29"/>
      <c r="AH1016" s="30"/>
      <c r="AI1016" s="36"/>
      <c r="AJ1016" s="30"/>
      <c r="AK1016" s="29"/>
      <c r="AL1016" s="30"/>
      <c r="AM1016" s="30"/>
      <c r="AN1016" s="30"/>
      <c r="AO1016" s="30"/>
      <c r="AP1016" s="30"/>
      <c r="AQ1016" s="38"/>
      <c r="AR1016" s="30"/>
      <c r="AS1016" s="30"/>
      <c r="AT1016" s="29"/>
      <c r="AU1016" s="30"/>
      <c r="AV1016" s="30"/>
      <c r="AW1016" s="30"/>
      <c r="AX1016" s="29"/>
      <c r="AY1016" s="39"/>
      <c r="AZ1016" s="30"/>
      <c r="BA1016" s="30"/>
      <c r="BB1016" s="29"/>
      <c r="BC1016" s="52"/>
      <c r="BD1016" s="30"/>
      <c r="BE1016" s="29"/>
      <c r="BF1016" s="30"/>
      <c r="BG1016" s="30"/>
      <c r="BH1016" s="30"/>
      <c r="BI1016" s="30"/>
      <c r="BJ1016" s="30"/>
      <c r="BK1016" s="30"/>
      <c r="BL1016" s="30"/>
      <c r="BM1016" s="30"/>
      <c r="BN1016" s="30"/>
      <c r="BO1016" s="30"/>
      <c r="BP1016" s="30"/>
      <c r="BQ1016" s="30"/>
      <c r="BR1016" s="30"/>
      <c r="BS1016" s="30"/>
      <c r="BT1016" s="30"/>
      <c r="BU1016" s="30"/>
      <c r="BV1016" s="30"/>
      <c r="BW1016" s="30"/>
      <c r="BX1016" s="30"/>
      <c r="BY1016" s="30"/>
      <c r="BZ1016" s="30"/>
      <c r="CA1016" s="30"/>
      <c r="CB1016" s="30"/>
      <c r="CC1016" s="30"/>
      <c r="CD1016" s="30"/>
      <c r="CE1016" s="30"/>
      <c r="CF1016" s="30"/>
      <c r="CG1016" s="30"/>
      <c r="CH1016" s="30"/>
      <c r="CI1016" s="30"/>
      <c r="CJ1016" s="30"/>
      <c r="CK1016" s="30"/>
      <c r="CL1016" s="30"/>
      <c r="CM1016" s="30"/>
      <c r="CN1016" s="30"/>
      <c r="CO1016" s="30"/>
      <c r="CP1016" s="30"/>
      <c r="CQ1016" s="30"/>
      <c r="CR1016" s="30"/>
      <c r="CS1016" s="30"/>
      <c r="CT1016" s="30"/>
      <c r="CU1016" s="30"/>
      <c r="CV1016" s="30"/>
      <c r="CW1016" s="30"/>
      <c r="CX1016" s="30"/>
      <c r="CY1016" s="30"/>
      <c r="CZ1016" s="30"/>
      <c r="DA1016" s="30"/>
      <c r="DB1016" s="30"/>
      <c r="DC1016" s="30"/>
      <c r="DD1016" s="30"/>
      <c r="DE1016" s="30"/>
      <c r="DF1016" s="30"/>
      <c r="DG1016" s="30"/>
      <c r="DH1016" s="30"/>
      <c r="DI1016" s="30"/>
      <c r="DJ1016" s="30"/>
      <c r="DK1016" s="30"/>
      <c r="DL1016" s="30"/>
      <c r="DM1016" s="30"/>
      <c r="DN1016" s="30"/>
      <c r="DO1016" s="30"/>
      <c r="DP1016" s="30"/>
      <c r="DQ1016" s="30"/>
      <c r="DR1016" s="30"/>
      <c r="DS1016" s="30"/>
      <c r="DT1016" s="30"/>
      <c r="DU1016" s="30"/>
      <c r="DV1016" s="30"/>
      <c r="DW1016" s="30"/>
      <c r="DX1016" s="30"/>
      <c r="DY1016" s="30"/>
      <c r="DZ1016" s="30"/>
    </row>
    <row r="1017">
      <c r="A1017" s="30"/>
      <c r="B1017" s="42"/>
      <c r="C1017" s="43"/>
      <c r="D1017" s="30"/>
      <c r="E1017" s="28"/>
      <c r="F1017" s="30"/>
      <c r="G1017" s="30"/>
      <c r="H1017" s="30"/>
      <c r="I1017" s="30"/>
      <c r="J1017" s="28"/>
      <c r="K1017" s="30"/>
      <c r="L1017" s="30"/>
      <c r="M1017" s="30"/>
      <c r="N1017" s="30"/>
      <c r="O1017" s="28"/>
      <c r="P1017" s="30"/>
      <c r="Q1017" s="30"/>
      <c r="R1017" s="30"/>
      <c r="S1017" s="36"/>
      <c r="T1017" s="30"/>
      <c r="U1017" s="36"/>
      <c r="V1017" s="30"/>
      <c r="W1017" s="28"/>
      <c r="X1017" s="30"/>
      <c r="Y1017" s="30"/>
      <c r="Z1017" s="30"/>
      <c r="AA1017" s="30"/>
      <c r="AB1017" s="30"/>
      <c r="AC1017" s="28"/>
      <c r="AD1017" s="30"/>
      <c r="AE1017" s="30"/>
      <c r="AF1017" s="30"/>
      <c r="AG1017" s="29"/>
      <c r="AH1017" s="30"/>
      <c r="AI1017" s="36"/>
      <c r="AJ1017" s="30"/>
      <c r="AK1017" s="29"/>
      <c r="AL1017" s="30"/>
      <c r="AM1017" s="30"/>
      <c r="AN1017" s="30"/>
      <c r="AO1017" s="30"/>
      <c r="AP1017" s="30"/>
      <c r="AQ1017" s="38"/>
      <c r="AR1017" s="30"/>
      <c r="AS1017" s="30"/>
      <c r="AT1017" s="29"/>
      <c r="AU1017" s="30"/>
      <c r="AV1017" s="30"/>
      <c r="AW1017" s="30"/>
      <c r="AX1017" s="29"/>
      <c r="AY1017" s="39"/>
      <c r="AZ1017" s="30"/>
      <c r="BA1017" s="30"/>
      <c r="BB1017" s="29"/>
      <c r="BC1017" s="52"/>
      <c r="BD1017" s="30"/>
      <c r="BE1017" s="29"/>
      <c r="BF1017" s="30"/>
      <c r="BG1017" s="30"/>
      <c r="BH1017" s="30"/>
      <c r="BI1017" s="30"/>
      <c r="BJ1017" s="30"/>
      <c r="BK1017" s="30"/>
      <c r="BL1017" s="30"/>
      <c r="BM1017" s="30"/>
      <c r="BN1017" s="30"/>
      <c r="BO1017" s="30"/>
      <c r="BP1017" s="30"/>
      <c r="BQ1017" s="30"/>
      <c r="BR1017" s="30"/>
      <c r="BS1017" s="30"/>
      <c r="BT1017" s="30"/>
      <c r="BU1017" s="30"/>
      <c r="BV1017" s="30"/>
      <c r="BW1017" s="30"/>
      <c r="BX1017" s="30"/>
      <c r="BY1017" s="30"/>
      <c r="BZ1017" s="30"/>
      <c r="CA1017" s="30"/>
      <c r="CB1017" s="30"/>
      <c r="CC1017" s="30"/>
      <c r="CD1017" s="30"/>
      <c r="CE1017" s="30"/>
      <c r="CF1017" s="30"/>
      <c r="CG1017" s="30"/>
      <c r="CH1017" s="30"/>
      <c r="CI1017" s="30"/>
      <c r="CJ1017" s="30"/>
      <c r="CK1017" s="30"/>
      <c r="CL1017" s="30"/>
      <c r="CM1017" s="30"/>
      <c r="CN1017" s="30"/>
      <c r="CO1017" s="30"/>
      <c r="CP1017" s="30"/>
      <c r="CQ1017" s="30"/>
      <c r="CR1017" s="30"/>
      <c r="CS1017" s="30"/>
      <c r="CT1017" s="30"/>
      <c r="CU1017" s="30"/>
      <c r="CV1017" s="30"/>
      <c r="CW1017" s="30"/>
      <c r="CX1017" s="30"/>
      <c r="CY1017" s="30"/>
      <c r="CZ1017" s="30"/>
      <c r="DA1017" s="30"/>
      <c r="DB1017" s="30"/>
      <c r="DC1017" s="30"/>
      <c r="DD1017" s="30"/>
      <c r="DE1017" s="30"/>
      <c r="DF1017" s="30"/>
      <c r="DG1017" s="30"/>
      <c r="DH1017" s="30"/>
      <c r="DI1017" s="30"/>
      <c r="DJ1017" s="30"/>
      <c r="DK1017" s="30"/>
      <c r="DL1017" s="30"/>
      <c r="DM1017" s="30"/>
      <c r="DN1017" s="30"/>
      <c r="DO1017" s="30"/>
      <c r="DP1017" s="30"/>
      <c r="DQ1017" s="30"/>
      <c r="DR1017" s="30"/>
      <c r="DS1017" s="30"/>
      <c r="DT1017" s="30"/>
      <c r="DU1017" s="30"/>
      <c r="DV1017" s="30"/>
      <c r="DW1017" s="30"/>
      <c r="DX1017" s="30"/>
      <c r="DY1017" s="30"/>
      <c r="DZ1017" s="30"/>
    </row>
    <row r="1018">
      <c r="A1018" s="30"/>
      <c r="B1018" s="42"/>
      <c r="C1018" s="43"/>
      <c r="D1018" s="30"/>
      <c r="E1018" s="28"/>
      <c r="F1018" s="30"/>
      <c r="G1018" s="30"/>
      <c r="H1018" s="30"/>
      <c r="I1018" s="30"/>
      <c r="J1018" s="28"/>
      <c r="K1018" s="30"/>
      <c r="L1018" s="30"/>
      <c r="M1018" s="30"/>
      <c r="N1018" s="30"/>
      <c r="O1018" s="28"/>
      <c r="P1018" s="30"/>
      <c r="Q1018" s="30"/>
      <c r="R1018" s="30"/>
      <c r="S1018" s="36"/>
      <c r="T1018" s="30"/>
      <c r="U1018" s="36"/>
      <c r="V1018" s="30"/>
      <c r="W1018" s="28"/>
      <c r="X1018" s="30"/>
      <c r="Y1018" s="30"/>
      <c r="Z1018" s="30"/>
      <c r="AA1018" s="30"/>
      <c r="AB1018" s="30"/>
      <c r="AC1018" s="28"/>
      <c r="AD1018" s="30"/>
      <c r="AE1018" s="30"/>
      <c r="AF1018" s="30"/>
      <c r="AG1018" s="29"/>
      <c r="AH1018" s="30"/>
      <c r="AI1018" s="36"/>
      <c r="AJ1018" s="30"/>
      <c r="AK1018" s="29"/>
      <c r="AL1018" s="30"/>
      <c r="AM1018" s="30"/>
      <c r="AN1018" s="30"/>
      <c r="AO1018" s="30"/>
      <c r="AP1018" s="30"/>
      <c r="AQ1018" s="38"/>
      <c r="AR1018" s="30"/>
      <c r="AS1018" s="30"/>
      <c r="AT1018" s="29"/>
      <c r="AU1018" s="30"/>
      <c r="AV1018" s="30"/>
      <c r="AW1018" s="30"/>
      <c r="AX1018" s="29"/>
      <c r="AY1018" s="39"/>
      <c r="AZ1018" s="30"/>
      <c r="BA1018" s="30"/>
      <c r="BB1018" s="29"/>
      <c r="BC1018" s="52"/>
      <c r="BD1018" s="30"/>
      <c r="BE1018" s="29"/>
      <c r="BF1018" s="30"/>
      <c r="BG1018" s="30"/>
      <c r="BH1018" s="30"/>
      <c r="BI1018" s="30"/>
      <c r="BJ1018" s="30"/>
      <c r="BK1018" s="30"/>
      <c r="BL1018" s="30"/>
      <c r="BM1018" s="30"/>
      <c r="BN1018" s="30"/>
      <c r="BO1018" s="30"/>
      <c r="BP1018" s="30"/>
      <c r="BQ1018" s="30"/>
      <c r="BR1018" s="30"/>
      <c r="BS1018" s="30"/>
      <c r="BT1018" s="30"/>
      <c r="BU1018" s="30"/>
      <c r="BV1018" s="30"/>
      <c r="BW1018" s="30"/>
      <c r="BX1018" s="30"/>
      <c r="BY1018" s="30"/>
      <c r="BZ1018" s="30"/>
      <c r="CA1018" s="30"/>
      <c r="CB1018" s="30"/>
      <c r="CC1018" s="30"/>
      <c r="CD1018" s="30"/>
      <c r="CE1018" s="30"/>
      <c r="CF1018" s="30"/>
      <c r="CG1018" s="30"/>
      <c r="CH1018" s="30"/>
      <c r="CI1018" s="30"/>
      <c r="CJ1018" s="30"/>
      <c r="CK1018" s="30"/>
      <c r="CL1018" s="30"/>
      <c r="CM1018" s="30"/>
      <c r="CN1018" s="30"/>
      <c r="CO1018" s="30"/>
      <c r="CP1018" s="30"/>
      <c r="CQ1018" s="30"/>
      <c r="CR1018" s="30"/>
      <c r="CS1018" s="30"/>
      <c r="CT1018" s="30"/>
      <c r="CU1018" s="30"/>
      <c r="CV1018" s="30"/>
      <c r="CW1018" s="30"/>
      <c r="CX1018" s="30"/>
      <c r="CY1018" s="30"/>
      <c r="CZ1018" s="30"/>
      <c r="DA1018" s="30"/>
      <c r="DB1018" s="30"/>
      <c r="DC1018" s="30"/>
      <c r="DD1018" s="30"/>
      <c r="DE1018" s="30"/>
      <c r="DF1018" s="30"/>
      <c r="DG1018" s="30"/>
      <c r="DH1018" s="30"/>
      <c r="DI1018" s="30"/>
      <c r="DJ1018" s="30"/>
      <c r="DK1018" s="30"/>
      <c r="DL1018" s="30"/>
      <c r="DM1018" s="30"/>
      <c r="DN1018" s="30"/>
      <c r="DO1018" s="30"/>
      <c r="DP1018" s="30"/>
      <c r="DQ1018" s="30"/>
      <c r="DR1018" s="30"/>
      <c r="DS1018" s="30"/>
      <c r="DT1018" s="30"/>
      <c r="DU1018" s="30"/>
      <c r="DV1018" s="30"/>
      <c r="DW1018" s="30"/>
      <c r="DX1018" s="30"/>
      <c r="DY1018" s="30"/>
      <c r="DZ1018" s="30"/>
    </row>
    <row r="1019">
      <c r="A1019" s="30"/>
      <c r="B1019" s="42"/>
      <c r="C1019" s="43"/>
      <c r="D1019" s="30"/>
      <c r="E1019" s="28"/>
      <c r="F1019" s="30"/>
      <c r="G1019" s="30"/>
      <c r="H1019" s="30"/>
      <c r="I1019" s="30"/>
      <c r="J1019" s="28"/>
      <c r="K1019" s="30"/>
      <c r="L1019" s="30"/>
      <c r="M1019" s="30"/>
      <c r="N1019" s="30"/>
      <c r="O1019" s="28"/>
      <c r="P1019" s="30"/>
      <c r="Q1019" s="30"/>
      <c r="R1019" s="30"/>
      <c r="S1019" s="36"/>
      <c r="T1019" s="30"/>
      <c r="U1019" s="36"/>
      <c r="V1019" s="30"/>
      <c r="W1019" s="28"/>
      <c r="X1019" s="30"/>
      <c r="Y1019" s="30"/>
      <c r="Z1019" s="30"/>
      <c r="AA1019" s="30"/>
      <c r="AB1019" s="30"/>
      <c r="AC1019" s="28"/>
      <c r="AD1019" s="30"/>
      <c r="AE1019" s="30"/>
      <c r="AF1019" s="30"/>
      <c r="AG1019" s="29"/>
      <c r="AH1019" s="30"/>
      <c r="AI1019" s="36"/>
      <c r="AJ1019" s="30"/>
      <c r="AK1019" s="29"/>
      <c r="AL1019" s="30"/>
      <c r="AM1019" s="30"/>
      <c r="AN1019" s="30"/>
      <c r="AO1019" s="30"/>
      <c r="AP1019" s="30"/>
      <c r="AQ1019" s="38"/>
      <c r="AR1019" s="30"/>
      <c r="AS1019" s="30"/>
      <c r="AT1019" s="29"/>
      <c r="AU1019" s="30"/>
      <c r="AV1019" s="30"/>
      <c r="AW1019" s="30"/>
      <c r="AX1019" s="29"/>
      <c r="AY1019" s="39"/>
      <c r="AZ1019" s="30"/>
      <c r="BA1019" s="30"/>
      <c r="BB1019" s="29"/>
      <c r="BC1019" s="52"/>
      <c r="BD1019" s="30"/>
      <c r="BE1019" s="29"/>
      <c r="BF1019" s="30"/>
      <c r="BG1019" s="30"/>
      <c r="BH1019" s="30"/>
      <c r="BI1019" s="30"/>
      <c r="BJ1019" s="30"/>
      <c r="BK1019" s="30"/>
      <c r="BL1019" s="30"/>
      <c r="BM1019" s="30"/>
      <c r="BN1019" s="30"/>
      <c r="BO1019" s="30"/>
      <c r="BP1019" s="30"/>
      <c r="BQ1019" s="30"/>
      <c r="BR1019" s="30"/>
      <c r="BS1019" s="30"/>
      <c r="BT1019" s="30"/>
      <c r="BU1019" s="30"/>
      <c r="BV1019" s="30"/>
      <c r="BW1019" s="30"/>
      <c r="BX1019" s="30"/>
      <c r="BY1019" s="30"/>
      <c r="BZ1019" s="30"/>
      <c r="CA1019" s="30"/>
      <c r="CB1019" s="30"/>
      <c r="CC1019" s="30"/>
      <c r="CD1019" s="30"/>
      <c r="CE1019" s="30"/>
      <c r="CF1019" s="30"/>
      <c r="CG1019" s="30"/>
      <c r="CH1019" s="30"/>
      <c r="CI1019" s="30"/>
      <c r="CJ1019" s="30"/>
      <c r="CK1019" s="30"/>
      <c r="CL1019" s="30"/>
      <c r="CM1019" s="30"/>
      <c r="CN1019" s="30"/>
      <c r="CO1019" s="30"/>
      <c r="CP1019" s="30"/>
      <c r="CQ1019" s="30"/>
      <c r="CR1019" s="30"/>
      <c r="CS1019" s="30"/>
      <c r="CT1019" s="30"/>
      <c r="CU1019" s="30"/>
      <c r="CV1019" s="30"/>
      <c r="CW1019" s="30"/>
      <c r="CX1019" s="30"/>
      <c r="CY1019" s="30"/>
      <c r="CZ1019" s="30"/>
      <c r="DA1019" s="30"/>
      <c r="DB1019" s="30"/>
      <c r="DC1019" s="30"/>
      <c r="DD1019" s="30"/>
      <c r="DE1019" s="30"/>
      <c r="DF1019" s="30"/>
      <c r="DG1019" s="30"/>
      <c r="DH1019" s="30"/>
      <c r="DI1019" s="30"/>
      <c r="DJ1019" s="30"/>
      <c r="DK1019" s="30"/>
      <c r="DL1019" s="30"/>
      <c r="DM1019" s="30"/>
      <c r="DN1019" s="30"/>
      <c r="DO1019" s="30"/>
      <c r="DP1019" s="30"/>
      <c r="DQ1019" s="30"/>
      <c r="DR1019" s="30"/>
      <c r="DS1019" s="30"/>
      <c r="DT1019" s="30"/>
      <c r="DU1019" s="30"/>
      <c r="DV1019" s="30"/>
      <c r="DW1019" s="30"/>
      <c r="DX1019" s="30"/>
      <c r="DY1019" s="30"/>
      <c r="DZ1019" s="30"/>
    </row>
    <row r="1020">
      <c r="A1020" s="30"/>
      <c r="B1020" s="42"/>
      <c r="C1020" s="43"/>
      <c r="D1020" s="30"/>
      <c r="E1020" s="28"/>
      <c r="F1020" s="30"/>
      <c r="G1020" s="30"/>
      <c r="H1020" s="30"/>
      <c r="I1020" s="30"/>
      <c r="J1020" s="28"/>
      <c r="K1020" s="30"/>
      <c r="L1020" s="30"/>
      <c r="M1020" s="30"/>
      <c r="N1020" s="30"/>
      <c r="O1020" s="28"/>
      <c r="P1020" s="30"/>
      <c r="Q1020" s="30"/>
      <c r="R1020" s="30"/>
      <c r="S1020" s="36"/>
      <c r="T1020" s="30"/>
      <c r="U1020" s="36"/>
      <c r="V1020" s="30"/>
      <c r="W1020" s="28"/>
      <c r="X1020" s="30"/>
      <c r="Y1020" s="30"/>
      <c r="Z1020" s="30"/>
      <c r="AA1020" s="30"/>
      <c r="AB1020" s="30"/>
      <c r="AC1020" s="28"/>
      <c r="AD1020" s="30"/>
      <c r="AE1020" s="30"/>
      <c r="AF1020" s="30"/>
      <c r="AG1020" s="29"/>
      <c r="AH1020" s="30"/>
      <c r="AI1020" s="36"/>
      <c r="AJ1020" s="30"/>
      <c r="AK1020" s="29"/>
      <c r="AL1020" s="30"/>
      <c r="AM1020" s="30"/>
      <c r="AN1020" s="30"/>
      <c r="AO1020" s="30"/>
      <c r="AP1020" s="30"/>
      <c r="AQ1020" s="38"/>
      <c r="AR1020" s="30"/>
      <c r="AS1020" s="30"/>
      <c r="AT1020" s="29"/>
      <c r="AU1020" s="30"/>
      <c r="AV1020" s="30"/>
      <c r="AW1020" s="30"/>
      <c r="AX1020" s="29"/>
      <c r="AY1020" s="39"/>
      <c r="AZ1020" s="30"/>
      <c r="BA1020" s="30"/>
      <c r="BB1020" s="29"/>
      <c r="BC1020" s="52"/>
      <c r="BD1020" s="30"/>
      <c r="BE1020" s="29"/>
      <c r="BF1020" s="30"/>
      <c r="BG1020" s="30"/>
      <c r="BH1020" s="30"/>
      <c r="BI1020" s="30"/>
      <c r="BJ1020" s="30"/>
      <c r="BK1020" s="30"/>
      <c r="BL1020" s="30"/>
      <c r="BM1020" s="30"/>
      <c r="BN1020" s="30"/>
      <c r="BO1020" s="30"/>
      <c r="BP1020" s="30"/>
      <c r="BQ1020" s="30"/>
      <c r="BR1020" s="30"/>
      <c r="BS1020" s="30"/>
      <c r="BT1020" s="30"/>
      <c r="BU1020" s="30"/>
      <c r="BV1020" s="30"/>
      <c r="BW1020" s="30"/>
      <c r="BX1020" s="30"/>
      <c r="BY1020" s="30"/>
      <c r="BZ1020" s="30"/>
      <c r="CA1020" s="30"/>
      <c r="CB1020" s="30"/>
      <c r="CC1020" s="30"/>
      <c r="CD1020" s="30"/>
      <c r="CE1020" s="30"/>
      <c r="CF1020" s="30"/>
      <c r="CG1020" s="30"/>
      <c r="CH1020" s="30"/>
      <c r="CI1020" s="30"/>
      <c r="CJ1020" s="30"/>
      <c r="CK1020" s="30"/>
      <c r="CL1020" s="30"/>
      <c r="CM1020" s="30"/>
      <c r="CN1020" s="30"/>
      <c r="CO1020" s="30"/>
      <c r="CP1020" s="30"/>
      <c r="CQ1020" s="30"/>
      <c r="CR1020" s="30"/>
      <c r="CS1020" s="30"/>
      <c r="CT1020" s="30"/>
      <c r="CU1020" s="30"/>
      <c r="CV1020" s="30"/>
      <c r="CW1020" s="30"/>
      <c r="CX1020" s="30"/>
      <c r="CY1020" s="30"/>
      <c r="CZ1020" s="30"/>
      <c r="DA1020" s="30"/>
      <c r="DB1020" s="30"/>
      <c r="DC1020" s="30"/>
      <c r="DD1020" s="30"/>
      <c r="DE1020" s="30"/>
      <c r="DF1020" s="30"/>
      <c r="DG1020" s="30"/>
      <c r="DH1020" s="30"/>
      <c r="DI1020" s="30"/>
      <c r="DJ1020" s="30"/>
      <c r="DK1020" s="30"/>
      <c r="DL1020" s="30"/>
      <c r="DM1020" s="30"/>
      <c r="DN1020" s="30"/>
      <c r="DO1020" s="30"/>
      <c r="DP1020" s="30"/>
      <c r="DQ1020" s="30"/>
      <c r="DR1020" s="30"/>
      <c r="DS1020" s="30"/>
      <c r="DT1020" s="30"/>
      <c r="DU1020" s="30"/>
      <c r="DV1020" s="30"/>
      <c r="DW1020" s="30"/>
      <c r="DX1020" s="30"/>
      <c r="DY1020" s="30"/>
      <c r="DZ1020" s="30"/>
    </row>
    <row r="1021">
      <c r="A1021" s="30"/>
      <c r="B1021" s="42"/>
      <c r="C1021" s="43"/>
      <c r="D1021" s="30"/>
      <c r="E1021" s="28"/>
      <c r="F1021" s="30"/>
      <c r="G1021" s="30"/>
      <c r="H1021" s="30"/>
      <c r="I1021" s="30"/>
      <c r="J1021" s="28"/>
      <c r="K1021" s="30"/>
      <c r="L1021" s="30"/>
      <c r="M1021" s="30"/>
      <c r="N1021" s="30"/>
      <c r="O1021" s="28"/>
      <c r="P1021" s="30"/>
      <c r="Q1021" s="30"/>
      <c r="R1021" s="30"/>
      <c r="S1021" s="36"/>
      <c r="T1021" s="30"/>
      <c r="U1021" s="36"/>
      <c r="V1021" s="30"/>
      <c r="W1021" s="28"/>
      <c r="X1021" s="30"/>
      <c r="Y1021" s="30"/>
      <c r="Z1021" s="30"/>
      <c r="AA1021" s="30"/>
      <c r="AB1021" s="30"/>
      <c r="AC1021" s="28"/>
      <c r="AD1021" s="30"/>
      <c r="AE1021" s="30"/>
      <c r="AF1021" s="30"/>
      <c r="AG1021" s="29"/>
      <c r="AH1021" s="30"/>
      <c r="AI1021" s="36"/>
      <c r="AJ1021" s="30"/>
      <c r="AK1021" s="29"/>
      <c r="AL1021" s="30"/>
      <c r="AM1021" s="30"/>
      <c r="AN1021" s="30"/>
      <c r="AO1021" s="30"/>
      <c r="AP1021" s="30"/>
      <c r="AQ1021" s="38"/>
      <c r="AR1021" s="30"/>
      <c r="AS1021" s="30"/>
      <c r="AT1021" s="29"/>
      <c r="AU1021" s="30"/>
      <c r="AV1021" s="30"/>
      <c r="AW1021" s="30"/>
      <c r="AX1021" s="29"/>
      <c r="AY1021" s="39"/>
      <c r="AZ1021" s="30"/>
      <c r="BA1021" s="30"/>
      <c r="BB1021" s="29"/>
      <c r="BC1021" s="52"/>
      <c r="BD1021" s="30"/>
      <c r="BE1021" s="29"/>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c r="CB1021" s="30"/>
      <c r="CC1021" s="30"/>
      <c r="CD1021" s="30"/>
      <c r="CE1021" s="30"/>
      <c r="CF1021" s="30"/>
      <c r="CG1021" s="30"/>
      <c r="CH1021" s="30"/>
      <c r="CI1021" s="30"/>
      <c r="CJ1021" s="30"/>
      <c r="CK1021" s="30"/>
      <c r="CL1021" s="30"/>
      <c r="CM1021" s="30"/>
      <c r="CN1021" s="30"/>
      <c r="CO1021" s="30"/>
      <c r="CP1021" s="30"/>
      <c r="CQ1021" s="30"/>
      <c r="CR1021" s="30"/>
      <c r="CS1021" s="30"/>
      <c r="CT1021" s="30"/>
      <c r="CU1021" s="30"/>
      <c r="CV1021" s="30"/>
      <c r="CW1021" s="30"/>
      <c r="CX1021" s="30"/>
      <c r="CY1021" s="30"/>
      <c r="CZ1021" s="30"/>
      <c r="DA1021" s="30"/>
      <c r="DB1021" s="30"/>
      <c r="DC1021" s="30"/>
      <c r="DD1021" s="30"/>
      <c r="DE1021" s="30"/>
      <c r="DF1021" s="30"/>
      <c r="DG1021" s="30"/>
      <c r="DH1021" s="30"/>
      <c r="DI1021" s="30"/>
      <c r="DJ1021" s="30"/>
      <c r="DK1021" s="30"/>
      <c r="DL1021" s="30"/>
      <c r="DM1021" s="30"/>
      <c r="DN1021" s="30"/>
      <c r="DO1021" s="30"/>
      <c r="DP1021" s="30"/>
      <c r="DQ1021" s="30"/>
      <c r="DR1021" s="30"/>
      <c r="DS1021" s="30"/>
      <c r="DT1021" s="30"/>
      <c r="DU1021" s="30"/>
      <c r="DV1021" s="30"/>
      <c r="DW1021" s="30"/>
      <c r="DX1021" s="30"/>
      <c r="DY1021" s="30"/>
      <c r="DZ1021" s="30"/>
    </row>
    <row r="1022">
      <c r="A1022" s="30"/>
      <c r="B1022" s="42"/>
      <c r="C1022" s="43"/>
      <c r="D1022" s="30"/>
      <c r="E1022" s="28"/>
      <c r="F1022" s="30"/>
      <c r="G1022" s="30"/>
      <c r="H1022" s="30"/>
      <c r="I1022" s="30"/>
      <c r="J1022" s="28"/>
      <c r="K1022" s="30"/>
      <c r="L1022" s="30"/>
      <c r="M1022" s="30"/>
      <c r="N1022" s="30"/>
      <c r="O1022" s="28"/>
      <c r="P1022" s="30"/>
      <c r="Q1022" s="30"/>
      <c r="R1022" s="30"/>
      <c r="S1022" s="36"/>
      <c r="T1022" s="30"/>
      <c r="U1022" s="36"/>
      <c r="V1022" s="30"/>
      <c r="W1022" s="28"/>
      <c r="X1022" s="30"/>
      <c r="Y1022" s="30"/>
      <c r="Z1022" s="30"/>
      <c r="AA1022" s="30"/>
      <c r="AB1022" s="30"/>
      <c r="AC1022" s="28"/>
      <c r="AD1022" s="30"/>
      <c r="AE1022" s="30"/>
      <c r="AF1022" s="30"/>
      <c r="AG1022" s="29"/>
      <c r="AH1022" s="30"/>
      <c r="AI1022" s="36"/>
      <c r="AJ1022" s="30"/>
      <c r="AK1022" s="29"/>
      <c r="AL1022" s="30"/>
      <c r="AM1022" s="30"/>
      <c r="AN1022" s="30"/>
      <c r="AO1022" s="30"/>
      <c r="AP1022" s="30"/>
      <c r="AQ1022" s="38"/>
      <c r="AR1022" s="30"/>
      <c r="AS1022" s="30"/>
      <c r="AT1022" s="29"/>
      <c r="AU1022" s="30"/>
      <c r="AV1022" s="30"/>
      <c r="AW1022" s="30"/>
      <c r="AX1022" s="29"/>
      <c r="AY1022" s="39"/>
      <c r="AZ1022" s="30"/>
      <c r="BA1022" s="30"/>
      <c r="BB1022" s="29"/>
      <c r="BC1022" s="52"/>
      <c r="BD1022" s="30"/>
      <c r="BE1022" s="29"/>
      <c r="BF1022" s="30"/>
      <c r="BG1022" s="30"/>
      <c r="BH1022" s="30"/>
      <c r="BI1022" s="30"/>
      <c r="BJ1022" s="30"/>
      <c r="BK1022" s="30"/>
      <c r="BL1022" s="30"/>
      <c r="BM1022" s="30"/>
      <c r="BN1022" s="30"/>
      <c r="BO1022" s="30"/>
      <c r="BP1022" s="30"/>
      <c r="BQ1022" s="30"/>
      <c r="BR1022" s="30"/>
      <c r="BS1022" s="30"/>
      <c r="BT1022" s="30"/>
      <c r="BU1022" s="30"/>
      <c r="BV1022" s="30"/>
      <c r="BW1022" s="30"/>
      <c r="BX1022" s="30"/>
      <c r="BY1022" s="30"/>
      <c r="BZ1022" s="30"/>
      <c r="CA1022" s="30"/>
      <c r="CB1022" s="30"/>
      <c r="CC1022" s="30"/>
      <c r="CD1022" s="30"/>
      <c r="CE1022" s="30"/>
      <c r="CF1022" s="30"/>
      <c r="CG1022" s="30"/>
      <c r="CH1022" s="30"/>
      <c r="CI1022" s="30"/>
      <c r="CJ1022" s="30"/>
      <c r="CK1022" s="30"/>
      <c r="CL1022" s="30"/>
      <c r="CM1022" s="30"/>
      <c r="CN1022" s="30"/>
      <c r="CO1022" s="30"/>
      <c r="CP1022" s="30"/>
      <c r="CQ1022" s="30"/>
      <c r="CR1022" s="30"/>
      <c r="CS1022" s="30"/>
      <c r="CT1022" s="30"/>
      <c r="CU1022" s="30"/>
      <c r="CV1022" s="30"/>
      <c r="CW1022" s="30"/>
      <c r="CX1022" s="30"/>
      <c r="CY1022" s="30"/>
      <c r="CZ1022" s="30"/>
      <c r="DA1022" s="30"/>
      <c r="DB1022" s="30"/>
      <c r="DC1022" s="30"/>
      <c r="DD1022" s="30"/>
      <c r="DE1022" s="30"/>
      <c r="DF1022" s="30"/>
      <c r="DG1022" s="30"/>
      <c r="DH1022" s="30"/>
      <c r="DI1022" s="30"/>
      <c r="DJ1022" s="30"/>
      <c r="DK1022" s="30"/>
      <c r="DL1022" s="30"/>
      <c r="DM1022" s="30"/>
      <c r="DN1022" s="30"/>
      <c r="DO1022" s="30"/>
      <c r="DP1022" s="30"/>
      <c r="DQ1022" s="30"/>
      <c r="DR1022" s="30"/>
      <c r="DS1022" s="30"/>
      <c r="DT1022" s="30"/>
      <c r="DU1022" s="30"/>
      <c r="DV1022" s="30"/>
      <c r="DW1022" s="30"/>
      <c r="DX1022" s="30"/>
      <c r="DY1022" s="30"/>
      <c r="DZ1022" s="30"/>
    </row>
    <row r="1023">
      <c r="A1023" s="30"/>
      <c r="B1023" s="42"/>
      <c r="C1023" s="43"/>
      <c r="D1023" s="30"/>
      <c r="E1023" s="28"/>
      <c r="F1023" s="30"/>
      <c r="G1023" s="30"/>
      <c r="H1023" s="30"/>
      <c r="I1023" s="30"/>
      <c r="J1023" s="28"/>
      <c r="K1023" s="30"/>
      <c r="L1023" s="30"/>
      <c r="M1023" s="30"/>
      <c r="N1023" s="30"/>
      <c r="O1023" s="28"/>
      <c r="P1023" s="30"/>
      <c r="Q1023" s="30"/>
      <c r="R1023" s="30"/>
      <c r="S1023" s="36"/>
      <c r="T1023" s="30"/>
      <c r="U1023" s="36"/>
      <c r="V1023" s="30"/>
      <c r="W1023" s="28"/>
      <c r="X1023" s="30"/>
      <c r="Y1023" s="30"/>
      <c r="Z1023" s="30"/>
      <c r="AA1023" s="30"/>
      <c r="AB1023" s="30"/>
      <c r="AC1023" s="28"/>
      <c r="AD1023" s="30"/>
      <c r="AE1023" s="30"/>
      <c r="AF1023" s="30"/>
      <c r="AG1023" s="29"/>
      <c r="AH1023" s="30"/>
      <c r="AI1023" s="36"/>
      <c r="AJ1023" s="30"/>
      <c r="AK1023" s="29"/>
      <c r="AL1023" s="30"/>
      <c r="AM1023" s="30"/>
      <c r="AN1023" s="30"/>
      <c r="AO1023" s="30"/>
      <c r="AP1023" s="30"/>
      <c r="AQ1023" s="38"/>
      <c r="AR1023" s="30"/>
      <c r="AS1023" s="30"/>
      <c r="AT1023" s="29"/>
      <c r="AU1023" s="30"/>
      <c r="AV1023" s="30"/>
      <c r="AW1023" s="30"/>
      <c r="AX1023" s="29"/>
      <c r="AY1023" s="39"/>
      <c r="AZ1023" s="30"/>
      <c r="BA1023" s="30"/>
      <c r="BB1023" s="29"/>
      <c r="BC1023" s="52"/>
      <c r="BD1023" s="30"/>
      <c r="BE1023" s="29"/>
      <c r="BF1023" s="30"/>
      <c r="BG1023" s="30"/>
      <c r="BH1023" s="30"/>
      <c r="BI1023" s="30"/>
      <c r="BJ1023" s="30"/>
      <c r="BK1023" s="30"/>
      <c r="BL1023" s="30"/>
      <c r="BM1023" s="30"/>
      <c r="BN1023" s="30"/>
      <c r="BO1023" s="30"/>
      <c r="BP1023" s="30"/>
      <c r="BQ1023" s="30"/>
      <c r="BR1023" s="30"/>
      <c r="BS1023" s="30"/>
      <c r="BT1023" s="30"/>
      <c r="BU1023" s="30"/>
      <c r="BV1023" s="30"/>
      <c r="BW1023" s="30"/>
      <c r="BX1023" s="30"/>
      <c r="BY1023" s="30"/>
      <c r="BZ1023" s="30"/>
      <c r="CA1023" s="30"/>
      <c r="CB1023" s="30"/>
      <c r="CC1023" s="30"/>
      <c r="CD1023" s="30"/>
      <c r="CE1023" s="30"/>
      <c r="CF1023" s="30"/>
      <c r="CG1023" s="30"/>
      <c r="CH1023" s="30"/>
      <c r="CI1023" s="30"/>
      <c r="CJ1023" s="30"/>
      <c r="CK1023" s="30"/>
      <c r="CL1023" s="30"/>
      <c r="CM1023" s="30"/>
      <c r="CN1023" s="30"/>
      <c r="CO1023" s="30"/>
      <c r="CP1023" s="30"/>
      <c r="CQ1023" s="30"/>
      <c r="CR1023" s="30"/>
      <c r="CS1023" s="30"/>
      <c r="CT1023" s="30"/>
      <c r="CU1023" s="30"/>
      <c r="CV1023" s="30"/>
      <c r="CW1023" s="30"/>
      <c r="CX1023" s="30"/>
      <c r="CY1023" s="30"/>
      <c r="CZ1023" s="30"/>
      <c r="DA1023" s="30"/>
      <c r="DB1023" s="30"/>
      <c r="DC1023" s="30"/>
      <c r="DD1023" s="30"/>
      <c r="DE1023" s="30"/>
      <c r="DF1023" s="30"/>
      <c r="DG1023" s="30"/>
      <c r="DH1023" s="30"/>
      <c r="DI1023" s="30"/>
      <c r="DJ1023" s="30"/>
      <c r="DK1023" s="30"/>
      <c r="DL1023" s="30"/>
      <c r="DM1023" s="30"/>
      <c r="DN1023" s="30"/>
      <c r="DO1023" s="30"/>
      <c r="DP1023" s="30"/>
      <c r="DQ1023" s="30"/>
      <c r="DR1023" s="30"/>
      <c r="DS1023" s="30"/>
      <c r="DT1023" s="30"/>
      <c r="DU1023" s="30"/>
      <c r="DV1023" s="30"/>
      <c r="DW1023" s="30"/>
      <c r="DX1023" s="30"/>
      <c r="DY1023" s="30"/>
      <c r="DZ1023" s="30"/>
    </row>
    <row r="1024">
      <c r="A1024" s="30"/>
      <c r="B1024" s="42"/>
      <c r="C1024" s="43"/>
      <c r="D1024" s="30"/>
      <c r="E1024" s="28"/>
      <c r="F1024" s="30"/>
      <c r="G1024" s="30"/>
      <c r="H1024" s="30"/>
      <c r="I1024" s="30"/>
      <c r="J1024" s="28"/>
      <c r="K1024" s="30"/>
      <c r="L1024" s="30"/>
      <c r="M1024" s="30"/>
      <c r="N1024" s="30"/>
      <c r="O1024" s="28"/>
      <c r="P1024" s="30"/>
      <c r="Q1024" s="30"/>
      <c r="R1024" s="30"/>
      <c r="S1024" s="36"/>
      <c r="T1024" s="30"/>
      <c r="U1024" s="36"/>
      <c r="V1024" s="30"/>
      <c r="W1024" s="28"/>
      <c r="X1024" s="30"/>
      <c r="Y1024" s="30"/>
      <c r="Z1024" s="30"/>
      <c r="AA1024" s="30"/>
      <c r="AB1024" s="30"/>
      <c r="AC1024" s="28"/>
      <c r="AD1024" s="30"/>
      <c r="AE1024" s="30"/>
      <c r="AF1024" s="30"/>
      <c r="AG1024" s="29"/>
      <c r="AH1024" s="30"/>
      <c r="AI1024" s="36"/>
      <c r="AJ1024" s="30"/>
      <c r="AK1024" s="29"/>
      <c r="AL1024" s="30"/>
      <c r="AM1024" s="30"/>
      <c r="AN1024" s="30"/>
      <c r="AO1024" s="30"/>
      <c r="AP1024" s="30"/>
      <c r="AQ1024" s="38"/>
      <c r="AR1024" s="30"/>
      <c r="AS1024" s="30"/>
      <c r="AT1024" s="29"/>
      <c r="AU1024" s="30"/>
      <c r="AV1024" s="30"/>
      <c r="AW1024" s="30"/>
      <c r="AX1024" s="29"/>
      <c r="AY1024" s="39"/>
      <c r="AZ1024" s="30"/>
      <c r="BA1024" s="30"/>
      <c r="BB1024" s="29"/>
      <c r="BC1024" s="52"/>
      <c r="BD1024" s="30"/>
      <c r="BE1024" s="29"/>
      <c r="BF1024" s="30"/>
      <c r="BG1024" s="30"/>
      <c r="BH1024" s="30"/>
      <c r="BI1024" s="30"/>
      <c r="BJ1024" s="30"/>
      <c r="BK1024" s="30"/>
      <c r="BL1024" s="30"/>
      <c r="BM1024" s="30"/>
      <c r="BN1024" s="30"/>
      <c r="BO1024" s="30"/>
      <c r="BP1024" s="30"/>
      <c r="BQ1024" s="30"/>
      <c r="BR1024" s="30"/>
      <c r="BS1024" s="30"/>
      <c r="BT1024" s="30"/>
      <c r="BU1024" s="30"/>
      <c r="BV1024" s="30"/>
      <c r="BW1024" s="30"/>
      <c r="BX1024" s="30"/>
      <c r="BY1024" s="30"/>
      <c r="BZ1024" s="30"/>
      <c r="CA1024" s="30"/>
      <c r="CB1024" s="30"/>
      <c r="CC1024" s="30"/>
      <c r="CD1024" s="30"/>
      <c r="CE1024" s="30"/>
      <c r="CF1024" s="30"/>
      <c r="CG1024" s="30"/>
      <c r="CH1024" s="30"/>
      <c r="CI1024" s="30"/>
      <c r="CJ1024" s="30"/>
      <c r="CK1024" s="30"/>
      <c r="CL1024" s="30"/>
      <c r="CM1024" s="30"/>
      <c r="CN1024" s="30"/>
      <c r="CO1024" s="30"/>
      <c r="CP1024" s="30"/>
      <c r="CQ1024" s="30"/>
      <c r="CR1024" s="30"/>
      <c r="CS1024" s="30"/>
      <c r="CT1024" s="30"/>
      <c r="CU1024" s="30"/>
      <c r="CV1024" s="30"/>
      <c r="CW1024" s="30"/>
      <c r="CX1024" s="30"/>
      <c r="CY1024" s="30"/>
      <c r="CZ1024" s="30"/>
      <c r="DA1024" s="30"/>
      <c r="DB1024" s="30"/>
      <c r="DC1024" s="30"/>
      <c r="DD1024" s="30"/>
      <c r="DE1024" s="30"/>
      <c r="DF1024" s="30"/>
      <c r="DG1024" s="30"/>
      <c r="DH1024" s="30"/>
      <c r="DI1024" s="30"/>
      <c r="DJ1024" s="30"/>
      <c r="DK1024" s="30"/>
      <c r="DL1024" s="30"/>
      <c r="DM1024" s="30"/>
      <c r="DN1024" s="30"/>
      <c r="DO1024" s="30"/>
      <c r="DP1024" s="30"/>
      <c r="DQ1024" s="30"/>
      <c r="DR1024" s="30"/>
      <c r="DS1024" s="30"/>
      <c r="DT1024" s="30"/>
      <c r="DU1024" s="30"/>
      <c r="DV1024" s="30"/>
      <c r="DW1024" s="30"/>
      <c r="DX1024" s="30"/>
      <c r="DY1024" s="30"/>
      <c r="DZ1024" s="30"/>
    </row>
    <row r="1025">
      <c r="A1025" s="30"/>
      <c r="B1025" s="42"/>
      <c r="C1025" s="43"/>
      <c r="D1025" s="30"/>
      <c r="E1025" s="28"/>
      <c r="F1025" s="30"/>
      <c r="G1025" s="30"/>
      <c r="H1025" s="30"/>
      <c r="I1025" s="30"/>
      <c r="J1025" s="28"/>
      <c r="K1025" s="30"/>
      <c r="L1025" s="30"/>
      <c r="M1025" s="30"/>
      <c r="N1025" s="30"/>
      <c r="O1025" s="28"/>
      <c r="P1025" s="30"/>
      <c r="Q1025" s="30"/>
      <c r="R1025" s="30"/>
      <c r="S1025" s="36"/>
      <c r="T1025" s="30"/>
      <c r="U1025" s="36"/>
      <c r="V1025" s="30"/>
      <c r="W1025" s="28"/>
      <c r="X1025" s="30"/>
      <c r="Y1025" s="30"/>
      <c r="Z1025" s="30"/>
      <c r="AA1025" s="30"/>
      <c r="AB1025" s="30"/>
      <c r="AC1025" s="28"/>
      <c r="AD1025" s="30"/>
      <c r="AE1025" s="30"/>
      <c r="AF1025" s="30"/>
      <c r="AG1025" s="29"/>
      <c r="AH1025" s="30"/>
      <c r="AI1025" s="36"/>
      <c r="AJ1025" s="30"/>
      <c r="AK1025" s="29"/>
      <c r="AL1025" s="30"/>
      <c r="AM1025" s="30"/>
      <c r="AN1025" s="30"/>
      <c r="AO1025" s="30"/>
      <c r="AP1025" s="30"/>
      <c r="AQ1025" s="38"/>
      <c r="AR1025" s="30"/>
      <c r="AS1025" s="30"/>
      <c r="AT1025" s="29"/>
      <c r="AU1025" s="30"/>
      <c r="AV1025" s="30"/>
      <c r="AW1025" s="30"/>
      <c r="AX1025" s="29"/>
      <c r="AY1025" s="39"/>
      <c r="AZ1025" s="30"/>
      <c r="BA1025" s="30"/>
      <c r="BB1025" s="29"/>
      <c r="BC1025" s="52"/>
      <c r="BD1025" s="30"/>
      <c r="BE1025" s="29"/>
      <c r="BF1025" s="30"/>
      <c r="BG1025" s="30"/>
      <c r="BH1025" s="30"/>
      <c r="BI1025" s="30"/>
      <c r="BJ1025" s="30"/>
      <c r="BK1025" s="30"/>
      <c r="BL1025" s="30"/>
      <c r="BM1025" s="30"/>
      <c r="BN1025" s="30"/>
      <c r="BO1025" s="30"/>
      <c r="BP1025" s="30"/>
      <c r="BQ1025" s="30"/>
      <c r="BR1025" s="30"/>
      <c r="BS1025" s="30"/>
      <c r="BT1025" s="30"/>
      <c r="BU1025" s="30"/>
      <c r="BV1025" s="30"/>
      <c r="BW1025" s="30"/>
      <c r="BX1025" s="30"/>
      <c r="BY1025" s="30"/>
      <c r="BZ1025" s="30"/>
      <c r="CA1025" s="30"/>
      <c r="CB1025" s="30"/>
      <c r="CC1025" s="30"/>
      <c r="CD1025" s="30"/>
      <c r="CE1025" s="30"/>
      <c r="CF1025" s="30"/>
      <c r="CG1025" s="30"/>
      <c r="CH1025" s="30"/>
      <c r="CI1025" s="30"/>
      <c r="CJ1025" s="30"/>
      <c r="CK1025" s="30"/>
      <c r="CL1025" s="30"/>
      <c r="CM1025" s="30"/>
      <c r="CN1025" s="30"/>
      <c r="CO1025" s="30"/>
      <c r="CP1025" s="30"/>
      <c r="CQ1025" s="30"/>
      <c r="CR1025" s="30"/>
      <c r="CS1025" s="30"/>
      <c r="CT1025" s="30"/>
      <c r="CU1025" s="30"/>
      <c r="CV1025" s="30"/>
      <c r="CW1025" s="30"/>
      <c r="CX1025" s="30"/>
      <c r="CY1025" s="30"/>
      <c r="CZ1025" s="30"/>
      <c r="DA1025" s="30"/>
      <c r="DB1025" s="30"/>
      <c r="DC1025" s="30"/>
      <c r="DD1025" s="30"/>
      <c r="DE1025" s="30"/>
      <c r="DF1025" s="30"/>
      <c r="DG1025" s="30"/>
      <c r="DH1025" s="30"/>
      <c r="DI1025" s="30"/>
      <c r="DJ1025" s="30"/>
      <c r="DK1025" s="30"/>
      <c r="DL1025" s="30"/>
      <c r="DM1025" s="30"/>
      <c r="DN1025" s="30"/>
      <c r="DO1025" s="30"/>
      <c r="DP1025" s="30"/>
      <c r="DQ1025" s="30"/>
      <c r="DR1025" s="30"/>
      <c r="DS1025" s="30"/>
      <c r="DT1025" s="30"/>
      <c r="DU1025" s="30"/>
      <c r="DV1025" s="30"/>
      <c r="DW1025" s="30"/>
      <c r="DX1025" s="30"/>
      <c r="DY1025" s="30"/>
      <c r="DZ1025" s="30"/>
    </row>
    <row r="1026">
      <c r="A1026" s="30"/>
      <c r="B1026" s="42"/>
      <c r="C1026" s="43"/>
      <c r="D1026" s="30"/>
      <c r="E1026" s="28"/>
      <c r="F1026" s="30"/>
      <c r="G1026" s="30"/>
      <c r="H1026" s="30"/>
      <c r="I1026" s="30"/>
      <c r="J1026" s="28"/>
      <c r="K1026" s="30"/>
      <c r="L1026" s="30"/>
      <c r="M1026" s="30"/>
      <c r="N1026" s="30"/>
      <c r="O1026" s="28"/>
      <c r="P1026" s="30"/>
      <c r="Q1026" s="30"/>
      <c r="R1026" s="30"/>
      <c r="S1026" s="36"/>
      <c r="T1026" s="30"/>
      <c r="U1026" s="36"/>
      <c r="V1026" s="30"/>
      <c r="W1026" s="28"/>
      <c r="X1026" s="30"/>
      <c r="Y1026" s="30"/>
      <c r="Z1026" s="30"/>
      <c r="AA1026" s="30"/>
      <c r="AB1026" s="30"/>
      <c r="AC1026" s="28"/>
      <c r="AD1026" s="30"/>
      <c r="AE1026" s="30"/>
      <c r="AF1026" s="30"/>
      <c r="AG1026" s="29"/>
      <c r="AH1026" s="30"/>
      <c r="AI1026" s="36"/>
      <c r="AJ1026" s="30"/>
      <c r="AK1026" s="29"/>
      <c r="AL1026" s="30"/>
      <c r="AM1026" s="30"/>
      <c r="AN1026" s="30"/>
      <c r="AO1026" s="30"/>
      <c r="AP1026" s="30"/>
      <c r="AQ1026" s="38"/>
      <c r="AR1026" s="30"/>
      <c r="AS1026" s="30"/>
      <c r="AT1026" s="29"/>
      <c r="AU1026" s="30"/>
      <c r="AV1026" s="30"/>
      <c r="AW1026" s="30"/>
      <c r="AX1026" s="29"/>
      <c r="AY1026" s="39"/>
      <c r="AZ1026" s="30"/>
      <c r="BA1026" s="30"/>
      <c r="BB1026" s="29"/>
      <c r="BC1026" s="52"/>
      <c r="BD1026" s="30"/>
      <c r="BE1026" s="29"/>
      <c r="BF1026" s="30"/>
      <c r="BG1026" s="30"/>
      <c r="BH1026" s="30"/>
      <c r="BI1026" s="30"/>
      <c r="BJ1026" s="30"/>
      <c r="BK1026" s="30"/>
      <c r="BL1026" s="30"/>
      <c r="BM1026" s="30"/>
      <c r="BN1026" s="30"/>
      <c r="BO1026" s="30"/>
      <c r="BP1026" s="30"/>
      <c r="BQ1026" s="30"/>
      <c r="BR1026" s="30"/>
      <c r="BS1026" s="30"/>
      <c r="BT1026" s="30"/>
      <c r="BU1026" s="30"/>
      <c r="BV1026" s="30"/>
      <c r="BW1026" s="30"/>
      <c r="BX1026" s="30"/>
      <c r="BY1026" s="30"/>
      <c r="BZ1026" s="30"/>
      <c r="CA1026" s="30"/>
      <c r="CB1026" s="30"/>
      <c r="CC1026" s="30"/>
      <c r="CD1026" s="30"/>
      <c r="CE1026" s="30"/>
      <c r="CF1026" s="30"/>
      <c r="CG1026" s="30"/>
      <c r="CH1026" s="30"/>
      <c r="CI1026" s="30"/>
      <c r="CJ1026" s="30"/>
      <c r="CK1026" s="30"/>
      <c r="CL1026" s="30"/>
      <c r="CM1026" s="30"/>
      <c r="CN1026" s="30"/>
      <c r="CO1026" s="30"/>
      <c r="CP1026" s="30"/>
      <c r="CQ1026" s="30"/>
      <c r="CR1026" s="30"/>
      <c r="CS1026" s="30"/>
      <c r="CT1026" s="30"/>
      <c r="CU1026" s="30"/>
      <c r="CV1026" s="30"/>
      <c r="CW1026" s="30"/>
      <c r="CX1026" s="30"/>
      <c r="CY1026" s="30"/>
      <c r="CZ1026" s="30"/>
      <c r="DA1026" s="30"/>
      <c r="DB1026" s="30"/>
      <c r="DC1026" s="30"/>
      <c r="DD1026" s="30"/>
      <c r="DE1026" s="30"/>
      <c r="DF1026" s="30"/>
      <c r="DG1026" s="30"/>
      <c r="DH1026" s="30"/>
      <c r="DI1026" s="30"/>
      <c r="DJ1026" s="30"/>
      <c r="DK1026" s="30"/>
      <c r="DL1026" s="30"/>
      <c r="DM1026" s="30"/>
      <c r="DN1026" s="30"/>
      <c r="DO1026" s="30"/>
      <c r="DP1026" s="30"/>
      <c r="DQ1026" s="30"/>
      <c r="DR1026" s="30"/>
      <c r="DS1026" s="30"/>
      <c r="DT1026" s="30"/>
      <c r="DU1026" s="30"/>
      <c r="DV1026" s="30"/>
      <c r="DW1026" s="30"/>
      <c r="DX1026" s="30"/>
      <c r="DY1026" s="30"/>
      <c r="DZ1026" s="30"/>
    </row>
    <row r="1027">
      <c r="A1027" s="30"/>
      <c r="B1027" s="42"/>
      <c r="C1027" s="43"/>
      <c r="D1027" s="30"/>
      <c r="E1027" s="28"/>
      <c r="F1027" s="30"/>
      <c r="G1027" s="30"/>
      <c r="H1027" s="30"/>
      <c r="I1027" s="30"/>
      <c r="J1027" s="28"/>
      <c r="K1027" s="30"/>
      <c r="L1027" s="30"/>
      <c r="M1027" s="30"/>
      <c r="N1027" s="30"/>
      <c r="O1027" s="28"/>
      <c r="P1027" s="30"/>
      <c r="Q1027" s="30"/>
      <c r="R1027" s="30"/>
      <c r="S1027" s="36"/>
      <c r="T1027" s="30"/>
      <c r="U1027" s="36"/>
      <c r="V1027" s="30"/>
      <c r="W1027" s="28"/>
      <c r="X1027" s="30"/>
      <c r="Y1027" s="30"/>
      <c r="Z1027" s="30"/>
      <c r="AA1027" s="30"/>
      <c r="AB1027" s="30"/>
      <c r="AC1027" s="28"/>
      <c r="AD1027" s="30"/>
      <c r="AE1027" s="30"/>
      <c r="AF1027" s="30"/>
      <c r="AG1027" s="29"/>
      <c r="AH1027" s="30"/>
      <c r="AI1027" s="36"/>
      <c r="AJ1027" s="30"/>
      <c r="AK1027" s="29"/>
      <c r="AL1027" s="30"/>
      <c r="AM1027" s="30"/>
      <c r="AN1027" s="30"/>
      <c r="AO1027" s="30"/>
      <c r="AP1027" s="30"/>
      <c r="AQ1027" s="38"/>
      <c r="AR1027" s="30"/>
      <c r="AS1027" s="30"/>
      <c r="AT1027" s="29"/>
      <c r="AU1027" s="30"/>
      <c r="AV1027" s="30"/>
      <c r="AW1027" s="30"/>
      <c r="AX1027" s="29"/>
      <c r="AY1027" s="39"/>
      <c r="AZ1027" s="30"/>
      <c r="BA1027" s="30"/>
      <c r="BB1027" s="29"/>
      <c r="BC1027" s="52"/>
      <c r="BD1027" s="30"/>
      <c r="BE1027" s="29"/>
      <c r="BF1027" s="30"/>
      <c r="BG1027" s="30"/>
      <c r="BH1027" s="30"/>
      <c r="BI1027" s="30"/>
      <c r="BJ1027" s="30"/>
      <c r="BK1027" s="30"/>
      <c r="BL1027" s="30"/>
      <c r="BM1027" s="30"/>
      <c r="BN1027" s="30"/>
      <c r="BO1027" s="30"/>
      <c r="BP1027" s="30"/>
      <c r="BQ1027" s="30"/>
      <c r="BR1027" s="30"/>
      <c r="BS1027" s="30"/>
      <c r="BT1027" s="30"/>
      <c r="BU1027" s="30"/>
      <c r="BV1027" s="30"/>
      <c r="BW1027" s="30"/>
      <c r="BX1027" s="30"/>
      <c r="BY1027" s="30"/>
      <c r="BZ1027" s="30"/>
      <c r="CA1027" s="30"/>
      <c r="CB1027" s="30"/>
      <c r="CC1027" s="30"/>
      <c r="CD1027" s="30"/>
      <c r="CE1027" s="30"/>
      <c r="CF1027" s="30"/>
      <c r="CG1027" s="30"/>
      <c r="CH1027" s="30"/>
      <c r="CI1027" s="30"/>
      <c r="CJ1027" s="30"/>
      <c r="CK1027" s="30"/>
      <c r="CL1027" s="30"/>
      <c r="CM1027" s="30"/>
      <c r="CN1027" s="30"/>
      <c r="CO1027" s="30"/>
      <c r="CP1027" s="30"/>
      <c r="CQ1027" s="30"/>
      <c r="CR1027" s="30"/>
      <c r="CS1027" s="30"/>
      <c r="CT1027" s="30"/>
      <c r="CU1027" s="30"/>
      <c r="CV1027" s="30"/>
      <c r="CW1027" s="30"/>
      <c r="CX1027" s="30"/>
      <c r="CY1027" s="30"/>
      <c r="CZ1027" s="30"/>
      <c r="DA1027" s="30"/>
      <c r="DB1027" s="30"/>
      <c r="DC1027" s="30"/>
      <c r="DD1027" s="30"/>
      <c r="DE1027" s="30"/>
      <c r="DF1027" s="30"/>
      <c r="DG1027" s="30"/>
      <c r="DH1027" s="30"/>
      <c r="DI1027" s="30"/>
      <c r="DJ1027" s="30"/>
      <c r="DK1027" s="30"/>
      <c r="DL1027" s="30"/>
      <c r="DM1027" s="30"/>
      <c r="DN1027" s="30"/>
      <c r="DO1027" s="30"/>
      <c r="DP1027" s="30"/>
      <c r="DQ1027" s="30"/>
      <c r="DR1027" s="30"/>
      <c r="DS1027" s="30"/>
      <c r="DT1027" s="30"/>
      <c r="DU1027" s="30"/>
      <c r="DV1027" s="30"/>
      <c r="DW1027" s="30"/>
      <c r="DX1027" s="30"/>
      <c r="DY1027" s="30"/>
      <c r="DZ1027" s="30"/>
    </row>
    <row r="1028">
      <c r="A1028" s="30"/>
      <c r="B1028" s="42"/>
      <c r="C1028" s="43"/>
      <c r="D1028" s="30"/>
      <c r="E1028" s="28"/>
      <c r="F1028" s="30"/>
      <c r="G1028" s="30"/>
      <c r="H1028" s="30"/>
      <c r="I1028" s="30"/>
      <c r="J1028" s="28"/>
      <c r="K1028" s="30"/>
      <c r="L1028" s="30"/>
      <c r="M1028" s="30"/>
      <c r="N1028" s="30"/>
      <c r="O1028" s="28"/>
      <c r="P1028" s="30"/>
      <c r="Q1028" s="30"/>
      <c r="R1028" s="30"/>
      <c r="S1028" s="36"/>
      <c r="T1028" s="30"/>
      <c r="U1028" s="36"/>
      <c r="V1028" s="30"/>
      <c r="W1028" s="28"/>
      <c r="X1028" s="30"/>
      <c r="Y1028" s="30"/>
      <c r="Z1028" s="30"/>
      <c r="AA1028" s="30"/>
      <c r="AB1028" s="30"/>
      <c r="AC1028" s="28"/>
      <c r="AD1028" s="30"/>
      <c r="AE1028" s="30"/>
      <c r="AF1028" s="30"/>
      <c r="AG1028" s="29"/>
      <c r="AH1028" s="30"/>
      <c r="AI1028" s="36"/>
      <c r="AJ1028" s="30"/>
      <c r="AK1028" s="29"/>
      <c r="AL1028" s="30"/>
      <c r="AM1028" s="30"/>
      <c r="AN1028" s="30"/>
      <c r="AO1028" s="30"/>
      <c r="AP1028" s="30"/>
      <c r="AQ1028" s="38"/>
      <c r="AR1028" s="30"/>
      <c r="AS1028" s="30"/>
      <c r="AT1028" s="29"/>
      <c r="AU1028" s="30"/>
      <c r="AV1028" s="30"/>
      <c r="AW1028" s="30"/>
      <c r="AX1028" s="29"/>
      <c r="AY1028" s="39"/>
      <c r="AZ1028" s="30"/>
      <c r="BA1028" s="30"/>
      <c r="BB1028" s="29"/>
      <c r="BC1028" s="52"/>
      <c r="BD1028" s="30"/>
      <c r="BE1028" s="29"/>
      <c r="BF1028" s="30"/>
      <c r="BG1028" s="30"/>
      <c r="BH1028" s="30"/>
      <c r="BI1028" s="30"/>
      <c r="BJ1028" s="30"/>
      <c r="BK1028" s="30"/>
      <c r="BL1028" s="30"/>
      <c r="BM1028" s="30"/>
      <c r="BN1028" s="30"/>
      <c r="BO1028" s="30"/>
      <c r="BP1028" s="30"/>
      <c r="BQ1028" s="30"/>
      <c r="BR1028" s="30"/>
      <c r="BS1028" s="30"/>
      <c r="BT1028" s="30"/>
      <c r="BU1028" s="30"/>
      <c r="BV1028" s="30"/>
      <c r="BW1028" s="30"/>
      <c r="BX1028" s="30"/>
      <c r="BY1028" s="30"/>
      <c r="BZ1028" s="30"/>
      <c r="CA1028" s="30"/>
      <c r="CB1028" s="30"/>
      <c r="CC1028" s="30"/>
      <c r="CD1028" s="30"/>
      <c r="CE1028" s="30"/>
      <c r="CF1028" s="30"/>
      <c r="CG1028" s="30"/>
      <c r="CH1028" s="30"/>
      <c r="CI1028" s="30"/>
      <c r="CJ1028" s="30"/>
      <c r="CK1028" s="30"/>
      <c r="CL1028" s="30"/>
      <c r="CM1028" s="30"/>
      <c r="CN1028" s="30"/>
      <c r="CO1028" s="30"/>
      <c r="CP1028" s="30"/>
      <c r="CQ1028" s="30"/>
      <c r="CR1028" s="30"/>
      <c r="CS1028" s="30"/>
      <c r="CT1028" s="30"/>
      <c r="CU1028" s="30"/>
      <c r="CV1028" s="30"/>
      <c r="CW1028" s="30"/>
      <c r="CX1028" s="30"/>
      <c r="CY1028" s="30"/>
      <c r="CZ1028" s="30"/>
      <c r="DA1028" s="30"/>
      <c r="DB1028" s="30"/>
      <c r="DC1028" s="30"/>
      <c r="DD1028" s="30"/>
      <c r="DE1028" s="30"/>
      <c r="DF1028" s="30"/>
      <c r="DG1028" s="30"/>
      <c r="DH1028" s="30"/>
      <c r="DI1028" s="30"/>
      <c r="DJ1028" s="30"/>
      <c r="DK1028" s="30"/>
      <c r="DL1028" s="30"/>
      <c r="DM1028" s="30"/>
      <c r="DN1028" s="30"/>
      <c r="DO1028" s="30"/>
      <c r="DP1028" s="30"/>
      <c r="DQ1028" s="30"/>
      <c r="DR1028" s="30"/>
      <c r="DS1028" s="30"/>
      <c r="DT1028" s="30"/>
      <c r="DU1028" s="30"/>
      <c r="DV1028" s="30"/>
      <c r="DW1028" s="30"/>
      <c r="DX1028" s="30"/>
      <c r="DY1028" s="30"/>
      <c r="DZ1028" s="30"/>
    </row>
    <row r="1029">
      <c r="A1029" s="30"/>
      <c r="B1029" s="42"/>
      <c r="C1029" s="43"/>
      <c r="D1029" s="30"/>
      <c r="E1029" s="28"/>
      <c r="F1029" s="30"/>
      <c r="G1029" s="30"/>
      <c r="H1029" s="30"/>
      <c r="I1029" s="30"/>
      <c r="J1029" s="28"/>
      <c r="K1029" s="30"/>
      <c r="L1029" s="30"/>
      <c r="M1029" s="30"/>
      <c r="N1029" s="30"/>
      <c r="O1029" s="28"/>
      <c r="P1029" s="30"/>
      <c r="Q1029" s="30"/>
      <c r="R1029" s="30"/>
      <c r="S1029" s="36"/>
      <c r="T1029" s="30"/>
      <c r="U1029" s="36"/>
      <c r="V1029" s="30"/>
      <c r="W1029" s="28"/>
      <c r="X1029" s="30"/>
      <c r="Y1029" s="30"/>
      <c r="Z1029" s="30"/>
      <c r="AA1029" s="30"/>
      <c r="AB1029" s="30"/>
      <c r="AC1029" s="28"/>
      <c r="AD1029" s="30"/>
      <c r="AE1029" s="30"/>
      <c r="AF1029" s="30"/>
      <c r="AG1029" s="29"/>
      <c r="AH1029" s="30"/>
      <c r="AI1029" s="36"/>
      <c r="AJ1029" s="30"/>
      <c r="AK1029" s="29"/>
      <c r="AL1029" s="30"/>
      <c r="AM1029" s="30"/>
      <c r="AN1029" s="30"/>
      <c r="AO1029" s="30"/>
      <c r="AP1029" s="30"/>
      <c r="AQ1029" s="38"/>
      <c r="AR1029" s="30"/>
      <c r="AS1029" s="30"/>
      <c r="AT1029" s="29"/>
      <c r="AU1029" s="30"/>
      <c r="AV1029" s="30"/>
      <c r="AW1029" s="30"/>
      <c r="AX1029" s="29"/>
      <c r="AY1029" s="39"/>
      <c r="AZ1029" s="30"/>
      <c r="BA1029" s="30"/>
      <c r="BB1029" s="29"/>
      <c r="BC1029" s="52"/>
      <c r="BD1029" s="30"/>
      <c r="BE1029" s="29"/>
      <c r="BF1029" s="30"/>
      <c r="BG1029" s="30"/>
      <c r="BH1029" s="30"/>
      <c r="BI1029" s="30"/>
      <c r="BJ1029" s="30"/>
      <c r="BK1029" s="30"/>
      <c r="BL1029" s="30"/>
      <c r="BM1029" s="30"/>
      <c r="BN1029" s="30"/>
      <c r="BO1029" s="30"/>
      <c r="BP1029" s="30"/>
      <c r="BQ1029" s="30"/>
      <c r="BR1029" s="30"/>
      <c r="BS1029" s="30"/>
      <c r="BT1029" s="30"/>
      <c r="BU1029" s="30"/>
      <c r="BV1029" s="30"/>
      <c r="BW1029" s="30"/>
      <c r="BX1029" s="30"/>
      <c r="BY1029" s="30"/>
      <c r="BZ1029" s="30"/>
      <c r="CA1029" s="30"/>
      <c r="CB1029" s="30"/>
      <c r="CC1029" s="30"/>
      <c r="CD1029" s="30"/>
      <c r="CE1029" s="30"/>
      <c r="CF1029" s="30"/>
      <c r="CG1029" s="30"/>
      <c r="CH1029" s="30"/>
      <c r="CI1029" s="30"/>
      <c r="CJ1029" s="30"/>
      <c r="CK1029" s="30"/>
      <c r="CL1029" s="30"/>
      <c r="CM1029" s="30"/>
      <c r="CN1029" s="30"/>
      <c r="CO1029" s="30"/>
      <c r="CP1029" s="30"/>
      <c r="CQ1029" s="30"/>
      <c r="CR1029" s="30"/>
      <c r="CS1029" s="30"/>
      <c r="CT1029" s="30"/>
      <c r="CU1029" s="30"/>
      <c r="CV1029" s="30"/>
      <c r="CW1029" s="30"/>
      <c r="CX1029" s="30"/>
      <c r="CY1029" s="30"/>
      <c r="CZ1029" s="30"/>
      <c r="DA1029" s="30"/>
      <c r="DB1029" s="30"/>
      <c r="DC1029" s="30"/>
      <c r="DD1029" s="30"/>
      <c r="DE1029" s="30"/>
      <c r="DF1029" s="30"/>
      <c r="DG1029" s="30"/>
      <c r="DH1029" s="30"/>
      <c r="DI1029" s="30"/>
      <c r="DJ1029" s="30"/>
      <c r="DK1029" s="30"/>
      <c r="DL1029" s="30"/>
      <c r="DM1029" s="30"/>
      <c r="DN1029" s="30"/>
      <c r="DO1029" s="30"/>
      <c r="DP1029" s="30"/>
      <c r="DQ1029" s="30"/>
      <c r="DR1029" s="30"/>
      <c r="DS1029" s="30"/>
      <c r="DT1029" s="30"/>
      <c r="DU1029" s="30"/>
      <c r="DV1029" s="30"/>
      <c r="DW1029" s="30"/>
      <c r="DX1029" s="30"/>
      <c r="DY1029" s="30"/>
      <c r="DZ1029" s="30"/>
    </row>
    <row r="1030">
      <c r="A1030" s="30"/>
      <c r="B1030" s="42"/>
      <c r="C1030" s="43"/>
      <c r="D1030" s="30"/>
      <c r="E1030" s="28"/>
      <c r="F1030" s="30"/>
      <c r="G1030" s="30"/>
      <c r="H1030" s="30"/>
      <c r="I1030" s="30"/>
      <c r="J1030" s="28"/>
      <c r="K1030" s="30"/>
      <c r="L1030" s="30"/>
      <c r="M1030" s="30"/>
      <c r="N1030" s="30"/>
      <c r="O1030" s="28"/>
      <c r="P1030" s="30"/>
      <c r="Q1030" s="30"/>
      <c r="R1030" s="30"/>
      <c r="S1030" s="36"/>
      <c r="T1030" s="30"/>
      <c r="U1030" s="36"/>
      <c r="V1030" s="30"/>
      <c r="W1030" s="28"/>
      <c r="X1030" s="30"/>
      <c r="Y1030" s="30"/>
      <c r="Z1030" s="30"/>
      <c r="AA1030" s="30"/>
      <c r="AB1030" s="30"/>
      <c r="AC1030" s="28"/>
      <c r="AD1030" s="30"/>
      <c r="AE1030" s="30"/>
      <c r="AF1030" s="30"/>
      <c r="AG1030" s="29"/>
      <c r="AH1030" s="30"/>
      <c r="AI1030" s="36"/>
      <c r="AJ1030" s="30"/>
      <c r="AK1030" s="29"/>
      <c r="AL1030" s="30"/>
      <c r="AM1030" s="30"/>
      <c r="AN1030" s="30"/>
      <c r="AO1030" s="30"/>
      <c r="AP1030" s="30"/>
      <c r="AQ1030" s="38"/>
      <c r="AR1030" s="30"/>
      <c r="AS1030" s="30"/>
      <c r="AT1030" s="29"/>
      <c r="AU1030" s="30"/>
      <c r="AV1030" s="30"/>
      <c r="AW1030" s="30"/>
      <c r="AX1030" s="29"/>
      <c r="AY1030" s="39"/>
      <c r="AZ1030" s="30"/>
      <c r="BA1030" s="30"/>
      <c r="BB1030" s="29"/>
      <c r="BC1030" s="52"/>
      <c r="BD1030" s="30"/>
      <c r="BE1030" s="29"/>
      <c r="BF1030" s="30"/>
      <c r="BG1030" s="30"/>
      <c r="BH1030" s="30"/>
      <c r="BI1030" s="30"/>
      <c r="BJ1030" s="30"/>
      <c r="BK1030" s="30"/>
      <c r="BL1030" s="30"/>
      <c r="BM1030" s="30"/>
      <c r="BN1030" s="30"/>
      <c r="BO1030" s="30"/>
      <c r="BP1030" s="30"/>
      <c r="BQ1030" s="30"/>
      <c r="BR1030" s="30"/>
      <c r="BS1030" s="30"/>
      <c r="BT1030" s="30"/>
      <c r="BU1030" s="30"/>
      <c r="BV1030" s="30"/>
      <c r="BW1030" s="30"/>
      <c r="BX1030" s="30"/>
      <c r="BY1030" s="30"/>
      <c r="BZ1030" s="30"/>
      <c r="CA1030" s="30"/>
      <c r="CB1030" s="30"/>
      <c r="CC1030" s="30"/>
      <c r="CD1030" s="30"/>
      <c r="CE1030" s="30"/>
      <c r="CF1030" s="30"/>
      <c r="CG1030" s="30"/>
      <c r="CH1030" s="30"/>
      <c r="CI1030" s="30"/>
      <c r="CJ1030" s="30"/>
      <c r="CK1030" s="30"/>
      <c r="CL1030" s="30"/>
      <c r="CM1030" s="30"/>
      <c r="CN1030" s="30"/>
      <c r="CO1030" s="30"/>
      <c r="CP1030" s="30"/>
      <c r="CQ1030" s="30"/>
      <c r="CR1030" s="30"/>
      <c r="CS1030" s="30"/>
      <c r="CT1030" s="30"/>
      <c r="CU1030" s="30"/>
      <c r="CV1030" s="30"/>
      <c r="CW1030" s="30"/>
      <c r="CX1030" s="30"/>
      <c r="CY1030" s="30"/>
      <c r="CZ1030" s="30"/>
      <c r="DA1030" s="30"/>
      <c r="DB1030" s="30"/>
      <c r="DC1030" s="30"/>
      <c r="DD1030" s="30"/>
      <c r="DE1030" s="30"/>
      <c r="DF1030" s="30"/>
      <c r="DG1030" s="30"/>
      <c r="DH1030" s="30"/>
      <c r="DI1030" s="30"/>
      <c r="DJ1030" s="30"/>
      <c r="DK1030" s="30"/>
      <c r="DL1030" s="30"/>
      <c r="DM1030" s="30"/>
      <c r="DN1030" s="30"/>
      <c r="DO1030" s="30"/>
      <c r="DP1030" s="30"/>
      <c r="DQ1030" s="30"/>
      <c r="DR1030" s="30"/>
      <c r="DS1030" s="30"/>
      <c r="DT1030" s="30"/>
      <c r="DU1030" s="30"/>
      <c r="DV1030" s="30"/>
      <c r="DW1030" s="30"/>
      <c r="DX1030" s="30"/>
      <c r="DY1030" s="30"/>
      <c r="DZ1030" s="30"/>
    </row>
    <row r="1031">
      <c r="A1031" s="30"/>
      <c r="B1031" s="42"/>
      <c r="C1031" s="43"/>
      <c r="D1031" s="30"/>
      <c r="E1031" s="28"/>
      <c r="F1031" s="30"/>
      <c r="G1031" s="30"/>
      <c r="H1031" s="30"/>
      <c r="I1031" s="30"/>
      <c r="J1031" s="28"/>
      <c r="K1031" s="30"/>
      <c r="L1031" s="30"/>
      <c r="M1031" s="30"/>
      <c r="N1031" s="30"/>
      <c r="O1031" s="28"/>
      <c r="P1031" s="30"/>
      <c r="Q1031" s="30"/>
      <c r="R1031" s="30"/>
      <c r="S1031" s="36"/>
      <c r="T1031" s="30"/>
      <c r="U1031" s="36"/>
      <c r="V1031" s="30"/>
      <c r="W1031" s="28"/>
      <c r="X1031" s="30"/>
      <c r="Y1031" s="30"/>
      <c r="Z1031" s="30"/>
      <c r="AA1031" s="30"/>
      <c r="AB1031" s="30"/>
      <c r="AC1031" s="28"/>
      <c r="AD1031" s="30"/>
      <c r="AE1031" s="30"/>
      <c r="AF1031" s="30"/>
      <c r="AG1031" s="29"/>
      <c r="AH1031" s="30"/>
      <c r="AI1031" s="36"/>
      <c r="AJ1031" s="30"/>
      <c r="AK1031" s="29"/>
      <c r="AL1031" s="30"/>
      <c r="AM1031" s="30"/>
      <c r="AN1031" s="30"/>
      <c r="AO1031" s="30"/>
      <c r="AP1031" s="30"/>
      <c r="AQ1031" s="38"/>
      <c r="AR1031" s="30"/>
      <c r="AS1031" s="30"/>
      <c r="AT1031" s="29"/>
      <c r="AU1031" s="30"/>
      <c r="AV1031" s="30"/>
      <c r="AW1031" s="30"/>
      <c r="AX1031" s="29"/>
      <c r="AY1031" s="39"/>
      <c r="AZ1031" s="30"/>
      <c r="BA1031" s="30"/>
      <c r="BB1031" s="29"/>
      <c r="BC1031" s="52"/>
      <c r="BD1031" s="30"/>
      <c r="BE1031" s="29"/>
      <c r="BF1031" s="30"/>
      <c r="BG1031" s="30"/>
      <c r="BH1031" s="30"/>
      <c r="BI1031" s="30"/>
      <c r="BJ1031" s="30"/>
      <c r="BK1031" s="30"/>
      <c r="BL1031" s="30"/>
      <c r="BM1031" s="30"/>
      <c r="BN1031" s="30"/>
      <c r="BO1031" s="30"/>
      <c r="BP1031" s="30"/>
      <c r="BQ1031" s="30"/>
      <c r="BR1031" s="30"/>
      <c r="BS1031" s="30"/>
      <c r="BT1031" s="30"/>
      <c r="BU1031" s="30"/>
      <c r="BV1031" s="30"/>
      <c r="BW1031" s="30"/>
      <c r="BX1031" s="30"/>
      <c r="BY1031" s="30"/>
      <c r="BZ1031" s="30"/>
      <c r="CA1031" s="30"/>
      <c r="CB1031" s="30"/>
      <c r="CC1031" s="30"/>
      <c r="CD1031" s="30"/>
      <c r="CE1031" s="30"/>
      <c r="CF1031" s="30"/>
      <c r="CG1031" s="30"/>
      <c r="CH1031" s="30"/>
      <c r="CI1031" s="30"/>
      <c r="CJ1031" s="30"/>
      <c r="CK1031" s="30"/>
      <c r="CL1031" s="30"/>
      <c r="CM1031" s="30"/>
      <c r="CN1031" s="30"/>
      <c r="CO1031" s="30"/>
      <c r="CP1031" s="30"/>
      <c r="CQ1031" s="30"/>
      <c r="CR1031" s="30"/>
      <c r="CS1031" s="30"/>
      <c r="CT1031" s="30"/>
      <c r="CU1031" s="30"/>
      <c r="CV1031" s="30"/>
      <c r="CW1031" s="30"/>
      <c r="CX1031" s="30"/>
      <c r="CY1031" s="30"/>
      <c r="CZ1031" s="30"/>
      <c r="DA1031" s="30"/>
      <c r="DB1031" s="30"/>
      <c r="DC1031" s="30"/>
      <c r="DD1031" s="30"/>
      <c r="DE1031" s="30"/>
      <c r="DF1031" s="30"/>
      <c r="DG1031" s="30"/>
      <c r="DH1031" s="30"/>
      <c r="DI1031" s="30"/>
      <c r="DJ1031" s="30"/>
      <c r="DK1031" s="30"/>
      <c r="DL1031" s="30"/>
      <c r="DM1031" s="30"/>
      <c r="DN1031" s="30"/>
      <c r="DO1031" s="30"/>
      <c r="DP1031" s="30"/>
      <c r="DQ1031" s="30"/>
      <c r="DR1031" s="30"/>
      <c r="DS1031" s="30"/>
      <c r="DT1031" s="30"/>
      <c r="DU1031" s="30"/>
      <c r="DV1031" s="30"/>
      <c r="DW1031" s="30"/>
      <c r="DX1031" s="30"/>
      <c r="DY1031" s="30"/>
      <c r="DZ1031" s="30"/>
    </row>
    <row r="1032">
      <c r="A1032" s="30"/>
      <c r="B1032" s="42"/>
      <c r="C1032" s="43"/>
      <c r="D1032" s="30"/>
      <c r="E1032" s="28"/>
      <c r="F1032" s="30"/>
      <c r="G1032" s="30"/>
      <c r="H1032" s="30"/>
      <c r="I1032" s="30"/>
      <c r="J1032" s="28"/>
      <c r="K1032" s="30"/>
      <c r="L1032" s="30"/>
      <c r="M1032" s="30"/>
      <c r="N1032" s="30"/>
      <c r="O1032" s="28"/>
      <c r="P1032" s="30"/>
      <c r="Q1032" s="30"/>
      <c r="R1032" s="30"/>
      <c r="S1032" s="36"/>
      <c r="T1032" s="30"/>
      <c r="U1032" s="36"/>
      <c r="V1032" s="30"/>
      <c r="W1032" s="28"/>
      <c r="X1032" s="30"/>
      <c r="Y1032" s="30"/>
      <c r="Z1032" s="30"/>
      <c r="AA1032" s="30"/>
      <c r="AB1032" s="30"/>
      <c r="AC1032" s="28"/>
      <c r="AD1032" s="30"/>
      <c r="AE1032" s="30"/>
      <c r="AF1032" s="30"/>
      <c r="AG1032" s="29"/>
      <c r="AH1032" s="30"/>
      <c r="AI1032" s="36"/>
      <c r="AJ1032" s="30"/>
      <c r="AK1032" s="29"/>
      <c r="AL1032" s="30"/>
      <c r="AM1032" s="30"/>
      <c r="AN1032" s="30"/>
      <c r="AO1032" s="30"/>
      <c r="AP1032" s="30"/>
      <c r="AQ1032" s="38"/>
      <c r="AR1032" s="30"/>
      <c r="AS1032" s="30"/>
      <c r="AT1032" s="29"/>
      <c r="AU1032" s="30"/>
      <c r="AV1032" s="30"/>
      <c r="AW1032" s="30"/>
      <c r="AX1032" s="29"/>
      <c r="AY1032" s="39"/>
      <c r="AZ1032" s="30"/>
      <c r="BA1032" s="30"/>
      <c r="BB1032" s="29"/>
      <c r="BC1032" s="52"/>
      <c r="BD1032" s="30"/>
      <c r="BE1032" s="29"/>
      <c r="BF1032" s="30"/>
      <c r="BG1032" s="30"/>
      <c r="BH1032" s="30"/>
      <c r="BI1032" s="30"/>
      <c r="BJ1032" s="30"/>
      <c r="BK1032" s="30"/>
      <c r="BL1032" s="30"/>
      <c r="BM1032" s="30"/>
      <c r="BN1032" s="30"/>
      <c r="BO1032" s="30"/>
      <c r="BP1032" s="30"/>
      <c r="BQ1032" s="30"/>
      <c r="BR1032" s="30"/>
      <c r="BS1032" s="30"/>
      <c r="BT1032" s="30"/>
      <c r="BU1032" s="30"/>
      <c r="BV1032" s="30"/>
      <c r="BW1032" s="30"/>
      <c r="BX1032" s="30"/>
      <c r="BY1032" s="30"/>
      <c r="BZ1032" s="30"/>
      <c r="CA1032" s="30"/>
      <c r="CB1032" s="30"/>
      <c r="CC1032" s="30"/>
      <c r="CD1032" s="30"/>
      <c r="CE1032" s="30"/>
      <c r="CF1032" s="30"/>
      <c r="CG1032" s="30"/>
      <c r="CH1032" s="30"/>
      <c r="CI1032" s="30"/>
      <c r="CJ1032" s="30"/>
      <c r="CK1032" s="30"/>
      <c r="CL1032" s="30"/>
      <c r="CM1032" s="30"/>
      <c r="CN1032" s="30"/>
      <c r="CO1032" s="30"/>
      <c r="CP1032" s="30"/>
      <c r="CQ1032" s="30"/>
      <c r="CR1032" s="30"/>
      <c r="CS1032" s="30"/>
      <c r="CT1032" s="30"/>
      <c r="CU1032" s="30"/>
      <c r="CV1032" s="30"/>
      <c r="CW1032" s="30"/>
      <c r="CX1032" s="30"/>
      <c r="CY1032" s="30"/>
      <c r="CZ1032" s="30"/>
      <c r="DA1032" s="30"/>
      <c r="DB1032" s="30"/>
      <c r="DC1032" s="30"/>
      <c r="DD1032" s="30"/>
      <c r="DE1032" s="30"/>
      <c r="DF1032" s="30"/>
      <c r="DG1032" s="30"/>
      <c r="DH1032" s="30"/>
      <c r="DI1032" s="30"/>
      <c r="DJ1032" s="30"/>
      <c r="DK1032" s="30"/>
      <c r="DL1032" s="30"/>
      <c r="DM1032" s="30"/>
      <c r="DN1032" s="30"/>
      <c r="DO1032" s="30"/>
      <c r="DP1032" s="30"/>
      <c r="DQ1032" s="30"/>
      <c r="DR1032" s="30"/>
      <c r="DS1032" s="30"/>
      <c r="DT1032" s="30"/>
      <c r="DU1032" s="30"/>
      <c r="DV1032" s="30"/>
      <c r="DW1032" s="30"/>
      <c r="DX1032" s="30"/>
      <c r="DY1032" s="30"/>
      <c r="DZ1032" s="30"/>
    </row>
    <row r="1033">
      <c r="A1033" s="30"/>
      <c r="B1033" s="42"/>
      <c r="C1033" s="43"/>
      <c r="D1033" s="30"/>
      <c r="E1033" s="28"/>
      <c r="F1033" s="30"/>
      <c r="G1033" s="30"/>
      <c r="H1033" s="30"/>
      <c r="I1033" s="30"/>
      <c r="J1033" s="28"/>
      <c r="K1033" s="30"/>
      <c r="L1033" s="30"/>
      <c r="M1033" s="30"/>
      <c r="N1033" s="30"/>
      <c r="O1033" s="28"/>
      <c r="P1033" s="30"/>
      <c r="Q1033" s="30"/>
      <c r="R1033" s="30"/>
      <c r="S1033" s="36"/>
      <c r="T1033" s="30"/>
      <c r="U1033" s="36"/>
      <c r="V1033" s="30"/>
      <c r="W1033" s="28"/>
      <c r="X1033" s="30"/>
      <c r="Y1033" s="30"/>
      <c r="Z1033" s="30"/>
      <c r="AA1033" s="30"/>
      <c r="AB1033" s="30"/>
      <c r="AC1033" s="28"/>
      <c r="AD1033" s="30"/>
      <c r="AE1033" s="30"/>
      <c r="AF1033" s="30"/>
      <c r="AG1033" s="29"/>
      <c r="AH1033" s="30"/>
      <c r="AI1033" s="36"/>
      <c r="AJ1033" s="30"/>
      <c r="AK1033" s="29"/>
      <c r="AL1033" s="30"/>
      <c r="AM1033" s="30"/>
      <c r="AN1033" s="30"/>
      <c r="AO1033" s="30"/>
      <c r="AP1033" s="30"/>
      <c r="AQ1033" s="38"/>
      <c r="AR1033" s="30"/>
      <c r="AS1033" s="30"/>
      <c r="AT1033" s="29"/>
      <c r="AU1033" s="30"/>
      <c r="AV1033" s="30"/>
      <c r="AW1033" s="30"/>
      <c r="AX1033" s="29"/>
      <c r="AY1033" s="39"/>
      <c r="AZ1033" s="30"/>
      <c r="BA1033" s="30"/>
      <c r="BB1033" s="29"/>
      <c r="BC1033" s="52"/>
      <c r="BD1033" s="30"/>
      <c r="BE1033" s="29"/>
      <c r="BF1033" s="30"/>
      <c r="BG1033" s="30"/>
      <c r="BH1033" s="30"/>
      <c r="BI1033" s="30"/>
      <c r="BJ1033" s="30"/>
      <c r="BK1033" s="30"/>
      <c r="BL1033" s="30"/>
      <c r="BM1033" s="30"/>
      <c r="BN1033" s="30"/>
      <c r="BO1033" s="30"/>
      <c r="BP1033" s="30"/>
      <c r="BQ1033" s="30"/>
      <c r="BR1033" s="30"/>
      <c r="BS1033" s="30"/>
      <c r="BT1033" s="30"/>
      <c r="BU1033" s="30"/>
      <c r="BV1033" s="30"/>
      <c r="BW1033" s="30"/>
      <c r="BX1033" s="30"/>
      <c r="BY1033" s="30"/>
      <c r="BZ1033" s="30"/>
      <c r="CA1033" s="30"/>
      <c r="CB1033" s="30"/>
      <c r="CC1033" s="30"/>
      <c r="CD1033" s="30"/>
      <c r="CE1033" s="30"/>
      <c r="CF1033" s="30"/>
      <c r="CG1033" s="30"/>
      <c r="CH1033" s="30"/>
      <c r="CI1033" s="30"/>
      <c r="CJ1033" s="30"/>
      <c r="CK1033" s="30"/>
      <c r="CL1033" s="30"/>
      <c r="CM1033" s="30"/>
      <c r="CN1033" s="30"/>
      <c r="CO1033" s="30"/>
      <c r="CP1033" s="30"/>
      <c r="CQ1033" s="30"/>
      <c r="CR1033" s="30"/>
      <c r="CS1033" s="30"/>
      <c r="CT1033" s="30"/>
      <c r="CU1033" s="30"/>
      <c r="CV1033" s="30"/>
      <c r="CW1033" s="30"/>
      <c r="CX1033" s="30"/>
      <c r="CY1033" s="30"/>
      <c r="CZ1033" s="30"/>
      <c r="DA1033" s="30"/>
      <c r="DB1033" s="30"/>
      <c r="DC1033" s="30"/>
      <c r="DD1033" s="30"/>
      <c r="DE1033" s="30"/>
      <c r="DF1033" s="30"/>
      <c r="DG1033" s="30"/>
      <c r="DH1033" s="30"/>
      <c r="DI1033" s="30"/>
      <c r="DJ1033" s="30"/>
      <c r="DK1033" s="30"/>
      <c r="DL1033" s="30"/>
      <c r="DM1033" s="30"/>
      <c r="DN1033" s="30"/>
      <c r="DO1033" s="30"/>
      <c r="DP1033" s="30"/>
      <c r="DQ1033" s="30"/>
      <c r="DR1033" s="30"/>
      <c r="DS1033" s="30"/>
      <c r="DT1033" s="30"/>
      <c r="DU1033" s="30"/>
      <c r="DV1033" s="30"/>
      <c r="DW1033" s="30"/>
      <c r="DX1033" s="30"/>
      <c r="DY1033" s="30"/>
      <c r="DZ1033" s="30"/>
    </row>
    <row r="1034">
      <c r="A1034" s="30"/>
      <c r="B1034" s="42"/>
      <c r="C1034" s="43"/>
      <c r="D1034" s="30"/>
      <c r="E1034" s="28"/>
      <c r="F1034" s="30"/>
      <c r="G1034" s="30"/>
      <c r="H1034" s="30"/>
      <c r="I1034" s="30"/>
      <c r="J1034" s="28"/>
      <c r="K1034" s="30"/>
      <c r="L1034" s="30"/>
      <c r="M1034" s="30"/>
      <c r="N1034" s="30"/>
      <c r="O1034" s="28"/>
      <c r="P1034" s="30"/>
      <c r="Q1034" s="30"/>
      <c r="R1034" s="30"/>
      <c r="S1034" s="36"/>
      <c r="T1034" s="30"/>
      <c r="U1034" s="36"/>
      <c r="V1034" s="30"/>
      <c r="W1034" s="28"/>
      <c r="X1034" s="30"/>
      <c r="Y1034" s="30"/>
      <c r="Z1034" s="30"/>
      <c r="AA1034" s="30"/>
      <c r="AB1034" s="30"/>
      <c r="AC1034" s="28"/>
      <c r="AD1034" s="30"/>
      <c r="AE1034" s="30"/>
      <c r="AF1034" s="30"/>
      <c r="AG1034" s="29"/>
      <c r="AH1034" s="30"/>
      <c r="AI1034" s="36"/>
      <c r="AJ1034" s="30"/>
      <c r="AK1034" s="29"/>
      <c r="AL1034" s="30"/>
      <c r="AM1034" s="30"/>
      <c r="AN1034" s="30"/>
      <c r="AO1034" s="30"/>
      <c r="AP1034" s="30"/>
      <c r="AQ1034" s="38"/>
      <c r="AR1034" s="30"/>
      <c r="AS1034" s="30"/>
      <c r="AT1034" s="29"/>
      <c r="AU1034" s="30"/>
      <c r="AV1034" s="30"/>
      <c r="AW1034" s="30"/>
      <c r="AX1034" s="29"/>
      <c r="AY1034" s="39"/>
      <c r="AZ1034" s="30"/>
      <c r="BA1034" s="30"/>
      <c r="BB1034" s="29"/>
      <c r="BC1034" s="52"/>
      <c r="BD1034" s="30"/>
      <c r="BE1034" s="29"/>
      <c r="BF1034" s="30"/>
      <c r="BG1034" s="30"/>
      <c r="BH1034" s="30"/>
      <c r="BI1034" s="30"/>
      <c r="BJ1034" s="30"/>
      <c r="BK1034" s="30"/>
      <c r="BL1034" s="30"/>
      <c r="BM1034" s="30"/>
      <c r="BN1034" s="30"/>
      <c r="BO1034" s="30"/>
      <c r="BP1034" s="30"/>
      <c r="BQ1034" s="30"/>
      <c r="BR1034" s="30"/>
      <c r="BS1034" s="30"/>
      <c r="BT1034" s="30"/>
      <c r="BU1034" s="30"/>
      <c r="BV1034" s="30"/>
      <c r="BW1034" s="30"/>
      <c r="BX1034" s="30"/>
      <c r="BY1034" s="30"/>
      <c r="BZ1034" s="30"/>
      <c r="CA1034" s="30"/>
      <c r="CB1034" s="30"/>
      <c r="CC1034" s="30"/>
      <c r="CD1034" s="30"/>
      <c r="CE1034" s="30"/>
      <c r="CF1034" s="30"/>
      <c r="CG1034" s="30"/>
      <c r="CH1034" s="30"/>
      <c r="CI1034" s="30"/>
      <c r="CJ1034" s="30"/>
      <c r="CK1034" s="30"/>
      <c r="CL1034" s="30"/>
      <c r="CM1034" s="30"/>
      <c r="CN1034" s="30"/>
      <c r="CO1034" s="30"/>
      <c r="CP1034" s="30"/>
      <c r="CQ1034" s="30"/>
      <c r="CR1034" s="30"/>
      <c r="CS1034" s="30"/>
      <c r="CT1034" s="30"/>
      <c r="CU1034" s="30"/>
      <c r="CV1034" s="30"/>
      <c r="CW1034" s="30"/>
      <c r="CX1034" s="30"/>
      <c r="CY1034" s="30"/>
      <c r="CZ1034" s="30"/>
      <c r="DA1034" s="30"/>
      <c r="DB1034" s="30"/>
      <c r="DC1034" s="30"/>
      <c r="DD1034" s="30"/>
      <c r="DE1034" s="30"/>
      <c r="DF1034" s="30"/>
      <c r="DG1034" s="30"/>
      <c r="DH1034" s="30"/>
      <c r="DI1034" s="30"/>
      <c r="DJ1034" s="30"/>
      <c r="DK1034" s="30"/>
      <c r="DL1034" s="30"/>
      <c r="DM1034" s="30"/>
      <c r="DN1034" s="30"/>
      <c r="DO1034" s="30"/>
      <c r="DP1034" s="30"/>
      <c r="DQ1034" s="30"/>
      <c r="DR1034" s="30"/>
      <c r="DS1034" s="30"/>
      <c r="DT1034" s="30"/>
      <c r="DU1034" s="30"/>
      <c r="DV1034" s="30"/>
      <c r="DW1034" s="30"/>
      <c r="DX1034" s="30"/>
      <c r="DY1034" s="30"/>
      <c r="DZ1034" s="30"/>
    </row>
    <row r="1035">
      <c r="A1035" s="30"/>
      <c r="B1035" s="42"/>
      <c r="C1035" s="43"/>
      <c r="D1035" s="30"/>
      <c r="E1035" s="28"/>
      <c r="F1035" s="30"/>
      <c r="G1035" s="30"/>
      <c r="H1035" s="30"/>
      <c r="I1035" s="30"/>
      <c r="J1035" s="28"/>
      <c r="K1035" s="30"/>
      <c r="L1035" s="30"/>
      <c r="M1035" s="30"/>
      <c r="N1035" s="30"/>
      <c r="O1035" s="28"/>
      <c r="P1035" s="30"/>
      <c r="Q1035" s="30"/>
      <c r="R1035" s="30"/>
      <c r="S1035" s="36"/>
      <c r="T1035" s="30"/>
      <c r="U1035" s="36"/>
      <c r="V1035" s="30"/>
      <c r="W1035" s="28"/>
      <c r="X1035" s="30"/>
      <c r="Y1035" s="30"/>
      <c r="Z1035" s="30"/>
      <c r="AA1035" s="30"/>
      <c r="AB1035" s="30"/>
      <c r="AC1035" s="28"/>
      <c r="AD1035" s="30"/>
      <c r="AE1035" s="30"/>
      <c r="AF1035" s="30"/>
      <c r="AG1035" s="29"/>
      <c r="AH1035" s="30"/>
      <c r="AI1035" s="36"/>
      <c r="AJ1035" s="30"/>
      <c r="AK1035" s="29"/>
      <c r="AL1035" s="30"/>
      <c r="AM1035" s="30"/>
      <c r="AN1035" s="30"/>
      <c r="AO1035" s="30"/>
      <c r="AP1035" s="30"/>
      <c r="AQ1035" s="38"/>
      <c r="AR1035" s="30"/>
      <c r="AS1035" s="30"/>
      <c r="AT1035" s="29"/>
      <c r="AU1035" s="30"/>
      <c r="AV1035" s="30"/>
      <c r="AW1035" s="30"/>
      <c r="AX1035" s="29"/>
      <c r="AY1035" s="39"/>
      <c r="AZ1035" s="30"/>
      <c r="BA1035" s="30"/>
      <c r="BB1035" s="29"/>
      <c r="BC1035" s="52"/>
      <c r="BD1035" s="30"/>
      <c r="BE1035" s="29"/>
      <c r="BF1035" s="30"/>
      <c r="BG1035" s="30"/>
      <c r="BH1035" s="30"/>
      <c r="BI1035" s="30"/>
      <c r="BJ1035" s="30"/>
      <c r="BK1035" s="30"/>
      <c r="BL1035" s="30"/>
      <c r="BM1035" s="30"/>
      <c r="BN1035" s="30"/>
      <c r="BO1035" s="30"/>
      <c r="BP1035" s="30"/>
      <c r="BQ1035" s="30"/>
      <c r="BR1035" s="30"/>
      <c r="BS1035" s="30"/>
      <c r="BT1035" s="30"/>
      <c r="BU1035" s="30"/>
      <c r="BV1035" s="30"/>
      <c r="BW1035" s="30"/>
      <c r="BX1035" s="30"/>
      <c r="BY1035" s="30"/>
      <c r="BZ1035" s="30"/>
      <c r="CA1035" s="30"/>
      <c r="CB1035" s="30"/>
      <c r="CC1035" s="30"/>
      <c r="CD1035" s="30"/>
      <c r="CE1035" s="30"/>
      <c r="CF1035" s="30"/>
      <c r="CG1035" s="30"/>
      <c r="CH1035" s="30"/>
      <c r="CI1035" s="30"/>
      <c r="CJ1035" s="30"/>
      <c r="CK1035" s="30"/>
      <c r="CL1035" s="30"/>
      <c r="CM1035" s="30"/>
      <c r="CN1035" s="30"/>
      <c r="CO1035" s="30"/>
      <c r="CP1035" s="30"/>
      <c r="CQ1035" s="30"/>
      <c r="CR1035" s="30"/>
      <c r="CS1035" s="30"/>
      <c r="CT1035" s="30"/>
      <c r="CU1035" s="30"/>
      <c r="CV1035" s="30"/>
      <c r="CW1035" s="30"/>
      <c r="CX1035" s="30"/>
      <c r="CY1035" s="30"/>
      <c r="CZ1035" s="30"/>
      <c r="DA1035" s="30"/>
      <c r="DB1035" s="30"/>
      <c r="DC1035" s="30"/>
      <c r="DD1035" s="30"/>
      <c r="DE1035" s="30"/>
      <c r="DF1035" s="30"/>
      <c r="DG1035" s="30"/>
      <c r="DH1035" s="30"/>
      <c r="DI1035" s="30"/>
      <c r="DJ1035" s="30"/>
      <c r="DK1035" s="30"/>
      <c r="DL1035" s="30"/>
      <c r="DM1035" s="30"/>
      <c r="DN1035" s="30"/>
      <c r="DO1035" s="30"/>
      <c r="DP1035" s="30"/>
      <c r="DQ1035" s="30"/>
      <c r="DR1035" s="30"/>
      <c r="DS1035" s="30"/>
      <c r="DT1035" s="30"/>
      <c r="DU1035" s="30"/>
      <c r="DV1035" s="30"/>
      <c r="DW1035" s="30"/>
      <c r="DX1035" s="30"/>
      <c r="DY1035" s="30"/>
      <c r="DZ1035" s="30"/>
    </row>
    <row r="1036">
      <c r="A1036" s="30"/>
      <c r="B1036" s="42"/>
      <c r="C1036" s="43"/>
      <c r="D1036" s="30"/>
      <c r="E1036" s="28"/>
      <c r="F1036" s="30"/>
      <c r="G1036" s="30"/>
      <c r="H1036" s="30"/>
      <c r="I1036" s="30"/>
      <c r="J1036" s="28"/>
      <c r="K1036" s="30"/>
      <c r="L1036" s="30"/>
      <c r="M1036" s="30"/>
      <c r="N1036" s="30"/>
      <c r="O1036" s="28"/>
      <c r="P1036" s="30"/>
      <c r="Q1036" s="30"/>
      <c r="R1036" s="30"/>
      <c r="S1036" s="36"/>
      <c r="T1036" s="30"/>
      <c r="U1036" s="36"/>
      <c r="V1036" s="30"/>
      <c r="W1036" s="28"/>
      <c r="X1036" s="30"/>
      <c r="Y1036" s="30"/>
      <c r="Z1036" s="30"/>
      <c r="AA1036" s="30"/>
      <c r="AB1036" s="30"/>
      <c r="AC1036" s="28"/>
      <c r="AD1036" s="30"/>
      <c r="AE1036" s="30"/>
      <c r="AF1036" s="30"/>
      <c r="AG1036" s="29"/>
      <c r="AH1036" s="30"/>
      <c r="AI1036" s="36"/>
      <c r="AJ1036" s="30"/>
      <c r="AK1036" s="29"/>
      <c r="AL1036" s="30"/>
      <c r="AM1036" s="30"/>
      <c r="AN1036" s="30"/>
      <c r="AO1036" s="30"/>
      <c r="AP1036" s="30"/>
      <c r="AQ1036" s="38"/>
      <c r="AR1036" s="30"/>
      <c r="AS1036" s="30"/>
      <c r="AT1036" s="29"/>
      <c r="AU1036" s="30"/>
      <c r="AV1036" s="30"/>
      <c r="AW1036" s="30"/>
      <c r="AX1036" s="29"/>
      <c r="AY1036" s="39"/>
      <c r="AZ1036" s="30"/>
      <c r="BA1036" s="30"/>
      <c r="BB1036" s="29"/>
      <c r="BC1036" s="52"/>
      <c r="BD1036" s="30"/>
      <c r="BE1036" s="29"/>
      <c r="BF1036" s="30"/>
      <c r="BG1036" s="30"/>
      <c r="BH1036" s="30"/>
      <c r="BI1036" s="30"/>
      <c r="BJ1036" s="30"/>
      <c r="BK1036" s="30"/>
      <c r="BL1036" s="30"/>
      <c r="BM1036" s="30"/>
      <c r="BN1036" s="30"/>
      <c r="BO1036" s="30"/>
      <c r="BP1036" s="30"/>
      <c r="BQ1036" s="30"/>
      <c r="BR1036" s="30"/>
      <c r="BS1036" s="30"/>
      <c r="BT1036" s="30"/>
      <c r="BU1036" s="30"/>
      <c r="BV1036" s="30"/>
      <c r="BW1036" s="30"/>
      <c r="BX1036" s="30"/>
      <c r="BY1036" s="30"/>
      <c r="BZ1036" s="30"/>
      <c r="CA1036" s="30"/>
      <c r="CB1036" s="30"/>
      <c r="CC1036" s="30"/>
      <c r="CD1036" s="30"/>
      <c r="CE1036" s="30"/>
      <c r="CF1036" s="30"/>
      <c r="CG1036" s="30"/>
      <c r="CH1036" s="30"/>
      <c r="CI1036" s="30"/>
      <c r="CJ1036" s="30"/>
      <c r="CK1036" s="30"/>
      <c r="CL1036" s="30"/>
      <c r="CM1036" s="30"/>
      <c r="CN1036" s="30"/>
      <c r="CO1036" s="30"/>
      <c r="CP1036" s="30"/>
      <c r="CQ1036" s="30"/>
      <c r="CR1036" s="30"/>
      <c r="CS1036" s="30"/>
      <c r="CT1036" s="30"/>
      <c r="CU1036" s="30"/>
      <c r="CV1036" s="30"/>
      <c r="CW1036" s="30"/>
      <c r="CX1036" s="30"/>
      <c r="CY1036" s="30"/>
      <c r="CZ1036" s="30"/>
      <c r="DA1036" s="30"/>
      <c r="DB1036" s="30"/>
      <c r="DC1036" s="30"/>
      <c r="DD1036" s="30"/>
      <c r="DE1036" s="30"/>
      <c r="DF1036" s="30"/>
      <c r="DG1036" s="30"/>
      <c r="DH1036" s="30"/>
      <c r="DI1036" s="30"/>
      <c r="DJ1036" s="30"/>
      <c r="DK1036" s="30"/>
      <c r="DL1036" s="30"/>
      <c r="DM1036" s="30"/>
      <c r="DN1036" s="30"/>
      <c r="DO1036" s="30"/>
      <c r="DP1036" s="30"/>
      <c r="DQ1036" s="30"/>
      <c r="DR1036" s="30"/>
      <c r="DS1036" s="30"/>
      <c r="DT1036" s="30"/>
      <c r="DU1036" s="30"/>
      <c r="DV1036" s="30"/>
      <c r="DW1036" s="30"/>
      <c r="DX1036" s="30"/>
      <c r="DY1036" s="30"/>
      <c r="DZ1036" s="30"/>
    </row>
    <row r="1037">
      <c r="A1037" s="30"/>
      <c r="B1037" s="42"/>
      <c r="C1037" s="43"/>
      <c r="D1037" s="30"/>
      <c r="E1037" s="28"/>
      <c r="F1037" s="30"/>
      <c r="G1037" s="30"/>
      <c r="H1037" s="30"/>
      <c r="I1037" s="30"/>
      <c r="J1037" s="28"/>
      <c r="K1037" s="30"/>
      <c r="L1037" s="30"/>
      <c r="M1037" s="30"/>
      <c r="N1037" s="30"/>
      <c r="O1037" s="28"/>
      <c r="P1037" s="30"/>
      <c r="Q1037" s="30"/>
      <c r="R1037" s="30"/>
      <c r="S1037" s="36"/>
      <c r="T1037" s="30"/>
      <c r="U1037" s="36"/>
      <c r="V1037" s="30"/>
      <c r="W1037" s="28"/>
      <c r="X1037" s="30"/>
      <c r="Y1037" s="30"/>
      <c r="Z1037" s="30"/>
      <c r="AA1037" s="30"/>
      <c r="AB1037" s="30"/>
      <c r="AC1037" s="28"/>
      <c r="AD1037" s="30"/>
      <c r="AE1037" s="30"/>
      <c r="AF1037" s="30"/>
      <c r="AG1037" s="29"/>
      <c r="AH1037" s="30"/>
      <c r="AI1037" s="36"/>
      <c r="AJ1037" s="30"/>
      <c r="AK1037" s="29"/>
      <c r="AL1037" s="30"/>
      <c r="AM1037" s="30"/>
      <c r="AN1037" s="30"/>
      <c r="AO1037" s="30"/>
      <c r="AP1037" s="30"/>
      <c r="AQ1037" s="38"/>
      <c r="AR1037" s="30"/>
      <c r="AS1037" s="30"/>
      <c r="AT1037" s="29"/>
      <c r="AU1037" s="30"/>
      <c r="AV1037" s="30"/>
      <c r="AW1037" s="30"/>
      <c r="AX1037" s="29"/>
      <c r="AY1037" s="39"/>
      <c r="AZ1037" s="30"/>
      <c r="BA1037" s="30"/>
      <c r="BB1037" s="29"/>
      <c r="BC1037" s="52"/>
      <c r="BD1037" s="30"/>
      <c r="BE1037" s="29"/>
      <c r="BF1037" s="30"/>
      <c r="BG1037" s="30"/>
      <c r="BH1037" s="30"/>
      <c r="BI1037" s="30"/>
      <c r="BJ1037" s="30"/>
      <c r="BK1037" s="30"/>
      <c r="BL1037" s="30"/>
      <c r="BM1037" s="30"/>
      <c r="BN1037" s="30"/>
      <c r="BO1037" s="30"/>
      <c r="BP1037" s="30"/>
      <c r="BQ1037" s="30"/>
      <c r="BR1037" s="30"/>
      <c r="BS1037" s="30"/>
      <c r="BT1037" s="30"/>
      <c r="BU1037" s="30"/>
      <c r="BV1037" s="30"/>
      <c r="BW1037" s="30"/>
      <c r="BX1037" s="30"/>
      <c r="BY1037" s="30"/>
      <c r="BZ1037" s="30"/>
      <c r="CA1037" s="30"/>
      <c r="CB1037" s="30"/>
      <c r="CC1037" s="30"/>
      <c r="CD1037" s="30"/>
      <c r="CE1037" s="30"/>
      <c r="CF1037" s="30"/>
      <c r="CG1037" s="30"/>
      <c r="CH1037" s="30"/>
      <c r="CI1037" s="30"/>
      <c r="CJ1037" s="30"/>
      <c r="CK1037" s="30"/>
      <c r="CL1037" s="30"/>
      <c r="CM1037" s="30"/>
      <c r="CN1037" s="30"/>
      <c r="CO1037" s="30"/>
      <c r="CP1037" s="30"/>
      <c r="CQ1037" s="30"/>
      <c r="CR1037" s="30"/>
      <c r="CS1037" s="30"/>
      <c r="CT1037" s="30"/>
      <c r="CU1037" s="30"/>
      <c r="CV1037" s="30"/>
      <c r="CW1037" s="30"/>
      <c r="CX1037" s="30"/>
      <c r="CY1037" s="30"/>
      <c r="CZ1037" s="30"/>
      <c r="DA1037" s="30"/>
      <c r="DB1037" s="30"/>
      <c r="DC1037" s="30"/>
      <c r="DD1037" s="30"/>
      <c r="DE1037" s="30"/>
      <c r="DF1037" s="30"/>
      <c r="DG1037" s="30"/>
      <c r="DH1037" s="30"/>
      <c r="DI1037" s="30"/>
      <c r="DJ1037" s="30"/>
      <c r="DK1037" s="30"/>
      <c r="DL1037" s="30"/>
      <c r="DM1037" s="30"/>
      <c r="DN1037" s="30"/>
      <c r="DO1037" s="30"/>
      <c r="DP1037" s="30"/>
      <c r="DQ1037" s="30"/>
      <c r="DR1037" s="30"/>
      <c r="DS1037" s="30"/>
      <c r="DT1037" s="30"/>
      <c r="DU1037" s="30"/>
      <c r="DV1037" s="30"/>
      <c r="DW1037" s="30"/>
      <c r="DX1037" s="30"/>
      <c r="DY1037" s="30"/>
      <c r="DZ1037" s="30"/>
    </row>
    <row r="1038">
      <c r="A1038" s="30"/>
      <c r="B1038" s="42"/>
      <c r="C1038" s="43"/>
      <c r="D1038" s="30"/>
      <c r="E1038" s="28"/>
      <c r="F1038" s="30"/>
      <c r="G1038" s="30"/>
      <c r="H1038" s="30"/>
      <c r="I1038" s="30"/>
      <c r="J1038" s="28"/>
      <c r="K1038" s="30"/>
      <c r="L1038" s="30"/>
      <c r="M1038" s="30"/>
      <c r="N1038" s="30"/>
      <c r="O1038" s="28"/>
      <c r="P1038" s="30"/>
      <c r="Q1038" s="30"/>
      <c r="R1038" s="30"/>
      <c r="S1038" s="36"/>
      <c r="T1038" s="30"/>
      <c r="U1038" s="36"/>
      <c r="V1038" s="30"/>
      <c r="W1038" s="28"/>
      <c r="X1038" s="30"/>
      <c r="Y1038" s="30"/>
      <c r="Z1038" s="30"/>
      <c r="AA1038" s="30"/>
      <c r="AB1038" s="30"/>
      <c r="AC1038" s="28"/>
      <c r="AD1038" s="30"/>
      <c r="AE1038" s="30"/>
      <c r="AF1038" s="30"/>
      <c r="AG1038" s="29"/>
      <c r="AH1038" s="30"/>
      <c r="AI1038" s="36"/>
      <c r="AJ1038" s="30"/>
      <c r="AK1038" s="29"/>
      <c r="AL1038" s="30"/>
      <c r="AM1038" s="30"/>
      <c r="AN1038" s="30"/>
      <c r="AO1038" s="30"/>
      <c r="AP1038" s="30"/>
      <c r="AQ1038" s="38"/>
      <c r="AR1038" s="30"/>
      <c r="AS1038" s="30"/>
      <c r="AT1038" s="29"/>
      <c r="AU1038" s="30"/>
      <c r="AV1038" s="30"/>
      <c r="AW1038" s="30"/>
      <c r="AX1038" s="29"/>
      <c r="AY1038" s="39"/>
      <c r="AZ1038" s="30"/>
      <c r="BA1038" s="30"/>
      <c r="BB1038" s="29"/>
      <c r="BC1038" s="52"/>
      <c r="BD1038" s="30"/>
      <c r="BE1038" s="29"/>
      <c r="BF1038" s="30"/>
      <c r="BG1038" s="30"/>
      <c r="BH1038" s="30"/>
      <c r="BI1038" s="30"/>
      <c r="BJ1038" s="30"/>
      <c r="BK1038" s="30"/>
      <c r="BL1038" s="30"/>
      <c r="BM1038" s="30"/>
      <c r="BN1038" s="30"/>
      <c r="BO1038" s="30"/>
      <c r="BP1038" s="30"/>
      <c r="BQ1038" s="30"/>
      <c r="BR1038" s="30"/>
      <c r="BS1038" s="30"/>
      <c r="BT1038" s="30"/>
      <c r="BU1038" s="30"/>
      <c r="BV1038" s="30"/>
      <c r="BW1038" s="30"/>
      <c r="BX1038" s="30"/>
      <c r="BY1038" s="30"/>
      <c r="BZ1038" s="30"/>
      <c r="CA1038" s="30"/>
      <c r="CB1038" s="30"/>
      <c r="CC1038" s="30"/>
      <c r="CD1038" s="30"/>
      <c r="CE1038" s="30"/>
      <c r="CF1038" s="30"/>
      <c r="CG1038" s="30"/>
      <c r="CH1038" s="30"/>
      <c r="CI1038" s="30"/>
      <c r="CJ1038" s="30"/>
      <c r="CK1038" s="30"/>
      <c r="CL1038" s="30"/>
      <c r="CM1038" s="30"/>
      <c r="CN1038" s="30"/>
      <c r="CO1038" s="30"/>
      <c r="CP1038" s="30"/>
      <c r="CQ1038" s="30"/>
      <c r="CR1038" s="30"/>
      <c r="CS1038" s="30"/>
      <c r="CT1038" s="30"/>
      <c r="CU1038" s="30"/>
      <c r="CV1038" s="30"/>
      <c r="CW1038" s="30"/>
      <c r="CX1038" s="30"/>
      <c r="CY1038" s="30"/>
      <c r="CZ1038" s="30"/>
      <c r="DA1038" s="30"/>
      <c r="DB1038" s="30"/>
      <c r="DC1038" s="30"/>
      <c r="DD1038" s="30"/>
      <c r="DE1038" s="30"/>
      <c r="DF1038" s="30"/>
      <c r="DG1038" s="30"/>
      <c r="DH1038" s="30"/>
      <c r="DI1038" s="30"/>
      <c r="DJ1038" s="30"/>
      <c r="DK1038" s="30"/>
      <c r="DL1038" s="30"/>
      <c r="DM1038" s="30"/>
      <c r="DN1038" s="30"/>
      <c r="DO1038" s="30"/>
      <c r="DP1038" s="30"/>
      <c r="DQ1038" s="30"/>
      <c r="DR1038" s="30"/>
      <c r="DS1038" s="30"/>
      <c r="DT1038" s="30"/>
      <c r="DU1038" s="30"/>
      <c r="DV1038" s="30"/>
      <c r="DW1038" s="30"/>
      <c r="DX1038" s="30"/>
      <c r="DY1038" s="30"/>
      <c r="DZ1038" s="30"/>
    </row>
    <row r="1039">
      <c r="A1039" s="30"/>
      <c r="B1039" s="42"/>
      <c r="C1039" s="43"/>
      <c r="D1039" s="30"/>
      <c r="E1039" s="28"/>
      <c r="F1039" s="30"/>
      <c r="G1039" s="30"/>
      <c r="H1039" s="30"/>
      <c r="I1039" s="30"/>
      <c r="J1039" s="28"/>
      <c r="K1039" s="30"/>
      <c r="L1039" s="30"/>
      <c r="M1039" s="30"/>
      <c r="N1039" s="30"/>
      <c r="O1039" s="28"/>
      <c r="P1039" s="30"/>
      <c r="Q1039" s="30"/>
      <c r="R1039" s="30"/>
      <c r="S1039" s="36"/>
      <c r="T1039" s="30"/>
      <c r="U1039" s="36"/>
      <c r="V1039" s="30"/>
      <c r="W1039" s="28"/>
      <c r="X1039" s="30"/>
      <c r="Y1039" s="30"/>
      <c r="Z1039" s="30"/>
      <c r="AA1039" s="30"/>
      <c r="AB1039" s="30"/>
      <c r="AC1039" s="28"/>
      <c r="AD1039" s="30"/>
      <c r="AE1039" s="30"/>
      <c r="AF1039" s="30"/>
      <c r="AG1039" s="29"/>
      <c r="AH1039" s="30"/>
      <c r="AI1039" s="36"/>
      <c r="AJ1039" s="30"/>
      <c r="AK1039" s="29"/>
      <c r="AL1039" s="30"/>
      <c r="AM1039" s="30"/>
      <c r="AN1039" s="30"/>
      <c r="AO1039" s="30"/>
      <c r="AP1039" s="30"/>
      <c r="AQ1039" s="38"/>
      <c r="AR1039" s="30"/>
      <c r="AS1039" s="30"/>
      <c r="AT1039" s="29"/>
      <c r="AU1039" s="30"/>
      <c r="AV1039" s="30"/>
      <c r="AW1039" s="30"/>
      <c r="AX1039" s="29"/>
      <c r="AY1039" s="39"/>
      <c r="AZ1039" s="30"/>
      <c r="BA1039" s="30"/>
      <c r="BB1039" s="29"/>
      <c r="BC1039" s="52"/>
      <c r="BD1039" s="30"/>
      <c r="BE1039" s="29"/>
      <c r="BF1039" s="30"/>
      <c r="BG1039" s="30"/>
      <c r="BH1039" s="30"/>
      <c r="BI1039" s="30"/>
      <c r="BJ1039" s="30"/>
      <c r="BK1039" s="30"/>
      <c r="BL1039" s="30"/>
      <c r="BM1039" s="30"/>
      <c r="BN1039" s="30"/>
      <c r="BO1039" s="30"/>
      <c r="BP1039" s="30"/>
      <c r="BQ1039" s="30"/>
      <c r="BR1039" s="30"/>
      <c r="BS1039" s="30"/>
      <c r="BT1039" s="30"/>
      <c r="BU1039" s="30"/>
      <c r="BV1039" s="30"/>
      <c r="BW1039" s="30"/>
      <c r="BX1039" s="30"/>
      <c r="BY1039" s="30"/>
      <c r="BZ1039" s="30"/>
      <c r="CA1039" s="30"/>
      <c r="CB1039" s="30"/>
      <c r="CC1039" s="30"/>
      <c r="CD1039" s="30"/>
      <c r="CE1039" s="30"/>
      <c r="CF1039" s="30"/>
      <c r="CG1039" s="30"/>
      <c r="CH1039" s="30"/>
      <c r="CI1039" s="30"/>
      <c r="CJ1039" s="30"/>
      <c r="CK1039" s="30"/>
      <c r="CL1039" s="30"/>
      <c r="CM1039" s="30"/>
      <c r="CN1039" s="30"/>
      <c r="CO1039" s="30"/>
      <c r="CP1039" s="30"/>
      <c r="CQ1039" s="30"/>
      <c r="CR1039" s="30"/>
      <c r="CS1039" s="30"/>
      <c r="CT1039" s="30"/>
      <c r="CU1039" s="30"/>
      <c r="CV1039" s="30"/>
      <c r="CW1039" s="30"/>
      <c r="CX1039" s="30"/>
      <c r="CY1039" s="30"/>
      <c r="CZ1039" s="30"/>
      <c r="DA1039" s="30"/>
      <c r="DB1039" s="30"/>
      <c r="DC1039" s="30"/>
      <c r="DD1039" s="30"/>
      <c r="DE1039" s="30"/>
      <c r="DF1039" s="30"/>
      <c r="DG1039" s="30"/>
      <c r="DH1039" s="30"/>
      <c r="DI1039" s="30"/>
      <c r="DJ1039" s="30"/>
      <c r="DK1039" s="30"/>
      <c r="DL1039" s="30"/>
      <c r="DM1039" s="30"/>
      <c r="DN1039" s="30"/>
      <c r="DO1039" s="30"/>
      <c r="DP1039" s="30"/>
      <c r="DQ1039" s="30"/>
      <c r="DR1039" s="30"/>
      <c r="DS1039" s="30"/>
      <c r="DT1039" s="30"/>
      <c r="DU1039" s="30"/>
      <c r="DV1039" s="30"/>
      <c r="DW1039" s="30"/>
      <c r="DX1039" s="30"/>
      <c r="DY1039" s="30"/>
      <c r="DZ1039" s="30"/>
    </row>
    <row r="1040">
      <c r="A1040" s="30"/>
      <c r="B1040" s="42"/>
      <c r="C1040" s="43"/>
      <c r="D1040" s="30"/>
      <c r="E1040" s="28"/>
      <c r="F1040" s="30"/>
      <c r="G1040" s="30"/>
      <c r="H1040" s="30"/>
      <c r="I1040" s="30"/>
      <c r="J1040" s="28"/>
      <c r="K1040" s="30"/>
      <c r="L1040" s="30"/>
      <c r="M1040" s="30"/>
      <c r="N1040" s="30"/>
      <c r="O1040" s="28"/>
      <c r="P1040" s="30"/>
      <c r="Q1040" s="30"/>
      <c r="R1040" s="30"/>
      <c r="S1040" s="36"/>
      <c r="T1040" s="30"/>
      <c r="U1040" s="36"/>
      <c r="V1040" s="30"/>
      <c r="W1040" s="28"/>
      <c r="X1040" s="30"/>
      <c r="Y1040" s="30"/>
      <c r="Z1040" s="30"/>
      <c r="AA1040" s="30"/>
      <c r="AB1040" s="30"/>
      <c r="AC1040" s="28"/>
      <c r="AD1040" s="30"/>
      <c r="AE1040" s="30"/>
      <c r="AF1040" s="30"/>
      <c r="AG1040" s="29"/>
      <c r="AH1040" s="30"/>
      <c r="AI1040" s="36"/>
      <c r="AJ1040" s="30"/>
      <c r="AK1040" s="29"/>
      <c r="AL1040" s="30"/>
      <c r="AM1040" s="30"/>
      <c r="AN1040" s="30"/>
      <c r="AO1040" s="30"/>
      <c r="AP1040" s="30"/>
      <c r="AQ1040" s="38"/>
      <c r="AR1040" s="30"/>
      <c r="AS1040" s="30"/>
      <c r="AT1040" s="29"/>
      <c r="AU1040" s="30"/>
      <c r="AV1040" s="30"/>
      <c r="AW1040" s="30"/>
      <c r="AX1040" s="29"/>
      <c r="AY1040" s="39"/>
      <c r="AZ1040" s="30"/>
      <c r="BA1040" s="30"/>
      <c r="BB1040" s="29"/>
      <c r="BC1040" s="52"/>
      <c r="BD1040" s="30"/>
      <c r="BE1040" s="29"/>
      <c r="BF1040" s="30"/>
      <c r="BG1040" s="30"/>
      <c r="BH1040" s="30"/>
      <c r="BI1040" s="30"/>
      <c r="BJ1040" s="30"/>
      <c r="BK1040" s="30"/>
      <c r="BL1040" s="30"/>
      <c r="BM1040" s="30"/>
      <c r="BN1040" s="30"/>
      <c r="BO1040" s="30"/>
      <c r="BP1040" s="30"/>
      <c r="BQ1040" s="30"/>
      <c r="BR1040" s="30"/>
      <c r="BS1040" s="30"/>
      <c r="BT1040" s="30"/>
      <c r="BU1040" s="30"/>
      <c r="BV1040" s="30"/>
      <c r="BW1040" s="30"/>
      <c r="BX1040" s="30"/>
      <c r="BY1040" s="30"/>
      <c r="BZ1040" s="30"/>
      <c r="CA1040" s="30"/>
      <c r="CB1040" s="30"/>
      <c r="CC1040" s="30"/>
      <c r="CD1040" s="30"/>
      <c r="CE1040" s="30"/>
      <c r="CF1040" s="30"/>
      <c r="CG1040" s="30"/>
      <c r="CH1040" s="30"/>
      <c r="CI1040" s="30"/>
      <c r="CJ1040" s="30"/>
      <c r="CK1040" s="30"/>
      <c r="CL1040" s="30"/>
      <c r="CM1040" s="30"/>
      <c r="CN1040" s="30"/>
      <c r="CO1040" s="30"/>
      <c r="CP1040" s="30"/>
      <c r="CQ1040" s="30"/>
      <c r="CR1040" s="30"/>
      <c r="CS1040" s="30"/>
      <c r="CT1040" s="30"/>
      <c r="CU1040" s="30"/>
      <c r="CV1040" s="30"/>
      <c r="CW1040" s="30"/>
      <c r="CX1040" s="30"/>
      <c r="CY1040" s="30"/>
      <c r="CZ1040" s="30"/>
      <c r="DA1040" s="30"/>
      <c r="DB1040" s="30"/>
      <c r="DC1040" s="30"/>
      <c r="DD1040" s="30"/>
      <c r="DE1040" s="30"/>
      <c r="DF1040" s="30"/>
      <c r="DG1040" s="30"/>
      <c r="DH1040" s="30"/>
      <c r="DI1040" s="30"/>
      <c r="DJ1040" s="30"/>
      <c r="DK1040" s="30"/>
      <c r="DL1040" s="30"/>
      <c r="DM1040" s="30"/>
      <c r="DN1040" s="30"/>
      <c r="DO1040" s="30"/>
      <c r="DP1040" s="30"/>
      <c r="DQ1040" s="30"/>
      <c r="DR1040" s="30"/>
      <c r="DS1040" s="30"/>
      <c r="DT1040" s="30"/>
      <c r="DU1040" s="30"/>
      <c r="DV1040" s="30"/>
      <c r="DW1040" s="30"/>
      <c r="DX1040" s="30"/>
      <c r="DY1040" s="30"/>
      <c r="DZ1040" s="30"/>
    </row>
    <row r="1041">
      <c r="A1041" s="30"/>
      <c r="B1041" s="42"/>
      <c r="C1041" s="43"/>
      <c r="D1041" s="30"/>
      <c r="E1041" s="28"/>
      <c r="F1041" s="30"/>
      <c r="G1041" s="30"/>
      <c r="H1041" s="30"/>
      <c r="I1041" s="30"/>
      <c r="J1041" s="28"/>
      <c r="K1041" s="30"/>
      <c r="L1041" s="30"/>
      <c r="M1041" s="30"/>
      <c r="N1041" s="30"/>
      <c r="O1041" s="28"/>
      <c r="P1041" s="30"/>
      <c r="Q1041" s="30"/>
      <c r="R1041" s="30"/>
      <c r="S1041" s="36"/>
      <c r="T1041" s="30"/>
      <c r="U1041" s="36"/>
      <c r="V1041" s="30"/>
      <c r="W1041" s="28"/>
      <c r="X1041" s="30"/>
      <c r="Y1041" s="30"/>
      <c r="Z1041" s="30"/>
      <c r="AA1041" s="30"/>
      <c r="AB1041" s="30"/>
      <c r="AC1041" s="28"/>
      <c r="AD1041" s="30"/>
      <c r="AE1041" s="30"/>
      <c r="AF1041" s="30"/>
      <c r="AG1041" s="29"/>
      <c r="AH1041" s="30"/>
      <c r="AI1041" s="36"/>
      <c r="AJ1041" s="30"/>
      <c r="AK1041" s="29"/>
      <c r="AL1041" s="30"/>
      <c r="AM1041" s="30"/>
      <c r="AN1041" s="30"/>
      <c r="AO1041" s="30"/>
      <c r="AP1041" s="30"/>
      <c r="AQ1041" s="38"/>
      <c r="AR1041" s="30"/>
      <c r="AS1041" s="30"/>
      <c r="AT1041" s="29"/>
      <c r="AU1041" s="30"/>
      <c r="AV1041" s="30"/>
      <c r="AW1041" s="30"/>
      <c r="AX1041" s="29"/>
      <c r="AY1041" s="39"/>
      <c r="AZ1041" s="30"/>
      <c r="BA1041" s="30"/>
      <c r="BB1041" s="29"/>
      <c r="BC1041" s="52"/>
      <c r="BD1041" s="30"/>
      <c r="BE1041" s="29"/>
      <c r="BF1041" s="30"/>
      <c r="BG1041" s="30"/>
      <c r="BH1041" s="30"/>
      <c r="BI1041" s="30"/>
      <c r="BJ1041" s="30"/>
      <c r="BK1041" s="30"/>
      <c r="BL1041" s="30"/>
      <c r="BM1041" s="30"/>
      <c r="BN1041" s="30"/>
      <c r="BO1041" s="30"/>
      <c r="BP1041" s="30"/>
      <c r="BQ1041" s="30"/>
      <c r="BR1041" s="30"/>
      <c r="BS1041" s="30"/>
      <c r="BT1041" s="30"/>
      <c r="BU1041" s="30"/>
      <c r="BV1041" s="30"/>
      <c r="BW1041" s="30"/>
      <c r="BX1041" s="30"/>
      <c r="BY1041" s="30"/>
      <c r="BZ1041" s="30"/>
      <c r="CA1041" s="30"/>
      <c r="CB1041" s="30"/>
      <c r="CC1041" s="30"/>
      <c r="CD1041" s="30"/>
      <c r="CE1041" s="30"/>
      <c r="CF1041" s="30"/>
      <c r="CG1041" s="30"/>
      <c r="CH1041" s="30"/>
      <c r="CI1041" s="30"/>
      <c r="CJ1041" s="30"/>
      <c r="CK1041" s="30"/>
      <c r="CL1041" s="30"/>
      <c r="CM1041" s="30"/>
      <c r="CN1041" s="30"/>
      <c r="CO1041" s="30"/>
      <c r="CP1041" s="30"/>
      <c r="CQ1041" s="30"/>
      <c r="CR1041" s="30"/>
      <c r="CS1041" s="30"/>
      <c r="CT1041" s="30"/>
      <c r="CU1041" s="30"/>
      <c r="CV1041" s="30"/>
      <c r="CW1041" s="30"/>
      <c r="CX1041" s="30"/>
      <c r="CY1041" s="30"/>
      <c r="CZ1041" s="30"/>
      <c r="DA1041" s="30"/>
      <c r="DB1041" s="30"/>
      <c r="DC1041" s="30"/>
      <c r="DD1041" s="30"/>
      <c r="DE1041" s="30"/>
      <c r="DF1041" s="30"/>
      <c r="DG1041" s="30"/>
      <c r="DH1041" s="30"/>
      <c r="DI1041" s="30"/>
      <c r="DJ1041" s="30"/>
      <c r="DK1041" s="30"/>
      <c r="DL1041" s="30"/>
      <c r="DM1041" s="30"/>
      <c r="DN1041" s="30"/>
      <c r="DO1041" s="30"/>
      <c r="DP1041" s="30"/>
      <c r="DQ1041" s="30"/>
      <c r="DR1041" s="30"/>
      <c r="DS1041" s="30"/>
      <c r="DT1041" s="30"/>
      <c r="DU1041" s="30"/>
      <c r="DV1041" s="30"/>
      <c r="DW1041" s="30"/>
      <c r="DX1041" s="30"/>
      <c r="DY1041" s="30"/>
      <c r="DZ1041" s="30"/>
    </row>
    <row r="1042">
      <c r="A1042" s="30"/>
      <c r="B1042" s="42"/>
      <c r="C1042" s="43"/>
      <c r="D1042" s="30"/>
      <c r="E1042" s="28"/>
      <c r="F1042" s="30"/>
      <c r="G1042" s="30"/>
      <c r="H1042" s="30"/>
      <c r="I1042" s="30"/>
      <c r="J1042" s="28"/>
      <c r="K1042" s="30"/>
      <c r="L1042" s="30"/>
      <c r="M1042" s="30"/>
      <c r="N1042" s="30"/>
      <c r="O1042" s="28"/>
      <c r="P1042" s="30"/>
      <c r="Q1042" s="30"/>
      <c r="R1042" s="30"/>
      <c r="S1042" s="36"/>
      <c r="T1042" s="30"/>
      <c r="U1042" s="36"/>
      <c r="V1042" s="30"/>
      <c r="W1042" s="28"/>
      <c r="X1042" s="30"/>
      <c r="Y1042" s="30"/>
      <c r="Z1042" s="30"/>
      <c r="AA1042" s="30"/>
      <c r="AB1042" s="30"/>
      <c r="AC1042" s="28"/>
      <c r="AD1042" s="30"/>
      <c r="AE1042" s="30"/>
      <c r="AF1042" s="30"/>
      <c r="AG1042" s="29"/>
      <c r="AH1042" s="30"/>
      <c r="AI1042" s="36"/>
      <c r="AJ1042" s="30"/>
      <c r="AK1042" s="29"/>
      <c r="AL1042" s="30"/>
      <c r="AM1042" s="30"/>
      <c r="AN1042" s="30"/>
      <c r="AO1042" s="30"/>
      <c r="AP1042" s="30"/>
      <c r="AQ1042" s="38"/>
      <c r="AR1042" s="30"/>
      <c r="AS1042" s="30"/>
      <c r="AT1042" s="29"/>
      <c r="AU1042" s="30"/>
      <c r="AV1042" s="30"/>
      <c r="AW1042" s="30"/>
      <c r="AX1042" s="29"/>
      <c r="AY1042" s="39"/>
      <c r="AZ1042" s="30"/>
      <c r="BA1042" s="30"/>
      <c r="BB1042" s="29"/>
      <c r="BC1042" s="52"/>
      <c r="BD1042" s="30"/>
      <c r="BE1042" s="29"/>
      <c r="BF1042" s="30"/>
      <c r="BG1042" s="30"/>
      <c r="BH1042" s="30"/>
      <c r="BI1042" s="30"/>
      <c r="BJ1042" s="30"/>
      <c r="BK1042" s="30"/>
      <c r="BL1042" s="30"/>
      <c r="BM1042" s="30"/>
      <c r="BN1042" s="30"/>
      <c r="BO1042" s="30"/>
      <c r="BP1042" s="30"/>
      <c r="BQ1042" s="30"/>
      <c r="BR1042" s="30"/>
      <c r="BS1042" s="30"/>
      <c r="BT1042" s="30"/>
      <c r="BU1042" s="30"/>
      <c r="BV1042" s="30"/>
      <c r="BW1042" s="30"/>
      <c r="BX1042" s="30"/>
      <c r="BY1042" s="30"/>
      <c r="BZ1042" s="30"/>
      <c r="CA1042" s="30"/>
      <c r="CB1042" s="30"/>
      <c r="CC1042" s="30"/>
      <c r="CD1042" s="30"/>
      <c r="CE1042" s="30"/>
      <c r="CF1042" s="30"/>
      <c r="CG1042" s="30"/>
      <c r="CH1042" s="30"/>
      <c r="CI1042" s="30"/>
      <c r="CJ1042" s="30"/>
      <c r="CK1042" s="30"/>
      <c r="CL1042" s="30"/>
      <c r="CM1042" s="30"/>
      <c r="CN1042" s="30"/>
      <c r="CO1042" s="30"/>
      <c r="CP1042" s="30"/>
      <c r="CQ1042" s="30"/>
      <c r="CR1042" s="30"/>
      <c r="CS1042" s="30"/>
      <c r="CT1042" s="30"/>
      <c r="CU1042" s="30"/>
      <c r="CV1042" s="30"/>
      <c r="CW1042" s="30"/>
      <c r="CX1042" s="30"/>
      <c r="CY1042" s="30"/>
      <c r="CZ1042" s="30"/>
      <c r="DA1042" s="30"/>
      <c r="DB1042" s="30"/>
      <c r="DC1042" s="30"/>
      <c r="DD1042" s="30"/>
      <c r="DE1042" s="30"/>
      <c r="DF1042" s="30"/>
      <c r="DG1042" s="30"/>
      <c r="DH1042" s="30"/>
      <c r="DI1042" s="30"/>
      <c r="DJ1042" s="30"/>
      <c r="DK1042" s="30"/>
      <c r="DL1042" s="30"/>
      <c r="DM1042" s="30"/>
      <c r="DN1042" s="30"/>
      <c r="DO1042" s="30"/>
      <c r="DP1042" s="30"/>
      <c r="DQ1042" s="30"/>
      <c r="DR1042" s="30"/>
      <c r="DS1042" s="30"/>
      <c r="DT1042" s="30"/>
      <c r="DU1042" s="30"/>
      <c r="DV1042" s="30"/>
      <c r="DW1042" s="30"/>
      <c r="DX1042" s="30"/>
      <c r="DY1042" s="30"/>
      <c r="DZ1042" s="30"/>
    </row>
    <row r="1043">
      <c r="A1043" s="30"/>
      <c r="B1043" s="42"/>
      <c r="C1043" s="43"/>
      <c r="D1043" s="30"/>
      <c r="E1043" s="28"/>
      <c r="F1043" s="30"/>
      <c r="G1043" s="30"/>
      <c r="H1043" s="30"/>
      <c r="I1043" s="30"/>
      <c r="J1043" s="28"/>
      <c r="K1043" s="30"/>
      <c r="L1043" s="30"/>
      <c r="M1043" s="30"/>
      <c r="N1043" s="30"/>
      <c r="O1043" s="28"/>
      <c r="P1043" s="30"/>
      <c r="Q1043" s="30"/>
      <c r="R1043" s="30"/>
      <c r="S1043" s="36"/>
      <c r="T1043" s="30"/>
      <c r="U1043" s="36"/>
      <c r="V1043" s="30"/>
      <c r="W1043" s="28"/>
      <c r="X1043" s="30"/>
      <c r="Y1043" s="30"/>
      <c r="Z1043" s="30"/>
      <c r="AA1043" s="30"/>
      <c r="AB1043" s="30"/>
      <c r="AC1043" s="28"/>
      <c r="AD1043" s="30"/>
      <c r="AE1043" s="30"/>
      <c r="AF1043" s="30"/>
      <c r="AG1043" s="29"/>
      <c r="AH1043" s="30"/>
      <c r="AI1043" s="36"/>
      <c r="AJ1043" s="30"/>
      <c r="AK1043" s="29"/>
      <c r="AL1043" s="30"/>
      <c r="AM1043" s="30"/>
      <c r="AN1043" s="30"/>
      <c r="AO1043" s="30"/>
      <c r="AP1043" s="30"/>
      <c r="AQ1043" s="38"/>
      <c r="AR1043" s="30"/>
      <c r="AS1043" s="30"/>
      <c r="AT1043" s="29"/>
      <c r="AU1043" s="30"/>
      <c r="AV1043" s="30"/>
      <c r="AW1043" s="30"/>
      <c r="AX1043" s="29"/>
      <c r="AY1043" s="39"/>
      <c r="AZ1043" s="30"/>
      <c r="BA1043" s="30"/>
      <c r="BB1043" s="29"/>
      <c r="BC1043" s="52"/>
      <c r="BD1043" s="30"/>
      <c r="BE1043" s="29"/>
      <c r="BF1043" s="30"/>
      <c r="BG1043" s="30"/>
      <c r="BH1043" s="30"/>
      <c r="BI1043" s="30"/>
      <c r="BJ1043" s="30"/>
      <c r="BK1043" s="30"/>
      <c r="BL1043" s="30"/>
      <c r="BM1043" s="30"/>
      <c r="BN1043" s="30"/>
      <c r="BO1043" s="30"/>
      <c r="BP1043" s="30"/>
      <c r="BQ1043" s="30"/>
      <c r="BR1043" s="30"/>
      <c r="BS1043" s="30"/>
      <c r="BT1043" s="30"/>
      <c r="BU1043" s="30"/>
      <c r="BV1043" s="30"/>
      <c r="BW1043" s="30"/>
      <c r="BX1043" s="30"/>
      <c r="BY1043" s="30"/>
      <c r="BZ1043" s="30"/>
      <c r="CA1043" s="30"/>
      <c r="CB1043" s="30"/>
      <c r="CC1043" s="30"/>
      <c r="CD1043" s="30"/>
      <c r="CE1043" s="30"/>
      <c r="CF1043" s="30"/>
      <c r="CG1043" s="30"/>
      <c r="CH1043" s="30"/>
      <c r="CI1043" s="30"/>
      <c r="CJ1043" s="30"/>
      <c r="CK1043" s="30"/>
      <c r="CL1043" s="30"/>
      <c r="CM1043" s="30"/>
      <c r="CN1043" s="30"/>
      <c r="CO1043" s="30"/>
      <c r="CP1043" s="30"/>
      <c r="CQ1043" s="30"/>
      <c r="CR1043" s="30"/>
      <c r="CS1043" s="30"/>
      <c r="CT1043" s="30"/>
      <c r="CU1043" s="30"/>
      <c r="CV1043" s="30"/>
      <c r="CW1043" s="30"/>
      <c r="CX1043" s="30"/>
      <c r="CY1043" s="30"/>
      <c r="CZ1043" s="30"/>
      <c r="DA1043" s="30"/>
      <c r="DB1043" s="30"/>
      <c r="DC1043" s="30"/>
      <c r="DD1043" s="30"/>
      <c r="DE1043" s="30"/>
      <c r="DF1043" s="30"/>
      <c r="DG1043" s="30"/>
      <c r="DH1043" s="30"/>
      <c r="DI1043" s="30"/>
      <c r="DJ1043" s="30"/>
      <c r="DK1043" s="30"/>
      <c r="DL1043" s="30"/>
      <c r="DM1043" s="30"/>
      <c r="DN1043" s="30"/>
      <c r="DO1043" s="30"/>
      <c r="DP1043" s="30"/>
      <c r="DQ1043" s="30"/>
      <c r="DR1043" s="30"/>
      <c r="DS1043" s="30"/>
      <c r="DT1043" s="30"/>
      <c r="DU1043" s="30"/>
      <c r="DV1043" s="30"/>
      <c r="DW1043" s="30"/>
      <c r="DX1043" s="30"/>
      <c r="DY1043" s="30"/>
      <c r="DZ1043" s="30"/>
    </row>
    <row r="1044">
      <c r="A1044" s="30"/>
      <c r="B1044" s="42"/>
      <c r="C1044" s="43"/>
      <c r="D1044" s="30"/>
      <c r="E1044" s="28"/>
      <c r="F1044" s="30"/>
      <c r="G1044" s="30"/>
      <c r="H1044" s="30"/>
      <c r="I1044" s="30"/>
      <c r="J1044" s="28"/>
      <c r="K1044" s="30"/>
      <c r="L1044" s="30"/>
      <c r="M1044" s="30"/>
      <c r="N1044" s="30"/>
      <c r="O1044" s="28"/>
      <c r="P1044" s="30"/>
      <c r="Q1044" s="30"/>
      <c r="R1044" s="30"/>
      <c r="S1044" s="36"/>
      <c r="T1044" s="30"/>
      <c r="U1044" s="36"/>
      <c r="V1044" s="30"/>
      <c r="W1044" s="28"/>
      <c r="X1044" s="30"/>
      <c r="Y1044" s="30"/>
      <c r="Z1044" s="30"/>
      <c r="AA1044" s="30"/>
      <c r="AB1044" s="30"/>
      <c r="AC1044" s="28"/>
      <c r="AD1044" s="30"/>
      <c r="AE1044" s="30"/>
      <c r="AF1044" s="30"/>
      <c r="AG1044" s="29"/>
      <c r="AH1044" s="30"/>
      <c r="AI1044" s="36"/>
      <c r="AJ1044" s="30"/>
      <c r="AK1044" s="29"/>
      <c r="AL1044" s="30"/>
      <c r="AM1044" s="30"/>
      <c r="AN1044" s="30"/>
      <c r="AO1044" s="30"/>
      <c r="AP1044" s="30"/>
      <c r="AQ1044" s="38"/>
      <c r="AR1044" s="30"/>
      <c r="AS1044" s="30"/>
      <c r="AT1044" s="29"/>
      <c r="AU1044" s="30"/>
      <c r="AV1044" s="30"/>
      <c r="AW1044" s="30"/>
      <c r="AX1044" s="29"/>
      <c r="AY1044" s="39"/>
      <c r="AZ1044" s="30"/>
      <c r="BA1044" s="30"/>
      <c r="BB1044" s="29"/>
      <c r="BC1044" s="52"/>
      <c r="BD1044" s="30"/>
      <c r="BE1044" s="29"/>
      <c r="BF1044" s="30"/>
      <c r="BG1044" s="30"/>
      <c r="BH1044" s="30"/>
      <c r="BI1044" s="30"/>
      <c r="BJ1044" s="30"/>
      <c r="BK1044" s="30"/>
      <c r="BL1044" s="30"/>
      <c r="BM1044" s="30"/>
      <c r="BN1044" s="30"/>
      <c r="BO1044" s="30"/>
      <c r="BP1044" s="30"/>
      <c r="BQ1044" s="30"/>
      <c r="BR1044" s="30"/>
      <c r="BS1044" s="30"/>
      <c r="BT1044" s="30"/>
      <c r="BU1044" s="30"/>
      <c r="BV1044" s="30"/>
      <c r="BW1044" s="30"/>
      <c r="BX1044" s="30"/>
      <c r="BY1044" s="30"/>
      <c r="BZ1044" s="30"/>
      <c r="CA1044" s="30"/>
      <c r="CB1044" s="30"/>
      <c r="CC1044" s="30"/>
      <c r="CD1044" s="30"/>
      <c r="CE1044" s="30"/>
      <c r="CF1044" s="30"/>
      <c r="CG1044" s="30"/>
      <c r="CH1044" s="30"/>
      <c r="CI1044" s="30"/>
      <c r="CJ1044" s="30"/>
      <c r="CK1044" s="30"/>
      <c r="CL1044" s="30"/>
      <c r="CM1044" s="30"/>
      <c r="CN1044" s="30"/>
      <c r="CO1044" s="30"/>
      <c r="CP1044" s="30"/>
      <c r="CQ1044" s="30"/>
      <c r="CR1044" s="30"/>
      <c r="CS1044" s="30"/>
      <c r="CT1044" s="30"/>
      <c r="CU1044" s="30"/>
      <c r="CV1044" s="30"/>
      <c r="CW1044" s="30"/>
      <c r="CX1044" s="30"/>
      <c r="CY1044" s="30"/>
      <c r="CZ1044" s="30"/>
      <c r="DA1044" s="30"/>
      <c r="DB1044" s="30"/>
      <c r="DC1044" s="30"/>
      <c r="DD1044" s="30"/>
      <c r="DE1044" s="30"/>
      <c r="DF1044" s="30"/>
      <c r="DG1044" s="30"/>
      <c r="DH1044" s="30"/>
      <c r="DI1044" s="30"/>
      <c r="DJ1044" s="30"/>
      <c r="DK1044" s="30"/>
      <c r="DL1044" s="30"/>
      <c r="DM1044" s="30"/>
      <c r="DN1044" s="30"/>
      <c r="DO1044" s="30"/>
      <c r="DP1044" s="30"/>
      <c r="DQ1044" s="30"/>
      <c r="DR1044" s="30"/>
      <c r="DS1044" s="30"/>
      <c r="DT1044" s="30"/>
      <c r="DU1044" s="30"/>
      <c r="DV1044" s="30"/>
      <c r="DW1044" s="30"/>
      <c r="DX1044" s="30"/>
      <c r="DY1044" s="30"/>
      <c r="DZ1044" s="30"/>
    </row>
    <row r="1045">
      <c r="A1045" s="30"/>
      <c r="B1045" s="42"/>
      <c r="C1045" s="43"/>
      <c r="D1045" s="30"/>
      <c r="E1045" s="28"/>
      <c r="F1045" s="30"/>
      <c r="G1045" s="30"/>
      <c r="H1045" s="30"/>
      <c r="I1045" s="30"/>
      <c r="J1045" s="28"/>
      <c r="K1045" s="30"/>
      <c r="L1045" s="30"/>
      <c r="M1045" s="30"/>
      <c r="N1045" s="30"/>
      <c r="O1045" s="28"/>
      <c r="P1045" s="30"/>
      <c r="Q1045" s="30"/>
      <c r="R1045" s="30"/>
      <c r="S1045" s="36"/>
      <c r="T1045" s="30"/>
      <c r="U1045" s="36"/>
      <c r="V1045" s="30"/>
      <c r="W1045" s="28"/>
      <c r="X1045" s="30"/>
      <c r="Y1045" s="30"/>
      <c r="Z1045" s="30"/>
      <c r="AA1045" s="30"/>
      <c r="AB1045" s="30"/>
      <c r="AC1045" s="28"/>
      <c r="AD1045" s="30"/>
      <c r="AE1045" s="30"/>
      <c r="AF1045" s="30"/>
      <c r="AG1045" s="29"/>
      <c r="AH1045" s="30"/>
      <c r="AI1045" s="36"/>
      <c r="AJ1045" s="30"/>
      <c r="AK1045" s="29"/>
      <c r="AL1045" s="30"/>
      <c r="AM1045" s="30"/>
      <c r="AN1045" s="30"/>
      <c r="AO1045" s="30"/>
      <c r="AP1045" s="30"/>
      <c r="AQ1045" s="38"/>
      <c r="AR1045" s="30"/>
      <c r="AS1045" s="30"/>
      <c r="AT1045" s="29"/>
      <c r="AU1045" s="30"/>
      <c r="AV1045" s="30"/>
      <c r="AW1045" s="30"/>
      <c r="AX1045" s="29"/>
      <c r="AY1045" s="39"/>
      <c r="AZ1045" s="30"/>
      <c r="BA1045" s="30"/>
      <c r="BB1045" s="29"/>
      <c r="BC1045" s="52"/>
      <c r="BD1045" s="30"/>
      <c r="BE1045" s="29"/>
      <c r="BF1045" s="30"/>
      <c r="BG1045" s="30"/>
      <c r="BH1045" s="30"/>
      <c r="BI1045" s="30"/>
      <c r="BJ1045" s="30"/>
      <c r="BK1045" s="30"/>
      <c r="BL1045" s="30"/>
      <c r="BM1045" s="30"/>
      <c r="BN1045" s="30"/>
      <c r="BO1045" s="30"/>
      <c r="BP1045" s="30"/>
      <c r="BQ1045" s="30"/>
      <c r="BR1045" s="30"/>
      <c r="BS1045" s="30"/>
      <c r="BT1045" s="30"/>
      <c r="BU1045" s="30"/>
      <c r="BV1045" s="30"/>
      <c r="BW1045" s="30"/>
      <c r="BX1045" s="30"/>
      <c r="BY1045" s="30"/>
      <c r="BZ1045" s="30"/>
      <c r="CA1045" s="30"/>
      <c r="CB1045" s="30"/>
      <c r="CC1045" s="30"/>
      <c r="CD1045" s="30"/>
      <c r="CE1045" s="30"/>
      <c r="CF1045" s="30"/>
      <c r="CG1045" s="30"/>
      <c r="CH1045" s="30"/>
      <c r="CI1045" s="30"/>
      <c r="CJ1045" s="30"/>
      <c r="CK1045" s="30"/>
      <c r="CL1045" s="30"/>
      <c r="CM1045" s="30"/>
      <c r="CN1045" s="30"/>
      <c r="CO1045" s="30"/>
      <c r="CP1045" s="30"/>
      <c r="CQ1045" s="30"/>
      <c r="CR1045" s="30"/>
      <c r="CS1045" s="30"/>
      <c r="CT1045" s="30"/>
      <c r="CU1045" s="30"/>
      <c r="CV1045" s="30"/>
      <c r="CW1045" s="30"/>
      <c r="CX1045" s="30"/>
      <c r="CY1045" s="30"/>
      <c r="CZ1045" s="30"/>
      <c r="DA1045" s="30"/>
      <c r="DB1045" s="30"/>
      <c r="DC1045" s="30"/>
      <c r="DD1045" s="30"/>
      <c r="DE1045" s="30"/>
      <c r="DF1045" s="30"/>
      <c r="DG1045" s="30"/>
      <c r="DH1045" s="30"/>
      <c r="DI1045" s="30"/>
      <c r="DJ1045" s="30"/>
      <c r="DK1045" s="30"/>
      <c r="DL1045" s="30"/>
      <c r="DM1045" s="30"/>
      <c r="DN1045" s="30"/>
      <c r="DO1045" s="30"/>
      <c r="DP1045" s="30"/>
      <c r="DQ1045" s="30"/>
      <c r="DR1045" s="30"/>
      <c r="DS1045" s="30"/>
      <c r="DT1045" s="30"/>
      <c r="DU1045" s="30"/>
      <c r="DV1045" s="30"/>
      <c r="DW1045" s="30"/>
      <c r="DX1045" s="30"/>
      <c r="DY1045" s="30"/>
      <c r="DZ1045" s="30"/>
    </row>
    <row r="1046">
      <c r="A1046" s="30"/>
      <c r="B1046" s="42"/>
      <c r="C1046" s="43"/>
      <c r="D1046" s="30"/>
      <c r="E1046" s="28"/>
      <c r="F1046" s="30"/>
      <c r="G1046" s="30"/>
      <c r="H1046" s="30"/>
      <c r="I1046" s="30"/>
      <c r="J1046" s="28"/>
      <c r="K1046" s="30"/>
      <c r="L1046" s="30"/>
      <c r="M1046" s="30"/>
      <c r="N1046" s="30"/>
      <c r="O1046" s="28"/>
      <c r="P1046" s="30"/>
      <c r="Q1046" s="30"/>
      <c r="R1046" s="30"/>
      <c r="S1046" s="36"/>
      <c r="T1046" s="30"/>
      <c r="U1046" s="36"/>
      <c r="V1046" s="30"/>
      <c r="W1046" s="28"/>
      <c r="X1046" s="30"/>
      <c r="Y1046" s="30"/>
      <c r="Z1046" s="30"/>
      <c r="AA1046" s="30"/>
      <c r="AB1046" s="30"/>
      <c r="AC1046" s="28"/>
      <c r="AD1046" s="30"/>
      <c r="AE1046" s="30"/>
      <c r="AF1046" s="30"/>
      <c r="AG1046" s="29"/>
      <c r="AH1046" s="30"/>
      <c r="AI1046" s="36"/>
      <c r="AJ1046" s="30"/>
      <c r="AK1046" s="29"/>
      <c r="AL1046" s="30"/>
      <c r="AM1046" s="30"/>
      <c r="AN1046" s="30"/>
      <c r="AO1046" s="30"/>
      <c r="AP1046" s="30"/>
      <c r="AQ1046" s="38"/>
      <c r="AR1046" s="30"/>
      <c r="AS1046" s="30"/>
      <c r="AT1046" s="29"/>
      <c r="AU1046" s="30"/>
      <c r="AV1046" s="30"/>
      <c r="AW1046" s="30"/>
      <c r="AX1046" s="29"/>
      <c r="AY1046" s="39"/>
      <c r="AZ1046" s="30"/>
      <c r="BA1046" s="30"/>
      <c r="BB1046" s="29"/>
      <c r="BC1046" s="52"/>
      <c r="BD1046" s="30"/>
      <c r="BE1046" s="29"/>
      <c r="BF1046" s="30"/>
      <c r="BG1046" s="30"/>
      <c r="BH1046" s="30"/>
      <c r="BI1046" s="30"/>
      <c r="BJ1046" s="30"/>
      <c r="BK1046" s="30"/>
      <c r="BL1046" s="30"/>
      <c r="BM1046" s="30"/>
      <c r="BN1046" s="30"/>
      <c r="BO1046" s="30"/>
      <c r="BP1046" s="30"/>
      <c r="BQ1046" s="30"/>
      <c r="BR1046" s="30"/>
      <c r="BS1046" s="30"/>
      <c r="BT1046" s="30"/>
      <c r="BU1046" s="30"/>
      <c r="BV1046" s="30"/>
      <c r="BW1046" s="30"/>
      <c r="BX1046" s="30"/>
      <c r="BY1046" s="30"/>
      <c r="BZ1046" s="30"/>
      <c r="CA1046" s="30"/>
      <c r="CB1046" s="30"/>
      <c r="CC1046" s="30"/>
      <c r="CD1046" s="30"/>
      <c r="CE1046" s="30"/>
      <c r="CF1046" s="30"/>
      <c r="CG1046" s="30"/>
      <c r="CH1046" s="30"/>
      <c r="CI1046" s="30"/>
      <c r="CJ1046" s="30"/>
      <c r="CK1046" s="30"/>
      <c r="CL1046" s="30"/>
      <c r="CM1046" s="30"/>
      <c r="CN1046" s="30"/>
      <c r="CO1046" s="30"/>
      <c r="CP1046" s="30"/>
      <c r="CQ1046" s="30"/>
      <c r="CR1046" s="30"/>
      <c r="CS1046" s="30"/>
      <c r="CT1046" s="30"/>
      <c r="CU1046" s="30"/>
      <c r="CV1046" s="30"/>
      <c r="CW1046" s="30"/>
      <c r="CX1046" s="30"/>
      <c r="CY1046" s="30"/>
      <c r="CZ1046" s="30"/>
      <c r="DA1046" s="30"/>
      <c r="DB1046" s="30"/>
      <c r="DC1046" s="30"/>
      <c r="DD1046" s="30"/>
      <c r="DE1046" s="30"/>
      <c r="DF1046" s="30"/>
      <c r="DG1046" s="30"/>
      <c r="DH1046" s="30"/>
      <c r="DI1046" s="30"/>
      <c r="DJ1046" s="30"/>
      <c r="DK1046" s="30"/>
      <c r="DL1046" s="30"/>
      <c r="DM1046" s="30"/>
      <c r="DN1046" s="30"/>
      <c r="DO1046" s="30"/>
      <c r="DP1046" s="30"/>
      <c r="DQ1046" s="30"/>
      <c r="DR1046" s="30"/>
      <c r="DS1046" s="30"/>
      <c r="DT1046" s="30"/>
      <c r="DU1046" s="30"/>
      <c r="DV1046" s="30"/>
      <c r="DW1046" s="30"/>
      <c r="DX1046" s="30"/>
      <c r="DY1046" s="30"/>
      <c r="DZ1046" s="30"/>
    </row>
    <row r="1047">
      <c r="A1047" s="30"/>
      <c r="B1047" s="42"/>
      <c r="C1047" s="43"/>
      <c r="D1047" s="30"/>
      <c r="E1047" s="28"/>
      <c r="F1047" s="30"/>
      <c r="G1047" s="30"/>
      <c r="H1047" s="30"/>
      <c r="I1047" s="30"/>
      <c r="J1047" s="28"/>
      <c r="K1047" s="30"/>
      <c r="L1047" s="30"/>
      <c r="M1047" s="30"/>
      <c r="N1047" s="30"/>
      <c r="O1047" s="28"/>
      <c r="P1047" s="30"/>
      <c r="Q1047" s="30"/>
      <c r="R1047" s="30"/>
      <c r="S1047" s="36"/>
      <c r="T1047" s="30"/>
      <c r="U1047" s="36"/>
      <c r="V1047" s="30"/>
      <c r="W1047" s="28"/>
      <c r="X1047" s="30"/>
      <c r="Y1047" s="30"/>
      <c r="Z1047" s="30"/>
      <c r="AA1047" s="30"/>
      <c r="AB1047" s="30"/>
      <c r="AC1047" s="28"/>
      <c r="AD1047" s="30"/>
      <c r="AE1047" s="30"/>
      <c r="AF1047" s="30"/>
      <c r="AG1047" s="29"/>
      <c r="AH1047" s="30"/>
      <c r="AI1047" s="36"/>
      <c r="AJ1047" s="30"/>
      <c r="AK1047" s="29"/>
      <c r="AL1047" s="30"/>
      <c r="AM1047" s="30"/>
      <c r="AN1047" s="30"/>
      <c r="AO1047" s="30"/>
      <c r="AP1047" s="30"/>
      <c r="AQ1047" s="38"/>
      <c r="AR1047" s="30"/>
      <c r="AS1047" s="30"/>
      <c r="AT1047" s="29"/>
      <c r="AU1047" s="30"/>
      <c r="AV1047" s="30"/>
      <c r="AW1047" s="30"/>
      <c r="AX1047" s="29"/>
      <c r="AY1047" s="39"/>
      <c r="AZ1047" s="30"/>
      <c r="BA1047" s="30"/>
      <c r="BB1047" s="29"/>
      <c r="BC1047" s="52"/>
      <c r="BD1047" s="30"/>
      <c r="BE1047" s="29"/>
      <c r="BF1047" s="30"/>
      <c r="BG1047" s="30"/>
      <c r="BH1047" s="30"/>
      <c r="BI1047" s="30"/>
      <c r="BJ1047" s="30"/>
      <c r="BK1047" s="30"/>
      <c r="BL1047" s="30"/>
      <c r="BM1047" s="30"/>
      <c r="BN1047" s="30"/>
      <c r="BO1047" s="30"/>
      <c r="BP1047" s="30"/>
      <c r="BQ1047" s="30"/>
      <c r="BR1047" s="30"/>
      <c r="BS1047" s="30"/>
      <c r="BT1047" s="30"/>
      <c r="BU1047" s="30"/>
      <c r="BV1047" s="30"/>
      <c r="BW1047" s="30"/>
      <c r="BX1047" s="30"/>
      <c r="BY1047" s="30"/>
      <c r="BZ1047" s="30"/>
      <c r="CA1047" s="30"/>
      <c r="CB1047" s="30"/>
      <c r="CC1047" s="30"/>
      <c r="CD1047" s="30"/>
      <c r="CE1047" s="30"/>
      <c r="CF1047" s="30"/>
      <c r="CG1047" s="30"/>
      <c r="CH1047" s="30"/>
      <c r="CI1047" s="30"/>
      <c r="CJ1047" s="30"/>
      <c r="CK1047" s="30"/>
      <c r="CL1047" s="30"/>
      <c r="CM1047" s="30"/>
      <c r="CN1047" s="30"/>
      <c r="CO1047" s="30"/>
      <c r="CP1047" s="30"/>
      <c r="CQ1047" s="30"/>
      <c r="CR1047" s="30"/>
      <c r="CS1047" s="30"/>
      <c r="CT1047" s="30"/>
      <c r="CU1047" s="30"/>
      <c r="CV1047" s="30"/>
      <c r="CW1047" s="30"/>
      <c r="CX1047" s="30"/>
      <c r="CY1047" s="30"/>
      <c r="CZ1047" s="30"/>
      <c r="DA1047" s="30"/>
      <c r="DB1047" s="30"/>
      <c r="DC1047" s="30"/>
      <c r="DD1047" s="30"/>
      <c r="DE1047" s="30"/>
      <c r="DF1047" s="30"/>
      <c r="DG1047" s="30"/>
      <c r="DH1047" s="30"/>
      <c r="DI1047" s="30"/>
      <c r="DJ1047" s="30"/>
      <c r="DK1047" s="30"/>
      <c r="DL1047" s="30"/>
      <c r="DM1047" s="30"/>
      <c r="DN1047" s="30"/>
      <c r="DO1047" s="30"/>
      <c r="DP1047" s="30"/>
      <c r="DQ1047" s="30"/>
      <c r="DR1047" s="30"/>
      <c r="DS1047" s="30"/>
      <c r="DT1047" s="30"/>
      <c r="DU1047" s="30"/>
      <c r="DV1047" s="30"/>
      <c r="DW1047" s="30"/>
      <c r="DX1047" s="30"/>
      <c r="DY1047" s="30"/>
      <c r="DZ1047" s="30"/>
    </row>
    <row r="1048">
      <c r="A1048" s="30"/>
      <c r="B1048" s="42"/>
      <c r="C1048" s="43"/>
      <c r="D1048" s="30"/>
      <c r="E1048" s="28"/>
      <c r="F1048" s="30"/>
      <c r="G1048" s="30"/>
      <c r="H1048" s="30"/>
      <c r="I1048" s="30"/>
      <c r="J1048" s="28"/>
      <c r="K1048" s="30"/>
      <c r="L1048" s="30"/>
      <c r="M1048" s="30"/>
      <c r="N1048" s="30"/>
      <c r="O1048" s="28"/>
      <c r="P1048" s="30"/>
      <c r="Q1048" s="30"/>
      <c r="R1048" s="30"/>
      <c r="S1048" s="36"/>
      <c r="T1048" s="30"/>
      <c r="U1048" s="36"/>
      <c r="V1048" s="30"/>
      <c r="W1048" s="28"/>
      <c r="X1048" s="30"/>
      <c r="Y1048" s="30"/>
      <c r="Z1048" s="30"/>
      <c r="AA1048" s="30"/>
      <c r="AB1048" s="30"/>
      <c r="AC1048" s="28"/>
      <c r="AD1048" s="30"/>
      <c r="AE1048" s="30"/>
      <c r="AF1048" s="30"/>
      <c r="AG1048" s="29"/>
      <c r="AH1048" s="30"/>
      <c r="AI1048" s="36"/>
      <c r="AJ1048" s="30"/>
      <c r="AK1048" s="29"/>
      <c r="AL1048" s="30"/>
      <c r="AM1048" s="30"/>
      <c r="AN1048" s="30"/>
      <c r="AO1048" s="30"/>
      <c r="AP1048" s="30"/>
      <c r="AQ1048" s="38"/>
      <c r="AR1048" s="30"/>
      <c r="AS1048" s="30"/>
      <c r="AT1048" s="29"/>
      <c r="AU1048" s="30"/>
      <c r="AV1048" s="30"/>
      <c r="AW1048" s="30"/>
      <c r="AX1048" s="29"/>
      <c r="AY1048" s="39"/>
      <c r="AZ1048" s="30"/>
      <c r="BA1048" s="30"/>
      <c r="BB1048" s="29"/>
      <c r="BC1048" s="52"/>
      <c r="BD1048" s="30"/>
      <c r="BE1048" s="29"/>
      <c r="BF1048" s="30"/>
      <c r="BG1048" s="30"/>
      <c r="BH1048" s="30"/>
      <c r="BI1048" s="30"/>
      <c r="BJ1048" s="30"/>
      <c r="BK1048" s="30"/>
      <c r="BL1048" s="30"/>
      <c r="BM1048" s="30"/>
      <c r="BN1048" s="30"/>
      <c r="BO1048" s="30"/>
      <c r="BP1048" s="30"/>
      <c r="BQ1048" s="30"/>
      <c r="BR1048" s="30"/>
      <c r="BS1048" s="30"/>
      <c r="BT1048" s="30"/>
      <c r="BU1048" s="30"/>
      <c r="BV1048" s="30"/>
      <c r="BW1048" s="30"/>
      <c r="BX1048" s="30"/>
      <c r="BY1048" s="30"/>
      <c r="BZ1048" s="30"/>
      <c r="CA1048" s="30"/>
      <c r="CB1048" s="30"/>
      <c r="CC1048" s="30"/>
      <c r="CD1048" s="30"/>
      <c r="CE1048" s="30"/>
      <c r="CF1048" s="30"/>
      <c r="CG1048" s="30"/>
      <c r="CH1048" s="30"/>
      <c r="CI1048" s="30"/>
      <c r="CJ1048" s="30"/>
      <c r="CK1048" s="30"/>
      <c r="CL1048" s="30"/>
      <c r="CM1048" s="30"/>
      <c r="CN1048" s="30"/>
      <c r="CO1048" s="30"/>
      <c r="CP1048" s="30"/>
      <c r="CQ1048" s="30"/>
      <c r="CR1048" s="30"/>
      <c r="CS1048" s="30"/>
      <c r="CT1048" s="30"/>
      <c r="CU1048" s="30"/>
      <c r="CV1048" s="30"/>
      <c r="CW1048" s="30"/>
      <c r="CX1048" s="30"/>
      <c r="CY1048" s="30"/>
      <c r="CZ1048" s="30"/>
      <c r="DA1048" s="30"/>
      <c r="DB1048" s="30"/>
      <c r="DC1048" s="30"/>
      <c r="DD1048" s="30"/>
      <c r="DE1048" s="30"/>
      <c r="DF1048" s="30"/>
      <c r="DG1048" s="30"/>
      <c r="DH1048" s="30"/>
      <c r="DI1048" s="30"/>
      <c r="DJ1048" s="30"/>
      <c r="DK1048" s="30"/>
      <c r="DL1048" s="30"/>
      <c r="DM1048" s="30"/>
      <c r="DN1048" s="30"/>
      <c r="DO1048" s="30"/>
      <c r="DP1048" s="30"/>
      <c r="DQ1048" s="30"/>
      <c r="DR1048" s="30"/>
      <c r="DS1048" s="30"/>
      <c r="DT1048" s="30"/>
      <c r="DU1048" s="30"/>
      <c r="DV1048" s="30"/>
      <c r="DW1048" s="30"/>
      <c r="DX1048" s="30"/>
      <c r="DY1048" s="30"/>
      <c r="DZ1048" s="30"/>
    </row>
    <row r="1049">
      <c r="A1049" s="30"/>
      <c r="B1049" s="42"/>
      <c r="C1049" s="43"/>
      <c r="D1049" s="30"/>
      <c r="E1049" s="28"/>
      <c r="F1049" s="30"/>
      <c r="G1049" s="30"/>
      <c r="H1049" s="30"/>
      <c r="I1049" s="30"/>
      <c r="J1049" s="28"/>
      <c r="K1049" s="30"/>
      <c r="L1049" s="30"/>
      <c r="M1049" s="30"/>
      <c r="N1049" s="30"/>
      <c r="O1049" s="28"/>
      <c r="P1049" s="30"/>
      <c r="Q1049" s="30"/>
      <c r="R1049" s="30"/>
      <c r="S1049" s="36"/>
      <c r="T1049" s="30"/>
      <c r="U1049" s="36"/>
      <c r="V1049" s="30"/>
      <c r="W1049" s="28"/>
      <c r="X1049" s="30"/>
      <c r="Y1049" s="30"/>
      <c r="Z1049" s="30"/>
      <c r="AA1049" s="30"/>
      <c r="AB1049" s="30"/>
      <c r="AC1049" s="28"/>
      <c r="AD1049" s="30"/>
      <c r="AE1049" s="30"/>
      <c r="AF1049" s="30"/>
      <c r="AG1049" s="29"/>
      <c r="AH1049" s="30"/>
      <c r="AI1049" s="36"/>
      <c r="AJ1049" s="30"/>
      <c r="AK1049" s="29"/>
      <c r="AL1049" s="30"/>
      <c r="AM1049" s="30"/>
      <c r="AN1049" s="30"/>
      <c r="AO1049" s="30"/>
      <c r="AP1049" s="30"/>
      <c r="AQ1049" s="38"/>
      <c r="AR1049" s="30"/>
      <c r="AS1049" s="30"/>
      <c r="AT1049" s="29"/>
      <c r="AU1049" s="30"/>
      <c r="AV1049" s="30"/>
      <c r="AW1049" s="30"/>
      <c r="AX1049" s="29"/>
      <c r="AY1049" s="39"/>
      <c r="AZ1049" s="30"/>
      <c r="BA1049" s="30"/>
      <c r="BB1049" s="29"/>
      <c r="BC1049" s="52"/>
      <c r="BD1049" s="30"/>
      <c r="BE1049" s="29"/>
      <c r="BF1049" s="30"/>
      <c r="BG1049" s="30"/>
      <c r="BH1049" s="30"/>
      <c r="BI1049" s="30"/>
      <c r="BJ1049" s="30"/>
      <c r="BK1049" s="30"/>
      <c r="BL1049" s="30"/>
      <c r="BM1049" s="30"/>
      <c r="BN1049" s="30"/>
      <c r="BO1049" s="30"/>
      <c r="BP1049" s="30"/>
      <c r="BQ1049" s="30"/>
      <c r="BR1049" s="30"/>
      <c r="BS1049" s="30"/>
      <c r="BT1049" s="30"/>
      <c r="BU1049" s="30"/>
      <c r="BV1049" s="30"/>
      <c r="BW1049" s="30"/>
      <c r="BX1049" s="30"/>
      <c r="BY1049" s="30"/>
      <c r="BZ1049" s="30"/>
      <c r="CA1049" s="30"/>
      <c r="CB1049" s="30"/>
      <c r="CC1049" s="30"/>
      <c r="CD1049" s="30"/>
      <c r="CE1049" s="30"/>
      <c r="CF1049" s="30"/>
      <c r="CG1049" s="30"/>
      <c r="CH1049" s="30"/>
      <c r="CI1049" s="30"/>
      <c r="CJ1049" s="30"/>
      <c r="CK1049" s="30"/>
      <c r="CL1049" s="30"/>
      <c r="CM1049" s="30"/>
      <c r="CN1049" s="30"/>
      <c r="CO1049" s="30"/>
      <c r="CP1049" s="30"/>
      <c r="CQ1049" s="30"/>
      <c r="CR1049" s="30"/>
      <c r="CS1049" s="30"/>
      <c r="CT1049" s="30"/>
      <c r="CU1049" s="30"/>
      <c r="CV1049" s="30"/>
      <c r="CW1049" s="30"/>
      <c r="CX1049" s="30"/>
      <c r="CY1049" s="30"/>
      <c r="CZ1049" s="30"/>
      <c r="DA1049" s="30"/>
      <c r="DB1049" s="30"/>
      <c r="DC1049" s="30"/>
      <c r="DD1049" s="30"/>
      <c r="DE1049" s="30"/>
      <c r="DF1049" s="30"/>
      <c r="DG1049" s="30"/>
      <c r="DH1049" s="30"/>
      <c r="DI1049" s="30"/>
      <c r="DJ1049" s="30"/>
      <c r="DK1049" s="30"/>
      <c r="DL1049" s="30"/>
      <c r="DM1049" s="30"/>
      <c r="DN1049" s="30"/>
      <c r="DO1049" s="30"/>
      <c r="DP1049" s="30"/>
      <c r="DQ1049" s="30"/>
      <c r="DR1049" s="30"/>
      <c r="DS1049" s="30"/>
      <c r="DT1049" s="30"/>
      <c r="DU1049" s="30"/>
      <c r="DV1049" s="30"/>
      <c r="DW1049" s="30"/>
      <c r="DX1049" s="30"/>
      <c r="DY1049" s="30"/>
      <c r="DZ1049" s="30"/>
    </row>
    <row r="1050">
      <c r="A1050" s="30"/>
      <c r="B1050" s="42"/>
      <c r="C1050" s="43"/>
      <c r="D1050" s="30"/>
      <c r="E1050" s="28"/>
      <c r="F1050" s="30"/>
      <c r="G1050" s="30"/>
      <c r="H1050" s="30"/>
      <c r="I1050" s="30"/>
      <c r="J1050" s="28"/>
      <c r="K1050" s="30"/>
      <c r="L1050" s="30"/>
      <c r="M1050" s="30"/>
      <c r="N1050" s="30"/>
      <c r="O1050" s="28"/>
      <c r="P1050" s="30"/>
      <c r="Q1050" s="30"/>
      <c r="R1050" s="30"/>
      <c r="S1050" s="36"/>
      <c r="T1050" s="30"/>
      <c r="U1050" s="36"/>
      <c r="V1050" s="30"/>
      <c r="W1050" s="28"/>
      <c r="X1050" s="30"/>
      <c r="Y1050" s="30"/>
      <c r="Z1050" s="30"/>
      <c r="AA1050" s="30"/>
      <c r="AB1050" s="30"/>
      <c r="AC1050" s="28"/>
      <c r="AD1050" s="30"/>
      <c r="AE1050" s="30"/>
      <c r="AF1050" s="30"/>
      <c r="AG1050" s="29"/>
      <c r="AH1050" s="30"/>
      <c r="AI1050" s="36"/>
      <c r="AJ1050" s="30"/>
      <c r="AK1050" s="29"/>
      <c r="AL1050" s="30"/>
      <c r="AM1050" s="30"/>
      <c r="AN1050" s="30"/>
      <c r="AO1050" s="30"/>
      <c r="AP1050" s="30"/>
      <c r="AQ1050" s="38"/>
      <c r="AR1050" s="30"/>
      <c r="AS1050" s="30"/>
      <c r="AT1050" s="29"/>
      <c r="AU1050" s="30"/>
      <c r="AV1050" s="30"/>
      <c r="AW1050" s="30"/>
      <c r="AX1050" s="29"/>
      <c r="AY1050" s="39"/>
      <c r="AZ1050" s="30"/>
      <c r="BA1050" s="30"/>
      <c r="BB1050" s="29"/>
      <c r="BC1050" s="52"/>
      <c r="BD1050" s="30"/>
      <c r="BE1050" s="29"/>
      <c r="BF1050" s="30"/>
      <c r="BG1050" s="30"/>
      <c r="BH1050" s="30"/>
      <c r="BI1050" s="30"/>
      <c r="BJ1050" s="30"/>
      <c r="BK1050" s="30"/>
      <c r="BL1050" s="30"/>
      <c r="BM1050" s="30"/>
      <c r="BN1050" s="30"/>
      <c r="BO1050" s="30"/>
      <c r="BP1050" s="30"/>
      <c r="BQ1050" s="30"/>
      <c r="BR1050" s="30"/>
      <c r="BS1050" s="30"/>
      <c r="BT1050" s="30"/>
      <c r="BU1050" s="30"/>
      <c r="BV1050" s="30"/>
      <c r="BW1050" s="30"/>
      <c r="BX1050" s="30"/>
      <c r="BY1050" s="30"/>
      <c r="BZ1050" s="30"/>
      <c r="CA1050" s="30"/>
      <c r="CB1050" s="30"/>
      <c r="CC1050" s="30"/>
      <c r="CD1050" s="30"/>
      <c r="CE1050" s="30"/>
      <c r="CF1050" s="30"/>
      <c r="CG1050" s="30"/>
      <c r="CH1050" s="30"/>
      <c r="CI1050" s="30"/>
      <c r="CJ1050" s="30"/>
      <c r="CK1050" s="30"/>
      <c r="CL1050" s="30"/>
      <c r="CM1050" s="30"/>
      <c r="CN1050" s="30"/>
      <c r="CO1050" s="30"/>
      <c r="CP1050" s="30"/>
      <c r="CQ1050" s="30"/>
      <c r="CR1050" s="30"/>
      <c r="CS1050" s="30"/>
      <c r="CT1050" s="30"/>
      <c r="CU1050" s="30"/>
      <c r="CV1050" s="30"/>
      <c r="CW1050" s="30"/>
      <c r="CX1050" s="30"/>
      <c r="CY1050" s="30"/>
      <c r="CZ1050" s="30"/>
      <c r="DA1050" s="30"/>
      <c r="DB1050" s="30"/>
      <c r="DC1050" s="30"/>
      <c r="DD1050" s="30"/>
      <c r="DE1050" s="30"/>
      <c r="DF1050" s="30"/>
      <c r="DG1050" s="30"/>
      <c r="DH1050" s="30"/>
      <c r="DI1050" s="30"/>
      <c r="DJ1050" s="30"/>
      <c r="DK1050" s="30"/>
      <c r="DL1050" s="30"/>
      <c r="DM1050" s="30"/>
      <c r="DN1050" s="30"/>
      <c r="DO1050" s="30"/>
      <c r="DP1050" s="30"/>
      <c r="DQ1050" s="30"/>
      <c r="DR1050" s="30"/>
      <c r="DS1050" s="30"/>
      <c r="DT1050" s="30"/>
      <c r="DU1050" s="30"/>
      <c r="DV1050" s="30"/>
      <c r="DW1050" s="30"/>
      <c r="DX1050" s="30"/>
      <c r="DY1050" s="30"/>
      <c r="DZ1050" s="30"/>
    </row>
    <row r="1051">
      <c r="A1051" s="30"/>
      <c r="B1051" s="42"/>
      <c r="C1051" s="43"/>
      <c r="D1051" s="30"/>
      <c r="E1051" s="28"/>
      <c r="F1051" s="30"/>
      <c r="G1051" s="30"/>
      <c r="H1051" s="30"/>
      <c r="I1051" s="30"/>
      <c r="J1051" s="28"/>
      <c r="K1051" s="30"/>
      <c r="L1051" s="30"/>
      <c r="M1051" s="30"/>
      <c r="N1051" s="30"/>
      <c r="O1051" s="28"/>
      <c r="P1051" s="30"/>
      <c r="Q1051" s="30"/>
      <c r="R1051" s="30"/>
      <c r="S1051" s="36"/>
      <c r="T1051" s="30"/>
      <c r="U1051" s="36"/>
      <c r="V1051" s="30"/>
      <c r="W1051" s="28"/>
      <c r="X1051" s="30"/>
      <c r="Y1051" s="30"/>
      <c r="Z1051" s="30"/>
      <c r="AA1051" s="30"/>
      <c r="AB1051" s="30"/>
      <c r="AC1051" s="28"/>
      <c r="AD1051" s="30"/>
      <c r="AE1051" s="30"/>
      <c r="AF1051" s="30"/>
      <c r="AG1051" s="29"/>
      <c r="AH1051" s="30"/>
      <c r="AI1051" s="36"/>
      <c r="AJ1051" s="30"/>
      <c r="AK1051" s="29"/>
      <c r="AL1051" s="30"/>
      <c r="AM1051" s="30"/>
      <c r="AN1051" s="30"/>
      <c r="AO1051" s="30"/>
      <c r="AP1051" s="30"/>
      <c r="AQ1051" s="38"/>
      <c r="AR1051" s="30"/>
      <c r="AS1051" s="30"/>
      <c r="AT1051" s="29"/>
      <c r="AU1051" s="30"/>
      <c r="AV1051" s="30"/>
      <c r="AW1051" s="30"/>
      <c r="AX1051" s="29"/>
      <c r="AY1051" s="39"/>
      <c r="AZ1051" s="30"/>
      <c r="BA1051" s="30"/>
      <c r="BB1051" s="29"/>
      <c r="BC1051" s="52"/>
      <c r="BD1051" s="30"/>
      <c r="BE1051" s="29"/>
      <c r="BF1051" s="30"/>
      <c r="BG1051" s="30"/>
      <c r="BH1051" s="30"/>
      <c r="BI1051" s="30"/>
      <c r="BJ1051" s="30"/>
      <c r="BK1051" s="30"/>
      <c r="BL1051" s="30"/>
      <c r="BM1051" s="30"/>
      <c r="BN1051" s="30"/>
      <c r="BO1051" s="30"/>
      <c r="BP1051" s="30"/>
      <c r="BQ1051" s="30"/>
      <c r="BR1051" s="30"/>
      <c r="BS1051" s="30"/>
      <c r="BT1051" s="30"/>
      <c r="BU1051" s="30"/>
      <c r="BV1051" s="30"/>
      <c r="BW1051" s="30"/>
      <c r="BX1051" s="30"/>
      <c r="BY1051" s="30"/>
      <c r="BZ1051" s="30"/>
      <c r="CA1051" s="30"/>
      <c r="CB1051" s="30"/>
      <c r="CC1051" s="30"/>
      <c r="CD1051" s="30"/>
      <c r="CE1051" s="30"/>
      <c r="CF1051" s="30"/>
      <c r="CG1051" s="30"/>
      <c r="CH1051" s="30"/>
      <c r="CI1051" s="30"/>
      <c r="CJ1051" s="30"/>
      <c r="CK1051" s="30"/>
      <c r="CL1051" s="30"/>
      <c r="CM1051" s="30"/>
      <c r="CN1051" s="30"/>
      <c r="CO1051" s="30"/>
      <c r="CP1051" s="30"/>
      <c r="CQ1051" s="30"/>
      <c r="CR1051" s="30"/>
      <c r="CS1051" s="30"/>
      <c r="CT1051" s="30"/>
      <c r="CU1051" s="30"/>
      <c r="CV1051" s="30"/>
      <c r="CW1051" s="30"/>
      <c r="CX1051" s="30"/>
      <c r="CY1051" s="30"/>
      <c r="CZ1051" s="30"/>
      <c r="DA1051" s="30"/>
      <c r="DB1051" s="30"/>
      <c r="DC1051" s="30"/>
      <c r="DD1051" s="30"/>
      <c r="DE1051" s="30"/>
      <c r="DF1051" s="30"/>
      <c r="DG1051" s="30"/>
      <c r="DH1051" s="30"/>
      <c r="DI1051" s="30"/>
      <c r="DJ1051" s="30"/>
      <c r="DK1051" s="30"/>
      <c r="DL1051" s="30"/>
      <c r="DM1051" s="30"/>
      <c r="DN1051" s="30"/>
      <c r="DO1051" s="30"/>
      <c r="DP1051" s="30"/>
      <c r="DQ1051" s="30"/>
      <c r="DR1051" s="30"/>
      <c r="DS1051" s="30"/>
      <c r="DT1051" s="30"/>
      <c r="DU1051" s="30"/>
      <c r="DV1051" s="30"/>
      <c r="DW1051" s="30"/>
      <c r="DX1051" s="30"/>
      <c r="DY1051" s="30"/>
      <c r="DZ1051" s="30"/>
    </row>
    <row r="1052">
      <c r="A1052" s="30"/>
      <c r="B1052" s="42"/>
      <c r="C1052" s="43"/>
      <c r="D1052" s="30"/>
      <c r="E1052" s="28"/>
      <c r="F1052" s="30"/>
      <c r="G1052" s="30"/>
      <c r="H1052" s="30"/>
      <c r="I1052" s="30"/>
      <c r="J1052" s="28"/>
      <c r="K1052" s="30"/>
      <c r="L1052" s="30"/>
      <c r="M1052" s="30"/>
      <c r="N1052" s="30"/>
      <c r="O1052" s="28"/>
      <c r="P1052" s="30"/>
      <c r="Q1052" s="30"/>
      <c r="R1052" s="30"/>
      <c r="S1052" s="36"/>
      <c r="T1052" s="30"/>
      <c r="U1052" s="36"/>
      <c r="V1052" s="30"/>
      <c r="W1052" s="28"/>
      <c r="X1052" s="30"/>
      <c r="Y1052" s="30"/>
      <c r="Z1052" s="30"/>
      <c r="AA1052" s="30"/>
      <c r="AB1052" s="30"/>
      <c r="AC1052" s="28"/>
      <c r="AD1052" s="30"/>
      <c r="AE1052" s="30"/>
      <c r="AF1052" s="30"/>
      <c r="AG1052" s="29"/>
      <c r="AH1052" s="30"/>
      <c r="AI1052" s="36"/>
      <c r="AJ1052" s="30"/>
      <c r="AK1052" s="29"/>
      <c r="AL1052" s="30"/>
      <c r="AM1052" s="30"/>
      <c r="AN1052" s="30"/>
      <c r="AO1052" s="30"/>
      <c r="AP1052" s="30"/>
      <c r="AQ1052" s="38"/>
      <c r="AR1052" s="30"/>
      <c r="AS1052" s="30"/>
      <c r="AT1052" s="29"/>
      <c r="AU1052" s="30"/>
      <c r="AV1052" s="30"/>
      <c r="AW1052" s="30"/>
      <c r="AX1052" s="29"/>
      <c r="AY1052" s="39"/>
      <c r="AZ1052" s="30"/>
      <c r="BA1052" s="30"/>
      <c r="BB1052" s="29"/>
      <c r="BC1052" s="52"/>
      <c r="BD1052" s="30"/>
      <c r="BE1052" s="29"/>
      <c r="BF1052" s="30"/>
      <c r="BG1052" s="30"/>
      <c r="BH1052" s="30"/>
      <c r="BI1052" s="30"/>
      <c r="BJ1052" s="30"/>
      <c r="BK1052" s="30"/>
      <c r="BL1052" s="30"/>
      <c r="BM1052" s="30"/>
      <c r="BN1052" s="30"/>
      <c r="BO1052" s="30"/>
      <c r="BP1052" s="30"/>
      <c r="BQ1052" s="30"/>
      <c r="BR1052" s="30"/>
      <c r="BS1052" s="30"/>
      <c r="BT1052" s="30"/>
      <c r="BU1052" s="30"/>
      <c r="BV1052" s="30"/>
      <c r="BW1052" s="30"/>
      <c r="BX1052" s="30"/>
      <c r="BY1052" s="30"/>
      <c r="BZ1052" s="30"/>
      <c r="CA1052" s="30"/>
      <c r="CB1052" s="30"/>
      <c r="CC1052" s="30"/>
      <c r="CD1052" s="30"/>
      <c r="CE1052" s="30"/>
      <c r="CF1052" s="30"/>
      <c r="CG1052" s="30"/>
      <c r="CH1052" s="30"/>
      <c r="CI1052" s="30"/>
      <c r="CJ1052" s="30"/>
      <c r="CK1052" s="30"/>
      <c r="CL1052" s="30"/>
      <c r="CM1052" s="30"/>
      <c r="CN1052" s="30"/>
      <c r="CO1052" s="30"/>
      <c r="CP1052" s="30"/>
      <c r="CQ1052" s="30"/>
      <c r="CR1052" s="30"/>
      <c r="CS1052" s="30"/>
      <c r="CT1052" s="30"/>
      <c r="CU1052" s="30"/>
      <c r="CV1052" s="30"/>
      <c r="CW1052" s="30"/>
      <c r="CX1052" s="30"/>
      <c r="CY1052" s="30"/>
      <c r="CZ1052" s="30"/>
      <c r="DA1052" s="30"/>
      <c r="DB1052" s="30"/>
      <c r="DC1052" s="30"/>
      <c r="DD1052" s="30"/>
      <c r="DE1052" s="30"/>
      <c r="DF1052" s="30"/>
      <c r="DG1052" s="30"/>
      <c r="DH1052" s="30"/>
      <c r="DI1052" s="30"/>
      <c r="DJ1052" s="30"/>
      <c r="DK1052" s="30"/>
      <c r="DL1052" s="30"/>
      <c r="DM1052" s="30"/>
      <c r="DN1052" s="30"/>
      <c r="DO1052" s="30"/>
      <c r="DP1052" s="30"/>
      <c r="DQ1052" s="30"/>
      <c r="DR1052" s="30"/>
      <c r="DS1052" s="30"/>
      <c r="DT1052" s="30"/>
      <c r="DU1052" s="30"/>
      <c r="DV1052" s="30"/>
      <c r="DW1052" s="30"/>
      <c r="DX1052" s="30"/>
      <c r="DY1052" s="30"/>
      <c r="DZ1052" s="30"/>
    </row>
    <row r="1053">
      <c r="A1053" s="30"/>
      <c r="B1053" s="42"/>
      <c r="C1053" s="43"/>
      <c r="D1053" s="30"/>
      <c r="E1053" s="28"/>
      <c r="F1053" s="30"/>
      <c r="G1053" s="30"/>
      <c r="H1053" s="30"/>
      <c r="I1053" s="30"/>
      <c r="J1053" s="28"/>
      <c r="K1053" s="30"/>
      <c r="L1053" s="30"/>
      <c r="M1053" s="30"/>
      <c r="N1053" s="30"/>
      <c r="O1053" s="28"/>
      <c r="P1053" s="30"/>
      <c r="Q1053" s="30"/>
      <c r="R1053" s="30"/>
      <c r="S1053" s="36"/>
      <c r="T1053" s="30"/>
      <c r="U1053" s="36"/>
      <c r="V1053" s="30"/>
      <c r="W1053" s="28"/>
      <c r="X1053" s="30"/>
      <c r="Y1053" s="30"/>
      <c r="Z1053" s="30"/>
      <c r="AA1053" s="30"/>
      <c r="AB1053" s="30"/>
      <c r="AC1053" s="28"/>
      <c r="AD1053" s="30"/>
      <c r="AE1053" s="30"/>
      <c r="AF1053" s="30"/>
      <c r="AG1053" s="29"/>
      <c r="AH1053" s="30"/>
      <c r="AI1053" s="36"/>
      <c r="AJ1053" s="30"/>
      <c r="AK1053" s="29"/>
      <c r="AL1053" s="30"/>
      <c r="AM1053" s="30"/>
      <c r="AN1053" s="30"/>
      <c r="AO1053" s="30"/>
      <c r="AP1053" s="30"/>
      <c r="AQ1053" s="38"/>
      <c r="AR1053" s="30"/>
      <c r="AS1053" s="30"/>
      <c r="AT1053" s="29"/>
      <c r="AU1053" s="30"/>
      <c r="AV1053" s="30"/>
      <c r="AW1053" s="30"/>
      <c r="AX1053" s="29"/>
      <c r="AY1053" s="39"/>
      <c r="AZ1053" s="30"/>
      <c r="BA1053" s="30"/>
      <c r="BB1053" s="29"/>
      <c r="BC1053" s="52"/>
      <c r="BD1053" s="30"/>
      <c r="BE1053" s="29"/>
      <c r="BF1053" s="30"/>
      <c r="BG1053" s="30"/>
      <c r="BH1053" s="30"/>
      <c r="BI1053" s="30"/>
      <c r="BJ1053" s="30"/>
      <c r="BK1053" s="30"/>
      <c r="BL1053" s="30"/>
      <c r="BM1053" s="30"/>
      <c r="BN1053" s="30"/>
      <c r="BO1053" s="30"/>
      <c r="BP1053" s="30"/>
      <c r="BQ1053" s="30"/>
      <c r="BR1053" s="30"/>
      <c r="BS1053" s="30"/>
      <c r="BT1053" s="30"/>
      <c r="BU1053" s="30"/>
      <c r="BV1053" s="30"/>
      <c r="BW1053" s="30"/>
      <c r="BX1053" s="30"/>
      <c r="BY1053" s="30"/>
      <c r="BZ1053" s="30"/>
      <c r="CA1053" s="30"/>
      <c r="CB1053" s="30"/>
      <c r="CC1053" s="30"/>
      <c r="CD1053" s="30"/>
      <c r="CE1053" s="30"/>
      <c r="CF1053" s="30"/>
      <c r="CG1053" s="30"/>
      <c r="CH1053" s="30"/>
      <c r="CI1053" s="30"/>
      <c r="CJ1053" s="30"/>
      <c r="CK1053" s="30"/>
      <c r="CL1053" s="30"/>
      <c r="CM1053" s="30"/>
      <c r="CN1053" s="30"/>
      <c r="CO1053" s="30"/>
      <c r="CP1053" s="30"/>
      <c r="CQ1053" s="30"/>
      <c r="CR1053" s="30"/>
      <c r="CS1053" s="30"/>
      <c r="CT1053" s="30"/>
      <c r="CU1053" s="30"/>
      <c r="CV1053" s="30"/>
      <c r="CW1053" s="30"/>
      <c r="CX1053" s="30"/>
      <c r="CY1053" s="30"/>
      <c r="CZ1053" s="30"/>
      <c r="DA1053" s="30"/>
      <c r="DB1053" s="30"/>
      <c r="DC1053" s="30"/>
      <c r="DD1053" s="30"/>
      <c r="DE1053" s="30"/>
      <c r="DF1053" s="30"/>
      <c r="DG1053" s="30"/>
      <c r="DH1053" s="30"/>
      <c r="DI1053" s="30"/>
      <c r="DJ1053" s="30"/>
      <c r="DK1053" s="30"/>
      <c r="DL1053" s="30"/>
      <c r="DM1053" s="30"/>
      <c r="DN1053" s="30"/>
      <c r="DO1053" s="30"/>
      <c r="DP1053" s="30"/>
      <c r="DQ1053" s="30"/>
      <c r="DR1053" s="30"/>
      <c r="DS1053" s="30"/>
      <c r="DT1053" s="30"/>
      <c r="DU1053" s="30"/>
      <c r="DV1053" s="30"/>
      <c r="DW1053" s="30"/>
      <c r="DX1053" s="30"/>
      <c r="DY1053" s="30"/>
      <c r="DZ1053" s="30"/>
    </row>
    <row r="1054">
      <c r="A1054" s="30"/>
      <c r="B1054" s="42"/>
      <c r="C1054" s="43"/>
      <c r="D1054" s="30"/>
      <c r="E1054" s="28"/>
      <c r="F1054" s="30"/>
      <c r="G1054" s="30"/>
      <c r="H1054" s="30"/>
      <c r="I1054" s="30"/>
      <c r="J1054" s="28"/>
      <c r="K1054" s="30"/>
      <c r="L1054" s="30"/>
      <c r="M1054" s="30"/>
      <c r="N1054" s="30"/>
      <c r="O1054" s="28"/>
      <c r="P1054" s="30"/>
      <c r="Q1054" s="30"/>
      <c r="R1054" s="30"/>
      <c r="S1054" s="36"/>
      <c r="T1054" s="30"/>
      <c r="U1054" s="36"/>
      <c r="V1054" s="30"/>
      <c r="W1054" s="28"/>
      <c r="X1054" s="30"/>
      <c r="Y1054" s="30"/>
      <c r="Z1054" s="30"/>
      <c r="AA1054" s="30"/>
      <c r="AB1054" s="30"/>
      <c r="AC1054" s="28"/>
      <c r="AD1054" s="30"/>
      <c r="AE1054" s="30"/>
      <c r="AF1054" s="30"/>
      <c r="AG1054" s="29"/>
      <c r="AH1054" s="30"/>
      <c r="AI1054" s="36"/>
      <c r="AJ1054" s="30"/>
      <c r="AK1054" s="29"/>
      <c r="AL1054" s="30"/>
      <c r="AM1054" s="30"/>
      <c r="AN1054" s="30"/>
      <c r="AO1054" s="30"/>
      <c r="AP1054" s="30"/>
      <c r="AQ1054" s="38"/>
      <c r="AR1054" s="30"/>
      <c r="AS1054" s="30"/>
      <c r="AT1054" s="29"/>
      <c r="AU1054" s="30"/>
      <c r="AV1054" s="30"/>
      <c r="AW1054" s="30"/>
      <c r="AX1054" s="29"/>
      <c r="AY1054" s="39"/>
      <c r="AZ1054" s="30"/>
      <c r="BA1054" s="30"/>
      <c r="BB1054" s="29"/>
      <c r="BC1054" s="52"/>
      <c r="BD1054" s="30"/>
      <c r="BE1054" s="29"/>
      <c r="BF1054" s="30"/>
      <c r="BG1054" s="30"/>
      <c r="BH1054" s="30"/>
      <c r="BI1054" s="30"/>
      <c r="BJ1054" s="30"/>
      <c r="BK1054" s="30"/>
      <c r="BL1054" s="30"/>
      <c r="BM1054" s="30"/>
      <c r="BN1054" s="30"/>
      <c r="BO1054" s="30"/>
      <c r="BP1054" s="30"/>
      <c r="BQ1054" s="30"/>
      <c r="BR1054" s="30"/>
      <c r="BS1054" s="30"/>
      <c r="BT1054" s="30"/>
      <c r="BU1054" s="30"/>
      <c r="BV1054" s="30"/>
      <c r="BW1054" s="30"/>
      <c r="BX1054" s="30"/>
      <c r="BY1054" s="30"/>
      <c r="BZ1054" s="30"/>
      <c r="CA1054" s="30"/>
      <c r="CB1054" s="30"/>
      <c r="CC1054" s="30"/>
      <c r="CD1054" s="30"/>
      <c r="CE1054" s="30"/>
      <c r="CF1054" s="30"/>
      <c r="CG1054" s="30"/>
      <c r="CH1054" s="30"/>
      <c r="CI1054" s="30"/>
      <c r="CJ1054" s="30"/>
      <c r="CK1054" s="30"/>
      <c r="CL1054" s="30"/>
      <c r="CM1054" s="30"/>
      <c r="CN1054" s="30"/>
      <c r="CO1054" s="30"/>
      <c r="CP1054" s="30"/>
      <c r="CQ1054" s="30"/>
      <c r="CR1054" s="30"/>
      <c r="CS1054" s="30"/>
      <c r="CT1054" s="30"/>
      <c r="CU1054" s="30"/>
      <c r="CV1054" s="30"/>
      <c r="CW1054" s="30"/>
      <c r="CX1054" s="30"/>
      <c r="CY1054" s="30"/>
      <c r="CZ1054" s="30"/>
      <c r="DA1054" s="30"/>
      <c r="DB1054" s="30"/>
      <c r="DC1054" s="30"/>
      <c r="DD1054" s="30"/>
      <c r="DE1054" s="30"/>
      <c r="DF1054" s="30"/>
      <c r="DG1054" s="30"/>
      <c r="DH1054" s="30"/>
      <c r="DI1054" s="30"/>
      <c r="DJ1054" s="30"/>
      <c r="DK1054" s="30"/>
      <c r="DL1054" s="30"/>
      <c r="DM1054" s="30"/>
      <c r="DN1054" s="30"/>
      <c r="DO1054" s="30"/>
      <c r="DP1054" s="30"/>
      <c r="DQ1054" s="30"/>
      <c r="DR1054" s="30"/>
      <c r="DS1054" s="30"/>
      <c r="DT1054" s="30"/>
      <c r="DU1054" s="30"/>
      <c r="DV1054" s="30"/>
      <c r="DW1054" s="30"/>
      <c r="DX1054" s="30"/>
      <c r="DY1054" s="30"/>
      <c r="DZ1054" s="30"/>
    </row>
    <row r="1055">
      <c r="A1055" s="30"/>
      <c r="B1055" s="42"/>
      <c r="C1055" s="43"/>
      <c r="D1055" s="30"/>
      <c r="E1055" s="28"/>
      <c r="F1055" s="30"/>
      <c r="G1055" s="30"/>
      <c r="H1055" s="30"/>
      <c r="I1055" s="30"/>
      <c r="J1055" s="28"/>
      <c r="K1055" s="30"/>
      <c r="L1055" s="30"/>
      <c r="M1055" s="30"/>
      <c r="N1055" s="30"/>
      <c r="O1055" s="28"/>
      <c r="P1055" s="30"/>
      <c r="Q1055" s="30"/>
      <c r="R1055" s="30"/>
      <c r="S1055" s="36"/>
      <c r="T1055" s="30"/>
      <c r="U1055" s="36"/>
      <c r="V1055" s="30"/>
      <c r="W1055" s="28"/>
      <c r="X1055" s="30"/>
      <c r="Y1055" s="30"/>
      <c r="Z1055" s="30"/>
      <c r="AA1055" s="30"/>
      <c r="AB1055" s="30"/>
      <c r="AC1055" s="28"/>
      <c r="AD1055" s="30"/>
      <c r="AE1055" s="30"/>
      <c r="AF1055" s="30"/>
      <c r="AG1055" s="29"/>
      <c r="AH1055" s="30"/>
      <c r="AI1055" s="36"/>
      <c r="AJ1055" s="30"/>
      <c r="AK1055" s="29"/>
      <c r="AL1055" s="30"/>
      <c r="AM1055" s="30"/>
      <c r="AN1055" s="30"/>
      <c r="AO1055" s="30"/>
      <c r="AP1055" s="30"/>
      <c r="AQ1055" s="38"/>
      <c r="AR1055" s="30"/>
      <c r="AS1055" s="30"/>
      <c r="AT1055" s="29"/>
      <c r="AU1055" s="30"/>
      <c r="AV1055" s="30"/>
      <c r="AW1055" s="30"/>
      <c r="AX1055" s="29"/>
      <c r="AY1055" s="39"/>
      <c r="AZ1055" s="30"/>
      <c r="BA1055" s="30"/>
      <c r="BB1055" s="29"/>
      <c r="BC1055" s="52"/>
      <c r="BD1055" s="30"/>
      <c r="BE1055" s="29"/>
      <c r="BF1055" s="30"/>
      <c r="BG1055" s="30"/>
      <c r="BH1055" s="30"/>
      <c r="BI1055" s="30"/>
      <c r="BJ1055" s="30"/>
      <c r="BK1055" s="30"/>
      <c r="BL1055" s="30"/>
      <c r="BM1055" s="30"/>
      <c r="BN1055" s="30"/>
      <c r="BO1055" s="30"/>
      <c r="BP1055" s="30"/>
      <c r="BQ1055" s="30"/>
      <c r="BR1055" s="30"/>
      <c r="BS1055" s="30"/>
      <c r="BT1055" s="30"/>
      <c r="BU1055" s="30"/>
      <c r="BV1055" s="30"/>
      <c r="BW1055" s="30"/>
      <c r="BX1055" s="30"/>
      <c r="BY1055" s="30"/>
      <c r="BZ1055" s="30"/>
      <c r="CA1055" s="30"/>
      <c r="CB1055" s="30"/>
      <c r="CC1055" s="30"/>
      <c r="CD1055" s="30"/>
      <c r="CE1055" s="30"/>
      <c r="CF1055" s="30"/>
      <c r="CG1055" s="30"/>
      <c r="CH1055" s="30"/>
      <c r="CI1055" s="30"/>
      <c r="CJ1055" s="30"/>
      <c r="CK1055" s="30"/>
      <c r="CL1055" s="30"/>
      <c r="CM1055" s="30"/>
      <c r="CN1055" s="30"/>
      <c r="CO1055" s="30"/>
      <c r="CP1055" s="30"/>
      <c r="CQ1055" s="30"/>
      <c r="CR1055" s="30"/>
      <c r="CS1055" s="30"/>
      <c r="CT1055" s="30"/>
      <c r="CU1055" s="30"/>
      <c r="CV1055" s="30"/>
      <c r="CW1055" s="30"/>
      <c r="CX1055" s="30"/>
      <c r="CY1055" s="30"/>
      <c r="CZ1055" s="30"/>
      <c r="DA1055" s="30"/>
      <c r="DB1055" s="30"/>
      <c r="DC1055" s="30"/>
      <c r="DD1055" s="30"/>
      <c r="DE1055" s="30"/>
      <c r="DF1055" s="30"/>
      <c r="DG1055" s="30"/>
      <c r="DH1055" s="30"/>
      <c r="DI1055" s="30"/>
      <c r="DJ1055" s="30"/>
      <c r="DK1055" s="30"/>
      <c r="DL1055" s="30"/>
      <c r="DM1055" s="30"/>
      <c r="DN1055" s="30"/>
      <c r="DO1055" s="30"/>
      <c r="DP1055" s="30"/>
      <c r="DQ1055" s="30"/>
      <c r="DR1055" s="30"/>
      <c r="DS1055" s="30"/>
      <c r="DT1055" s="30"/>
      <c r="DU1055" s="30"/>
      <c r="DV1055" s="30"/>
      <c r="DW1055" s="30"/>
      <c r="DX1055" s="30"/>
      <c r="DY1055" s="30"/>
      <c r="DZ1055" s="30"/>
    </row>
    <row r="1056">
      <c r="A1056" s="30"/>
      <c r="B1056" s="42"/>
      <c r="C1056" s="43"/>
      <c r="D1056" s="30"/>
      <c r="E1056" s="28"/>
      <c r="F1056" s="30"/>
      <c r="G1056" s="30"/>
      <c r="H1056" s="30"/>
      <c r="I1056" s="30"/>
      <c r="J1056" s="28"/>
      <c r="K1056" s="30"/>
      <c r="L1056" s="30"/>
      <c r="M1056" s="30"/>
      <c r="N1056" s="30"/>
      <c r="O1056" s="28"/>
      <c r="P1056" s="30"/>
      <c r="Q1056" s="30"/>
      <c r="R1056" s="30"/>
      <c r="S1056" s="36"/>
      <c r="T1056" s="30"/>
      <c r="U1056" s="36"/>
      <c r="V1056" s="30"/>
      <c r="W1056" s="28"/>
      <c r="X1056" s="30"/>
      <c r="Y1056" s="30"/>
      <c r="Z1056" s="30"/>
      <c r="AA1056" s="30"/>
      <c r="AB1056" s="30"/>
      <c r="AC1056" s="28"/>
      <c r="AD1056" s="30"/>
      <c r="AE1056" s="30"/>
      <c r="AF1056" s="30"/>
      <c r="AG1056" s="29"/>
      <c r="AH1056" s="30"/>
      <c r="AI1056" s="36"/>
      <c r="AJ1056" s="30"/>
      <c r="AK1056" s="29"/>
      <c r="AL1056" s="30"/>
      <c r="AM1056" s="30"/>
      <c r="AN1056" s="30"/>
      <c r="AO1056" s="30"/>
      <c r="AP1056" s="30"/>
      <c r="AQ1056" s="38"/>
      <c r="AR1056" s="30"/>
      <c r="AS1056" s="30"/>
      <c r="AT1056" s="29"/>
      <c r="AU1056" s="30"/>
      <c r="AV1056" s="30"/>
      <c r="AW1056" s="30"/>
      <c r="AX1056" s="29"/>
      <c r="AY1056" s="39"/>
      <c r="AZ1056" s="30"/>
      <c r="BA1056" s="30"/>
      <c r="BB1056" s="29"/>
      <c r="BC1056" s="52"/>
      <c r="BD1056" s="30"/>
      <c r="BE1056" s="29"/>
      <c r="BF1056" s="30"/>
      <c r="BG1056" s="30"/>
      <c r="BH1056" s="30"/>
      <c r="BI1056" s="30"/>
      <c r="BJ1056" s="30"/>
      <c r="BK1056" s="30"/>
      <c r="BL1056" s="30"/>
      <c r="BM1056" s="30"/>
      <c r="BN1056" s="30"/>
      <c r="BO1056" s="30"/>
      <c r="BP1056" s="30"/>
      <c r="BQ1056" s="30"/>
      <c r="BR1056" s="30"/>
      <c r="BS1056" s="30"/>
      <c r="BT1056" s="30"/>
      <c r="BU1056" s="30"/>
      <c r="BV1056" s="30"/>
      <c r="BW1056" s="30"/>
      <c r="BX1056" s="30"/>
      <c r="BY1056" s="30"/>
      <c r="BZ1056" s="30"/>
      <c r="CA1056" s="30"/>
      <c r="CB1056" s="30"/>
      <c r="CC1056" s="30"/>
      <c r="CD1056" s="30"/>
      <c r="CE1056" s="30"/>
      <c r="CF1056" s="30"/>
      <c r="CG1056" s="30"/>
      <c r="CH1056" s="30"/>
      <c r="CI1056" s="30"/>
      <c r="CJ1056" s="30"/>
      <c r="CK1056" s="30"/>
      <c r="CL1056" s="30"/>
      <c r="CM1056" s="30"/>
      <c r="CN1056" s="30"/>
      <c r="CO1056" s="30"/>
      <c r="CP1056" s="30"/>
      <c r="CQ1056" s="30"/>
      <c r="CR1056" s="30"/>
      <c r="CS1056" s="30"/>
      <c r="CT1056" s="30"/>
      <c r="CU1056" s="30"/>
      <c r="CV1056" s="30"/>
      <c r="CW1056" s="30"/>
      <c r="CX1056" s="30"/>
      <c r="CY1056" s="30"/>
      <c r="CZ1056" s="30"/>
      <c r="DA1056" s="30"/>
      <c r="DB1056" s="30"/>
      <c r="DC1056" s="30"/>
      <c r="DD1056" s="30"/>
      <c r="DE1056" s="30"/>
      <c r="DF1056" s="30"/>
      <c r="DG1056" s="30"/>
      <c r="DH1056" s="30"/>
      <c r="DI1056" s="30"/>
      <c r="DJ1056" s="30"/>
      <c r="DK1056" s="30"/>
      <c r="DL1056" s="30"/>
      <c r="DM1056" s="30"/>
      <c r="DN1056" s="30"/>
      <c r="DO1056" s="30"/>
      <c r="DP1056" s="30"/>
      <c r="DQ1056" s="30"/>
      <c r="DR1056" s="30"/>
      <c r="DS1056" s="30"/>
      <c r="DT1056" s="30"/>
      <c r="DU1056" s="30"/>
      <c r="DV1056" s="30"/>
      <c r="DW1056" s="30"/>
      <c r="DX1056" s="30"/>
      <c r="DY1056" s="30"/>
      <c r="DZ1056" s="30"/>
    </row>
    <row r="1057">
      <c r="A1057" s="30"/>
      <c r="B1057" s="42"/>
      <c r="C1057" s="43"/>
      <c r="D1057" s="30"/>
      <c r="E1057" s="28"/>
      <c r="F1057" s="30"/>
      <c r="G1057" s="30"/>
      <c r="H1057" s="30"/>
      <c r="I1057" s="30"/>
      <c r="J1057" s="28"/>
      <c r="K1057" s="30"/>
      <c r="L1057" s="30"/>
      <c r="M1057" s="30"/>
      <c r="N1057" s="30"/>
      <c r="O1057" s="28"/>
      <c r="P1057" s="30"/>
      <c r="Q1057" s="30"/>
      <c r="R1057" s="30"/>
      <c r="S1057" s="36"/>
      <c r="T1057" s="30"/>
      <c r="U1057" s="36"/>
      <c r="V1057" s="30"/>
      <c r="W1057" s="28"/>
      <c r="X1057" s="30"/>
      <c r="Y1057" s="30"/>
      <c r="Z1057" s="30"/>
      <c r="AA1057" s="30"/>
      <c r="AB1057" s="30"/>
      <c r="AC1057" s="28"/>
      <c r="AD1057" s="30"/>
      <c r="AE1057" s="30"/>
      <c r="AF1057" s="30"/>
      <c r="AG1057" s="29"/>
      <c r="AH1057" s="30"/>
      <c r="AI1057" s="36"/>
      <c r="AJ1057" s="30"/>
      <c r="AK1057" s="29"/>
      <c r="AL1057" s="30"/>
      <c r="AM1057" s="30"/>
      <c r="AN1057" s="30"/>
      <c r="AO1057" s="30"/>
      <c r="AP1057" s="30"/>
      <c r="AQ1057" s="38"/>
      <c r="AR1057" s="30"/>
      <c r="AS1057" s="30"/>
      <c r="AT1057" s="29"/>
      <c r="AU1057" s="30"/>
      <c r="AV1057" s="30"/>
      <c r="AW1057" s="30"/>
      <c r="AX1057" s="29"/>
      <c r="AY1057" s="39"/>
      <c r="AZ1057" s="30"/>
      <c r="BA1057" s="30"/>
      <c r="BB1057" s="29"/>
      <c r="BC1057" s="52"/>
      <c r="BD1057" s="30"/>
      <c r="BE1057" s="29"/>
      <c r="BF1057" s="30"/>
      <c r="BG1057" s="30"/>
      <c r="BH1057" s="30"/>
      <c r="BI1057" s="30"/>
      <c r="BJ1057" s="30"/>
      <c r="BK1057" s="30"/>
      <c r="BL1057" s="30"/>
      <c r="BM1057" s="30"/>
      <c r="BN1057" s="30"/>
      <c r="BO1057" s="30"/>
      <c r="BP1057" s="30"/>
      <c r="BQ1057" s="30"/>
      <c r="BR1057" s="30"/>
      <c r="BS1057" s="30"/>
      <c r="BT1057" s="30"/>
      <c r="BU1057" s="30"/>
      <c r="BV1057" s="30"/>
      <c r="BW1057" s="30"/>
      <c r="BX1057" s="30"/>
      <c r="BY1057" s="30"/>
      <c r="BZ1057" s="30"/>
      <c r="CA1057" s="30"/>
      <c r="CB1057" s="30"/>
      <c r="CC1057" s="30"/>
      <c r="CD1057" s="30"/>
      <c r="CE1057" s="30"/>
      <c r="CF1057" s="30"/>
      <c r="CG1057" s="30"/>
      <c r="CH1057" s="30"/>
      <c r="CI1057" s="30"/>
      <c r="CJ1057" s="30"/>
      <c r="CK1057" s="30"/>
      <c r="CL1057" s="30"/>
      <c r="CM1057" s="30"/>
      <c r="CN1057" s="30"/>
      <c r="CO1057" s="30"/>
      <c r="CP1057" s="30"/>
      <c r="CQ1057" s="30"/>
      <c r="CR1057" s="30"/>
      <c r="CS1057" s="30"/>
      <c r="CT1057" s="30"/>
      <c r="CU1057" s="30"/>
      <c r="CV1057" s="30"/>
      <c r="CW1057" s="30"/>
      <c r="CX1057" s="30"/>
      <c r="CY1057" s="30"/>
      <c r="CZ1057" s="30"/>
      <c r="DA1057" s="30"/>
      <c r="DB1057" s="30"/>
      <c r="DC1057" s="30"/>
      <c r="DD1057" s="30"/>
      <c r="DE1057" s="30"/>
      <c r="DF1057" s="30"/>
      <c r="DG1057" s="30"/>
      <c r="DH1057" s="30"/>
      <c r="DI1057" s="30"/>
      <c r="DJ1057" s="30"/>
      <c r="DK1057" s="30"/>
      <c r="DL1057" s="30"/>
      <c r="DM1057" s="30"/>
      <c r="DN1057" s="30"/>
      <c r="DO1057" s="30"/>
      <c r="DP1057" s="30"/>
      <c r="DQ1057" s="30"/>
      <c r="DR1057" s="30"/>
      <c r="DS1057" s="30"/>
      <c r="DT1057" s="30"/>
      <c r="DU1057" s="30"/>
      <c r="DV1057" s="30"/>
      <c r="DW1057" s="30"/>
      <c r="DX1057" s="30"/>
      <c r="DY1057" s="30"/>
      <c r="DZ1057" s="30"/>
    </row>
    <row r="1058">
      <c r="A1058" s="30"/>
      <c r="B1058" s="42"/>
      <c r="C1058" s="43"/>
      <c r="D1058" s="30"/>
      <c r="E1058" s="28"/>
      <c r="F1058" s="30"/>
      <c r="G1058" s="30"/>
      <c r="H1058" s="30"/>
      <c r="I1058" s="30"/>
      <c r="J1058" s="28"/>
      <c r="K1058" s="30"/>
      <c r="L1058" s="30"/>
      <c r="M1058" s="30"/>
      <c r="N1058" s="30"/>
      <c r="O1058" s="28"/>
      <c r="P1058" s="30"/>
      <c r="Q1058" s="30"/>
      <c r="R1058" s="30"/>
      <c r="S1058" s="36"/>
      <c r="T1058" s="30"/>
      <c r="U1058" s="36"/>
      <c r="V1058" s="30"/>
      <c r="W1058" s="28"/>
      <c r="X1058" s="30"/>
      <c r="Y1058" s="30"/>
      <c r="Z1058" s="30"/>
      <c r="AA1058" s="30"/>
      <c r="AB1058" s="30"/>
      <c r="AC1058" s="28"/>
      <c r="AD1058" s="30"/>
      <c r="AE1058" s="30"/>
      <c r="AF1058" s="30"/>
      <c r="AG1058" s="29"/>
      <c r="AH1058" s="30"/>
      <c r="AI1058" s="36"/>
      <c r="AJ1058" s="30"/>
      <c r="AK1058" s="29"/>
      <c r="AL1058" s="30"/>
      <c r="AM1058" s="30"/>
      <c r="AN1058" s="30"/>
      <c r="AO1058" s="30"/>
      <c r="AP1058" s="30"/>
      <c r="AQ1058" s="38"/>
      <c r="AR1058" s="30"/>
      <c r="AS1058" s="30"/>
      <c r="AT1058" s="29"/>
      <c r="AU1058" s="30"/>
      <c r="AV1058" s="30"/>
      <c r="AW1058" s="30"/>
      <c r="AX1058" s="29"/>
      <c r="AY1058" s="39"/>
      <c r="AZ1058" s="30"/>
      <c r="BA1058" s="30"/>
      <c r="BB1058" s="29"/>
      <c r="BC1058" s="52"/>
      <c r="BD1058" s="30"/>
      <c r="BE1058" s="29"/>
      <c r="BF1058" s="30"/>
      <c r="BG1058" s="30"/>
      <c r="BH1058" s="30"/>
      <c r="BI1058" s="30"/>
      <c r="BJ1058" s="30"/>
      <c r="BK1058" s="30"/>
      <c r="BL1058" s="30"/>
      <c r="BM1058" s="30"/>
      <c r="BN1058" s="30"/>
      <c r="BO1058" s="30"/>
      <c r="BP1058" s="30"/>
      <c r="BQ1058" s="30"/>
      <c r="BR1058" s="30"/>
      <c r="BS1058" s="30"/>
      <c r="BT1058" s="30"/>
      <c r="BU1058" s="30"/>
      <c r="BV1058" s="30"/>
      <c r="BW1058" s="30"/>
      <c r="BX1058" s="30"/>
      <c r="BY1058" s="30"/>
      <c r="BZ1058" s="30"/>
      <c r="CA1058" s="30"/>
      <c r="CB1058" s="30"/>
      <c r="CC1058" s="30"/>
      <c r="CD1058" s="30"/>
      <c r="CE1058" s="30"/>
      <c r="CF1058" s="30"/>
      <c r="CG1058" s="30"/>
      <c r="CH1058" s="30"/>
      <c r="CI1058" s="30"/>
      <c r="CJ1058" s="30"/>
      <c r="CK1058" s="30"/>
      <c r="CL1058" s="30"/>
      <c r="CM1058" s="30"/>
      <c r="CN1058" s="30"/>
      <c r="CO1058" s="30"/>
      <c r="CP1058" s="30"/>
      <c r="CQ1058" s="30"/>
      <c r="CR1058" s="30"/>
      <c r="CS1058" s="30"/>
      <c r="CT1058" s="30"/>
      <c r="CU1058" s="30"/>
      <c r="CV1058" s="30"/>
      <c r="CW1058" s="30"/>
      <c r="CX1058" s="30"/>
      <c r="CY1058" s="30"/>
      <c r="CZ1058" s="30"/>
      <c r="DA1058" s="30"/>
      <c r="DB1058" s="30"/>
      <c r="DC1058" s="30"/>
      <c r="DD1058" s="30"/>
      <c r="DE1058" s="30"/>
      <c r="DF1058" s="30"/>
      <c r="DG1058" s="30"/>
      <c r="DH1058" s="30"/>
      <c r="DI1058" s="30"/>
      <c r="DJ1058" s="30"/>
      <c r="DK1058" s="30"/>
      <c r="DL1058" s="30"/>
      <c r="DM1058" s="30"/>
      <c r="DN1058" s="30"/>
      <c r="DO1058" s="30"/>
      <c r="DP1058" s="30"/>
      <c r="DQ1058" s="30"/>
      <c r="DR1058" s="30"/>
      <c r="DS1058" s="30"/>
      <c r="DT1058" s="30"/>
      <c r="DU1058" s="30"/>
      <c r="DV1058" s="30"/>
      <c r="DW1058" s="30"/>
      <c r="DX1058" s="30"/>
      <c r="DY1058" s="30"/>
      <c r="DZ1058" s="30"/>
    </row>
    <row r="1059">
      <c r="A1059" s="30"/>
      <c r="B1059" s="42"/>
      <c r="C1059" s="43"/>
      <c r="D1059" s="30"/>
      <c r="E1059" s="28"/>
      <c r="F1059" s="30"/>
      <c r="G1059" s="30"/>
      <c r="H1059" s="30"/>
      <c r="I1059" s="30"/>
      <c r="J1059" s="28"/>
      <c r="K1059" s="30"/>
      <c r="L1059" s="30"/>
      <c r="M1059" s="30"/>
      <c r="N1059" s="30"/>
      <c r="O1059" s="28"/>
      <c r="P1059" s="30"/>
      <c r="Q1059" s="30"/>
      <c r="R1059" s="30"/>
      <c r="S1059" s="36"/>
      <c r="T1059" s="30"/>
      <c r="U1059" s="36"/>
      <c r="V1059" s="30"/>
      <c r="W1059" s="28"/>
      <c r="X1059" s="30"/>
      <c r="Y1059" s="30"/>
      <c r="Z1059" s="30"/>
      <c r="AA1059" s="30"/>
      <c r="AB1059" s="30"/>
      <c r="AC1059" s="28"/>
      <c r="AD1059" s="30"/>
      <c r="AE1059" s="30"/>
      <c r="AF1059" s="30"/>
      <c r="AG1059" s="29"/>
      <c r="AH1059" s="30"/>
      <c r="AI1059" s="36"/>
      <c r="AJ1059" s="30"/>
      <c r="AK1059" s="29"/>
      <c r="AL1059" s="30"/>
      <c r="AM1059" s="30"/>
      <c r="AN1059" s="30"/>
      <c r="AO1059" s="30"/>
      <c r="AP1059" s="30"/>
      <c r="AQ1059" s="38"/>
      <c r="AR1059" s="30"/>
      <c r="AS1059" s="30"/>
      <c r="AT1059" s="29"/>
      <c r="AU1059" s="30"/>
      <c r="AV1059" s="30"/>
      <c r="AW1059" s="30"/>
      <c r="AX1059" s="29"/>
      <c r="AY1059" s="39"/>
      <c r="AZ1059" s="30"/>
      <c r="BA1059" s="30"/>
      <c r="BB1059" s="29"/>
      <c r="BC1059" s="52"/>
      <c r="BD1059" s="30"/>
      <c r="BE1059" s="29"/>
      <c r="BF1059" s="30"/>
      <c r="BG1059" s="30"/>
      <c r="BH1059" s="30"/>
      <c r="BI1059" s="30"/>
      <c r="BJ1059" s="30"/>
      <c r="BK1059" s="30"/>
      <c r="BL1059" s="30"/>
      <c r="BM1059" s="30"/>
      <c r="BN1059" s="30"/>
      <c r="BO1059" s="30"/>
      <c r="BP1059" s="30"/>
      <c r="BQ1059" s="30"/>
      <c r="BR1059" s="30"/>
      <c r="BS1059" s="30"/>
      <c r="BT1059" s="30"/>
      <c r="BU1059" s="30"/>
      <c r="BV1059" s="30"/>
      <c r="BW1059" s="30"/>
      <c r="BX1059" s="30"/>
      <c r="BY1059" s="30"/>
      <c r="BZ1059" s="30"/>
      <c r="CA1059" s="30"/>
      <c r="CB1059" s="30"/>
      <c r="CC1059" s="30"/>
      <c r="CD1059" s="30"/>
      <c r="CE1059" s="30"/>
      <c r="CF1059" s="30"/>
      <c r="CG1059" s="30"/>
      <c r="CH1059" s="30"/>
      <c r="CI1059" s="30"/>
      <c r="CJ1059" s="30"/>
      <c r="CK1059" s="30"/>
      <c r="CL1059" s="30"/>
      <c r="CM1059" s="30"/>
      <c r="CN1059" s="30"/>
      <c r="CO1059" s="30"/>
      <c r="CP1059" s="30"/>
      <c r="CQ1059" s="30"/>
      <c r="CR1059" s="30"/>
      <c r="CS1059" s="30"/>
      <c r="CT1059" s="30"/>
      <c r="CU1059" s="30"/>
      <c r="CV1059" s="30"/>
      <c r="CW1059" s="30"/>
      <c r="CX1059" s="30"/>
      <c r="CY1059" s="30"/>
      <c r="CZ1059" s="30"/>
      <c r="DA1059" s="30"/>
      <c r="DB1059" s="30"/>
      <c r="DC1059" s="30"/>
      <c r="DD1059" s="30"/>
      <c r="DE1059" s="30"/>
      <c r="DF1059" s="30"/>
      <c r="DG1059" s="30"/>
      <c r="DH1059" s="30"/>
      <c r="DI1059" s="30"/>
      <c r="DJ1059" s="30"/>
      <c r="DK1059" s="30"/>
      <c r="DL1059" s="30"/>
      <c r="DM1059" s="30"/>
      <c r="DN1059" s="30"/>
      <c r="DO1059" s="30"/>
      <c r="DP1059" s="30"/>
      <c r="DQ1059" s="30"/>
      <c r="DR1059" s="30"/>
      <c r="DS1059" s="30"/>
      <c r="DT1059" s="30"/>
      <c r="DU1059" s="30"/>
      <c r="DV1059" s="30"/>
      <c r="DW1059" s="30"/>
      <c r="DX1059" s="30"/>
      <c r="DY1059" s="30"/>
      <c r="DZ1059" s="30"/>
    </row>
    <row r="1060">
      <c r="A1060" s="30"/>
      <c r="B1060" s="42"/>
      <c r="C1060" s="43"/>
      <c r="D1060" s="30"/>
      <c r="E1060" s="28"/>
      <c r="F1060" s="30"/>
      <c r="G1060" s="30"/>
      <c r="H1060" s="30"/>
      <c r="I1060" s="30"/>
      <c r="J1060" s="28"/>
      <c r="K1060" s="30"/>
      <c r="L1060" s="30"/>
      <c r="M1060" s="30"/>
      <c r="N1060" s="30"/>
      <c r="O1060" s="28"/>
      <c r="P1060" s="30"/>
      <c r="Q1060" s="30"/>
      <c r="R1060" s="30"/>
      <c r="S1060" s="36"/>
      <c r="T1060" s="30"/>
      <c r="U1060" s="36"/>
      <c r="V1060" s="30"/>
      <c r="W1060" s="28"/>
      <c r="X1060" s="30"/>
      <c r="Y1060" s="30"/>
      <c r="Z1060" s="30"/>
      <c r="AA1060" s="30"/>
      <c r="AB1060" s="30"/>
      <c r="AC1060" s="28"/>
      <c r="AD1060" s="30"/>
      <c r="AE1060" s="30"/>
      <c r="AF1060" s="30"/>
      <c r="AG1060" s="29"/>
      <c r="AH1060" s="30"/>
      <c r="AI1060" s="36"/>
      <c r="AJ1060" s="30"/>
      <c r="AK1060" s="29"/>
      <c r="AL1060" s="30"/>
      <c r="AM1060" s="30"/>
      <c r="AN1060" s="30"/>
      <c r="AO1060" s="30"/>
      <c r="AP1060" s="30"/>
      <c r="AQ1060" s="38"/>
      <c r="AR1060" s="30"/>
      <c r="AS1060" s="30"/>
      <c r="AT1060" s="29"/>
      <c r="AU1060" s="30"/>
      <c r="AV1060" s="30"/>
      <c r="AW1060" s="30"/>
      <c r="AX1060" s="29"/>
      <c r="AY1060" s="39"/>
      <c r="AZ1060" s="30"/>
      <c r="BA1060" s="30"/>
      <c r="BB1060" s="29"/>
      <c r="BC1060" s="52"/>
      <c r="BD1060" s="30"/>
      <c r="BE1060" s="29"/>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0"/>
      <c r="CF1060" s="30"/>
      <c r="CG1060" s="30"/>
      <c r="CH1060" s="30"/>
      <c r="CI1060" s="30"/>
      <c r="CJ1060" s="30"/>
      <c r="CK1060" s="30"/>
      <c r="CL1060" s="30"/>
      <c r="CM1060" s="30"/>
      <c r="CN1060" s="30"/>
      <c r="CO1060" s="30"/>
      <c r="CP1060" s="30"/>
      <c r="CQ1060" s="30"/>
      <c r="CR1060" s="30"/>
      <c r="CS1060" s="30"/>
      <c r="CT1060" s="30"/>
      <c r="CU1060" s="30"/>
      <c r="CV1060" s="30"/>
      <c r="CW1060" s="30"/>
      <c r="CX1060" s="30"/>
      <c r="CY1060" s="30"/>
      <c r="CZ1060" s="30"/>
      <c r="DA1060" s="30"/>
      <c r="DB1060" s="30"/>
      <c r="DC1060" s="30"/>
      <c r="DD1060" s="30"/>
      <c r="DE1060" s="30"/>
      <c r="DF1060" s="30"/>
      <c r="DG1060" s="30"/>
      <c r="DH1060" s="30"/>
      <c r="DI1060" s="30"/>
      <c r="DJ1060" s="30"/>
      <c r="DK1060" s="30"/>
      <c r="DL1060" s="30"/>
      <c r="DM1060" s="30"/>
      <c r="DN1060" s="30"/>
      <c r="DO1060" s="30"/>
      <c r="DP1060" s="30"/>
      <c r="DQ1060" s="30"/>
      <c r="DR1060" s="30"/>
      <c r="DS1060" s="30"/>
      <c r="DT1060" s="30"/>
      <c r="DU1060" s="30"/>
      <c r="DV1060" s="30"/>
      <c r="DW1060" s="30"/>
      <c r="DX1060" s="30"/>
      <c r="DY1060" s="30"/>
      <c r="DZ1060" s="30"/>
    </row>
    <row r="1061">
      <c r="A1061" s="30"/>
      <c r="B1061" s="42"/>
      <c r="C1061" s="43"/>
      <c r="D1061" s="30"/>
      <c r="E1061" s="28"/>
      <c r="F1061" s="30"/>
      <c r="G1061" s="30"/>
      <c r="H1061" s="30"/>
      <c r="I1061" s="30"/>
      <c r="J1061" s="28"/>
      <c r="K1061" s="30"/>
      <c r="L1061" s="30"/>
      <c r="M1061" s="30"/>
      <c r="N1061" s="30"/>
      <c r="O1061" s="28"/>
      <c r="P1061" s="30"/>
      <c r="Q1061" s="30"/>
      <c r="R1061" s="30"/>
      <c r="S1061" s="36"/>
      <c r="T1061" s="30"/>
      <c r="U1061" s="36"/>
      <c r="V1061" s="30"/>
      <c r="W1061" s="28"/>
      <c r="X1061" s="30"/>
      <c r="Y1061" s="30"/>
      <c r="Z1061" s="30"/>
      <c r="AA1061" s="30"/>
      <c r="AB1061" s="30"/>
      <c r="AC1061" s="28"/>
      <c r="AD1061" s="30"/>
      <c r="AE1061" s="30"/>
      <c r="AF1061" s="30"/>
      <c r="AG1061" s="29"/>
      <c r="AH1061" s="30"/>
      <c r="AI1061" s="36"/>
      <c r="AJ1061" s="30"/>
      <c r="AK1061" s="29"/>
      <c r="AL1061" s="30"/>
      <c r="AM1061" s="30"/>
      <c r="AN1061" s="30"/>
      <c r="AO1061" s="30"/>
      <c r="AP1061" s="30"/>
      <c r="AQ1061" s="38"/>
      <c r="AR1061" s="30"/>
      <c r="AS1061" s="30"/>
      <c r="AT1061" s="29"/>
      <c r="AU1061" s="30"/>
      <c r="AV1061" s="30"/>
      <c r="AW1061" s="30"/>
      <c r="AX1061" s="29"/>
      <c r="AY1061" s="39"/>
      <c r="AZ1061" s="30"/>
      <c r="BA1061" s="30"/>
      <c r="BB1061" s="29"/>
      <c r="BC1061" s="52"/>
      <c r="BD1061" s="30"/>
      <c r="BE1061" s="29"/>
      <c r="BF1061" s="30"/>
      <c r="BG1061" s="30"/>
      <c r="BH1061" s="30"/>
      <c r="BI1061" s="30"/>
      <c r="BJ1061" s="30"/>
      <c r="BK1061" s="30"/>
      <c r="BL1061" s="30"/>
      <c r="BM1061" s="30"/>
      <c r="BN1061" s="30"/>
      <c r="BO1061" s="30"/>
      <c r="BP1061" s="30"/>
      <c r="BQ1061" s="30"/>
      <c r="BR1061" s="30"/>
      <c r="BS1061" s="30"/>
      <c r="BT1061" s="30"/>
      <c r="BU1061" s="30"/>
      <c r="BV1061" s="30"/>
      <c r="BW1061" s="30"/>
      <c r="BX1061" s="30"/>
      <c r="BY1061" s="30"/>
      <c r="BZ1061" s="30"/>
      <c r="CA1061" s="30"/>
      <c r="CB1061" s="30"/>
      <c r="CC1061" s="30"/>
      <c r="CD1061" s="30"/>
      <c r="CE1061" s="30"/>
      <c r="CF1061" s="30"/>
      <c r="CG1061" s="30"/>
      <c r="CH1061" s="30"/>
      <c r="CI1061" s="30"/>
      <c r="CJ1061" s="30"/>
      <c r="CK1061" s="30"/>
      <c r="CL1061" s="30"/>
      <c r="CM1061" s="30"/>
      <c r="CN1061" s="30"/>
      <c r="CO1061" s="30"/>
      <c r="CP1061" s="30"/>
      <c r="CQ1061" s="30"/>
      <c r="CR1061" s="30"/>
      <c r="CS1061" s="30"/>
      <c r="CT1061" s="30"/>
      <c r="CU1061" s="30"/>
      <c r="CV1061" s="30"/>
      <c r="CW1061" s="30"/>
      <c r="CX1061" s="30"/>
      <c r="CY1061" s="30"/>
      <c r="CZ1061" s="30"/>
      <c r="DA1061" s="30"/>
      <c r="DB1061" s="30"/>
      <c r="DC1061" s="30"/>
      <c r="DD1061" s="30"/>
      <c r="DE1061" s="30"/>
      <c r="DF1061" s="30"/>
      <c r="DG1061" s="30"/>
      <c r="DH1061" s="30"/>
      <c r="DI1061" s="30"/>
      <c r="DJ1061" s="30"/>
      <c r="DK1061" s="30"/>
      <c r="DL1061" s="30"/>
      <c r="DM1061" s="30"/>
      <c r="DN1061" s="30"/>
      <c r="DO1061" s="30"/>
      <c r="DP1061" s="30"/>
      <c r="DQ1061" s="30"/>
      <c r="DR1061" s="30"/>
      <c r="DS1061" s="30"/>
      <c r="DT1061" s="30"/>
      <c r="DU1061" s="30"/>
      <c r="DV1061" s="30"/>
      <c r="DW1061" s="30"/>
      <c r="DX1061" s="30"/>
      <c r="DY1061" s="30"/>
      <c r="DZ1061" s="30"/>
    </row>
    <row r="1062">
      <c r="A1062" s="30"/>
      <c r="B1062" s="42"/>
      <c r="C1062" s="43"/>
      <c r="D1062" s="30"/>
      <c r="E1062" s="28"/>
      <c r="F1062" s="30"/>
      <c r="G1062" s="30"/>
      <c r="H1062" s="30"/>
      <c r="I1062" s="30"/>
      <c r="J1062" s="28"/>
      <c r="K1062" s="30"/>
      <c r="L1062" s="30"/>
      <c r="M1062" s="30"/>
      <c r="N1062" s="30"/>
      <c r="O1062" s="28"/>
      <c r="P1062" s="30"/>
      <c r="Q1062" s="30"/>
      <c r="R1062" s="30"/>
      <c r="S1062" s="36"/>
      <c r="T1062" s="30"/>
      <c r="U1062" s="36"/>
      <c r="V1062" s="30"/>
      <c r="W1062" s="28"/>
      <c r="X1062" s="30"/>
      <c r="Y1062" s="30"/>
      <c r="Z1062" s="30"/>
      <c r="AA1062" s="30"/>
      <c r="AB1062" s="30"/>
      <c r="AC1062" s="28"/>
      <c r="AD1062" s="30"/>
      <c r="AE1062" s="30"/>
      <c r="AF1062" s="30"/>
      <c r="AG1062" s="29"/>
      <c r="AH1062" s="30"/>
      <c r="AI1062" s="36"/>
      <c r="AJ1062" s="30"/>
      <c r="AK1062" s="29"/>
      <c r="AL1062" s="30"/>
      <c r="AM1062" s="30"/>
      <c r="AN1062" s="30"/>
      <c r="AO1062" s="30"/>
      <c r="AP1062" s="30"/>
      <c r="AQ1062" s="38"/>
      <c r="AR1062" s="30"/>
      <c r="AS1062" s="30"/>
      <c r="AT1062" s="29"/>
      <c r="AU1062" s="30"/>
      <c r="AV1062" s="30"/>
      <c r="AW1062" s="30"/>
      <c r="AX1062" s="29"/>
      <c r="AY1062" s="39"/>
      <c r="AZ1062" s="30"/>
      <c r="BA1062" s="30"/>
      <c r="BB1062" s="29"/>
      <c r="BC1062" s="52"/>
      <c r="BD1062" s="30"/>
      <c r="BE1062" s="29"/>
      <c r="BF1062" s="30"/>
      <c r="BG1062" s="30"/>
      <c r="BH1062" s="30"/>
      <c r="BI1062" s="30"/>
      <c r="BJ1062" s="30"/>
      <c r="BK1062" s="30"/>
      <c r="BL1062" s="30"/>
      <c r="BM1062" s="30"/>
      <c r="BN1062" s="30"/>
      <c r="BO1062" s="30"/>
      <c r="BP1062" s="30"/>
      <c r="BQ1062" s="30"/>
      <c r="BR1062" s="30"/>
      <c r="BS1062" s="30"/>
      <c r="BT1062" s="30"/>
      <c r="BU1062" s="30"/>
      <c r="BV1062" s="30"/>
      <c r="BW1062" s="30"/>
      <c r="BX1062" s="30"/>
      <c r="BY1062" s="30"/>
      <c r="BZ1062" s="30"/>
      <c r="CA1062" s="30"/>
      <c r="CB1062" s="30"/>
      <c r="CC1062" s="30"/>
      <c r="CD1062" s="30"/>
      <c r="CE1062" s="30"/>
      <c r="CF1062" s="30"/>
      <c r="CG1062" s="30"/>
      <c r="CH1062" s="30"/>
      <c r="CI1062" s="30"/>
      <c r="CJ1062" s="30"/>
      <c r="CK1062" s="30"/>
      <c r="CL1062" s="30"/>
      <c r="CM1062" s="30"/>
      <c r="CN1062" s="30"/>
      <c r="CO1062" s="30"/>
      <c r="CP1062" s="30"/>
      <c r="CQ1062" s="30"/>
      <c r="CR1062" s="30"/>
      <c r="CS1062" s="30"/>
      <c r="CT1062" s="30"/>
      <c r="CU1062" s="30"/>
      <c r="CV1062" s="30"/>
      <c r="CW1062" s="30"/>
      <c r="CX1062" s="30"/>
      <c r="CY1062" s="30"/>
      <c r="CZ1062" s="30"/>
      <c r="DA1062" s="30"/>
      <c r="DB1062" s="30"/>
      <c r="DC1062" s="30"/>
      <c r="DD1062" s="30"/>
      <c r="DE1062" s="30"/>
      <c r="DF1062" s="30"/>
      <c r="DG1062" s="30"/>
      <c r="DH1062" s="30"/>
      <c r="DI1062" s="30"/>
      <c r="DJ1062" s="30"/>
      <c r="DK1062" s="30"/>
      <c r="DL1062" s="30"/>
      <c r="DM1062" s="30"/>
      <c r="DN1062" s="30"/>
      <c r="DO1062" s="30"/>
      <c r="DP1062" s="30"/>
      <c r="DQ1062" s="30"/>
      <c r="DR1062" s="30"/>
      <c r="DS1062" s="30"/>
      <c r="DT1062" s="30"/>
      <c r="DU1062" s="30"/>
      <c r="DV1062" s="30"/>
      <c r="DW1062" s="30"/>
      <c r="DX1062" s="30"/>
      <c r="DY1062" s="30"/>
      <c r="DZ1062" s="30"/>
    </row>
    <row r="1063">
      <c r="A1063" s="30"/>
      <c r="B1063" s="42"/>
      <c r="C1063" s="43"/>
      <c r="D1063" s="30"/>
      <c r="E1063" s="28"/>
      <c r="F1063" s="30"/>
      <c r="G1063" s="30"/>
      <c r="H1063" s="30"/>
      <c r="I1063" s="30"/>
      <c r="J1063" s="28"/>
      <c r="K1063" s="30"/>
      <c r="L1063" s="30"/>
      <c r="M1063" s="30"/>
      <c r="N1063" s="30"/>
      <c r="O1063" s="28"/>
      <c r="P1063" s="30"/>
      <c r="Q1063" s="30"/>
      <c r="R1063" s="30"/>
      <c r="S1063" s="36"/>
      <c r="T1063" s="30"/>
      <c r="U1063" s="36"/>
      <c r="V1063" s="30"/>
      <c r="W1063" s="28"/>
      <c r="X1063" s="30"/>
      <c r="Y1063" s="30"/>
      <c r="Z1063" s="30"/>
      <c r="AA1063" s="30"/>
      <c r="AB1063" s="30"/>
      <c r="AC1063" s="28"/>
      <c r="AD1063" s="30"/>
      <c r="AE1063" s="30"/>
      <c r="AF1063" s="30"/>
      <c r="AG1063" s="29"/>
      <c r="AH1063" s="30"/>
      <c r="AI1063" s="36"/>
      <c r="AJ1063" s="30"/>
      <c r="AK1063" s="29"/>
      <c r="AL1063" s="30"/>
      <c r="AM1063" s="30"/>
      <c r="AN1063" s="30"/>
      <c r="AO1063" s="30"/>
      <c r="AP1063" s="30"/>
      <c r="AQ1063" s="38"/>
      <c r="AR1063" s="30"/>
      <c r="AS1063" s="30"/>
      <c r="AT1063" s="29"/>
      <c r="AU1063" s="30"/>
      <c r="AV1063" s="30"/>
      <c r="AW1063" s="30"/>
      <c r="AX1063" s="29"/>
      <c r="AY1063" s="39"/>
      <c r="AZ1063" s="30"/>
      <c r="BA1063" s="30"/>
      <c r="BB1063" s="29"/>
      <c r="BC1063" s="52"/>
      <c r="BD1063" s="30"/>
      <c r="BE1063" s="29"/>
      <c r="BF1063" s="30"/>
      <c r="BG1063" s="30"/>
      <c r="BH1063" s="30"/>
      <c r="BI1063" s="30"/>
      <c r="BJ1063" s="30"/>
      <c r="BK1063" s="30"/>
      <c r="BL1063" s="30"/>
      <c r="BM1063" s="30"/>
      <c r="BN1063" s="30"/>
      <c r="BO1063" s="30"/>
      <c r="BP1063" s="30"/>
      <c r="BQ1063" s="30"/>
      <c r="BR1063" s="30"/>
      <c r="BS1063" s="30"/>
      <c r="BT1063" s="30"/>
      <c r="BU1063" s="30"/>
      <c r="BV1063" s="30"/>
      <c r="BW1063" s="30"/>
      <c r="BX1063" s="30"/>
      <c r="BY1063" s="30"/>
      <c r="BZ1063" s="30"/>
      <c r="CA1063" s="30"/>
      <c r="CB1063" s="30"/>
      <c r="CC1063" s="30"/>
      <c r="CD1063" s="30"/>
      <c r="CE1063" s="30"/>
      <c r="CF1063" s="30"/>
      <c r="CG1063" s="30"/>
      <c r="CH1063" s="30"/>
      <c r="CI1063" s="30"/>
      <c r="CJ1063" s="30"/>
      <c r="CK1063" s="30"/>
      <c r="CL1063" s="30"/>
      <c r="CM1063" s="30"/>
      <c r="CN1063" s="30"/>
      <c r="CO1063" s="30"/>
      <c r="CP1063" s="30"/>
      <c r="CQ1063" s="30"/>
      <c r="CR1063" s="30"/>
      <c r="CS1063" s="30"/>
      <c r="CT1063" s="30"/>
      <c r="CU1063" s="30"/>
      <c r="CV1063" s="30"/>
      <c r="CW1063" s="30"/>
      <c r="CX1063" s="30"/>
      <c r="CY1063" s="30"/>
      <c r="CZ1063" s="30"/>
      <c r="DA1063" s="30"/>
      <c r="DB1063" s="30"/>
      <c r="DC1063" s="30"/>
      <c r="DD1063" s="30"/>
      <c r="DE1063" s="30"/>
      <c r="DF1063" s="30"/>
      <c r="DG1063" s="30"/>
      <c r="DH1063" s="30"/>
      <c r="DI1063" s="30"/>
      <c r="DJ1063" s="30"/>
      <c r="DK1063" s="30"/>
      <c r="DL1063" s="30"/>
      <c r="DM1063" s="30"/>
      <c r="DN1063" s="30"/>
      <c r="DO1063" s="30"/>
      <c r="DP1063" s="30"/>
      <c r="DQ1063" s="30"/>
      <c r="DR1063" s="30"/>
      <c r="DS1063" s="30"/>
      <c r="DT1063" s="30"/>
      <c r="DU1063" s="30"/>
      <c r="DV1063" s="30"/>
      <c r="DW1063" s="30"/>
      <c r="DX1063" s="30"/>
      <c r="DY1063" s="30"/>
      <c r="DZ1063" s="30"/>
    </row>
    <row r="1064">
      <c r="A1064" s="30"/>
      <c r="B1064" s="42"/>
      <c r="C1064" s="43"/>
      <c r="D1064" s="30"/>
      <c r="E1064" s="28"/>
      <c r="F1064" s="30"/>
      <c r="G1064" s="30"/>
      <c r="H1064" s="30"/>
      <c r="I1064" s="30"/>
      <c r="J1064" s="28"/>
      <c r="K1064" s="30"/>
      <c r="L1064" s="30"/>
      <c r="M1064" s="30"/>
      <c r="N1064" s="30"/>
      <c r="O1064" s="28"/>
      <c r="P1064" s="30"/>
      <c r="Q1064" s="30"/>
      <c r="R1064" s="30"/>
      <c r="S1064" s="36"/>
      <c r="T1064" s="30"/>
      <c r="U1064" s="36"/>
      <c r="V1064" s="30"/>
      <c r="W1064" s="28"/>
      <c r="X1064" s="30"/>
      <c r="Y1064" s="30"/>
      <c r="Z1064" s="30"/>
      <c r="AA1064" s="30"/>
      <c r="AB1064" s="30"/>
      <c r="AC1064" s="28"/>
      <c r="AD1064" s="30"/>
      <c r="AE1064" s="30"/>
      <c r="AF1064" s="30"/>
      <c r="AG1064" s="29"/>
      <c r="AH1064" s="30"/>
      <c r="AI1064" s="36"/>
      <c r="AJ1064" s="30"/>
      <c r="AK1064" s="29"/>
      <c r="AL1064" s="30"/>
      <c r="AM1064" s="30"/>
      <c r="AN1064" s="30"/>
      <c r="AO1064" s="30"/>
      <c r="AP1064" s="30"/>
      <c r="AQ1064" s="38"/>
      <c r="AR1064" s="30"/>
      <c r="AS1064" s="30"/>
      <c r="AT1064" s="29"/>
      <c r="AU1064" s="30"/>
      <c r="AV1064" s="30"/>
      <c r="AW1064" s="30"/>
      <c r="AX1064" s="29"/>
      <c r="AY1064" s="39"/>
      <c r="AZ1064" s="30"/>
      <c r="BA1064" s="30"/>
      <c r="BB1064" s="29"/>
      <c r="BC1064" s="52"/>
      <c r="BD1064" s="30"/>
      <c r="BE1064" s="29"/>
      <c r="BF1064" s="30"/>
      <c r="BG1064" s="30"/>
      <c r="BH1064" s="30"/>
      <c r="BI1064" s="30"/>
      <c r="BJ1064" s="30"/>
      <c r="BK1064" s="30"/>
      <c r="BL1064" s="30"/>
      <c r="BM1064" s="30"/>
      <c r="BN1064" s="30"/>
      <c r="BO1064" s="30"/>
      <c r="BP1064" s="30"/>
      <c r="BQ1064" s="30"/>
      <c r="BR1064" s="30"/>
      <c r="BS1064" s="30"/>
      <c r="BT1064" s="30"/>
      <c r="BU1064" s="30"/>
      <c r="BV1064" s="30"/>
      <c r="BW1064" s="30"/>
      <c r="BX1064" s="30"/>
      <c r="BY1064" s="30"/>
      <c r="BZ1064" s="30"/>
      <c r="CA1064" s="30"/>
      <c r="CB1064" s="30"/>
      <c r="CC1064" s="30"/>
      <c r="CD1064" s="30"/>
      <c r="CE1064" s="30"/>
      <c r="CF1064" s="30"/>
      <c r="CG1064" s="30"/>
      <c r="CH1064" s="30"/>
      <c r="CI1064" s="30"/>
      <c r="CJ1064" s="30"/>
      <c r="CK1064" s="30"/>
      <c r="CL1064" s="30"/>
      <c r="CM1064" s="30"/>
      <c r="CN1064" s="30"/>
      <c r="CO1064" s="30"/>
      <c r="CP1064" s="30"/>
      <c r="CQ1064" s="30"/>
      <c r="CR1064" s="30"/>
      <c r="CS1064" s="30"/>
      <c r="CT1064" s="30"/>
      <c r="CU1064" s="30"/>
      <c r="CV1064" s="30"/>
      <c r="CW1064" s="30"/>
      <c r="CX1064" s="30"/>
      <c r="CY1064" s="30"/>
      <c r="CZ1064" s="30"/>
      <c r="DA1064" s="30"/>
      <c r="DB1064" s="30"/>
      <c r="DC1064" s="30"/>
      <c r="DD1064" s="30"/>
      <c r="DE1064" s="30"/>
      <c r="DF1064" s="30"/>
      <c r="DG1064" s="30"/>
      <c r="DH1064" s="30"/>
      <c r="DI1064" s="30"/>
      <c r="DJ1064" s="30"/>
      <c r="DK1064" s="30"/>
      <c r="DL1064" s="30"/>
      <c r="DM1064" s="30"/>
      <c r="DN1064" s="30"/>
      <c r="DO1064" s="30"/>
      <c r="DP1064" s="30"/>
      <c r="DQ1064" s="30"/>
      <c r="DR1064" s="30"/>
      <c r="DS1064" s="30"/>
      <c r="DT1064" s="30"/>
      <c r="DU1064" s="30"/>
      <c r="DV1064" s="30"/>
      <c r="DW1064" s="30"/>
      <c r="DX1064" s="30"/>
      <c r="DY1064" s="30"/>
      <c r="DZ1064" s="30"/>
    </row>
    <row r="1065">
      <c r="A1065" s="30"/>
      <c r="B1065" s="42"/>
      <c r="C1065" s="43"/>
      <c r="D1065" s="30"/>
      <c r="E1065" s="28"/>
      <c r="F1065" s="30"/>
      <c r="G1065" s="30"/>
      <c r="H1065" s="30"/>
      <c r="I1065" s="30"/>
      <c r="J1065" s="28"/>
      <c r="K1065" s="30"/>
      <c r="L1065" s="30"/>
      <c r="M1065" s="30"/>
      <c r="N1065" s="30"/>
      <c r="O1065" s="28"/>
      <c r="P1065" s="30"/>
      <c r="Q1065" s="30"/>
      <c r="R1065" s="30"/>
      <c r="S1065" s="36"/>
      <c r="T1065" s="30"/>
      <c r="U1065" s="36"/>
      <c r="V1065" s="30"/>
      <c r="W1065" s="28"/>
      <c r="X1065" s="30"/>
      <c r="Y1065" s="30"/>
      <c r="Z1065" s="30"/>
      <c r="AA1065" s="30"/>
      <c r="AB1065" s="30"/>
      <c r="AC1065" s="28"/>
      <c r="AD1065" s="30"/>
      <c r="AE1065" s="30"/>
      <c r="AF1065" s="30"/>
      <c r="AG1065" s="29"/>
      <c r="AH1065" s="30"/>
      <c r="AI1065" s="36"/>
      <c r="AJ1065" s="30"/>
      <c r="AK1065" s="29"/>
      <c r="AL1065" s="30"/>
      <c r="AM1065" s="30"/>
      <c r="AN1065" s="30"/>
      <c r="AO1065" s="30"/>
      <c r="AP1065" s="30"/>
      <c r="AQ1065" s="38"/>
      <c r="AR1065" s="30"/>
      <c r="AS1065" s="30"/>
      <c r="AT1065" s="29"/>
      <c r="AU1065" s="30"/>
      <c r="AV1065" s="30"/>
      <c r="AW1065" s="30"/>
      <c r="AX1065" s="29"/>
      <c r="AY1065" s="39"/>
      <c r="AZ1065" s="30"/>
      <c r="BA1065" s="30"/>
      <c r="BB1065" s="29"/>
      <c r="BC1065" s="52"/>
      <c r="BD1065" s="30"/>
      <c r="BE1065" s="29"/>
      <c r="BF1065" s="30"/>
      <c r="BG1065" s="30"/>
      <c r="BH1065" s="30"/>
      <c r="BI1065" s="30"/>
      <c r="BJ1065" s="30"/>
      <c r="BK1065" s="30"/>
      <c r="BL1065" s="30"/>
      <c r="BM1065" s="30"/>
      <c r="BN1065" s="30"/>
      <c r="BO1065" s="30"/>
      <c r="BP1065" s="30"/>
      <c r="BQ1065" s="30"/>
      <c r="BR1065" s="30"/>
      <c r="BS1065" s="30"/>
      <c r="BT1065" s="30"/>
      <c r="BU1065" s="30"/>
      <c r="BV1065" s="30"/>
      <c r="BW1065" s="30"/>
      <c r="BX1065" s="30"/>
      <c r="BY1065" s="30"/>
      <c r="BZ1065" s="30"/>
      <c r="CA1065" s="30"/>
      <c r="CB1065" s="30"/>
      <c r="CC1065" s="30"/>
      <c r="CD1065" s="30"/>
      <c r="CE1065" s="30"/>
      <c r="CF1065" s="30"/>
      <c r="CG1065" s="30"/>
      <c r="CH1065" s="30"/>
      <c r="CI1065" s="30"/>
      <c r="CJ1065" s="30"/>
      <c r="CK1065" s="30"/>
      <c r="CL1065" s="30"/>
      <c r="CM1065" s="30"/>
      <c r="CN1065" s="30"/>
      <c r="CO1065" s="30"/>
      <c r="CP1065" s="30"/>
      <c r="CQ1065" s="30"/>
      <c r="CR1065" s="30"/>
      <c r="CS1065" s="30"/>
      <c r="CT1065" s="30"/>
      <c r="CU1065" s="30"/>
      <c r="CV1065" s="30"/>
      <c r="CW1065" s="30"/>
      <c r="CX1065" s="30"/>
      <c r="CY1065" s="30"/>
      <c r="CZ1065" s="30"/>
      <c r="DA1065" s="30"/>
      <c r="DB1065" s="30"/>
      <c r="DC1065" s="30"/>
      <c r="DD1065" s="30"/>
      <c r="DE1065" s="30"/>
      <c r="DF1065" s="30"/>
      <c r="DG1065" s="30"/>
      <c r="DH1065" s="30"/>
      <c r="DI1065" s="30"/>
      <c r="DJ1065" s="30"/>
      <c r="DK1065" s="30"/>
      <c r="DL1065" s="30"/>
      <c r="DM1065" s="30"/>
      <c r="DN1065" s="30"/>
      <c r="DO1065" s="30"/>
      <c r="DP1065" s="30"/>
      <c r="DQ1065" s="30"/>
      <c r="DR1065" s="30"/>
      <c r="DS1065" s="30"/>
      <c r="DT1065" s="30"/>
      <c r="DU1065" s="30"/>
      <c r="DV1065" s="30"/>
      <c r="DW1065" s="30"/>
      <c r="DX1065" s="30"/>
      <c r="DY1065" s="30"/>
      <c r="DZ1065" s="30"/>
    </row>
    <row r="1066">
      <c r="A1066" s="30"/>
      <c r="B1066" s="42"/>
      <c r="C1066" s="43"/>
      <c r="D1066" s="30"/>
      <c r="E1066" s="28"/>
      <c r="F1066" s="30"/>
      <c r="G1066" s="30"/>
      <c r="H1066" s="30"/>
      <c r="I1066" s="30"/>
      <c r="J1066" s="28"/>
      <c r="K1066" s="30"/>
      <c r="L1066" s="30"/>
      <c r="M1066" s="30"/>
      <c r="N1066" s="30"/>
      <c r="O1066" s="28"/>
      <c r="P1066" s="30"/>
      <c r="Q1066" s="30"/>
      <c r="R1066" s="30"/>
      <c r="S1066" s="36"/>
      <c r="T1066" s="30"/>
      <c r="U1066" s="36"/>
      <c r="V1066" s="30"/>
      <c r="W1066" s="28"/>
      <c r="X1066" s="30"/>
      <c r="Y1066" s="30"/>
      <c r="Z1066" s="30"/>
      <c r="AA1066" s="30"/>
      <c r="AB1066" s="30"/>
      <c r="AC1066" s="28"/>
      <c r="AD1066" s="30"/>
      <c r="AE1066" s="30"/>
      <c r="AF1066" s="30"/>
      <c r="AG1066" s="29"/>
      <c r="AH1066" s="30"/>
      <c r="AI1066" s="36"/>
      <c r="AJ1066" s="30"/>
      <c r="AK1066" s="29"/>
      <c r="AL1066" s="30"/>
      <c r="AM1066" s="30"/>
      <c r="AN1066" s="30"/>
      <c r="AO1066" s="30"/>
      <c r="AP1066" s="30"/>
      <c r="AQ1066" s="38"/>
      <c r="AR1066" s="30"/>
      <c r="AS1066" s="30"/>
      <c r="AT1066" s="29"/>
      <c r="AU1066" s="30"/>
      <c r="AV1066" s="30"/>
      <c r="AW1066" s="30"/>
      <c r="AX1066" s="29"/>
      <c r="AY1066" s="39"/>
      <c r="AZ1066" s="30"/>
      <c r="BA1066" s="30"/>
      <c r="BB1066" s="29"/>
      <c r="BC1066" s="52"/>
      <c r="BD1066" s="30"/>
      <c r="BE1066" s="29"/>
      <c r="BF1066" s="30"/>
      <c r="BG1066" s="30"/>
      <c r="BH1066" s="30"/>
      <c r="BI1066" s="30"/>
      <c r="BJ1066" s="30"/>
      <c r="BK1066" s="30"/>
      <c r="BL1066" s="30"/>
      <c r="BM1066" s="30"/>
      <c r="BN1066" s="30"/>
      <c r="BO1066" s="30"/>
      <c r="BP1066" s="30"/>
      <c r="BQ1066" s="30"/>
      <c r="BR1066" s="30"/>
      <c r="BS1066" s="30"/>
      <c r="BT1066" s="30"/>
      <c r="BU1066" s="30"/>
      <c r="BV1066" s="30"/>
      <c r="BW1066" s="30"/>
      <c r="BX1066" s="30"/>
      <c r="BY1066" s="30"/>
      <c r="BZ1066" s="30"/>
      <c r="CA1066" s="30"/>
      <c r="CB1066" s="30"/>
      <c r="CC1066" s="30"/>
      <c r="CD1066" s="30"/>
      <c r="CE1066" s="30"/>
      <c r="CF1066" s="30"/>
      <c r="CG1066" s="30"/>
      <c r="CH1066" s="30"/>
      <c r="CI1066" s="30"/>
      <c r="CJ1066" s="30"/>
      <c r="CK1066" s="30"/>
      <c r="CL1066" s="30"/>
      <c r="CM1066" s="30"/>
      <c r="CN1066" s="30"/>
      <c r="CO1066" s="30"/>
      <c r="CP1066" s="30"/>
      <c r="CQ1066" s="30"/>
      <c r="CR1066" s="30"/>
      <c r="CS1066" s="30"/>
      <c r="CT1066" s="30"/>
      <c r="CU1066" s="30"/>
      <c r="CV1066" s="30"/>
      <c r="CW1066" s="30"/>
      <c r="CX1066" s="30"/>
      <c r="CY1066" s="30"/>
      <c r="CZ1066" s="30"/>
      <c r="DA1066" s="30"/>
      <c r="DB1066" s="30"/>
      <c r="DC1066" s="30"/>
      <c r="DD1066" s="30"/>
      <c r="DE1066" s="30"/>
      <c r="DF1066" s="30"/>
      <c r="DG1066" s="30"/>
      <c r="DH1066" s="30"/>
      <c r="DI1066" s="30"/>
      <c r="DJ1066" s="30"/>
      <c r="DK1066" s="30"/>
      <c r="DL1066" s="30"/>
      <c r="DM1066" s="30"/>
      <c r="DN1066" s="30"/>
      <c r="DO1066" s="30"/>
      <c r="DP1066" s="30"/>
      <c r="DQ1066" s="30"/>
      <c r="DR1066" s="30"/>
      <c r="DS1066" s="30"/>
      <c r="DT1066" s="30"/>
      <c r="DU1066" s="30"/>
      <c r="DV1066" s="30"/>
      <c r="DW1066" s="30"/>
      <c r="DX1066" s="30"/>
      <c r="DY1066" s="30"/>
      <c r="DZ1066" s="30"/>
    </row>
    <row r="1067">
      <c r="A1067" s="30"/>
      <c r="B1067" s="42"/>
      <c r="C1067" s="43"/>
      <c r="D1067" s="30"/>
      <c r="E1067" s="28"/>
      <c r="F1067" s="30"/>
      <c r="G1067" s="30"/>
      <c r="H1067" s="30"/>
      <c r="I1067" s="30"/>
      <c r="J1067" s="28"/>
      <c r="K1067" s="30"/>
      <c r="L1067" s="30"/>
      <c r="M1067" s="30"/>
      <c r="N1067" s="30"/>
      <c r="O1067" s="28"/>
      <c r="P1067" s="30"/>
      <c r="Q1067" s="30"/>
      <c r="R1067" s="30"/>
      <c r="S1067" s="36"/>
      <c r="T1067" s="30"/>
      <c r="U1067" s="36"/>
      <c r="V1067" s="30"/>
      <c r="W1067" s="28"/>
      <c r="X1067" s="30"/>
      <c r="Y1067" s="30"/>
      <c r="Z1067" s="30"/>
      <c r="AA1067" s="30"/>
      <c r="AB1067" s="30"/>
      <c r="AC1067" s="28"/>
      <c r="AD1067" s="30"/>
      <c r="AE1067" s="30"/>
      <c r="AF1067" s="30"/>
      <c r="AG1067" s="29"/>
      <c r="AH1067" s="30"/>
      <c r="AI1067" s="36"/>
      <c r="AJ1067" s="30"/>
      <c r="AK1067" s="29"/>
      <c r="AL1067" s="30"/>
      <c r="AM1067" s="30"/>
      <c r="AN1067" s="30"/>
      <c r="AO1067" s="30"/>
      <c r="AP1067" s="30"/>
      <c r="AQ1067" s="38"/>
      <c r="AR1067" s="30"/>
      <c r="AS1067" s="30"/>
      <c r="AT1067" s="29"/>
      <c r="AU1067" s="30"/>
      <c r="AV1067" s="30"/>
      <c r="AW1067" s="30"/>
      <c r="AX1067" s="29"/>
      <c r="AY1067" s="39"/>
      <c r="AZ1067" s="30"/>
      <c r="BA1067" s="30"/>
      <c r="BB1067" s="29"/>
      <c r="BC1067" s="52"/>
      <c r="BD1067" s="30"/>
      <c r="BE1067" s="29"/>
      <c r="BF1067" s="30"/>
      <c r="BG1067" s="30"/>
      <c r="BH1067" s="30"/>
      <c r="BI1067" s="30"/>
      <c r="BJ1067" s="30"/>
      <c r="BK1067" s="30"/>
      <c r="BL1067" s="30"/>
      <c r="BM1067" s="30"/>
      <c r="BN1067" s="30"/>
      <c r="BO1067" s="30"/>
      <c r="BP1067" s="30"/>
      <c r="BQ1067" s="30"/>
      <c r="BR1067" s="30"/>
      <c r="BS1067" s="30"/>
      <c r="BT1067" s="30"/>
      <c r="BU1067" s="30"/>
      <c r="BV1067" s="30"/>
      <c r="BW1067" s="30"/>
      <c r="BX1067" s="30"/>
      <c r="BY1067" s="30"/>
      <c r="BZ1067" s="30"/>
      <c r="CA1067" s="30"/>
      <c r="CB1067" s="30"/>
      <c r="CC1067" s="30"/>
      <c r="CD1067" s="30"/>
      <c r="CE1067" s="30"/>
      <c r="CF1067" s="30"/>
      <c r="CG1067" s="30"/>
      <c r="CH1067" s="30"/>
      <c r="CI1067" s="30"/>
      <c r="CJ1067" s="30"/>
      <c r="CK1067" s="30"/>
      <c r="CL1067" s="30"/>
      <c r="CM1067" s="30"/>
      <c r="CN1067" s="30"/>
      <c r="CO1067" s="30"/>
      <c r="CP1067" s="30"/>
      <c r="CQ1067" s="30"/>
      <c r="CR1067" s="30"/>
      <c r="CS1067" s="30"/>
      <c r="CT1067" s="30"/>
      <c r="CU1067" s="30"/>
      <c r="CV1067" s="30"/>
      <c r="CW1067" s="30"/>
      <c r="CX1067" s="30"/>
      <c r="CY1067" s="30"/>
      <c r="CZ1067" s="30"/>
      <c r="DA1067" s="30"/>
      <c r="DB1067" s="30"/>
      <c r="DC1067" s="30"/>
      <c r="DD1067" s="30"/>
      <c r="DE1067" s="30"/>
      <c r="DF1067" s="30"/>
      <c r="DG1067" s="30"/>
      <c r="DH1067" s="30"/>
      <c r="DI1067" s="30"/>
      <c r="DJ1067" s="30"/>
      <c r="DK1067" s="30"/>
      <c r="DL1067" s="30"/>
      <c r="DM1067" s="30"/>
      <c r="DN1067" s="30"/>
      <c r="DO1067" s="30"/>
      <c r="DP1067" s="30"/>
      <c r="DQ1067" s="30"/>
      <c r="DR1067" s="30"/>
      <c r="DS1067" s="30"/>
      <c r="DT1067" s="30"/>
      <c r="DU1067" s="30"/>
      <c r="DV1067" s="30"/>
      <c r="DW1067" s="30"/>
      <c r="DX1067" s="30"/>
      <c r="DY1067" s="30"/>
      <c r="DZ1067" s="30"/>
    </row>
    <row r="1068">
      <c r="A1068" s="30"/>
      <c r="B1068" s="42"/>
      <c r="C1068" s="43"/>
      <c r="D1068" s="30"/>
      <c r="E1068" s="28"/>
      <c r="F1068" s="30"/>
      <c r="G1068" s="30"/>
      <c r="H1068" s="30"/>
      <c r="I1068" s="30"/>
      <c r="J1068" s="28"/>
      <c r="K1068" s="30"/>
      <c r="L1068" s="30"/>
      <c r="M1068" s="30"/>
      <c r="N1068" s="30"/>
      <c r="O1068" s="28"/>
      <c r="P1068" s="30"/>
      <c r="Q1068" s="30"/>
      <c r="R1068" s="30"/>
      <c r="S1068" s="36"/>
      <c r="T1068" s="30"/>
      <c r="U1068" s="36"/>
      <c r="V1068" s="30"/>
      <c r="W1068" s="28"/>
      <c r="X1068" s="30"/>
      <c r="Y1068" s="30"/>
      <c r="Z1068" s="30"/>
      <c r="AA1068" s="30"/>
      <c r="AB1068" s="30"/>
      <c r="AC1068" s="28"/>
      <c r="AD1068" s="30"/>
      <c r="AE1068" s="30"/>
      <c r="AF1068" s="30"/>
      <c r="AG1068" s="29"/>
      <c r="AH1068" s="30"/>
      <c r="AI1068" s="36"/>
      <c r="AJ1068" s="30"/>
      <c r="AK1068" s="29"/>
      <c r="AL1068" s="30"/>
      <c r="AM1068" s="30"/>
      <c r="AN1068" s="30"/>
      <c r="AO1068" s="30"/>
      <c r="AP1068" s="30"/>
      <c r="AQ1068" s="38"/>
      <c r="AR1068" s="30"/>
      <c r="AS1068" s="30"/>
      <c r="AT1068" s="29"/>
      <c r="AU1068" s="30"/>
      <c r="AV1068" s="30"/>
      <c r="AW1068" s="30"/>
      <c r="AX1068" s="29"/>
      <c r="AY1068" s="39"/>
      <c r="AZ1068" s="30"/>
      <c r="BA1068" s="30"/>
      <c r="BB1068" s="29"/>
      <c r="BC1068" s="52"/>
      <c r="BD1068" s="30"/>
      <c r="BE1068" s="29"/>
      <c r="BF1068" s="30"/>
      <c r="BG1068" s="30"/>
      <c r="BH1068" s="30"/>
      <c r="BI1068" s="30"/>
      <c r="BJ1068" s="30"/>
      <c r="BK1068" s="30"/>
      <c r="BL1068" s="30"/>
      <c r="BM1068" s="30"/>
      <c r="BN1068" s="30"/>
      <c r="BO1068" s="30"/>
      <c r="BP1068" s="30"/>
      <c r="BQ1068" s="30"/>
      <c r="BR1068" s="30"/>
      <c r="BS1068" s="30"/>
      <c r="BT1068" s="30"/>
      <c r="BU1068" s="30"/>
      <c r="BV1068" s="30"/>
      <c r="BW1068" s="30"/>
      <c r="BX1068" s="30"/>
      <c r="BY1068" s="30"/>
      <c r="BZ1068" s="30"/>
      <c r="CA1068" s="30"/>
      <c r="CB1068" s="30"/>
      <c r="CC1068" s="30"/>
      <c r="CD1068" s="30"/>
      <c r="CE1068" s="30"/>
      <c r="CF1068" s="30"/>
      <c r="CG1068" s="30"/>
      <c r="CH1068" s="30"/>
      <c r="CI1068" s="30"/>
      <c r="CJ1068" s="30"/>
      <c r="CK1068" s="30"/>
      <c r="CL1068" s="30"/>
      <c r="CM1068" s="30"/>
      <c r="CN1068" s="30"/>
      <c r="CO1068" s="30"/>
      <c r="CP1068" s="30"/>
      <c r="CQ1068" s="30"/>
      <c r="CR1068" s="30"/>
      <c r="CS1068" s="30"/>
      <c r="CT1068" s="30"/>
      <c r="CU1068" s="30"/>
      <c r="CV1068" s="30"/>
      <c r="CW1068" s="30"/>
      <c r="CX1068" s="30"/>
      <c r="CY1068" s="30"/>
      <c r="CZ1068" s="30"/>
      <c r="DA1068" s="30"/>
      <c r="DB1068" s="30"/>
      <c r="DC1068" s="30"/>
      <c r="DD1068" s="30"/>
      <c r="DE1068" s="30"/>
      <c r="DF1068" s="30"/>
      <c r="DG1068" s="30"/>
      <c r="DH1068" s="30"/>
      <c r="DI1068" s="30"/>
      <c r="DJ1068" s="30"/>
      <c r="DK1068" s="30"/>
      <c r="DL1068" s="30"/>
      <c r="DM1068" s="30"/>
      <c r="DN1068" s="30"/>
      <c r="DO1068" s="30"/>
      <c r="DP1068" s="30"/>
      <c r="DQ1068" s="30"/>
      <c r="DR1068" s="30"/>
      <c r="DS1068" s="30"/>
      <c r="DT1068" s="30"/>
      <c r="DU1068" s="30"/>
      <c r="DV1068" s="30"/>
      <c r="DW1068" s="30"/>
      <c r="DX1068" s="30"/>
      <c r="DY1068" s="30"/>
      <c r="DZ1068" s="30"/>
    </row>
    <row r="1069">
      <c r="A1069" s="30"/>
      <c r="B1069" s="42"/>
      <c r="C1069" s="43"/>
      <c r="D1069" s="30"/>
      <c r="E1069" s="28"/>
      <c r="F1069" s="30"/>
      <c r="G1069" s="30"/>
      <c r="H1069" s="30"/>
      <c r="I1069" s="30"/>
      <c r="J1069" s="28"/>
      <c r="K1069" s="30"/>
      <c r="L1069" s="30"/>
      <c r="M1069" s="30"/>
      <c r="N1069" s="30"/>
      <c r="O1069" s="28"/>
      <c r="P1069" s="30"/>
      <c r="Q1069" s="30"/>
      <c r="R1069" s="30"/>
      <c r="S1069" s="36"/>
      <c r="T1069" s="30"/>
      <c r="U1069" s="36"/>
      <c r="V1069" s="30"/>
      <c r="W1069" s="28"/>
      <c r="X1069" s="30"/>
      <c r="Y1069" s="30"/>
      <c r="Z1069" s="30"/>
      <c r="AA1069" s="30"/>
      <c r="AB1069" s="30"/>
      <c r="AC1069" s="28"/>
      <c r="AD1069" s="30"/>
      <c r="AE1069" s="30"/>
      <c r="AF1069" s="30"/>
      <c r="AG1069" s="29"/>
      <c r="AH1069" s="30"/>
      <c r="AI1069" s="36"/>
      <c r="AJ1069" s="30"/>
      <c r="AK1069" s="29"/>
      <c r="AL1069" s="30"/>
      <c r="AM1069" s="30"/>
      <c r="AN1069" s="30"/>
      <c r="AO1069" s="30"/>
      <c r="AP1069" s="30"/>
      <c r="AQ1069" s="38"/>
      <c r="AR1069" s="30"/>
      <c r="AS1069" s="30"/>
      <c r="AT1069" s="29"/>
      <c r="AU1069" s="30"/>
      <c r="AV1069" s="30"/>
      <c r="AW1069" s="30"/>
      <c r="AX1069" s="29"/>
      <c r="AY1069" s="39"/>
      <c r="AZ1069" s="30"/>
      <c r="BA1069" s="30"/>
      <c r="BB1069" s="29"/>
      <c r="BC1069" s="52"/>
      <c r="BD1069" s="30"/>
      <c r="BE1069" s="29"/>
      <c r="BF1069" s="30"/>
      <c r="BG1069" s="30"/>
      <c r="BH1069" s="30"/>
      <c r="BI1069" s="30"/>
      <c r="BJ1069" s="30"/>
      <c r="BK1069" s="30"/>
      <c r="BL1069" s="30"/>
      <c r="BM1069" s="30"/>
      <c r="BN1069" s="30"/>
      <c r="BO1069" s="30"/>
      <c r="BP1069" s="30"/>
      <c r="BQ1069" s="30"/>
      <c r="BR1069" s="30"/>
      <c r="BS1069" s="30"/>
      <c r="BT1069" s="30"/>
      <c r="BU1069" s="30"/>
      <c r="BV1069" s="30"/>
      <c r="BW1069" s="30"/>
      <c r="BX1069" s="30"/>
      <c r="BY1069" s="30"/>
      <c r="BZ1069" s="30"/>
      <c r="CA1069" s="30"/>
      <c r="CB1069" s="30"/>
      <c r="CC1069" s="30"/>
      <c r="CD1069" s="30"/>
      <c r="CE1069" s="30"/>
      <c r="CF1069" s="30"/>
      <c r="CG1069" s="30"/>
      <c r="CH1069" s="30"/>
      <c r="CI1069" s="30"/>
      <c r="CJ1069" s="30"/>
      <c r="CK1069" s="30"/>
      <c r="CL1069" s="30"/>
      <c r="CM1069" s="30"/>
      <c r="CN1069" s="30"/>
      <c r="CO1069" s="30"/>
      <c r="CP1069" s="30"/>
      <c r="CQ1069" s="30"/>
      <c r="CR1069" s="30"/>
      <c r="CS1069" s="30"/>
      <c r="CT1069" s="30"/>
      <c r="CU1069" s="30"/>
      <c r="CV1069" s="30"/>
      <c r="CW1069" s="30"/>
      <c r="CX1069" s="30"/>
      <c r="CY1069" s="30"/>
      <c r="CZ1069" s="30"/>
      <c r="DA1069" s="30"/>
      <c r="DB1069" s="30"/>
      <c r="DC1069" s="30"/>
      <c r="DD1069" s="30"/>
      <c r="DE1069" s="30"/>
      <c r="DF1069" s="30"/>
      <c r="DG1069" s="30"/>
      <c r="DH1069" s="30"/>
      <c r="DI1069" s="30"/>
      <c r="DJ1069" s="30"/>
      <c r="DK1069" s="30"/>
      <c r="DL1069" s="30"/>
      <c r="DM1069" s="30"/>
      <c r="DN1069" s="30"/>
      <c r="DO1069" s="30"/>
      <c r="DP1069" s="30"/>
      <c r="DQ1069" s="30"/>
      <c r="DR1069" s="30"/>
      <c r="DS1069" s="30"/>
      <c r="DT1069" s="30"/>
      <c r="DU1069" s="30"/>
      <c r="DV1069" s="30"/>
      <c r="DW1069" s="30"/>
      <c r="DX1069" s="30"/>
      <c r="DY1069" s="30"/>
      <c r="DZ1069" s="30"/>
    </row>
    <row r="1070">
      <c r="A1070" s="30"/>
      <c r="B1070" s="42"/>
      <c r="C1070" s="43"/>
      <c r="D1070" s="30"/>
      <c r="E1070" s="28"/>
      <c r="F1070" s="30"/>
      <c r="G1070" s="30"/>
      <c r="H1070" s="30"/>
      <c r="I1070" s="30"/>
      <c r="J1070" s="28"/>
      <c r="K1070" s="30"/>
      <c r="L1070" s="30"/>
      <c r="M1070" s="30"/>
      <c r="N1070" s="30"/>
      <c r="O1070" s="28"/>
      <c r="P1070" s="30"/>
      <c r="Q1070" s="30"/>
      <c r="R1070" s="30"/>
      <c r="S1070" s="36"/>
      <c r="T1070" s="30"/>
      <c r="U1070" s="36"/>
      <c r="V1070" s="30"/>
      <c r="W1070" s="28"/>
      <c r="X1070" s="30"/>
      <c r="Y1070" s="30"/>
      <c r="Z1070" s="30"/>
      <c r="AA1070" s="30"/>
      <c r="AB1070" s="30"/>
      <c r="AC1070" s="28"/>
      <c r="AD1070" s="30"/>
      <c r="AE1070" s="30"/>
      <c r="AF1070" s="30"/>
      <c r="AG1070" s="29"/>
      <c r="AH1070" s="30"/>
      <c r="AI1070" s="36"/>
      <c r="AJ1070" s="30"/>
      <c r="AK1070" s="29"/>
      <c r="AL1070" s="30"/>
      <c r="AM1070" s="30"/>
      <c r="AN1070" s="30"/>
      <c r="AO1070" s="30"/>
      <c r="AP1070" s="30"/>
      <c r="AQ1070" s="38"/>
      <c r="AR1070" s="30"/>
      <c r="AS1070" s="30"/>
      <c r="AT1070" s="29"/>
      <c r="AU1070" s="30"/>
      <c r="AV1070" s="30"/>
      <c r="AW1070" s="30"/>
      <c r="AX1070" s="29"/>
      <c r="AY1070" s="39"/>
      <c r="AZ1070" s="30"/>
      <c r="BA1070" s="30"/>
      <c r="BB1070" s="29"/>
      <c r="BC1070" s="52"/>
      <c r="BD1070" s="30"/>
      <c r="BE1070" s="29"/>
      <c r="BF1070" s="30"/>
      <c r="BG1070" s="30"/>
      <c r="BH1070" s="30"/>
      <c r="BI1070" s="30"/>
      <c r="BJ1070" s="30"/>
      <c r="BK1070" s="30"/>
      <c r="BL1070" s="30"/>
      <c r="BM1070" s="30"/>
      <c r="BN1070" s="30"/>
      <c r="BO1070" s="30"/>
      <c r="BP1070" s="30"/>
      <c r="BQ1070" s="30"/>
      <c r="BR1070" s="30"/>
      <c r="BS1070" s="30"/>
      <c r="BT1070" s="30"/>
      <c r="BU1070" s="30"/>
      <c r="BV1070" s="30"/>
      <c r="BW1070" s="30"/>
      <c r="BX1070" s="30"/>
      <c r="BY1070" s="30"/>
      <c r="BZ1070" s="30"/>
      <c r="CA1070" s="30"/>
      <c r="CB1070" s="30"/>
      <c r="CC1070" s="30"/>
      <c r="CD1070" s="30"/>
      <c r="CE1070" s="30"/>
      <c r="CF1070" s="30"/>
      <c r="CG1070" s="30"/>
      <c r="CH1070" s="30"/>
      <c r="CI1070" s="30"/>
      <c r="CJ1070" s="30"/>
      <c r="CK1070" s="30"/>
      <c r="CL1070" s="30"/>
      <c r="CM1070" s="30"/>
      <c r="CN1070" s="30"/>
      <c r="CO1070" s="30"/>
      <c r="CP1070" s="30"/>
      <c r="CQ1070" s="30"/>
      <c r="CR1070" s="30"/>
      <c r="CS1070" s="30"/>
      <c r="CT1070" s="30"/>
      <c r="CU1070" s="30"/>
      <c r="CV1070" s="30"/>
      <c r="CW1070" s="30"/>
      <c r="CX1070" s="30"/>
      <c r="CY1070" s="30"/>
      <c r="CZ1070" s="30"/>
      <c r="DA1070" s="30"/>
      <c r="DB1070" s="30"/>
      <c r="DC1070" s="30"/>
      <c r="DD1070" s="30"/>
      <c r="DE1070" s="30"/>
      <c r="DF1070" s="30"/>
      <c r="DG1070" s="30"/>
      <c r="DH1070" s="30"/>
      <c r="DI1070" s="30"/>
      <c r="DJ1070" s="30"/>
      <c r="DK1070" s="30"/>
      <c r="DL1070" s="30"/>
      <c r="DM1070" s="30"/>
      <c r="DN1070" s="30"/>
      <c r="DO1070" s="30"/>
      <c r="DP1070" s="30"/>
      <c r="DQ1070" s="30"/>
      <c r="DR1070" s="30"/>
      <c r="DS1070" s="30"/>
      <c r="DT1070" s="30"/>
      <c r="DU1070" s="30"/>
      <c r="DV1070" s="30"/>
      <c r="DW1070" s="30"/>
      <c r="DX1070" s="30"/>
      <c r="DY1070" s="30"/>
      <c r="DZ1070" s="30"/>
    </row>
    <row r="1071">
      <c r="A1071" s="30"/>
      <c r="B1071" s="42"/>
      <c r="C1071" s="43"/>
      <c r="D1071" s="30"/>
      <c r="E1071" s="28"/>
      <c r="F1071" s="30"/>
      <c r="G1071" s="30"/>
      <c r="H1071" s="30"/>
      <c r="I1071" s="30"/>
      <c r="J1071" s="28"/>
      <c r="K1071" s="30"/>
      <c r="L1071" s="30"/>
      <c r="M1071" s="30"/>
      <c r="N1071" s="30"/>
      <c r="O1071" s="28"/>
      <c r="P1071" s="30"/>
      <c r="Q1071" s="30"/>
      <c r="R1071" s="30"/>
      <c r="S1071" s="36"/>
      <c r="T1071" s="30"/>
      <c r="U1071" s="36"/>
      <c r="V1071" s="30"/>
      <c r="W1071" s="28"/>
      <c r="X1071" s="30"/>
      <c r="Y1071" s="30"/>
      <c r="Z1071" s="30"/>
      <c r="AA1071" s="30"/>
      <c r="AB1071" s="30"/>
      <c r="AC1071" s="28"/>
      <c r="AD1071" s="30"/>
      <c r="AE1071" s="30"/>
      <c r="AF1071" s="30"/>
      <c r="AG1071" s="29"/>
      <c r="AH1071" s="30"/>
      <c r="AI1071" s="36"/>
      <c r="AJ1071" s="30"/>
      <c r="AK1071" s="29"/>
      <c r="AL1071" s="30"/>
      <c r="AM1071" s="30"/>
      <c r="AN1071" s="30"/>
      <c r="AO1071" s="30"/>
      <c r="AP1071" s="30"/>
      <c r="AQ1071" s="38"/>
      <c r="AR1071" s="30"/>
      <c r="AS1071" s="30"/>
      <c r="AT1071" s="29"/>
      <c r="AU1071" s="30"/>
      <c r="AV1071" s="30"/>
      <c r="AW1071" s="30"/>
      <c r="AX1071" s="29"/>
      <c r="AY1071" s="39"/>
      <c r="AZ1071" s="30"/>
      <c r="BA1071" s="30"/>
      <c r="BB1071" s="29"/>
      <c r="BC1071" s="52"/>
      <c r="BD1071" s="30"/>
      <c r="BE1071" s="29"/>
      <c r="BF1071" s="30"/>
      <c r="BG1071" s="30"/>
      <c r="BH1071" s="30"/>
      <c r="BI1071" s="30"/>
      <c r="BJ1071" s="30"/>
      <c r="BK1071" s="30"/>
      <c r="BL1071" s="30"/>
      <c r="BM1071" s="30"/>
      <c r="BN1071" s="30"/>
      <c r="BO1071" s="30"/>
      <c r="BP1071" s="30"/>
      <c r="BQ1071" s="30"/>
      <c r="BR1071" s="30"/>
      <c r="BS1071" s="30"/>
      <c r="BT1071" s="30"/>
      <c r="BU1071" s="30"/>
      <c r="BV1071" s="30"/>
      <c r="BW1071" s="30"/>
      <c r="BX1071" s="30"/>
      <c r="BY1071" s="30"/>
      <c r="BZ1071" s="30"/>
      <c r="CA1071" s="30"/>
      <c r="CB1071" s="30"/>
      <c r="CC1071" s="30"/>
      <c r="CD1071" s="30"/>
      <c r="CE1071" s="30"/>
      <c r="CF1071" s="30"/>
      <c r="CG1071" s="30"/>
      <c r="CH1071" s="30"/>
      <c r="CI1071" s="30"/>
      <c r="CJ1071" s="30"/>
      <c r="CK1071" s="30"/>
      <c r="CL1071" s="30"/>
      <c r="CM1071" s="30"/>
      <c r="CN1071" s="30"/>
      <c r="CO1071" s="30"/>
      <c r="CP1071" s="30"/>
      <c r="CQ1071" s="30"/>
      <c r="CR1071" s="30"/>
      <c r="CS1071" s="30"/>
      <c r="CT1071" s="30"/>
      <c r="CU1071" s="30"/>
      <c r="CV1071" s="30"/>
      <c r="CW1071" s="30"/>
      <c r="CX1071" s="30"/>
      <c r="CY1071" s="30"/>
      <c r="CZ1071" s="30"/>
      <c r="DA1071" s="30"/>
      <c r="DB1071" s="30"/>
      <c r="DC1071" s="30"/>
      <c r="DD1071" s="30"/>
      <c r="DE1071" s="30"/>
      <c r="DF1071" s="30"/>
      <c r="DG1071" s="30"/>
      <c r="DH1071" s="30"/>
      <c r="DI1071" s="30"/>
      <c r="DJ1071" s="30"/>
      <c r="DK1071" s="30"/>
      <c r="DL1071" s="30"/>
      <c r="DM1071" s="30"/>
      <c r="DN1071" s="30"/>
      <c r="DO1071" s="30"/>
      <c r="DP1071" s="30"/>
      <c r="DQ1071" s="30"/>
      <c r="DR1071" s="30"/>
      <c r="DS1071" s="30"/>
      <c r="DT1071" s="30"/>
      <c r="DU1071" s="30"/>
      <c r="DV1071" s="30"/>
      <c r="DW1071" s="30"/>
      <c r="DX1071" s="30"/>
      <c r="DY1071" s="30"/>
      <c r="DZ1071" s="30"/>
    </row>
    <row r="1072">
      <c r="A1072" s="30"/>
      <c r="B1072" s="42"/>
      <c r="C1072" s="43"/>
      <c r="D1072" s="30"/>
      <c r="E1072" s="28"/>
      <c r="F1072" s="30"/>
      <c r="G1072" s="30"/>
      <c r="H1072" s="30"/>
      <c r="I1072" s="30"/>
      <c r="J1072" s="28"/>
      <c r="K1072" s="30"/>
      <c r="L1072" s="30"/>
      <c r="M1072" s="30"/>
      <c r="N1072" s="30"/>
      <c r="O1072" s="28"/>
      <c r="P1072" s="30"/>
      <c r="Q1072" s="30"/>
      <c r="R1072" s="30"/>
      <c r="S1072" s="36"/>
      <c r="T1072" s="30"/>
      <c r="U1072" s="36"/>
      <c r="V1072" s="30"/>
      <c r="W1072" s="28"/>
      <c r="X1072" s="30"/>
      <c r="Y1072" s="30"/>
      <c r="Z1072" s="30"/>
      <c r="AA1072" s="30"/>
      <c r="AB1072" s="30"/>
      <c r="AC1072" s="28"/>
      <c r="AD1072" s="30"/>
      <c r="AE1072" s="30"/>
      <c r="AF1072" s="30"/>
      <c r="AG1072" s="29"/>
      <c r="AH1072" s="30"/>
      <c r="AI1072" s="36"/>
      <c r="AJ1072" s="30"/>
      <c r="AK1072" s="29"/>
      <c r="AL1072" s="30"/>
      <c r="AM1072" s="30"/>
      <c r="AN1072" s="30"/>
      <c r="AO1072" s="30"/>
      <c r="AP1072" s="30"/>
      <c r="AQ1072" s="38"/>
      <c r="AR1072" s="30"/>
      <c r="AS1072" s="30"/>
      <c r="AT1072" s="29"/>
      <c r="AU1072" s="30"/>
      <c r="AV1072" s="30"/>
      <c r="AW1072" s="30"/>
      <c r="AX1072" s="29"/>
      <c r="AY1072" s="39"/>
      <c r="AZ1072" s="30"/>
      <c r="BA1072" s="30"/>
      <c r="BB1072" s="29"/>
      <c r="BC1072" s="52"/>
      <c r="BD1072" s="30"/>
      <c r="BE1072" s="29"/>
      <c r="BF1072" s="30"/>
      <c r="BG1072" s="30"/>
      <c r="BH1072" s="30"/>
      <c r="BI1072" s="30"/>
      <c r="BJ1072" s="30"/>
      <c r="BK1072" s="30"/>
      <c r="BL1072" s="30"/>
      <c r="BM1072" s="30"/>
      <c r="BN1072" s="30"/>
      <c r="BO1072" s="30"/>
      <c r="BP1072" s="30"/>
      <c r="BQ1072" s="30"/>
      <c r="BR1072" s="30"/>
      <c r="BS1072" s="30"/>
      <c r="BT1072" s="30"/>
      <c r="BU1072" s="30"/>
      <c r="BV1072" s="30"/>
      <c r="BW1072" s="30"/>
      <c r="BX1072" s="30"/>
      <c r="BY1072" s="30"/>
      <c r="BZ1072" s="30"/>
      <c r="CA1072" s="30"/>
      <c r="CB1072" s="30"/>
      <c r="CC1072" s="30"/>
      <c r="CD1072" s="30"/>
      <c r="CE1072" s="30"/>
      <c r="CF1072" s="30"/>
      <c r="CG1072" s="30"/>
      <c r="CH1072" s="30"/>
      <c r="CI1072" s="30"/>
      <c r="CJ1072" s="30"/>
      <c r="CK1072" s="30"/>
      <c r="CL1072" s="30"/>
      <c r="CM1072" s="30"/>
      <c r="CN1072" s="30"/>
      <c r="CO1072" s="30"/>
      <c r="CP1072" s="30"/>
      <c r="CQ1072" s="30"/>
      <c r="CR1072" s="30"/>
      <c r="CS1072" s="30"/>
      <c r="CT1072" s="30"/>
      <c r="CU1072" s="30"/>
      <c r="CV1072" s="30"/>
      <c r="CW1072" s="30"/>
      <c r="CX1072" s="30"/>
      <c r="CY1072" s="30"/>
      <c r="CZ1072" s="30"/>
      <c r="DA1072" s="30"/>
      <c r="DB1072" s="30"/>
      <c r="DC1072" s="30"/>
      <c r="DD1072" s="30"/>
      <c r="DE1072" s="30"/>
      <c r="DF1072" s="30"/>
      <c r="DG1072" s="30"/>
      <c r="DH1072" s="30"/>
      <c r="DI1072" s="30"/>
      <c r="DJ1072" s="30"/>
      <c r="DK1072" s="30"/>
      <c r="DL1072" s="30"/>
      <c r="DM1072" s="30"/>
      <c r="DN1072" s="30"/>
      <c r="DO1072" s="30"/>
      <c r="DP1072" s="30"/>
      <c r="DQ1072" s="30"/>
      <c r="DR1072" s="30"/>
      <c r="DS1072" s="30"/>
      <c r="DT1072" s="30"/>
      <c r="DU1072" s="30"/>
      <c r="DV1072" s="30"/>
      <c r="DW1072" s="30"/>
      <c r="DX1072" s="30"/>
      <c r="DY1072" s="30"/>
      <c r="DZ1072" s="30"/>
    </row>
    <row r="1073">
      <c r="A1073" s="30"/>
      <c r="B1073" s="42"/>
      <c r="C1073" s="43"/>
      <c r="D1073" s="30"/>
      <c r="E1073" s="28"/>
      <c r="F1073" s="30"/>
      <c r="G1073" s="30"/>
      <c r="H1073" s="30"/>
      <c r="I1073" s="30"/>
      <c r="J1073" s="28"/>
      <c r="K1073" s="30"/>
      <c r="L1073" s="30"/>
      <c r="M1073" s="30"/>
      <c r="N1073" s="30"/>
      <c r="O1073" s="28"/>
      <c r="P1073" s="30"/>
      <c r="Q1073" s="30"/>
      <c r="R1073" s="30"/>
      <c r="S1073" s="36"/>
      <c r="T1073" s="30"/>
      <c r="U1073" s="36"/>
      <c r="V1073" s="30"/>
      <c r="W1073" s="28"/>
      <c r="X1073" s="30"/>
      <c r="Y1073" s="30"/>
      <c r="Z1073" s="30"/>
      <c r="AA1073" s="30"/>
      <c r="AB1073" s="30"/>
      <c r="AC1073" s="28"/>
      <c r="AD1073" s="30"/>
      <c r="AE1073" s="30"/>
      <c r="AF1073" s="30"/>
      <c r="AG1073" s="29"/>
      <c r="AH1073" s="30"/>
      <c r="AI1073" s="36"/>
      <c r="AJ1073" s="30"/>
      <c r="AK1073" s="29"/>
      <c r="AL1073" s="30"/>
      <c r="AM1073" s="30"/>
      <c r="AN1073" s="30"/>
      <c r="AO1073" s="30"/>
      <c r="AP1073" s="30"/>
      <c r="AQ1073" s="38"/>
      <c r="AR1073" s="30"/>
      <c r="AS1073" s="30"/>
      <c r="AT1073" s="29"/>
      <c r="AU1073" s="30"/>
      <c r="AV1073" s="30"/>
      <c r="AW1073" s="30"/>
      <c r="AX1073" s="29"/>
      <c r="AY1073" s="39"/>
      <c r="AZ1073" s="30"/>
      <c r="BA1073" s="30"/>
      <c r="BB1073" s="29"/>
      <c r="BC1073" s="52"/>
      <c r="BD1073" s="30"/>
      <c r="BE1073" s="29"/>
      <c r="BF1073" s="30"/>
      <c r="BG1073" s="30"/>
      <c r="BH1073" s="30"/>
      <c r="BI1073" s="30"/>
      <c r="BJ1073" s="30"/>
      <c r="BK1073" s="30"/>
      <c r="BL1073" s="30"/>
      <c r="BM1073" s="30"/>
      <c r="BN1073" s="30"/>
      <c r="BO1073" s="30"/>
      <c r="BP1073" s="30"/>
      <c r="BQ1073" s="30"/>
      <c r="BR1073" s="30"/>
      <c r="BS1073" s="30"/>
      <c r="BT1073" s="30"/>
      <c r="BU1073" s="30"/>
      <c r="BV1073" s="30"/>
      <c r="BW1073" s="30"/>
      <c r="BX1073" s="30"/>
      <c r="BY1073" s="30"/>
      <c r="BZ1073" s="30"/>
      <c r="CA1073" s="30"/>
      <c r="CB1073" s="30"/>
      <c r="CC1073" s="30"/>
      <c r="CD1073" s="30"/>
      <c r="CE1073" s="30"/>
      <c r="CF1073" s="30"/>
      <c r="CG1073" s="30"/>
      <c r="CH1073" s="30"/>
      <c r="CI1073" s="30"/>
      <c r="CJ1073" s="30"/>
      <c r="CK1073" s="30"/>
      <c r="CL1073" s="30"/>
      <c r="CM1073" s="30"/>
      <c r="CN1073" s="30"/>
      <c r="CO1073" s="30"/>
      <c r="CP1073" s="30"/>
      <c r="CQ1073" s="30"/>
      <c r="CR1073" s="30"/>
      <c r="CS1073" s="30"/>
      <c r="CT1073" s="30"/>
      <c r="CU1073" s="30"/>
      <c r="CV1073" s="30"/>
      <c r="CW1073" s="30"/>
      <c r="CX1073" s="30"/>
      <c r="CY1073" s="30"/>
      <c r="CZ1073" s="30"/>
      <c r="DA1073" s="30"/>
      <c r="DB1073" s="30"/>
      <c r="DC1073" s="30"/>
      <c r="DD1073" s="30"/>
      <c r="DE1073" s="30"/>
      <c r="DF1073" s="30"/>
      <c r="DG1073" s="30"/>
      <c r="DH1073" s="30"/>
      <c r="DI1073" s="30"/>
      <c r="DJ1073" s="30"/>
      <c r="DK1073" s="30"/>
      <c r="DL1073" s="30"/>
      <c r="DM1073" s="30"/>
      <c r="DN1073" s="30"/>
      <c r="DO1073" s="30"/>
      <c r="DP1073" s="30"/>
      <c r="DQ1073" s="30"/>
      <c r="DR1073" s="30"/>
      <c r="DS1073" s="30"/>
      <c r="DT1073" s="30"/>
      <c r="DU1073" s="30"/>
      <c r="DV1073" s="30"/>
      <c r="DW1073" s="30"/>
      <c r="DX1073" s="30"/>
      <c r="DY1073" s="30"/>
      <c r="DZ1073" s="30"/>
    </row>
    <row r="1074">
      <c r="A1074" s="30"/>
      <c r="B1074" s="42"/>
      <c r="C1074" s="43"/>
      <c r="D1074" s="30"/>
      <c r="E1074" s="28"/>
      <c r="F1074" s="30"/>
      <c r="G1074" s="30"/>
      <c r="H1074" s="30"/>
      <c r="I1074" s="30"/>
      <c r="J1074" s="28"/>
      <c r="K1074" s="30"/>
      <c r="L1074" s="30"/>
      <c r="M1074" s="30"/>
      <c r="N1074" s="30"/>
      <c r="O1074" s="28"/>
      <c r="P1074" s="30"/>
      <c r="Q1074" s="30"/>
      <c r="R1074" s="30"/>
      <c r="S1074" s="36"/>
      <c r="T1074" s="30"/>
      <c r="U1074" s="36"/>
      <c r="V1074" s="30"/>
      <c r="W1074" s="28"/>
      <c r="X1074" s="30"/>
      <c r="Y1074" s="30"/>
      <c r="Z1074" s="30"/>
      <c r="AA1074" s="30"/>
      <c r="AB1074" s="30"/>
      <c r="AC1074" s="28"/>
      <c r="AD1074" s="30"/>
      <c r="AE1074" s="30"/>
      <c r="AF1074" s="30"/>
      <c r="AG1074" s="29"/>
      <c r="AH1074" s="30"/>
      <c r="AI1074" s="36"/>
      <c r="AJ1074" s="30"/>
      <c r="AK1074" s="29"/>
      <c r="AL1074" s="30"/>
      <c r="AM1074" s="30"/>
      <c r="AN1074" s="30"/>
      <c r="AO1074" s="30"/>
      <c r="AP1074" s="30"/>
      <c r="AQ1074" s="38"/>
      <c r="AR1074" s="30"/>
      <c r="AS1074" s="30"/>
      <c r="AT1074" s="29"/>
      <c r="AU1074" s="30"/>
      <c r="AV1074" s="30"/>
      <c r="AW1074" s="30"/>
      <c r="AX1074" s="29"/>
      <c r="AY1074" s="39"/>
      <c r="AZ1074" s="30"/>
      <c r="BA1074" s="30"/>
      <c r="BB1074" s="29"/>
      <c r="BC1074" s="52"/>
      <c r="BD1074" s="30"/>
      <c r="BE1074" s="29"/>
      <c r="BF1074" s="30"/>
      <c r="BG1074" s="30"/>
      <c r="BH1074" s="30"/>
      <c r="BI1074" s="30"/>
      <c r="BJ1074" s="30"/>
      <c r="BK1074" s="30"/>
      <c r="BL1074" s="30"/>
      <c r="BM1074" s="30"/>
      <c r="BN1074" s="30"/>
      <c r="BO1074" s="30"/>
      <c r="BP1074" s="30"/>
      <c r="BQ1074" s="30"/>
      <c r="BR1074" s="30"/>
      <c r="BS1074" s="30"/>
      <c r="BT1074" s="30"/>
      <c r="BU1074" s="30"/>
      <c r="BV1074" s="30"/>
      <c r="BW1074" s="30"/>
      <c r="BX1074" s="30"/>
      <c r="BY1074" s="30"/>
      <c r="BZ1074" s="30"/>
      <c r="CA1074" s="30"/>
      <c r="CB1074" s="30"/>
      <c r="CC1074" s="30"/>
      <c r="CD1074" s="30"/>
      <c r="CE1074" s="30"/>
      <c r="CF1074" s="30"/>
      <c r="CG1074" s="30"/>
      <c r="CH1074" s="30"/>
      <c r="CI1074" s="30"/>
      <c r="CJ1074" s="30"/>
      <c r="CK1074" s="30"/>
      <c r="CL1074" s="30"/>
      <c r="CM1074" s="30"/>
      <c r="CN1074" s="30"/>
      <c r="CO1074" s="30"/>
      <c r="CP1074" s="30"/>
      <c r="CQ1074" s="30"/>
      <c r="CR1074" s="30"/>
      <c r="CS1074" s="30"/>
      <c r="CT1074" s="30"/>
      <c r="CU1074" s="30"/>
      <c r="CV1074" s="30"/>
      <c r="CW1074" s="30"/>
      <c r="CX1074" s="30"/>
      <c r="CY1074" s="30"/>
      <c r="CZ1074" s="30"/>
      <c r="DA1074" s="30"/>
      <c r="DB1074" s="30"/>
      <c r="DC1074" s="30"/>
      <c r="DD1074" s="30"/>
      <c r="DE1074" s="30"/>
      <c r="DF1074" s="30"/>
      <c r="DG1074" s="30"/>
      <c r="DH1074" s="30"/>
      <c r="DI1074" s="30"/>
      <c r="DJ1074" s="30"/>
      <c r="DK1074" s="30"/>
      <c r="DL1074" s="30"/>
      <c r="DM1074" s="30"/>
      <c r="DN1074" s="30"/>
      <c r="DO1074" s="30"/>
      <c r="DP1074" s="30"/>
      <c r="DQ1074" s="30"/>
      <c r="DR1074" s="30"/>
      <c r="DS1074" s="30"/>
      <c r="DT1074" s="30"/>
      <c r="DU1074" s="30"/>
      <c r="DV1074" s="30"/>
      <c r="DW1074" s="30"/>
      <c r="DX1074" s="30"/>
      <c r="DY1074" s="30"/>
      <c r="DZ1074" s="30"/>
    </row>
    <row r="1075">
      <c r="A1075" s="30"/>
      <c r="B1075" s="42"/>
      <c r="C1075" s="43"/>
      <c r="D1075" s="30"/>
      <c r="E1075" s="28"/>
      <c r="F1075" s="30"/>
      <c r="G1075" s="30"/>
      <c r="H1075" s="30"/>
      <c r="I1075" s="30"/>
      <c r="J1075" s="28"/>
      <c r="K1075" s="30"/>
      <c r="L1075" s="30"/>
      <c r="M1075" s="30"/>
      <c r="N1075" s="30"/>
      <c r="O1075" s="28"/>
      <c r="P1075" s="30"/>
      <c r="Q1075" s="30"/>
      <c r="R1075" s="30"/>
      <c r="S1075" s="36"/>
      <c r="T1075" s="30"/>
      <c r="U1075" s="36"/>
      <c r="V1075" s="30"/>
      <c r="W1075" s="28"/>
      <c r="X1075" s="30"/>
      <c r="Y1075" s="30"/>
      <c r="Z1075" s="30"/>
      <c r="AA1075" s="30"/>
      <c r="AB1075" s="30"/>
      <c r="AC1075" s="28"/>
      <c r="AD1075" s="30"/>
      <c r="AE1075" s="30"/>
      <c r="AF1075" s="30"/>
      <c r="AG1075" s="29"/>
      <c r="AH1075" s="30"/>
      <c r="AI1075" s="36"/>
      <c r="AJ1075" s="30"/>
      <c r="AK1075" s="29"/>
      <c r="AL1075" s="30"/>
      <c r="AM1075" s="30"/>
      <c r="AN1075" s="30"/>
      <c r="AO1075" s="30"/>
      <c r="AP1075" s="30"/>
      <c r="AQ1075" s="38"/>
      <c r="AR1075" s="30"/>
      <c r="AS1075" s="30"/>
      <c r="AT1075" s="29"/>
      <c r="AU1075" s="30"/>
      <c r="AV1075" s="30"/>
      <c r="AW1075" s="30"/>
      <c r="AX1075" s="29"/>
      <c r="AY1075" s="39"/>
      <c r="AZ1075" s="30"/>
      <c r="BA1075" s="30"/>
      <c r="BB1075" s="29"/>
      <c r="BC1075" s="52"/>
      <c r="BD1075" s="30"/>
      <c r="BE1075" s="29"/>
      <c r="BF1075" s="30"/>
      <c r="BG1075" s="30"/>
      <c r="BH1075" s="30"/>
      <c r="BI1075" s="30"/>
      <c r="BJ1075" s="30"/>
      <c r="BK1075" s="30"/>
      <c r="BL1075" s="30"/>
      <c r="BM1075" s="30"/>
      <c r="BN1075" s="30"/>
      <c r="BO1075" s="30"/>
      <c r="BP1075" s="30"/>
      <c r="BQ1075" s="30"/>
      <c r="BR1075" s="30"/>
      <c r="BS1075" s="30"/>
      <c r="BT1075" s="30"/>
      <c r="BU1075" s="30"/>
      <c r="BV1075" s="30"/>
      <c r="BW1075" s="30"/>
      <c r="BX1075" s="30"/>
      <c r="BY1075" s="30"/>
      <c r="BZ1075" s="30"/>
      <c r="CA1075" s="30"/>
      <c r="CB1075" s="30"/>
      <c r="CC1075" s="30"/>
      <c r="CD1075" s="30"/>
      <c r="CE1075" s="30"/>
      <c r="CF1075" s="30"/>
      <c r="CG1075" s="30"/>
      <c r="CH1075" s="30"/>
      <c r="CI1075" s="30"/>
      <c r="CJ1075" s="30"/>
      <c r="CK1075" s="30"/>
      <c r="CL1075" s="30"/>
      <c r="CM1075" s="30"/>
      <c r="CN1075" s="30"/>
      <c r="CO1075" s="30"/>
      <c r="CP1075" s="30"/>
      <c r="CQ1075" s="30"/>
      <c r="CR1075" s="30"/>
      <c r="CS1075" s="30"/>
      <c r="CT1075" s="30"/>
      <c r="CU1075" s="30"/>
      <c r="CV1075" s="30"/>
      <c r="CW1075" s="30"/>
      <c r="CX1075" s="30"/>
      <c r="CY1075" s="30"/>
      <c r="CZ1075" s="30"/>
      <c r="DA1075" s="30"/>
      <c r="DB1075" s="30"/>
      <c r="DC1075" s="30"/>
      <c r="DD1075" s="30"/>
      <c r="DE1075" s="30"/>
      <c r="DF1075" s="30"/>
      <c r="DG1075" s="30"/>
      <c r="DH1075" s="30"/>
      <c r="DI1075" s="30"/>
      <c r="DJ1075" s="30"/>
      <c r="DK1075" s="30"/>
      <c r="DL1075" s="30"/>
      <c r="DM1075" s="30"/>
      <c r="DN1075" s="30"/>
      <c r="DO1075" s="30"/>
      <c r="DP1075" s="30"/>
      <c r="DQ1075" s="30"/>
      <c r="DR1075" s="30"/>
      <c r="DS1075" s="30"/>
      <c r="DT1075" s="30"/>
      <c r="DU1075" s="30"/>
      <c r="DV1075" s="30"/>
      <c r="DW1075" s="30"/>
      <c r="DX1075" s="30"/>
      <c r="DY1075" s="30"/>
      <c r="DZ1075" s="30"/>
    </row>
    <row r="1076">
      <c r="A1076" s="30"/>
      <c r="B1076" s="42"/>
      <c r="C1076" s="43"/>
      <c r="D1076" s="30"/>
      <c r="E1076" s="28"/>
      <c r="F1076" s="30"/>
      <c r="G1076" s="30"/>
      <c r="H1076" s="30"/>
      <c r="I1076" s="30"/>
      <c r="J1076" s="28"/>
      <c r="K1076" s="30"/>
      <c r="L1076" s="30"/>
      <c r="M1076" s="30"/>
      <c r="N1076" s="30"/>
      <c r="O1076" s="28"/>
      <c r="P1076" s="30"/>
      <c r="Q1076" s="30"/>
      <c r="R1076" s="30"/>
      <c r="S1076" s="36"/>
      <c r="T1076" s="30"/>
      <c r="U1076" s="36"/>
      <c r="V1076" s="30"/>
      <c r="W1076" s="28"/>
      <c r="X1076" s="30"/>
      <c r="Y1076" s="30"/>
      <c r="Z1076" s="30"/>
      <c r="AA1076" s="30"/>
      <c r="AB1076" s="30"/>
      <c r="AC1076" s="28"/>
      <c r="AD1076" s="30"/>
      <c r="AE1076" s="30"/>
      <c r="AF1076" s="30"/>
      <c r="AG1076" s="29"/>
      <c r="AH1076" s="30"/>
      <c r="AI1076" s="36"/>
      <c r="AJ1076" s="30"/>
      <c r="AK1076" s="29"/>
      <c r="AL1076" s="30"/>
      <c r="AM1076" s="30"/>
      <c r="AN1076" s="30"/>
      <c r="AO1076" s="30"/>
      <c r="AP1076" s="30"/>
      <c r="AQ1076" s="38"/>
      <c r="AR1076" s="30"/>
      <c r="AS1076" s="30"/>
      <c r="AT1076" s="29"/>
      <c r="AU1076" s="30"/>
      <c r="AV1076" s="30"/>
      <c r="AW1076" s="30"/>
      <c r="AX1076" s="29"/>
      <c r="AY1076" s="39"/>
      <c r="AZ1076" s="30"/>
      <c r="BA1076" s="30"/>
      <c r="BB1076" s="29"/>
      <c r="BC1076" s="52"/>
      <c r="BD1076" s="30"/>
      <c r="BE1076" s="29"/>
      <c r="BF1076" s="30"/>
      <c r="BG1076" s="30"/>
      <c r="BH1076" s="30"/>
      <c r="BI1076" s="30"/>
      <c r="BJ1076" s="30"/>
      <c r="BK1076" s="30"/>
      <c r="BL1076" s="30"/>
      <c r="BM1076" s="30"/>
      <c r="BN1076" s="30"/>
      <c r="BO1076" s="30"/>
      <c r="BP1076" s="30"/>
      <c r="BQ1076" s="30"/>
      <c r="BR1076" s="30"/>
      <c r="BS1076" s="30"/>
      <c r="BT1076" s="30"/>
      <c r="BU1076" s="30"/>
      <c r="BV1076" s="30"/>
      <c r="BW1076" s="30"/>
      <c r="BX1076" s="30"/>
      <c r="BY1076" s="30"/>
      <c r="BZ1076" s="30"/>
      <c r="CA1076" s="30"/>
      <c r="CB1076" s="30"/>
      <c r="CC1076" s="30"/>
      <c r="CD1076" s="30"/>
      <c r="CE1076" s="30"/>
      <c r="CF1076" s="30"/>
      <c r="CG1076" s="30"/>
      <c r="CH1076" s="30"/>
      <c r="CI1076" s="30"/>
      <c r="CJ1076" s="30"/>
      <c r="CK1076" s="30"/>
      <c r="CL1076" s="30"/>
      <c r="CM1076" s="30"/>
      <c r="CN1076" s="30"/>
      <c r="CO1076" s="30"/>
      <c r="CP1076" s="30"/>
      <c r="CQ1076" s="30"/>
      <c r="CR1076" s="30"/>
      <c r="CS1076" s="30"/>
      <c r="CT1076" s="30"/>
      <c r="CU1076" s="30"/>
      <c r="CV1076" s="30"/>
      <c r="CW1076" s="30"/>
      <c r="CX1076" s="30"/>
      <c r="CY1076" s="30"/>
      <c r="CZ1076" s="30"/>
      <c r="DA1076" s="30"/>
      <c r="DB1076" s="30"/>
      <c r="DC1076" s="30"/>
      <c r="DD1076" s="30"/>
      <c r="DE1076" s="30"/>
      <c r="DF1076" s="30"/>
      <c r="DG1076" s="30"/>
      <c r="DH1076" s="30"/>
      <c r="DI1076" s="30"/>
      <c r="DJ1076" s="30"/>
      <c r="DK1076" s="30"/>
      <c r="DL1076" s="30"/>
      <c r="DM1076" s="30"/>
      <c r="DN1076" s="30"/>
      <c r="DO1076" s="30"/>
      <c r="DP1076" s="30"/>
      <c r="DQ1076" s="30"/>
      <c r="DR1076" s="30"/>
      <c r="DS1076" s="30"/>
      <c r="DT1076" s="30"/>
      <c r="DU1076" s="30"/>
      <c r="DV1076" s="30"/>
      <c r="DW1076" s="30"/>
      <c r="DX1076" s="30"/>
      <c r="DY1076" s="30"/>
      <c r="DZ1076" s="30"/>
    </row>
    <row r="1077">
      <c r="A1077" s="30"/>
      <c r="B1077" s="42"/>
      <c r="C1077" s="43"/>
      <c r="D1077" s="30"/>
      <c r="E1077" s="28"/>
      <c r="F1077" s="30"/>
      <c r="G1077" s="30"/>
      <c r="H1077" s="30"/>
      <c r="I1077" s="30"/>
      <c r="J1077" s="28"/>
      <c r="K1077" s="30"/>
      <c r="L1077" s="30"/>
      <c r="M1077" s="30"/>
      <c r="N1077" s="30"/>
      <c r="O1077" s="28"/>
      <c r="P1077" s="30"/>
      <c r="Q1077" s="30"/>
      <c r="R1077" s="30"/>
      <c r="S1077" s="36"/>
      <c r="T1077" s="30"/>
      <c r="U1077" s="36"/>
      <c r="V1077" s="30"/>
      <c r="W1077" s="28"/>
      <c r="X1077" s="30"/>
      <c r="Y1077" s="30"/>
      <c r="Z1077" s="30"/>
      <c r="AA1077" s="30"/>
      <c r="AB1077" s="30"/>
      <c r="AC1077" s="28"/>
      <c r="AD1077" s="30"/>
      <c r="AE1077" s="30"/>
      <c r="AF1077" s="30"/>
      <c r="AG1077" s="29"/>
      <c r="AH1077" s="30"/>
      <c r="AI1077" s="36"/>
      <c r="AJ1077" s="30"/>
      <c r="AK1077" s="29"/>
      <c r="AL1077" s="30"/>
      <c r="AM1077" s="30"/>
      <c r="AN1077" s="30"/>
      <c r="AO1077" s="30"/>
      <c r="AP1077" s="30"/>
      <c r="AQ1077" s="38"/>
      <c r="AR1077" s="30"/>
      <c r="AS1077" s="30"/>
      <c r="AT1077" s="29"/>
      <c r="AU1077" s="30"/>
      <c r="AV1077" s="30"/>
      <c r="AW1077" s="30"/>
      <c r="AX1077" s="29"/>
      <c r="AY1077" s="39"/>
      <c r="AZ1077" s="30"/>
      <c r="BA1077" s="30"/>
      <c r="BB1077" s="29"/>
      <c r="BC1077" s="52"/>
      <c r="BD1077" s="30"/>
      <c r="BE1077" s="29"/>
      <c r="BF1077" s="30"/>
      <c r="BG1077" s="30"/>
      <c r="BH1077" s="30"/>
      <c r="BI1077" s="30"/>
      <c r="BJ1077" s="30"/>
      <c r="BK1077" s="30"/>
      <c r="BL1077" s="30"/>
      <c r="BM1077" s="30"/>
      <c r="BN1077" s="30"/>
      <c r="BO1077" s="30"/>
      <c r="BP1077" s="30"/>
      <c r="BQ1077" s="30"/>
      <c r="BR1077" s="30"/>
      <c r="BS1077" s="30"/>
      <c r="BT1077" s="30"/>
      <c r="BU1077" s="30"/>
      <c r="BV1077" s="30"/>
      <c r="BW1077" s="30"/>
      <c r="BX1077" s="30"/>
      <c r="BY1077" s="30"/>
      <c r="BZ1077" s="30"/>
      <c r="CA1077" s="30"/>
      <c r="CB1077" s="30"/>
      <c r="CC1077" s="30"/>
      <c r="CD1077" s="30"/>
      <c r="CE1077" s="30"/>
      <c r="CF1077" s="30"/>
      <c r="CG1077" s="30"/>
      <c r="CH1077" s="30"/>
      <c r="CI1077" s="30"/>
      <c r="CJ1077" s="30"/>
      <c r="CK1077" s="30"/>
      <c r="CL1077" s="30"/>
      <c r="CM1077" s="30"/>
      <c r="CN1077" s="30"/>
      <c r="CO1077" s="30"/>
      <c r="CP1077" s="30"/>
      <c r="CQ1077" s="30"/>
      <c r="CR1077" s="30"/>
      <c r="CS1077" s="30"/>
      <c r="CT1077" s="30"/>
      <c r="CU1077" s="30"/>
      <c r="CV1077" s="30"/>
      <c r="CW1077" s="30"/>
      <c r="CX1077" s="30"/>
      <c r="CY1077" s="30"/>
      <c r="CZ1077" s="30"/>
      <c r="DA1077" s="30"/>
      <c r="DB1077" s="30"/>
      <c r="DC1077" s="30"/>
      <c r="DD1077" s="30"/>
      <c r="DE1077" s="30"/>
      <c r="DF1077" s="30"/>
      <c r="DG1077" s="30"/>
      <c r="DH1077" s="30"/>
      <c r="DI1077" s="30"/>
      <c r="DJ1077" s="30"/>
      <c r="DK1077" s="30"/>
      <c r="DL1077" s="30"/>
      <c r="DM1077" s="30"/>
      <c r="DN1077" s="30"/>
      <c r="DO1077" s="30"/>
      <c r="DP1077" s="30"/>
      <c r="DQ1077" s="30"/>
      <c r="DR1077" s="30"/>
      <c r="DS1077" s="30"/>
      <c r="DT1077" s="30"/>
      <c r="DU1077" s="30"/>
      <c r="DV1077" s="30"/>
      <c r="DW1077" s="30"/>
      <c r="DX1077" s="30"/>
      <c r="DY1077" s="30"/>
      <c r="DZ1077" s="30"/>
    </row>
    <row r="1078">
      <c r="A1078" s="30"/>
      <c r="B1078" s="42"/>
      <c r="C1078" s="43"/>
      <c r="D1078" s="30"/>
      <c r="E1078" s="28"/>
      <c r="F1078" s="30"/>
      <c r="G1078" s="30"/>
      <c r="H1078" s="30"/>
      <c r="I1078" s="30"/>
      <c r="J1078" s="28"/>
      <c r="K1078" s="30"/>
      <c r="L1078" s="30"/>
      <c r="M1078" s="30"/>
      <c r="N1078" s="30"/>
      <c r="O1078" s="28"/>
      <c r="P1078" s="30"/>
      <c r="Q1078" s="30"/>
      <c r="R1078" s="30"/>
      <c r="S1078" s="36"/>
      <c r="T1078" s="30"/>
      <c r="U1078" s="36"/>
      <c r="V1078" s="30"/>
      <c r="W1078" s="28"/>
      <c r="X1078" s="30"/>
      <c r="Y1078" s="30"/>
      <c r="Z1078" s="30"/>
      <c r="AA1078" s="30"/>
      <c r="AB1078" s="30"/>
      <c r="AC1078" s="28"/>
      <c r="AD1078" s="30"/>
      <c r="AE1078" s="30"/>
      <c r="AF1078" s="30"/>
      <c r="AG1078" s="29"/>
      <c r="AH1078" s="30"/>
      <c r="AI1078" s="36"/>
      <c r="AJ1078" s="30"/>
      <c r="AK1078" s="29"/>
      <c r="AL1078" s="30"/>
      <c r="AM1078" s="30"/>
      <c r="AN1078" s="30"/>
      <c r="AO1078" s="30"/>
      <c r="AP1078" s="30"/>
      <c r="AQ1078" s="38"/>
      <c r="AR1078" s="30"/>
      <c r="AS1078" s="30"/>
      <c r="AT1078" s="29"/>
      <c r="AU1078" s="30"/>
      <c r="AV1078" s="30"/>
      <c r="AW1078" s="30"/>
      <c r="AX1078" s="29"/>
      <c r="AY1078" s="39"/>
      <c r="AZ1078" s="30"/>
      <c r="BA1078" s="30"/>
      <c r="BB1078" s="29"/>
      <c r="BC1078" s="52"/>
      <c r="BD1078" s="30"/>
      <c r="BE1078" s="29"/>
      <c r="BF1078" s="30"/>
      <c r="BG1078" s="30"/>
      <c r="BH1078" s="30"/>
      <c r="BI1078" s="30"/>
      <c r="BJ1078" s="30"/>
      <c r="BK1078" s="30"/>
      <c r="BL1078" s="30"/>
      <c r="BM1078" s="30"/>
      <c r="BN1078" s="30"/>
      <c r="BO1078" s="30"/>
      <c r="BP1078" s="30"/>
      <c r="BQ1078" s="30"/>
      <c r="BR1078" s="30"/>
      <c r="BS1078" s="30"/>
      <c r="BT1078" s="30"/>
      <c r="BU1078" s="30"/>
      <c r="BV1078" s="30"/>
      <c r="BW1078" s="30"/>
      <c r="BX1078" s="30"/>
      <c r="BY1078" s="30"/>
      <c r="BZ1078" s="30"/>
      <c r="CA1078" s="30"/>
      <c r="CB1078" s="30"/>
      <c r="CC1078" s="30"/>
      <c r="CD1078" s="30"/>
      <c r="CE1078" s="30"/>
      <c r="CF1078" s="30"/>
      <c r="CG1078" s="30"/>
      <c r="CH1078" s="30"/>
      <c r="CI1078" s="30"/>
      <c r="CJ1078" s="30"/>
      <c r="CK1078" s="30"/>
      <c r="CL1078" s="30"/>
      <c r="CM1078" s="30"/>
      <c r="CN1078" s="30"/>
      <c r="CO1078" s="30"/>
      <c r="CP1078" s="30"/>
      <c r="CQ1078" s="30"/>
      <c r="CR1078" s="30"/>
      <c r="CS1078" s="30"/>
      <c r="CT1078" s="30"/>
      <c r="CU1078" s="30"/>
      <c r="CV1078" s="30"/>
      <c r="CW1078" s="30"/>
      <c r="CX1078" s="30"/>
      <c r="CY1078" s="30"/>
      <c r="CZ1078" s="30"/>
      <c r="DA1078" s="30"/>
      <c r="DB1078" s="30"/>
      <c r="DC1078" s="30"/>
      <c r="DD1078" s="30"/>
      <c r="DE1078" s="30"/>
      <c r="DF1078" s="30"/>
      <c r="DG1078" s="30"/>
      <c r="DH1078" s="30"/>
      <c r="DI1078" s="30"/>
      <c r="DJ1078" s="30"/>
      <c r="DK1078" s="30"/>
      <c r="DL1078" s="30"/>
      <c r="DM1078" s="30"/>
      <c r="DN1078" s="30"/>
      <c r="DO1078" s="30"/>
      <c r="DP1078" s="30"/>
      <c r="DQ1078" s="30"/>
      <c r="DR1078" s="30"/>
      <c r="DS1078" s="30"/>
      <c r="DT1078" s="30"/>
      <c r="DU1078" s="30"/>
      <c r="DV1078" s="30"/>
      <c r="DW1078" s="30"/>
      <c r="DX1078" s="30"/>
      <c r="DY1078" s="30"/>
      <c r="DZ1078" s="30"/>
    </row>
    <row r="1079">
      <c r="A1079" s="30"/>
      <c r="B1079" s="42"/>
      <c r="C1079" s="43"/>
      <c r="D1079" s="30"/>
      <c r="E1079" s="28"/>
      <c r="F1079" s="30"/>
      <c r="G1079" s="30"/>
      <c r="H1079" s="30"/>
      <c r="I1079" s="30"/>
      <c r="J1079" s="28"/>
      <c r="K1079" s="30"/>
      <c r="L1079" s="30"/>
      <c r="M1079" s="30"/>
      <c r="N1079" s="30"/>
      <c r="O1079" s="28"/>
      <c r="P1079" s="30"/>
      <c r="Q1079" s="30"/>
      <c r="R1079" s="30"/>
      <c r="S1079" s="36"/>
      <c r="T1079" s="30"/>
      <c r="U1079" s="36"/>
      <c r="V1079" s="30"/>
      <c r="W1079" s="28"/>
      <c r="X1079" s="30"/>
      <c r="Y1079" s="30"/>
      <c r="Z1079" s="30"/>
      <c r="AA1079" s="30"/>
      <c r="AB1079" s="30"/>
      <c r="AC1079" s="28"/>
      <c r="AD1079" s="30"/>
      <c r="AE1079" s="30"/>
      <c r="AF1079" s="30"/>
      <c r="AG1079" s="29"/>
      <c r="AH1079" s="30"/>
      <c r="AI1079" s="36"/>
      <c r="AJ1079" s="30"/>
      <c r="AK1079" s="29"/>
      <c r="AL1079" s="30"/>
      <c r="AM1079" s="30"/>
      <c r="AN1079" s="30"/>
      <c r="AO1079" s="30"/>
      <c r="AP1079" s="30"/>
      <c r="AQ1079" s="38"/>
      <c r="AR1079" s="30"/>
      <c r="AS1079" s="30"/>
      <c r="AT1079" s="29"/>
      <c r="AU1079" s="30"/>
      <c r="AV1079" s="30"/>
      <c r="AW1079" s="30"/>
      <c r="AX1079" s="29"/>
      <c r="AY1079" s="39"/>
      <c r="AZ1079" s="30"/>
      <c r="BA1079" s="30"/>
      <c r="BB1079" s="29"/>
      <c r="BC1079" s="52"/>
      <c r="BD1079" s="30"/>
      <c r="BE1079" s="29"/>
      <c r="BF1079" s="30"/>
      <c r="BG1079" s="30"/>
      <c r="BH1079" s="30"/>
      <c r="BI1079" s="30"/>
      <c r="BJ1079" s="30"/>
      <c r="BK1079" s="30"/>
      <c r="BL1079" s="30"/>
      <c r="BM1079" s="30"/>
      <c r="BN1079" s="30"/>
      <c r="BO1079" s="30"/>
      <c r="BP1079" s="30"/>
      <c r="BQ1079" s="30"/>
      <c r="BR1079" s="30"/>
      <c r="BS1079" s="30"/>
      <c r="BT1079" s="30"/>
      <c r="BU1079" s="30"/>
      <c r="BV1079" s="30"/>
      <c r="BW1079" s="30"/>
      <c r="BX1079" s="30"/>
      <c r="BY1079" s="30"/>
      <c r="BZ1079" s="30"/>
      <c r="CA1079" s="30"/>
      <c r="CB1079" s="30"/>
      <c r="CC1079" s="30"/>
      <c r="CD1079" s="30"/>
      <c r="CE1079" s="30"/>
      <c r="CF1079" s="30"/>
      <c r="CG1079" s="30"/>
      <c r="CH1079" s="30"/>
      <c r="CI1079" s="30"/>
      <c r="CJ1079" s="30"/>
      <c r="CK1079" s="30"/>
      <c r="CL1079" s="30"/>
      <c r="CM1079" s="30"/>
      <c r="CN1079" s="30"/>
      <c r="CO1079" s="30"/>
      <c r="CP1079" s="30"/>
      <c r="CQ1079" s="30"/>
      <c r="CR1079" s="30"/>
      <c r="CS1079" s="30"/>
      <c r="CT1079" s="30"/>
      <c r="CU1079" s="30"/>
      <c r="CV1079" s="30"/>
      <c r="CW1079" s="30"/>
      <c r="CX1079" s="30"/>
      <c r="CY1079" s="30"/>
      <c r="CZ1079" s="30"/>
      <c r="DA1079" s="30"/>
      <c r="DB1079" s="30"/>
      <c r="DC1079" s="30"/>
      <c r="DD1079" s="30"/>
      <c r="DE1079" s="30"/>
      <c r="DF1079" s="30"/>
      <c r="DG1079" s="30"/>
      <c r="DH1079" s="30"/>
      <c r="DI1079" s="30"/>
      <c r="DJ1079" s="30"/>
      <c r="DK1079" s="30"/>
      <c r="DL1079" s="30"/>
      <c r="DM1079" s="30"/>
      <c r="DN1079" s="30"/>
      <c r="DO1079" s="30"/>
      <c r="DP1079" s="30"/>
      <c r="DQ1079" s="30"/>
      <c r="DR1079" s="30"/>
      <c r="DS1079" s="30"/>
      <c r="DT1079" s="30"/>
      <c r="DU1079" s="30"/>
      <c r="DV1079" s="30"/>
      <c r="DW1079" s="30"/>
      <c r="DX1079" s="30"/>
      <c r="DY1079" s="30"/>
      <c r="DZ1079" s="30"/>
    </row>
    <row r="1080">
      <c r="A1080" s="30"/>
      <c r="B1080" s="42"/>
      <c r="C1080" s="43"/>
      <c r="D1080" s="30"/>
      <c r="E1080" s="28"/>
      <c r="F1080" s="30"/>
      <c r="G1080" s="30"/>
      <c r="H1080" s="30"/>
      <c r="I1080" s="30"/>
      <c r="J1080" s="28"/>
      <c r="K1080" s="30"/>
      <c r="L1080" s="30"/>
      <c r="M1080" s="30"/>
      <c r="N1080" s="30"/>
      <c r="O1080" s="28"/>
      <c r="P1080" s="30"/>
      <c r="Q1080" s="30"/>
      <c r="R1080" s="30"/>
      <c r="S1080" s="36"/>
      <c r="T1080" s="30"/>
      <c r="U1080" s="36"/>
      <c r="V1080" s="30"/>
      <c r="W1080" s="28"/>
      <c r="X1080" s="30"/>
      <c r="Y1080" s="30"/>
      <c r="Z1080" s="30"/>
      <c r="AA1080" s="30"/>
      <c r="AB1080" s="30"/>
      <c r="AC1080" s="28"/>
      <c r="AD1080" s="30"/>
      <c r="AE1080" s="30"/>
      <c r="AF1080" s="30"/>
      <c r="AG1080" s="29"/>
      <c r="AH1080" s="30"/>
      <c r="AI1080" s="36"/>
      <c r="AJ1080" s="30"/>
      <c r="AK1080" s="29"/>
      <c r="AL1080" s="30"/>
      <c r="AM1080" s="30"/>
      <c r="AN1080" s="30"/>
      <c r="AO1080" s="30"/>
      <c r="AP1080" s="30"/>
      <c r="AQ1080" s="38"/>
      <c r="AR1080" s="30"/>
      <c r="AS1080" s="30"/>
      <c r="AT1080" s="29"/>
      <c r="AU1080" s="30"/>
      <c r="AV1080" s="30"/>
      <c r="AW1080" s="30"/>
      <c r="AX1080" s="29"/>
      <c r="AY1080" s="39"/>
      <c r="AZ1080" s="30"/>
      <c r="BA1080" s="30"/>
      <c r="BB1080" s="29"/>
      <c r="BC1080" s="52"/>
      <c r="BD1080" s="30"/>
      <c r="BE1080" s="29"/>
      <c r="BF1080" s="30"/>
      <c r="BG1080" s="30"/>
      <c r="BH1080" s="30"/>
      <c r="BI1080" s="30"/>
      <c r="BJ1080" s="30"/>
      <c r="BK1080" s="30"/>
      <c r="BL1080" s="30"/>
      <c r="BM1080" s="30"/>
      <c r="BN1080" s="30"/>
      <c r="BO1080" s="30"/>
      <c r="BP1080" s="30"/>
      <c r="BQ1080" s="30"/>
      <c r="BR1080" s="30"/>
      <c r="BS1080" s="30"/>
      <c r="BT1080" s="30"/>
      <c r="BU1080" s="30"/>
      <c r="BV1080" s="30"/>
      <c r="BW1080" s="30"/>
      <c r="BX1080" s="30"/>
      <c r="BY1080" s="30"/>
      <c r="BZ1080" s="30"/>
      <c r="CA1080" s="30"/>
      <c r="CB1080" s="30"/>
      <c r="CC1080" s="30"/>
      <c r="CD1080" s="30"/>
      <c r="CE1080" s="30"/>
      <c r="CF1080" s="30"/>
      <c r="CG1080" s="30"/>
      <c r="CH1080" s="30"/>
      <c r="CI1080" s="30"/>
      <c r="CJ1080" s="30"/>
      <c r="CK1080" s="30"/>
      <c r="CL1080" s="30"/>
      <c r="CM1080" s="30"/>
      <c r="CN1080" s="30"/>
      <c r="CO1080" s="30"/>
      <c r="CP1080" s="30"/>
      <c r="CQ1080" s="30"/>
      <c r="CR1080" s="30"/>
      <c r="CS1080" s="30"/>
      <c r="CT1080" s="30"/>
      <c r="CU1080" s="30"/>
      <c r="CV1080" s="30"/>
      <c r="CW1080" s="30"/>
      <c r="CX1080" s="30"/>
      <c r="CY1080" s="30"/>
      <c r="CZ1080" s="30"/>
      <c r="DA1080" s="30"/>
      <c r="DB1080" s="30"/>
      <c r="DC1080" s="30"/>
      <c r="DD1080" s="30"/>
      <c r="DE1080" s="30"/>
      <c r="DF1080" s="30"/>
      <c r="DG1080" s="30"/>
      <c r="DH1080" s="30"/>
      <c r="DI1080" s="30"/>
      <c r="DJ1080" s="30"/>
      <c r="DK1080" s="30"/>
      <c r="DL1080" s="30"/>
      <c r="DM1080" s="30"/>
      <c r="DN1080" s="30"/>
      <c r="DO1080" s="30"/>
      <c r="DP1080" s="30"/>
      <c r="DQ1080" s="30"/>
      <c r="DR1080" s="30"/>
      <c r="DS1080" s="30"/>
      <c r="DT1080" s="30"/>
      <c r="DU1080" s="30"/>
      <c r="DV1080" s="30"/>
      <c r="DW1080" s="30"/>
      <c r="DX1080" s="30"/>
      <c r="DY1080" s="30"/>
      <c r="DZ1080" s="30"/>
    </row>
    <row r="1081">
      <c r="A1081" s="30"/>
      <c r="B1081" s="42"/>
      <c r="C1081" s="43"/>
      <c r="D1081" s="30"/>
      <c r="E1081" s="28"/>
      <c r="F1081" s="30"/>
      <c r="G1081" s="30"/>
      <c r="H1081" s="30"/>
      <c r="I1081" s="30"/>
      <c r="J1081" s="28"/>
      <c r="K1081" s="30"/>
      <c r="L1081" s="30"/>
      <c r="M1081" s="30"/>
      <c r="N1081" s="30"/>
      <c r="O1081" s="28"/>
      <c r="P1081" s="30"/>
      <c r="Q1081" s="30"/>
      <c r="R1081" s="30"/>
      <c r="S1081" s="36"/>
      <c r="T1081" s="30"/>
      <c r="U1081" s="36"/>
      <c r="V1081" s="30"/>
      <c r="W1081" s="28"/>
      <c r="X1081" s="30"/>
      <c r="Y1081" s="30"/>
      <c r="Z1081" s="30"/>
      <c r="AA1081" s="30"/>
      <c r="AB1081" s="30"/>
      <c r="AC1081" s="28"/>
      <c r="AD1081" s="30"/>
      <c r="AE1081" s="30"/>
      <c r="AF1081" s="30"/>
      <c r="AG1081" s="29"/>
      <c r="AH1081" s="30"/>
      <c r="AI1081" s="36"/>
      <c r="AJ1081" s="30"/>
      <c r="AK1081" s="29"/>
      <c r="AL1081" s="30"/>
      <c r="AM1081" s="30"/>
      <c r="AN1081" s="30"/>
      <c r="AO1081" s="30"/>
      <c r="AP1081" s="30"/>
      <c r="AQ1081" s="38"/>
      <c r="AR1081" s="30"/>
      <c r="AS1081" s="30"/>
      <c r="AT1081" s="29"/>
      <c r="AU1081" s="30"/>
      <c r="AV1081" s="30"/>
      <c r="AW1081" s="30"/>
      <c r="AX1081" s="29"/>
      <c r="AY1081" s="39"/>
      <c r="AZ1081" s="30"/>
      <c r="BA1081" s="30"/>
      <c r="BB1081" s="29"/>
      <c r="BC1081" s="52"/>
      <c r="BD1081" s="30"/>
      <c r="BE1081" s="29"/>
      <c r="BF1081" s="30"/>
      <c r="BG1081" s="30"/>
      <c r="BH1081" s="30"/>
      <c r="BI1081" s="30"/>
      <c r="BJ1081" s="30"/>
      <c r="BK1081" s="30"/>
      <c r="BL1081" s="30"/>
      <c r="BM1081" s="30"/>
      <c r="BN1081" s="30"/>
      <c r="BO1081" s="30"/>
      <c r="BP1081" s="30"/>
      <c r="BQ1081" s="30"/>
      <c r="BR1081" s="30"/>
      <c r="BS1081" s="30"/>
      <c r="BT1081" s="30"/>
      <c r="BU1081" s="30"/>
      <c r="BV1081" s="30"/>
      <c r="BW1081" s="30"/>
      <c r="BX1081" s="30"/>
      <c r="BY1081" s="30"/>
      <c r="BZ1081" s="30"/>
      <c r="CA1081" s="30"/>
      <c r="CB1081" s="30"/>
      <c r="CC1081" s="30"/>
      <c r="CD1081" s="30"/>
      <c r="CE1081" s="30"/>
      <c r="CF1081" s="30"/>
      <c r="CG1081" s="30"/>
      <c r="CH1081" s="30"/>
      <c r="CI1081" s="30"/>
      <c r="CJ1081" s="30"/>
      <c r="CK1081" s="30"/>
      <c r="CL1081" s="30"/>
      <c r="CM1081" s="30"/>
      <c r="CN1081" s="30"/>
      <c r="CO1081" s="30"/>
      <c r="CP1081" s="30"/>
      <c r="CQ1081" s="30"/>
      <c r="CR1081" s="30"/>
      <c r="CS1081" s="30"/>
      <c r="CT1081" s="30"/>
      <c r="CU1081" s="30"/>
      <c r="CV1081" s="30"/>
      <c r="CW1081" s="30"/>
      <c r="CX1081" s="30"/>
      <c r="CY1081" s="30"/>
      <c r="CZ1081" s="30"/>
      <c r="DA1081" s="30"/>
      <c r="DB1081" s="30"/>
      <c r="DC1081" s="30"/>
      <c r="DD1081" s="30"/>
      <c r="DE1081" s="30"/>
      <c r="DF1081" s="30"/>
      <c r="DG1081" s="30"/>
      <c r="DH1081" s="30"/>
      <c r="DI1081" s="30"/>
      <c r="DJ1081" s="30"/>
      <c r="DK1081" s="30"/>
      <c r="DL1081" s="30"/>
      <c r="DM1081" s="30"/>
      <c r="DN1081" s="30"/>
      <c r="DO1081" s="30"/>
      <c r="DP1081" s="30"/>
      <c r="DQ1081" s="30"/>
      <c r="DR1081" s="30"/>
      <c r="DS1081" s="30"/>
      <c r="DT1081" s="30"/>
      <c r="DU1081" s="30"/>
      <c r="DV1081" s="30"/>
      <c r="DW1081" s="30"/>
      <c r="DX1081" s="30"/>
      <c r="DY1081" s="30"/>
      <c r="DZ1081" s="30"/>
    </row>
    <row r="1082">
      <c r="A1082" s="30"/>
      <c r="B1082" s="42"/>
      <c r="C1082" s="43"/>
      <c r="D1082" s="30"/>
      <c r="E1082" s="28"/>
      <c r="F1082" s="30"/>
      <c r="G1082" s="30"/>
      <c r="H1082" s="30"/>
      <c r="I1082" s="30"/>
      <c r="J1082" s="28"/>
      <c r="K1082" s="30"/>
      <c r="L1082" s="30"/>
      <c r="M1082" s="30"/>
      <c r="N1082" s="30"/>
      <c r="O1082" s="28"/>
      <c r="P1082" s="30"/>
      <c r="Q1082" s="30"/>
      <c r="R1082" s="30"/>
      <c r="S1082" s="36"/>
      <c r="T1082" s="30"/>
      <c r="U1082" s="36"/>
      <c r="V1082" s="30"/>
      <c r="W1082" s="28"/>
      <c r="X1082" s="30"/>
      <c r="Y1082" s="30"/>
      <c r="Z1082" s="30"/>
      <c r="AA1082" s="30"/>
      <c r="AB1082" s="30"/>
      <c r="AC1082" s="28"/>
      <c r="AD1082" s="30"/>
      <c r="AE1082" s="30"/>
      <c r="AF1082" s="30"/>
      <c r="AG1082" s="29"/>
      <c r="AH1082" s="30"/>
      <c r="AI1082" s="36"/>
      <c r="AJ1082" s="30"/>
      <c r="AK1082" s="29"/>
      <c r="AL1082" s="30"/>
      <c r="AM1082" s="30"/>
      <c r="AN1082" s="30"/>
      <c r="AO1082" s="30"/>
      <c r="AP1082" s="30"/>
      <c r="AQ1082" s="38"/>
      <c r="AR1082" s="30"/>
      <c r="AS1082" s="30"/>
      <c r="AT1082" s="29"/>
      <c r="AU1082" s="30"/>
      <c r="AV1082" s="30"/>
      <c r="AW1082" s="30"/>
      <c r="AX1082" s="29"/>
      <c r="AY1082" s="39"/>
      <c r="AZ1082" s="30"/>
      <c r="BA1082" s="30"/>
      <c r="BB1082" s="29"/>
      <c r="BC1082" s="52"/>
      <c r="BD1082" s="30"/>
      <c r="BE1082" s="29"/>
      <c r="BF1082" s="30"/>
      <c r="BG1082" s="30"/>
      <c r="BH1082" s="30"/>
      <c r="BI1082" s="30"/>
      <c r="BJ1082" s="30"/>
      <c r="BK1082" s="30"/>
      <c r="BL1082" s="30"/>
      <c r="BM1082" s="30"/>
      <c r="BN1082" s="30"/>
      <c r="BO1082" s="30"/>
      <c r="BP1082" s="30"/>
      <c r="BQ1082" s="30"/>
      <c r="BR1082" s="30"/>
      <c r="BS1082" s="30"/>
      <c r="BT1082" s="30"/>
      <c r="BU1082" s="30"/>
      <c r="BV1082" s="30"/>
      <c r="BW1082" s="30"/>
      <c r="BX1082" s="30"/>
      <c r="BY1082" s="30"/>
      <c r="BZ1082" s="30"/>
      <c r="CA1082" s="30"/>
      <c r="CB1082" s="30"/>
      <c r="CC1082" s="30"/>
      <c r="CD1082" s="30"/>
      <c r="CE1082" s="30"/>
      <c r="CF1082" s="30"/>
      <c r="CG1082" s="30"/>
      <c r="CH1082" s="30"/>
      <c r="CI1082" s="30"/>
      <c r="CJ1082" s="30"/>
      <c r="CK1082" s="30"/>
      <c r="CL1082" s="30"/>
      <c r="CM1082" s="30"/>
      <c r="CN1082" s="30"/>
      <c r="CO1082" s="30"/>
      <c r="CP1082" s="30"/>
      <c r="CQ1082" s="30"/>
      <c r="CR1082" s="30"/>
      <c r="CS1082" s="30"/>
      <c r="CT1082" s="30"/>
      <c r="CU1082" s="30"/>
      <c r="CV1082" s="30"/>
      <c r="CW1082" s="30"/>
      <c r="CX1082" s="30"/>
      <c r="CY1082" s="30"/>
      <c r="CZ1082" s="30"/>
      <c r="DA1082" s="30"/>
      <c r="DB1082" s="30"/>
      <c r="DC1082" s="30"/>
      <c r="DD1082" s="30"/>
      <c r="DE1082" s="30"/>
      <c r="DF1082" s="30"/>
      <c r="DG1082" s="30"/>
      <c r="DH1082" s="30"/>
      <c r="DI1082" s="30"/>
      <c r="DJ1082" s="30"/>
      <c r="DK1082" s="30"/>
      <c r="DL1082" s="30"/>
      <c r="DM1082" s="30"/>
      <c r="DN1082" s="30"/>
      <c r="DO1082" s="30"/>
      <c r="DP1082" s="30"/>
      <c r="DQ1082" s="30"/>
      <c r="DR1082" s="30"/>
      <c r="DS1082" s="30"/>
      <c r="DT1082" s="30"/>
      <c r="DU1082" s="30"/>
      <c r="DV1082" s="30"/>
      <c r="DW1082" s="30"/>
      <c r="DX1082" s="30"/>
      <c r="DY1082" s="30"/>
      <c r="DZ1082" s="30"/>
    </row>
    <row r="1083">
      <c r="A1083" s="30"/>
      <c r="B1083" s="42"/>
      <c r="C1083" s="43"/>
      <c r="D1083" s="30"/>
      <c r="E1083" s="28"/>
      <c r="F1083" s="30"/>
      <c r="G1083" s="30"/>
      <c r="H1083" s="30"/>
      <c r="I1083" s="30"/>
      <c r="J1083" s="28"/>
      <c r="K1083" s="30"/>
      <c r="L1083" s="30"/>
      <c r="M1083" s="30"/>
      <c r="N1083" s="30"/>
      <c r="O1083" s="28"/>
      <c r="P1083" s="30"/>
      <c r="Q1083" s="30"/>
      <c r="R1083" s="30"/>
      <c r="S1083" s="36"/>
      <c r="T1083" s="30"/>
      <c r="U1083" s="36"/>
      <c r="V1083" s="30"/>
      <c r="W1083" s="28"/>
      <c r="X1083" s="30"/>
      <c r="Y1083" s="30"/>
      <c r="Z1083" s="30"/>
      <c r="AA1083" s="30"/>
      <c r="AB1083" s="30"/>
      <c r="AC1083" s="28"/>
      <c r="AD1083" s="30"/>
      <c r="AE1083" s="30"/>
      <c r="AF1083" s="30"/>
      <c r="AG1083" s="29"/>
      <c r="AH1083" s="30"/>
      <c r="AI1083" s="36"/>
      <c r="AJ1083" s="30"/>
      <c r="AK1083" s="29"/>
      <c r="AL1083" s="30"/>
      <c r="AM1083" s="30"/>
      <c r="AN1083" s="30"/>
      <c r="AO1083" s="30"/>
      <c r="AP1083" s="30"/>
      <c r="AQ1083" s="38"/>
      <c r="AR1083" s="30"/>
      <c r="AS1083" s="30"/>
      <c r="AT1083" s="29"/>
      <c r="AU1083" s="30"/>
      <c r="AV1083" s="30"/>
      <c r="AW1083" s="30"/>
      <c r="AX1083" s="29"/>
      <c r="AY1083" s="39"/>
      <c r="AZ1083" s="30"/>
      <c r="BA1083" s="30"/>
      <c r="BB1083" s="29"/>
      <c r="BC1083" s="52"/>
      <c r="BD1083" s="30"/>
      <c r="BE1083" s="29"/>
      <c r="BF1083" s="30"/>
      <c r="BG1083" s="30"/>
      <c r="BH1083" s="30"/>
      <c r="BI1083" s="30"/>
      <c r="BJ1083" s="30"/>
      <c r="BK1083" s="30"/>
      <c r="BL1083" s="30"/>
      <c r="BM1083" s="30"/>
      <c r="BN1083" s="30"/>
      <c r="BO1083" s="30"/>
      <c r="BP1083" s="30"/>
      <c r="BQ1083" s="30"/>
      <c r="BR1083" s="30"/>
      <c r="BS1083" s="30"/>
      <c r="BT1083" s="30"/>
      <c r="BU1083" s="30"/>
      <c r="BV1083" s="30"/>
      <c r="BW1083" s="30"/>
      <c r="BX1083" s="30"/>
      <c r="BY1083" s="30"/>
      <c r="BZ1083" s="30"/>
      <c r="CA1083" s="30"/>
      <c r="CB1083" s="30"/>
      <c r="CC1083" s="30"/>
      <c r="CD1083" s="30"/>
      <c r="CE1083" s="30"/>
      <c r="CF1083" s="30"/>
      <c r="CG1083" s="30"/>
      <c r="CH1083" s="30"/>
      <c r="CI1083" s="30"/>
      <c r="CJ1083" s="30"/>
      <c r="CK1083" s="30"/>
      <c r="CL1083" s="30"/>
      <c r="CM1083" s="30"/>
      <c r="CN1083" s="30"/>
      <c r="CO1083" s="30"/>
      <c r="CP1083" s="30"/>
      <c r="CQ1083" s="30"/>
      <c r="CR1083" s="30"/>
      <c r="CS1083" s="30"/>
      <c r="CT1083" s="30"/>
      <c r="CU1083" s="30"/>
      <c r="CV1083" s="30"/>
      <c r="CW1083" s="30"/>
      <c r="CX1083" s="30"/>
      <c r="CY1083" s="30"/>
      <c r="CZ1083" s="30"/>
      <c r="DA1083" s="30"/>
      <c r="DB1083" s="30"/>
      <c r="DC1083" s="30"/>
      <c r="DD1083" s="30"/>
      <c r="DE1083" s="30"/>
      <c r="DF1083" s="30"/>
      <c r="DG1083" s="30"/>
      <c r="DH1083" s="30"/>
      <c r="DI1083" s="30"/>
      <c r="DJ1083" s="30"/>
      <c r="DK1083" s="30"/>
      <c r="DL1083" s="30"/>
      <c r="DM1083" s="30"/>
      <c r="DN1083" s="30"/>
      <c r="DO1083" s="30"/>
      <c r="DP1083" s="30"/>
      <c r="DQ1083" s="30"/>
      <c r="DR1083" s="30"/>
      <c r="DS1083" s="30"/>
      <c r="DT1083" s="30"/>
      <c r="DU1083" s="30"/>
      <c r="DV1083" s="30"/>
      <c r="DW1083" s="30"/>
      <c r="DX1083" s="30"/>
      <c r="DY1083" s="30"/>
      <c r="DZ1083" s="30"/>
    </row>
    <row r="1084">
      <c r="A1084" s="30"/>
      <c r="B1084" s="42"/>
      <c r="C1084" s="43"/>
      <c r="D1084" s="30"/>
      <c r="E1084" s="28"/>
      <c r="F1084" s="30"/>
      <c r="G1084" s="30"/>
      <c r="H1084" s="30"/>
      <c r="I1084" s="30"/>
      <c r="J1084" s="28"/>
      <c r="K1084" s="30"/>
      <c r="L1084" s="30"/>
      <c r="M1084" s="30"/>
      <c r="N1084" s="30"/>
      <c r="O1084" s="28"/>
      <c r="P1084" s="30"/>
      <c r="Q1084" s="30"/>
      <c r="R1084" s="30"/>
      <c r="S1084" s="36"/>
      <c r="T1084" s="30"/>
      <c r="U1084" s="36"/>
      <c r="V1084" s="30"/>
      <c r="W1084" s="28"/>
      <c r="X1084" s="30"/>
      <c r="Y1084" s="30"/>
      <c r="Z1084" s="30"/>
      <c r="AA1084" s="30"/>
      <c r="AB1084" s="30"/>
      <c r="AC1084" s="28"/>
      <c r="AD1084" s="30"/>
      <c r="AE1084" s="30"/>
      <c r="AF1084" s="30"/>
      <c r="AG1084" s="29"/>
      <c r="AH1084" s="30"/>
      <c r="AI1084" s="36"/>
      <c r="AJ1084" s="30"/>
      <c r="AK1084" s="29"/>
      <c r="AL1084" s="30"/>
      <c r="AM1084" s="30"/>
      <c r="AN1084" s="30"/>
      <c r="AO1084" s="30"/>
      <c r="AP1084" s="30"/>
      <c r="AQ1084" s="38"/>
      <c r="AR1084" s="30"/>
      <c r="AS1084" s="30"/>
      <c r="AT1084" s="29"/>
      <c r="AU1084" s="30"/>
      <c r="AV1084" s="30"/>
      <c r="AW1084" s="30"/>
      <c r="AX1084" s="29"/>
      <c r="AY1084" s="39"/>
      <c r="AZ1084" s="30"/>
      <c r="BA1084" s="30"/>
      <c r="BB1084" s="29"/>
      <c r="BC1084" s="52"/>
      <c r="BD1084" s="30"/>
      <c r="BE1084" s="29"/>
      <c r="BF1084" s="30"/>
      <c r="BG1084" s="30"/>
      <c r="BH1084" s="30"/>
      <c r="BI1084" s="30"/>
      <c r="BJ1084" s="30"/>
      <c r="BK1084" s="30"/>
      <c r="BL1084" s="30"/>
      <c r="BM1084" s="30"/>
      <c r="BN1084" s="30"/>
      <c r="BO1084" s="30"/>
      <c r="BP1084" s="30"/>
      <c r="BQ1084" s="30"/>
      <c r="BR1084" s="30"/>
      <c r="BS1084" s="30"/>
      <c r="BT1084" s="30"/>
      <c r="BU1084" s="30"/>
      <c r="BV1084" s="30"/>
      <c r="BW1084" s="30"/>
      <c r="BX1084" s="30"/>
      <c r="BY1084" s="30"/>
      <c r="BZ1084" s="30"/>
      <c r="CA1084" s="30"/>
      <c r="CB1084" s="30"/>
      <c r="CC1084" s="30"/>
      <c r="CD1084" s="30"/>
      <c r="CE1084" s="30"/>
      <c r="CF1084" s="30"/>
      <c r="CG1084" s="30"/>
      <c r="CH1084" s="30"/>
      <c r="CI1084" s="30"/>
      <c r="CJ1084" s="30"/>
      <c r="CK1084" s="30"/>
      <c r="CL1084" s="30"/>
      <c r="CM1084" s="30"/>
      <c r="CN1084" s="30"/>
      <c r="CO1084" s="30"/>
      <c r="CP1084" s="30"/>
      <c r="CQ1084" s="30"/>
      <c r="CR1084" s="30"/>
      <c r="CS1084" s="30"/>
      <c r="CT1084" s="30"/>
      <c r="CU1084" s="30"/>
      <c r="CV1084" s="30"/>
      <c r="CW1084" s="30"/>
      <c r="CX1084" s="30"/>
      <c r="CY1084" s="30"/>
      <c r="CZ1084" s="30"/>
      <c r="DA1084" s="30"/>
      <c r="DB1084" s="30"/>
      <c r="DC1084" s="30"/>
      <c r="DD1084" s="30"/>
      <c r="DE1084" s="30"/>
      <c r="DF1084" s="30"/>
      <c r="DG1084" s="30"/>
      <c r="DH1084" s="30"/>
      <c r="DI1084" s="30"/>
      <c r="DJ1084" s="30"/>
      <c r="DK1084" s="30"/>
      <c r="DL1084" s="30"/>
      <c r="DM1084" s="30"/>
      <c r="DN1084" s="30"/>
      <c r="DO1084" s="30"/>
      <c r="DP1084" s="30"/>
      <c r="DQ1084" s="30"/>
      <c r="DR1084" s="30"/>
      <c r="DS1084" s="30"/>
      <c r="DT1084" s="30"/>
      <c r="DU1084" s="30"/>
      <c r="DV1084" s="30"/>
      <c r="DW1084" s="30"/>
      <c r="DX1084" s="30"/>
      <c r="DY1084" s="30"/>
      <c r="DZ1084" s="30"/>
    </row>
    <row r="1085">
      <c r="A1085" s="30"/>
      <c r="B1085" s="42"/>
      <c r="C1085" s="43"/>
      <c r="D1085" s="30"/>
      <c r="E1085" s="28"/>
      <c r="F1085" s="30"/>
      <c r="G1085" s="30"/>
      <c r="H1085" s="30"/>
      <c r="I1085" s="30"/>
      <c r="J1085" s="28"/>
      <c r="K1085" s="30"/>
      <c r="L1085" s="30"/>
      <c r="M1085" s="30"/>
      <c r="N1085" s="30"/>
      <c r="O1085" s="28"/>
      <c r="P1085" s="30"/>
      <c r="Q1085" s="30"/>
      <c r="R1085" s="30"/>
      <c r="S1085" s="36"/>
      <c r="T1085" s="30"/>
      <c r="U1085" s="36"/>
      <c r="V1085" s="30"/>
      <c r="W1085" s="28"/>
      <c r="X1085" s="30"/>
      <c r="Y1085" s="30"/>
      <c r="Z1085" s="30"/>
      <c r="AA1085" s="30"/>
      <c r="AB1085" s="30"/>
      <c r="AC1085" s="28"/>
      <c r="AD1085" s="30"/>
      <c r="AE1085" s="30"/>
      <c r="AF1085" s="30"/>
      <c r="AG1085" s="29"/>
      <c r="AH1085" s="30"/>
      <c r="AI1085" s="36"/>
      <c r="AJ1085" s="30"/>
      <c r="AK1085" s="29"/>
      <c r="AL1085" s="30"/>
      <c r="AM1085" s="30"/>
      <c r="AN1085" s="30"/>
      <c r="AO1085" s="30"/>
      <c r="AP1085" s="30"/>
      <c r="AQ1085" s="38"/>
      <c r="AR1085" s="30"/>
      <c r="AS1085" s="30"/>
      <c r="AT1085" s="29"/>
      <c r="AU1085" s="30"/>
      <c r="AV1085" s="30"/>
      <c r="AW1085" s="30"/>
      <c r="AX1085" s="29"/>
      <c r="AY1085" s="39"/>
      <c r="AZ1085" s="30"/>
      <c r="BA1085" s="30"/>
      <c r="BB1085" s="29"/>
      <c r="BC1085" s="52"/>
      <c r="BD1085" s="30"/>
      <c r="BE1085" s="29"/>
      <c r="BF1085" s="30"/>
      <c r="BG1085" s="30"/>
      <c r="BH1085" s="30"/>
      <c r="BI1085" s="30"/>
      <c r="BJ1085" s="30"/>
      <c r="BK1085" s="30"/>
      <c r="BL1085" s="30"/>
      <c r="BM1085" s="30"/>
      <c r="BN1085" s="30"/>
      <c r="BO1085" s="30"/>
      <c r="BP1085" s="30"/>
      <c r="BQ1085" s="30"/>
      <c r="BR1085" s="30"/>
      <c r="BS1085" s="30"/>
      <c r="BT1085" s="30"/>
      <c r="BU1085" s="30"/>
      <c r="BV1085" s="30"/>
      <c r="BW1085" s="30"/>
      <c r="BX1085" s="30"/>
      <c r="BY1085" s="30"/>
      <c r="BZ1085" s="30"/>
      <c r="CA1085" s="30"/>
      <c r="CB1085" s="30"/>
      <c r="CC1085" s="30"/>
      <c r="CD1085" s="30"/>
      <c r="CE1085" s="30"/>
      <c r="CF1085" s="30"/>
      <c r="CG1085" s="30"/>
      <c r="CH1085" s="30"/>
      <c r="CI1085" s="30"/>
      <c r="CJ1085" s="30"/>
      <c r="CK1085" s="30"/>
      <c r="CL1085" s="30"/>
      <c r="CM1085" s="30"/>
      <c r="CN1085" s="30"/>
      <c r="CO1085" s="30"/>
      <c r="CP1085" s="30"/>
      <c r="CQ1085" s="30"/>
      <c r="CR1085" s="30"/>
      <c r="CS1085" s="30"/>
      <c r="CT1085" s="30"/>
      <c r="CU1085" s="30"/>
      <c r="CV1085" s="30"/>
      <c r="CW1085" s="30"/>
      <c r="CX1085" s="30"/>
      <c r="CY1085" s="30"/>
      <c r="CZ1085" s="30"/>
      <c r="DA1085" s="30"/>
      <c r="DB1085" s="30"/>
      <c r="DC1085" s="30"/>
      <c r="DD1085" s="30"/>
      <c r="DE1085" s="30"/>
      <c r="DF1085" s="30"/>
      <c r="DG1085" s="30"/>
      <c r="DH1085" s="30"/>
      <c r="DI1085" s="30"/>
      <c r="DJ1085" s="30"/>
      <c r="DK1085" s="30"/>
      <c r="DL1085" s="30"/>
      <c r="DM1085" s="30"/>
      <c r="DN1085" s="30"/>
      <c r="DO1085" s="30"/>
      <c r="DP1085" s="30"/>
      <c r="DQ1085" s="30"/>
      <c r="DR1085" s="30"/>
      <c r="DS1085" s="30"/>
      <c r="DT1085" s="30"/>
      <c r="DU1085" s="30"/>
      <c r="DV1085" s="30"/>
      <c r="DW1085" s="30"/>
      <c r="DX1085" s="30"/>
      <c r="DY1085" s="30"/>
      <c r="DZ1085" s="30"/>
    </row>
    <row r="1086">
      <c r="A1086" s="30"/>
      <c r="B1086" s="42"/>
      <c r="C1086" s="43"/>
      <c r="D1086" s="30"/>
      <c r="E1086" s="28"/>
      <c r="F1086" s="30"/>
      <c r="G1086" s="30"/>
      <c r="H1086" s="30"/>
      <c r="I1086" s="30"/>
      <c r="J1086" s="28"/>
      <c r="K1086" s="30"/>
      <c r="L1086" s="30"/>
      <c r="M1086" s="30"/>
      <c r="N1086" s="30"/>
      <c r="O1086" s="28"/>
      <c r="P1086" s="30"/>
      <c r="Q1086" s="30"/>
      <c r="R1086" s="30"/>
      <c r="S1086" s="36"/>
      <c r="T1086" s="30"/>
      <c r="U1086" s="36"/>
      <c r="V1086" s="30"/>
      <c r="W1086" s="28"/>
      <c r="X1086" s="30"/>
      <c r="Y1086" s="30"/>
      <c r="Z1086" s="30"/>
      <c r="AA1086" s="30"/>
      <c r="AB1086" s="30"/>
      <c r="AC1086" s="28"/>
      <c r="AD1086" s="30"/>
      <c r="AE1086" s="30"/>
      <c r="AF1086" s="30"/>
      <c r="AG1086" s="29"/>
      <c r="AH1086" s="30"/>
      <c r="AI1086" s="36"/>
      <c r="AJ1086" s="30"/>
      <c r="AK1086" s="29"/>
      <c r="AL1086" s="30"/>
      <c r="AM1086" s="30"/>
      <c r="AN1086" s="30"/>
      <c r="AO1086" s="30"/>
      <c r="AP1086" s="30"/>
      <c r="AQ1086" s="38"/>
      <c r="AR1086" s="30"/>
      <c r="AS1086" s="30"/>
      <c r="AT1086" s="29"/>
      <c r="AU1086" s="30"/>
      <c r="AV1086" s="30"/>
      <c r="AW1086" s="30"/>
      <c r="AX1086" s="29"/>
      <c r="AY1086" s="39"/>
      <c r="AZ1086" s="30"/>
      <c r="BA1086" s="30"/>
      <c r="BB1086" s="29"/>
      <c r="BC1086" s="52"/>
      <c r="BD1086" s="30"/>
      <c r="BE1086" s="29"/>
      <c r="BF1086" s="30"/>
      <c r="BG1086" s="30"/>
      <c r="BH1086" s="30"/>
      <c r="BI1086" s="30"/>
      <c r="BJ1086" s="30"/>
      <c r="BK1086" s="30"/>
      <c r="BL1086" s="30"/>
      <c r="BM1086" s="30"/>
      <c r="BN1086" s="30"/>
      <c r="BO1086" s="30"/>
      <c r="BP1086" s="30"/>
      <c r="BQ1086" s="30"/>
      <c r="BR1086" s="30"/>
      <c r="BS1086" s="30"/>
      <c r="BT1086" s="30"/>
      <c r="BU1086" s="30"/>
      <c r="BV1086" s="30"/>
      <c r="BW1086" s="30"/>
      <c r="BX1086" s="30"/>
      <c r="BY1086" s="30"/>
      <c r="BZ1086" s="30"/>
      <c r="CA1086" s="30"/>
      <c r="CB1086" s="30"/>
      <c r="CC1086" s="30"/>
      <c r="CD1086" s="30"/>
      <c r="CE1086" s="30"/>
      <c r="CF1086" s="30"/>
      <c r="CG1086" s="30"/>
      <c r="CH1086" s="30"/>
      <c r="CI1086" s="30"/>
      <c r="CJ1086" s="30"/>
      <c r="CK1086" s="30"/>
      <c r="CL1086" s="30"/>
      <c r="CM1086" s="30"/>
      <c r="CN1086" s="30"/>
      <c r="CO1086" s="30"/>
      <c r="CP1086" s="30"/>
      <c r="CQ1086" s="30"/>
      <c r="CR1086" s="30"/>
      <c r="CS1086" s="30"/>
      <c r="CT1086" s="30"/>
      <c r="CU1086" s="30"/>
      <c r="CV1086" s="30"/>
      <c r="CW1086" s="30"/>
      <c r="CX1086" s="30"/>
      <c r="CY1086" s="30"/>
      <c r="CZ1086" s="30"/>
      <c r="DA1086" s="30"/>
      <c r="DB1086" s="30"/>
      <c r="DC1086" s="30"/>
      <c r="DD1086" s="30"/>
      <c r="DE1086" s="30"/>
      <c r="DF1086" s="30"/>
      <c r="DG1086" s="30"/>
      <c r="DH1086" s="30"/>
      <c r="DI1086" s="30"/>
      <c r="DJ1086" s="30"/>
      <c r="DK1086" s="30"/>
      <c r="DL1086" s="30"/>
      <c r="DM1086" s="30"/>
      <c r="DN1086" s="30"/>
      <c r="DO1086" s="30"/>
      <c r="DP1086" s="30"/>
      <c r="DQ1086" s="30"/>
      <c r="DR1086" s="30"/>
      <c r="DS1086" s="30"/>
      <c r="DT1086" s="30"/>
      <c r="DU1086" s="30"/>
      <c r="DV1086" s="30"/>
      <c r="DW1086" s="30"/>
      <c r="DX1086" s="30"/>
      <c r="DY1086" s="30"/>
      <c r="DZ1086" s="30"/>
    </row>
    <row r="1087">
      <c r="A1087" s="30"/>
      <c r="B1087" s="42"/>
      <c r="C1087" s="43"/>
      <c r="D1087" s="30"/>
      <c r="E1087" s="28"/>
      <c r="F1087" s="30"/>
      <c r="G1087" s="30"/>
      <c r="H1087" s="30"/>
      <c r="I1087" s="30"/>
      <c r="J1087" s="28"/>
      <c r="K1087" s="30"/>
      <c r="L1087" s="30"/>
      <c r="M1087" s="30"/>
      <c r="N1087" s="30"/>
      <c r="O1087" s="28"/>
      <c r="P1087" s="30"/>
      <c r="Q1087" s="30"/>
      <c r="R1087" s="30"/>
      <c r="S1087" s="36"/>
      <c r="T1087" s="30"/>
      <c r="U1087" s="36"/>
      <c r="V1087" s="30"/>
      <c r="W1087" s="28"/>
      <c r="X1087" s="30"/>
      <c r="Y1087" s="30"/>
      <c r="Z1087" s="30"/>
      <c r="AA1087" s="30"/>
      <c r="AB1087" s="30"/>
      <c r="AC1087" s="28"/>
      <c r="AD1087" s="30"/>
      <c r="AE1087" s="30"/>
      <c r="AF1087" s="30"/>
      <c r="AG1087" s="29"/>
      <c r="AH1087" s="30"/>
      <c r="AI1087" s="36"/>
      <c r="AJ1087" s="30"/>
      <c r="AK1087" s="29"/>
      <c r="AL1087" s="30"/>
      <c r="AM1087" s="30"/>
      <c r="AN1087" s="30"/>
      <c r="AO1087" s="30"/>
      <c r="AP1087" s="30"/>
      <c r="AQ1087" s="38"/>
      <c r="AR1087" s="30"/>
      <c r="AS1087" s="30"/>
      <c r="AT1087" s="29"/>
      <c r="AU1087" s="30"/>
      <c r="AV1087" s="30"/>
      <c r="AW1087" s="30"/>
      <c r="AX1087" s="29"/>
      <c r="AY1087" s="39"/>
      <c r="AZ1087" s="30"/>
      <c r="BA1087" s="30"/>
      <c r="BB1087" s="29"/>
      <c r="BC1087" s="52"/>
      <c r="BD1087" s="30"/>
      <c r="BE1087" s="29"/>
      <c r="BF1087" s="30"/>
      <c r="BG1087" s="30"/>
      <c r="BH1087" s="30"/>
      <c r="BI1087" s="30"/>
      <c r="BJ1087" s="30"/>
      <c r="BK1087" s="30"/>
      <c r="BL1087" s="30"/>
      <c r="BM1087" s="30"/>
      <c r="BN1087" s="30"/>
      <c r="BO1087" s="30"/>
      <c r="BP1087" s="30"/>
      <c r="BQ1087" s="30"/>
      <c r="BR1087" s="30"/>
      <c r="BS1087" s="30"/>
      <c r="BT1087" s="30"/>
      <c r="BU1087" s="30"/>
      <c r="BV1087" s="30"/>
      <c r="BW1087" s="30"/>
      <c r="BX1087" s="30"/>
      <c r="BY1087" s="30"/>
      <c r="BZ1087" s="30"/>
      <c r="CA1087" s="30"/>
      <c r="CB1087" s="30"/>
      <c r="CC1087" s="30"/>
      <c r="CD1087" s="30"/>
      <c r="CE1087" s="30"/>
      <c r="CF1087" s="30"/>
      <c r="CG1087" s="30"/>
      <c r="CH1087" s="30"/>
      <c r="CI1087" s="30"/>
      <c r="CJ1087" s="30"/>
      <c r="CK1087" s="30"/>
      <c r="CL1087" s="30"/>
      <c r="CM1087" s="30"/>
      <c r="CN1087" s="30"/>
      <c r="CO1087" s="30"/>
      <c r="CP1087" s="30"/>
      <c r="CQ1087" s="30"/>
      <c r="CR1087" s="30"/>
      <c r="CS1087" s="30"/>
      <c r="CT1087" s="30"/>
      <c r="CU1087" s="30"/>
      <c r="CV1087" s="30"/>
      <c r="CW1087" s="30"/>
      <c r="CX1087" s="30"/>
      <c r="CY1087" s="30"/>
      <c r="CZ1087" s="30"/>
      <c r="DA1087" s="30"/>
      <c r="DB1087" s="30"/>
      <c r="DC1087" s="30"/>
      <c r="DD1087" s="30"/>
      <c r="DE1087" s="30"/>
      <c r="DF1087" s="30"/>
      <c r="DG1087" s="30"/>
      <c r="DH1087" s="30"/>
      <c r="DI1087" s="30"/>
      <c r="DJ1087" s="30"/>
      <c r="DK1087" s="30"/>
      <c r="DL1087" s="30"/>
      <c r="DM1087" s="30"/>
      <c r="DN1087" s="30"/>
      <c r="DO1087" s="30"/>
      <c r="DP1087" s="30"/>
      <c r="DQ1087" s="30"/>
      <c r="DR1087" s="30"/>
      <c r="DS1087" s="30"/>
      <c r="DT1087" s="30"/>
      <c r="DU1087" s="30"/>
      <c r="DV1087" s="30"/>
      <c r="DW1087" s="30"/>
      <c r="DX1087" s="30"/>
      <c r="DY1087" s="30"/>
      <c r="DZ1087" s="30"/>
    </row>
    <row r="1088">
      <c r="A1088" s="30"/>
      <c r="B1088" s="42"/>
      <c r="C1088" s="43"/>
      <c r="D1088" s="30"/>
      <c r="E1088" s="28"/>
      <c r="F1088" s="30"/>
      <c r="G1088" s="30"/>
      <c r="H1088" s="30"/>
      <c r="I1088" s="30"/>
      <c r="J1088" s="28"/>
      <c r="K1088" s="30"/>
      <c r="L1088" s="30"/>
      <c r="M1088" s="30"/>
      <c r="N1088" s="30"/>
      <c r="O1088" s="28"/>
      <c r="P1088" s="30"/>
      <c r="Q1088" s="30"/>
      <c r="R1088" s="30"/>
      <c r="S1088" s="36"/>
      <c r="T1088" s="30"/>
      <c r="U1088" s="36"/>
      <c r="V1088" s="30"/>
      <c r="W1088" s="28"/>
      <c r="X1088" s="30"/>
      <c r="Y1088" s="30"/>
      <c r="Z1088" s="30"/>
      <c r="AA1088" s="30"/>
      <c r="AB1088" s="30"/>
      <c r="AC1088" s="28"/>
      <c r="AD1088" s="30"/>
      <c r="AE1088" s="30"/>
      <c r="AF1088" s="30"/>
      <c r="AG1088" s="29"/>
      <c r="AH1088" s="30"/>
      <c r="AI1088" s="36"/>
      <c r="AJ1088" s="30"/>
      <c r="AK1088" s="29"/>
      <c r="AL1088" s="30"/>
      <c r="AM1088" s="30"/>
      <c r="AN1088" s="30"/>
      <c r="AO1088" s="30"/>
      <c r="AP1088" s="30"/>
      <c r="AQ1088" s="38"/>
      <c r="AR1088" s="30"/>
      <c r="AS1088" s="30"/>
      <c r="AT1088" s="29"/>
      <c r="AU1088" s="30"/>
      <c r="AV1088" s="30"/>
      <c r="AW1088" s="30"/>
      <c r="AX1088" s="29"/>
      <c r="AY1088" s="39"/>
      <c r="AZ1088" s="30"/>
      <c r="BA1088" s="30"/>
      <c r="BB1088" s="29"/>
      <c r="BC1088" s="52"/>
      <c r="BD1088" s="30"/>
      <c r="BE1088" s="29"/>
      <c r="BF1088" s="30"/>
      <c r="BG1088" s="30"/>
      <c r="BH1088" s="30"/>
      <c r="BI1088" s="30"/>
      <c r="BJ1088" s="30"/>
      <c r="BK1088" s="30"/>
      <c r="BL1088" s="30"/>
      <c r="BM1088" s="30"/>
      <c r="BN1088" s="30"/>
      <c r="BO1088" s="30"/>
      <c r="BP1088" s="30"/>
      <c r="BQ1088" s="30"/>
      <c r="BR1088" s="30"/>
      <c r="BS1088" s="30"/>
      <c r="BT1088" s="30"/>
      <c r="BU1088" s="30"/>
      <c r="BV1088" s="30"/>
      <c r="BW1088" s="30"/>
      <c r="BX1088" s="30"/>
      <c r="BY1088" s="30"/>
      <c r="BZ1088" s="30"/>
      <c r="CA1088" s="30"/>
      <c r="CB1088" s="30"/>
      <c r="CC1088" s="30"/>
      <c r="CD1088" s="30"/>
      <c r="CE1088" s="30"/>
      <c r="CF1088" s="30"/>
      <c r="CG1088" s="30"/>
      <c r="CH1088" s="30"/>
      <c r="CI1088" s="30"/>
      <c r="CJ1088" s="30"/>
      <c r="CK1088" s="30"/>
      <c r="CL1088" s="30"/>
      <c r="CM1088" s="30"/>
      <c r="CN1088" s="30"/>
      <c r="CO1088" s="30"/>
      <c r="CP1088" s="30"/>
      <c r="CQ1088" s="30"/>
      <c r="CR1088" s="30"/>
      <c r="CS1088" s="30"/>
      <c r="CT1088" s="30"/>
      <c r="CU1088" s="30"/>
      <c r="CV1088" s="30"/>
      <c r="CW1088" s="30"/>
      <c r="CX1088" s="30"/>
      <c r="CY1088" s="30"/>
      <c r="CZ1088" s="30"/>
      <c r="DA1088" s="30"/>
      <c r="DB1088" s="30"/>
      <c r="DC1088" s="30"/>
      <c r="DD1088" s="30"/>
      <c r="DE1088" s="30"/>
      <c r="DF1088" s="30"/>
      <c r="DG1088" s="30"/>
      <c r="DH1088" s="30"/>
      <c r="DI1088" s="30"/>
      <c r="DJ1088" s="30"/>
      <c r="DK1088" s="30"/>
      <c r="DL1088" s="30"/>
      <c r="DM1088" s="30"/>
      <c r="DN1088" s="30"/>
      <c r="DO1088" s="30"/>
      <c r="DP1088" s="30"/>
      <c r="DQ1088" s="30"/>
      <c r="DR1088" s="30"/>
      <c r="DS1088" s="30"/>
      <c r="DT1088" s="30"/>
      <c r="DU1088" s="30"/>
      <c r="DV1088" s="30"/>
      <c r="DW1088" s="30"/>
      <c r="DX1088" s="30"/>
      <c r="DY1088" s="30"/>
      <c r="DZ1088" s="30"/>
    </row>
    <row r="1089">
      <c r="A1089" s="30"/>
      <c r="B1089" s="42"/>
      <c r="C1089" s="43"/>
      <c r="D1089" s="30"/>
      <c r="E1089" s="28"/>
      <c r="F1089" s="30"/>
      <c r="G1089" s="30"/>
      <c r="H1089" s="30"/>
      <c r="I1089" s="30"/>
      <c r="J1089" s="28"/>
      <c r="K1089" s="30"/>
      <c r="L1089" s="30"/>
      <c r="M1089" s="30"/>
      <c r="N1089" s="30"/>
      <c r="O1089" s="28"/>
      <c r="P1089" s="30"/>
      <c r="Q1089" s="30"/>
      <c r="R1089" s="30"/>
      <c r="S1089" s="36"/>
      <c r="T1089" s="30"/>
      <c r="U1089" s="36"/>
      <c r="V1089" s="30"/>
      <c r="W1089" s="28"/>
      <c r="X1089" s="30"/>
      <c r="Y1089" s="30"/>
      <c r="Z1089" s="30"/>
      <c r="AA1089" s="30"/>
      <c r="AB1089" s="30"/>
      <c r="AC1089" s="28"/>
      <c r="AD1089" s="30"/>
      <c r="AE1089" s="30"/>
      <c r="AF1089" s="30"/>
      <c r="AG1089" s="29"/>
      <c r="AH1089" s="30"/>
      <c r="AI1089" s="36"/>
      <c r="AJ1089" s="30"/>
      <c r="AK1089" s="29"/>
      <c r="AL1089" s="30"/>
      <c r="AM1089" s="30"/>
      <c r="AN1089" s="30"/>
      <c r="AO1089" s="30"/>
      <c r="AP1089" s="30"/>
      <c r="AQ1089" s="38"/>
      <c r="AR1089" s="30"/>
      <c r="AS1089" s="30"/>
      <c r="AT1089" s="29"/>
      <c r="AU1089" s="30"/>
      <c r="AV1089" s="30"/>
      <c r="AW1089" s="30"/>
      <c r="AX1089" s="29"/>
      <c r="AY1089" s="39"/>
      <c r="AZ1089" s="30"/>
      <c r="BA1089" s="30"/>
      <c r="BB1089" s="29"/>
      <c r="BC1089" s="52"/>
      <c r="BD1089" s="30"/>
      <c r="BE1089" s="29"/>
      <c r="BF1089" s="30"/>
      <c r="BG1089" s="30"/>
      <c r="BH1089" s="30"/>
      <c r="BI1089" s="30"/>
      <c r="BJ1089" s="30"/>
      <c r="BK1089" s="30"/>
      <c r="BL1089" s="30"/>
      <c r="BM1089" s="30"/>
      <c r="BN1089" s="30"/>
      <c r="BO1089" s="30"/>
      <c r="BP1089" s="30"/>
      <c r="BQ1089" s="30"/>
      <c r="BR1089" s="30"/>
      <c r="BS1089" s="30"/>
      <c r="BT1089" s="30"/>
      <c r="BU1089" s="30"/>
      <c r="BV1089" s="30"/>
      <c r="BW1089" s="30"/>
      <c r="BX1089" s="30"/>
      <c r="BY1089" s="30"/>
      <c r="BZ1089" s="30"/>
      <c r="CA1089" s="30"/>
      <c r="CB1089" s="30"/>
      <c r="CC1089" s="30"/>
      <c r="CD1089" s="30"/>
      <c r="CE1089" s="30"/>
      <c r="CF1089" s="30"/>
      <c r="CG1089" s="30"/>
      <c r="CH1089" s="30"/>
      <c r="CI1089" s="30"/>
      <c r="CJ1089" s="30"/>
      <c r="CK1089" s="30"/>
      <c r="CL1089" s="30"/>
      <c r="CM1089" s="30"/>
      <c r="CN1089" s="30"/>
      <c r="CO1089" s="30"/>
      <c r="CP1089" s="30"/>
      <c r="CQ1089" s="30"/>
      <c r="CR1089" s="30"/>
      <c r="CS1089" s="30"/>
      <c r="CT1089" s="30"/>
      <c r="CU1089" s="30"/>
      <c r="CV1089" s="30"/>
      <c r="CW1089" s="30"/>
      <c r="CX1089" s="30"/>
      <c r="CY1089" s="30"/>
      <c r="CZ1089" s="30"/>
      <c r="DA1089" s="30"/>
      <c r="DB1089" s="30"/>
      <c r="DC1089" s="30"/>
      <c r="DD1089" s="30"/>
      <c r="DE1089" s="30"/>
      <c r="DF1089" s="30"/>
      <c r="DG1089" s="30"/>
      <c r="DH1089" s="30"/>
      <c r="DI1089" s="30"/>
      <c r="DJ1089" s="30"/>
      <c r="DK1089" s="30"/>
      <c r="DL1089" s="30"/>
      <c r="DM1089" s="30"/>
      <c r="DN1089" s="30"/>
      <c r="DO1089" s="30"/>
      <c r="DP1089" s="30"/>
      <c r="DQ1089" s="30"/>
      <c r="DR1089" s="30"/>
      <c r="DS1089" s="30"/>
      <c r="DT1089" s="30"/>
      <c r="DU1089" s="30"/>
      <c r="DV1089" s="30"/>
      <c r="DW1089" s="30"/>
      <c r="DX1089" s="30"/>
      <c r="DY1089" s="30"/>
      <c r="DZ1089" s="30"/>
    </row>
    <row r="1090">
      <c r="A1090" s="30"/>
      <c r="B1090" s="42"/>
      <c r="C1090" s="43"/>
      <c r="D1090" s="30"/>
      <c r="E1090" s="28"/>
      <c r="F1090" s="30"/>
      <c r="G1090" s="30"/>
      <c r="H1090" s="30"/>
      <c r="I1090" s="30"/>
      <c r="J1090" s="28"/>
      <c r="K1090" s="30"/>
      <c r="L1090" s="30"/>
      <c r="M1090" s="30"/>
      <c r="N1090" s="30"/>
      <c r="O1090" s="28"/>
      <c r="P1090" s="30"/>
      <c r="Q1090" s="30"/>
      <c r="R1090" s="30"/>
      <c r="S1090" s="36"/>
      <c r="T1090" s="30"/>
      <c r="U1090" s="36"/>
      <c r="V1090" s="30"/>
      <c r="W1090" s="28"/>
      <c r="X1090" s="30"/>
      <c r="Y1090" s="30"/>
      <c r="Z1090" s="30"/>
      <c r="AA1090" s="30"/>
      <c r="AB1090" s="30"/>
      <c r="AC1090" s="28"/>
      <c r="AD1090" s="30"/>
      <c r="AE1090" s="30"/>
      <c r="AF1090" s="30"/>
      <c r="AG1090" s="29"/>
      <c r="AH1090" s="30"/>
      <c r="AI1090" s="36"/>
      <c r="AJ1090" s="30"/>
      <c r="AK1090" s="29"/>
      <c r="AL1090" s="30"/>
      <c r="AM1090" s="30"/>
      <c r="AN1090" s="30"/>
      <c r="AO1090" s="30"/>
      <c r="AP1090" s="30"/>
      <c r="AQ1090" s="38"/>
      <c r="AR1090" s="30"/>
      <c r="AS1090" s="30"/>
      <c r="AT1090" s="29"/>
      <c r="AU1090" s="30"/>
      <c r="AV1090" s="30"/>
      <c r="AW1090" s="30"/>
      <c r="AX1090" s="29"/>
      <c r="AY1090" s="39"/>
      <c r="AZ1090" s="30"/>
      <c r="BA1090" s="30"/>
      <c r="BB1090" s="29"/>
      <c r="BC1090" s="52"/>
      <c r="BD1090" s="30"/>
      <c r="BE1090" s="29"/>
      <c r="BF1090" s="30"/>
      <c r="BG1090" s="30"/>
      <c r="BH1090" s="30"/>
      <c r="BI1090" s="30"/>
      <c r="BJ1090" s="30"/>
      <c r="BK1090" s="30"/>
      <c r="BL1090" s="30"/>
      <c r="BM1090" s="30"/>
      <c r="BN1090" s="30"/>
      <c r="BO1090" s="30"/>
      <c r="BP1090" s="30"/>
      <c r="BQ1090" s="30"/>
      <c r="BR1090" s="30"/>
      <c r="BS1090" s="30"/>
      <c r="BT1090" s="30"/>
      <c r="BU1090" s="30"/>
      <c r="BV1090" s="30"/>
      <c r="BW1090" s="30"/>
      <c r="BX1090" s="30"/>
      <c r="BY1090" s="30"/>
      <c r="BZ1090" s="30"/>
      <c r="CA1090" s="30"/>
      <c r="CB1090" s="30"/>
      <c r="CC1090" s="30"/>
      <c r="CD1090" s="30"/>
      <c r="CE1090" s="30"/>
      <c r="CF1090" s="30"/>
      <c r="CG1090" s="30"/>
      <c r="CH1090" s="30"/>
      <c r="CI1090" s="30"/>
      <c r="CJ1090" s="30"/>
      <c r="CK1090" s="30"/>
      <c r="CL1090" s="30"/>
      <c r="CM1090" s="30"/>
      <c r="CN1090" s="30"/>
      <c r="CO1090" s="30"/>
      <c r="CP1090" s="30"/>
      <c r="CQ1090" s="30"/>
      <c r="CR1090" s="30"/>
      <c r="CS1090" s="30"/>
      <c r="CT1090" s="30"/>
      <c r="CU1090" s="30"/>
      <c r="CV1090" s="30"/>
      <c r="CW1090" s="30"/>
      <c r="CX1090" s="30"/>
      <c r="CY1090" s="30"/>
      <c r="CZ1090" s="30"/>
      <c r="DA1090" s="30"/>
      <c r="DB1090" s="30"/>
      <c r="DC1090" s="30"/>
      <c r="DD1090" s="30"/>
      <c r="DE1090" s="30"/>
      <c r="DF1090" s="30"/>
      <c r="DG1090" s="30"/>
      <c r="DH1090" s="30"/>
      <c r="DI1090" s="30"/>
      <c r="DJ1090" s="30"/>
      <c r="DK1090" s="30"/>
      <c r="DL1090" s="30"/>
      <c r="DM1090" s="30"/>
      <c r="DN1090" s="30"/>
      <c r="DO1090" s="30"/>
      <c r="DP1090" s="30"/>
      <c r="DQ1090" s="30"/>
      <c r="DR1090" s="30"/>
      <c r="DS1090" s="30"/>
      <c r="DT1090" s="30"/>
      <c r="DU1090" s="30"/>
      <c r="DV1090" s="30"/>
      <c r="DW1090" s="30"/>
      <c r="DX1090" s="30"/>
      <c r="DY1090" s="30"/>
      <c r="DZ1090" s="30"/>
    </row>
    <row r="1091">
      <c r="A1091" s="30"/>
      <c r="B1091" s="42"/>
      <c r="C1091" s="43"/>
      <c r="D1091" s="30"/>
      <c r="E1091" s="28"/>
      <c r="F1091" s="30"/>
      <c r="G1091" s="30"/>
      <c r="H1091" s="30"/>
      <c r="I1091" s="30"/>
      <c r="J1091" s="28"/>
      <c r="K1091" s="30"/>
      <c r="L1091" s="30"/>
      <c r="M1091" s="30"/>
      <c r="N1091" s="30"/>
      <c r="O1091" s="28"/>
      <c r="P1091" s="30"/>
      <c r="Q1091" s="30"/>
      <c r="R1091" s="30"/>
      <c r="S1091" s="36"/>
      <c r="T1091" s="30"/>
      <c r="U1091" s="36"/>
      <c r="V1091" s="30"/>
      <c r="W1091" s="28"/>
      <c r="X1091" s="30"/>
      <c r="Y1091" s="30"/>
      <c r="Z1091" s="30"/>
      <c r="AA1091" s="30"/>
      <c r="AB1091" s="30"/>
      <c r="AC1091" s="28"/>
      <c r="AD1091" s="30"/>
      <c r="AE1091" s="30"/>
      <c r="AF1091" s="30"/>
      <c r="AG1091" s="29"/>
      <c r="AH1091" s="30"/>
      <c r="AI1091" s="36"/>
      <c r="AJ1091" s="30"/>
      <c r="AK1091" s="29"/>
      <c r="AL1091" s="30"/>
      <c r="AM1091" s="30"/>
      <c r="AN1091" s="30"/>
      <c r="AO1091" s="30"/>
      <c r="AP1091" s="30"/>
      <c r="AQ1091" s="38"/>
      <c r="AR1091" s="30"/>
      <c r="AS1091" s="30"/>
      <c r="AT1091" s="29"/>
      <c r="AU1091" s="30"/>
      <c r="AV1091" s="30"/>
      <c r="AW1091" s="30"/>
      <c r="AX1091" s="29"/>
      <c r="AY1091" s="39"/>
      <c r="AZ1091" s="30"/>
      <c r="BA1091" s="30"/>
      <c r="BB1091" s="29"/>
      <c r="BC1091" s="52"/>
      <c r="BD1091" s="30"/>
      <c r="BE1091" s="29"/>
      <c r="BF1091" s="30"/>
      <c r="BG1091" s="30"/>
      <c r="BH1091" s="30"/>
      <c r="BI1091" s="30"/>
      <c r="BJ1091" s="30"/>
      <c r="BK1091" s="30"/>
      <c r="BL1091" s="30"/>
      <c r="BM1091" s="30"/>
      <c r="BN1091" s="30"/>
      <c r="BO1091" s="30"/>
      <c r="BP1091" s="30"/>
      <c r="BQ1091" s="30"/>
      <c r="BR1091" s="30"/>
      <c r="BS1091" s="30"/>
      <c r="BT1091" s="30"/>
      <c r="BU1091" s="30"/>
      <c r="BV1091" s="30"/>
      <c r="BW1091" s="30"/>
      <c r="BX1091" s="30"/>
      <c r="BY1091" s="30"/>
      <c r="BZ1091" s="30"/>
      <c r="CA1091" s="30"/>
      <c r="CB1091" s="30"/>
      <c r="CC1091" s="30"/>
      <c r="CD1091" s="30"/>
      <c r="CE1091" s="30"/>
      <c r="CF1091" s="30"/>
      <c r="CG1091" s="30"/>
      <c r="CH1091" s="30"/>
      <c r="CI1091" s="30"/>
      <c r="CJ1091" s="30"/>
      <c r="CK1091" s="30"/>
      <c r="CL1091" s="30"/>
      <c r="CM1091" s="30"/>
      <c r="CN1091" s="30"/>
      <c r="CO1091" s="30"/>
      <c r="CP1091" s="30"/>
      <c r="CQ1091" s="30"/>
      <c r="CR1091" s="30"/>
      <c r="CS1091" s="30"/>
      <c r="CT1091" s="30"/>
      <c r="CU1091" s="30"/>
      <c r="CV1091" s="30"/>
      <c r="CW1091" s="30"/>
      <c r="CX1091" s="30"/>
      <c r="CY1091" s="30"/>
      <c r="CZ1091" s="30"/>
      <c r="DA1091" s="30"/>
      <c r="DB1091" s="30"/>
      <c r="DC1091" s="30"/>
      <c r="DD1091" s="30"/>
      <c r="DE1091" s="30"/>
      <c r="DF1091" s="30"/>
      <c r="DG1091" s="30"/>
      <c r="DH1091" s="30"/>
      <c r="DI1091" s="30"/>
      <c r="DJ1091" s="30"/>
      <c r="DK1091" s="30"/>
      <c r="DL1091" s="30"/>
      <c r="DM1091" s="30"/>
      <c r="DN1091" s="30"/>
      <c r="DO1091" s="30"/>
      <c r="DP1091" s="30"/>
      <c r="DQ1091" s="30"/>
      <c r="DR1091" s="30"/>
      <c r="DS1091" s="30"/>
      <c r="DT1091" s="30"/>
      <c r="DU1091" s="30"/>
      <c r="DV1091" s="30"/>
      <c r="DW1091" s="30"/>
      <c r="DX1091" s="30"/>
      <c r="DY1091" s="30"/>
      <c r="DZ1091" s="30"/>
    </row>
    <row r="1092">
      <c r="A1092" s="30"/>
      <c r="B1092" s="42"/>
      <c r="C1092" s="43"/>
      <c r="D1092" s="30"/>
      <c r="E1092" s="28"/>
      <c r="F1092" s="30"/>
      <c r="G1092" s="30"/>
      <c r="H1092" s="30"/>
      <c r="I1092" s="30"/>
      <c r="J1092" s="28"/>
      <c r="K1092" s="30"/>
      <c r="L1092" s="30"/>
      <c r="M1092" s="30"/>
      <c r="N1092" s="30"/>
      <c r="O1092" s="28"/>
      <c r="P1092" s="30"/>
      <c r="Q1092" s="30"/>
      <c r="R1092" s="30"/>
      <c r="S1092" s="36"/>
      <c r="T1092" s="30"/>
      <c r="U1092" s="36"/>
      <c r="V1092" s="30"/>
      <c r="W1092" s="28"/>
      <c r="X1092" s="30"/>
      <c r="Y1092" s="30"/>
      <c r="Z1092" s="30"/>
      <c r="AA1092" s="30"/>
      <c r="AB1092" s="30"/>
      <c r="AC1092" s="28"/>
      <c r="AD1092" s="30"/>
      <c r="AE1092" s="30"/>
      <c r="AF1092" s="30"/>
      <c r="AG1092" s="29"/>
      <c r="AH1092" s="30"/>
      <c r="AI1092" s="36"/>
      <c r="AJ1092" s="30"/>
      <c r="AK1092" s="29"/>
      <c r="AL1092" s="30"/>
      <c r="AM1092" s="30"/>
      <c r="AN1092" s="30"/>
      <c r="AO1092" s="30"/>
      <c r="AP1092" s="30"/>
      <c r="AQ1092" s="38"/>
      <c r="AR1092" s="30"/>
      <c r="AS1092" s="30"/>
      <c r="AT1092" s="29"/>
      <c r="AU1092" s="30"/>
      <c r="AV1092" s="30"/>
      <c r="AW1092" s="30"/>
      <c r="AX1092" s="29"/>
      <c r="AY1092" s="39"/>
      <c r="AZ1092" s="30"/>
      <c r="BA1092" s="30"/>
      <c r="BB1092" s="29"/>
      <c r="BC1092" s="52"/>
      <c r="BD1092" s="30"/>
      <c r="BE1092" s="29"/>
      <c r="BF1092" s="30"/>
      <c r="BG1092" s="30"/>
      <c r="BH1092" s="30"/>
      <c r="BI1092" s="30"/>
      <c r="BJ1092" s="30"/>
      <c r="BK1092" s="30"/>
      <c r="BL1092" s="30"/>
      <c r="BM1092" s="30"/>
      <c r="BN1092" s="30"/>
      <c r="BO1092" s="30"/>
      <c r="BP1092" s="30"/>
      <c r="BQ1092" s="30"/>
      <c r="BR1092" s="30"/>
      <c r="BS1092" s="30"/>
      <c r="BT1092" s="30"/>
      <c r="BU1092" s="30"/>
      <c r="BV1092" s="30"/>
      <c r="BW1092" s="30"/>
      <c r="BX1092" s="30"/>
      <c r="BY1092" s="30"/>
      <c r="BZ1092" s="30"/>
      <c r="CA1092" s="30"/>
      <c r="CB1092" s="30"/>
      <c r="CC1092" s="30"/>
      <c r="CD1092" s="30"/>
      <c r="CE1092" s="30"/>
      <c r="CF1092" s="30"/>
      <c r="CG1092" s="30"/>
      <c r="CH1092" s="30"/>
      <c r="CI1092" s="30"/>
      <c r="CJ1092" s="30"/>
      <c r="CK1092" s="30"/>
      <c r="CL1092" s="30"/>
      <c r="CM1092" s="30"/>
      <c r="CN1092" s="30"/>
      <c r="CO1092" s="30"/>
      <c r="CP1092" s="30"/>
      <c r="CQ1092" s="30"/>
      <c r="CR1092" s="30"/>
      <c r="CS1092" s="30"/>
      <c r="CT1092" s="30"/>
      <c r="CU1092" s="30"/>
      <c r="CV1092" s="30"/>
      <c r="CW1092" s="30"/>
      <c r="CX1092" s="30"/>
      <c r="CY1092" s="30"/>
      <c r="CZ1092" s="30"/>
      <c r="DA1092" s="30"/>
      <c r="DB1092" s="30"/>
      <c r="DC1092" s="30"/>
      <c r="DD1092" s="30"/>
      <c r="DE1092" s="30"/>
      <c r="DF1092" s="30"/>
      <c r="DG1092" s="30"/>
      <c r="DH1092" s="30"/>
      <c r="DI1092" s="30"/>
      <c r="DJ1092" s="30"/>
      <c r="DK1092" s="30"/>
      <c r="DL1092" s="30"/>
      <c r="DM1092" s="30"/>
      <c r="DN1092" s="30"/>
      <c r="DO1092" s="30"/>
      <c r="DP1092" s="30"/>
      <c r="DQ1092" s="30"/>
      <c r="DR1092" s="30"/>
      <c r="DS1092" s="30"/>
      <c r="DT1092" s="30"/>
      <c r="DU1092" s="30"/>
      <c r="DV1092" s="30"/>
      <c r="DW1092" s="30"/>
      <c r="DX1092" s="30"/>
      <c r="DY1092" s="30"/>
      <c r="DZ1092" s="30"/>
    </row>
    <row r="1093">
      <c r="A1093" s="30"/>
      <c r="B1093" s="42"/>
      <c r="C1093" s="43"/>
      <c r="D1093" s="30"/>
      <c r="E1093" s="28"/>
      <c r="F1093" s="30"/>
      <c r="G1093" s="30"/>
      <c r="H1093" s="30"/>
      <c r="I1093" s="30"/>
      <c r="J1093" s="28"/>
      <c r="K1093" s="30"/>
      <c r="L1093" s="30"/>
      <c r="M1093" s="30"/>
      <c r="N1093" s="30"/>
      <c r="O1093" s="28"/>
      <c r="P1093" s="30"/>
      <c r="Q1093" s="30"/>
      <c r="R1093" s="30"/>
      <c r="S1093" s="36"/>
      <c r="T1093" s="30"/>
      <c r="U1093" s="36"/>
      <c r="V1093" s="30"/>
      <c r="W1093" s="28"/>
      <c r="X1093" s="30"/>
      <c r="Y1093" s="30"/>
      <c r="Z1093" s="30"/>
      <c r="AA1093" s="30"/>
      <c r="AB1093" s="30"/>
      <c r="AC1093" s="28"/>
      <c r="AD1093" s="30"/>
      <c r="AE1093" s="30"/>
      <c r="AF1093" s="30"/>
      <c r="AG1093" s="29"/>
      <c r="AH1093" s="30"/>
      <c r="AI1093" s="36"/>
      <c r="AJ1093" s="30"/>
      <c r="AK1093" s="29"/>
      <c r="AL1093" s="30"/>
      <c r="AM1093" s="30"/>
      <c r="AN1093" s="30"/>
      <c r="AO1093" s="30"/>
      <c r="AP1093" s="30"/>
      <c r="AQ1093" s="38"/>
      <c r="AR1093" s="30"/>
      <c r="AS1093" s="30"/>
      <c r="AT1093" s="29"/>
      <c r="AU1093" s="30"/>
      <c r="AV1093" s="30"/>
      <c r="AW1093" s="30"/>
      <c r="AX1093" s="29"/>
      <c r="AY1093" s="39"/>
      <c r="AZ1093" s="30"/>
      <c r="BA1093" s="30"/>
      <c r="BB1093" s="29"/>
      <c r="BC1093" s="52"/>
      <c r="BD1093" s="30"/>
      <c r="BE1093" s="29"/>
      <c r="BF1093" s="30"/>
      <c r="BG1093" s="30"/>
      <c r="BH1093" s="30"/>
      <c r="BI1093" s="30"/>
      <c r="BJ1093" s="30"/>
      <c r="BK1093" s="30"/>
      <c r="BL1093" s="30"/>
      <c r="BM1093" s="30"/>
      <c r="BN1093" s="30"/>
      <c r="BO1093" s="30"/>
      <c r="BP1093" s="30"/>
      <c r="BQ1093" s="30"/>
      <c r="BR1093" s="30"/>
      <c r="BS1093" s="30"/>
      <c r="BT1093" s="30"/>
      <c r="BU1093" s="30"/>
      <c r="BV1093" s="30"/>
      <c r="BW1093" s="30"/>
      <c r="BX1093" s="30"/>
      <c r="BY1093" s="30"/>
      <c r="BZ1093" s="30"/>
      <c r="CA1093" s="30"/>
      <c r="CB1093" s="30"/>
      <c r="CC1093" s="30"/>
      <c r="CD1093" s="30"/>
      <c r="CE1093" s="30"/>
      <c r="CF1093" s="30"/>
      <c r="CG1093" s="30"/>
      <c r="CH1093" s="30"/>
      <c r="CI1093" s="30"/>
      <c r="CJ1093" s="30"/>
      <c r="CK1093" s="30"/>
      <c r="CL1093" s="30"/>
      <c r="CM1093" s="30"/>
      <c r="CN1093" s="30"/>
      <c r="CO1093" s="30"/>
      <c r="CP1093" s="30"/>
      <c r="CQ1093" s="30"/>
      <c r="CR1093" s="30"/>
      <c r="CS1093" s="30"/>
      <c r="CT1093" s="30"/>
      <c r="CU1093" s="30"/>
      <c r="CV1093" s="30"/>
      <c r="CW1093" s="30"/>
      <c r="CX1093" s="30"/>
      <c r="CY1093" s="30"/>
      <c r="CZ1093" s="30"/>
      <c r="DA1093" s="30"/>
      <c r="DB1093" s="30"/>
      <c r="DC1093" s="30"/>
      <c r="DD1093" s="30"/>
      <c r="DE1093" s="30"/>
      <c r="DF1093" s="30"/>
      <c r="DG1093" s="30"/>
      <c r="DH1093" s="30"/>
      <c r="DI1093" s="30"/>
      <c r="DJ1093" s="30"/>
      <c r="DK1093" s="30"/>
      <c r="DL1093" s="30"/>
      <c r="DM1093" s="30"/>
      <c r="DN1093" s="30"/>
      <c r="DO1093" s="30"/>
      <c r="DP1093" s="30"/>
      <c r="DQ1093" s="30"/>
      <c r="DR1093" s="30"/>
      <c r="DS1093" s="30"/>
      <c r="DT1093" s="30"/>
      <c r="DU1093" s="30"/>
      <c r="DV1093" s="30"/>
      <c r="DW1093" s="30"/>
      <c r="DX1093" s="30"/>
      <c r="DY1093" s="30"/>
      <c r="DZ1093" s="30"/>
    </row>
    <row r="1094">
      <c r="A1094" s="30"/>
      <c r="B1094" s="42"/>
      <c r="C1094" s="43"/>
      <c r="D1094" s="30"/>
      <c r="E1094" s="28"/>
      <c r="F1094" s="30"/>
      <c r="G1094" s="30"/>
      <c r="H1094" s="30"/>
      <c r="I1094" s="30"/>
      <c r="J1094" s="28"/>
      <c r="K1094" s="30"/>
      <c r="L1094" s="30"/>
      <c r="M1094" s="30"/>
      <c r="N1094" s="30"/>
      <c r="O1094" s="28"/>
      <c r="P1094" s="30"/>
      <c r="Q1094" s="30"/>
      <c r="R1094" s="30"/>
      <c r="S1094" s="36"/>
      <c r="T1094" s="30"/>
      <c r="U1094" s="36"/>
      <c r="V1094" s="30"/>
      <c r="W1094" s="28"/>
      <c r="X1094" s="30"/>
      <c r="Y1094" s="30"/>
      <c r="Z1094" s="30"/>
      <c r="AA1094" s="30"/>
      <c r="AB1094" s="30"/>
      <c r="AC1094" s="28"/>
      <c r="AD1094" s="30"/>
      <c r="AE1094" s="30"/>
      <c r="AF1094" s="30"/>
      <c r="AG1094" s="29"/>
      <c r="AH1094" s="30"/>
      <c r="AI1094" s="36"/>
      <c r="AJ1094" s="30"/>
      <c r="AK1094" s="29"/>
      <c r="AL1094" s="30"/>
      <c r="AM1094" s="30"/>
      <c r="AN1094" s="30"/>
      <c r="AO1094" s="30"/>
      <c r="AP1094" s="30"/>
      <c r="AQ1094" s="38"/>
      <c r="AR1094" s="30"/>
      <c r="AS1094" s="30"/>
      <c r="AT1094" s="29"/>
      <c r="AU1094" s="30"/>
      <c r="AV1094" s="30"/>
      <c r="AW1094" s="30"/>
      <c r="AX1094" s="29"/>
      <c r="AY1094" s="39"/>
      <c r="AZ1094" s="30"/>
      <c r="BA1094" s="30"/>
      <c r="BB1094" s="29"/>
      <c r="BC1094" s="52"/>
      <c r="BD1094" s="30"/>
      <c r="BE1094" s="29"/>
      <c r="BF1094" s="30"/>
      <c r="BG1094" s="30"/>
      <c r="BH1094" s="30"/>
      <c r="BI1094" s="30"/>
      <c r="BJ1094" s="30"/>
      <c r="BK1094" s="30"/>
      <c r="BL1094" s="30"/>
      <c r="BM1094" s="30"/>
      <c r="BN1094" s="30"/>
      <c r="BO1094" s="30"/>
      <c r="BP1094" s="30"/>
      <c r="BQ1094" s="30"/>
      <c r="BR1094" s="30"/>
      <c r="BS1094" s="30"/>
      <c r="BT1094" s="30"/>
      <c r="BU1094" s="30"/>
      <c r="BV1094" s="30"/>
      <c r="BW1094" s="30"/>
      <c r="BX1094" s="30"/>
      <c r="BY1094" s="30"/>
      <c r="BZ1094" s="30"/>
      <c r="CA1094" s="30"/>
      <c r="CB1094" s="30"/>
      <c r="CC1094" s="30"/>
      <c r="CD1094" s="30"/>
      <c r="CE1094" s="30"/>
      <c r="CF1094" s="30"/>
      <c r="CG1094" s="30"/>
      <c r="CH1094" s="30"/>
      <c r="CI1094" s="30"/>
      <c r="CJ1094" s="30"/>
      <c r="CK1094" s="30"/>
      <c r="CL1094" s="30"/>
      <c r="CM1094" s="30"/>
      <c r="CN1094" s="30"/>
      <c r="CO1094" s="30"/>
      <c r="CP1094" s="30"/>
      <c r="CQ1094" s="30"/>
      <c r="CR1094" s="30"/>
      <c r="CS1094" s="30"/>
      <c r="CT1094" s="30"/>
      <c r="CU1094" s="30"/>
      <c r="CV1094" s="30"/>
      <c r="CW1094" s="30"/>
      <c r="CX1094" s="30"/>
      <c r="CY1094" s="30"/>
      <c r="CZ1094" s="30"/>
      <c r="DA1094" s="30"/>
      <c r="DB1094" s="30"/>
      <c r="DC1094" s="30"/>
      <c r="DD1094" s="30"/>
      <c r="DE1094" s="30"/>
      <c r="DF1094" s="30"/>
      <c r="DG1094" s="30"/>
      <c r="DH1094" s="30"/>
      <c r="DI1094" s="30"/>
      <c r="DJ1094" s="30"/>
      <c r="DK1094" s="30"/>
      <c r="DL1094" s="30"/>
      <c r="DM1094" s="30"/>
      <c r="DN1094" s="30"/>
      <c r="DO1094" s="30"/>
      <c r="DP1094" s="30"/>
      <c r="DQ1094" s="30"/>
      <c r="DR1094" s="30"/>
      <c r="DS1094" s="30"/>
      <c r="DT1094" s="30"/>
      <c r="DU1094" s="30"/>
      <c r="DV1094" s="30"/>
      <c r="DW1094" s="30"/>
      <c r="DX1094" s="30"/>
      <c r="DY1094" s="30"/>
      <c r="DZ1094" s="30"/>
    </row>
    <row r="1095">
      <c r="A1095" s="30"/>
      <c r="B1095" s="42"/>
      <c r="C1095" s="43"/>
      <c r="D1095" s="30"/>
      <c r="E1095" s="28"/>
      <c r="F1095" s="30"/>
      <c r="G1095" s="30"/>
      <c r="H1095" s="30"/>
      <c r="I1095" s="30"/>
      <c r="J1095" s="28"/>
      <c r="K1095" s="30"/>
      <c r="L1095" s="30"/>
      <c r="M1095" s="30"/>
      <c r="N1095" s="30"/>
      <c r="O1095" s="28"/>
      <c r="P1095" s="30"/>
      <c r="Q1095" s="30"/>
      <c r="R1095" s="30"/>
      <c r="S1095" s="36"/>
      <c r="T1095" s="30"/>
      <c r="U1095" s="36"/>
      <c r="V1095" s="30"/>
      <c r="W1095" s="28"/>
      <c r="X1095" s="30"/>
      <c r="Y1095" s="30"/>
      <c r="Z1095" s="30"/>
      <c r="AA1095" s="30"/>
      <c r="AB1095" s="30"/>
      <c r="AC1095" s="28"/>
      <c r="AD1095" s="30"/>
      <c r="AE1095" s="30"/>
      <c r="AF1095" s="30"/>
      <c r="AG1095" s="29"/>
      <c r="AH1095" s="30"/>
      <c r="AI1095" s="36"/>
      <c r="AJ1095" s="30"/>
      <c r="AK1095" s="29"/>
      <c r="AL1095" s="30"/>
      <c r="AM1095" s="30"/>
      <c r="AN1095" s="30"/>
      <c r="AO1095" s="30"/>
      <c r="AP1095" s="30"/>
      <c r="AQ1095" s="38"/>
      <c r="AR1095" s="30"/>
      <c r="AS1095" s="30"/>
      <c r="AT1095" s="29"/>
      <c r="AU1095" s="30"/>
      <c r="AV1095" s="30"/>
      <c r="AW1095" s="30"/>
      <c r="AX1095" s="29"/>
      <c r="AY1095" s="39"/>
      <c r="AZ1095" s="30"/>
      <c r="BA1095" s="30"/>
      <c r="BB1095" s="29"/>
      <c r="BC1095" s="52"/>
      <c r="BD1095" s="30"/>
      <c r="BE1095" s="29"/>
      <c r="BF1095" s="30"/>
      <c r="BG1095" s="30"/>
      <c r="BH1095" s="30"/>
      <c r="BI1095" s="30"/>
      <c r="BJ1095" s="30"/>
      <c r="BK1095" s="30"/>
      <c r="BL1095" s="30"/>
      <c r="BM1095" s="30"/>
      <c r="BN1095" s="30"/>
      <c r="BO1095" s="30"/>
      <c r="BP1095" s="30"/>
      <c r="BQ1095" s="30"/>
      <c r="BR1095" s="30"/>
      <c r="BS1095" s="30"/>
      <c r="BT1095" s="30"/>
      <c r="BU1095" s="30"/>
      <c r="BV1095" s="30"/>
      <c r="BW1095" s="30"/>
      <c r="BX1095" s="30"/>
      <c r="BY1095" s="30"/>
      <c r="BZ1095" s="30"/>
      <c r="CA1095" s="30"/>
      <c r="CB1095" s="30"/>
      <c r="CC1095" s="30"/>
      <c r="CD1095" s="30"/>
      <c r="CE1095" s="30"/>
      <c r="CF1095" s="30"/>
      <c r="CG1095" s="30"/>
      <c r="CH1095" s="30"/>
      <c r="CI1095" s="30"/>
      <c r="CJ1095" s="30"/>
      <c r="CK1095" s="30"/>
      <c r="CL1095" s="30"/>
      <c r="CM1095" s="30"/>
      <c r="CN1095" s="30"/>
      <c r="CO1095" s="30"/>
      <c r="CP1095" s="30"/>
      <c r="CQ1095" s="30"/>
      <c r="CR1095" s="30"/>
      <c r="CS1095" s="30"/>
      <c r="CT1095" s="30"/>
      <c r="CU1095" s="30"/>
      <c r="CV1095" s="30"/>
      <c r="CW1095" s="30"/>
      <c r="CX1095" s="30"/>
      <c r="CY1095" s="30"/>
      <c r="CZ1095" s="30"/>
      <c r="DA1095" s="30"/>
      <c r="DB1095" s="30"/>
      <c r="DC1095" s="30"/>
      <c r="DD1095" s="30"/>
      <c r="DE1095" s="30"/>
      <c r="DF1095" s="30"/>
      <c r="DG1095" s="30"/>
      <c r="DH1095" s="30"/>
      <c r="DI1095" s="30"/>
      <c r="DJ1095" s="30"/>
      <c r="DK1095" s="30"/>
      <c r="DL1095" s="30"/>
      <c r="DM1095" s="30"/>
      <c r="DN1095" s="30"/>
      <c r="DO1095" s="30"/>
      <c r="DP1095" s="30"/>
      <c r="DQ1095" s="30"/>
      <c r="DR1095" s="30"/>
      <c r="DS1095" s="30"/>
      <c r="DT1095" s="30"/>
      <c r="DU1095" s="30"/>
      <c r="DV1095" s="30"/>
      <c r="DW1095" s="30"/>
      <c r="DX1095" s="30"/>
      <c r="DY1095" s="30"/>
      <c r="DZ1095" s="30"/>
    </row>
    <row r="1096">
      <c r="A1096" s="30"/>
      <c r="B1096" s="42"/>
      <c r="C1096" s="43"/>
      <c r="D1096" s="30"/>
      <c r="E1096" s="28"/>
      <c r="F1096" s="30"/>
      <c r="G1096" s="30"/>
      <c r="H1096" s="30"/>
      <c r="I1096" s="30"/>
      <c r="J1096" s="28"/>
      <c r="K1096" s="30"/>
      <c r="L1096" s="30"/>
      <c r="M1096" s="30"/>
      <c r="N1096" s="30"/>
      <c r="O1096" s="28"/>
      <c r="P1096" s="30"/>
      <c r="Q1096" s="30"/>
      <c r="R1096" s="30"/>
      <c r="S1096" s="36"/>
      <c r="T1096" s="30"/>
      <c r="U1096" s="36"/>
      <c r="V1096" s="30"/>
      <c r="W1096" s="28"/>
      <c r="X1096" s="30"/>
      <c r="Y1096" s="30"/>
      <c r="Z1096" s="30"/>
      <c r="AA1096" s="30"/>
      <c r="AB1096" s="30"/>
      <c r="AC1096" s="28"/>
      <c r="AD1096" s="30"/>
      <c r="AE1096" s="30"/>
      <c r="AF1096" s="30"/>
      <c r="AG1096" s="29"/>
      <c r="AH1096" s="30"/>
      <c r="AI1096" s="36"/>
      <c r="AJ1096" s="30"/>
      <c r="AK1096" s="29"/>
      <c r="AL1096" s="30"/>
      <c r="AM1096" s="30"/>
      <c r="AN1096" s="30"/>
      <c r="AO1096" s="30"/>
      <c r="AP1096" s="30"/>
      <c r="AQ1096" s="38"/>
      <c r="AR1096" s="30"/>
      <c r="AS1096" s="30"/>
      <c r="AT1096" s="29"/>
      <c r="AU1096" s="30"/>
      <c r="AV1096" s="30"/>
      <c r="AW1096" s="30"/>
      <c r="AX1096" s="29"/>
      <c r="AY1096" s="39"/>
      <c r="AZ1096" s="30"/>
      <c r="BA1096" s="30"/>
      <c r="BB1096" s="29"/>
      <c r="BC1096" s="52"/>
      <c r="BD1096" s="30"/>
      <c r="BE1096" s="29"/>
      <c r="BF1096" s="30"/>
      <c r="BG1096" s="30"/>
      <c r="BH1096" s="30"/>
      <c r="BI1096" s="30"/>
      <c r="BJ1096" s="30"/>
      <c r="BK1096" s="30"/>
      <c r="BL1096" s="30"/>
      <c r="BM1096" s="30"/>
      <c r="BN1096" s="30"/>
      <c r="BO1096" s="30"/>
      <c r="BP1096" s="30"/>
      <c r="BQ1096" s="30"/>
      <c r="BR1096" s="30"/>
      <c r="BS1096" s="30"/>
      <c r="BT1096" s="30"/>
      <c r="BU1096" s="30"/>
      <c r="BV1096" s="30"/>
      <c r="BW1096" s="30"/>
      <c r="BX1096" s="30"/>
      <c r="BY1096" s="30"/>
      <c r="BZ1096" s="30"/>
      <c r="CA1096" s="30"/>
      <c r="CB1096" s="30"/>
      <c r="CC1096" s="30"/>
      <c r="CD1096" s="30"/>
      <c r="CE1096" s="30"/>
      <c r="CF1096" s="30"/>
      <c r="CG1096" s="30"/>
      <c r="CH1096" s="30"/>
      <c r="CI1096" s="30"/>
      <c r="CJ1096" s="30"/>
      <c r="CK1096" s="30"/>
      <c r="CL1096" s="30"/>
      <c r="CM1096" s="30"/>
      <c r="CN1096" s="30"/>
      <c r="CO1096" s="30"/>
      <c r="CP1096" s="30"/>
      <c r="CQ1096" s="30"/>
      <c r="CR1096" s="30"/>
      <c r="CS1096" s="30"/>
      <c r="CT1096" s="30"/>
      <c r="CU1096" s="30"/>
      <c r="CV1096" s="30"/>
      <c r="CW1096" s="30"/>
      <c r="CX1096" s="30"/>
      <c r="CY1096" s="30"/>
      <c r="CZ1096" s="30"/>
      <c r="DA1096" s="30"/>
      <c r="DB1096" s="30"/>
      <c r="DC1096" s="30"/>
      <c r="DD1096" s="30"/>
      <c r="DE1096" s="30"/>
      <c r="DF1096" s="30"/>
      <c r="DG1096" s="30"/>
      <c r="DH1096" s="30"/>
      <c r="DI1096" s="30"/>
      <c r="DJ1096" s="30"/>
      <c r="DK1096" s="30"/>
      <c r="DL1096" s="30"/>
      <c r="DM1096" s="30"/>
      <c r="DN1096" s="30"/>
      <c r="DO1096" s="30"/>
      <c r="DP1096" s="30"/>
      <c r="DQ1096" s="30"/>
      <c r="DR1096" s="30"/>
      <c r="DS1096" s="30"/>
      <c r="DT1096" s="30"/>
      <c r="DU1096" s="30"/>
      <c r="DV1096" s="30"/>
      <c r="DW1096" s="30"/>
      <c r="DX1096" s="30"/>
      <c r="DY1096" s="30"/>
      <c r="DZ1096" s="30"/>
    </row>
    <row r="1097">
      <c r="A1097" s="30"/>
      <c r="B1097" s="42"/>
      <c r="C1097" s="43"/>
      <c r="D1097" s="30"/>
      <c r="E1097" s="28"/>
      <c r="F1097" s="30"/>
      <c r="G1097" s="30"/>
      <c r="H1097" s="30"/>
      <c r="I1097" s="30"/>
      <c r="J1097" s="28"/>
      <c r="K1097" s="30"/>
      <c r="L1097" s="30"/>
      <c r="M1097" s="30"/>
      <c r="N1097" s="30"/>
      <c r="O1097" s="28"/>
      <c r="P1097" s="30"/>
      <c r="Q1097" s="30"/>
      <c r="R1097" s="30"/>
      <c r="S1097" s="36"/>
      <c r="T1097" s="30"/>
      <c r="U1097" s="36"/>
      <c r="V1097" s="30"/>
      <c r="W1097" s="28"/>
      <c r="X1097" s="30"/>
      <c r="Y1097" s="30"/>
      <c r="Z1097" s="30"/>
      <c r="AA1097" s="30"/>
      <c r="AB1097" s="30"/>
      <c r="AC1097" s="28"/>
      <c r="AD1097" s="30"/>
      <c r="AE1097" s="30"/>
      <c r="AF1097" s="30"/>
      <c r="AG1097" s="29"/>
      <c r="AH1097" s="30"/>
      <c r="AI1097" s="36"/>
      <c r="AJ1097" s="30"/>
      <c r="AK1097" s="29"/>
      <c r="AL1097" s="30"/>
      <c r="AM1097" s="30"/>
      <c r="AN1097" s="30"/>
      <c r="AO1097" s="30"/>
      <c r="AP1097" s="30"/>
      <c r="AQ1097" s="38"/>
      <c r="AR1097" s="30"/>
      <c r="AS1097" s="30"/>
      <c r="AT1097" s="29"/>
      <c r="AU1097" s="30"/>
      <c r="AV1097" s="30"/>
      <c r="AW1097" s="30"/>
      <c r="AX1097" s="29"/>
      <c r="AY1097" s="39"/>
      <c r="AZ1097" s="30"/>
      <c r="BA1097" s="30"/>
      <c r="BB1097" s="29"/>
      <c r="BC1097" s="52"/>
      <c r="BD1097" s="30"/>
      <c r="BE1097" s="29"/>
      <c r="BF1097" s="30"/>
      <c r="BG1097" s="30"/>
      <c r="BH1097" s="30"/>
      <c r="BI1097" s="30"/>
      <c r="BJ1097" s="30"/>
      <c r="BK1097" s="30"/>
      <c r="BL1097" s="30"/>
      <c r="BM1097" s="30"/>
      <c r="BN1097" s="30"/>
      <c r="BO1097" s="30"/>
      <c r="BP1097" s="30"/>
      <c r="BQ1097" s="30"/>
      <c r="BR1097" s="30"/>
      <c r="BS1097" s="30"/>
      <c r="BT1097" s="30"/>
      <c r="BU1097" s="30"/>
      <c r="BV1097" s="30"/>
      <c r="BW1097" s="30"/>
      <c r="BX1097" s="30"/>
      <c r="BY1097" s="30"/>
      <c r="BZ1097" s="30"/>
      <c r="CA1097" s="30"/>
      <c r="CB1097" s="30"/>
      <c r="CC1097" s="30"/>
      <c r="CD1097" s="30"/>
      <c r="CE1097" s="30"/>
      <c r="CF1097" s="30"/>
      <c r="CG1097" s="30"/>
      <c r="CH1097" s="30"/>
      <c r="CI1097" s="30"/>
      <c r="CJ1097" s="30"/>
      <c r="CK1097" s="30"/>
      <c r="CL1097" s="30"/>
      <c r="CM1097" s="30"/>
      <c r="CN1097" s="30"/>
      <c r="CO1097" s="30"/>
      <c r="CP1097" s="30"/>
      <c r="CQ1097" s="30"/>
      <c r="CR1097" s="30"/>
      <c r="CS1097" s="30"/>
      <c r="CT1097" s="30"/>
      <c r="CU1097" s="30"/>
      <c r="CV1097" s="30"/>
      <c r="CW1097" s="30"/>
      <c r="CX1097" s="30"/>
      <c r="CY1097" s="30"/>
      <c r="CZ1097" s="30"/>
      <c r="DA1097" s="30"/>
      <c r="DB1097" s="30"/>
      <c r="DC1097" s="30"/>
      <c r="DD1097" s="30"/>
      <c r="DE1097" s="30"/>
      <c r="DF1097" s="30"/>
      <c r="DG1097" s="30"/>
      <c r="DH1097" s="30"/>
      <c r="DI1097" s="30"/>
      <c r="DJ1097" s="30"/>
      <c r="DK1097" s="30"/>
      <c r="DL1097" s="30"/>
      <c r="DM1097" s="30"/>
      <c r="DN1097" s="30"/>
      <c r="DO1097" s="30"/>
      <c r="DP1097" s="30"/>
      <c r="DQ1097" s="30"/>
      <c r="DR1097" s="30"/>
      <c r="DS1097" s="30"/>
      <c r="DT1097" s="30"/>
      <c r="DU1097" s="30"/>
      <c r="DV1097" s="30"/>
      <c r="DW1097" s="30"/>
      <c r="DX1097" s="30"/>
      <c r="DY1097" s="30"/>
      <c r="DZ1097" s="30"/>
    </row>
    <row r="1098">
      <c r="A1098" s="30"/>
      <c r="B1098" s="42"/>
      <c r="C1098" s="43"/>
      <c r="D1098" s="30"/>
      <c r="E1098" s="28"/>
      <c r="F1098" s="30"/>
      <c r="G1098" s="30"/>
      <c r="H1098" s="30"/>
      <c r="I1098" s="30"/>
      <c r="J1098" s="28"/>
      <c r="K1098" s="30"/>
      <c r="L1098" s="30"/>
      <c r="M1098" s="30"/>
      <c r="N1098" s="30"/>
      <c r="O1098" s="28"/>
      <c r="P1098" s="30"/>
      <c r="Q1098" s="30"/>
      <c r="R1098" s="30"/>
      <c r="S1098" s="36"/>
      <c r="T1098" s="30"/>
      <c r="U1098" s="36"/>
      <c r="V1098" s="30"/>
      <c r="W1098" s="28"/>
      <c r="X1098" s="30"/>
      <c r="Y1098" s="30"/>
      <c r="Z1098" s="30"/>
      <c r="AA1098" s="30"/>
      <c r="AB1098" s="30"/>
      <c r="AC1098" s="28"/>
      <c r="AD1098" s="30"/>
      <c r="AE1098" s="30"/>
      <c r="AF1098" s="30"/>
      <c r="AG1098" s="29"/>
      <c r="AH1098" s="30"/>
      <c r="AI1098" s="36"/>
      <c r="AJ1098" s="30"/>
      <c r="AK1098" s="29"/>
      <c r="AL1098" s="30"/>
      <c r="AM1098" s="30"/>
      <c r="AN1098" s="30"/>
      <c r="AO1098" s="30"/>
      <c r="AP1098" s="30"/>
      <c r="AQ1098" s="38"/>
      <c r="AR1098" s="30"/>
      <c r="AS1098" s="30"/>
      <c r="AT1098" s="29"/>
      <c r="AU1098" s="30"/>
      <c r="AV1098" s="30"/>
      <c r="AW1098" s="30"/>
      <c r="AX1098" s="29"/>
      <c r="AY1098" s="39"/>
      <c r="AZ1098" s="30"/>
      <c r="BA1098" s="30"/>
      <c r="BB1098" s="29"/>
      <c r="BC1098" s="52"/>
      <c r="BD1098" s="30"/>
      <c r="BE1098" s="29"/>
      <c r="BF1098" s="30"/>
      <c r="BG1098" s="30"/>
      <c r="BH1098" s="30"/>
      <c r="BI1098" s="30"/>
      <c r="BJ1098" s="30"/>
      <c r="BK1098" s="30"/>
      <c r="BL1098" s="30"/>
      <c r="BM1098" s="30"/>
      <c r="BN1098" s="30"/>
      <c r="BO1098" s="30"/>
      <c r="BP1098" s="30"/>
      <c r="BQ1098" s="30"/>
      <c r="BR1098" s="30"/>
      <c r="BS1098" s="30"/>
      <c r="BT1098" s="30"/>
      <c r="BU1098" s="30"/>
      <c r="BV1098" s="30"/>
      <c r="BW1098" s="30"/>
      <c r="BX1098" s="30"/>
      <c r="BY1098" s="30"/>
      <c r="BZ1098" s="30"/>
      <c r="CA1098" s="30"/>
      <c r="CB1098" s="30"/>
      <c r="CC1098" s="30"/>
      <c r="CD1098" s="30"/>
      <c r="CE1098" s="30"/>
      <c r="CF1098" s="30"/>
      <c r="CG1098" s="30"/>
      <c r="CH1098" s="30"/>
      <c r="CI1098" s="30"/>
      <c r="CJ1098" s="30"/>
      <c r="CK1098" s="30"/>
      <c r="CL1098" s="30"/>
      <c r="CM1098" s="30"/>
      <c r="CN1098" s="30"/>
      <c r="CO1098" s="30"/>
      <c r="CP1098" s="30"/>
      <c r="CQ1098" s="30"/>
      <c r="CR1098" s="30"/>
      <c r="CS1098" s="30"/>
      <c r="CT1098" s="30"/>
      <c r="CU1098" s="30"/>
      <c r="CV1098" s="30"/>
      <c r="CW1098" s="30"/>
      <c r="CX1098" s="30"/>
      <c r="CY1098" s="30"/>
      <c r="CZ1098" s="30"/>
      <c r="DA1098" s="30"/>
      <c r="DB1098" s="30"/>
      <c r="DC1098" s="30"/>
      <c r="DD1098" s="30"/>
      <c r="DE1098" s="30"/>
      <c r="DF1098" s="30"/>
      <c r="DG1098" s="30"/>
      <c r="DH1098" s="30"/>
      <c r="DI1098" s="30"/>
      <c r="DJ1098" s="30"/>
      <c r="DK1098" s="30"/>
      <c r="DL1098" s="30"/>
      <c r="DM1098" s="30"/>
      <c r="DN1098" s="30"/>
      <c r="DO1098" s="30"/>
      <c r="DP1098" s="30"/>
      <c r="DQ1098" s="30"/>
      <c r="DR1098" s="30"/>
      <c r="DS1098" s="30"/>
      <c r="DT1098" s="30"/>
      <c r="DU1098" s="30"/>
      <c r="DV1098" s="30"/>
      <c r="DW1098" s="30"/>
      <c r="DX1098" s="30"/>
      <c r="DY1098" s="30"/>
      <c r="DZ1098" s="30"/>
    </row>
    <row r="1099">
      <c r="A1099" s="30"/>
      <c r="B1099" s="42"/>
      <c r="C1099" s="43"/>
      <c r="D1099" s="30"/>
      <c r="E1099" s="28"/>
      <c r="F1099" s="30"/>
      <c r="G1099" s="30"/>
      <c r="H1099" s="30"/>
      <c r="I1099" s="30"/>
      <c r="J1099" s="28"/>
      <c r="K1099" s="30"/>
      <c r="L1099" s="30"/>
      <c r="M1099" s="30"/>
      <c r="N1099" s="30"/>
      <c r="O1099" s="28"/>
      <c r="P1099" s="30"/>
      <c r="Q1099" s="30"/>
      <c r="R1099" s="30"/>
      <c r="S1099" s="36"/>
      <c r="T1099" s="30"/>
      <c r="U1099" s="36"/>
      <c r="V1099" s="30"/>
      <c r="W1099" s="28"/>
      <c r="X1099" s="30"/>
      <c r="Y1099" s="30"/>
      <c r="Z1099" s="30"/>
      <c r="AA1099" s="30"/>
      <c r="AB1099" s="30"/>
      <c r="AC1099" s="28"/>
      <c r="AD1099" s="30"/>
      <c r="AE1099" s="30"/>
      <c r="AF1099" s="30"/>
      <c r="AG1099" s="29"/>
      <c r="AH1099" s="30"/>
      <c r="AI1099" s="36"/>
      <c r="AJ1099" s="30"/>
      <c r="AK1099" s="29"/>
      <c r="AL1099" s="30"/>
      <c r="AM1099" s="30"/>
      <c r="AN1099" s="30"/>
      <c r="AO1099" s="30"/>
      <c r="AP1099" s="30"/>
      <c r="AQ1099" s="38"/>
      <c r="AR1099" s="30"/>
      <c r="AS1099" s="30"/>
      <c r="AT1099" s="29"/>
      <c r="AU1099" s="30"/>
      <c r="AV1099" s="30"/>
      <c r="AW1099" s="30"/>
      <c r="AX1099" s="29"/>
      <c r="AY1099" s="39"/>
      <c r="AZ1099" s="30"/>
      <c r="BA1099" s="30"/>
      <c r="BB1099" s="29"/>
      <c r="BC1099" s="52"/>
      <c r="BD1099" s="30"/>
      <c r="BE1099" s="29"/>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0"/>
      <c r="CF1099" s="30"/>
      <c r="CG1099" s="30"/>
      <c r="CH1099" s="30"/>
      <c r="CI1099" s="30"/>
      <c r="CJ1099" s="30"/>
      <c r="CK1099" s="30"/>
      <c r="CL1099" s="30"/>
      <c r="CM1099" s="30"/>
      <c r="CN1099" s="30"/>
      <c r="CO1099" s="30"/>
      <c r="CP1099" s="30"/>
      <c r="CQ1099" s="30"/>
      <c r="CR1099" s="30"/>
      <c r="CS1099" s="30"/>
      <c r="CT1099" s="30"/>
      <c r="CU1099" s="30"/>
      <c r="CV1099" s="30"/>
      <c r="CW1099" s="30"/>
      <c r="CX1099" s="30"/>
      <c r="CY1099" s="30"/>
      <c r="CZ1099" s="30"/>
      <c r="DA1099" s="30"/>
      <c r="DB1099" s="30"/>
      <c r="DC1099" s="30"/>
      <c r="DD1099" s="30"/>
      <c r="DE1099" s="30"/>
      <c r="DF1099" s="30"/>
      <c r="DG1099" s="30"/>
      <c r="DH1099" s="30"/>
      <c r="DI1099" s="30"/>
      <c r="DJ1099" s="30"/>
      <c r="DK1099" s="30"/>
      <c r="DL1099" s="30"/>
      <c r="DM1099" s="30"/>
      <c r="DN1099" s="30"/>
      <c r="DO1099" s="30"/>
      <c r="DP1099" s="30"/>
      <c r="DQ1099" s="30"/>
      <c r="DR1099" s="30"/>
      <c r="DS1099" s="30"/>
      <c r="DT1099" s="30"/>
      <c r="DU1099" s="30"/>
      <c r="DV1099" s="30"/>
      <c r="DW1099" s="30"/>
      <c r="DX1099" s="30"/>
      <c r="DY1099" s="30"/>
      <c r="DZ1099" s="30"/>
    </row>
    <row r="1100">
      <c r="A1100" s="30"/>
      <c r="B1100" s="42"/>
      <c r="C1100" s="43"/>
      <c r="D1100" s="30"/>
      <c r="E1100" s="28"/>
      <c r="F1100" s="30"/>
      <c r="G1100" s="30"/>
      <c r="H1100" s="30"/>
      <c r="I1100" s="30"/>
      <c r="J1100" s="28"/>
      <c r="K1100" s="30"/>
      <c r="L1100" s="30"/>
      <c r="M1100" s="30"/>
      <c r="N1100" s="30"/>
      <c r="O1100" s="28"/>
      <c r="P1100" s="30"/>
      <c r="Q1100" s="30"/>
      <c r="R1100" s="30"/>
      <c r="S1100" s="36"/>
      <c r="T1100" s="30"/>
      <c r="U1100" s="36"/>
      <c r="V1100" s="30"/>
      <c r="W1100" s="28"/>
      <c r="X1100" s="30"/>
      <c r="Y1100" s="30"/>
      <c r="Z1100" s="30"/>
      <c r="AA1100" s="30"/>
      <c r="AB1100" s="30"/>
      <c r="AC1100" s="28"/>
      <c r="AD1100" s="30"/>
      <c r="AE1100" s="30"/>
      <c r="AF1100" s="30"/>
      <c r="AG1100" s="29"/>
      <c r="AH1100" s="30"/>
      <c r="AI1100" s="36"/>
      <c r="AJ1100" s="30"/>
      <c r="AK1100" s="29"/>
      <c r="AL1100" s="30"/>
      <c r="AM1100" s="30"/>
      <c r="AN1100" s="30"/>
      <c r="AO1100" s="30"/>
      <c r="AP1100" s="30"/>
      <c r="AQ1100" s="38"/>
      <c r="AR1100" s="30"/>
      <c r="AS1100" s="30"/>
      <c r="AT1100" s="29"/>
      <c r="AU1100" s="30"/>
      <c r="AV1100" s="30"/>
      <c r="AW1100" s="30"/>
      <c r="AX1100" s="29"/>
      <c r="AY1100" s="39"/>
      <c r="AZ1100" s="30"/>
      <c r="BA1100" s="30"/>
      <c r="BB1100" s="29"/>
      <c r="BC1100" s="52"/>
      <c r="BD1100" s="30"/>
      <c r="BE1100" s="29"/>
      <c r="BF1100" s="30"/>
      <c r="BG1100" s="30"/>
      <c r="BH1100" s="30"/>
      <c r="BI1100" s="30"/>
      <c r="BJ1100" s="30"/>
      <c r="BK1100" s="30"/>
      <c r="BL1100" s="30"/>
      <c r="BM1100" s="30"/>
      <c r="BN1100" s="30"/>
      <c r="BO1100" s="30"/>
      <c r="BP1100" s="30"/>
      <c r="BQ1100" s="30"/>
      <c r="BR1100" s="30"/>
      <c r="BS1100" s="30"/>
      <c r="BT1100" s="30"/>
      <c r="BU1100" s="30"/>
      <c r="BV1100" s="30"/>
      <c r="BW1100" s="30"/>
      <c r="BX1100" s="30"/>
      <c r="BY1100" s="30"/>
      <c r="BZ1100" s="30"/>
      <c r="CA1100" s="30"/>
      <c r="CB1100" s="30"/>
      <c r="CC1100" s="30"/>
      <c r="CD1100" s="30"/>
      <c r="CE1100" s="30"/>
      <c r="CF1100" s="30"/>
      <c r="CG1100" s="30"/>
      <c r="CH1100" s="30"/>
      <c r="CI1100" s="30"/>
      <c r="CJ1100" s="30"/>
      <c r="CK1100" s="30"/>
      <c r="CL1100" s="30"/>
      <c r="CM1100" s="30"/>
      <c r="CN1100" s="30"/>
      <c r="CO1100" s="30"/>
      <c r="CP1100" s="30"/>
      <c r="CQ1100" s="30"/>
      <c r="CR1100" s="30"/>
      <c r="CS1100" s="30"/>
      <c r="CT1100" s="30"/>
      <c r="CU1100" s="30"/>
      <c r="CV1100" s="30"/>
      <c r="CW1100" s="30"/>
      <c r="CX1100" s="30"/>
      <c r="CY1100" s="30"/>
      <c r="CZ1100" s="30"/>
      <c r="DA1100" s="30"/>
      <c r="DB1100" s="30"/>
      <c r="DC1100" s="30"/>
      <c r="DD1100" s="30"/>
      <c r="DE1100" s="30"/>
      <c r="DF1100" s="30"/>
      <c r="DG1100" s="30"/>
      <c r="DH1100" s="30"/>
      <c r="DI1100" s="30"/>
      <c r="DJ1100" s="30"/>
      <c r="DK1100" s="30"/>
      <c r="DL1100" s="30"/>
      <c r="DM1100" s="30"/>
      <c r="DN1100" s="30"/>
      <c r="DO1100" s="30"/>
      <c r="DP1100" s="30"/>
      <c r="DQ1100" s="30"/>
      <c r="DR1100" s="30"/>
      <c r="DS1100" s="30"/>
      <c r="DT1100" s="30"/>
      <c r="DU1100" s="30"/>
      <c r="DV1100" s="30"/>
      <c r="DW1100" s="30"/>
      <c r="DX1100" s="30"/>
      <c r="DY1100" s="30"/>
      <c r="DZ1100" s="30"/>
    </row>
    <row r="1101">
      <c r="A1101" s="30"/>
      <c r="B1101" s="42"/>
      <c r="C1101" s="43"/>
      <c r="D1101" s="30"/>
      <c r="E1101" s="28"/>
      <c r="F1101" s="30"/>
      <c r="G1101" s="30"/>
      <c r="H1101" s="30"/>
      <c r="I1101" s="30"/>
      <c r="J1101" s="28"/>
      <c r="K1101" s="30"/>
      <c r="L1101" s="30"/>
      <c r="M1101" s="30"/>
      <c r="N1101" s="30"/>
      <c r="O1101" s="28"/>
      <c r="P1101" s="30"/>
      <c r="Q1101" s="30"/>
      <c r="R1101" s="30"/>
      <c r="S1101" s="36"/>
      <c r="T1101" s="30"/>
      <c r="U1101" s="36"/>
      <c r="V1101" s="30"/>
      <c r="W1101" s="28"/>
      <c r="X1101" s="30"/>
      <c r="Y1101" s="30"/>
      <c r="Z1101" s="30"/>
      <c r="AA1101" s="30"/>
      <c r="AB1101" s="30"/>
      <c r="AC1101" s="28"/>
      <c r="AD1101" s="30"/>
      <c r="AE1101" s="30"/>
      <c r="AF1101" s="30"/>
      <c r="AG1101" s="29"/>
      <c r="AH1101" s="30"/>
      <c r="AI1101" s="36"/>
      <c r="AJ1101" s="30"/>
      <c r="AK1101" s="29"/>
      <c r="AL1101" s="30"/>
      <c r="AM1101" s="30"/>
      <c r="AN1101" s="30"/>
      <c r="AO1101" s="30"/>
      <c r="AP1101" s="30"/>
      <c r="AQ1101" s="38"/>
      <c r="AR1101" s="30"/>
      <c r="AS1101" s="30"/>
      <c r="AT1101" s="29"/>
      <c r="AU1101" s="30"/>
      <c r="AV1101" s="30"/>
      <c r="AW1101" s="30"/>
      <c r="AX1101" s="29"/>
      <c r="AY1101" s="39"/>
      <c r="AZ1101" s="30"/>
      <c r="BA1101" s="30"/>
      <c r="BB1101" s="29"/>
      <c r="BC1101" s="52"/>
      <c r="BD1101" s="30"/>
      <c r="BE1101" s="29"/>
      <c r="BF1101" s="30"/>
      <c r="BG1101" s="30"/>
      <c r="BH1101" s="30"/>
      <c r="BI1101" s="30"/>
      <c r="BJ1101" s="30"/>
      <c r="BK1101" s="30"/>
      <c r="BL1101" s="30"/>
      <c r="BM1101" s="30"/>
      <c r="BN1101" s="30"/>
      <c r="BO1101" s="30"/>
      <c r="BP1101" s="30"/>
      <c r="BQ1101" s="30"/>
      <c r="BR1101" s="30"/>
      <c r="BS1101" s="30"/>
      <c r="BT1101" s="30"/>
      <c r="BU1101" s="30"/>
      <c r="BV1101" s="30"/>
      <c r="BW1101" s="30"/>
      <c r="BX1101" s="30"/>
      <c r="BY1101" s="30"/>
      <c r="BZ1101" s="30"/>
      <c r="CA1101" s="30"/>
      <c r="CB1101" s="30"/>
      <c r="CC1101" s="30"/>
      <c r="CD1101" s="30"/>
      <c r="CE1101" s="30"/>
      <c r="CF1101" s="30"/>
      <c r="CG1101" s="30"/>
      <c r="CH1101" s="30"/>
      <c r="CI1101" s="30"/>
      <c r="CJ1101" s="30"/>
      <c r="CK1101" s="30"/>
      <c r="CL1101" s="30"/>
      <c r="CM1101" s="30"/>
      <c r="CN1101" s="30"/>
      <c r="CO1101" s="30"/>
      <c r="CP1101" s="30"/>
      <c r="CQ1101" s="30"/>
      <c r="CR1101" s="30"/>
      <c r="CS1101" s="30"/>
      <c r="CT1101" s="30"/>
      <c r="CU1101" s="30"/>
      <c r="CV1101" s="30"/>
      <c r="CW1101" s="30"/>
      <c r="CX1101" s="30"/>
      <c r="CY1101" s="30"/>
      <c r="CZ1101" s="30"/>
      <c r="DA1101" s="30"/>
      <c r="DB1101" s="30"/>
      <c r="DC1101" s="30"/>
      <c r="DD1101" s="30"/>
      <c r="DE1101" s="30"/>
      <c r="DF1101" s="30"/>
      <c r="DG1101" s="30"/>
      <c r="DH1101" s="30"/>
      <c r="DI1101" s="30"/>
      <c r="DJ1101" s="30"/>
      <c r="DK1101" s="30"/>
      <c r="DL1101" s="30"/>
      <c r="DM1101" s="30"/>
      <c r="DN1101" s="30"/>
      <c r="DO1101" s="30"/>
      <c r="DP1101" s="30"/>
      <c r="DQ1101" s="30"/>
      <c r="DR1101" s="30"/>
      <c r="DS1101" s="30"/>
      <c r="DT1101" s="30"/>
      <c r="DU1101" s="30"/>
      <c r="DV1101" s="30"/>
      <c r="DW1101" s="30"/>
      <c r="DX1101" s="30"/>
      <c r="DY1101" s="30"/>
      <c r="DZ1101" s="30"/>
    </row>
    <row r="1102">
      <c r="A1102" s="30"/>
      <c r="B1102" s="42"/>
      <c r="C1102" s="43"/>
      <c r="D1102" s="30"/>
      <c r="E1102" s="28"/>
      <c r="F1102" s="30"/>
      <c r="G1102" s="30"/>
      <c r="H1102" s="30"/>
      <c r="I1102" s="30"/>
      <c r="J1102" s="28"/>
      <c r="K1102" s="30"/>
      <c r="L1102" s="30"/>
      <c r="M1102" s="30"/>
      <c r="N1102" s="30"/>
      <c r="O1102" s="28"/>
      <c r="P1102" s="30"/>
      <c r="Q1102" s="30"/>
      <c r="R1102" s="30"/>
      <c r="S1102" s="36"/>
      <c r="T1102" s="30"/>
      <c r="U1102" s="36"/>
      <c r="V1102" s="30"/>
      <c r="W1102" s="28"/>
      <c r="X1102" s="30"/>
      <c r="Y1102" s="30"/>
      <c r="Z1102" s="30"/>
      <c r="AA1102" s="30"/>
      <c r="AB1102" s="30"/>
      <c r="AC1102" s="28"/>
      <c r="AD1102" s="30"/>
      <c r="AE1102" s="30"/>
      <c r="AF1102" s="30"/>
      <c r="AG1102" s="29"/>
      <c r="AH1102" s="30"/>
      <c r="AI1102" s="36"/>
      <c r="AJ1102" s="30"/>
      <c r="AK1102" s="29"/>
      <c r="AL1102" s="30"/>
      <c r="AM1102" s="30"/>
      <c r="AN1102" s="30"/>
      <c r="AO1102" s="30"/>
      <c r="AP1102" s="30"/>
      <c r="AQ1102" s="38"/>
      <c r="AR1102" s="30"/>
      <c r="AS1102" s="30"/>
      <c r="AT1102" s="29"/>
      <c r="AU1102" s="30"/>
      <c r="AV1102" s="30"/>
      <c r="AW1102" s="30"/>
      <c r="AX1102" s="29"/>
      <c r="AY1102" s="39"/>
      <c r="AZ1102" s="30"/>
      <c r="BA1102" s="30"/>
      <c r="BB1102" s="29"/>
      <c r="BC1102" s="52"/>
      <c r="BD1102" s="30"/>
      <c r="BE1102" s="29"/>
      <c r="BF1102" s="30"/>
      <c r="BG1102" s="30"/>
      <c r="BH1102" s="30"/>
      <c r="BI1102" s="30"/>
      <c r="BJ1102" s="30"/>
      <c r="BK1102" s="30"/>
      <c r="BL1102" s="30"/>
      <c r="BM1102" s="30"/>
      <c r="BN1102" s="30"/>
      <c r="BO1102" s="30"/>
      <c r="BP1102" s="30"/>
      <c r="BQ1102" s="30"/>
      <c r="BR1102" s="30"/>
      <c r="BS1102" s="30"/>
      <c r="BT1102" s="30"/>
      <c r="BU1102" s="30"/>
      <c r="BV1102" s="30"/>
      <c r="BW1102" s="30"/>
      <c r="BX1102" s="30"/>
      <c r="BY1102" s="30"/>
      <c r="BZ1102" s="30"/>
      <c r="CA1102" s="30"/>
      <c r="CB1102" s="30"/>
      <c r="CC1102" s="30"/>
      <c r="CD1102" s="30"/>
      <c r="CE1102" s="30"/>
      <c r="CF1102" s="30"/>
      <c r="CG1102" s="30"/>
      <c r="CH1102" s="30"/>
      <c r="CI1102" s="30"/>
      <c r="CJ1102" s="30"/>
      <c r="CK1102" s="30"/>
      <c r="CL1102" s="30"/>
      <c r="CM1102" s="30"/>
      <c r="CN1102" s="30"/>
      <c r="CO1102" s="30"/>
      <c r="CP1102" s="30"/>
      <c r="CQ1102" s="30"/>
      <c r="CR1102" s="30"/>
      <c r="CS1102" s="30"/>
      <c r="CT1102" s="30"/>
      <c r="CU1102" s="30"/>
      <c r="CV1102" s="30"/>
      <c r="CW1102" s="30"/>
      <c r="CX1102" s="30"/>
      <c r="CY1102" s="30"/>
      <c r="CZ1102" s="30"/>
      <c r="DA1102" s="30"/>
      <c r="DB1102" s="30"/>
      <c r="DC1102" s="30"/>
      <c r="DD1102" s="30"/>
      <c r="DE1102" s="30"/>
      <c r="DF1102" s="30"/>
      <c r="DG1102" s="30"/>
      <c r="DH1102" s="30"/>
      <c r="DI1102" s="30"/>
      <c r="DJ1102" s="30"/>
      <c r="DK1102" s="30"/>
      <c r="DL1102" s="30"/>
      <c r="DM1102" s="30"/>
      <c r="DN1102" s="30"/>
      <c r="DO1102" s="30"/>
      <c r="DP1102" s="30"/>
      <c r="DQ1102" s="30"/>
      <c r="DR1102" s="30"/>
      <c r="DS1102" s="30"/>
      <c r="DT1102" s="30"/>
      <c r="DU1102" s="30"/>
      <c r="DV1102" s="30"/>
      <c r="DW1102" s="30"/>
      <c r="DX1102" s="30"/>
      <c r="DY1102" s="30"/>
      <c r="DZ1102" s="30"/>
    </row>
    <row r="1103">
      <c r="A1103" s="30"/>
      <c r="B1103" s="42"/>
      <c r="C1103" s="43"/>
      <c r="D1103" s="30"/>
      <c r="E1103" s="28"/>
      <c r="F1103" s="30"/>
      <c r="G1103" s="30"/>
      <c r="H1103" s="30"/>
      <c r="I1103" s="30"/>
      <c r="J1103" s="28"/>
      <c r="K1103" s="30"/>
      <c r="L1103" s="30"/>
      <c r="M1103" s="30"/>
      <c r="N1103" s="30"/>
      <c r="O1103" s="28"/>
      <c r="P1103" s="30"/>
      <c r="Q1103" s="30"/>
      <c r="R1103" s="30"/>
      <c r="S1103" s="36"/>
      <c r="T1103" s="30"/>
      <c r="U1103" s="36"/>
      <c r="V1103" s="30"/>
      <c r="W1103" s="28"/>
      <c r="X1103" s="30"/>
      <c r="Y1103" s="30"/>
      <c r="Z1103" s="30"/>
      <c r="AA1103" s="30"/>
      <c r="AB1103" s="30"/>
      <c r="AC1103" s="28"/>
      <c r="AD1103" s="30"/>
      <c r="AE1103" s="30"/>
      <c r="AF1103" s="30"/>
      <c r="AG1103" s="29"/>
      <c r="AH1103" s="30"/>
      <c r="AI1103" s="36"/>
      <c r="AJ1103" s="30"/>
      <c r="AK1103" s="29"/>
      <c r="AL1103" s="30"/>
      <c r="AM1103" s="30"/>
      <c r="AN1103" s="30"/>
      <c r="AO1103" s="30"/>
      <c r="AP1103" s="30"/>
      <c r="AQ1103" s="38"/>
      <c r="AR1103" s="30"/>
      <c r="AS1103" s="30"/>
      <c r="AT1103" s="29"/>
      <c r="AU1103" s="30"/>
      <c r="AV1103" s="30"/>
      <c r="AW1103" s="30"/>
      <c r="AX1103" s="29"/>
      <c r="AY1103" s="39"/>
      <c r="AZ1103" s="30"/>
      <c r="BA1103" s="30"/>
      <c r="BB1103" s="29"/>
      <c r="BC1103" s="52"/>
      <c r="BD1103" s="30"/>
      <c r="BE1103" s="29"/>
      <c r="BF1103" s="30"/>
      <c r="BG1103" s="30"/>
      <c r="BH1103" s="30"/>
      <c r="BI1103" s="30"/>
      <c r="BJ1103" s="30"/>
      <c r="BK1103" s="30"/>
      <c r="BL1103" s="30"/>
      <c r="BM1103" s="30"/>
      <c r="BN1103" s="30"/>
      <c r="BO1103" s="30"/>
      <c r="BP1103" s="30"/>
      <c r="BQ1103" s="30"/>
      <c r="BR1103" s="30"/>
      <c r="BS1103" s="30"/>
      <c r="BT1103" s="30"/>
      <c r="BU1103" s="30"/>
      <c r="BV1103" s="30"/>
      <c r="BW1103" s="30"/>
      <c r="BX1103" s="30"/>
      <c r="BY1103" s="30"/>
      <c r="BZ1103" s="30"/>
      <c r="CA1103" s="30"/>
      <c r="CB1103" s="30"/>
      <c r="CC1103" s="30"/>
      <c r="CD1103" s="30"/>
      <c r="CE1103" s="30"/>
      <c r="CF1103" s="30"/>
      <c r="CG1103" s="30"/>
      <c r="CH1103" s="30"/>
      <c r="CI1103" s="30"/>
      <c r="CJ1103" s="30"/>
      <c r="CK1103" s="30"/>
      <c r="CL1103" s="30"/>
      <c r="CM1103" s="30"/>
      <c r="CN1103" s="30"/>
      <c r="CO1103" s="30"/>
      <c r="CP1103" s="30"/>
      <c r="CQ1103" s="30"/>
      <c r="CR1103" s="30"/>
      <c r="CS1103" s="30"/>
      <c r="CT1103" s="30"/>
      <c r="CU1103" s="30"/>
      <c r="CV1103" s="30"/>
      <c r="CW1103" s="30"/>
      <c r="CX1103" s="30"/>
      <c r="CY1103" s="30"/>
      <c r="CZ1103" s="30"/>
      <c r="DA1103" s="30"/>
      <c r="DB1103" s="30"/>
      <c r="DC1103" s="30"/>
      <c r="DD1103" s="30"/>
      <c r="DE1103" s="30"/>
      <c r="DF1103" s="30"/>
      <c r="DG1103" s="30"/>
      <c r="DH1103" s="30"/>
      <c r="DI1103" s="30"/>
      <c r="DJ1103" s="30"/>
      <c r="DK1103" s="30"/>
      <c r="DL1103" s="30"/>
      <c r="DM1103" s="30"/>
      <c r="DN1103" s="30"/>
      <c r="DO1103" s="30"/>
      <c r="DP1103" s="30"/>
      <c r="DQ1103" s="30"/>
      <c r="DR1103" s="30"/>
      <c r="DS1103" s="30"/>
      <c r="DT1103" s="30"/>
      <c r="DU1103" s="30"/>
      <c r="DV1103" s="30"/>
      <c r="DW1103" s="30"/>
      <c r="DX1103" s="30"/>
      <c r="DY1103" s="30"/>
      <c r="DZ1103" s="30"/>
    </row>
    <row r="1104">
      <c r="A1104" s="30"/>
      <c r="B1104" s="42"/>
      <c r="C1104" s="43"/>
      <c r="D1104" s="30"/>
      <c r="E1104" s="28"/>
      <c r="F1104" s="30"/>
      <c r="G1104" s="30"/>
      <c r="H1104" s="30"/>
      <c r="I1104" s="30"/>
      <c r="J1104" s="28"/>
      <c r="K1104" s="30"/>
      <c r="L1104" s="30"/>
      <c r="M1104" s="30"/>
      <c r="N1104" s="30"/>
      <c r="O1104" s="28"/>
      <c r="P1104" s="30"/>
      <c r="Q1104" s="30"/>
      <c r="R1104" s="30"/>
      <c r="S1104" s="36"/>
      <c r="T1104" s="30"/>
      <c r="U1104" s="36"/>
      <c r="V1104" s="30"/>
      <c r="W1104" s="28"/>
      <c r="X1104" s="30"/>
      <c r="Y1104" s="30"/>
      <c r="Z1104" s="30"/>
      <c r="AA1104" s="30"/>
      <c r="AB1104" s="30"/>
      <c r="AC1104" s="28"/>
      <c r="AD1104" s="30"/>
      <c r="AE1104" s="30"/>
      <c r="AF1104" s="30"/>
      <c r="AG1104" s="29"/>
      <c r="AH1104" s="30"/>
      <c r="AI1104" s="36"/>
      <c r="AJ1104" s="30"/>
      <c r="AK1104" s="29"/>
      <c r="AL1104" s="30"/>
      <c r="AM1104" s="30"/>
      <c r="AN1104" s="30"/>
      <c r="AO1104" s="30"/>
      <c r="AP1104" s="30"/>
      <c r="AQ1104" s="38"/>
      <c r="AR1104" s="30"/>
      <c r="AS1104" s="30"/>
      <c r="AT1104" s="29"/>
      <c r="AU1104" s="30"/>
      <c r="AV1104" s="30"/>
      <c r="AW1104" s="30"/>
      <c r="AX1104" s="29"/>
      <c r="AY1104" s="39"/>
      <c r="AZ1104" s="30"/>
      <c r="BA1104" s="30"/>
      <c r="BB1104" s="29"/>
      <c r="BC1104" s="52"/>
      <c r="BD1104" s="30"/>
      <c r="BE1104" s="29"/>
      <c r="BF1104" s="30"/>
      <c r="BG1104" s="30"/>
      <c r="BH1104" s="30"/>
      <c r="BI1104" s="30"/>
      <c r="BJ1104" s="30"/>
      <c r="BK1104" s="30"/>
      <c r="BL1104" s="30"/>
      <c r="BM1104" s="30"/>
      <c r="BN1104" s="30"/>
      <c r="BO1104" s="30"/>
      <c r="BP1104" s="30"/>
      <c r="BQ1104" s="30"/>
      <c r="BR1104" s="30"/>
      <c r="BS1104" s="30"/>
      <c r="BT1104" s="30"/>
      <c r="BU1104" s="30"/>
      <c r="BV1104" s="30"/>
      <c r="BW1104" s="30"/>
      <c r="BX1104" s="30"/>
      <c r="BY1104" s="30"/>
      <c r="BZ1104" s="30"/>
      <c r="CA1104" s="30"/>
      <c r="CB1104" s="30"/>
      <c r="CC1104" s="30"/>
      <c r="CD1104" s="30"/>
      <c r="CE1104" s="30"/>
      <c r="CF1104" s="30"/>
      <c r="CG1104" s="30"/>
      <c r="CH1104" s="30"/>
      <c r="CI1104" s="30"/>
      <c r="CJ1104" s="30"/>
      <c r="CK1104" s="30"/>
      <c r="CL1104" s="30"/>
      <c r="CM1104" s="30"/>
      <c r="CN1104" s="30"/>
      <c r="CO1104" s="30"/>
      <c r="CP1104" s="30"/>
      <c r="CQ1104" s="30"/>
      <c r="CR1104" s="30"/>
      <c r="CS1104" s="30"/>
      <c r="CT1104" s="30"/>
      <c r="CU1104" s="30"/>
      <c r="CV1104" s="30"/>
      <c r="CW1104" s="30"/>
      <c r="CX1104" s="30"/>
      <c r="CY1104" s="30"/>
      <c r="CZ1104" s="30"/>
      <c r="DA1104" s="30"/>
      <c r="DB1104" s="30"/>
      <c r="DC1104" s="30"/>
      <c r="DD1104" s="30"/>
      <c r="DE1104" s="30"/>
      <c r="DF1104" s="30"/>
      <c r="DG1104" s="30"/>
      <c r="DH1104" s="30"/>
      <c r="DI1104" s="30"/>
      <c r="DJ1104" s="30"/>
      <c r="DK1104" s="30"/>
      <c r="DL1104" s="30"/>
      <c r="DM1104" s="30"/>
      <c r="DN1104" s="30"/>
      <c r="DO1104" s="30"/>
      <c r="DP1104" s="30"/>
      <c r="DQ1104" s="30"/>
      <c r="DR1104" s="30"/>
      <c r="DS1104" s="30"/>
      <c r="DT1104" s="30"/>
      <c r="DU1104" s="30"/>
      <c r="DV1104" s="30"/>
      <c r="DW1104" s="30"/>
      <c r="DX1104" s="30"/>
      <c r="DY1104" s="30"/>
      <c r="DZ1104" s="30"/>
    </row>
    <row r="1105">
      <c r="A1105" s="30"/>
      <c r="B1105" s="42"/>
      <c r="C1105" s="43"/>
      <c r="D1105" s="30"/>
      <c r="E1105" s="28"/>
      <c r="F1105" s="30"/>
      <c r="G1105" s="30"/>
      <c r="H1105" s="30"/>
      <c r="I1105" s="30"/>
      <c r="J1105" s="28"/>
      <c r="K1105" s="30"/>
      <c r="L1105" s="30"/>
      <c r="M1105" s="30"/>
      <c r="N1105" s="30"/>
      <c r="O1105" s="28"/>
      <c r="P1105" s="30"/>
      <c r="Q1105" s="30"/>
      <c r="R1105" s="30"/>
      <c r="S1105" s="36"/>
      <c r="T1105" s="30"/>
      <c r="U1105" s="36"/>
      <c r="V1105" s="30"/>
      <c r="W1105" s="28"/>
      <c r="X1105" s="30"/>
      <c r="Y1105" s="30"/>
      <c r="Z1105" s="30"/>
      <c r="AA1105" s="30"/>
      <c r="AB1105" s="30"/>
      <c r="AC1105" s="28"/>
      <c r="AD1105" s="30"/>
      <c r="AE1105" s="30"/>
      <c r="AF1105" s="30"/>
      <c r="AG1105" s="29"/>
      <c r="AH1105" s="30"/>
      <c r="AI1105" s="36"/>
      <c r="AJ1105" s="30"/>
      <c r="AK1105" s="29"/>
      <c r="AL1105" s="30"/>
      <c r="AM1105" s="30"/>
      <c r="AN1105" s="30"/>
      <c r="AO1105" s="30"/>
      <c r="AP1105" s="30"/>
      <c r="AQ1105" s="38"/>
      <c r="AR1105" s="30"/>
      <c r="AS1105" s="30"/>
      <c r="AT1105" s="29"/>
      <c r="AU1105" s="30"/>
      <c r="AV1105" s="30"/>
      <c r="AW1105" s="30"/>
      <c r="AX1105" s="29"/>
      <c r="AY1105" s="39"/>
      <c r="AZ1105" s="30"/>
      <c r="BA1105" s="30"/>
      <c r="BB1105" s="29"/>
      <c r="BC1105" s="52"/>
      <c r="BD1105" s="30"/>
      <c r="BE1105" s="29"/>
      <c r="BF1105" s="30"/>
      <c r="BG1105" s="30"/>
      <c r="BH1105" s="30"/>
      <c r="BI1105" s="30"/>
      <c r="BJ1105" s="30"/>
      <c r="BK1105" s="30"/>
      <c r="BL1105" s="30"/>
      <c r="BM1105" s="30"/>
      <c r="BN1105" s="30"/>
      <c r="BO1105" s="30"/>
      <c r="BP1105" s="30"/>
      <c r="BQ1105" s="30"/>
      <c r="BR1105" s="30"/>
      <c r="BS1105" s="30"/>
      <c r="BT1105" s="30"/>
      <c r="BU1105" s="30"/>
      <c r="BV1105" s="30"/>
      <c r="BW1105" s="30"/>
      <c r="BX1105" s="30"/>
      <c r="BY1105" s="30"/>
      <c r="BZ1105" s="30"/>
      <c r="CA1105" s="30"/>
      <c r="CB1105" s="30"/>
      <c r="CC1105" s="30"/>
      <c r="CD1105" s="30"/>
      <c r="CE1105" s="30"/>
      <c r="CF1105" s="30"/>
      <c r="CG1105" s="30"/>
      <c r="CH1105" s="30"/>
      <c r="CI1105" s="30"/>
      <c r="CJ1105" s="30"/>
      <c r="CK1105" s="30"/>
      <c r="CL1105" s="30"/>
      <c r="CM1105" s="30"/>
      <c r="CN1105" s="30"/>
      <c r="CO1105" s="30"/>
      <c r="CP1105" s="30"/>
      <c r="CQ1105" s="30"/>
      <c r="CR1105" s="30"/>
      <c r="CS1105" s="30"/>
      <c r="CT1105" s="30"/>
      <c r="CU1105" s="30"/>
      <c r="CV1105" s="30"/>
      <c r="CW1105" s="30"/>
      <c r="CX1105" s="30"/>
      <c r="CY1105" s="30"/>
      <c r="CZ1105" s="30"/>
      <c r="DA1105" s="30"/>
      <c r="DB1105" s="30"/>
      <c r="DC1105" s="30"/>
      <c r="DD1105" s="30"/>
      <c r="DE1105" s="30"/>
      <c r="DF1105" s="30"/>
      <c r="DG1105" s="30"/>
      <c r="DH1105" s="30"/>
      <c r="DI1105" s="30"/>
      <c r="DJ1105" s="30"/>
      <c r="DK1105" s="30"/>
      <c r="DL1105" s="30"/>
      <c r="DM1105" s="30"/>
      <c r="DN1105" s="30"/>
      <c r="DO1105" s="30"/>
      <c r="DP1105" s="30"/>
      <c r="DQ1105" s="30"/>
      <c r="DR1105" s="30"/>
      <c r="DS1105" s="30"/>
      <c r="DT1105" s="30"/>
      <c r="DU1105" s="30"/>
      <c r="DV1105" s="30"/>
      <c r="DW1105" s="30"/>
      <c r="DX1105" s="30"/>
      <c r="DY1105" s="30"/>
      <c r="DZ1105" s="30"/>
    </row>
    <row r="1106">
      <c r="A1106" s="30"/>
      <c r="B1106" s="42"/>
      <c r="C1106" s="43"/>
      <c r="D1106" s="30"/>
      <c r="E1106" s="28"/>
      <c r="F1106" s="30"/>
      <c r="G1106" s="30"/>
      <c r="H1106" s="30"/>
      <c r="I1106" s="30"/>
      <c r="J1106" s="28"/>
      <c r="K1106" s="30"/>
      <c r="L1106" s="30"/>
      <c r="M1106" s="30"/>
      <c r="N1106" s="30"/>
      <c r="O1106" s="28"/>
      <c r="P1106" s="30"/>
      <c r="Q1106" s="30"/>
      <c r="R1106" s="30"/>
      <c r="S1106" s="36"/>
      <c r="T1106" s="30"/>
      <c r="U1106" s="36"/>
      <c r="V1106" s="30"/>
      <c r="W1106" s="28"/>
      <c r="X1106" s="30"/>
      <c r="Y1106" s="30"/>
      <c r="Z1106" s="30"/>
      <c r="AA1106" s="30"/>
      <c r="AB1106" s="30"/>
      <c r="AC1106" s="28"/>
      <c r="AD1106" s="30"/>
      <c r="AE1106" s="30"/>
      <c r="AF1106" s="30"/>
      <c r="AG1106" s="29"/>
      <c r="AH1106" s="30"/>
      <c r="AI1106" s="36"/>
      <c r="AJ1106" s="30"/>
      <c r="AK1106" s="29"/>
      <c r="AL1106" s="30"/>
      <c r="AM1106" s="30"/>
      <c r="AN1106" s="30"/>
      <c r="AO1106" s="30"/>
      <c r="AP1106" s="30"/>
      <c r="AQ1106" s="38"/>
      <c r="AR1106" s="30"/>
      <c r="AS1106" s="30"/>
      <c r="AT1106" s="29"/>
      <c r="AU1106" s="30"/>
      <c r="AV1106" s="30"/>
      <c r="AW1106" s="30"/>
      <c r="AX1106" s="29"/>
      <c r="AY1106" s="39"/>
      <c r="AZ1106" s="30"/>
      <c r="BA1106" s="30"/>
      <c r="BB1106" s="29"/>
      <c r="BC1106" s="52"/>
      <c r="BD1106" s="30"/>
      <c r="BE1106" s="29"/>
      <c r="BF1106" s="30"/>
      <c r="BG1106" s="30"/>
      <c r="BH1106" s="30"/>
      <c r="BI1106" s="30"/>
      <c r="BJ1106" s="30"/>
      <c r="BK1106" s="30"/>
      <c r="BL1106" s="30"/>
      <c r="BM1106" s="30"/>
      <c r="BN1106" s="30"/>
      <c r="BO1106" s="30"/>
      <c r="BP1106" s="30"/>
      <c r="BQ1106" s="30"/>
      <c r="BR1106" s="30"/>
      <c r="BS1106" s="30"/>
      <c r="BT1106" s="30"/>
      <c r="BU1106" s="30"/>
      <c r="BV1106" s="30"/>
      <c r="BW1106" s="30"/>
      <c r="BX1106" s="30"/>
      <c r="BY1106" s="30"/>
      <c r="BZ1106" s="30"/>
      <c r="CA1106" s="30"/>
      <c r="CB1106" s="30"/>
      <c r="CC1106" s="30"/>
      <c r="CD1106" s="30"/>
      <c r="CE1106" s="30"/>
      <c r="CF1106" s="30"/>
      <c r="CG1106" s="30"/>
      <c r="CH1106" s="30"/>
      <c r="CI1106" s="30"/>
      <c r="CJ1106" s="30"/>
      <c r="CK1106" s="30"/>
      <c r="CL1106" s="30"/>
      <c r="CM1106" s="30"/>
      <c r="CN1106" s="30"/>
      <c r="CO1106" s="30"/>
      <c r="CP1106" s="30"/>
      <c r="CQ1106" s="30"/>
      <c r="CR1106" s="30"/>
      <c r="CS1106" s="30"/>
      <c r="CT1106" s="30"/>
      <c r="CU1106" s="30"/>
      <c r="CV1106" s="30"/>
      <c r="CW1106" s="30"/>
      <c r="CX1106" s="30"/>
      <c r="CY1106" s="30"/>
      <c r="CZ1106" s="30"/>
      <c r="DA1106" s="30"/>
      <c r="DB1106" s="30"/>
      <c r="DC1106" s="30"/>
      <c r="DD1106" s="30"/>
      <c r="DE1106" s="30"/>
      <c r="DF1106" s="30"/>
      <c r="DG1106" s="30"/>
      <c r="DH1106" s="30"/>
      <c r="DI1106" s="30"/>
      <c r="DJ1106" s="30"/>
      <c r="DK1106" s="30"/>
      <c r="DL1106" s="30"/>
      <c r="DM1106" s="30"/>
      <c r="DN1106" s="30"/>
      <c r="DO1106" s="30"/>
      <c r="DP1106" s="30"/>
      <c r="DQ1106" s="30"/>
      <c r="DR1106" s="30"/>
      <c r="DS1106" s="30"/>
      <c r="DT1106" s="30"/>
      <c r="DU1106" s="30"/>
      <c r="DV1106" s="30"/>
      <c r="DW1106" s="30"/>
      <c r="DX1106" s="30"/>
      <c r="DY1106" s="30"/>
      <c r="DZ1106" s="30"/>
    </row>
    <row r="1107">
      <c r="A1107" s="30"/>
      <c r="B1107" s="42"/>
      <c r="C1107" s="43"/>
      <c r="D1107" s="30"/>
      <c r="E1107" s="28"/>
      <c r="F1107" s="30"/>
      <c r="G1107" s="30"/>
      <c r="H1107" s="30"/>
      <c r="I1107" s="30"/>
      <c r="J1107" s="28"/>
      <c r="K1107" s="30"/>
      <c r="L1107" s="30"/>
      <c r="M1107" s="30"/>
      <c r="N1107" s="30"/>
      <c r="O1107" s="28"/>
      <c r="P1107" s="30"/>
      <c r="Q1107" s="30"/>
      <c r="R1107" s="30"/>
      <c r="S1107" s="36"/>
      <c r="T1107" s="30"/>
      <c r="U1107" s="36"/>
      <c r="V1107" s="30"/>
      <c r="W1107" s="28"/>
      <c r="X1107" s="30"/>
      <c r="Y1107" s="30"/>
      <c r="Z1107" s="30"/>
      <c r="AA1107" s="30"/>
      <c r="AB1107" s="30"/>
      <c r="AC1107" s="28"/>
      <c r="AD1107" s="30"/>
      <c r="AE1107" s="30"/>
      <c r="AF1107" s="30"/>
      <c r="AG1107" s="29"/>
      <c r="AH1107" s="30"/>
      <c r="AI1107" s="36"/>
      <c r="AJ1107" s="30"/>
      <c r="AK1107" s="29"/>
      <c r="AL1107" s="30"/>
      <c r="AM1107" s="30"/>
      <c r="AN1107" s="30"/>
      <c r="AO1107" s="30"/>
      <c r="AP1107" s="30"/>
      <c r="AQ1107" s="38"/>
      <c r="AR1107" s="30"/>
      <c r="AS1107" s="30"/>
      <c r="AT1107" s="29"/>
      <c r="AU1107" s="30"/>
      <c r="AV1107" s="30"/>
      <c r="AW1107" s="30"/>
      <c r="AX1107" s="29"/>
      <c r="AY1107" s="39"/>
      <c r="AZ1107" s="30"/>
      <c r="BA1107" s="30"/>
      <c r="BB1107" s="29"/>
      <c r="BC1107" s="52"/>
      <c r="BD1107" s="30"/>
      <c r="BE1107" s="29"/>
      <c r="BF1107" s="30"/>
      <c r="BG1107" s="30"/>
      <c r="BH1107" s="30"/>
      <c r="BI1107" s="30"/>
      <c r="BJ1107" s="30"/>
      <c r="BK1107" s="30"/>
      <c r="BL1107" s="30"/>
      <c r="BM1107" s="30"/>
      <c r="BN1107" s="30"/>
      <c r="BO1107" s="30"/>
      <c r="BP1107" s="30"/>
      <c r="BQ1107" s="30"/>
      <c r="BR1107" s="30"/>
      <c r="BS1107" s="30"/>
      <c r="BT1107" s="30"/>
      <c r="BU1107" s="30"/>
      <c r="BV1107" s="30"/>
      <c r="BW1107" s="30"/>
      <c r="BX1107" s="30"/>
      <c r="BY1107" s="30"/>
      <c r="BZ1107" s="30"/>
      <c r="CA1107" s="30"/>
      <c r="CB1107" s="30"/>
      <c r="CC1107" s="30"/>
      <c r="CD1107" s="30"/>
      <c r="CE1107" s="30"/>
      <c r="CF1107" s="30"/>
      <c r="CG1107" s="30"/>
      <c r="CH1107" s="30"/>
      <c r="CI1107" s="30"/>
      <c r="CJ1107" s="30"/>
      <c r="CK1107" s="30"/>
      <c r="CL1107" s="30"/>
      <c r="CM1107" s="30"/>
      <c r="CN1107" s="30"/>
      <c r="CO1107" s="30"/>
      <c r="CP1107" s="30"/>
      <c r="CQ1107" s="30"/>
      <c r="CR1107" s="30"/>
      <c r="CS1107" s="30"/>
      <c r="CT1107" s="30"/>
      <c r="CU1107" s="30"/>
      <c r="CV1107" s="30"/>
      <c r="CW1107" s="30"/>
      <c r="CX1107" s="30"/>
      <c r="CY1107" s="30"/>
      <c r="CZ1107" s="30"/>
      <c r="DA1107" s="30"/>
      <c r="DB1107" s="30"/>
      <c r="DC1107" s="30"/>
      <c r="DD1107" s="30"/>
      <c r="DE1107" s="30"/>
      <c r="DF1107" s="30"/>
      <c r="DG1107" s="30"/>
      <c r="DH1107" s="30"/>
      <c r="DI1107" s="30"/>
      <c r="DJ1107" s="30"/>
      <c r="DK1107" s="30"/>
      <c r="DL1107" s="30"/>
      <c r="DM1107" s="30"/>
      <c r="DN1107" s="30"/>
      <c r="DO1107" s="30"/>
      <c r="DP1107" s="30"/>
      <c r="DQ1107" s="30"/>
      <c r="DR1107" s="30"/>
      <c r="DS1107" s="30"/>
      <c r="DT1107" s="30"/>
      <c r="DU1107" s="30"/>
      <c r="DV1107" s="30"/>
      <c r="DW1107" s="30"/>
      <c r="DX1107" s="30"/>
      <c r="DY1107" s="30"/>
      <c r="DZ1107" s="30"/>
    </row>
    <row r="1108">
      <c r="A1108" s="30"/>
      <c r="B1108" s="42"/>
      <c r="C1108" s="43"/>
      <c r="D1108" s="30"/>
      <c r="E1108" s="28"/>
      <c r="F1108" s="30"/>
      <c r="G1108" s="30"/>
      <c r="H1108" s="30"/>
      <c r="I1108" s="30"/>
      <c r="J1108" s="28"/>
      <c r="K1108" s="30"/>
      <c r="L1108" s="30"/>
      <c r="M1108" s="30"/>
      <c r="N1108" s="30"/>
      <c r="O1108" s="28"/>
      <c r="P1108" s="30"/>
      <c r="Q1108" s="30"/>
      <c r="R1108" s="30"/>
      <c r="S1108" s="36"/>
      <c r="T1108" s="30"/>
      <c r="U1108" s="36"/>
      <c r="V1108" s="30"/>
      <c r="W1108" s="28"/>
      <c r="X1108" s="30"/>
      <c r="Y1108" s="30"/>
      <c r="Z1108" s="30"/>
      <c r="AA1108" s="30"/>
      <c r="AB1108" s="30"/>
      <c r="AC1108" s="28"/>
      <c r="AD1108" s="30"/>
      <c r="AE1108" s="30"/>
      <c r="AF1108" s="30"/>
      <c r="AG1108" s="29"/>
      <c r="AH1108" s="30"/>
      <c r="AI1108" s="36"/>
      <c r="AJ1108" s="30"/>
      <c r="AK1108" s="29"/>
      <c r="AL1108" s="30"/>
      <c r="AM1108" s="30"/>
      <c r="AN1108" s="30"/>
      <c r="AO1108" s="30"/>
      <c r="AP1108" s="30"/>
      <c r="AQ1108" s="38"/>
      <c r="AR1108" s="30"/>
      <c r="AS1108" s="30"/>
      <c r="AT1108" s="29"/>
      <c r="AU1108" s="30"/>
      <c r="AV1108" s="30"/>
      <c r="AW1108" s="30"/>
      <c r="AX1108" s="29"/>
      <c r="AY1108" s="39"/>
      <c r="AZ1108" s="30"/>
      <c r="BA1108" s="30"/>
      <c r="BB1108" s="29"/>
      <c r="BC1108" s="52"/>
      <c r="BD1108" s="30"/>
      <c r="BE1108" s="29"/>
      <c r="BF1108" s="30"/>
      <c r="BG1108" s="30"/>
      <c r="BH1108" s="30"/>
      <c r="BI1108" s="30"/>
      <c r="BJ1108" s="30"/>
      <c r="BK1108" s="30"/>
      <c r="BL1108" s="30"/>
      <c r="BM1108" s="30"/>
      <c r="BN1108" s="30"/>
      <c r="BO1108" s="30"/>
      <c r="BP1108" s="30"/>
      <c r="BQ1108" s="30"/>
      <c r="BR1108" s="30"/>
      <c r="BS1108" s="30"/>
      <c r="BT1108" s="30"/>
      <c r="BU1108" s="30"/>
      <c r="BV1108" s="30"/>
      <c r="BW1108" s="30"/>
      <c r="BX1108" s="30"/>
      <c r="BY1108" s="30"/>
      <c r="BZ1108" s="30"/>
      <c r="CA1108" s="30"/>
      <c r="CB1108" s="30"/>
      <c r="CC1108" s="30"/>
      <c r="CD1108" s="30"/>
      <c r="CE1108" s="30"/>
      <c r="CF1108" s="30"/>
      <c r="CG1108" s="30"/>
      <c r="CH1108" s="30"/>
      <c r="CI1108" s="30"/>
      <c r="CJ1108" s="30"/>
      <c r="CK1108" s="30"/>
      <c r="CL1108" s="30"/>
      <c r="CM1108" s="30"/>
      <c r="CN1108" s="30"/>
      <c r="CO1108" s="30"/>
      <c r="CP1108" s="30"/>
      <c r="CQ1108" s="30"/>
      <c r="CR1108" s="30"/>
      <c r="CS1108" s="30"/>
      <c r="CT1108" s="30"/>
      <c r="CU1108" s="30"/>
      <c r="CV1108" s="30"/>
      <c r="CW1108" s="30"/>
      <c r="CX1108" s="30"/>
      <c r="CY1108" s="30"/>
      <c r="CZ1108" s="30"/>
      <c r="DA1108" s="30"/>
      <c r="DB1108" s="30"/>
      <c r="DC1108" s="30"/>
      <c r="DD1108" s="30"/>
      <c r="DE1108" s="30"/>
      <c r="DF1108" s="30"/>
      <c r="DG1108" s="30"/>
      <c r="DH1108" s="30"/>
      <c r="DI1108" s="30"/>
      <c r="DJ1108" s="30"/>
      <c r="DK1108" s="30"/>
      <c r="DL1108" s="30"/>
      <c r="DM1108" s="30"/>
      <c r="DN1108" s="30"/>
      <c r="DO1108" s="30"/>
      <c r="DP1108" s="30"/>
      <c r="DQ1108" s="30"/>
      <c r="DR1108" s="30"/>
      <c r="DS1108" s="30"/>
      <c r="DT1108" s="30"/>
      <c r="DU1108" s="30"/>
      <c r="DV1108" s="30"/>
      <c r="DW1108" s="30"/>
      <c r="DX1108" s="30"/>
      <c r="DY1108" s="30"/>
      <c r="DZ1108" s="30"/>
    </row>
    <row r="1109">
      <c r="A1109" s="30"/>
      <c r="B1109" s="42"/>
      <c r="C1109" s="43"/>
      <c r="D1109" s="30"/>
      <c r="E1109" s="28"/>
      <c r="F1109" s="30"/>
      <c r="G1109" s="30"/>
      <c r="H1109" s="30"/>
      <c r="I1109" s="30"/>
      <c r="J1109" s="28"/>
      <c r="K1109" s="30"/>
      <c r="L1109" s="30"/>
      <c r="M1109" s="30"/>
      <c r="N1109" s="30"/>
      <c r="O1109" s="28"/>
      <c r="P1109" s="30"/>
      <c r="Q1109" s="30"/>
      <c r="R1109" s="30"/>
      <c r="S1109" s="36"/>
      <c r="T1109" s="30"/>
      <c r="U1109" s="36"/>
      <c r="V1109" s="30"/>
      <c r="W1109" s="28"/>
      <c r="X1109" s="30"/>
      <c r="Y1109" s="30"/>
      <c r="Z1109" s="30"/>
      <c r="AA1109" s="30"/>
      <c r="AB1109" s="30"/>
      <c r="AC1109" s="28"/>
      <c r="AD1109" s="30"/>
      <c r="AE1109" s="30"/>
      <c r="AF1109" s="30"/>
      <c r="AG1109" s="29"/>
      <c r="AH1109" s="30"/>
      <c r="AI1109" s="36"/>
      <c r="AJ1109" s="30"/>
      <c r="AK1109" s="29"/>
      <c r="AL1109" s="30"/>
      <c r="AM1109" s="30"/>
      <c r="AN1109" s="30"/>
      <c r="AO1109" s="30"/>
      <c r="AP1109" s="30"/>
      <c r="AQ1109" s="38"/>
      <c r="AR1109" s="30"/>
      <c r="AS1109" s="30"/>
      <c r="AT1109" s="29"/>
      <c r="AU1109" s="30"/>
      <c r="AV1109" s="30"/>
      <c r="AW1109" s="30"/>
      <c r="AX1109" s="29"/>
      <c r="AY1109" s="39"/>
      <c r="AZ1109" s="30"/>
      <c r="BA1109" s="30"/>
      <c r="BB1109" s="29"/>
      <c r="BC1109" s="52"/>
      <c r="BD1109" s="30"/>
      <c r="BE1109" s="29"/>
      <c r="BF1109" s="30"/>
      <c r="BG1109" s="30"/>
      <c r="BH1109" s="30"/>
      <c r="BI1109" s="30"/>
      <c r="BJ1109" s="30"/>
      <c r="BK1109" s="30"/>
      <c r="BL1109" s="30"/>
      <c r="BM1109" s="30"/>
      <c r="BN1109" s="30"/>
      <c r="BO1109" s="30"/>
      <c r="BP1109" s="30"/>
      <c r="BQ1109" s="30"/>
      <c r="BR1109" s="30"/>
      <c r="BS1109" s="30"/>
      <c r="BT1109" s="30"/>
      <c r="BU1109" s="30"/>
      <c r="BV1109" s="30"/>
      <c r="BW1109" s="30"/>
      <c r="BX1109" s="30"/>
      <c r="BY1109" s="30"/>
      <c r="BZ1109" s="30"/>
      <c r="CA1109" s="30"/>
      <c r="CB1109" s="30"/>
      <c r="CC1109" s="30"/>
      <c r="CD1109" s="30"/>
      <c r="CE1109" s="30"/>
      <c r="CF1109" s="30"/>
      <c r="CG1109" s="30"/>
      <c r="CH1109" s="30"/>
      <c r="CI1109" s="30"/>
      <c r="CJ1109" s="30"/>
      <c r="CK1109" s="30"/>
      <c r="CL1109" s="30"/>
      <c r="CM1109" s="30"/>
      <c r="CN1109" s="30"/>
      <c r="CO1109" s="30"/>
      <c r="CP1109" s="30"/>
      <c r="CQ1109" s="30"/>
      <c r="CR1109" s="30"/>
      <c r="CS1109" s="30"/>
      <c r="CT1109" s="30"/>
      <c r="CU1109" s="30"/>
      <c r="CV1109" s="30"/>
      <c r="CW1109" s="30"/>
      <c r="CX1109" s="30"/>
      <c r="CY1109" s="30"/>
      <c r="CZ1109" s="30"/>
      <c r="DA1109" s="30"/>
      <c r="DB1109" s="30"/>
      <c r="DC1109" s="30"/>
      <c r="DD1109" s="30"/>
      <c r="DE1109" s="30"/>
      <c r="DF1109" s="30"/>
      <c r="DG1109" s="30"/>
      <c r="DH1109" s="30"/>
      <c r="DI1109" s="30"/>
      <c r="DJ1109" s="30"/>
      <c r="DK1109" s="30"/>
      <c r="DL1109" s="30"/>
      <c r="DM1109" s="30"/>
      <c r="DN1109" s="30"/>
      <c r="DO1109" s="30"/>
      <c r="DP1109" s="30"/>
      <c r="DQ1109" s="30"/>
      <c r="DR1109" s="30"/>
      <c r="DS1109" s="30"/>
      <c r="DT1109" s="30"/>
      <c r="DU1109" s="30"/>
      <c r="DV1109" s="30"/>
      <c r="DW1109" s="30"/>
      <c r="DX1109" s="30"/>
      <c r="DY1109" s="30"/>
      <c r="DZ1109" s="30"/>
    </row>
    <row r="1110">
      <c r="A1110" s="30"/>
      <c r="B1110" s="42"/>
      <c r="C1110" s="43"/>
      <c r="D1110" s="30"/>
      <c r="E1110" s="28"/>
      <c r="F1110" s="30"/>
      <c r="G1110" s="30"/>
      <c r="H1110" s="30"/>
      <c r="I1110" s="30"/>
      <c r="J1110" s="28"/>
      <c r="K1110" s="30"/>
      <c r="L1110" s="30"/>
      <c r="M1110" s="30"/>
      <c r="N1110" s="30"/>
      <c r="O1110" s="28"/>
      <c r="P1110" s="30"/>
      <c r="Q1110" s="30"/>
      <c r="R1110" s="30"/>
      <c r="S1110" s="36"/>
      <c r="T1110" s="30"/>
      <c r="U1110" s="36"/>
      <c r="V1110" s="30"/>
      <c r="W1110" s="28"/>
      <c r="X1110" s="30"/>
      <c r="Y1110" s="30"/>
      <c r="Z1110" s="30"/>
      <c r="AA1110" s="30"/>
      <c r="AB1110" s="30"/>
      <c r="AC1110" s="28"/>
      <c r="AD1110" s="30"/>
      <c r="AE1110" s="30"/>
      <c r="AF1110" s="30"/>
      <c r="AG1110" s="29"/>
      <c r="AH1110" s="30"/>
      <c r="AI1110" s="36"/>
      <c r="AJ1110" s="30"/>
      <c r="AK1110" s="29"/>
      <c r="AL1110" s="30"/>
      <c r="AM1110" s="30"/>
      <c r="AN1110" s="30"/>
      <c r="AO1110" s="30"/>
      <c r="AP1110" s="30"/>
      <c r="AQ1110" s="38"/>
      <c r="AR1110" s="30"/>
      <c r="AS1110" s="30"/>
      <c r="AT1110" s="29"/>
      <c r="AU1110" s="30"/>
      <c r="AV1110" s="30"/>
      <c r="AW1110" s="30"/>
      <c r="AX1110" s="29"/>
      <c r="AY1110" s="39"/>
      <c r="AZ1110" s="30"/>
      <c r="BA1110" s="30"/>
      <c r="BB1110" s="29"/>
      <c r="BC1110" s="52"/>
      <c r="BD1110" s="30"/>
      <c r="BE1110" s="29"/>
      <c r="BF1110" s="30"/>
      <c r="BG1110" s="30"/>
      <c r="BH1110" s="30"/>
      <c r="BI1110" s="30"/>
      <c r="BJ1110" s="30"/>
      <c r="BK1110" s="30"/>
      <c r="BL1110" s="30"/>
      <c r="BM1110" s="30"/>
      <c r="BN1110" s="30"/>
      <c r="BO1110" s="30"/>
      <c r="BP1110" s="30"/>
      <c r="BQ1110" s="30"/>
      <c r="BR1110" s="30"/>
      <c r="BS1110" s="30"/>
      <c r="BT1110" s="30"/>
      <c r="BU1110" s="30"/>
      <c r="BV1110" s="30"/>
      <c r="BW1110" s="30"/>
      <c r="BX1110" s="30"/>
      <c r="BY1110" s="30"/>
      <c r="BZ1110" s="30"/>
      <c r="CA1110" s="30"/>
      <c r="CB1110" s="30"/>
      <c r="CC1110" s="30"/>
      <c r="CD1110" s="30"/>
      <c r="CE1110" s="30"/>
      <c r="CF1110" s="30"/>
      <c r="CG1110" s="30"/>
      <c r="CH1110" s="30"/>
      <c r="CI1110" s="30"/>
      <c r="CJ1110" s="30"/>
      <c r="CK1110" s="30"/>
      <c r="CL1110" s="30"/>
      <c r="CM1110" s="30"/>
      <c r="CN1110" s="30"/>
      <c r="CO1110" s="30"/>
      <c r="CP1110" s="30"/>
      <c r="CQ1110" s="30"/>
      <c r="CR1110" s="30"/>
      <c r="CS1110" s="30"/>
      <c r="CT1110" s="30"/>
      <c r="CU1110" s="30"/>
      <c r="CV1110" s="30"/>
      <c r="CW1110" s="30"/>
      <c r="CX1110" s="30"/>
      <c r="CY1110" s="30"/>
      <c r="CZ1110" s="30"/>
      <c r="DA1110" s="30"/>
      <c r="DB1110" s="30"/>
      <c r="DC1110" s="30"/>
      <c r="DD1110" s="30"/>
      <c r="DE1110" s="30"/>
      <c r="DF1110" s="30"/>
      <c r="DG1110" s="30"/>
      <c r="DH1110" s="30"/>
      <c r="DI1110" s="30"/>
      <c r="DJ1110" s="30"/>
      <c r="DK1110" s="30"/>
      <c r="DL1110" s="30"/>
      <c r="DM1110" s="30"/>
      <c r="DN1110" s="30"/>
      <c r="DO1110" s="30"/>
      <c r="DP1110" s="30"/>
      <c r="DQ1110" s="30"/>
      <c r="DR1110" s="30"/>
      <c r="DS1110" s="30"/>
      <c r="DT1110" s="30"/>
      <c r="DU1110" s="30"/>
      <c r="DV1110" s="30"/>
      <c r="DW1110" s="30"/>
      <c r="DX1110" s="30"/>
      <c r="DY1110" s="30"/>
      <c r="DZ1110" s="30"/>
    </row>
    <row r="1111">
      <c r="A1111" s="30"/>
      <c r="B1111" s="42"/>
      <c r="C1111" s="43"/>
      <c r="D1111" s="30"/>
      <c r="E1111" s="28"/>
      <c r="F1111" s="30"/>
      <c r="G1111" s="30"/>
      <c r="H1111" s="30"/>
      <c r="I1111" s="30"/>
      <c r="J1111" s="28"/>
      <c r="K1111" s="30"/>
      <c r="L1111" s="30"/>
      <c r="M1111" s="30"/>
      <c r="N1111" s="30"/>
      <c r="O1111" s="28"/>
      <c r="P1111" s="30"/>
      <c r="Q1111" s="30"/>
      <c r="R1111" s="30"/>
      <c r="S1111" s="36"/>
      <c r="T1111" s="30"/>
      <c r="U1111" s="36"/>
      <c r="V1111" s="30"/>
      <c r="W1111" s="28"/>
      <c r="X1111" s="30"/>
      <c r="Y1111" s="30"/>
      <c r="Z1111" s="30"/>
      <c r="AA1111" s="30"/>
      <c r="AB1111" s="30"/>
      <c r="AC1111" s="28"/>
      <c r="AD1111" s="30"/>
      <c r="AE1111" s="30"/>
      <c r="AF1111" s="30"/>
      <c r="AG1111" s="29"/>
      <c r="AH1111" s="30"/>
      <c r="AI1111" s="36"/>
      <c r="AJ1111" s="30"/>
      <c r="AK1111" s="29"/>
      <c r="AL1111" s="30"/>
      <c r="AM1111" s="30"/>
      <c r="AN1111" s="30"/>
      <c r="AO1111" s="30"/>
      <c r="AP1111" s="30"/>
      <c r="AQ1111" s="38"/>
      <c r="AR1111" s="30"/>
      <c r="AS1111" s="30"/>
      <c r="AT1111" s="29"/>
      <c r="AU1111" s="30"/>
      <c r="AV1111" s="30"/>
      <c r="AW1111" s="30"/>
      <c r="AX1111" s="29"/>
      <c r="AY1111" s="39"/>
      <c r="AZ1111" s="30"/>
      <c r="BA1111" s="30"/>
      <c r="BB1111" s="29"/>
      <c r="BC1111" s="52"/>
      <c r="BD1111" s="30"/>
      <c r="BE1111" s="29"/>
      <c r="BF1111" s="30"/>
      <c r="BG1111" s="30"/>
      <c r="BH1111" s="30"/>
      <c r="BI1111" s="30"/>
      <c r="BJ1111" s="30"/>
      <c r="BK1111" s="30"/>
      <c r="BL1111" s="30"/>
      <c r="BM1111" s="30"/>
      <c r="BN1111" s="30"/>
      <c r="BO1111" s="30"/>
      <c r="BP1111" s="30"/>
      <c r="BQ1111" s="30"/>
      <c r="BR1111" s="30"/>
      <c r="BS1111" s="30"/>
      <c r="BT1111" s="30"/>
      <c r="BU1111" s="30"/>
      <c r="BV1111" s="30"/>
      <c r="BW1111" s="30"/>
      <c r="BX1111" s="30"/>
      <c r="BY1111" s="30"/>
      <c r="BZ1111" s="30"/>
      <c r="CA1111" s="30"/>
      <c r="CB1111" s="30"/>
      <c r="CC1111" s="30"/>
      <c r="CD1111" s="30"/>
      <c r="CE1111" s="30"/>
      <c r="CF1111" s="30"/>
      <c r="CG1111" s="30"/>
      <c r="CH1111" s="30"/>
      <c r="CI1111" s="30"/>
      <c r="CJ1111" s="30"/>
      <c r="CK1111" s="30"/>
      <c r="CL1111" s="30"/>
      <c r="CM1111" s="30"/>
      <c r="CN1111" s="30"/>
      <c r="CO1111" s="30"/>
      <c r="CP1111" s="30"/>
      <c r="CQ1111" s="30"/>
      <c r="CR1111" s="30"/>
      <c r="CS1111" s="30"/>
      <c r="CT1111" s="30"/>
      <c r="CU1111" s="30"/>
      <c r="CV1111" s="30"/>
      <c r="CW1111" s="30"/>
      <c r="CX1111" s="30"/>
      <c r="CY1111" s="30"/>
      <c r="CZ1111" s="30"/>
      <c r="DA1111" s="30"/>
      <c r="DB1111" s="30"/>
      <c r="DC1111" s="30"/>
      <c r="DD1111" s="30"/>
      <c r="DE1111" s="30"/>
      <c r="DF1111" s="30"/>
      <c r="DG1111" s="30"/>
      <c r="DH1111" s="30"/>
      <c r="DI1111" s="30"/>
      <c r="DJ1111" s="30"/>
      <c r="DK1111" s="30"/>
      <c r="DL1111" s="30"/>
      <c r="DM1111" s="30"/>
      <c r="DN1111" s="30"/>
      <c r="DO1111" s="30"/>
      <c r="DP1111" s="30"/>
      <c r="DQ1111" s="30"/>
      <c r="DR1111" s="30"/>
      <c r="DS1111" s="30"/>
      <c r="DT1111" s="30"/>
      <c r="DU1111" s="30"/>
      <c r="DV1111" s="30"/>
      <c r="DW1111" s="30"/>
      <c r="DX1111" s="30"/>
      <c r="DY1111" s="30"/>
      <c r="DZ1111" s="30"/>
    </row>
    <row r="1112">
      <c r="A1112" s="30"/>
      <c r="B1112" s="42"/>
      <c r="C1112" s="43"/>
      <c r="D1112" s="30"/>
      <c r="E1112" s="28"/>
      <c r="F1112" s="30"/>
      <c r="G1112" s="30"/>
      <c r="H1112" s="30"/>
      <c r="I1112" s="30"/>
      <c r="J1112" s="28"/>
      <c r="K1112" s="30"/>
      <c r="L1112" s="30"/>
      <c r="M1112" s="30"/>
      <c r="N1112" s="30"/>
      <c r="O1112" s="28"/>
      <c r="P1112" s="30"/>
      <c r="Q1112" s="30"/>
      <c r="R1112" s="30"/>
      <c r="S1112" s="36"/>
      <c r="T1112" s="30"/>
      <c r="U1112" s="36"/>
      <c r="V1112" s="30"/>
      <c r="W1112" s="28"/>
      <c r="X1112" s="30"/>
      <c r="Y1112" s="30"/>
      <c r="Z1112" s="30"/>
      <c r="AA1112" s="30"/>
      <c r="AB1112" s="30"/>
      <c r="AC1112" s="28"/>
      <c r="AD1112" s="30"/>
      <c r="AE1112" s="30"/>
      <c r="AF1112" s="30"/>
      <c r="AG1112" s="29"/>
      <c r="AH1112" s="30"/>
      <c r="AI1112" s="36"/>
      <c r="AJ1112" s="30"/>
      <c r="AK1112" s="29"/>
      <c r="AL1112" s="30"/>
      <c r="AM1112" s="30"/>
      <c r="AN1112" s="30"/>
      <c r="AO1112" s="30"/>
      <c r="AP1112" s="30"/>
      <c r="AQ1112" s="38"/>
      <c r="AR1112" s="30"/>
      <c r="AS1112" s="30"/>
      <c r="AT1112" s="29"/>
      <c r="AU1112" s="30"/>
      <c r="AV1112" s="30"/>
      <c r="AW1112" s="30"/>
      <c r="AX1112" s="29"/>
      <c r="AY1112" s="39"/>
      <c r="AZ1112" s="30"/>
      <c r="BA1112" s="30"/>
      <c r="BB1112" s="29"/>
      <c r="BC1112" s="52"/>
      <c r="BD1112" s="30"/>
      <c r="BE1112" s="29"/>
      <c r="BF1112" s="30"/>
      <c r="BG1112" s="30"/>
      <c r="BH1112" s="30"/>
      <c r="BI1112" s="30"/>
      <c r="BJ1112" s="30"/>
      <c r="BK1112" s="30"/>
      <c r="BL1112" s="30"/>
      <c r="BM1112" s="30"/>
      <c r="BN1112" s="30"/>
      <c r="BO1112" s="30"/>
      <c r="BP1112" s="30"/>
      <c r="BQ1112" s="30"/>
      <c r="BR1112" s="30"/>
      <c r="BS1112" s="30"/>
      <c r="BT1112" s="30"/>
      <c r="BU1112" s="30"/>
      <c r="BV1112" s="30"/>
      <c r="BW1112" s="30"/>
      <c r="BX1112" s="30"/>
      <c r="BY1112" s="30"/>
      <c r="BZ1112" s="30"/>
      <c r="CA1112" s="30"/>
      <c r="CB1112" s="30"/>
      <c r="CC1112" s="30"/>
      <c r="CD1112" s="30"/>
      <c r="CE1112" s="30"/>
      <c r="CF1112" s="30"/>
      <c r="CG1112" s="30"/>
      <c r="CH1112" s="30"/>
      <c r="CI1112" s="30"/>
      <c r="CJ1112" s="30"/>
      <c r="CK1112" s="30"/>
      <c r="CL1112" s="30"/>
      <c r="CM1112" s="30"/>
      <c r="CN1112" s="30"/>
      <c r="CO1112" s="30"/>
      <c r="CP1112" s="30"/>
      <c r="CQ1112" s="30"/>
      <c r="CR1112" s="30"/>
      <c r="CS1112" s="30"/>
      <c r="CT1112" s="30"/>
      <c r="CU1112" s="30"/>
      <c r="CV1112" s="30"/>
      <c r="CW1112" s="30"/>
      <c r="CX1112" s="30"/>
      <c r="CY1112" s="30"/>
      <c r="CZ1112" s="30"/>
      <c r="DA1112" s="30"/>
      <c r="DB1112" s="30"/>
      <c r="DC1112" s="30"/>
      <c r="DD1112" s="30"/>
      <c r="DE1112" s="30"/>
      <c r="DF1112" s="30"/>
      <c r="DG1112" s="30"/>
      <c r="DH1112" s="30"/>
      <c r="DI1112" s="30"/>
      <c r="DJ1112" s="30"/>
      <c r="DK1112" s="30"/>
      <c r="DL1112" s="30"/>
      <c r="DM1112" s="30"/>
      <c r="DN1112" s="30"/>
      <c r="DO1112" s="30"/>
      <c r="DP1112" s="30"/>
      <c r="DQ1112" s="30"/>
      <c r="DR1112" s="30"/>
      <c r="DS1112" s="30"/>
      <c r="DT1112" s="30"/>
      <c r="DU1112" s="30"/>
      <c r="DV1112" s="30"/>
      <c r="DW1112" s="30"/>
      <c r="DX1112" s="30"/>
      <c r="DY1112" s="30"/>
      <c r="DZ1112" s="30"/>
    </row>
    <row r="1113">
      <c r="A1113" s="30"/>
      <c r="B1113" s="42"/>
      <c r="C1113" s="43"/>
      <c r="D1113" s="30"/>
      <c r="E1113" s="28"/>
      <c r="F1113" s="30"/>
      <c r="G1113" s="30"/>
      <c r="H1113" s="30"/>
      <c r="I1113" s="30"/>
      <c r="J1113" s="28"/>
      <c r="K1113" s="30"/>
      <c r="L1113" s="30"/>
      <c r="M1113" s="30"/>
      <c r="N1113" s="30"/>
      <c r="O1113" s="28"/>
      <c r="P1113" s="30"/>
      <c r="Q1113" s="30"/>
      <c r="R1113" s="30"/>
      <c r="S1113" s="36"/>
      <c r="T1113" s="30"/>
      <c r="U1113" s="36"/>
      <c r="V1113" s="30"/>
      <c r="W1113" s="28"/>
      <c r="X1113" s="30"/>
      <c r="Y1113" s="30"/>
      <c r="Z1113" s="30"/>
      <c r="AA1113" s="30"/>
      <c r="AB1113" s="30"/>
      <c r="AC1113" s="28"/>
      <c r="AD1113" s="30"/>
      <c r="AE1113" s="30"/>
      <c r="AF1113" s="30"/>
      <c r="AG1113" s="29"/>
      <c r="AH1113" s="30"/>
      <c r="AI1113" s="36"/>
      <c r="AJ1113" s="30"/>
      <c r="AK1113" s="29"/>
      <c r="AL1113" s="30"/>
      <c r="AM1113" s="30"/>
      <c r="AN1113" s="30"/>
      <c r="AO1113" s="30"/>
      <c r="AP1113" s="30"/>
      <c r="AQ1113" s="38"/>
      <c r="AR1113" s="30"/>
      <c r="AS1113" s="30"/>
      <c r="AT1113" s="29"/>
      <c r="AU1113" s="30"/>
      <c r="AV1113" s="30"/>
      <c r="AW1113" s="30"/>
      <c r="AX1113" s="29"/>
      <c r="AY1113" s="39"/>
      <c r="AZ1113" s="30"/>
      <c r="BA1113" s="30"/>
      <c r="BB1113" s="29"/>
      <c r="BC1113" s="52"/>
      <c r="BD1113" s="30"/>
      <c r="BE1113" s="29"/>
      <c r="BF1113" s="30"/>
      <c r="BG1113" s="30"/>
      <c r="BH1113" s="30"/>
      <c r="BI1113" s="30"/>
      <c r="BJ1113" s="30"/>
      <c r="BK1113" s="30"/>
      <c r="BL1113" s="30"/>
      <c r="BM1113" s="30"/>
      <c r="BN1113" s="30"/>
      <c r="BO1113" s="30"/>
      <c r="BP1113" s="30"/>
      <c r="BQ1113" s="30"/>
      <c r="BR1113" s="30"/>
      <c r="BS1113" s="30"/>
      <c r="BT1113" s="30"/>
      <c r="BU1113" s="30"/>
      <c r="BV1113" s="30"/>
      <c r="BW1113" s="30"/>
      <c r="BX1113" s="30"/>
      <c r="BY1113" s="30"/>
      <c r="BZ1113" s="30"/>
      <c r="CA1113" s="30"/>
      <c r="CB1113" s="30"/>
      <c r="CC1113" s="30"/>
      <c r="CD1113" s="30"/>
      <c r="CE1113" s="30"/>
      <c r="CF1113" s="30"/>
      <c r="CG1113" s="30"/>
      <c r="CH1113" s="30"/>
      <c r="CI1113" s="30"/>
      <c r="CJ1113" s="30"/>
      <c r="CK1113" s="30"/>
      <c r="CL1113" s="30"/>
      <c r="CM1113" s="30"/>
      <c r="CN1113" s="30"/>
      <c r="CO1113" s="30"/>
      <c r="CP1113" s="30"/>
      <c r="CQ1113" s="30"/>
      <c r="CR1113" s="30"/>
      <c r="CS1113" s="30"/>
      <c r="CT1113" s="30"/>
      <c r="CU1113" s="30"/>
      <c r="CV1113" s="30"/>
      <c r="CW1113" s="30"/>
      <c r="CX1113" s="30"/>
      <c r="CY1113" s="30"/>
      <c r="CZ1113" s="30"/>
      <c r="DA1113" s="30"/>
      <c r="DB1113" s="30"/>
      <c r="DC1113" s="30"/>
      <c r="DD1113" s="30"/>
      <c r="DE1113" s="30"/>
      <c r="DF1113" s="30"/>
      <c r="DG1113" s="30"/>
      <c r="DH1113" s="30"/>
      <c r="DI1113" s="30"/>
      <c r="DJ1113" s="30"/>
      <c r="DK1113" s="30"/>
      <c r="DL1113" s="30"/>
      <c r="DM1113" s="30"/>
      <c r="DN1113" s="30"/>
      <c r="DO1113" s="30"/>
      <c r="DP1113" s="30"/>
      <c r="DQ1113" s="30"/>
      <c r="DR1113" s="30"/>
      <c r="DS1113" s="30"/>
      <c r="DT1113" s="30"/>
      <c r="DU1113" s="30"/>
      <c r="DV1113" s="30"/>
      <c r="DW1113" s="30"/>
      <c r="DX1113" s="30"/>
      <c r="DY1113" s="30"/>
      <c r="DZ1113" s="30"/>
    </row>
    <row r="1114">
      <c r="A1114" s="30"/>
      <c r="B1114" s="42"/>
      <c r="C1114" s="43"/>
      <c r="D1114" s="30"/>
      <c r="E1114" s="28"/>
      <c r="F1114" s="30"/>
      <c r="G1114" s="30"/>
      <c r="H1114" s="30"/>
      <c r="I1114" s="30"/>
      <c r="J1114" s="28"/>
      <c r="K1114" s="30"/>
      <c r="L1114" s="30"/>
      <c r="M1114" s="30"/>
      <c r="N1114" s="30"/>
      <c r="O1114" s="28"/>
      <c r="P1114" s="30"/>
      <c r="Q1114" s="30"/>
      <c r="R1114" s="30"/>
      <c r="S1114" s="36"/>
      <c r="T1114" s="30"/>
      <c r="U1114" s="36"/>
      <c r="V1114" s="30"/>
      <c r="W1114" s="28"/>
      <c r="X1114" s="30"/>
      <c r="Y1114" s="30"/>
      <c r="Z1114" s="30"/>
      <c r="AA1114" s="30"/>
      <c r="AB1114" s="30"/>
      <c r="AC1114" s="28"/>
      <c r="AD1114" s="30"/>
      <c r="AE1114" s="30"/>
      <c r="AF1114" s="30"/>
      <c r="AG1114" s="29"/>
      <c r="AH1114" s="30"/>
      <c r="AI1114" s="36"/>
      <c r="AJ1114" s="30"/>
      <c r="AK1114" s="29"/>
      <c r="AL1114" s="30"/>
      <c r="AM1114" s="30"/>
      <c r="AN1114" s="30"/>
      <c r="AO1114" s="30"/>
      <c r="AP1114" s="30"/>
      <c r="AQ1114" s="38"/>
      <c r="AR1114" s="30"/>
      <c r="AS1114" s="30"/>
      <c r="AT1114" s="29"/>
      <c r="AU1114" s="30"/>
      <c r="AV1114" s="30"/>
      <c r="AW1114" s="30"/>
      <c r="AX1114" s="29"/>
      <c r="AY1114" s="39"/>
      <c r="AZ1114" s="30"/>
      <c r="BA1114" s="30"/>
      <c r="BB1114" s="29"/>
      <c r="BC1114" s="52"/>
      <c r="BD1114" s="30"/>
      <c r="BE1114" s="29"/>
      <c r="BF1114" s="30"/>
      <c r="BG1114" s="30"/>
      <c r="BH1114" s="30"/>
      <c r="BI1114" s="30"/>
      <c r="BJ1114" s="30"/>
      <c r="BK1114" s="30"/>
      <c r="BL1114" s="30"/>
      <c r="BM1114" s="30"/>
      <c r="BN1114" s="30"/>
      <c r="BO1114" s="30"/>
      <c r="BP1114" s="30"/>
      <c r="BQ1114" s="30"/>
      <c r="BR1114" s="30"/>
      <c r="BS1114" s="30"/>
      <c r="BT1114" s="30"/>
      <c r="BU1114" s="30"/>
      <c r="BV1114" s="30"/>
      <c r="BW1114" s="30"/>
      <c r="BX1114" s="30"/>
      <c r="BY1114" s="30"/>
      <c r="BZ1114" s="30"/>
      <c r="CA1114" s="30"/>
      <c r="CB1114" s="30"/>
      <c r="CC1114" s="30"/>
      <c r="CD1114" s="30"/>
      <c r="CE1114" s="30"/>
      <c r="CF1114" s="30"/>
      <c r="CG1114" s="30"/>
      <c r="CH1114" s="30"/>
      <c r="CI1114" s="30"/>
      <c r="CJ1114" s="30"/>
      <c r="CK1114" s="30"/>
      <c r="CL1114" s="30"/>
      <c r="CM1114" s="30"/>
      <c r="CN1114" s="30"/>
      <c r="CO1114" s="30"/>
      <c r="CP1114" s="30"/>
      <c r="CQ1114" s="30"/>
      <c r="CR1114" s="30"/>
      <c r="CS1114" s="30"/>
      <c r="CT1114" s="30"/>
      <c r="CU1114" s="30"/>
      <c r="CV1114" s="30"/>
      <c r="CW1114" s="30"/>
      <c r="CX1114" s="30"/>
      <c r="CY1114" s="30"/>
      <c r="CZ1114" s="30"/>
      <c r="DA1114" s="30"/>
      <c r="DB1114" s="30"/>
      <c r="DC1114" s="30"/>
      <c r="DD1114" s="30"/>
      <c r="DE1114" s="30"/>
      <c r="DF1114" s="30"/>
      <c r="DG1114" s="30"/>
      <c r="DH1114" s="30"/>
      <c r="DI1114" s="30"/>
      <c r="DJ1114" s="30"/>
      <c r="DK1114" s="30"/>
      <c r="DL1114" s="30"/>
      <c r="DM1114" s="30"/>
      <c r="DN1114" s="30"/>
      <c r="DO1114" s="30"/>
      <c r="DP1114" s="30"/>
      <c r="DQ1114" s="30"/>
      <c r="DR1114" s="30"/>
      <c r="DS1114" s="30"/>
      <c r="DT1114" s="30"/>
      <c r="DU1114" s="30"/>
      <c r="DV1114" s="30"/>
      <c r="DW1114" s="30"/>
      <c r="DX1114" s="30"/>
      <c r="DY1114" s="30"/>
      <c r="DZ1114" s="30"/>
    </row>
    <row r="1115">
      <c r="A1115" s="30"/>
      <c r="B1115" s="42"/>
      <c r="C1115" s="43"/>
      <c r="D1115" s="30"/>
      <c r="E1115" s="28"/>
      <c r="F1115" s="30"/>
      <c r="G1115" s="30"/>
      <c r="H1115" s="30"/>
      <c r="I1115" s="30"/>
      <c r="J1115" s="28"/>
      <c r="K1115" s="30"/>
      <c r="L1115" s="30"/>
      <c r="M1115" s="30"/>
      <c r="N1115" s="30"/>
      <c r="O1115" s="28"/>
      <c r="P1115" s="30"/>
      <c r="Q1115" s="30"/>
      <c r="R1115" s="30"/>
      <c r="S1115" s="36"/>
      <c r="T1115" s="30"/>
      <c r="U1115" s="36"/>
      <c r="V1115" s="30"/>
      <c r="W1115" s="28"/>
      <c r="X1115" s="30"/>
      <c r="Y1115" s="30"/>
      <c r="Z1115" s="30"/>
      <c r="AA1115" s="30"/>
      <c r="AB1115" s="30"/>
      <c r="AC1115" s="28"/>
      <c r="AD1115" s="30"/>
      <c r="AE1115" s="30"/>
      <c r="AF1115" s="30"/>
      <c r="AG1115" s="29"/>
      <c r="AH1115" s="30"/>
      <c r="AI1115" s="36"/>
      <c r="AJ1115" s="30"/>
      <c r="AK1115" s="29"/>
      <c r="AL1115" s="30"/>
      <c r="AM1115" s="30"/>
      <c r="AN1115" s="30"/>
      <c r="AO1115" s="30"/>
      <c r="AP1115" s="30"/>
      <c r="AQ1115" s="38"/>
      <c r="AR1115" s="30"/>
      <c r="AS1115" s="30"/>
      <c r="AT1115" s="29"/>
      <c r="AU1115" s="30"/>
      <c r="AV1115" s="30"/>
      <c r="AW1115" s="30"/>
      <c r="AX1115" s="29"/>
      <c r="AY1115" s="39"/>
      <c r="AZ1115" s="30"/>
      <c r="BA1115" s="30"/>
      <c r="BB1115" s="29"/>
      <c r="BC1115" s="52"/>
      <c r="BD1115" s="30"/>
      <c r="BE1115" s="29"/>
      <c r="BF1115" s="30"/>
      <c r="BG1115" s="30"/>
      <c r="BH1115" s="30"/>
      <c r="BI1115" s="30"/>
      <c r="BJ1115" s="30"/>
      <c r="BK1115" s="30"/>
      <c r="BL1115" s="30"/>
      <c r="BM1115" s="30"/>
      <c r="BN1115" s="30"/>
      <c r="BO1115" s="30"/>
      <c r="BP1115" s="30"/>
      <c r="BQ1115" s="30"/>
      <c r="BR1115" s="30"/>
      <c r="BS1115" s="30"/>
      <c r="BT1115" s="30"/>
      <c r="BU1115" s="30"/>
      <c r="BV1115" s="30"/>
      <c r="BW1115" s="30"/>
      <c r="BX1115" s="30"/>
      <c r="BY1115" s="30"/>
      <c r="BZ1115" s="30"/>
      <c r="CA1115" s="30"/>
      <c r="CB1115" s="30"/>
      <c r="CC1115" s="30"/>
      <c r="CD1115" s="30"/>
      <c r="CE1115" s="30"/>
      <c r="CF1115" s="30"/>
      <c r="CG1115" s="30"/>
      <c r="CH1115" s="30"/>
      <c r="CI1115" s="30"/>
      <c r="CJ1115" s="30"/>
      <c r="CK1115" s="30"/>
      <c r="CL1115" s="30"/>
      <c r="CM1115" s="30"/>
      <c r="CN1115" s="30"/>
      <c r="CO1115" s="30"/>
      <c r="CP1115" s="30"/>
      <c r="CQ1115" s="30"/>
      <c r="CR1115" s="30"/>
      <c r="CS1115" s="30"/>
      <c r="CT1115" s="30"/>
      <c r="CU1115" s="30"/>
      <c r="CV1115" s="30"/>
      <c r="CW1115" s="30"/>
      <c r="CX1115" s="30"/>
      <c r="CY1115" s="30"/>
      <c r="CZ1115" s="30"/>
      <c r="DA1115" s="30"/>
      <c r="DB1115" s="30"/>
      <c r="DC1115" s="30"/>
      <c r="DD1115" s="30"/>
      <c r="DE1115" s="30"/>
      <c r="DF1115" s="30"/>
      <c r="DG1115" s="30"/>
      <c r="DH1115" s="30"/>
      <c r="DI1115" s="30"/>
      <c r="DJ1115" s="30"/>
      <c r="DK1115" s="30"/>
      <c r="DL1115" s="30"/>
      <c r="DM1115" s="30"/>
      <c r="DN1115" s="30"/>
      <c r="DO1115" s="30"/>
      <c r="DP1115" s="30"/>
      <c r="DQ1115" s="30"/>
      <c r="DR1115" s="30"/>
      <c r="DS1115" s="30"/>
      <c r="DT1115" s="30"/>
      <c r="DU1115" s="30"/>
      <c r="DV1115" s="30"/>
      <c r="DW1115" s="30"/>
      <c r="DX1115" s="30"/>
      <c r="DY1115" s="30"/>
      <c r="DZ1115" s="30"/>
    </row>
    <row r="1116">
      <c r="A1116" s="30"/>
      <c r="B1116" s="42"/>
      <c r="C1116" s="43"/>
      <c r="D1116" s="30"/>
      <c r="E1116" s="28"/>
      <c r="F1116" s="30"/>
      <c r="G1116" s="30"/>
      <c r="H1116" s="30"/>
      <c r="I1116" s="30"/>
      <c r="J1116" s="28"/>
      <c r="K1116" s="30"/>
      <c r="L1116" s="30"/>
      <c r="M1116" s="30"/>
      <c r="N1116" s="30"/>
      <c r="O1116" s="28"/>
      <c r="P1116" s="30"/>
      <c r="Q1116" s="30"/>
      <c r="R1116" s="30"/>
      <c r="S1116" s="36"/>
      <c r="T1116" s="30"/>
      <c r="U1116" s="36"/>
      <c r="V1116" s="30"/>
      <c r="W1116" s="28"/>
      <c r="X1116" s="30"/>
      <c r="Y1116" s="30"/>
      <c r="Z1116" s="30"/>
      <c r="AA1116" s="30"/>
      <c r="AB1116" s="30"/>
      <c r="AC1116" s="28"/>
      <c r="AD1116" s="30"/>
      <c r="AE1116" s="30"/>
      <c r="AF1116" s="30"/>
      <c r="AG1116" s="29"/>
      <c r="AH1116" s="30"/>
      <c r="AI1116" s="36"/>
      <c r="AJ1116" s="30"/>
      <c r="AK1116" s="29"/>
      <c r="AL1116" s="30"/>
      <c r="AM1116" s="30"/>
      <c r="AN1116" s="30"/>
      <c r="AO1116" s="30"/>
      <c r="AP1116" s="30"/>
      <c r="AQ1116" s="38"/>
      <c r="AR1116" s="30"/>
      <c r="AS1116" s="30"/>
      <c r="AT1116" s="29"/>
      <c r="AU1116" s="30"/>
      <c r="AV1116" s="30"/>
      <c r="AW1116" s="30"/>
      <c r="AX1116" s="29"/>
      <c r="AY1116" s="39"/>
      <c r="AZ1116" s="30"/>
      <c r="BA1116" s="30"/>
      <c r="BB1116" s="29"/>
      <c r="BC1116" s="52"/>
      <c r="BD1116" s="30"/>
      <c r="BE1116" s="29"/>
      <c r="BF1116" s="30"/>
      <c r="BG1116" s="30"/>
      <c r="BH1116" s="30"/>
      <c r="BI1116" s="30"/>
      <c r="BJ1116" s="30"/>
      <c r="BK1116" s="30"/>
      <c r="BL1116" s="30"/>
      <c r="BM1116" s="30"/>
      <c r="BN1116" s="30"/>
      <c r="BO1116" s="30"/>
      <c r="BP1116" s="30"/>
      <c r="BQ1116" s="30"/>
      <c r="BR1116" s="30"/>
      <c r="BS1116" s="30"/>
      <c r="BT1116" s="30"/>
      <c r="BU1116" s="30"/>
      <c r="BV1116" s="30"/>
      <c r="BW1116" s="30"/>
      <c r="BX1116" s="30"/>
      <c r="BY1116" s="30"/>
      <c r="BZ1116" s="30"/>
      <c r="CA1116" s="30"/>
      <c r="CB1116" s="30"/>
      <c r="CC1116" s="30"/>
      <c r="CD1116" s="30"/>
      <c r="CE1116" s="30"/>
      <c r="CF1116" s="30"/>
      <c r="CG1116" s="30"/>
      <c r="CH1116" s="30"/>
      <c r="CI1116" s="30"/>
      <c r="CJ1116" s="30"/>
      <c r="CK1116" s="30"/>
      <c r="CL1116" s="30"/>
      <c r="CM1116" s="30"/>
      <c r="CN1116" s="30"/>
      <c r="CO1116" s="30"/>
      <c r="CP1116" s="30"/>
      <c r="CQ1116" s="30"/>
      <c r="CR1116" s="30"/>
      <c r="CS1116" s="30"/>
      <c r="CT1116" s="30"/>
      <c r="CU1116" s="30"/>
      <c r="CV1116" s="30"/>
      <c r="CW1116" s="30"/>
      <c r="CX1116" s="30"/>
      <c r="CY1116" s="30"/>
      <c r="CZ1116" s="30"/>
      <c r="DA1116" s="30"/>
      <c r="DB1116" s="30"/>
      <c r="DC1116" s="30"/>
      <c r="DD1116" s="30"/>
      <c r="DE1116" s="30"/>
      <c r="DF1116" s="30"/>
      <c r="DG1116" s="30"/>
      <c r="DH1116" s="30"/>
      <c r="DI1116" s="30"/>
      <c r="DJ1116" s="30"/>
      <c r="DK1116" s="30"/>
      <c r="DL1116" s="30"/>
      <c r="DM1116" s="30"/>
      <c r="DN1116" s="30"/>
      <c r="DO1116" s="30"/>
      <c r="DP1116" s="30"/>
      <c r="DQ1116" s="30"/>
      <c r="DR1116" s="30"/>
      <c r="DS1116" s="30"/>
      <c r="DT1116" s="30"/>
      <c r="DU1116" s="30"/>
      <c r="DV1116" s="30"/>
      <c r="DW1116" s="30"/>
      <c r="DX1116" s="30"/>
      <c r="DY1116" s="30"/>
      <c r="DZ1116" s="30"/>
    </row>
    <row r="1117">
      <c r="A1117" s="30"/>
      <c r="B1117" s="42"/>
      <c r="C1117" s="43"/>
      <c r="D1117" s="30"/>
      <c r="E1117" s="28"/>
      <c r="F1117" s="30"/>
      <c r="G1117" s="30"/>
      <c r="H1117" s="30"/>
      <c r="I1117" s="30"/>
      <c r="J1117" s="28"/>
      <c r="K1117" s="30"/>
      <c r="L1117" s="30"/>
      <c r="M1117" s="30"/>
      <c r="N1117" s="30"/>
      <c r="O1117" s="28"/>
      <c r="P1117" s="30"/>
      <c r="Q1117" s="30"/>
      <c r="R1117" s="30"/>
      <c r="S1117" s="36"/>
      <c r="T1117" s="30"/>
      <c r="U1117" s="36"/>
      <c r="V1117" s="30"/>
      <c r="W1117" s="28"/>
      <c r="X1117" s="30"/>
      <c r="Y1117" s="30"/>
      <c r="Z1117" s="30"/>
      <c r="AA1117" s="30"/>
      <c r="AB1117" s="30"/>
      <c r="AC1117" s="28"/>
      <c r="AD1117" s="30"/>
      <c r="AE1117" s="30"/>
      <c r="AF1117" s="30"/>
      <c r="AG1117" s="29"/>
      <c r="AH1117" s="30"/>
      <c r="AI1117" s="36"/>
      <c r="AJ1117" s="30"/>
      <c r="AK1117" s="29"/>
      <c r="AL1117" s="30"/>
      <c r="AM1117" s="30"/>
      <c r="AN1117" s="30"/>
      <c r="AO1117" s="30"/>
      <c r="AP1117" s="30"/>
      <c r="AQ1117" s="38"/>
      <c r="AR1117" s="30"/>
      <c r="AS1117" s="30"/>
      <c r="AT1117" s="29"/>
      <c r="AU1117" s="30"/>
      <c r="AV1117" s="30"/>
      <c r="AW1117" s="30"/>
      <c r="AX1117" s="29"/>
      <c r="AY1117" s="39"/>
      <c r="AZ1117" s="30"/>
      <c r="BA1117" s="30"/>
      <c r="BB1117" s="29"/>
      <c r="BC1117" s="52"/>
      <c r="BD1117" s="30"/>
      <c r="BE1117" s="29"/>
      <c r="BF1117" s="30"/>
      <c r="BG1117" s="30"/>
      <c r="BH1117" s="30"/>
      <c r="BI1117" s="30"/>
      <c r="BJ1117" s="30"/>
      <c r="BK1117" s="30"/>
      <c r="BL1117" s="30"/>
      <c r="BM1117" s="30"/>
      <c r="BN1117" s="30"/>
      <c r="BO1117" s="30"/>
      <c r="BP1117" s="30"/>
      <c r="BQ1117" s="30"/>
      <c r="BR1117" s="30"/>
      <c r="BS1117" s="30"/>
      <c r="BT1117" s="30"/>
      <c r="BU1117" s="30"/>
      <c r="BV1117" s="30"/>
      <c r="BW1117" s="30"/>
      <c r="BX1117" s="30"/>
      <c r="BY1117" s="30"/>
      <c r="BZ1117" s="30"/>
      <c r="CA1117" s="30"/>
      <c r="CB1117" s="30"/>
      <c r="CC1117" s="30"/>
      <c r="CD1117" s="30"/>
      <c r="CE1117" s="30"/>
      <c r="CF1117" s="30"/>
      <c r="CG1117" s="30"/>
      <c r="CH1117" s="30"/>
      <c r="CI1117" s="30"/>
      <c r="CJ1117" s="30"/>
      <c r="CK1117" s="30"/>
      <c r="CL1117" s="30"/>
      <c r="CM1117" s="30"/>
      <c r="CN1117" s="30"/>
      <c r="CO1117" s="30"/>
      <c r="CP1117" s="30"/>
      <c r="CQ1117" s="30"/>
      <c r="CR1117" s="30"/>
      <c r="CS1117" s="30"/>
      <c r="CT1117" s="30"/>
      <c r="CU1117" s="30"/>
      <c r="CV1117" s="30"/>
      <c r="CW1117" s="30"/>
      <c r="CX1117" s="30"/>
      <c r="CY1117" s="30"/>
      <c r="CZ1117" s="30"/>
      <c r="DA1117" s="30"/>
      <c r="DB1117" s="30"/>
      <c r="DC1117" s="30"/>
      <c r="DD1117" s="30"/>
      <c r="DE1117" s="30"/>
      <c r="DF1117" s="30"/>
      <c r="DG1117" s="30"/>
      <c r="DH1117" s="30"/>
      <c r="DI1117" s="30"/>
      <c r="DJ1117" s="30"/>
      <c r="DK1117" s="30"/>
      <c r="DL1117" s="30"/>
      <c r="DM1117" s="30"/>
      <c r="DN1117" s="30"/>
      <c r="DO1117" s="30"/>
      <c r="DP1117" s="30"/>
      <c r="DQ1117" s="30"/>
      <c r="DR1117" s="30"/>
      <c r="DS1117" s="30"/>
      <c r="DT1117" s="30"/>
      <c r="DU1117" s="30"/>
      <c r="DV1117" s="30"/>
      <c r="DW1117" s="30"/>
      <c r="DX1117" s="30"/>
      <c r="DY1117" s="30"/>
      <c r="DZ1117" s="30"/>
    </row>
    <row r="1118">
      <c r="A1118" s="30"/>
      <c r="B1118" s="42"/>
      <c r="C1118" s="43"/>
      <c r="D1118" s="30"/>
      <c r="E1118" s="28"/>
      <c r="F1118" s="30"/>
      <c r="G1118" s="30"/>
      <c r="H1118" s="30"/>
      <c r="I1118" s="30"/>
      <c r="J1118" s="28"/>
      <c r="K1118" s="30"/>
      <c r="L1118" s="30"/>
      <c r="M1118" s="30"/>
      <c r="N1118" s="30"/>
      <c r="O1118" s="28"/>
      <c r="P1118" s="30"/>
      <c r="Q1118" s="30"/>
      <c r="R1118" s="30"/>
      <c r="S1118" s="36"/>
      <c r="T1118" s="30"/>
      <c r="U1118" s="36"/>
      <c r="V1118" s="30"/>
      <c r="W1118" s="28"/>
      <c r="X1118" s="30"/>
      <c r="Y1118" s="30"/>
      <c r="Z1118" s="30"/>
      <c r="AA1118" s="30"/>
      <c r="AB1118" s="30"/>
      <c r="AC1118" s="28"/>
      <c r="AD1118" s="30"/>
      <c r="AE1118" s="30"/>
      <c r="AF1118" s="30"/>
      <c r="AG1118" s="29"/>
      <c r="AH1118" s="30"/>
      <c r="AI1118" s="36"/>
      <c r="AJ1118" s="30"/>
      <c r="AK1118" s="29"/>
      <c r="AL1118" s="30"/>
      <c r="AM1118" s="30"/>
      <c r="AN1118" s="30"/>
      <c r="AO1118" s="30"/>
      <c r="AP1118" s="30"/>
      <c r="AQ1118" s="38"/>
      <c r="AR1118" s="30"/>
      <c r="AS1118" s="30"/>
      <c r="AT1118" s="29"/>
      <c r="AU1118" s="30"/>
      <c r="AV1118" s="30"/>
      <c r="AW1118" s="30"/>
      <c r="AX1118" s="29"/>
      <c r="AY1118" s="39"/>
      <c r="AZ1118" s="30"/>
      <c r="BA1118" s="30"/>
      <c r="BB1118" s="29"/>
      <c r="BC1118" s="52"/>
      <c r="BD1118" s="30"/>
      <c r="BE1118" s="29"/>
      <c r="BF1118" s="30"/>
      <c r="BG1118" s="30"/>
      <c r="BH1118" s="30"/>
      <c r="BI1118" s="30"/>
      <c r="BJ1118" s="30"/>
      <c r="BK1118" s="30"/>
      <c r="BL1118" s="30"/>
      <c r="BM1118" s="30"/>
      <c r="BN1118" s="30"/>
      <c r="BO1118" s="30"/>
      <c r="BP1118" s="30"/>
      <c r="BQ1118" s="30"/>
      <c r="BR1118" s="30"/>
      <c r="BS1118" s="30"/>
      <c r="BT1118" s="30"/>
      <c r="BU1118" s="30"/>
      <c r="BV1118" s="30"/>
      <c r="BW1118" s="30"/>
      <c r="BX1118" s="30"/>
      <c r="BY1118" s="30"/>
      <c r="BZ1118" s="30"/>
      <c r="CA1118" s="30"/>
      <c r="CB1118" s="30"/>
      <c r="CC1118" s="30"/>
      <c r="CD1118" s="30"/>
      <c r="CE1118" s="30"/>
      <c r="CF1118" s="30"/>
      <c r="CG1118" s="30"/>
      <c r="CH1118" s="30"/>
      <c r="CI1118" s="30"/>
      <c r="CJ1118" s="30"/>
      <c r="CK1118" s="30"/>
      <c r="CL1118" s="30"/>
      <c r="CM1118" s="30"/>
      <c r="CN1118" s="30"/>
      <c r="CO1118" s="30"/>
      <c r="CP1118" s="30"/>
      <c r="CQ1118" s="30"/>
      <c r="CR1118" s="30"/>
      <c r="CS1118" s="30"/>
      <c r="CT1118" s="30"/>
      <c r="CU1118" s="30"/>
      <c r="CV1118" s="30"/>
      <c r="CW1118" s="30"/>
      <c r="CX1118" s="30"/>
      <c r="CY1118" s="30"/>
      <c r="CZ1118" s="30"/>
      <c r="DA1118" s="30"/>
      <c r="DB1118" s="30"/>
      <c r="DC1118" s="30"/>
      <c r="DD1118" s="30"/>
      <c r="DE1118" s="30"/>
      <c r="DF1118" s="30"/>
      <c r="DG1118" s="30"/>
      <c r="DH1118" s="30"/>
      <c r="DI1118" s="30"/>
      <c r="DJ1118" s="30"/>
      <c r="DK1118" s="30"/>
      <c r="DL1118" s="30"/>
      <c r="DM1118" s="30"/>
      <c r="DN1118" s="30"/>
      <c r="DO1118" s="30"/>
      <c r="DP1118" s="30"/>
      <c r="DQ1118" s="30"/>
      <c r="DR1118" s="30"/>
      <c r="DS1118" s="30"/>
      <c r="DT1118" s="30"/>
      <c r="DU1118" s="30"/>
      <c r="DV1118" s="30"/>
      <c r="DW1118" s="30"/>
      <c r="DX1118" s="30"/>
      <c r="DY1118" s="30"/>
      <c r="DZ1118" s="30"/>
    </row>
    <row r="1119">
      <c r="A1119" s="30"/>
      <c r="B1119" s="42"/>
      <c r="C1119" s="43"/>
      <c r="D1119" s="30"/>
      <c r="E1119" s="28"/>
      <c r="F1119" s="30"/>
      <c r="G1119" s="30"/>
      <c r="H1119" s="30"/>
      <c r="I1119" s="30"/>
      <c r="J1119" s="28"/>
      <c r="K1119" s="30"/>
      <c r="L1119" s="30"/>
      <c r="M1119" s="30"/>
      <c r="N1119" s="30"/>
      <c r="O1119" s="28"/>
      <c r="P1119" s="30"/>
      <c r="Q1119" s="30"/>
      <c r="R1119" s="30"/>
      <c r="S1119" s="36"/>
      <c r="T1119" s="30"/>
      <c r="U1119" s="36"/>
      <c r="V1119" s="30"/>
      <c r="W1119" s="28"/>
      <c r="X1119" s="30"/>
      <c r="Y1119" s="30"/>
      <c r="Z1119" s="30"/>
      <c r="AA1119" s="30"/>
      <c r="AB1119" s="30"/>
      <c r="AC1119" s="28"/>
      <c r="AD1119" s="30"/>
      <c r="AE1119" s="30"/>
      <c r="AF1119" s="30"/>
      <c r="AG1119" s="29"/>
      <c r="AH1119" s="30"/>
      <c r="AI1119" s="36"/>
      <c r="AJ1119" s="30"/>
      <c r="AK1119" s="29"/>
      <c r="AL1119" s="30"/>
      <c r="AM1119" s="30"/>
      <c r="AN1119" s="30"/>
      <c r="AO1119" s="30"/>
      <c r="AP1119" s="30"/>
      <c r="AQ1119" s="38"/>
      <c r="AR1119" s="30"/>
      <c r="AS1119" s="30"/>
      <c r="AT1119" s="29"/>
      <c r="AU1119" s="30"/>
      <c r="AV1119" s="30"/>
      <c r="AW1119" s="30"/>
      <c r="AX1119" s="29"/>
      <c r="AY1119" s="39"/>
      <c r="AZ1119" s="30"/>
      <c r="BA1119" s="30"/>
      <c r="BB1119" s="29"/>
      <c r="BC1119" s="52"/>
      <c r="BD1119" s="30"/>
      <c r="BE1119" s="29"/>
      <c r="BF1119" s="30"/>
      <c r="BG1119" s="30"/>
      <c r="BH1119" s="30"/>
      <c r="BI1119" s="30"/>
      <c r="BJ1119" s="30"/>
      <c r="BK1119" s="30"/>
      <c r="BL1119" s="30"/>
      <c r="BM1119" s="30"/>
      <c r="BN1119" s="30"/>
      <c r="BO1119" s="30"/>
      <c r="BP1119" s="30"/>
      <c r="BQ1119" s="30"/>
      <c r="BR1119" s="30"/>
      <c r="BS1119" s="30"/>
      <c r="BT1119" s="30"/>
      <c r="BU1119" s="30"/>
      <c r="BV1119" s="30"/>
      <c r="BW1119" s="30"/>
      <c r="BX1119" s="30"/>
      <c r="BY1119" s="30"/>
      <c r="BZ1119" s="30"/>
      <c r="CA1119" s="30"/>
      <c r="CB1119" s="30"/>
      <c r="CC1119" s="30"/>
      <c r="CD1119" s="30"/>
      <c r="CE1119" s="30"/>
      <c r="CF1119" s="30"/>
      <c r="CG1119" s="30"/>
      <c r="CH1119" s="30"/>
      <c r="CI1119" s="30"/>
      <c r="CJ1119" s="30"/>
      <c r="CK1119" s="30"/>
      <c r="CL1119" s="30"/>
      <c r="CM1119" s="30"/>
      <c r="CN1119" s="30"/>
      <c r="CO1119" s="30"/>
      <c r="CP1119" s="30"/>
      <c r="CQ1119" s="30"/>
      <c r="CR1119" s="30"/>
      <c r="CS1119" s="30"/>
      <c r="CT1119" s="30"/>
      <c r="CU1119" s="30"/>
      <c r="CV1119" s="30"/>
      <c r="CW1119" s="30"/>
      <c r="CX1119" s="30"/>
      <c r="CY1119" s="30"/>
      <c r="CZ1119" s="30"/>
      <c r="DA1119" s="30"/>
      <c r="DB1119" s="30"/>
      <c r="DC1119" s="30"/>
      <c r="DD1119" s="30"/>
      <c r="DE1119" s="30"/>
      <c r="DF1119" s="30"/>
      <c r="DG1119" s="30"/>
      <c r="DH1119" s="30"/>
      <c r="DI1119" s="30"/>
      <c r="DJ1119" s="30"/>
      <c r="DK1119" s="30"/>
      <c r="DL1119" s="30"/>
      <c r="DM1119" s="30"/>
      <c r="DN1119" s="30"/>
      <c r="DO1119" s="30"/>
      <c r="DP1119" s="30"/>
      <c r="DQ1119" s="30"/>
      <c r="DR1119" s="30"/>
      <c r="DS1119" s="30"/>
      <c r="DT1119" s="30"/>
      <c r="DU1119" s="30"/>
      <c r="DV1119" s="30"/>
      <c r="DW1119" s="30"/>
      <c r="DX1119" s="30"/>
      <c r="DY1119" s="30"/>
      <c r="DZ1119" s="30"/>
    </row>
    <row r="1120">
      <c r="A1120" s="30"/>
      <c r="B1120" s="42"/>
      <c r="C1120" s="43"/>
      <c r="D1120" s="30"/>
      <c r="E1120" s="28"/>
      <c r="F1120" s="30"/>
      <c r="G1120" s="30"/>
      <c r="H1120" s="30"/>
      <c r="I1120" s="30"/>
      <c r="J1120" s="28"/>
      <c r="K1120" s="30"/>
      <c r="L1120" s="30"/>
      <c r="M1120" s="30"/>
      <c r="N1120" s="30"/>
      <c r="O1120" s="28"/>
      <c r="P1120" s="30"/>
      <c r="Q1120" s="30"/>
      <c r="R1120" s="30"/>
      <c r="S1120" s="36"/>
      <c r="T1120" s="30"/>
      <c r="U1120" s="36"/>
      <c r="V1120" s="30"/>
      <c r="W1120" s="28"/>
      <c r="X1120" s="30"/>
      <c r="Y1120" s="30"/>
      <c r="Z1120" s="30"/>
      <c r="AA1120" s="30"/>
      <c r="AB1120" s="30"/>
      <c r="AC1120" s="28"/>
      <c r="AD1120" s="30"/>
      <c r="AE1120" s="30"/>
      <c r="AF1120" s="30"/>
      <c r="AG1120" s="29"/>
      <c r="AH1120" s="30"/>
      <c r="AI1120" s="36"/>
      <c r="AJ1120" s="30"/>
      <c r="AK1120" s="29"/>
      <c r="AL1120" s="30"/>
      <c r="AM1120" s="30"/>
      <c r="AN1120" s="30"/>
      <c r="AO1120" s="30"/>
      <c r="AP1120" s="30"/>
      <c r="AQ1120" s="38"/>
      <c r="AR1120" s="30"/>
      <c r="AS1120" s="30"/>
      <c r="AT1120" s="29"/>
      <c r="AU1120" s="30"/>
      <c r="AV1120" s="30"/>
      <c r="AW1120" s="30"/>
      <c r="AX1120" s="29"/>
      <c r="AY1120" s="39"/>
      <c r="AZ1120" s="30"/>
      <c r="BA1120" s="30"/>
      <c r="BB1120" s="29"/>
      <c r="BC1120" s="52"/>
      <c r="BD1120" s="30"/>
      <c r="BE1120" s="29"/>
      <c r="BF1120" s="30"/>
      <c r="BG1120" s="30"/>
      <c r="BH1120" s="30"/>
      <c r="BI1120" s="30"/>
      <c r="BJ1120" s="30"/>
      <c r="BK1120" s="30"/>
      <c r="BL1120" s="30"/>
      <c r="BM1120" s="30"/>
      <c r="BN1120" s="30"/>
      <c r="BO1120" s="30"/>
      <c r="BP1120" s="30"/>
      <c r="BQ1120" s="30"/>
      <c r="BR1120" s="30"/>
      <c r="BS1120" s="30"/>
      <c r="BT1120" s="30"/>
      <c r="BU1120" s="30"/>
      <c r="BV1120" s="30"/>
      <c r="BW1120" s="30"/>
      <c r="BX1120" s="30"/>
      <c r="BY1120" s="30"/>
      <c r="BZ1120" s="30"/>
      <c r="CA1120" s="30"/>
      <c r="CB1120" s="30"/>
      <c r="CC1120" s="30"/>
      <c r="CD1120" s="30"/>
      <c r="CE1120" s="30"/>
      <c r="CF1120" s="30"/>
      <c r="CG1120" s="30"/>
      <c r="CH1120" s="30"/>
      <c r="CI1120" s="30"/>
      <c r="CJ1120" s="30"/>
      <c r="CK1120" s="30"/>
      <c r="CL1120" s="30"/>
      <c r="CM1120" s="30"/>
      <c r="CN1120" s="30"/>
      <c r="CO1120" s="30"/>
      <c r="CP1120" s="30"/>
      <c r="CQ1120" s="30"/>
      <c r="CR1120" s="30"/>
      <c r="CS1120" s="30"/>
      <c r="CT1120" s="30"/>
      <c r="CU1120" s="30"/>
      <c r="CV1120" s="30"/>
      <c r="CW1120" s="30"/>
      <c r="CX1120" s="30"/>
      <c r="CY1120" s="30"/>
      <c r="CZ1120" s="30"/>
      <c r="DA1120" s="30"/>
      <c r="DB1120" s="30"/>
      <c r="DC1120" s="30"/>
      <c r="DD1120" s="30"/>
      <c r="DE1120" s="30"/>
      <c r="DF1120" s="30"/>
      <c r="DG1120" s="30"/>
      <c r="DH1120" s="30"/>
      <c r="DI1120" s="30"/>
      <c r="DJ1120" s="30"/>
      <c r="DK1120" s="30"/>
      <c r="DL1120" s="30"/>
      <c r="DM1120" s="30"/>
      <c r="DN1120" s="30"/>
      <c r="DO1120" s="30"/>
      <c r="DP1120" s="30"/>
      <c r="DQ1120" s="30"/>
      <c r="DR1120" s="30"/>
      <c r="DS1120" s="30"/>
      <c r="DT1120" s="30"/>
      <c r="DU1120" s="30"/>
      <c r="DV1120" s="30"/>
      <c r="DW1120" s="30"/>
      <c r="DX1120" s="30"/>
      <c r="DY1120" s="30"/>
      <c r="DZ1120" s="30"/>
    </row>
    <row r="1121">
      <c r="A1121" s="30"/>
      <c r="B1121" s="42"/>
      <c r="C1121" s="43"/>
      <c r="D1121" s="30"/>
      <c r="E1121" s="28"/>
      <c r="F1121" s="30"/>
      <c r="G1121" s="30"/>
      <c r="H1121" s="30"/>
      <c r="I1121" s="30"/>
      <c r="J1121" s="28"/>
      <c r="K1121" s="30"/>
      <c r="L1121" s="30"/>
      <c r="M1121" s="30"/>
      <c r="N1121" s="30"/>
      <c r="O1121" s="28"/>
      <c r="P1121" s="30"/>
      <c r="Q1121" s="30"/>
      <c r="R1121" s="30"/>
      <c r="S1121" s="36"/>
      <c r="T1121" s="30"/>
      <c r="U1121" s="36"/>
      <c r="V1121" s="30"/>
      <c r="W1121" s="28"/>
      <c r="X1121" s="30"/>
      <c r="Y1121" s="30"/>
      <c r="Z1121" s="30"/>
      <c r="AA1121" s="30"/>
      <c r="AB1121" s="30"/>
      <c r="AC1121" s="28"/>
      <c r="AD1121" s="30"/>
      <c r="AE1121" s="30"/>
      <c r="AF1121" s="30"/>
      <c r="AG1121" s="29"/>
      <c r="AH1121" s="30"/>
      <c r="AI1121" s="36"/>
      <c r="AJ1121" s="30"/>
      <c r="AK1121" s="29"/>
      <c r="AL1121" s="30"/>
      <c r="AM1121" s="30"/>
      <c r="AN1121" s="30"/>
      <c r="AO1121" s="30"/>
      <c r="AP1121" s="30"/>
      <c r="AQ1121" s="38"/>
      <c r="AR1121" s="30"/>
      <c r="AS1121" s="30"/>
      <c r="AT1121" s="29"/>
      <c r="AU1121" s="30"/>
      <c r="AV1121" s="30"/>
      <c r="AW1121" s="30"/>
      <c r="AX1121" s="29"/>
      <c r="AY1121" s="39"/>
      <c r="AZ1121" s="30"/>
      <c r="BA1121" s="30"/>
      <c r="BB1121" s="29"/>
      <c r="BC1121" s="52"/>
      <c r="BD1121" s="30"/>
      <c r="BE1121" s="29"/>
      <c r="BF1121" s="30"/>
      <c r="BG1121" s="30"/>
      <c r="BH1121" s="30"/>
      <c r="BI1121" s="30"/>
      <c r="BJ1121" s="30"/>
      <c r="BK1121" s="30"/>
      <c r="BL1121" s="30"/>
      <c r="BM1121" s="30"/>
      <c r="BN1121" s="30"/>
      <c r="BO1121" s="30"/>
      <c r="BP1121" s="30"/>
      <c r="BQ1121" s="30"/>
      <c r="BR1121" s="30"/>
      <c r="BS1121" s="30"/>
      <c r="BT1121" s="30"/>
      <c r="BU1121" s="30"/>
      <c r="BV1121" s="30"/>
      <c r="BW1121" s="30"/>
      <c r="BX1121" s="30"/>
      <c r="BY1121" s="30"/>
      <c r="BZ1121" s="30"/>
      <c r="CA1121" s="30"/>
      <c r="CB1121" s="30"/>
      <c r="CC1121" s="30"/>
      <c r="CD1121" s="30"/>
      <c r="CE1121" s="30"/>
      <c r="CF1121" s="30"/>
      <c r="CG1121" s="30"/>
      <c r="CH1121" s="30"/>
      <c r="CI1121" s="30"/>
      <c r="CJ1121" s="30"/>
      <c r="CK1121" s="30"/>
      <c r="CL1121" s="30"/>
      <c r="CM1121" s="30"/>
      <c r="CN1121" s="30"/>
      <c r="CO1121" s="30"/>
      <c r="CP1121" s="30"/>
      <c r="CQ1121" s="30"/>
      <c r="CR1121" s="30"/>
      <c r="CS1121" s="30"/>
      <c r="CT1121" s="30"/>
      <c r="CU1121" s="30"/>
      <c r="CV1121" s="30"/>
      <c r="CW1121" s="30"/>
      <c r="CX1121" s="30"/>
      <c r="CY1121" s="30"/>
      <c r="CZ1121" s="30"/>
      <c r="DA1121" s="30"/>
      <c r="DB1121" s="30"/>
      <c r="DC1121" s="30"/>
      <c r="DD1121" s="30"/>
      <c r="DE1121" s="30"/>
      <c r="DF1121" s="30"/>
      <c r="DG1121" s="30"/>
      <c r="DH1121" s="30"/>
      <c r="DI1121" s="30"/>
      <c r="DJ1121" s="30"/>
      <c r="DK1121" s="30"/>
      <c r="DL1121" s="30"/>
      <c r="DM1121" s="30"/>
      <c r="DN1121" s="30"/>
      <c r="DO1121" s="30"/>
      <c r="DP1121" s="30"/>
      <c r="DQ1121" s="30"/>
      <c r="DR1121" s="30"/>
      <c r="DS1121" s="30"/>
      <c r="DT1121" s="30"/>
      <c r="DU1121" s="30"/>
      <c r="DV1121" s="30"/>
      <c r="DW1121" s="30"/>
      <c r="DX1121" s="30"/>
      <c r="DY1121" s="30"/>
      <c r="DZ1121" s="30"/>
    </row>
    <row r="1122">
      <c r="A1122" s="30"/>
      <c r="B1122" s="42"/>
      <c r="C1122" s="43"/>
      <c r="D1122" s="30"/>
      <c r="E1122" s="28"/>
      <c r="F1122" s="30"/>
      <c r="G1122" s="30"/>
      <c r="H1122" s="30"/>
      <c r="I1122" s="30"/>
      <c r="J1122" s="28"/>
      <c r="K1122" s="30"/>
      <c r="L1122" s="30"/>
      <c r="M1122" s="30"/>
      <c r="N1122" s="30"/>
      <c r="O1122" s="28"/>
      <c r="P1122" s="30"/>
      <c r="Q1122" s="30"/>
      <c r="R1122" s="30"/>
      <c r="S1122" s="36"/>
      <c r="T1122" s="30"/>
      <c r="U1122" s="36"/>
      <c r="V1122" s="30"/>
      <c r="W1122" s="28"/>
      <c r="X1122" s="30"/>
      <c r="Y1122" s="30"/>
      <c r="Z1122" s="30"/>
      <c r="AA1122" s="30"/>
      <c r="AB1122" s="30"/>
      <c r="AC1122" s="28"/>
      <c r="AD1122" s="30"/>
      <c r="AE1122" s="30"/>
      <c r="AF1122" s="30"/>
      <c r="AG1122" s="29"/>
      <c r="AH1122" s="30"/>
      <c r="AI1122" s="36"/>
      <c r="AJ1122" s="30"/>
      <c r="AK1122" s="29"/>
      <c r="AL1122" s="30"/>
      <c r="AM1122" s="30"/>
      <c r="AN1122" s="30"/>
      <c r="AO1122" s="30"/>
      <c r="AP1122" s="30"/>
      <c r="AQ1122" s="38"/>
      <c r="AR1122" s="30"/>
      <c r="AS1122" s="30"/>
      <c r="AT1122" s="29"/>
      <c r="AU1122" s="30"/>
      <c r="AV1122" s="30"/>
      <c r="AW1122" s="30"/>
      <c r="AX1122" s="29"/>
      <c r="AY1122" s="39"/>
      <c r="AZ1122" s="30"/>
      <c r="BA1122" s="30"/>
      <c r="BB1122" s="29"/>
      <c r="BC1122" s="52"/>
      <c r="BD1122" s="30"/>
      <c r="BE1122" s="29"/>
      <c r="BF1122" s="30"/>
      <c r="BG1122" s="30"/>
      <c r="BH1122" s="30"/>
      <c r="BI1122" s="30"/>
      <c r="BJ1122" s="30"/>
      <c r="BK1122" s="30"/>
      <c r="BL1122" s="30"/>
      <c r="BM1122" s="30"/>
      <c r="BN1122" s="30"/>
      <c r="BO1122" s="30"/>
      <c r="BP1122" s="30"/>
      <c r="BQ1122" s="30"/>
      <c r="BR1122" s="30"/>
      <c r="BS1122" s="30"/>
      <c r="BT1122" s="30"/>
      <c r="BU1122" s="30"/>
      <c r="BV1122" s="30"/>
      <c r="BW1122" s="30"/>
      <c r="BX1122" s="30"/>
      <c r="BY1122" s="30"/>
      <c r="BZ1122" s="30"/>
      <c r="CA1122" s="30"/>
      <c r="CB1122" s="30"/>
      <c r="CC1122" s="30"/>
      <c r="CD1122" s="30"/>
      <c r="CE1122" s="30"/>
      <c r="CF1122" s="30"/>
      <c r="CG1122" s="30"/>
      <c r="CH1122" s="30"/>
      <c r="CI1122" s="30"/>
      <c r="CJ1122" s="30"/>
      <c r="CK1122" s="30"/>
      <c r="CL1122" s="30"/>
      <c r="CM1122" s="30"/>
      <c r="CN1122" s="30"/>
      <c r="CO1122" s="30"/>
      <c r="CP1122" s="30"/>
      <c r="CQ1122" s="30"/>
      <c r="CR1122" s="30"/>
      <c r="CS1122" s="30"/>
      <c r="CT1122" s="30"/>
      <c r="CU1122" s="30"/>
      <c r="CV1122" s="30"/>
      <c r="CW1122" s="30"/>
      <c r="CX1122" s="30"/>
      <c r="CY1122" s="30"/>
      <c r="CZ1122" s="30"/>
      <c r="DA1122" s="30"/>
      <c r="DB1122" s="30"/>
      <c r="DC1122" s="30"/>
      <c r="DD1122" s="30"/>
      <c r="DE1122" s="30"/>
      <c r="DF1122" s="30"/>
      <c r="DG1122" s="30"/>
      <c r="DH1122" s="30"/>
      <c r="DI1122" s="30"/>
      <c r="DJ1122" s="30"/>
      <c r="DK1122" s="30"/>
      <c r="DL1122" s="30"/>
      <c r="DM1122" s="30"/>
      <c r="DN1122" s="30"/>
      <c r="DO1122" s="30"/>
      <c r="DP1122" s="30"/>
      <c r="DQ1122" s="30"/>
      <c r="DR1122" s="30"/>
      <c r="DS1122" s="30"/>
      <c r="DT1122" s="30"/>
      <c r="DU1122" s="30"/>
      <c r="DV1122" s="30"/>
      <c r="DW1122" s="30"/>
      <c r="DX1122" s="30"/>
      <c r="DY1122" s="30"/>
      <c r="DZ1122" s="30"/>
    </row>
    <row r="1123">
      <c r="A1123" s="30"/>
      <c r="B1123" s="42"/>
      <c r="C1123" s="43"/>
      <c r="D1123" s="30"/>
      <c r="E1123" s="28"/>
      <c r="F1123" s="30"/>
      <c r="G1123" s="30"/>
      <c r="H1123" s="30"/>
      <c r="I1123" s="30"/>
      <c r="J1123" s="28"/>
      <c r="K1123" s="30"/>
      <c r="L1123" s="30"/>
      <c r="M1123" s="30"/>
      <c r="N1123" s="30"/>
      <c r="O1123" s="28"/>
      <c r="P1123" s="30"/>
      <c r="Q1123" s="30"/>
      <c r="R1123" s="30"/>
      <c r="S1123" s="36"/>
      <c r="T1123" s="30"/>
      <c r="U1123" s="36"/>
      <c r="V1123" s="30"/>
      <c r="W1123" s="28"/>
      <c r="X1123" s="30"/>
      <c r="Y1123" s="30"/>
      <c r="Z1123" s="30"/>
      <c r="AA1123" s="30"/>
      <c r="AB1123" s="30"/>
      <c r="AC1123" s="28"/>
      <c r="AD1123" s="30"/>
      <c r="AE1123" s="30"/>
      <c r="AF1123" s="30"/>
      <c r="AG1123" s="29"/>
      <c r="AH1123" s="30"/>
      <c r="AI1123" s="36"/>
      <c r="AJ1123" s="30"/>
      <c r="AK1123" s="29"/>
      <c r="AL1123" s="30"/>
      <c r="AM1123" s="30"/>
      <c r="AN1123" s="30"/>
      <c r="AO1123" s="30"/>
      <c r="AP1123" s="30"/>
      <c r="AQ1123" s="38"/>
      <c r="AR1123" s="30"/>
      <c r="AS1123" s="30"/>
      <c r="AT1123" s="29"/>
      <c r="AU1123" s="30"/>
      <c r="AV1123" s="30"/>
      <c r="AW1123" s="30"/>
      <c r="AX1123" s="29"/>
      <c r="AY1123" s="39"/>
      <c r="AZ1123" s="30"/>
      <c r="BA1123" s="30"/>
      <c r="BB1123" s="29"/>
      <c r="BC1123" s="52"/>
      <c r="BD1123" s="30"/>
      <c r="BE1123" s="29"/>
      <c r="BF1123" s="30"/>
      <c r="BG1123" s="30"/>
      <c r="BH1123" s="30"/>
      <c r="BI1123" s="30"/>
      <c r="BJ1123" s="30"/>
      <c r="BK1123" s="30"/>
      <c r="BL1123" s="30"/>
      <c r="BM1123" s="30"/>
      <c r="BN1123" s="30"/>
      <c r="BO1123" s="30"/>
      <c r="BP1123" s="30"/>
      <c r="BQ1123" s="30"/>
      <c r="BR1123" s="30"/>
      <c r="BS1123" s="30"/>
      <c r="BT1123" s="30"/>
      <c r="BU1123" s="30"/>
      <c r="BV1123" s="30"/>
      <c r="BW1123" s="30"/>
      <c r="BX1123" s="30"/>
      <c r="BY1123" s="30"/>
      <c r="BZ1123" s="30"/>
      <c r="CA1123" s="30"/>
      <c r="CB1123" s="30"/>
      <c r="CC1123" s="30"/>
      <c r="CD1123" s="30"/>
      <c r="CE1123" s="30"/>
      <c r="CF1123" s="30"/>
      <c r="CG1123" s="30"/>
      <c r="CH1123" s="30"/>
      <c r="CI1123" s="30"/>
      <c r="CJ1123" s="30"/>
      <c r="CK1123" s="30"/>
      <c r="CL1123" s="30"/>
      <c r="CM1123" s="30"/>
      <c r="CN1123" s="30"/>
      <c r="CO1123" s="30"/>
      <c r="CP1123" s="30"/>
      <c r="CQ1123" s="30"/>
      <c r="CR1123" s="30"/>
      <c r="CS1123" s="30"/>
      <c r="CT1123" s="30"/>
      <c r="CU1123" s="30"/>
      <c r="CV1123" s="30"/>
      <c r="CW1123" s="30"/>
      <c r="CX1123" s="30"/>
      <c r="CY1123" s="30"/>
      <c r="CZ1123" s="30"/>
      <c r="DA1123" s="30"/>
      <c r="DB1123" s="30"/>
      <c r="DC1123" s="30"/>
      <c r="DD1123" s="30"/>
      <c r="DE1123" s="30"/>
      <c r="DF1123" s="30"/>
      <c r="DG1123" s="30"/>
      <c r="DH1123" s="30"/>
      <c r="DI1123" s="30"/>
      <c r="DJ1123" s="30"/>
      <c r="DK1123" s="30"/>
      <c r="DL1123" s="30"/>
      <c r="DM1123" s="30"/>
      <c r="DN1123" s="30"/>
      <c r="DO1123" s="30"/>
      <c r="DP1123" s="30"/>
      <c r="DQ1123" s="30"/>
      <c r="DR1123" s="30"/>
      <c r="DS1123" s="30"/>
      <c r="DT1123" s="30"/>
      <c r="DU1123" s="30"/>
      <c r="DV1123" s="30"/>
      <c r="DW1123" s="30"/>
      <c r="DX1123" s="30"/>
      <c r="DY1123" s="30"/>
      <c r="DZ1123" s="30"/>
    </row>
    <row r="1124">
      <c r="A1124" s="30"/>
      <c r="B1124" s="42"/>
      <c r="C1124" s="43"/>
      <c r="D1124" s="30"/>
      <c r="E1124" s="28"/>
      <c r="F1124" s="30"/>
      <c r="G1124" s="30"/>
      <c r="H1124" s="30"/>
      <c r="I1124" s="30"/>
      <c r="J1124" s="28"/>
      <c r="K1124" s="30"/>
      <c r="L1124" s="30"/>
      <c r="M1124" s="30"/>
      <c r="N1124" s="30"/>
      <c r="O1124" s="28"/>
      <c r="P1124" s="30"/>
      <c r="Q1124" s="30"/>
      <c r="R1124" s="30"/>
      <c r="S1124" s="36"/>
      <c r="T1124" s="30"/>
      <c r="U1124" s="36"/>
      <c r="V1124" s="30"/>
      <c r="W1124" s="28"/>
      <c r="X1124" s="30"/>
      <c r="Y1124" s="30"/>
      <c r="Z1124" s="30"/>
      <c r="AA1124" s="30"/>
      <c r="AB1124" s="30"/>
      <c r="AC1124" s="28"/>
      <c r="AD1124" s="30"/>
      <c r="AE1124" s="30"/>
      <c r="AF1124" s="30"/>
      <c r="AG1124" s="29"/>
      <c r="AH1124" s="30"/>
      <c r="AI1124" s="36"/>
      <c r="AJ1124" s="30"/>
      <c r="AK1124" s="29"/>
      <c r="AL1124" s="30"/>
      <c r="AM1124" s="30"/>
      <c r="AN1124" s="30"/>
      <c r="AO1124" s="30"/>
      <c r="AP1124" s="30"/>
      <c r="AQ1124" s="38"/>
      <c r="AR1124" s="30"/>
      <c r="AS1124" s="30"/>
      <c r="AT1124" s="29"/>
      <c r="AU1124" s="30"/>
      <c r="AV1124" s="30"/>
      <c r="AW1124" s="30"/>
      <c r="AX1124" s="29"/>
      <c r="AY1124" s="39"/>
      <c r="AZ1124" s="30"/>
      <c r="BA1124" s="30"/>
      <c r="BB1124" s="29"/>
      <c r="BC1124" s="52"/>
      <c r="BD1124" s="30"/>
      <c r="BE1124" s="29"/>
      <c r="BF1124" s="30"/>
      <c r="BG1124" s="30"/>
      <c r="BH1124" s="30"/>
      <c r="BI1124" s="30"/>
      <c r="BJ1124" s="30"/>
      <c r="BK1124" s="30"/>
      <c r="BL1124" s="30"/>
      <c r="BM1124" s="30"/>
      <c r="BN1124" s="30"/>
      <c r="BO1124" s="30"/>
      <c r="BP1124" s="30"/>
      <c r="BQ1124" s="30"/>
      <c r="BR1124" s="30"/>
      <c r="BS1124" s="30"/>
      <c r="BT1124" s="30"/>
      <c r="BU1124" s="30"/>
      <c r="BV1124" s="30"/>
      <c r="BW1124" s="30"/>
      <c r="BX1124" s="30"/>
      <c r="BY1124" s="30"/>
      <c r="BZ1124" s="30"/>
      <c r="CA1124" s="30"/>
      <c r="CB1124" s="30"/>
      <c r="CC1124" s="30"/>
      <c r="CD1124" s="30"/>
      <c r="CE1124" s="30"/>
      <c r="CF1124" s="30"/>
      <c r="CG1124" s="30"/>
      <c r="CH1124" s="30"/>
      <c r="CI1124" s="30"/>
      <c r="CJ1124" s="30"/>
      <c r="CK1124" s="30"/>
      <c r="CL1124" s="30"/>
      <c r="CM1124" s="30"/>
      <c r="CN1124" s="30"/>
      <c r="CO1124" s="30"/>
      <c r="CP1124" s="30"/>
      <c r="CQ1124" s="30"/>
      <c r="CR1124" s="30"/>
      <c r="CS1124" s="30"/>
      <c r="CT1124" s="30"/>
      <c r="CU1124" s="30"/>
      <c r="CV1124" s="30"/>
      <c r="CW1124" s="30"/>
      <c r="CX1124" s="30"/>
      <c r="CY1124" s="30"/>
      <c r="CZ1124" s="30"/>
      <c r="DA1124" s="30"/>
      <c r="DB1124" s="30"/>
      <c r="DC1124" s="30"/>
      <c r="DD1124" s="30"/>
      <c r="DE1124" s="30"/>
      <c r="DF1124" s="30"/>
      <c r="DG1124" s="30"/>
      <c r="DH1124" s="30"/>
      <c r="DI1124" s="30"/>
      <c r="DJ1124" s="30"/>
      <c r="DK1124" s="30"/>
      <c r="DL1124" s="30"/>
      <c r="DM1124" s="30"/>
      <c r="DN1124" s="30"/>
      <c r="DO1124" s="30"/>
      <c r="DP1124" s="30"/>
      <c r="DQ1124" s="30"/>
      <c r="DR1124" s="30"/>
      <c r="DS1124" s="30"/>
      <c r="DT1124" s="30"/>
      <c r="DU1124" s="30"/>
      <c r="DV1124" s="30"/>
      <c r="DW1124" s="30"/>
      <c r="DX1124" s="30"/>
      <c r="DY1124" s="30"/>
      <c r="DZ1124" s="30"/>
    </row>
    <row r="1125">
      <c r="A1125" s="30"/>
      <c r="B1125" s="42"/>
      <c r="C1125" s="43"/>
      <c r="D1125" s="30"/>
      <c r="E1125" s="28"/>
      <c r="F1125" s="30"/>
      <c r="G1125" s="30"/>
      <c r="H1125" s="30"/>
      <c r="I1125" s="30"/>
      <c r="J1125" s="28"/>
      <c r="K1125" s="30"/>
      <c r="L1125" s="30"/>
      <c r="M1125" s="30"/>
      <c r="N1125" s="30"/>
      <c r="O1125" s="28"/>
      <c r="P1125" s="30"/>
      <c r="Q1125" s="30"/>
      <c r="R1125" s="30"/>
      <c r="S1125" s="36"/>
      <c r="T1125" s="30"/>
      <c r="U1125" s="36"/>
      <c r="V1125" s="30"/>
      <c r="W1125" s="28"/>
      <c r="X1125" s="30"/>
      <c r="Y1125" s="30"/>
      <c r="Z1125" s="30"/>
      <c r="AA1125" s="30"/>
      <c r="AB1125" s="30"/>
      <c r="AC1125" s="28"/>
      <c r="AD1125" s="30"/>
      <c r="AE1125" s="30"/>
      <c r="AF1125" s="30"/>
      <c r="AG1125" s="29"/>
      <c r="AH1125" s="30"/>
      <c r="AI1125" s="36"/>
      <c r="AJ1125" s="30"/>
      <c r="AK1125" s="29"/>
      <c r="AL1125" s="30"/>
      <c r="AM1125" s="30"/>
      <c r="AN1125" s="30"/>
      <c r="AO1125" s="30"/>
      <c r="AP1125" s="30"/>
      <c r="AQ1125" s="38"/>
      <c r="AR1125" s="30"/>
      <c r="AS1125" s="30"/>
      <c r="AT1125" s="29"/>
      <c r="AU1125" s="30"/>
      <c r="AV1125" s="30"/>
      <c r="AW1125" s="30"/>
      <c r="AX1125" s="29"/>
      <c r="AY1125" s="39"/>
      <c r="AZ1125" s="30"/>
      <c r="BA1125" s="30"/>
      <c r="BB1125" s="29"/>
      <c r="BC1125" s="52"/>
      <c r="BD1125" s="30"/>
      <c r="BE1125" s="29"/>
      <c r="BF1125" s="30"/>
      <c r="BG1125" s="30"/>
      <c r="BH1125" s="30"/>
      <c r="BI1125" s="30"/>
      <c r="BJ1125" s="30"/>
      <c r="BK1125" s="30"/>
      <c r="BL1125" s="30"/>
      <c r="BM1125" s="30"/>
      <c r="BN1125" s="30"/>
      <c r="BO1125" s="30"/>
      <c r="BP1125" s="30"/>
      <c r="BQ1125" s="30"/>
      <c r="BR1125" s="30"/>
      <c r="BS1125" s="30"/>
      <c r="BT1125" s="30"/>
      <c r="BU1125" s="30"/>
      <c r="BV1125" s="30"/>
      <c r="BW1125" s="30"/>
      <c r="BX1125" s="30"/>
      <c r="BY1125" s="30"/>
      <c r="BZ1125" s="30"/>
      <c r="CA1125" s="30"/>
      <c r="CB1125" s="30"/>
      <c r="CC1125" s="30"/>
      <c r="CD1125" s="30"/>
      <c r="CE1125" s="30"/>
      <c r="CF1125" s="30"/>
      <c r="CG1125" s="30"/>
      <c r="CH1125" s="30"/>
      <c r="CI1125" s="30"/>
      <c r="CJ1125" s="30"/>
      <c r="CK1125" s="30"/>
      <c r="CL1125" s="30"/>
      <c r="CM1125" s="30"/>
      <c r="CN1125" s="30"/>
      <c r="CO1125" s="30"/>
      <c r="CP1125" s="30"/>
      <c r="CQ1125" s="30"/>
      <c r="CR1125" s="30"/>
      <c r="CS1125" s="30"/>
      <c r="CT1125" s="30"/>
      <c r="CU1125" s="30"/>
      <c r="CV1125" s="30"/>
      <c r="CW1125" s="30"/>
      <c r="CX1125" s="30"/>
      <c r="CY1125" s="30"/>
      <c r="CZ1125" s="30"/>
      <c r="DA1125" s="30"/>
      <c r="DB1125" s="30"/>
      <c r="DC1125" s="30"/>
      <c r="DD1125" s="30"/>
      <c r="DE1125" s="30"/>
      <c r="DF1125" s="30"/>
      <c r="DG1125" s="30"/>
      <c r="DH1125" s="30"/>
      <c r="DI1125" s="30"/>
      <c r="DJ1125" s="30"/>
      <c r="DK1125" s="30"/>
      <c r="DL1125" s="30"/>
      <c r="DM1125" s="30"/>
      <c r="DN1125" s="30"/>
      <c r="DO1125" s="30"/>
      <c r="DP1125" s="30"/>
      <c r="DQ1125" s="30"/>
      <c r="DR1125" s="30"/>
      <c r="DS1125" s="30"/>
      <c r="DT1125" s="30"/>
      <c r="DU1125" s="30"/>
      <c r="DV1125" s="30"/>
      <c r="DW1125" s="30"/>
      <c r="DX1125" s="30"/>
      <c r="DY1125" s="30"/>
      <c r="DZ1125" s="30"/>
    </row>
    <row r="1126">
      <c r="A1126" s="30"/>
      <c r="B1126" s="42"/>
      <c r="C1126" s="43"/>
      <c r="D1126" s="30"/>
      <c r="E1126" s="28"/>
      <c r="F1126" s="30"/>
      <c r="G1126" s="30"/>
      <c r="H1126" s="30"/>
      <c r="I1126" s="30"/>
      <c r="J1126" s="28"/>
      <c r="K1126" s="30"/>
      <c r="L1126" s="30"/>
      <c r="M1126" s="30"/>
      <c r="N1126" s="30"/>
      <c r="O1126" s="28"/>
      <c r="P1126" s="30"/>
      <c r="Q1126" s="30"/>
      <c r="R1126" s="30"/>
      <c r="S1126" s="36"/>
      <c r="T1126" s="30"/>
      <c r="U1126" s="36"/>
      <c r="V1126" s="30"/>
      <c r="W1126" s="28"/>
      <c r="X1126" s="30"/>
      <c r="Y1126" s="30"/>
      <c r="Z1126" s="30"/>
      <c r="AA1126" s="30"/>
      <c r="AB1126" s="30"/>
      <c r="AC1126" s="28"/>
      <c r="AD1126" s="30"/>
      <c r="AE1126" s="30"/>
      <c r="AF1126" s="30"/>
      <c r="AG1126" s="29"/>
      <c r="AH1126" s="30"/>
      <c r="AI1126" s="36"/>
      <c r="AJ1126" s="30"/>
      <c r="AK1126" s="29"/>
      <c r="AL1126" s="30"/>
      <c r="AM1126" s="30"/>
      <c r="AN1126" s="30"/>
      <c r="AO1126" s="30"/>
      <c r="AP1126" s="30"/>
      <c r="AQ1126" s="38"/>
      <c r="AR1126" s="30"/>
      <c r="AS1126" s="30"/>
      <c r="AT1126" s="29"/>
      <c r="AU1126" s="30"/>
      <c r="AV1126" s="30"/>
      <c r="AW1126" s="30"/>
      <c r="AX1126" s="29"/>
      <c r="AY1126" s="39"/>
      <c r="AZ1126" s="30"/>
      <c r="BA1126" s="30"/>
      <c r="BB1126" s="29"/>
      <c r="BC1126" s="52"/>
      <c r="BD1126" s="30"/>
      <c r="BE1126" s="29"/>
      <c r="BF1126" s="30"/>
      <c r="BG1126" s="30"/>
      <c r="BH1126" s="30"/>
      <c r="BI1126" s="30"/>
      <c r="BJ1126" s="30"/>
      <c r="BK1126" s="30"/>
      <c r="BL1126" s="30"/>
      <c r="BM1126" s="30"/>
      <c r="BN1126" s="30"/>
      <c r="BO1126" s="30"/>
      <c r="BP1126" s="30"/>
      <c r="BQ1126" s="30"/>
      <c r="BR1126" s="30"/>
      <c r="BS1126" s="30"/>
      <c r="BT1126" s="30"/>
      <c r="BU1126" s="30"/>
      <c r="BV1126" s="30"/>
      <c r="BW1126" s="30"/>
      <c r="BX1126" s="30"/>
      <c r="BY1126" s="30"/>
      <c r="BZ1126" s="30"/>
      <c r="CA1126" s="30"/>
      <c r="CB1126" s="30"/>
      <c r="CC1126" s="30"/>
      <c r="CD1126" s="30"/>
      <c r="CE1126" s="30"/>
      <c r="CF1126" s="30"/>
      <c r="CG1126" s="30"/>
      <c r="CH1126" s="30"/>
      <c r="CI1126" s="30"/>
      <c r="CJ1126" s="30"/>
      <c r="CK1126" s="30"/>
      <c r="CL1126" s="30"/>
      <c r="CM1126" s="30"/>
      <c r="CN1126" s="30"/>
      <c r="CO1126" s="30"/>
      <c r="CP1126" s="30"/>
      <c r="CQ1126" s="30"/>
      <c r="CR1126" s="30"/>
      <c r="CS1126" s="30"/>
      <c r="CT1126" s="30"/>
      <c r="CU1126" s="30"/>
      <c r="CV1126" s="30"/>
      <c r="CW1126" s="30"/>
      <c r="CX1126" s="30"/>
      <c r="CY1126" s="30"/>
      <c r="CZ1126" s="30"/>
      <c r="DA1126" s="30"/>
      <c r="DB1126" s="30"/>
      <c r="DC1126" s="30"/>
      <c r="DD1126" s="30"/>
      <c r="DE1126" s="30"/>
      <c r="DF1126" s="30"/>
      <c r="DG1126" s="30"/>
      <c r="DH1126" s="30"/>
      <c r="DI1126" s="30"/>
      <c r="DJ1126" s="30"/>
      <c r="DK1126" s="30"/>
      <c r="DL1126" s="30"/>
      <c r="DM1126" s="30"/>
      <c r="DN1126" s="30"/>
      <c r="DO1126" s="30"/>
      <c r="DP1126" s="30"/>
      <c r="DQ1126" s="30"/>
      <c r="DR1126" s="30"/>
      <c r="DS1126" s="30"/>
      <c r="DT1126" s="30"/>
      <c r="DU1126" s="30"/>
      <c r="DV1126" s="30"/>
      <c r="DW1126" s="30"/>
      <c r="DX1126" s="30"/>
      <c r="DY1126" s="30"/>
      <c r="DZ1126" s="30"/>
    </row>
    <row r="1127">
      <c r="A1127" s="30"/>
      <c r="B1127" s="42"/>
      <c r="C1127" s="43"/>
      <c r="D1127" s="30"/>
      <c r="E1127" s="28"/>
      <c r="F1127" s="30"/>
      <c r="G1127" s="30"/>
      <c r="H1127" s="30"/>
      <c r="I1127" s="30"/>
      <c r="J1127" s="28"/>
      <c r="K1127" s="30"/>
      <c r="L1127" s="30"/>
      <c r="M1127" s="30"/>
      <c r="N1127" s="30"/>
      <c r="O1127" s="28"/>
      <c r="P1127" s="30"/>
      <c r="Q1127" s="30"/>
      <c r="R1127" s="30"/>
      <c r="S1127" s="36"/>
      <c r="T1127" s="30"/>
      <c r="U1127" s="36"/>
      <c r="V1127" s="30"/>
      <c r="W1127" s="28"/>
      <c r="X1127" s="30"/>
      <c r="Y1127" s="30"/>
      <c r="Z1127" s="30"/>
      <c r="AA1127" s="30"/>
      <c r="AB1127" s="30"/>
      <c r="AC1127" s="28"/>
      <c r="AD1127" s="30"/>
      <c r="AE1127" s="30"/>
      <c r="AF1127" s="30"/>
      <c r="AG1127" s="29"/>
      <c r="AH1127" s="30"/>
      <c r="AI1127" s="36"/>
      <c r="AJ1127" s="30"/>
      <c r="AK1127" s="29"/>
      <c r="AL1127" s="30"/>
      <c r="AM1127" s="30"/>
      <c r="AN1127" s="30"/>
      <c r="AO1127" s="30"/>
      <c r="AP1127" s="30"/>
      <c r="AQ1127" s="38"/>
      <c r="AR1127" s="30"/>
      <c r="AS1127" s="30"/>
      <c r="AT1127" s="29"/>
      <c r="AU1127" s="30"/>
      <c r="AV1127" s="30"/>
      <c r="AW1127" s="30"/>
      <c r="AX1127" s="29"/>
      <c r="AY1127" s="39"/>
      <c r="AZ1127" s="30"/>
      <c r="BA1127" s="30"/>
      <c r="BB1127" s="29"/>
      <c r="BC1127" s="52"/>
      <c r="BD1127" s="30"/>
      <c r="BE1127" s="29"/>
      <c r="BF1127" s="30"/>
      <c r="BG1127" s="30"/>
      <c r="BH1127" s="30"/>
      <c r="BI1127" s="30"/>
      <c r="BJ1127" s="30"/>
      <c r="BK1127" s="30"/>
      <c r="BL1127" s="30"/>
      <c r="BM1127" s="30"/>
      <c r="BN1127" s="30"/>
      <c r="BO1127" s="30"/>
      <c r="BP1127" s="30"/>
      <c r="BQ1127" s="30"/>
      <c r="BR1127" s="30"/>
      <c r="BS1127" s="30"/>
      <c r="BT1127" s="30"/>
      <c r="BU1127" s="30"/>
      <c r="BV1127" s="30"/>
      <c r="BW1127" s="30"/>
      <c r="BX1127" s="30"/>
      <c r="BY1127" s="30"/>
      <c r="BZ1127" s="30"/>
      <c r="CA1127" s="30"/>
      <c r="CB1127" s="30"/>
      <c r="CC1127" s="30"/>
      <c r="CD1127" s="30"/>
      <c r="CE1127" s="30"/>
      <c r="CF1127" s="30"/>
      <c r="CG1127" s="30"/>
      <c r="CH1127" s="30"/>
      <c r="CI1127" s="30"/>
      <c r="CJ1127" s="30"/>
      <c r="CK1127" s="30"/>
      <c r="CL1127" s="30"/>
      <c r="CM1127" s="30"/>
      <c r="CN1127" s="30"/>
      <c r="CO1127" s="30"/>
      <c r="CP1127" s="30"/>
      <c r="CQ1127" s="30"/>
      <c r="CR1127" s="30"/>
      <c r="CS1127" s="30"/>
      <c r="CT1127" s="30"/>
      <c r="CU1127" s="30"/>
      <c r="CV1127" s="30"/>
      <c r="CW1127" s="30"/>
      <c r="CX1127" s="30"/>
      <c r="CY1127" s="30"/>
      <c r="CZ1127" s="30"/>
      <c r="DA1127" s="30"/>
      <c r="DB1127" s="30"/>
      <c r="DC1127" s="30"/>
      <c r="DD1127" s="30"/>
      <c r="DE1127" s="30"/>
      <c r="DF1127" s="30"/>
      <c r="DG1127" s="30"/>
      <c r="DH1127" s="30"/>
      <c r="DI1127" s="30"/>
      <c r="DJ1127" s="30"/>
      <c r="DK1127" s="30"/>
      <c r="DL1127" s="30"/>
      <c r="DM1127" s="30"/>
      <c r="DN1127" s="30"/>
      <c r="DO1127" s="30"/>
      <c r="DP1127" s="30"/>
      <c r="DQ1127" s="30"/>
      <c r="DR1127" s="30"/>
      <c r="DS1127" s="30"/>
      <c r="DT1127" s="30"/>
      <c r="DU1127" s="30"/>
      <c r="DV1127" s="30"/>
      <c r="DW1127" s="30"/>
      <c r="DX1127" s="30"/>
      <c r="DY1127" s="30"/>
      <c r="DZ1127" s="30"/>
    </row>
    <row r="1128">
      <c r="A1128" s="30"/>
      <c r="B1128" s="42"/>
      <c r="C1128" s="43"/>
      <c r="D1128" s="30"/>
      <c r="E1128" s="28"/>
      <c r="F1128" s="30"/>
      <c r="G1128" s="30"/>
      <c r="H1128" s="30"/>
      <c r="I1128" s="30"/>
      <c r="J1128" s="28"/>
      <c r="K1128" s="30"/>
      <c r="L1128" s="30"/>
      <c r="M1128" s="30"/>
      <c r="N1128" s="30"/>
      <c r="O1128" s="28"/>
      <c r="P1128" s="30"/>
      <c r="Q1128" s="30"/>
      <c r="R1128" s="30"/>
      <c r="S1128" s="36"/>
      <c r="T1128" s="30"/>
      <c r="U1128" s="36"/>
      <c r="V1128" s="30"/>
      <c r="W1128" s="28"/>
      <c r="X1128" s="30"/>
      <c r="Y1128" s="30"/>
      <c r="Z1128" s="30"/>
      <c r="AA1128" s="30"/>
      <c r="AB1128" s="30"/>
      <c r="AC1128" s="28"/>
      <c r="AD1128" s="30"/>
      <c r="AE1128" s="30"/>
      <c r="AF1128" s="30"/>
      <c r="AG1128" s="29"/>
      <c r="AH1128" s="30"/>
      <c r="AI1128" s="36"/>
      <c r="AJ1128" s="30"/>
      <c r="AK1128" s="29"/>
      <c r="AL1128" s="30"/>
      <c r="AM1128" s="30"/>
      <c r="AN1128" s="30"/>
      <c r="AO1128" s="30"/>
      <c r="AP1128" s="30"/>
      <c r="AQ1128" s="38"/>
      <c r="AR1128" s="30"/>
      <c r="AS1128" s="30"/>
      <c r="AT1128" s="29"/>
      <c r="AU1128" s="30"/>
      <c r="AV1128" s="30"/>
      <c r="AW1128" s="30"/>
      <c r="AX1128" s="29"/>
      <c r="AY1128" s="39"/>
      <c r="AZ1128" s="30"/>
      <c r="BA1128" s="30"/>
      <c r="BB1128" s="29"/>
      <c r="BC1128" s="52"/>
      <c r="BD1128" s="30"/>
      <c r="BE1128" s="29"/>
      <c r="BF1128" s="30"/>
      <c r="BG1128" s="30"/>
      <c r="BH1128" s="30"/>
      <c r="BI1128" s="30"/>
      <c r="BJ1128" s="30"/>
      <c r="BK1128" s="30"/>
      <c r="BL1128" s="30"/>
      <c r="BM1128" s="30"/>
      <c r="BN1128" s="30"/>
      <c r="BO1128" s="30"/>
      <c r="BP1128" s="30"/>
      <c r="BQ1128" s="30"/>
      <c r="BR1128" s="30"/>
      <c r="BS1128" s="30"/>
      <c r="BT1128" s="30"/>
      <c r="BU1128" s="30"/>
      <c r="BV1128" s="30"/>
      <c r="BW1128" s="30"/>
      <c r="BX1128" s="30"/>
      <c r="BY1128" s="30"/>
      <c r="BZ1128" s="30"/>
      <c r="CA1128" s="30"/>
      <c r="CB1128" s="30"/>
      <c r="CC1128" s="30"/>
      <c r="CD1128" s="30"/>
      <c r="CE1128" s="30"/>
      <c r="CF1128" s="30"/>
      <c r="CG1128" s="30"/>
      <c r="CH1128" s="30"/>
      <c r="CI1128" s="30"/>
      <c r="CJ1128" s="30"/>
      <c r="CK1128" s="30"/>
      <c r="CL1128" s="30"/>
      <c r="CM1128" s="30"/>
      <c r="CN1128" s="30"/>
      <c r="CO1128" s="30"/>
      <c r="CP1128" s="30"/>
      <c r="CQ1128" s="30"/>
      <c r="CR1128" s="30"/>
      <c r="CS1128" s="30"/>
      <c r="CT1128" s="30"/>
      <c r="CU1128" s="30"/>
      <c r="CV1128" s="30"/>
      <c r="CW1128" s="30"/>
      <c r="CX1128" s="30"/>
      <c r="CY1128" s="30"/>
      <c r="CZ1128" s="30"/>
      <c r="DA1128" s="30"/>
      <c r="DB1128" s="30"/>
      <c r="DC1128" s="30"/>
      <c r="DD1128" s="30"/>
      <c r="DE1128" s="30"/>
      <c r="DF1128" s="30"/>
      <c r="DG1128" s="30"/>
      <c r="DH1128" s="30"/>
      <c r="DI1128" s="30"/>
      <c r="DJ1128" s="30"/>
      <c r="DK1128" s="30"/>
      <c r="DL1128" s="30"/>
      <c r="DM1128" s="30"/>
      <c r="DN1128" s="30"/>
      <c r="DO1128" s="30"/>
      <c r="DP1128" s="30"/>
      <c r="DQ1128" s="30"/>
      <c r="DR1128" s="30"/>
      <c r="DS1128" s="30"/>
      <c r="DT1128" s="30"/>
      <c r="DU1128" s="30"/>
      <c r="DV1128" s="30"/>
      <c r="DW1128" s="30"/>
      <c r="DX1128" s="30"/>
      <c r="DY1128" s="30"/>
      <c r="DZ1128" s="30"/>
    </row>
    <row r="1129">
      <c r="A1129" s="30"/>
      <c r="B1129" s="42"/>
      <c r="C1129" s="43"/>
      <c r="D1129" s="30"/>
      <c r="E1129" s="28"/>
      <c r="F1129" s="30"/>
      <c r="G1129" s="30"/>
      <c r="H1129" s="30"/>
      <c r="I1129" s="30"/>
      <c r="J1129" s="28"/>
      <c r="K1129" s="30"/>
      <c r="L1129" s="30"/>
      <c r="M1129" s="30"/>
      <c r="N1129" s="30"/>
      <c r="O1129" s="28"/>
      <c r="P1129" s="30"/>
      <c r="Q1129" s="30"/>
      <c r="R1129" s="30"/>
      <c r="S1129" s="36"/>
      <c r="T1129" s="30"/>
      <c r="U1129" s="36"/>
      <c r="V1129" s="30"/>
      <c r="W1129" s="28"/>
      <c r="X1129" s="30"/>
      <c r="Y1129" s="30"/>
      <c r="Z1129" s="30"/>
      <c r="AA1129" s="30"/>
      <c r="AB1129" s="30"/>
      <c r="AC1129" s="28"/>
      <c r="AD1129" s="30"/>
      <c r="AE1129" s="30"/>
      <c r="AF1129" s="30"/>
      <c r="AG1129" s="29"/>
      <c r="AH1129" s="30"/>
      <c r="AI1129" s="36"/>
      <c r="AJ1129" s="30"/>
      <c r="AK1129" s="29"/>
      <c r="AL1129" s="30"/>
      <c r="AM1129" s="30"/>
      <c r="AN1129" s="30"/>
      <c r="AO1129" s="30"/>
      <c r="AP1129" s="30"/>
      <c r="AQ1129" s="38"/>
      <c r="AR1129" s="30"/>
      <c r="AS1129" s="30"/>
      <c r="AT1129" s="29"/>
      <c r="AU1129" s="30"/>
      <c r="AV1129" s="30"/>
      <c r="AW1129" s="30"/>
      <c r="AX1129" s="29"/>
      <c r="AY1129" s="39"/>
      <c r="AZ1129" s="30"/>
      <c r="BA1129" s="30"/>
      <c r="BB1129" s="29"/>
      <c r="BC1129" s="52"/>
      <c r="BD1129" s="30"/>
      <c r="BE1129" s="29"/>
      <c r="BF1129" s="30"/>
      <c r="BG1129" s="30"/>
      <c r="BH1129" s="30"/>
      <c r="BI1129" s="30"/>
      <c r="BJ1129" s="30"/>
      <c r="BK1129" s="30"/>
      <c r="BL1129" s="30"/>
      <c r="BM1129" s="30"/>
      <c r="BN1129" s="30"/>
      <c r="BO1129" s="30"/>
      <c r="BP1129" s="30"/>
      <c r="BQ1129" s="30"/>
      <c r="BR1129" s="30"/>
      <c r="BS1129" s="30"/>
      <c r="BT1129" s="30"/>
      <c r="BU1129" s="30"/>
      <c r="BV1129" s="30"/>
      <c r="BW1129" s="30"/>
      <c r="BX1129" s="30"/>
      <c r="BY1129" s="30"/>
      <c r="BZ1129" s="30"/>
      <c r="CA1129" s="30"/>
      <c r="CB1129" s="30"/>
      <c r="CC1129" s="30"/>
      <c r="CD1129" s="30"/>
      <c r="CE1129" s="30"/>
      <c r="CF1129" s="30"/>
      <c r="CG1129" s="30"/>
      <c r="CH1129" s="30"/>
      <c r="CI1129" s="30"/>
      <c r="CJ1129" s="30"/>
      <c r="CK1129" s="30"/>
      <c r="CL1129" s="30"/>
      <c r="CM1129" s="30"/>
      <c r="CN1129" s="30"/>
      <c r="CO1129" s="30"/>
      <c r="CP1129" s="30"/>
      <c r="CQ1129" s="30"/>
      <c r="CR1129" s="30"/>
      <c r="CS1129" s="30"/>
      <c r="CT1129" s="30"/>
      <c r="CU1129" s="30"/>
      <c r="CV1129" s="30"/>
      <c r="CW1129" s="30"/>
      <c r="CX1129" s="30"/>
      <c r="CY1129" s="30"/>
      <c r="CZ1129" s="30"/>
      <c r="DA1129" s="30"/>
      <c r="DB1129" s="30"/>
      <c r="DC1129" s="30"/>
      <c r="DD1129" s="30"/>
      <c r="DE1129" s="30"/>
      <c r="DF1129" s="30"/>
      <c r="DG1129" s="30"/>
      <c r="DH1129" s="30"/>
      <c r="DI1129" s="30"/>
      <c r="DJ1129" s="30"/>
      <c r="DK1129" s="30"/>
      <c r="DL1129" s="30"/>
      <c r="DM1129" s="30"/>
      <c r="DN1129" s="30"/>
      <c r="DO1129" s="30"/>
      <c r="DP1129" s="30"/>
      <c r="DQ1129" s="30"/>
      <c r="DR1129" s="30"/>
      <c r="DS1129" s="30"/>
      <c r="DT1129" s="30"/>
      <c r="DU1129" s="30"/>
      <c r="DV1129" s="30"/>
      <c r="DW1129" s="30"/>
      <c r="DX1129" s="30"/>
      <c r="DY1129" s="30"/>
      <c r="DZ1129" s="30"/>
    </row>
    <row r="1130">
      <c r="A1130" s="30"/>
      <c r="B1130" s="42"/>
      <c r="C1130" s="43"/>
      <c r="D1130" s="30"/>
      <c r="E1130" s="28"/>
      <c r="F1130" s="30"/>
      <c r="G1130" s="30"/>
      <c r="H1130" s="30"/>
      <c r="I1130" s="30"/>
      <c r="J1130" s="28"/>
      <c r="K1130" s="30"/>
      <c r="L1130" s="30"/>
      <c r="M1130" s="30"/>
      <c r="N1130" s="30"/>
      <c r="O1130" s="28"/>
      <c r="P1130" s="30"/>
      <c r="Q1130" s="30"/>
      <c r="R1130" s="30"/>
      <c r="S1130" s="36"/>
      <c r="T1130" s="30"/>
      <c r="U1130" s="36"/>
      <c r="V1130" s="30"/>
      <c r="W1130" s="28"/>
      <c r="X1130" s="30"/>
      <c r="Y1130" s="30"/>
      <c r="Z1130" s="30"/>
      <c r="AA1130" s="30"/>
      <c r="AB1130" s="30"/>
      <c r="AC1130" s="28"/>
      <c r="AD1130" s="30"/>
      <c r="AE1130" s="30"/>
      <c r="AF1130" s="30"/>
      <c r="AG1130" s="29"/>
      <c r="AH1130" s="30"/>
      <c r="AI1130" s="36"/>
      <c r="AJ1130" s="30"/>
      <c r="AK1130" s="29"/>
      <c r="AL1130" s="30"/>
      <c r="AM1130" s="30"/>
      <c r="AN1130" s="30"/>
      <c r="AO1130" s="30"/>
      <c r="AP1130" s="30"/>
      <c r="AQ1130" s="38"/>
      <c r="AR1130" s="30"/>
      <c r="AS1130" s="30"/>
      <c r="AT1130" s="29"/>
      <c r="AU1130" s="30"/>
      <c r="AV1130" s="30"/>
      <c r="AW1130" s="30"/>
      <c r="AX1130" s="29"/>
      <c r="AY1130" s="39"/>
      <c r="AZ1130" s="30"/>
      <c r="BA1130" s="30"/>
      <c r="BB1130" s="29"/>
      <c r="BC1130" s="52"/>
      <c r="BD1130" s="30"/>
      <c r="BE1130" s="29"/>
      <c r="BF1130" s="30"/>
      <c r="BG1130" s="30"/>
      <c r="BH1130" s="30"/>
      <c r="BI1130" s="30"/>
      <c r="BJ1130" s="30"/>
      <c r="BK1130" s="30"/>
      <c r="BL1130" s="30"/>
      <c r="BM1130" s="30"/>
      <c r="BN1130" s="30"/>
      <c r="BO1130" s="30"/>
      <c r="BP1130" s="30"/>
      <c r="BQ1130" s="30"/>
      <c r="BR1130" s="30"/>
      <c r="BS1130" s="30"/>
      <c r="BT1130" s="30"/>
      <c r="BU1130" s="30"/>
      <c r="BV1130" s="30"/>
      <c r="BW1130" s="30"/>
      <c r="BX1130" s="30"/>
      <c r="BY1130" s="30"/>
      <c r="BZ1130" s="30"/>
      <c r="CA1130" s="30"/>
      <c r="CB1130" s="30"/>
      <c r="CC1130" s="30"/>
      <c r="CD1130" s="30"/>
      <c r="CE1130" s="30"/>
      <c r="CF1130" s="30"/>
      <c r="CG1130" s="30"/>
      <c r="CH1130" s="30"/>
      <c r="CI1130" s="30"/>
      <c r="CJ1130" s="30"/>
      <c r="CK1130" s="30"/>
      <c r="CL1130" s="30"/>
      <c r="CM1130" s="30"/>
      <c r="CN1130" s="30"/>
      <c r="CO1130" s="30"/>
      <c r="CP1130" s="30"/>
      <c r="CQ1130" s="30"/>
      <c r="CR1130" s="30"/>
      <c r="CS1130" s="30"/>
      <c r="CT1130" s="30"/>
      <c r="CU1130" s="30"/>
      <c r="CV1130" s="30"/>
      <c r="CW1130" s="30"/>
      <c r="CX1130" s="30"/>
      <c r="CY1130" s="30"/>
      <c r="CZ1130" s="30"/>
      <c r="DA1130" s="30"/>
      <c r="DB1130" s="30"/>
      <c r="DC1130" s="30"/>
      <c r="DD1130" s="30"/>
      <c r="DE1130" s="30"/>
      <c r="DF1130" s="30"/>
      <c r="DG1130" s="30"/>
      <c r="DH1130" s="30"/>
      <c r="DI1130" s="30"/>
      <c r="DJ1130" s="30"/>
      <c r="DK1130" s="30"/>
      <c r="DL1130" s="30"/>
      <c r="DM1130" s="30"/>
      <c r="DN1130" s="30"/>
      <c r="DO1130" s="30"/>
      <c r="DP1130" s="30"/>
      <c r="DQ1130" s="30"/>
      <c r="DR1130" s="30"/>
      <c r="DS1130" s="30"/>
      <c r="DT1130" s="30"/>
      <c r="DU1130" s="30"/>
      <c r="DV1130" s="30"/>
      <c r="DW1130" s="30"/>
      <c r="DX1130" s="30"/>
      <c r="DY1130" s="30"/>
      <c r="DZ1130" s="30"/>
    </row>
    <row r="1131">
      <c r="A1131" s="30"/>
      <c r="B1131" s="42"/>
      <c r="C1131" s="43"/>
      <c r="D1131" s="30"/>
      <c r="E1131" s="28"/>
      <c r="F1131" s="30"/>
      <c r="G1131" s="30"/>
      <c r="H1131" s="30"/>
      <c r="I1131" s="30"/>
      <c r="J1131" s="28"/>
      <c r="K1131" s="30"/>
      <c r="L1131" s="30"/>
      <c r="M1131" s="30"/>
      <c r="N1131" s="30"/>
      <c r="O1131" s="28"/>
      <c r="P1131" s="30"/>
      <c r="Q1131" s="30"/>
      <c r="R1131" s="30"/>
      <c r="S1131" s="36"/>
      <c r="T1131" s="30"/>
      <c r="U1131" s="36"/>
      <c r="V1131" s="30"/>
      <c r="W1131" s="28"/>
      <c r="X1131" s="30"/>
      <c r="Y1131" s="30"/>
      <c r="Z1131" s="30"/>
      <c r="AA1131" s="30"/>
      <c r="AB1131" s="30"/>
      <c r="AC1131" s="28"/>
      <c r="AD1131" s="30"/>
      <c r="AE1131" s="30"/>
      <c r="AF1131" s="30"/>
      <c r="AG1131" s="29"/>
      <c r="AH1131" s="30"/>
      <c r="AI1131" s="36"/>
      <c r="AJ1131" s="30"/>
      <c r="AK1131" s="29"/>
      <c r="AL1131" s="30"/>
      <c r="AM1131" s="30"/>
      <c r="AN1131" s="30"/>
      <c r="AO1131" s="30"/>
      <c r="AP1131" s="30"/>
      <c r="AQ1131" s="38"/>
      <c r="AR1131" s="30"/>
      <c r="AS1131" s="30"/>
      <c r="AT1131" s="29"/>
      <c r="AU1131" s="30"/>
      <c r="AV1131" s="30"/>
      <c r="AW1131" s="30"/>
      <c r="AX1131" s="29"/>
      <c r="AY1131" s="39"/>
      <c r="AZ1131" s="30"/>
      <c r="BA1131" s="30"/>
      <c r="BB1131" s="29"/>
      <c r="BC1131" s="52"/>
      <c r="BD1131" s="30"/>
      <c r="BE1131" s="29"/>
      <c r="BF1131" s="30"/>
      <c r="BG1131" s="30"/>
      <c r="BH1131" s="30"/>
      <c r="BI1131" s="30"/>
      <c r="BJ1131" s="30"/>
      <c r="BK1131" s="30"/>
      <c r="BL1131" s="30"/>
      <c r="BM1131" s="30"/>
      <c r="BN1131" s="30"/>
      <c r="BO1131" s="30"/>
      <c r="BP1131" s="30"/>
      <c r="BQ1131" s="30"/>
      <c r="BR1131" s="30"/>
      <c r="BS1131" s="30"/>
      <c r="BT1131" s="30"/>
      <c r="BU1131" s="30"/>
      <c r="BV1131" s="30"/>
      <c r="BW1131" s="30"/>
      <c r="BX1131" s="30"/>
      <c r="BY1131" s="30"/>
      <c r="BZ1131" s="30"/>
      <c r="CA1131" s="30"/>
      <c r="CB1131" s="30"/>
      <c r="CC1131" s="30"/>
      <c r="CD1131" s="30"/>
      <c r="CE1131" s="30"/>
      <c r="CF1131" s="30"/>
      <c r="CG1131" s="30"/>
      <c r="CH1131" s="30"/>
      <c r="CI1131" s="30"/>
      <c r="CJ1131" s="30"/>
      <c r="CK1131" s="30"/>
      <c r="CL1131" s="30"/>
      <c r="CM1131" s="30"/>
      <c r="CN1131" s="30"/>
      <c r="CO1131" s="30"/>
      <c r="CP1131" s="30"/>
      <c r="CQ1131" s="30"/>
      <c r="CR1131" s="30"/>
      <c r="CS1131" s="30"/>
      <c r="CT1131" s="30"/>
      <c r="CU1131" s="30"/>
      <c r="CV1131" s="30"/>
      <c r="CW1131" s="30"/>
      <c r="CX1131" s="30"/>
      <c r="CY1131" s="30"/>
      <c r="CZ1131" s="30"/>
      <c r="DA1131" s="30"/>
      <c r="DB1131" s="30"/>
      <c r="DC1131" s="30"/>
      <c r="DD1131" s="30"/>
      <c r="DE1131" s="30"/>
      <c r="DF1131" s="30"/>
      <c r="DG1131" s="30"/>
      <c r="DH1131" s="30"/>
      <c r="DI1131" s="30"/>
      <c r="DJ1131" s="30"/>
      <c r="DK1131" s="30"/>
      <c r="DL1131" s="30"/>
      <c r="DM1131" s="30"/>
      <c r="DN1131" s="30"/>
      <c r="DO1131" s="30"/>
      <c r="DP1131" s="30"/>
      <c r="DQ1131" s="30"/>
      <c r="DR1131" s="30"/>
      <c r="DS1131" s="30"/>
      <c r="DT1131" s="30"/>
      <c r="DU1131" s="30"/>
      <c r="DV1131" s="30"/>
      <c r="DW1131" s="30"/>
      <c r="DX1131" s="30"/>
      <c r="DY1131" s="30"/>
      <c r="DZ1131" s="30"/>
    </row>
    <row r="1132">
      <c r="A1132" s="30"/>
      <c r="B1132" s="42"/>
      <c r="C1132" s="43"/>
      <c r="D1132" s="30"/>
      <c r="E1132" s="28"/>
      <c r="F1132" s="30"/>
      <c r="G1132" s="30"/>
      <c r="H1132" s="30"/>
      <c r="I1132" s="30"/>
      <c r="J1132" s="28"/>
      <c r="K1132" s="30"/>
      <c r="L1132" s="30"/>
      <c r="M1132" s="30"/>
      <c r="N1132" s="30"/>
      <c r="O1132" s="28"/>
      <c r="P1132" s="30"/>
      <c r="Q1132" s="30"/>
      <c r="R1132" s="30"/>
      <c r="S1132" s="36"/>
      <c r="T1132" s="30"/>
      <c r="U1132" s="36"/>
      <c r="V1132" s="30"/>
      <c r="W1132" s="28"/>
      <c r="X1132" s="30"/>
      <c r="Y1132" s="30"/>
      <c r="Z1132" s="30"/>
      <c r="AA1132" s="30"/>
      <c r="AB1132" s="30"/>
      <c r="AC1132" s="28"/>
      <c r="AD1132" s="30"/>
      <c r="AE1132" s="30"/>
      <c r="AF1132" s="30"/>
      <c r="AG1132" s="29"/>
      <c r="AH1132" s="30"/>
      <c r="AI1132" s="36"/>
      <c r="AJ1132" s="30"/>
      <c r="AK1132" s="29"/>
      <c r="AL1132" s="30"/>
      <c r="AM1132" s="30"/>
      <c r="AN1132" s="30"/>
      <c r="AO1132" s="30"/>
      <c r="AP1132" s="30"/>
      <c r="AQ1132" s="38"/>
      <c r="AR1132" s="30"/>
      <c r="AS1132" s="30"/>
      <c r="AT1132" s="29"/>
      <c r="AU1132" s="30"/>
      <c r="AV1132" s="30"/>
      <c r="AW1132" s="30"/>
      <c r="AX1132" s="29"/>
      <c r="AY1132" s="39"/>
      <c r="AZ1132" s="30"/>
      <c r="BA1132" s="30"/>
      <c r="BB1132" s="29"/>
      <c r="BC1132" s="52"/>
      <c r="BD1132" s="30"/>
      <c r="BE1132" s="29"/>
      <c r="BF1132" s="30"/>
      <c r="BG1132" s="30"/>
      <c r="BH1132" s="30"/>
      <c r="BI1132" s="30"/>
      <c r="BJ1132" s="30"/>
      <c r="BK1132" s="30"/>
      <c r="BL1132" s="30"/>
      <c r="BM1132" s="30"/>
      <c r="BN1132" s="30"/>
      <c r="BO1132" s="30"/>
      <c r="BP1132" s="30"/>
      <c r="BQ1132" s="30"/>
      <c r="BR1132" s="30"/>
      <c r="BS1132" s="30"/>
      <c r="BT1132" s="30"/>
      <c r="BU1132" s="30"/>
      <c r="BV1132" s="30"/>
      <c r="BW1132" s="30"/>
      <c r="BX1132" s="30"/>
      <c r="BY1132" s="30"/>
      <c r="BZ1132" s="30"/>
      <c r="CA1132" s="30"/>
      <c r="CB1132" s="30"/>
      <c r="CC1132" s="30"/>
      <c r="CD1132" s="30"/>
      <c r="CE1132" s="30"/>
      <c r="CF1132" s="30"/>
      <c r="CG1132" s="30"/>
      <c r="CH1132" s="30"/>
      <c r="CI1132" s="30"/>
      <c r="CJ1132" s="30"/>
      <c r="CK1132" s="30"/>
      <c r="CL1132" s="30"/>
      <c r="CM1132" s="30"/>
      <c r="CN1132" s="30"/>
      <c r="CO1132" s="30"/>
      <c r="CP1132" s="30"/>
      <c r="CQ1132" s="30"/>
      <c r="CR1132" s="30"/>
      <c r="CS1132" s="30"/>
      <c r="CT1132" s="30"/>
      <c r="CU1132" s="30"/>
      <c r="CV1132" s="30"/>
      <c r="CW1132" s="30"/>
      <c r="CX1132" s="30"/>
      <c r="CY1132" s="30"/>
      <c r="CZ1132" s="30"/>
      <c r="DA1132" s="30"/>
      <c r="DB1132" s="30"/>
      <c r="DC1132" s="30"/>
      <c r="DD1132" s="30"/>
      <c r="DE1132" s="30"/>
      <c r="DF1132" s="30"/>
      <c r="DG1132" s="30"/>
      <c r="DH1132" s="30"/>
      <c r="DI1132" s="30"/>
      <c r="DJ1132" s="30"/>
      <c r="DK1132" s="30"/>
      <c r="DL1132" s="30"/>
      <c r="DM1132" s="30"/>
      <c r="DN1132" s="30"/>
      <c r="DO1132" s="30"/>
      <c r="DP1132" s="30"/>
      <c r="DQ1132" s="30"/>
      <c r="DR1132" s="30"/>
      <c r="DS1132" s="30"/>
      <c r="DT1132" s="30"/>
      <c r="DU1132" s="30"/>
      <c r="DV1132" s="30"/>
      <c r="DW1132" s="30"/>
      <c r="DX1132" s="30"/>
      <c r="DY1132" s="30"/>
      <c r="DZ1132" s="30"/>
    </row>
    <row r="1133">
      <c r="A1133" s="30"/>
      <c r="B1133" s="42"/>
      <c r="C1133" s="43"/>
      <c r="D1133" s="30"/>
      <c r="E1133" s="28"/>
      <c r="F1133" s="30"/>
      <c r="G1133" s="30"/>
      <c r="H1133" s="30"/>
      <c r="I1133" s="30"/>
      <c r="J1133" s="28"/>
      <c r="K1133" s="30"/>
      <c r="L1133" s="30"/>
      <c r="M1133" s="30"/>
      <c r="N1133" s="30"/>
      <c r="O1133" s="28"/>
      <c r="P1133" s="30"/>
      <c r="Q1133" s="30"/>
      <c r="R1133" s="30"/>
      <c r="S1133" s="36"/>
      <c r="T1133" s="30"/>
      <c r="U1133" s="36"/>
      <c r="V1133" s="30"/>
      <c r="W1133" s="28"/>
      <c r="X1133" s="30"/>
      <c r="Y1133" s="30"/>
      <c r="Z1133" s="30"/>
      <c r="AA1133" s="30"/>
      <c r="AB1133" s="30"/>
      <c r="AC1133" s="28"/>
      <c r="AD1133" s="30"/>
      <c r="AE1133" s="30"/>
      <c r="AF1133" s="30"/>
      <c r="AG1133" s="29"/>
      <c r="AH1133" s="30"/>
      <c r="AI1133" s="36"/>
      <c r="AJ1133" s="30"/>
      <c r="AK1133" s="29"/>
      <c r="AL1133" s="30"/>
      <c r="AM1133" s="30"/>
      <c r="AN1133" s="30"/>
      <c r="AO1133" s="30"/>
      <c r="AP1133" s="30"/>
      <c r="AQ1133" s="38"/>
      <c r="AR1133" s="30"/>
      <c r="AS1133" s="30"/>
      <c r="AT1133" s="29"/>
      <c r="AU1133" s="30"/>
      <c r="AV1133" s="30"/>
      <c r="AW1133" s="30"/>
      <c r="AX1133" s="29"/>
      <c r="AY1133" s="39"/>
      <c r="AZ1133" s="30"/>
      <c r="BA1133" s="30"/>
      <c r="BB1133" s="29"/>
      <c r="BC1133" s="52"/>
      <c r="BD1133" s="30"/>
      <c r="BE1133" s="29"/>
      <c r="BF1133" s="30"/>
      <c r="BG1133" s="30"/>
      <c r="BH1133" s="30"/>
      <c r="BI1133" s="30"/>
      <c r="BJ1133" s="30"/>
      <c r="BK1133" s="30"/>
      <c r="BL1133" s="30"/>
      <c r="BM1133" s="30"/>
      <c r="BN1133" s="30"/>
      <c r="BO1133" s="30"/>
      <c r="BP1133" s="30"/>
      <c r="BQ1133" s="30"/>
      <c r="BR1133" s="30"/>
      <c r="BS1133" s="30"/>
      <c r="BT1133" s="30"/>
      <c r="BU1133" s="30"/>
      <c r="BV1133" s="30"/>
      <c r="BW1133" s="30"/>
      <c r="BX1133" s="30"/>
      <c r="BY1133" s="30"/>
      <c r="BZ1133" s="30"/>
      <c r="CA1133" s="30"/>
      <c r="CB1133" s="30"/>
      <c r="CC1133" s="30"/>
      <c r="CD1133" s="30"/>
      <c r="CE1133" s="30"/>
      <c r="CF1133" s="30"/>
      <c r="CG1133" s="30"/>
      <c r="CH1133" s="30"/>
      <c r="CI1133" s="30"/>
      <c r="CJ1133" s="30"/>
      <c r="CK1133" s="30"/>
      <c r="CL1133" s="30"/>
      <c r="CM1133" s="30"/>
      <c r="CN1133" s="30"/>
      <c r="CO1133" s="30"/>
      <c r="CP1133" s="30"/>
      <c r="CQ1133" s="30"/>
      <c r="CR1133" s="30"/>
      <c r="CS1133" s="30"/>
      <c r="CT1133" s="30"/>
      <c r="CU1133" s="30"/>
      <c r="CV1133" s="30"/>
      <c r="CW1133" s="30"/>
      <c r="CX1133" s="30"/>
      <c r="CY1133" s="30"/>
      <c r="CZ1133" s="30"/>
      <c r="DA1133" s="30"/>
      <c r="DB1133" s="30"/>
      <c r="DC1133" s="30"/>
      <c r="DD1133" s="30"/>
      <c r="DE1133" s="30"/>
      <c r="DF1133" s="30"/>
      <c r="DG1133" s="30"/>
      <c r="DH1133" s="30"/>
      <c r="DI1133" s="30"/>
      <c r="DJ1133" s="30"/>
      <c r="DK1133" s="30"/>
      <c r="DL1133" s="30"/>
      <c r="DM1133" s="30"/>
      <c r="DN1133" s="30"/>
      <c r="DO1133" s="30"/>
      <c r="DP1133" s="30"/>
      <c r="DQ1133" s="30"/>
      <c r="DR1133" s="30"/>
      <c r="DS1133" s="30"/>
      <c r="DT1133" s="30"/>
      <c r="DU1133" s="30"/>
      <c r="DV1133" s="30"/>
      <c r="DW1133" s="30"/>
      <c r="DX1133" s="30"/>
      <c r="DY1133" s="30"/>
      <c r="DZ1133" s="30"/>
    </row>
    <row r="1134">
      <c r="A1134" s="30"/>
      <c r="B1134" s="42"/>
      <c r="C1134" s="43"/>
      <c r="D1134" s="30"/>
      <c r="E1134" s="28"/>
      <c r="F1134" s="30"/>
      <c r="G1134" s="30"/>
      <c r="H1134" s="30"/>
      <c r="I1134" s="30"/>
      <c r="J1134" s="28"/>
      <c r="K1134" s="30"/>
      <c r="L1134" s="30"/>
      <c r="M1134" s="30"/>
      <c r="N1134" s="30"/>
      <c r="O1134" s="28"/>
      <c r="P1134" s="30"/>
      <c r="Q1134" s="30"/>
      <c r="R1134" s="30"/>
      <c r="S1134" s="36"/>
      <c r="T1134" s="30"/>
      <c r="U1134" s="36"/>
      <c r="V1134" s="30"/>
      <c r="W1134" s="28"/>
      <c r="X1134" s="30"/>
      <c r="Y1134" s="30"/>
      <c r="Z1134" s="30"/>
      <c r="AA1134" s="30"/>
      <c r="AB1134" s="30"/>
      <c r="AC1134" s="28"/>
      <c r="AD1134" s="30"/>
      <c r="AE1134" s="30"/>
      <c r="AF1134" s="30"/>
      <c r="AG1134" s="29"/>
      <c r="AH1134" s="30"/>
      <c r="AI1134" s="36"/>
      <c r="AJ1134" s="30"/>
      <c r="AK1134" s="29"/>
      <c r="AL1134" s="30"/>
      <c r="AM1134" s="30"/>
      <c r="AN1134" s="30"/>
      <c r="AO1134" s="30"/>
      <c r="AP1134" s="30"/>
      <c r="AQ1134" s="38"/>
      <c r="AR1134" s="30"/>
      <c r="AS1134" s="30"/>
      <c r="AT1134" s="29"/>
      <c r="AU1134" s="30"/>
      <c r="AV1134" s="30"/>
      <c r="AW1134" s="30"/>
      <c r="AX1134" s="29"/>
      <c r="AY1134" s="39"/>
      <c r="AZ1134" s="30"/>
      <c r="BA1134" s="30"/>
      <c r="BB1134" s="29"/>
      <c r="BC1134" s="52"/>
      <c r="BD1134" s="30"/>
      <c r="BE1134" s="29"/>
      <c r="BF1134" s="30"/>
      <c r="BG1134" s="30"/>
      <c r="BH1134" s="30"/>
      <c r="BI1134" s="30"/>
      <c r="BJ1134" s="30"/>
      <c r="BK1134" s="30"/>
      <c r="BL1134" s="30"/>
      <c r="BM1134" s="30"/>
      <c r="BN1134" s="30"/>
      <c r="BO1134" s="30"/>
      <c r="BP1134" s="30"/>
      <c r="BQ1134" s="30"/>
      <c r="BR1134" s="30"/>
      <c r="BS1134" s="30"/>
      <c r="BT1134" s="30"/>
      <c r="BU1134" s="30"/>
      <c r="BV1134" s="30"/>
      <c r="BW1134" s="30"/>
      <c r="BX1134" s="30"/>
      <c r="BY1134" s="30"/>
      <c r="BZ1134" s="30"/>
      <c r="CA1134" s="30"/>
      <c r="CB1134" s="30"/>
      <c r="CC1134" s="30"/>
      <c r="CD1134" s="30"/>
      <c r="CE1134" s="30"/>
      <c r="CF1134" s="30"/>
      <c r="CG1134" s="30"/>
      <c r="CH1134" s="30"/>
      <c r="CI1134" s="30"/>
      <c r="CJ1134" s="30"/>
      <c r="CK1134" s="30"/>
      <c r="CL1134" s="30"/>
      <c r="CM1134" s="30"/>
      <c r="CN1134" s="30"/>
      <c r="CO1134" s="30"/>
      <c r="CP1134" s="30"/>
      <c r="CQ1134" s="30"/>
      <c r="CR1134" s="30"/>
      <c r="CS1134" s="30"/>
      <c r="CT1134" s="30"/>
      <c r="CU1134" s="30"/>
      <c r="CV1134" s="30"/>
      <c r="CW1134" s="30"/>
      <c r="CX1134" s="30"/>
      <c r="CY1134" s="30"/>
      <c r="CZ1134" s="30"/>
      <c r="DA1134" s="30"/>
      <c r="DB1134" s="30"/>
      <c r="DC1134" s="30"/>
      <c r="DD1134" s="30"/>
      <c r="DE1134" s="30"/>
      <c r="DF1134" s="30"/>
      <c r="DG1134" s="30"/>
      <c r="DH1134" s="30"/>
      <c r="DI1134" s="30"/>
      <c r="DJ1134" s="30"/>
      <c r="DK1134" s="30"/>
      <c r="DL1134" s="30"/>
      <c r="DM1134" s="30"/>
      <c r="DN1134" s="30"/>
      <c r="DO1134" s="30"/>
      <c r="DP1134" s="30"/>
      <c r="DQ1134" s="30"/>
      <c r="DR1134" s="30"/>
      <c r="DS1134" s="30"/>
      <c r="DT1134" s="30"/>
      <c r="DU1134" s="30"/>
      <c r="DV1134" s="30"/>
      <c r="DW1134" s="30"/>
      <c r="DX1134" s="30"/>
      <c r="DY1134" s="30"/>
      <c r="DZ1134" s="30"/>
    </row>
    <row r="1135">
      <c r="A1135" s="30"/>
      <c r="B1135" s="42"/>
      <c r="C1135" s="43"/>
      <c r="D1135" s="30"/>
      <c r="E1135" s="28"/>
      <c r="F1135" s="30"/>
      <c r="G1135" s="30"/>
      <c r="H1135" s="30"/>
      <c r="I1135" s="30"/>
      <c r="J1135" s="28"/>
      <c r="K1135" s="30"/>
      <c r="L1135" s="30"/>
      <c r="M1135" s="30"/>
      <c r="N1135" s="30"/>
      <c r="O1135" s="28"/>
      <c r="P1135" s="30"/>
      <c r="Q1135" s="30"/>
      <c r="R1135" s="30"/>
      <c r="S1135" s="36"/>
      <c r="T1135" s="30"/>
      <c r="U1135" s="36"/>
      <c r="V1135" s="30"/>
      <c r="W1135" s="28"/>
      <c r="X1135" s="30"/>
      <c r="Y1135" s="30"/>
      <c r="Z1135" s="30"/>
      <c r="AA1135" s="30"/>
      <c r="AB1135" s="30"/>
      <c r="AC1135" s="28"/>
      <c r="AD1135" s="30"/>
      <c r="AE1135" s="30"/>
      <c r="AF1135" s="30"/>
      <c r="AG1135" s="29"/>
      <c r="AH1135" s="30"/>
      <c r="AI1135" s="36"/>
      <c r="AJ1135" s="30"/>
      <c r="AK1135" s="29"/>
      <c r="AL1135" s="30"/>
      <c r="AM1135" s="30"/>
      <c r="AN1135" s="30"/>
      <c r="AO1135" s="30"/>
      <c r="AP1135" s="30"/>
      <c r="AQ1135" s="38"/>
      <c r="AR1135" s="30"/>
      <c r="AS1135" s="30"/>
      <c r="AT1135" s="29"/>
      <c r="AU1135" s="30"/>
      <c r="AV1135" s="30"/>
      <c r="AW1135" s="30"/>
      <c r="AX1135" s="29"/>
      <c r="AY1135" s="39"/>
      <c r="AZ1135" s="30"/>
      <c r="BA1135" s="30"/>
      <c r="BB1135" s="29"/>
      <c r="BC1135" s="52"/>
      <c r="BD1135" s="30"/>
      <c r="BE1135" s="29"/>
      <c r="BF1135" s="30"/>
      <c r="BG1135" s="30"/>
      <c r="BH1135" s="30"/>
      <c r="BI1135" s="30"/>
      <c r="BJ1135" s="30"/>
      <c r="BK1135" s="30"/>
      <c r="BL1135" s="30"/>
      <c r="BM1135" s="30"/>
      <c r="BN1135" s="30"/>
      <c r="BO1135" s="30"/>
      <c r="BP1135" s="30"/>
      <c r="BQ1135" s="30"/>
      <c r="BR1135" s="30"/>
      <c r="BS1135" s="30"/>
      <c r="BT1135" s="30"/>
      <c r="BU1135" s="30"/>
      <c r="BV1135" s="30"/>
      <c r="BW1135" s="30"/>
      <c r="BX1135" s="30"/>
      <c r="BY1135" s="30"/>
      <c r="BZ1135" s="30"/>
      <c r="CA1135" s="30"/>
      <c r="CB1135" s="30"/>
      <c r="CC1135" s="30"/>
      <c r="CD1135" s="30"/>
      <c r="CE1135" s="30"/>
      <c r="CF1135" s="30"/>
      <c r="CG1135" s="30"/>
      <c r="CH1135" s="30"/>
      <c r="CI1135" s="30"/>
      <c r="CJ1135" s="30"/>
      <c r="CK1135" s="30"/>
      <c r="CL1135" s="30"/>
      <c r="CM1135" s="30"/>
      <c r="CN1135" s="30"/>
      <c r="CO1135" s="30"/>
      <c r="CP1135" s="30"/>
      <c r="CQ1135" s="30"/>
      <c r="CR1135" s="30"/>
      <c r="CS1135" s="30"/>
      <c r="CT1135" s="30"/>
      <c r="CU1135" s="30"/>
      <c r="CV1135" s="30"/>
      <c r="CW1135" s="30"/>
      <c r="CX1135" s="30"/>
      <c r="CY1135" s="30"/>
      <c r="CZ1135" s="30"/>
      <c r="DA1135" s="30"/>
      <c r="DB1135" s="30"/>
      <c r="DC1135" s="30"/>
      <c r="DD1135" s="30"/>
      <c r="DE1135" s="30"/>
      <c r="DF1135" s="30"/>
      <c r="DG1135" s="30"/>
      <c r="DH1135" s="30"/>
      <c r="DI1135" s="30"/>
      <c r="DJ1135" s="30"/>
      <c r="DK1135" s="30"/>
      <c r="DL1135" s="30"/>
      <c r="DM1135" s="30"/>
      <c r="DN1135" s="30"/>
      <c r="DO1135" s="30"/>
      <c r="DP1135" s="30"/>
      <c r="DQ1135" s="30"/>
      <c r="DR1135" s="30"/>
      <c r="DS1135" s="30"/>
      <c r="DT1135" s="30"/>
      <c r="DU1135" s="30"/>
      <c r="DV1135" s="30"/>
      <c r="DW1135" s="30"/>
      <c r="DX1135" s="30"/>
      <c r="DY1135" s="30"/>
      <c r="DZ1135" s="30"/>
    </row>
    <row r="1136">
      <c r="A1136" s="30"/>
      <c r="B1136" s="42"/>
      <c r="C1136" s="43"/>
      <c r="D1136" s="30"/>
      <c r="E1136" s="28"/>
      <c r="F1136" s="30"/>
      <c r="G1136" s="30"/>
      <c r="H1136" s="30"/>
      <c r="I1136" s="30"/>
      <c r="J1136" s="28"/>
      <c r="K1136" s="30"/>
      <c r="L1136" s="30"/>
      <c r="M1136" s="30"/>
      <c r="N1136" s="30"/>
      <c r="O1136" s="28"/>
      <c r="P1136" s="30"/>
      <c r="Q1136" s="30"/>
      <c r="R1136" s="30"/>
      <c r="S1136" s="36"/>
      <c r="T1136" s="30"/>
      <c r="U1136" s="36"/>
      <c r="V1136" s="30"/>
      <c r="W1136" s="28"/>
      <c r="X1136" s="30"/>
      <c r="Y1136" s="30"/>
      <c r="Z1136" s="30"/>
      <c r="AA1136" s="30"/>
      <c r="AB1136" s="30"/>
      <c r="AC1136" s="28"/>
      <c r="AD1136" s="30"/>
      <c r="AE1136" s="30"/>
      <c r="AF1136" s="30"/>
      <c r="AG1136" s="29"/>
      <c r="AH1136" s="30"/>
      <c r="AI1136" s="36"/>
      <c r="AJ1136" s="30"/>
      <c r="AK1136" s="29"/>
      <c r="AL1136" s="30"/>
      <c r="AM1136" s="30"/>
      <c r="AN1136" s="30"/>
      <c r="AO1136" s="30"/>
      <c r="AP1136" s="30"/>
      <c r="AQ1136" s="38"/>
      <c r="AR1136" s="30"/>
      <c r="AS1136" s="30"/>
      <c r="AT1136" s="29"/>
      <c r="AU1136" s="30"/>
      <c r="AV1136" s="30"/>
      <c r="AW1136" s="30"/>
      <c r="AX1136" s="29"/>
      <c r="AY1136" s="39"/>
      <c r="AZ1136" s="30"/>
      <c r="BA1136" s="30"/>
      <c r="BB1136" s="29"/>
      <c r="BC1136" s="52"/>
      <c r="BD1136" s="30"/>
      <c r="BE1136" s="29"/>
      <c r="BF1136" s="30"/>
      <c r="BG1136" s="30"/>
      <c r="BH1136" s="30"/>
      <c r="BI1136" s="30"/>
      <c r="BJ1136" s="30"/>
      <c r="BK1136" s="30"/>
      <c r="BL1136" s="30"/>
      <c r="BM1136" s="30"/>
      <c r="BN1136" s="30"/>
      <c r="BO1136" s="30"/>
      <c r="BP1136" s="30"/>
      <c r="BQ1136" s="30"/>
      <c r="BR1136" s="30"/>
      <c r="BS1136" s="30"/>
      <c r="BT1136" s="30"/>
      <c r="BU1136" s="30"/>
      <c r="BV1136" s="30"/>
      <c r="BW1136" s="30"/>
      <c r="BX1136" s="30"/>
      <c r="BY1136" s="30"/>
      <c r="BZ1136" s="30"/>
      <c r="CA1136" s="30"/>
      <c r="CB1136" s="30"/>
      <c r="CC1136" s="30"/>
      <c r="CD1136" s="30"/>
      <c r="CE1136" s="30"/>
      <c r="CF1136" s="30"/>
      <c r="CG1136" s="30"/>
      <c r="CH1136" s="30"/>
      <c r="CI1136" s="30"/>
      <c r="CJ1136" s="30"/>
      <c r="CK1136" s="30"/>
      <c r="CL1136" s="30"/>
      <c r="CM1136" s="30"/>
      <c r="CN1136" s="30"/>
      <c r="CO1136" s="30"/>
      <c r="CP1136" s="30"/>
      <c r="CQ1136" s="30"/>
      <c r="CR1136" s="30"/>
      <c r="CS1136" s="30"/>
      <c r="CT1136" s="30"/>
      <c r="CU1136" s="30"/>
      <c r="CV1136" s="30"/>
      <c r="CW1136" s="30"/>
      <c r="CX1136" s="30"/>
      <c r="CY1136" s="30"/>
      <c r="CZ1136" s="30"/>
      <c r="DA1136" s="30"/>
      <c r="DB1136" s="30"/>
      <c r="DC1136" s="30"/>
      <c r="DD1136" s="30"/>
      <c r="DE1136" s="30"/>
      <c r="DF1136" s="30"/>
      <c r="DG1136" s="30"/>
      <c r="DH1136" s="30"/>
      <c r="DI1136" s="30"/>
      <c r="DJ1136" s="30"/>
      <c r="DK1136" s="30"/>
      <c r="DL1136" s="30"/>
      <c r="DM1136" s="30"/>
      <c r="DN1136" s="30"/>
      <c r="DO1136" s="30"/>
      <c r="DP1136" s="30"/>
      <c r="DQ1136" s="30"/>
      <c r="DR1136" s="30"/>
      <c r="DS1136" s="30"/>
      <c r="DT1136" s="30"/>
      <c r="DU1136" s="30"/>
      <c r="DV1136" s="30"/>
      <c r="DW1136" s="30"/>
      <c r="DX1136" s="30"/>
      <c r="DY1136" s="30"/>
      <c r="DZ1136" s="30"/>
    </row>
    <row r="1137">
      <c r="A1137" s="30"/>
      <c r="B1137" s="42"/>
      <c r="C1137" s="43"/>
      <c r="D1137" s="30"/>
      <c r="E1137" s="28"/>
      <c r="F1137" s="30"/>
      <c r="G1137" s="30"/>
      <c r="H1137" s="30"/>
      <c r="I1137" s="30"/>
      <c r="J1137" s="28"/>
      <c r="K1137" s="30"/>
      <c r="L1137" s="30"/>
      <c r="M1137" s="30"/>
      <c r="N1137" s="30"/>
      <c r="O1137" s="28"/>
      <c r="P1137" s="30"/>
      <c r="Q1137" s="30"/>
      <c r="R1137" s="30"/>
      <c r="S1137" s="36"/>
      <c r="T1137" s="30"/>
      <c r="U1137" s="36"/>
      <c r="V1137" s="30"/>
      <c r="W1137" s="28"/>
      <c r="X1137" s="30"/>
      <c r="Y1137" s="30"/>
      <c r="Z1137" s="30"/>
      <c r="AA1137" s="30"/>
      <c r="AB1137" s="30"/>
      <c r="AC1137" s="28"/>
      <c r="AD1137" s="30"/>
      <c r="AE1137" s="30"/>
      <c r="AF1137" s="30"/>
      <c r="AG1137" s="29"/>
      <c r="AH1137" s="30"/>
      <c r="AI1137" s="36"/>
      <c r="AJ1137" s="30"/>
      <c r="AK1137" s="29"/>
      <c r="AL1137" s="30"/>
      <c r="AM1137" s="30"/>
      <c r="AN1137" s="30"/>
      <c r="AO1137" s="30"/>
      <c r="AP1137" s="30"/>
      <c r="AQ1137" s="38"/>
      <c r="AR1137" s="30"/>
      <c r="AS1137" s="30"/>
      <c r="AT1137" s="29"/>
      <c r="AU1137" s="30"/>
      <c r="AV1137" s="30"/>
      <c r="AW1137" s="30"/>
      <c r="AX1137" s="29"/>
      <c r="AY1137" s="39"/>
      <c r="AZ1137" s="30"/>
      <c r="BA1137" s="30"/>
      <c r="BB1137" s="29"/>
      <c r="BC1137" s="52"/>
      <c r="BD1137" s="30"/>
      <c r="BE1137" s="29"/>
      <c r="BF1137" s="30"/>
      <c r="BG1137" s="30"/>
      <c r="BH1137" s="30"/>
      <c r="BI1137" s="30"/>
      <c r="BJ1137" s="30"/>
      <c r="BK1137" s="30"/>
      <c r="BL1137" s="30"/>
      <c r="BM1137" s="30"/>
      <c r="BN1137" s="30"/>
      <c r="BO1137" s="30"/>
      <c r="BP1137" s="30"/>
      <c r="BQ1137" s="30"/>
      <c r="BR1137" s="30"/>
      <c r="BS1137" s="30"/>
      <c r="BT1137" s="30"/>
      <c r="BU1137" s="30"/>
      <c r="BV1137" s="30"/>
      <c r="BW1137" s="30"/>
      <c r="BX1137" s="30"/>
      <c r="BY1137" s="30"/>
      <c r="BZ1137" s="30"/>
      <c r="CA1137" s="30"/>
      <c r="CB1137" s="30"/>
      <c r="CC1137" s="30"/>
      <c r="CD1137" s="30"/>
      <c r="CE1137" s="30"/>
      <c r="CF1137" s="30"/>
      <c r="CG1137" s="30"/>
      <c r="CH1137" s="30"/>
      <c r="CI1137" s="30"/>
      <c r="CJ1137" s="30"/>
      <c r="CK1137" s="30"/>
      <c r="CL1137" s="30"/>
      <c r="CM1137" s="30"/>
      <c r="CN1137" s="30"/>
      <c r="CO1137" s="30"/>
      <c r="CP1137" s="30"/>
      <c r="CQ1137" s="30"/>
      <c r="CR1137" s="30"/>
      <c r="CS1137" s="30"/>
      <c r="CT1137" s="30"/>
      <c r="CU1137" s="30"/>
      <c r="CV1137" s="30"/>
      <c r="CW1137" s="30"/>
      <c r="CX1137" s="30"/>
      <c r="CY1137" s="30"/>
      <c r="CZ1137" s="30"/>
      <c r="DA1137" s="30"/>
      <c r="DB1137" s="30"/>
      <c r="DC1137" s="30"/>
      <c r="DD1137" s="30"/>
      <c r="DE1137" s="30"/>
      <c r="DF1137" s="30"/>
      <c r="DG1137" s="30"/>
      <c r="DH1137" s="30"/>
      <c r="DI1137" s="30"/>
      <c r="DJ1137" s="30"/>
      <c r="DK1137" s="30"/>
      <c r="DL1137" s="30"/>
      <c r="DM1137" s="30"/>
      <c r="DN1137" s="30"/>
      <c r="DO1137" s="30"/>
      <c r="DP1137" s="30"/>
      <c r="DQ1137" s="30"/>
      <c r="DR1137" s="30"/>
      <c r="DS1137" s="30"/>
      <c r="DT1137" s="30"/>
      <c r="DU1137" s="30"/>
      <c r="DV1137" s="30"/>
      <c r="DW1137" s="30"/>
      <c r="DX1137" s="30"/>
      <c r="DY1137" s="30"/>
      <c r="DZ1137" s="30"/>
    </row>
    <row r="1138">
      <c r="A1138" s="30"/>
      <c r="B1138" s="42"/>
      <c r="C1138" s="43"/>
      <c r="D1138" s="30"/>
      <c r="E1138" s="28"/>
      <c r="F1138" s="30"/>
      <c r="G1138" s="30"/>
      <c r="H1138" s="30"/>
      <c r="I1138" s="30"/>
      <c r="J1138" s="28"/>
      <c r="K1138" s="30"/>
      <c r="L1138" s="30"/>
      <c r="M1138" s="30"/>
      <c r="N1138" s="30"/>
      <c r="O1138" s="28"/>
      <c r="P1138" s="30"/>
      <c r="Q1138" s="30"/>
      <c r="R1138" s="30"/>
      <c r="S1138" s="36"/>
      <c r="T1138" s="30"/>
      <c r="U1138" s="36"/>
      <c r="V1138" s="30"/>
      <c r="W1138" s="28"/>
      <c r="X1138" s="30"/>
      <c r="Y1138" s="30"/>
      <c r="Z1138" s="30"/>
      <c r="AA1138" s="30"/>
      <c r="AB1138" s="30"/>
      <c r="AC1138" s="28"/>
      <c r="AD1138" s="30"/>
      <c r="AE1138" s="30"/>
      <c r="AF1138" s="30"/>
      <c r="AG1138" s="29"/>
      <c r="AH1138" s="30"/>
      <c r="AI1138" s="36"/>
      <c r="AJ1138" s="30"/>
      <c r="AK1138" s="29"/>
      <c r="AL1138" s="30"/>
      <c r="AM1138" s="30"/>
      <c r="AN1138" s="30"/>
      <c r="AO1138" s="30"/>
      <c r="AP1138" s="30"/>
      <c r="AQ1138" s="38"/>
      <c r="AR1138" s="30"/>
      <c r="AS1138" s="30"/>
      <c r="AT1138" s="29"/>
      <c r="AU1138" s="30"/>
      <c r="AV1138" s="30"/>
      <c r="AW1138" s="30"/>
      <c r="AX1138" s="29"/>
      <c r="AY1138" s="39"/>
      <c r="AZ1138" s="30"/>
      <c r="BA1138" s="30"/>
      <c r="BB1138" s="29"/>
      <c r="BC1138" s="52"/>
      <c r="BD1138" s="30"/>
      <c r="BE1138" s="29"/>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0"/>
      <c r="CF1138" s="30"/>
      <c r="CG1138" s="30"/>
      <c r="CH1138" s="30"/>
      <c r="CI1138" s="30"/>
      <c r="CJ1138" s="30"/>
      <c r="CK1138" s="30"/>
      <c r="CL1138" s="30"/>
      <c r="CM1138" s="30"/>
      <c r="CN1138" s="30"/>
      <c r="CO1138" s="30"/>
      <c r="CP1138" s="30"/>
      <c r="CQ1138" s="30"/>
      <c r="CR1138" s="30"/>
      <c r="CS1138" s="30"/>
      <c r="CT1138" s="30"/>
      <c r="CU1138" s="30"/>
      <c r="CV1138" s="30"/>
      <c r="CW1138" s="30"/>
      <c r="CX1138" s="30"/>
      <c r="CY1138" s="30"/>
      <c r="CZ1138" s="30"/>
      <c r="DA1138" s="30"/>
      <c r="DB1138" s="30"/>
      <c r="DC1138" s="30"/>
      <c r="DD1138" s="30"/>
      <c r="DE1138" s="30"/>
      <c r="DF1138" s="30"/>
      <c r="DG1138" s="30"/>
      <c r="DH1138" s="30"/>
      <c r="DI1138" s="30"/>
      <c r="DJ1138" s="30"/>
      <c r="DK1138" s="30"/>
      <c r="DL1138" s="30"/>
      <c r="DM1138" s="30"/>
      <c r="DN1138" s="30"/>
      <c r="DO1138" s="30"/>
      <c r="DP1138" s="30"/>
      <c r="DQ1138" s="30"/>
      <c r="DR1138" s="30"/>
      <c r="DS1138" s="30"/>
      <c r="DT1138" s="30"/>
      <c r="DU1138" s="30"/>
      <c r="DV1138" s="30"/>
      <c r="DW1138" s="30"/>
      <c r="DX1138" s="30"/>
      <c r="DY1138" s="30"/>
      <c r="DZ1138" s="30"/>
    </row>
    <row r="1139">
      <c r="A1139" s="30"/>
      <c r="B1139" s="42"/>
      <c r="C1139" s="43"/>
      <c r="D1139" s="30"/>
      <c r="E1139" s="28"/>
      <c r="F1139" s="30"/>
      <c r="G1139" s="30"/>
      <c r="H1139" s="30"/>
      <c r="I1139" s="30"/>
      <c r="J1139" s="28"/>
      <c r="K1139" s="30"/>
      <c r="L1139" s="30"/>
      <c r="M1139" s="30"/>
      <c r="N1139" s="30"/>
      <c r="O1139" s="28"/>
      <c r="P1139" s="30"/>
      <c r="Q1139" s="30"/>
      <c r="R1139" s="30"/>
      <c r="S1139" s="36"/>
      <c r="T1139" s="30"/>
      <c r="U1139" s="36"/>
      <c r="V1139" s="30"/>
      <c r="W1139" s="28"/>
      <c r="X1139" s="30"/>
      <c r="Y1139" s="30"/>
      <c r="Z1139" s="30"/>
      <c r="AA1139" s="30"/>
      <c r="AB1139" s="30"/>
      <c r="AC1139" s="28"/>
      <c r="AD1139" s="30"/>
      <c r="AE1139" s="30"/>
      <c r="AF1139" s="30"/>
      <c r="AG1139" s="29"/>
      <c r="AH1139" s="30"/>
      <c r="AI1139" s="36"/>
      <c r="AJ1139" s="30"/>
      <c r="AK1139" s="29"/>
      <c r="AL1139" s="30"/>
      <c r="AM1139" s="30"/>
      <c r="AN1139" s="30"/>
      <c r="AO1139" s="30"/>
      <c r="AP1139" s="30"/>
      <c r="AQ1139" s="38"/>
      <c r="AR1139" s="30"/>
      <c r="AS1139" s="30"/>
      <c r="AT1139" s="29"/>
      <c r="AU1139" s="30"/>
      <c r="AV1139" s="30"/>
      <c r="AW1139" s="30"/>
      <c r="AX1139" s="29"/>
      <c r="AY1139" s="39"/>
      <c r="AZ1139" s="30"/>
      <c r="BA1139" s="30"/>
      <c r="BB1139" s="29"/>
      <c r="BC1139" s="52"/>
      <c r="BD1139" s="30"/>
      <c r="BE1139" s="29"/>
      <c r="BF1139" s="30"/>
      <c r="BG1139" s="30"/>
      <c r="BH1139" s="30"/>
      <c r="BI1139" s="30"/>
      <c r="BJ1139" s="30"/>
      <c r="BK1139" s="30"/>
      <c r="BL1139" s="30"/>
      <c r="BM1139" s="30"/>
      <c r="BN1139" s="30"/>
      <c r="BO1139" s="30"/>
      <c r="BP1139" s="30"/>
      <c r="BQ1139" s="30"/>
      <c r="BR1139" s="30"/>
      <c r="BS1139" s="30"/>
      <c r="BT1139" s="30"/>
      <c r="BU1139" s="30"/>
      <c r="BV1139" s="30"/>
      <c r="BW1139" s="30"/>
      <c r="BX1139" s="30"/>
      <c r="BY1139" s="30"/>
      <c r="BZ1139" s="30"/>
      <c r="CA1139" s="30"/>
      <c r="CB1139" s="30"/>
      <c r="CC1139" s="30"/>
      <c r="CD1139" s="30"/>
      <c r="CE1139" s="30"/>
      <c r="CF1139" s="30"/>
      <c r="CG1139" s="30"/>
      <c r="CH1139" s="30"/>
      <c r="CI1139" s="30"/>
      <c r="CJ1139" s="30"/>
      <c r="CK1139" s="30"/>
      <c r="CL1139" s="30"/>
      <c r="CM1139" s="30"/>
      <c r="CN1139" s="30"/>
      <c r="CO1139" s="30"/>
      <c r="CP1139" s="30"/>
      <c r="CQ1139" s="30"/>
      <c r="CR1139" s="30"/>
      <c r="CS1139" s="30"/>
      <c r="CT1139" s="30"/>
      <c r="CU1139" s="30"/>
      <c r="CV1139" s="30"/>
      <c r="CW1139" s="30"/>
      <c r="CX1139" s="30"/>
      <c r="CY1139" s="30"/>
      <c r="CZ1139" s="30"/>
      <c r="DA1139" s="30"/>
      <c r="DB1139" s="30"/>
      <c r="DC1139" s="30"/>
      <c r="DD1139" s="30"/>
      <c r="DE1139" s="30"/>
      <c r="DF1139" s="30"/>
      <c r="DG1139" s="30"/>
      <c r="DH1139" s="30"/>
      <c r="DI1139" s="30"/>
      <c r="DJ1139" s="30"/>
      <c r="DK1139" s="30"/>
      <c r="DL1139" s="30"/>
      <c r="DM1139" s="30"/>
      <c r="DN1139" s="30"/>
      <c r="DO1139" s="30"/>
      <c r="DP1139" s="30"/>
      <c r="DQ1139" s="30"/>
      <c r="DR1139" s="30"/>
      <c r="DS1139" s="30"/>
      <c r="DT1139" s="30"/>
      <c r="DU1139" s="30"/>
      <c r="DV1139" s="30"/>
      <c r="DW1139" s="30"/>
      <c r="DX1139" s="30"/>
      <c r="DY1139" s="30"/>
      <c r="DZ1139" s="30"/>
    </row>
    <row r="1140">
      <c r="A1140" s="30"/>
      <c r="B1140" s="42"/>
      <c r="C1140" s="43"/>
      <c r="D1140" s="30"/>
      <c r="E1140" s="28"/>
      <c r="F1140" s="30"/>
      <c r="G1140" s="30"/>
      <c r="H1140" s="30"/>
      <c r="I1140" s="30"/>
      <c r="J1140" s="28"/>
      <c r="K1140" s="30"/>
      <c r="L1140" s="30"/>
      <c r="M1140" s="30"/>
      <c r="N1140" s="30"/>
      <c r="O1140" s="28"/>
      <c r="P1140" s="30"/>
      <c r="Q1140" s="30"/>
      <c r="R1140" s="30"/>
      <c r="S1140" s="36"/>
      <c r="T1140" s="30"/>
      <c r="U1140" s="36"/>
      <c r="V1140" s="30"/>
      <c r="W1140" s="28"/>
      <c r="X1140" s="30"/>
      <c r="Y1140" s="30"/>
      <c r="Z1140" s="30"/>
      <c r="AA1140" s="30"/>
      <c r="AB1140" s="30"/>
      <c r="AC1140" s="28"/>
      <c r="AD1140" s="30"/>
      <c r="AE1140" s="30"/>
      <c r="AF1140" s="30"/>
      <c r="AG1140" s="29"/>
      <c r="AH1140" s="30"/>
      <c r="AI1140" s="36"/>
      <c r="AJ1140" s="30"/>
      <c r="AK1140" s="29"/>
      <c r="AL1140" s="30"/>
      <c r="AM1140" s="30"/>
      <c r="AN1140" s="30"/>
      <c r="AO1140" s="30"/>
      <c r="AP1140" s="30"/>
      <c r="AQ1140" s="38"/>
      <c r="AR1140" s="30"/>
      <c r="AS1140" s="30"/>
      <c r="AT1140" s="29"/>
      <c r="AU1140" s="30"/>
      <c r="AV1140" s="30"/>
      <c r="AW1140" s="30"/>
      <c r="AX1140" s="29"/>
      <c r="AY1140" s="39"/>
      <c r="AZ1140" s="30"/>
      <c r="BA1140" s="30"/>
      <c r="BB1140" s="29"/>
      <c r="BC1140" s="52"/>
      <c r="BD1140" s="30"/>
      <c r="BE1140" s="29"/>
      <c r="BF1140" s="30"/>
      <c r="BG1140" s="30"/>
      <c r="BH1140" s="30"/>
      <c r="BI1140" s="30"/>
      <c r="BJ1140" s="30"/>
      <c r="BK1140" s="30"/>
      <c r="BL1140" s="30"/>
      <c r="BM1140" s="30"/>
      <c r="BN1140" s="30"/>
      <c r="BO1140" s="30"/>
      <c r="BP1140" s="30"/>
      <c r="BQ1140" s="30"/>
      <c r="BR1140" s="30"/>
      <c r="BS1140" s="30"/>
      <c r="BT1140" s="30"/>
      <c r="BU1140" s="30"/>
      <c r="BV1140" s="30"/>
      <c r="BW1140" s="30"/>
      <c r="BX1140" s="30"/>
      <c r="BY1140" s="30"/>
      <c r="BZ1140" s="30"/>
      <c r="CA1140" s="30"/>
      <c r="CB1140" s="30"/>
      <c r="CC1140" s="30"/>
      <c r="CD1140" s="30"/>
      <c r="CE1140" s="30"/>
      <c r="CF1140" s="30"/>
      <c r="CG1140" s="30"/>
      <c r="CH1140" s="30"/>
      <c r="CI1140" s="30"/>
      <c r="CJ1140" s="30"/>
      <c r="CK1140" s="30"/>
      <c r="CL1140" s="30"/>
      <c r="CM1140" s="30"/>
      <c r="CN1140" s="30"/>
      <c r="CO1140" s="30"/>
      <c r="CP1140" s="30"/>
      <c r="CQ1140" s="30"/>
      <c r="CR1140" s="30"/>
      <c r="CS1140" s="30"/>
      <c r="CT1140" s="30"/>
      <c r="CU1140" s="30"/>
      <c r="CV1140" s="30"/>
      <c r="CW1140" s="30"/>
      <c r="CX1140" s="30"/>
      <c r="CY1140" s="30"/>
      <c r="CZ1140" s="30"/>
      <c r="DA1140" s="30"/>
      <c r="DB1140" s="30"/>
      <c r="DC1140" s="30"/>
      <c r="DD1140" s="30"/>
      <c r="DE1140" s="30"/>
      <c r="DF1140" s="30"/>
      <c r="DG1140" s="30"/>
      <c r="DH1140" s="30"/>
      <c r="DI1140" s="30"/>
      <c r="DJ1140" s="30"/>
      <c r="DK1140" s="30"/>
      <c r="DL1140" s="30"/>
      <c r="DM1140" s="30"/>
      <c r="DN1140" s="30"/>
      <c r="DO1140" s="30"/>
      <c r="DP1140" s="30"/>
      <c r="DQ1140" s="30"/>
      <c r="DR1140" s="30"/>
      <c r="DS1140" s="30"/>
      <c r="DT1140" s="30"/>
      <c r="DU1140" s="30"/>
      <c r="DV1140" s="30"/>
      <c r="DW1140" s="30"/>
      <c r="DX1140" s="30"/>
      <c r="DY1140" s="30"/>
      <c r="DZ1140" s="30"/>
    </row>
    <row r="1141">
      <c r="A1141" s="30"/>
      <c r="B1141" s="42"/>
      <c r="C1141" s="43"/>
      <c r="D1141" s="30"/>
      <c r="E1141" s="28"/>
      <c r="F1141" s="30"/>
      <c r="G1141" s="30"/>
      <c r="H1141" s="30"/>
      <c r="I1141" s="30"/>
      <c r="J1141" s="28"/>
      <c r="K1141" s="30"/>
      <c r="L1141" s="30"/>
      <c r="M1141" s="30"/>
      <c r="N1141" s="30"/>
      <c r="O1141" s="28"/>
      <c r="P1141" s="30"/>
      <c r="Q1141" s="30"/>
      <c r="R1141" s="30"/>
      <c r="S1141" s="36"/>
      <c r="T1141" s="30"/>
      <c r="U1141" s="36"/>
      <c r="V1141" s="30"/>
      <c r="W1141" s="28"/>
      <c r="X1141" s="30"/>
      <c r="Y1141" s="30"/>
      <c r="Z1141" s="30"/>
      <c r="AA1141" s="30"/>
      <c r="AB1141" s="30"/>
      <c r="AC1141" s="28"/>
      <c r="AD1141" s="30"/>
      <c r="AE1141" s="30"/>
      <c r="AF1141" s="30"/>
      <c r="AG1141" s="29"/>
      <c r="AH1141" s="30"/>
      <c r="AI1141" s="36"/>
      <c r="AJ1141" s="30"/>
      <c r="AK1141" s="29"/>
      <c r="AL1141" s="30"/>
      <c r="AM1141" s="30"/>
      <c r="AN1141" s="30"/>
      <c r="AO1141" s="30"/>
      <c r="AP1141" s="30"/>
      <c r="AQ1141" s="38"/>
      <c r="AR1141" s="30"/>
      <c r="AS1141" s="30"/>
      <c r="AT1141" s="29"/>
      <c r="AU1141" s="30"/>
      <c r="AV1141" s="30"/>
      <c r="AW1141" s="30"/>
      <c r="AX1141" s="29"/>
      <c r="AY1141" s="39"/>
      <c r="AZ1141" s="30"/>
      <c r="BA1141" s="30"/>
      <c r="BB1141" s="29"/>
      <c r="BC1141" s="52"/>
      <c r="BD1141" s="30"/>
      <c r="BE1141" s="29"/>
      <c r="BF1141" s="30"/>
      <c r="BG1141" s="30"/>
      <c r="BH1141" s="30"/>
      <c r="BI1141" s="30"/>
      <c r="BJ1141" s="30"/>
      <c r="BK1141" s="30"/>
      <c r="BL1141" s="30"/>
      <c r="BM1141" s="30"/>
      <c r="BN1141" s="30"/>
      <c r="BO1141" s="30"/>
      <c r="BP1141" s="30"/>
      <c r="BQ1141" s="30"/>
      <c r="BR1141" s="30"/>
      <c r="BS1141" s="30"/>
      <c r="BT1141" s="30"/>
      <c r="BU1141" s="30"/>
      <c r="BV1141" s="30"/>
      <c r="BW1141" s="30"/>
      <c r="BX1141" s="30"/>
      <c r="BY1141" s="30"/>
      <c r="BZ1141" s="30"/>
      <c r="CA1141" s="30"/>
      <c r="CB1141" s="30"/>
      <c r="CC1141" s="30"/>
      <c r="CD1141" s="30"/>
      <c r="CE1141" s="30"/>
      <c r="CF1141" s="30"/>
      <c r="CG1141" s="30"/>
      <c r="CH1141" s="30"/>
      <c r="CI1141" s="30"/>
      <c r="CJ1141" s="30"/>
      <c r="CK1141" s="30"/>
      <c r="CL1141" s="30"/>
      <c r="CM1141" s="30"/>
      <c r="CN1141" s="30"/>
      <c r="CO1141" s="30"/>
      <c r="CP1141" s="30"/>
      <c r="CQ1141" s="30"/>
      <c r="CR1141" s="30"/>
      <c r="CS1141" s="30"/>
      <c r="CT1141" s="30"/>
      <c r="CU1141" s="30"/>
      <c r="CV1141" s="30"/>
      <c r="CW1141" s="30"/>
      <c r="CX1141" s="30"/>
      <c r="CY1141" s="30"/>
      <c r="CZ1141" s="30"/>
      <c r="DA1141" s="30"/>
      <c r="DB1141" s="30"/>
      <c r="DC1141" s="30"/>
      <c r="DD1141" s="30"/>
      <c r="DE1141" s="30"/>
      <c r="DF1141" s="30"/>
      <c r="DG1141" s="30"/>
      <c r="DH1141" s="30"/>
      <c r="DI1141" s="30"/>
      <c r="DJ1141" s="30"/>
      <c r="DK1141" s="30"/>
      <c r="DL1141" s="30"/>
      <c r="DM1141" s="30"/>
      <c r="DN1141" s="30"/>
      <c r="DO1141" s="30"/>
      <c r="DP1141" s="30"/>
      <c r="DQ1141" s="30"/>
      <c r="DR1141" s="30"/>
      <c r="DS1141" s="30"/>
      <c r="DT1141" s="30"/>
      <c r="DU1141" s="30"/>
      <c r="DV1141" s="30"/>
      <c r="DW1141" s="30"/>
      <c r="DX1141" s="30"/>
      <c r="DY1141" s="30"/>
      <c r="DZ1141" s="30"/>
    </row>
    <row r="1142">
      <c r="A1142" s="30"/>
      <c r="B1142" s="42"/>
      <c r="C1142" s="43"/>
      <c r="D1142" s="30"/>
      <c r="E1142" s="28"/>
      <c r="F1142" s="30"/>
      <c r="G1142" s="30"/>
      <c r="H1142" s="30"/>
      <c r="I1142" s="30"/>
      <c r="J1142" s="28"/>
      <c r="K1142" s="30"/>
      <c r="L1142" s="30"/>
      <c r="M1142" s="30"/>
      <c r="N1142" s="30"/>
      <c r="O1142" s="28"/>
      <c r="P1142" s="30"/>
      <c r="Q1142" s="30"/>
      <c r="R1142" s="30"/>
      <c r="S1142" s="36"/>
      <c r="T1142" s="30"/>
      <c r="U1142" s="36"/>
      <c r="V1142" s="30"/>
      <c r="W1142" s="28"/>
      <c r="X1142" s="30"/>
      <c r="Y1142" s="30"/>
      <c r="Z1142" s="30"/>
      <c r="AA1142" s="30"/>
      <c r="AB1142" s="30"/>
      <c r="AC1142" s="28"/>
      <c r="AD1142" s="30"/>
      <c r="AE1142" s="30"/>
      <c r="AF1142" s="30"/>
      <c r="AG1142" s="29"/>
      <c r="AH1142" s="30"/>
      <c r="AI1142" s="36"/>
      <c r="AJ1142" s="30"/>
      <c r="AK1142" s="29"/>
      <c r="AL1142" s="30"/>
      <c r="AM1142" s="30"/>
      <c r="AN1142" s="30"/>
      <c r="AO1142" s="30"/>
      <c r="AP1142" s="30"/>
      <c r="AQ1142" s="38"/>
      <c r="AR1142" s="30"/>
      <c r="AS1142" s="30"/>
      <c r="AT1142" s="29"/>
      <c r="AU1142" s="30"/>
      <c r="AV1142" s="30"/>
      <c r="AW1142" s="30"/>
      <c r="AX1142" s="29"/>
      <c r="AY1142" s="39"/>
      <c r="AZ1142" s="30"/>
      <c r="BA1142" s="30"/>
      <c r="BB1142" s="29"/>
      <c r="BC1142" s="52"/>
      <c r="BD1142" s="30"/>
      <c r="BE1142" s="29"/>
      <c r="BF1142" s="30"/>
      <c r="BG1142" s="30"/>
      <c r="BH1142" s="30"/>
      <c r="BI1142" s="30"/>
      <c r="BJ1142" s="30"/>
      <c r="BK1142" s="30"/>
      <c r="BL1142" s="30"/>
      <c r="BM1142" s="30"/>
      <c r="BN1142" s="30"/>
      <c r="BO1142" s="30"/>
      <c r="BP1142" s="30"/>
      <c r="BQ1142" s="30"/>
      <c r="BR1142" s="30"/>
      <c r="BS1142" s="30"/>
      <c r="BT1142" s="30"/>
      <c r="BU1142" s="30"/>
      <c r="BV1142" s="30"/>
      <c r="BW1142" s="30"/>
      <c r="BX1142" s="30"/>
      <c r="BY1142" s="30"/>
      <c r="BZ1142" s="30"/>
      <c r="CA1142" s="30"/>
      <c r="CB1142" s="30"/>
      <c r="CC1142" s="30"/>
      <c r="CD1142" s="30"/>
      <c r="CE1142" s="30"/>
      <c r="CF1142" s="30"/>
      <c r="CG1142" s="30"/>
      <c r="CH1142" s="30"/>
      <c r="CI1142" s="30"/>
      <c r="CJ1142" s="30"/>
      <c r="CK1142" s="30"/>
      <c r="CL1142" s="30"/>
      <c r="CM1142" s="30"/>
      <c r="CN1142" s="30"/>
      <c r="CO1142" s="30"/>
      <c r="CP1142" s="30"/>
      <c r="CQ1142" s="30"/>
      <c r="CR1142" s="30"/>
      <c r="CS1142" s="30"/>
      <c r="CT1142" s="30"/>
      <c r="CU1142" s="30"/>
      <c r="CV1142" s="30"/>
      <c r="CW1142" s="30"/>
      <c r="CX1142" s="30"/>
      <c r="CY1142" s="30"/>
      <c r="CZ1142" s="30"/>
      <c r="DA1142" s="30"/>
      <c r="DB1142" s="30"/>
      <c r="DC1142" s="30"/>
      <c r="DD1142" s="30"/>
      <c r="DE1142" s="30"/>
      <c r="DF1142" s="30"/>
      <c r="DG1142" s="30"/>
      <c r="DH1142" s="30"/>
      <c r="DI1142" s="30"/>
      <c r="DJ1142" s="30"/>
      <c r="DK1142" s="30"/>
      <c r="DL1142" s="30"/>
      <c r="DM1142" s="30"/>
      <c r="DN1142" s="30"/>
      <c r="DO1142" s="30"/>
      <c r="DP1142" s="30"/>
      <c r="DQ1142" s="30"/>
      <c r="DR1142" s="30"/>
      <c r="DS1142" s="30"/>
      <c r="DT1142" s="30"/>
      <c r="DU1142" s="30"/>
      <c r="DV1142" s="30"/>
      <c r="DW1142" s="30"/>
      <c r="DX1142" s="30"/>
      <c r="DY1142" s="30"/>
      <c r="DZ1142" s="30"/>
    </row>
    <row r="1143">
      <c r="A1143" s="30"/>
      <c r="B1143" s="42"/>
      <c r="C1143" s="43"/>
      <c r="D1143" s="30"/>
      <c r="E1143" s="28"/>
      <c r="F1143" s="30"/>
      <c r="G1143" s="30"/>
      <c r="H1143" s="30"/>
      <c r="I1143" s="30"/>
      <c r="J1143" s="28"/>
      <c r="K1143" s="30"/>
      <c r="L1143" s="30"/>
      <c r="M1143" s="30"/>
      <c r="N1143" s="30"/>
      <c r="O1143" s="28"/>
      <c r="P1143" s="30"/>
      <c r="Q1143" s="30"/>
      <c r="R1143" s="30"/>
      <c r="S1143" s="36"/>
      <c r="T1143" s="30"/>
      <c r="U1143" s="36"/>
      <c r="V1143" s="30"/>
      <c r="W1143" s="28"/>
      <c r="X1143" s="30"/>
      <c r="Y1143" s="30"/>
      <c r="Z1143" s="30"/>
      <c r="AA1143" s="30"/>
      <c r="AB1143" s="30"/>
      <c r="AC1143" s="28"/>
      <c r="AD1143" s="30"/>
      <c r="AE1143" s="30"/>
      <c r="AF1143" s="30"/>
      <c r="AG1143" s="29"/>
      <c r="AH1143" s="30"/>
      <c r="AI1143" s="36"/>
      <c r="AJ1143" s="30"/>
      <c r="AK1143" s="29"/>
      <c r="AL1143" s="30"/>
      <c r="AM1143" s="30"/>
      <c r="AN1143" s="30"/>
      <c r="AO1143" s="30"/>
      <c r="AP1143" s="30"/>
      <c r="AQ1143" s="38"/>
      <c r="AR1143" s="30"/>
      <c r="AS1143" s="30"/>
      <c r="AT1143" s="29"/>
      <c r="AU1143" s="30"/>
      <c r="AV1143" s="30"/>
      <c r="AW1143" s="30"/>
      <c r="AX1143" s="29"/>
      <c r="AY1143" s="39"/>
      <c r="AZ1143" s="30"/>
      <c r="BA1143" s="30"/>
      <c r="BB1143" s="29"/>
      <c r="BC1143" s="52"/>
      <c r="BD1143" s="30"/>
      <c r="BE1143" s="29"/>
      <c r="BF1143" s="30"/>
      <c r="BG1143" s="30"/>
      <c r="BH1143" s="30"/>
      <c r="BI1143" s="30"/>
      <c r="BJ1143" s="30"/>
      <c r="BK1143" s="30"/>
      <c r="BL1143" s="30"/>
      <c r="BM1143" s="30"/>
      <c r="BN1143" s="30"/>
      <c r="BO1143" s="30"/>
      <c r="BP1143" s="30"/>
      <c r="BQ1143" s="30"/>
      <c r="BR1143" s="30"/>
      <c r="BS1143" s="30"/>
      <c r="BT1143" s="30"/>
      <c r="BU1143" s="30"/>
      <c r="BV1143" s="30"/>
      <c r="BW1143" s="30"/>
      <c r="BX1143" s="30"/>
      <c r="BY1143" s="30"/>
      <c r="BZ1143" s="30"/>
      <c r="CA1143" s="30"/>
      <c r="CB1143" s="30"/>
      <c r="CC1143" s="30"/>
      <c r="CD1143" s="30"/>
      <c r="CE1143" s="30"/>
      <c r="CF1143" s="30"/>
      <c r="CG1143" s="30"/>
      <c r="CH1143" s="30"/>
      <c r="CI1143" s="30"/>
      <c r="CJ1143" s="30"/>
      <c r="CK1143" s="30"/>
      <c r="CL1143" s="30"/>
      <c r="CM1143" s="30"/>
      <c r="CN1143" s="30"/>
      <c r="CO1143" s="30"/>
      <c r="CP1143" s="30"/>
      <c r="CQ1143" s="30"/>
      <c r="CR1143" s="30"/>
      <c r="CS1143" s="30"/>
      <c r="CT1143" s="30"/>
      <c r="CU1143" s="30"/>
      <c r="CV1143" s="30"/>
      <c r="CW1143" s="30"/>
      <c r="CX1143" s="30"/>
      <c r="CY1143" s="30"/>
      <c r="CZ1143" s="30"/>
      <c r="DA1143" s="30"/>
      <c r="DB1143" s="30"/>
      <c r="DC1143" s="30"/>
      <c r="DD1143" s="30"/>
      <c r="DE1143" s="30"/>
      <c r="DF1143" s="30"/>
      <c r="DG1143" s="30"/>
      <c r="DH1143" s="30"/>
      <c r="DI1143" s="30"/>
      <c r="DJ1143" s="30"/>
      <c r="DK1143" s="30"/>
      <c r="DL1143" s="30"/>
      <c r="DM1143" s="30"/>
      <c r="DN1143" s="30"/>
      <c r="DO1143" s="30"/>
      <c r="DP1143" s="30"/>
      <c r="DQ1143" s="30"/>
      <c r="DR1143" s="30"/>
      <c r="DS1143" s="30"/>
      <c r="DT1143" s="30"/>
      <c r="DU1143" s="30"/>
      <c r="DV1143" s="30"/>
      <c r="DW1143" s="30"/>
      <c r="DX1143" s="30"/>
      <c r="DY1143" s="30"/>
      <c r="DZ1143" s="30"/>
    </row>
    <row r="1144">
      <c r="A1144" s="30"/>
      <c r="B1144" s="42"/>
      <c r="C1144" s="43"/>
      <c r="D1144" s="30"/>
      <c r="E1144" s="28"/>
      <c r="F1144" s="30"/>
      <c r="G1144" s="30"/>
      <c r="H1144" s="30"/>
      <c r="I1144" s="30"/>
      <c r="J1144" s="28"/>
      <c r="K1144" s="30"/>
      <c r="L1144" s="30"/>
      <c r="M1144" s="30"/>
      <c r="N1144" s="30"/>
      <c r="O1144" s="28"/>
      <c r="P1144" s="30"/>
      <c r="Q1144" s="30"/>
      <c r="R1144" s="30"/>
      <c r="S1144" s="36"/>
      <c r="T1144" s="30"/>
      <c r="U1144" s="36"/>
      <c r="V1144" s="30"/>
      <c r="W1144" s="28"/>
      <c r="X1144" s="30"/>
      <c r="Y1144" s="30"/>
      <c r="Z1144" s="30"/>
      <c r="AA1144" s="30"/>
      <c r="AB1144" s="30"/>
      <c r="AC1144" s="28"/>
      <c r="AD1144" s="30"/>
      <c r="AE1144" s="30"/>
      <c r="AF1144" s="30"/>
      <c r="AG1144" s="29"/>
      <c r="AH1144" s="30"/>
      <c r="AI1144" s="36"/>
      <c r="AJ1144" s="30"/>
      <c r="AK1144" s="29"/>
      <c r="AL1144" s="30"/>
      <c r="AM1144" s="30"/>
      <c r="AN1144" s="30"/>
      <c r="AO1144" s="30"/>
      <c r="AP1144" s="30"/>
      <c r="AQ1144" s="38"/>
      <c r="AR1144" s="30"/>
      <c r="AS1144" s="30"/>
      <c r="AT1144" s="29"/>
      <c r="AU1144" s="30"/>
      <c r="AV1144" s="30"/>
      <c r="AW1144" s="30"/>
      <c r="AX1144" s="29"/>
      <c r="AY1144" s="39"/>
      <c r="AZ1144" s="30"/>
      <c r="BA1144" s="30"/>
      <c r="BB1144" s="29"/>
      <c r="BC1144" s="52"/>
      <c r="BD1144" s="30"/>
      <c r="BE1144" s="29"/>
      <c r="BF1144" s="30"/>
      <c r="BG1144" s="30"/>
      <c r="BH1144" s="30"/>
      <c r="BI1144" s="30"/>
      <c r="BJ1144" s="30"/>
      <c r="BK1144" s="30"/>
      <c r="BL1144" s="30"/>
      <c r="BM1144" s="30"/>
      <c r="BN1144" s="30"/>
      <c r="BO1144" s="30"/>
      <c r="BP1144" s="30"/>
      <c r="BQ1144" s="30"/>
      <c r="BR1144" s="30"/>
      <c r="BS1144" s="30"/>
      <c r="BT1144" s="30"/>
      <c r="BU1144" s="30"/>
      <c r="BV1144" s="30"/>
      <c r="BW1144" s="30"/>
      <c r="BX1144" s="30"/>
      <c r="BY1144" s="30"/>
      <c r="BZ1144" s="30"/>
      <c r="CA1144" s="30"/>
      <c r="CB1144" s="30"/>
      <c r="CC1144" s="30"/>
      <c r="CD1144" s="30"/>
      <c r="CE1144" s="30"/>
      <c r="CF1144" s="30"/>
      <c r="CG1144" s="30"/>
      <c r="CH1144" s="30"/>
      <c r="CI1144" s="30"/>
      <c r="CJ1144" s="30"/>
      <c r="CK1144" s="30"/>
      <c r="CL1144" s="30"/>
      <c r="CM1144" s="30"/>
      <c r="CN1144" s="30"/>
      <c r="CO1144" s="30"/>
      <c r="CP1144" s="30"/>
      <c r="CQ1144" s="30"/>
      <c r="CR1144" s="30"/>
      <c r="CS1144" s="30"/>
      <c r="CT1144" s="30"/>
      <c r="CU1144" s="30"/>
      <c r="CV1144" s="30"/>
      <c r="CW1144" s="30"/>
      <c r="CX1144" s="30"/>
      <c r="CY1144" s="30"/>
      <c r="CZ1144" s="30"/>
      <c r="DA1144" s="30"/>
      <c r="DB1144" s="30"/>
      <c r="DC1144" s="30"/>
      <c r="DD1144" s="30"/>
      <c r="DE1144" s="30"/>
      <c r="DF1144" s="30"/>
      <c r="DG1144" s="30"/>
      <c r="DH1144" s="30"/>
      <c r="DI1144" s="30"/>
      <c r="DJ1144" s="30"/>
      <c r="DK1144" s="30"/>
      <c r="DL1144" s="30"/>
      <c r="DM1144" s="30"/>
      <c r="DN1144" s="30"/>
      <c r="DO1144" s="30"/>
      <c r="DP1144" s="30"/>
      <c r="DQ1144" s="30"/>
      <c r="DR1144" s="30"/>
      <c r="DS1144" s="30"/>
      <c r="DT1144" s="30"/>
      <c r="DU1144" s="30"/>
      <c r="DV1144" s="30"/>
      <c r="DW1144" s="30"/>
      <c r="DX1144" s="30"/>
      <c r="DY1144" s="30"/>
      <c r="DZ1144" s="30"/>
    </row>
    <row r="1145">
      <c r="A1145" s="30"/>
      <c r="B1145" s="42"/>
      <c r="C1145" s="43"/>
      <c r="D1145" s="30"/>
      <c r="E1145" s="28"/>
      <c r="F1145" s="30"/>
      <c r="G1145" s="30"/>
      <c r="H1145" s="30"/>
      <c r="I1145" s="30"/>
      <c r="J1145" s="28"/>
      <c r="K1145" s="30"/>
      <c r="L1145" s="30"/>
      <c r="M1145" s="30"/>
      <c r="N1145" s="30"/>
      <c r="O1145" s="28"/>
      <c r="P1145" s="30"/>
      <c r="Q1145" s="30"/>
      <c r="R1145" s="30"/>
      <c r="S1145" s="36"/>
      <c r="T1145" s="30"/>
      <c r="U1145" s="36"/>
      <c r="V1145" s="30"/>
      <c r="W1145" s="28"/>
      <c r="X1145" s="30"/>
      <c r="Y1145" s="30"/>
      <c r="Z1145" s="30"/>
      <c r="AA1145" s="30"/>
      <c r="AB1145" s="30"/>
      <c r="AC1145" s="28"/>
      <c r="AD1145" s="30"/>
      <c r="AE1145" s="30"/>
      <c r="AF1145" s="30"/>
      <c r="AG1145" s="29"/>
      <c r="AH1145" s="30"/>
      <c r="AI1145" s="36"/>
      <c r="AJ1145" s="30"/>
      <c r="AK1145" s="29"/>
      <c r="AL1145" s="30"/>
      <c r="AM1145" s="30"/>
      <c r="AN1145" s="30"/>
      <c r="AO1145" s="30"/>
      <c r="AP1145" s="30"/>
      <c r="AQ1145" s="38"/>
      <c r="AR1145" s="30"/>
      <c r="AS1145" s="30"/>
      <c r="AT1145" s="29"/>
      <c r="AU1145" s="30"/>
      <c r="AV1145" s="30"/>
      <c r="AW1145" s="30"/>
      <c r="AX1145" s="29"/>
      <c r="AY1145" s="39"/>
      <c r="AZ1145" s="30"/>
      <c r="BA1145" s="30"/>
      <c r="BB1145" s="29"/>
      <c r="BC1145" s="52"/>
      <c r="BD1145" s="30"/>
      <c r="BE1145" s="29"/>
      <c r="BF1145" s="30"/>
      <c r="BG1145" s="30"/>
      <c r="BH1145" s="30"/>
      <c r="BI1145" s="30"/>
      <c r="BJ1145" s="30"/>
      <c r="BK1145" s="30"/>
      <c r="BL1145" s="30"/>
      <c r="BM1145" s="30"/>
      <c r="BN1145" s="30"/>
      <c r="BO1145" s="30"/>
      <c r="BP1145" s="30"/>
      <c r="BQ1145" s="30"/>
      <c r="BR1145" s="30"/>
      <c r="BS1145" s="30"/>
      <c r="BT1145" s="30"/>
      <c r="BU1145" s="30"/>
      <c r="BV1145" s="30"/>
      <c r="BW1145" s="30"/>
      <c r="BX1145" s="30"/>
      <c r="BY1145" s="30"/>
      <c r="BZ1145" s="30"/>
      <c r="CA1145" s="30"/>
      <c r="CB1145" s="30"/>
      <c r="CC1145" s="30"/>
      <c r="CD1145" s="30"/>
      <c r="CE1145" s="30"/>
      <c r="CF1145" s="30"/>
      <c r="CG1145" s="30"/>
      <c r="CH1145" s="30"/>
      <c r="CI1145" s="30"/>
      <c r="CJ1145" s="30"/>
      <c r="CK1145" s="30"/>
      <c r="CL1145" s="30"/>
      <c r="CM1145" s="30"/>
      <c r="CN1145" s="30"/>
      <c r="CO1145" s="30"/>
      <c r="CP1145" s="30"/>
      <c r="CQ1145" s="30"/>
      <c r="CR1145" s="30"/>
      <c r="CS1145" s="30"/>
      <c r="CT1145" s="30"/>
      <c r="CU1145" s="30"/>
      <c r="CV1145" s="30"/>
      <c r="CW1145" s="30"/>
      <c r="CX1145" s="30"/>
      <c r="CY1145" s="30"/>
      <c r="CZ1145" s="30"/>
      <c r="DA1145" s="30"/>
      <c r="DB1145" s="30"/>
      <c r="DC1145" s="30"/>
      <c r="DD1145" s="30"/>
      <c r="DE1145" s="30"/>
      <c r="DF1145" s="30"/>
      <c r="DG1145" s="30"/>
      <c r="DH1145" s="30"/>
      <c r="DI1145" s="30"/>
      <c r="DJ1145" s="30"/>
      <c r="DK1145" s="30"/>
      <c r="DL1145" s="30"/>
      <c r="DM1145" s="30"/>
      <c r="DN1145" s="30"/>
      <c r="DO1145" s="30"/>
      <c r="DP1145" s="30"/>
      <c r="DQ1145" s="30"/>
      <c r="DR1145" s="30"/>
      <c r="DS1145" s="30"/>
      <c r="DT1145" s="30"/>
      <c r="DU1145" s="30"/>
      <c r="DV1145" s="30"/>
      <c r="DW1145" s="30"/>
      <c r="DX1145" s="30"/>
      <c r="DY1145" s="30"/>
      <c r="DZ1145" s="30"/>
    </row>
    <row r="1146">
      <c r="A1146" s="30"/>
      <c r="B1146" s="42"/>
      <c r="C1146" s="43"/>
      <c r="D1146" s="30"/>
      <c r="E1146" s="28"/>
      <c r="F1146" s="30"/>
      <c r="G1146" s="30"/>
      <c r="H1146" s="30"/>
      <c r="I1146" s="30"/>
      <c r="J1146" s="28"/>
      <c r="K1146" s="30"/>
      <c r="L1146" s="30"/>
      <c r="M1146" s="30"/>
      <c r="N1146" s="30"/>
      <c r="O1146" s="28"/>
      <c r="P1146" s="30"/>
      <c r="Q1146" s="30"/>
      <c r="R1146" s="30"/>
      <c r="S1146" s="36"/>
      <c r="T1146" s="30"/>
      <c r="U1146" s="36"/>
      <c r="V1146" s="30"/>
      <c r="W1146" s="28"/>
      <c r="X1146" s="30"/>
      <c r="Y1146" s="30"/>
      <c r="Z1146" s="30"/>
      <c r="AA1146" s="30"/>
      <c r="AB1146" s="30"/>
      <c r="AC1146" s="28"/>
      <c r="AD1146" s="30"/>
      <c r="AE1146" s="30"/>
      <c r="AF1146" s="30"/>
      <c r="AG1146" s="29"/>
      <c r="AH1146" s="30"/>
      <c r="AI1146" s="36"/>
      <c r="AJ1146" s="30"/>
      <c r="AK1146" s="29"/>
      <c r="AL1146" s="30"/>
      <c r="AM1146" s="30"/>
      <c r="AN1146" s="30"/>
      <c r="AO1146" s="30"/>
      <c r="AP1146" s="30"/>
      <c r="AQ1146" s="38"/>
      <c r="AR1146" s="30"/>
      <c r="AS1146" s="30"/>
      <c r="AT1146" s="29"/>
      <c r="AU1146" s="30"/>
      <c r="AV1146" s="30"/>
      <c r="AW1146" s="30"/>
      <c r="AX1146" s="29"/>
      <c r="AY1146" s="39"/>
      <c r="AZ1146" s="30"/>
      <c r="BA1146" s="30"/>
      <c r="BB1146" s="29"/>
      <c r="BC1146" s="52"/>
      <c r="BD1146" s="30"/>
      <c r="BE1146" s="29"/>
      <c r="BF1146" s="30"/>
      <c r="BG1146" s="30"/>
      <c r="BH1146" s="30"/>
      <c r="BI1146" s="30"/>
      <c r="BJ1146" s="30"/>
      <c r="BK1146" s="30"/>
      <c r="BL1146" s="30"/>
      <c r="BM1146" s="30"/>
      <c r="BN1146" s="30"/>
      <c r="BO1146" s="30"/>
      <c r="BP1146" s="30"/>
      <c r="BQ1146" s="30"/>
      <c r="BR1146" s="30"/>
      <c r="BS1146" s="30"/>
      <c r="BT1146" s="30"/>
      <c r="BU1146" s="30"/>
      <c r="BV1146" s="30"/>
      <c r="BW1146" s="30"/>
      <c r="BX1146" s="30"/>
      <c r="BY1146" s="30"/>
      <c r="BZ1146" s="30"/>
      <c r="CA1146" s="30"/>
      <c r="CB1146" s="30"/>
      <c r="CC1146" s="30"/>
      <c r="CD1146" s="30"/>
      <c r="CE1146" s="30"/>
      <c r="CF1146" s="30"/>
      <c r="CG1146" s="30"/>
      <c r="CH1146" s="30"/>
      <c r="CI1146" s="30"/>
      <c r="CJ1146" s="30"/>
      <c r="CK1146" s="30"/>
      <c r="CL1146" s="30"/>
      <c r="CM1146" s="30"/>
      <c r="CN1146" s="30"/>
      <c r="CO1146" s="30"/>
      <c r="CP1146" s="30"/>
      <c r="CQ1146" s="30"/>
      <c r="CR1146" s="30"/>
      <c r="CS1146" s="30"/>
      <c r="CT1146" s="30"/>
      <c r="CU1146" s="30"/>
      <c r="CV1146" s="30"/>
      <c r="CW1146" s="30"/>
      <c r="CX1146" s="30"/>
      <c r="CY1146" s="30"/>
      <c r="CZ1146" s="30"/>
      <c r="DA1146" s="30"/>
      <c r="DB1146" s="30"/>
      <c r="DC1146" s="30"/>
      <c r="DD1146" s="30"/>
      <c r="DE1146" s="30"/>
      <c r="DF1146" s="30"/>
      <c r="DG1146" s="30"/>
      <c r="DH1146" s="30"/>
      <c r="DI1146" s="30"/>
      <c r="DJ1146" s="30"/>
      <c r="DK1146" s="30"/>
      <c r="DL1146" s="30"/>
      <c r="DM1146" s="30"/>
      <c r="DN1146" s="30"/>
      <c r="DO1146" s="30"/>
      <c r="DP1146" s="30"/>
      <c r="DQ1146" s="30"/>
      <c r="DR1146" s="30"/>
      <c r="DS1146" s="30"/>
      <c r="DT1146" s="30"/>
      <c r="DU1146" s="30"/>
      <c r="DV1146" s="30"/>
      <c r="DW1146" s="30"/>
      <c r="DX1146" s="30"/>
      <c r="DY1146" s="30"/>
      <c r="DZ1146" s="30"/>
    </row>
    <row r="1147">
      <c r="A1147" s="30"/>
      <c r="B1147" s="42"/>
      <c r="C1147" s="43"/>
      <c r="D1147" s="30"/>
      <c r="E1147" s="28"/>
      <c r="F1147" s="30"/>
      <c r="G1147" s="30"/>
      <c r="H1147" s="30"/>
      <c r="I1147" s="30"/>
      <c r="J1147" s="28"/>
      <c r="K1147" s="30"/>
      <c r="L1147" s="30"/>
      <c r="M1147" s="30"/>
      <c r="N1147" s="30"/>
      <c r="O1147" s="28"/>
      <c r="P1147" s="30"/>
      <c r="Q1147" s="30"/>
      <c r="R1147" s="30"/>
      <c r="S1147" s="36"/>
      <c r="T1147" s="30"/>
      <c r="U1147" s="36"/>
      <c r="V1147" s="30"/>
      <c r="W1147" s="28"/>
      <c r="X1147" s="30"/>
      <c r="Y1147" s="30"/>
      <c r="Z1147" s="30"/>
      <c r="AA1147" s="30"/>
      <c r="AB1147" s="30"/>
      <c r="AC1147" s="28"/>
      <c r="AD1147" s="30"/>
      <c r="AE1147" s="30"/>
      <c r="AF1147" s="30"/>
      <c r="AG1147" s="29"/>
      <c r="AH1147" s="30"/>
      <c r="AI1147" s="36"/>
      <c r="AJ1147" s="30"/>
      <c r="AK1147" s="29"/>
      <c r="AL1147" s="30"/>
      <c r="AM1147" s="30"/>
      <c r="AN1147" s="30"/>
      <c r="AO1147" s="30"/>
      <c r="AP1147" s="30"/>
      <c r="AQ1147" s="38"/>
      <c r="AR1147" s="30"/>
      <c r="AS1147" s="30"/>
      <c r="AT1147" s="29"/>
      <c r="AU1147" s="30"/>
      <c r="AV1147" s="30"/>
      <c r="AW1147" s="30"/>
      <c r="AX1147" s="29"/>
      <c r="AY1147" s="39"/>
      <c r="AZ1147" s="30"/>
      <c r="BA1147" s="30"/>
      <c r="BB1147" s="29"/>
      <c r="BC1147" s="52"/>
      <c r="BD1147" s="30"/>
      <c r="BE1147" s="29"/>
      <c r="BF1147" s="30"/>
      <c r="BG1147" s="30"/>
      <c r="BH1147" s="30"/>
      <c r="BI1147" s="30"/>
      <c r="BJ1147" s="30"/>
      <c r="BK1147" s="30"/>
      <c r="BL1147" s="30"/>
      <c r="BM1147" s="30"/>
      <c r="BN1147" s="30"/>
      <c r="BO1147" s="30"/>
      <c r="BP1147" s="30"/>
      <c r="BQ1147" s="30"/>
      <c r="BR1147" s="30"/>
      <c r="BS1147" s="30"/>
      <c r="BT1147" s="30"/>
      <c r="BU1147" s="30"/>
      <c r="BV1147" s="30"/>
      <c r="BW1147" s="30"/>
      <c r="BX1147" s="30"/>
      <c r="BY1147" s="30"/>
      <c r="BZ1147" s="30"/>
      <c r="CA1147" s="30"/>
      <c r="CB1147" s="30"/>
      <c r="CC1147" s="30"/>
      <c r="CD1147" s="30"/>
      <c r="CE1147" s="30"/>
      <c r="CF1147" s="30"/>
      <c r="CG1147" s="30"/>
      <c r="CH1147" s="30"/>
      <c r="CI1147" s="30"/>
      <c r="CJ1147" s="30"/>
      <c r="CK1147" s="30"/>
      <c r="CL1147" s="30"/>
      <c r="CM1147" s="30"/>
      <c r="CN1147" s="30"/>
      <c r="CO1147" s="30"/>
      <c r="CP1147" s="30"/>
      <c r="CQ1147" s="30"/>
      <c r="CR1147" s="30"/>
      <c r="CS1147" s="30"/>
      <c r="CT1147" s="30"/>
      <c r="CU1147" s="30"/>
      <c r="CV1147" s="30"/>
      <c r="CW1147" s="30"/>
      <c r="CX1147" s="30"/>
      <c r="CY1147" s="30"/>
      <c r="CZ1147" s="30"/>
      <c r="DA1147" s="30"/>
      <c r="DB1147" s="30"/>
      <c r="DC1147" s="30"/>
      <c r="DD1147" s="30"/>
      <c r="DE1147" s="30"/>
      <c r="DF1147" s="30"/>
      <c r="DG1147" s="30"/>
      <c r="DH1147" s="30"/>
      <c r="DI1147" s="30"/>
      <c r="DJ1147" s="30"/>
      <c r="DK1147" s="30"/>
      <c r="DL1147" s="30"/>
      <c r="DM1147" s="30"/>
      <c r="DN1147" s="30"/>
      <c r="DO1147" s="30"/>
      <c r="DP1147" s="30"/>
      <c r="DQ1147" s="30"/>
      <c r="DR1147" s="30"/>
      <c r="DS1147" s="30"/>
      <c r="DT1147" s="30"/>
      <c r="DU1147" s="30"/>
      <c r="DV1147" s="30"/>
      <c r="DW1147" s="30"/>
      <c r="DX1147" s="30"/>
      <c r="DY1147" s="30"/>
      <c r="DZ1147" s="30"/>
    </row>
    <row r="1148">
      <c r="A1148" s="30"/>
      <c r="B1148" s="42"/>
      <c r="C1148" s="43"/>
      <c r="D1148" s="30"/>
      <c r="E1148" s="28"/>
      <c r="F1148" s="30"/>
      <c r="G1148" s="30"/>
      <c r="H1148" s="30"/>
      <c r="I1148" s="30"/>
      <c r="J1148" s="28"/>
      <c r="K1148" s="30"/>
      <c r="L1148" s="30"/>
      <c r="M1148" s="30"/>
      <c r="N1148" s="30"/>
      <c r="O1148" s="28"/>
      <c r="P1148" s="30"/>
      <c r="Q1148" s="30"/>
      <c r="R1148" s="30"/>
      <c r="S1148" s="36"/>
      <c r="T1148" s="30"/>
      <c r="U1148" s="36"/>
      <c r="V1148" s="30"/>
      <c r="W1148" s="28"/>
      <c r="X1148" s="30"/>
      <c r="Y1148" s="30"/>
      <c r="Z1148" s="30"/>
      <c r="AA1148" s="30"/>
      <c r="AB1148" s="30"/>
      <c r="AC1148" s="28"/>
      <c r="AD1148" s="30"/>
      <c r="AE1148" s="30"/>
      <c r="AF1148" s="30"/>
      <c r="AG1148" s="29"/>
      <c r="AH1148" s="30"/>
      <c r="AI1148" s="36"/>
      <c r="AJ1148" s="30"/>
      <c r="AK1148" s="29"/>
      <c r="AL1148" s="30"/>
      <c r="AM1148" s="30"/>
      <c r="AN1148" s="30"/>
      <c r="AO1148" s="30"/>
      <c r="AP1148" s="30"/>
      <c r="AQ1148" s="38"/>
      <c r="AR1148" s="30"/>
      <c r="AS1148" s="30"/>
      <c r="AT1148" s="29"/>
      <c r="AU1148" s="30"/>
      <c r="AV1148" s="30"/>
      <c r="AW1148" s="30"/>
      <c r="AX1148" s="29"/>
      <c r="AY1148" s="39"/>
      <c r="AZ1148" s="30"/>
      <c r="BA1148" s="30"/>
      <c r="BB1148" s="29"/>
      <c r="BC1148" s="52"/>
      <c r="BD1148" s="30"/>
      <c r="BE1148" s="29"/>
      <c r="BF1148" s="30"/>
      <c r="BG1148" s="30"/>
      <c r="BH1148" s="30"/>
      <c r="BI1148" s="30"/>
      <c r="BJ1148" s="30"/>
      <c r="BK1148" s="30"/>
      <c r="BL1148" s="30"/>
      <c r="BM1148" s="30"/>
      <c r="BN1148" s="30"/>
      <c r="BO1148" s="30"/>
      <c r="BP1148" s="30"/>
      <c r="BQ1148" s="30"/>
      <c r="BR1148" s="30"/>
      <c r="BS1148" s="30"/>
      <c r="BT1148" s="30"/>
      <c r="BU1148" s="30"/>
      <c r="BV1148" s="30"/>
      <c r="BW1148" s="30"/>
      <c r="BX1148" s="30"/>
      <c r="BY1148" s="30"/>
      <c r="BZ1148" s="30"/>
      <c r="CA1148" s="30"/>
      <c r="CB1148" s="30"/>
      <c r="CC1148" s="30"/>
      <c r="CD1148" s="30"/>
      <c r="CE1148" s="30"/>
      <c r="CF1148" s="30"/>
      <c r="CG1148" s="30"/>
      <c r="CH1148" s="30"/>
      <c r="CI1148" s="30"/>
      <c r="CJ1148" s="30"/>
      <c r="CK1148" s="30"/>
      <c r="CL1148" s="30"/>
      <c r="CM1148" s="30"/>
      <c r="CN1148" s="30"/>
      <c r="CO1148" s="30"/>
      <c r="CP1148" s="30"/>
      <c r="CQ1148" s="30"/>
      <c r="CR1148" s="30"/>
      <c r="CS1148" s="30"/>
      <c r="CT1148" s="30"/>
      <c r="CU1148" s="30"/>
      <c r="CV1148" s="30"/>
      <c r="CW1148" s="30"/>
      <c r="CX1148" s="30"/>
      <c r="CY1148" s="30"/>
      <c r="CZ1148" s="30"/>
      <c r="DA1148" s="30"/>
      <c r="DB1148" s="30"/>
      <c r="DC1148" s="30"/>
      <c r="DD1148" s="30"/>
      <c r="DE1148" s="30"/>
      <c r="DF1148" s="30"/>
      <c r="DG1148" s="30"/>
      <c r="DH1148" s="30"/>
      <c r="DI1148" s="30"/>
      <c r="DJ1148" s="30"/>
      <c r="DK1148" s="30"/>
      <c r="DL1148" s="30"/>
      <c r="DM1148" s="30"/>
      <c r="DN1148" s="30"/>
      <c r="DO1148" s="30"/>
      <c r="DP1148" s="30"/>
      <c r="DQ1148" s="30"/>
      <c r="DR1148" s="30"/>
      <c r="DS1148" s="30"/>
      <c r="DT1148" s="30"/>
      <c r="DU1148" s="30"/>
      <c r="DV1148" s="30"/>
      <c r="DW1148" s="30"/>
      <c r="DX1148" s="30"/>
      <c r="DY1148" s="30"/>
      <c r="DZ1148" s="30"/>
    </row>
    <row r="1149">
      <c r="A1149" s="30"/>
      <c r="B1149" s="42"/>
      <c r="C1149" s="43"/>
      <c r="D1149" s="30"/>
      <c r="E1149" s="28"/>
      <c r="F1149" s="30"/>
      <c r="G1149" s="30"/>
      <c r="H1149" s="30"/>
      <c r="I1149" s="30"/>
      <c r="J1149" s="28"/>
      <c r="K1149" s="30"/>
      <c r="L1149" s="30"/>
      <c r="M1149" s="30"/>
      <c r="N1149" s="30"/>
      <c r="O1149" s="28"/>
      <c r="P1149" s="30"/>
      <c r="Q1149" s="30"/>
      <c r="R1149" s="30"/>
      <c r="S1149" s="36"/>
      <c r="T1149" s="30"/>
      <c r="U1149" s="36"/>
      <c r="V1149" s="30"/>
      <c r="W1149" s="28"/>
      <c r="X1149" s="30"/>
      <c r="Y1149" s="30"/>
      <c r="Z1149" s="30"/>
      <c r="AA1149" s="30"/>
      <c r="AB1149" s="30"/>
      <c r="AC1149" s="28"/>
      <c r="AD1149" s="30"/>
      <c r="AE1149" s="30"/>
      <c r="AF1149" s="30"/>
      <c r="AG1149" s="29"/>
      <c r="AH1149" s="30"/>
      <c r="AI1149" s="36"/>
      <c r="AJ1149" s="30"/>
      <c r="AK1149" s="29"/>
      <c r="AL1149" s="30"/>
      <c r="AM1149" s="30"/>
      <c r="AN1149" s="30"/>
      <c r="AO1149" s="30"/>
      <c r="AP1149" s="30"/>
      <c r="AQ1149" s="38"/>
      <c r="AR1149" s="30"/>
      <c r="AS1149" s="30"/>
      <c r="AT1149" s="29"/>
      <c r="AU1149" s="30"/>
      <c r="AV1149" s="30"/>
      <c r="AW1149" s="30"/>
      <c r="AX1149" s="29"/>
      <c r="AY1149" s="39"/>
      <c r="AZ1149" s="30"/>
      <c r="BA1149" s="30"/>
      <c r="BB1149" s="29"/>
      <c r="BC1149" s="52"/>
      <c r="BD1149" s="30"/>
      <c r="BE1149" s="29"/>
      <c r="BF1149" s="30"/>
      <c r="BG1149" s="30"/>
      <c r="BH1149" s="30"/>
      <c r="BI1149" s="30"/>
      <c r="BJ1149" s="30"/>
      <c r="BK1149" s="30"/>
      <c r="BL1149" s="30"/>
      <c r="BM1149" s="30"/>
      <c r="BN1149" s="30"/>
      <c r="BO1149" s="30"/>
      <c r="BP1149" s="30"/>
      <c r="BQ1149" s="30"/>
      <c r="BR1149" s="30"/>
      <c r="BS1149" s="30"/>
      <c r="BT1149" s="30"/>
      <c r="BU1149" s="30"/>
      <c r="BV1149" s="30"/>
      <c r="BW1149" s="30"/>
      <c r="BX1149" s="30"/>
      <c r="BY1149" s="30"/>
      <c r="BZ1149" s="30"/>
      <c r="CA1149" s="30"/>
      <c r="CB1149" s="30"/>
      <c r="CC1149" s="30"/>
      <c r="CD1149" s="30"/>
      <c r="CE1149" s="30"/>
      <c r="CF1149" s="30"/>
      <c r="CG1149" s="30"/>
      <c r="CH1149" s="30"/>
      <c r="CI1149" s="30"/>
      <c r="CJ1149" s="30"/>
      <c r="CK1149" s="30"/>
      <c r="CL1149" s="30"/>
      <c r="CM1149" s="30"/>
      <c r="CN1149" s="30"/>
      <c r="CO1149" s="30"/>
      <c r="CP1149" s="30"/>
      <c r="CQ1149" s="30"/>
      <c r="CR1149" s="30"/>
      <c r="CS1149" s="30"/>
      <c r="CT1149" s="30"/>
      <c r="CU1149" s="30"/>
      <c r="CV1149" s="30"/>
      <c r="CW1149" s="30"/>
      <c r="CX1149" s="30"/>
      <c r="CY1149" s="30"/>
      <c r="CZ1149" s="30"/>
      <c r="DA1149" s="30"/>
      <c r="DB1149" s="30"/>
      <c r="DC1149" s="30"/>
      <c r="DD1149" s="30"/>
      <c r="DE1149" s="30"/>
      <c r="DF1149" s="30"/>
      <c r="DG1149" s="30"/>
      <c r="DH1149" s="30"/>
      <c r="DI1149" s="30"/>
      <c r="DJ1149" s="30"/>
      <c r="DK1149" s="30"/>
      <c r="DL1149" s="30"/>
      <c r="DM1149" s="30"/>
      <c r="DN1149" s="30"/>
      <c r="DO1149" s="30"/>
      <c r="DP1149" s="30"/>
      <c r="DQ1149" s="30"/>
      <c r="DR1149" s="30"/>
      <c r="DS1149" s="30"/>
      <c r="DT1149" s="30"/>
      <c r="DU1149" s="30"/>
      <c r="DV1149" s="30"/>
      <c r="DW1149" s="30"/>
      <c r="DX1149" s="30"/>
      <c r="DY1149" s="30"/>
      <c r="DZ1149" s="30"/>
    </row>
    <row r="1150">
      <c r="A1150" s="30"/>
      <c r="B1150" s="42"/>
      <c r="C1150" s="43"/>
      <c r="D1150" s="30"/>
      <c r="E1150" s="28"/>
      <c r="F1150" s="30"/>
      <c r="G1150" s="30"/>
      <c r="H1150" s="30"/>
      <c r="I1150" s="30"/>
      <c r="J1150" s="28"/>
      <c r="K1150" s="30"/>
      <c r="L1150" s="30"/>
      <c r="M1150" s="30"/>
      <c r="N1150" s="30"/>
      <c r="O1150" s="28"/>
      <c r="P1150" s="30"/>
      <c r="Q1150" s="30"/>
      <c r="R1150" s="30"/>
      <c r="S1150" s="36"/>
      <c r="T1150" s="30"/>
      <c r="U1150" s="36"/>
      <c r="V1150" s="30"/>
      <c r="W1150" s="28"/>
      <c r="X1150" s="30"/>
      <c r="Y1150" s="30"/>
      <c r="Z1150" s="30"/>
      <c r="AA1150" s="30"/>
      <c r="AB1150" s="30"/>
      <c r="AC1150" s="28"/>
      <c r="AD1150" s="30"/>
      <c r="AE1150" s="30"/>
      <c r="AF1150" s="30"/>
      <c r="AG1150" s="29"/>
      <c r="AH1150" s="30"/>
      <c r="AI1150" s="36"/>
      <c r="AJ1150" s="30"/>
      <c r="AK1150" s="29"/>
      <c r="AL1150" s="30"/>
      <c r="AM1150" s="30"/>
      <c r="AN1150" s="30"/>
      <c r="AO1150" s="30"/>
      <c r="AP1150" s="30"/>
      <c r="AQ1150" s="38"/>
      <c r="AR1150" s="30"/>
      <c r="AS1150" s="30"/>
      <c r="AT1150" s="29"/>
      <c r="AU1150" s="30"/>
      <c r="AV1150" s="30"/>
      <c r="AW1150" s="30"/>
      <c r="AX1150" s="29"/>
      <c r="AY1150" s="39"/>
      <c r="AZ1150" s="30"/>
      <c r="BA1150" s="30"/>
      <c r="BB1150" s="29"/>
      <c r="BC1150" s="52"/>
      <c r="BD1150" s="30"/>
      <c r="BE1150" s="29"/>
      <c r="BF1150" s="30"/>
      <c r="BG1150" s="30"/>
      <c r="BH1150" s="30"/>
      <c r="BI1150" s="30"/>
      <c r="BJ1150" s="30"/>
      <c r="BK1150" s="30"/>
      <c r="BL1150" s="30"/>
      <c r="BM1150" s="30"/>
      <c r="BN1150" s="30"/>
      <c r="BO1150" s="30"/>
      <c r="BP1150" s="30"/>
      <c r="BQ1150" s="30"/>
      <c r="BR1150" s="30"/>
      <c r="BS1150" s="30"/>
      <c r="BT1150" s="30"/>
      <c r="BU1150" s="30"/>
      <c r="BV1150" s="30"/>
      <c r="BW1150" s="30"/>
      <c r="BX1150" s="30"/>
      <c r="BY1150" s="30"/>
      <c r="BZ1150" s="30"/>
      <c r="CA1150" s="30"/>
      <c r="CB1150" s="30"/>
      <c r="CC1150" s="30"/>
      <c r="CD1150" s="30"/>
      <c r="CE1150" s="30"/>
      <c r="CF1150" s="30"/>
      <c r="CG1150" s="30"/>
      <c r="CH1150" s="30"/>
      <c r="CI1150" s="30"/>
      <c r="CJ1150" s="30"/>
      <c r="CK1150" s="30"/>
      <c r="CL1150" s="30"/>
      <c r="CM1150" s="30"/>
      <c r="CN1150" s="30"/>
      <c r="CO1150" s="30"/>
      <c r="CP1150" s="30"/>
      <c r="CQ1150" s="30"/>
      <c r="CR1150" s="30"/>
      <c r="CS1150" s="30"/>
      <c r="CT1150" s="30"/>
      <c r="CU1150" s="30"/>
      <c r="CV1150" s="30"/>
      <c r="CW1150" s="30"/>
      <c r="CX1150" s="30"/>
      <c r="CY1150" s="30"/>
      <c r="CZ1150" s="30"/>
      <c r="DA1150" s="30"/>
      <c r="DB1150" s="30"/>
      <c r="DC1150" s="30"/>
      <c r="DD1150" s="30"/>
      <c r="DE1150" s="30"/>
      <c r="DF1150" s="30"/>
      <c r="DG1150" s="30"/>
      <c r="DH1150" s="30"/>
      <c r="DI1150" s="30"/>
      <c r="DJ1150" s="30"/>
      <c r="DK1150" s="30"/>
      <c r="DL1150" s="30"/>
      <c r="DM1150" s="30"/>
      <c r="DN1150" s="30"/>
      <c r="DO1150" s="30"/>
      <c r="DP1150" s="30"/>
      <c r="DQ1150" s="30"/>
      <c r="DR1150" s="30"/>
      <c r="DS1150" s="30"/>
      <c r="DT1150" s="30"/>
      <c r="DU1150" s="30"/>
      <c r="DV1150" s="30"/>
      <c r="DW1150" s="30"/>
      <c r="DX1150" s="30"/>
      <c r="DY1150" s="30"/>
      <c r="DZ1150" s="30"/>
    </row>
    <row r="1151">
      <c r="A1151" s="30"/>
      <c r="B1151" s="42"/>
      <c r="C1151" s="43"/>
      <c r="D1151" s="30"/>
      <c r="E1151" s="28"/>
      <c r="F1151" s="30"/>
      <c r="G1151" s="30"/>
      <c r="H1151" s="30"/>
      <c r="I1151" s="30"/>
      <c r="J1151" s="28"/>
      <c r="K1151" s="30"/>
      <c r="L1151" s="30"/>
      <c r="M1151" s="30"/>
      <c r="N1151" s="30"/>
      <c r="O1151" s="28"/>
      <c r="P1151" s="30"/>
      <c r="Q1151" s="30"/>
      <c r="R1151" s="30"/>
      <c r="S1151" s="36"/>
      <c r="T1151" s="30"/>
      <c r="U1151" s="36"/>
      <c r="V1151" s="30"/>
      <c r="W1151" s="28"/>
      <c r="X1151" s="30"/>
      <c r="Y1151" s="30"/>
      <c r="Z1151" s="30"/>
      <c r="AA1151" s="30"/>
      <c r="AB1151" s="30"/>
      <c r="AC1151" s="28"/>
      <c r="AD1151" s="30"/>
      <c r="AE1151" s="30"/>
      <c r="AF1151" s="30"/>
      <c r="AG1151" s="29"/>
      <c r="AH1151" s="30"/>
      <c r="AI1151" s="36"/>
      <c r="AJ1151" s="30"/>
      <c r="AK1151" s="29"/>
      <c r="AL1151" s="30"/>
      <c r="AM1151" s="30"/>
      <c r="AN1151" s="30"/>
      <c r="AO1151" s="30"/>
      <c r="AP1151" s="30"/>
      <c r="AQ1151" s="38"/>
      <c r="AR1151" s="30"/>
      <c r="AS1151" s="30"/>
      <c r="AT1151" s="29"/>
      <c r="AU1151" s="30"/>
      <c r="AV1151" s="30"/>
      <c r="AW1151" s="30"/>
      <c r="AX1151" s="29"/>
      <c r="AY1151" s="39"/>
      <c r="AZ1151" s="30"/>
      <c r="BA1151" s="30"/>
      <c r="BB1151" s="29"/>
      <c r="BC1151" s="52"/>
      <c r="BD1151" s="30"/>
      <c r="BE1151" s="29"/>
      <c r="BF1151" s="30"/>
      <c r="BG1151" s="30"/>
      <c r="BH1151" s="30"/>
      <c r="BI1151" s="30"/>
      <c r="BJ1151" s="30"/>
      <c r="BK1151" s="30"/>
      <c r="BL1151" s="30"/>
      <c r="BM1151" s="30"/>
      <c r="BN1151" s="30"/>
      <c r="BO1151" s="30"/>
      <c r="BP1151" s="30"/>
      <c r="BQ1151" s="30"/>
      <c r="BR1151" s="30"/>
      <c r="BS1151" s="30"/>
      <c r="BT1151" s="30"/>
      <c r="BU1151" s="30"/>
      <c r="BV1151" s="30"/>
      <c r="BW1151" s="30"/>
      <c r="BX1151" s="30"/>
      <c r="BY1151" s="30"/>
      <c r="BZ1151" s="30"/>
      <c r="CA1151" s="30"/>
      <c r="CB1151" s="30"/>
      <c r="CC1151" s="30"/>
      <c r="CD1151" s="30"/>
      <c r="CE1151" s="30"/>
      <c r="CF1151" s="30"/>
      <c r="CG1151" s="30"/>
      <c r="CH1151" s="30"/>
      <c r="CI1151" s="30"/>
      <c r="CJ1151" s="30"/>
      <c r="CK1151" s="30"/>
      <c r="CL1151" s="30"/>
      <c r="CM1151" s="30"/>
      <c r="CN1151" s="30"/>
      <c r="CO1151" s="30"/>
      <c r="CP1151" s="30"/>
      <c r="CQ1151" s="30"/>
      <c r="CR1151" s="30"/>
      <c r="CS1151" s="30"/>
      <c r="CT1151" s="30"/>
      <c r="CU1151" s="30"/>
      <c r="CV1151" s="30"/>
      <c r="CW1151" s="30"/>
      <c r="CX1151" s="30"/>
      <c r="CY1151" s="30"/>
      <c r="CZ1151" s="30"/>
      <c r="DA1151" s="30"/>
      <c r="DB1151" s="30"/>
      <c r="DC1151" s="30"/>
      <c r="DD1151" s="30"/>
      <c r="DE1151" s="30"/>
      <c r="DF1151" s="30"/>
      <c r="DG1151" s="30"/>
      <c r="DH1151" s="30"/>
      <c r="DI1151" s="30"/>
      <c r="DJ1151" s="30"/>
      <c r="DK1151" s="30"/>
      <c r="DL1151" s="30"/>
      <c r="DM1151" s="30"/>
      <c r="DN1151" s="30"/>
      <c r="DO1151" s="30"/>
      <c r="DP1151" s="30"/>
      <c r="DQ1151" s="30"/>
      <c r="DR1151" s="30"/>
      <c r="DS1151" s="30"/>
      <c r="DT1151" s="30"/>
      <c r="DU1151" s="30"/>
      <c r="DV1151" s="30"/>
      <c r="DW1151" s="30"/>
      <c r="DX1151" s="30"/>
      <c r="DY1151" s="30"/>
      <c r="DZ1151" s="30"/>
    </row>
    <row r="1152">
      <c r="A1152" s="30"/>
      <c r="B1152" s="42"/>
      <c r="C1152" s="43"/>
      <c r="D1152" s="30"/>
      <c r="E1152" s="28"/>
      <c r="F1152" s="30"/>
      <c r="G1152" s="30"/>
      <c r="H1152" s="30"/>
      <c r="I1152" s="30"/>
      <c r="J1152" s="28"/>
      <c r="K1152" s="30"/>
      <c r="L1152" s="30"/>
      <c r="M1152" s="30"/>
      <c r="N1152" s="30"/>
      <c r="O1152" s="28"/>
      <c r="P1152" s="30"/>
      <c r="Q1152" s="30"/>
      <c r="R1152" s="30"/>
      <c r="S1152" s="36"/>
      <c r="T1152" s="30"/>
      <c r="U1152" s="36"/>
      <c r="V1152" s="30"/>
      <c r="W1152" s="28"/>
      <c r="X1152" s="30"/>
      <c r="Y1152" s="30"/>
      <c r="Z1152" s="30"/>
      <c r="AA1152" s="30"/>
      <c r="AB1152" s="30"/>
      <c r="AC1152" s="28"/>
      <c r="AD1152" s="30"/>
      <c r="AE1152" s="30"/>
      <c r="AF1152" s="30"/>
      <c r="AG1152" s="29"/>
      <c r="AH1152" s="30"/>
      <c r="AI1152" s="36"/>
      <c r="AJ1152" s="30"/>
      <c r="AK1152" s="29"/>
      <c r="AL1152" s="30"/>
      <c r="AM1152" s="30"/>
      <c r="AN1152" s="30"/>
      <c r="AO1152" s="30"/>
      <c r="AP1152" s="30"/>
      <c r="AQ1152" s="38"/>
      <c r="AR1152" s="30"/>
      <c r="AS1152" s="30"/>
      <c r="AT1152" s="29"/>
      <c r="AU1152" s="30"/>
      <c r="AV1152" s="30"/>
      <c r="AW1152" s="30"/>
      <c r="AX1152" s="29"/>
      <c r="AY1152" s="39"/>
      <c r="AZ1152" s="30"/>
      <c r="BA1152" s="30"/>
      <c r="BB1152" s="29"/>
      <c r="BC1152" s="52"/>
      <c r="BD1152" s="30"/>
      <c r="BE1152" s="29"/>
      <c r="BF1152" s="30"/>
      <c r="BG1152" s="30"/>
      <c r="BH1152" s="30"/>
      <c r="BI1152" s="30"/>
      <c r="BJ1152" s="30"/>
      <c r="BK1152" s="30"/>
      <c r="BL1152" s="30"/>
      <c r="BM1152" s="30"/>
      <c r="BN1152" s="30"/>
      <c r="BO1152" s="30"/>
      <c r="BP1152" s="30"/>
      <c r="BQ1152" s="30"/>
      <c r="BR1152" s="30"/>
      <c r="BS1152" s="30"/>
      <c r="BT1152" s="30"/>
      <c r="BU1152" s="30"/>
      <c r="BV1152" s="30"/>
      <c r="BW1152" s="30"/>
      <c r="BX1152" s="30"/>
      <c r="BY1152" s="30"/>
      <c r="BZ1152" s="30"/>
      <c r="CA1152" s="30"/>
      <c r="CB1152" s="30"/>
      <c r="CC1152" s="30"/>
      <c r="CD1152" s="30"/>
      <c r="CE1152" s="30"/>
      <c r="CF1152" s="30"/>
      <c r="CG1152" s="30"/>
      <c r="CH1152" s="30"/>
      <c r="CI1152" s="30"/>
      <c r="CJ1152" s="30"/>
      <c r="CK1152" s="30"/>
      <c r="CL1152" s="30"/>
      <c r="CM1152" s="30"/>
      <c r="CN1152" s="30"/>
      <c r="CO1152" s="30"/>
      <c r="CP1152" s="30"/>
      <c r="CQ1152" s="30"/>
      <c r="CR1152" s="30"/>
      <c r="CS1152" s="30"/>
      <c r="CT1152" s="30"/>
      <c r="CU1152" s="30"/>
      <c r="CV1152" s="30"/>
      <c r="CW1152" s="30"/>
      <c r="CX1152" s="30"/>
      <c r="CY1152" s="30"/>
      <c r="CZ1152" s="30"/>
      <c r="DA1152" s="30"/>
      <c r="DB1152" s="30"/>
      <c r="DC1152" s="30"/>
      <c r="DD1152" s="30"/>
      <c r="DE1152" s="30"/>
      <c r="DF1152" s="30"/>
      <c r="DG1152" s="30"/>
      <c r="DH1152" s="30"/>
      <c r="DI1152" s="30"/>
      <c r="DJ1152" s="30"/>
      <c r="DK1152" s="30"/>
      <c r="DL1152" s="30"/>
      <c r="DM1152" s="30"/>
      <c r="DN1152" s="30"/>
      <c r="DO1152" s="30"/>
      <c r="DP1152" s="30"/>
      <c r="DQ1152" s="30"/>
      <c r="DR1152" s="30"/>
      <c r="DS1152" s="30"/>
      <c r="DT1152" s="30"/>
      <c r="DU1152" s="30"/>
      <c r="DV1152" s="30"/>
      <c r="DW1152" s="30"/>
      <c r="DX1152" s="30"/>
      <c r="DY1152" s="30"/>
      <c r="DZ1152" s="30"/>
    </row>
    <row r="1153">
      <c r="A1153" s="30"/>
      <c r="B1153" s="42"/>
      <c r="C1153" s="43"/>
      <c r="D1153" s="30"/>
      <c r="E1153" s="28"/>
      <c r="F1153" s="30"/>
      <c r="G1153" s="30"/>
      <c r="H1153" s="30"/>
      <c r="I1153" s="30"/>
      <c r="J1153" s="28"/>
      <c r="K1153" s="30"/>
      <c r="L1153" s="30"/>
      <c r="M1153" s="30"/>
      <c r="N1153" s="30"/>
      <c r="O1153" s="28"/>
      <c r="P1153" s="30"/>
      <c r="Q1153" s="30"/>
      <c r="R1153" s="30"/>
      <c r="S1153" s="36"/>
      <c r="T1153" s="30"/>
      <c r="U1153" s="36"/>
      <c r="V1153" s="30"/>
      <c r="W1153" s="28"/>
      <c r="X1153" s="30"/>
      <c r="Y1153" s="30"/>
      <c r="Z1153" s="30"/>
      <c r="AA1153" s="30"/>
      <c r="AB1153" s="30"/>
      <c r="AC1153" s="28"/>
      <c r="AD1153" s="30"/>
      <c r="AE1153" s="30"/>
      <c r="AF1153" s="30"/>
      <c r="AG1153" s="29"/>
      <c r="AH1153" s="30"/>
      <c r="AI1153" s="36"/>
      <c r="AJ1153" s="30"/>
      <c r="AK1153" s="29"/>
      <c r="AL1153" s="30"/>
      <c r="AM1153" s="30"/>
      <c r="AN1153" s="30"/>
      <c r="AO1153" s="30"/>
      <c r="AP1153" s="30"/>
      <c r="AQ1153" s="38"/>
      <c r="AR1153" s="30"/>
      <c r="AS1153" s="30"/>
      <c r="AT1153" s="29"/>
      <c r="AU1153" s="30"/>
      <c r="AV1153" s="30"/>
      <c r="AW1153" s="30"/>
      <c r="AX1153" s="29"/>
      <c r="AY1153" s="39"/>
      <c r="AZ1153" s="30"/>
      <c r="BA1153" s="30"/>
      <c r="BB1153" s="29"/>
      <c r="BC1153" s="52"/>
      <c r="BD1153" s="30"/>
      <c r="BE1153" s="29"/>
      <c r="BF1153" s="30"/>
      <c r="BG1153" s="30"/>
      <c r="BH1153" s="30"/>
      <c r="BI1153" s="30"/>
      <c r="BJ1153" s="30"/>
      <c r="BK1153" s="30"/>
      <c r="BL1153" s="30"/>
      <c r="BM1153" s="30"/>
      <c r="BN1153" s="30"/>
      <c r="BO1153" s="30"/>
      <c r="BP1153" s="30"/>
      <c r="BQ1153" s="30"/>
      <c r="BR1153" s="30"/>
      <c r="BS1153" s="30"/>
      <c r="BT1153" s="30"/>
      <c r="BU1153" s="30"/>
      <c r="BV1153" s="30"/>
      <c r="BW1153" s="30"/>
      <c r="BX1153" s="30"/>
      <c r="BY1153" s="30"/>
      <c r="BZ1153" s="30"/>
      <c r="CA1153" s="30"/>
      <c r="CB1153" s="30"/>
      <c r="CC1153" s="30"/>
      <c r="CD1153" s="30"/>
      <c r="CE1153" s="30"/>
      <c r="CF1153" s="30"/>
      <c r="CG1153" s="30"/>
      <c r="CH1153" s="30"/>
      <c r="CI1153" s="30"/>
      <c r="CJ1153" s="30"/>
      <c r="CK1153" s="30"/>
      <c r="CL1153" s="30"/>
      <c r="CM1153" s="30"/>
      <c r="CN1153" s="30"/>
      <c r="CO1153" s="30"/>
      <c r="CP1153" s="30"/>
      <c r="CQ1153" s="30"/>
      <c r="CR1153" s="30"/>
      <c r="CS1153" s="30"/>
      <c r="CT1153" s="30"/>
      <c r="CU1153" s="30"/>
      <c r="CV1153" s="30"/>
      <c r="CW1153" s="30"/>
      <c r="CX1153" s="30"/>
      <c r="CY1153" s="30"/>
      <c r="CZ1153" s="30"/>
      <c r="DA1153" s="30"/>
      <c r="DB1153" s="30"/>
      <c r="DC1153" s="30"/>
      <c r="DD1153" s="30"/>
      <c r="DE1153" s="30"/>
      <c r="DF1153" s="30"/>
      <c r="DG1153" s="30"/>
      <c r="DH1153" s="30"/>
      <c r="DI1153" s="30"/>
      <c r="DJ1153" s="30"/>
      <c r="DK1153" s="30"/>
      <c r="DL1153" s="30"/>
      <c r="DM1153" s="30"/>
      <c r="DN1153" s="30"/>
      <c r="DO1153" s="30"/>
      <c r="DP1153" s="30"/>
      <c r="DQ1153" s="30"/>
      <c r="DR1153" s="30"/>
      <c r="DS1153" s="30"/>
      <c r="DT1153" s="30"/>
      <c r="DU1153" s="30"/>
      <c r="DV1153" s="30"/>
      <c r="DW1153" s="30"/>
      <c r="DX1153" s="30"/>
      <c r="DY1153" s="30"/>
      <c r="DZ1153" s="30"/>
    </row>
    <row r="1154">
      <c r="A1154" s="30"/>
      <c r="B1154" s="42"/>
      <c r="C1154" s="43"/>
      <c r="D1154" s="30"/>
      <c r="E1154" s="28"/>
      <c r="F1154" s="30"/>
      <c r="G1154" s="30"/>
      <c r="H1154" s="30"/>
      <c r="I1154" s="30"/>
      <c r="J1154" s="28"/>
      <c r="K1154" s="30"/>
      <c r="L1154" s="30"/>
      <c r="M1154" s="30"/>
      <c r="N1154" s="30"/>
      <c r="O1154" s="28"/>
      <c r="P1154" s="30"/>
      <c r="Q1154" s="30"/>
      <c r="R1154" s="30"/>
      <c r="S1154" s="36"/>
      <c r="T1154" s="30"/>
      <c r="U1154" s="36"/>
      <c r="V1154" s="30"/>
      <c r="W1154" s="28"/>
      <c r="X1154" s="30"/>
      <c r="Y1154" s="30"/>
      <c r="Z1154" s="30"/>
      <c r="AA1154" s="30"/>
      <c r="AB1154" s="30"/>
      <c r="AC1154" s="28"/>
      <c r="AD1154" s="30"/>
      <c r="AE1154" s="30"/>
      <c r="AF1154" s="30"/>
      <c r="AG1154" s="29"/>
      <c r="AH1154" s="30"/>
      <c r="AI1154" s="36"/>
      <c r="AJ1154" s="30"/>
      <c r="AK1154" s="29"/>
      <c r="AL1154" s="30"/>
      <c r="AM1154" s="30"/>
      <c r="AN1154" s="30"/>
      <c r="AO1154" s="30"/>
      <c r="AP1154" s="30"/>
      <c r="AQ1154" s="38"/>
      <c r="AR1154" s="30"/>
      <c r="AS1154" s="30"/>
      <c r="AT1154" s="29"/>
      <c r="AU1154" s="30"/>
      <c r="AV1154" s="30"/>
      <c r="AW1154" s="30"/>
      <c r="AX1154" s="29"/>
      <c r="AY1154" s="39"/>
      <c r="AZ1154" s="30"/>
      <c r="BA1154" s="30"/>
      <c r="BB1154" s="29"/>
      <c r="BC1154" s="52"/>
      <c r="BD1154" s="30"/>
      <c r="BE1154" s="29"/>
      <c r="BF1154" s="30"/>
      <c r="BG1154" s="30"/>
      <c r="BH1154" s="30"/>
      <c r="BI1154" s="30"/>
      <c r="BJ1154" s="30"/>
      <c r="BK1154" s="30"/>
      <c r="BL1154" s="30"/>
      <c r="BM1154" s="30"/>
      <c r="BN1154" s="30"/>
      <c r="BO1154" s="30"/>
      <c r="BP1154" s="30"/>
      <c r="BQ1154" s="30"/>
      <c r="BR1154" s="30"/>
      <c r="BS1154" s="30"/>
      <c r="BT1154" s="30"/>
      <c r="BU1154" s="30"/>
      <c r="BV1154" s="30"/>
      <c r="BW1154" s="30"/>
      <c r="BX1154" s="30"/>
      <c r="BY1154" s="30"/>
      <c r="BZ1154" s="30"/>
      <c r="CA1154" s="30"/>
      <c r="CB1154" s="30"/>
      <c r="CC1154" s="30"/>
      <c r="CD1154" s="30"/>
      <c r="CE1154" s="30"/>
      <c r="CF1154" s="30"/>
      <c r="CG1154" s="30"/>
      <c r="CH1154" s="30"/>
      <c r="CI1154" s="30"/>
      <c r="CJ1154" s="30"/>
      <c r="CK1154" s="30"/>
      <c r="CL1154" s="30"/>
      <c r="CM1154" s="30"/>
      <c r="CN1154" s="30"/>
      <c r="CO1154" s="30"/>
      <c r="CP1154" s="30"/>
      <c r="CQ1154" s="30"/>
      <c r="CR1154" s="30"/>
      <c r="CS1154" s="30"/>
      <c r="CT1154" s="30"/>
      <c r="CU1154" s="30"/>
      <c r="CV1154" s="30"/>
      <c r="CW1154" s="30"/>
      <c r="CX1154" s="30"/>
      <c r="CY1154" s="30"/>
      <c r="CZ1154" s="30"/>
      <c r="DA1154" s="30"/>
      <c r="DB1154" s="30"/>
      <c r="DC1154" s="30"/>
      <c r="DD1154" s="30"/>
      <c r="DE1154" s="30"/>
      <c r="DF1154" s="30"/>
      <c r="DG1154" s="30"/>
      <c r="DH1154" s="30"/>
      <c r="DI1154" s="30"/>
      <c r="DJ1154" s="30"/>
      <c r="DK1154" s="30"/>
      <c r="DL1154" s="30"/>
      <c r="DM1154" s="30"/>
      <c r="DN1154" s="30"/>
      <c r="DO1154" s="30"/>
      <c r="DP1154" s="30"/>
      <c r="DQ1154" s="30"/>
      <c r="DR1154" s="30"/>
      <c r="DS1154" s="30"/>
      <c r="DT1154" s="30"/>
      <c r="DU1154" s="30"/>
      <c r="DV1154" s="30"/>
      <c r="DW1154" s="30"/>
      <c r="DX1154" s="30"/>
      <c r="DY1154" s="30"/>
      <c r="DZ1154" s="30"/>
    </row>
    <row r="1155">
      <c r="A1155" s="30"/>
      <c r="B1155" s="42"/>
      <c r="C1155" s="43"/>
      <c r="D1155" s="30"/>
      <c r="E1155" s="28"/>
      <c r="F1155" s="30"/>
      <c r="G1155" s="30"/>
      <c r="H1155" s="30"/>
      <c r="I1155" s="30"/>
      <c r="J1155" s="28"/>
      <c r="K1155" s="30"/>
      <c r="L1155" s="30"/>
      <c r="M1155" s="30"/>
      <c r="N1155" s="30"/>
      <c r="O1155" s="28"/>
      <c r="P1155" s="30"/>
      <c r="Q1155" s="30"/>
      <c r="R1155" s="30"/>
      <c r="S1155" s="36"/>
      <c r="T1155" s="30"/>
      <c r="U1155" s="36"/>
      <c r="V1155" s="30"/>
      <c r="W1155" s="28"/>
      <c r="X1155" s="30"/>
      <c r="Y1155" s="30"/>
      <c r="Z1155" s="30"/>
      <c r="AA1155" s="30"/>
      <c r="AB1155" s="30"/>
      <c r="AC1155" s="28"/>
      <c r="AD1155" s="30"/>
      <c r="AE1155" s="30"/>
      <c r="AF1155" s="30"/>
      <c r="AG1155" s="29"/>
      <c r="AH1155" s="30"/>
      <c r="AI1155" s="36"/>
      <c r="AJ1155" s="30"/>
      <c r="AK1155" s="29"/>
      <c r="AL1155" s="30"/>
      <c r="AM1155" s="30"/>
      <c r="AN1155" s="30"/>
      <c r="AO1155" s="30"/>
      <c r="AP1155" s="30"/>
      <c r="AQ1155" s="38"/>
      <c r="AR1155" s="30"/>
      <c r="AS1155" s="30"/>
      <c r="AT1155" s="29"/>
      <c r="AU1155" s="30"/>
      <c r="AV1155" s="30"/>
      <c r="AW1155" s="30"/>
      <c r="AX1155" s="29"/>
      <c r="AY1155" s="39"/>
      <c r="AZ1155" s="30"/>
      <c r="BA1155" s="30"/>
      <c r="BB1155" s="29"/>
      <c r="BC1155" s="52"/>
      <c r="BD1155" s="30"/>
      <c r="BE1155" s="29"/>
      <c r="BF1155" s="30"/>
      <c r="BG1155" s="30"/>
      <c r="BH1155" s="30"/>
      <c r="BI1155" s="30"/>
      <c r="BJ1155" s="30"/>
      <c r="BK1155" s="30"/>
      <c r="BL1155" s="30"/>
      <c r="BM1155" s="30"/>
      <c r="BN1155" s="30"/>
      <c r="BO1155" s="30"/>
      <c r="BP1155" s="30"/>
      <c r="BQ1155" s="30"/>
      <c r="BR1155" s="30"/>
      <c r="BS1155" s="30"/>
      <c r="BT1155" s="30"/>
      <c r="BU1155" s="30"/>
      <c r="BV1155" s="30"/>
      <c r="BW1155" s="30"/>
      <c r="BX1155" s="30"/>
      <c r="BY1155" s="30"/>
      <c r="BZ1155" s="30"/>
      <c r="CA1155" s="30"/>
      <c r="CB1155" s="30"/>
      <c r="CC1155" s="30"/>
      <c r="CD1155" s="30"/>
      <c r="CE1155" s="30"/>
      <c r="CF1155" s="30"/>
      <c r="CG1155" s="30"/>
      <c r="CH1155" s="30"/>
      <c r="CI1155" s="30"/>
      <c r="CJ1155" s="30"/>
      <c r="CK1155" s="30"/>
      <c r="CL1155" s="30"/>
      <c r="CM1155" s="30"/>
      <c r="CN1155" s="30"/>
      <c r="CO1155" s="30"/>
      <c r="CP1155" s="30"/>
      <c r="CQ1155" s="30"/>
      <c r="CR1155" s="30"/>
      <c r="CS1155" s="30"/>
      <c r="CT1155" s="30"/>
      <c r="CU1155" s="30"/>
      <c r="CV1155" s="30"/>
      <c r="CW1155" s="30"/>
      <c r="CX1155" s="30"/>
      <c r="CY1155" s="30"/>
      <c r="CZ1155" s="30"/>
      <c r="DA1155" s="30"/>
      <c r="DB1155" s="30"/>
      <c r="DC1155" s="30"/>
      <c r="DD1155" s="30"/>
      <c r="DE1155" s="30"/>
      <c r="DF1155" s="30"/>
      <c r="DG1155" s="30"/>
      <c r="DH1155" s="30"/>
      <c r="DI1155" s="30"/>
      <c r="DJ1155" s="30"/>
      <c r="DK1155" s="30"/>
      <c r="DL1155" s="30"/>
      <c r="DM1155" s="30"/>
      <c r="DN1155" s="30"/>
      <c r="DO1155" s="30"/>
      <c r="DP1155" s="30"/>
      <c r="DQ1155" s="30"/>
      <c r="DR1155" s="30"/>
      <c r="DS1155" s="30"/>
      <c r="DT1155" s="30"/>
      <c r="DU1155" s="30"/>
      <c r="DV1155" s="30"/>
      <c r="DW1155" s="30"/>
      <c r="DX1155" s="30"/>
      <c r="DY1155" s="30"/>
      <c r="DZ1155" s="30"/>
    </row>
    <row r="1156">
      <c r="A1156" s="30"/>
      <c r="B1156" s="42"/>
      <c r="C1156" s="43"/>
      <c r="D1156" s="30"/>
      <c r="E1156" s="28"/>
      <c r="F1156" s="30"/>
      <c r="G1156" s="30"/>
      <c r="H1156" s="30"/>
      <c r="I1156" s="30"/>
      <c r="J1156" s="28"/>
      <c r="K1156" s="30"/>
      <c r="L1156" s="30"/>
      <c r="M1156" s="30"/>
      <c r="N1156" s="30"/>
      <c r="O1156" s="28"/>
      <c r="P1156" s="30"/>
      <c r="Q1156" s="30"/>
      <c r="R1156" s="30"/>
      <c r="S1156" s="36"/>
      <c r="T1156" s="30"/>
      <c r="U1156" s="36"/>
      <c r="V1156" s="30"/>
      <c r="W1156" s="28"/>
      <c r="X1156" s="30"/>
      <c r="Y1156" s="30"/>
      <c r="Z1156" s="30"/>
      <c r="AA1156" s="30"/>
      <c r="AB1156" s="30"/>
      <c r="AC1156" s="28"/>
      <c r="AD1156" s="30"/>
      <c r="AE1156" s="30"/>
      <c r="AF1156" s="30"/>
      <c r="AG1156" s="29"/>
      <c r="AH1156" s="30"/>
      <c r="AI1156" s="36"/>
      <c r="AJ1156" s="30"/>
      <c r="AK1156" s="29"/>
      <c r="AL1156" s="30"/>
      <c r="AM1156" s="30"/>
      <c r="AN1156" s="30"/>
      <c r="AO1156" s="30"/>
      <c r="AP1156" s="30"/>
      <c r="AQ1156" s="38"/>
      <c r="AR1156" s="30"/>
      <c r="AS1156" s="30"/>
      <c r="AT1156" s="29"/>
      <c r="AU1156" s="30"/>
      <c r="AV1156" s="30"/>
      <c r="AW1156" s="30"/>
      <c r="AX1156" s="29"/>
      <c r="AY1156" s="39"/>
      <c r="AZ1156" s="30"/>
      <c r="BA1156" s="30"/>
      <c r="BB1156" s="29"/>
      <c r="BC1156" s="52"/>
      <c r="BD1156" s="30"/>
      <c r="BE1156" s="29"/>
      <c r="BF1156" s="30"/>
      <c r="BG1156" s="30"/>
      <c r="BH1156" s="30"/>
      <c r="BI1156" s="30"/>
      <c r="BJ1156" s="30"/>
      <c r="BK1156" s="30"/>
      <c r="BL1156" s="30"/>
      <c r="BM1156" s="30"/>
      <c r="BN1156" s="30"/>
      <c r="BO1156" s="30"/>
      <c r="BP1156" s="30"/>
      <c r="BQ1156" s="30"/>
      <c r="BR1156" s="30"/>
      <c r="BS1156" s="30"/>
      <c r="BT1156" s="30"/>
      <c r="BU1156" s="30"/>
      <c r="BV1156" s="30"/>
      <c r="BW1156" s="30"/>
      <c r="BX1156" s="30"/>
      <c r="BY1156" s="30"/>
      <c r="BZ1156" s="30"/>
      <c r="CA1156" s="30"/>
      <c r="CB1156" s="30"/>
      <c r="CC1156" s="30"/>
      <c r="CD1156" s="30"/>
      <c r="CE1156" s="30"/>
      <c r="CF1156" s="30"/>
      <c r="CG1156" s="30"/>
      <c r="CH1156" s="30"/>
      <c r="CI1156" s="30"/>
      <c r="CJ1156" s="30"/>
      <c r="CK1156" s="30"/>
      <c r="CL1156" s="30"/>
      <c r="CM1156" s="30"/>
      <c r="CN1156" s="30"/>
      <c r="CO1156" s="30"/>
      <c r="CP1156" s="30"/>
      <c r="CQ1156" s="30"/>
      <c r="CR1156" s="30"/>
      <c r="CS1156" s="30"/>
      <c r="CT1156" s="30"/>
      <c r="CU1156" s="30"/>
      <c r="CV1156" s="30"/>
      <c r="CW1156" s="30"/>
      <c r="CX1156" s="30"/>
      <c r="CY1156" s="30"/>
      <c r="CZ1156" s="30"/>
      <c r="DA1156" s="30"/>
      <c r="DB1156" s="30"/>
      <c r="DC1156" s="30"/>
      <c r="DD1156" s="30"/>
      <c r="DE1156" s="30"/>
      <c r="DF1156" s="30"/>
      <c r="DG1156" s="30"/>
      <c r="DH1156" s="30"/>
      <c r="DI1156" s="30"/>
      <c r="DJ1156" s="30"/>
      <c r="DK1156" s="30"/>
      <c r="DL1156" s="30"/>
      <c r="DM1156" s="30"/>
      <c r="DN1156" s="30"/>
      <c r="DO1156" s="30"/>
      <c r="DP1156" s="30"/>
      <c r="DQ1156" s="30"/>
      <c r="DR1156" s="30"/>
      <c r="DS1156" s="30"/>
      <c r="DT1156" s="30"/>
      <c r="DU1156" s="30"/>
      <c r="DV1156" s="30"/>
      <c r="DW1156" s="30"/>
      <c r="DX1156" s="30"/>
      <c r="DY1156" s="30"/>
      <c r="DZ1156" s="30"/>
    </row>
    <row r="1157">
      <c r="A1157" s="30"/>
      <c r="B1157" s="42"/>
      <c r="C1157" s="43"/>
      <c r="D1157" s="30"/>
      <c r="E1157" s="28"/>
      <c r="F1157" s="30"/>
      <c r="G1157" s="30"/>
      <c r="H1157" s="30"/>
      <c r="I1157" s="30"/>
      <c r="J1157" s="28"/>
      <c r="K1157" s="30"/>
      <c r="L1157" s="30"/>
      <c r="M1157" s="30"/>
      <c r="N1157" s="30"/>
      <c r="O1157" s="28"/>
      <c r="P1157" s="30"/>
      <c r="Q1157" s="30"/>
      <c r="R1157" s="30"/>
      <c r="S1157" s="36"/>
      <c r="T1157" s="30"/>
      <c r="U1157" s="36"/>
      <c r="V1157" s="30"/>
      <c r="W1157" s="28"/>
      <c r="X1157" s="30"/>
      <c r="Y1157" s="30"/>
      <c r="Z1157" s="30"/>
      <c r="AA1157" s="30"/>
      <c r="AB1157" s="30"/>
      <c r="AC1157" s="28"/>
      <c r="AD1157" s="30"/>
      <c r="AE1157" s="30"/>
      <c r="AF1157" s="30"/>
      <c r="AG1157" s="29"/>
      <c r="AH1157" s="30"/>
      <c r="AI1157" s="36"/>
      <c r="AJ1157" s="30"/>
      <c r="AK1157" s="29"/>
      <c r="AL1157" s="30"/>
      <c r="AM1157" s="30"/>
      <c r="AN1157" s="30"/>
      <c r="AO1157" s="30"/>
      <c r="AP1157" s="30"/>
      <c r="AQ1157" s="38"/>
      <c r="AR1157" s="30"/>
      <c r="AS1157" s="30"/>
      <c r="AT1157" s="29"/>
      <c r="AU1157" s="30"/>
      <c r="AV1157" s="30"/>
      <c r="AW1157" s="30"/>
      <c r="AX1157" s="29"/>
      <c r="AY1157" s="39"/>
      <c r="AZ1157" s="30"/>
      <c r="BA1157" s="30"/>
      <c r="BB1157" s="29"/>
      <c r="BC1157" s="52"/>
      <c r="BD1157" s="30"/>
      <c r="BE1157" s="29"/>
      <c r="BF1157" s="30"/>
      <c r="BG1157" s="30"/>
      <c r="BH1157" s="30"/>
      <c r="BI1157" s="30"/>
      <c r="BJ1157" s="30"/>
      <c r="BK1157" s="30"/>
      <c r="BL1157" s="30"/>
      <c r="BM1157" s="30"/>
      <c r="BN1157" s="30"/>
      <c r="BO1157" s="30"/>
      <c r="BP1157" s="30"/>
      <c r="BQ1157" s="30"/>
      <c r="BR1157" s="30"/>
      <c r="BS1157" s="30"/>
      <c r="BT1157" s="30"/>
      <c r="BU1157" s="30"/>
      <c r="BV1157" s="30"/>
      <c r="BW1157" s="30"/>
      <c r="BX1157" s="30"/>
      <c r="BY1157" s="30"/>
      <c r="BZ1157" s="30"/>
      <c r="CA1157" s="30"/>
      <c r="CB1157" s="30"/>
      <c r="CC1157" s="30"/>
      <c r="CD1157" s="30"/>
      <c r="CE1157" s="30"/>
      <c r="CF1157" s="30"/>
      <c r="CG1157" s="30"/>
      <c r="CH1157" s="30"/>
      <c r="CI1157" s="30"/>
      <c r="CJ1157" s="30"/>
      <c r="CK1157" s="30"/>
      <c r="CL1157" s="30"/>
      <c r="CM1157" s="30"/>
      <c r="CN1157" s="30"/>
      <c r="CO1157" s="30"/>
      <c r="CP1157" s="30"/>
      <c r="CQ1157" s="30"/>
      <c r="CR1157" s="30"/>
      <c r="CS1157" s="30"/>
      <c r="CT1157" s="30"/>
      <c r="CU1157" s="30"/>
      <c r="CV1157" s="30"/>
      <c r="CW1157" s="30"/>
      <c r="CX1157" s="30"/>
      <c r="CY1157" s="30"/>
      <c r="CZ1157" s="30"/>
      <c r="DA1157" s="30"/>
      <c r="DB1157" s="30"/>
      <c r="DC1157" s="30"/>
      <c r="DD1157" s="30"/>
      <c r="DE1157" s="30"/>
      <c r="DF1157" s="30"/>
      <c r="DG1157" s="30"/>
      <c r="DH1157" s="30"/>
      <c r="DI1157" s="30"/>
      <c r="DJ1157" s="30"/>
      <c r="DK1157" s="30"/>
      <c r="DL1157" s="30"/>
      <c r="DM1157" s="30"/>
      <c r="DN1157" s="30"/>
      <c r="DO1157" s="30"/>
      <c r="DP1157" s="30"/>
      <c r="DQ1157" s="30"/>
      <c r="DR1157" s="30"/>
      <c r="DS1157" s="30"/>
      <c r="DT1157" s="30"/>
      <c r="DU1157" s="30"/>
      <c r="DV1157" s="30"/>
      <c r="DW1157" s="30"/>
      <c r="DX1157" s="30"/>
      <c r="DY1157" s="30"/>
      <c r="DZ1157" s="30"/>
    </row>
    <row r="1158">
      <c r="A1158" s="30"/>
      <c r="B1158" s="42"/>
      <c r="C1158" s="43"/>
      <c r="D1158" s="30"/>
      <c r="E1158" s="28"/>
      <c r="F1158" s="30"/>
      <c r="G1158" s="30"/>
      <c r="H1158" s="30"/>
      <c r="I1158" s="30"/>
      <c r="J1158" s="28"/>
      <c r="K1158" s="30"/>
      <c r="L1158" s="30"/>
      <c r="M1158" s="30"/>
      <c r="N1158" s="30"/>
      <c r="O1158" s="28"/>
      <c r="P1158" s="30"/>
      <c r="Q1158" s="30"/>
      <c r="R1158" s="30"/>
      <c r="S1158" s="36"/>
      <c r="T1158" s="30"/>
      <c r="U1158" s="36"/>
      <c r="V1158" s="30"/>
      <c r="W1158" s="28"/>
      <c r="X1158" s="30"/>
      <c r="Y1158" s="30"/>
      <c r="Z1158" s="30"/>
      <c r="AA1158" s="30"/>
      <c r="AB1158" s="30"/>
      <c r="AC1158" s="28"/>
      <c r="AD1158" s="30"/>
      <c r="AE1158" s="30"/>
      <c r="AF1158" s="30"/>
      <c r="AG1158" s="29"/>
      <c r="AH1158" s="30"/>
      <c r="AI1158" s="36"/>
      <c r="AJ1158" s="30"/>
      <c r="AK1158" s="29"/>
      <c r="AL1158" s="30"/>
      <c r="AM1158" s="30"/>
      <c r="AN1158" s="30"/>
      <c r="AO1158" s="30"/>
      <c r="AP1158" s="30"/>
      <c r="AQ1158" s="38"/>
      <c r="AR1158" s="30"/>
      <c r="AS1158" s="30"/>
      <c r="AT1158" s="29"/>
      <c r="AU1158" s="30"/>
      <c r="AV1158" s="30"/>
      <c r="AW1158" s="30"/>
      <c r="AX1158" s="29"/>
      <c r="AY1158" s="39"/>
      <c r="AZ1158" s="30"/>
      <c r="BA1158" s="30"/>
      <c r="BB1158" s="29"/>
      <c r="BC1158" s="52"/>
      <c r="BD1158" s="30"/>
      <c r="BE1158" s="29"/>
      <c r="BF1158" s="30"/>
      <c r="BG1158" s="30"/>
      <c r="BH1158" s="30"/>
      <c r="BI1158" s="30"/>
      <c r="BJ1158" s="30"/>
      <c r="BK1158" s="30"/>
      <c r="BL1158" s="30"/>
      <c r="BM1158" s="30"/>
      <c r="BN1158" s="30"/>
      <c r="BO1158" s="30"/>
      <c r="BP1158" s="30"/>
      <c r="BQ1158" s="30"/>
      <c r="BR1158" s="30"/>
      <c r="BS1158" s="30"/>
      <c r="BT1158" s="30"/>
      <c r="BU1158" s="30"/>
      <c r="BV1158" s="30"/>
      <c r="BW1158" s="30"/>
      <c r="BX1158" s="30"/>
      <c r="BY1158" s="30"/>
      <c r="BZ1158" s="30"/>
      <c r="CA1158" s="30"/>
      <c r="CB1158" s="30"/>
      <c r="CC1158" s="30"/>
      <c r="CD1158" s="30"/>
      <c r="CE1158" s="30"/>
      <c r="CF1158" s="30"/>
      <c r="CG1158" s="30"/>
      <c r="CH1158" s="30"/>
      <c r="CI1158" s="30"/>
      <c r="CJ1158" s="30"/>
      <c r="CK1158" s="30"/>
      <c r="CL1158" s="30"/>
      <c r="CM1158" s="30"/>
      <c r="CN1158" s="30"/>
      <c r="CO1158" s="30"/>
      <c r="CP1158" s="30"/>
      <c r="CQ1158" s="30"/>
      <c r="CR1158" s="30"/>
      <c r="CS1158" s="30"/>
      <c r="CT1158" s="30"/>
      <c r="CU1158" s="30"/>
      <c r="CV1158" s="30"/>
      <c r="CW1158" s="30"/>
      <c r="CX1158" s="30"/>
      <c r="CY1158" s="30"/>
      <c r="CZ1158" s="30"/>
      <c r="DA1158" s="30"/>
      <c r="DB1158" s="30"/>
      <c r="DC1158" s="30"/>
      <c r="DD1158" s="30"/>
      <c r="DE1158" s="30"/>
      <c r="DF1158" s="30"/>
      <c r="DG1158" s="30"/>
      <c r="DH1158" s="30"/>
      <c r="DI1158" s="30"/>
      <c r="DJ1158" s="30"/>
      <c r="DK1158" s="30"/>
      <c r="DL1158" s="30"/>
      <c r="DM1158" s="30"/>
      <c r="DN1158" s="30"/>
      <c r="DO1158" s="30"/>
      <c r="DP1158" s="30"/>
      <c r="DQ1158" s="30"/>
      <c r="DR1158" s="30"/>
      <c r="DS1158" s="30"/>
      <c r="DT1158" s="30"/>
      <c r="DU1158" s="30"/>
      <c r="DV1158" s="30"/>
      <c r="DW1158" s="30"/>
      <c r="DX1158" s="30"/>
      <c r="DY1158" s="30"/>
      <c r="DZ1158" s="30"/>
    </row>
    <row r="1159">
      <c r="A1159" s="30"/>
      <c r="B1159" s="42"/>
      <c r="C1159" s="43"/>
      <c r="D1159" s="30"/>
      <c r="E1159" s="28"/>
      <c r="F1159" s="30"/>
      <c r="G1159" s="30"/>
      <c r="H1159" s="30"/>
      <c r="I1159" s="30"/>
      <c r="J1159" s="28"/>
      <c r="K1159" s="30"/>
      <c r="L1159" s="30"/>
      <c r="M1159" s="30"/>
      <c r="N1159" s="30"/>
      <c r="O1159" s="28"/>
      <c r="P1159" s="30"/>
      <c r="Q1159" s="30"/>
      <c r="R1159" s="30"/>
      <c r="S1159" s="36"/>
      <c r="T1159" s="30"/>
      <c r="U1159" s="36"/>
      <c r="V1159" s="30"/>
      <c r="W1159" s="28"/>
      <c r="X1159" s="30"/>
      <c r="Y1159" s="30"/>
      <c r="Z1159" s="30"/>
      <c r="AA1159" s="30"/>
      <c r="AB1159" s="30"/>
      <c r="AC1159" s="28"/>
      <c r="AD1159" s="30"/>
      <c r="AE1159" s="30"/>
      <c r="AF1159" s="30"/>
      <c r="AG1159" s="29"/>
      <c r="AH1159" s="30"/>
      <c r="AI1159" s="36"/>
      <c r="AJ1159" s="30"/>
      <c r="AK1159" s="29"/>
      <c r="AL1159" s="30"/>
      <c r="AM1159" s="30"/>
      <c r="AN1159" s="30"/>
      <c r="AO1159" s="30"/>
      <c r="AP1159" s="30"/>
      <c r="AQ1159" s="38"/>
      <c r="AR1159" s="30"/>
      <c r="AS1159" s="30"/>
      <c r="AT1159" s="29"/>
      <c r="AU1159" s="30"/>
      <c r="AV1159" s="30"/>
      <c r="AW1159" s="30"/>
      <c r="AX1159" s="29"/>
      <c r="AY1159" s="39"/>
      <c r="AZ1159" s="30"/>
      <c r="BA1159" s="30"/>
      <c r="BB1159" s="29"/>
      <c r="BC1159" s="52"/>
      <c r="BD1159" s="30"/>
      <c r="BE1159" s="29"/>
      <c r="BF1159" s="30"/>
      <c r="BG1159" s="30"/>
      <c r="BH1159" s="30"/>
      <c r="BI1159" s="30"/>
      <c r="BJ1159" s="30"/>
      <c r="BK1159" s="30"/>
      <c r="BL1159" s="30"/>
      <c r="BM1159" s="30"/>
      <c r="BN1159" s="30"/>
      <c r="BO1159" s="30"/>
      <c r="BP1159" s="30"/>
      <c r="BQ1159" s="30"/>
      <c r="BR1159" s="30"/>
      <c r="BS1159" s="30"/>
      <c r="BT1159" s="30"/>
      <c r="BU1159" s="30"/>
      <c r="BV1159" s="30"/>
      <c r="BW1159" s="30"/>
      <c r="BX1159" s="30"/>
      <c r="BY1159" s="30"/>
      <c r="BZ1159" s="30"/>
      <c r="CA1159" s="30"/>
      <c r="CB1159" s="30"/>
      <c r="CC1159" s="30"/>
      <c r="CD1159" s="30"/>
      <c r="CE1159" s="30"/>
      <c r="CF1159" s="30"/>
      <c r="CG1159" s="30"/>
      <c r="CH1159" s="30"/>
      <c r="CI1159" s="30"/>
      <c r="CJ1159" s="30"/>
      <c r="CK1159" s="30"/>
      <c r="CL1159" s="30"/>
      <c r="CM1159" s="30"/>
      <c r="CN1159" s="30"/>
      <c r="CO1159" s="30"/>
      <c r="CP1159" s="30"/>
      <c r="CQ1159" s="30"/>
      <c r="CR1159" s="30"/>
      <c r="CS1159" s="30"/>
      <c r="CT1159" s="30"/>
      <c r="CU1159" s="30"/>
      <c r="CV1159" s="30"/>
      <c r="CW1159" s="30"/>
      <c r="CX1159" s="30"/>
      <c r="CY1159" s="30"/>
      <c r="CZ1159" s="30"/>
      <c r="DA1159" s="30"/>
      <c r="DB1159" s="30"/>
      <c r="DC1159" s="30"/>
      <c r="DD1159" s="30"/>
      <c r="DE1159" s="30"/>
      <c r="DF1159" s="30"/>
      <c r="DG1159" s="30"/>
      <c r="DH1159" s="30"/>
      <c r="DI1159" s="30"/>
      <c r="DJ1159" s="30"/>
      <c r="DK1159" s="30"/>
      <c r="DL1159" s="30"/>
      <c r="DM1159" s="30"/>
      <c r="DN1159" s="30"/>
      <c r="DO1159" s="30"/>
      <c r="DP1159" s="30"/>
      <c r="DQ1159" s="30"/>
      <c r="DR1159" s="30"/>
      <c r="DS1159" s="30"/>
      <c r="DT1159" s="30"/>
      <c r="DU1159" s="30"/>
      <c r="DV1159" s="30"/>
      <c r="DW1159" s="30"/>
      <c r="DX1159" s="30"/>
      <c r="DY1159" s="30"/>
      <c r="DZ1159" s="30"/>
    </row>
    <row r="1160">
      <c r="A1160" s="30"/>
      <c r="B1160" s="42"/>
      <c r="C1160" s="43"/>
      <c r="D1160" s="30"/>
      <c r="E1160" s="28"/>
      <c r="F1160" s="30"/>
      <c r="G1160" s="30"/>
      <c r="H1160" s="30"/>
      <c r="I1160" s="30"/>
      <c r="J1160" s="28"/>
      <c r="K1160" s="30"/>
      <c r="L1160" s="30"/>
      <c r="M1160" s="30"/>
      <c r="N1160" s="30"/>
      <c r="O1160" s="28"/>
      <c r="P1160" s="30"/>
      <c r="Q1160" s="30"/>
      <c r="R1160" s="30"/>
      <c r="S1160" s="36"/>
      <c r="T1160" s="30"/>
      <c r="U1160" s="36"/>
      <c r="V1160" s="30"/>
      <c r="W1160" s="28"/>
      <c r="X1160" s="30"/>
      <c r="Y1160" s="30"/>
      <c r="Z1160" s="30"/>
      <c r="AA1160" s="30"/>
      <c r="AB1160" s="30"/>
      <c r="AC1160" s="28"/>
      <c r="AD1160" s="30"/>
      <c r="AE1160" s="30"/>
      <c r="AF1160" s="30"/>
      <c r="AG1160" s="29"/>
      <c r="AH1160" s="30"/>
      <c r="AI1160" s="36"/>
      <c r="AJ1160" s="30"/>
      <c r="AK1160" s="29"/>
      <c r="AL1160" s="30"/>
      <c r="AM1160" s="30"/>
      <c r="AN1160" s="30"/>
      <c r="AO1160" s="30"/>
      <c r="AP1160" s="30"/>
      <c r="AQ1160" s="38"/>
      <c r="AR1160" s="30"/>
      <c r="AS1160" s="30"/>
      <c r="AT1160" s="29"/>
      <c r="AU1160" s="30"/>
      <c r="AV1160" s="30"/>
      <c r="AW1160" s="30"/>
      <c r="AX1160" s="29"/>
      <c r="AY1160" s="39"/>
      <c r="AZ1160" s="30"/>
      <c r="BA1160" s="30"/>
      <c r="BB1160" s="29"/>
      <c r="BC1160" s="52"/>
      <c r="BD1160" s="30"/>
      <c r="BE1160" s="29"/>
      <c r="BF1160" s="30"/>
      <c r="BG1160" s="30"/>
      <c r="BH1160" s="30"/>
      <c r="BI1160" s="30"/>
      <c r="BJ1160" s="30"/>
      <c r="BK1160" s="30"/>
      <c r="BL1160" s="30"/>
      <c r="BM1160" s="30"/>
      <c r="BN1160" s="30"/>
      <c r="BO1160" s="30"/>
      <c r="BP1160" s="30"/>
      <c r="BQ1160" s="30"/>
      <c r="BR1160" s="30"/>
      <c r="BS1160" s="30"/>
      <c r="BT1160" s="30"/>
      <c r="BU1160" s="30"/>
      <c r="BV1160" s="30"/>
      <c r="BW1160" s="30"/>
      <c r="BX1160" s="30"/>
      <c r="BY1160" s="30"/>
      <c r="BZ1160" s="30"/>
      <c r="CA1160" s="30"/>
      <c r="CB1160" s="30"/>
      <c r="CC1160" s="30"/>
      <c r="CD1160" s="30"/>
      <c r="CE1160" s="30"/>
      <c r="CF1160" s="30"/>
      <c r="CG1160" s="30"/>
      <c r="CH1160" s="30"/>
      <c r="CI1160" s="30"/>
      <c r="CJ1160" s="30"/>
      <c r="CK1160" s="30"/>
      <c r="CL1160" s="30"/>
      <c r="CM1160" s="30"/>
      <c r="CN1160" s="30"/>
      <c r="CO1160" s="30"/>
      <c r="CP1160" s="30"/>
      <c r="CQ1160" s="30"/>
      <c r="CR1160" s="30"/>
      <c r="CS1160" s="30"/>
      <c r="CT1160" s="30"/>
      <c r="CU1160" s="30"/>
      <c r="CV1160" s="30"/>
      <c r="CW1160" s="30"/>
      <c r="CX1160" s="30"/>
      <c r="CY1160" s="30"/>
      <c r="CZ1160" s="30"/>
      <c r="DA1160" s="30"/>
      <c r="DB1160" s="30"/>
      <c r="DC1160" s="30"/>
      <c r="DD1160" s="30"/>
      <c r="DE1160" s="30"/>
      <c r="DF1160" s="30"/>
      <c r="DG1160" s="30"/>
      <c r="DH1160" s="30"/>
      <c r="DI1160" s="30"/>
      <c r="DJ1160" s="30"/>
      <c r="DK1160" s="30"/>
      <c r="DL1160" s="30"/>
      <c r="DM1160" s="30"/>
      <c r="DN1160" s="30"/>
      <c r="DO1160" s="30"/>
      <c r="DP1160" s="30"/>
      <c r="DQ1160" s="30"/>
      <c r="DR1160" s="30"/>
      <c r="DS1160" s="30"/>
      <c r="DT1160" s="30"/>
      <c r="DU1160" s="30"/>
      <c r="DV1160" s="30"/>
      <c r="DW1160" s="30"/>
      <c r="DX1160" s="30"/>
      <c r="DY1160" s="30"/>
      <c r="DZ1160" s="30"/>
    </row>
    <row r="1161">
      <c r="A1161" s="30"/>
      <c r="B1161" s="42"/>
      <c r="C1161" s="43"/>
      <c r="D1161" s="30"/>
      <c r="E1161" s="28"/>
      <c r="F1161" s="30"/>
      <c r="G1161" s="30"/>
      <c r="H1161" s="30"/>
      <c r="I1161" s="30"/>
      <c r="J1161" s="28"/>
      <c r="K1161" s="30"/>
      <c r="L1161" s="30"/>
      <c r="M1161" s="30"/>
      <c r="N1161" s="30"/>
      <c r="O1161" s="28"/>
      <c r="P1161" s="30"/>
      <c r="Q1161" s="30"/>
      <c r="R1161" s="30"/>
      <c r="S1161" s="36"/>
      <c r="T1161" s="30"/>
      <c r="U1161" s="36"/>
      <c r="V1161" s="30"/>
      <c r="W1161" s="28"/>
      <c r="X1161" s="30"/>
      <c r="Y1161" s="30"/>
      <c r="Z1161" s="30"/>
      <c r="AA1161" s="30"/>
      <c r="AB1161" s="30"/>
      <c r="AC1161" s="28"/>
      <c r="AD1161" s="30"/>
      <c r="AE1161" s="30"/>
      <c r="AF1161" s="30"/>
      <c r="AG1161" s="29"/>
      <c r="AH1161" s="30"/>
      <c r="AI1161" s="36"/>
      <c r="AJ1161" s="30"/>
      <c r="AK1161" s="29"/>
      <c r="AL1161" s="30"/>
      <c r="AM1161" s="30"/>
      <c r="AN1161" s="30"/>
      <c r="AO1161" s="30"/>
      <c r="AP1161" s="30"/>
      <c r="AQ1161" s="38"/>
      <c r="AR1161" s="30"/>
      <c r="AS1161" s="30"/>
      <c r="AT1161" s="29"/>
      <c r="AU1161" s="30"/>
      <c r="AV1161" s="30"/>
      <c r="AW1161" s="30"/>
      <c r="AX1161" s="29"/>
      <c r="AY1161" s="39"/>
      <c r="AZ1161" s="30"/>
      <c r="BA1161" s="30"/>
      <c r="BB1161" s="29"/>
      <c r="BC1161" s="52"/>
      <c r="BD1161" s="30"/>
      <c r="BE1161" s="29"/>
      <c r="BF1161" s="30"/>
      <c r="BG1161" s="30"/>
      <c r="BH1161" s="30"/>
      <c r="BI1161" s="30"/>
      <c r="BJ1161" s="30"/>
      <c r="BK1161" s="30"/>
      <c r="BL1161" s="30"/>
      <c r="BM1161" s="30"/>
      <c r="BN1161" s="30"/>
      <c r="BO1161" s="30"/>
      <c r="BP1161" s="30"/>
      <c r="BQ1161" s="30"/>
      <c r="BR1161" s="30"/>
      <c r="BS1161" s="30"/>
      <c r="BT1161" s="30"/>
      <c r="BU1161" s="30"/>
      <c r="BV1161" s="30"/>
      <c r="BW1161" s="30"/>
      <c r="BX1161" s="30"/>
      <c r="BY1161" s="30"/>
      <c r="BZ1161" s="30"/>
      <c r="CA1161" s="30"/>
      <c r="CB1161" s="30"/>
      <c r="CC1161" s="30"/>
      <c r="CD1161" s="30"/>
      <c r="CE1161" s="30"/>
      <c r="CF1161" s="30"/>
      <c r="CG1161" s="30"/>
      <c r="CH1161" s="30"/>
      <c r="CI1161" s="30"/>
      <c r="CJ1161" s="30"/>
      <c r="CK1161" s="30"/>
      <c r="CL1161" s="30"/>
      <c r="CM1161" s="30"/>
      <c r="CN1161" s="30"/>
      <c r="CO1161" s="30"/>
      <c r="CP1161" s="30"/>
      <c r="CQ1161" s="30"/>
      <c r="CR1161" s="30"/>
      <c r="CS1161" s="30"/>
      <c r="CT1161" s="30"/>
      <c r="CU1161" s="30"/>
      <c r="CV1161" s="30"/>
      <c r="CW1161" s="30"/>
      <c r="CX1161" s="30"/>
      <c r="CY1161" s="30"/>
      <c r="CZ1161" s="30"/>
      <c r="DA1161" s="30"/>
      <c r="DB1161" s="30"/>
      <c r="DC1161" s="30"/>
      <c r="DD1161" s="30"/>
      <c r="DE1161" s="30"/>
      <c r="DF1161" s="30"/>
      <c r="DG1161" s="30"/>
      <c r="DH1161" s="30"/>
      <c r="DI1161" s="30"/>
      <c r="DJ1161" s="30"/>
      <c r="DK1161" s="30"/>
      <c r="DL1161" s="30"/>
      <c r="DM1161" s="30"/>
      <c r="DN1161" s="30"/>
      <c r="DO1161" s="30"/>
      <c r="DP1161" s="30"/>
      <c r="DQ1161" s="30"/>
      <c r="DR1161" s="30"/>
      <c r="DS1161" s="30"/>
      <c r="DT1161" s="30"/>
      <c r="DU1161" s="30"/>
      <c r="DV1161" s="30"/>
      <c r="DW1161" s="30"/>
      <c r="DX1161" s="30"/>
      <c r="DY1161" s="30"/>
      <c r="DZ1161" s="30"/>
    </row>
    <row r="1162">
      <c r="A1162" s="30"/>
      <c r="B1162" s="42"/>
      <c r="C1162" s="43"/>
      <c r="D1162" s="30"/>
      <c r="E1162" s="28"/>
      <c r="F1162" s="30"/>
      <c r="G1162" s="30"/>
      <c r="H1162" s="30"/>
      <c r="I1162" s="30"/>
      <c r="J1162" s="28"/>
      <c r="K1162" s="30"/>
      <c r="L1162" s="30"/>
      <c r="M1162" s="30"/>
      <c r="N1162" s="30"/>
      <c r="O1162" s="28"/>
      <c r="P1162" s="30"/>
      <c r="Q1162" s="30"/>
      <c r="R1162" s="30"/>
      <c r="S1162" s="36"/>
      <c r="T1162" s="30"/>
      <c r="U1162" s="36"/>
      <c r="V1162" s="30"/>
      <c r="W1162" s="28"/>
      <c r="X1162" s="30"/>
      <c r="Y1162" s="30"/>
      <c r="Z1162" s="30"/>
      <c r="AA1162" s="30"/>
      <c r="AB1162" s="30"/>
      <c r="AC1162" s="28"/>
      <c r="AD1162" s="30"/>
      <c r="AE1162" s="30"/>
      <c r="AF1162" s="30"/>
      <c r="AG1162" s="29"/>
      <c r="AH1162" s="30"/>
      <c r="AI1162" s="36"/>
      <c r="AJ1162" s="30"/>
      <c r="AK1162" s="29"/>
      <c r="AL1162" s="30"/>
      <c r="AM1162" s="30"/>
      <c r="AN1162" s="30"/>
      <c r="AO1162" s="30"/>
      <c r="AP1162" s="30"/>
      <c r="AQ1162" s="38"/>
      <c r="AR1162" s="30"/>
      <c r="AS1162" s="30"/>
      <c r="AT1162" s="29"/>
      <c r="AU1162" s="30"/>
      <c r="AV1162" s="30"/>
      <c r="AW1162" s="30"/>
      <c r="AX1162" s="29"/>
      <c r="AY1162" s="39"/>
      <c r="AZ1162" s="30"/>
      <c r="BA1162" s="30"/>
      <c r="BB1162" s="29"/>
      <c r="BC1162" s="52"/>
      <c r="BD1162" s="30"/>
      <c r="BE1162" s="29"/>
      <c r="BF1162" s="30"/>
      <c r="BG1162" s="30"/>
      <c r="BH1162" s="30"/>
      <c r="BI1162" s="30"/>
      <c r="BJ1162" s="30"/>
      <c r="BK1162" s="30"/>
      <c r="BL1162" s="30"/>
      <c r="BM1162" s="30"/>
      <c r="BN1162" s="30"/>
      <c r="BO1162" s="30"/>
      <c r="BP1162" s="30"/>
      <c r="BQ1162" s="30"/>
      <c r="BR1162" s="30"/>
      <c r="BS1162" s="30"/>
      <c r="BT1162" s="30"/>
      <c r="BU1162" s="30"/>
      <c r="BV1162" s="30"/>
      <c r="BW1162" s="30"/>
      <c r="BX1162" s="30"/>
      <c r="BY1162" s="30"/>
      <c r="BZ1162" s="30"/>
      <c r="CA1162" s="30"/>
      <c r="CB1162" s="30"/>
      <c r="CC1162" s="30"/>
      <c r="CD1162" s="30"/>
      <c r="CE1162" s="30"/>
      <c r="CF1162" s="30"/>
      <c r="CG1162" s="30"/>
      <c r="CH1162" s="30"/>
      <c r="CI1162" s="30"/>
      <c r="CJ1162" s="30"/>
      <c r="CK1162" s="30"/>
      <c r="CL1162" s="30"/>
      <c r="CM1162" s="30"/>
      <c r="CN1162" s="30"/>
      <c r="CO1162" s="30"/>
      <c r="CP1162" s="30"/>
      <c r="CQ1162" s="30"/>
      <c r="CR1162" s="30"/>
      <c r="CS1162" s="30"/>
      <c r="CT1162" s="30"/>
      <c r="CU1162" s="30"/>
      <c r="CV1162" s="30"/>
      <c r="CW1162" s="30"/>
      <c r="CX1162" s="30"/>
      <c r="CY1162" s="30"/>
      <c r="CZ1162" s="30"/>
      <c r="DA1162" s="30"/>
      <c r="DB1162" s="30"/>
      <c r="DC1162" s="30"/>
      <c r="DD1162" s="30"/>
      <c r="DE1162" s="30"/>
      <c r="DF1162" s="30"/>
      <c r="DG1162" s="30"/>
      <c r="DH1162" s="30"/>
      <c r="DI1162" s="30"/>
      <c r="DJ1162" s="30"/>
      <c r="DK1162" s="30"/>
      <c r="DL1162" s="30"/>
      <c r="DM1162" s="30"/>
      <c r="DN1162" s="30"/>
      <c r="DO1162" s="30"/>
      <c r="DP1162" s="30"/>
      <c r="DQ1162" s="30"/>
      <c r="DR1162" s="30"/>
      <c r="DS1162" s="30"/>
      <c r="DT1162" s="30"/>
      <c r="DU1162" s="30"/>
      <c r="DV1162" s="30"/>
      <c r="DW1162" s="30"/>
      <c r="DX1162" s="30"/>
      <c r="DY1162" s="30"/>
      <c r="DZ1162" s="30"/>
    </row>
    <row r="1163">
      <c r="A1163" s="30"/>
      <c r="B1163" s="42"/>
      <c r="C1163" s="43"/>
      <c r="D1163" s="30"/>
      <c r="E1163" s="28"/>
      <c r="F1163" s="30"/>
      <c r="G1163" s="30"/>
      <c r="H1163" s="30"/>
      <c r="I1163" s="30"/>
      <c r="J1163" s="28"/>
      <c r="K1163" s="30"/>
      <c r="L1163" s="30"/>
      <c r="M1163" s="30"/>
      <c r="N1163" s="30"/>
      <c r="O1163" s="28"/>
      <c r="P1163" s="30"/>
      <c r="Q1163" s="30"/>
      <c r="R1163" s="30"/>
      <c r="S1163" s="36"/>
      <c r="T1163" s="30"/>
      <c r="U1163" s="36"/>
      <c r="V1163" s="30"/>
      <c r="W1163" s="28"/>
      <c r="X1163" s="30"/>
      <c r="Y1163" s="30"/>
      <c r="Z1163" s="30"/>
      <c r="AA1163" s="30"/>
      <c r="AB1163" s="30"/>
      <c r="AC1163" s="28"/>
      <c r="AD1163" s="30"/>
      <c r="AE1163" s="30"/>
      <c r="AF1163" s="30"/>
      <c r="AG1163" s="29"/>
      <c r="AH1163" s="30"/>
      <c r="AI1163" s="36"/>
      <c r="AJ1163" s="30"/>
      <c r="AK1163" s="29"/>
      <c r="AL1163" s="30"/>
      <c r="AM1163" s="30"/>
      <c r="AN1163" s="30"/>
      <c r="AO1163" s="30"/>
      <c r="AP1163" s="30"/>
      <c r="AQ1163" s="38"/>
      <c r="AR1163" s="30"/>
      <c r="AS1163" s="30"/>
      <c r="AT1163" s="29"/>
      <c r="AU1163" s="30"/>
      <c r="AV1163" s="30"/>
      <c r="AW1163" s="30"/>
      <c r="AX1163" s="29"/>
      <c r="AY1163" s="39"/>
      <c r="AZ1163" s="30"/>
      <c r="BA1163" s="30"/>
      <c r="BB1163" s="29"/>
      <c r="BC1163" s="52"/>
      <c r="BD1163" s="30"/>
      <c r="BE1163" s="29"/>
      <c r="BF1163" s="30"/>
      <c r="BG1163" s="30"/>
      <c r="BH1163" s="30"/>
      <c r="BI1163" s="30"/>
      <c r="BJ1163" s="30"/>
      <c r="BK1163" s="30"/>
      <c r="BL1163" s="30"/>
      <c r="BM1163" s="30"/>
      <c r="BN1163" s="30"/>
      <c r="BO1163" s="30"/>
      <c r="BP1163" s="30"/>
      <c r="BQ1163" s="30"/>
      <c r="BR1163" s="30"/>
      <c r="BS1163" s="30"/>
      <c r="BT1163" s="30"/>
      <c r="BU1163" s="30"/>
      <c r="BV1163" s="30"/>
      <c r="BW1163" s="30"/>
      <c r="BX1163" s="30"/>
      <c r="BY1163" s="30"/>
      <c r="BZ1163" s="30"/>
      <c r="CA1163" s="30"/>
      <c r="CB1163" s="30"/>
      <c r="CC1163" s="30"/>
      <c r="CD1163" s="30"/>
      <c r="CE1163" s="30"/>
      <c r="CF1163" s="30"/>
      <c r="CG1163" s="30"/>
      <c r="CH1163" s="30"/>
      <c r="CI1163" s="30"/>
      <c r="CJ1163" s="30"/>
      <c r="CK1163" s="30"/>
      <c r="CL1163" s="30"/>
      <c r="CM1163" s="30"/>
      <c r="CN1163" s="30"/>
      <c r="CO1163" s="30"/>
      <c r="CP1163" s="30"/>
      <c r="CQ1163" s="30"/>
      <c r="CR1163" s="30"/>
      <c r="CS1163" s="30"/>
      <c r="CT1163" s="30"/>
      <c r="CU1163" s="30"/>
      <c r="CV1163" s="30"/>
      <c r="CW1163" s="30"/>
      <c r="CX1163" s="30"/>
      <c r="CY1163" s="30"/>
      <c r="CZ1163" s="30"/>
      <c r="DA1163" s="30"/>
      <c r="DB1163" s="30"/>
      <c r="DC1163" s="30"/>
      <c r="DD1163" s="30"/>
      <c r="DE1163" s="30"/>
      <c r="DF1163" s="30"/>
      <c r="DG1163" s="30"/>
      <c r="DH1163" s="30"/>
      <c r="DI1163" s="30"/>
      <c r="DJ1163" s="30"/>
      <c r="DK1163" s="30"/>
      <c r="DL1163" s="30"/>
      <c r="DM1163" s="30"/>
      <c r="DN1163" s="30"/>
      <c r="DO1163" s="30"/>
      <c r="DP1163" s="30"/>
      <c r="DQ1163" s="30"/>
      <c r="DR1163" s="30"/>
      <c r="DS1163" s="30"/>
      <c r="DT1163" s="30"/>
      <c r="DU1163" s="30"/>
      <c r="DV1163" s="30"/>
      <c r="DW1163" s="30"/>
      <c r="DX1163" s="30"/>
      <c r="DY1163" s="30"/>
      <c r="DZ1163" s="30"/>
    </row>
    <row r="1164">
      <c r="A1164" s="30"/>
      <c r="B1164" s="42"/>
      <c r="C1164" s="43"/>
      <c r="D1164" s="30"/>
      <c r="E1164" s="28"/>
      <c r="F1164" s="30"/>
      <c r="G1164" s="30"/>
      <c r="H1164" s="30"/>
      <c r="I1164" s="30"/>
      <c r="J1164" s="28"/>
      <c r="K1164" s="30"/>
      <c r="L1164" s="30"/>
      <c r="M1164" s="30"/>
      <c r="N1164" s="30"/>
      <c r="O1164" s="28"/>
      <c r="P1164" s="30"/>
      <c r="Q1164" s="30"/>
      <c r="R1164" s="30"/>
      <c r="S1164" s="36"/>
      <c r="T1164" s="30"/>
      <c r="U1164" s="36"/>
      <c r="V1164" s="30"/>
      <c r="W1164" s="28"/>
      <c r="X1164" s="30"/>
      <c r="Y1164" s="30"/>
      <c r="Z1164" s="30"/>
      <c r="AA1164" s="30"/>
      <c r="AB1164" s="30"/>
      <c r="AC1164" s="28"/>
      <c r="AD1164" s="30"/>
      <c r="AE1164" s="30"/>
      <c r="AF1164" s="30"/>
      <c r="AG1164" s="29"/>
      <c r="AH1164" s="30"/>
      <c r="AI1164" s="36"/>
      <c r="AJ1164" s="30"/>
      <c r="AK1164" s="29"/>
      <c r="AL1164" s="30"/>
      <c r="AM1164" s="30"/>
      <c r="AN1164" s="30"/>
      <c r="AO1164" s="30"/>
      <c r="AP1164" s="30"/>
      <c r="AQ1164" s="38"/>
      <c r="AR1164" s="30"/>
      <c r="AS1164" s="30"/>
      <c r="AT1164" s="29"/>
      <c r="AU1164" s="30"/>
      <c r="AV1164" s="30"/>
      <c r="AW1164" s="30"/>
      <c r="AX1164" s="29"/>
      <c r="AY1164" s="39"/>
      <c r="AZ1164" s="30"/>
      <c r="BA1164" s="30"/>
      <c r="BB1164" s="29"/>
      <c r="BC1164" s="52"/>
      <c r="BD1164" s="30"/>
      <c r="BE1164" s="29"/>
      <c r="BF1164" s="30"/>
      <c r="BG1164" s="30"/>
      <c r="BH1164" s="30"/>
      <c r="BI1164" s="30"/>
      <c r="BJ1164" s="30"/>
      <c r="BK1164" s="30"/>
      <c r="BL1164" s="30"/>
      <c r="BM1164" s="30"/>
      <c r="BN1164" s="30"/>
      <c r="BO1164" s="30"/>
      <c r="BP1164" s="30"/>
      <c r="BQ1164" s="30"/>
      <c r="BR1164" s="30"/>
      <c r="BS1164" s="30"/>
      <c r="BT1164" s="30"/>
      <c r="BU1164" s="30"/>
      <c r="BV1164" s="30"/>
      <c r="BW1164" s="30"/>
      <c r="BX1164" s="30"/>
      <c r="BY1164" s="30"/>
      <c r="BZ1164" s="30"/>
      <c r="CA1164" s="30"/>
      <c r="CB1164" s="30"/>
      <c r="CC1164" s="30"/>
      <c r="CD1164" s="30"/>
      <c r="CE1164" s="30"/>
      <c r="CF1164" s="30"/>
      <c r="CG1164" s="30"/>
      <c r="CH1164" s="30"/>
      <c r="CI1164" s="30"/>
      <c r="CJ1164" s="30"/>
      <c r="CK1164" s="30"/>
      <c r="CL1164" s="30"/>
      <c r="CM1164" s="30"/>
      <c r="CN1164" s="30"/>
      <c r="CO1164" s="30"/>
      <c r="CP1164" s="30"/>
      <c r="CQ1164" s="30"/>
      <c r="CR1164" s="30"/>
      <c r="CS1164" s="30"/>
      <c r="CT1164" s="30"/>
      <c r="CU1164" s="30"/>
      <c r="CV1164" s="30"/>
      <c r="CW1164" s="30"/>
      <c r="CX1164" s="30"/>
      <c r="CY1164" s="30"/>
      <c r="CZ1164" s="30"/>
      <c r="DA1164" s="30"/>
      <c r="DB1164" s="30"/>
      <c r="DC1164" s="30"/>
      <c r="DD1164" s="30"/>
      <c r="DE1164" s="30"/>
      <c r="DF1164" s="30"/>
      <c r="DG1164" s="30"/>
      <c r="DH1164" s="30"/>
      <c r="DI1164" s="30"/>
      <c r="DJ1164" s="30"/>
      <c r="DK1164" s="30"/>
      <c r="DL1164" s="30"/>
      <c r="DM1164" s="30"/>
      <c r="DN1164" s="30"/>
      <c r="DO1164" s="30"/>
      <c r="DP1164" s="30"/>
      <c r="DQ1164" s="30"/>
      <c r="DR1164" s="30"/>
      <c r="DS1164" s="30"/>
      <c r="DT1164" s="30"/>
      <c r="DU1164" s="30"/>
      <c r="DV1164" s="30"/>
      <c r="DW1164" s="30"/>
      <c r="DX1164" s="30"/>
      <c r="DY1164" s="30"/>
      <c r="DZ1164" s="30"/>
    </row>
    <row r="1165">
      <c r="A1165" s="30"/>
      <c r="B1165" s="42"/>
      <c r="C1165" s="43"/>
      <c r="D1165" s="30"/>
      <c r="E1165" s="28"/>
      <c r="F1165" s="30"/>
      <c r="G1165" s="30"/>
      <c r="H1165" s="30"/>
      <c r="I1165" s="30"/>
      <c r="J1165" s="28"/>
      <c r="K1165" s="30"/>
      <c r="L1165" s="30"/>
      <c r="M1165" s="30"/>
      <c r="N1165" s="30"/>
      <c r="O1165" s="28"/>
      <c r="P1165" s="30"/>
      <c r="Q1165" s="30"/>
      <c r="R1165" s="30"/>
      <c r="S1165" s="36"/>
      <c r="T1165" s="30"/>
      <c r="U1165" s="36"/>
      <c r="V1165" s="30"/>
      <c r="W1165" s="28"/>
      <c r="X1165" s="30"/>
      <c r="Y1165" s="30"/>
      <c r="Z1165" s="30"/>
      <c r="AA1165" s="30"/>
      <c r="AB1165" s="30"/>
      <c r="AC1165" s="28"/>
      <c r="AD1165" s="30"/>
      <c r="AE1165" s="30"/>
      <c r="AF1165" s="30"/>
      <c r="AG1165" s="29"/>
      <c r="AH1165" s="30"/>
      <c r="AI1165" s="36"/>
      <c r="AJ1165" s="30"/>
      <c r="AK1165" s="29"/>
      <c r="AL1165" s="30"/>
      <c r="AM1165" s="30"/>
      <c r="AN1165" s="30"/>
      <c r="AO1165" s="30"/>
      <c r="AP1165" s="30"/>
      <c r="AQ1165" s="38"/>
      <c r="AR1165" s="30"/>
      <c r="AS1165" s="30"/>
      <c r="AT1165" s="29"/>
      <c r="AU1165" s="30"/>
      <c r="AV1165" s="30"/>
      <c r="AW1165" s="30"/>
      <c r="AX1165" s="29"/>
      <c r="AY1165" s="39"/>
      <c r="AZ1165" s="30"/>
      <c r="BA1165" s="30"/>
      <c r="BB1165" s="29"/>
      <c r="BC1165" s="52"/>
      <c r="BD1165" s="30"/>
      <c r="BE1165" s="29"/>
      <c r="BF1165" s="30"/>
      <c r="BG1165" s="30"/>
      <c r="BH1165" s="30"/>
      <c r="BI1165" s="30"/>
      <c r="BJ1165" s="30"/>
      <c r="BK1165" s="30"/>
      <c r="BL1165" s="30"/>
      <c r="BM1165" s="30"/>
      <c r="BN1165" s="30"/>
      <c r="BO1165" s="30"/>
      <c r="BP1165" s="30"/>
      <c r="BQ1165" s="30"/>
      <c r="BR1165" s="30"/>
      <c r="BS1165" s="30"/>
      <c r="BT1165" s="30"/>
      <c r="BU1165" s="30"/>
      <c r="BV1165" s="30"/>
      <c r="BW1165" s="30"/>
      <c r="BX1165" s="30"/>
      <c r="BY1165" s="30"/>
      <c r="BZ1165" s="30"/>
      <c r="CA1165" s="30"/>
      <c r="CB1165" s="30"/>
      <c r="CC1165" s="30"/>
      <c r="CD1165" s="30"/>
      <c r="CE1165" s="30"/>
      <c r="CF1165" s="30"/>
      <c r="CG1165" s="30"/>
      <c r="CH1165" s="30"/>
      <c r="CI1165" s="30"/>
      <c r="CJ1165" s="30"/>
      <c r="CK1165" s="30"/>
      <c r="CL1165" s="30"/>
      <c r="CM1165" s="30"/>
      <c r="CN1165" s="30"/>
      <c r="CO1165" s="30"/>
      <c r="CP1165" s="30"/>
      <c r="CQ1165" s="30"/>
      <c r="CR1165" s="30"/>
      <c r="CS1165" s="30"/>
      <c r="CT1165" s="30"/>
      <c r="CU1165" s="30"/>
      <c r="CV1165" s="30"/>
      <c r="CW1165" s="30"/>
      <c r="CX1165" s="30"/>
      <c r="CY1165" s="30"/>
      <c r="CZ1165" s="30"/>
      <c r="DA1165" s="30"/>
      <c r="DB1165" s="30"/>
      <c r="DC1165" s="30"/>
      <c r="DD1165" s="30"/>
      <c r="DE1165" s="30"/>
      <c r="DF1165" s="30"/>
      <c r="DG1165" s="30"/>
      <c r="DH1165" s="30"/>
      <c r="DI1165" s="30"/>
      <c r="DJ1165" s="30"/>
      <c r="DK1165" s="30"/>
      <c r="DL1165" s="30"/>
      <c r="DM1165" s="30"/>
      <c r="DN1165" s="30"/>
      <c r="DO1165" s="30"/>
      <c r="DP1165" s="30"/>
      <c r="DQ1165" s="30"/>
      <c r="DR1165" s="30"/>
      <c r="DS1165" s="30"/>
      <c r="DT1165" s="30"/>
      <c r="DU1165" s="30"/>
      <c r="DV1165" s="30"/>
      <c r="DW1165" s="30"/>
      <c r="DX1165" s="30"/>
      <c r="DY1165" s="30"/>
      <c r="DZ1165" s="30"/>
    </row>
    <row r="1166">
      <c r="A1166" s="30"/>
      <c r="B1166" s="42"/>
      <c r="C1166" s="43"/>
      <c r="D1166" s="30"/>
      <c r="E1166" s="28"/>
      <c r="F1166" s="30"/>
      <c r="G1166" s="30"/>
      <c r="H1166" s="30"/>
      <c r="I1166" s="30"/>
      <c r="J1166" s="28"/>
      <c r="K1166" s="30"/>
      <c r="L1166" s="30"/>
      <c r="M1166" s="30"/>
      <c r="N1166" s="30"/>
      <c r="O1166" s="28"/>
      <c r="P1166" s="30"/>
      <c r="Q1166" s="30"/>
      <c r="R1166" s="30"/>
      <c r="S1166" s="36"/>
      <c r="T1166" s="30"/>
      <c r="U1166" s="36"/>
      <c r="V1166" s="30"/>
      <c r="W1166" s="28"/>
      <c r="X1166" s="30"/>
      <c r="Y1166" s="30"/>
      <c r="Z1166" s="30"/>
      <c r="AA1166" s="30"/>
      <c r="AB1166" s="30"/>
      <c r="AC1166" s="28"/>
      <c r="AD1166" s="30"/>
      <c r="AE1166" s="30"/>
      <c r="AF1166" s="30"/>
      <c r="AG1166" s="29"/>
      <c r="AH1166" s="30"/>
      <c r="AI1166" s="36"/>
      <c r="AJ1166" s="30"/>
      <c r="AK1166" s="29"/>
      <c r="AL1166" s="30"/>
      <c r="AM1166" s="30"/>
      <c r="AN1166" s="30"/>
      <c r="AO1166" s="30"/>
      <c r="AP1166" s="30"/>
      <c r="AQ1166" s="38"/>
      <c r="AR1166" s="30"/>
      <c r="AS1166" s="30"/>
      <c r="AT1166" s="29"/>
      <c r="AU1166" s="30"/>
      <c r="AV1166" s="30"/>
      <c r="AW1166" s="30"/>
      <c r="AX1166" s="29"/>
      <c r="AY1166" s="39"/>
      <c r="AZ1166" s="30"/>
      <c r="BA1166" s="30"/>
      <c r="BB1166" s="29"/>
      <c r="BC1166" s="52"/>
      <c r="BD1166" s="30"/>
      <c r="BE1166" s="29"/>
      <c r="BF1166" s="30"/>
      <c r="BG1166" s="30"/>
      <c r="BH1166" s="30"/>
      <c r="BI1166" s="30"/>
      <c r="BJ1166" s="30"/>
      <c r="BK1166" s="30"/>
      <c r="BL1166" s="30"/>
      <c r="BM1166" s="30"/>
      <c r="BN1166" s="30"/>
      <c r="BO1166" s="30"/>
      <c r="BP1166" s="30"/>
      <c r="BQ1166" s="30"/>
      <c r="BR1166" s="30"/>
      <c r="BS1166" s="30"/>
      <c r="BT1166" s="30"/>
      <c r="BU1166" s="30"/>
      <c r="BV1166" s="30"/>
      <c r="BW1166" s="30"/>
      <c r="BX1166" s="30"/>
      <c r="BY1166" s="30"/>
      <c r="BZ1166" s="30"/>
      <c r="CA1166" s="30"/>
      <c r="CB1166" s="30"/>
      <c r="CC1166" s="30"/>
      <c r="CD1166" s="30"/>
      <c r="CE1166" s="30"/>
      <c r="CF1166" s="30"/>
      <c r="CG1166" s="30"/>
      <c r="CH1166" s="30"/>
      <c r="CI1166" s="30"/>
      <c r="CJ1166" s="30"/>
      <c r="CK1166" s="30"/>
      <c r="CL1166" s="30"/>
      <c r="CM1166" s="30"/>
      <c r="CN1166" s="30"/>
      <c r="CO1166" s="30"/>
      <c r="CP1166" s="30"/>
      <c r="CQ1166" s="30"/>
      <c r="CR1166" s="30"/>
      <c r="CS1166" s="30"/>
      <c r="CT1166" s="30"/>
      <c r="CU1166" s="30"/>
      <c r="CV1166" s="30"/>
      <c r="CW1166" s="30"/>
      <c r="CX1166" s="30"/>
      <c r="CY1166" s="30"/>
      <c r="CZ1166" s="30"/>
      <c r="DA1166" s="30"/>
      <c r="DB1166" s="30"/>
      <c r="DC1166" s="30"/>
      <c r="DD1166" s="30"/>
      <c r="DE1166" s="30"/>
      <c r="DF1166" s="30"/>
      <c r="DG1166" s="30"/>
      <c r="DH1166" s="30"/>
      <c r="DI1166" s="30"/>
      <c r="DJ1166" s="30"/>
      <c r="DK1166" s="30"/>
      <c r="DL1166" s="30"/>
      <c r="DM1166" s="30"/>
      <c r="DN1166" s="30"/>
      <c r="DO1166" s="30"/>
      <c r="DP1166" s="30"/>
      <c r="DQ1166" s="30"/>
      <c r="DR1166" s="30"/>
      <c r="DS1166" s="30"/>
      <c r="DT1166" s="30"/>
      <c r="DU1166" s="30"/>
      <c r="DV1166" s="30"/>
      <c r="DW1166" s="30"/>
      <c r="DX1166" s="30"/>
      <c r="DY1166" s="30"/>
      <c r="DZ1166" s="30"/>
    </row>
    <row r="1167">
      <c r="A1167" s="30"/>
      <c r="B1167" s="42"/>
      <c r="C1167" s="43"/>
      <c r="D1167" s="30"/>
      <c r="E1167" s="28"/>
      <c r="F1167" s="30"/>
      <c r="G1167" s="30"/>
      <c r="H1167" s="30"/>
      <c r="I1167" s="30"/>
      <c r="J1167" s="28"/>
      <c r="K1167" s="30"/>
      <c r="L1167" s="30"/>
      <c r="M1167" s="30"/>
      <c r="N1167" s="30"/>
      <c r="O1167" s="28"/>
      <c r="P1167" s="30"/>
      <c r="Q1167" s="30"/>
      <c r="R1167" s="30"/>
      <c r="S1167" s="36"/>
      <c r="T1167" s="30"/>
      <c r="U1167" s="36"/>
      <c r="V1167" s="30"/>
      <c r="W1167" s="28"/>
      <c r="X1167" s="30"/>
      <c r="Y1167" s="30"/>
      <c r="Z1167" s="30"/>
      <c r="AA1167" s="30"/>
      <c r="AB1167" s="30"/>
      <c r="AC1167" s="28"/>
      <c r="AD1167" s="30"/>
      <c r="AE1167" s="30"/>
      <c r="AF1167" s="30"/>
      <c r="AG1167" s="29"/>
      <c r="AH1167" s="30"/>
      <c r="AI1167" s="36"/>
      <c r="AJ1167" s="30"/>
      <c r="AK1167" s="29"/>
      <c r="AL1167" s="30"/>
      <c r="AM1167" s="30"/>
      <c r="AN1167" s="30"/>
      <c r="AO1167" s="30"/>
      <c r="AP1167" s="30"/>
      <c r="AQ1167" s="38"/>
      <c r="AR1167" s="30"/>
      <c r="AS1167" s="30"/>
      <c r="AT1167" s="29"/>
      <c r="AU1167" s="30"/>
      <c r="AV1167" s="30"/>
      <c r="AW1167" s="30"/>
      <c r="AX1167" s="29"/>
      <c r="AY1167" s="39"/>
      <c r="AZ1167" s="30"/>
      <c r="BA1167" s="30"/>
      <c r="BB1167" s="29"/>
      <c r="BC1167" s="52"/>
      <c r="BD1167" s="30"/>
      <c r="BE1167" s="29"/>
      <c r="BF1167" s="30"/>
      <c r="BG1167" s="30"/>
      <c r="BH1167" s="30"/>
      <c r="BI1167" s="30"/>
      <c r="BJ1167" s="30"/>
      <c r="BK1167" s="30"/>
      <c r="BL1167" s="30"/>
      <c r="BM1167" s="30"/>
      <c r="BN1167" s="30"/>
      <c r="BO1167" s="30"/>
      <c r="BP1167" s="30"/>
      <c r="BQ1167" s="30"/>
      <c r="BR1167" s="30"/>
      <c r="BS1167" s="30"/>
      <c r="BT1167" s="30"/>
      <c r="BU1167" s="30"/>
      <c r="BV1167" s="30"/>
      <c r="BW1167" s="30"/>
      <c r="BX1167" s="30"/>
      <c r="BY1167" s="30"/>
      <c r="BZ1167" s="30"/>
      <c r="CA1167" s="30"/>
      <c r="CB1167" s="30"/>
      <c r="CC1167" s="30"/>
      <c r="CD1167" s="30"/>
      <c r="CE1167" s="30"/>
      <c r="CF1167" s="30"/>
      <c r="CG1167" s="30"/>
      <c r="CH1167" s="30"/>
      <c r="CI1167" s="30"/>
      <c r="CJ1167" s="30"/>
      <c r="CK1167" s="30"/>
      <c r="CL1167" s="30"/>
      <c r="CM1167" s="30"/>
      <c r="CN1167" s="30"/>
      <c r="CO1167" s="30"/>
      <c r="CP1167" s="30"/>
      <c r="CQ1167" s="30"/>
      <c r="CR1167" s="30"/>
      <c r="CS1167" s="30"/>
      <c r="CT1167" s="30"/>
      <c r="CU1167" s="30"/>
      <c r="CV1167" s="30"/>
      <c r="CW1167" s="30"/>
      <c r="CX1167" s="30"/>
      <c r="CY1167" s="30"/>
      <c r="CZ1167" s="30"/>
      <c r="DA1167" s="30"/>
      <c r="DB1167" s="30"/>
      <c r="DC1167" s="30"/>
      <c r="DD1167" s="30"/>
      <c r="DE1167" s="30"/>
      <c r="DF1167" s="30"/>
      <c r="DG1167" s="30"/>
      <c r="DH1167" s="30"/>
      <c r="DI1167" s="30"/>
      <c r="DJ1167" s="30"/>
      <c r="DK1167" s="30"/>
      <c r="DL1167" s="30"/>
      <c r="DM1167" s="30"/>
      <c r="DN1167" s="30"/>
      <c r="DO1167" s="30"/>
      <c r="DP1167" s="30"/>
      <c r="DQ1167" s="30"/>
      <c r="DR1167" s="30"/>
      <c r="DS1167" s="30"/>
      <c r="DT1167" s="30"/>
      <c r="DU1167" s="30"/>
      <c r="DV1167" s="30"/>
      <c r="DW1167" s="30"/>
      <c r="DX1167" s="30"/>
      <c r="DY1167" s="30"/>
      <c r="DZ1167" s="30"/>
    </row>
    <row r="1168">
      <c r="A1168" s="30"/>
      <c r="B1168" s="42"/>
      <c r="C1168" s="43"/>
      <c r="D1168" s="30"/>
      <c r="E1168" s="28"/>
      <c r="F1168" s="30"/>
      <c r="G1168" s="30"/>
      <c r="H1168" s="30"/>
      <c r="I1168" s="30"/>
      <c r="J1168" s="28"/>
      <c r="K1168" s="30"/>
      <c r="L1168" s="30"/>
      <c r="M1168" s="30"/>
      <c r="N1168" s="30"/>
      <c r="O1168" s="28"/>
      <c r="P1168" s="30"/>
      <c r="Q1168" s="30"/>
      <c r="R1168" s="30"/>
      <c r="S1168" s="36"/>
      <c r="T1168" s="30"/>
      <c r="U1168" s="36"/>
      <c r="V1168" s="30"/>
      <c r="W1168" s="28"/>
      <c r="X1168" s="30"/>
      <c r="Y1168" s="30"/>
      <c r="Z1168" s="30"/>
      <c r="AA1168" s="30"/>
      <c r="AB1168" s="30"/>
      <c r="AC1168" s="28"/>
      <c r="AD1168" s="30"/>
      <c r="AE1168" s="30"/>
      <c r="AF1168" s="30"/>
      <c r="AG1168" s="29"/>
      <c r="AH1168" s="30"/>
      <c r="AI1168" s="36"/>
      <c r="AJ1168" s="30"/>
      <c r="AK1168" s="29"/>
      <c r="AL1168" s="30"/>
      <c r="AM1168" s="30"/>
      <c r="AN1168" s="30"/>
      <c r="AO1168" s="30"/>
      <c r="AP1168" s="30"/>
      <c r="AQ1168" s="38"/>
      <c r="AR1168" s="30"/>
      <c r="AS1168" s="30"/>
      <c r="AT1168" s="29"/>
      <c r="AU1168" s="30"/>
      <c r="AV1168" s="30"/>
      <c r="AW1168" s="30"/>
      <c r="AX1168" s="29"/>
      <c r="AY1168" s="39"/>
      <c r="AZ1168" s="30"/>
      <c r="BA1168" s="30"/>
      <c r="BB1168" s="29"/>
      <c r="BC1168" s="52"/>
      <c r="BD1168" s="30"/>
      <c r="BE1168" s="29"/>
      <c r="BF1168" s="30"/>
      <c r="BG1168" s="30"/>
      <c r="BH1168" s="30"/>
      <c r="BI1168" s="30"/>
      <c r="BJ1168" s="30"/>
      <c r="BK1168" s="30"/>
      <c r="BL1168" s="30"/>
      <c r="BM1168" s="30"/>
      <c r="BN1168" s="30"/>
      <c r="BO1168" s="30"/>
      <c r="BP1168" s="30"/>
      <c r="BQ1168" s="30"/>
      <c r="BR1168" s="30"/>
      <c r="BS1168" s="30"/>
      <c r="BT1168" s="30"/>
      <c r="BU1168" s="30"/>
      <c r="BV1168" s="30"/>
      <c r="BW1168" s="30"/>
      <c r="BX1168" s="30"/>
      <c r="BY1168" s="30"/>
      <c r="BZ1168" s="30"/>
      <c r="CA1168" s="30"/>
      <c r="CB1168" s="30"/>
      <c r="CC1168" s="30"/>
      <c r="CD1168" s="30"/>
      <c r="CE1168" s="30"/>
      <c r="CF1168" s="30"/>
      <c r="CG1168" s="30"/>
      <c r="CH1168" s="30"/>
      <c r="CI1168" s="30"/>
      <c r="CJ1168" s="30"/>
      <c r="CK1168" s="30"/>
      <c r="CL1168" s="30"/>
      <c r="CM1168" s="30"/>
      <c r="CN1168" s="30"/>
      <c r="CO1168" s="30"/>
      <c r="CP1168" s="30"/>
      <c r="CQ1168" s="30"/>
      <c r="CR1168" s="30"/>
      <c r="CS1168" s="30"/>
      <c r="CT1168" s="30"/>
      <c r="CU1168" s="30"/>
      <c r="CV1168" s="30"/>
      <c r="CW1168" s="30"/>
      <c r="CX1168" s="30"/>
      <c r="CY1168" s="30"/>
      <c r="CZ1168" s="30"/>
      <c r="DA1168" s="30"/>
      <c r="DB1168" s="30"/>
      <c r="DC1168" s="30"/>
      <c r="DD1168" s="30"/>
      <c r="DE1168" s="30"/>
      <c r="DF1168" s="30"/>
      <c r="DG1168" s="30"/>
      <c r="DH1168" s="30"/>
      <c r="DI1168" s="30"/>
      <c r="DJ1168" s="30"/>
      <c r="DK1168" s="30"/>
      <c r="DL1168" s="30"/>
      <c r="DM1168" s="30"/>
      <c r="DN1168" s="30"/>
      <c r="DO1168" s="30"/>
      <c r="DP1168" s="30"/>
      <c r="DQ1168" s="30"/>
      <c r="DR1168" s="30"/>
      <c r="DS1168" s="30"/>
      <c r="DT1168" s="30"/>
      <c r="DU1168" s="30"/>
      <c r="DV1168" s="30"/>
      <c r="DW1168" s="30"/>
      <c r="DX1168" s="30"/>
      <c r="DY1168" s="30"/>
      <c r="DZ1168" s="30"/>
    </row>
    <row r="1169">
      <c r="A1169" s="30"/>
      <c r="B1169" s="42"/>
      <c r="C1169" s="43"/>
      <c r="D1169" s="30"/>
      <c r="E1169" s="28"/>
      <c r="F1169" s="30"/>
      <c r="G1169" s="30"/>
      <c r="H1169" s="30"/>
      <c r="I1169" s="30"/>
      <c r="J1169" s="28"/>
      <c r="K1169" s="30"/>
      <c r="L1169" s="30"/>
      <c r="M1169" s="30"/>
      <c r="N1169" s="30"/>
      <c r="O1169" s="28"/>
      <c r="P1169" s="30"/>
      <c r="Q1169" s="30"/>
      <c r="R1169" s="30"/>
      <c r="S1169" s="36"/>
      <c r="T1169" s="30"/>
      <c r="U1169" s="36"/>
      <c r="V1169" s="30"/>
      <c r="W1169" s="28"/>
      <c r="X1169" s="30"/>
      <c r="Y1169" s="30"/>
      <c r="Z1169" s="30"/>
      <c r="AA1169" s="30"/>
      <c r="AB1169" s="30"/>
      <c r="AC1169" s="28"/>
      <c r="AD1169" s="30"/>
      <c r="AE1169" s="30"/>
      <c r="AF1169" s="30"/>
      <c r="AG1169" s="29"/>
      <c r="AH1169" s="30"/>
      <c r="AI1169" s="36"/>
      <c r="AJ1169" s="30"/>
      <c r="AK1169" s="29"/>
      <c r="AL1169" s="30"/>
      <c r="AM1169" s="30"/>
      <c r="AN1169" s="30"/>
      <c r="AO1169" s="30"/>
      <c r="AP1169" s="30"/>
      <c r="AQ1169" s="38"/>
      <c r="AR1169" s="30"/>
      <c r="AS1169" s="30"/>
      <c r="AT1169" s="29"/>
      <c r="AU1169" s="30"/>
      <c r="AV1169" s="30"/>
      <c r="AW1169" s="30"/>
      <c r="AX1169" s="29"/>
      <c r="AY1169" s="39"/>
      <c r="AZ1169" s="30"/>
      <c r="BA1169" s="30"/>
      <c r="BB1169" s="29"/>
      <c r="BC1169" s="52"/>
      <c r="BD1169" s="30"/>
      <c r="BE1169" s="29"/>
      <c r="BF1169" s="30"/>
      <c r="BG1169" s="30"/>
      <c r="BH1169" s="30"/>
      <c r="BI1169" s="30"/>
      <c r="BJ1169" s="30"/>
      <c r="BK1169" s="30"/>
      <c r="BL1169" s="30"/>
      <c r="BM1169" s="30"/>
      <c r="BN1169" s="30"/>
      <c r="BO1169" s="30"/>
      <c r="BP1169" s="30"/>
      <c r="BQ1169" s="30"/>
      <c r="BR1169" s="30"/>
      <c r="BS1169" s="30"/>
      <c r="BT1169" s="30"/>
      <c r="BU1169" s="30"/>
      <c r="BV1169" s="30"/>
      <c r="BW1169" s="30"/>
      <c r="BX1169" s="30"/>
      <c r="BY1169" s="30"/>
      <c r="BZ1169" s="30"/>
      <c r="CA1169" s="30"/>
      <c r="CB1169" s="30"/>
      <c r="CC1169" s="30"/>
      <c r="CD1169" s="30"/>
      <c r="CE1169" s="30"/>
      <c r="CF1169" s="30"/>
      <c r="CG1169" s="30"/>
      <c r="CH1169" s="30"/>
      <c r="CI1169" s="30"/>
      <c r="CJ1169" s="30"/>
      <c r="CK1169" s="30"/>
      <c r="CL1169" s="30"/>
      <c r="CM1169" s="30"/>
      <c r="CN1169" s="30"/>
      <c r="CO1169" s="30"/>
      <c r="CP1169" s="30"/>
      <c r="CQ1169" s="30"/>
      <c r="CR1169" s="30"/>
      <c r="CS1169" s="30"/>
      <c r="CT1169" s="30"/>
      <c r="CU1169" s="30"/>
      <c r="CV1169" s="30"/>
      <c r="CW1169" s="30"/>
      <c r="CX1169" s="30"/>
      <c r="CY1169" s="30"/>
      <c r="CZ1169" s="30"/>
      <c r="DA1169" s="30"/>
      <c r="DB1169" s="30"/>
      <c r="DC1169" s="30"/>
      <c r="DD1169" s="30"/>
      <c r="DE1169" s="30"/>
      <c r="DF1169" s="30"/>
      <c r="DG1169" s="30"/>
      <c r="DH1169" s="30"/>
      <c r="DI1169" s="30"/>
      <c r="DJ1169" s="30"/>
      <c r="DK1169" s="30"/>
      <c r="DL1169" s="30"/>
      <c r="DM1169" s="30"/>
      <c r="DN1169" s="30"/>
      <c r="DO1169" s="30"/>
      <c r="DP1169" s="30"/>
      <c r="DQ1169" s="30"/>
      <c r="DR1169" s="30"/>
      <c r="DS1169" s="30"/>
      <c r="DT1169" s="30"/>
      <c r="DU1169" s="30"/>
      <c r="DV1169" s="30"/>
      <c r="DW1169" s="30"/>
      <c r="DX1169" s="30"/>
      <c r="DY1169" s="30"/>
      <c r="DZ1169" s="30"/>
    </row>
    <row r="1170">
      <c r="A1170" s="30"/>
      <c r="B1170" s="42"/>
      <c r="C1170" s="43"/>
      <c r="D1170" s="30"/>
      <c r="E1170" s="28"/>
      <c r="F1170" s="30"/>
      <c r="G1170" s="30"/>
      <c r="H1170" s="30"/>
      <c r="I1170" s="30"/>
      <c r="J1170" s="28"/>
      <c r="K1170" s="30"/>
      <c r="L1170" s="30"/>
      <c r="M1170" s="30"/>
      <c r="N1170" s="30"/>
      <c r="O1170" s="28"/>
      <c r="P1170" s="30"/>
      <c r="Q1170" s="30"/>
      <c r="R1170" s="30"/>
      <c r="S1170" s="36"/>
      <c r="T1170" s="30"/>
      <c r="U1170" s="36"/>
      <c r="V1170" s="30"/>
      <c r="W1170" s="28"/>
      <c r="X1170" s="30"/>
      <c r="Y1170" s="30"/>
      <c r="Z1170" s="30"/>
      <c r="AA1170" s="30"/>
      <c r="AB1170" s="30"/>
      <c r="AC1170" s="28"/>
      <c r="AD1170" s="30"/>
      <c r="AE1170" s="30"/>
      <c r="AF1170" s="30"/>
      <c r="AG1170" s="29"/>
      <c r="AH1170" s="30"/>
      <c r="AI1170" s="36"/>
      <c r="AJ1170" s="30"/>
      <c r="AK1170" s="29"/>
      <c r="AL1170" s="30"/>
      <c r="AM1170" s="30"/>
      <c r="AN1170" s="30"/>
      <c r="AO1170" s="30"/>
      <c r="AP1170" s="30"/>
      <c r="AQ1170" s="38"/>
      <c r="AR1170" s="30"/>
      <c r="AS1170" s="30"/>
      <c r="AT1170" s="29"/>
      <c r="AU1170" s="30"/>
      <c r="AV1170" s="30"/>
      <c r="AW1170" s="30"/>
      <c r="AX1170" s="29"/>
      <c r="AY1170" s="39"/>
      <c r="AZ1170" s="30"/>
      <c r="BA1170" s="30"/>
      <c r="BB1170" s="29"/>
      <c r="BC1170" s="52"/>
      <c r="BD1170" s="30"/>
      <c r="BE1170" s="29"/>
      <c r="BF1170" s="30"/>
      <c r="BG1170" s="30"/>
      <c r="BH1170" s="30"/>
      <c r="BI1170" s="30"/>
      <c r="BJ1170" s="30"/>
      <c r="BK1170" s="30"/>
      <c r="BL1170" s="30"/>
      <c r="BM1170" s="30"/>
      <c r="BN1170" s="30"/>
      <c r="BO1170" s="30"/>
      <c r="BP1170" s="30"/>
      <c r="BQ1170" s="30"/>
      <c r="BR1170" s="30"/>
      <c r="BS1170" s="30"/>
      <c r="BT1170" s="30"/>
      <c r="BU1170" s="30"/>
      <c r="BV1170" s="30"/>
      <c r="BW1170" s="30"/>
      <c r="BX1170" s="30"/>
      <c r="BY1170" s="30"/>
      <c r="BZ1170" s="30"/>
      <c r="CA1170" s="30"/>
      <c r="CB1170" s="30"/>
      <c r="CC1170" s="30"/>
      <c r="CD1170" s="30"/>
      <c r="CE1170" s="30"/>
      <c r="CF1170" s="30"/>
      <c r="CG1170" s="30"/>
      <c r="CH1170" s="30"/>
      <c r="CI1170" s="30"/>
      <c r="CJ1170" s="30"/>
      <c r="CK1170" s="30"/>
      <c r="CL1170" s="30"/>
      <c r="CM1170" s="30"/>
      <c r="CN1170" s="30"/>
      <c r="CO1170" s="30"/>
      <c r="CP1170" s="30"/>
      <c r="CQ1170" s="30"/>
      <c r="CR1170" s="30"/>
      <c r="CS1170" s="30"/>
      <c r="CT1170" s="30"/>
      <c r="CU1170" s="30"/>
      <c r="CV1170" s="30"/>
      <c r="CW1170" s="30"/>
      <c r="CX1170" s="30"/>
      <c r="CY1170" s="30"/>
      <c r="CZ1170" s="30"/>
      <c r="DA1170" s="30"/>
      <c r="DB1170" s="30"/>
      <c r="DC1170" s="30"/>
      <c r="DD1170" s="30"/>
      <c r="DE1170" s="30"/>
      <c r="DF1170" s="30"/>
      <c r="DG1170" s="30"/>
      <c r="DH1170" s="30"/>
      <c r="DI1170" s="30"/>
      <c r="DJ1170" s="30"/>
      <c r="DK1170" s="30"/>
      <c r="DL1170" s="30"/>
      <c r="DM1170" s="30"/>
      <c r="DN1170" s="30"/>
      <c r="DO1170" s="30"/>
      <c r="DP1170" s="30"/>
      <c r="DQ1170" s="30"/>
      <c r="DR1170" s="30"/>
      <c r="DS1170" s="30"/>
      <c r="DT1170" s="30"/>
      <c r="DU1170" s="30"/>
      <c r="DV1170" s="30"/>
      <c r="DW1170" s="30"/>
      <c r="DX1170" s="30"/>
      <c r="DY1170" s="30"/>
      <c r="DZ1170" s="30"/>
    </row>
    <row r="1171">
      <c r="A1171" s="30"/>
      <c r="B1171" s="42"/>
      <c r="C1171" s="43"/>
      <c r="D1171" s="30"/>
      <c r="E1171" s="28"/>
      <c r="F1171" s="30"/>
      <c r="G1171" s="30"/>
      <c r="H1171" s="30"/>
      <c r="I1171" s="30"/>
      <c r="J1171" s="28"/>
      <c r="K1171" s="30"/>
      <c r="L1171" s="30"/>
      <c r="M1171" s="30"/>
      <c r="N1171" s="30"/>
      <c r="O1171" s="28"/>
      <c r="P1171" s="30"/>
      <c r="Q1171" s="30"/>
      <c r="R1171" s="30"/>
      <c r="S1171" s="36"/>
      <c r="T1171" s="30"/>
      <c r="U1171" s="36"/>
      <c r="V1171" s="30"/>
      <c r="W1171" s="28"/>
      <c r="X1171" s="30"/>
      <c r="Y1171" s="30"/>
      <c r="Z1171" s="30"/>
      <c r="AA1171" s="30"/>
      <c r="AB1171" s="30"/>
      <c r="AC1171" s="28"/>
      <c r="AD1171" s="30"/>
      <c r="AE1171" s="30"/>
      <c r="AF1171" s="30"/>
      <c r="AG1171" s="29"/>
      <c r="AH1171" s="30"/>
      <c r="AI1171" s="36"/>
      <c r="AJ1171" s="30"/>
      <c r="AK1171" s="29"/>
      <c r="AL1171" s="30"/>
      <c r="AM1171" s="30"/>
      <c r="AN1171" s="30"/>
      <c r="AO1171" s="30"/>
      <c r="AP1171" s="30"/>
      <c r="AQ1171" s="38"/>
      <c r="AR1171" s="30"/>
      <c r="AS1171" s="30"/>
      <c r="AT1171" s="29"/>
      <c r="AU1171" s="30"/>
      <c r="AV1171" s="30"/>
      <c r="AW1171" s="30"/>
      <c r="AX1171" s="29"/>
      <c r="AY1171" s="39"/>
      <c r="AZ1171" s="30"/>
      <c r="BA1171" s="30"/>
      <c r="BB1171" s="29"/>
      <c r="BC1171" s="52"/>
      <c r="BD1171" s="30"/>
      <c r="BE1171" s="29"/>
      <c r="BF1171" s="30"/>
      <c r="BG1171" s="30"/>
      <c r="BH1171" s="30"/>
      <c r="BI1171" s="30"/>
      <c r="BJ1171" s="30"/>
      <c r="BK1171" s="30"/>
      <c r="BL1171" s="30"/>
      <c r="BM1171" s="30"/>
      <c r="BN1171" s="30"/>
      <c r="BO1171" s="30"/>
      <c r="BP1171" s="30"/>
      <c r="BQ1171" s="30"/>
      <c r="BR1171" s="30"/>
      <c r="BS1171" s="30"/>
      <c r="BT1171" s="30"/>
      <c r="BU1171" s="30"/>
      <c r="BV1171" s="30"/>
      <c r="BW1171" s="30"/>
      <c r="BX1171" s="30"/>
      <c r="BY1171" s="30"/>
      <c r="BZ1171" s="30"/>
      <c r="CA1171" s="30"/>
      <c r="CB1171" s="30"/>
      <c r="CC1171" s="30"/>
      <c r="CD1171" s="30"/>
      <c r="CE1171" s="30"/>
      <c r="CF1171" s="30"/>
      <c r="CG1171" s="30"/>
      <c r="CH1171" s="30"/>
      <c r="CI1171" s="30"/>
      <c r="CJ1171" s="30"/>
      <c r="CK1171" s="30"/>
      <c r="CL1171" s="30"/>
      <c r="CM1171" s="30"/>
      <c r="CN1171" s="30"/>
      <c r="CO1171" s="30"/>
      <c r="CP1171" s="30"/>
      <c r="CQ1171" s="30"/>
      <c r="CR1171" s="30"/>
      <c r="CS1171" s="30"/>
      <c r="CT1171" s="30"/>
      <c r="CU1171" s="30"/>
      <c r="CV1171" s="30"/>
      <c r="CW1171" s="30"/>
      <c r="CX1171" s="30"/>
      <c r="CY1171" s="30"/>
      <c r="CZ1171" s="30"/>
      <c r="DA1171" s="30"/>
      <c r="DB1171" s="30"/>
      <c r="DC1171" s="30"/>
      <c r="DD1171" s="30"/>
      <c r="DE1171" s="30"/>
      <c r="DF1171" s="30"/>
      <c r="DG1171" s="30"/>
      <c r="DH1171" s="30"/>
      <c r="DI1171" s="30"/>
      <c r="DJ1171" s="30"/>
      <c r="DK1171" s="30"/>
      <c r="DL1171" s="30"/>
      <c r="DM1171" s="30"/>
      <c r="DN1171" s="30"/>
      <c r="DO1171" s="30"/>
      <c r="DP1171" s="30"/>
      <c r="DQ1171" s="30"/>
      <c r="DR1171" s="30"/>
      <c r="DS1171" s="30"/>
      <c r="DT1171" s="30"/>
      <c r="DU1171" s="30"/>
      <c r="DV1171" s="30"/>
      <c r="DW1171" s="30"/>
      <c r="DX1171" s="30"/>
      <c r="DY1171" s="30"/>
      <c r="DZ1171" s="30"/>
    </row>
    <row r="1172">
      <c r="A1172" s="30"/>
      <c r="B1172" s="42"/>
      <c r="C1172" s="43"/>
      <c r="D1172" s="30"/>
      <c r="E1172" s="28"/>
      <c r="F1172" s="30"/>
      <c r="G1172" s="30"/>
      <c r="H1172" s="30"/>
      <c r="I1172" s="30"/>
      <c r="J1172" s="28"/>
      <c r="K1172" s="30"/>
      <c r="L1172" s="30"/>
      <c r="M1172" s="30"/>
      <c r="N1172" s="30"/>
      <c r="O1172" s="28"/>
      <c r="P1172" s="30"/>
      <c r="Q1172" s="30"/>
      <c r="R1172" s="30"/>
      <c r="S1172" s="36"/>
      <c r="T1172" s="30"/>
      <c r="U1172" s="36"/>
      <c r="V1172" s="30"/>
      <c r="W1172" s="28"/>
      <c r="X1172" s="30"/>
      <c r="Y1172" s="30"/>
      <c r="Z1172" s="30"/>
      <c r="AA1172" s="30"/>
      <c r="AB1172" s="30"/>
      <c r="AC1172" s="28"/>
      <c r="AD1172" s="30"/>
      <c r="AE1172" s="30"/>
      <c r="AF1172" s="30"/>
      <c r="AG1172" s="29"/>
      <c r="AH1172" s="30"/>
      <c r="AI1172" s="36"/>
      <c r="AJ1172" s="30"/>
      <c r="AK1172" s="29"/>
      <c r="AL1172" s="30"/>
      <c r="AM1172" s="30"/>
      <c r="AN1172" s="30"/>
      <c r="AO1172" s="30"/>
      <c r="AP1172" s="30"/>
      <c r="AQ1172" s="38"/>
      <c r="AR1172" s="30"/>
      <c r="AS1172" s="30"/>
      <c r="AT1172" s="29"/>
      <c r="AU1172" s="30"/>
      <c r="AV1172" s="30"/>
      <c r="AW1172" s="30"/>
      <c r="AX1172" s="29"/>
      <c r="AY1172" s="39"/>
      <c r="AZ1172" s="30"/>
      <c r="BA1172" s="30"/>
      <c r="BB1172" s="29"/>
      <c r="BC1172" s="52"/>
      <c r="BD1172" s="30"/>
      <c r="BE1172" s="29"/>
      <c r="BF1172" s="30"/>
      <c r="BG1172" s="30"/>
      <c r="BH1172" s="30"/>
      <c r="BI1172" s="30"/>
      <c r="BJ1172" s="30"/>
      <c r="BK1172" s="30"/>
      <c r="BL1172" s="30"/>
      <c r="BM1172" s="30"/>
      <c r="BN1172" s="30"/>
      <c r="BO1172" s="30"/>
      <c r="BP1172" s="30"/>
      <c r="BQ1172" s="30"/>
      <c r="BR1172" s="30"/>
      <c r="BS1172" s="30"/>
      <c r="BT1172" s="30"/>
      <c r="BU1172" s="30"/>
      <c r="BV1172" s="30"/>
      <c r="BW1172" s="30"/>
      <c r="BX1172" s="30"/>
      <c r="BY1172" s="30"/>
      <c r="BZ1172" s="30"/>
      <c r="CA1172" s="30"/>
      <c r="CB1172" s="30"/>
      <c r="CC1172" s="30"/>
      <c r="CD1172" s="30"/>
      <c r="CE1172" s="30"/>
      <c r="CF1172" s="30"/>
      <c r="CG1172" s="30"/>
      <c r="CH1172" s="30"/>
      <c r="CI1172" s="30"/>
      <c r="CJ1172" s="30"/>
      <c r="CK1172" s="30"/>
      <c r="CL1172" s="30"/>
      <c r="CM1172" s="30"/>
      <c r="CN1172" s="30"/>
      <c r="CO1172" s="30"/>
      <c r="CP1172" s="30"/>
      <c r="CQ1172" s="30"/>
      <c r="CR1172" s="30"/>
      <c r="CS1172" s="30"/>
      <c r="CT1172" s="30"/>
      <c r="CU1172" s="30"/>
      <c r="CV1172" s="30"/>
      <c r="CW1172" s="30"/>
      <c r="CX1172" s="30"/>
      <c r="CY1172" s="30"/>
      <c r="CZ1172" s="30"/>
      <c r="DA1172" s="30"/>
      <c r="DB1172" s="30"/>
      <c r="DC1172" s="30"/>
      <c r="DD1172" s="30"/>
      <c r="DE1172" s="30"/>
      <c r="DF1172" s="30"/>
      <c r="DG1172" s="30"/>
      <c r="DH1172" s="30"/>
      <c r="DI1172" s="30"/>
      <c r="DJ1172" s="30"/>
      <c r="DK1172" s="30"/>
      <c r="DL1172" s="30"/>
      <c r="DM1172" s="30"/>
      <c r="DN1172" s="30"/>
      <c r="DO1172" s="30"/>
      <c r="DP1172" s="30"/>
      <c r="DQ1172" s="30"/>
      <c r="DR1172" s="30"/>
      <c r="DS1172" s="30"/>
      <c r="DT1172" s="30"/>
      <c r="DU1172" s="30"/>
      <c r="DV1172" s="30"/>
      <c r="DW1172" s="30"/>
      <c r="DX1172" s="30"/>
      <c r="DY1172" s="30"/>
      <c r="DZ1172" s="30"/>
    </row>
    <row r="1173">
      <c r="A1173" s="30"/>
      <c r="B1173" s="42"/>
      <c r="C1173" s="43"/>
      <c r="D1173" s="30"/>
      <c r="E1173" s="28"/>
      <c r="F1173" s="30"/>
      <c r="G1173" s="30"/>
      <c r="H1173" s="30"/>
      <c r="I1173" s="30"/>
      <c r="J1173" s="28"/>
      <c r="K1173" s="30"/>
      <c r="L1173" s="30"/>
      <c r="M1173" s="30"/>
      <c r="N1173" s="30"/>
      <c r="O1173" s="28"/>
      <c r="P1173" s="30"/>
      <c r="Q1173" s="30"/>
      <c r="R1173" s="30"/>
      <c r="S1173" s="36"/>
      <c r="T1173" s="30"/>
      <c r="U1173" s="36"/>
      <c r="V1173" s="30"/>
      <c r="W1173" s="28"/>
      <c r="X1173" s="30"/>
      <c r="Y1173" s="30"/>
      <c r="Z1173" s="30"/>
      <c r="AA1173" s="30"/>
      <c r="AB1173" s="30"/>
      <c r="AC1173" s="28"/>
      <c r="AD1173" s="30"/>
      <c r="AE1173" s="30"/>
      <c r="AF1173" s="30"/>
      <c r="AG1173" s="29"/>
      <c r="AH1173" s="30"/>
      <c r="AI1173" s="36"/>
      <c r="AJ1173" s="30"/>
      <c r="AK1173" s="29"/>
      <c r="AL1173" s="30"/>
      <c r="AM1173" s="30"/>
      <c r="AN1173" s="30"/>
      <c r="AO1173" s="30"/>
      <c r="AP1173" s="30"/>
      <c r="AQ1173" s="38"/>
      <c r="AR1173" s="30"/>
      <c r="AS1173" s="30"/>
      <c r="AT1173" s="29"/>
      <c r="AU1173" s="30"/>
      <c r="AV1173" s="30"/>
      <c r="AW1173" s="30"/>
      <c r="AX1173" s="29"/>
      <c r="AY1173" s="39"/>
      <c r="AZ1173" s="30"/>
      <c r="BA1173" s="30"/>
      <c r="BB1173" s="29"/>
      <c r="BC1173" s="52"/>
      <c r="BD1173" s="30"/>
      <c r="BE1173" s="29"/>
      <c r="BF1173" s="30"/>
      <c r="BG1173" s="30"/>
      <c r="BH1173" s="30"/>
      <c r="BI1173" s="30"/>
      <c r="BJ1173" s="30"/>
      <c r="BK1173" s="30"/>
      <c r="BL1173" s="30"/>
      <c r="BM1173" s="30"/>
      <c r="BN1173" s="30"/>
      <c r="BO1173" s="30"/>
      <c r="BP1173" s="30"/>
      <c r="BQ1173" s="30"/>
      <c r="BR1173" s="30"/>
      <c r="BS1173" s="30"/>
      <c r="BT1173" s="30"/>
      <c r="BU1173" s="30"/>
      <c r="BV1173" s="30"/>
      <c r="BW1173" s="30"/>
      <c r="BX1173" s="30"/>
      <c r="BY1173" s="30"/>
      <c r="BZ1173" s="30"/>
      <c r="CA1173" s="30"/>
      <c r="CB1173" s="30"/>
      <c r="CC1173" s="30"/>
      <c r="CD1173" s="30"/>
      <c r="CE1173" s="30"/>
      <c r="CF1173" s="30"/>
      <c r="CG1173" s="30"/>
      <c r="CH1173" s="30"/>
      <c r="CI1173" s="30"/>
      <c r="CJ1173" s="30"/>
      <c r="CK1173" s="30"/>
      <c r="CL1173" s="30"/>
      <c r="CM1173" s="30"/>
      <c r="CN1173" s="30"/>
      <c r="CO1173" s="30"/>
      <c r="CP1173" s="30"/>
      <c r="CQ1173" s="30"/>
      <c r="CR1173" s="30"/>
      <c r="CS1173" s="30"/>
      <c r="CT1173" s="30"/>
      <c r="CU1173" s="30"/>
      <c r="CV1173" s="30"/>
      <c r="CW1173" s="30"/>
      <c r="CX1173" s="30"/>
      <c r="CY1173" s="30"/>
      <c r="CZ1173" s="30"/>
      <c r="DA1173" s="30"/>
      <c r="DB1173" s="30"/>
      <c r="DC1173" s="30"/>
      <c r="DD1173" s="30"/>
      <c r="DE1173" s="30"/>
      <c r="DF1173" s="30"/>
      <c r="DG1173" s="30"/>
      <c r="DH1173" s="30"/>
      <c r="DI1173" s="30"/>
      <c r="DJ1173" s="30"/>
      <c r="DK1173" s="30"/>
      <c r="DL1173" s="30"/>
      <c r="DM1173" s="30"/>
      <c r="DN1173" s="30"/>
      <c r="DO1173" s="30"/>
      <c r="DP1173" s="30"/>
      <c r="DQ1173" s="30"/>
      <c r="DR1173" s="30"/>
      <c r="DS1173" s="30"/>
      <c r="DT1173" s="30"/>
      <c r="DU1173" s="30"/>
      <c r="DV1173" s="30"/>
      <c r="DW1173" s="30"/>
      <c r="DX1173" s="30"/>
      <c r="DY1173" s="30"/>
      <c r="DZ1173" s="30"/>
    </row>
    <row r="1174">
      <c r="A1174" s="30"/>
      <c r="B1174" s="42"/>
      <c r="C1174" s="43"/>
      <c r="D1174" s="30"/>
      <c r="E1174" s="28"/>
      <c r="F1174" s="30"/>
      <c r="G1174" s="30"/>
      <c r="H1174" s="30"/>
      <c r="I1174" s="30"/>
      <c r="J1174" s="28"/>
      <c r="K1174" s="30"/>
      <c r="L1174" s="30"/>
      <c r="M1174" s="30"/>
      <c r="N1174" s="30"/>
      <c r="O1174" s="28"/>
      <c r="P1174" s="30"/>
      <c r="Q1174" s="30"/>
      <c r="R1174" s="30"/>
      <c r="S1174" s="36"/>
      <c r="T1174" s="30"/>
      <c r="U1174" s="36"/>
      <c r="V1174" s="30"/>
      <c r="W1174" s="28"/>
      <c r="X1174" s="30"/>
      <c r="Y1174" s="30"/>
      <c r="Z1174" s="30"/>
      <c r="AA1174" s="30"/>
      <c r="AB1174" s="30"/>
      <c r="AC1174" s="28"/>
      <c r="AD1174" s="30"/>
      <c r="AE1174" s="30"/>
      <c r="AF1174" s="30"/>
      <c r="AG1174" s="29"/>
      <c r="AH1174" s="30"/>
      <c r="AI1174" s="36"/>
      <c r="AJ1174" s="30"/>
      <c r="AK1174" s="29"/>
      <c r="AL1174" s="30"/>
      <c r="AM1174" s="30"/>
      <c r="AN1174" s="30"/>
      <c r="AO1174" s="30"/>
      <c r="AP1174" s="30"/>
      <c r="AQ1174" s="38"/>
      <c r="AR1174" s="30"/>
      <c r="AS1174" s="30"/>
      <c r="AT1174" s="29"/>
      <c r="AU1174" s="30"/>
      <c r="AV1174" s="30"/>
      <c r="AW1174" s="30"/>
      <c r="AX1174" s="29"/>
      <c r="AY1174" s="39"/>
      <c r="AZ1174" s="30"/>
      <c r="BA1174" s="30"/>
      <c r="BB1174" s="29"/>
      <c r="BC1174" s="52"/>
      <c r="BD1174" s="30"/>
      <c r="BE1174" s="29"/>
      <c r="BF1174" s="30"/>
      <c r="BG1174" s="30"/>
      <c r="BH1174" s="30"/>
      <c r="BI1174" s="30"/>
      <c r="BJ1174" s="30"/>
      <c r="BK1174" s="30"/>
      <c r="BL1174" s="30"/>
      <c r="BM1174" s="30"/>
      <c r="BN1174" s="30"/>
      <c r="BO1174" s="30"/>
      <c r="BP1174" s="30"/>
      <c r="BQ1174" s="30"/>
      <c r="BR1174" s="30"/>
      <c r="BS1174" s="30"/>
      <c r="BT1174" s="30"/>
      <c r="BU1174" s="30"/>
      <c r="BV1174" s="30"/>
      <c r="BW1174" s="30"/>
      <c r="BX1174" s="30"/>
      <c r="BY1174" s="30"/>
      <c r="BZ1174" s="30"/>
      <c r="CA1174" s="30"/>
      <c r="CB1174" s="30"/>
      <c r="CC1174" s="30"/>
      <c r="CD1174" s="30"/>
      <c r="CE1174" s="30"/>
      <c r="CF1174" s="30"/>
      <c r="CG1174" s="30"/>
      <c r="CH1174" s="30"/>
      <c r="CI1174" s="30"/>
      <c r="CJ1174" s="30"/>
      <c r="CK1174" s="30"/>
      <c r="CL1174" s="30"/>
      <c r="CM1174" s="30"/>
      <c r="CN1174" s="30"/>
      <c r="CO1174" s="30"/>
      <c r="CP1174" s="30"/>
      <c r="CQ1174" s="30"/>
      <c r="CR1174" s="30"/>
      <c r="CS1174" s="30"/>
      <c r="CT1174" s="30"/>
      <c r="CU1174" s="30"/>
      <c r="CV1174" s="30"/>
      <c r="CW1174" s="30"/>
      <c r="CX1174" s="30"/>
      <c r="CY1174" s="30"/>
      <c r="CZ1174" s="30"/>
      <c r="DA1174" s="30"/>
      <c r="DB1174" s="30"/>
      <c r="DC1174" s="30"/>
      <c r="DD1174" s="30"/>
      <c r="DE1174" s="30"/>
      <c r="DF1174" s="30"/>
      <c r="DG1174" s="30"/>
      <c r="DH1174" s="30"/>
      <c r="DI1174" s="30"/>
      <c r="DJ1174" s="30"/>
      <c r="DK1174" s="30"/>
      <c r="DL1174" s="30"/>
      <c r="DM1174" s="30"/>
      <c r="DN1174" s="30"/>
      <c r="DO1174" s="30"/>
      <c r="DP1174" s="30"/>
      <c r="DQ1174" s="30"/>
      <c r="DR1174" s="30"/>
      <c r="DS1174" s="30"/>
      <c r="DT1174" s="30"/>
      <c r="DU1174" s="30"/>
      <c r="DV1174" s="30"/>
      <c r="DW1174" s="30"/>
      <c r="DX1174" s="30"/>
      <c r="DY1174" s="30"/>
      <c r="DZ1174" s="30"/>
    </row>
    <row r="1175">
      <c r="A1175" s="30"/>
      <c r="B1175" s="42"/>
      <c r="C1175" s="43"/>
      <c r="D1175" s="30"/>
      <c r="E1175" s="28"/>
      <c r="F1175" s="30"/>
      <c r="G1175" s="30"/>
      <c r="H1175" s="30"/>
      <c r="I1175" s="30"/>
      <c r="J1175" s="28"/>
      <c r="K1175" s="30"/>
      <c r="L1175" s="30"/>
      <c r="M1175" s="30"/>
      <c r="N1175" s="30"/>
      <c r="O1175" s="28"/>
      <c r="P1175" s="30"/>
      <c r="Q1175" s="30"/>
      <c r="R1175" s="30"/>
      <c r="S1175" s="36"/>
      <c r="T1175" s="30"/>
      <c r="U1175" s="36"/>
      <c r="V1175" s="30"/>
      <c r="W1175" s="28"/>
      <c r="X1175" s="30"/>
      <c r="Y1175" s="30"/>
      <c r="Z1175" s="30"/>
      <c r="AA1175" s="30"/>
      <c r="AB1175" s="30"/>
      <c r="AC1175" s="28"/>
      <c r="AD1175" s="30"/>
      <c r="AE1175" s="30"/>
      <c r="AF1175" s="30"/>
      <c r="AG1175" s="29"/>
      <c r="AH1175" s="30"/>
      <c r="AI1175" s="36"/>
      <c r="AJ1175" s="30"/>
      <c r="AK1175" s="29"/>
      <c r="AL1175" s="30"/>
      <c r="AM1175" s="30"/>
      <c r="AN1175" s="30"/>
      <c r="AO1175" s="30"/>
      <c r="AP1175" s="30"/>
      <c r="AQ1175" s="38"/>
      <c r="AR1175" s="30"/>
      <c r="AS1175" s="30"/>
      <c r="AT1175" s="29"/>
      <c r="AU1175" s="30"/>
      <c r="AV1175" s="30"/>
      <c r="AW1175" s="30"/>
      <c r="AX1175" s="29"/>
      <c r="AY1175" s="39"/>
      <c r="AZ1175" s="30"/>
      <c r="BA1175" s="30"/>
      <c r="BB1175" s="29"/>
      <c r="BC1175" s="52"/>
      <c r="BD1175" s="30"/>
      <c r="BE1175" s="29"/>
      <c r="BF1175" s="30"/>
      <c r="BG1175" s="30"/>
      <c r="BH1175" s="30"/>
      <c r="BI1175" s="30"/>
      <c r="BJ1175" s="30"/>
      <c r="BK1175" s="30"/>
      <c r="BL1175" s="30"/>
      <c r="BM1175" s="30"/>
      <c r="BN1175" s="30"/>
      <c r="BO1175" s="30"/>
      <c r="BP1175" s="30"/>
      <c r="BQ1175" s="30"/>
      <c r="BR1175" s="30"/>
      <c r="BS1175" s="30"/>
      <c r="BT1175" s="30"/>
      <c r="BU1175" s="30"/>
      <c r="BV1175" s="30"/>
      <c r="BW1175" s="30"/>
      <c r="BX1175" s="30"/>
      <c r="BY1175" s="30"/>
      <c r="BZ1175" s="30"/>
      <c r="CA1175" s="30"/>
      <c r="CB1175" s="30"/>
      <c r="CC1175" s="30"/>
      <c r="CD1175" s="30"/>
      <c r="CE1175" s="30"/>
      <c r="CF1175" s="30"/>
      <c r="CG1175" s="30"/>
      <c r="CH1175" s="30"/>
      <c r="CI1175" s="30"/>
      <c r="CJ1175" s="30"/>
      <c r="CK1175" s="30"/>
      <c r="CL1175" s="30"/>
      <c r="CM1175" s="30"/>
      <c r="CN1175" s="30"/>
      <c r="CO1175" s="30"/>
      <c r="CP1175" s="30"/>
      <c r="CQ1175" s="30"/>
      <c r="CR1175" s="30"/>
      <c r="CS1175" s="30"/>
      <c r="CT1175" s="30"/>
      <c r="CU1175" s="30"/>
      <c r="CV1175" s="30"/>
      <c r="CW1175" s="30"/>
      <c r="CX1175" s="30"/>
      <c r="CY1175" s="30"/>
      <c r="CZ1175" s="30"/>
      <c r="DA1175" s="30"/>
      <c r="DB1175" s="30"/>
      <c r="DC1175" s="30"/>
      <c r="DD1175" s="30"/>
      <c r="DE1175" s="30"/>
      <c r="DF1175" s="30"/>
      <c r="DG1175" s="30"/>
      <c r="DH1175" s="30"/>
      <c r="DI1175" s="30"/>
      <c r="DJ1175" s="30"/>
      <c r="DK1175" s="30"/>
      <c r="DL1175" s="30"/>
      <c r="DM1175" s="30"/>
      <c r="DN1175" s="30"/>
      <c r="DO1175" s="30"/>
      <c r="DP1175" s="30"/>
      <c r="DQ1175" s="30"/>
      <c r="DR1175" s="30"/>
      <c r="DS1175" s="30"/>
      <c r="DT1175" s="30"/>
      <c r="DU1175" s="30"/>
      <c r="DV1175" s="30"/>
      <c r="DW1175" s="30"/>
      <c r="DX1175" s="30"/>
      <c r="DY1175" s="30"/>
      <c r="DZ1175" s="30"/>
    </row>
    <row r="1176">
      <c r="A1176" s="30"/>
      <c r="B1176" s="42"/>
      <c r="C1176" s="43"/>
      <c r="D1176" s="30"/>
      <c r="E1176" s="28"/>
      <c r="F1176" s="30"/>
      <c r="G1176" s="30"/>
      <c r="H1176" s="30"/>
      <c r="I1176" s="30"/>
      <c r="J1176" s="28"/>
      <c r="K1176" s="30"/>
      <c r="L1176" s="30"/>
      <c r="M1176" s="30"/>
      <c r="N1176" s="30"/>
      <c r="O1176" s="28"/>
      <c r="P1176" s="30"/>
      <c r="Q1176" s="30"/>
      <c r="R1176" s="30"/>
      <c r="S1176" s="36"/>
      <c r="T1176" s="30"/>
      <c r="U1176" s="36"/>
      <c r="V1176" s="30"/>
      <c r="W1176" s="28"/>
      <c r="X1176" s="30"/>
      <c r="Y1176" s="30"/>
      <c r="Z1176" s="30"/>
      <c r="AA1176" s="30"/>
      <c r="AB1176" s="30"/>
      <c r="AC1176" s="28"/>
      <c r="AD1176" s="30"/>
      <c r="AE1176" s="30"/>
      <c r="AF1176" s="30"/>
      <c r="AG1176" s="29"/>
      <c r="AH1176" s="30"/>
      <c r="AI1176" s="36"/>
      <c r="AJ1176" s="30"/>
      <c r="AK1176" s="29"/>
      <c r="AL1176" s="30"/>
      <c r="AM1176" s="30"/>
      <c r="AN1176" s="30"/>
      <c r="AO1176" s="30"/>
      <c r="AP1176" s="30"/>
      <c r="AQ1176" s="38"/>
      <c r="AR1176" s="30"/>
      <c r="AS1176" s="30"/>
      <c r="AT1176" s="29"/>
      <c r="AU1176" s="30"/>
      <c r="AV1176" s="30"/>
      <c r="AW1176" s="30"/>
      <c r="AX1176" s="29"/>
      <c r="AY1176" s="39"/>
      <c r="AZ1176" s="30"/>
      <c r="BA1176" s="30"/>
      <c r="BB1176" s="29"/>
      <c r="BC1176" s="52"/>
      <c r="BD1176" s="30"/>
      <c r="BE1176" s="29"/>
      <c r="BF1176" s="30"/>
      <c r="BG1176" s="30"/>
      <c r="BH1176" s="30"/>
      <c r="BI1176" s="30"/>
      <c r="BJ1176" s="30"/>
      <c r="BK1176" s="30"/>
      <c r="BL1176" s="30"/>
      <c r="BM1176" s="30"/>
      <c r="BN1176" s="30"/>
      <c r="BO1176" s="30"/>
      <c r="BP1176" s="30"/>
      <c r="BQ1176" s="30"/>
      <c r="BR1176" s="30"/>
      <c r="BS1176" s="30"/>
      <c r="BT1176" s="30"/>
      <c r="BU1176" s="30"/>
      <c r="BV1176" s="30"/>
      <c r="BW1176" s="30"/>
      <c r="BX1176" s="30"/>
      <c r="BY1176" s="30"/>
      <c r="BZ1176" s="30"/>
      <c r="CA1176" s="30"/>
      <c r="CB1176" s="30"/>
      <c r="CC1176" s="30"/>
      <c r="CD1176" s="30"/>
      <c r="CE1176" s="30"/>
      <c r="CF1176" s="30"/>
      <c r="CG1176" s="30"/>
      <c r="CH1176" s="30"/>
      <c r="CI1176" s="30"/>
      <c r="CJ1176" s="30"/>
      <c r="CK1176" s="30"/>
      <c r="CL1176" s="30"/>
      <c r="CM1176" s="30"/>
      <c r="CN1176" s="30"/>
      <c r="CO1176" s="30"/>
      <c r="CP1176" s="30"/>
      <c r="CQ1176" s="30"/>
      <c r="CR1176" s="30"/>
      <c r="CS1176" s="30"/>
      <c r="CT1176" s="30"/>
      <c r="CU1176" s="30"/>
      <c r="CV1176" s="30"/>
      <c r="CW1176" s="30"/>
      <c r="CX1176" s="30"/>
      <c r="CY1176" s="30"/>
      <c r="CZ1176" s="30"/>
      <c r="DA1176" s="30"/>
      <c r="DB1176" s="30"/>
      <c r="DC1176" s="30"/>
      <c r="DD1176" s="30"/>
      <c r="DE1176" s="30"/>
      <c r="DF1176" s="30"/>
      <c r="DG1176" s="30"/>
      <c r="DH1176" s="30"/>
      <c r="DI1176" s="30"/>
      <c r="DJ1176" s="30"/>
      <c r="DK1176" s="30"/>
      <c r="DL1176" s="30"/>
      <c r="DM1176" s="30"/>
      <c r="DN1176" s="30"/>
      <c r="DO1176" s="30"/>
      <c r="DP1176" s="30"/>
      <c r="DQ1176" s="30"/>
      <c r="DR1176" s="30"/>
      <c r="DS1176" s="30"/>
      <c r="DT1176" s="30"/>
      <c r="DU1176" s="30"/>
      <c r="DV1176" s="30"/>
      <c r="DW1176" s="30"/>
      <c r="DX1176" s="30"/>
      <c r="DY1176" s="30"/>
      <c r="DZ1176" s="30"/>
    </row>
    <row r="1177">
      <c r="A1177" s="30"/>
      <c r="B1177" s="42"/>
      <c r="C1177" s="43"/>
      <c r="D1177" s="30"/>
      <c r="E1177" s="28"/>
      <c r="F1177" s="30"/>
      <c r="G1177" s="30"/>
      <c r="H1177" s="30"/>
      <c r="I1177" s="30"/>
      <c r="J1177" s="28"/>
      <c r="K1177" s="30"/>
      <c r="L1177" s="30"/>
      <c r="M1177" s="30"/>
      <c r="N1177" s="30"/>
      <c r="O1177" s="28"/>
      <c r="P1177" s="30"/>
      <c r="Q1177" s="30"/>
      <c r="R1177" s="30"/>
      <c r="S1177" s="36"/>
      <c r="T1177" s="30"/>
      <c r="U1177" s="36"/>
      <c r="V1177" s="30"/>
      <c r="W1177" s="28"/>
      <c r="X1177" s="30"/>
      <c r="Y1177" s="30"/>
      <c r="Z1177" s="30"/>
      <c r="AA1177" s="30"/>
      <c r="AB1177" s="30"/>
      <c r="AC1177" s="28"/>
      <c r="AD1177" s="30"/>
      <c r="AE1177" s="30"/>
      <c r="AF1177" s="30"/>
      <c r="AG1177" s="29"/>
      <c r="AH1177" s="30"/>
      <c r="AI1177" s="36"/>
      <c r="AJ1177" s="30"/>
      <c r="AK1177" s="29"/>
      <c r="AL1177" s="30"/>
      <c r="AM1177" s="30"/>
      <c r="AN1177" s="30"/>
      <c r="AO1177" s="30"/>
      <c r="AP1177" s="30"/>
      <c r="AQ1177" s="38"/>
      <c r="AR1177" s="30"/>
      <c r="AS1177" s="30"/>
      <c r="AT1177" s="29"/>
      <c r="AU1177" s="30"/>
      <c r="AV1177" s="30"/>
      <c r="AW1177" s="30"/>
      <c r="AX1177" s="29"/>
      <c r="AY1177" s="39"/>
      <c r="AZ1177" s="30"/>
      <c r="BA1177" s="30"/>
      <c r="BB1177" s="29"/>
      <c r="BC1177" s="52"/>
      <c r="BD1177" s="30"/>
      <c r="BE1177" s="29"/>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0"/>
      <c r="CF1177" s="30"/>
      <c r="CG1177" s="30"/>
      <c r="CH1177" s="30"/>
      <c r="CI1177" s="30"/>
      <c r="CJ1177" s="30"/>
      <c r="CK1177" s="30"/>
      <c r="CL1177" s="30"/>
      <c r="CM1177" s="30"/>
      <c r="CN1177" s="30"/>
      <c r="CO1177" s="30"/>
      <c r="CP1177" s="30"/>
      <c r="CQ1177" s="30"/>
      <c r="CR1177" s="30"/>
      <c r="CS1177" s="30"/>
      <c r="CT1177" s="30"/>
      <c r="CU1177" s="30"/>
      <c r="CV1177" s="30"/>
      <c r="CW1177" s="30"/>
      <c r="CX1177" s="30"/>
      <c r="CY1177" s="30"/>
      <c r="CZ1177" s="30"/>
      <c r="DA1177" s="30"/>
      <c r="DB1177" s="30"/>
      <c r="DC1177" s="30"/>
      <c r="DD1177" s="30"/>
      <c r="DE1177" s="30"/>
      <c r="DF1177" s="30"/>
      <c r="DG1177" s="30"/>
      <c r="DH1177" s="30"/>
      <c r="DI1177" s="30"/>
      <c r="DJ1177" s="30"/>
      <c r="DK1177" s="30"/>
      <c r="DL1177" s="30"/>
      <c r="DM1177" s="30"/>
      <c r="DN1177" s="30"/>
      <c r="DO1177" s="30"/>
      <c r="DP1177" s="30"/>
      <c r="DQ1177" s="30"/>
      <c r="DR1177" s="30"/>
      <c r="DS1177" s="30"/>
      <c r="DT1177" s="30"/>
      <c r="DU1177" s="30"/>
      <c r="DV1177" s="30"/>
      <c r="DW1177" s="30"/>
      <c r="DX1177" s="30"/>
      <c r="DY1177" s="30"/>
      <c r="DZ1177" s="30"/>
    </row>
    <row r="1178">
      <c r="A1178" s="30"/>
      <c r="B1178" s="42"/>
      <c r="C1178" s="43"/>
      <c r="D1178" s="30"/>
      <c r="E1178" s="28"/>
      <c r="F1178" s="30"/>
      <c r="G1178" s="30"/>
      <c r="H1178" s="30"/>
      <c r="I1178" s="30"/>
      <c r="J1178" s="28"/>
      <c r="K1178" s="30"/>
      <c r="L1178" s="30"/>
      <c r="M1178" s="30"/>
      <c r="N1178" s="30"/>
      <c r="O1178" s="28"/>
      <c r="P1178" s="30"/>
      <c r="Q1178" s="30"/>
      <c r="R1178" s="30"/>
      <c r="S1178" s="36"/>
      <c r="T1178" s="30"/>
      <c r="U1178" s="36"/>
      <c r="V1178" s="30"/>
      <c r="W1178" s="28"/>
      <c r="X1178" s="30"/>
      <c r="Y1178" s="30"/>
      <c r="Z1178" s="30"/>
      <c r="AA1178" s="30"/>
      <c r="AB1178" s="30"/>
      <c r="AC1178" s="28"/>
      <c r="AD1178" s="30"/>
      <c r="AE1178" s="30"/>
      <c r="AF1178" s="30"/>
      <c r="AG1178" s="29"/>
      <c r="AH1178" s="30"/>
      <c r="AI1178" s="36"/>
      <c r="AJ1178" s="30"/>
      <c r="AK1178" s="29"/>
      <c r="AL1178" s="30"/>
      <c r="AM1178" s="30"/>
      <c r="AN1178" s="30"/>
      <c r="AO1178" s="30"/>
      <c r="AP1178" s="30"/>
      <c r="AQ1178" s="38"/>
      <c r="AR1178" s="30"/>
      <c r="AS1178" s="30"/>
      <c r="AT1178" s="29"/>
      <c r="AU1178" s="30"/>
      <c r="AV1178" s="30"/>
      <c r="AW1178" s="30"/>
      <c r="AX1178" s="29"/>
      <c r="AY1178" s="39"/>
      <c r="AZ1178" s="30"/>
      <c r="BA1178" s="30"/>
      <c r="BB1178" s="29"/>
      <c r="BC1178" s="52"/>
      <c r="BD1178" s="30"/>
      <c r="BE1178" s="29"/>
      <c r="BF1178" s="30"/>
      <c r="BG1178" s="30"/>
      <c r="BH1178" s="30"/>
      <c r="BI1178" s="30"/>
      <c r="BJ1178" s="30"/>
      <c r="BK1178" s="30"/>
      <c r="BL1178" s="30"/>
      <c r="BM1178" s="30"/>
      <c r="BN1178" s="30"/>
      <c r="BO1178" s="30"/>
      <c r="BP1178" s="30"/>
      <c r="BQ1178" s="30"/>
      <c r="BR1178" s="30"/>
      <c r="BS1178" s="30"/>
      <c r="BT1178" s="30"/>
      <c r="BU1178" s="30"/>
      <c r="BV1178" s="30"/>
      <c r="BW1178" s="30"/>
      <c r="BX1178" s="30"/>
      <c r="BY1178" s="30"/>
      <c r="BZ1178" s="30"/>
      <c r="CA1178" s="30"/>
      <c r="CB1178" s="30"/>
      <c r="CC1178" s="30"/>
      <c r="CD1178" s="30"/>
      <c r="CE1178" s="30"/>
      <c r="CF1178" s="30"/>
      <c r="CG1178" s="30"/>
      <c r="CH1178" s="30"/>
      <c r="CI1178" s="30"/>
      <c r="CJ1178" s="30"/>
      <c r="CK1178" s="30"/>
      <c r="CL1178" s="30"/>
      <c r="CM1178" s="30"/>
      <c r="CN1178" s="30"/>
      <c r="CO1178" s="30"/>
      <c r="CP1178" s="30"/>
      <c r="CQ1178" s="30"/>
      <c r="CR1178" s="30"/>
      <c r="CS1178" s="30"/>
      <c r="CT1178" s="30"/>
      <c r="CU1178" s="30"/>
      <c r="CV1178" s="30"/>
      <c r="CW1178" s="30"/>
      <c r="CX1178" s="30"/>
      <c r="CY1178" s="30"/>
      <c r="CZ1178" s="30"/>
      <c r="DA1178" s="30"/>
      <c r="DB1178" s="30"/>
      <c r="DC1178" s="30"/>
      <c r="DD1178" s="30"/>
      <c r="DE1178" s="30"/>
      <c r="DF1178" s="30"/>
      <c r="DG1178" s="30"/>
      <c r="DH1178" s="30"/>
      <c r="DI1178" s="30"/>
      <c r="DJ1178" s="30"/>
      <c r="DK1178" s="30"/>
      <c r="DL1178" s="30"/>
      <c r="DM1178" s="30"/>
      <c r="DN1178" s="30"/>
      <c r="DO1178" s="30"/>
      <c r="DP1178" s="30"/>
      <c r="DQ1178" s="30"/>
      <c r="DR1178" s="30"/>
      <c r="DS1178" s="30"/>
      <c r="DT1178" s="30"/>
      <c r="DU1178" s="30"/>
      <c r="DV1178" s="30"/>
      <c r="DW1178" s="30"/>
      <c r="DX1178" s="30"/>
      <c r="DY1178" s="30"/>
      <c r="DZ1178" s="30"/>
    </row>
    <row r="1179">
      <c r="A1179" s="30"/>
      <c r="B1179" s="42"/>
      <c r="C1179" s="43"/>
      <c r="D1179" s="30"/>
      <c r="E1179" s="28"/>
      <c r="F1179" s="30"/>
      <c r="G1179" s="30"/>
      <c r="H1179" s="30"/>
      <c r="I1179" s="30"/>
      <c r="J1179" s="28"/>
      <c r="K1179" s="30"/>
      <c r="L1179" s="30"/>
      <c r="M1179" s="30"/>
      <c r="N1179" s="30"/>
      <c r="O1179" s="28"/>
      <c r="P1179" s="30"/>
      <c r="Q1179" s="30"/>
      <c r="R1179" s="30"/>
      <c r="S1179" s="36"/>
      <c r="T1179" s="30"/>
      <c r="U1179" s="36"/>
      <c r="V1179" s="30"/>
      <c r="W1179" s="28"/>
      <c r="X1179" s="30"/>
      <c r="Y1179" s="30"/>
      <c r="Z1179" s="30"/>
      <c r="AA1179" s="30"/>
      <c r="AB1179" s="30"/>
      <c r="AC1179" s="28"/>
      <c r="AD1179" s="30"/>
      <c r="AE1179" s="30"/>
      <c r="AF1179" s="30"/>
      <c r="AG1179" s="29"/>
      <c r="AH1179" s="30"/>
      <c r="AI1179" s="36"/>
      <c r="AJ1179" s="30"/>
      <c r="AK1179" s="29"/>
      <c r="AL1179" s="30"/>
      <c r="AM1179" s="30"/>
      <c r="AN1179" s="30"/>
      <c r="AO1179" s="30"/>
      <c r="AP1179" s="30"/>
      <c r="AQ1179" s="38"/>
      <c r="AR1179" s="30"/>
      <c r="AS1179" s="30"/>
      <c r="AT1179" s="29"/>
      <c r="AU1179" s="30"/>
      <c r="AV1179" s="30"/>
      <c r="AW1179" s="30"/>
      <c r="AX1179" s="29"/>
      <c r="AY1179" s="39"/>
      <c r="AZ1179" s="30"/>
      <c r="BA1179" s="30"/>
      <c r="BB1179" s="29"/>
      <c r="BC1179" s="52"/>
      <c r="BD1179" s="30"/>
      <c r="BE1179" s="29"/>
      <c r="BF1179" s="30"/>
      <c r="BG1179" s="30"/>
      <c r="BH1179" s="30"/>
      <c r="BI1179" s="30"/>
      <c r="BJ1179" s="30"/>
      <c r="BK1179" s="30"/>
      <c r="BL1179" s="30"/>
      <c r="BM1179" s="30"/>
      <c r="BN1179" s="30"/>
      <c r="BO1179" s="30"/>
      <c r="BP1179" s="30"/>
      <c r="BQ1179" s="30"/>
      <c r="BR1179" s="30"/>
      <c r="BS1179" s="30"/>
      <c r="BT1179" s="30"/>
      <c r="BU1179" s="30"/>
      <c r="BV1179" s="30"/>
      <c r="BW1179" s="30"/>
      <c r="BX1179" s="30"/>
      <c r="BY1179" s="30"/>
      <c r="BZ1179" s="30"/>
      <c r="CA1179" s="30"/>
      <c r="CB1179" s="30"/>
      <c r="CC1179" s="30"/>
      <c r="CD1179" s="30"/>
      <c r="CE1179" s="30"/>
      <c r="CF1179" s="30"/>
      <c r="CG1179" s="30"/>
      <c r="CH1179" s="30"/>
      <c r="CI1179" s="30"/>
      <c r="CJ1179" s="30"/>
      <c r="CK1179" s="30"/>
      <c r="CL1179" s="30"/>
      <c r="CM1179" s="30"/>
      <c r="CN1179" s="30"/>
      <c r="CO1179" s="30"/>
      <c r="CP1179" s="30"/>
      <c r="CQ1179" s="30"/>
      <c r="CR1179" s="30"/>
      <c r="CS1179" s="30"/>
      <c r="CT1179" s="30"/>
      <c r="CU1179" s="30"/>
      <c r="CV1179" s="30"/>
      <c r="CW1179" s="30"/>
      <c r="CX1179" s="30"/>
      <c r="CY1179" s="30"/>
      <c r="CZ1179" s="30"/>
      <c r="DA1179" s="30"/>
      <c r="DB1179" s="30"/>
      <c r="DC1179" s="30"/>
      <c r="DD1179" s="30"/>
      <c r="DE1179" s="30"/>
      <c r="DF1179" s="30"/>
      <c r="DG1179" s="30"/>
      <c r="DH1179" s="30"/>
      <c r="DI1179" s="30"/>
      <c r="DJ1179" s="30"/>
      <c r="DK1179" s="30"/>
      <c r="DL1179" s="30"/>
      <c r="DM1179" s="30"/>
      <c r="DN1179" s="30"/>
      <c r="DO1179" s="30"/>
      <c r="DP1179" s="30"/>
      <c r="DQ1179" s="30"/>
      <c r="DR1179" s="30"/>
      <c r="DS1179" s="30"/>
      <c r="DT1179" s="30"/>
      <c r="DU1179" s="30"/>
      <c r="DV1179" s="30"/>
      <c r="DW1179" s="30"/>
      <c r="DX1179" s="30"/>
      <c r="DY1179" s="30"/>
      <c r="DZ1179" s="30"/>
    </row>
    <row r="1180">
      <c r="A1180" s="30"/>
      <c r="B1180" s="42"/>
      <c r="C1180" s="43"/>
      <c r="D1180" s="30"/>
      <c r="E1180" s="28"/>
      <c r="F1180" s="30"/>
      <c r="G1180" s="30"/>
      <c r="H1180" s="30"/>
      <c r="I1180" s="30"/>
      <c r="J1180" s="28"/>
      <c r="K1180" s="30"/>
      <c r="L1180" s="30"/>
      <c r="M1180" s="30"/>
      <c r="N1180" s="30"/>
      <c r="O1180" s="28"/>
      <c r="P1180" s="30"/>
      <c r="Q1180" s="30"/>
      <c r="R1180" s="30"/>
      <c r="S1180" s="36"/>
      <c r="T1180" s="30"/>
      <c r="U1180" s="36"/>
      <c r="V1180" s="30"/>
      <c r="W1180" s="28"/>
      <c r="X1180" s="30"/>
      <c r="Y1180" s="30"/>
      <c r="Z1180" s="30"/>
      <c r="AA1180" s="30"/>
      <c r="AB1180" s="30"/>
      <c r="AC1180" s="28"/>
      <c r="AD1180" s="30"/>
      <c r="AE1180" s="30"/>
      <c r="AF1180" s="30"/>
      <c r="AG1180" s="29"/>
      <c r="AH1180" s="30"/>
      <c r="AI1180" s="36"/>
      <c r="AJ1180" s="30"/>
      <c r="AK1180" s="29"/>
      <c r="AL1180" s="30"/>
      <c r="AM1180" s="30"/>
      <c r="AN1180" s="30"/>
      <c r="AO1180" s="30"/>
      <c r="AP1180" s="30"/>
      <c r="AQ1180" s="38"/>
      <c r="AR1180" s="30"/>
      <c r="AS1180" s="30"/>
      <c r="AT1180" s="29"/>
      <c r="AU1180" s="30"/>
      <c r="AV1180" s="30"/>
      <c r="AW1180" s="30"/>
      <c r="AX1180" s="29"/>
      <c r="AY1180" s="39"/>
      <c r="AZ1180" s="30"/>
      <c r="BA1180" s="30"/>
      <c r="BB1180" s="29"/>
      <c r="BC1180" s="52"/>
      <c r="BD1180" s="30"/>
      <c r="BE1180" s="29"/>
      <c r="BF1180" s="30"/>
      <c r="BG1180" s="30"/>
      <c r="BH1180" s="30"/>
      <c r="BI1180" s="30"/>
      <c r="BJ1180" s="30"/>
      <c r="BK1180" s="30"/>
      <c r="BL1180" s="30"/>
      <c r="BM1180" s="30"/>
      <c r="BN1180" s="30"/>
      <c r="BO1180" s="30"/>
      <c r="BP1180" s="30"/>
      <c r="BQ1180" s="30"/>
      <c r="BR1180" s="30"/>
      <c r="BS1180" s="30"/>
      <c r="BT1180" s="30"/>
      <c r="BU1180" s="30"/>
      <c r="BV1180" s="30"/>
      <c r="BW1180" s="30"/>
      <c r="BX1180" s="30"/>
      <c r="BY1180" s="30"/>
      <c r="BZ1180" s="30"/>
      <c r="CA1180" s="30"/>
      <c r="CB1180" s="30"/>
      <c r="CC1180" s="30"/>
      <c r="CD1180" s="30"/>
      <c r="CE1180" s="30"/>
      <c r="CF1180" s="30"/>
      <c r="CG1180" s="30"/>
      <c r="CH1180" s="30"/>
      <c r="CI1180" s="30"/>
      <c r="CJ1180" s="30"/>
      <c r="CK1180" s="30"/>
      <c r="CL1180" s="30"/>
      <c r="CM1180" s="30"/>
      <c r="CN1180" s="30"/>
      <c r="CO1180" s="30"/>
      <c r="CP1180" s="30"/>
      <c r="CQ1180" s="30"/>
      <c r="CR1180" s="30"/>
      <c r="CS1180" s="30"/>
      <c r="CT1180" s="30"/>
      <c r="CU1180" s="30"/>
      <c r="CV1180" s="30"/>
      <c r="CW1180" s="30"/>
      <c r="CX1180" s="30"/>
      <c r="CY1180" s="30"/>
      <c r="CZ1180" s="30"/>
      <c r="DA1180" s="30"/>
      <c r="DB1180" s="30"/>
      <c r="DC1180" s="30"/>
      <c r="DD1180" s="30"/>
      <c r="DE1180" s="30"/>
      <c r="DF1180" s="30"/>
      <c r="DG1180" s="30"/>
      <c r="DH1180" s="30"/>
      <c r="DI1180" s="30"/>
      <c r="DJ1180" s="30"/>
      <c r="DK1180" s="30"/>
      <c r="DL1180" s="30"/>
      <c r="DM1180" s="30"/>
      <c r="DN1180" s="30"/>
      <c r="DO1180" s="30"/>
      <c r="DP1180" s="30"/>
      <c r="DQ1180" s="30"/>
      <c r="DR1180" s="30"/>
      <c r="DS1180" s="30"/>
      <c r="DT1180" s="30"/>
      <c r="DU1180" s="30"/>
      <c r="DV1180" s="30"/>
      <c r="DW1180" s="30"/>
      <c r="DX1180" s="30"/>
      <c r="DY1180" s="30"/>
      <c r="DZ1180" s="30"/>
    </row>
    <row r="1181">
      <c r="A1181" s="30"/>
      <c r="B1181" s="42"/>
      <c r="C1181" s="43"/>
      <c r="D1181" s="30"/>
      <c r="E1181" s="28"/>
      <c r="F1181" s="30"/>
      <c r="G1181" s="30"/>
      <c r="H1181" s="30"/>
      <c r="I1181" s="30"/>
      <c r="J1181" s="28"/>
      <c r="K1181" s="30"/>
      <c r="L1181" s="30"/>
      <c r="M1181" s="30"/>
      <c r="N1181" s="30"/>
      <c r="O1181" s="28"/>
      <c r="P1181" s="30"/>
      <c r="Q1181" s="30"/>
      <c r="R1181" s="30"/>
      <c r="S1181" s="36"/>
      <c r="T1181" s="30"/>
      <c r="U1181" s="36"/>
      <c r="V1181" s="30"/>
      <c r="W1181" s="28"/>
      <c r="X1181" s="30"/>
      <c r="Y1181" s="30"/>
      <c r="Z1181" s="30"/>
      <c r="AA1181" s="30"/>
      <c r="AB1181" s="30"/>
      <c r="AC1181" s="28"/>
      <c r="AD1181" s="30"/>
      <c r="AE1181" s="30"/>
      <c r="AF1181" s="30"/>
      <c r="AG1181" s="29"/>
      <c r="AH1181" s="30"/>
      <c r="AI1181" s="36"/>
      <c r="AJ1181" s="30"/>
      <c r="AK1181" s="29"/>
      <c r="AL1181" s="30"/>
      <c r="AM1181" s="30"/>
      <c r="AN1181" s="30"/>
      <c r="AO1181" s="30"/>
      <c r="AP1181" s="30"/>
      <c r="AQ1181" s="38"/>
      <c r="AR1181" s="30"/>
      <c r="AS1181" s="30"/>
      <c r="AT1181" s="29"/>
      <c r="AU1181" s="30"/>
      <c r="AV1181" s="30"/>
      <c r="AW1181" s="30"/>
      <c r="AX1181" s="29"/>
      <c r="AY1181" s="39"/>
      <c r="AZ1181" s="30"/>
      <c r="BA1181" s="30"/>
      <c r="BB1181" s="29"/>
      <c r="BC1181" s="52"/>
      <c r="BD1181" s="30"/>
      <c r="BE1181" s="29"/>
      <c r="BF1181" s="30"/>
      <c r="BG1181" s="30"/>
      <c r="BH1181" s="30"/>
      <c r="BI1181" s="30"/>
      <c r="BJ1181" s="30"/>
      <c r="BK1181" s="30"/>
      <c r="BL1181" s="30"/>
      <c r="BM1181" s="30"/>
      <c r="BN1181" s="30"/>
      <c r="BO1181" s="30"/>
      <c r="BP1181" s="30"/>
      <c r="BQ1181" s="30"/>
      <c r="BR1181" s="30"/>
      <c r="BS1181" s="30"/>
      <c r="BT1181" s="30"/>
      <c r="BU1181" s="30"/>
      <c r="BV1181" s="30"/>
      <c r="BW1181" s="30"/>
      <c r="BX1181" s="30"/>
      <c r="BY1181" s="30"/>
      <c r="BZ1181" s="30"/>
      <c r="CA1181" s="30"/>
      <c r="CB1181" s="30"/>
      <c r="CC1181" s="30"/>
      <c r="CD1181" s="30"/>
      <c r="CE1181" s="30"/>
      <c r="CF1181" s="30"/>
      <c r="CG1181" s="30"/>
      <c r="CH1181" s="30"/>
      <c r="CI1181" s="30"/>
      <c r="CJ1181" s="30"/>
      <c r="CK1181" s="30"/>
      <c r="CL1181" s="30"/>
      <c r="CM1181" s="30"/>
      <c r="CN1181" s="30"/>
      <c r="CO1181" s="30"/>
      <c r="CP1181" s="30"/>
      <c r="CQ1181" s="30"/>
      <c r="CR1181" s="30"/>
      <c r="CS1181" s="30"/>
      <c r="CT1181" s="30"/>
      <c r="CU1181" s="30"/>
      <c r="CV1181" s="30"/>
      <c r="CW1181" s="30"/>
      <c r="CX1181" s="30"/>
      <c r="CY1181" s="30"/>
      <c r="CZ1181" s="30"/>
      <c r="DA1181" s="30"/>
      <c r="DB1181" s="30"/>
      <c r="DC1181" s="30"/>
      <c r="DD1181" s="30"/>
      <c r="DE1181" s="30"/>
      <c r="DF1181" s="30"/>
      <c r="DG1181" s="30"/>
      <c r="DH1181" s="30"/>
      <c r="DI1181" s="30"/>
      <c r="DJ1181" s="30"/>
      <c r="DK1181" s="30"/>
      <c r="DL1181" s="30"/>
      <c r="DM1181" s="30"/>
      <c r="DN1181" s="30"/>
      <c r="DO1181" s="30"/>
      <c r="DP1181" s="30"/>
      <c r="DQ1181" s="30"/>
      <c r="DR1181" s="30"/>
      <c r="DS1181" s="30"/>
      <c r="DT1181" s="30"/>
      <c r="DU1181" s="30"/>
      <c r="DV1181" s="30"/>
      <c r="DW1181" s="30"/>
      <c r="DX1181" s="30"/>
      <c r="DY1181" s="30"/>
      <c r="DZ1181" s="30"/>
    </row>
    <row r="1182">
      <c r="A1182" s="30"/>
      <c r="B1182" s="42"/>
      <c r="C1182" s="43"/>
      <c r="D1182" s="30"/>
      <c r="E1182" s="28"/>
      <c r="F1182" s="30"/>
      <c r="G1182" s="30"/>
      <c r="H1182" s="30"/>
      <c r="I1182" s="30"/>
      <c r="J1182" s="28"/>
      <c r="K1182" s="30"/>
      <c r="L1182" s="30"/>
      <c r="M1182" s="30"/>
      <c r="N1182" s="30"/>
      <c r="O1182" s="28"/>
      <c r="P1182" s="30"/>
      <c r="Q1182" s="30"/>
      <c r="R1182" s="30"/>
      <c r="S1182" s="36"/>
      <c r="T1182" s="30"/>
      <c r="U1182" s="36"/>
      <c r="V1182" s="30"/>
      <c r="W1182" s="28"/>
      <c r="X1182" s="30"/>
      <c r="Y1182" s="30"/>
      <c r="Z1182" s="30"/>
      <c r="AA1182" s="30"/>
      <c r="AB1182" s="30"/>
      <c r="AC1182" s="28"/>
      <c r="AD1182" s="30"/>
      <c r="AE1182" s="30"/>
      <c r="AF1182" s="30"/>
      <c r="AG1182" s="29"/>
      <c r="AH1182" s="30"/>
      <c r="AI1182" s="36"/>
      <c r="AJ1182" s="30"/>
      <c r="AK1182" s="29"/>
      <c r="AL1182" s="30"/>
      <c r="AM1182" s="30"/>
      <c r="AN1182" s="30"/>
      <c r="AO1182" s="30"/>
      <c r="AP1182" s="30"/>
      <c r="AQ1182" s="38"/>
      <c r="AR1182" s="30"/>
      <c r="AS1182" s="30"/>
      <c r="AT1182" s="29"/>
      <c r="AU1182" s="30"/>
      <c r="AV1182" s="30"/>
      <c r="AW1182" s="30"/>
      <c r="AX1182" s="29"/>
      <c r="AY1182" s="39"/>
      <c r="AZ1182" s="30"/>
      <c r="BA1182" s="30"/>
      <c r="BB1182" s="29"/>
      <c r="BC1182" s="52"/>
      <c r="BD1182" s="30"/>
      <c r="BE1182" s="29"/>
      <c r="BF1182" s="30"/>
      <c r="BG1182" s="30"/>
      <c r="BH1182" s="30"/>
      <c r="BI1182" s="30"/>
      <c r="BJ1182" s="30"/>
      <c r="BK1182" s="30"/>
      <c r="BL1182" s="30"/>
      <c r="BM1182" s="30"/>
      <c r="BN1182" s="30"/>
      <c r="BO1182" s="30"/>
      <c r="BP1182" s="30"/>
      <c r="BQ1182" s="30"/>
      <c r="BR1182" s="30"/>
      <c r="BS1182" s="30"/>
      <c r="BT1182" s="30"/>
      <c r="BU1182" s="30"/>
      <c r="BV1182" s="30"/>
      <c r="BW1182" s="30"/>
      <c r="BX1182" s="30"/>
      <c r="BY1182" s="30"/>
      <c r="BZ1182" s="30"/>
      <c r="CA1182" s="30"/>
      <c r="CB1182" s="30"/>
      <c r="CC1182" s="30"/>
      <c r="CD1182" s="30"/>
      <c r="CE1182" s="30"/>
      <c r="CF1182" s="30"/>
      <c r="CG1182" s="30"/>
      <c r="CH1182" s="30"/>
      <c r="CI1182" s="30"/>
      <c r="CJ1182" s="30"/>
      <c r="CK1182" s="30"/>
      <c r="CL1182" s="30"/>
      <c r="CM1182" s="30"/>
      <c r="CN1182" s="30"/>
      <c r="CO1182" s="30"/>
      <c r="CP1182" s="30"/>
      <c r="CQ1182" s="30"/>
      <c r="CR1182" s="30"/>
      <c r="CS1182" s="30"/>
      <c r="CT1182" s="30"/>
      <c r="CU1182" s="30"/>
      <c r="CV1182" s="30"/>
      <c r="CW1182" s="30"/>
      <c r="CX1182" s="30"/>
      <c r="CY1182" s="30"/>
      <c r="CZ1182" s="30"/>
      <c r="DA1182" s="30"/>
      <c r="DB1182" s="30"/>
      <c r="DC1182" s="30"/>
      <c r="DD1182" s="30"/>
      <c r="DE1182" s="30"/>
      <c r="DF1182" s="30"/>
      <c r="DG1182" s="30"/>
      <c r="DH1182" s="30"/>
      <c r="DI1182" s="30"/>
      <c r="DJ1182" s="30"/>
      <c r="DK1182" s="30"/>
      <c r="DL1182" s="30"/>
      <c r="DM1182" s="30"/>
      <c r="DN1182" s="30"/>
      <c r="DO1182" s="30"/>
      <c r="DP1182" s="30"/>
      <c r="DQ1182" s="30"/>
      <c r="DR1182" s="30"/>
      <c r="DS1182" s="30"/>
      <c r="DT1182" s="30"/>
      <c r="DU1182" s="30"/>
      <c r="DV1182" s="30"/>
      <c r="DW1182" s="30"/>
      <c r="DX1182" s="30"/>
      <c r="DY1182" s="30"/>
      <c r="DZ1182" s="30"/>
    </row>
    <row r="1183">
      <c r="A1183" s="30"/>
      <c r="B1183" s="42"/>
      <c r="C1183" s="43"/>
      <c r="D1183" s="30"/>
      <c r="E1183" s="28"/>
      <c r="F1183" s="30"/>
      <c r="G1183" s="30"/>
      <c r="H1183" s="30"/>
      <c r="I1183" s="30"/>
      <c r="J1183" s="28"/>
      <c r="K1183" s="30"/>
      <c r="L1183" s="30"/>
      <c r="M1183" s="30"/>
      <c r="N1183" s="30"/>
      <c r="O1183" s="28"/>
      <c r="P1183" s="30"/>
      <c r="Q1183" s="30"/>
      <c r="R1183" s="30"/>
      <c r="S1183" s="36"/>
      <c r="T1183" s="30"/>
      <c r="U1183" s="36"/>
      <c r="V1183" s="30"/>
      <c r="W1183" s="28"/>
      <c r="X1183" s="30"/>
      <c r="Y1183" s="30"/>
      <c r="Z1183" s="30"/>
      <c r="AA1183" s="30"/>
      <c r="AB1183" s="30"/>
      <c r="AC1183" s="28"/>
      <c r="AD1183" s="30"/>
      <c r="AE1183" s="30"/>
      <c r="AF1183" s="30"/>
      <c r="AG1183" s="29"/>
      <c r="AH1183" s="30"/>
      <c r="AI1183" s="36"/>
      <c r="AJ1183" s="30"/>
      <c r="AK1183" s="29"/>
      <c r="AL1183" s="30"/>
      <c r="AM1183" s="30"/>
      <c r="AN1183" s="30"/>
      <c r="AO1183" s="30"/>
      <c r="AP1183" s="30"/>
      <c r="AQ1183" s="38"/>
      <c r="AR1183" s="30"/>
      <c r="AS1183" s="30"/>
      <c r="AT1183" s="29"/>
      <c r="AU1183" s="30"/>
      <c r="AV1183" s="30"/>
      <c r="AW1183" s="30"/>
      <c r="AX1183" s="29"/>
      <c r="AY1183" s="39"/>
      <c r="AZ1183" s="30"/>
      <c r="BA1183" s="30"/>
      <c r="BB1183" s="29"/>
      <c r="BC1183" s="52"/>
      <c r="BD1183" s="30"/>
      <c r="BE1183" s="29"/>
      <c r="BF1183" s="30"/>
      <c r="BG1183" s="30"/>
      <c r="BH1183" s="30"/>
      <c r="BI1183" s="30"/>
      <c r="BJ1183" s="30"/>
      <c r="BK1183" s="30"/>
      <c r="BL1183" s="30"/>
      <c r="BM1183" s="30"/>
      <c r="BN1183" s="30"/>
      <c r="BO1183" s="30"/>
      <c r="BP1183" s="30"/>
      <c r="BQ1183" s="30"/>
      <c r="BR1183" s="30"/>
      <c r="BS1183" s="30"/>
      <c r="BT1183" s="30"/>
      <c r="BU1183" s="30"/>
      <c r="BV1183" s="30"/>
      <c r="BW1183" s="30"/>
      <c r="BX1183" s="30"/>
      <c r="BY1183" s="30"/>
      <c r="BZ1183" s="30"/>
      <c r="CA1183" s="30"/>
      <c r="CB1183" s="30"/>
      <c r="CC1183" s="30"/>
      <c r="CD1183" s="30"/>
      <c r="CE1183" s="30"/>
      <c r="CF1183" s="30"/>
      <c r="CG1183" s="30"/>
      <c r="CH1183" s="30"/>
      <c r="CI1183" s="30"/>
      <c r="CJ1183" s="30"/>
      <c r="CK1183" s="30"/>
      <c r="CL1183" s="30"/>
      <c r="CM1183" s="30"/>
      <c r="CN1183" s="30"/>
      <c r="CO1183" s="30"/>
      <c r="CP1183" s="30"/>
      <c r="CQ1183" s="30"/>
      <c r="CR1183" s="30"/>
      <c r="CS1183" s="30"/>
      <c r="CT1183" s="30"/>
      <c r="CU1183" s="30"/>
      <c r="CV1183" s="30"/>
      <c r="CW1183" s="30"/>
      <c r="CX1183" s="30"/>
      <c r="CY1183" s="30"/>
      <c r="CZ1183" s="30"/>
      <c r="DA1183" s="30"/>
      <c r="DB1183" s="30"/>
      <c r="DC1183" s="30"/>
      <c r="DD1183" s="30"/>
      <c r="DE1183" s="30"/>
      <c r="DF1183" s="30"/>
      <c r="DG1183" s="30"/>
      <c r="DH1183" s="30"/>
      <c r="DI1183" s="30"/>
      <c r="DJ1183" s="30"/>
      <c r="DK1183" s="30"/>
      <c r="DL1183" s="30"/>
      <c r="DM1183" s="30"/>
      <c r="DN1183" s="30"/>
      <c r="DO1183" s="30"/>
      <c r="DP1183" s="30"/>
      <c r="DQ1183" s="30"/>
      <c r="DR1183" s="30"/>
      <c r="DS1183" s="30"/>
      <c r="DT1183" s="30"/>
      <c r="DU1183" s="30"/>
      <c r="DV1183" s="30"/>
      <c r="DW1183" s="30"/>
      <c r="DX1183" s="30"/>
      <c r="DY1183" s="30"/>
      <c r="DZ1183" s="30"/>
    </row>
    <row r="1184">
      <c r="A1184" s="30"/>
      <c r="B1184" s="42"/>
      <c r="C1184" s="43"/>
      <c r="D1184" s="30"/>
      <c r="E1184" s="28"/>
      <c r="F1184" s="30"/>
      <c r="G1184" s="30"/>
      <c r="H1184" s="30"/>
      <c r="I1184" s="30"/>
      <c r="J1184" s="28"/>
      <c r="K1184" s="30"/>
      <c r="L1184" s="30"/>
      <c r="M1184" s="30"/>
      <c r="N1184" s="30"/>
      <c r="O1184" s="28"/>
      <c r="P1184" s="30"/>
      <c r="Q1184" s="30"/>
      <c r="R1184" s="30"/>
      <c r="S1184" s="36"/>
      <c r="T1184" s="30"/>
      <c r="U1184" s="36"/>
      <c r="V1184" s="30"/>
      <c r="W1184" s="28"/>
      <c r="X1184" s="30"/>
      <c r="Y1184" s="30"/>
      <c r="Z1184" s="30"/>
      <c r="AA1184" s="30"/>
      <c r="AB1184" s="30"/>
      <c r="AC1184" s="28"/>
      <c r="AD1184" s="30"/>
      <c r="AE1184" s="30"/>
      <c r="AF1184" s="30"/>
      <c r="AG1184" s="29"/>
      <c r="AH1184" s="30"/>
      <c r="AI1184" s="36"/>
      <c r="AJ1184" s="30"/>
      <c r="AK1184" s="29"/>
      <c r="AL1184" s="30"/>
      <c r="AM1184" s="30"/>
      <c r="AN1184" s="30"/>
      <c r="AO1184" s="30"/>
      <c r="AP1184" s="30"/>
      <c r="AQ1184" s="38"/>
      <c r="AR1184" s="30"/>
      <c r="AS1184" s="30"/>
      <c r="AT1184" s="29"/>
      <c r="AU1184" s="30"/>
      <c r="AV1184" s="30"/>
      <c r="AW1184" s="30"/>
      <c r="AX1184" s="29"/>
      <c r="AY1184" s="39"/>
      <c r="AZ1184" s="30"/>
      <c r="BA1184" s="30"/>
      <c r="BB1184" s="29"/>
      <c r="BC1184" s="52"/>
      <c r="BD1184" s="30"/>
      <c r="BE1184" s="29"/>
      <c r="BF1184" s="30"/>
      <c r="BG1184" s="30"/>
      <c r="BH1184" s="30"/>
      <c r="BI1184" s="30"/>
      <c r="BJ1184" s="30"/>
      <c r="BK1184" s="30"/>
      <c r="BL1184" s="30"/>
      <c r="BM1184" s="30"/>
      <c r="BN1184" s="30"/>
      <c r="BO1184" s="30"/>
      <c r="BP1184" s="30"/>
      <c r="BQ1184" s="30"/>
      <c r="BR1184" s="30"/>
      <c r="BS1184" s="30"/>
      <c r="BT1184" s="30"/>
      <c r="BU1184" s="30"/>
      <c r="BV1184" s="30"/>
      <c r="BW1184" s="30"/>
      <c r="BX1184" s="30"/>
      <c r="BY1184" s="30"/>
      <c r="BZ1184" s="30"/>
      <c r="CA1184" s="30"/>
      <c r="CB1184" s="30"/>
      <c r="CC1184" s="30"/>
      <c r="CD1184" s="30"/>
      <c r="CE1184" s="30"/>
      <c r="CF1184" s="30"/>
      <c r="CG1184" s="30"/>
      <c r="CH1184" s="30"/>
      <c r="CI1184" s="30"/>
      <c r="CJ1184" s="30"/>
      <c r="CK1184" s="30"/>
      <c r="CL1184" s="30"/>
      <c r="CM1184" s="30"/>
      <c r="CN1184" s="30"/>
      <c r="CO1184" s="30"/>
      <c r="CP1184" s="30"/>
      <c r="CQ1184" s="30"/>
      <c r="CR1184" s="30"/>
      <c r="CS1184" s="30"/>
      <c r="CT1184" s="30"/>
      <c r="CU1184" s="30"/>
      <c r="CV1184" s="30"/>
      <c r="CW1184" s="30"/>
      <c r="CX1184" s="30"/>
      <c r="CY1184" s="30"/>
      <c r="CZ1184" s="30"/>
      <c r="DA1184" s="30"/>
      <c r="DB1184" s="30"/>
      <c r="DC1184" s="30"/>
      <c r="DD1184" s="30"/>
      <c r="DE1184" s="30"/>
      <c r="DF1184" s="30"/>
      <c r="DG1184" s="30"/>
      <c r="DH1184" s="30"/>
      <c r="DI1184" s="30"/>
      <c r="DJ1184" s="30"/>
      <c r="DK1184" s="30"/>
      <c r="DL1184" s="30"/>
      <c r="DM1184" s="30"/>
      <c r="DN1184" s="30"/>
      <c r="DO1184" s="30"/>
      <c r="DP1184" s="30"/>
      <c r="DQ1184" s="30"/>
      <c r="DR1184" s="30"/>
      <c r="DS1184" s="30"/>
      <c r="DT1184" s="30"/>
      <c r="DU1184" s="30"/>
      <c r="DV1184" s="30"/>
      <c r="DW1184" s="30"/>
      <c r="DX1184" s="30"/>
      <c r="DY1184" s="30"/>
      <c r="DZ1184" s="30"/>
    </row>
    <row r="1185">
      <c r="A1185" s="30"/>
      <c r="B1185" s="42"/>
      <c r="C1185" s="43"/>
      <c r="D1185" s="30"/>
      <c r="E1185" s="28"/>
      <c r="F1185" s="30"/>
      <c r="G1185" s="30"/>
      <c r="H1185" s="30"/>
      <c r="I1185" s="30"/>
      <c r="J1185" s="28"/>
      <c r="K1185" s="30"/>
      <c r="L1185" s="30"/>
      <c r="M1185" s="30"/>
      <c r="N1185" s="30"/>
      <c r="O1185" s="28"/>
      <c r="P1185" s="30"/>
      <c r="Q1185" s="30"/>
      <c r="R1185" s="30"/>
      <c r="S1185" s="36"/>
      <c r="T1185" s="30"/>
      <c r="U1185" s="36"/>
      <c r="V1185" s="30"/>
      <c r="W1185" s="28"/>
      <c r="X1185" s="30"/>
      <c r="Y1185" s="30"/>
      <c r="Z1185" s="30"/>
      <c r="AA1185" s="30"/>
      <c r="AB1185" s="30"/>
      <c r="AC1185" s="28"/>
      <c r="AD1185" s="30"/>
      <c r="AE1185" s="30"/>
      <c r="AF1185" s="30"/>
      <c r="AG1185" s="29"/>
      <c r="AH1185" s="30"/>
      <c r="AI1185" s="36"/>
      <c r="AJ1185" s="30"/>
      <c r="AK1185" s="29"/>
      <c r="AL1185" s="30"/>
      <c r="AM1185" s="30"/>
      <c r="AN1185" s="30"/>
      <c r="AO1185" s="30"/>
      <c r="AP1185" s="30"/>
      <c r="AQ1185" s="38"/>
      <c r="AR1185" s="30"/>
      <c r="AS1185" s="30"/>
      <c r="AT1185" s="29"/>
      <c r="AU1185" s="30"/>
      <c r="AV1185" s="30"/>
      <c r="AW1185" s="30"/>
      <c r="AX1185" s="29"/>
      <c r="AY1185" s="39"/>
      <c r="AZ1185" s="30"/>
      <c r="BA1185" s="30"/>
      <c r="BB1185" s="29"/>
      <c r="BC1185" s="52"/>
      <c r="BD1185" s="30"/>
      <c r="BE1185" s="29"/>
      <c r="BF1185" s="30"/>
      <c r="BG1185" s="30"/>
      <c r="BH1185" s="30"/>
      <c r="BI1185" s="30"/>
      <c r="BJ1185" s="30"/>
      <c r="BK1185" s="30"/>
      <c r="BL1185" s="30"/>
      <c r="BM1185" s="30"/>
      <c r="BN1185" s="30"/>
      <c r="BO1185" s="30"/>
      <c r="BP1185" s="30"/>
      <c r="BQ1185" s="30"/>
      <c r="BR1185" s="30"/>
      <c r="BS1185" s="30"/>
      <c r="BT1185" s="30"/>
      <c r="BU1185" s="30"/>
      <c r="BV1185" s="30"/>
      <c r="BW1185" s="30"/>
      <c r="BX1185" s="30"/>
      <c r="BY1185" s="30"/>
      <c r="BZ1185" s="30"/>
      <c r="CA1185" s="30"/>
      <c r="CB1185" s="30"/>
      <c r="CC1185" s="30"/>
      <c r="CD1185" s="30"/>
      <c r="CE1185" s="30"/>
      <c r="CF1185" s="30"/>
      <c r="CG1185" s="30"/>
      <c r="CH1185" s="30"/>
      <c r="CI1185" s="30"/>
      <c r="CJ1185" s="30"/>
      <c r="CK1185" s="30"/>
      <c r="CL1185" s="30"/>
      <c r="CM1185" s="30"/>
      <c r="CN1185" s="30"/>
      <c r="CO1185" s="30"/>
      <c r="CP1185" s="30"/>
      <c r="CQ1185" s="30"/>
      <c r="CR1185" s="30"/>
      <c r="CS1185" s="30"/>
      <c r="CT1185" s="30"/>
      <c r="CU1185" s="30"/>
      <c r="CV1185" s="30"/>
      <c r="CW1185" s="30"/>
      <c r="CX1185" s="30"/>
      <c r="CY1185" s="30"/>
      <c r="CZ1185" s="30"/>
      <c r="DA1185" s="30"/>
      <c r="DB1185" s="30"/>
      <c r="DC1185" s="30"/>
      <c r="DD1185" s="30"/>
      <c r="DE1185" s="30"/>
      <c r="DF1185" s="30"/>
      <c r="DG1185" s="30"/>
      <c r="DH1185" s="30"/>
      <c r="DI1185" s="30"/>
      <c r="DJ1185" s="30"/>
      <c r="DK1185" s="30"/>
      <c r="DL1185" s="30"/>
      <c r="DM1185" s="30"/>
      <c r="DN1185" s="30"/>
      <c r="DO1185" s="30"/>
      <c r="DP1185" s="30"/>
      <c r="DQ1185" s="30"/>
      <c r="DR1185" s="30"/>
      <c r="DS1185" s="30"/>
      <c r="DT1185" s="30"/>
      <c r="DU1185" s="30"/>
      <c r="DV1185" s="30"/>
      <c r="DW1185" s="30"/>
      <c r="DX1185" s="30"/>
      <c r="DY1185" s="30"/>
      <c r="DZ1185" s="30"/>
    </row>
    <row r="1186">
      <c r="A1186" s="30"/>
      <c r="B1186" s="42"/>
      <c r="C1186" s="43"/>
      <c r="D1186" s="30"/>
      <c r="E1186" s="28"/>
      <c r="F1186" s="30"/>
      <c r="G1186" s="30"/>
      <c r="H1186" s="30"/>
      <c r="I1186" s="30"/>
      <c r="J1186" s="28"/>
      <c r="K1186" s="30"/>
      <c r="L1186" s="30"/>
      <c r="M1186" s="30"/>
      <c r="N1186" s="30"/>
      <c r="O1186" s="28"/>
      <c r="P1186" s="30"/>
      <c r="Q1186" s="30"/>
      <c r="R1186" s="30"/>
      <c r="S1186" s="36"/>
      <c r="T1186" s="30"/>
      <c r="U1186" s="36"/>
      <c r="V1186" s="30"/>
      <c r="W1186" s="28"/>
      <c r="X1186" s="30"/>
      <c r="Y1186" s="30"/>
      <c r="Z1186" s="30"/>
      <c r="AA1186" s="30"/>
      <c r="AB1186" s="30"/>
      <c r="AC1186" s="28"/>
      <c r="AD1186" s="30"/>
      <c r="AE1186" s="30"/>
      <c r="AF1186" s="30"/>
      <c r="AG1186" s="29"/>
      <c r="AH1186" s="30"/>
      <c r="AI1186" s="36"/>
      <c r="AJ1186" s="30"/>
      <c r="AK1186" s="29"/>
      <c r="AL1186" s="30"/>
      <c r="AM1186" s="30"/>
      <c r="AN1186" s="30"/>
      <c r="AO1186" s="30"/>
      <c r="AP1186" s="30"/>
      <c r="AQ1186" s="38"/>
      <c r="AR1186" s="30"/>
      <c r="AS1186" s="30"/>
      <c r="AT1186" s="29"/>
      <c r="AU1186" s="30"/>
      <c r="AV1186" s="30"/>
      <c r="AW1186" s="30"/>
      <c r="AX1186" s="29"/>
      <c r="AY1186" s="39"/>
      <c r="AZ1186" s="30"/>
      <c r="BA1186" s="30"/>
      <c r="BB1186" s="29"/>
      <c r="BC1186" s="52"/>
      <c r="BD1186" s="30"/>
      <c r="BE1186" s="29"/>
      <c r="BF1186" s="30"/>
      <c r="BG1186" s="30"/>
      <c r="BH1186" s="30"/>
      <c r="BI1186" s="30"/>
      <c r="BJ1186" s="30"/>
      <c r="BK1186" s="30"/>
      <c r="BL1186" s="30"/>
      <c r="BM1186" s="30"/>
      <c r="BN1186" s="30"/>
      <c r="BO1186" s="30"/>
      <c r="BP1186" s="30"/>
      <c r="BQ1186" s="30"/>
      <c r="BR1186" s="30"/>
      <c r="BS1186" s="30"/>
      <c r="BT1186" s="30"/>
      <c r="BU1186" s="30"/>
      <c r="BV1186" s="30"/>
      <c r="BW1186" s="30"/>
      <c r="BX1186" s="30"/>
      <c r="BY1186" s="30"/>
      <c r="BZ1186" s="30"/>
      <c r="CA1186" s="30"/>
      <c r="CB1186" s="30"/>
      <c r="CC1186" s="30"/>
      <c r="CD1186" s="30"/>
      <c r="CE1186" s="30"/>
      <c r="CF1186" s="30"/>
      <c r="CG1186" s="30"/>
      <c r="CH1186" s="30"/>
      <c r="CI1186" s="30"/>
      <c r="CJ1186" s="30"/>
      <c r="CK1186" s="30"/>
      <c r="CL1186" s="30"/>
      <c r="CM1186" s="30"/>
      <c r="CN1186" s="30"/>
      <c r="CO1186" s="30"/>
      <c r="CP1186" s="30"/>
      <c r="CQ1186" s="30"/>
      <c r="CR1186" s="30"/>
      <c r="CS1186" s="30"/>
      <c r="CT1186" s="30"/>
      <c r="CU1186" s="30"/>
      <c r="CV1186" s="30"/>
      <c r="CW1186" s="30"/>
      <c r="CX1186" s="30"/>
      <c r="CY1186" s="30"/>
      <c r="CZ1186" s="30"/>
      <c r="DA1186" s="30"/>
      <c r="DB1186" s="30"/>
      <c r="DC1186" s="30"/>
      <c r="DD1186" s="30"/>
      <c r="DE1186" s="30"/>
      <c r="DF1186" s="30"/>
      <c r="DG1186" s="30"/>
      <c r="DH1186" s="30"/>
      <c r="DI1186" s="30"/>
      <c r="DJ1186" s="30"/>
      <c r="DK1186" s="30"/>
      <c r="DL1186" s="30"/>
      <c r="DM1186" s="30"/>
      <c r="DN1186" s="30"/>
      <c r="DO1186" s="30"/>
      <c r="DP1186" s="30"/>
      <c r="DQ1186" s="30"/>
      <c r="DR1186" s="30"/>
      <c r="DS1186" s="30"/>
      <c r="DT1186" s="30"/>
      <c r="DU1186" s="30"/>
      <c r="DV1186" s="30"/>
      <c r="DW1186" s="30"/>
      <c r="DX1186" s="30"/>
      <c r="DY1186" s="30"/>
      <c r="DZ1186" s="30"/>
    </row>
    <row r="1187">
      <c r="A1187" s="30"/>
      <c r="B1187" s="42"/>
      <c r="C1187" s="43"/>
      <c r="D1187" s="30"/>
      <c r="E1187" s="28"/>
      <c r="F1187" s="30"/>
      <c r="G1187" s="30"/>
      <c r="H1187" s="30"/>
      <c r="I1187" s="30"/>
      <c r="J1187" s="28"/>
      <c r="K1187" s="30"/>
      <c r="L1187" s="30"/>
      <c r="M1187" s="30"/>
      <c r="N1187" s="30"/>
      <c r="O1187" s="28"/>
      <c r="P1187" s="30"/>
      <c r="Q1187" s="30"/>
      <c r="R1187" s="30"/>
      <c r="S1187" s="36"/>
      <c r="T1187" s="30"/>
      <c r="U1187" s="36"/>
      <c r="V1187" s="30"/>
      <c r="W1187" s="28"/>
      <c r="X1187" s="30"/>
      <c r="Y1187" s="30"/>
      <c r="Z1187" s="30"/>
      <c r="AA1187" s="30"/>
      <c r="AB1187" s="30"/>
      <c r="AC1187" s="28"/>
      <c r="AD1187" s="30"/>
      <c r="AE1187" s="30"/>
      <c r="AF1187" s="30"/>
      <c r="AG1187" s="29"/>
      <c r="AH1187" s="30"/>
      <c r="AI1187" s="36"/>
      <c r="AJ1187" s="30"/>
      <c r="AK1187" s="29"/>
      <c r="AL1187" s="30"/>
      <c r="AM1187" s="30"/>
      <c r="AN1187" s="30"/>
      <c r="AO1187" s="30"/>
      <c r="AP1187" s="30"/>
      <c r="AQ1187" s="38"/>
      <c r="AR1187" s="30"/>
      <c r="AS1187" s="30"/>
      <c r="AT1187" s="29"/>
      <c r="AU1187" s="30"/>
      <c r="AV1187" s="30"/>
      <c r="AW1187" s="30"/>
      <c r="AX1187" s="29"/>
      <c r="AY1187" s="39"/>
      <c r="AZ1187" s="30"/>
      <c r="BA1187" s="30"/>
      <c r="BB1187" s="29"/>
      <c r="BC1187" s="52"/>
      <c r="BD1187" s="30"/>
      <c r="BE1187" s="29"/>
      <c r="BF1187" s="30"/>
      <c r="BG1187" s="30"/>
      <c r="BH1187" s="30"/>
      <c r="BI1187" s="30"/>
      <c r="BJ1187" s="30"/>
      <c r="BK1187" s="30"/>
      <c r="BL1187" s="30"/>
      <c r="BM1187" s="30"/>
      <c r="BN1187" s="30"/>
      <c r="BO1187" s="30"/>
      <c r="BP1187" s="30"/>
      <c r="BQ1187" s="30"/>
      <c r="BR1187" s="30"/>
      <c r="BS1187" s="30"/>
      <c r="BT1187" s="30"/>
      <c r="BU1187" s="30"/>
      <c r="BV1187" s="30"/>
      <c r="BW1187" s="30"/>
      <c r="BX1187" s="30"/>
      <c r="BY1187" s="30"/>
      <c r="BZ1187" s="30"/>
      <c r="CA1187" s="30"/>
      <c r="CB1187" s="30"/>
      <c r="CC1187" s="30"/>
      <c r="CD1187" s="30"/>
      <c r="CE1187" s="30"/>
      <c r="CF1187" s="30"/>
      <c r="CG1187" s="30"/>
      <c r="CH1187" s="30"/>
      <c r="CI1187" s="30"/>
      <c r="CJ1187" s="30"/>
      <c r="CK1187" s="30"/>
      <c r="CL1187" s="30"/>
      <c r="CM1187" s="30"/>
      <c r="CN1187" s="30"/>
      <c r="CO1187" s="30"/>
      <c r="CP1187" s="30"/>
      <c r="CQ1187" s="30"/>
      <c r="CR1187" s="30"/>
      <c r="CS1187" s="30"/>
      <c r="CT1187" s="30"/>
      <c r="CU1187" s="30"/>
      <c r="CV1187" s="30"/>
      <c r="CW1187" s="30"/>
      <c r="CX1187" s="30"/>
      <c r="CY1187" s="30"/>
      <c r="CZ1187" s="30"/>
      <c r="DA1187" s="30"/>
      <c r="DB1187" s="30"/>
      <c r="DC1187" s="30"/>
      <c r="DD1187" s="30"/>
      <c r="DE1187" s="30"/>
      <c r="DF1187" s="30"/>
      <c r="DG1187" s="30"/>
      <c r="DH1187" s="30"/>
      <c r="DI1187" s="30"/>
      <c r="DJ1187" s="30"/>
      <c r="DK1187" s="30"/>
      <c r="DL1187" s="30"/>
      <c r="DM1187" s="30"/>
      <c r="DN1187" s="30"/>
      <c r="DO1187" s="30"/>
      <c r="DP1187" s="30"/>
      <c r="DQ1187" s="30"/>
      <c r="DR1187" s="30"/>
      <c r="DS1187" s="30"/>
      <c r="DT1187" s="30"/>
      <c r="DU1187" s="30"/>
      <c r="DV1187" s="30"/>
      <c r="DW1187" s="30"/>
      <c r="DX1187" s="30"/>
      <c r="DY1187" s="30"/>
      <c r="DZ1187" s="30"/>
    </row>
    <row r="1188">
      <c r="A1188" s="30"/>
      <c r="B1188" s="42"/>
      <c r="C1188" s="43"/>
      <c r="D1188" s="30"/>
      <c r="E1188" s="28"/>
      <c r="F1188" s="30"/>
      <c r="G1188" s="30"/>
      <c r="H1188" s="30"/>
      <c r="I1188" s="30"/>
      <c r="J1188" s="28"/>
      <c r="K1188" s="30"/>
      <c r="L1188" s="30"/>
      <c r="M1188" s="30"/>
      <c r="N1188" s="30"/>
      <c r="O1188" s="28"/>
      <c r="P1188" s="30"/>
      <c r="Q1188" s="30"/>
      <c r="R1188" s="30"/>
      <c r="S1188" s="36"/>
      <c r="T1188" s="30"/>
      <c r="U1188" s="36"/>
      <c r="V1188" s="30"/>
      <c r="W1188" s="28"/>
      <c r="X1188" s="30"/>
      <c r="Y1188" s="30"/>
      <c r="Z1188" s="30"/>
      <c r="AA1188" s="30"/>
      <c r="AB1188" s="30"/>
      <c r="AC1188" s="28"/>
      <c r="AD1188" s="30"/>
      <c r="AE1188" s="30"/>
      <c r="AF1188" s="30"/>
      <c r="AG1188" s="29"/>
      <c r="AH1188" s="30"/>
      <c r="AI1188" s="36"/>
      <c r="AJ1188" s="30"/>
      <c r="AK1188" s="29"/>
      <c r="AL1188" s="30"/>
      <c r="AM1188" s="30"/>
      <c r="AN1188" s="30"/>
      <c r="AO1188" s="30"/>
      <c r="AP1188" s="30"/>
      <c r="AQ1188" s="38"/>
      <c r="AR1188" s="30"/>
      <c r="AS1188" s="30"/>
      <c r="AT1188" s="29"/>
      <c r="AU1188" s="30"/>
      <c r="AV1188" s="30"/>
      <c r="AW1188" s="30"/>
      <c r="AX1188" s="29"/>
      <c r="AY1188" s="39"/>
      <c r="AZ1188" s="30"/>
      <c r="BA1188" s="30"/>
      <c r="BB1188" s="29"/>
      <c r="BC1188" s="52"/>
      <c r="BD1188" s="30"/>
      <c r="BE1188" s="29"/>
      <c r="BF1188" s="30"/>
      <c r="BG1188" s="30"/>
      <c r="BH1188" s="30"/>
      <c r="BI1188" s="30"/>
      <c r="BJ1188" s="30"/>
      <c r="BK1188" s="30"/>
      <c r="BL1188" s="30"/>
      <c r="BM1188" s="30"/>
      <c r="BN1188" s="30"/>
      <c r="BO1188" s="30"/>
      <c r="BP1188" s="30"/>
      <c r="BQ1188" s="30"/>
      <c r="BR1188" s="30"/>
      <c r="BS1188" s="30"/>
      <c r="BT1188" s="30"/>
      <c r="BU1188" s="30"/>
      <c r="BV1188" s="30"/>
      <c r="BW1188" s="30"/>
      <c r="BX1188" s="30"/>
      <c r="BY1188" s="30"/>
      <c r="BZ1188" s="30"/>
      <c r="CA1188" s="30"/>
      <c r="CB1188" s="30"/>
      <c r="CC1188" s="30"/>
      <c r="CD1188" s="30"/>
      <c r="CE1188" s="30"/>
      <c r="CF1188" s="30"/>
      <c r="CG1188" s="30"/>
      <c r="CH1188" s="30"/>
      <c r="CI1188" s="30"/>
      <c r="CJ1188" s="30"/>
      <c r="CK1188" s="30"/>
      <c r="CL1188" s="30"/>
      <c r="CM1188" s="30"/>
      <c r="CN1188" s="30"/>
      <c r="CO1188" s="30"/>
      <c r="CP1188" s="30"/>
      <c r="CQ1188" s="30"/>
      <c r="CR1188" s="30"/>
      <c r="CS1188" s="30"/>
      <c r="CT1188" s="30"/>
      <c r="CU1188" s="30"/>
      <c r="CV1188" s="30"/>
      <c r="CW1188" s="30"/>
      <c r="CX1188" s="30"/>
      <c r="CY1188" s="30"/>
      <c r="CZ1188" s="30"/>
      <c r="DA1188" s="30"/>
      <c r="DB1188" s="30"/>
      <c r="DC1188" s="30"/>
      <c r="DD1188" s="30"/>
      <c r="DE1188" s="30"/>
      <c r="DF1188" s="30"/>
      <c r="DG1188" s="30"/>
      <c r="DH1188" s="30"/>
      <c r="DI1188" s="30"/>
      <c r="DJ1188" s="30"/>
      <c r="DK1188" s="30"/>
      <c r="DL1188" s="30"/>
      <c r="DM1188" s="30"/>
      <c r="DN1188" s="30"/>
      <c r="DO1188" s="30"/>
      <c r="DP1188" s="30"/>
      <c r="DQ1188" s="30"/>
      <c r="DR1188" s="30"/>
      <c r="DS1188" s="30"/>
      <c r="DT1188" s="30"/>
      <c r="DU1188" s="30"/>
      <c r="DV1188" s="30"/>
      <c r="DW1188" s="30"/>
      <c r="DX1188" s="30"/>
      <c r="DY1188" s="30"/>
      <c r="DZ1188" s="30"/>
    </row>
    <row r="1189">
      <c r="A1189" s="30"/>
      <c r="B1189" s="42"/>
      <c r="C1189" s="43"/>
      <c r="D1189" s="30"/>
      <c r="E1189" s="28"/>
      <c r="F1189" s="30"/>
      <c r="G1189" s="30"/>
      <c r="H1189" s="30"/>
      <c r="I1189" s="30"/>
      <c r="J1189" s="28"/>
      <c r="K1189" s="30"/>
      <c r="L1189" s="30"/>
      <c r="M1189" s="30"/>
      <c r="N1189" s="30"/>
      <c r="O1189" s="28"/>
      <c r="P1189" s="30"/>
      <c r="Q1189" s="30"/>
      <c r="R1189" s="30"/>
      <c r="S1189" s="36"/>
      <c r="T1189" s="30"/>
      <c r="U1189" s="36"/>
      <c r="V1189" s="30"/>
      <c r="W1189" s="28"/>
      <c r="X1189" s="30"/>
      <c r="Y1189" s="30"/>
      <c r="Z1189" s="30"/>
      <c r="AA1189" s="30"/>
      <c r="AB1189" s="30"/>
      <c r="AC1189" s="28"/>
      <c r="AD1189" s="30"/>
      <c r="AE1189" s="30"/>
      <c r="AF1189" s="30"/>
      <c r="AG1189" s="29"/>
      <c r="AH1189" s="30"/>
      <c r="AI1189" s="36"/>
      <c r="AJ1189" s="30"/>
      <c r="AK1189" s="29"/>
      <c r="AL1189" s="30"/>
      <c r="AM1189" s="30"/>
      <c r="AN1189" s="30"/>
      <c r="AO1189" s="30"/>
      <c r="AP1189" s="30"/>
      <c r="AQ1189" s="38"/>
      <c r="AR1189" s="30"/>
      <c r="AS1189" s="30"/>
      <c r="AT1189" s="29"/>
      <c r="AU1189" s="30"/>
      <c r="AV1189" s="30"/>
      <c r="AW1189" s="30"/>
      <c r="AX1189" s="29"/>
      <c r="AY1189" s="39"/>
      <c r="AZ1189" s="30"/>
      <c r="BA1189" s="30"/>
      <c r="BB1189" s="29"/>
      <c r="BC1189" s="52"/>
      <c r="BD1189" s="30"/>
      <c r="BE1189" s="29"/>
      <c r="BF1189" s="30"/>
      <c r="BG1189" s="30"/>
      <c r="BH1189" s="30"/>
      <c r="BI1189" s="30"/>
      <c r="BJ1189" s="30"/>
      <c r="BK1189" s="30"/>
      <c r="BL1189" s="30"/>
      <c r="BM1189" s="30"/>
      <c r="BN1189" s="30"/>
      <c r="BO1189" s="30"/>
      <c r="BP1189" s="30"/>
      <c r="BQ1189" s="30"/>
      <c r="BR1189" s="30"/>
      <c r="BS1189" s="30"/>
      <c r="BT1189" s="30"/>
      <c r="BU1189" s="30"/>
      <c r="BV1189" s="30"/>
      <c r="BW1189" s="30"/>
      <c r="BX1189" s="30"/>
      <c r="BY1189" s="30"/>
      <c r="BZ1189" s="30"/>
      <c r="CA1189" s="30"/>
      <c r="CB1189" s="30"/>
      <c r="CC1189" s="30"/>
      <c r="CD1189" s="30"/>
      <c r="CE1189" s="30"/>
      <c r="CF1189" s="30"/>
      <c r="CG1189" s="30"/>
      <c r="CH1189" s="30"/>
      <c r="CI1189" s="30"/>
      <c r="CJ1189" s="30"/>
      <c r="CK1189" s="30"/>
      <c r="CL1189" s="30"/>
      <c r="CM1189" s="30"/>
      <c r="CN1189" s="30"/>
      <c r="CO1189" s="30"/>
      <c r="CP1189" s="30"/>
      <c r="CQ1189" s="30"/>
      <c r="CR1189" s="30"/>
      <c r="CS1189" s="30"/>
      <c r="CT1189" s="30"/>
      <c r="CU1189" s="30"/>
      <c r="CV1189" s="30"/>
      <c r="CW1189" s="30"/>
      <c r="CX1189" s="30"/>
      <c r="CY1189" s="30"/>
      <c r="CZ1189" s="30"/>
      <c r="DA1189" s="30"/>
      <c r="DB1189" s="30"/>
      <c r="DC1189" s="30"/>
      <c r="DD1189" s="30"/>
      <c r="DE1189" s="30"/>
      <c r="DF1189" s="30"/>
      <c r="DG1189" s="30"/>
      <c r="DH1189" s="30"/>
      <c r="DI1189" s="30"/>
      <c r="DJ1189" s="30"/>
      <c r="DK1189" s="30"/>
      <c r="DL1189" s="30"/>
      <c r="DM1189" s="30"/>
      <c r="DN1189" s="30"/>
      <c r="DO1189" s="30"/>
      <c r="DP1189" s="30"/>
      <c r="DQ1189" s="30"/>
      <c r="DR1189" s="30"/>
      <c r="DS1189" s="30"/>
      <c r="DT1189" s="30"/>
      <c r="DU1189" s="30"/>
      <c r="DV1189" s="30"/>
      <c r="DW1189" s="30"/>
      <c r="DX1189" s="30"/>
      <c r="DY1189" s="30"/>
      <c r="DZ1189" s="30"/>
    </row>
    <row r="1190">
      <c r="A1190" s="30"/>
      <c r="B1190" s="42"/>
      <c r="C1190" s="43"/>
      <c r="D1190" s="30"/>
      <c r="E1190" s="28"/>
      <c r="F1190" s="30"/>
      <c r="G1190" s="30"/>
      <c r="H1190" s="30"/>
      <c r="I1190" s="30"/>
      <c r="J1190" s="28"/>
      <c r="K1190" s="30"/>
      <c r="L1190" s="30"/>
      <c r="M1190" s="30"/>
      <c r="N1190" s="30"/>
      <c r="O1190" s="28"/>
      <c r="P1190" s="30"/>
      <c r="Q1190" s="30"/>
      <c r="R1190" s="30"/>
      <c r="S1190" s="36"/>
      <c r="T1190" s="30"/>
      <c r="U1190" s="36"/>
      <c r="V1190" s="30"/>
      <c r="W1190" s="28"/>
      <c r="X1190" s="30"/>
      <c r="Y1190" s="30"/>
      <c r="Z1190" s="30"/>
      <c r="AA1190" s="30"/>
      <c r="AB1190" s="30"/>
      <c r="AC1190" s="28"/>
      <c r="AD1190" s="30"/>
      <c r="AE1190" s="30"/>
      <c r="AF1190" s="30"/>
      <c r="AG1190" s="29"/>
      <c r="AH1190" s="30"/>
      <c r="AI1190" s="36"/>
      <c r="AJ1190" s="30"/>
      <c r="AK1190" s="29"/>
      <c r="AL1190" s="30"/>
      <c r="AM1190" s="30"/>
      <c r="AN1190" s="30"/>
      <c r="AO1190" s="30"/>
      <c r="AP1190" s="30"/>
      <c r="AQ1190" s="38"/>
      <c r="AR1190" s="30"/>
      <c r="AS1190" s="30"/>
      <c r="AT1190" s="29"/>
      <c r="AU1190" s="30"/>
      <c r="AV1190" s="30"/>
      <c r="AW1190" s="30"/>
      <c r="AX1190" s="29"/>
      <c r="AY1190" s="39"/>
      <c r="AZ1190" s="30"/>
      <c r="BA1190" s="30"/>
      <c r="BB1190" s="29"/>
      <c r="BC1190" s="52"/>
      <c r="BD1190" s="30"/>
      <c r="BE1190" s="29"/>
      <c r="BF1190" s="30"/>
      <c r="BG1190" s="30"/>
      <c r="BH1190" s="30"/>
      <c r="BI1190" s="30"/>
      <c r="BJ1190" s="30"/>
      <c r="BK1190" s="30"/>
      <c r="BL1190" s="30"/>
      <c r="BM1190" s="30"/>
      <c r="BN1190" s="30"/>
      <c r="BO1190" s="30"/>
      <c r="BP1190" s="30"/>
      <c r="BQ1190" s="30"/>
      <c r="BR1190" s="30"/>
      <c r="BS1190" s="30"/>
      <c r="BT1190" s="30"/>
      <c r="BU1190" s="30"/>
      <c r="BV1190" s="30"/>
      <c r="BW1190" s="30"/>
      <c r="BX1190" s="30"/>
      <c r="BY1190" s="30"/>
      <c r="BZ1190" s="30"/>
      <c r="CA1190" s="30"/>
      <c r="CB1190" s="30"/>
      <c r="CC1190" s="30"/>
      <c r="CD1190" s="30"/>
      <c r="CE1190" s="30"/>
      <c r="CF1190" s="30"/>
      <c r="CG1190" s="30"/>
      <c r="CH1190" s="30"/>
      <c r="CI1190" s="30"/>
      <c r="CJ1190" s="30"/>
      <c r="CK1190" s="30"/>
      <c r="CL1190" s="30"/>
      <c r="CM1190" s="30"/>
      <c r="CN1190" s="30"/>
      <c r="CO1190" s="30"/>
      <c r="CP1190" s="30"/>
      <c r="CQ1190" s="30"/>
      <c r="CR1190" s="30"/>
      <c r="CS1190" s="30"/>
      <c r="CT1190" s="30"/>
      <c r="CU1190" s="30"/>
      <c r="CV1190" s="30"/>
      <c r="CW1190" s="30"/>
      <c r="CX1190" s="30"/>
      <c r="CY1190" s="30"/>
      <c r="CZ1190" s="30"/>
      <c r="DA1190" s="30"/>
      <c r="DB1190" s="30"/>
      <c r="DC1190" s="30"/>
      <c r="DD1190" s="30"/>
      <c r="DE1190" s="30"/>
      <c r="DF1190" s="30"/>
      <c r="DG1190" s="30"/>
      <c r="DH1190" s="30"/>
      <c r="DI1190" s="30"/>
      <c r="DJ1190" s="30"/>
      <c r="DK1190" s="30"/>
      <c r="DL1190" s="30"/>
      <c r="DM1190" s="30"/>
      <c r="DN1190" s="30"/>
      <c r="DO1190" s="30"/>
      <c r="DP1190" s="30"/>
      <c r="DQ1190" s="30"/>
      <c r="DR1190" s="30"/>
      <c r="DS1190" s="30"/>
      <c r="DT1190" s="30"/>
      <c r="DU1190" s="30"/>
      <c r="DV1190" s="30"/>
      <c r="DW1190" s="30"/>
      <c r="DX1190" s="30"/>
      <c r="DY1190" s="30"/>
      <c r="DZ1190" s="30"/>
    </row>
    <row r="1191">
      <c r="A1191" s="30"/>
      <c r="B1191" s="42"/>
      <c r="C1191" s="43"/>
      <c r="D1191" s="30"/>
      <c r="E1191" s="28"/>
      <c r="F1191" s="30"/>
      <c r="G1191" s="30"/>
      <c r="H1191" s="30"/>
      <c r="I1191" s="30"/>
      <c r="J1191" s="28"/>
      <c r="K1191" s="30"/>
      <c r="L1191" s="30"/>
      <c r="M1191" s="30"/>
      <c r="N1191" s="30"/>
      <c r="O1191" s="28"/>
      <c r="P1191" s="30"/>
      <c r="Q1191" s="30"/>
      <c r="R1191" s="30"/>
      <c r="S1191" s="36"/>
      <c r="T1191" s="30"/>
      <c r="U1191" s="36"/>
      <c r="V1191" s="30"/>
      <c r="W1191" s="28"/>
      <c r="X1191" s="30"/>
      <c r="Y1191" s="30"/>
      <c r="Z1191" s="30"/>
      <c r="AA1191" s="30"/>
      <c r="AB1191" s="30"/>
      <c r="AC1191" s="28"/>
      <c r="AD1191" s="30"/>
      <c r="AE1191" s="30"/>
      <c r="AF1191" s="30"/>
      <c r="AG1191" s="29"/>
      <c r="AH1191" s="30"/>
      <c r="AI1191" s="36"/>
      <c r="AJ1191" s="30"/>
      <c r="AK1191" s="29"/>
      <c r="AL1191" s="30"/>
      <c r="AM1191" s="30"/>
      <c r="AN1191" s="30"/>
      <c r="AO1191" s="30"/>
      <c r="AP1191" s="30"/>
      <c r="AQ1191" s="38"/>
      <c r="AR1191" s="30"/>
      <c r="AS1191" s="30"/>
      <c r="AT1191" s="29"/>
      <c r="AU1191" s="30"/>
      <c r="AV1191" s="30"/>
      <c r="AW1191" s="30"/>
      <c r="AX1191" s="29"/>
      <c r="AY1191" s="39"/>
      <c r="AZ1191" s="30"/>
      <c r="BA1191" s="30"/>
      <c r="BB1191" s="29"/>
      <c r="BC1191" s="52"/>
      <c r="BD1191" s="30"/>
      <c r="BE1191" s="29"/>
      <c r="BF1191" s="30"/>
      <c r="BG1191" s="30"/>
      <c r="BH1191" s="30"/>
      <c r="BI1191" s="30"/>
      <c r="BJ1191" s="30"/>
      <c r="BK1191" s="30"/>
      <c r="BL1191" s="30"/>
      <c r="BM1191" s="30"/>
      <c r="BN1191" s="30"/>
      <c r="BO1191" s="30"/>
      <c r="BP1191" s="30"/>
      <c r="BQ1191" s="30"/>
      <c r="BR1191" s="30"/>
      <c r="BS1191" s="30"/>
      <c r="BT1191" s="30"/>
      <c r="BU1191" s="30"/>
      <c r="BV1191" s="30"/>
      <c r="BW1191" s="30"/>
      <c r="BX1191" s="30"/>
      <c r="BY1191" s="30"/>
      <c r="BZ1191" s="30"/>
      <c r="CA1191" s="30"/>
      <c r="CB1191" s="30"/>
      <c r="CC1191" s="30"/>
      <c r="CD1191" s="30"/>
      <c r="CE1191" s="30"/>
      <c r="CF1191" s="30"/>
      <c r="CG1191" s="30"/>
      <c r="CH1191" s="30"/>
      <c r="CI1191" s="30"/>
      <c r="CJ1191" s="30"/>
      <c r="CK1191" s="30"/>
      <c r="CL1191" s="30"/>
      <c r="CM1191" s="30"/>
      <c r="CN1191" s="30"/>
      <c r="CO1191" s="30"/>
      <c r="CP1191" s="30"/>
      <c r="CQ1191" s="30"/>
      <c r="CR1191" s="30"/>
      <c r="CS1191" s="30"/>
      <c r="CT1191" s="30"/>
      <c r="CU1191" s="30"/>
      <c r="CV1191" s="30"/>
      <c r="CW1191" s="30"/>
      <c r="CX1191" s="30"/>
      <c r="CY1191" s="30"/>
      <c r="CZ1191" s="30"/>
      <c r="DA1191" s="30"/>
      <c r="DB1191" s="30"/>
      <c r="DC1191" s="30"/>
      <c r="DD1191" s="30"/>
      <c r="DE1191" s="30"/>
      <c r="DF1191" s="30"/>
      <c r="DG1191" s="30"/>
      <c r="DH1191" s="30"/>
      <c r="DI1191" s="30"/>
      <c r="DJ1191" s="30"/>
      <c r="DK1191" s="30"/>
      <c r="DL1191" s="30"/>
      <c r="DM1191" s="30"/>
      <c r="DN1191" s="30"/>
      <c r="DO1191" s="30"/>
      <c r="DP1191" s="30"/>
      <c r="DQ1191" s="30"/>
      <c r="DR1191" s="30"/>
      <c r="DS1191" s="30"/>
      <c r="DT1191" s="30"/>
      <c r="DU1191" s="30"/>
      <c r="DV1191" s="30"/>
      <c r="DW1191" s="30"/>
      <c r="DX1191" s="30"/>
      <c r="DY1191" s="30"/>
      <c r="DZ1191" s="30"/>
    </row>
    <row r="1192">
      <c r="A1192" s="30"/>
      <c r="B1192" s="42"/>
      <c r="C1192" s="43"/>
      <c r="D1192" s="30"/>
      <c r="E1192" s="28"/>
      <c r="F1192" s="30"/>
      <c r="G1192" s="30"/>
      <c r="H1192" s="30"/>
      <c r="I1192" s="30"/>
      <c r="J1192" s="28"/>
      <c r="K1192" s="30"/>
      <c r="L1192" s="30"/>
      <c r="M1192" s="30"/>
      <c r="N1192" s="30"/>
      <c r="O1192" s="28"/>
      <c r="P1192" s="30"/>
      <c r="Q1192" s="30"/>
      <c r="R1192" s="30"/>
      <c r="S1192" s="36"/>
      <c r="T1192" s="30"/>
      <c r="U1192" s="36"/>
      <c r="V1192" s="30"/>
      <c r="W1192" s="28"/>
      <c r="X1192" s="30"/>
      <c r="Y1192" s="30"/>
      <c r="Z1192" s="30"/>
      <c r="AA1192" s="30"/>
      <c r="AB1192" s="30"/>
      <c r="AC1192" s="28"/>
      <c r="AD1192" s="30"/>
      <c r="AE1192" s="30"/>
      <c r="AF1192" s="30"/>
      <c r="AG1192" s="29"/>
      <c r="AH1192" s="30"/>
      <c r="AI1192" s="36"/>
      <c r="AJ1192" s="30"/>
      <c r="AK1192" s="29"/>
      <c r="AL1192" s="30"/>
      <c r="AM1192" s="30"/>
      <c r="AN1192" s="30"/>
      <c r="AO1192" s="30"/>
      <c r="AP1192" s="30"/>
      <c r="AQ1192" s="38"/>
      <c r="AR1192" s="30"/>
      <c r="AS1192" s="30"/>
      <c r="AT1192" s="29"/>
      <c r="AU1192" s="30"/>
      <c r="AV1192" s="30"/>
      <c r="AW1192" s="30"/>
      <c r="AX1192" s="29"/>
      <c r="AY1192" s="39"/>
      <c r="AZ1192" s="30"/>
      <c r="BA1192" s="30"/>
      <c r="BB1192" s="29"/>
      <c r="BC1192" s="52"/>
      <c r="BD1192" s="30"/>
      <c r="BE1192" s="29"/>
      <c r="BF1192" s="30"/>
      <c r="BG1192" s="30"/>
      <c r="BH1192" s="30"/>
      <c r="BI1192" s="30"/>
      <c r="BJ1192" s="30"/>
      <c r="BK1192" s="30"/>
      <c r="BL1192" s="30"/>
      <c r="BM1192" s="30"/>
      <c r="BN1192" s="30"/>
      <c r="BO1192" s="30"/>
      <c r="BP1192" s="30"/>
      <c r="BQ1192" s="30"/>
      <c r="BR1192" s="30"/>
      <c r="BS1192" s="30"/>
      <c r="BT1192" s="30"/>
      <c r="BU1192" s="30"/>
      <c r="BV1192" s="30"/>
      <c r="BW1192" s="30"/>
      <c r="BX1192" s="30"/>
      <c r="BY1192" s="30"/>
      <c r="BZ1192" s="30"/>
      <c r="CA1192" s="30"/>
      <c r="CB1192" s="30"/>
      <c r="CC1192" s="30"/>
      <c r="CD1192" s="30"/>
      <c r="CE1192" s="30"/>
      <c r="CF1192" s="30"/>
      <c r="CG1192" s="30"/>
      <c r="CH1192" s="30"/>
      <c r="CI1192" s="30"/>
      <c r="CJ1192" s="30"/>
      <c r="CK1192" s="30"/>
      <c r="CL1192" s="30"/>
      <c r="CM1192" s="30"/>
      <c r="CN1192" s="30"/>
      <c r="CO1192" s="30"/>
      <c r="CP1192" s="30"/>
      <c r="CQ1192" s="30"/>
      <c r="CR1192" s="30"/>
      <c r="CS1192" s="30"/>
      <c r="CT1192" s="30"/>
      <c r="CU1192" s="30"/>
      <c r="CV1192" s="30"/>
      <c r="CW1192" s="30"/>
      <c r="CX1192" s="30"/>
      <c r="CY1192" s="30"/>
      <c r="CZ1192" s="30"/>
      <c r="DA1192" s="30"/>
      <c r="DB1192" s="30"/>
      <c r="DC1192" s="30"/>
      <c r="DD1192" s="30"/>
      <c r="DE1192" s="30"/>
      <c r="DF1192" s="30"/>
      <c r="DG1192" s="30"/>
      <c r="DH1192" s="30"/>
      <c r="DI1192" s="30"/>
      <c r="DJ1192" s="30"/>
      <c r="DK1192" s="30"/>
      <c r="DL1192" s="30"/>
      <c r="DM1192" s="30"/>
      <c r="DN1192" s="30"/>
      <c r="DO1192" s="30"/>
      <c r="DP1192" s="30"/>
      <c r="DQ1192" s="30"/>
      <c r="DR1192" s="30"/>
      <c r="DS1192" s="30"/>
      <c r="DT1192" s="30"/>
      <c r="DU1192" s="30"/>
      <c r="DV1192" s="30"/>
      <c r="DW1192" s="30"/>
      <c r="DX1192" s="30"/>
      <c r="DY1192" s="30"/>
      <c r="DZ1192" s="30"/>
    </row>
    <row r="1193">
      <c r="A1193" s="30"/>
      <c r="B1193" s="42"/>
      <c r="C1193" s="43"/>
      <c r="D1193" s="30"/>
      <c r="E1193" s="28"/>
      <c r="F1193" s="30"/>
      <c r="G1193" s="30"/>
      <c r="H1193" s="30"/>
      <c r="I1193" s="30"/>
      <c r="J1193" s="28"/>
      <c r="K1193" s="30"/>
      <c r="L1193" s="30"/>
      <c r="M1193" s="30"/>
      <c r="N1193" s="30"/>
      <c r="O1193" s="28"/>
      <c r="P1193" s="30"/>
      <c r="Q1193" s="30"/>
      <c r="R1193" s="30"/>
      <c r="S1193" s="36"/>
      <c r="T1193" s="30"/>
      <c r="U1193" s="36"/>
      <c r="V1193" s="30"/>
      <c r="W1193" s="28"/>
      <c r="X1193" s="30"/>
      <c r="Y1193" s="30"/>
      <c r="Z1193" s="30"/>
      <c r="AA1193" s="30"/>
      <c r="AB1193" s="30"/>
      <c r="AC1193" s="28"/>
      <c r="AD1193" s="30"/>
      <c r="AE1193" s="30"/>
      <c r="AF1193" s="30"/>
      <c r="AG1193" s="29"/>
      <c r="AH1193" s="30"/>
      <c r="AI1193" s="36"/>
      <c r="AJ1193" s="30"/>
      <c r="AK1193" s="29"/>
      <c r="AL1193" s="30"/>
      <c r="AM1193" s="30"/>
      <c r="AN1193" s="30"/>
      <c r="AO1193" s="30"/>
      <c r="AP1193" s="30"/>
      <c r="AQ1193" s="38"/>
      <c r="AR1193" s="30"/>
      <c r="AS1193" s="30"/>
      <c r="AT1193" s="29"/>
      <c r="AU1193" s="30"/>
      <c r="AV1193" s="30"/>
      <c r="AW1193" s="30"/>
      <c r="AX1193" s="29"/>
      <c r="AY1193" s="39"/>
      <c r="AZ1193" s="30"/>
      <c r="BA1193" s="30"/>
      <c r="BB1193" s="29"/>
      <c r="BC1193" s="52"/>
      <c r="BD1193" s="30"/>
      <c r="BE1193" s="29"/>
      <c r="BF1193" s="30"/>
      <c r="BG1193" s="30"/>
      <c r="BH1193" s="30"/>
      <c r="BI1193" s="30"/>
      <c r="BJ1193" s="30"/>
      <c r="BK1193" s="30"/>
      <c r="BL1193" s="30"/>
      <c r="BM1193" s="30"/>
      <c r="BN1193" s="30"/>
      <c r="BO1193" s="30"/>
      <c r="BP1193" s="30"/>
      <c r="BQ1193" s="30"/>
      <c r="BR1193" s="30"/>
      <c r="BS1193" s="30"/>
      <c r="BT1193" s="30"/>
      <c r="BU1193" s="30"/>
      <c r="BV1193" s="30"/>
      <c r="BW1193" s="30"/>
      <c r="BX1193" s="30"/>
      <c r="BY1193" s="30"/>
      <c r="BZ1193" s="30"/>
      <c r="CA1193" s="30"/>
      <c r="CB1193" s="30"/>
      <c r="CC1193" s="30"/>
      <c r="CD1193" s="30"/>
      <c r="CE1193" s="30"/>
      <c r="CF1193" s="30"/>
      <c r="CG1193" s="30"/>
      <c r="CH1193" s="30"/>
      <c r="CI1193" s="30"/>
      <c r="CJ1193" s="30"/>
      <c r="CK1193" s="30"/>
      <c r="CL1193" s="30"/>
      <c r="CM1193" s="30"/>
      <c r="CN1193" s="30"/>
      <c r="CO1193" s="30"/>
      <c r="CP1193" s="30"/>
      <c r="CQ1193" s="30"/>
      <c r="CR1193" s="30"/>
      <c r="CS1193" s="30"/>
      <c r="CT1193" s="30"/>
      <c r="CU1193" s="30"/>
      <c r="CV1193" s="30"/>
      <c r="CW1193" s="30"/>
      <c r="CX1193" s="30"/>
      <c r="CY1193" s="30"/>
      <c r="CZ1193" s="30"/>
      <c r="DA1193" s="30"/>
      <c r="DB1193" s="30"/>
      <c r="DC1193" s="30"/>
      <c r="DD1193" s="30"/>
      <c r="DE1193" s="30"/>
      <c r="DF1193" s="30"/>
      <c r="DG1193" s="30"/>
      <c r="DH1193" s="30"/>
      <c r="DI1193" s="30"/>
      <c r="DJ1193" s="30"/>
      <c r="DK1193" s="30"/>
      <c r="DL1193" s="30"/>
      <c r="DM1193" s="30"/>
      <c r="DN1193" s="30"/>
      <c r="DO1193" s="30"/>
      <c r="DP1193" s="30"/>
      <c r="DQ1193" s="30"/>
      <c r="DR1193" s="30"/>
      <c r="DS1193" s="30"/>
      <c r="DT1193" s="30"/>
      <c r="DU1193" s="30"/>
      <c r="DV1193" s="30"/>
      <c r="DW1193" s="30"/>
      <c r="DX1193" s="30"/>
      <c r="DY1193" s="30"/>
      <c r="DZ1193" s="30"/>
    </row>
    <row r="1194">
      <c r="A1194" s="30"/>
      <c r="B1194" s="42"/>
      <c r="C1194" s="43"/>
      <c r="D1194" s="30"/>
      <c r="E1194" s="28"/>
      <c r="F1194" s="30"/>
      <c r="G1194" s="30"/>
      <c r="H1194" s="30"/>
      <c r="I1194" s="30"/>
      <c r="J1194" s="28"/>
      <c r="K1194" s="30"/>
      <c r="L1194" s="30"/>
      <c r="M1194" s="30"/>
      <c r="N1194" s="30"/>
      <c r="O1194" s="28"/>
      <c r="P1194" s="30"/>
      <c r="Q1194" s="30"/>
      <c r="R1194" s="30"/>
      <c r="S1194" s="36"/>
      <c r="T1194" s="30"/>
      <c r="U1194" s="36"/>
      <c r="V1194" s="30"/>
      <c r="W1194" s="28"/>
      <c r="X1194" s="30"/>
      <c r="Y1194" s="30"/>
      <c r="Z1194" s="30"/>
      <c r="AA1194" s="30"/>
      <c r="AB1194" s="30"/>
      <c r="AC1194" s="28"/>
      <c r="AD1194" s="30"/>
      <c r="AE1194" s="30"/>
      <c r="AF1194" s="30"/>
      <c r="AG1194" s="29"/>
      <c r="AH1194" s="30"/>
      <c r="AI1194" s="36"/>
      <c r="AJ1194" s="30"/>
      <c r="AK1194" s="29"/>
      <c r="AL1194" s="30"/>
      <c r="AM1194" s="30"/>
      <c r="AN1194" s="30"/>
      <c r="AO1194" s="30"/>
      <c r="AP1194" s="30"/>
      <c r="AQ1194" s="38"/>
      <c r="AR1194" s="30"/>
      <c r="AS1194" s="30"/>
      <c r="AT1194" s="29"/>
      <c r="AU1194" s="30"/>
      <c r="AV1194" s="30"/>
      <c r="AW1194" s="30"/>
      <c r="AX1194" s="29"/>
      <c r="AY1194" s="39"/>
      <c r="AZ1194" s="30"/>
      <c r="BA1194" s="30"/>
      <c r="BB1194" s="29"/>
      <c r="BC1194" s="52"/>
      <c r="BD1194" s="30"/>
      <c r="BE1194" s="29"/>
      <c r="BF1194" s="30"/>
      <c r="BG1194" s="30"/>
      <c r="BH1194" s="30"/>
      <c r="BI1194" s="30"/>
      <c r="BJ1194" s="30"/>
      <c r="BK1194" s="30"/>
      <c r="BL1194" s="30"/>
      <c r="BM1194" s="30"/>
      <c r="BN1194" s="30"/>
      <c r="BO1194" s="30"/>
      <c r="BP1194" s="30"/>
      <c r="BQ1194" s="30"/>
      <c r="BR1194" s="30"/>
      <c r="BS1194" s="30"/>
      <c r="BT1194" s="30"/>
      <c r="BU1194" s="30"/>
      <c r="BV1194" s="30"/>
      <c r="BW1194" s="30"/>
      <c r="BX1194" s="30"/>
      <c r="BY1194" s="30"/>
      <c r="BZ1194" s="30"/>
      <c r="CA1194" s="30"/>
      <c r="CB1194" s="30"/>
      <c r="CC1194" s="30"/>
      <c r="CD1194" s="30"/>
      <c r="CE1194" s="30"/>
      <c r="CF1194" s="30"/>
      <c r="CG1194" s="30"/>
      <c r="CH1194" s="30"/>
      <c r="CI1194" s="30"/>
      <c r="CJ1194" s="30"/>
      <c r="CK1194" s="30"/>
      <c r="CL1194" s="30"/>
      <c r="CM1194" s="30"/>
      <c r="CN1194" s="30"/>
      <c r="CO1194" s="30"/>
      <c r="CP1194" s="30"/>
      <c r="CQ1194" s="30"/>
      <c r="CR1194" s="30"/>
      <c r="CS1194" s="30"/>
      <c r="CT1194" s="30"/>
      <c r="CU1194" s="30"/>
      <c r="CV1194" s="30"/>
      <c r="CW1194" s="30"/>
      <c r="CX1194" s="30"/>
      <c r="CY1194" s="30"/>
      <c r="CZ1194" s="30"/>
      <c r="DA1194" s="30"/>
      <c r="DB1194" s="30"/>
      <c r="DC1194" s="30"/>
      <c r="DD1194" s="30"/>
      <c r="DE1194" s="30"/>
      <c r="DF1194" s="30"/>
      <c r="DG1194" s="30"/>
      <c r="DH1194" s="30"/>
      <c r="DI1194" s="30"/>
      <c r="DJ1194" s="30"/>
      <c r="DK1194" s="30"/>
      <c r="DL1194" s="30"/>
      <c r="DM1194" s="30"/>
      <c r="DN1194" s="30"/>
      <c r="DO1194" s="30"/>
      <c r="DP1194" s="30"/>
      <c r="DQ1194" s="30"/>
      <c r="DR1194" s="30"/>
      <c r="DS1194" s="30"/>
      <c r="DT1194" s="30"/>
      <c r="DU1194" s="30"/>
      <c r="DV1194" s="30"/>
      <c r="DW1194" s="30"/>
      <c r="DX1194" s="30"/>
      <c r="DY1194" s="30"/>
      <c r="DZ1194" s="30"/>
    </row>
    <row r="1195">
      <c r="A1195" s="30"/>
      <c r="B1195" s="42"/>
      <c r="C1195" s="43"/>
      <c r="D1195" s="30"/>
      <c r="E1195" s="28"/>
      <c r="F1195" s="30"/>
      <c r="G1195" s="30"/>
      <c r="H1195" s="30"/>
      <c r="I1195" s="30"/>
      <c r="J1195" s="28"/>
      <c r="K1195" s="30"/>
      <c r="L1195" s="30"/>
      <c r="M1195" s="30"/>
      <c r="N1195" s="30"/>
      <c r="O1195" s="28"/>
      <c r="P1195" s="30"/>
      <c r="Q1195" s="30"/>
      <c r="R1195" s="30"/>
      <c r="S1195" s="36"/>
      <c r="T1195" s="30"/>
      <c r="U1195" s="36"/>
      <c r="V1195" s="30"/>
      <c r="W1195" s="28"/>
      <c r="X1195" s="30"/>
      <c r="Y1195" s="30"/>
      <c r="Z1195" s="30"/>
      <c r="AA1195" s="30"/>
      <c r="AB1195" s="30"/>
      <c r="AC1195" s="28"/>
      <c r="AD1195" s="30"/>
      <c r="AE1195" s="30"/>
      <c r="AF1195" s="30"/>
      <c r="AG1195" s="29"/>
      <c r="AH1195" s="30"/>
      <c r="AI1195" s="36"/>
      <c r="AJ1195" s="30"/>
      <c r="AK1195" s="29"/>
      <c r="AL1195" s="30"/>
      <c r="AM1195" s="30"/>
      <c r="AN1195" s="30"/>
      <c r="AO1195" s="30"/>
      <c r="AP1195" s="30"/>
      <c r="AQ1195" s="38"/>
      <c r="AR1195" s="30"/>
      <c r="AS1195" s="30"/>
      <c r="AT1195" s="29"/>
      <c r="AU1195" s="30"/>
      <c r="AV1195" s="30"/>
      <c r="AW1195" s="30"/>
      <c r="AX1195" s="29"/>
      <c r="AY1195" s="39"/>
      <c r="AZ1195" s="30"/>
      <c r="BA1195" s="30"/>
      <c r="BB1195" s="29"/>
      <c r="BC1195" s="52"/>
      <c r="BD1195" s="30"/>
      <c r="BE1195" s="29"/>
      <c r="BF1195" s="30"/>
      <c r="BG1195" s="30"/>
      <c r="BH1195" s="30"/>
      <c r="BI1195" s="30"/>
      <c r="BJ1195" s="30"/>
      <c r="BK1195" s="30"/>
      <c r="BL1195" s="30"/>
      <c r="BM1195" s="30"/>
      <c r="BN1195" s="30"/>
      <c r="BO1195" s="30"/>
      <c r="BP1195" s="30"/>
      <c r="BQ1195" s="30"/>
      <c r="BR1195" s="30"/>
      <c r="BS1195" s="30"/>
      <c r="BT1195" s="30"/>
      <c r="BU1195" s="30"/>
      <c r="BV1195" s="30"/>
      <c r="BW1195" s="30"/>
      <c r="BX1195" s="30"/>
      <c r="BY1195" s="30"/>
      <c r="BZ1195" s="30"/>
      <c r="CA1195" s="30"/>
      <c r="CB1195" s="30"/>
      <c r="CC1195" s="30"/>
      <c r="CD1195" s="30"/>
      <c r="CE1195" s="30"/>
      <c r="CF1195" s="30"/>
      <c r="CG1195" s="30"/>
      <c r="CH1195" s="30"/>
      <c r="CI1195" s="30"/>
      <c r="CJ1195" s="30"/>
      <c r="CK1195" s="30"/>
      <c r="CL1195" s="30"/>
      <c r="CM1195" s="30"/>
      <c r="CN1195" s="30"/>
      <c r="CO1195" s="30"/>
      <c r="CP1195" s="30"/>
      <c r="CQ1195" s="30"/>
      <c r="CR1195" s="30"/>
      <c r="CS1195" s="30"/>
      <c r="CT1195" s="30"/>
      <c r="CU1195" s="30"/>
      <c r="CV1195" s="30"/>
      <c r="CW1195" s="30"/>
      <c r="CX1195" s="30"/>
      <c r="CY1195" s="30"/>
      <c r="CZ1195" s="30"/>
      <c r="DA1195" s="30"/>
      <c r="DB1195" s="30"/>
      <c r="DC1195" s="30"/>
      <c r="DD1195" s="30"/>
      <c r="DE1195" s="30"/>
      <c r="DF1195" s="30"/>
      <c r="DG1195" s="30"/>
      <c r="DH1195" s="30"/>
      <c r="DI1195" s="30"/>
      <c r="DJ1195" s="30"/>
      <c r="DK1195" s="30"/>
      <c r="DL1195" s="30"/>
      <c r="DM1195" s="30"/>
      <c r="DN1195" s="30"/>
      <c r="DO1195" s="30"/>
      <c r="DP1195" s="30"/>
      <c r="DQ1195" s="30"/>
      <c r="DR1195" s="30"/>
      <c r="DS1195" s="30"/>
      <c r="DT1195" s="30"/>
      <c r="DU1195" s="30"/>
      <c r="DV1195" s="30"/>
      <c r="DW1195" s="30"/>
      <c r="DX1195" s="30"/>
      <c r="DY1195" s="30"/>
      <c r="DZ1195" s="30"/>
    </row>
    <row r="1196">
      <c r="A1196" s="30"/>
      <c r="B1196" s="42"/>
      <c r="C1196" s="43"/>
      <c r="D1196" s="30"/>
      <c r="E1196" s="28"/>
      <c r="F1196" s="30"/>
      <c r="G1196" s="30"/>
      <c r="H1196" s="30"/>
      <c r="I1196" s="30"/>
      <c r="J1196" s="28"/>
      <c r="K1196" s="30"/>
      <c r="L1196" s="30"/>
      <c r="M1196" s="30"/>
      <c r="N1196" s="30"/>
      <c r="O1196" s="28"/>
      <c r="P1196" s="30"/>
      <c r="Q1196" s="30"/>
      <c r="R1196" s="30"/>
      <c r="S1196" s="36"/>
      <c r="T1196" s="30"/>
      <c r="U1196" s="36"/>
      <c r="V1196" s="30"/>
      <c r="W1196" s="28"/>
      <c r="X1196" s="30"/>
      <c r="Y1196" s="30"/>
      <c r="Z1196" s="30"/>
      <c r="AA1196" s="30"/>
      <c r="AB1196" s="30"/>
      <c r="AC1196" s="28"/>
      <c r="AD1196" s="30"/>
      <c r="AE1196" s="30"/>
      <c r="AF1196" s="30"/>
      <c r="AG1196" s="29"/>
      <c r="AH1196" s="30"/>
      <c r="AI1196" s="36"/>
      <c r="AJ1196" s="30"/>
      <c r="AK1196" s="29"/>
      <c r="AL1196" s="30"/>
      <c r="AM1196" s="30"/>
      <c r="AN1196" s="30"/>
      <c r="AO1196" s="30"/>
      <c r="AP1196" s="30"/>
      <c r="AQ1196" s="38"/>
      <c r="AR1196" s="30"/>
      <c r="AS1196" s="30"/>
      <c r="AT1196" s="29"/>
      <c r="AU1196" s="30"/>
      <c r="AV1196" s="30"/>
      <c r="AW1196" s="30"/>
      <c r="AX1196" s="29"/>
      <c r="AY1196" s="39"/>
      <c r="AZ1196" s="30"/>
      <c r="BA1196" s="30"/>
      <c r="BB1196" s="29"/>
      <c r="BC1196" s="52"/>
      <c r="BD1196" s="30"/>
      <c r="BE1196" s="29"/>
      <c r="BF1196" s="30"/>
      <c r="BG1196" s="30"/>
      <c r="BH1196" s="30"/>
      <c r="BI1196" s="30"/>
      <c r="BJ1196" s="30"/>
      <c r="BK1196" s="30"/>
      <c r="BL1196" s="30"/>
      <c r="BM1196" s="30"/>
      <c r="BN1196" s="30"/>
      <c r="BO1196" s="30"/>
      <c r="BP1196" s="30"/>
      <c r="BQ1196" s="30"/>
      <c r="BR1196" s="30"/>
      <c r="BS1196" s="30"/>
      <c r="BT1196" s="30"/>
      <c r="BU1196" s="30"/>
      <c r="BV1196" s="30"/>
      <c r="BW1196" s="30"/>
      <c r="BX1196" s="30"/>
      <c r="BY1196" s="30"/>
      <c r="BZ1196" s="30"/>
      <c r="CA1196" s="30"/>
      <c r="CB1196" s="30"/>
      <c r="CC1196" s="30"/>
      <c r="CD1196" s="30"/>
      <c r="CE1196" s="30"/>
      <c r="CF1196" s="30"/>
      <c r="CG1196" s="30"/>
      <c r="CH1196" s="30"/>
      <c r="CI1196" s="30"/>
      <c r="CJ1196" s="30"/>
      <c r="CK1196" s="30"/>
      <c r="CL1196" s="30"/>
      <c r="CM1196" s="30"/>
      <c r="CN1196" s="30"/>
      <c r="CO1196" s="30"/>
      <c r="CP1196" s="30"/>
      <c r="CQ1196" s="30"/>
      <c r="CR1196" s="30"/>
      <c r="CS1196" s="30"/>
      <c r="CT1196" s="30"/>
      <c r="CU1196" s="30"/>
      <c r="CV1196" s="30"/>
      <c r="CW1196" s="30"/>
      <c r="CX1196" s="30"/>
      <c r="CY1196" s="30"/>
      <c r="CZ1196" s="30"/>
      <c r="DA1196" s="30"/>
      <c r="DB1196" s="30"/>
      <c r="DC1196" s="30"/>
      <c r="DD1196" s="30"/>
      <c r="DE1196" s="30"/>
      <c r="DF1196" s="30"/>
      <c r="DG1196" s="30"/>
      <c r="DH1196" s="30"/>
      <c r="DI1196" s="30"/>
      <c r="DJ1196" s="30"/>
      <c r="DK1196" s="30"/>
      <c r="DL1196" s="30"/>
      <c r="DM1196" s="30"/>
      <c r="DN1196" s="30"/>
      <c r="DO1196" s="30"/>
      <c r="DP1196" s="30"/>
      <c r="DQ1196" s="30"/>
      <c r="DR1196" s="30"/>
      <c r="DS1196" s="30"/>
      <c r="DT1196" s="30"/>
      <c r="DU1196" s="30"/>
      <c r="DV1196" s="30"/>
      <c r="DW1196" s="30"/>
      <c r="DX1196" s="30"/>
      <c r="DY1196" s="30"/>
      <c r="DZ1196" s="30"/>
    </row>
    <row r="1197">
      <c r="A1197" s="30"/>
      <c r="B1197" s="42"/>
      <c r="C1197" s="43"/>
      <c r="D1197" s="30"/>
      <c r="E1197" s="28"/>
      <c r="F1197" s="30"/>
      <c r="G1197" s="30"/>
      <c r="H1197" s="30"/>
      <c r="I1197" s="30"/>
      <c r="J1197" s="28"/>
      <c r="K1197" s="30"/>
      <c r="L1197" s="30"/>
      <c r="M1197" s="30"/>
      <c r="N1197" s="30"/>
      <c r="O1197" s="28"/>
      <c r="P1197" s="30"/>
      <c r="Q1197" s="30"/>
      <c r="R1197" s="30"/>
      <c r="S1197" s="36"/>
      <c r="T1197" s="30"/>
      <c r="U1197" s="36"/>
      <c r="V1197" s="30"/>
      <c r="W1197" s="28"/>
      <c r="X1197" s="30"/>
      <c r="Y1197" s="30"/>
      <c r="Z1197" s="30"/>
      <c r="AA1197" s="30"/>
      <c r="AB1197" s="30"/>
      <c r="AC1197" s="28"/>
      <c r="AD1197" s="30"/>
      <c r="AE1197" s="30"/>
      <c r="AF1197" s="30"/>
      <c r="AG1197" s="29"/>
      <c r="AH1197" s="30"/>
      <c r="AI1197" s="36"/>
      <c r="AJ1197" s="30"/>
      <c r="AK1197" s="29"/>
      <c r="AL1197" s="30"/>
      <c r="AM1197" s="30"/>
      <c r="AN1197" s="30"/>
      <c r="AO1197" s="30"/>
      <c r="AP1197" s="30"/>
      <c r="AQ1197" s="38"/>
      <c r="AR1197" s="30"/>
      <c r="AS1197" s="30"/>
      <c r="AT1197" s="29"/>
      <c r="AU1197" s="30"/>
      <c r="AV1197" s="30"/>
      <c r="AW1197" s="30"/>
      <c r="AX1197" s="29"/>
      <c r="AY1197" s="39"/>
      <c r="AZ1197" s="30"/>
      <c r="BA1197" s="30"/>
      <c r="BB1197" s="29"/>
      <c r="BC1197" s="52"/>
      <c r="BD1197" s="30"/>
      <c r="BE1197" s="29"/>
      <c r="BF1197" s="30"/>
      <c r="BG1197" s="30"/>
      <c r="BH1197" s="30"/>
      <c r="BI1197" s="30"/>
      <c r="BJ1197" s="30"/>
      <c r="BK1197" s="30"/>
      <c r="BL1197" s="30"/>
      <c r="BM1197" s="30"/>
      <c r="BN1197" s="30"/>
      <c r="BO1197" s="30"/>
      <c r="BP1197" s="30"/>
      <c r="BQ1197" s="30"/>
      <c r="BR1197" s="30"/>
      <c r="BS1197" s="30"/>
      <c r="BT1197" s="30"/>
      <c r="BU1197" s="30"/>
      <c r="BV1197" s="30"/>
      <c r="BW1197" s="30"/>
      <c r="BX1197" s="30"/>
      <c r="BY1197" s="30"/>
      <c r="BZ1197" s="30"/>
      <c r="CA1197" s="30"/>
      <c r="CB1197" s="30"/>
      <c r="CC1197" s="30"/>
      <c r="CD1197" s="30"/>
      <c r="CE1197" s="30"/>
      <c r="CF1197" s="30"/>
      <c r="CG1197" s="30"/>
      <c r="CH1197" s="30"/>
      <c r="CI1197" s="30"/>
      <c r="CJ1197" s="30"/>
      <c r="CK1197" s="30"/>
      <c r="CL1197" s="30"/>
      <c r="CM1197" s="30"/>
      <c r="CN1197" s="30"/>
      <c r="CO1197" s="30"/>
      <c r="CP1197" s="30"/>
      <c r="CQ1197" s="30"/>
      <c r="CR1197" s="30"/>
      <c r="CS1197" s="30"/>
      <c r="CT1197" s="30"/>
      <c r="CU1197" s="30"/>
      <c r="CV1197" s="30"/>
      <c r="CW1197" s="30"/>
      <c r="CX1197" s="30"/>
      <c r="CY1197" s="30"/>
      <c r="CZ1197" s="30"/>
      <c r="DA1197" s="30"/>
      <c r="DB1197" s="30"/>
      <c r="DC1197" s="30"/>
      <c r="DD1197" s="30"/>
      <c r="DE1197" s="30"/>
      <c r="DF1197" s="30"/>
      <c r="DG1197" s="30"/>
      <c r="DH1197" s="30"/>
      <c r="DI1197" s="30"/>
      <c r="DJ1197" s="30"/>
      <c r="DK1197" s="30"/>
      <c r="DL1197" s="30"/>
      <c r="DM1197" s="30"/>
      <c r="DN1197" s="30"/>
      <c r="DO1197" s="30"/>
      <c r="DP1197" s="30"/>
      <c r="DQ1197" s="30"/>
      <c r="DR1197" s="30"/>
      <c r="DS1197" s="30"/>
      <c r="DT1197" s="30"/>
      <c r="DU1197" s="30"/>
      <c r="DV1197" s="30"/>
      <c r="DW1197" s="30"/>
      <c r="DX1197" s="30"/>
      <c r="DY1197" s="30"/>
      <c r="DZ1197" s="30"/>
    </row>
    <row r="1198">
      <c r="A1198" s="30"/>
      <c r="B1198" s="42"/>
      <c r="C1198" s="43"/>
      <c r="D1198" s="30"/>
      <c r="E1198" s="28"/>
      <c r="F1198" s="30"/>
      <c r="G1198" s="30"/>
      <c r="H1198" s="30"/>
      <c r="I1198" s="30"/>
      <c r="J1198" s="28"/>
      <c r="K1198" s="30"/>
      <c r="L1198" s="30"/>
      <c r="M1198" s="30"/>
      <c r="N1198" s="30"/>
      <c r="O1198" s="28"/>
      <c r="P1198" s="30"/>
      <c r="Q1198" s="30"/>
      <c r="R1198" s="30"/>
      <c r="S1198" s="36"/>
      <c r="T1198" s="30"/>
      <c r="U1198" s="36"/>
      <c r="V1198" s="30"/>
      <c r="W1198" s="28"/>
      <c r="X1198" s="30"/>
      <c r="Y1198" s="30"/>
      <c r="Z1198" s="30"/>
      <c r="AA1198" s="30"/>
      <c r="AB1198" s="30"/>
      <c r="AC1198" s="28"/>
      <c r="AD1198" s="30"/>
      <c r="AE1198" s="30"/>
      <c r="AF1198" s="30"/>
      <c r="AG1198" s="29"/>
      <c r="AH1198" s="30"/>
      <c r="AI1198" s="36"/>
      <c r="AJ1198" s="30"/>
      <c r="AK1198" s="29"/>
      <c r="AL1198" s="30"/>
      <c r="AM1198" s="30"/>
      <c r="AN1198" s="30"/>
      <c r="AO1198" s="30"/>
      <c r="AP1198" s="30"/>
      <c r="AQ1198" s="38"/>
      <c r="AR1198" s="30"/>
      <c r="AS1198" s="30"/>
      <c r="AT1198" s="29"/>
      <c r="AU1198" s="30"/>
      <c r="AV1198" s="30"/>
      <c r="AW1198" s="30"/>
      <c r="AX1198" s="29"/>
      <c r="AY1198" s="39"/>
      <c r="AZ1198" s="30"/>
      <c r="BA1198" s="30"/>
      <c r="BB1198" s="29"/>
      <c r="BC1198" s="52"/>
      <c r="BD1198" s="30"/>
      <c r="BE1198" s="29"/>
      <c r="BF1198" s="30"/>
      <c r="BG1198" s="30"/>
      <c r="BH1198" s="30"/>
      <c r="BI1198" s="30"/>
      <c r="BJ1198" s="30"/>
      <c r="BK1198" s="30"/>
      <c r="BL1198" s="30"/>
      <c r="BM1198" s="30"/>
      <c r="BN1198" s="30"/>
      <c r="BO1198" s="30"/>
      <c r="BP1198" s="30"/>
      <c r="BQ1198" s="30"/>
      <c r="BR1198" s="30"/>
      <c r="BS1198" s="30"/>
      <c r="BT1198" s="30"/>
      <c r="BU1198" s="30"/>
      <c r="BV1198" s="30"/>
      <c r="BW1198" s="30"/>
      <c r="BX1198" s="30"/>
      <c r="BY1198" s="30"/>
      <c r="BZ1198" s="30"/>
      <c r="CA1198" s="30"/>
      <c r="CB1198" s="30"/>
      <c r="CC1198" s="30"/>
      <c r="CD1198" s="30"/>
      <c r="CE1198" s="30"/>
      <c r="CF1198" s="30"/>
      <c r="CG1198" s="30"/>
      <c r="CH1198" s="30"/>
      <c r="CI1198" s="30"/>
      <c r="CJ1198" s="30"/>
      <c r="CK1198" s="30"/>
      <c r="CL1198" s="30"/>
      <c r="CM1198" s="30"/>
      <c r="CN1198" s="30"/>
      <c r="CO1198" s="30"/>
      <c r="CP1198" s="30"/>
      <c r="CQ1198" s="30"/>
      <c r="CR1198" s="30"/>
      <c r="CS1198" s="30"/>
      <c r="CT1198" s="30"/>
      <c r="CU1198" s="30"/>
      <c r="CV1198" s="30"/>
      <c r="CW1198" s="30"/>
      <c r="CX1198" s="30"/>
      <c r="CY1198" s="30"/>
      <c r="CZ1198" s="30"/>
      <c r="DA1198" s="30"/>
      <c r="DB1198" s="30"/>
      <c r="DC1198" s="30"/>
      <c r="DD1198" s="30"/>
      <c r="DE1198" s="30"/>
      <c r="DF1198" s="30"/>
      <c r="DG1198" s="30"/>
      <c r="DH1198" s="30"/>
      <c r="DI1198" s="30"/>
      <c r="DJ1198" s="30"/>
      <c r="DK1198" s="30"/>
      <c r="DL1198" s="30"/>
      <c r="DM1198" s="30"/>
      <c r="DN1198" s="30"/>
      <c r="DO1198" s="30"/>
      <c r="DP1198" s="30"/>
      <c r="DQ1198" s="30"/>
      <c r="DR1198" s="30"/>
      <c r="DS1198" s="30"/>
      <c r="DT1198" s="30"/>
      <c r="DU1198" s="30"/>
      <c r="DV1198" s="30"/>
      <c r="DW1198" s="30"/>
      <c r="DX1198" s="30"/>
      <c r="DY1198" s="30"/>
      <c r="DZ1198" s="30"/>
    </row>
    <row r="1199">
      <c r="A1199" s="30"/>
      <c r="B1199" s="42"/>
      <c r="C1199" s="43"/>
      <c r="D1199" s="30"/>
      <c r="E1199" s="28"/>
      <c r="F1199" s="30"/>
      <c r="G1199" s="30"/>
      <c r="H1199" s="30"/>
      <c r="I1199" s="30"/>
      <c r="J1199" s="28"/>
      <c r="K1199" s="30"/>
      <c r="L1199" s="30"/>
      <c r="M1199" s="30"/>
      <c r="N1199" s="30"/>
      <c r="O1199" s="28"/>
      <c r="P1199" s="30"/>
      <c r="Q1199" s="30"/>
      <c r="R1199" s="30"/>
      <c r="S1199" s="36"/>
      <c r="T1199" s="30"/>
      <c r="U1199" s="36"/>
      <c r="V1199" s="30"/>
      <c r="W1199" s="28"/>
      <c r="X1199" s="30"/>
      <c r="Y1199" s="30"/>
      <c r="Z1199" s="30"/>
      <c r="AA1199" s="30"/>
      <c r="AB1199" s="30"/>
      <c r="AC1199" s="28"/>
      <c r="AD1199" s="30"/>
      <c r="AE1199" s="30"/>
      <c r="AF1199" s="30"/>
      <c r="AG1199" s="29"/>
      <c r="AH1199" s="30"/>
      <c r="AI1199" s="36"/>
      <c r="AJ1199" s="30"/>
      <c r="AK1199" s="29"/>
      <c r="AL1199" s="30"/>
      <c r="AM1199" s="30"/>
      <c r="AN1199" s="30"/>
      <c r="AO1199" s="30"/>
      <c r="AP1199" s="30"/>
      <c r="AQ1199" s="38"/>
      <c r="AR1199" s="30"/>
      <c r="AS1199" s="30"/>
      <c r="AT1199" s="29"/>
      <c r="AU1199" s="30"/>
      <c r="AV1199" s="30"/>
      <c r="AW1199" s="30"/>
      <c r="AX1199" s="29"/>
      <c r="AY1199" s="39"/>
      <c r="AZ1199" s="30"/>
      <c r="BA1199" s="30"/>
      <c r="BB1199" s="29"/>
      <c r="BC1199" s="52"/>
      <c r="BD1199" s="30"/>
      <c r="BE1199" s="29"/>
      <c r="BF1199" s="30"/>
      <c r="BG1199" s="30"/>
      <c r="BH1199" s="30"/>
      <c r="BI1199" s="30"/>
      <c r="BJ1199" s="30"/>
      <c r="BK1199" s="30"/>
      <c r="BL1199" s="30"/>
      <c r="BM1199" s="30"/>
      <c r="BN1199" s="30"/>
      <c r="BO1199" s="30"/>
      <c r="BP1199" s="30"/>
      <c r="BQ1199" s="30"/>
      <c r="BR1199" s="30"/>
      <c r="BS1199" s="30"/>
      <c r="BT1199" s="30"/>
      <c r="BU1199" s="30"/>
      <c r="BV1199" s="30"/>
      <c r="BW1199" s="30"/>
      <c r="BX1199" s="30"/>
      <c r="BY1199" s="30"/>
      <c r="BZ1199" s="30"/>
      <c r="CA1199" s="30"/>
      <c r="CB1199" s="30"/>
      <c r="CC1199" s="30"/>
      <c r="CD1199" s="30"/>
      <c r="CE1199" s="30"/>
      <c r="CF1199" s="30"/>
      <c r="CG1199" s="30"/>
      <c r="CH1199" s="30"/>
      <c r="CI1199" s="30"/>
      <c r="CJ1199" s="30"/>
      <c r="CK1199" s="30"/>
      <c r="CL1199" s="30"/>
      <c r="CM1199" s="30"/>
      <c r="CN1199" s="30"/>
      <c r="CO1199" s="30"/>
      <c r="CP1199" s="30"/>
      <c r="CQ1199" s="30"/>
      <c r="CR1199" s="30"/>
      <c r="CS1199" s="30"/>
      <c r="CT1199" s="30"/>
      <c r="CU1199" s="30"/>
      <c r="CV1199" s="30"/>
      <c r="CW1199" s="30"/>
      <c r="CX1199" s="30"/>
      <c r="CY1199" s="30"/>
      <c r="CZ1199" s="30"/>
      <c r="DA1199" s="30"/>
      <c r="DB1199" s="30"/>
      <c r="DC1199" s="30"/>
      <c r="DD1199" s="30"/>
      <c r="DE1199" s="30"/>
      <c r="DF1199" s="30"/>
      <c r="DG1199" s="30"/>
      <c r="DH1199" s="30"/>
      <c r="DI1199" s="30"/>
      <c r="DJ1199" s="30"/>
      <c r="DK1199" s="30"/>
      <c r="DL1199" s="30"/>
      <c r="DM1199" s="30"/>
      <c r="DN1199" s="30"/>
      <c r="DO1199" s="30"/>
      <c r="DP1199" s="30"/>
      <c r="DQ1199" s="30"/>
      <c r="DR1199" s="30"/>
      <c r="DS1199" s="30"/>
      <c r="DT1199" s="30"/>
      <c r="DU1199" s="30"/>
      <c r="DV1199" s="30"/>
      <c r="DW1199" s="30"/>
      <c r="DX1199" s="30"/>
      <c r="DY1199" s="30"/>
      <c r="DZ1199" s="30"/>
    </row>
    <row r="1200">
      <c r="A1200" s="30"/>
      <c r="B1200" s="42"/>
      <c r="C1200" s="43"/>
      <c r="D1200" s="30"/>
      <c r="E1200" s="28"/>
      <c r="F1200" s="30"/>
      <c r="G1200" s="30"/>
      <c r="H1200" s="30"/>
      <c r="I1200" s="30"/>
      <c r="J1200" s="28"/>
      <c r="K1200" s="30"/>
      <c r="L1200" s="30"/>
      <c r="M1200" s="30"/>
      <c r="N1200" s="30"/>
      <c r="O1200" s="28"/>
      <c r="P1200" s="30"/>
      <c r="Q1200" s="30"/>
      <c r="R1200" s="30"/>
      <c r="S1200" s="36"/>
      <c r="T1200" s="30"/>
      <c r="U1200" s="36"/>
      <c r="V1200" s="30"/>
      <c r="W1200" s="28"/>
      <c r="X1200" s="30"/>
      <c r="Y1200" s="30"/>
      <c r="Z1200" s="30"/>
      <c r="AA1200" s="30"/>
      <c r="AB1200" s="30"/>
      <c r="AC1200" s="28"/>
      <c r="AD1200" s="30"/>
      <c r="AE1200" s="30"/>
      <c r="AF1200" s="30"/>
      <c r="AG1200" s="29"/>
      <c r="AH1200" s="30"/>
      <c r="AI1200" s="36"/>
      <c r="AJ1200" s="30"/>
      <c r="AK1200" s="29"/>
      <c r="AL1200" s="30"/>
      <c r="AM1200" s="30"/>
      <c r="AN1200" s="30"/>
      <c r="AO1200" s="30"/>
      <c r="AP1200" s="30"/>
      <c r="AQ1200" s="38"/>
      <c r="AR1200" s="30"/>
      <c r="AS1200" s="30"/>
      <c r="AT1200" s="29"/>
      <c r="AU1200" s="30"/>
      <c r="AV1200" s="30"/>
      <c r="AW1200" s="30"/>
      <c r="AX1200" s="29"/>
      <c r="AY1200" s="39"/>
      <c r="AZ1200" s="30"/>
      <c r="BA1200" s="30"/>
      <c r="BB1200" s="29"/>
      <c r="BC1200" s="52"/>
      <c r="BD1200" s="30"/>
      <c r="BE1200" s="29"/>
      <c r="BF1200" s="30"/>
      <c r="BG1200" s="30"/>
      <c r="BH1200" s="30"/>
      <c r="BI1200" s="30"/>
      <c r="BJ1200" s="30"/>
      <c r="BK1200" s="30"/>
      <c r="BL1200" s="30"/>
      <c r="BM1200" s="30"/>
      <c r="BN1200" s="30"/>
      <c r="BO1200" s="30"/>
      <c r="BP1200" s="30"/>
      <c r="BQ1200" s="30"/>
      <c r="BR1200" s="30"/>
      <c r="BS1200" s="30"/>
      <c r="BT1200" s="30"/>
      <c r="BU1200" s="30"/>
      <c r="BV1200" s="30"/>
      <c r="BW1200" s="30"/>
      <c r="BX1200" s="30"/>
      <c r="BY1200" s="30"/>
      <c r="BZ1200" s="30"/>
      <c r="CA1200" s="30"/>
      <c r="CB1200" s="30"/>
      <c r="CC1200" s="30"/>
      <c r="CD1200" s="30"/>
      <c r="CE1200" s="30"/>
      <c r="CF1200" s="30"/>
      <c r="CG1200" s="30"/>
      <c r="CH1200" s="30"/>
      <c r="CI1200" s="30"/>
      <c r="CJ1200" s="30"/>
      <c r="CK1200" s="30"/>
      <c r="CL1200" s="30"/>
      <c r="CM1200" s="30"/>
      <c r="CN1200" s="30"/>
      <c r="CO1200" s="30"/>
      <c r="CP1200" s="30"/>
      <c r="CQ1200" s="30"/>
      <c r="CR1200" s="30"/>
      <c r="CS1200" s="30"/>
      <c r="CT1200" s="30"/>
      <c r="CU1200" s="30"/>
      <c r="CV1200" s="30"/>
      <c r="CW1200" s="30"/>
      <c r="CX1200" s="30"/>
      <c r="CY1200" s="30"/>
      <c r="CZ1200" s="30"/>
      <c r="DA1200" s="30"/>
      <c r="DB1200" s="30"/>
      <c r="DC1200" s="30"/>
      <c r="DD1200" s="30"/>
      <c r="DE1200" s="30"/>
      <c r="DF1200" s="30"/>
      <c r="DG1200" s="30"/>
      <c r="DH1200" s="30"/>
      <c r="DI1200" s="30"/>
      <c r="DJ1200" s="30"/>
      <c r="DK1200" s="30"/>
      <c r="DL1200" s="30"/>
      <c r="DM1200" s="30"/>
      <c r="DN1200" s="30"/>
      <c r="DO1200" s="30"/>
      <c r="DP1200" s="30"/>
      <c r="DQ1200" s="30"/>
      <c r="DR1200" s="30"/>
      <c r="DS1200" s="30"/>
      <c r="DT1200" s="30"/>
      <c r="DU1200" s="30"/>
      <c r="DV1200" s="30"/>
      <c r="DW1200" s="30"/>
      <c r="DX1200" s="30"/>
      <c r="DY1200" s="30"/>
      <c r="DZ1200" s="30"/>
    </row>
    <row r="1201">
      <c r="A1201" s="30"/>
      <c r="B1201" s="42"/>
      <c r="C1201" s="43"/>
      <c r="D1201" s="30"/>
      <c r="E1201" s="28"/>
      <c r="F1201" s="30"/>
      <c r="G1201" s="30"/>
      <c r="H1201" s="30"/>
      <c r="I1201" s="30"/>
      <c r="J1201" s="28"/>
      <c r="K1201" s="30"/>
      <c r="L1201" s="30"/>
      <c r="M1201" s="30"/>
      <c r="N1201" s="30"/>
      <c r="O1201" s="28"/>
      <c r="P1201" s="30"/>
      <c r="Q1201" s="30"/>
      <c r="R1201" s="30"/>
      <c r="S1201" s="36"/>
      <c r="T1201" s="30"/>
      <c r="U1201" s="36"/>
      <c r="V1201" s="30"/>
      <c r="W1201" s="28"/>
      <c r="X1201" s="30"/>
      <c r="Y1201" s="30"/>
      <c r="Z1201" s="30"/>
      <c r="AA1201" s="30"/>
      <c r="AB1201" s="30"/>
      <c r="AC1201" s="28"/>
      <c r="AD1201" s="30"/>
      <c r="AE1201" s="30"/>
      <c r="AF1201" s="30"/>
      <c r="AG1201" s="29"/>
      <c r="AH1201" s="30"/>
      <c r="AI1201" s="36"/>
      <c r="AJ1201" s="30"/>
      <c r="AK1201" s="29"/>
      <c r="AL1201" s="30"/>
      <c r="AM1201" s="30"/>
      <c r="AN1201" s="30"/>
      <c r="AO1201" s="30"/>
      <c r="AP1201" s="30"/>
      <c r="AQ1201" s="38"/>
      <c r="AR1201" s="30"/>
      <c r="AS1201" s="30"/>
      <c r="AT1201" s="29"/>
      <c r="AU1201" s="30"/>
      <c r="AV1201" s="30"/>
      <c r="AW1201" s="30"/>
      <c r="AX1201" s="29"/>
      <c r="AY1201" s="39"/>
      <c r="AZ1201" s="30"/>
      <c r="BA1201" s="30"/>
      <c r="BB1201" s="29"/>
      <c r="BC1201" s="52"/>
      <c r="BD1201" s="30"/>
      <c r="BE1201" s="29"/>
      <c r="BF1201" s="30"/>
      <c r="BG1201" s="30"/>
      <c r="BH1201" s="30"/>
      <c r="BI1201" s="30"/>
      <c r="BJ1201" s="30"/>
      <c r="BK1201" s="30"/>
      <c r="BL1201" s="30"/>
      <c r="BM1201" s="30"/>
      <c r="BN1201" s="30"/>
      <c r="BO1201" s="30"/>
      <c r="BP1201" s="30"/>
      <c r="BQ1201" s="30"/>
      <c r="BR1201" s="30"/>
      <c r="BS1201" s="30"/>
      <c r="BT1201" s="30"/>
      <c r="BU1201" s="30"/>
      <c r="BV1201" s="30"/>
      <c r="BW1201" s="30"/>
      <c r="BX1201" s="30"/>
      <c r="BY1201" s="30"/>
      <c r="BZ1201" s="30"/>
      <c r="CA1201" s="30"/>
      <c r="CB1201" s="30"/>
      <c r="CC1201" s="30"/>
      <c r="CD1201" s="30"/>
      <c r="CE1201" s="30"/>
      <c r="CF1201" s="30"/>
      <c r="CG1201" s="30"/>
      <c r="CH1201" s="30"/>
      <c r="CI1201" s="30"/>
      <c r="CJ1201" s="30"/>
      <c r="CK1201" s="30"/>
      <c r="CL1201" s="30"/>
      <c r="CM1201" s="30"/>
      <c r="CN1201" s="30"/>
      <c r="CO1201" s="30"/>
      <c r="CP1201" s="30"/>
      <c r="CQ1201" s="30"/>
      <c r="CR1201" s="30"/>
      <c r="CS1201" s="30"/>
      <c r="CT1201" s="30"/>
      <c r="CU1201" s="30"/>
      <c r="CV1201" s="30"/>
      <c r="CW1201" s="30"/>
      <c r="CX1201" s="30"/>
      <c r="CY1201" s="30"/>
      <c r="CZ1201" s="30"/>
      <c r="DA1201" s="30"/>
      <c r="DB1201" s="30"/>
      <c r="DC1201" s="30"/>
      <c r="DD1201" s="30"/>
      <c r="DE1201" s="30"/>
      <c r="DF1201" s="30"/>
      <c r="DG1201" s="30"/>
      <c r="DH1201" s="30"/>
      <c r="DI1201" s="30"/>
      <c r="DJ1201" s="30"/>
      <c r="DK1201" s="30"/>
      <c r="DL1201" s="30"/>
      <c r="DM1201" s="30"/>
      <c r="DN1201" s="30"/>
      <c r="DO1201" s="30"/>
      <c r="DP1201" s="30"/>
      <c r="DQ1201" s="30"/>
      <c r="DR1201" s="30"/>
      <c r="DS1201" s="30"/>
      <c r="DT1201" s="30"/>
      <c r="DU1201" s="30"/>
      <c r="DV1201" s="30"/>
      <c r="DW1201" s="30"/>
      <c r="DX1201" s="30"/>
      <c r="DY1201" s="30"/>
      <c r="DZ1201" s="30"/>
    </row>
    <row r="1202">
      <c r="A1202" s="30"/>
      <c r="B1202" s="42"/>
      <c r="C1202" s="43"/>
      <c r="D1202" s="30"/>
      <c r="E1202" s="28"/>
      <c r="F1202" s="30"/>
      <c r="G1202" s="30"/>
      <c r="H1202" s="30"/>
      <c r="I1202" s="30"/>
      <c r="J1202" s="28"/>
      <c r="K1202" s="30"/>
      <c r="L1202" s="30"/>
      <c r="M1202" s="30"/>
      <c r="N1202" s="30"/>
      <c r="O1202" s="28"/>
      <c r="P1202" s="30"/>
      <c r="Q1202" s="30"/>
      <c r="R1202" s="30"/>
      <c r="S1202" s="36"/>
      <c r="T1202" s="30"/>
      <c r="U1202" s="36"/>
      <c r="V1202" s="30"/>
      <c r="W1202" s="28"/>
      <c r="X1202" s="30"/>
      <c r="Y1202" s="30"/>
      <c r="Z1202" s="30"/>
      <c r="AA1202" s="30"/>
      <c r="AB1202" s="30"/>
      <c r="AC1202" s="28"/>
      <c r="AD1202" s="30"/>
      <c r="AE1202" s="30"/>
      <c r="AF1202" s="30"/>
      <c r="AG1202" s="29"/>
      <c r="AH1202" s="30"/>
      <c r="AI1202" s="36"/>
      <c r="AJ1202" s="30"/>
      <c r="AK1202" s="29"/>
      <c r="AL1202" s="30"/>
      <c r="AM1202" s="30"/>
      <c r="AN1202" s="30"/>
      <c r="AO1202" s="30"/>
      <c r="AP1202" s="30"/>
      <c r="AQ1202" s="38"/>
      <c r="AR1202" s="30"/>
      <c r="AS1202" s="30"/>
      <c r="AT1202" s="29"/>
      <c r="AU1202" s="30"/>
      <c r="AV1202" s="30"/>
      <c r="AW1202" s="30"/>
      <c r="AX1202" s="29"/>
      <c r="AY1202" s="39"/>
      <c r="AZ1202" s="30"/>
      <c r="BA1202" s="30"/>
      <c r="BB1202" s="29"/>
      <c r="BC1202" s="52"/>
      <c r="BD1202" s="30"/>
      <c r="BE1202" s="29"/>
      <c r="BF1202" s="30"/>
      <c r="BG1202" s="30"/>
      <c r="BH1202" s="30"/>
      <c r="BI1202" s="30"/>
      <c r="BJ1202" s="30"/>
      <c r="BK1202" s="30"/>
      <c r="BL1202" s="30"/>
      <c r="BM1202" s="30"/>
      <c r="BN1202" s="30"/>
      <c r="BO1202" s="30"/>
      <c r="BP1202" s="30"/>
      <c r="BQ1202" s="30"/>
      <c r="BR1202" s="30"/>
      <c r="BS1202" s="30"/>
      <c r="BT1202" s="30"/>
      <c r="BU1202" s="30"/>
      <c r="BV1202" s="30"/>
      <c r="BW1202" s="30"/>
      <c r="BX1202" s="30"/>
      <c r="BY1202" s="30"/>
      <c r="BZ1202" s="30"/>
      <c r="CA1202" s="30"/>
      <c r="CB1202" s="30"/>
      <c r="CC1202" s="30"/>
      <c r="CD1202" s="30"/>
      <c r="CE1202" s="30"/>
      <c r="CF1202" s="30"/>
      <c r="CG1202" s="30"/>
      <c r="CH1202" s="30"/>
      <c r="CI1202" s="30"/>
      <c r="CJ1202" s="30"/>
      <c r="CK1202" s="30"/>
      <c r="CL1202" s="30"/>
      <c r="CM1202" s="30"/>
      <c r="CN1202" s="30"/>
      <c r="CO1202" s="30"/>
      <c r="CP1202" s="30"/>
      <c r="CQ1202" s="30"/>
      <c r="CR1202" s="30"/>
      <c r="CS1202" s="30"/>
      <c r="CT1202" s="30"/>
      <c r="CU1202" s="30"/>
      <c r="CV1202" s="30"/>
      <c r="CW1202" s="30"/>
      <c r="CX1202" s="30"/>
      <c r="CY1202" s="30"/>
      <c r="CZ1202" s="30"/>
      <c r="DA1202" s="30"/>
      <c r="DB1202" s="30"/>
      <c r="DC1202" s="30"/>
      <c r="DD1202" s="30"/>
      <c r="DE1202" s="30"/>
      <c r="DF1202" s="30"/>
      <c r="DG1202" s="30"/>
      <c r="DH1202" s="30"/>
      <c r="DI1202" s="30"/>
      <c r="DJ1202" s="30"/>
      <c r="DK1202" s="30"/>
      <c r="DL1202" s="30"/>
      <c r="DM1202" s="30"/>
      <c r="DN1202" s="30"/>
      <c r="DO1202" s="30"/>
      <c r="DP1202" s="30"/>
      <c r="DQ1202" s="30"/>
      <c r="DR1202" s="30"/>
      <c r="DS1202" s="30"/>
      <c r="DT1202" s="30"/>
      <c r="DU1202" s="30"/>
      <c r="DV1202" s="30"/>
      <c r="DW1202" s="30"/>
      <c r="DX1202" s="30"/>
      <c r="DY1202" s="30"/>
      <c r="DZ1202" s="30"/>
    </row>
    <row r="1203">
      <c r="A1203" s="30"/>
      <c r="B1203" s="42"/>
      <c r="C1203" s="43"/>
      <c r="D1203" s="30"/>
      <c r="E1203" s="28"/>
      <c r="F1203" s="30"/>
      <c r="G1203" s="30"/>
      <c r="H1203" s="30"/>
      <c r="I1203" s="30"/>
      <c r="J1203" s="28"/>
      <c r="K1203" s="30"/>
      <c r="L1203" s="30"/>
      <c r="M1203" s="30"/>
      <c r="N1203" s="30"/>
      <c r="O1203" s="28"/>
      <c r="P1203" s="30"/>
      <c r="Q1203" s="30"/>
      <c r="R1203" s="30"/>
      <c r="S1203" s="36"/>
      <c r="T1203" s="30"/>
      <c r="U1203" s="36"/>
      <c r="V1203" s="30"/>
      <c r="W1203" s="28"/>
      <c r="X1203" s="30"/>
      <c r="Y1203" s="30"/>
      <c r="Z1203" s="30"/>
      <c r="AA1203" s="30"/>
      <c r="AB1203" s="30"/>
      <c r="AC1203" s="28"/>
      <c r="AD1203" s="30"/>
      <c r="AE1203" s="30"/>
      <c r="AF1203" s="30"/>
      <c r="AG1203" s="29"/>
      <c r="AH1203" s="30"/>
      <c r="AI1203" s="36"/>
      <c r="AJ1203" s="30"/>
      <c r="AK1203" s="29"/>
      <c r="AL1203" s="30"/>
      <c r="AM1203" s="30"/>
      <c r="AN1203" s="30"/>
      <c r="AO1203" s="30"/>
      <c r="AP1203" s="30"/>
      <c r="AQ1203" s="38"/>
      <c r="AR1203" s="30"/>
      <c r="AS1203" s="30"/>
      <c r="AT1203" s="29"/>
      <c r="AU1203" s="30"/>
      <c r="AV1203" s="30"/>
      <c r="AW1203" s="30"/>
      <c r="AX1203" s="29"/>
      <c r="AY1203" s="39"/>
      <c r="AZ1203" s="30"/>
      <c r="BA1203" s="30"/>
      <c r="BB1203" s="29"/>
      <c r="BC1203" s="52"/>
      <c r="BD1203" s="30"/>
      <c r="BE1203" s="29"/>
      <c r="BF1203" s="30"/>
      <c r="BG1203" s="30"/>
      <c r="BH1203" s="30"/>
      <c r="BI1203" s="30"/>
      <c r="BJ1203" s="30"/>
      <c r="BK1203" s="30"/>
      <c r="BL1203" s="30"/>
      <c r="BM1203" s="30"/>
      <c r="BN1203" s="30"/>
      <c r="BO1203" s="30"/>
      <c r="BP1203" s="30"/>
      <c r="BQ1203" s="30"/>
      <c r="BR1203" s="30"/>
      <c r="BS1203" s="30"/>
      <c r="BT1203" s="30"/>
      <c r="BU1203" s="30"/>
      <c r="BV1203" s="30"/>
      <c r="BW1203" s="30"/>
      <c r="BX1203" s="30"/>
      <c r="BY1203" s="30"/>
      <c r="BZ1203" s="30"/>
      <c r="CA1203" s="30"/>
      <c r="CB1203" s="30"/>
      <c r="CC1203" s="30"/>
      <c r="CD1203" s="30"/>
      <c r="CE1203" s="30"/>
      <c r="CF1203" s="30"/>
      <c r="CG1203" s="30"/>
      <c r="CH1203" s="30"/>
      <c r="CI1203" s="30"/>
      <c r="CJ1203" s="30"/>
      <c r="CK1203" s="30"/>
      <c r="CL1203" s="30"/>
      <c r="CM1203" s="30"/>
      <c r="CN1203" s="30"/>
      <c r="CO1203" s="30"/>
      <c r="CP1203" s="30"/>
      <c r="CQ1203" s="30"/>
      <c r="CR1203" s="30"/>
      <c r="CS1203" s="30"/>
      <c r="CT1203" s="30"/>
      <c r="CU1203" s="30"/>
      <c r="CV1203" s="30"/>
      <c r="CW1203" s="30"/>
      <c r="CX1203" s="30"/>
      <c r="CY1203" s="30"/>
      <c r="CZ1203" s="30"/>
      <c r="DA1203" s="30"/>
      <c r="DB1203" s="30"/>
      <c r="DC1203" s="30"/>
      <c r="DD1203" s="30"/>
      <c r="DE1203" s="30"/>
      <c r="DF1203" s="30"/>
      <c r="DG1203" s="30"/>
      <c r="DH1203" s="30"/>
      <c r="DI1203" s="30"/>
      <c r="DJ1203" s="30"/>
      <c r="DK1203" s="30"/>
      <c r="DL1203" s="30"/>
      <c r="DM1203" s="30"/>
      <c r="DN1203" s="30"/>
      <c r="DO1203" s="30"/>
      <c r="DP1203" s="30"/>
      <c r="DQ1203" s="30"/>
      <c r="DR1203" s="30"/>
      <c r="DS1203" s="30"/>
      <c r="DT1203" s="30"/>
      <c r="DU1203" s="30"/>
      <c r="DV1203" s="30"/>
      <c r="DW1203" s="30"/>
      <c r="DX1203" s="30"/>
      <c r="DY1203" s="30"/>
      <c r="DZ1203" s="30"/>
    </row>
    <row r="1204">
      <c r="A1204" s="30"/>
      <c r="B1204" s="42"/>
      <c r="C1204" s="43"/>
      <c r="D1204" s="30"/>
      <c r="E1204" s="28"/>
      <c r="F1204" s="30"/>
      <c r="G1204" s="30"/>
      <c r="H1204" s="30"/>
      <c r="I1204" s="30"/>
      <c r="J1204" s="28"/>
      <c r="K1204" s="30"/>
      <c r="L1204" s="30"/>
      <c r="M1204" s="30"/>
      <c r="N1204" s="30"/>
      <c r="O1204" s="28"/>
      <c r="P1204" s="30"/>
      <c r="Q1204" s="30"/>
      <c r="R1204" s="30"/>
      <c r="S1204" s="36"/>
      <c r="T1204" s="30"/>
      <c r="U1204" s="36"/>
      <c r="V1204" s="30"/>
      <c r="W1204" s="28"/>
      <c r="X1204" s="30"/>
      <c r="Y1204" s="30"/>
      <c r="Z1204" s="30"/>
      <c r="AA1204" s="30"/>
      <c r="AB1204" s="30"/>
      <c r="AC1204" s="28"/>
      <c r="AD1204" s="30"/>
      <c r="AE1204" s="30"/>
      <c r="AF1204" s="30"/>
      <c r="AG1204" s="29"/>
      <c r="AH1204" s="30"/>
      <c r="AI1204" s="36"/>
      <c r="AJ1204" s="30"/>
      <c r="AK1204" s="29"/>
      <c r="AL1204" s="30"/>
      <c r="AM1204" s="30"/>
      <c r="AN1204" s="30"/>
      <c r="AO1204" s="30"/>
      <c r="AP1204" s="30"/>
      <c r="AQ1204" s="38"/>
      <c r="AR1204" s="30"/>
      <c r="AS1204" s="30"/>
      <c r="AT1204" s="29"/>
      <c r="AU1204" s="30"/>
      <c r="AV1204" s="30"/>
      <c r="AW1204" s="30"/>
      <c r="AX1204" s="29"/>
      <c r="AY1204" s="39"/>
      <c r="AZ1204" s="30"/>
      <c r="BA1204" s="30"/>
      <c r="BB1204" s="29"/>
      <c r="BC1204" s="52"/>
      <c r="BD1204" s="30"/>
      <c r="BE1204" s="29"/>
      <c r="BF1204" s="30"/>
      <c r="BG1204" s="30"/>
      <c r="BH1204" s="30"/>
      <c r="BI1204" s="30"/>
      <c r="BJ1204" s="30"/>
      <c r="BK1204" s="30"/>
      <c r="BL1204" s="30"/>
      <c r="BM1204" s="30"/>
      <c r="BN1204" s="30"/>
      <c r="BO1204" s="30"/>
      <c r="BP1204" s="30"/>
      <c r="BQ1204" s="30"/>
      <c r="BR1204" s="30"/>
      <c r="BS1204" s="30"/>
      <c r="BT1204" s="30"/>
      <c r="BU1204" s="30"/>
      <c r="BV1204" s="30"/>
      <c r="BW1204" s="30"/>
      <c r="BX1204" s="30"/>
      <c r="BY1204" s="30"/>
      <c r="BZ1204" s="30"/>
      <c r="CA1204" s="30"/>
      <c r="CB1204" s="30"/>
      <c r="CC1204" s="30"/>
      <c r="CD1204" s="30"/>
      <c r="CE1204" s="30"/>
      <c r="CF1204" s="30"/>
      <c r="CG1204" s="30"/>
      <c r="CH1204" s="30"/>
      <c r="CI1204" s="30"/>
      <c r="CJ1204" s="30"/>
      <c r="CK1204" s="30"/>
      <c r="CL1204" s="30"/>
      <c r="CM1204" s="30"/>
      <c r="CN1204" s="30"/>
      <c r="CO1204" s="30"/>
      <c r="CP1204" s="30"/>
      <c r="CQ1204" s="30"/>
      <c r="CR1204" s="30"/>
      <c r="CS1204" s="30"/>
      <c r="CT1204" s="30"/>
      <c r="CU1204" s="30"/>
      <c r="CV1204" s="30"/>
      <c r="CW1204" s="30"/>
      <c r="CX1204" s="30"/>
      <c r="CY1204" s="30"/>
      <c r="CZ1204" s="30"/>
      <c r="DA1204" s="30"/>
      <c r="DB1204" s="30"/>
      <c r="DC1204" s="30"/>
      <c r="DD1204" s="30"/>
      <c r="DE1204" s="30"/>
      <c r="DF1204" s="30"/>
      <c r="DG1204" s="30"/>
      <c r="DH1204" s="30"/>
      <c r="DI1204" s="30"/>
      <c r="DJ1204" s="30"/>
      <c r="DK1204" s="30"/>
      <c r="DL1204" s="30"/>
      <c r="DM1204" s="30"/>
      <c r="DN1204" s="30"/>
      <c r="DO1204" s="30"/>
      <c r="DP1204" s="30"/>
      <c r="DQ1204" s="30"/>
      <c r="DR1204" s="30"/>
      <c r="DS1204" s="30"/>
      <c r="DT1204" s="30"/>
      <c r="DU1204" s="30"/>
      <c r="DV1204" s="30"/>
      <c r="DW1204" s="30"/>
      <c r="DX1204" s="30"/>
      <c r="DY1204" s="30"/>
      <c r="DZ1204" s="30"/>
    </row>
    <row r="1205">
      <c r="A1205" s="30"/>
      <c r="B1205" s="42"/>
      <c r="C1205" s="43"/>
      <c r="D1205" s="30"/>
      <c r="E1205" s="28"/>
      <c r="F1205" s="30"/>
      <c r="G1205" s="30"/>
      <c r="H1205" s="30"/>
      <c r="I1205" s="30"/>
      <c r="J1205" s="28"/>
      <c r="K1205" s="30"/>
      <c r="L1205" s="30"/>
      <c r="M1205" s="30"/>
      <c r="N1205" s="30"/>
      <c r="O1205" s="28"/>
      <c r="P1205" s="30"/>
      <c r="Q1205" s="30"/>
      <c r="R1205" s="30"/>
      <c r="S1205" s="36"/>
      <c r="T1205" s="30"/>
      <c r="U1205" s="36"/>
      <c r="V1205" s="30"/>
      <c r="W1205" s="28"/>
      <c r="X1205" s="30"/>
      <c r="Y1205" s="30"/>
      <c r="Z1205" s="30"/>
      <c r="AA1205" s="30"/>
      <c r="AB1205" s="30"/>
      <c r="AC1205" s="28"/>
      <c r="AD1205" s="30"/>
      <c r="AE1205" s="30"/>
      <c r="AF1205" s="30"/>
      <c r="AG1205" s="29"/>
      <c r="AH1205" s="30"/>
      <c r="AI1205" s="36"/>
      <c r="AJ1205" s="30"/>
      <c r="AK1205" s="29"/>
      <c r="AL1205" s="30"/>
      <c r="AM1205" s="30"/>
      <c r="AN1205" s="30"/>
      <c r="AO1205" s="30"/>
      <c r="AP1205" s="30"/>
      <c r="AQ1205" s="38"/>
      <c r="AR1205" s="30"/>
      <c r="AS1205" s="30"/>
      <c r="AT1205" s="29"/>
      <c r="AU1205" s="30"/>
      <c r="AV1205" s="30"/>
      <c r="AW1205" s="30"/>
      <c r="AX1205" s="29"/>
      <c r="AY1205" s="39"/>
      <c r="AZ1205" s="30"/>
      <c r="BA1205" s="30"/>
      <c r="BB1205" s="29"/>
      <c r="BC1205" s="52"/>
      <c r="BD1205" s="30"/>
      <c r="BE1205" s="29"/>
      <c r="BF1205" s="30"/>
      <c r="BG1205" s="30"/>
      <c r="BH1205" s="30"/>
      <c r="BI1205" s="30"/>
      <c r="BJ1205" s="30"/>
      <c r="BK1205" s="30"/>
      <c r="BL1205" s="30"/>
      <c r="BM1205" s="30"/>
      <c r="BN1205" s="30"/>
      <c r="BO1205" s="30"/>
      <c r="BP1205" s="30"/>
      <c r="BQ1205" s="30"/>
      <c r="BR1205" s="30"/>
      <c r="BS1205" s="30"/>
      <c r="BT1205" s="30"/>
      <c r="BU1205" s="30"/>
      <c r="BV1205" s="30"/>
      <c r="BW1205" s="30"/>
      <c r="BX1205" s="30"/>
      <c r="BY1205" s="30"/>
      <c r="BZ1205" s="30"/>
      <c r="CA1205" s="30"/>
      <c r="CB1205" s="30"/>
      <c r="CC1205" s="30"/>
      <c r="CD1205" s="30"/>
      <c r="CE1205" s="30"/>
      <c r="CF1205" s="30"/>
      <c r="CG1205" s="30"/>
      <c r="CH1205" s="30"/>
      <c r="CI1205" s="30"/>
      <c r="CJ1205" s="30"/>
      <c r="CK1205" s="30"/>
      <c r="CL1205" s="30"/>
      <c r="CM1205" s="30"/>
      <c r="CN1205" s="30"/>
      <c r="CO1205" s="30"/>
      <c r="CP1205" s="30"/>
      <c r="CQ1205" s="30"/>
      <c r="CR1205" s="30"/>
      <c r="CS1205" s="30"/>
      <c r="CT1205" s="30"/>
      <c r="CU1205" s="30"/>
      <c r="CV1205" s="30"/>
      <c r="CW1205" s="30"/>
      <c r="CX1205" s="30"/>
      <c r="CY1205" s="30"/>
      <c r="CZ1205" s="30"/>
      <c r="DA1205" s="30"/>
      <c r="DB1205" s="30"/>
      <c r="DC1205" s="30"/>
      <c r="DD1205" s="30"/>
      <c r="DE1205" s="30"/>
      <c r="DF1205" s="30"/>
      <c r="DG1205" s="30"/>
      <c r="DH1205" s="30"/>
      <c r="DI1205" s="30"/>
      <c r="DJ1205" s="30"/>
      <c r="DK1205" s="30"/>
      <c r="DL1205" s="30"/>
      <c r="DM1205" s="30"/>
      <c r="DN1205" s="30"/>
      <c r="DO1205" s="30"/>
      <c r="DP1205" s="30"/>
      <c r="DQ1205" s="30"/>
      <c r="DR1205" s="30"/>
      <c r="DS1205" s="30"/>
      <c r="DT1205" s="30"/>
      <c r="DU1205" s="30"/>
      <c r="DV1205" s="30"/>
      <c r="DW1205" s="30"/>
      <c r="DX1205" s="30"/>
      <c r="DY1205" s="30"/>
      <c r="DZ1205" s="30"/>
    </row>
    <row r="1206">
      <c r="A1206" s="30"/>
      <c r="B1206" s="42"/>
      <c r="C1206" s="43"/>
      <c r="D1206" s="30"/>
      <c r="E1206" s="28"/>
      <c r="F1206" s="30"/>
      <c r="G1206" s="30"/>
      <c r="H1206" s="30"/>
      <c r="I1206" s="30"/>
      <c r="J1206" s="28"/>
      <c r="K1206" s="30"/>
      <c r="L1206" s="30"/>
      <c r="M1206" s="30"/>
      <c r="N1206" s="30"/>
      <c r="O1206" s="28"/>
      <c r="P1206" s="30"/>
      <c r="Q1206" s="30"/>
      <c r="R1206" s="30"/>
      <c r="S1206" s="36"/>
      <c r="T1206" s="30"/>
      <c r="U1206" s="36"/>
      <c r="V1206" s="30"/>
      <c r="W1206" s="28"/>
      <c r="X1206" s="30"/>
      <c r="Y1206" s="30"/>
      <c r="Z1206" s="30"/>
      <c r="AA1206" s="30"/>
      <c r="AB1206" s="30"/>
      <c r="AC1206" s="28"/>
      <c r="AD1206" s="30"/>
      <c r="AE1206" s="30"/>
      <c r="AF1206" s="30"/>
      <c r="AG1206" s="29"/>
      <c r="AH1206" s="30"/>
      <c r="AI1206" s="36"/>
      <c r="AJ1206" s="30"/>
      <c r="AK1206" s="29"/>
      <c r="AL1206" s="30"/>
      <c r="AM1206" s="30"/>
      <c r="AN1206" s="30"/>
      <c r="AO1206" s="30"/>
      <c r="AP1206" s="30"/>
      <c r="AQ1206" s="38"/>
      <c r="AR1206" s="30"/>
      <c r="AS1206" s="30"/>
      <c r="AT1206" s="29"/>
      <c r="AU1206" s="30"/>
      <c r="AV1206" s="30"/>
      <c r="AW1206" s="30"/>
      <c r="AX1206" s="29"/>
      <c r="AY1206" s="39"/>
      <c r="AZ1206" s="30"/>
      <c r="BA1206" s="30"/>
      <c r="BB1206" s="29"/>
      <c r="BC1206" s="52"/>
      <c r="BD1206" s="30"/>
      <c r="BE1206" s="29"/>
      <c r="BF1206" s="30"/>
      <c r="BG1206" s="30"/>
      <c r="BH1206" s="30"/>
      <c r="BI1206" s="30"/>
      <c r="BJ1206" s="30"/>
      <c r="BK1206" s="30"/>
      <c r="BL1206" s="30"/>
      <c r="BM1206" s="30"/>
      <c r="BN1206" s="30"/>
      <c r="BO1206" s="30"/>
      <c r="BP1206" s="30"/>
      <c r="BQ1206" s="30"/>
      <c r="BR1206" s="30"/>
      <c r="BS1206" s="30"/>
      <c r="BT1206" s="30"/>
      <c r="BU1206" s="30"/>
      <c r="BV1206" s="30"/>
      <c r="BW1206" s="30"/>
      <c r="BX1206" s="30"/>
      <c r="BY1206" s="30"/>
      <c r="BZ1206" s="30"/>
      <c r="CA1206" s="30"/>
      <c r="CB1206" s="30"/>
      <c r="CC1206" s="30"/>
      <c r="CD1206" s="30"/>
      <c r="CE1206" s="30"/>
      <c r="CF1206" s="30"/>
      <c r="CG1206" s="30"/>
      <c r="CH1206" s="30"/>
      <c r="CI1206" s="30"/>
      <c r="CJ1206" s="30"/>
      <c r="CK1206" s="30"/>
      <c r="CL1206" s="30"/>
      <c r="CM1206" s="30"/>
      <c r="CN1206" s="30"/>
      <c r="CO1206" s="30"/>
      <c r="CP1206" s="30"/>
      <c r="CQ1206" s="30"/>
      <c r="CR1206" s="30"/>
      <c r="CS1206" s="30"/>
      <c r="CT1206" s="30"/>
      <c r="CU1206" s="30"/>
      <c r="CV1206" s="30"/>
      <c r="CW1206" s="30"/>
      <c r="CX1206" s="30"/>
      <c r="CY1206" s="30"/>
      <c r="CZ1206" s="30"/>
      <c r="DA1206" s="30"/>
      <c r="DB1206" s="30"/>
      <c r="DC1206" s="30"/>
      <c r="DD1206" s="30"/>
      <c r="DE1206" s="30"/>
      <c r="DF1206" s="30"/>
      <c r="DG1206" s="30"/>
      <c r="DH1206" s="30"/>
      <c r="DI1206" s="30"/>
      <c r="DJ1206" s="30"/>
      <c r="DK1206" s="30"/>
      <c r="DL1206" s="30"/>
      <c r="DM1206" s="30"/>
      <c r="DN1206" s="30"/>
      <c r="DO1206" s="30"/>
      <c r="DP1206" s="30"/>
      <c r="DQ1206" s="30"/>
      <c r="DR1206" s="30"/>
      <c r="DS1206" s="30"/>
      <c r="DT1206" s="30"/>
      <c r="DU1206" s="30"/>
      <c r="DV1206" s="30"/>
      <c r="DW1206" s="30"/>
      <c r="DX1206" s="30"/>
      <c r="DY1206" s="30"/>
      <c r="DZ1206" s="30"/>
    </row>
    <row r="1207">
      <c r="A1207" s="30"/>
      <c r="B1207" s="42"/>
      <c r="C1207" s="43"/>
      <c r="D1207" s="30"/>
      <c r="E1207" s="28"/>
      <c r="F1207" s="30"/>
      <c r="G1207" s="30"/>
      <c r="H1207" s="30"/>
      <c r="I1207" s="30"/>
      <c r="J1207" s="28"/>
      <c r="K1207" s="30"/>
      <c r="L1207" s="30"/>
      <c r="M1207" s="30"/>
      <c r="N1207" s="30"/>
      <c r="O1207" s="28"/>
      <c r="P1207" s="30"/>
      <c r="Q1207" s="30"/>
      <c r="R1207" s="30"/>
      <c r="S1207" s="36"/>
      <c r="T1207" s="30"/>
      <c r="U1207" s="36"/>
      <c r="V1207" s="30"/>
      <c r="W1207" s="28"/>
      <c r="X1207" s="30"/>
      <c r="Y1207" s="30"/>
      <c r="Z1207" s="30"/>
      <c r="AA1207" s="30"/>
      <c r="AB1207" s="30"/>
      <c r="AC1207" s="28"/>
      <c r="AD1207" s="30"/>
      <c r="AE1207" s="30"/>
      <c r="AF1207" s="30"/>
      <c r="AG1207" s="29"/>
      <c r="AH1207" s="30"/>
      <c r="AI1207" s="36"/>
      <c r="AJ1207" s="30"/>
      <c r="AK1207" s="29"/>
      <c r="AL1207" s="30"/>
      <c r="AM1207" s="30"/>
      <c r="AN1207" s="30"/>
      <c r="AO1207" s="30"/>
      <c r="AP1207" s="30"/>
      <c r="AQ1207" s="38"/>
      <c r="AR1207" s="30"/>
      <c r="AS1207" s="30"/>
      <c r="AT1207" s="29"/>
      <c r="AU1207" s="30"/>
      <c r="AV1207" s="30"/>
      <c r="AW1207" s="30"/>
      <c r="AX1207" s="29"/>
      <c r="AY1207" s="39"/>
      <c r="AZ1207" s="30"/>
      <c r="BA1207" s="30"/>
      <c r="BB1207" s="29"/>
      <c r="BC1207" s="52"/>
      <c r="BD1207" s="30"/>
      <c r="BE1207" s="29"/>
      <c r="BF1207" s="30"/>
      <c r="BG1207" s="30"/>
      <c r="BH1207" s="30"/>
      <c r="BI1207" s="30"/>
      <c r="BJ1207" s="30"/>
      <c r="BK1207" s="30"/>
      <c r="BL1207" s="30"/>
      <c r="BM1207" s="30"/>
      <c r="BN1207" s="30"/>
      <c r="BO1207" s="30"/>
      <c r="BP1207" s="30"/>
      <c r="BQ1207" s="30"/>
      <c r="BR1207" s="30"/>
      <c r="BS1207" s="30"/>
      <c r="BT1207" s="30"/>
      <c r="BU1207" s="30"/>
      <c r="BV1207" s="30"/>
      <c r="BW1207" s="30"/>
      <c r="BX1207" s="30"/>
      <c r="BY1207" s="30"/>
      <c r="BZ1207" s="30"/>
      <c r="CA1207" s="30"/>
      <c r="CB1207" s="30"/>
      <c r="CC1207" s="30"/>
      <c r="CD1207" s="30"/>
      <c r="CE1207" s="30"/>
      <c r="CF1207" s="30"/>
      <c r="CG1207" s="30"/>
      <c r="CH1207" s="30"/>
      <c r="CI1207" s="30"/>
      <c r="CJ1207" s="30"/>
      <c r="CK1207" s="30"/>
      <c r="CL1207" s="30"/>
      <c r="CM1207" s="30"/>
      <c r="CN1207" s="30"/>
      <c r="CO1207" s="30"/>
      <c r="CP1207" s="30"/>
      <c r="CQ1207" s="30"/>
      <c r="CR1207" s="30"/>
      <c r="CS1207" s="30"/>
      <c r="CT1207" s="30"/>
      <c r="CU1207" s="30"/>
      <c r="CV1207" s="30"/>
      <c r="CW1207" s="30"/>
      <c r="CX1207" s="30"/>
      <c r="CY1207" s="30"/>
      <c r="CZ1207" s="30"/>
      <c r="DA1207" s="30"/>
      <c r="DB1207" s="30"/>
      <c r="DC1207" s="30"/>
      <c r="DD1207" s="30"/>
      <c r="DE1207" s="30"/>
      <c r="DF1207" s="30"/>
      <c r="DG1207" s="30"/>
      <c r="DH1207" s="30"/>
      <c r="DI1207" s="30"/>
      <c r="DJ1207" s="30"/>
      <c r="DK1207" s="30"/>
      <c r="DL1207" s="30"/>
      <c r="DM1207" s="30"/>
      <c r="DN1207" s="30"/>
      <c r="DO1207" s="30"/>
      <c r="DP1207" s="30"/>
      <c r="DQ1207" s="30"/>
      <c r="DR1207" s="30"/>
      <c r="DS1207" s="30"/>
      <c r="DT1207" s="30"/>
      <c r="DU1207" s="30"/>
      <c r="DV1207" s="30"/>
      <c r="DW1207" s="30"/>
      <c r="DX1207" s="30"/>
      <c r="DY1207" s="30"/>
      <c r="DZ1207" s="30"/>
    </row>
    <row r="1208">
      <c r="A1208" s="30"/>
      <c r="B1208" s="42"/>
      <c r="C1208" s="43"/>
      <c r="D1208" s="30"/>
      <c r="E1208" s="28"/>
      <c r="F1208" s="30"/>
      <c r="G1208" s="30"/>
      <c r="H1208" s="30"/>
      <c r="I1208" s="30"/>
      <c r="J1208" s="28"/>
      <c r="K1208" s="30"/>
      <c r="L1208" s="30"/>
      <c r="M1208" s="30"/>
      <c r="N1208" s="30"/>
      <c r="O1208" s="28"/>
      <c r="P1208" s="30"/>
      <c r="Q1208" s="30"/>
      <c r="R1208" s="30"/>
      <c r="S1208" s="36"/>
      <c r="T1208" s="30"/>
      <c r="U1208" s="36"/>
      <c r="V1208" s="30"/>
      <c r="W1208" s="28"/>
      <c r="X1208" s="30"/>
      <c r="Y1208" s="30"/>
      <c r="Z1208" s="30"/>
      <c r="AA1208" s="30"/>
      <c r="AB1208" s="30"/>
      <c r="AC1208" s="28"/>
      <c r="AD1208" s="30"/>
      <c r="AE1208" s="30"/>
      <c r="AF1208" s="30"/>
      <c r="AG1208" s="29"/>
      <c r="AH1208" s="30"/>
      <c r="AI1208" s="36"/>
      <c r="AJ1208" s="30"/>
      <c r="AK1208" s="29"/>
      <c r="AL1208" s="30"/>
      <c r="AM1208" s="30"/>
      <c r="AN1208" s="30"/>
      <c r="AO1208" s="30"/>
      <c r="AP1208" s="30"/>
      <c r="AQ1208" s="38"/>
      <c r="AR1208" s="30"/>
      <c r="AS1208" s="30"/>
      <c r="AT1208" s="29"/>
      <c r="AU1208" s="30"/>
      <c r="AV1208" s="30"/>
      <c r="AW1208" s="30"/>
      <c r="AX1208" s="29"/>
      <c r="AY1208" s="39"/>
      <c r="AZ1208" s="30"/>
      <c r="BA1208" s="30"/>
      <c r="BB1208" s="29"/>
      <c r="BC1208" s="52"/>
      <c r="BD1208" s="30"/>
      <c r="BE1208" s="29"/>
      <c r="BF1208" s="30"/>
      <c r="BG1208" s="30"/>
      <c r="BH1208" s="30"/>
      <c r="BI1208" s="30"/>
      <c r="BJ1208" s="30"/>
      <c r="BK1208" s="30"/>
      <c r="BL1208" s="30"/>
      <c r="BM1208" s="30"/>
      <c r="BN1208" s="30"/>
      <c r="BO1208" s="30"/>
      <c r="BP1208" s="30"/>
      <c r="BQ1208" s="30"/>
      <c r="BR1208" s="30"/>
      <c r="BS1208" s="30"/>
      <c r="BT1208" s="30"/>
      <c r="BU1208" s="30"/>
      <c r="BV1208" s="30"/>
      <c r="BW1208" s="30"/>
      <c r="BX1208" s="30"/>
      <c r="BY1208" s="30"/>
      <c r="BZ1208" s="30"/>
      <c r="CA1208" s="30"/>
      <c r="CB1208" s="30"/>
      <c r="CC1208" s="30"/>
      <c r="CD1208" s="30"/>
      <c r="CE1208" s="30"/>
      <c r="CF1208" s="30"/>
      <c r="CG1208" s="30"/>
      <c r="CH1208" s="30"/>
      <c r="CI1208" s="30"/>
      <c r="CJ1208" s="30"/>
      <c r="CK1208" s="30"/>
      <c r="CL1208" s="30"/>
      <c r="CM1208" s="30"/>
      <c r="CN1208" s="30"/>
      <c r="CO1208" s="30"/>
      <c r="CP1208" s="30"/>
      <c r="CQ1208" s="30"/>
      <c r="CR1208" s="30"/>
      <c r="CS1208" s="30"/>
      <c r="CT1208" s="30"/>
      <c r="CU1208" s="30"/>
      <c r="CV1208" s="30"/>
      <c r="CW1208" s="30"/>
      <c r="CX1208" s="30"/>
      <c r="CY1208" s="30"/>
      <c r="CZ1208" s="30"/>
      <c r="DA1208" s="30"/>
      <c r="DB1208" s="30"/>
      <c r="DC1208" s="30"/>
      <c r="DD1208" s="30"/>
      <c r="DE1208" s="30"/>
      <c r="DF1208" s="30"/>
      <c r="DG1208" s="30"/>
      <c r="DH1208" s="30"/>
      <c r="DI1208" s="30"/>
      <c r="DJ1208" s="30"/>
      <c r="DK1208" s="30"/>
      <c r="DL1208" s="30"/>
      <c r="DM1208" s="30"/>
      <c r="DN1208" s="30"/>
      <c r="DO1208" s="30"/>
      <c r="DP1208" s="30"/>
      <c r="DQ1208" s="30"/>
      <c r="DR1208" s="30"/>
      <c r="DS1208" s="30"/>
      <c r="DT1208" s="30"/>
      <c r="DU1208" s="30"/>
      <c r="DV1208" s="30"/>
      <c r="DW1208" s="30"/>
      <c r="DX1208" s="30"/>
      <c r="DY1208" s="30"/>
      <c r="DZ1208" s="30"/>
    </row>
    <row r="1209">
      <c r="A1209" s="30"/>
      <c r="B1209" s="42"/>
      <c r="C1209" s="43"/>
      <c r="D1209" s="30"/>
      <c r="E1209" s="28"/>
      <c r="F1209" s="30"/>
      <c r="G1209" s="30"/>
      <c r="H1209" s="30"/>
      <c r="I1209" s="30"/>
      <c r="J1209" s="28"/>
      <c r="K1209" s="30"/>
      <c r="L1209" s="30"/>
      <c r="M1209" s="30"/>
      <c r="N1209" s="30"/>
      <c r="O1209" s="28"/>
      <c r="P1209" s="30"/>
      <c r="Q1209" s="30"/>
      <c r="R1209" s="30"/>
      <c r="S1209" s="36"/>
      <c r="T1209" s="30"/>
      <c r="U1209" s="36"/>
      <c r="V1209" s="30"/>
      <c r="W1209" s="28"/>
      <c r="X1209" s="30"/>
      <c r="Y1209" s="30"/>
      <c r="Z1209" s="30"/>
      <c r="AA1209" s="30"/>
      <c r="AB1209" s="30"/>
      <c r="AC1209" s="28"/>
      <c r="AD1209" s="30"/>
      <c r="AE1209" s="30"/>
      <c r="AF1209" s="30"/>
      <c r="AG1209" s="29"/>
      <c r="AH1209" s="30"/>
      <c r="AI1209" s="36"/>
      <c r="AJ1209" s="30"/>
      <c r="AK1209" s="29"/>
      <c r="AL1209" s="30"/>
      <c r="AM1209" s="30"/>
      <c r="AN1209" s="30"/>
      <c r="AO1209" s="30"/>
      <c r="AP1209" s="30"/>
      <c r="AQ1209" s="38"/>
      <c r="AR1209" s="30"/>
      <c r="AS1209" s="30"/>
      <c r="AT1209" s="29"/>
      <c r="AU1209" s="30"/>
      <c r="AV1209" s="30"/>
      <c r="AW1209" s="30"/>
      <c r="AX1209" s="29"/>
      <c r="AY1209" s="39"/>
      <c r="AZ1209" s="30"/>
      <c r="BA1209" s="30"/>
      <c r="BB1209" s="29"/>
      <c r="BC1209" s="52"/>
      <c r="BD1209" s="30"/>
      <c r="BE1209" s="29"/>
      <c r="BF1209" s="30"/>
      <c r="BG1209" s="30"/>
      <c r="BH1209" s="30"/>
      <c r="BI1209" s="30"/>
      <c r="BJ1209" s="30"/>
      <c r="BK1209" s="30"/>
      <c r="BL1209" s="30"/>
      <c r="BM1209" s="30"/>
      <c r="BN1209" s="30"/>
      <c r="BO1209" s="30"/>
      <c r="BP1209" s="30"/>
      <c r="BQ1209" s="30"/>
      <c r="BR1209" s="30"/>
      <c r="BS1209" s="30"/>
      <c r="BT1209" s="30"/>
      <c r="BU1209" s="30"/>
      <c r="BV1209" s="30"/>
      <c r="BW1209" s="30"/>
      <c r="BX1209" s="30"/>
      <c r="BY1209" s="30"/>
      <c r="BZ1209" s="30"/>
      <c r="CA1209" s="30"/>
      <c r="CB1209" s="30"/>
      <c r="CC1209" s="30"/>
      <c r="CD1209" s="30"/>
      <c r="CE1209" s="30"/>
      <c r="CF1209" s="30"/>
      <c r="CG1209" s="30"/>
      <c r="CH1209" s="30"/>
      <c r="CI1209" s="30"/>
      <c r="CJ1209" s="30"/>
      <c r="CK1209" s="30"/>
      <c r="CL1209" s="30"/>
      <c r="CM1209" s="30"/>
      <c r="CN1209" s="30"/>
      <c r="CO1209" s="30"/>
      <c r="CP1209" s="30"/>
      <c r="CQ1209" s="30"/>
      <c r="CR1209" s="30"/>
      <c r="CS1209" s="30"/>
      <c r="CT1209" s="30"/>
      <c r="CU1209" s="30"/>
      <c r="CV1209" s="30"/>
      <c r="CW1209" s="30"/>
      <c r="CX1209" s="30"/>
      <c r="CY1209" s="30"/>
      <c r="CZ1209" s="30"/>
      <c r="DA1209" s="30"/>
      <c r="DB1209" s="30"/>
      <c r="DC1209" s="30"/>
      <c r="DD1209" s="30"/>
      <c r="DE1209" s="30"/>
      <c r="DF1209" s="30"/>
      <c r="DG1209" s="30"/>
      <c r="DH1209" s="30"/>
      <c r="DI1209" s="30"/>
      <c r="DJ1209" s="30"/>
      <c r="DK1209" s="30"/>
      <c r="DL1209" s="30"/>
      <c r="DM1209" s="30"/>
      <c r="DN1209" s="30"/>
      <c r="DO1209" s="30"/>
      <c r="DP1209" s="30"/>
      <c r="DQ1209" s="30"/>
      <c r="DR1209" s="30"/>
      <c r="DS1209" s="30"/>
      <c r="DT1209" s="30"/>
      <c r="DU1209" s="30"/>
      <c r="DV1209" s="30"/>
      <c r="DW1209" s="30"/>
      <c r="DX1209" s="30"/>
      <c r="DY1209" s="30"/>
      <c r="DZ1209" s="30"/>
    </row>
    <row r="1210">
      <c r="A1210" s="30"/>
      <c r="B1210" s="42"/>
      <c r="C1210" s="43"/>
      <c r="D1210" s="30"/>
      <c r="E1210" s="28"/>
      <c r="F1210" s="30"/>
      <c r="G1210" s="30"/>
      <c r="H1210" s="30"/>
      <c r="I1210" s="30"/>
      <c r="J1210" s="28"/>
      <c r="K1210" s="30"/>
      <c r="L1210" s="30"/>
      <c r="M1210" s="30"/>
      <c r="N1210" s="30"/>
      <c r="O1210" s="28"/>
      <c r="P1210" s="30"/>
      <c r="Q1210" s="30"/>
      <c r="R1210" s="30"/>
      <c r="S1210" s="36"/>
      <c r="T1210" s="30"/>
      <c r="U1210" s="36"/>
      <c r="V1210" s="30"/>
      <c r="W1210" s="28"/>
      <c r="X1210" s="30"/>
      <c r="Y1210" s="30"/>
      <c r="Z1210" s="30"/>
      <c r="AA1210" s="30"/>
      <c r="AB1210" s="30"/>
      <c r="AC1210" s="28"/>
      <c r="AD1210" s="30"/>
      <c r="AE1210" s="30"/>
      <c r="AF1210" s="30"/>
      <c r="AG1210" s="29"/>
      <c r="AH1210" s="30"/>
      <c r="AI1210" s="36"/>
      <c r="AJ1210" s="30"/>
      <c r="AK1210" s="29"/>
      <c r="AL1210" s="30"/>
      <c r="AM1210" s="30"/>
      <c r="AN1210" s="30"/>
      <c r="AO1210" s="30"/>
      <c r="AP1210" s="30"/>
      <c r="AQ1210" s="38"/>
      <c r="AR1210" s="30"/>
      <c r="AS1210" s="30"/>
      <c r="AT1210" s="29"/>
      <c r="AU1210" s="30"/>
      <c r="AV1210" s="30"/>
      <c r="AW1210" s="30"/>
      <c r="AX1210" s="29"/>
      <c r="AY1210" s="39"/>
      <c r="AZ1210" s="30"/>
      <c r="BA1210" s="30"/>
      <c r="BB1210" s="29"/>
      <c r="BC1210" s="52"/>
      <c r="BD1210" s="30"/>
      <c r="BE1210" s="29"/>
      <c r="BF1210" s="30"/>
      <c r="BG1210" s="30"/>
      <c r="BH1210" s="30"/>
      <c r="BI1210" s="30"/>
      <c r="BJ1210" s="30"/>
      <c r="BK1210" s="30"/>
      <c r="BL1210" s="30"/>
      <c r="BM1210" s="30"/>
      <c r="BN1210" s="30"/>
      <c r="BO1210" s="30"/>
      <c r="BP1210" s="30"/>
      <c r="BQ1210" s="30"/>
      <c r="BR1210" s="30"/>
      <c r="BS1210" s="30"/>
      <c r="BT1210" s="30"/>
      <c r="BU1210" s="30"/>
      <c r="BV1210" s="30"/>
      <c r="BW1210" s="30"/>
      <c r="BX1210" s="30"/>
      <c r="BY1210" s="30"/>
      <c r="BZ1210" s="30"/>
      <c r="CA1210" s="30"/>
      <c r="CB1210" s="30"/>
      <c r="CC1210" s="30"/>
      <c r="CD1210" s="30"/>
      <c r="CE1210" s="30"/>
      <c r="CF1210" s="30"/>
      <c r="CG1210" s="30"/>
      <c r="CH1210" s="30"/>
      <c r="CI1210" s="30"/>
      <c r="CJ1210" s="30"/>
      <c r="CK1210" s="30"/>
      <c r="CL1210" s="30"/>
      <c r="CM1210" s="30"/>
      <c r="CN1210" s="30"/>
      <c r="CO1210" s="30"/>
      <c r="CP1210" s="30"/>
      <c r="CQ1210" s="30"/>
      <c r="CR1210" s="30"/>
      <c r="CS1210" s="30"/>
      <c r="CT1210" s="30"/>
      <c r="CU1210" s="30"/>
      <c r="CV1210" s="30"/>
      <c r="CW1210" s="30"/>
      <c r="CX1210" s="30"/>
      <c r="CY1210" s="30"/>
      <c r="CZ1210" s="30"/>
      <c r="DA1210" s="30"/>
      <c r="DB1210" s="30"/>
      <c r="DC1210" s="30"/>
      <c r="DD1210" s="30"/>
      <c r="DE1210" s="30"/>
      <c r="DF1210" s="30"/>
      <c r="DG1210" s="30"/>
      <c r="DH1210" s="30"/>
      <c r="DI1210" s="30"/>
      <c r="DJ1210" s="30"/>
      <c r="DK1210" s="30"/>
      <c r="DL1210" s="30"/>
      <c r="DM1210" s="30"/>
      <c r="DN1210" s="30"/>
      <c r="DO1210" s="30"/>
      <c r="DP1210" s="30"/>
      <c r="DQ1210" s="30"/>
      <c r="DR1210" s="30"/>
      <c r="DS1210" s="30"/>
      <c r="DT1210" s="30"/>
      <c r="DU1210" s="30"/>
      <c r="DV1210" s="30"/>
      <c r="DW1210" s="30"/>
      <c r="DX1210" s="30"/>
      <c r="DY1210" s="30"/>
      <c r="DZ1210" s="30"/>
    </row>
    <row r="1211">
      <c r="A1211" s="30"/>
      <c r="B1211" s="42"/>
      <c r="C1211" s="43"/>
      <c r="D1211" s="30"/>
      <c r="E1211" s="28"/>
      <c r="F1211" s="30"/>
      <c r="G1211" s="30"/>
      <c r="H1211" s="30"/>
      <c r="I1211" s="30"/>
      <c r="J1211" s="28"/>
      <c r="K1211" s="30"/>
      <c r="L1211" s="30"/>
      <c r="M1211" s="30"/>
      <c r="N1211" s="30"/>
      <c r="O1211" s="28"/>
      <c r="P1211" s="30"/>
      <c r="Q1211" s="30"/>
      <c r="R1211" s="30"/>
      <c r="S1211" s="36"/>
      <c r="T1211" s="30"/>
      <c r="U1211" s="36"/>
      <c r="V1211" s="30"/>
      <c r="W1211" s="28"/>
      <c r="X1211" s="30"/>
      <c r="Y1211" s="30"/>
      <c r="Z1211" s="30"/>
      <c r="AA1211" s="30"/>
      <c r="AB1211" s="30"/>
      <c r="AC1211" s="28"/>
      <c r="AD1211" s="30"/>
      <c r="AE1211" s="30"/>
      <c r="AF1211" s="30"/>
      <c r="AG1211" s="29"/>
      <c r="AH1211" s="30"/>
      <c r="AI1211" s="36"/>
      <c r="AJ1211" s="30"/>
      <c r="AK1211" s="29"/>
      <c r="AL1211" s="30"/>
      <c r="AM1211" s="30"/>
      <c r="AN1211" s="30"/>
      <c r="AO1211" s="30"/>
      <c r="AP1211" s="30"/>
      <c r="AQ1211" s="38"/>
      <c r="AR1211" s="30"/>
      <c r="AS1211" s="30"/>
      <c r="AT1211" s="29"/>
      <c r="AU1211" s="30"/>
      <c r="AV1211" s="30"/>
      <c r="AW1211" s="30"/>
      <c r="AX1211" s="29"/>
      <c r="AY1211" s="39"/>
      <c r="AZ1211" s="30"/>
      <c r="BA1211" s="30"/>
      <c r="BB1211" s="29"/>
      <c r="BC1211" s="52"/>
      <c r="BD1211" s="30"/>
      <c r="BE1211" s="29"/>
      <c r="BF1211" s="30"/>
      <c r="BG1211" s="30"/>
      <c r="BH1211" s="30"/>
      <c r="BI1211" s="30"/>
      <c r="BJ1211" s="30"/>
      <c r="BK1211" s="30"/>
      <c r="BL1211" s="30"/>
      <c r="BM1211" s="30"/>
      <c r="BN1211" s="30"/>
      <c r="BO1211" s="30"/>
      <c r="BP1211" s="30"/>
      <c r="BQ1211" s="30"/>
      <c r="BR1211" s="30"/>
      <c r="BS1211" s="30"/>
      <c r="BT1211" s="30"/>
      <c r="BU1211" s="30"/>
      <c r="BV1211" s="30"/>
      <c r="BW1211" s="30"/>
      <c r="BX1211" s="30"/>
      <c r="BY1211" s="30"/>
      <c r="BZ1211" s="30"/>
      <c r="CA1211" s="30"/>
      <c r="CB1211" s="30"/>
      <c r="CC1211" s="30"/>
      <c r="CD1211" s="30"/>
      <c r="CE1211" s="30"/>
      <c r="CF1211" s="30"/>
      <c r="CG1211" s="30"/>
      <c r="CH1211" s="30"/>
      <c r="CI1211" s="30"/>
      <c r="CJ1211" s="30"/>
      <c r="CK1211" s="30"/>
      <c r="CL1211" s="30"/>
      <c r="CM1211" s="30"/>
      <c r="CN1211" s="30"/>
      <c r="CO1211" s="30"/>
      <c r="CP1211" s="30"/>
      <c r="CQ1211" s="30"/>
      <c r="CR1211" s="30"/>
      <c r="CS1211" s="30"/>
      <c r="CT1211" s="30"/>
      <c r="CU1211" s="30"/>
      <c r="CV1211" s="30"/>
      <c r="CW1211" s="30"/>
      <c r="CX1211" s="30"/>
      <c r="CY1211" s="30"/>
      <c r="CZ1211" s="30"/>
      <c r="DA1211" s="30"/>
      <c r="DB1211" s="30"/>
      <c r="DC1211" s="30"/>
      <c r="DD1211" s="30"/>
      <c r="DE1211" s="30"/>
      <c r="DF1211" s="30"/>
      <c r="DG1211" s="30"/>
      <c r="DH1211" s="30"/>
      <c r="DI1211" s="30"/>
      <c r="DJ1211" s="30"/>
      <c r="DK1211" s="30"/>
      <c r="DL1211" s="30"/>
      <c r="DM1211" s="30"/>
      <c r="DN1211" s="30"/>
      <c r="DO1211" s="30"/>
      <c r="DP1211" s="30"/>
      <c r="DQ1211" s="30"/>
      <c r="DR1211" s="30"/>
      <c r="DS1211" s="30"/>
      <c r="DT1211" s="30"/>
      <c r="DU1211" s="30"/>
      <c r="DV1211" s="30"/>
      <c r="DW1211" s="30"/>
      <c r="DX1211" s="30"/>
      <c r="DY1211" s="30"/>
      <c r="DZ1211" s="30"/>
    </row>
    <row r="1212">
      <c r="A1212" s="30"/>
      <c r="B1212" s="42"/>
      <c r="C1212" s="43"/>
      <c r="D1212" s="30"/>
      <c r="E1212" s="28"/>
      <c r="F1212" s="30"/>
      <c r="G1212" s="30"/>
      <c r="H1212" s="30"/>
      <c r="I1212" s="30"/>
      <c r="J1212" s="28"/>
      <c r="K1212" s="30"/>
      <c r="L1212" s="30"/>
      <c r="M1212" s="30"/>
      <c r="N1212" s="30"/>
      <c r="O1212" s="28"/>
      <c r="P1212" s="30"/>
      <c r="Q1212" s="30"/>
      <c r="R1212" s="30"/>
      <c r="S1212" s="36"/>
      <c r="T1212" s="30"/>
      <c r="U1212" s="36"/>
      <c r="V1212" s="30"/>
      <c r="W1212" s="28"/>
      <c r="X1212" s="30"/>
      <c r="Y1212" s="30"/>
      <c r="Z1212" s="30"/>
      <c r="AA1212" s="30"/>
      <c r="AB1212" s="30"/>
      <c r="AC1212" s="28"/>
      <c r="AD1212" s="30"/>
      <c r="AE1212" s="30"/>
      <c r="AF1212" s="30"/>
      <c r="AG1212" s="29"/>
      <c r="AH1212" s="30"/>
      <c r="AI1212" s="36"/>
      <c r="AJ1212" s="30"/>
      <c r="AK1212" s="29"/>
      <c r="AL1212" s="30"/>
      <c r="AM1212" s="30"/>
      <c r="AN1212" s="30"/>
      <c r="AO1212" s="30"/>
      <c r="AP1212" s="30"/>
      <c r="AQ1212" s="38"/>
      <c r="AR1212" s="30"/>
      <c r="AS1212" s="30"/>
      <c r="AT1212" s="29"/>
      <c r="AU1212" s="30"/>
      <c r="AV1212" s="30"/>
      <c r="AW1212" s="30"/>
      <c r="AX1212" s="29"/>
      <c r="AY1212" s="39"/>
      <c r="AZ1212" s="30"/>
      <c r="BA1212" s="30"/>
      <c r="BB1212" s="29"/>
      <c r="BC1212" s="52"/>
      <c r="BD1212" s="30"/>
      <c r="BE1212" s="29"/>
      <c r="BF1212" s="30"/>
      <c r="BG1212" s="30"/>
      <c r="BH1212" s="30"/>
      <c r="BI1212" s="30"/>
      <c r="BJ1212" s="30"/>
      <c r="BK1212" s="30"/>
      <c r="BL1212" s="30"/>
      <c r="BM1212" s="30"/>
      <c r="BN1212" s="30"/>
      <c r="BO1212" s="30"/>
      <c r="BP1212" s="30"/>
      <c r="BQ1212" s="30"/>
      <c r="BR1212" s="30"/>
      <c r="BS1212" s="30"/>
      <c r="BT1212" s="30"/>
      <c r="BU1212" s="30"/>
      <c r="BV1212" s="30"/>
      <c r="BW1212" s="30"/>
      <c r="BX1212" s="30"/>
      <c r="BY1212" s="30"/>
      <c r="BZ1212" s="30"/>
      <c r="CA1212" s="30"/>
      <c r="CB1212" s="30"/>
      <c r="CC1212" s="30"/>
      <c r="CD1212" s="30"/>
      <c r="CE1212" s="30"/>
      <c r="CF1212" s="30"/>
      <c r="CG1212" s="30"/>
      <c r="CH1212" s="30"/>
      <c r="CI1212" s="30"/>
      <c r="CJ1212" s="30"/>
      <c r="CK1212" s="30"/>
      <c r="CL1212" s="30"/>
      <c r="CM1212" s="30"/>
      <c r="CN1212" s="30"/>
      <c r="CO1212" s="30"/>
      <c r="CP1212" s="30"/>
      <c r="CQ1212" s="30"/>
      <c r="CR1212" s="30"/>
      <c r="CS1212" s="30"/>
      <c r="CT1212" s="30"/>
      <c r="CU1212" s="30"/>
      <c r="CV1212" s="30"/>
      <c r="CW1212" s="30"/>
      <c r="CX1212" s="30"/>
      <c r="CY1212" s="30"/>
      <c r="CZ1212" s="30"/>
      <c r="DA1212" s="30"/>
      <c r="DB1212" s="30"/>
      <c r="DC1212" s="30"/>
      <c r="DD1212" s="30"/>
      <c r="DE1212" s="30"/>
      <c r="DF1212" s="30"/>
      <c r="DG1212" s="30"/>
      <c r="DH1212" s="30"/>
      <c r="DI1212" s="30"/>
      <c r="DJ1212" s="30"/>
      <c r="DK1212" s="30"/>
      <c r="DL1212" s="30"/>
      <c r="DM1212" s="30"/>
      <c r="DN1212" s="30"/>
      <c r="DO1212" s="30"/>
      <c r="DP1212" s="30"/>
      <c r="DQ1212" s="30"/>
      <c r="DR1212" s="30"/>
      <c r="DS1212" s="30"/>
      <c r="DT1212" s="30"/>
      <c r="DU1212" s="30"/>
      <c r="DV1212" s="30"/>
      <c r="DW1212" s="30"/>
      <c r="DX1212" s="30"/>
      <c r="DY1212" s="30"/>
      <c r="DZ1212" s="30"/>
    </row>
    <row r="1213">
      <c r="A1213" s="30"/>
      <c r="B1213" s="42"/>
      <c r="C1213" s="43"/>
      <c r="D1213" s="30"/>
      <c r="E1213" s="28"/>
      <c r="F1213" s="30"/>
      <c r="G1213" s="30"/>
      <c r="H1213" s="30"/>
      <c r="I1213" s="30"/>
      <c r="J1213" s="28"/>
      <c r="K1213" s="30"/>
      <c r="L1213" s="30"/>
      <c r="M1213" s="30"/>
      <c r="N1213" s="30"/>
      <c r="O1213" s="28"/>
      <c r="P1213" s="30"/>
      <c r="Q1213" s="30"/>
      <c r="R1213" s="30"/>
      <c r="S1213" s="36"/>
      <c r="T1213" s="30"/>
      <c r="U1213" s="36"/>
      <c r="V1213" s="30"/>
      <c r="W1213" s="28"/>
      <c r="X1213" s="30"/>
      <c r="Y1213" s="30"/>
      <c r="Z1213" s="30"/>
      <c r="AA1213" s="30"/>
      <c r="AB1213" s="30"/>
      <c r="AC1213" s="28"/>
      <c r="AD1213" s="30"/>
      <c r="AE1213" s="30"/>
      <c r="AF1213" s="30"/>
      <c r="AG1213" s="29"/>
      <c r="AH1213" s="30"/>
      <c r="AI1213" s="36"/>
      <c r="AJ1213" s="30"/>
      <c r="AK1213" s="29"/>
      <c r="AL1213" s="30"/>
      <c r="AM1213" s="30"/>
      <c r="AN1213" s="30"/>
      <c r="AO1213" s="30"/>
      <c r="AP1213" s="30"/>
      <c r="AQ1213" s="38"/>
      <c r="AR1213" s="30"/>
      <c r="AS1213" s="30"/>
      <c r="AT1213" s="29"/>
      <c r="AU1213" s="30"/>
      <c r="AV1213" s="30"/>
      <c r="AW1213" s="30"/>
      <c r="AX1213" s="29"/>
      <c r="AY1213" s="39"/>
      <c r="AZ1213" s="30"/>
      <c r="BA1213" s="30"/>
      <c r="BB1213" s="29"/>
      <c r="BC1213" s="52"/>
      <c r="BD1213" s="30"/>
      <c r="BE1213" s="29"/>
      <c r="BF1213" s="30"/>
      <c r="BG1213" s="30"/>
      <c r="BH1213" s="30"/>
      <c r="BI1213" s="30"/>
      <c r="BJ1213" s="30"/>
      <c r="BK1213" s="30"/>
      <c r="BL1213" s="30"/>
      <c r="BM1213" s="30"/>
      <c r="BN1213" s="30"/>
      <c r="BO1213" s="30"/>
      <c r="BP1213" s="30"/>
      <c r="BQ1213" s="30"/>
      <c r="BR1213" s="30"/>
      <c r="BS1213" s="30"/>
      <c r="BT1213" s="30"/>
      <c r="BU1213" s="30"/>
      <c r="BV1213" s="30"/>
      <c r="BW1213" s="30"/>
      <c r="BX1213" s="30"/>
      <c r="BY1213" s="30"/>
      <c r="BZ1213" s="30"/>
      <c r="CA1213" s="30"/>
      <c r="CB1213" s="30"/>
      <c r="CC1213" s="30"/>
      <c r="CD1213" s="30"/>
      <c r="CE1213" s="30"/>
      <c r="CF1213" s="30"/>
      <c r="CG1213" s="30"/>
      <c r="CH1213" s="30"/>
      <c r="CI1213" s="30"/>
      <c r="CJ1213" s="30"/>
      <c r="CK1213" s="30"/>
      <c r="CL1213" s="30"/>
      <c r="CM1213" s="30"/>
      <c r="CN1213" s="30"/>
      <c r="CO1213" s="30"/>
      <c r="CP1213" s="30"/>
      <c r="CQ1213" s="30"/>
      <c r="CR1213" s="30"/>
      <c r="CS1213" s="30"/>
      <c r="CT1213" s="30"/>
      <c r="CU1213" s="30"/>
      <c r="CV1213" s="30"/>
      <c r="CW1213" s="30"/>
      <c r="CX1213" s="30"/>
      <c r="CY1213" s="30"/>
      <c r="CZ1213" s="30"/>
      <c r="DA1213" s="30"/>
      <c r="DB1213" s="30"/>
      <c r="DC1213" s="30"/>
      <c r="DD1213" s="30"/>
      <c r="DE1213" s="30"/>
      <c r="DF1213" s="30"/>
      <c r="DG1213" s="30"/>
      <c r="DH1213" s="30"/>
      <c r="DI1213" s="30"/>
      <c r="DJ1213" s="30"/>
      <c r="DK1213" s="30"/>
      <c r="DL1213" s="30"/>
      <c r="DM1213" s="30"/>
      <c r="DN1213" s="30"/>
      <c r="DO1213" s="30"/>
      <c r="DP1213" s="30"/>
      <c r="DQ1213" s="30"/>
      <c r="DR1213" s="30"/>
      <c r="DS1213" s="30"/>
      <c r="DT1213" s="30"/>
      <c r="DU1213" s="30"/>
      <c r="DV1213" s="30"/>
      <c r="DW1213" s="30"/>
      <c r="DX1213" s="30"/>
      <c r="DY1213" s="30"/>
      <c r="DZ1213" s="30"/>
    </row>
    <row r="1214">
      <c r="A1214" s="30"/>
      <c r="B1214" s="42"/>
      <c r="C1214" s="43"/>
      <c r="D1214" s="30"/>
      <c r="E1214" s="28"/>
      <c r="F1214" s="30"/>
      <c r="G1214" s="30"/>
      <c r="H1214" s="30"/>
      <c r="I1214" s="30"/>
      <c r="J1214" s="28"/>
      <c r="K1214" s="30"/>
      <c r="L1214" s="30"/>
      <c r="M1214" s="30"/>
      <c r="N1214" s="30"/>
      <c r="O1214" s="28"/>
      <c r="P1214" s="30"/>
      <c r="Q1214" s="30"/>
      <c r="R1214" s="30"/>
      <c r="S1214" s="36"/>
      <c r="T1214" s="30"/>
      <c r="U1214" s="36"/>
      <c r="V1214" s="30"/>
      <c r="W1214" s="28"/>
      <c r="X1214" s="30"/>
      <c r="Y1214" s="30"/>
      <c r="Z1214" s="30"/>
      <c r="AA1214" s="30"/>
      <c r="AB1214" s="30"/>
      <c r="AC1214" s="28"/>
      <c r="AD1214" s="30"/>
      <c r="AE1214" s="30"/>
      <c r="AF1214" s="30"/>
      <c r="AG1214" s="29"/>
      <c r="AH1214" s="30"/>
      <c r="AI1214" s="36"/>
      <c r="AJ1214" s="30"/>
      <c r="AK1214" s="29"/>
      <c r="AL1214" s="30"/>
      <c r="AM1214" s="30"/>
      <c r="AN1214" s="30"/>
      <c r="AO1214" s="30"/>
      <c r="AP1214" s="30"/>
      <c r="AQ1214" s="38"/>
      <c r="AR1214" s="30"/>
      <c r="AS1214" s="30"/>
      <c r="AT1214" s="29"/>
      <c r="AU1214" s="30"/>
      <c r="AV1214" s="30"/>
      <c r="AW1214" s="30"/>
      <c r="AX1214" s="29"/>
      <c r="AY1214" s="39"/>
      <c r="AZ1214" s="30"/>
      <c r="BA1214" s="30"/>
      <c r="BB1214" s="29"/>
      <c r="BC1214" s="52"/>
      <c r="BD1214" s="30"/>
      <c r="BE1214" s="29"/>
      <c r="BF1214" s="30"/>
      <c r="BG1214" s="30"/>
      <c r="BH1214" s="30"/>
      <c r="BI1214" s="30"/>
      <c r="BJ1214" s="30"/>
      <c r="BK1214" s="30"/>
      <c r="BL1214" s="30"/>
      <c r="BM1214" s="30"/>
      <c r="BN1214" s="30"/>
      <c r="BO1214" s="30"/>
      <c r="BP1214" s="30"/>
      <c r="BQ1214" s="30"/>
      <c r="BR1214" s="30"/>
      <c r="BS1214" s="30"/>
      <c r="BT1214" s="30"/>
      <c r="BU1214" s="30"/>
      <c r="BV1214" s="30"/>
      <c r="BW1214" s="30"/>
      <c r="BX1214" s="30"/>
      <c r="BY1214" s="30"/>
      <c r="BZ1214" s="30"/>
      <c r="CA1214" s="30"/>
      <c r="CB1214" s="30"/>
      <c r="CC1214" s="30"/>
      <c r="CD1214" s="30"/>
      <c r="CE1214" s="30"/>
      <c r="CF1214" s="30"/>
      <c r="CG1214" s="30"/>
      <c r="CH1214" s="30"/>
      <c r="CI1214" s="30"/>
      <c r="CJ1214" s="30"/>
      <c r="CK1214" s="30"/>
      <c r="CL1214" s="30"/>
      <c r="CM1214" s="30"/>
      <c r="CN1214" s="30"/>
      <c r="CO1214" s="30"/>
      <c r="CP1214" s="30"/>
      <c r="CQ1214" s="30"/>
      <c r="CR1214" s="30"/>
      <c r="CS1214" s="30"/>
      <c r="CT1214" s="30"/>
      <c r="CU1214" s="30"/>
      <c r="CV1214" s="30"/>
      <c r="CW1214" s="30"/>
      <c r="CX1214" s="30"/>
      <c r="CY1214" s="30"/>
      <c r="CZ1214" s="30"/>
      <c r="DA1214" s="30"/>
      <c r="DB1214" s="30"/>
      <c r="DC1214" s="30"/>
      <c r="DD1214" s="30"/>
      <c r="DE1214" s="30"/>
      <c r="DF1214" s="30"/>
      <c r="DG1214" s="30"/>
      <c r="DH1214" s="30"/>
      <c r="DI1214" s="30"/>
      <c r="DJ1214" s="30"/>
      <c r="DK1214" s="30"/>
      <c r="DL1214" s="30"/>
      <c r="DM1214" s="30"/>
      <c r="DN1214" s="30"/>
      <c r="DO1214" s="30"/>
      <c r="DP1214" s="30"/>
      <c r="DQ1214" s="30"/>
      <c r="DR1214" s="30"/>
      <c r="DS1214" s="30"/>
      <c r="DT1214" s="30"/>
      <c r="DU1214" s="30"/>
      <c r="DV1214" s="30"/>
      <c r="DW1214" s="30"/>
      <c r="DX1214" s="30"/>
      <c r="DY1214" s="30"/>
      <c r="DZ1214" s="30"/>
    </row>
    <row r="1215">
      <c r="A1215" s="30"/>
      <c r="B1215" s="42"/>
      <c r="C1215" s="43"/>
      <c r="D1215" s="30"/>
      <c r="E1215" s="28"/>
      <c r="F1215" s="30"/>
      <c r="G1215" s="30"/>
      <c r="H1215" s="30"/>
      <c r="I1215" s="30"/>
      <c r="J1215" s="28"/>
      <c r="K1215" s="30"/>
      <c r="L1215" s="30"/>
      <c r="M1215" s="30"/>
      <c r="N1215" s="30"/>
      <c r="O1215" s="28"/>
      <c r="P1215" s="30"/>
      <c r="Q1215" s="30"/>
      <c r="R1215" s="30"/>
      <c r="S1215" s="36"/>
      <c r="T1215" s="30"/>
      <c r="U1215" s="36"/>
      <c r="V1215" s="30"/>
      <c r="W1215" s="28"/>
      <c r="X1215" s="30"/>
      <c r="Y1215" s="30"/>
      <c r="Z1215" s="30"/>
      <c r="AA1215" s="30"/>
      <c r="AB1215" s="30"/>
      <c r="AC1215" s="28"/>
      <c r="AD1215" s="30"/>
      <c r="AE1215" s="30"/>
      <c r="AF1215" s="30"/>
      <c r="AG1215" s="29"/>
      <c r="AH1215" s="30"/>
      <c r="AI1215" s="36"/>
      <c r="AJ1215" s="30"/>
      <c r="AK1215" s="29"/>
      <c r="AL1215" s="30"/>
      <c r="AM1215" s="30"/>
      <c r="AN1215" s="30"/>
      <c r="AO1215" s="30"/>
      <c r="AP1215" s="30"/>
      <c r="AQ1215" s="38"/>
      <c r="AR1215" s="30"/>
      <c r="AS1215" s="30"/>
      <c r="AT1215" s="29"/>
      <c r="AU1215" s="30"/>
      <c r="AV1215" s="30"/>
      <c r="AW1215" s="30"/>
      <c r="AX1215" s="29"/>
      <c r="AY1215" s="39"/>
      <c r="AZ1215" s="30"/>
      <c r="BA1215" s="30"/>
      <c r="BB1215" s="29"/>
      <c r="BC1215" s="52"/>
      <c r="BD1215" s="30"/>
      <c r="BE1215" s="29"/>
      <c r="BF1215" s="30"/>
      <c r="BG1215" s="30"/>
      <c r="BH1215" s="30"/>
      <c r="BI1215" s="30"/>
      <c r="BJ1215" s="30"/>
      <c r="BK1215" s="30"/>
      <c r="BL1215" s="30"/>
      <c r="BM1215" s="30"/>
      <c r="BN1215" s="30"/>
      <c r="BO1215" s="30"/>
      <c r="BP1215" s="30"/>
      <c r="BQ1215" s="30"/>
      <c r="BR1215" s="30"/>
      <c r="BS1215" s="30"/>
      <c r="BT1215" s="30"/>
      <c r="BU1215" s="30"/>
      <c r="BV1215" s="30"/>
      <c r="BW1215" s="30"/>
      <c r="BX1215" s="30"/>
      <c r="BY1215" s="30"/>
      <c r="BZ1215" s="30"/>
      <c r="CA1215" s="30"/>
      <c r="CB1215" s="30"/>
      <c r="CC1215" s="30"/>
      <c r="CD1215" s="30"/>
      <c r="CE1215" s="30"/>
      <c r="CF1215" s="30"/>
      <c r="CG1215" s="30"/>
      <c r="CH1215" s="30"/>
      <c r="CI1215" s="30"/>
      <c r="CJ1215" s="30"/>
      <c r="CK1215" s="30"/>
      <c r="CL1215" s="30"/>
      <c r="CM1215" s="30"/>
      <c r="CN1215" s="30"/>
      <c r="CO1215" s="30"/>
      <c r="CP1215" s="30"/>
      <c r="CQ1215" s="30"/>
      <c r="CR1215" s="30"/>
      <c r="CS1215" s="30"/>
      <c r="CT1215" s="30"/>
      <c r="CU1215" s="30"/>
      <c r="CV1215" s="30"/>
      <c r="CW1215" s="30"/>
      <c r="CX1215" s="30"/>
      <c r="CY1215" s="30"/>
      <c r="CZ1215" s="30"/>
      <c r="DA1215" s="30"/>
      <c r="DB1215" s="30"/>
      <c r="DC1215" s="30"/>
      <c r="DD1215" s="30"/>
      <c r="DE1215" s="30"/>
      <c r="DF1215" s="30"/>
      <c r="DG1215" s="30"/>
      <c r="DH1215" s="30"/>
      <c r="DI1215" s="30"/>
      <c r="DJ1215" s="30"/>
      <c r="DK1215" s="30"/>
      <c r="DL1215" s="30"/>
      <c r="DM1215" s="30"/>
      <c r="DN1215" s="30"/>
      <c r="DO1215" s="30"/>
      <c r="DP1215" s="30"/>
      <c r="DQ1215" s="30"/>
      <c r="DR1215" s="30"/>
      <c r="DS1215" s="30"/>
      <c r="DT1215" s="30"/>
      <c r="DU1215" s="30"/>
      <c r="DV1215" s="30"/>
      <c r="DW1215" s="30"/>
      <c r="DX1215" s="30"/>
      <c r="DY1215" s="30"/>
      <c r="DZ1215" s="30"/>
    </row>
    <row r="1216">
      <c r="A1216" s="30"/>
      <c r="B1216" s="42"/>
      <c r="C1216" s="43"/>
      <c r="D1216" s="30"/>
      <c r="E1216" s="28"/>
      <c r="F1216" s="30"/>
      <c r="G1216" s="30"/>
      <c r="H1216" s="30"/>
      <c r="I1216" s="30"/>
      <c r="J1216" s="28"/>
      <c r="K1216" s="30"/>
      <c r="L1216" s="30"/>
      <c r="M1216" s="30"/>
      <c r="N1216" s="30"/>
      <c r="O1216" s="28"/>
      <c r="P1216" s="30"/>
      <c r="Q1216" s="30"/>
      <c r="R1216" s="30"/>
      <c r="S1216" s="36"/>
      <c r="T1216" s="30"/>
      <c r="U1216" s="36"/>
      <c r="V1216" s="30"/>
      <c r="W1216" s="28"/>
      <c r="X1216" s="30"/>
      <c r="Y1216" s="30"/>
      <c r="Z1216" s="30"/>
      <c r="AA1216" s="30"/>
      <c r="AB1216" s="30"/>
      <c r="AC1216" s="28"/>
      <c r="AD1216" s="30"/>
      <c r="AE1216" s="30"/>
      <c r="AF1216" s="30"/>
      <c r="AG1216" s="29"/>
      <c r="AH1216" s="30"/>
      <c r="AI1216" s="36"/>
      <c r="AJ1216" s="30"/>
      <c r="AK1216" s="29"/>
      <c r="AL1216" s="30"/>
      <c r="AM1216" s="30"/>
      <c r="AN1216" s="30"/>
      <c r="AO1216" s="30"/>
      <c r="AP1216" s="30"/>
      <c r="AQ1216" s="38"/>
      <c r="AR1216" s="30"/>
      <c r="AS1216" s="30"/>
      <c r="AT1216" s="29"/>
      <c r="AU1216" s="30"/>
      <c r="AV1216" s="30"/>
      <c r="AW1216" s="30"/>
      <c r="AX1216" s="29"/>
      <c r="AY1216" s="39"/>
      <c r="AZ1216" s="30"/>
      <c r="BA1216" s="30"/>
      <c r="BB1216" s="29"/>
      <c r="BC1216" s="52"/>
      <c r="BD1216" s="30"/>
      <c r="BE1216" s="29"/>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0"/>
      <c r="CF1216" s="30"/>
      <c r="CG1216" s="30"/>
      <c r="CH1216" s="30"/>
      <c r="CI1216" s="30"/>
      <c r="CJ1216" s="30"/>
      <c r="CK1216" s="30"/>
      <c r="CL1216" s="30"/>
      <c r="CM1216" s="30"/>
      <c r="CN1216" s="30"/>
      <c r="CO1216" s="30"/>
      <c r="CP1216" s="30"/>
      <c r="CQ1216" s="30"/>
      <c r="CR1216" s="30"/>
      <c r="CS1216" s="30"/>
      <c r="CT1216" s="30"/>
      <c r="CU1216" s="30"/>
      <c r="CV1216" s="30"/>
      <c r="CW1216" s="30"/>
      <c r="CX1216" s="30"/>
      <c r="CY1216" s="30"/>
      <c r="CZ1216" s="30"/>
      <c r="DA1216" s="30"/>
      <c r="DB1216" s="30"/>
      <c r="DC1216" s="30"/>
      <c r="DD1216" s="30"/>
      <c r="DE1216" s="30"/>
      <c r="DF1216" s="30"/>
      <c r="DG1216" s="30"/>
      <c r="DH1216" s="30"/>
      <c r="DI1216" s="30"/>
      <c r="DJ1216" s="30"/>
      <c r="DK1216" s="30"/>
      <c r="DL1216" s="30"/>
      <c r="DM1216" s="30"/>
      <c r="DN1216" s="30"/>
      <c r="DO1216" s="30"/>
      <c r="DP1216" s="30"/>
      <c r="DQ1216" s="30"/>
      <c r="DR1216" s="30"/>
      <c r="DS1216" s="30"/>
      <c r="DT1216" s="30"/>
      <c r="DU1216" s="30"/>
      <c r="DV1216" s="30"/>
      <c r="DW1216" s="30"/>
      <c r="DX1216" s="30"/>
      <c r="DY1216" s="30"/>
      <c r="DZ1216" s="30"/>
    </row>
    <row r="1217">
      <c r="A1217" s="30"/>
      <c r="B1217" s="42"/>
      <c r="C1217" s="43"/>
      <c r="D1217" s="30"/>
      <c r="E1217" s="28"/>
      <c r="F1217" s="30"/>
      <c r="G1217" s="30"/>
      <c r="H1217" s="30"/>
      <c r="I1217" s="30"/>
      <c r="J1217" s="28"/>
      <c r="K1217" s="30"/>
      <c r="L1217" s="30"/>
      <c r="M1217" s="30"/>
      <c r="N1217" s="30"/>
      <c r="O1217" s="28"/>
      <c r="P1217" s="30"/>
      <c r="Q1217" s="30"/>
      <c r="R1217" s="30"/>
      <c r="S1217" s="36"/>
      <c r="T1217" s="30"/>
      <c r="U1217" s="36"/>
      <c r="V1217" s="30"/>
      <c r="W1217" s="28"/>
      <c r="X1217" s="30"/>
      <c r="Y1217" s="30"/>
      <c r="Z1217" s="30"/>
      <c r="AA1217" s="30"/>
      <c r="AB1217" s="30"/>
      <c r="AC1217" s="28"/>
      <c r="AD1217" s="30"/>
      <c r="AE1217" s="30"/>
      <c r="AF1217" s="30"/>
      <c r="AG1217" s="29"/>
      <c r="AH1217" s="30"/>
      <c r="AI1217" s="36"/>
      <c r="AJ1217" s="30"/>
      <c r="AK1217" s="29"/>
      <c r="AL1217" s="30"/>
      <c r="AM1217" s="30"/>
      <c r="AN1217" s="30"/>
      <c r="AO1217" s="30"/>
      <c r="AP1217" s="30"/>
      <c r="AQ1217" s="38"/>
      <c r="AR1217" s="30"/>
      <c r="AS1217" s="30"/>
      <c r="AT1217" s="29"/>
      <c r="AU1217" s="30"/>
      <c r="AV1217" s="30"/>
      <c r="AW1217" s="30"/>
      <c r="AX1217" s="29"/>
      <c r="AY1217" s="39"/>
      <c r="AZ1217" s="30"/>
      <c r="BA1217" s="30"/>
      <c r="BB1217" s="29"/>
      <c r="BC1217" s="52"/>
      <c r="BD1217" s="30"/>
      <c r="BE1217" s="29"/>
      <c r="BF1217" s="30"/>
      <c r="BG1217" s="30"/>
      <c r="BH1217" s="30"/>
      <c r="BI1217" s="30"/>
      <c r="BJ1217" s="30"/>
      <c r="BK1217" s="30"/>
      <c r="BL1217" s="30"/>
      <c r="BM1217" s="30"/>
      <c r="BN1217" s="30"/>
      <c r="BO1217" s="30"/>
      <c r="BP1217" s="30"/>
      <c r="BQ1217" s="30"/>
      <c r="BR1217" s="30"/>
      <c r="BS1217" s="30"/>
      <c r="BT1217" s="30"/>
      <c r="BU1217" s="30"/>
      <c r="BV1217" s="30"/>
      <c r="BW1217" s="30"/>
      <c r="BX1217" s="30"/>
      <c r="BY1217" s="30"/>
      <c r="BZ1217" s="30"/>
      <c r="CA1217" s="30"/>
      <c r="CB1217" s="30"/>
      <c r="CC1217" s="30"/>
      <c r="CD1217" s="30"/>
      <c r="CE1217" s="30"/>
      <c r="CF1217" s="30"/>
      <c r="CG1217" s="30"/>
      <c r="CH1217" s="30"/>
      <c r="CI1217" s="30"/>
      <c r="CJ1217" s="30"/>
      <c r="CK1217" s="30"/>
      <c r="CL1217" s="30"/>
      <c r="CM1217" s="30"/>
      <c r="CN1217" s="30"/>
      <c r="CO1217" s="30"/>
      <c r="CP1217" s="30"/>
      <c r="CQ1217" s="30"/>
      <c r="CR1217" s="30"/>
      <c r="CS1217" s="30"/>
      <c r="CT1217" s="30"/>
      <c r="CU1217" s="30"/>
      <c r="CV1217" s="30"/>
      <c r="CW1217" s="30"/>
      <c r="CX1217" s="30"/>
      <c r="CY1217" s="30"/>
      <c r="CZ1217" s="30"/>
      <c r="DA1217" s="30"/>
      <c r="DB1217" s="30"/>
      <c r="DC1217" s="30"/>
      <c r="DD1217" s="30"/>
      <c r="DE1217" s="30"/>
      <c r="DF1217" s="30"/>
      <c r="DG1217" s="30"/>
      <c r="DH1217" s="30"/>
      <c r="DI1217" s="30"/>
      <c r="DJ1217" s="30"/>
      <c r="DK1217" s="30"/>
      <c r="DL1217" s="30"/>
      <c r="DM1217" s="30"/>
      <c r="DN1217" s="30"/>
      <c r="DO1217" s="30"/>
      <c r="DP1217" s="30"/>
      <c r="DQ1217" s="30"/>
      <c r="DR1217" s="30"/>
      <c r="DS1217" s="30"/>
      <c r="DT1217" s="30"/>
      <c r="DU1217" s="30"/>
      <c r="DV1217" s="30"/>
      <c r="DW1217" s="30"/>
      <c r="DX1217" s="30"/>
      <c r="DY1217" s="30"/>
      <c r="DZ1217" s="30"/>
    </row>
    <row r="1218">
      <c r="A1218" s="30"/>
      <c r="B1218" s="42"/>
      <c r="C1218" s="43"/>
      <c r="D1218" s="30"/>
      <c r="E1218" s="28"/>
      <c r="F1218" s="30"/>
      <c r="G1218" s="30"/>
      <c r="H1218" s="30"/>
      <c r="I1218" s="30"/>
      <c r="J1218" s="28"/>
      <c r="K1218" s="30"/>
      <c r="L1218" s="30"/>
      <c r="M1218" s="30"/>
      <c r="N1218" s="30"/>
      <c r="O1218" s="28"/>
      <c r="P1218" s="30"/>
      <c r="Q1218" s="30"/>
      <c r="R1218" s="30"/>
      <c r="S1218" s="36"/>
      <c r="T1218" s="30"/>
      <c r="U1218" s="36"/>
      <c r="V1218" s="30"/>
      <c r="W1218" s="28"/>
      <c r="X1218" s="30"/>
      <c r="Y1218" s="30"/>
      <c r="Z1218" s="30"/>
      <c r="AA1218" s="30"/>
      <c r="AB1218" s="30"/>
      <c r="AC1218" s="28"/>
      <c r="AD1218" s="30"/>
      <c r="AE1218" s="30"/>
      <c r="AF1218" s="30"/>
      <c r="AG1218" s="29"/>
      <c r="AH1218" s="30"/>
      <c r="AI1218" s="36"/>
      <c r="AJ1218" s="30"/>
      <c r="AK1218" s="29"/>
      <c r="AL1218" s="30"/>
      <c r="AM1218" s="30"/>
      <c r="AN1218" s="30"/>
      <c r="AO1218" s="30"/>
      <c r="AP1218" s="30"/>
      <c r="AQ1218" s="38"/>
      <c r="AR1218" s="30"/>
      <c r="AS1218" s="30"/>
      <c r="AT1218" s="29"/>
      <c r="AU1218" s="30"/>
      <c r="AV1218" s="30"/>
      <c r="AW1218" s="30"/>
      <c r="AX1218" s="29"/>
      <c r="AY1218" s="39"/>
      <c r="AZ1218" s="30"/>
      <c r="BA1218" s="30"/>
      <c r="BB1218" s="29"/>
      <c r="BC1218" s="52"/>
      <c r="BD1218" s="30"/>
      <c r="BE1218" s="29"/>
      <c r="BF1218" s="30"/>
      <c r="BG1218" s="30"/>
      <c r="BH1218" s="30"/>
      <c r="BI1218" s="30"/>
      <c r="BJ1218" s="30"/>
      <c r="BK1218" s="30"/>
      <c r="BL1218" s="30"/>
      <c r="BM1218" s="30"/>
      <c r="BN1218" s="30"/>
      <c r="BO1218" s="30"/>
      <c r="BP1218" s="30"/>
      <c r="BQ1218" s="30"/>
      <c r="BR1218" s="30"/>
      <c r="BS1218" s="30"/>
      <c r="BT1218" s="30"/>
      <c r="BU1218" s="30"/>
      <c r="BV1218" s="30"/>
      <c r="BW1218" s="30"/>
      <c r="BX1218" s="30"/>
      <c r="BY1218" s="30"/>
      <c r="BZ1218" s="30"/>
      <c r="CA1218" s="30"/>
      <c r="CB1218" s="30"/>
      <c r="CC1218" s="30"/>
      <c r="CD1218" s="30"/>
      <c r="CE1218" s="30"/>
      <c r="CF1218" s="30"/>
      <c r="CG1218" s="30"/>
      <c r="CH1218" s="30"/>
      <c r="CI1218" s="30"/>
      <c r="CJ1218" s="30"/>
      <c r="CK1218" s="30"/>
      <c r="CL1218" s="30"/>
      <c r="CM1218" s="30"/>
      <c r="CN1218" s="30"/>
      <c r="CO1218" s="30"/>
      <c r="CP1218" s="30"/>
      <c r="CQ1218" s="30"/>
      <c r="CR1218" s="30"/>
      <c r="CS1218" s="30"/>
      <c r="CT1218" s="30"/>
      <c r="CU1218" s="30"/>
      <c r="CV1218" s="30"/>
      <c r="CW1218" s="30"/>
      <c r="CX1218" s="30"/>
      <c r="CY1218" s="30"/>
      <c r="CZ1218" s="30"/>
      <c r="DA1218" s="30"/>
      <c r="DB1218" s="30"/>
      <c r="DC1218" s="30"/>
      <c r="DD1218" s="30"/>
      <c r="DE1218" s="30"/>
      <c r="DF1218" s="30"/>
      <c r="DG1218" s="30"/>
      <c r="DH1218" s="30"/>
      <c r="DI1218" s="30"/>
      <c r="DJ1218" s="30"/>
      <c r="DK1218" s="30"/>
      <c r="DL1218" s="30"/>
      <c r="DM1218" s="30"/>
      <c r="DN1218" s="30"/>
      <c r="DO1218" s="30"/>
      <c r="DP1218" s="30"/>
      <c r="DQ1218" s="30"/>
      <c r="DR1218" s="30"/>
      <c r="DS1218" s="30"/>
      <c r="DT1218" s="30"/>
      <c r="DU1218" s="30"/>
      <c r="DV1218" s="30"/>
      <c r="DW1218" s="30"/>
      <c r="DX1218" s="30"/>
      <c r="DY1218" s="30"/>
      <c r="DZ1218" s="30"/>
    </row>
    <row r="1219">
      <c r="A1219" s="30"/>
      <c r="B1219" s="42"/>
      <c r="C1219" s="43"/>
      <c r="D1219" s="30"/>
      <c r="E1219" s="28"/>
      <c r="F1219" s="30"/>
      <c r="G1219" s="30"/>
      <c r="H1219" s="30"/>
      <c r="I1219" s="30"/>
      <c r="J1219" s="28"/>
      <c r="K1219" s="30"/>
      <c r="L1219" s="30"/>
      <c r="M1219" s="30"/>
      <c r="N1219" s="30"/>
      <c r="O1219" s="28"/>
      <c r="P1219" s="30"/>
      <c r="Q1219" s="30"/>
      <c r="R1219" s="30"/>
      <c r="S1219" s="36"/>
      <c r="T1219" s="30"/>
      <c r="U1219" s="36"/>
      <c r="V1219" s="30"/>
      <c r="W1219" s="28"/>
      <c r="X1219" s="30"/>
      <c r="Y1219" s="30"/>
      <c r="Z1219" s="30"/>
      <c r="AA1219" s="30"/>
      <c r="AB1219" s="30"/>
      <c r="AC1219" s="28"/>
      <c r="AD1219" s="30"/>
      <c r="AE1219" s="30"/>
      <c r="AF1219" s="30"/>
      <c r="AG1219" s="29"/>
      <c r="AH1219" s="30"/>
      <c r="AI1219" s="36"/>
      <c r="AJ1219" s="30"/>
      <c r="AK1219" s="29"/>
      <c r="AL1219" s="30"/>
      <c r="AM1219" s="30"/>
      <c r="AN1219" s="30"/>
      <c r="AO1219" s="30"/>
      <c r="AP1219" s="30"/>
      <c r="AQ1219" s="38"/>
      <c r="AR1219" s="30"/>
      <c r="AS1219" s="30"/>
      <c r="AT1219" s="29"/>
      <c r="AU1219" s="30"/>
      <c r="AV1219" s="30"/>
      <c r="AW1219" s="30"/>
      <c r="AX1219" s="29"/>
      <c r="AY1219" s="39"/>
      <c r="AZ1219" s="30"/>
      <c r="BA1219" s="30"/>
      <c r="BB1219" s="29"/>
      <c r="BC1219" s="52"/>
      <c r="BD1219" s="30"/>
      <c r="BE1219" s="29"/>
      <c r="BF1219" s="30"/>
      <c r="BG1219" s="30"/>
      <c r="BH1219" s="30"/>
      <c r="BI1219" s="30"/>
      <c r="BJ1219" s="30"/>
      <c r="BK1219" s="30"/>
      <c r="BL1219" s="30"/>
      <c r="BM1219" s="30"/>
      <c r="BN1219" s="30"/>
      <c r="BO1219" s="30"/>
      <c r="BP1219" s="30"/>
      <c r="BQ1219" s="30"/>
      <c r="BR1219" s="30"/>
      <c r="BS1219" s="30"/>
      <c r="BT1219" s="30"/>
      <c r="BU1219" s="30"/>
      <c r="BV1219" s="30"/>
      <c r="BW1219" s="30"/>
      <c r="BX1219" s="30"/>
      <c r="BY1219" s="30"/>
      <c r="BZ1219" s="30"/>
      <c r="CA1219" s="30"/>
      <c r="CB1219" s="30"/>
      <c r="CC1219" s="30"/>
      <c r="CD1219" s="30"/>
      <c r="CE1219" s="30"/>
      <c r="CF1219" s="30"/>
      <c r="CG1219" s="30"/>
      <c r="CH1219" s="30"/>
      <c r="CI1219" s="30"/>
      <c r="CJ1219" s="30"/>
      <c r="CK1219" s="30"/>
      <c r="CL1219" s="30"/>
      <c r="CM1219" s="30"/>
      <c r="CN1219" s="30"/>
      <c r="CO1219" s="30"/>
      <c r="CP1219" s="30"/>
      <c r="CQ1219" s="30"/>
      <c r="CR1219" s="30"/>
      <c r="CS1219" s="30"/>
      <c r="CT1219" s="30"/>
      <c r="CU1219" s="30"/>
      <c r="CV1219" s="30"/>
      <c r="CW1219" s="30"/>
      <c r="CX1219" s="30"/>
      <c r="CY1219" s="30"/>
      <c r="CZ1219" s="30"/>
      <c r="DA1219" s="30"/>
      <c r="DB1219" s="30"/>
      <c r="DC1219" s="30"/>
      <c r="DD1219" s="30"/>
      <c r="DE1219" s="30"/>
      <c r="DF1219" s="30"/>
      <c r="DG1219" s="30"/>
      <c r="DH1219" s="30"/>
      <c r="DI1219" s="30"/>
      <c r="DJ1219" s="30"/>
      <c r="DK1219" s="30"/>
      <c r="DL1219" s="30"/>
      <c r="DM1219" s="30"/>
      <c r="DN1219" s="30"/>
      <c r="DO1219" s="30"/>
      <c r="DP1219" s="30"/>
      <c r="DQ1219" s="30"/>
      <c r="DR1219" s="30"/>
      <c r="DS1219" s="30"/>
      <c r="DT1219" s="30"/>
      <c r="DU1219" s="30"/>
      <c r="DV1219" s="30"/>
      <c r="DW1219" s="30"/>
      <c r="DX1219" s="30"/>
      <c r="DY1219" s="30"/>
      <c r="DZ1219" s="30"/>
    </row>
    <row r="1220">
      <c r="A1220" s="30"/>
      <c r="B1220" s="42"/>
      <c r="C1220" s="43"/>
      <c r="D1220" s="30"/>
      <c r="E1220" s="28"/>
      <c r="F1220" s="30"/>
      <c r="G1220" s="30"/>
      <c r="H1220" s="30"/>
      <c r="I1220" s="30"/>
      <c r="J1220" s="28"/>
      <c r="K1220" s="30"/>
      <c r="L1220" s="30"/>
      <c r="M1220" s="30"/>
      <c r="N1220" s="30"/>
      <c r="O1220" s="28"/>
      <c r="P1220" s="30"/>
      <c r="Q1220" s="30"/>
      <c r="R1220" s="30"/>
      <c r="S1220" s="36"/>
      <c r="T1220" s="30"/>
      <c r="U1220" s="36"/>
      <c r="V1220" s="30"/>
      <c r="W1220" s="28"/>
      <c r="X1220" s="30"/>
      <c r="Y1220" s="30"/>
      <c r="Z1220" s="30"/>
      <c r="AA1220" s="30"/>
      <c r="AB1220" s="30"/>
      <c r="AC1220" s="28"/>
      <c r="AD1220" s="30"/>
      <c r="AE1220" s="30"/>
      <c r="AF1220" s="30"/>
      <c r="AG1220" s="29"/>
      <c r="AH1220" s="30"/>
      <c r="AI1220" s="36"/>
      <c r="AJ1220" s="30"/>
      <c r="AK1220" s="29"/>
      <c r="AL1220" s="30"/>
      <c r="AM1220" s="30"/>
      <c r="AN1220" s="30"/>
      <c r="AO1220" s="30"/>
      <c r="AP1220" s="30"/>
      <c r="AQ1220" s="38"/>
      <c r="AR1220" s="30"/>
      <c r="AS1220" s="30"/>
      <c r="AT1220" s="29"/>
      <c r="AU1220" s="30"/>
      <c r="AV1220" s="30"/>
      <c r="AW1220" s="30"/>
      <c r="AX1220" s="29"/>
      <c r="AY1220" s="39"/>
      <c r="AZ1220" s="30"/>
      <c r="BA1220" s="30"/>
      <c r="BB1220" s="29"/>
      <c r="BC1220" s="52"/>
      <c r="BD1220" s="30"/>
      <c r="BE1220" s="29"/>
      <c r="BF1220" s="30"/>
      <c r="BG1220" s="30"/>
      <c r="BH1220" s="30"/>
      <c r="BI1220" s="30"/>
      <c r="BJ1220" s="30"/>
      <c r="BK1220" s="30"/>
      <c r="BL1220" s="30"/>
      <c r="BM1220" s="30"/>
      <c r="BN1220" s="30"/>
      <c r="BO1220" s="30"/>
      <c r="BP1220" s="30"/>
      <c r="BQ1220" s="30"/>
      <c r="BR1220" s="30"/>
      <c r="BS1220" s="30"/>
      <c r="BT1220" s="30"/>
      <c r="BU1220" s="30"/>
      <c r="BV1220" s="30"/>
      <c r="BW1220" s="30"/>
      <c r="BX1220" s="30"/>
      <c r="BY1220" s="30"/>
      <c r="BZ1220" s="30"/>
      <c r="CA1220" s="30"/>
      <c r="CB1220" s="30"/>
      <c r="CC1220" s="30"/>
      <c r="CD1220" s="30"/>
      <c r="CE1220" s="30"/>
      <c r="CF1220" s="30"/>
      <c r="CG1220" s="30"/>
      <c r="CH1220" s="30"/>
      <c r="CI1220" s="30"/>
      <c r="CJ1220" s="30"/>
      <c r="CK1220" s="30"/>
      <c r="CL1220" s="30"/>
      <c r="CM1220" s="30"/>
      <c r="CN1220" s="30"/>
      <c r="CO1220" s="30"/>
      <c r="CP1220" s="30"/>
      <c r="CQ1220" s="30"/>
      <c r="CR1220" s="30"/>
      <c r="CS1220" s="30"/>
      <c r="CT1220" s="30"/>
      <c r="CU1220" s="30"/>
      <c r="CV1220" s="30"/>
      <c r="CW1220" s="30"/>
      <c r="CX1220" s="30"/>
      <c r="CY1220" s="30"/>
      <c r="CZ1220" s="30"/>
      <c r="DA1220" s="30"/>
      <c r="DB1220" s="30"/>
      <c r="DC1220" s="30"/>
      <c r="DD1220" s="30"/>
      <c r="DE1220" s="30"/>
      <c r="DF1220" s="30"/>
      <c r="DG1220" s="30"/>
      <c r="DH1220" s="30"/>
      <c r="DI1220" s="30"/>
      <c r="DJ1220" s="30"/>
      <c r="DK1220" s="30"/>
      <c r="DL1220" s="30"/>
      <c r="DM1220" s="30"/>
      <c r="DN1220" s="30"/>
      <c r="DO1220" s="30"/>
      <c r="DP1220" s="30"/>
      <c r="DQ1220" s="30"/>
      <c r="DR1220" s="30"/>
      <c r="DS1220" s="30"/>
      <c r="DT1220" s="30"/>
      <c r="DU1220" s="30"/>
      <c r="DV1220" s="30"/>
      <c r="DW1220" s="30"/>
      <c r="DX1220" s="30"/>
      <c r="DY1220" s="30"/>
      <c r="DZ1220" s="30"/>
    </row>
    <row r="1221">
      <c r="A1221" s="30"/>
      <c r="B1221" s="42"/>
      <c r="C1221" s="43"/>
      <c r="D1221" s="30"/>
      <c r="E1221" s="28"/>
      <c r="F1221" s="30"/>
      <c r="G1221" s="30"/>
      <c r="H1221" s="30"/>
      <c r="I1221" s="30"/>
      <c r="J1221" s="28"/>
      <c r="K1221" s="30"/>
      <c r="L1221" s="30"/>
      <c r="M1221" s="30"/>
      <c r="N1221" s="30"/>
      <c r="O1221" s="28"/>
      <c r="P1221" s="30"/>
      <c r="Q1221" s="30"/>
      <c r="R1221" s="30"/>
      <c r="S1221" s="36"/>
      <c r="T1221" s="30"/>
      <c r="U1221" s="36"/>
      <c r="V1221" s="30"/>
      <c r="W1221" s="28"/>
      <c r="X1221" s="30"/>
      <c r="Y1221" s="30"/>
      <c r="Z1221" s="30"/>
      <c r="AA1221" s="30"/>
      <c r="AB1221" s="30"/>
      <c r="AC1221" s="28"/>
      <c r="AD1221" s="30"/>
      <c r="AE1221" s="30"/>
      <c r="AF1221" s="30"/>
      <c r="AG1221" s="29"/>
      <c r="AH1221" s="30"/>
      <c r="AI1221" s="36"/>
      <c r="AJ1221" s="30"/>
      <c r="AK1221" s="29"/>
      <c r="AL1221" s="30"/>
      <c r="AM1221" s="30"/>
      <c r="AN1221" s="30"/>
      <c r="AO1221" s="30"/>
      <c r="AP1221" s="30"/>
      <c r="AQ1221" s="38"/>
      <c r="AR1221" s="30"/>
      <c r="AS1221" s="30"/>
      <c r="AT1221" s="29"/>
      <c r="AU1221" s="30"/>
      <c r="AV1221" s="30"/>
      <c r="AW1221" s="30"/>
      <c r="AX1221" s="29"/>
      <c r="AY1221" s="39"/>
      <c r="AZ1221" s="30"/>
      <c r="BA1221" s="30"/>
      <c r="BB1221" s="29"/>
      <c r="BC1221" s="52"/>
      <c r="BD1221" s="30"/>
      <c r="BE1221" s="29"/>
      <c r="BF1221" s="30"/>
      <c r="BG1221" s="30"/>
      <c r="BH1221" s="30"/>
      <c r="BI1221" s="30"/>
      <c r="BJ1221" s="30"/>
      <c r="BK1221" s="30"/>
      <c r="BL1221" s="30"/>
      <c r="BM1221" s="30"/>
      <c r="BN1221" s="30"/>
      <c r="BO1221" s="30"/>
      <c r="BP1221" s="30"/>
      <c r="BQ1221" s="30"/>
      <c r="BR1221" s="30"/>
      <c r="BS1221" s="30"/>
      <c r="BT1221" s="30"/>
      <c r="BU1221" s="30"/>
      <c r="BV1221" s="30"/>
      <c r="BW1221" s="30"/>
      <c r="BX1221" s="30"/>
      <c r="BY1221" s="30"/>
      <c r="BZ1221" s="30"/>
      <c r="CA1221" s="30"/>
      <c r="CB1221" s="30"/>
      <c r="CC1221" s="30"/>
      <c r="CD1221" s="30"/>
      <c r="CE1221" s="30"/>
      <c r="CF1221" s="30"/>
      <c r="CG1221" s="30"/>
      <c r="CH1221" s="30"/>
      <c r="CI1221" s="30"/>
      <c r="CJ1221" s="30"/>
      <c r="CK1221" s="30"/>
      <c r="CL1221" s="30"/>
      <c r="CM1221" s="30"/>
      <c r="CN1221" s="30"/>
      <c r="CO1221" s="30"/>
      <c r="CP1221" s="30"/>
      <c r="CQ1221" s="30"/>
      <c r="CR1221" s="30"/>
      <c r="CS1221" s="30"/>
      <c r="CT1221" s="30"/>
      <c r="CU1221" s="30"/>
      <c r="CV1221" s="30"/>
      <c r="CW1221" s="30"/>
      <c r="CX1221" s="30"/>
      <c r="CY1221" s="30"/>
      <c r="CZ1221" s="30"/>
      <c r="DA1221" s="30"/>
      <c r="DB1221" s="30"/>
      <c r="DC1221" s="30"/>
      <c r="DD1221" s="30"/>
      <c r="DE1221" s="30"/>
      <c r="DF1221" s="30"/>
      <c r="DG1221" s="30"/>
      <c r="DH1221" s="30"/>
      <c r="DI1221" s="30"/>
      <c r="DJ1221" s="30"/>
      <c r="DK1221" s="30"/>
      <c r="DL1221" s="30"/>
      <c r="DM1221" s="30"/>
      <c r="DN1221" s="30"/>
      <c r="DO1221" s="30"/>
      <c r="DP1221" s="30"/>
      <c r="DQ1221" s="30"/>
      <c r="DR1221" s="30"/>
      <c r="DS1221" s="30"/>
      <c r="DT1221" s="30"/>
      <c r="DU1221" s="30"/>
      <c r="DV1221" s="30"/>
      <c r="DW1221" s="30"/>
      <c r="DX1221" s="30"/>
      <c r="DY1221" s="30"/>
      <c r="DZ1221" s="30"/>
    </row>
    <row r="1222">
      <c r="A1222" s="30"/>
      <c r="B1222" s="42"/>
      <c r="C1222" s="43"/>
      <c r="D1222" s="30"/>
      <c r="E1222" s="28"/>
      <c r="F1222" s="30"/>
      <c r="G1222" s="30"/>
      <c r="H1222" s="30"/>
      <c r="I1222" s="30"/>
      <c r="J1222" s="28"/>
      <c r="K1222" s="30"/>
      <c r="L1222" s="30"/>
      <c r="M1222" s="30"/>
      <c r="N1222" s="30"/>
      <c r="O1222" s="28"/>
      <c r="P1222" s="30"/>
      <c r="Q1222" s="30"/>
      <c r="R1222" s="30"/>
      <c r="S1222" s="36"/>
      <c r="T1222" s="30"/>
      <c r="U1222" s="36"/>
      <c r="V1222" s="30"/>
      <c r="W1222" s="28"/>
      <c r="X1222" s="30"/>
      <c r="Y1222" s="30"/>
      <c r="Z1222" s="30"/>
      <c r="AA1222" s="30"/>
      <c r="AB1222" s="30"/>
      <c r="AC1222" s="28"/>
      <c r="AD1222" s="30"/>
      <c r="AE1222" s="30"/>
      <c r="AF1222" s="30"/>
      <c r="AG1222" s="29"/>
      <c r="AH1222" s="30"/>
      <c r="AI1222" s="36"/>
      <c r="AJ1222" s="30"/>
      <c r="AK1222" s="29"/>
      <c r="AL1222" s="30"/>
      <c r="AM1222" s="30"/>
      <c r="AN1222" s="30"/>
      <c r="AO1222" s="30"/>
      <c r="AP1222" s="30"/>
      <c r="AQ1222" s="38"/>
      <c r="AR1222" s="30"/>
      <c r="AS1222" s="30"/>
      <c r="AT1222" s="29"/>
      <c r="AU1222" s="30"/>
      <c r="AV1222" s="30"/>
      <c r="AW1222" s="30"/>
      <c r="AX1222" s="29"/>
      <c r="AY1222" s="39"/>
      <c r="AZ1222" s="30"/>
      <c r="BA1222" s="30"/>
      <c r="BB1222" s="29"/>
      <c r="BC1222" s="52"/>
      <c r="BD1222" s="30"/>
      <c r="BE1222" s="29"/>
      <c r="BF1222" s="30"/>
      <c r="BG1222" s="30"/>
      <c r="BH1222" s="30"/>
      <c r="BI1222" s="30"/>
      <c r="BJ1222" s="30"/>
      <c r="BK1222" s="30"/>
      <c r="BL1222" s="30"/>
      <c r="BM1222" s="30"/>
      <c r="BN1222" s="30"/>
      <c r="BO1222" s="30"/>
      <c r="BP1222" s="30"/>
      <c r="BQ1222" s="30"/>
      <c r="BR1222" s="30"/>
      <c r="BS1222" s="30"/>
      <c r="BT1222" s="30"/>
      <c r="BU1222" s="30"/>
      <c r="BV1222" s="30"/>
      <c r="BW1222" s="30"/>
      <c r="BX1222" s="30"/>
      <c r="BY1222" s="30"/>
      <c r="BZ1222" s="30"/>
      <c r="CA1222" s="30"/>
      <c r="CB1222" s="30"/>
      <c r="CC1222" s="30"/>
      <c r="CD1222" s="30"/>
      <c r="CE1222" s="30"/>
      <c r="CF1222" s="30"/>
      <c r="CG1222" s="30"/>
      <c r="CH1222" s="30"/>
      <c r="CI1222" s="30"/>
      <c r="CJ1222" s="30"/>
      <c r="CK1222" s="30"/>
      <c r="CL1222" s="30"/>
      <c r="CM1222" s="30"/>
      <c r="CN1222" s="30"/>
      <c r="CO1222" s="30"/>
      <c r="CP1222" s="30"/>
      <c r="CQ1222" s="30"/>
      <c r="CR1222" s="30"/>
      <c r="CS1222" s="30"/>
      <c r="CT1222" s="30"/>
      <c r="CU1222" s="30"/>
      <c r="CV1222" s="30"/>
      <c r="CW1222" s="30"/>
      <c r="CX1222" s="30"/>
      <c r="CY1222" s="30"/>
      <c r="CZ1222" s="30"/>
      <c r="DA1222" s="30"/>
      <c r="DB1222" s="30"/>
      <c r="DC1222" s="30"/>
      <c r="DD1222" s="30"/>
      <c r="DE1222" s="30"/>
      <c r="DF1222" s="30"/>
      <c r="DG1222" s="30"/>
      <c r="DH1222" s="30"/>
      <c r="DI1222" s="30"/>
      <c r="DJ1222" s="30"/>
      <c r="DK1222" s="30"/>
      <c r="DL1222" s="30"/>
      <c r="DM1222" s="30"/>
      <c r="DN1222" s="30"/>
      <c r="DO1222" s="30"/>
      <c r="DP1222" s="30"/>
      <c r="DQ1222" s="30"/>
      <c r="DR1222" s="30"/>
      <c r="DS1222" s="30"/>
      <c r="DT1222" s="30"/>
      <c r="DU1222" s="30"/>
      <c r="DV1222" s="30"/>
      <c r="DW1222" s="30"/>
      <c r="DX1222" s="30"/>
      <c r="DY1222" s="30"/>
      <c r="DZ1222" s="30"/>
    </row>
    <row r="1223">
      <c r="A1223" s="30"/>
      <c r="B1223" s="42"/>
      <c r="C1223" s="43"/>
      <c r="D1223" s="30"/>
      <c r="E1223" s="28"/>
      <c r="F1223" s="30"/>
      <c r="G1223" s="30"/>
      <c r="H1223" s="30"/>
      <c r="I1223" s="30"/>
      <c r="J1223" s="28"/>
      <c r="K1223" s="30"/>
      <c r="L1223" s="30"/>
      <c r="M1223" s="30"/>
      <c r="N1223" s="30"/>
      <c r="O1223" s="28"/>
      <c r="P1223" s="30"/>
      <c r="Q1223" s="30"/>
      <c r="R1223" s="30"/>
      <c r="S1223" s="36"/>
      <c r="T1223" s="30"/>
      <c r="U1223" s="36"/>
      <c r="V1223" s="30"/>
      <c r="W1223" s="28"/>
      <c r="X1223" s="30"/>
      <c r="Y1223" s="30"/>
      <c r="Z1223" s="30"/>
      <c r="AA1223" s="30"/>
      <c r="AB1223" s="30"/>
      <c r="AC1223" s="28"/>
      <c r="AD1223" s="30"/>
      <c r="AE1223" s="30"/>
      <c r="AF1223" s="30"/>
      <c r="AG1223" s="29"/>
      <c r="AH1223" s="30"/>
      <c r="AI1223" s="36"/>
      <c r="AJ1223" s="30"/>
      <c r="AK1223" s="29"/>
      <c r="AL1223" s="30"/>
      <c r="AM1223" s="30"/>
      <c r="AN1223" s="30"/>
      <c r="AO1223" s="30"/>
      <c r="AP1223" s="30"/>
      <c r="AQ1223" s="38"/>
      <c r="AR1223" s="30"/>
      <c r="AS1223" s="30"/>
      <c r="AT1223" s="29"/>
      <c r="AU1223" s="30"/>
      <c r="AV1223" s="30"/>
      <c r="AW1223" s="30"/>
      <c r="AX1223" s="29"/>
      <c r="AY1223" s="39"/>
      <c r="AZ1223" s="30"/>
      <c r="BA1223" s="30"/>
      <c r="BB1223" s="29"/>
      <c r="BC1223" s="52"/>
      <c r="BD1223" s="30"/>
      <c r="BE1223" s="29"/>
      <c r="BF1223" s="30"/>
      <c r="BG1223" s="30"/>
      <c r="BH1223" s="30"/>
      <c r="BI1223" s="30"/>
      <c r="BJ1223" s="30"/>
      <c r="BK1223" s="30"/>
      <c r="BL1223" s="30"/>
      <c r="BM1223" s="30"/>
      <c r="BN1223" s="30"/>
      <c r="BO1223" s="30"/>
      <c r="BP1223" s="30"/>
      <c r="BQ1223" s="30"/>
      <c r="BR1223" s="30"/>
      <c r="BS1223" s="30"/>
      <c r="BT1223" s="30"/>
      <c r="BU1223" s="30"/>
      <c r="BV1223" s="30"/>
      <c r="BW1223" s="30"/>
      <c r="BX1223" s="30"/>
      <c r="BY1223" s="30"/>
      <c r="BZ1223" s="30"/>
      <c r="CA1223" s="30"/>
      <c r="CB1223" s="30"/>
      <c r="CC1223" s="30"/>
      <c r="CD1223" s="30"/>
      <c r="CE1223" s="30"/>
      <c r="CF1223" s="30"/>
      <c r="CG1223" s="30"/>
      <c r="CH1223" s="30"/>
      <c r="CI1223" s="30"/>
      <c r="CJ1223" s="30"/>
      <c r="CK1223" s="30"/>
      <c r="CL1223" s="30"/>
      <c r="CM1223" s="30"/>
      <c r="CN1223" s="30"/>
      <c r="CO1223" s="30"/>
      <c r="CP1223" s="30"/>
      <c r="CQ1223" s="30"/>
      <c r="CR1223" s="30"/>
      <c r="CS1223" s="30"/>
      <c r="CT1223" s="30"/>
      <c r="CU1223" s="30"/>
      <c r="CV1223" s="30"/>
      <c r="CW1223" s="30"/>
      <c r="CX1223" s="30"/>
      <c r="CY1223" s="30"/>
      <c r="CZ1223" s="30"/>
      <c r="DA1223" s="30"/>
      <c r="DB1223" s="30"/>
      <c r="DC1223" s="30"/>
      <c r="DD1223" s="30"/>
      <c r="DE1223" s="30"/>
      <c r="DF1223" s="30"/>
      <c r="DG1223" s="30"/>
      <c r="DH1223" s="30"/>
      <c r="DI1223" s="30"/>
      <c r="DJ1223" s="30"/>
      <c r="DK1223" s="30"/>
      <c r="DL1223" s="30"/>
      <c r="DM1223" s="30"/>
      <c r="DN1223" s="30"/>
      <c r="DO1223" s="30"/>
      <c r="DP1223" s="30"/>
      <c r="DQ1223" s="30"/>
      <c r="DR1223" s="30"/>
      <c r="DS1223" s="30"/>
      <c r="DT1223" s="30"/>
      <c r="DU1223" s="30"/>
      <c r="DV1223" s="30"/>
      <c r="DW1223" s="30"/>
      <c r="DX1223" s="30"/>
      <c r="DY1223" s="30"/>
      <c r="DZ1223" s="30"/>
    </row>
    <row r="1224">
      <c r="A1224" s="30"/>
      <c r="B1224" s="42"/>
      <c r="C1224" s="43"/>
      <c r="D1224" s="30"/>
      <c r="E1224" s="28"/>
      <c r="F1224" s="30"/>
      <c r="G1224" s="30"/>
      <c r="H1224" s="30"/>
      <c r="I1224" s="30"/>
      <c r="J1224" s="28"/>
      <c r="K1224" s="30"/>
      <c r="L1224" s="30"/>
      <c r="M1224" s="30"/>
      <c r="N1224" s="30"/>
      <c r="O1224" s="28"/>
      <c r="P1224" s="30"/>
      <c r="Q1224" s="30"/>
      <c r="R1224" s="30"/>
      <c r="S1224" s="36"/>
      <c r="T1224" s="30"/>
      <c r="U1224" s="36"/>
      <c r="V1224" s="30"/>
      <c r="W1224" s="28"/>
      <c r="X1224" s="30"/>
      <c r="Y1224" s="30"/>
      <c r="Z1224" s="30"/>
      <c r="AA1224" s="30"/>
      <c r="AB1224" s="30"/>
      <c r="AC1224" s="28"/>
      <c r="AD1224" s="30"/>
      <c r="AE1224" s="30"/>
      <c r="AF1224" s="30"/>
      <c r="AG1224" s="29"/>
      <c r="AH1224" s="30"/>
      <c r="AI1224" s="36"/>
      <c r="AJ1224" s="30"/>
      <c r="AK1224" s="29"/>
      <c r="AL1224" s="30"/>
      <c r="AM1224" s="30"/>
      <c r="AN1224" s="30"/>
      <c r="AO1224" s="30"/>
      <c r="AP1224" s="30"/>
      <c r="AQ1224" s="38"/>
      <c r="AR1224" s="30"/>
      <c r="AS1224" s="30"/>
      <c r="AT1224" s="29"/>
      <c r="AU1224" s="30"/>
      <c r="AV1224" s="30"/>
      <c r="AW1224" s="30"/>
      <c r="AX1224" s="29"/>
      <c r="AY1224" s="39"/>
      <c r="AZ1224" s="30"/>
      <c r="BA1224" s="30"/>
      <c r="BB1224" s="29"/>
      <c r="BC1224" s="52"/>
      <c r="BD1224" s="30"/>
      <c r="BE1224" s="29"/>
      <c r="BF1224" s="30"/>
      <c r="BG1224" s="30"/>
      <c r="BH1224" s="30"/>
      <c r="BI1224" s="30"/>
      <c r="BJ1224" s="30"/>
      <c r="BK1224" s="30"/>
      <c r="BL1224" s="30"/>
      <c r="BM1224" s="30"/>
      <c r="BN1224" s="30"/>
      <c r="BO1224" s="30"/>
      <c r="BP1224" s="30"/>
      <c r="BQ1224" s="30"/>
      <c r="BR1224" s="30"/>
      <c r="BS1224" s="30"/>
      <c r="BT1224" s="30"/>
      <c r="BU1224" s="30"/>
      <c r="BV1224" s="30"/>
      <c r="BW1224" s="30"/>
      <c r="BX1224" s="30"/>
      <c r="BY1224" s="30"/>
      <c r="BZ1224" s="30"/>
      <c r="CA1224" s="30"/>
      <c r="CB1224" s="30"/>
      <c r="CC1224" s="30"/>
      <c r="CD1224" s="30"/>
      <c r="CE1224" s="30"/>
      <c r="CF1224" s="30"/>
      <c r="CG1224" s="30"/>
      <c r="CH1224" s="30"/>
      <c r="CI1224" s="30"/>
      <c r="CJ1224" s="30"/>
      <c r="CK1224" s="30"/>
      <c r="CL1224" s="30"/>
      <c r="CM1224" s="30"/>
      <c r="CN1224" s="30"/>
      <c r="CO1224" s="30"/>
      <c r="CP1224" s="30"/>
      <c r="CQ1224" s="30"/>
      <c r="CR1224" s="30"/>
      <c r="CS1224" s="30"/>
      <c r="CT1224" s="30"/>
      <c r="CU1224" s="30"/>
      <c r="CV1224" s="30"/>
      <c r="CW1224" s="30"/>
      <c r="CX1224" s="30"/>
      <c r="CY1224" s="30"/>
      <c r="CZ1224" s="30"/>
      <c r="DA1224" s="30"/>
      <c r="DB1224" s="30"/>
      <c r="DC1224" s="30"/>
      <c r="DD1224" s="30"/>
      <c r="DE1224" s="30"/>
      <c r="DF1224" s="30"/>
      <c r="DG1224" s="30"/>
      <c r="DH1224" s="30"/>
      <c r="DI1224" s="30"/>
      <c r="DJ1224" s="30"/>
      <c r="DK1224" s="30"/>
      <c r="DL1224" s="30"/>
      <c r="DM1224" s="30"/>
      <c r="DN1224" s="30"/>
      <c r="DO1224" s="30"/>
      <c r="DP1224" s="30"/>
      <c r="DQ1224" s="30"/>
      <c r="DR1224" s="30"/>
      <c r="DS1224" s="30"/>
      <c r="DT1224" s="30"/>
      <c r="DU1224" s="30"/>
      <c r="DV1224" s="30"/>
      <c r="DW1224" s="30"/>
      <c r="DX1224" s="30"/>
      <c r="DY1224" s="30"/>
      <c r="DZ1224" s="30"/>
    </row>
    <row r="1225">
      <c r="A1225" s="30"/>
      <c r="B1225" s="42"/>
      <c r="C1225" s="43"/>
      <c r="D1225" s="30"/>
      <c r="E1225" s="28"/>
      <c r="F1225" s="30"/>
      <c r="G1225" s="30"/>
      <c r="H1225" s="30"/>
      <c r="I1225" s="30"/>
      <c r="J1225" s="28"/>
      <c r="K1225" s="30"/>
      <c r="L1225" s="30"/>
      <c r="M1225" s="30"/>
      <c r="N1225" s="30"/>
      <c r="O1225" s="28"/>
      <c r="P1225" s="30"/>
      <c r="Q1225" s="30"/>
      <c r="R1225" s="30"/>
      <c r="S1225" s="36"/>
      <c r="T1225" s="30"/>
      <c r="U1225" s="36"/>
      <c r="V1225" s="30"/>
      <c r="W1225" s="28"/>
      <c r="X1225" s="30"/>
      <c r="Y1225" s="30"/>
      <c r="Z1225" s="30"/>
      <c r="AA1225" s="30"/>
      <c r="AB1225" s="30"/>
      <c r="AC1225" s="28"/>
      <c r="AD1225" s="30"/>
      <c r="AE1225" s="30"/>
      <c r="AF1225" s="30"/>
      <c r="AG1225" s="29"/>
      <c r="AH1225" s="30"/>
      <c r="AI1225" s="36"/>
      <c r="AJ1225" s="30"/>
      <c r="AK1225" s="29"/>
      <c r="AL1225" s="30"/>
      <c r="AM1225" s="30"/>
      <c r="AN1225" s="30"/>
      <c r="AO1225" s="30"/>
      <c r="AP1225" s="30"/>
      <c r="AQ1225" s="38"/>
      <c r="AR1225" s="30"/>
      <c r="AS1225" s="30"/>
      <c r="AT1225" s="29"/>
      <c r="AU1225" s="30"/>
      <c r="AV1225" s="30"/>
      <c r="AW1225" s="30"/>
      <c r="AX1225" s="29"/>
      <c r="AY1225" s="39"/>
      <c r="AZ1225" s="30"/>
      <c r="BA1225" s="30"/>
      <c r="BB1225" s="29"/>
      <c r="BC1225" s="52"/>
      <c r="BD1225" s="30"/>
      <c r="BE1225" s="29"/>
      <c r="BF1225" s="30"/>
      <c r="BG1225" s="30"/>
      <c r="BH1225" s="30"/>
      <c r="BI1225" s="30"/>
      <c r="BJ1225" s="30"/>
      <c r="BK1225" s="30"/>
      <c r="BL1225" s="30"/>
      <c r="BM1225" s="30"/>
      <c r="BN1225" s="30"/>
      <c r="BO1225" s="30"/>
      <c r="BP1225" s="30"/>
      <c r="BQ1225" s="30"/>
      <c r="BR1225" s="30"/>
      <c r="BS1225" s="30"/>
      <c r="BT1225" s="30"/>
      <c r="BU1225" s="30"/>
      <c r="BV1225" s="30"/>
      <c r="BW1225" s="30"/>
      <c r="BX1225" s="30"/>
      <c r="BY1225" s="30"/>
      <c r="BZ1225" s="30"/>
      <c r="CA1225" s="30"/>
      <c r="CB1225" s="30"/>
      <c r="CC1225" s="30"/>
      <c r="CD1225" s="30"/>
      <c r="CE1225" s="30"/>
      <c r="CF1225" s="30"/>
      <c r="CG1225" s="30"/>
      <c r="CH1225" s="30"/>
      <c r="CI1225" s="30"/>
      <c r="CJ1225" s="30"/>
      <c r="CK1225" s="30"/>
      <c r="CL1225" s="30"/>
      <c r="CM1225" s="30"/>
      <c r="CN1225" s="30"/>
      <c r="CO1225" s="30"/>
      <c r="CP1225" s="30"/>
      <c r="CQ1225" s="30"/>
      <c r="CR1225" s="30"/>
      <c r="CS1225" s="30"/>
      <c r="CT1225" s="30"/>
      <c r="CU1225" s="30"/>
      <c r="CV1225" s="30"/>
      <c r="CW1225" s="30"/>
      <c r="CX1225" s="30"/>
      <c r="CY1225" s="30"/>
      <c r="CZ1225" s="30"/>
      <c r="DA1225" s="30"/>
      <c r="DB1225" s="30"/>
      <c r="DC1225" s="30"/>
      <c r="DD1225" s="30"/>
      <c r="DE1225" s="30"/>
      <c r="DF1225" s="30"/>
      <c r="DG1225" s="30"/>
      <c r="DH1225" s="30"/>
      <c r="DI1225" s="30"/>
      <c r="DJ1225" s="30"/>
      <c r="DK1225" s="30"/>
      <c r="DL1225" s="30"/>
      <c r="DM1225" s="30"/>
      <c r="DN1225" s="30"/>
      <c r="DO1225" s="30"/>
      <c r="DP1225" s="30"/>
      <c r="DQ1225" s="30"/>
      <c r="DR1225" s="30"/>
      <c r="DS1225" s="30"/>
      <c r="DT1225" s="30"/>
      <c r="DU1225" s="30"/>
      <c r="DV1225" s="30"/>
      <c r="DW1225" s="30"/>
      <c r="DX1225" s="30"/>
      <c r="DY1225" s="30"/>
      <c r="DZ1225" s="30"/>
    </row>
    <row r="1226">
      <c r="A1226" s="30"/>
      <c r="B1226" s="42"/>
      <c r="C1226" s="43"/>
      <c r="D1226" s="30"/>
      <c r="E1226" s="28"/>
      <c r="F1226" s="30"/>
      <c r="G1226" s="30"/>
      <c r="H1226" s="30"/>
      <c r="I1226" s="30"/>
      <c r="J1226" s="28"/>
      <c r="K1226" s="30"/>
      <c r="L1226" s="30"/>
      <c r="M1226" s="30"/>
      <c r="N1226" s="30"/>
      <c r="O1226" s="28"/>
      <c r="P1226" s="30"/>
      <c r="Q1226" s="30"/>
      <c r="R1226" s="30"/>
      <c r="S1226" s="36"/>
      <c r="T1226" s="30"/>
      <c r="U1226" s="36"/>
      <c r="V1226" s="30"/>
      <c r="W1226" s="28"/>
      <c r="X1226" s="30"/>
      <c r="Y1226" s="30"/>
      <c r="Z1226" s="30"/>
      <c r="AA1226" s="30"/>
      <c r="AB1226" s="30"/>
      <c r="AC1226" s="28"/>
      <c r="AD1226" s="30"/>
      <c r="AE1226" s="30"/>
      <c r="AF1226" s="30"/>
      <c r="AG1226" s="29"/>
      <c r="AH1226" s="30"/>
      <c r="AI1226" s="36"/>
      <c r="AJ1226" s="30"/>
      <c r="AK1226" s="29"/>
      <c r="AL1226" s="30"/>
      <c r="AM1226" s="30"/>
      <c r="AN1226" s="30"/>
      <c r="AO1226" s="30"/>
      <c r="AP1226" s="30"/>
      <c r="AQ1226" s="38"/>
      <c r="AR1226" s="30"/>
      <c r="AS1226" s="30"/>
      <c r="AT1226" s="29"/>
      <c r="AU1226" s="30"/>
      <c r="AV1226" s="30"/>
      <c r="AW1226" s="30"/>
      <c r="AX1226" s="29"/>
      <c r="AY1226" s="39"/>
      <c r="AZ1226" s="30"/>
      <c r="BA1226" s="30"/>
      <c r="BB1226" s="29"/>
      <c r="BC1226" s="52"/>
      <c r="BD1226" s="30"/>
      <c r="BE1226" s="29"/>
      <c r="BF1226" s="30"/>
      <c r="BG1226" s="30"/>
      <c r="BH1226" s="30"/>
      <c r="BI1226" s="30"/>
      <c r="BJ1226" s="30"/>
      <c r="BK1226" s="30"/>
      <c r="BL1226" s="30"/>
      <c r="BM1226" s="30"/>
      <c r="BN1226" s="30"/>
      <c r="BO1226" s="30"/>
      <c r="BP1226" s="30"/>
      <c r="BQ1226" s="30"/>
      <c r="BR1226" s="30"/>
      <c r="BS1226" s="30"/>
      <c r="BT1226" s="30"/>
      <c r="BU1226" s="30"/>
      <c r="BV1226" s="30"/>
      <c r="BW1226" s="30"/>
      <c r="BX1226" s="30"/>
      <c r="BY1226" s="30"/>
      <c r="BZ1226" s="30"/>
      <c r="CA1226" s="30"/>
      <c r="CB1226" s="30"/>
      <c r="CC1226" s="30"/>
      <c r="CD1226" s="30"/>
      <c r="CE1226" s="30"/>
      <c r="CF1226" s="30"/>
      <c r="CG1226" s="30"/>
      <c r="CH1226" s="30"/>
      <c r="CI1226" s="30"/>
      <c r="CJ1226" s="30"/>
      <c r="CK1226" s="30"/>
      <c r="CL1226" s="30"/>
      <c r="CM1226" s="30"/>
      <c r="CN1226" s="30"/>
      <c r="CO1226" s="30"/>
      <c r="CP1226" s="30"/>
      <c r="CQ1226" s="30"/>
      <c r="CR1226" s="30"/>
      <c r="CS1226" s="30"/>
      <c r="CT1226" s="30"/>
      <c r="CU1226" s="30"/>
      <c r="CV1226" s="30"/>
      <c r="CW1226" s="30"/>
      <c r="CX1226" s="30"/>
      <c r="CY1226" s="30"/>
      <c r="CZ1226" s="30"/>
      <c r="DA1226" s="30"/>
      <c r="DB1226" s="30"/>
      <c r="DC1226" s="30"/>
      <c r="DD1226" s="30"/>
      <c r="DE1226" s="30"/>
      <c r="DF1226" s="30"/>
      <c r="DG1226" s="30"/>
      <c r="DH1226" s="30"/>
      <c r="DI1226" s="30"/>
      <c r="DJ1226" s="30"/>
      <c r="DK1226" s="30"/>
      <c r="DL1226" s="30"/>
      <c r="DM1226" s="30"/>
      <c r="DN1226" s="30"/>
      <c r="DO1226" s="30"/>
      <c r="DP1226" s="30"/>
      <c r="DQ1226" s="30"/>
      <c r="DR1226" s="30"/>
      <c r="DS1226" s="30"/>
      <c r="DT1226" s="30"/>
      <c r="DU1226" s="30"/>
      <c r="DV1226" s="30"/>
      <c r="DW1226" s="30"/>
      <c r="DX1226" s="30"/>
      <c r="DY1226" s="30"/>
      <c r="DZ1226" s="30"/>
    </row>
    <row r="1227">
      <c r="A1227" s="30"/>
      <c r="B1227" s="42"/>
      <c r="C1227" s="43"/>
      <c r="D1227" s="30"/>
      <c r="E1227" s="28"/>
      <c r="F1227" s="30"/>
      <c r="G1227" s="30"/>
      <c r="H1227" s="30"/>
      <c r="I1227" s="30"/>
      <c r="J1227" s="28"/>
      <c r="K1227" s="30"/>
      <c r="L1227" s="30"/>
      <c r="M1227" s="30"/>
      <c r="N1227" s="30"/>
      <c r="O1227" s="28"/>
      <c r="P1227" s="30"/>
      <c r="Q1227" s="30"/>
      <c r="R1227" s="30"/>
      <c r="S1227" s="36"/>
      <c r="T1227" s="30"/>
      <c r="U1227" s="36"/>
      <c r="V1227" s="30"/>
      <c r="W1227" s="28"/>
      <c r="X1227" s="30"/>
      <c r="Y1227" s="30"/>
      <c r="Z1227" s="30"/>
      <c r="AA1227" s="30"/>
      <c r="AB1227" s="30"/>
      <c r="AC1227" s="28"/>
      <c r="AD1227" s="30"/>
      <c r="AE1227" s="30"/>
      <c r="AF1227" s="30"/>
      <c r="AG1227" s="29"/>
      <c r="AH1227" s="30"/>
      <c r="AI1227" s="36"/>
      <c r="AJ1227" s="30"/>
      <c r="AK1227" s="29"/>
      <c r="AL1227" s="30"/>
      <c r="AM1227" s="30"/>
      <c r="AN1227" s="30"/>
      <c r="AO1227" s="30"/>
      <c r="AP1227" s="30"/>
      <c r="AQ1227" s="38"/>
      <c r="AR1227" s="30"/>
      <c r="AS1227" s="30"/>
      <c r="AT1227" s="29"/>
      <c r="AU1227" s="30"/>
      <c r="AV1227" s="30"/>
      <c r="AW1227" s="30"/>
      <c r="AX1227" s="29"/>
      <c r="AY1227" s="39"/>
      <c r="AZ1227" s="30"/>
      <c r="BA1227" s="30"/>
      <c r="BB1227" s="29"/>
      <c r="BC1227" s="52"/>
      <c r="BD1227" s="30"/>
      <c r="BE1227" s="29"/>
      <c r="BF1227" s="30"/>
      <c r="BG1227" s="30"/>
      <c r="BH1227" s="30"/>
      <c r="BI1227" s="30"/>
      <c r="BJ1227" s="30"/>
      <c r="BK1227" s="30"/>
      <c r="BL1227" s="30"/>
      <c r="BM1227" s="30"/>
      <c r="BN1227" s="30"/>
      <c r="BO1227" s="30"/>
      <c r="BP1227" s="30"/>
      <c r="BQ1227" s="30"/>
      <c r="BR1227" s="30"/>
      <c r="BS1227" s="30"/>
      <c r="BT1227" s="30"/>
      <c r="BU1227" s="30"/>
      <c r="BV1227" s="30"/>
      <c r="BW1227" s="30"/>
      <c r="BX1227" s="30"/>
      <c r="BY1227" s="30"/>
      <c r="BZ1227" s="30"/>
      <c r="CA1227" s="30"/>
      <c r="CB1227" s="30"/>
      <c r="CC1227" s="30"/>
      <c r="CD1227" s="30"/>
      <c r="CE1227" s="30"/>
      <c r="CF1227" s="30"/>
      <c r="CG1227" s="30"/>
      <c r="CH1227" s="30"/>
      <c r="CI1227" s="30"/>
      <c r="CJ1227" s="30"/>
      <c r="CK1227" s="30"/>
      <c r="CL1227" s="30"/>
      <c r="CM1227" s="30"/>
      <c r="CN1227" s="30"/>
      <c r="CO1227" s="30"/>
      <c r="CP1227" s="30"/>
      <c r="CQ1227" s="30"/>
      <c r="CR1227" s="30"/>
      <c r="CS1227" s="30"/>
      <c r="CT1227" s="30"/>
      <c r="CU1227" s="30"/>
      <c r="CV1227" s="30"/>
      <c r="CW1227" s="30"/>
      <c r="CX1227" s="30"/>
      <c r="CY1227" s="30"/>
      <c r="CZ1227" s="30"/>
      <c r="DA1227" s="30"/>
      <c r="DB1227" s="30"/>
      <c r="DC1227" s="30"/>
      <c r="DD1227" s="30"/>
      <c r="DE1227" s="30"/>
      <c r="DF1227" s="30"/>
      <c r="DG1227" s="30"/>
      <c r="DH1227" s="30"/>
      <c r="DI1227" s="30"/>
      <c r="DJ1227" s="30"/>
      <c r="DK1227" s="30"/>
      <c r="DL1227" s="30"/>
      <c r="DM1227" s="30"/>
      <c r="DN1227" s="30"/>
      <c r="DO1227" s="30"/>
      <c r="DP1227" s="30"/>
      <c r="DQ1227" s="30"/>
      <c r="DR1227" s="30"/>
      <c r="DS1227" s="30"/>
      <c r="DT1227" s="30"/>
      <c r="DU1227" s="30"/>
      <c r="DV1227" s="30"/>
      <c r="DW1227" s="30"/>
      <c r="DX1227" s="30"/>
      <c r="DY1227" s="30"/>
      <c r="DZ1227" s="30"/>
    </row>
    <row r="1228">
      <c r="A1228" s="30"/>
      <c r="B1228" s="42"/>
      <c r="C1228" s="43"/>
      <c r="D1228" s="30"/>
      <c r="E1228" s="28"/>
      <c r="F1228" s="30"/>
      <c r="G1228" s="30"/>
      <c r="H1228" s="30"/>
      <c r="I1228" s="30"/>
      <c r="J1228" s="28"/>
      <c r="K1228" s="30"/>
      <c r="L1228" s="30"/>
      <c r="M1228" s="30"/>
      <c r="N1228" s="30"/>
      <c r="O1228" s="28"/>
      <c r="P1228" s="30"/>
      <c r="Q1228" s="30"/>
      <c r="R1228" s="30"/>
      <c r="S1228" s="36"/>
      <c r="T1228" s="30"/>
      <c r="U1228" s="36"/>
      <c r="V1228" s="30"/>
      <c r="W1228" s="28"/>
      <c r="X1228" s="30"/>
      <c r="Y1228" s="30"/>
      <c r="Z1228" s="30"/>
      <c r="AA1228" s="30"/>
      <c r="AB1228" s="30"/>
      <c r="AC1228" s="28"/>
      <c r="AD1228" s="30"/>
      <c r="AE1228" s="30"/>
      <c r="AF1228" s="30"/>
      <c r="AG1228" s="29"/>
      <c r="AH1228" s="30"/>
      <c r="AI1228" s="36"/>
      <c r="AJ1228" s="30"/>
      <c r="AK1228" s="29"/>
      <c r="AL1228" s="30"/>
      <c r="AM1228" s="30"/>
      <c r="AN1228" s="30"/>
      <c r="AO1228" s="30"/>
      <c r="AP1228" s="30"/>
      <c r="AQ1228" s="38"/>
      <c r="AR1228" s="30"/>
      <c r="AS1228" s="30"/>
      <c r="AT1228" s="29"/>
      <c r="AU1228" s="30"/>
      <c r="AV1228" s="30"/>
      <c r="AW1228" s="30"/>
      <c r="AX1228" s="29"/>
      <c r="AY1228" s="39"/>
      <c r="AZ1228" s="30"/>
      <c r="BA1228" s="30"/>
      <c r="BB1228" s="29"/>
      <c r="BC1228" s="52"/>
      <c r="BD1228" s="30"/>
      <c r="BE1228" s="29"/>
      <c r="BF1228" s="30"/>
      <c r="BG1228" s="30"/>
      <c r="BH1228" s="30"/>
      <c r="BI1228" s="30"/>
      <c r="BJ1228" s="30"/>
      <c r="BK1228" s="30"/>
      <c r="BL1228" s="30"/>
      <c r="BM1228" s="30"/>
      <c r="BN1228" s="30"/>
      <c r="BO1228" s="30"/>
      <c r="BP1228" s="30"/>
      <c r="BQ1228" s="30"/>
      <c r="BR1228" s="30"/>
      <c r="BS1228" s="30"/>
      <c r="BT1228" s="30"/>
      <c r="BU1228" s="30"/>
      <c r="BV1228" s="30"/>
      <c r="BW1228" s="30"/>
      <c r="BX1228" s="30"/>
      <c r="BY1228" s="30"/>
      <c r="BZ1228" s="30"/>
      <c r="CA1228" s="30"/>
      <c r="CB1228" s="30"/>
      <c r="CC1228" s="30"/>
      <c r="CD1228" s="30"/>
      <c r="CE1228" s="30"/>
      <c r="CF1228" s="30"/>
      <c r="CG1228" s="30"/>
      <c r="CH1228" s="30"/>
      <c r="CI1228" s="30"/>
      <c r="CJ1228" s="30"/>
      <c r="CK1228" s="30"/>
      <c r="CL1228" s="30"/>
      <c r="CM1228" s="30"/>
      <c r="CN1228" s="30"/>
      <c r="CO1228" s="30"/>
      <c r="CP1228" s="30"/>
      <c r="CQ1228" s="30"/>
      <c r="CR1228" s="30"/>
      <c r="CS1228" s="30"/>
      <c r="CT1228" s="30"/>
      <c r="CU1228" s="30"/>
      <c r="CV1228" s="30"/>
      <c r="CW1228" s="30"/>
      <c r="CX1228" s="30"/>
      <c r="CY1228" s="30"/>
      <c r="CZ1228" s="30"/>
      <c r="DA1228" s="30"/>
      <c r="DB1228" s="30"/>
      <c r="DC1228" s="30"/>
      <c r="DD1228" s="30"/>
      <c r="DE1228" s="30"/>
      <c r="DF1228" s="30"/>
      <c r="DG1228" s="30"/>
      <c r="DH1228" s="30"/>
      <c r="DI1228" s="30"/>
      <c r="DJ1228" s="30"/>
      <c r="DK1228" s="30"/>
      <c r="DL1228" s="30"/>
      <c r="DM1228" s="30"/>
      <c r="DN1228" s="30"/>
      <c r="DO1228" s="30"/>
      <c r="DP1228" s="30"/>
      <c r="DQ1228" s="30"/>
      <c r="DR1228" s="30"/>
      <c r="DS1228" s="30"/>
      <c r="DT1228" s="30"/>
      <c r="DU1228" s="30"/>
      <c r="DV1228" s="30"/>
      <c r="DW1228" s="30"/>
      <c r="DX1228" s="30"/>
      <c r="DY1228" s="30"/>
      <c r="DZ1228" s="30"/>
    </row>
    <row r="1229">
      <c r="A1229" s="30"/>
      <c r="B1229" s="42"/>
      <c r="C1229" s="43"/>
      <c r="D1229" s="30"/>
      <c r="E1229" s="28"/>
      <c r="F1229" s="30"/>
      <c r="G1229" s="30"/>
      <c r="H1229" s="30"/>
      <c r="I1229" s="30"/>
      <c r="J1229" s="28"/>
      <c r="K1229" s="30"/>
      <c r="L1229" s="30"/>
      <c r="M1229" s="30"/>
      <c r="N1229" s="30"/>
      <c r="O1229" s="28"/>
      <c r="P1229" s="30"/>
      <c r="Q1229" s="30"/>
      <c r="R1229" s="30"/>
      <c r="S1229" s="36"/>
      <c r="T1229" s="30"/>
      <c r="U1229" s="36"/>
      <c r="V1229" s="30"/>
      <c r="W1229" s="28"/>
      <c r="X1229" s="30"/>
      <c r="Y1229" s="30"/>
      <c r="Z1229" s="30"/>
      <c r="AA1229" s="30"/>
      <c r="AB1229" s="30"/>
      <c r="AC1229" s="28"/>
      <c r="AD1229" s="30"/>
      <c r="AE1229" s="30"/>
      <c r="AF1229" s="30"/>
      <c r="AG1229" s="29"/>
      <c r="AH1229" s="30"/>
      <c r="AI1229" s="36"/>
      <c r="AJ1229" s="30"/>
      <c r="AK1229" s="29"/>
      <c r="AL1229" s="30"/>
      <c r="AM1229" s="30"/>
      <c r="AN1229" s="30"/>
      <c r="AO1229" s="30"/>
      <c r="AP1229" s="30"/>
      <c r="AQ1229" s="38"/>
      <c r="AR1229" s="30"/>
      <c r="AS1229" s="30"/>
      <c r="AT1229" s="29"/>
      <c r="AU1229" s="30"/>
      <c r="AV1229" s="30"/>
      <c r="AW1229" s="30"/>
      <c r="AX1229" s="29"/>
      <c r="AY1229" s="39"/>
      <c r="AZ1229" s="30"/>
      <c r="BA1229" s="30"/>
      <c r="BB1229" s="29"/>
      <c r="BC1229" s="52"/>
      <c r="BD1229" s="30"/>
      <c r="BE1229" s="29"/>
      <c r="BF1229" s="30"/>
      <c r="BG1229" s="30"/>
      <c r="BH1229" s="30"/>
      <c r="BI1229" s="30"/>
      <c r="BJ1229" s="30"/>
      <c r="BK1229" s="30"/>
      <c r="BL1229" s="30"/>
      <c r="BM1229" s="30"/>
      <c r="BN1229" s="30"/>
      <c r="BO1229" s="30"/>
      <c r="BP1229" s="30"/>
      <c r="BQ1229" s="30"/>
      <c r="BR1229" s="30"/>
      <c r="BS1229" s="30"/>
      <c r="BT1229" s="30"/>
      <c r="BU1229" s="30"/>
      <c r="BV1229" s="30"/>
      <c r="BW1229" s="30"/>
      <c r="BX1229" s="30"/>
      <c r="BY1229" s="30"/>
      <c r="BZ1229" s="30"/>
      <c r="CA1229" s="30"/>
      <c r="CB1229" s="30"/>
      <c r="CC1229" s="30"/>
      <c r="CD1229" s="30"/>
      <c r="CE1229" s="30"/>
      <c r="CF1229" s="30"/>
      <c r="CG1229" s="30"/>
      <c r="CH1229" s="30"/>
      <c r="CI1229" s="30"/>
      <c r="CJ1229" s="30"/>
      <c r="CK1229" s="30"/>
      <c r="CL1229" s="30"/>
      <c r="CM1229" s="30"/>
      <c r="CN1229" s="30"/>
      <c r="CO1229" s="30"/>
      <c r="CP1229" s="30"/>
      <c r="CQ1229" s="30"/>
      <c r="CR1229" s="30"/>
      <c r="CS1229" s="30"/>
      <c r="CT1229" s="30"/>
      <c r="CU1229" s="30"/>
      <c r="CV1229" s="30"/>
      <c r="CW1229" s="30"/>
      <c r="CX1229" s="30"/>
      <c r="CY1229" s="30"/>
      <c r="CZ1229" s="30"/>
      <c r="DA1229" s="30"/>
      <c r="DB1229" s="30"/>
      <c r="DC1229" s="30"/>
      <c r="DD1229" s="30"/>
      <c r="DE1229" s="30"/>
      <c r="DF1229" s="30"/>
      <c r="DG1229" s="30"/>
      <c r="DH1229" s="30"/>
      <c r="DI1229" s="30"/>
      <c r="DJ1229" s="30"/>
      <c r="DK1229" s="30"/>
      <c r="DL1229" s="30"/>
      <c r="DM1229" s="30"/>
      <c r="DN1229" s="30"/>
      <c r="DO1229" s="30"/>
      <c r="DP1229" s="30"/>
      <c r="DQ1229" s="30"/>
      <c r="DR1229" s="30"/>
      <c r="DS1229" s="30"/>
      <c r="DT1229" s="30"/>
      <c r="DU1229" s="30"/>
      <c r="DV1229" s="30"/>
      <c r="DW1229" s="30"/>
      <c r="DX1229" s="30"/>
      <c r="DY1229" s="30"/>
      <c r="DZ1229" s="30"/>
    </row>
    <row r="1230">
      <c r="A1230" s="30"/>
      <c r="B1230" s="42"/>
      <c r="C1230" s="43"/>
      <c r="D1230" s="30"/>
      <c r="E1230" s="28"/>
      <c r="F1230" s="30"/>
      <c r="G1230" s="30"/>
      <c r="H1230" s="30"/>
      <c r="I1230" s="30"/>
      <c r="J1230" s="28"/>
      <c r="K1230" s="30"/>
      <c r="L1230" s="30"/>
      <c r="M1230" s="30"/>
      <c r="N1230" s="30"/>
      <c r="O1230" s="28"/>
      <c r="P1230" s="30"/>
      <c r="Q1230" s="30"/>
      <c r="R1230" s="30"/>
      <c r="S1230" s="36"/>
      <c r="T1230" s="30"/>
      <c r="U1230" s="36"/>
      <c r="V1230" s="30"/>
      <c r="W1230" s="28"/>
      <c r="X1230" s="30"/>
      <c r="Y1230" s="30"/>
      <c r="Z1230" s="30"/>
      <c r="AA1230" s="30"/>
      <c r="AB1230" s="30"/>
      <c r="AC1230" s="28"/>
      <c r="AD1230" s="30"/>
      <c r="AE1230" s="30"/>
      <c r="AF1230" s="30"/>
      <c r="AG1230" s="29"/>
      <c r="AH1230" s="30"/>
      <c r="AI1230" s="36"/>
      <c r="AJ1230" s="30"/>
      <c r="AK1230" s="29"/>
      <c r="AL1230" s="30"/>
      <c r="AM1230" s="30"/>
      <c r="AN1230" s="30"/>
      <c r="AO1230" s="30"/>
      <c r="AP1230" s="30"/>
      <c r="AQ1230" s="38"/>
      <c r="AR1230" s="30"/>
      <c r="AS1230" s="30"/>
      <c r="AT1230" s="29"/>
      <c r="AU1230" s="30"/>
      <c r="AV1230" s="30"/>
      <c r="AW1230" s="30"/>
      <c r="AX1230" s="29"/>
      <c r="AY1230" s="39"/>
      <c r="AZ1230" s="30"/>
      <c r="BA1230" s="30"/>
      <c r="BB1230" s="29"/>
      <c r="BC1230" s="52"/>
      <c r="BD1230" s="30"/>
      <c r="BE1230" s="29"/>
      <c r="BF1230" s="30"/>
      <c r="BG1230" s="30"/>
      <c r="BH1230" s="30"/>
      <c r="BI1230" s="30"/>
      <c r="BJ1230" s="30"/>
      <c r="BK1230" s="30"/>
      <c r="BL1230" s="30"/>
      <c r="BM1230" s="30"/>
      <c r="BN1230" s="30"/>
      <c r="BO1230" s="30"/>
      <c r="BP1230" s="30"/>
      <c r="BQ1230" s="30"/>
      <c r="BR1230" s="30"/>
      <c r="BS1230" s="30"/>
      <c r="BT1230" s="30"/>
      <c r="BU1230" s="30"/>
      <c r="BV1230" s="30"/>
      <c r="BW1230" s="30"/>
      <c r="BX1230" s="30"/>
      <c r="BY1230" s="30"/>
      <c r="BZ1230" s="30"/>
      <c r="CA1230" s="30"/>
      <c r="CB1230" s="30"/>
      <c r="CC1230" s="30"/>
      <c r="CD1230" s="30"/>
      <c r="CE1230" s="30"/>
      <c r="CF1230" s="30"/>
      <c r="CG1230" s="30"/>
      <c r="CH1230" s="30"/>
      <c r="CI1230" s="30"/>
      <c r="CJ1230" s="30"/>
      <c r="CK1230" s="30"/>
      <c r="CL1230" s="30"/>
      <c r="CM1230" s="30"/>
      <c r="CN1230" s="30"/>
      <c r="CO1230" s="30"/>
      <c r="CP1230" s="30"/>
      <c r="CQ1230" s="30"/>
      <c r="CR1230" s="30"/>
      <c r="CS1230" s="30"/>
      <c r="CT1230" s="30"/>
      <c r="CU1230" s="30"/>
      <c r="CV1230" s="30"/>
      <c r="CW1230" s="30"/>
      <c r="CX1230" s="30"/>
      <c r="CY1230" s="30"/>
      <c r="CZ1230" s="30"/>
      <c r="DA1230" s="30"/>
      <c r="DB1230" s="30"/>
      <c r="DC1230" s="30"/>
      <c r="DD1230" s="30"/>
      <c r="DE1230" s="30"/>
      <c r="DF1230" s="30"/>
      <c r="DG1230" s="30"/>
      <c r="DH1230" s="30"/>
      <c r="DI1230" s="30"/>
      <c r="DJ1230" s="30"/>
      <c r="DK1230" s="30"/>
      <c r="DL1230" s="30"/>
      <c r="DM1230" s="30"/>
      <c r="DN1230" s="30"/>
      <c r="DO1230" s="30"/>
      <c r="DP1230" s="30"/>
      <c r="DQ1230" s="30"/>
      <c r="DR1230" s="30"/>
      <c r="DS1230" s="30"/>
      <c r="DT1230" s="30"/>
      <c r="DU1230" s="30"/>
      <c r="DV1230" s="30"/>
      <c r="DW1230" s="30"/>
      <c r="DX1230" s="30"/>
      <c r="DY1230" s="30"/>
      <c r="DZ1230" s="30"/>
    </row>
    <row r="1231">
      <c r="A1231" s="30"/>
      <c r="B1231" s="42"/>
      <c r="C1231" s="43"/>
      <c r="D1231" s="30"/>
      <c r="E1231" s="28"/>
      <c r="F1231" s="30"/>
      <c r="G1231" s="30"/>
      <c r="H1231" s="30"/>
      <c r="I1231" s="30"/>
      <c r="J1231" s="28"/>
      <c r="K1231" s="30"/>
      <c r="L1231" s="30"/>
      <c r="M1231" s="30"/>
      <c r="N1231" s="30"/>
      <c r="O1231" s="28"/>
      <c r="P1231" s="30"/>
      <c r="Q1231" s="30"/>
      <c r="R1231" s="30"/>
      <c r="S1231" s="36"/>
      <c r="T1231" s="30"/>
      <c r="U1231" s="36"/>
      <c r="V1231" s="30"/>
      <c r="W1231" s="28"/>
      <c r="X1231" s="30"/>
      <c r="Y1231" s="30"/>
      <c r="Z1231" s="30"/>
      <c r="AA1231" s="30"/>
      <c r="AB1231" s="30"/>
      <c r="AC1231" s="28"/>
      <c r="AD1231" s="30"/>
      <c r="AE1231" s="30"/>
      <c r="AF1231" s="30"/>
      <c r="AG1231" s="29"/>
      <c r="AH1231" s="30"/>
      <c r="AI1231" s="36"/>
      <c r="AJ1231" s="30"/>
      <c r="AK1231" s="29"/>
      <c r="AL1231" s="30"/>
      <c r="AM1231" s="30"/>
      <c r="AN1231" s="30"/>
      <c r="AO1231" s="30"/>
      <c r="AP1231" s="30"/>
      <c r="AQ1231" s="38"/>
      <c r="AR1231" s="30"/>
      <c r="AS1231" s="30"/>
      <c r="AT1231" s="29"/>
      <c r="AU1231" s="30"/>
      <c r="AV1231" s="30"/>
      <c r="AW1231" s="30"/>
      <c r="AX1231" s="29"/>
      <c r="AY1231" s="39"/>
      <c r="AZ1231" s="30"/>
      <c r="BA1231" s="30"/>
      <c r="BB1231" s="29"/>
      <c r="BC1231" s="52"/>
      <c r="BD1231" s="30"/>
      <c r="BE1231" s="29"/>
      <c r="BF1231" s="30"/>
      <c r="BG1231" s="30"/>
      <c r="BH1231" s="30"/>
      <c r="BI1231" s="30"/>
      <c r="BJ1231" s="30"/>
      <c r="BK1231" s="30"/>
      <c r="BL1231" s="30"/>
      <c r="BM1231" s="30"/>
      <c r="BN1231" s="30"/>
      <c r="BO1231" s="30"/>
      <c r="BP1231" s="30"/>
      <c r="BQ1231" s="30"/>
      <c r="BR1231" s="30"/>
      <c r="BS1231" s="30"/>
      <c r="BT1231" s="30"/>
      <c r="BU1231" s="30"/>
      <c r="BV1231" s="30"/>
      <c r="BW1231" s="30"/>
      <c r="BX1231" s="30"/>
      <c r="BY1231" s="30"/>
      <c r="BZ1231" s="30"/>
      <c r="CA1231" s="30"/>
      <c r="CB1231" s="30"/>
      <c r="CC1231" s="30"/>
      <c r="CD1231" s="30"/>
      <c r="CE1231" s="30"/>
      <c r="CF1231" s="30"/>
      <c r="CG1231" s="30"/>
      <c r="CH1231" s="30"/>
      <c r="CI1231" s="30"/>
      <c r="CJ1231" s="30"/>
      <c r="CK1231" s="30"/>
      <c r="CL1231" s="30"/>
      <c r="CM1231" s="30"/>
      <c r="CN1231" s="30"/>
      <c r="CO1231" s="30"/>
      <c r="CP1231" s="30"/>
      <c r="CQ1231" s="30"/>
      <c r="CR1231" s="30"/>
      <c r="CS1231" s="30"/>
      <c r="CT1231" s="30"/>
      <c r="CU1231" s="30"/>
      <c r="CV1231" s="30"/>
      <c r="CW1231" s="30"/>
      <c r="CX1231" s="30"/>
      <c r="CY1231" s="30"/>
      <c r="CZ1231" s="30"/>
      <c r="DA1231" s="30"/>
      <c r="DB1231" s="30"/>
      <c r="DC1231" s="30"/>
      <c r="DD1231" s="30"/>
      <c r="DE1231" s="30"/>
      <c r="DF1231" s="30"/>
      <c r="DG1231" s="30"/>
      <c r="DH1231" s="30"/>
      <c r="DI1231" s="30"/>
      <c r="DJ1231" s="30"/>
      <c r="DK1231" s="30"/>
      <c r="DL1231" s="30"/>
      <c r="DM1231" s="30"/>
      <c r="DN1231" s="30"/>
      <c r="DO1231" s="30"/>
      <c r="DP1231" s="30"/>
      <c r="DQ1231" s="30"/>
      <c r="DR1231" s="30"/>
      <c r="DS1231" s="30"/>
      <c r="DT1231" s="30"/>
      <c r="DU1231" s="30"/>
      <c r="DV1231" s="30"/>
      <c r="DW1231" s="30"/>
      <c r="DX1231" s="30"/>
      <c r="DY1231" s="30"/>
      <c r="DZ1231" s="30"/>
    </row>
    <row r="1232">
      <c r="A1232" s="30"/>
      <c r="B1232" s="42"/>
      <c r="C1232" s="43"/>
      <c r="D1232" s="30"/>
      <c r="E1232" s="28"/>
      <c r="F1232" s="30"/>
      <c r="G1232" s="30"/>
      <c r="H1232" s="30"/>
      <c r="I1232" s="30"/>
      <c r="J1232" s="28"/>
      <c r="K1232" s="30"/>
      <c r="L1232" s="30"/>
      <c r="M1232" s="30"/>
      <c r="N1232" s="30"/>
      <c r="O1232" s="28"/>
      <c r="P1232" s="30"/>
      <c r="Q1232" s="30"/>
      <c r="R1232" s="30"/>
      <c r="S1232" s="36"/>
      <c r="T1232" s="30"/>
      <c r="U1232" s="36"/>
      <c r="V1232" s="30"/>
      <c r="W1232" s="28"/>
      <c r="X1232" s="30"/>
      <c r="Y1232" s="30"/>
      <c r="Z1232" s="30"/>
      <c r="AA1232" s="30"/>
      <c r="AB1232" s="30"/>
      <c r="AC1232" s="28"/>
      <c r="AD1232" s="30"/>
      <c r="AE1232" s="30"/>
      <c r="AF1232" s="30"/>
      <c r="AG1232" s="29"/>
      <c r="AH1232" s="30"/>
      <c r="AI1232" s="36"/>
      <c r="AJ1232" s="30"/>
      <c r="AK1232" s="29"/>
      <c r="AL1232" s="30"/>
      <c r="AM1232" s="30"/>
      <c r="AN1232" s="30"/>
      <c r="AO1232" s="30"/>
      <c r="AP1232" s="30"/>
      <c r="AQ1232" s="38"/>
      <c r="AR1232" s="30"/>
      <c r="AS1232" s="30"/>
      <c r="AT1232" s="29"/>
      <c r="AU1232" s="30"/>
      <c r="AV1232" s="30"/>
      <c r="AW1232" s="30"/>
      <c r="AX1232" s="29"/>
      <c r="AY1232" s="39"/>
      <c r="AZ1232" s="30"/>
      <c r="BA1232" s="30"/>
      <c r="BB1232" s="29"/>
      <c r="BC1232" s="52"/>
      <c r="BD1232" s="30"/>
      <c r="BE1232" s="29"/>
      <c r="BF1232" s="30"/>
      <c r="BG1232" s="30"/>
      <c r="BH1232" s="30"/>
      <c r="BI1232" s="30"/>
      <c r="BJ1232" s="30"/>
      <c r="BK1232" s="30"/>
      <c r="BL1232" s="30"/>
      <c r="BM1232" s="30"/>
      <c r="BN1232" s="30"/>
      <c r="BO1232" s="30"/>
      <c r="BP1232" s="30"/>
      <c r="BQ1232" s="30"/>
      <c r="BR1232" s="30"/>
      <c r="BS1232" s="30"/>
      <c r="BT1232" s="30"/>
      <c r="BU1232" s="30"/>
      <c r="BV1232" s="30"/>
      <c r="BW1232" s="30"/>
      <c r="BX1232" s="30"/>
      <c r="BY1232" s="30"/>
      <c r="BZ1232" s="30"/>
      <c r="CA1232" s="30"/>
      <c r="CB1232" s="30"/>
      <c r="CC1232" s="30"/>
      <c r="CD1232" s="30"/>
      <c r="CE1232" s="30"/>
      <c r="CF1232" s="30"/>
      <c r="CG1232" s="30"/>
      <c r="CH1232" s="30"/>
      <c r="CI1232" s="30"/>
      <c r="CJ1232" s="30"/>
      <c r="CK1232" s="30"/>
      <c r="CL1232" s="30"/>
      <c r="CM1232" s="30"/>
      <c r="CN1232" s="30"/>
      <c r="CO1232" s="30"/>
      <c r="CP1232" s="30"/>
      <c r="CQ1232" s="30"/>
      <c r="CR1232" s="30"/>
      <c r="CS1232" s="30"/>
      <c r="CT1232" s="30"/>
      <c r="CU1232" s="30"/>
      <c r="CV1232" s="30"/>
      <c r="CW1232" s="30"/>
      <c r="CX1232" s="30"/>
      <c r="CY1232" s="30"/>
      <c r="CZ1232" s="30"/>
      <c r="DA1232" s="30"/>
      <c r="DB1232" s="30"/>
      <c r="DC1232" s="30"/>
      <c r="DD1232" s="30"/>
      <c r="DE1232" s="30"/>
      <c r="DF1232" s="30"/>
      <c r="DG1232" s="30"/>
      <c r="DH1232" s="30"/>
      <c r="DI1232" s="30"/>
      <c r="DJ1232" s="30"/>
      <c r="DK1232" s="30"/>
      <c r="DL1232" s="30"/>
      <c r="DM1232" s="30"/>
      <c r="DN1232" s="30"/>
      <c r="DO1232" s="30"/>
      <c r="DP1232" s="30"/>
      <c r="DQ1232" s="30"/>
      <c r="DR1232" s="30"/>
      <c r="DS1232" s="30"/>
      <c r="DT1232" s="30"/>
      <c r="DU1232" s="30"/>
      <c r="DV1232" s="30"/>
      <c r="DW1232" s="30"/>
      <c r="DX1232" s="30"/>
      <c r="DY1232" s="30"/>
      <c r="DZ1232" s="30"/>
    </row>
    <row r="1233">
      <c r="A1233" s="30"/>
      <c r="B1233" s="42"/>
      <c r="C1233" s="43"/>
      <c r="D1233" s="30"/>
      <c r="E1233" s="28"/>
      <c r="F1233" s="30"/>
      <c r="G1233" s="30"/>
      <c r="H1233" s="30"/>
      <c r="I1233" s="30"/>
      <c r="J1233" s="28"/>
      <c r="K1233" s="30"/>
      <c r="L1233" s="30"/>
      <c r="M1233" s="30"/>
      <c r="N1233" s="30"/>
      <c r="O1233" s="28"/>
      <c r="P1233" s="30"/>
      <c r="Q1233" s="30"/>
      <c r="R1233" s="30"/>
      <c r="S1233" s="36"/>
      <c r="T1233" s="30"/>
      <c r="U1233" s="36"/>
      <c r="V1233" s="30"/>
      <c r="W1233" s="28"/>
      <c r="X1233" s="30"/>
      <c r="Y1233" s="30"/>
      <c r="Z1233" s="30"/>
      <c r="AA1233" s="30"/>
      <c r="AB1233" s="30"/>
      <c r="AC1233" s="28"/>
      <c r="AD1233" s="30"/>
      <c r="AE1233" s="30"/>
      <c r="AF1233" s="30"/>
      <c r="AG1233" s="29"/>
      <c r="AH1233" s="30"/>
      <c r="AI1233" s="36"/>
      <c r="AJ1233" s="30"/>
      <c r="AK1233" s="29"/>
      <c r="AL1233" s="30"/>
      <c r="AM1233" s="30"/>
      <c r="AN1233" s="30"/>
      <c r="AO1233" s="30"/>
      <c r="AP1233" s="30"/>
      <c r="AQ1233" s="38"/>
      <c r="AR1233" s="30"/>
      <c r="AS1233" s="30"/>
      <c r="AT1233" s="29"/>
      <c r="AU1233" s="30"/>
      <c r="AV1233" s="30"/>
      <c r="AW1233" s="30"/>
      <c r="AX1233" s="29"/>
      <c r="AY1233" s="39"/>
      <c r="AZ1233" s="30"/>
      <c r="BA1233" s="30"/>
      <c r="BB1233" s="29"/>
      <c r="BC1233" s="52"/>
      <c r="BD1233" s="30"/>
      <c r="BE1233" s="29"/>
      <c r="BF1233" s="30"/>
      <c r="BG1233" s="30"/>
      <c r="BH1233" s="30"/>
      <c r="BI1233" s="30"/>
      <c r="BJ1233" s="30"/>
      <c r="BK1233" s="30"/>
      <c r="BL1233" s="30"/>
      <c r="BM1233" s="30"/>
      <c r="BN1233" s="30"/>
      <c r="BO1233" s="30"/>
      <c r="BP1233" s="30"/>
      <c r="BQ1233" s="30"/>
      <c r="BR1233" s="30"/>
      <c r="BS1233" s="30"/>
      <c r="BT1233" s="30"/>
      <c r="BU1233" s="30"/>
      <c r="BV1233" s="30"/>
      <c r="BW1233" s="30"/>
      <c r="BX1233" s="30"/>
      <c r="BY1233" s="30"/>
      <c r="BZ1233" s="30"/>
      <c r="CA1233" s="30"/>
      <c r="CB1233" s="30"/>
      <c r="CC1233" s="30"/>
      <c r="CD1233" s="30"/>
      <c r="CE1233" s="30"/>
      <c r="CF1233" s="30"/>
      <c r="CG1233" s="30"/>
      <c r="CH1233" s="30"/>
      <c r="CI1233" s="30"/>
      <c r="CJ1233" s="30"/>
      <c r="CK1233" s="30"/>
      <c r="CL1233" s="30"/>
      <c r="CM1233" s="30"/>
      <c r="CN1233" s="30"/>
      <c r="CO1233" s="30"/>
      <c r="CP1233" s="30"/>
      <c r="CQ1233" s="30"/>
      <c r="CR1233" s="30"/>
      <c r="CS1233" s="30"/>
      <c r="CT1233" s="30"/>
      <c r="CU1233" s="30"/>
      <c r="CV1233" s="30"/>
      <c r="CW1233" s="30"/>
      <c r="CX1233" s="30"/>
      <c r="CY1233" s="30"/>
      <c r="CZ1233" s="30"/>
      <c r="DA1233" s="30"/>
      <c r="DB1233" s="30"/>
      <c r="DC1233" s="30"/>
      <c r="DD1233" s="30"/>
      <c r="DE1233" s="30"/>
      <c r="DF1233" s="30"/>
      <c r="DG1233" s="30"/>
      <c r="DH1233" s="30"/>
      <c r="DI1233" s="30"/>
      <c r="DJ1233" s="30"/>
      <c r="DK1233" s="30"/>
      <c r="DL1233" s="30"/>
      <c r="DM1233" s="30"/>
      <c r="DN1233" s="30"/>
      <c r="DO1233" s="30"/>
      <c r="DP1233" s="30"/>
      <c r="DQ1233" s="30"/>
      <c r="DR1233" s="30"/>
      <c r="DS1233" s="30"/>
      <c r="DT1233" s="30"/>
      <c r="DU1233" s="30"/>
      <c r="DV1233" s="30"/>
      <c r="DW1233" s="30"/>
      <c r="DX1233" s="30"/>
      <c r="DY1233" s="30"/>
      <c r="DZ1233" s="30"/>
    </row>
    <row r="1234">
      <c r="A1234" s="30"/>
      <c r="B1234" s="42"/>
      <c r="C1234" s="43"/>
      <c r="D1234" s="30"/>
      <c r="E1234" s="28"/>
      <c r="F1234" s="30"/>
      <c r="G1234" s="30"/>
      <c r="H1234" s="30"/>
      <c r="I1234" s="30"/>
      <c r="J1234" s="28"/>
      <c r="K1234" s="30"/>
      <c r="L1234" s="30"/>
      <c r="M1234" s="30"/>
      <c r="N1234" s="30"/>
      <c r="O1234" s="28"/>
      <c r="P1234" s="30"/>
      <c r="Q1234" s="30"/>
      <c r="R1234" s="30"/>
      <c r="S1234" s="36"/>
      <c r="T1234" s="30"/>
      <c r="U1234" s="36"/>
      <c r="V1234" s="30"/>
      <c r="W1234" s="28"/>
      <c r="X1234" s="30"/>
      <c r="Y1234" s="30"/>
      <c r="Z1234" s="30"/>
      <c r="AA1234" s="30"/>
      <c r="AB1234" s="30"/>
      <c r="AC1234" s="28"/>
      <c r="AD1234" s="30"/>
      <c r="AE1234" s="30"/>
      <c r="AF1234" s="30"/>
      <c r="AG1234" s="29"/>
      <c r="AH1234" s="30"/>
      <c r="AI1234" s="36"/>
      <c r="AJ1234" s="30"/>
      <c r="AK1234" s="29"/>
      <c r="AL1234" s="30"/>
      <c r="AM1234" s="30"/>
      <c r="AN1234" s="30"/>
      <c r="AO1234" s="30"/>
      <c r="AP1234" s="30"/>
      <c r="AQ1234" s="38"/>
      <c r="AR1234" s="30"/>
      <c r="AS1234" s="30"/>
      <c r="AT1234" s="29"/>
      <c r="AU1234" s="30"/>
      <c r="AV1234" s="30"/>
      <c r="AW1234" s="30"/>
      <c r="AX1234" s="29"/>
      <c r="AY1234" s="39"/>
      <c r="AZ1234" s="30"/>
      <c r="BA1234" s="30"/>
      <c r="BB1234" s="29"/>
      <c r="BC1234" s="52"/>
      <c r="BD1234" s="30"/>
      <c r="BE1234" s="29"/>
      <c r="BF1234" s="30"/>
      <c r="BG1234" s="30"/>
      <c r="BH1234" s="30"/>
      <c r="BI1234" s="30"/>
      <c r="BJ1234" s="30"/>
      <c r="BK1234" s="30"/>
      <c r="BL1234" s="30"/>
      <c r="BM1234" s="30"/>
      <c r="BN1234" s="30"/>
      <c r="BO1234" s="30"/>
      <c r="BP1234" s="30"/>
      <c r="BQ1234" s="30"/>
      <c r="BR1234" s="30"/>
      <c r="BS1234" s="30"/>
      <c r="BT1234" s="30"/>
      <c r="BU1234" s="30"/>
      <c r="BV1234" s="30"/>
      <c r="BW1234" s="30"/>
      <c r="BX1234" s="30"/>
      <c r="BY1234" s="30"/>
      <c r="BZ1234" s="30"/>
      <c r="CA1234" s="30"/>
      <c r="CB1234" s="30"/>
      <c r="CC1234" s="30"/>
      <c r="CD1234" s="30"/>
      <c r="CE1234" s="30"/>
      <c r="CF1234" s="30"/>
      <c r="CG1234" s="30"/>
      <c r="CH1234" s="30"/>
      <c r="CI1234" s="30"/>
      <c r="CJ1234" s="30"/>
      <c r="CK1234" s="30"/>
      <c r="CL1234" s="30"/>
      <c r="CM1234" s="30"/>
      <c r="CN1234" s="30"/>
      <c r="CO1234" s="30"/>
      <c r="CP1234" s="30"/>
      <c r="CQ1234" s="30"/>
      <c r="CR1234" s="30"/>
      <c r="CS1234" s="30"/>
      <c r="CT1234" s="30"/>
      <c r="CU1234" s="30"/>
      <c r="CV1234" s="30"/>
      <c r="CW1234" s="30"/>
      <c r="CX1234" s="30"/>
      <c r="CY1234" s="30"/>
      <c r="CZ1234" s="30"/>
      <c r="DA1234" s="30"/>
      <c r="DB1234" s="30"/>
      <c r="DC1234" s="30"/>
      <c r="DD1234" s="30"/>
      <c r="DE1234" s="30"/>
      <c r="DF1234" s="30"/>
      <c r="DG1234" s="30"/>
      <c r="DH1234" s="30"/>
      <c r="DI1234" s="30"/>
      <c r="DJ1234" s="30"/>
      <c r="DK1234" s="30"/>
      <c r="DL1234" s="30"/>
      <c r="DM1234" s="30"/>
      <c r="DN1234" s="30"/>
      <c r="DO1234" s="30"/>
      <c r="DP1234" s="30"/>
      <c r="DQ1234" s="30"/>
      <c r="DR1234" s="30"/>
      <c r="DS1234" s="30"/>
      <c r="DT1234" s="30"/>
      <c r="DU1234" s="30"/>
      <c r="DV1234" s="30"/>
      <c r="DW1234" s="30"/>
      <c r="DX1234" s="30"/>
      <c r="DY1234" s="30"/>
      <c r="DZ1234" s="30"/>
    </row>
    <row r="1235">
      <c r="A1235" s="30"/>
      <c r="B1235" s="42"/>
      <c r="C1235" s="43"/>
      <c r="D1235" s="30"/>
      <c r="E1235" s="28"/>
      <c r="F1235" s="30"/>
      <c r="G1235" s="30"/>
      <c r="H1235" s="30"/>
      <c r="I1235" s="30"/>
      <c r="J1235" s="28"/>
      <c r="K1235" s="30"/>
      <c r="L1235" s="30"/>
      <c r="M1235" s="30"/>
      <c r="N1235" s="30"/>
      <c r="O1235" s="28"/>
      <c r="P1235" s="30"/>
      <c r="Q1235" s="30"/>
      <c r="R1235" s="30"/>
      <c r="S1235" s="36"/>
      <c r="T1235" s="30"/>
      <c r="U1235" s="36"/>
      <c r="V1235" s="30"/>
      <c r="W1235" s="28"/>
      <c r="X1235" s="30"/>
      <c r="Y1235" s="30"/>
      <c r="Z1235" s="30"/>
      <c r="AA1235" s="30"/>
      <c r="AB1235" s="30"/>
      <c r="AC1235" s="28"/>
      <c r="AD1235" s="30"/>
      <c r="AE1235" s="30"/>
      <c r="AF1235" s="30"/>
      <c r="AG1235" s="29"/>
      <c r="AH1235" s="30"/>
      <c r="AI1235" s="36"/>
      <c r="AJ1235" s="30"/>
      <c r="AK1235" s="29"/>
      <c r="AL1235" s="30"/>
      <c r="AM1235" s="30"/>
      <c r="AN1235" s="30"/>
      <c r="AO1235" s="30"/>
      <c r="AP1235" s="30"/>
      <c r="AQ1235" s="38"/>
      <c r="AR1235" s="30"/>
      <c r="AS1235" s="30"/>
      <c r="AT1235" s="29"/>
      <c r="AU1235" s="30"/>
      <c r="AV1235" s="30"/>
      <c r="AW1235" s="30"/>
      <c r="AX1235" s="29"/>
      <c r="AY1235" s="39"/>
      <c r="AZ1235" s="30"/>
      <c r="BA1235" s="30"/>
      <c r="BB1235" s="29"/>
      <c r="BC1235" s="52"/>
      <c r="BD1235" s="30"/>
      <c r="BE1235" s="29"/>
      <c r="BF1235" s="30"/>
      <c r="BG1235" s="30"/>
      <c r="BH1235" s="30"/>
      <c r="BI1235" s="30"/>
      <c r="BJ1235" s="30"/>
      <c r="BK1235" s="30"/>
      <c r="BL1235" s="30"/>
      <c r="BM1235" s="30"/>
      <c r="BN1235" s="30"/>
      <c r="BO1235" s="30"/>
      <c r="BP1235" s="30"/>
      <c r="BQ1235" s="30"/>
      <c r="BR1235" s="30"/>
      <c r="BS1235" s="30"/>
      <c r="BT1235" s="30"/>
      <c r="BU1235" s="30"/>
      <c r="BV1235" s="30"/>
      <c r="BW1235" s="30"/>
      <c r="BX1235" s="30"/>
      <c r="BY1235" s="30"/>
      <c r="BZ1235" s="30"/>
      <c r="CA1235" s="30"/>
      <c r="CB1235" s="30"/>
      <c r="CC1235" s="30"/>
      <c r="CD1235" s="30"/>
      <c r="CE1235" s="30"/>
      <c r="CF1235" s="30"/>
      <c r="CG1235" s="30"/>
      <c r="CH1235" s="30"/>
      <c r="CI1235" s="30"/>
      <c r="CJ1235" s="30"/>
      <c r="CK1235" s="30"/>
      <c r="CL1235" s="30"/>
      <c r="CM1235" s="30"/>
      <c r="CN1235" s="30"/>
      <c r="CO1235" s="30"/>
      <c r="CP1235" s="30"/>
      <c r="CQ1235" s="30"/>
      <c r="CR1235" s="30"/>
      <c r="CS1235" s="30"/>
      <c r="CT1235" s="30"/>
      <c r="CU1235" s="30"/>
      <c r="CV1235" s="30"/>
      <c r="CW1235" s="30"/>
      <c r="CX1235" s="30"/>
      <c r="CY1235" s="30"/>
      <c r="CZ1235" s="30"/>
      <c r="DA1235" s="30"/>
      <c r="DB1235" s="30"/>
      <c r="DC1235" s="30"/>
      <c r="DD1235" s="30"/>
      <c r="DE1235" s="30"/>
      <c r="DF1235" s="30"/>
      <c r="DG1235" s="30"/>
      <c r="DH1235" s="30"/>
      <c r="DI1235" s="30"/>
      <c r="DJ1235" s="30"/>
      <c r="DK1235" s="30"/>
      <c r="DL1235" s="30"/>
      <c r="DM1235" s="30"/>
      <c r="DN1235" s="30"/>
      <c r="DO1235" s="30"/>
      <c r="DP1235" s="30"/>
      <c r="DQ1235" s="30"/>
      <c r="DR1235" s="30"/>
      <c r="DS1235" s="30"/>
      <c r="DT1235" s="30"/>
      <c r="DU1235" s="30"/>
      <c r="DV1235" s="30"/>
      <c r="DW1235" s="30"/>
      <c r="DX1235" s="30"/>
      <c r="DY1235" s="30"/>
      <c r="DZ1235" s="30"/>
    </row>
    <row r="1236">
      <c r="A1236" s="30"/>
      <c r="B1236" s="42"/>
      <c r="C1236" s="43"/>
      <c r="D1236" s="30"/>
      <c r="E1236" s="28"/>
      <c r="F1236" s="30"/>
      <c r="G1236" s="30"/>
      <c r="H1236" s="30"/>
      <c r="I1236" s="30"/>
      <c r="J1236" s="28"/>
      <c r="K1236" s="30"/>
      <c r="L1236" s="30"/>
      <c r="M1236" s="30"/>
      <c r="N1236" s="30"/>
      <c r="O1236" s="28"/>
      <c r="P1236" s="30"/>
      <c r="Q1236" s="30"/>
      <c r="R1236" s="30"/>
      <c r="S1236" s="36"/>
      <c r="T1236" s="30"/>
      <c r="U1236" s="36"/>
      <c r="V1236" s="30"/>
      <c r="W1236" s="28"/>
      <c r="X1236" s="30"/>
      <c r="Y1236" s="30"/>
      <c r="Z1236" s="30"/>
      <c r="AA1236" s="30"/>
      <c r="AB1236" s="30"/>
      <c r="AC1236" s="28"/>
      <c r="AD1236" s="30"/>
      <c r="AE1236" s="30"/>
      <c r="AF1236" s="30"/>
      <c r="AG1236" s="29"/>
      <c r="AH1236" s="30"/>
      <c r="AI1236" s="36"/>
      <c r="AJ1236" s="30"/>
      <c r="AK1236" s="29"/>
      <c r="AL1236" s="30"/>
      <c r="AM1236" s="30"/>
      <c r="AN1236" s="30"/>
      <c r="AO1236" s="30"/>
      <c r="AP1236" s="30"/>
      <c r="AQ1236" s="38"/>
      <c r="AR1236" s="30"/>
      <c r="AS1236" s="30"/>
      <c r="AT1236" s="29"/>
      <c r="AU1236" s="30"/>
      <c r="AV1236" s="30"/>
      <c r="AW1236" s="30"/>
      <c r="AX1236" s="29"/>
      <c r="AY1236" s="39"/>
      <c r="AZ1236" s="30"/>
      <c r="BA1236" s="30"/>
      <c r="BB1236" s="29"/>
      <c r="BC1236" s="52"/>
      <c r="BD1236" s="30"/>
      <c r="BE1236" s="29"/>
      <c r="BF1236" s="30"/>
      <c r="BG1236" s="30"/>
      <c r="BH1236" s="30"/>
      <c r="BI1236" s="30"/>
      <c r="BJ1236" s="30"/>
      <c r="BK1236" s="30"/>
      <c r="BL1236" s="30"/>
      <c r="BM1236" s="30"/>
      <c r="BN1236" s="30"/>
      <c r="BO1236" s="30"/>
      <c r="BP1236" s="30"/>
      <c r="BQ1236" s="30"/>
      <c r="BR1236" s="30"/>
      <c r="BS1236" s="30"/>
      <c r="BT1236" s="30"/>
      <c r="BU1236" s="30"/>
      <c r="BV1236" s="30"/>
      <c r="BW1236" s="30"/>
      <c r="BX1236" s="30"/>
      <c r="BY1236" s="30"/>
      <c r="BZ1236" s="30"/>
      <c r="CA1236" s="30"/>
      <c r="CB1236" s="30"/>
      <c r="CC1236" s="30"/>
      <c r="CD1236" s="30"/>
      <c r="CE1236" s="30"/>
      <c r="CF1236" s="30"/>
      <c r="CG1236" s="30"/>
      <c r="CH1236" s="30"/>
      <c r="CI1236" s="30"/>
      <c r="CJ1236" s="30"/>
      <c r="CK1236" s="30"/>
      <c r="CL1236" s="30"/>
      <c r="CM1236" s="30"/>
      <c r="CN1236" s="30"/>
      <c r="CO1236" s="30"/>
      <c r="CP1236" s="30"/>
      <c r="CQ1236" s="30"/>
      <c r="CR1236" s="30"/>
      <c r="CS1236" s="30"/>
      <c r="CT1236" s="30"/>
      <c r="CU1236" s="30"/>
      <c r="CV1236" s="30"/>
      <c r="CW1236" s="30"/>
      <c r="CX1236" s="30"/>
      <c r="CY1236" s="30"/>
      <c r="CZ1236" s="30"/>
      <c r="DA1236" s="30"/>
      <c r="DB1236" s="30"/>
      <c r="DC1236" s="30"/>
      <c r="DD1236" s="30"/>
      <c r="DE1236" s="30"/>
      <c r="DF1236" s="30"/>
      <c r="DG1236" s="30"/>
      <c r="DH1236" s="30"/>
      <c r="DI1236" s="30"/>
      <c r="DJ1236" s="30"/>
      <c r="DK1236" s="30"/>
      <c r="DL1236" s="30"/>
      <c r="DM1236" s="30"/>
      <c r="DN1236" s="30"/>
      <c r="DO1236" s="30"/>
      <c r="DP1236" s="30"/>
      <c r="DQ1236" s="30"/>
      <c r="DR1236" s="30"/>
      <c r="DS1236" s="30"/>
      <c r="DT1236" s="30"/>
      <c r="DU1236" s="30"/>
      <c r="DV1236" s="30"/>
      <c r="DW1236" s="30"/>
      <c r="DX1236" s="30"/>
      <c r="DY1236" s="30"/>
      <c r="DZ1236" s="30"/>
    </row>
    <row r="1237">
      <c r="A1237" s="30"/>
      <c r="B1237" s="42"/>
      <c r="C1237" s="43"/>
      <c r="D1237" s="30"/>
      <c r="E1237" s="28"/>
      <c r="F1237" s="30"/>
      <c r="G1237" s="30"/>
      <c r="H1237" s="30"/>
      <c r="I1237" s="30"/>
      <c r="J1237" s="28"/>
      <c r="K1237" s="30"/>
      <c r="L1237" s="30"/>
      <c r="M1237" s="30"/>
      <c r="N1237" s="30"/>
      <c r="O1237" s="28"/>
      <c r="P1237" s="30"/>
      <c r="Q1237" s="30"/>
      <c r="R1237" s="30"/>
      <c r="S1237" s="36"/>
      <c r="T1237" s="30"/>
      <c r="U1237" s="36"/>
      <c r="V1237" s="30"/>
      <c r="W1237" s="28"/>
      <c r="X1237" s="30"/>
      <c r="Y1237" s="30"/>
      <c r="Z1237" s="30"/>
      <c r="AA1237" s="30"/>
      <c r="AB1237" s="30"/>
      <c r="AC1237" s="28"/>
      <c r="AD1237" s="30"/>
      <c r="AE1237" s="30"/>
      <c r="AF1237" s="30"/>
      <c r="AG1237" s="29"/>
      <c r="AH1237" s="30"/>
      <c r="AI1237" s="36"/>
      <c r="AJ1237" s="30"/>
      <c r="AK1237" s="29"/>
      <c r="AL1237" s="30"/>
      <c r="AM1237" s="30"/>
      <c r="AN1237" s="30"/>
      <c r="AO1237" s="30"/>
      <c r="AP1237" s="30"/>
      <c r="AQ1237" s="38"/>
      <c r="AR1237" s="30"/>
      <c r="AS1237" s="30"/>
      <c r="AT1237" s="29"/>
      <c r="AU1237" s="30"/>
      <c r="AV1237" s="30"/>
      <c r="AW1237" s="30"/>
      <c r="AX1237" s="29"/>
      <c r="AY1237" s="39"/>
      <c r="AZ1237" s="30"/>
      <c r="BA1237" s="30"/>
      <c r="BB1237" s="29"/>
      <c r="BC1237" s="52"/>
      <c r="BD1237" s="30"/>
      <c r="BE1237" s="29"/>
      <c r="BF1237" s="30"/>
      <c r="BG1237" s="30"/>
      <c r="BH1237" s="30"/>
      <c r="BI1237" s="30"/>
      <c r="BJ1237" s="30"/>
      <c r="BK1237" s="30"/>
      <c r="BL1237" s="30"/>
      <c r="BM1237" s="30"/>
      <c r="BN1237" s="30"/>
      <c r="BO1237" s="30"/>
      <c r="BP1237" s="30"/>
      <c r="BQ1237" s="30"/>
      <c r="BR1237" s="30"/>
      <c r="BS1237" s="30"/>
      <c r="BT1237" s="30"/>
      <c r="BU1237" s="30"/>
      <c r="BV1237" s="30"/>
      <c r="BW1237" s="30"/>
      <c r="BX1237" s="30"/>
      <c r="BY1237" s="30"/>
      <c r="BZ1237" s="30"/>
      <c r="CA1237" s="30"/>
      <c r="CB1237" s="30"/>
      <c r="CC1237" s="30"/>
      <c r="CD1237" s="30"/>
      <c r="CE1237" s="30"/>
      <c r="CF1237" s="30"/>
      <c r="CG1237" s="30"/>
      <c r="CH1237" s="30"/>
      <c r="CI1237" s="30"/>
      <c r="CJ1237" s="30"/>
      <c r="CK1237" s="30"/>
      <c r="CL1237" s="30"/>
      <c r="CM1237" s="30"/>
      <c r="CN1237" s="30"/>
      <c r="CO1237" s="30"/>
      <c r="CP1237" s="30"/>
      <c r="CQ1237" s="30"/>
      <c r="CR1237" s="30"/>
      <c r="CS1237" s="30"/>
      <c r="CT1237" s="30"/>
      <c r="CU1237" s="30"/>
      <c r="CV1237" s="30"/>
      <c r="CW1237" s="30"/>
      <c r="CX1237" s="30"/>
      <c r="CY1237" s="30"/>
      <c r="CZ1237" s="30"/>
      <c r="DA1237" s="30"/>
      <c r="DB1237" s="30"/>
      <c r="DC1237" s="30"/>
      <c r="DD1237" s="30"/>
      <c r="DE1237" s="30"/>
      <c r="DF1237" s="30"/>
      <c r="DG1237" s="30"/>
      <c r="DH1237" s="30"/>
      <c r="DI1237" s="30"/>
      <c r="DJ1237" s="30"/>
      <c r="DK1237" s="30"/>
      <c r="DL1237" s="30"/>
      <c r="DM1237" s="30"/>
      <c r="DN1237" s="30"/>
      <c r="DO1237" s="30"/>
      <c r="DP1237" s="30"/>
      <c r="DQ1237" s="30"/>
      <c r="DR1237" s="30"/>
      <c r="DS1237" s="30"/>
      <c r="DT1237" s="30"/>
      <c r="DU1237" s="30"/>
      <c r="DV1237" s="30"/>
      <c r="DW1237" s="30"/>
      <c r="DX1237" s="30"/>
      <c r="DY1237" s="30"/>
      <c r="DZ1237" s="30"/>
    </row>
    <row r="1238">
      <c r="A1238" s="30"/>
      <c r="B1238" s="42"/>
      <c r="C1238" s="43"/>
      <c r="D1238" s="30"/>
      <c r="E1238" s="28"/>
      <c r="F1238" s="30"/>
      <c r="G1238" s="30"/>
      <c r="H1238" s="30"/>
      <c r="I1238" s="30"/>
      <c r="J1238" s="28"/>
      <c r="K1238" s="30"/>
      <c r="L1238" s="30"/>
      <c r="M1238" s="30"/>
      <c r="N1238" s="30"/>
      <c r="O1238" s="28"/>
      <c r="P1238" s="30"/>
      <c r="Q1238" s="30"/>
      <c r="R1238" s="30"/>
      <c r="S1238" s="36"/>
      <c r="T1238" s="30"/>
      <c r="U1238" s="36"/>
      <c r="V1238" s="30"/>
      <c r="W1238" s="28"/>
      <c r="X1238" s="30"/>
      <c r="Y1238" s="30"/>
      <c r="Z1238" s="30"/>
      <c r="AA1238" s="30"/>
      <c r="AB1238" s="30"/>
      <c r="AC1238" s="28"/>
      <c r="AD1238" s="30"/>
      <c r="AE1238" s="30"/>
      <c r="AF1238" s="30"/>
      <c r="AG1238" s="29"/>
      <c r="AH1238" s="30"/>
      <c r="AI1238" s="36"/>
      <c r="AJ1238" s="30"/>
      <c r="AK1238" s="29"/>
      <c r="AL1238" s="30"/>
      <c r="AM1238" s="30"/>
      <c r="AN1238" s="30"/>
      <c r="AO1238" s="30"/>
      <c r="AP1238" s="30"/>
      <c r="AQ1238" s="38"/>
      <c r="AR1238" s="30"/>
      <c r="AS1238" s="30"/>
      <c r="AT1238" s="29"/>
      <c r="AU1238" s="30"/>
      <c r="AV1238" s="30"/>
      <c r="AW1238" s="30"/>
      <c r="AX1238" s="29"/>
      <c r="AY1238" s="39"/>
      <c r="AZ1238" s="30"/>
      <c r="BA1238" s="30"/>
      <c r="BB1238" s="29"/>
      <c r="BC1238" s="52"/>
      <c r="BD1238" s="30"/>
      <c r="BE1238" s="29"/>
      <c r="BF1238" s="30"/>
      <c r="BG1238" s="30"/>
      <c r="BH1238" s="30"/>
      <c r="BI1238" s="30"/>
      <c r="BJ1238" s="30"/>
      <c r="BK1238" s="30"/>
      <c r="BL1238" s="30"/>
      <c r="BM1238" s="30"/>
      <c r="BN1238" s="30"/>
      <c r="BO1238" s="30"/>
      <c r="BP1238" s="30"/>
      <c r="BQ1238" s="30"/>
      <c r="BR1238" s="30"/>
      <c r="BS1238" s="30"/>
      <c r="BT1238" s="30"/>
      <c r="BU1238" s="30"/>
      <c r="BV1238" s="30"/>
      <c r="BW1238" s="30"/>
      <c r="BX1238" s="30"/>
      <c r="BY1238" s="30"/>
      <c r="BZ1238" s="30"/>
      <c r="CA1238" s="30"/>
      <c r="CB1238" s="30"/>
      <c r="CC1238" s="30"/>
      <c r="CD1238" s="30"/>
      <c r="CE1238" s="30"/>
      <c r="CF1238" s="30"/>
      <c r="CG1238" s="30"/>
      <c r="CH1238" s="30"/>
      <c r="CI1238" s="30"/>
      <c r="CJ1238" s="30"/>
      <c r="CK1238" s="30"/>
      <c r="CL1238" s="30"/>
      <c r="CM1238" s="30"/>
      <c r="CN1238" s="30"/>
      <c r="CO1238" s="30"/>
      <c r="CP1238" s="30"/>
      <c r="CQ1238" s="30"/>
      <c r="CR1238" s="30"/>
      <c r="CS1238" s="30"/>
      <c r="CT1238" s="30"/>
      <c r="CU1238" s="30"/>
      <c r="CV1238" s="30"/>
      <c r="CW1238" s="30"/>
      <c r="CX1238" s="30"/>
      <c r="CY1238" s="30"/>
      <c r="CZ1238" s="30"/>
      <c r="DA1238" s="30"/>
      <c r="DB1238" s="30"/>
      <c r="DC1238" s="30"/>
      <c r="DD1238" s="30"/>
      <c r="DE1238" s="30"/>
      <c r="DF1238" s="30"/>
      <c r="DG1238" s="30"/>
      <c r="DH1238" s="30"/>
      <c r="DI1238" s="30"/>
      <c r="DJ1238" s="30"/>
      <c r="DK1238" s="30"/>
      <c r="DL1238" s="30"/>
      <c r="DM1238" s="30"/>
      <c r="DN1238" s="30"/>
      <c r="DO1238" s="30"/>
      <c r="DP1238" s="30"/>
      <c r="DQ1238" s="30"/>
      <c r="DR1238" s="30"/>
      <c r="DS1238" s="30"/>
      <c r="DT1238" s="30"/>
      <c r="DU1238" s="30"/>
      <c r="DV1238" s="30"/>
      <c r="DW1238" s="30"/>
      <c r="DX1238" s="30"/>
      <c r="DY1238" s="30"/>
      <c r="DZ1238" s="30"/>
    </row>
    <row r="1239">
      <c r="A1239" s="30"/>
      <c r="B1239" s="42"/>
      <c r="C1239" s="43"/>
      <c r="D1239" s="30"/>
      <c r="E1239" s="28"/>
      <c r="F1239" s="30"/>
      <c r="G1239" s="30"/>
      <c r="H1239" s="30"/>
      <c r="I1239" s="30"/>
      <c r="J1239" s="28"/>
      <c r="K1239" s="30"/>
      <c r="L1239" s="30"/>
      <c r="M1239" s="30"/>
      <c r="N1239" s="30"/>
      <c r="O1239" s="28"/>
      <c r="P1239" s="30"/>
      <c r="Q1239" s="30"/>
      <c r="R1239" s="30"/>
      <c r="S1239" s="36"/>
      <c r="T1239" s="30"/>
      <c r="U1239" s="36"/>
      <c r="V1239" s="30"/>
      <c r="W1239" s="28"/>
      <c r="X1239" s="30"/>
      <c r="Y1239" s="30"/>
      <c r="Z1239" s="30"/>
      <c r="AA1239" s="30"/>
      <c r="AB1239" s="30"/>
      <c r="AC1239" s="28"/>
      <c r="AD1239" s="30"/>
      <c r="AE1239" s="30"/>
      <c r="AF1239" s="30"/>
      <c r="AG1239" s="29"/>
      <c r="AH1239" s="30"/>
      <c r="AI1239" s="36"/>
      <c r="AJ1239" s="30"/>
      <c r="AK1239" s="29"/>
      <c r="AL1239" s="30"/>
      <c r="AM1239" s="30"/>
      <c r="AN1239" s="30"/>
      <c r="AO1239" s="30"/>
      <c r="AP1239" s="30"/>
      <c r="AQ1239" s="38"/>
      <c r="AR1239" s="30"/>
      <c r="AS1239" s="30"/>
      <c r="AT1239" s="29"/>
      <c r="AU1239" s="30"/>
      <c r="AV1239" s="30"/>
      <c r="AW1239" s="30"/>
      <c r="AX1239" s="29"/>
      <c r="AY1239" s="39"/>
      <c r="AZ1239" s="30"/>
      <c r="BA1239" s="30"/>
      <c r="BB1239" s="29"/>
      <c r="BC1239" s="52"/>
      <c r="BD1239" s="30"/>
      <c r="BE1239" s="29"/>
      <c r="BF1239" s="30"/>
      <c r="BG1239" s="30"/>
      <c r="BH1239" s="30"/>
      <c r="BI1239" s="30"/>
      <c r="BJ1239" s="30"/>
      <c r="BK1239" s="30"/>
      <c r="BL1239" s="30"/>
      <c r="BM1239" s="30"/>
      <c r="BN1239" s="30"/>
      <c r="BO1239" s="30"/>
      <c r="BP1239" s="30"/>
      <c r="BQ1239" s="30"/>
      <c r="BR1239" s="30"/>
      <c r="BS1239" s="30"/>
      <c r="BT1239" s="30"/>
      <c r="BU1239" s="30"/>
      <c r="BV1239" s="30"/>
      <c r="BW1239" s="30"/>
      <c r="BX1239" s="30"/>
      <c r="BY1239" s="30"/>
      <c r="BZ1239" s="30"/>
      <c r="CA1239" s="30"/>
      <c r="CB1239" s="30"/>
      <c r="CC1239" s="30"/>
      <c r="CD1239" s="30"/>
      <c r="CE1239" s="30"/>
      <c r="CF1239" s="30"/>
      <c r="CG1239" s="30"/>
      <c r="CH1239" s="30"/>
      <c r="CI1239" s="30"/>
      <c r="CJ1239" s="30"/>
      <c r="CK1239" s="30"/>
      <c r="CL1239" s="30"/>
      <c r="CM1239" s="30"/>
      <c r="CN1239" s="30"/>
      <c r="CO1239" s="30"/>
      <c r="CP1239" s="30"/>
      <c r="CQ1239" s="30"/>
      <c r="CR1239" s="30"/>
      <c r="CS1239" s="30"/>
      <c r="CT1239" s="30"/>
      <c r="CU1239" s="30"/>
      <c r="CV1239" s="30"/>
      <c r="CW1239" s="30"/>
      <c r="CX1239" s="30"/>
      <c r="CY1239" s="30"/>
      <c r="CZ1239" s="30"/>
      <c r="DA1239" s="30"/>
      <c r="DB1239" s="30"/>
      <c r="DC1239" s="30"/>
      <c r="DD1239" s="30"/>
      <c r="DE1239" s="30"/>
      <c r="DF1239" s="30"/>
      <c r="DG1239" s="30"/>
      <c r="DH1239" s="30"/>
      <c r="DI1239" s="30"/>
      <c r="DJ1239" s="30"/>
      <c r="DK1239" s="30"/>
      <c r="DL1239" s="30"/>
      <c r="DM1239" s="30"/>
      <c r="DN1239" s="30"/>
      <c r="DO1239" s="30"/>
      <c r="DP1239" s="30"/>
      <c r="DQ1239" s="30"/>
      <c r="DR1239" s="30"/>
      <c r="DS1239" s="30"/>
      <c r="DT1239" s="30"/>
      <c r="DU1239" s="30"/>
      <c r="DV1239" s="30"/>
      <c r="DW1239" s="30"/>
      <c r="DX1239" s="30"/>
      <c r="DY1239" s="30"/>
      <c r="DZ1239" s="30"/>
    </row>
    <row r="1240">
      <c r="A1240" s="30"/>
      <c r="B1240" s="42"/>
      <c r="C1240" s="43"/>
      <c r="D1240" s="30"/>
      <c r="E1240" s="28"/>
      <c r="F1240" s="30"/>
      <c r="G1240" s="30"/>
      <c r="H1240" s="30"/>
      <c r="I1240" s="30"/>
      <c r="J1240" s="28"/>
      <c r="K1240" s="30"/>
      <c r="L1240" s="30"/>
      <c r="M1240" s="30"/>
      <c r="N1240" s="30"/>
      <c r="O1240" s="28"/>
      <c r="P1240" s="30"/>
      <c r="Q1240" s="30"/>
      <c r="R1240" s="30"/>
      <c r="S1240" s="36"/>
      <c r="T1240" s="30"/>
      <c r="U1240" s="36"/>
      <c r="V1240" s="30"/>
      <c r="W1240" s="28"/>
      <c r="X1240" s="30"/>
      <c r="Y1240" s="30"/>
      <c r="Z1240" s="30"/>
      <c r="AA1240" s="30"/>
      <c r="AB1240" s="30"/>
      <c r="AC1240" s="28"/>
      <c r="AD1240" s="30"/>
      <c r="AE1240" s="30"/>
      <c r="AF1240" s="30"/>
      <c r="AG1240" s="29"/>
      <c r="AH1240" s="30"/>
      <c r="AI1240" s="36"/>
      <c r="AJ1240" s="30"/>
      <c r="AK1240" s="29"/>
      <c r="AL1240" s="30"/>
      <c r="AM1240" s="30"/>
      <c r="AN1240" s="30"/>
      <c r="AO1240" s="30"/>
      <c r="AP1240" s="30"/>
      <c r="AQ1240" s="38"/>
      <c r="AR1240" s="30"/>
      <c r="AS1240" s="30"/>
      <c r="AT1240" s="29"/>
      <c r="AU1240" s="30"/>
      <c r="AV1240" s="30"/>
      <c r="AW1240" s="30"/>
      <c r="AX1240" s="29"/>
      <c r="AY1240" s="39"/>
      <c r="AZ1240" s="30"/>
      <c r="BA1240" s="30"/>
      <c r="BB1240" s="29"/>
      <c r="BC1240" s="52"/>
      <c r="BD1240" s="30"/>
      <c r="BE1240" s="29"/>
      <c r="BF1240" s="30"/>
      <c r="BG1240" s="30"/>
      <c r="BH1240" s="30"/>
      <c r="BI1240" s="30"/>
      <c r="BJ1240" s="30"/>
      <c r="BK1240" s="30"/>
      <c r="BL1240" s="30"/>
      <c r="BM1240" s="30"/>
      <c r="BN1240" s="30"/>
      <c r="BO1240" s="30"/>
      <c r="BP1240" s="30"/>
      <c r="BQ1240" s="30"/>
      <c r="BR1240" s="30"/>
      <c r="BS1240" s="30"/>
      <c r="BT1240" s="30"/>
      <c r="BU1240" s="30"/>
      <c r="BV1240" s="30"/>
      <c r="BW1240" s="30"/>
      <c r="BX1240" s="30"/>
      <c r="BY1240" s="30"/>
      <c r="BZ1240" s="30"/>
      <c r="CA1240" s="30"/>
      <c r="CB1240" s="30"/>
      <c r="CC1240" s="30"/>
      <c r="CD1240" s="30"/>
      <c r="CE1240" s="30"/>
      <c r="CF1240" s="30"/>
      <c r="CG1240" s="30"/>
      <c r="CH1240" s="30"/>
      <c r="CI1240" s="30"/>
      <c r="CJ1240" s="30"/>
      <c r="CK1240" s="30"/>
      <c r="CL1240" s="30"/>
      <c r="CM1240" s="30"/>
      <c r="CN1240" s="30"/>
      <c r="CO1240" s="30"/>
      <c r="CP1240" s="30"/>
      <c r="CQ1240" s="30"/>
      <c r="CR1240" s="30"/>
      <c r="CS1240" s="30"/>
      <c r="CT1240" s="30"/>
      <c r="CU1240" s="30"/>
      <c r="CV1240" s="30"/>
      <c r="CW1240" s="30"/>
      <c r="CX1240" s="30"/>
      <c r="CY1240" s="30"/>
      <c r="CZ1240" s="30"/>
      <c r="DA1240" s="30"/>
      <c r="DB1240" s="30"/>
      <c r="DC1240" s="30"/>
      <c r="DD1240" s="30"/>
      <c r="DE1240" s="30"/>
      <c r="DF1240" s="30"/>
      <c r="DG1240" s="30"/>
      <c r="DH1240" s="30"/>
      <c r="DI1240" s="30"/>
      <c r="DJ1240" s="30"/>
      <c r="DK1240" s="30"/>
      <c r="DL1240" s="30"/>
      <c r="DM1240" s="30"/>
      <c r="DN1240" s="30"/>
      <c r="DO1240" s="30"/>
      <c r="DP1240" s="30"/>
      <c r="DQ1240" s="30"/>
      <c r="DR1240" s="30"/>
      <c r="DS1240" s="30"/>
      <c r="DT1240" s="30"/>
      <c r="DU1240" s="30"/>
      <c r="DV1240" s="30"/>
      <c r="DW1240" s="30"/>
      <c r="DX1240" s="30"/>
      <c r="DY1240" s="30"/>
      <c r="DZ1240" s="30"/>
    </row>
    <row r="1241">
      <c r="A1241" s="30"/>
      <c r="B1241" s="42"/>
      <c r="C1241" s="43"/>
      <c r="D1241" s="30"/>
      <c r="E1241" s="28"/>
      <c r="F1241" s="30"/>
      <c r="G1241" s="30"/>
      <c r="H1241" s="30"/>
      <c r="I1241" s="30"/>
      <c r="J1241" s="28"/>
      <c r="K1241" s="30"/>
      <c r="L1241" s="30"/>
      <c r="M1241" s="30"/>
      <c r="N1241" s="30"/>
      <c r="O1241" s="28"/>
      <c r="P1241" s="30"/>
      <c r="Q1241" s="30"/>
      <c r="R1241" s="30"/>
      <c r="S1241" s="36"/>
      <c r="T1241" s="30"/>
      <c r="U1241" s="36"/>
      <c r="V1241" s="30"/>
      <c r="W1241" s="28"/>
      <c r="X1241" s="30"/>
      <c r="Y1241" s="30"/>
      <c r="Z1241" s="30"/>
      <c r="AA1241" s="30"/>
      <c r="AB1241" s="30"/>
      <c r="AC1241" s="28"/>
      <c r="AD1241" s="30"/>
      <c r="AE1241" s="30"/>
      <c r="AF1241" s="30"/>
      <c r="AG1241" s="29"/>
      <c r="AH1241" s="30"/>
      <c r="AI1241" s="36"/>
      <c r="AJ1241" s="30"/>
      <c r="AK1241" s="29"/>
      <c r="AL1241" s="30"/>
      <c r="AM1241" s="30"/>
      <c r="AN1241" s="30"/>
      <c r="AO1241" s="30"/>
      <c r="AP1241" s="30"/>
      <c r="AQ1241" s="38"/>
      <c r="AR1241" s="30"/>
      <c r="AS1241" s="30"/>
      <c r="AT1241" s="29"/>
      <c r="AU1241" s="30"/>
      <c r="AV1241" s="30"/>
      <c r="AW1241" s="30"/>
      <c r="AX1241" s="29"/>
      <c r="AY1241" s="39"/>
      <c r="AZ1241" s="30"/>
      <c r="BA1241" s="30"/>
      <c r="BB1241" s="29"/>
      <c r="BC1241" s="52"/>
      <c r="BD1241" s="30"/>
      <c r="BE1241" s="29"/>
      <c r="BF1241" s="30"/>
      <c r="BG1241" s="30"/>
      <c r="BH1241" s="30"/>
      <c r="BI1241" s="30"/>
      <c r="BJ1241" s="30"/>
      <c r="BK1241" s="30"/>
      <c r="BL1241" s="30"/>
      <c r="BM1241" s="30"/>
      <c r="BN1241" s="30"/>
      <c r="BO1241" s="30"/>
      <c r="BP1241" s="30"/>
      <c r="BQ1241" s="30"/>
      <c r="BR1241" s="30"/>
      <c r="BS1241" s="30"/>
      <c r="BT1241" s="30"/>
      <c r="BU1241" s="30"/>
      <c r="BV1241" s="30"/>
      <c r="BW1241" s="30"/>
      <c r="BX1241" s="30"/>
      <c r="BY1241" s="30"/>
      <c r="BZ1241" s="30"/>
      <c r="CA1241" s="30"/>
      <c r="CB1241" s="30"/>
      <c r="CC1241" s="30"/>
      <c r="CD1241" s="30"/>
      <c r="CE1241" s="30"/>
      <c r="CF1241" s="30"/>
      <c r="CG1241" s="30"/>
      <c r="CH1241" s="30"/>
      <c r="CI1241" s="30"/>
      <c r="CJ1241" s="30"/>
      <c r="CK1241" s="30"/>
      <c r="CL1241" s="30"/>
      <c r="CM1241" s="30"/>
      <c r="CN1241" s="30"/>
      <c r="CO1241" s="30"/>
      <c r="CP1241" s="30"/>
      <c r="CQ1241" s="30"/>
      <c r="CR1241" s="30"/>
      <c r="CS1241" s="30"/>
      <c r="CT1241" s="30"/>
      <c r="CU1241" s="30"/>
      <c r="CV1241" s="30"/>
      <c r="CW1241" s="30"/>
      <c r="CX1241" s="30"/>
      <c r="CY1241" s="30"/>
      <c r="CZ1241" s="30"/>
      <c r="DA1241" s="30"/>
      <c r="DB1241" s="30"/>
      <c r="DC1241" s="30"/>
      <c r="DD1241" s="30"/>
      <c r="DE1241" s="30"/>
      <c r="DF1241" s="30"/>
      <c r="DG1241" s="30"/>
      <c r="DH1241" s="30"/>
      <c r="DI1241" s="30"/>
      <c r="DJ1241" s="30"/>
      <c r="DK1241" s="30"/>
      <c r="DL1241" s="30"/>
      <c r="DM1241" s="30"/>
      <c r="DN1241" s="30"/>
      <c r="DO1241" s="30"/>
      <c r="DP1241" s="30"/>
      <c r="DQ1241" s="30"/>
      <c r="DR1241" s="30"/>
      <c r="DS1241" s="30"/>
      <c r="DT1241" s="30"/>
      <c r="DU1241" s="30"/>
      <c r="DV1241" s="30"/>
      <c r="DW1241" s="30"/>
      <c r="DX1241" s="30"/>
      <c r="DY1241" s="30"/>
      <c r="DZ1241" s="30"/>
    </row>
    <row r="1242">
      <c r="A1242" s="30"/>
      <c r="B1242" s="42"/>
      <c r="C1242" s="43"/>
      <c r="D1242" s="30"/>
      <c r="E1242" s="28"/>
      <c r="F1242" s="30"/>
      <c r="G1242" s="30"/>
      <c r="H1242" s="30"/>
      <c r="I1242" s="30"/>
      <c r="J1242" s="28"/>
      <c r="K1242" s="30"/>
      <c r="L1242" s="30"/>
      <c r="M1242" s="30"/>
      <c r="N1242" s="30"/>
      <c r="O1242" s="28"/>
      <c r="P1242" s="30"/>
      <c r="Q1242" s="30"/>
      <c r="R1242" s="30"/>
      <c r="S1242" s="36"/>
      <c r="T1242" s="30"/>
      <c r="U1242" s="36"/>
      <c r="V1242" s="30"/>
      <c r="W1242" s="28"/>
      <c r="X1242" s="30"/>
      <c r="Y1242" s="30"/>
      <c r="Z1242" s="30"/>
      <c r="AA1242" s="30"/>
      <c r="AB1242" s="30"/>
      <c r="AC1242" s="28"/>
      <c r="AD1242" s="30"/>
      <c r="AE1242" s="30"/>
      <c r="AF1242" s="30"/>
      <c r="AG1242" s="29"/>
      <c r="AH1242" s="30"/>
      <c r="AI1242" s="36"/>
      <c r="AJ1242" s="30"/>
      <c r="AK1242" s="29"/>
      <c r="AL1242" s="30"/>
      <c r="AM1242" s="30"/>
      <c r="AN1242" s="30"/>
      <c r="AO1242" s="30"/>
      <c r="AP1242" s="30"/>
      <c r="AQ1242" s="38"/>
      <c r="AR1242" s="30"/>
      <c r="AS1242" s="30"/>
      <c r="AT1242" s="29"/>
      <c r="AU1242" s="30"/>
      <c r="AV1242" s="30"/>
      <c r="AW1242" s="30"/>
      <c r="AX1242" s="29"/>
      <c r="AY1242" s="39"/>
      <c r="AZ1242" s="30"/>
      <c r="BA1242" s="30"/>
      <c r="BB1242" s="29"/>
      <c r="BC1242" s="52"/>
      <c r="BD1242" s="30"/>
      <c r="BE1242" s="29"/>
      <c r="BF1242" s="30"/>
      <c r="BG1242" s="30"/>
      <c r="BH1242" s="30"/>
      <c r="BI1242" s="30"/>
      <c r="BJ1242" s="30"/>
      <c r="BK1242" s="30"/>
      <c r="BL1242" s="30"/>
      <c r="BM1242" s="30"/>
      <c r="BN1242" s="30"/>
      <c r="BO1242" s="30"/>
      <c r="BP1242" s="30"/>
      <c r="BQ1242" s="30"/>
      <c r="BR1242" s="30"/>
      <c r="BS1242" s="30"/>
      <c r="BT1242" s="30"/>
      <c r="BU1242" s="30"/>
      <c r="BV1242" s="30"/>
      <c r="BW1242" s="30"/>
      <c r="BX1242" s="30"/>
      <c r="BY1242" s="30"/>
      <c r="BZ1242" s="30"/>
      <c r="CA1242" s="30"/>
      <c r="CB1242" s="30"/>
      <c r="CC1242" s="30"/>
      <c r="CD1242" s="30"/>
      <c r="CE1242" s="30"/>
      <c r="CF1242" s="30"/>
      <c r="CG1242" s="30"/>
      <c r="CH1242" s="30"/>
      <c r="CI1242" s="30"/>
      <c r="CJ1242" s="30"/>
      <c r="CK1242" s="30"/>
      <c r="CL1242" s="30"/>
      <c r="CM1242" s="30"/>
      <c r="CN1242" s="30"/>
      <c r="CO1242" s="30"/>
      <c r="CP1242" s="30"/>
      <c r="CQ1242" s="30"/>
      <c r="CR1242" s="30"/>
      <c r="CS1242" s="30"/>
      <c r="CT1242" s="30"/>
      <c r="CU1242" s="30"/>
      <c r="CV1242" s="30"/>
      <c r="CW1242" s="30"/>
      <c r="CX1242" s="30"/>
      <c r="CY1242" s="30"/>
      <c r="CZ1242" s="30"/>
      <c r="DA1242" s="30"/>
      <c r="DB1242" s="30"/>
      <c r="DC1242" s="30"/>
      <c r="DD1242" s="30"/>
      <c r="DE1242" s="30"/>
      <c r="DF1242" s="30"/>
      <c r="DG1242" s="30"/>
      <c r="DH1242" s="30"/>
      <c r="DI1242" s="30"/>
      <c r="DJ1242" s="30"/>
      <c r="DK1242" s="30"/>
      <c r="DL1242" s="30"/>
      <c r="DM1242" s="30"/>
      <c r="DN1242" s="30"/>
      <c r="DO1242" s="30"/>
      <c r="DP1242" s="30"/>
      <c r="DQ1242" s="30"/>
      <c r="DR1242" s="30"/>
      <c r="DS1242" s="30"/>
      <c r="DT1242" s="30"/>
      <c r="DU1242" s="30"/>
      <c r="DV1242" s="30"/>
      <c r="DW1242" s="30"/>
      <c r="DX1242" s="30"/>
      <c r="DY1242" s="30"/>
      <c r="DZ1242" s="30"/>
    </row>
    <row r="1243">
      <c r="A1243" s="30"/>
      <c r="B1243" s="42"/>
      <c r="C1243" s="43"/>
      <c r="D1243" s="30"/>
      <c r="E1243" s="28"/>
      <c r="F1243" s="30"/>
      <c r="G1243" s="30"/>
      <c r="H1243" s="30"/>
      <c r="I1243" s="30"/>
      <c r="J1243" s="28"/>
      <c r="K1243" s="30"/>
      <c r="L1243" s="30"/>
      <c r="M1243" s="30"/>
      <c r="N1243" s="30"/>
      <c r="O1243" s="28"/>
      <c r="P1243" s="30"/>
      <c r="Q1243" s="30"/>
      <c r="R1243" s="30"/>
      <c r="S1243" s="36"/>
      <c r="T1243" s="30"/>
      <c r="U1243" s="36"/>
      <c r="V1243" s="30"/>
      <c r="W1243" s="28"/>
      <c r="X1243" s="30"/>
      <c r="Y1243" s="30"/>
      <c r="Z1243" s="30"/>
      <c r="AA1243" s="30"/>
      <c r="AB1243" s="30"/>
      <c r="AC1243" s="28"/>
      <c r="AD1243" s="30"/>
      <c r="AE1243" s="30"/>
      <c r="AF1243" s="30"/>
      <c r="AG1243" s="29"/>
      <c r="AH1243" s="30"/>
      <c r="AI1243" s="36"/>
      <c r="AJ1243" s="30"/>
      <c r="AK1243" s="29"/>
      <c r="AL1243" s="30"/>
      <c r="AM1243" s="30"/>
      <c r="AN1243" s="30"/>
      <c r="AO1243" s="30"/>
      <c r="AP1243" s="30"/>
      <c r="AQ1243" s="38"/>
      <c r="AR1243" s="30"/>
      <c r="AS1243" s="30"/>
      <c r="AT1243" s="29"/>
      <c r="AU1243" s="30"/>
      <c r="AV1243" s="30"/>
      <c r="AW1243" s="30"/>
      <c r="AX1243" s="29"/>
      <c r="AY1243" s="39"/>
      <c r="AZ1243" s="30"/>
      <c r="BA1243" s="30"/>
      <c r="BB1243" s="29"/>
      <c r="BC1243" s="52"/>
      <c r="BD1243" s="30"/>
      <c r="BE1243" s="29"/>
      <c r="BF1243" s="30"/>
      <c r="BG1243" s="30"/>
      <c r="BH1243" s="30"/>
      <c r="BI1243" s="30"/>
      <c r="BJ1243" s="30"/>
      <c r="BK1243" s="30"/>
      <c r="BL1243" s="30"/>
      <c r="BM1243" s="30"/>
      <c r="BN1243" s="30"/>
      <c r="BO1243" s="30"/>
      <c r="BP1243" s="30"/>
      <c r="BQ1243" s="30"/>
      <c r="BR1243" s="30"/>
      <c r="BS1243" s="30"/>
      <c r="BT1243" s="30"/>
      <c r="BU1243" s="30"/>
      <c r="BV1243" s="30"/>
      <c r="BW1243" s="30"/>
      <c r="BX1243" s="30"/>
      <c r="BY1243" s="30"/>
      <c r="BZ1243" s="30"/>
      <c r="CA1243" s="30"/>
      <c r="CB1243" s="30"/>
      <c r="CC1243" s="30"/>
      <c r="CD1243" s="30"/>
      <c r="CE1243" s="30"/>
      <c r="CF1243" s="30"/>
      <c r="CG1243" s="30"/>
      <c r="CH1243" s="30"/>
      <c r="CI1243" s="30"/>
      <c r="CJ1243" s="30"/>
      <c r="CK1243" s="30"/>
      <c r="CL1243" s="30"/>
      <c r="CM1243" s="30"/>
      <c r="CN1243" s="30"/>
      <c r="CO1243" s="30"/>
      <c r="CP1243" s="30"/>
      <c r="CQ1243" s="30"/>
      <c r="CR1243" s="30"/>
      <c r="CS1243" s="30"/>
      <c r="CT1243" s="30"/>
      <c r="CU1243" s="30"/>
      <c r="CV1243" s="30"/>
      <c r="CW1243" s="30"/>
      <c r="CX1243" s="30"/>
      <c r="CY1243" s="30"/>
      <c r="CZ1243" s="30"/>
      <c r="DA1243" s="30"/>
      <c r="DB1243" s="30"/>
      <c r="DC1243" s="30"/>
      <c r="DD1243" s="30"/>
      <c r="DE1243" s="30"/>
      <c r="DF1243" s="30"/>
      <c r="DG1243" s="30"/>
      <c r="DH1243" s="30"/>
      <c r="DI1243" s="30"/>
      <c r="DJ1243" s="30"/>
      <c r="DK1243" s="30"/>
      <c r="DL1243" s="30"/>
      <c r="DM1243" s="30"/>
      <c r="DN1243" s="30"/>
      <c r="DO1243" s="30"/>
      <c r="DP1243" s="30"/>
      <c r="DQ1243" s="30"/>
      <c r="DR1243" s="30"/>
      <c r="DS1243" s="30"/>
      <c r="DT1243" s="30"/>
      <c r="DU1243" s="30"/>
      <c r="DV1243" s="30"/>
      <c r="DW1243" s="30"/>
      <c r="DX1243" s="30"/>
      <c r="DY1243" s="30"/>
      <c r="DZ1243" s="30"/>
    </row>
    <row r="1244">
      <c r="A1244" s="30"/>
      <c r="B1244" s="42"/>
      <c r="C1244" s="43"/>
      <c r="D1244" s="30"/>
      <c r="E1244" s="28"/>
      <c r="F1244" s="30"/>
      <c r="G1244" s="30"/>
      <c r="H1244" s="30"/>
      <c r="I1244" s="30"/>
      <c r="J1244" s="28"/>
      <c r="K1244" s="30"/>
      <c r="L1244" s="30"/>
      <c r="M1244" s="30"/>
      <c r="N1244" s="30"/>
      <c r="O1244" s="28"/>
      <c r="P1244" s="30"/>
      <c r="Q1244" s="30"/>
      <c r="R1244" s="30"/>
      <c r="S1244" s="36"/>
      <c r="T1244" s="30"/>
      <c r="U1244" s="36"/>
      <c r="V1244" s="30"/>
      <c r="W1244" s="28"/>
      <c r="X1244" s="30"/>
      <c r="Y1244" s="30"/>
      <c r="Z1244" s="30"/>
      <c r="AA1244" s="30"/>
      <c r="AB1244" s="30"/>
      <c r="AC1244" s="28"/>
      <c r="AD1244" s="30"/>
      <c r="AE1244" s="30"/>
      <c r="AF1244" s="30"/>
      <c r="AG1244" s="29"/>
      <c r="AH1244" s="30"/>
      <c r="AI1244" s="36"/>
      <c r="AJ1244" s="30"/>
      <c r="AK1244" s="29"/>
      <c r="AL1244" s="30"/>
      <c r="AM1244" s="30"/>
      <c r="AN1244" s="30"/>
      <c r="AO1244" s="30"/>
      <c r="AP1244" s="30"/>
      <c r="AQ1244" s="38"/>
      <c r="AR1244" s="30"/>
      <c r="AS1244" s="30"/>
      <c r="AT1244" s="29"/>
      <c r="AU1244" s="30"/>
      <c r="AV1244" s="30"/>
      <c r="AW1244" s="30"/>
      <c r="AX1244" s="29"/>
      <c r="AY1244" s="39"/>
      <c r="AZ1244" s="30"/>
      <c r="BA1244" s="30"/>
      <c r="BB1244" s="29"/>
      <c r="BC1244" s="52"/>
      <c r="BD1244" s="30"/>
      <c r="BE1244" s="29"/>
      <c r="BF1244" s="30"/>
      <c r="BG1244" s="30"/>
      <c r="BH1244" s="30"/>
      <c r="BI1244" s="30"/>
      <c r="BJ1244" s="30"/>
      <c r="BK1244" s="30"/>
      <c r="BL1244" s="30"/>
      <c r="BM1244" s="30"/>
      <c r="BN1244" s="30"/>
      <c r="BO1244" s="30"/>
      <c r="BP1244" s="30"/>
      <c r="BQ1244" s="30"/>
      <c r="BR1244" s="30"/>
      <c r="BS1244" s="30"/>
      <c r="BT1244" s="30"/>
      <c r="BU1244" s="30"/>
      <c r="BV1244" s="30"/>
      <c r="BW1244" s="30"/>
      <c r="BX1244" s="30"/>
      <c r="BY1244" s="30"/>
      <c r="BZ1244" s="30"/>
      <c r="CA1244" s="30"/>
      <c r="CB1244" s="30"/>
      <c r="CC1244" s="30"/>
      <c r="CD1244" s="30"/>
      <c r="CE1244" s="30"/>
      <c r="CF1244" s="30"/>
      <c r="CG1244" s="30"/>
      <c r="CH1244" s="30"/>
      <c r="CI1244" s="30"/>
      <c r="CJ1244" s="30"/>
      <c r="CK1244" s="30"/>
      <c r="CL1244" s="30"/>
      <c r="CM1244" s="30"/>
      <c r="CN1244" s="30"/>
      <c r="CO1244" s="30"/>
      <c r="CP1244" s="30"/>
      <c r="CQ1244" s="30"/>
      <c r="CR1244" s="30"/>
      <c r="CS1244" s="30"/>
      <c r="CT1244" s="30"/>
      <c r="CU1244" s="30"/>
      <c r="CV1244" s="30"/>
      <c r="CW1244" s="30"/>
      <c r="CX1244" s="30"/>
      <c r="CY1244" s="30"/>
      <c r="CZ1244" s="30"/>
      <c r="DA1244" s="30"/>
      <c r="DB1244" s="30"/>
      <c r="DC1244" s="30"/>
      <c r="DD1244" s="30"/>
      <c r="DE1244" s="30"/>
      <c r="DF1244" s="30"/>
      <c r="DG1244" s="30"/>
      <c r="DH1244" s="30"/>
      <c r="DI1244" s="30"/>
      <c r="DJ1244" s="30"/>
      <c r="DK1244" s="30"/>
      <c r="DL1244" s="30"/>
      <c r="DM1244" s="30"/>
      <c r="DN1244" s="30"/>
      <c r="DO1244" s="30"/>
      <c r="DP1244" s="30"/>
      <c r="DQ1244" s="30"/>
      <c r="DR1244" s="30"/>
      <c r="DS1244" s="30"/>
      <c r="DT1244" s="30"/>
      <c r="DU1244" s="30"/>
      <c r="DV1244" s="30"/>
      <c r="DW1244" s="30"/>
      <c r="DX1244" s="30"/>
      <c r="DY1244" s="30"/>
      <c r="DZ1244" s="30"/>
    </row>
    <row r="1245">
      <c r="A1245" s="30"/>
      <c r="B1245" s="42"/>
      <c r="C1245" s="43"/>
      <c r="D1245" s="30"/>
      <c r="E1245" s="28"/>
      <c r="F1245" s="30"/>
      <c r="G1245" s="30"/>
      <c r="H1245" s="30"/>
      <c r="I1245" s="30"/>
      <c r="J1245" s="28"/>
      <c r="K1245" s="30"/>
      <c r="L1245" s="30"/>
      <c r="M1245" s="30"/>
      <c r="N1245" s="30"/>
      <c r="O1245" s="28"/>
      <c r="P1245" s="30"/>
      <c r="Q1245" s="30"/>
      <c r="R1245" s="30"/>
      <c r="S1245" s="36"/>
      <c r="T1245" s="30"/>
      <c r="U1245" s="36"/>
      <c r="V1245" s="30"/>
      <c r="W1245" s="28"/>
      <c r="X1245" s="30"/>
      <c r="Y1245" s="30"/>
      <c r="Z1245" s="30"/>
      <c r="AA1245" s="30"/>
      <c r="AB1245" s="30"/>
      <c r="AC1245" s="28"/>
      <c r="AD1245" s="30"/>
      <c r="AE1245" s="30"/>
      <c r="AF1245" s="30"/>
      <c r="AG1245" s="29"/>
      <c r="AH1245" s="30"/>
      <c r="AI1245" s="36"/>
      <c r="AJ1245" s="30"/>
      <c r="AK1245" s="29"/>
      <c r="AL1245" s="30"/>
      <c r="AM1245" s="30"/>
      <c r="AN1245" s="30"/>
      <c r="AO1245" s="30"/>
      <c r="AP1245" s="30"/>
      <c r="AQ1245" s="38"/>
      <c r="AR1245" s="30"/>
      <c r="AS1245" s="30"/>
      <c r="AT1245" s="29"/>
      <c r="AU1245" s="30"/>
      <c r="AV1245" s="30"/>
      <c r="AW1245" s="30"/>
      <c r="AX1245" s="29"/>
      <c r="AY1245" s="39"/>
      <c r="AZ1245" s="30"/>
      <c r="BA1245" s="30"/>
      <c r="BB1245" s="29"/>
      <c r="BC1245" s="52"/>
      <c r="BD1245" s="30"/>
      <c r="BE1245" s="29"/>
      <c r="BF1245" s="30"/>
      <c r="BG1245" s="30"/>
      <c r="BH1245" s="30"/>
      <c r="BI1245" s="30"/>
      <c r="BJ1245" s="30"/>
      <c r="BK1245" s="30"/>
      <c r="BL1245" s="30"/>
      <c r="BM1245" s="30"/>
      <c r="BN1245" s="30"/>
      <c r="BO1245" s="30"/>
      <c r="BP1245" s="30"/>
      <c r="BQ1245" s="30"/>
      <c r="BR1245" s="30"/>
      <c r="BS1245" s="30"/>
      <c r="BT1245" s="30"/>
      <c r="BU1245" s="30"/>
      <c r="BV1245" s="30"/>
      <c r="BW1245" s="30"/>
      <c r="BX1245" s="30"/>
      <c r="BY1245" s="30"/>
      <c r="BZ1245" s="30"/>
      <c r="CA1245" s="30"/>
      <c r="CB1245" s="30"/>
      <c r="CC1245" s="30"/>
      <c r="CD1245" s="30"/>
      <c r="CE1245" s="30"/>
      <c r="CF1245" s="30"/>
      <c r="CG1245" s="30"/>
      <c r="CH1245" s="30"/>
      <c r="CI1245" s="30"/>
      <c r="CJ1245" s="30"/>
      <c r="CK1245" s="30"/>
      <c r="CL1245" s="30"/>
      <c r="CM1245" s="30"/>
      <c r="CN1245" s="30"/>
      <c r="CO1245" s="30"/>
      <c r="CP1245" s="30"/>
      <c r="CQ1245" s="30"/>
      <c r="CR1245" s="30"/>
      <c r="CS1245" s="30"/>
      <c r="CT1245" s="30"/>
      <c r="CU1245" s="30"/>
      <c r="CV1245" s="30"/>
      <c r="CW1245" s="30"/>
      <c r="CX1245" s="30"/>
      <c r="CY1245" s="30"/>
      <c r="CZ1245" s="30"/>
      <c r="DA1245" s="30"/>
      <c r="DB1245" s="30"/>
      <c r="DC1245" s="30"/>
      <c r="DD1245" s="30"/>
      <c r="DE1245" s="30"/>
      <c r="DF1245" s="30"/>
      <c r="DG1245" s="30"/>
      <c r="DH1245" s="30"/>
      <c r="DI1245" s="30"/>
      <c r="DJ1245" s="30"/>
      <c r="DK1245" s="30"/>
      <c r="DL1245" s="30"/>
      <c r="DM1245" s="30"/>
      <c r="DN1245" s="30"/>
      <c r="DO1245" s="30"/>
      <c r="DP1245" s="30"/>
      <c r="DQ1245" s="30"/>
      <c r="DR1245" s="30"/>
      <c r="DS1245" s="30"/>
      <c r="DT1245" s="30"/>
      <c r="DU1245" s="30"/>
      <c r="DV1245" s="30"/>
      <c r="DW1245" s="30"/>
      <c r="DX1245" s="30"/>
      <c r="DY1245" s="30"/>
      <c r="DZ1245" s="30"/>
    </row>
    <row r="1246">
      <c r="A1246" s="30"/>
      <c r="B1246" s="42"/>
      <c r="C1246" s="43"/>
      <c r="D1246" s="30"/>
      <c r="E1246" s="28"/>
      <c r="F1246" s="30"/>
      <c r="G1246" s="30"/>
      <c r="H1246" s="30"/>
      <c r="I1246" s="30"/>
      <c r="J1246" s="28"/>
      <c r="K1246" s="30"/>
      <c r="L1246" s="30"/>
      <c r="M1246" s="30"/>
      <c r="N1246" s="30"/>
      <c r="O1246" s="28"/>
      <c r="P1246" s="30"/>
      <c r="Q1246" s="30"/>
      <c r="R1246" s="30"/>
      <c r="S1246" s="36"/>
      <c r="T1246" s="30"/>
      <c r="U1246" s="36"/>
      <c r="V1246" s="30"/>
      <c r="W1246" s="28"/>
      <c r="X1246" s="30"/>
      <c r="Y1246" s="30"/>
      <c r="Z1246" s="30"/>
      <c r="AA1246" s="30"/>
      <c r="AB1246" s="30"/>
      <c r="AC1246" s="28"/>
      <c r="AD1246" s="30"/>
      <c r="AE1246" s="30"/>
      <c r="AF1246" s="30"/>
      <c r="AG1246" s="29"/>
      <c r="AH1246" s="30"/>
      <c r="AI1246" s="36"/>
      <c r="AJ1246" s="30"/>
      <c r="AK1246" s="29"/>
      <c r="AL1246" s="30"/>
      <c r="AM1246" s="30"/>
      <c r="AN1246" s="30"/>
      <c r="AO1246" s="30"/>
      <c r="AP1246" s="30"/>
      <c r="AQ1246" s="38"/>
      <c r="AR1246" s="30"/>
      <c r="AS1246" s="30"/>
      <c r="AT1246" s="29"/>
      <c r="AU1246" s="30"/>
      <c r="AV1246" s="30"/>
      <c r="AW1246" s="30"/>
      <c r="AX1246" s="29"/>
      <c r="AY1246" s="39"/>
      <c r="AZ1246" s="30"/>
      <c r="BA1246" s="30"/>
      <c r="BB1246" s="29"/>
      <c r="BC1246" s="52"/>
      <c r="BD1246" s="30"/>
      <c r="BE1246" s="29"/>
      <c r="BF1246" s="30"/>
      <c r="BG1246" s="30"/>
      <c r="BH1246" s="30"/>
      <c r="BI1246" s="30"/>
      <c r="BJ1246" s="30"/>
      <c r="BK1246" s="30"/>
      <c r="BL1246" s="30"/>
      <c r="BM1246" s="30"/>
      <c r="BN1246" s="30"/>
      <c r="BO1246" s="30"/>
      <c r="BP1246" s="30"/>
      <c r="BQ1246" s="30"/>
      <c r="BR1246" s="30"/>
      <c r="BS1246" s="30"/>
      <c r="BT1246" s="30"/>
      <c r="BU1246" s="30"/>
      <c r="BV1246" s="30"/>
      <c r="BW1246" s="30"/>
      <c r="BX1246" s="30"/>
      <c r="BY1246" s="30"/>
      <c r="BZ1246" s="30"/>
      <c r="CA1246" s="30"/>
      <c r="CB1246" s="30"/>
      <c r="CC1246" s="30"/>
      <c r="CD1246" s="30"/>
      <c r="CE1246" s="30"/>
      <c r="CF1246" s="30"/>
      <c r="CG1246" s="30"/>
      <c r="CH1246" s="30"/>
      <c r="CI1246" s="30"/>
      <c r="CJ1246" s="30"/>
      <c r="CK1246" s="30"/>
      <c r="CL1246" s="30"/>
      <c r="CM1246" s="30"/>
      <c r="CN1246" s="30"/>
      <c r="CO1246" s="30"/>
      <c r="CP1246" s="30"/>
      <c r="CQ1246" s="30"/>
      <c r="CR1246" s="30"/>
      <c r="CS1246" s="30"/>
      <c r="CT1246" s="30"/>
      <c r="CU1246" s="30"/>
      <c r="CV1246" s="30"/>
      <c r="CW1246" s="30"/>
      <c r="CX1246" s="30"/>
      <c r="CY1246" s="30"/>
      <c r="CZ1246" s="30"/>
      <c r="DA1246" s="30"/>
      <c r="DB1246" s="30"/>
      <c r="DC1246" s="30"/>
      <c r="DD1246" s="30"/>
      <c r="DE1246" s="30"/>
      <c r="DF1246" s="30"/>
      <c r="DG1246" s="30"/>
      <c r="DH1246" s="30"/>
      <c r="DI1246" s="30"/>
      <c r="DJ1246" s="30"/>
      <c r="DK1246" s="30"/>
      <c r="DL1246" s="30"/>
      <c r="DM1246" s="30"/>
      <c r="DN1246" s="30"/>
      <c r="DO1246" s="30"/>
      <c r="DP1246" s="30"/>
      <c r="DQ1246" s="30"/>
      <c r="DR1246" s="30"/>
      <c r="DS1246" s="30"/>
      <c r="DT1246" s="30"/>
      <c r="DU1246" s="30"/>
      <c r="DV1246" s="30"/>
      <c r="DW1246" s="30"/>
      <c r="DX1246" s="30"/>
      <c r="DY1246" s="30"/>
      <c r="DZ1246" s="30"/>
    </row>
    <row r="1247">
      <c r="A1247" s="30"/>
      <c r="B1247" s="42"/>
      <c r="C1247" s="43"/>
      <c r="D1247" s="30"/>
      <c r="E1247" s="28"/>
      <c r="F1247" s="30"/>
      <c r="G1247" s="30"/>
      <c r="H1247" s="30"/>
      <c r="I1247" s="30"/>
      <c r="J1247" s="28"/>
      <c r="K1247" s="30"/>
      <c r="L1247" s="30"/>
      <c r="M1247" s="30"/>
      <c r="N1247" s="30"/>
      <c r="O1247" s="28"/>
      <c r="P1247" s="30"/>
      <c r="Q1247" s="30"/>
      <c r="R1247" s="30"/>
      <c r="S1247" s="36"/>
      <c r="T1247" s="30"/>
      <c r="U1247" s="36"/>
      <c r="V1247" s="30"/>
      <c r="W1247" s="28"/>
      <c r="X1247" s="30"/>
      <c r="Y1247" s="30"/>
      <c r="Z1247" s="30"/>
      <c r="AA1247" s="30"/>
      <c r="AB1247" s="30"/>
      <c r="AC1247" s="28"/>
      <c r="AD1247" s="30"/>
      <c r="AE1247" s="30"/>
      <c r="AF1247" s="30"/>
      <c r="AG1247" s="29"/>
      <c r="AH1247" s="30"/>
      <c r="AI1247" s="36"/>
      <c r="AJ1247" s="30"/>
      <c r="AK1247" s="29"/>
      <c r="AL1247" s="30"/>
      <c r="AM1247" s="30"/>
      <c r="AN1247" s="30"/>
      <c r="AO1247" s="30"/>
      <c r="AP1247" s="30"/>
      <c r="AQ1247" s="38"/>
      <c r="AR1247" s="30"/>
      <c r="AS1247" s="30"/>
      <c r="AT1247" s="29"/>
      <c r="AU1247" s="30"/>
      <c r="AV1247" s="30"/>
      <c r="AW1247" s="30"/>
      <c r="AX1247" s="29"/>
      <c r="AY1247" s="39"/>
      <c r="AZ1247" s="30"/>
      <c r="BA1247" s="30"/>
      <c r="BB1247" s="29"/>
      <c r="BC1247" s="52"/>
      <c r="BD1247" s="30"/>
      <c r="BE1247" s="29"/>
      <c r="BF1247" s="30"/>
      <c r="BG1247" s="30"/>
      <c r="BH1247" s="30"/>
      <c r="BI1247" s="30"/>
      <c r="BJ1247" s="30"/>
      <c r="BK1247" s="30"/>
      <c r="BL1247" s="30"/>
      <c r="BM1247" s="30"/>
      <c r="BN1247" s="30"/>
      <c r="BO1247" s="30"/>
      <c r="BP1247" s="30"/>
      <c r="BQ1247" s="30"/>
      <c r="BR1247" s="30"/>
      <c r="BS1247" s="30"/>
      <c r="BT1247" s="30"/>
      <c r="BU1247" s="30"/>
      <c r="BV1247" s="30"/>
      <c r="BW1247" s="30"/>
      <c r="BX1247" s="30"/>
      <c r="BY1247" s="30"/>
      <c r="BZ1247" s="30"/>
      <c r="CA1247" s="30"/>
      <c r="CB1247" s="30"/>
      <c r="CC1247" s="30"/>
      <c r="CD1247" s="30"/>
      <c r="CE1247" s="30"/>
      <c r="CF1247" s="30"/>
      <c r="CG1247" s="30"/>
      <c r="CH1247" s="30"/>
      <c r="CI1247" s="30"/>
      <c r="CJ1247" s="30"/>
      <c r="CK1247" s="30"/>
      <c r="CL1247" s="30"/>
      <c r="CM1247" s="30"/>
      <c r="CN1247" s="30"/>
      <c r="CO1247" s="30"/>
      <c r="CP1247" s="30"/>
      <c r="CQ1247" s="30"/>
      <c r="CR1247" s="30"/>
      <c r="CS1247" s="30"/>
      <c r="CT1247" s="30"/>
      <c r="CU1247" s="30"/>
      <c r="CV1247" s="30"/>
      <c r="CW1247" s="30"/>
      <c r="CX1247" s="30"/>
      <c r="CY1247" s="30"/>
      <c r="CZ1247" s="30"/>
      <c r="DA1247" s="30"/>
      <c r="DB1247" s="30"/>
      <c r="DC1247" s="30"/>
      <c r="DD1247" s="30"/>
      <c r="DE1247" s="30"/>
      <c r="DF1247" s="30"/>
      <c r="DG1247" s="30"/>
      <c r="DH1247" s="30"/>
      <c r="DI1247" s="30"/>
      <c r="DJ1247" s="30"/>
      <c r="DK1247" s="30"/>
      <c r="DL1247" s="30"/>
      <c r="DM1247" s="30"/>
      <c r="DN1247" s="30"/>
      <c r="DO1247" s="30"/>
      <c r="DP1247" s="30"/>
      <c r="DQ1247" s="30"/>
      <c r="DR1247" s="30"/>
      <c r="DS1247" s="30"/>
      <c r="DT1247" s="30"/>
      <c r="DU1247" s="30"/>
      <c r="DV1247" s="30"/>
      <c r="DW1247" s="30"/>
      <c r="DX1247" s="30"/>
      <c r="DY1247" s="30"/>
      <c r="DZ1247" s="30"/>
    </row>
    <row r="1248">
      <c r="A1248" s="30"/>
      <c r="B1248" s="42"/>
      <c r="C1248" s="43"/>
      <c r="D1248" s="30"/>
      <c r="E1248" s="28"/>
      <c r="F1248" s="30"/>
      <c r="G1248" s="30"/>
      <c r="H1248" s="30"/>
      <c r="I1248" s="30"/>
      <c r="J1248" s="28"/>
      <c r="K1248" s="30"/>
      <c r="L1248" s="30"/>
      <c r="M1248" s="30"/>
      <c r="N1248" s="30"/>
      <c r="O1248" s="28"/>
      <c r="P1248" s="30"/>
      <c r="Q1248" s="30"/>
      <c r="R1248" s="30"/>
      <c r="S1248" s="36"/>
      <c r="T1248" s="30"/>
      <c r="U1248" s="36"/>
      <c r="V1248" s="30"/>
      <c r="W1248" s="28"/>
      <c r="X1248" s="30"/>
      <c r="Y1248" s="30"/>
      <c r="Z1248" s="30"/>
      <c r="AA1248" s="30"/>
      <c r="AB1248" s="30"/>
      <c r="AC1248" s="28"/>
      <c r="AD1248" s="30"/>
      <c r="AE1248" s="30"/>
      <c r="AF1248" s="30"/>
      <c r="AG1248" s="29"/>
      <c r="AH1248" s="30"/>
      <c r="AI1248" s="36"/>
      <c r="AJ1248" s="30"/>
      <c r="AK1248" s="29"/>
      <c r="AL1248" s="30"/>
      <c r="AM1248" s="30"/>
      <c r="AN1248" s="30"/>
      <c r="AO1248" s="30"/>
      <c r="AP1248" s="30"/>
      <c r="AQ1248" s="38"/>
      <c r="AR1248" s="30"/>
      <c r="AS1248" s="30"/>
      <c r="AT1248" s="29"/>
      <c r="AU1248" s="30"/>
      <c r="AV1248" s="30"/>
      <c r="AW1248" s="30"/>
      <c r="AX1248" s="29"/>
      <c r="AY1248" s="39"/>
      <c r="AZ1248" s="30"/>
      <c r="BA1248" s="30"/>
      <c r="BB1248" s="29"/>
      <c r="BC1248" s="52"/>
      <c r="BD1248" s="30"/>
      <c r="BE1248" s="29"/>
      <c r="BF1248" s="30"/>
      <c r="BG1248" s="30"/>
      <c r="BH1248" s="30"/>
      <c r="BI1248" s="30"/>
      <c r="BJ1248" s="30"/>
      <c r="BK1248" s="30"/>
      <c r="BL1248" s="30"/>
      <c r="BM1248" s="30"/>
      <c r="BN1248" s="30"/>
      <c r="BO1248" s="30"/>
      <c r="BP1248" s="30"/>
      <c r="BQ1248" s="30"/>
      <c r="BR1248" s="30"/>
      <c r="BS1248" s="30"/>
      <c r="BT1248" s="30"/>
      <c r="BU1248" s="30"/>
      <c r="BV1248" s="30"/>
      <c r="BW1248" s="30"/>
      <c r="BX1248" s="30"/>
      <c r="BY1248" s="30"/>
      <c r="BZ1248" s="30"/>
      <c r="CA1248" s="30"/>
      <c r="CB1248" s="30"/>
      <c r="CC1248" s="30"/>
      <c r="CD1248" s="30"/>
      <c r="CE1248" s="30"/>
      <c r="CF1248" s="30"/>
      <c r="CG1248" s="30"/>
      <c r="CH1248" s="30"/>
      <c r="CI1248" s="30"/>
      <c r="CJ1248" s="30"/>
      <c r="CK1248" s="30"/>
      <c r="CL1248" s="30"/>
      <c r="CM1248" s="30"/>
      <c r="CN1248" s="30"/>
      <c r="CO1248" s="30"/>
      <c r="CP1248" s="30"/>
      <c r="CQ1248" s="30"/>
      <c r="CR1248" s="30"/>
      <c r="CS1248" s="30"/>
      <c r="CT1248" s="30"/>
      <c r="CU1248" s="30"/>
      <c r="CV1248" s="30"/>
      <c r="CW1248" s="30"/>
      <c r="CX1248" s="30"/>
      <c r="CY1248" s="30"/>
      <c r="CZ1248" s="30"/>
      <c r="DA1248" s="30"/>
      <c r="DB1248" s="30"/>
      <c r="DC1248" s="30"/>
      <c r="DD1248" s="30"/>
      <c r="DE1248" s="30"/>
      <c r="DF1248" s="30"/>
      <c r="DG1248" s="30"/>
      <c r="DH1248" s="30"/>
      <c r="DI1248" s="30"/>
      <c r="DJ1248" s="30"/>
      <c r="DK1248" s="30"/>
      <c r="DL1248" s="30"/>
      <c r="DM1248" s="30"/>
      <c r="DN1248" s="30"/>
      <c r="DO1248" s="30"/>
      <c r="DP1248" s="30"/>
      <c r="DQ1248" s="30"/>
      <c r="DR1248" s="30"/>
      <c r="DS1248" s="30"/>
      <c r="DT1248" s="30"/>
      <c r="DU1248" s="30"/>
      <c r="DV1248" s="30"/>
      <c r="DW1248" s="30"/>
      <c r="DX1248" s="30"/>
      <c r="DY1248" s="30"/>
      <c r="DZ1248" s="30"/>
    </row>
    <row r="1249">
      <c r="A1249" s="30"/>
      <c r="B1249" s="42"/>
      <c r="C1249" s="43"/>
      <c r="D1249" s="30"/>
      <c r="E1249" s="28"/>
      <c r="F1249" s="30"/>
      <c r="G1249" s="30"/>
      <c r="H1249" s="30"/>
      <c r="I1249" s="30"/>
      <c r="J1249" s="28"/>
      <c r="K1249" s="30"/>
      <c r="L1249" s="30"/>
      <c r="M1249" s="30"/>
      <c r="N1249" s="30"/>
      <c r="O1249" s="28"/>
      <c r="P1249" s="30"/>
      <c r="Q1249" s="30"/>
      <c r="R1249" s="30"/>
      <c r="S1249" s="36"/>
      <c r="T1249" s="30"/>
      <c r="U1249" s="36"/>
      <c r="V1249" s="30"/>
      <c r="W1249" s="28"/>
      <c r="X1249" s="30"/>
      <c r="Y1249" s="30"/>
      <c r="Z1249" s="30"/>
      <c r="AA1249" s="30"/>
      <c r="AB1249" s="30"/>
      <c r="AC1249" s="28"/>
      <c r="AD1249" s="30"/>
      <c r="AE1249" s="30"/>
      <c r="AF1249" s="30"/>
      <c r="AG1249" s="29"/>
      <c r="AH1249" s="30"/>
      <c r="AI1249" s="36"/>
      <c r="AJ1249" s="30"/>
      <c r="AK1249" s="29"/>
      <c r="AL1249" s="30"/>
      <c r="AM1249" s="30"/>
      <c r="AN1249" s="30"/>
      <c r="AO1249" s="30"/>
      <c r="AP1249" s="30"/>
      <c r="AQ1249" s="38"/>
      <c r="AR1249" s="30"/>
      <c r="AS1249" s="30"/>
      <c r="AT1249" s="29"/>
      <c r="AU1249" s="30"/>
      <c r="AV1249" s="30"/>
      <c r="AW1249" s="30"/>
      <c r="AX1249" s="29"/>
      <c r="AY1249" s="39"/>
      <c r="AZ1249" s="30"/>
      <c r="BA1249" s="30"/>
      <c r="BB1249" s="29"/>
      <c r="BC1249" s="52"/>
      <c r="BD1249" s="30"/>
      <c r="BE1249" s="29"/>
      <c r="BF1249" s="30"/>
      <c r="BG1249" s="30"/>
      <c r="BH1249" s="30"/>
      <c r="BI1249" s="30"/>
      <c r="BJ1249" s="30"/>
      <c r="BK1249" s="30"/>
      <c r="BL1249" s="30"/>
      <c r="BM1249" s="30"/>
      <c r="BN1249" s="30"/>
      <c r="BO1249" s="30"/>
      <c r="BP1249" s="30"/>
      <c r="BQ1249" s="30"/>
      <c r="BR1249" s="30"/>
      <c r="BS1249" s="30"/>
      <c r="BT1249" s="30"/>
      <c r="BU1249" s="30"/>
      <c r="BV1249" s="30"/>
      <c r="BW1249" s="30"/>
      <c r="BX1249" s="30"/>
      <c r="BY1249" s="30"/>
      <c r="BZ1249" s="30"/>
      <c r="CA1249" s="30"/>
      <c r="CB1249" s="30"/>
      <c r="CC1249" s="30"/>
      <c r="CD1249" s="30"/>
      <c r="CE1249" s="30"/>
      <c r="CF1249" s="30"/>
      <c r="CG1249" s="30"/>
      <c r="CH1249" s="30"/>
      <c r="CI1249" s="30"/>
      <c r="CJ1249" s="30"/>
      <c r="CK1249" s="30"/>
      <c r="CL1249" s="30"/>
      <c r="CM1249" s="30"/>
      <c r="CN1249" s="30"/>
      <c r="CO1249" s="30"/>
      <c r="CP1249" s="30"/>
      <c r="CQ1249" s="30"/>
      <c r="CR1249" s="30"/>
      <c r="CS1249" s="30"/>
      <c r="CT1249" s="30"/>
      <c r="CU1249" s="30"/>
      <c r="CV1249" s="30"/>
      <c r="CW1249" s="30"/>
      <c r="CX1249" s="30"/>
      <c r="CY1249" s="30"/>
      <c r="CZ1249" s="30"/>
      <c r="DA1249" s="30"/>
      <c r="DB1249" s="30"/>
      <c r="DC1249" s="30"/>
      <c r="DD1249" s="30"/>
      <c r="DE1249" s="30"/>
      <c r="DF1249" s="30"/>
      <c r="DG1249" s="30"/>
      <c r="DH1249" s="30"/>
      <c r="DI1249" s="30"/>
      <c r="DJ1249" s="30"/>
      <c r="DK1249" s="30"/>
      <c r="DL1249" s="30"/>
      <c r="DM1249" s="30"/>
      <c r="DN1249" s="30"/>
      <c r="DO1249" s="30"/>
      <c r="DP1249" s="30"/>
      <c r="DQ1249" s="30"/>
      <c r="DR1249" s="30"/>
      <c r="DS1249" s="30"/>
      <c r="DT1249" s="30"/>
      <c r="DU1249" s="30"/>
      <c r="DV1249" s="30"/>
      <c r="DW1249" s="30"/>
      <c r="DX1249" s="30"/>
      <c r="DY1249" s="30"/>
      <c r="DZ1249" s="30"/>
    </row>
    <row r="1250">
      <c r="A1250" s="30"/>
      <c r="B1250" s="42"/>
      <c r="C1250" s="43"/>
      <c r="D1250" s="30"/>
      <c r="E1250" s="28"/>
      <c r="F1250" s="30"/>
      <c r="G1250" s="30"/>
      <c r="H1250" s="30"/>
      <c r="I1250" s="30"/>
      <c r="J1250" s="28"/>
      <c r="K1250" s="30"/>
      <c r="L1250" s="30"/>
      <c r="M1250" s="30"/>
      <c r="N1250" s="30"/>
      <c r="O1250" s="28"/>
      <c r="P1250" s="30"/>
      <c r="Q1250" s="30"/>
      <c r="R1250" s="30"/>
      <c r="S1250" s="36"/>
      <c r="T1250" s="30"/>
      <c r="U1250" s="36"/>
      <c r="V1250" s="30"/>
      <c r="W1250" s="28"/>
      <c r="X1250" s="30"/>
      <c r="Y1250" s="30"/>
      <c r="Z1250" s="30"/>
      <c r="AA1250" s="30"/>
      <c r="AB1250" s="30"/>
      <c r="AC1250" s="28"/>
      <c r="AD1250" s="30"/>
      <c r="AE1250" s="30"/>
      <c r="AF1250" s="30"/>
      <c r="AG1250" s="29"/>
      <c r="AH1250" s="30"/>
      <c r="AI1250" s="36"/>
      <c r="AJ1250" s="30"/>
      <c r="AK1250" s="29"/>
      <c r="AL1250" s="30"/>
      <c r="AM1250" s="30"/>
      <c r="AN1250" s="30"/>
      <c r="AO1250" s="30"/>
      <c r="AP1250" s="30"/>
      <c r="AQ1250" s="38"/>
      <c r="AR1250" s="30"/>
      <c r="AS1250" s="30"/>
      <c r="AT1250" s="29"/>
      <c r="AU1250" s="30"/>
      <c r="AV1250" s="30"/>
      <c r="AW1250" s="30"/>
      <c r="AX1250" s="29"/>
      <c r="AY1250" s="39"/>
      <c r="AZ1250" s="30"/>
      <c r="BA1250" s="30"/>
      <c r="BB1250" s="29"/>
      <c r="BC1250" s="52"/>
      <c r="BD1250" s="30"/>
      <c r="BE1250" s="29"/>
      <c r="BF1250" s="30"/>
      <c r="BG1250" s="30"/>
      <c r="BH1250" s="30"/>
      <c r="BI1250" s="30"/>
      <c r="BJ1250" s="30"/>
      <c r="BK1250" s="30"/>
      <c r="BL1250" s="30"/>
      <c r="BM1250" s="30"/>
      <c r="BN1250" s="30"/>
      <c r="BO1250" s="30"/>
      <c r="BP1250" s="30"/>
      <c r="BQ1250" s="30"/>
      <c r="BR1250" s="30"/>
      <c r="BS1250" s="30"/>
      <c r="BT1250" s="30"/>
      <c r="BU1250" s="30"/>
      <c r="BV1250" s="30"/>
      <c r="BW1250" s="30"/>
      <c r="BX1250" s="30"/>
      <c r="BY1250" s="30"/>
      <c r="BZ1250" s="30"/>
      <c r="CA1250" s="30"/>
      <c r="CB1250" s="30"/>
      <c r="CC1250" s="30"/>
      <c r="CD1250" s="30"/>
      <c r="CE1250" s="30"/>
      <c r="CF1250" s="30"/>
      <c r="CG1250" s="30"/>
      <c r="CH1250" s="30"/>
      <c r="CI1250" s="30"/>
      <c r="CJ1250" s="30"/>
      <c r="CK1250" s="30"/>
      <c r="CL1250" s="30"/>
      <c r="CM1250" s="30"/>
      <c r="CN1250" s="30"/>
      <c r="CO1250" s="30"/>
      <c r="CP1250" s="30"/>
      <c r="CQ1250" s="30"/>
      <c r="CR1250" s="30"/>
      <c r="CS1250" s="30"/>
      <c r="CT1250" s="30"/>
      <c r="CU1250" s="30"/>
      <c r="CV1250" s="30"/>
      <c r="CW1250" s="30"/>
      <c r="CX1250" s="30"/>
      <c r="CY1250" s="30"/>
      <c r="CZ1250" s="30"/>
      <c r="DA1250" s="30"/>
      <c r="DB1250" s="30"/>
      <c r="DC1250" s="30"/>
      <c r="DD1250" s="30"/>
      <c r="DE1250" s="30"/>
      <c r="DF1250" s="30"/>
      <c r="DG1250" s="30"/>
      <c r="DH1250" s="30"/>
      <c r="DI1250" s="30"/>
      <c r="DJ1250" s="30"/>
      <c r="DK1250" s="30"/>
      <c r="DL1250" s="30"/>
      <c r="DM1250" s="30"/>
      <c r="DN1250" s="30"/>
      <c r="DO1250" s="30"/>
      <c r="DP1250" s="30"/>
      <c r="DQ1250" s="30"/>
      <c r="DR1250" s="30"/>
      <c r="DS1250" s="30"/>
      <c r="DT1250" s="30"/>
      <c r="DU1250" s="30"/>
      <c r="DV1250" s="30"/>
      <c r="DW1250" s="30"/>
      <c r="DX1250" s="30"/>
      <c r="DY1250" s="30"/>
      <c r="DZ1250" s="30"/>
    </row>
    <row r="1251">
      <c r="A1251" s="30"/>
      <c r="B1251" s="42"/>
      <c r="C1251" s="43"/>
      <c r="D1251" s="30"/>
      <c r="E1251" s="28"/>
      <c r="F1251" s="30"/>
      <c r="G1251" s="30"/>
      <c r="H1251" s="30"/>
      <c r="I1251" s="30"/>
      <c r="J1251" s="28"/>
      <c r="K1251" s="30"/>
      <c r="L1251" s="30"/>
      <c r="M1251" s="30"/>
      <c r="N1251" s="30"/>
      <c r="O1251" s="28"/>
      <c r="P1251" s="30"/>
      <c r="Q1251" s="30"/>
      <c r="R1251" s="30"/>
      <c r="S1251" s="36"/>
      <c r="T1251" s="30"/>
      <c r="U1251" s="36"/>
      <c r="V1251" s="30"/>
      <c r="W1251" s="28"/>
      <c r="X1251" s="30"/>
      <c r="Y1251" s="30"/>
      <c r="Z1251" s="30"/>
      <c r="AA1251" s="30"/>
      <c r="AB1251" s="30"/>
      <c r="AC1251" s="28"/>
      <c r="AD1251" s="30"/>
      <c r="AE1251" s="30"/>
      <c r="AF1251" s="30"/>
      <c r="AG1251" s="29"/>
      <c r="AH1251" s="30"/>
      <c r="AI1251" s="36"/>
      <c r="AJ1251" s="30"/>
      <c r="AK1251" s="29"/>
      <c r="AL1251" s="30"/>
      <c r="AM1251" s="30"/>
      <c r="AN1251" s="30"/>
      <c r="AO1251" s="30"/>
      <c r="AP1251" s="30"/>
      <c r="AQ1251" s="38"/>
      <c r="AR1251" s="30"/>
      <c r="AS1251" s="30"/>
      <c r="AT1251" s="29"/>
      <c r="AU1251" s="30"/>
      <c r="AV1251" s="30"/>
      <c r="AW1251" s="30"/>
      <c r="AX1251" s="29"/>
      <c r="AY1251" s="39"/>
      <c r="AZ1251" s="30"/>
      <c r="BA1251" s="30"/>
      <c r="BB1251" s="29"/>
      <c r="BC1251" s="52"/>
      <c r="BD1251" s="30"/>
      <c r="BE1251" s="29"/>
      <c r="BF1251" s="30"/>
      <c r="BG1251" s="30"/>
      <c r="BH1251" s="30"/>
      <c r="BI1251" s="30"/>
      <c r="BJ1251" s="30"/>
      <c r="BK1251" s="30"/>
      <c r="BL1251" s="30"/>
      <c r="BM1251" s="30"/>
      <c r="BN1251" s="30"/>
      <c r="BO1251" s="30"/>
      <c r="BP1251" s="30"/>
      <c r="BQ1251" s="30"/>
      <c r="BR1251" s="30"/>
      <c r="BS1251" s="30"/>
      <c r="BT1251" s="30"/>
      <c r="BU1251" s="30"/>
      <c r="BV1251" s="30"/>
      <c r="BW1251" s="30"/>
      <c r="BX1251" s="30"/>
      <c r="BY1251" s="30"/>
      <c r="BZ1251" s="30"/>
      <c r="CA1251" s="30"/>
      <c r="CB1251" s="30"/>
      <c r="CC1251" s="30"/>
      <c r="CD1251" s="30"/>
      <c r="CE1251" s="30"/>
      <c r="CF1251" s="30"/>
      <c r="CG1251" s="30"/>
      <c r="CH1251" s="30"/>
      <c r="CI1251" s="30"/>
      <c r="CJ1251" s="30"/>
      <c r="CK1251" s="30"/>
      <c r="CL1251" s="30"/>
      <c r="CM1251" s="30"/>
      <c r="CN1251" s="30"/>
      <c r="CO1251" s="30"/>
      <c r="CP1251" s="30"/>
      <c r="CQ1251" s="30"/>
      <c r="CR1251" s="30"/>
      <c r="CS1251" s="30"/>
      <c r="CT1251" s="30"/>
      <c r="CU1251" s="30"/>
      <c r="CV1251" s="30"/>
      <c r="CW1251" s="30"/>
      <c r="CX1251" s="30"/>
      <c r="CY1251" s="30"/>
      <c r="CZ1251" s="30"/>
      <c r="DA1251" s="30"/>
      <c r="DB1251" s="30"/>
      <c r="DC1251" s="30"/>
      <c r="DD1251" s="30"/>
      <c r="DE1251" s="30"/>
      <c r="DF1251" s="30"/>
      <c r="DG1251" s="30"/>
      <c r="DH1251" s="30"/>
      <c r="DI1251" s="30"/>
      <c r="DJ1251" s="30"/>
      <c r="DK1251" s="30"/>
      <c r="DL1251" s="30"/>
      <c r="DM1251" s="30"/>
      <c r="DN1251" s="30"/>
      <c r="DO1251" s="30"/>
      <c r="DP1251" s="30"/>
      <c r="DQ1251" s="30"/>
      <c r="DR1251" s="30"/>
      <c r="DS1251" s="30"/>
      <c r="DT1251" s="30"/>
      <c r="DU1251" s="30"/>
      <c r="DV1251" s="30"/>
      <c r="DW1251" s="30"/>
      <c r="DX1251" s="30"/>
      <c r="DY1251" s="30"/>
      <c r="DZ1251" s="30"/>
    </row>
    <row r="1252">
      <c r="A1252" s="30"/>
      <c r="B1252" s="42"/>
      <c r="C1252" s="43"/>
      <c r="D1252" s="30"/>
      <c r="E1252" s="28"/>
      <c r="F1252" s="30"/>
      <c r="G1252" s="30"/>
      <c r="H1252" s="30"/>
      <c r="I1252" s="30"/>
      <c r="J1252" s="28"/>
      <c r="K1252" s="30"/>
      <c r="L1252" s="30"/>
      <c r="M1252" s="30"/>
      <c r="N1252" s="30"/>
      <c r="O1252" s="28"/>
      <c r="P1252" s="30"/>
      <c r="Q1252" s="30"/>
      <c r="R1252" s="30"/>
      <c r="S1252" s="36"/>
      <c r="T1252" s="30"/>
      <c r="U1252" s="36"/>
      <c r="V1252" s="30"/>
      <c r="W1252" s="28"/>
      <c r="X1252" s="30"/>
      <c r="Y1252" s="30"/>
      <c r="Z1252" s="30"/>
      <c r="AA1252" s="30"/>
      <c r="AB1252" s="30"/>
      <c r="AC1252" s="28"/>
      <c r="AD1252" s="30"/>
      <c r="AE1252" s="30"/>
      <c r="AF1252" s="30"/>
      <c r="AG1252" s="29"/>
      <c r="AH1252" s="30"/>
      <c r="AI1252" s="36"/>
      <c r="AJ1252" s="30"/>
      <c r="AK1252" s="29"/>
      <c r="AL1252" s="30"/>
      <c r="AM1252" s="30"/>
      <c r="AN1252" s="30"/>
      <c r="AO1252" s="30"/>
      <c r="AP1252" s="30"/>
      <c r="AQ1252" s="38"/>
      <c r="AR1252" s="30"/>
      <c r="AS1252" s="30"/>
      <c r="AT1252" s="29"/>
      <c r="AU1252" s="30"/>
      <c r="AV1252" s="30"/>
      <c r="AW1252" s="30"/>
      <c r="AX1252" s="29"/>
      <c r="AY1252" s="39"/>
      <c r="AZ1252" s="30"/>
      <c r="BA1252" s="30"/>
      <c r="BB1252" s="29"/>
      <c r="BC1252" s="52"/>
      <c r="BD1252" s="30"/>
      <c r="BE1252" s="29"/>
      <c r="BF1252" s="30"/>
      <c r="BG1252" s="30"/>
      <c r="BH1252" s="30"/>
      <c r="BI1252" s="30"/>
      <c r="BJ1252" s="30"/>
      <c r="BK1252" s="30"/>
      <c r="BL1252" s="30"/>
      <c r="BM1252" s="30"/>
      <c r="BN1252" s="30"/>
      <c r="BO1252" s="30"/>
      <c r="BP1252" s="30"/>
      <c r="BQ1252" s="30"/>
      <c r="BR1252" s="30"/>
      <c r="BS1252" s="30"/>
      <c r="BT1252" s="30"/>
      <c r="BU1252" s="30"/>
      <c r="BV1252" s="30"/>
      <c r="BW1252" s="30"/>
      <c r="BX1252" s="30"/>
      <c r="BY1252" s="30"/>
      <c r="BZ1252" s="30"/>
      <c r="CA1252" s="30"/>
      <c r="CB1252" s="30"/>
      <c r="CC1252" s="30"/>
      <c r="CD1252" s="30"/>
      <c r="CE1252" s="30"/>
      <c r="CF1252" s="30"/>
      <c r="CG1252" s="30"/>
      <c r="CH1252" s="30"/>
      <c r="CI1252" s="30"/>
      <c r="CJ1252" s="30"/>
      <c r="CK1252" s="30"/>
      <c r="CL1252" s="30"/>
      <c r="CM1252" s="30"/>
      <c r="CN1252" s="30"/>
      <c r="CO1252" s="30"/>
      <c r="CP1252" s="30"/>
      <c r="CQ1252" s="30"/>
      <c r="CR1252" s="30"/>
      <c r="CS1252" s="30"/>
      <c r="CT1252" s="30"/>
      <c r="CU1252" s="30"/>
      <c r="CV1252" s="30"/>
      <c r="CW1252" s="30"/>
      <c r="CX1252" s="30"/>
      <c r="CY1252" s="30"/>
      <c r="CZ1252" s="30"/>
      <c r="DA1252" s="30"/>
      <c r="DB1252" s="30"/>
      <c r="DC1252" s="30"/>
      <c r="DD1252" s="30"/>
      <c r="DE1252" s="30"/>
      <c r="DF1252" s="30"/>
      <c r="DG1252" s="30"/>
      <c r="DH1252" s="30"/>
      <c r="DI1252" s="30"/>
      <c r="DJ1252" s="30"/>
      <c r="DK1252" s="30"/>
      <c r="DL1252" s="30"/>
      <c r="DM1252" s="30"/>
      <c r="DN1252" s="30"/>
      <c r="DO1252" s="30"/>
      <c r="DP1252" s="30"/>
      <c r="DQ1252" s="30"/>
      <c r="DR1252" s="30"/>
      <c r="DS1252" s="30"/>
      <c r="DT1252" s="30"/>
      <c r="DU1252" s="30"/>
      <c r="DV1252" s="30"/>
      <c r="DW1252" s="30"/>
      <c r="DX1252" s="30"/>
      <c r="DY1252" s="30"/>
      <c r="DZ1252" s="30"/>
    </row>
    <row r="1253">
      <c r="A1253" s="30"/>
      <c r="B1253" s="42"/>
      <c r="C1253" s="43"/>
      <c r="D1253" s="30"/>
      <c r="E1253" s="28"/>
      <c r="F1253" s="30"/>
      <c r="G1253" s="30"/>
      <c r="H1253" s="30"/>
      <c r="I1253" s="30"/>
      <c r="J1253" s="28"/>
      <c r="K1253" s="30"/>
      <c r="L1253" s="30"/>
      <c r="M1253" s="30"/>
      <c r="N1253" s="30"/>
      <c r="O1253" s="28"/>
      <c r="P1253" s="30"/>
      <c r="Q1253" s="30"/>
      <c r="R1253" s="30"/>
      <c r="S1253" s="36"/>
      <c r="T1253" s="30"/>
      <c r="U1253" s="36"/>
      <c r="V1253" s="30"/>
      <c r="W1253" s="28"/>
      <c r="X1253" s="30"/>
      <c r="Y1253" s="30"/>
      <c r="Z1253" s="30"/>
      <c r="AA1253" s="30"/>
      <c r="AB1253" s="30"/>
      <c r="AC1253" s="28"/>
      <c r="AD1253" s="30"/>
      <c r="AE1253" s="30"/>
      <c r="AF1253" s="30"/>
      <c r="AG1253" s="29"/>
      <c r="AH1253" s="30"/>
      <c r="AI1253" s="36"/>
      <c r="AJ1253" s="30"/>
      <c r="AK1253" s="29"/>
      <c r="AL1253" s="30"/>
      <c r="AM1253" s="30"/>
      <c r="AN1253" s="30"/>
      <c r="AO1253" s="30"/>
      <c r="AP1253" s="30"/>
      <c r="AQ1253" s="38"/>
      <c r="AR1253" s="30"/>
      <c r="AS1253" s="30"/>
      <c r="AT1253" s="29"/>
      <c r="AU1253" s="30"/>
      <c r="AV1253" s="30"/>
      <c r="AW1253" s="30"/>
      <c r="AX1253" s="29"/>
      <c r="AY1253" s="39"/>
      <c r="AZ1253" s="30"/>
      <c r="BA1253" s="30"/>
      <c r="BB1253" s="29"/>
      <c r="BC1253" s="52"/>
      <c r="BD1253" s="30"/>
      <c r="BE1253" s="29"/>
      <c r="BF1253" s="30"/>
      <c r="BG1253" s="30"/>
      <c r="BH1253" s="30"/>
      <c r="BI1253" s="30"/>
      <c r="BJ1253" s="30"/>
      <c r="BK1253" s="30"/>
      <c r="BL1253" s="30"/>
      <c r="BM1253" s="30"/>
      <c r="BN1253" s="30"/>
      <c r="BO1253" s="30"/>
      <c r="BP1253" s="30"/>
      <c r="BQ1253" s="30"/>
      <c r="BR1253" s="30"/>
      <c r="BS1253" s="30"/>
      <c r="BT1253" s="30"/>
      <c r="BU1253" s="30"/>
      <c r="BV1253" s="30"/>
      <c r="BW1253" s="30"/>
      <c r="BX1253" s="30"/>
      <c r="BY1253" s="30"/>
      <c r="BZ1253" s="30"/>
      <c r="CA1253" s="30"/>
      <c r="CB1253" s="30"/>
      <c r="CC1253" s="30"/>
      <c r="CD1253" s="30"/>
      <c r="CE1253" s="30"/>
      <c r="CF1253" s="30"/>
      <c r="CG1253" s="30"/>
      <c r="CH1253" s="30"/>
      <c r="CI1253" s="30"/>
      <c r="CJ1253" s="30"/>
      <c r="CK1253" s="30"/>
      <c r="CL1253" s="30"/>
      <c r="CM1253" s="30"/>
      <c r="CN1253" s="30"/>
      <c r="CO1253" s="30"/>
      <c r="CP1253" s="30"/>
      <c r="CQ1253" s="30"/>
      <c r="CR1253" s="30"/>
      <c r="CS1253" s="30"/>
      <c r="CT1253" s="30"/>
      <c r="CU1253" s="30"/>
      <c r="CV1253" s="30"/>
      <c r="CW1253" s="30"/>
      <c r="CX1253" s="30"/>
      <c r="CY1253" s="30"/>
      <c r="CZ1253" s="30"/>
      <c r="DA1253" s="30"/>
      <c r="DB1253" s="30"/>
      <c r="DC1253" s="30"/>
      <c r="DD1253" s="30"/>
      <c r="DE1253" s="30"/>
      <c r="DF1253" s="30"/>
      <c r="DG1253" s="30"/>
      <c r="DH1253" s="30"/>
      <c r="DI1253" s="30"/>
      <c r="DJ1253" s="30"/>
      <c r="DK1253" s="30"/>
      <c r="DL1253" s="30"/>
      <c r="DM1253" s="30"/>
      <c r="DN1253" s="30"/>
      <c r="DO1253" s="30"/>
      <c r="DP1253" s="30"/>
      <c r="DQ1253" s="30"/>
      <c r="DR1253" s="30"/>
      <c r="DS1253" s="30"/>
      <c r="DT1253" s="30"/>
      <c r="DU1253" s="30"/>
      <c r="DV1253" s="30"/>
      <c r="DW1253" s="30"/>
      <c r="DX1253" s="30"/>
      <c r="DY1253" s="30"/>
      <c r="DZ1253" s="30"/>
    </row>
    <row r="1254">
      <c r="A1254" s="30"/>
      <c r="B1254" s="42"/>
      <c r="C1254" s="43"/>
      <c r="D1254" s="30"/>
      <c r="E1254" s="28"/>
      <c r="F1254" s="30"/>
      <c r="G1254" s="30"/>
      <c r="H1254" s="30"/>
      <c r="I1254" s="30"/>
      <c r="J1254" s="28"/>
      <c r="K1254" s="30"/>
      <c r="L1254" s="30"/>
      <c r="M1254" s="30"/>
      <c r="N1254" s="30"/>
      <c r="O1254" s="28"/>
      <c r="P1254" s="30"/>
      <c r="Q1254" s="30"/>
      <c r="R1254" s="30"/>
      <c r="S1254" s="36"/>
      <c r="T1254" s="30"/>
      <c r="U1254" s="36"/>
      <c r="V1254" s="30"/>
      <c r="W1254" s="28"/>
      <c r="X1254" s="30"/>
      <c r="Y1254" s="30"/>
      <c r="Z1254" s="30"/>
      <c r="AA1254" s="30"/>
      <c r="AB1254" s="30"/>
      <c r="AC1254" s="28"/>
      <c r="AD1254" s="30"/>
      <c r="AE1254" s="30"/>
      <c r="AF1254" s="30"/>
      <c r="AG1254" s="29"/>
      <c r="AH1254" s="30"/>
      <c r="AI1254" s="36"/>
      <c r="AJ1254" s="30"/>
      <c r="AK1254" s="29"/>
      <c r="AL1254" s="30"/>
      <c r="AM1254" s="30"/>
      <c r="AN1254" s="30"/>
      <c r="AO1254" s="30"/>
      <c r="AP1254" s="30"/>
      <c r="AQ1254" s="38"/>
      <c r="AR1254" s="30"/>
      <c r="AS1254" s="30"/>
      <c r="AT1254" s="29"/>
      <c r="AU1254" s="30"/>
      <c r="AV1254" s="30"/>
      <c r="AW1254" s="30"/>
      <c r="AX1254" s="29"/>
      <c r="AY1254" s="39"/>
      <c r="AZ1254" s="30"/>
      <c r="BA1254" s="30"/>
      <c r="BB1254" s="29"/>
      <c r="BC1254" s="52"/>
      <c r="BD1254" s="30"/>
      <c r="BE1254" s="29"/>
      <c r="BF1254" s="30"/>
      <c r="BG1254" s="30"/>
      <c r="BH1254" s="30"/>
      <c r="BI1254" s="30"/>
      <c r="BJ1254" s="30"/>
      <c r="BK1254" s="30"/>
      <c r="BL1254" s="30"/>
      <c r="BM1254" s="30"/>
      <c r="BN1254" s="30"/>
      <c r="BO1254" s="30"/>
      <c r="BP1254" s="30"/>
      <c r="BQ1254" s="30"/>
      <c r="BR1254" s="30"/>
      <c r="BS1254" s="30"/>
      <c r="BT1254" s="30"/>
      <c r="BU1254" s="30"/>
      <c r="BV1254" s="30"/>
      <c r="BW1254" s="30"/>
      <c r="BX1254" s="30"/>
      <c r="BY1254" s="30"/>
      <c r="BZ1254" s="30"/>
      <c r="CA1254" s="30"/>
      <c r="CB1254" s="30"/>
      <c r="CC1254" s="30"/>
      <c r="CD1254" s="30"/>
      <c r="CE1254" s="30"/>
      <c r="CF1254" s="30"/>
      <c r="CG1254" s="30"/>
      <c r="CH1254" s="30"/>
      <c r="CI1254" s="30"/>
      <c r="CJ1254" s="30"/>
      <c r="CK1254" s="30"/>
      <c r="CL1254" s="30"/>
      <c r="CM1254" s="30"/>
      <c r="CN1254" s="30"/>
      <c r="CO1254" s="30"/>
      <c r="CP1254" s="30"/>
      <c r="CQ1254" s="30"/>
      <c r="CR1254" s="30"/>
      <c r="CS1254" s="30"/>
      <c r="CT1254" s="30"/>
      <c r="CU1254" s="30"/>
      <c r="CV1254" s="30"/>
      <c r="CW1254" s="30"/>
      <c r="CX1254" s="30"/>
      <c r="CY1254" s="30"/>
      <c r="CZ1254" s="30"/>
      <c r="DA1254" s="30"/>
      <c r="DB1254" s="30"/>
      <c r="DC1254" s="30"/>
      <c r="DD1254" s="30"/>
      <c r="DE1254" s="30"/>
      <c r="DF1254" s="30"/>
      <c r="DG1254" s="30"/>
      <c r="DH1254" s="30"/>
      <c r="DI1254" s="30"/>
      <c r="DJ1254" s="30"/>
      <c r="DK1254" s="30"/>
      <c r="DL1254" s="30"/>
      <c r="DM1254" s="30"/>
      <c r="DN1254" s="30"/>
      <c r="DO1254" s="30"/>
      <c r="DP1254" s="30"/>
      <c r="DQ1254" s="30"/>
      <c r="DR1254" s="30"/>
      <c r="DS1254" s="30"/>
      <c r="DT1254" s="30"/>
      <c r="DU1254" s="30"/>
      <c r="DV1254" s="30"/>
      <c r="DW1254" s="30"/>
      <c r="DX1254" s="30"/>
      <c r="DY1254" s="30"/>
      <c r="DZ1254" s="30"/>
    </row>
    <row r="1255">
      <c r="A1255" s="30"/>
      <c r="B1255" s="42"/>
      <c r="C1255" s="43"/>
      <c r="D1255" s="30"/>
      <c r="E1255" s="28"/>
      <c r="F1255" s="30"/>
      <c r="G1255" s="30"/>
      <c r="H1255" s="30"/>
      <c r="I1255" s="30"/>
      <c r="J1255" s="28"/>
      <c r="K1255" s="30"/>
      <c r="L1255" s="30"/>
      <c r="M1255" s="30"/>
      <c r="N1255" s="30"/>
      <c r="O1255" s="28"/>
      <c r="P1255" s="30"/>
      <c r="Q1255" s="30"/>
      <c r="R1255" s="30"/>
      <c r="S1255" s="36"/>
      <c r="T1255" s="30"/>
      <c r="U1255" s="36"/>
      <c r="V1255" s="30"/>
      <c r="W1255" s="28"/>
      <c r="X1255" s="30"/>
      <c r="Y1255" s="30"/>
      <c r="Z1255" s="30"/>
      <c r="AA1255" s="30"/>
      <c r="AB1255" s="30"/>
      <c r="AC1255" s="28"/>
      <c r="AD1255" s="30"/>
      <c r="AE1255" s="30"/>
      <c r="AF1255" s="30"/>
      <c r="AG1255" s="29"/>
      <c r="AH1255" s="30"/>
      <c r="AI1255" s="36"/>
      <c r="AJ1255" s="30"/>
      <c r="AK1255" s="29"/>
      <c r="AL1255" s="30"/>
      <c r="AM1255" s="30"/>
      <c r="AN1255" s="30"/>
      <c r="AO1255" s="30"/>
      <c r="AP1255" s="30"/>
      <c r="AQ1255" s="38"/>
      <c r="AR1255" s="30"/>
      <c r="AS1255" s="30"/>
      <c r="AT1255" s="29"/>
      <c r="AU1255" s="30"/>
      <c r="AV1255" s="30"/>
      <c r="AW1255" s="30"/>
      <c r="AX1255" s="29"/>
      <c r="AY1255" s="39"/>
      <c r="AZ1255" s="30"/>
      <c r="BA1255" s="30"/>
      <c r="BB1255" s="29"/>
      <c r="BC1255" s="52"/>
      <c r="BD1255" s="30"/>
      <c r="BE1255" s="29"/>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0"/>
      <c r="CF1255" s="30"/>
      <c r="CG1255" s="30"/>
      <c r="CH1255" s="30"/>
      <c r="CI1255" s="30"/>
      <c r="CJ1255" s="30"/>
      <c r="CK1255" s="30"/>
      <c r="CL1255" s="30"/>
      <c r="CM1255" s="30"/>
      <c r="CN1255" s="30"/>
      <c r="CO1255" s="30"/>
      <c r="CP1255" s="30"/>
      <c r="CQ1255" s="30"/>
      <c r="CR1255" s="30"/>
      <c r="CS1255" s="30"/>
      <c r="CT1255" s="30"/>
      <c r="CU1255" s="30"/>
      <c r="CV1255" s="30"/>
      <c r="CW1255" s="30"/>
      <c r="CX1255" s="30"/>
      <c r="CY1255" s="30"/>
      <c r="CZ1255" s="30"/>
      <c r="DA1255" s="30"/>
      <c r="DB1255" s="30"/>
      <c r="DC1255" s="30"/>
      <c r="DD1255" s="30"/>
      <c r="DE1255" s="30"/>
      <c r="DF1255" s="30"/>
      <c r="DG1255" s="30"/>
      <c r="DH1255" s="30"/>
      <c r="DI1255" s="30"/>
      <c r="DJ1255" s="30"/>
      <c r="DK1255" s="30"/>
      <c r="DL1255" s="30"/>
      <c r="DM1255" s="30"/>
      <c r="DN1255" s="30"/>
      <c r="DO1255" s="30"/>
      <c r="DP1255" s="30"/>
      <c r="DQ1255" s="30"/>
      <c r="DR1255" s="30"/>
      <c r="DS1255" s="30"/>
      <c r="DT1255" s="30"/>
      <c r="DU1255" s="30"/>
      <c r="DV1255" s="30"/>
      <c r="DW1255" s="30"/>
      <c r="DX1255" s="30"/>
      <c r="DY1255" s="30"/>
      <c r="DZ1255" s="30"/>
    </row>
    <row r="1256">
      <c r="A1256" s="30"/>
      <c r="B1256" s="42"/>
      <c r="C1256" s="43"/>
      <c r="D1256" s="30"/>
      <c r="E1256" s="28"/>
      <c r="F1256" s="30"/>
      <c r="G1256" s="30"/>
      <c r="H1256" s="30"/>
      <c r="I1256" s="30"/>
      <c r="J1256" s="28"/>
      <c r="K1256" s="30"/>
      <c r="L1256" s="30"/>
      <c r="M1256" s="30"/>
      <c r="N1256" s="30"/>
      <c r="O1256" s="28"/>
      <c r="P1256" s="30"/>
      <c r="Q1256" s="30"/>
      <c r="R1256" s="30"/>
      <c r="S1256" s="36"/>
      <c r="T1256" s="30"/>
      <c r="U1256" s="36"/>
      <c r="V1256" s="30"/>
      <c r="W1256" s="28"/>
      <c r="X1256" s="30"/>
      <c r="Y1256" s="30"/>
      <c r="Z1256" s="30"/>
      <c r="AA1256" s="30"/>
      <c r="AB1256" s="30"/>
      <c r="AC1256" s="28"/>
      <c r="AD1256" s="30"/>
      <c r="AE1256" s="30"/>
      <c r="AF1256" s="30"/>
      <c r="AG1256" s="29"/>
      <c r="AH1256" s="30"/>
      <c r="AI1256" s="36"/>
      <c r="AJ1256" s="30"/>
      <c r="AK1256" s="29"/>
      <c r="AL1256" s="30"/>
      <c r="AM1256" s="30"/>
      <c r="AN1256" s="30"/>
      <c r="AO1256" s="30"/>
      <c r="AP1256" s="30"/>
      <c r="AQ1256" s="38"/>
      <c r="AR1256" s="30"/>
      <c r="AS1256" s="30"/>
      <c r="AT1256" s="29"/>
      <c r="AU1256" s="30"/>
      <c r="AV1256" s="30"/>
      <c r="AW1256" s="30"/>
      <c r="AX1256" s="29"/>
      <c r="AY1256" s="39"/>
      <c r="AZ1256" s="30"/>
      <c r="BA1256" s="30"/>
      <c r="BB1256" s="29"/>
      <c r="BC1256" s="52"/>
      <c r="BD1256" s="30"/>
      <c r="BE1256" s="29"/>
      <c r="BF1256" s="30"/>
      <c r="BG1256" s="30"/>
      <c r="BH1256" s="30"/>
      <c r="BI1256" s="30"/>
      <c r="BJ1256" s="30"/>
      <c r="BK1256" s="30"/>
      <c r="BL1256" s="30"/>
      <c r="BM1256" s="30"/>
      <c r="BN1256" s="30"/>
      <c r="BO1256" s="30"/>
      <c r="BP1256" s="30"/>
      <c r="BQ1256" s="30"/>
      <c r="BR1256" s="30"/>
      <c r="BS1256" s="30"/>
      <c r="BT1256" s="30"/>
      <c r="BU1256" s="30"/>
      <c r="BV1256" s="30"/>
      <c r="BW1256" s="30"/>
      <c r="BX1256" s="30"/>
      <c r="BY1256" s="30"/>
      <c r="BZ1256" s="30"/>
      <c r="CA1256" s="30"/>
      <c r="CB1256" s="30"/>
      <c r="CC1256" s="30"/>
      <c r="CD1256" s="30"/>
      <c r="CE1256" s="30"/>
      <c r="CF1256" s="30"/>
      <c r="CG1256" s="30"/>
      <c r="CH1256" s="30"/>
      <c r="CI1256" s="30"/>
      <c r="CJ1256" s="30"/>
      <c r="CK1256" s="30"/>
      <c r="CL1256" s="30"/>
      <c r="CM1256" s="30"/>
      <c r="CN1256" s="30"/>
      <c r="CO1256" s="30"/>
      <c r="CP1256" s="30"/>
      <c r="CQ1256" s="30"/>
      <c r="CR1256" s="30"/>
      <c r="CS1256" s="30"/>
      <c r="CT1256" s="30"/>
      <c r="CU1256" s="30"/>
      <c r="CV1256" s="30"/>
      <c r="CW1256" s="30"/>
      <c r="CX1256" s="30"/>
      <c r="CY1256" s="30"/>
      <c r="CZ1256" s="30"/>
      <c r="DA1256" s="30"/>
      <c r="DB1256" s="30"/>
      <c r="DC1256" s="30"/>
      <c r="DD1256" s="30"/>
      <c r="DE1256" s="30"/>
      <c r="DF1256" s="30"/>
      <c r="DG1256" s="30"/>
      <c r="DH1256" s="30"/>
      <c r="DI1256" s="30"/>
      <c r="DJ1256" s="30"/>
      <c r="DK1256" s="30"/>
      <c r="DL1256" s="30"/>
      <c r="DM1256" s="30"/>
      <c r="DN1256" s="30"/>
      <c r="DO1256" s="30"/>
      <c r="DP1256" s="30"/>
      <c r="DQ1256" s="30"/>
      <c r="DR1256" s="30"/>
      <c r="DS1256" s="30"/>
      <c r="DT1256" s="30"/>
      <c r="DU1256" s="30"/>
      <c r="DV1256" s="30"/>
      <c r="DW1256" s="30"/>
      <c r="DX1256" s="30"/>
      <c r="DY1256" s="30"/>
      <c r="DZ1256" s="30"/>
    </row>
    <row r="1257">
      <c r="A1257" s="30"/>
      <c r="B1257" s="42"/>
      <c r="C1257" s="43"/>
      <c r="D1257" s="30"/>
      <c r="E1257" s="28"/>
      <c r="F1257" s="30"/>
      <c r="G1257" s="30"/>
      <c r="H1257" s="30"/>
      <c r="I1257" s="30"/>
      <c r="J1257" s="28"/>
      <c r="K1257" s="30"/>
      <c r="L1257" s="30"/>
      <c r="M1257" s="30"/>
      <c r="N1257" s="30"/>
      <c r="O1257" s="28"/>
      <c r="P1257" s="30"/>
      <c r="Q1257" s="30"/>
      <c r="R1257" s="30"/>
      <c r="S1257" s="36"/>
      <c r="T1257" s="30"/>
      <c r="U1257" s="36"/>
      <c r="V1257" s="30"/>
      <c r="W1257" s="28"/>
      <c r="X1257" s="30"/>
      <c r="Y1257" s="30"/>
      <c r="Z1257" s="30"/>
      <c r="AA1257" s="30"/>
      <c r="AB1257" s="30"/>
      <c r="AC1257" s="28"/>
      <c r="AD1257" s="30"/>
      <c r="AE1257" s="30"/>
      <c r="AF1257" s="30"/>
      <c r="AG1257" s="29"/>
      <c r="AH1257" s="30"/>
      <c r="AI1257" s="36"/>
      <c r="AJ1257" s="30"/>
      <c r="AK1257" s="29"/>
      <c r="AL1257" s="30"/>
      <c r="AM1257" s="30"/>
      <c r="AN1257" s="30"/>
      <c r="AO1257" s="30"/>
      <c r="AP1257" s="30"/>
      <c r="AQ1257" s="38"/>
      <c r="AR1257" s="30"/>
      <c r="AS1257" s="30"/>
      <c r="AT1257" s="29"/>
      <c r="AU1257" s="30"/>
      <c r="AV1257" s="30"/>
      <c r="AW1257" s="30"/>
      <c r="AX1257" s="29"/>
      <c r="AY1257" s="39"/>
      <c r="AZ1257" s="30"/>
      <c r="BA1257" s="30"/>
      <c r="BB1257" s="29"/>
      <c r="BC1257" s="52"/>
      <c r="BD1257" s="30"/>
      <c r="BE1257" s="29"/>
      <c r="BF1257" s="30"/>
      <c r="BG1257" s="30"/>
      <c r="BH1257" s="30"/>
      <c r="BI1257" s="30"/>
      <c r="BJ1257" s="30"/>
      <c r="BK1257" s="30"/>
      <c r="BL1257" s="30"/>
      <c r="BM1257" s="30"/>
      <c r="BN1257" s="30"/>
      <c r="BO1257" s="30"/>
      <c r="BP1257" s="30"/>
      <c r="BQ1257" s="30"/>
      <c r="BR1257" s="30"/>
      <c r="BS1257" s="30"/>
      <c r="BT1257" s="30"/>
      <c r="BU1257" s="30"/>
      <c r="BV1257" s="30"/>
      <c r="BW1257" s="30"/>
      <c r="BX1257" s="30"/>
      <c r="BY1257" s="30"/>
      <c r="BZ1257" s="30"/>
      <c r="CA1257" s="30"/>
      <c r="CB1257" s="30"/>
      <c r="CC1257" s="30"/>
      <c r="CD1257" s="30"/>
      <c r="CE1257" s="30"/>
      <c r="CF1257" s="30"/>
      <c r="CG1257" s="30"/>
      <c r="CH1257" s="30"/>
      <c r="CI1257" s="30"/>
      <c r="CJ1257" s="30"/>
      <c r="CK1257" s="30"/>
      <c r="CL1257" s="30"/>
      <c r="CM1257" s="30"/>
      <c r="CN1257" s="30"/>
      <c r="CO1257" s="30"/>
      <c r="CP1257" s="30"/>
      <c r="CQ1257" s="30"/>
      <c r="CR1257" s="30"/>
      <c r="CS1257" s="30"/>
      <c r="CT1257" s="30"/>
      <c r="CU1257" s="30"/>
      <c r="CV1257" s="30"/>
      <c r="CW1257" s="30"/>
      <c r="CX1257" s="30"/>
      <c r="CY1257" s="30"/>
      <c r="CZ1257" s="30"/>
      <c r="DA1257" s="30"/>
      <c r="DB1257" s="30"/>
      <c r="DC1257" s="30"/>
      <c r="DD1257" s="30"/>
      <c r="DE1257" s="30"/>
      <c r="DF1257" s="30"/>
      <c r="DG1257" s="30"/>
      <c r="DH1257" s="30"/>
      <c r="DI1257" s="30"/>
      <c r="DJ1257" s="30"/>
      <c r="DK1257" s="30"/>
      <c r="DL1257" s="30"/>
      <c r="DM1257" s="30"/>
      <c r="DN1257" s="30"/>
      <c r="DO1257" s="30"/>
      <c r="DP1257" s="30"/>
      <c r="DQ1257" s="30"/>
      <c r="DR1257" s="30"/>
      <c r="DS1257" s="30"/>
      <c r="DT1257" s="30"/>
      <c r="DU1257" s="30"/>
      <c r="DV1257" s="30"/>
      <c r="DW1257" s="30"/>
      <c r="DX1257" s="30"/>
      <c r="DY1257" s="30"/>
      <c r="DZ1257" s="30"/>
    </row>
    <row r="1258">
      <c r="A1258" s="30"/>
      <c r="B1258" s="42"/>
      <c r="C1258" s="43"/>
      <c r="D1258" s="30"/>
      <c r="E1258" s="28"/>
      <c r="F1258" s="30"/>
      <c r="G1258" s="30"/>
      <c r="H1258" s="30"/>
      <c r="I1258" s="30"/>
      <c r="J1258" s="28"/>
      <c r="K1258" s="30"/>
      <c r="L1258" s="30"/>
      <c r="M1258" s="30"/>
      <c r="N1258" s="30"/>
      <c r="O1258" s="28"/>
      <c r="P1258" s="30"/>
      <c r="Q1258" s="30"/>
      <c r="R1258" s="30"/>
      <c r="S1258" s="36"/>
      <c r="T1258" s="30"/>
      <c r="U1258" s="36"/>
      <c r="V1258" s="30"/>
      <c r="W1258" s="28"/>
      <c r="X1258" s="30"/>
      <c r="Y1258" s="30"/>
      <c r="Z1258" s="30"/>
      <c r="AA1258" s="30"/>
      <c r="AB1258" s="30"/>
      <c r="AC1258" s="28"/>
      <c r="AD1258" s="30"/>
      <c r="AE1258" s="30"/>
      <c r="AF1258" s="30"/>
      <c r="AG1258" s="29"/>
      <c r="AH1258" s="30"/>
      <c r="AI1258" s="36"/>
      <c r="AJ1258" s="30"/>
      <c r="AK1258" s="29"/>
      <c r="AL1258" s="30"/>
      <c r="AM1258" s="30"/>
      <c r="AN1258" s="30"/>
      <c r="AO1258" s="30"/>
      <c r="AP1258" s="30"/>
      <c r="AQ1258" s="38"/>
      <c r="AR1258" s="30"/>
      <c r="AS1258" s="30"/>
      <c r="AT1258" s="29"/>
      <c r="AU1258" s="30"/>
      <c r="AV1258" s="30"/>
      <c r="AW1258" s="30"/>
      <c r="AX1258" s="29"/>
      <c r="AY1258" s="39"/>
      <c r="AZ1258" s="30"/>
      <c r="BA1258" s="30"/>
      <c r="BB1258" s="29"/>
      <c r="BC1258" s="52"/>
      <c r="BD1258" s="30"/>
      <c r="BE1258" s="29"/>
      <c r="BF1258" s="30"/>
      <c r="BG1258" s="30"/>
      <c r="BH1258" s="30"/>
      <c r="BI1258" s="30"/>
      <c r="BJ1258" s="30"/>
      <c r="BK1258" s="30"/>
      <c r="BL1258" s="30"/>
      <c r="BM1258" s="30"/>
      <c r="BN1258" s="30"/>
      <c r="BO1258" s="30"/>
      <c r="BP1258" s="30"/>
      <c r="BQ1258" s="30"/>
      <c r="BR1258" s="30"/>
      <c r="BS1258" s="30"/>
      <c r="BT1258" s="30"/>
      <c r="BU1258" s="30"/>
      <c r="BV1258" s="30"/>
      <c r="BW1258" s="30"/>
      <c r="BX1258" s="30"/>
      <c r="BY1258" s="30"/>
      <c r="BZ1258" s="30"/>
      <c r="CA1258" s="30"/>
      <c r="CB1258" s="30"/>
      <c r="CC1258" s="30"/>
      <c r="CD1258" s="30"/>
      <c r="CE1258" s="30"/>
      <c r="CF1258" s="30"/>
      <c r="CG1258" s="30"/>
      <c r="CH1258" s="30"/>
      <c r="CI1258" s="30"/>
      <c r="CJ1258" s="30"/>
      <c r="CK1258" s="30"/>
      <c r="CL1258" s="30"/>
      <c r="CM1258" s="30"/>
      <c r="CN1258" s="30"/>
      <c r="CO1258" s="30"/>
      <c r="CP1258" s="30"/>
      <c r="CQ1258" s="30"/>
      <c r="CR1258" s="30"/>
      <c r="CS1258" s="30"/>
      <c r="CT1258" s="30"/>
      <c r="CU1258" s="30"/>
      <c r="CV1258" s="30"/>
      <c r="CW1258" s="30"/>
      <c r="CX1258" s="30"/>
      <c r="CY1258" s="30"/>
      <c r="CZ1258" s="30"/>
      <c r="DA1258" s="30"/>
      <c r="DB1258" s="30"/>
      <c r="DC1258" s="30"/>
      <c r="DD1258" s="30"/>
      <c r="DE1258" s="30"/>
      <c r="DF1258" s="30"/>
      <c r="DG1258" s="30"/>
      <c r="DH1258" s="30"/>
      <c r="DI1258" s="30"/>
      <c r="DJ1258" s="30"/>
      <c r="DK1258" s="30"/>
      <c r="DL1258" s="30"/>
      <c r="DM1258" s="30"/>
      <c r="DN1258" s="30"/>
      <c r="DO1258" s="30"/>
      <c r="DP1258" s="30"/>
      <c r="DQ1258" s="30"/>
      <c r="DR1258" s="30"/>
      <c r="DS1258" s="30"/>
      <c r="DT1258" s="30"/>
      <c r="DU1258" s="30"/>
      <c r="DV1258" s="30"/>
      <c r="DW1258" s="30"/>
      <c r="DX1258" s="30"/>
      <c r="DY1258" s="30"/>
      <c r="DZ1258" s="30"/>
    </row>
    <row r="1259">
      <c r="A1259" s="30"/>
      <c r="B1259" s="42"/>
      <c r="C1259" s="43"/>
      <c r="D1259" s="30"/>
      <c r="E1259" s="28"/>
      <c r="F1259" s="30"/>
      <c r="G1259" s="30"/>
      <c r="H1259" s="30"/>
      <c r="I1259" s="30"/>
      <c r="J1259" s="28"/>
      <c r="K1259" s="30"/>
      <c r="L1259" s="30"/>
      <c r="M1259" s="30"/>
      <c r="N1259" s="30"/>
      <c r="O1259" s="28"/>
      <c r="P1259" s="30"/>
      <c r="Q1259" s="30"/>
      <c r="R1259" s="30"/>
      <c r="S1259" s="36"/>
      <c r="T1259" s="30"/>
      <c r="U1259" s="36"/>
      <c r="V1259" s="30"/>
      <c r="W1259" s="28"/>
      <c r="X1259" s="30"/>
      <c r="Y1259" s="30"/>
      <c r="Z1259" s="30"/>
      <c r="AA1259" s="30"/>
      <c r="AB1259" s="30"/>
      <c r="AC1259" s="28"/>
      <c r="AD1259" s="30"/>
      <c r="AE1259" s="30"/>
      <c r="AF1259" s="30"/>
      <c r="AG1259" s="29"/>
      <c r="AH1259" s="30"/>
      <c r="AI1259" s="36"/>
      <c r="AJ1259" s="30"/>
      <c r="AK1259" s="29"/>
      <c r="AL1259" s="30"/>
      <c r="AM1259" s="30"/>
      <c r="AN1259" s="30"/>
      <c r="AO1259" s="30"/>
      <c r="AP1259" s="30"/>
      <c r="AQ1259" s="38"/>
      <c r="AR1259" s="30"/>
      <c r="AS1259" s="30"/>
      <c r="AT1259" s="29"/>
      <c r="AU1259" s="30"/>
      <c r="AV1259" s="30"/>
      <c r="AW1259" s="30"/>
      <c r="AX1259" s="29"/>
      <c r="AY1259" s="39"/>
      <c r="AZ1259" s="30"/>
      <c r="BA1259" s="30"/>
      <c r="BB1259" s="29"/>
      <c r="BC1259" s="52"/>
      <c r="BD1259" s="30"/>
      <c r="BE1259" s="29"/>
      <c r="BF1259" s="30"/>
      <c r="BG1259" s="30"/>
      <c r="BH1259" s="30"/>
      <c r="BI1259" s="30"/>
      <c r="BJ1259" s="30"/>
      <c r="BK1259" s="30"/>
      <c r="BL1259" s="30"/>
      <c r="BM1259" s="30"/>
      <c r="BN1259" s="30"/>
      <c r="BO1259" s="30"/>
      <c r="BP1259" s="30"/>
      <c r="BQ1259" s="30"/>
      <c r="BR1259" s="30"/>
      <c r="BS1259" s="30"/>
      <c r="BT1259" s="30"/>
      <c r="BU1259" s="30"/>
      <c r="BV1259" s="30"/>
      <c r="BW1259" s="30"/>
      <c r="BX1259" s="30"/>
      <c r="BY1259" s="30"/>
      <c r="BZ1259" s="30"/>
      <c r="CA1259" s="30"/>
      <c r="CB1259" s="30"/>
      <c r="CC1259" s="30"/>
      <c r="CD1259" s="30"/>
      <c r="CE1259" s="30"/>
      <c r="CF1259" s="30"/>
      <c r="CG1259" s="30"/>
      <c r="CH1259" s="30"/>
      <c r="CI1259" s="30"/>
      <c r="CJ1259" s="30"/>
      <c r="CK1259" s="30"/>
      <c r="CL1259" s="30"/>
      <c r="CM1259" s="30"/>
      <c r="CN1259" s="30"/>
      <c r="CO1259" s="30"/>
      <c r="CP1259" s="30"/>
      <c r="CQ1259" s="30"/>
      <c r="CR1259" s="30"/>
      <c r="CS1259" s="30"/>
      <c r="CT1259" s="30"/>
      <c r="CU1259" s="30"/>
      <c r="CV1259" s="30"/>
      <c r="CW1259" s="30"/>
      <c r="CX1259" s="30"/>
      <c r="CY1259" s="30"/>
      <c r="CZ1259" s="30"/>
      <c r="DA1259" s="30"/>
      <c r="DB1259" s="30"/>
      <c r="DC1259" s="30"/>
      <c r="DD1259" s="30"/>
      <c r="DE1259" s="30"/>
      <c r="DF1259" s="30"/>
      <c r="DG1259" s="30"/>
      <c r="DH1259" s="30"/>
      <c r="DI1259" s="30"/>
      <c r="DJ1259" s="30"/>
      <c r="DK1259" s="30"/>
      <c r="DL1259" s="30"/>
      <c r="DM1259" s="30"/>
      <c r="DN1259" s="30"/>
      <c r="DO1259" s="30"/>
      <c r="DP1259" s="30"/>
      <c r="DQ1259" s="30"/>
      <c r="DR1259" s="30"/>
      <c r="DS1259" s="30"/>
      <c r="DT1259" s="30"/>
      <c r="DU1259" s="30"/>
      <c r="DV1259" s="30"/>
      <c r="DW1259" s="30"/>
      <c r="DX1259" s="30"/>
      <c r="DY1259" s="30"/>
      <c r="DZ1259" s="30"/>
    </row>
    <row r="1260">
      <c r="A1260" s="30"/>
      <c r="B1260" s="42"/>
      <c r="C1260" s="43"/>
      <c r="D1260" s="30"/>
      <c r="E1260" s="28"/>
      <c r="F1260" s="30"/>
      <c r="G1260" s="30"/>
      <c r="H1260" s="30"/>
      <c r="I1260" s="30"/>
      <c r="J1260" s="28"/>
      <c r="K1260" s="30"/>
      <c r="L1260" s="30"/>
      <c r="M1260" s="30"/>
      <c r="N1260" s="30"/>
      <c r="O1260" s="28"/>
      <c r="P1260" s="30"/>
      <c r="Q1260" s="30"/>
      <c r="R1260" s="30"/>
      <c r="S1260" s="36"/>
      <c r="T1260" s="30"/>
      <c r="U1260" s="36"/>
      <c r="V1260" s="30"/>
      <c r="W1260" s="28"/>
      <c r="X1260" s="30"/>
      <c r="Y1260" s="30"/>
      <c r="Z1260" s="30"/>
      <c r="AA1260" s="30"/>
      <c r="AB1260" s="30"/>
      <c r="AC1260" s="28"/>
      <c r="AD1260" s="30"/>
      <c r="AE1260" s="30"/>
      <c r="AF1260" s="30"/>
      <c r="AG1260" s="29"/>
      <c r="AH1260" s="30"/>
      <c r="AI1260" s="36"/>
      <c r="AJ1260" s="30"/>
      <c r="AK1260" s="29"/>
      <c r="AL1260" s="30"/>
      <c r="AM1260" s="30"/>
      <c r="AN1260" s="30"/>
      <c r="AO1260" s="30"/>
      <c r="AP1260" s="30"/>
      <c r="AQ1260" s="38"/>
      <c r="AR1260" s="30"/>
      <c r="AS1260" s="30"/>
      <c r="AT1260" s="29"/>
      <c r="AU1260" s="30"/>
      <c r="AV1260" s="30"/>
      <c r="AW1260" s="30"/>
      <c r="AX1260" s="29"/>
      <c r="AY1260" s="39"/>
      <c r="AZ1260" s="30"/>
      <c r="BA1260" s="30"/>
      <c r="BB1260" s="29"/>
      <c r="BC1260" s="52"/>
      <c r="BD1260" s="30"/>
      <c r="BE1260" s="29"/>
      <c r="BF1260" s="30"/>
      <c r="BG1260" s="30"/>
      <c r="BH1260" s="30"/>
      <c r="BI1260" s="30"/>
      <c r="BJ1260" s="30"/>
      <c r="BK1260" s="30"/>
      <c r="BL1260" s="30"/>
      <c r="BM1260" s="30"/>
      <c r="BN1260" s="30"/>
      <c r="BO1260" s="30"/>
      <c r="BP1260" s="30"/>
      <c r="BQ1260" s="30"/>
      <c r="BR1260" s="30"/>
      <c r="BS1260" s="30"/>
      <c r="BT1260" s="30"/>
      <c r="BU1260" s="30"/>
      <c r="BV1260" s="30"/>
      <c r="BW1260" s="30"/>
      <c r="BX1260" s="30"/>
      <c r="BY1260" s="30"/>
      <c r="BZ1260" s="30"/>
      <c r="CA1260" s="30"/>
      <c r="CB1260" s="30"/>
      <c r="CC1260" s="30"/>
      <c r="CD1260" s="30"/>
      <c r="CE1260" s="30"/>
      <c r="CF1260" s="30"/>
      <c r="CG1260" s="30"/>
      <c r="CH1260" s="30"/>
      <c r="CI1260" s="30"/>
      <c r="CJ1260" s="30"/>
      <c r="CK1260" s="30"/>
      <c r="CL1260" s="30"/>
      <c r="CM1260" s="30"/>
      <c r="CN1260" s="30"/>
      <c r="CO1260" s="30"/>
      <c r="CP1260" s="30"/>
      <c r="CQ1260" s="30"/>
      <c r="CR1260" s="30"/>
      <c r="CS1260" s="30"/>
      <c r="CT1260" s="30"/>
      <c r="CU1260" s="30"/>
      <c r="CV1260" s="30"/>
      <c r="CW1260" s="30"/>
      <c r="CX1260" s="30"/>
      <c r="CY1260" s="30"/>
      <c r="CZ1260" s="30"/>
      <c r="DA1260" s="30"/>
      <c r="DB1260" s="30"/>
      <c r="DC1260" s="30"/>
      <c r="DD1260" s="30"/>
      <c r="DE1260" s="30"/>
      <c r="DF1260" s="30"/>
      <c r="DG1260" s="30"/>
      <c r="DH1260" s="30"/>
      <c r="DI1260" s="30"/>
      <c r="DJ1260" s="30"/>
      <c r="DK1260" s="30"/>
      <c r="DL1260" s="30"/>
      <c r="DM1260" s="30"/>
      <c r="DN1260" s="30"/>
      <c r="DO1260" s="30"/>
      <c r="DP1260" s="30"/>
      <c r="DQ1260" s="30"/>
      <c r="DR1260" s="30"/>
      <c r="DS1260" s="30"/>
      <c r="DT1260" s="30"/>
      <c r="DU1260" s="30"/>
      <c r="DV1260" s="30"/>
      <c r="DW1260" s="30"/>
      <c r="DX1260" s="30"/>
      <c r="DY1260" s="30"/>
      <c r="DZ1260" s="30"/>
    </row>
    <row r="1261">
      <c r="A1261" s="30"/>
      <c r="B1261" s="42"/>
      <c r="C1261" s="43"/>
      <c r="D1261" s="30"/>
      <c r="E1261" s="28"/>
      <c r="F1261" s="30"/>
      <c r="G1261" s="30"/>
      <c r="H1261" s="30"/>
      <c r="I1261" s="30"/>
      <c r="J1261" s="28"/>
      <c r="K1261" s="30"/>
      <c r="L1261" s="30"/>
      <c r="M1261" s="30"/>
      <c r="N1261" s="30"/>
      <c r="O1261" s="28"/>
      <c r="P1261" s="30"/>
      <c r="Q1261" s="30"/>
      <c r="R1261" s="30"/>
      <c r="S1261" s="36"/>
      <c r="T1261" s="30"/>
      <c r="U1261" s="36"/>
      <c r="V1261" s="30"/>
      <c r="W1261" s="28"/>
      <c r="X1261" s="30"/>
      <c r="Y1261" s="30"/>
      <c r="Z1261" s="30"/>
      <c r="AA1261" s="30"/>
      <c r="AB1261" s="30"/>
      <c r="AC1261" s="28"/>
      <c r="AD1261" s="30"/>
      <c r="AE1261" s="30"/>
      <c r="AF1261" s="30"/>
      <c r="AG1261" s="29"/>
      <c r="AH1261" s="30"/>
      <c r="AI1261" s="36"/>
      <c r="AJ1261" s="30"/>
      <c r="AK1261" s="29"/>
      <c r="AL1261" s="30"/>
      <c r="AM1261" s="30"/>
      <c r="AN1261" s="30"/>
      <c r="AO1261" s="30"/>
      <c r="AP1261" s="30"/>
      <c r="AQ1261" s="38"/>
      <c r="AR1261" s="30"/>
      <c r="AS1261" s="30"/>
      <c r="AT1261" s="29"/>
      <c r="AU1261" s="30"/>
      <c r="AV1261" s="30"/>
      <c r="AW1261" s="30"/>
      <c r="AX1261" s="29"/>
      <c r="AY1261" s="39"/>
      <c r="AZ1261" s="30"/>
      <c r="BA1261" s="30"/>
      <c r="BB1261" s="29"/>
      <c r="BC1261" s="52"/>
      <c r="BD1261" s="30"/>
      <c r="BE1261" s="29"/>
      <c r="BF1261" s="30"/>
      <c r="BG1261" s="30"/>
      <c r="BH1261" s="30"/>
      <c r="BI1261" s="30"/>
      <c r="BJ1261" s="30"/>
      <c r="BK1261" s="30"/>
      <c r="BL1261" s="30"/>
      <c r="BM1261" s="30"/>
      <c r="BN1261" s="30"/>
      <c r="BO1261" s="30"/>
      <c r="BP1261" s="30"/>
      <c r="BQ1261" s="30"/>
      <c r="BR1261" s="30"/>
      <c r="BS1261" s="30"/>
      <c r="BT1261" s="30"/>
      <c r="BU1261" s="30"/>
      <c r="BV1261" s="30"/>
      <c r="BW1261" s="30"/>
      <c r="BX1261" s="30"/>
      <c r="BY1261" s="30"/>
      <c r="BZ1261" s="30"/>
      <c r="CA1261" s="30"/>
      <c r="CB1261" s="30"/>
      <c r="CC1261" s="30"/>
      <c r="CD1261" s="30"/>
      <c r="CE1261" s="30"/>
      <c r="CF1261" s="30"/>
      <c r="CG1261" s="30"/>
      <c r="CH1261" s="30"/>
      <c r="CI1261" s="30"/>
      <c r="CJ1261" s="30"/>
      <c r="CK1261" s="30"/>
      <c r="CL1261" s="30"/>
      <c r="CM1261" s="30"/>
      <c r="CN1261" s="30"/>
      <c r="CO1261" s="30"/>
      <c r="CP1261" s="30"/>
      <c r="CQ1261" s="30"/>
      <c r="CR1261" s="30"/>
      <c r="CS1261" s="30"/>
      <c r="CT1261" s="30"/>
      <c r="CU1261" s="30"/>
      <c r="CV1261" s="30"/>
      <c r="CW1261" s="30"/>
      <c r="CX1261" s="30"/>
      <c r="CY1261" s="30"/>
      <c r="CZ1261" s="30"/>
      <c r="DA1261" s="30"/>
      <c r="DB1261" s="30"/>
      <c r="DC1261" s="30"/>
      <c r="DD1261" s="30"/>
      <c r="DE1261" s="30"/>
      <c r="DF1261" s="30"/>
      <c r="DG1261" s="30"/>
      <c r="DH1261" s="30"/>
      <c r="DI1261" s="30"/>
      <c r="DJ1261" s="30"/>
      <c r="DK1261" s="30"/>
      <c r="DL1261" s="30"/>
      <c r="DM1261" s="30"/>
      <c r="DN1261" s="30"/>
      <c r="DO1261" s="30"/>
      <c r="DP1261" s="30"/>
      <c r="DQ1261" s="30"/>
      <c r="DR1261" s="30"/>
      <c r="DS1261" s="30"/>
      <c r="DT1261" s="30"/>
      <c r="DU1261" s="30"/>
      <c r="DV1261" s="30"/>
      <c r="DW1261" s="30"/>
      <c r="DX1261" s="30"/>
      <c r="DY1261" s="30"/>
      <c r="DZ1261" s="30"/>
    </row>
    <row r="1262">
      <c r="A1262" s="30"/>
      <c r="B1262" s="42"/>
      <c r="C1262" s="43"/>
      <c r="D1262" s="30"/>
      <c r="E1262" s="28"/>
      <c r="F1262" s="30"/>
      <c r="G1262" s="30"/>
      <c r="H1262" s="30"/>
      <c r="I1262" s="30"/>
      <c r="J1262" s="28"/>
      <c r="K1262" s="30"/>
      <c r="L1262" s="30"/>
      <c r="M1262" s="30"/>
      <c r="N1262" s="30"/>
      <c r="O1262" s="28"/>
      <c r="P1262" s="30"/>
      <c r="Q1262" s="30"/>
      <c r="R1262" s="30"/>
      <c r="S1262" s="36"/>
      <c r="T1262" s="30"/>
      <c r="U1262" s="36"/>
      <c r="V1262" s="30"/>
      <c r="W1262" s="28"/>
      <c r="X1262" s="30"/>
      <c r="Y1262" s="30"/>
      <c r="Z1262" s="30"/>
      <c r="AA1262" s="30"/>
      <c r="AB1262" s="30"/>
      <c r="AC1262" s="28"/>
      <c r="AD1262" s="30"/>
      <c r="AE1262" s="30"/>
      <c r="AF1262" s="30"/>
      <c r="AG1262" s="29"/>
      <c r="AH1262" s="30"/>
      <c r="AI1262" s="36"/>
      <c r="AJ1262" s="30"/>
      <c r="AK1262" s="29"/>
      <c r="AL1262" s="30"/>
      <c r="AM1262" s="30"/>
      <c r="AN1262" s="30"/>
      <c r="AO1262" s="30"/>
      <c r="AP1262" s="30"/>
      <c r="AQ1262" s="38"/>
      <c r="AR1262" s="30"/>
      <c r="AS1262" s="30"/>
      <c r="AT1262" s="29"/>
      <c r="AU1262" s="30"/>
      <c r="AV1262" s="30"/>
      <c r="AW1262" s="30"/>
      <c r="AX1262" s="29"/>
      <c r="AY1262" s="39"/>
      <c r="AZ1262" s="30"/>
      <c r="BA1262" s="30"/>
      <c r="BB1262" s="29"/>
      <c r="BC1262" s="52"/>
      <c r="BD1262" s="30"/>
      <c r="BE1262" s="29"/>
      <c r="BF1262" s="30"/>
      <c r="BG1262" s="30"/>
      <c r="BH1262" s="30"/>
      <c r="BI1262" s="30"/>
      <c r="BJ1262" s="30"/>
      <c r="BK1262" s="30"/>
      <c r="BL1262" s="30"/>
      <c r="BM1262" s="30"/>
      <c r="BN1262" s="30"/>
      <c r="BO1262" s="30"/>
      <c r="BP1262" s="30"/>
      <c r="BQ1262" s="30"/>
      <c r="BR1262" s="30"/>
      <c r="BS1262" s="30"/>
      <c r="BT1262" s="30"/>
      <c r="BU1262" s="30"/>
      <c r="BV1262" s="30"/>
      <c r="BW1262" s="30"/>
      <c r="BX1262" s="30"/>
      <c r="BY1262" s="30"/>
      <c r="BZ1262" s="30"/>
      <c r="CA1262" s="30"/>
      <c r="CB1262" s="30"/>
      <c r="CC1262" s="30"/>
      <c r="CD1262" s="30"/>
      <c r="CE1262" s="30"/>
      <c r="CF1262" s="30"/>
      <c r="CG1262" s="30"/>
      <c r="CH1262" s="30"/>
      <c r="CI1262" s="30"/>
      <c r="CJ1262" s="30"/>
      <c r="CK1262" s="30"/>
      <c r="CL1262" s="30"/>
      <c r="CM1262" s="30"/>
      <c r="CN1262" s="30"/>
      <c r="CO1262" s="30"/>
      <c r="CP1262" s="30"/>
      <c r="CQ1262" s="30"/>
      <c r="CR1262" s="30"/>
      <c r="CS1262" s="30"/>
      <c r="CT1262" s="30"/>
      <c r="CU1262" s="30"/>
      <c r="CV1262" s="30"/>
      <c r="CW1262" s="30"/>
      <c r="CX1262" s="30"/>
      <c r="CY1262" s="30"/>
      <c r="CZ1262" s="30"/>
      <c r="DA1262" s="30"/>
      <c r="DB1262" s="30"/>
      <c r="DC1262" s="30"/>
      <c r="DD1262" s="30"/>
      <c r="DE1262" s="30"/>
      <c r="DF1262" s="30"/>
      <c r="DG1262" s="30"/>
      <c r="DH1262" s="30"/>
      <c r="DI1262" s="30"/>
      <c r="DJ1262" s="30"/>
      <c r="DK1262" s="30"/>
      <c r="DL1262" s="30"/>
      <c r="DM1262" s="30"/>
      <c r="DN1262" s="30"/>
      <c r="DO1262" s="30"/>
      <c r="DP1262" s="30"/>
      <c r="DQ1262" s="30"/>
      <c r="DR1262" s="30"/>
      <c r="DS1262" s="30"/>
      <c r="DT1262" s="30"/>
      <c r="DU1262" s="30"/>
      <c r="DV1262" s="30"/>
      <c r="DW1262" s="30"/>
      <c r="DX1262" s="30"/>
      <c r="DY1262" s="30"/>
      <c r="DZ1262" s="30"/>
    </row>
    <row r="1263">
      <c r="A1263" s="30"/>
      <c r="B1263" s="42"/>
      <c r="C1263" s="43"/>
      <c r="D1263" s="30"/>
      <c r="E1263" s="28"/>
      <c r="F1263" s="30"/>
      <c r="G1263" s="30"/>
      <c r="H1263" s="30"/>
      <c r="I1263" s="30"/>
      <c r="J1263" s="28"/>
      <c r="K1263" s="30"/>
      <c r="L1263" s="30"/>
      <c r="M1263" s="30"/>
      <c r="N1263" s="30"/>
      <c r="O1263" s="28"/>
      <c r="P1263" s="30"/>
      <c r="Q1263" s="30"/>
      <c r="R1263" s="30"/>
      <c r="S1263" s="36"/>
      <c r="T1263" s="30"/>
      <c r="U1263" s="36"/>
      <c r="V1263" s="30"/>
      <c r="W1263" s="28"/>
      <c r="X1263" s="30"/>
      <c r="Y1263" s="30"/>
      <c r="Z1263" s="30"/>
      <c r="AA1263" s="30"/>
      <c r="AB1263" s="30"/>
      <c r="AC1263" s="28"/>
      <c r="AD1263" s="30"/>
      <c r="AE1263" s="30"/>
      <c r="AF1263" s="30"/>
      <c r="AG1263" s="29"/>
      <c r="AH1263" s="30"/>
      <c r="AI1263" s="36"/>
      <c r="AJ1263" s="30"/>
      <c r="AK1263" s="29"/>
      <c r="AL1263" s="30"/>
      <c r="AM1263" s="30"/>
      <c r="AN1263" s="30"/>
      <c r="AO1263" s="30"/>
      <c r="AP1263" s="30"/>
      <c r="AQ1263" s="38"/>
      <c r="AR1263" s="30"/>
      <c r="AS1263" s="30"/>
      <c r="AT1263" s="29"/>
      <c r="AU1263" s="30"/>
      <c r="AV1263" s="30"/>
      <c r="AW1263" s="30"/>
      <c r="AX1263" s="29"/>
      <c r="AY1263" s="39"/>
      <c r="AZ1263" s="30"/>
      <c r="BA1263" s="30"/>
      <c r="BB1263" s="29"/>
      <c r="BC1263" s="52"/>
      <c r="BD1263" s="30"/>
      <c r="BE1263" s="29"/>
      <c r="BF1263" s="30"/>
      <c r="BG1263" s="30"/>
      <c r="BH1263" s="30"/>
      <c r="BI1263" s="30"/>
      <c r="BJ1263" s="30"/>
      <c r="BK1263" s="30"/>
      <c r="BL1263" s="30"/>
      <c r="BM1263" s="30"/>
      <c r="BN1263" s="30"/>
      <c r="BO1263" s="30"/>
      <c r="BP1263" s="30"/>
      <c r="BQ1263" s="30"/>
      <c r="BR1263" s="30"/>
      <c r="BS1263" s="30"/>
      <c r="BT1263" s="30"/>
      <c r="BU1263" s="30"/>
      <c r="BV1263" s="30"/>
      <c r="BW1263" s="30"/>
      <c r="BX1263" s="30"/>
      <c r="BY1263" s="30"/>
      <c r="BZ1263" s="30"/>
      <c r="CA1263" s="30"/>
      <c r="CB1263" s="30"/>
      <c r="CC1263" s="30"/>
      <c r="CD1263" s="30"/>
      <c r="CE1263" s="30"/>
      <c r="CF1263" s="30"/>
      <c r="CG1263" s="30"/>
      <c r="CH1263" s="30"/>
      <c r="CI1263" s="30"/>
      <c r="CJ1263" s="30"/>
      <c r="CK1263" s="30"/>
      <c r="CL1263" s="30"/>
      <c r="CM1263" s="30"/>
      <c r="CN1263" s="30"/>
      <c r="CO1263" s="30"/>
      <c r="CP1263" s="30"/>
      <c r="CQ1263" s="30"/>
      <c r="CR1263" s="30"/>
      <c r="CS1263" s="30"/>
      <c r="CT1263" s="30"/>
      <c r="CU1263" s="30"/>
      <c r="CV1263" s="30"/>
      <c r="CW1263" s="30"/>
      <c r="CX1263" s="30"/>
      <c r="CY1263" s="30"/>
      <c r="CZ1263" s="30"/>
      <c r="DA1263" s="30"/>
      <c r="DB1263" s="30"/>
      <c r="DC1263" s="30"/>
      <c r="DD1263" s="30"/>
      <c r="DE1263" s="30"/>
      <c r="DF1263" s="30"/>
      <c r="DG1263" s="30"/>
      <c r="DH1263" s="30"/>
      <c r="DI1263" s="30"/>
      <c r="DJ1263" s="30"/>
      <c r="DK1263" s="30"/>
      <c r="DL1263" s="30"/>
      <c r="DM1263" s="30"/>
      <c r="DN1263" s="30"/>
      <c r="DO1263" s="30"/>
      <c r="DP1263" s="30"/>
      <c r="DQ1263" s="30"/>
      <c r="DR1263" s="30"/>
      <c r="DS1263" s="30"/>
      <c r="DT1263" s="30"/>
      <c r="DU1263" s="30"/>
      <c r="DV1263" s="30"/>
      <c r="DW1263" s="30"/>
      <c r="DX1263" s="30"/>
      <c r="DY1263" s="30"/>
      <c r="DZ1263" s="30"/>
    </row>
    <row r="1264">
      <c r="A1264" s="30"/>
      <c r="B1264" s="42"/>
      <c r="C1264" s="43"/>
      <c r="D1264" s="30"/>
      <c r="E1264" s="28"/>
      <c r="F1264" s="30"/>
      <c r="G1264" s="30"/>
      <c r="H1264" s="30"/>
      <c r="I1264" s="30"/>
      <c r="J1264" s="28"/>
      <c r="K1264" s="30"/>
      <c r="L1264" s="30"/>
      <c r="M1264" s="30"/>
      <c r="N1264" s="30"/>
      <c r="O1264" s="28"/>
      <c r="P1264" s="30"/>
      <c r="Q1264" s="30"/>
      <c r="R1264" s="30"/>
      <c r="S1264" s="36"/>
      <c r="T1264" s="30"/>
      <c r="U1264" s="36"/>
      <c r="V1264" s="30"/>
      <c r="W1264" s="28"/>
      <c r="X1264" s="30"/>
      <c r="Y1264" s="30"/>
      <c r="Z1264" s="30"/>
      <c r="AA1264" s="30"/>
      <c r="AB1264" s="30"/>
      <c r="AC1264" s="28"/>
      <c r="AD1264" s="30"/>
      <c r="AE1264" s="30"/>
      <c r="AF1264" s="30"/>
      <c r="AG1264" s="29"/>
      <c r="AH1264" s="30"/>
      <c r="AI1264" s="36"/>
      <c r="AJ1264" s="30"/>
      <c r="AK1264" s="29"/>
      <c r="AL1264" s="30"/>
      <c r="AM1264" s="30"/>
      <c r="AN1264" s="30"/>
      <c r="AO1264" s="30"/>
      <c r="AP1264" s="30"/>
      <c r="AQ1264" s="38"/>
      <c r="AR1264" s="30"/>
      <c r="AS1264" s="30"/>
      <c r="AT1264" s="29"/>
      <c r="AU1264" s="30"/>
      <c r="AV1264" s="30"/>
      <c r="AW1264" s="30"/>
      <c r="AX1264" s="29"/>
      <c r="AY1264" s="39"/>
      <c r="AZ1264" s="30"/>
      <c r="BA1264" s="30"/>
      <c r="BB1264" s="29"/>
      <c r="BC1264" s="52"/>
      <c r="BD1264" s="30"/>
      <c r="BE1264" s="29"/>
      <c r="BF1264" s="30"/>
      <c r="BG1264" s="30"/>
      <c r="BH1264" s="30"/>
      <c r="BI1264" s="30"/>
      <c r="BJ1264" s="30"/>
      <c r="BK1264" s="30"/>
      <c r="BL1264" s="30"/>
      <c r="BM1264" s="30"/>
      <c r="BN1264" s="30"/>
      <c r="BO1264" s="30"/>
      <c r="BP1264" s="30"/>
      <c r="BQ1264" s="30"/>
      <c r="BR1264" s="30"/>
      <c r="BS1264" s="30"/>
      <c r="BT1264" s="30"/>
      <c r="BU1264" s="30"/>
      <c r="BV1264" s="30"/>
      <c r="BW1264" s="30"/>
      <c r="BX1264" s="30"/>
      <c r="BY1264" s="30"/>
      <c r="BZ1264" s="30"/>
      <c r="CA1264" s="30"/>
      <c r="CB1264" s="30"/>
      <c r="CC1264" s="30"/>
      <c r="CD1264" s="30"/>
      <c r="CE1264" s="30"/>
      <c r="CF1264" s="30"/>
      <c r="CG1264" s="30"/>
      <c r="CH1264" s="30"/>
      <c r="CI1264" s="30"/>
      <c r="CJ1264" s="30"/>
      <c r="CK1264" s="30"/>
      <c r="CL1264" s="30"/>
      <c r="CM1264" s="30"/>
      <c r="CN1264" s="30"/>
      <c r="CO1264" s="30"/>
      <c r="CP1264" s="30"/>
      <c r="CQ1264" s="30"/>
      <c r="CR1264" s="30"/>
      <c r="CS1264" s="30"/>
      <c r="CT1264" s="30"/>
      <c r="CU1264" s="30"/>
      <c r="CV1264" s="30"/>
      <c r="CW1264" s="30"/>
      <c r="CX1264" s="30"/>
      <c r="CY1264" s="30"/>
      <c r="CZ1264" s="30"/>
      <c r="DA1264" s="30"/>
      <c r="DB1264" s="30"/>
      <c r="DC1264" s="30"/>
      <c r="DD1264" s="30"/>
      <c r="DE1264" s="30"/>
      <c r="DF1264" s="30"/>
      <c r="DG1264" s="30"/>
      <c r="DH1264" s="30"/>
      <c r="DI1264" s="30"/>
      <c r="DJ1264" s="30"/>
      <c r="DK1264" s="30"/>
      <c r="DL1264" s="30"/>
      <c r="DM1264" s="30"/>
      <c r="DN1264" s="30"/>
      <c r="DO1264" s="30"/>
      <c r="DP1264" s="30"/>
      <c r="DQ1264" s="30"/>
      <c r="DR1264" s="30"/>
      <c r="DS1264" s="30"/>
      <c r="DT1264" s="30"/>
      <c r="DU1264" s="30"/>
      <c r="DV1264" s="30"/>
      <c r="DW1264" s="30"/>
      <c r="DX1264" s="30"/>
      <c r="DY1264" s="30"/>
      <c r="DZ1264" s="30"/>
    </row>
    <row r="1265">
      <c r="A1265" s="30"/>
      <c r="B1265" s="42"/>
      <c r="C1265" s="43"/>
      <c r="D1265" s="30"/>
      <c r="E1265" s="28"/>
      <c r="F1265" s="30"/>
      <c r="G1265" s="30"/>
      <c r="H1265" s="30"/>
      <c r="I1265" s="30"/>
      <c r="J1265" s="28"/>
      <c r="K1265" s="30"/>
      <c r="L1265" s="30"/>
      <c r="M1265" s="30"/>
      <c r="N1265" s="30"/>
      <c r="O1265" s="28"/>
      <c r="P1265" s="30"/>
      <c r="Q1265" s="30"/>
      <c r="R1265" s="30"/>
      <c r="S1265" s="36"/>
      <c r="T1265" s="30"/>
      <c r="U1265" s="36"/>
      <c r="V1265" s="30"/>
      <c r="W1265" s="28"/>
      <c r="X1265" s="30"/>
      <c r="Y1265" s="30"/>
      <c r="Z1265" s="30"/>
      <c r="AA1265" s="30"/>
      <c r="AB1265" s="30"/>
      <c r="AC1265" s="28"/>
      <c r="AD1265" s="30"/>
      <c r="AE1265" s="30"/>
      <c r="AF1265" s="30"/>
      <c r="AG1265" s="29"/>
      <c r="AH1265" s="30"/>
      <c r="AI1265" s="36"/>
      <c r="AJ1265" s="30"/>
      <c r="AK1265" s="29"/>
      <c r="AL1265" s="30"/>
      <c r="AM1265" s="30"/>
      <c r="AN1265" s="30"/>
      <c r="AO1265" s="30"/>
      <c r="AP1265" s="30"/>
      <c r="AQ1265" s="38"/>
      <c r="AR1265" s="30"/>
      <c r="AS1265" s="30"/>
      <c r="AT1265" s="29"/>
      <c r="AU1265" s="30"/>
      <c r="AV1265" s="30"/>
      <c r="AW1265" s="30"/>
      <c r="AX1265" s="29"/>
      <c r="AY1265" s="39"/>
      <c r="AZ1265" s="30"/>
      <c r="BA1265" s="30"/>
      <c r="BB1265" s="29"/>
      <c r="BC1265" s="52"/>
      <c r="BD1265" s="30"/>
      <c r="BE1265" s="29"/>
      <c r="BF1265" s="30"/>
      <c r="BG1265" s="30"/>
      <c r="BH1265" s="30"/>
      <c r="BI1265" s="30"/>
      <c r="BJ1265" s="30"/>
      <c r="BK1265" s="30"/>
      <c r="BL1265" s="30"/>
      <c r="BM1265" s="30"/>
      <c r="BN1265" s="30"/>
      <c r="BO1265" s="30"/>
      <c r="BP1265" s="30"/>
      <c r="BQ1265" s="30"/>
      <c r="BR1265" s="30"/>
      <c r="BS1265" s="30"/>
      <c r="BT1265" s="30"/>
      <c r="BU1265" s="30"/>
      <c r="BV1265" s="30"/>
      <c r="BW1265" s="30"/>
      <c r="BX1265" s="30"/>
      <c r="BY1265" s="30"/>
      <c r="BZ1265" s="30"/>
      <c r="CA1265" s="30"/>
      <c r="CB1265" s="30"/>
      <c r="CC1265" s="30"/>
      <c r="CD1265" s="30"/>
      <c r="CE1265" s="30"/>
      <c r="CF1265" s="30"/>
      <c r="CG1265" s="30"/>
      <c r="CH1265" s="30"/>
      <c r="CI1265" s="30"/>
      <c r="CJ1265" s="30"/>
      <c r="CK1265" s="30"/>
      <c r="CL1265" s="30"/>
      <c r="CM1265" s="30"/>
      <c r="CN1265" s="30"/>
      <c r="CO1265" s="30"/>
      <c r="CP1265" s="30"/>
      <c r="CQ1265" s="30"/>
      <c r="CR1265" s="30"/>
      <c r="CS1265" s="30"/>
      <c r="CT1265" s="30"/>
      <c r="CU1265" s="30"/>
      <c r="CV1265" s="30"/>
      <c r="CW1265" s="30"/>
      <c r="CX1265" s="30"/>
      <c r="CY1265" s="30"/>
      <c r="CZ1265" s="30"/>
      <c r="DA1265" s="30"/>
      <c r="DB1265" s="30"/>
      <c r="DC1265" s="30"/>
      <c r="DD1265" s="30"/>
      <c r="DE1265" s="30"/>
      <c r="DF1265" s="30"/>
      <c r="DG1265" s="30"/>
      <c r="DH1265" s="30"/>
      <c r="DI1265" s="30"/>
      <c r="DJ1265" s="30"/>
      <c r="DK1265" s="30"/>
      <c r="DL1265" s="30"/>
      <c r="DM1265" s="30"/>
      <c r="DN1265" s="30"/>
      <c r="DO1265" s="30"/>
      <c r="DP1265" s="30"/>
      <c r="DQ1265" s="30"/>
      <c r="DR1265" s="30"/>
      <c r="DS1265" s="30"/>
      <c r="DT1265" s="30"/>
      <c r="DU1265" s="30"/>
      <c r="DV1265" s="30"/>
      <c r="DW1265" s="30"/>
      <c r="DX1265" s="30"/>
      <c r="DY1265" s="30"/>
      <c r="DZ1265" s="30"/>
    </row>
    <row r="1266">
      <c r="A1266" s="30"/>
      <c r="B1266" s="42"/>
      <c r="C1266" s="43"/>
      <c r="D1266" s="30"/>
      <c r="E1266" s="28"/>
      <c r="F1266" s="30"/>
      <c r="G1266" s="30"/>
      <c r="H1266" s="30"/>
      <c r="I1266" s="30"/>
      <c r="J1266" s="28"/>
      <c r="K1266" s="30"/>
      <c r="L1266" s="30"/>
      <c r="M1266" s="30"/>
      <c r="N1266" s="30"/>
      <c r="O1266" s="28"/>
      <c r="P1266" s="30"/>
      <c r="Q1266" s="30"/>
      <c r="R1266" s="30"/>
      <c r="S1266" s="36"/>
      <c r="T1266" s="30"/>
      <c r="U1266" s="36"/>
      <c r="V1266" s="30"/>
      <c r="W1266" s="28"/>
      <c r="X1266" s="30"/>
      <c r="Y1266" s="30"/>
      <c r="Z1266" s="30"/>
      <c r="AA1266" s="30"/>
      <c r="AB1266" s="30"/>
      <c r="AC1266" s="28"/>
      <c r="AD1266" s="30"/>
      <c r="AE1266" s="30"/>
      <c r="AF1266" s="30"/>
      <c r="AG1266" s="29"/>
      <c r="AH1266" s="30"/>
      <c r="AI1266" s="36"/>
      <c r="AJ1266" s="30"/>
      <c r="AK1266" s="29"/>
      <c r="AL1266" s="30"/>
      <c r="AM1266" s="30"/>
      <c r="AN1266" s="30"/>
      <c r="AO1266" s="30"/>
      <c r="AP1266" s="30"/>
      <c r="AQ1266" s="38"/>
      <c r="AR1266" s="30"/>
      <c r="AS1266" s="30"/>
      <c r="AT1266" s="29"/>
      <c r="AU1266" s="30"/>
      <c r="AV1266" s="30"/>
      <c r="AW1266" s="30"/>
      <c r="AX1266" s="29"/>
      <c r="AY1266" s="39"/>
      <c r="AZ1266" s="30"/>
      <c r="BA1266" s="30"/>
      <c r="BB1266" s="29"/>
      <c r="BC1266" s="52"/>
      <c r="BD1266" s="30"/>
      <c r="BE1266" s="29"/>
      <c r="BF1266" s="30"/>
      <c r="BG1266" s="30"/>
      <c r="BH1266" s="30"/>
      <c r="BI1266" s="30"/>
      <c r="BJ1266" s="30"/>
      <c r="BK1266" s="30"/>
      <c r="BL1266" s="30"/>
      <c r="BM1266" s="30"/>
      <c r="BN1266" s="30"/>
      <c r="BO1266" s="30"/>
      <c r="BP1266" s="30"/>
      <c r="BQ1266" s="30"/>
      <c r="BR1266" s="30"/>
      <c r="BS1266" s="30"/>
      <c r="BT1266" s="30"/>
      <c r="BU1266" s="30"/>
      <c r="BV1266" s="30"/>
      <c r="BW1266" s="30"/>
      <c r="BX1266" s="30"/>
      <c r="BY1266" s="30"/>
      <c r="BZ1266" s="30"/>
      <c r="CA1266" s="30"/>
      <c r="CB1266" s="30"/>
      <c r="CC1266" s="30"/>
      <c r="CD1266" s="30"/>
      <c r="CE1266" s="30"/>
      <c r="CF1266" s="30"/>
      <c r="CG1266" s="30"/>
      <c r="CH1266" s="30"/>
      <c r="CI1266" s="30"/>
      <c r="CJ1266" s="30"/>
      <c r="CK1266" s="30"/>
      <c r="CL1266" s="30"/>
      <c r="CM1266" s="30"/>
      <c r="CN1266" s="30"/>
      <c r="CO1266" s="30"/>
      <c r="CP1266" s="30"/>
      <c r="CQ1266" s="30"/>
      <c r="CR1266" s="30"/>
      <c r="CS1266" s="30"/>
      <c r="CT1266" s="30"/>
      <c r="CU1266" s="30"/>
      <c r="CV1266" s="30"/>
      <c r="CW1266" s="30"/>
      <c r="CX1266" s="30"/>
      <c r="CY1266" s="30"/>
      <c r="CZ1266" s="30"/>
      <c r="DA1266" s="30"/>
      <c r="DB1266" s="30"/>
      <c r="DC1266" s="30"/>
      <c r="DD1266" s="30"/>
      <c r="DE1266" s="30"/>
      <c r="DF1266" s="30"/>
      <c r="DG1266" s="30"/>
      <c r="DH1266" s="30"/>
      <c r="DI1266" s="30"/>
      <c r="DJ1266" s="30"/>
      <c r="DK1266" s="30"/>
      <c r="DL1266" s="30"/>
      <c r="DM1266" s="30"/>
      <c r="DN1266" s="30"/>
      <c r="DO1266" s="30"/>
      <c r="DP1266" s="30"/>
      <c r="DQ1266" s="30"/>
      <c r="DR1266" s="30"/>
      <c r="DS1266" s="30"/>
      <c r="DT1266" s="30"/>
      <c r="DU1266" s="30"/>
      <c r="DV1266" s="30"/>
      <c r="DW1266" s="30"/>
      <c r="DX1266" s="30"/>
      <c r="DY1266" s="30"/>
      <c r="DZ1266" s="30"/>
    </row>
    <row r="1267">
      <c r="A1267" s="30"/>
      <c r="B1267" s="42"/>
      <c r="C1267" s="43"/>
      <c r="D1267" s="30"/>
      <c r="E1267" s="28"/>
      <c r="F1267" s="30"/>
      <c r="G1267" s="30"/>
      <c r="H1267" s="30"/>
      <c r="I1267" s="30"/>
      <c r="J1267" s="28"/>
      <c r="K1267" s="30"/>
      <c r="L1267" s="30"/>
      <c r="M1267" s="30"/>
      <c r="N1267" s="30"/>
      <c r="O1267" s="28"/>
      <c r="P1267" s="30"/>
      <c r="Q1267" s="30"/>
      <c r="R1267" s="30"/>
      <c r="S1267" s="36"/>
      <c r="T1267" s="30"/>
      <c r="U1267" s="36"/>
      <c r="V1267" s="30"/>
      <c r="W1267" s="28"/>
      <c r="X1267" s="30"/>
      <c r="Y1267" s="30"/>
      <c r="Z1267" s="30"/>
      <c r="AA1267" s="30"/>
      <c r="AB1267" s="30"/>
      <c r="AC1267" s="28"/>
      <c r="AD1267" s="30"/>
      <c r="AE1267" s="30"/>
      <c r="AF1267" s="30"/>
      <c r="AG1267" s="29"/>
      <c r="AH1267" s="30"/>
      <c r="AI1267" s="36"/>
      <c r="AJ1267" s="30"/>
      <c r="AK1267" s="29"/>
      <c r="AL1267" s="30"/>
      <c r="AM1267" s="30"/>
      <c r="AN1267" s="30"/>
      <c r="AO1267" s="30"/>
      <c r="AP1267" s="30"/>
      <c r="AQ1267" s="38"/>
      <c r="AR1267" s="30"/>
      <c r="AS1267" s="30"/>
      <c r="AT1267" s="29"/>
      <c r="AU1267" s="30"/>
      <c r="AV1267" s="30"/>
      <c r="AW1267" s="30"/>
      <c r="AX1267" s="29"/>
      <c r="AY1267" s="39"/>
      <c r="AZ1267" s="30"/>
      <c r="BA1267" s="30"/>
      <c r="BB1267" s="29"/>
      <c r="BC1267" s="52"/>
      <c r="BD1267" s="30"/>
      <c r="BE1267" s="29"/>
      <c r="BF1267" s="30"/>
      <c r="BG1267" s="30"/>
      <c r="BH1267" s="30"/>
      <c r="BI1267" s="30"/>
      <c r="BJ1267" s="30"/>
      <c r="BK1267" s="30"/>
      <c r="BL1267" s="30"/>
      <c r="BM1267" s="30"/>
      <c r="BN1267" s="30"/>
      <c r="BO1267" s="30"/>
      <c r="BP1267" s="30"/>
      <c r="BQ1267" s="30"/>
      <c r="BR1267" s="30"/>
      <c r="BS1267" s="30"/>
      <c r="BT1267" s="30"/>
      <c r="BU1267" s="30"/>
      <c r="BV1267" s="30"/>
      <c r="BW1267" s="30"/>
      <c r="BX1267" s="30"/>
      <c r="BY1267" s="30"/>
      <c r="BZ1267" s="30"/>
      <c r="CA1267" s="30"/>
      <c r="CB1267" s="30"/>
      <c r="CC1267" s="30"/>
      <c r="CD1267" s="30"/>
      <c r="CE1267" s="30"/>
      <c r="CF1267" s="30"/>
      <c r="CG1267" s="30"/>
      <c r="CH1267" s="30"/>
      <c r="CI1267" s="30"/>
      <c r="CJ1267" s="30"/>
      <c r="CK1267" s="30"/>
      <c r="CL1267" s="30"/>
      <c r="CM1267" s="30"/>
      <c r="CN1267" s="30"/>
      <c r="CO1267" s="30"/>
      <c r="CP1267" s="30"/>
      <c r="CQ1267" s="30"/>
      <c r="CR1267" s="30"/>
      <c r="CS1267" s="30"/>
      <c r="CT1267" s="30"/>
      <c r="CU1267" s="30"/>
      <c r="CV1267" s="30"/>
      <c r="CW1267" s="30"/>
      <c r="CX1267" s="30"/>
      <c r="CY1267" s="30"/>
      <c r="CZ1267" s="30"/>
      <c r="DA1267" s="30"/>
      <c r="DB1267" s="30"/>
      <c r="DC1267" s="30"/>
      <c r="DD1267" s="30"/>
      <c r="DE1267" s="30"/>
      <c r="DF1267" s="30"/>
      <c r="DG1267" s="30"/>
      <c r="DH1267" s="30"/>
      <c r="DI1267" s="30"/>
      <c r="DJ1267" s="30"/>
      <c r="DK1267" s="30"/>
      <c r="DL1267" s="30"/>
      <c r="DM1267" s="30"/>
      <c r="DN1267" s="30"/>
      <c r="DO1267" s="30"/>
      <c r="DP1267" s="30"/>
      <c r="DQ1267" s="30"/>
      <c r="DR1267" s="30"/>
      <c r="DS1267" s="30"/>
      <c r="DT1267" s="30"/>
      <c r="DU1267" s="30"/>
      <c r="DV1267" s="30"/>
      <c r="DW1267" s="30"/>
      <c r="DX1267" s="30"/>
      <c r="DY1267" s="30"/>
      <c r="DZ1267" s="30"/>
    </row>
    <row r="1268">
      <c r="A1268" s="30"/>
      <c r="B1268" s="42"/>
      <c r="C1268" s="43"/>
      <c r="D1268" s="30"/>
      <c r="E1268" s="28"/>
      <c r="F1268" s="30"/>
      <c r="G1268" s="30"/>
      <c r="H1268" s="30"/>
      <c r="I1268" s="30"/>
      <c r="J1268" s="28"/>
      <c r="K1268" s="30"/>
      <c r="L1268" s="30"/>
      <c r="M1268" s="30"/>
      <c r="N1268" s="30"/>
      <c r="O1268" s="28"/>
      <c r="P1268" s="30"/>
      <c r="Q1268" s="30"/>
      <c r="R1268" s="30"/>
      <c r="S1268" s="36"/>
      <c r="T1268" s="30"/>
      <c r="U1268" s="36"/>
      <c r="V1268" s="30"/>
      <c r="W1268" s="28"/>
      <c r="X1268" s="30"/>
      <c r="Y1268" s="30"/>
      <c r="Z1268" s="30"/>
      <c r="AA1268" s="30"/>
      <c r="AB1268" s="30"/>
      <c r="AC1268" s="28"/>
      <c r="AD1268" s="30"/>
      <c r="AE1268" s="30"/>
      <c r="AF1268" s="30"/>
      <c r="AG1268" s="29"/>
      <c r="AH1268" s="30"/>
      <c r="AI1268" s="36"/>
      <c r="AJ1268" s="30"/>
      <c r="AK1268" s="29"/>
      <c r="AL1268" s="30"/>
      <c r="AM1268" s="30"/>
      <c r="AN1268" s="30"/>
      <c r="AO1268" s="30"/>
      <c r="AP1268" s="30"/>
      <c r="AQ1268" s="38"/>
      <c r="AR1268" s="30"/>
      <c r="AS1268" s="30"/>
      <c r="AT1268" s="29"/>
      <c r="AU1268" s="30"/>
      <c r="AV1268" s="30"/>
      <c r="AW1268" s="30"/>
      <c r="AX1268" s="29"/>
      <c r="AY1268" s="39"/>
      <c r="AZ1268" s="30"/>
      <c r="BA1268" s="30"/>
      <c r="BB1268" s="29"/>
      <c r="BC1268" s="52"/>
      <c r="BD1268" s="30"/>
      <c r="BE1268" s="29"/>
      <c r="BF1268" s="30"/>
      <c r="BG1268" s="30"/>
      <c r="BH1268" s="30"/>
      <c r="BI1268" s="30"/>
      <c r="BJ1268" s="30"/>
      <c r="BK1268" s="30"/>
      <c r="BL1268" s="30"/>
      <c r="BM1268" s="30"/>
      <c r="BN1268" s="30"/>
      <c r="BO1268" s="30"/>
      <c r="BP1268" s="30"/>
      <c r="BQ1268" s="30"/>
      <c r="BR1268" s="30"/>
      <c r="BS1268" s="30"/>
      <c r="BT1268" s="30"/>
      <c r="BU1268" s="30"/>
      <c r="BV1268" s="30"/>
      <c r="BW1268" s="30"/>
      <c r="BX1268" s="30"/>
      <c r="BY1268" s="30"/>
      <c r="BZ1268" s="30"/>
      <c r="CA1268" s="30"/>
      <c r="CB1268" s="30"/>
      <c r="CC1268" s="30"/>
      <c r="CD1268" s="30"/>
      <c r="CE1268" s="30"/>
      <c r="CF1268" s="30"/>
      <c r="CG1268" s="30"/>
      <c r="CH1268" s="30"/>
      <c r="CI1268" s="30"/>
      <c r="CJ1268" s="30"/>
      <c r="CK1268" s="30"/>
      <c r="CL1268" s="30"/>
      <c r="CM1268" s="30"/>
      <c r="CN1268" s="30"/>
      <c r="CO1268" s="30"/>
      <c r="CP1268" s="30"/>
      <c r="CQ1268" s="30"/>
      <c r="CR1268" s="30"/>
      <c r="CS1268" s="30"/>
      <c r="CT1268" s="30"/>
      <c r="CU1268" s="30"/>
      <c r="CV1268" s="30"/>
      <c r="CW1268" s="30"/>
      <c r="CX1268" s="30"/>
      <c r="CY1268" s="30"/>
      <c r="CZ1268" s="30"/>
      <c r="DA1268" s="30"/>
      <c r="DB1268" s="30"/>
      <c r="DC1268" s="30"/>
      <c r="DD1268" s="30"/>
      <c r="DE1268" s="30"/>
      <c r="DF1268" s="30"/>
      <c r="DG1268" s="30"/>
      <c r="DH1268" s="30"/>
      <c r="DI1268" s="30"/>
      <c r="DJ1268" s="30"/>
      <c r="DK1268" s="30"/>
      <c r="DL1268" s="30"/>
      <c r="DM1268" s="30"/>
      <c r="DN1268" s="30"/>
      <c r="DO1268" s="30"/>
      <c r="DP1268" s="30"/>
      <c r="DQ1268" s="30"/>
      <c r="DR1268" s="30"/>
      <c r="DS1268" s="30"/>
      <c r="DT1268" s="30"/>
      <c r="DU1268" s="30"/>
      <c r="DV1268" s="30"/>
      <c r="DW1268" s="30"/>
      <c r="DX1268" s="30"/>
      <c r="DY1268" s="30"/>
      <c r="DZ1268" s="30"/>
    </row>
    <row r="1269">
      <c r="A1269" s="30"/>
      <c r="B1269" s="42"/>
      <c r="C1269" s="43"/>
      <c r="D1269" s="30"/>
      <c r="E1269" s="28"/>
      <c r="F1269" s="30"/>
      <c r="G1269" s="30"/>
      <c r="H1269" s="30"/>
      <c r="I1269" s="30"/>
      <c r="J1269" s="28"/>
      <c r="K1269" s="30"/>
      <c r="L1269" s="30"/>
      <c r="M1269" s="30"/>
      <c r="N1269" s="30"/>
      <c r="O1269" s="28"/>
      <c r="P1269" s="30"/>
      <c r="Q1269" s="30"/>
      <c r="R1269" s="30"/>
      <c r="S1269" s="36"/>
      <c r="T1269" s="30"/>
      <c r="U1269" s="36"/>
      <c r="V1269" s="30"/>
      <c r="W1269" s="28"/>
      <c r="X1269" s="30"/>
      <c r="Y1269" s="30"/>
      <c r="Z1269" s="30"/>
      <c r="AA1269" s="30"/>
      <c r="AB1269" s="30"/>
      <c r="AC1269" s="28"/>
      <c r="AD1269" s="30"/>
      <c r="AE1269" s="30"/>
      <c r="AF1269" s="30"/>
      <c r="AG1269" s="29"/>
      <c r="AH1269" s="30"/>
      <c r="AI1269" s="36"/>
      <c r="AJ1269" s="30"/>
      <c r="AK1269" s="29"/>
      <c r="AL1269" s="30"/>
      <c r="AM1269" s="30"/>
      <c r="AN1269" s="30"/>
      <c r="AO1269" s="30"/>
      <c r="AP1269" s="30"/>
      <c r="AQ1269" s="38"/>
      <c r="AR1269" s="30"/>
      <c r="AS1269" s="30"/>
      <c r="AT1269" s="29"/>
      <c r="AU1269" s="30"/>
      <c r="AV1269" s="30"/>
      <c r="AW1269" s="30"/>
      <c r="AX1269" s="29"/>
      <c r="AY1269" s="39"/>
      <c r="AZ1269" s="30"/>
      <c r="BA1269" s="30"/>
      <c r="BB1269" s="29"/>
      <c r="BC1269" s="52"/>
      <c r="BD1269" s="30"/>
      <c r="BE1269" s="29"/>
      <c r="BF1269" s="30"/>
      <c r="BG1269" s="30"/>
      <c r="BH1269" s="30"/>
      <c r="BI1269" s="30"/>
      <c r="BJ1269" s="30"/>
      <c r="BK1269" s="30"/>
      <c r="BL1269" s="30"/>
      <c r="BM1269" s="30"/>
      <c r="BN1269" s="30"/>
      <c r="BO1269" s="30"/>
      <c r="BP1269" s="30"/>
      <c r="BQ1269" s="30"/>
      <c r="BR1269" s="30"/>
      <c r="BS1269" s="30"/>
      <c r="BT1269" s="30"/>
      <c r="BU1269" s="30"/>
      <c r="BV1269" s="30"/>
      <c r="BW1269" s="30"/>
      <c r="BX1269" s="30"/>
      <c r="BY1269" s="30"/>
      <c r="BZ1269" s="30"/>
      <c r="CA1269" s="30"/>
      <c r="CB1269" s="30"/>
      <c r="CC1269" s="30"/>
      <c r="CD1269" s="30"/>
      <c r="CE1269" s="30"/>
      <c r="CF1269" s="30"/>
      <c r="CG1269" s="30"/>
      <c r="CH1269" s="30"/>
      <c r="CI1269" s="30"/>
      <c r="CJ1269" s="30"/>
      <c r="CK1269" s="30"/>
      <c r="CL1269" s="30"/>
      <c r="CM1269" s="30"/>
      <c r="CN1269" s="30"/>
      <c r="CO1269" s="30"/>
      <c r="CP1269" s="30"/>
      <c r="CQ1269" s="30"/>
      <c r="CR1269" s="30"/>
      <c r="CS1269" s="30"/>
      <c r="CT1269" s="30"/>
      <c r="CU1269" s="30"/>
      <c r="CV1269" s="30"/>
      <c r="CW1269" s="30"/>
      <c r="CX1269" s="30"/>
      <c r="CY1269" s="30"/>
      <c r="CZ1269" s="30"/>
      <c r="DA1269" s="30"/>
      <c r="DB1269" s="30"/>
      <c r="DC1269" s="30"/>
      <c r="DD1269" s="30"/>
      <c r="DE1269" s="30"/>
      <c r="DF1269" s="30"/>
      <c r="DG1269" s="30"/>
      <c r="DH1269" s="30"/>
      <c r="DI1269" s="30"/>
      <c r="DJ1269" s="30"/>
      <c r="DK1269" s="30"/>
      <c r="DL1269" s="30"/>
      <c r="DM1269" s="30"/>
      <c r="DN1269" s="30"/>
      <c r="DO1269" s="30"/>
      <c r="DP1269" s="30"/>
      <c r="DQ1269" s="30"/>
      <c r="DR1269" s="30"/>
      <c r="DS1269" s="30"/>
      <c r="DT1269" s="30"/>
      <c r="DU1269" s="30"/>
      <c r="DV1269" s="30"/>
      <c r="DW1269" s="30"/>
      <c r="DX1269" s="30"/>
      <c r="DY1269" s="30"/>
      <c r="DZ1269" s="30"/>
    </row>
    <row r="1270">
      <c r="A1270" s="30"/>
      <c r="B1270" s="42"/>
      <c r="C1270" s="43"/>
      <c r="D1270" s="30"/>
      <c r="E1270" s="28"/>
      <c r="F1270" s="30"/>
      <c r="G1270" s="30"/>
      <c r="H1270" s="30"/>
      <c r="I1270" s="30"/>
      <c r="J1270" s="28"/>
      <c r="K1270" s="30"/>
      <c r="L1270" s="30"/>
      <c r="M1270" s="30"/>
      <c r="N1270" s="30"/>
      <c r="O1270" s="28"/>
      <c r="P1270" s="30"/>
      <c r="Q1270" s="30"/>
      <c r="R1270" s="30"/>
      <c r="S1270" s="36"/>
      <c r="T1270" s="30"/>
      <c r="U1270" s="36"/>
      <c r="V1270" s="30"/>
      <c r="W1270" s="28"/>
      <c r="X1270" s="30"/>
      <c r="Y1270" s="30"/>
      <c r="Z1270" s="30"/>
      <c r="AA1270" s="30"/>
      <c r="AB1270" s="30"/>
      <c r="AC1270" s="28"/>
      <c r="AD1270" s="30"/>
      <c r="AE1270" s="30"/>
      <c r="AF1270" s="30"/>
      <c r="AG1270" s="29"/>
      <c r="AH1270" s="30"/>
      <c r="AI1270" s="36"/>
      <c r="AJ1270" s="30"/>
      <c r="AK1270" s="29"/>
      <c r="AL1270" s="30"/>
      <c r="AM1270" s="30"/>
      <c r="AN1270" s="30"/>
      <c r="AO1270" s="30"/>
      <c r="AP1270" s="30"/>
      <c r="AQ1270" s="38"/>
      <c r="AR1270" s="30"/>
      <c r="AS1270" s="30"/>
      <c r="AT1270" s="29"/>
      <c r="AU1270" s="30"/>
      <c r="AV1270" s="30"/>
      <c r="AW1270" s="30"/>
      <c r="AX1270" s="29"/>
      <c r="AY1270" s="39"/>
      <c r="AZ1270" s="30"/>
      <c r="BA1270" s="30"/>
      <c r="BB1270" s="29"/>
      <c r="BC1270" s="52"/>
      <c r="BD1270" s="30"/>
      <c r="BE1270" s="29"/>
      <c r="BF1270" s="30"/>
      <c r="BG1270" s="30"/>
      <c r="BH1270" s="30"/>
      <c r="BI1270" s="30"/>
      <c r="BJ1270" s="30"/>
      <c r="BK1270" s="30"/>
      <c r="BL1270" s="30"/>
      <c r="BM1270" s="30"/>
      <c r="BN1270" s="30"/>
      <c r="BO1270" s="30"/>
      <c r="BP1270" s="30"/>
      <c r="BQ1270" s="30"/>
      <c r="BR1270" s="30"/>
      <c r="BS1270" s="30"/>
      <c r="BT1270" s="30"/>
      <c r="BU1270" s="30"/>
      <c r="BV1270" s="30"/>
      <c r="BW1270" s="30"/>
      <c r="BX1270" s="30"/>
      <c r="BY1270" s="30"/>
      <c r="BZ1270" s="30"/>
      <c r="CA1270" s="30"/>
      <c r="CB1270" s="30"/>
      <c r="CC1270" s="30"/>
      <c r="CD1270" s="30"/>
      <c r="CE1270" s="30"/>
      <c r="CF1270" s="30"/>
      <c r="CG1270" s="30"/>
      <c r="CH1270" s="30"/>
      <c r="CI1270" s="30"/>
      <c r="CJ1270" s="30"/>
      <c r="CK1270" s="30"/>
      <c r="CL1270" s="30"/>
      <c r="CM1270" s="30"/>
      <c r="CN1270" s="30"/>
      <c r="CO1270" s="30"/>
      <c r="CP1270" s="30"/>
      <c r="CQ1270" s="30"/>
      <c r="CR1270" s="30"/>
      <c r="CS1270" s="30"/>
      <c r="CT1270" s="30"/>
      <c r="CU1270" s="30"/>
      <c r="CV1270" s="30"/>
      <c r="CW1270" s="30"/>
      <c r="CX1270" s="30"/>
      <c r="CY1270" s="30"/>
      <c r="CZ1270" s="30"/>
      <c r="DA1270" s="30"/>
      <c r="DB1270" s="30"/>
      <c r="DC1270" s="30"/>
      <c r="DD1270" s="30"/>
      <c r="DE1270" s="30"/>
      <c r="DF1270" s="30"/>
      <c r="DG1270" s="30"/>
      <c r="DH1270" s="30"/>
      <c r="DI1270" s="30"/>
      <c r="DJ1270" s="30"/>
      <c r="DK1270" s="30"/>
      <c r="DL1270" s="30"/>
      <c r="DM1270" s="30"/>
      <c r="DN1270" s="30"/>
      <c r="DO1270" s="30"/>
      <c r="DP1270" s="30"/>
      <c r="DQ1270" s="30"/>
      <c r="DR1270" s="30"/>
      <c r="DS1270" s="30"/>
      <c r="DT1270" s="30"/>
      <c r="DU1270" s="30"/>
      <c r="DV1270" s="30"/>
      <c r="DW1270" s="30"/>
      <c r="DX1270" s="30"/>
      <c r="DY1270" s="30"/>
      <c r="DZ1270" s="30"/>
    </row>
    <row r="1271">
      <c r="A1271" s="30"/>
      <c r="B1271" s="42"/>
      <c r="C1271" s="43"/>
      <c r="D1271" s="30"/>
      <c r="E1271" s="28"/>
      <c r="F1271" s="30"/>
      <c r="G1271" s="30"/>
      <c r="H1271" s="30"/>
      <c r="I1271" s="30"/>
      <c r="J1271" s="28"/>
      <c r="K1271" s="30"/>
      <c r="L1271" s="30"/>
      <c r="M1271" s="30"/>
      <c r="N1271" s="30"/>
      <c r="O1271" s="28"/>
      <c r="P1271" s="30"/>
      <c r="Q1271" s="30"/>
      <c r="R1271" s="30"/>
      <c r="S1271" s="36"/>
      <c r="T1271" s="30"/>
      <c r="U1271" s="36"/>
      <c r="V1271" s="30"/>
      <c r="W1271" s="28"/>
      <c r="X1271" s="30"/>
      <c r="Y1271" s="30"/>
      <c r="Z1271" s="30"/>
      <c r="AA1271" s="30"/>
      <c r="AB1271" s="30"/>
      <c r="AC1271" s="28"/>
      <c r="AD1271" s="30"/>
      <c r="AE1271" s="30"/>
      <c r="AF1271" s="30"/>
      <c r="AG1271" s="29"/>
      <c r="AH1271" s="30"/>
      <c r="AI1271" s="36"/>
      <c r="AJ1271" s="30"/>
      <c r="AK1271" s="29"/>
      <c r="AL1271" s="30"/>
      <c r="AM1271" s="30"/>
      <c r="AN1271" s="30"/>
      <c r="AO1271" s="30"/>
      <c r="AP1271" s="30"/>
      <c r="AQ1271" s="38"/>
      <c r="AR1271" s="30"/>
      <c r="AS1271" s="30"/>
      <c r="AT1271" s="29"/>
      <c r="AU1271" s="30"/>
      <c r="AV1271" s="30"/>
      <c r="AW1271" s="30"/>
      <c r="AX1271" s="29"/>
      <c r="AY1271" s="39"/>
      <c r="AZ1271" s="30"/>
      <c r="BA1271" s="30"/>
      <c r="BB1271" s="29"/>
      <c r="BC1271" s="52"/>
      <c r="BD1271" s="30"/>
      <c r="BE1271" s="29"/>
      <c r="BF1271" s="30"/>
      <c r="BG1271" s="30"/>
      <c r="BH1271" s="30"/>
      <c r="BI1271" s="30"/>
      <c r="BJ1271" s="30"/>
      <c r="BK1271" s="30"/>
      <c r="BL1271" s="30"/>
      <c r="BM1271" s="30"/>
      <c r="BN1271" s="30"/>
      <c r="BO1271" s="30"/>
      <c r="BP1271" s="30"/>
      <c r="BQ1271" s="30"/>
      <c r="BR1271" s="30"/>
      <c r="BS1271" s="30"/>
      <c r="BT1271" s="30"/>
      <c r="BU1271" s="30"/>
      <c r="BV1271" s="30"/>
      <c r="BW1271" s="30"/>
      <c r="BX1271" s="30"/>
      <c r="BY1271" s="30"/>
      <c r="BZ1271" s="30"/>
      <c r="CA1271" s="30"/>
      <c r="CB1271" s="30"/>
      <c r="CC1271" s="30"/>
      <c r="CD1271" s="30"/>
      <c r="CE1271" s="30"/>
      <c r="CF1271" s="30"/>
      <c r="CG1271" s="30"/>
      <c r="CH1271" s="30"/>
      <c r="CI1271" s="30"/>
      <c r="CJ1271" s="30"/>
      <c r="CK1271" s="30"/>
      <c r="CL1271" s="30"/>
      <c r="CM1271" s="30"/>
      <c r="CN1271" s="30"/>
      <c r="CO1271" s="30"/>
      <c r="CP1271" s="30"/>
      <c r="CQ1271" s="30"/>
      <c r="CR1271" s="30"/>
      <c r="CS1271" s="30"/>
      <c r="CT1271" s="30"/>
      <c r="CU1271" s="30"/>
      <c r="CV1271" s="30"/>
      <c r="CW1271" s="30"/>
      <c r="CX1271" s="30"/>
      <c r="CY1271" s="30"/>
      <c r="CZ1271" s="30"/>
      <c r="DA1271" s="30"/>
      <c r="DB1271" s="30"/>
      <c r="DC1271" s="30"/>
      <c r="DD1271" s="30"/>
      <c r="DE1271" s="30"/>
      <c r="DF1271" s="30"/>
      <c r="DG1271" s="30"/>
      <c r="DH1271" s="30"/>
      <c r="DI1271" s="30"/>
      <c r="DJ1271" s="30"/>
      <c r="DK1271" s="30"/>
      <c r="DL1271" s="30"/>
      <c r="DM1271" s="30"/>
      <c r="DN1271" s="30"/>
      <c r="DO1271" s="30"/>
      <c r="DP1271" s="30"/>
      <c r="DQ1271" s="30"/>
      <c r="DR1271" s="30"/>
      <c r="DS1271" s="30"/>
      <c r="DT1271" s="30"/>
      <c r="DU1271" s="30"/>
      <c r="DV1271" s="30"/>
      <c r="DW1271" s="30"/>
      <c r="DX1271" s="30"/>
      <c r="DY1271" s="30"/>
      <c r="DZ1271" s="30"/>
    </row>
    <row r="1272">
      <c r="A1272" s="30"/>
      <c r="B1272" s="42"/>
      <c r="C1272" s="43"/>
      <c r="D1272" s="30"/>
      <c r="E1272" s="28"/>
      <c r="F1272" s="30"/>
      <c r="G1272" s="30"/>
      <c r="H1272" s="30"/>
      <c r="I1272" s="30"/>
      <c r="J1272" s="28"/>
      <c r="K1272" s="30"/>
      <c r="L1272" s="30"/>
      <c r="M1272" s="30"/>
      <c r="N1272" s="30"/>
      <c r="O1272" s="28"/>
      <c r="P1272" s="30"/>
      <c r="Q1272" s="30"/>
      <c r="R1272" s="30"/>
      <c r="S1272" s="36"/>
      <c r="T1272" s="30"/>
      <c r="U1272" s="36"/>
      <c r="V1272" s="30"/>
      <c r="W1272" s="28"/>
      <c r="X1272" s="30"/>
      <c r="Y1272" s="30"/>
      <c r="Z1272" s="30"/>
      <c r="AA1272" s="30"/>
      <c r="AB1272" s="30"/>
      <c r="AC1272" s="28"/>
      <c r="AD1272" s="30"/>
      <c r="AE1272" s="30"/>
      <c r="AF1272" s="30"/>
      <c r="AG1272" s="29"/>
      <c r="AH1272" s="30"/>
      <c r="AI1272" s="36"/>
      <c r="AJ1272" s="30"/>
      <c r="AK1272" s="29"/>
      <c r="AL1272" s="30"/>
      <c r="AM1272" s="30"/>
      <c r="AN1272" s="30"/>
      <c r="AO1272" s="30"/>
      <c r="AP1272" s="30"/>
      <c r="AQ1272" s="38"/>
      <c r="AR1272" s="30"/>
      <c r="AS1272" s="30"/>
      <c r="AT1272" s="29"/>
      <c r="AU1272" s="30"/>
      <c r="AV1272" s="30"/>
      <c r="AW1272" s="30"/>
      <c r="AX1272" s="29"/>
      <c r="AY1272" s="39"/>
      <c r="AZ1272" s="30"/>
      <c r="BA1272" s="30"/>
      <c r="BB1272" s="29"/>
      <c r="BC1272" s="52"/>
      <c r="BD1272" s="30"/>
      <c r="BE1272" s="29"/>
      <c r="BF1272" s="30"/>
      <c r="BG1272" s="30"/>
      <c r="BH1272" s="30"/>
      <c r="BI1272" s="30"/>
      <c r="BJ1272" s="30"/>
      <c r="BK1272" s="30"/>
      <c r="BL1272" s="30"/>
      <c r="BM1272" s="30"/>
      <c r="BN1272" s="30"/>
      <c r="BO1272" s="30"/>
      <c r="BP1272" s="30"/>
      <c r="BQ1272" s="30"/>
      <c r="BR1272" s="30"/>
      <c r="BS1272" s="30"/>
      <c r="BT1272" s="30"/>
      <c r="BU1272" s="30"/>
      <c r="BV1272" s="30"/>
      <c r="BW1272" s="30"/>
      <c r="BX1272" s="30"/>
      <c r="BY1272" s="30"/>
      <c r="BZ1272" s="30"/>
      <c r="CA1272" s="30"/>
      <c r="CB1272" s="30"/>
      <c r="CC1272" s="30"/>
      <c r="CD1272" s="30"/>
      <c r="CE1272" s="30"/>
      <c r="CF1272" s="30"/>
      <c r="CG1272" s="30"/>
      <c r="CH1272" s="30"/>
      <c r="CI1272" s="30"/>
      <c r="CJ1272" s="30"/>
      <c r="CK1272" s="30"/>
      <c r="CL1272" s="30"/>
      <c r="CM1272" s="30"/>
      <c r="CN1272" s="30"/>
      <c r="CO1272" s="30"/>
      <c r="CP1272" s="30"/>
      <c r="CQ1272" s="30"/>
      <c r="CR1272" s="30"/>
      <c r="CS1272" s="30"/>
      <c r="CT1272" s="30"/>
      <c r="CU1272" s="30"/>
      <c r="CV1272" s="30"/>
      <c r="CW1272" s="30"/>
      <c r="CX1272" s="30"/>
      <c r="CY1272" s="30"/>
      <c r="CZ1272" s="30"/>
      <c r="DA1272" s="30"/>
      <c r="DB1272" s="30"/>
      <c r="DC1272" s="30"/>
      <c r="DD1272" s="30"/>
      <c r="DE1272" s="30"/>
      <c r="DF1272" s="30"/>
      <c r="DG1272" s="30"/>
      <c r="DH1272" s="30"/>
      <c r="DI1272" s="30"/>
      <c r="DJ1272" s="30"/>
      <c r="DK1272" s="30"/>
      <c r="DL1272" s="30"/>
      <c r="DM1272" s="30"/>
      <c r="DN1272" s="30"/>
      <c r="DO1272" s="30"/>
      <c r="DP1272" s="30"/>
      <c r="DQ1272" s="30"/>
      <c r="DR1272" s="30"/>
      <c r="DS1272" s="30"/>
      <c r="DT1272" s="30"/>
      <c r="DU1272" s="30"/>
      <c r="DV1272" s="30"/>
      <c r="DW1272" s="30"/>
      <c r="DX1272" s="30"/>
      <c r="DY1272" s="30"/>
      <c r="DZ1272" s="30"/>
    </row>
    <row r="1273">
      <c r="A1273" s="30"/>
      <c r="B1273" s="42"/>
      <c r="C1273" s="43"/>
      <c r="D1273" s="30"/>
      <c r="E1273" s="28"/>
      <c r="F1273" s="30"/>
      <c r="G1273" s="30"/>
      <c r="H1273" s="30"/>
      <c r="I1273" s="30"/>
      <c r="J1273" s="28"/>
      <c r="K1273" s="30"/>
      <c r="L1273" s="30"/>
      <c r="M1273" s="30"/>
      <c r="N1273" s="30"/>
      <c r="O1273" s="28"/>
      <c r="P1273" s="30"/>
      <c r="Q1273" s="30"/>
      <c r="R1273" s="30"/>
      <c r="S1273" s="36"/>
      <c r="T1273" s="30"/>
      <c r="U1273" s="36"/>
      <c r="V1273" s="30"/>
      <c r="W1273" s="28"/>
      <c r="X1273" s="30"/>
      <c r="Y1273" s="30"/>
      <c r="Z1273" s="30"/>
      <c r="AA1273" s="30"/>
      <c r="AB1273" s="30"/>
      <c r="AC1273" s="28"/>
      <c r="AD1273" s="30"/>
      <c r="AE1273" s="30"/>
      <c r="AF1273" s="30"/>
      <c r="AG1273" s="29"/>
      <c r="AH1273" s="30"/>
      <c r="AI1273" s="36"/>
      <c r="AJ1273" s="30"/>
      <c r="AK1273" s="29"/>
      <c r="AL1273" s="30"/>
      <c r="AM1273" s="30"/>
      <c r="AN1273" s="30"/>
      <c r="AO1273" s="30"/>
      <c r="AP1273" s="30"/>
      <c r="AQ1273" s="38"/>
      <c r="AR1273" s="30"/>
      <c r="AS1273" s="30"/>
      <c r="AT1273" s="29"/>
      <c r="AU1273" s="30"/>
      <c r="AV1273" s="30"/>
      <c r="AW1273" s="30"/>
      <c r="AX1273" s="29"/>
      <c r="AY1273" s="39"/>
      <c r="AZ1273" s="30"/>
      <c r="BA1273" s="30"/>
      <c r="BB1273" s="29"/>
      <c r="BC1273" s="52"/>
      <c r="BD1273" s="30"/>
      <c r="BE1273" s="29"/>
      <c r="BF1273" s="30"/>
      <c r="BG1273" s="30"/>
      <c r="BH1273" s="30"/>
      <c r="BI1273" s="30"/>
      <c r="BJ1273" s="30"/>
      <c r="BK1273" s="30"/>
      <c r="BL1273" s="30"/>
      <c r="BM1273" s="30"/>
      <c r="BN1273" s="30"/>
      <c r="BO1273" s="30"/>
      <c r="BP1273" s="30"/>
      <c r="BQ1273" s="30"/>
      <c r="BR1273" s="30"/>
      <c r="BS1273" s="30"/>
      <c r="BT1273" s="30"/>
      <c r="BU1273" s="30"/>
      <c r="BV1273" s="30"/>
      <c r="BW1273" s="30"/>
      <c r="BX1273" s="30"/>
      <c r="BY1273" s="30"/>
      <c r="BZ1273" s="30"/>
      <c r="CA1273" s="30"/>
      <c r="CB1273" s="30"/>
      <c r="CC1273" s="30"/>
      <c r="CD1273" s="30"/>
      <c r="CE1273" s="30"/>
      <c r="CF1273" s="30"/>
      <c r="CG1273" s="30"/>
      <c r="CH1273" s="30"/>
      <c r="CI1273" s="30"/>
      <c r="CJ1273" s="30"/>
      <c r="CK1273" s="30"/>
      <c r="CL1273" s="30"/>
      <c r="CM1273" s="30"/>
      <c r="CN1273" s="30"/>
      <c r="CO1273" s="30"/>
      <c r="CP1273" s="30"/>
      <c r="CQ1273" s="30"/>
      <c r="CR1273" s="30"/>
      <c r="CS1273" s="30"/>
      <c r="CT1273" s="30"/>
      <c r="CU1273" s="30"/>
      <c r="CV1273" s="30"/>
      <c r="CW1273" s="30"/>
      <c r="CX1273" s="30"/>
      <c r="CY1273" s="30"/>
      <c r="CZ1273" s="30"/>
      <c r="DA1273" s="30"/>
      <c r="DB1273" s="30"/>
      <c r="DC1273" s="30"/>
      <c r="DD1273" s="30"/>
      <c r="DE1273" s="30"/>
      <c r="DF1273" s="30"/>
      <c r="DG1273" s="30"/>
      <c r="DH1273" s="30"/>
      <c r="DI1273" s="30"/>
      <c r="DJ1273" s="30"/>
      <c r="DK1273" s="30"/>
      <c r="DL1273" s="30"/>
      <c r="DM1273" s="30"/>
      <c r="DN1273" s="30"/>
      <c r="DO1273" s="30"/>
      <c r="DP1273" s="30"/>
      <c r="DQ1273" s="30"/>
      <c r="DR1273" s="30"/>
      <c r="DS1273" s="30"/>
      <c r="DT1273" s="30"/>
      <c r="DU1273" s="30"/>
      <c r="DV1273" s="30"/>
      <c r="DW1273" s="30"/>
      <c r="DX1273" s="30"/>
      <c r="DY1273" s="30"/>
      <c r="DZ1273" s="30"/>
    </row>
    <row r="1274">
      <c r="A1274" s="30"/>
      <c r="B1274" s="42"/>
      <c r="C1274" s="43"/>
      <c r="D1274" s="30"/>
      <c r="E1274" s="28"/>
      <c r="F1274" s="30"/>
      <c r="G1274" s="30"/>
      <c r="H1274" s="30"/>
      <c r="I1274" s="30"/>
      <c r="J1274" s="28"/>
      <c r="K1274" s="30"/>
      <c r="L1274" s="30"/>
      <c r="M1274" s="30"/>
      <c r="N1274" s="30"/>
      <c r="O1274" s="28"/>
      <c r="P1274" s="30"/>
      <c r="Q1274" s="30"/>
      <c r="R1274" s="30"/>
      <c r="S1274" s="36"/>
      <c r="T1274" s="30"/>
      <c r="U1274" s="36"/>
      <c r="V1274" s="30"/>
      <c r="W1274" s="28"/>
      <c r="X1274" s="30"/>
      <c r="Y1274" s="30"/>
      <c r="Z1274" s="30"/>
      <c r="AA1274" s="30"/>
      <c r="AB1274" s="30"/>
      <c r="AC1274" s="28"/>
      <c r="AD1274" s="30"/>
      <c r="AE1274" s="30"/>
      <c r="AF1274" s="30"/>
      <c r="AG1274" s="29"/>
      <c r="AH1274" s="30"/>
      <c r="AI1274" s="36"/>
      <c r="AJ1274" s="30"/>
      <c r="AK1274" s="29"/>
      <c r="AL1274" s="30"/>
      <c r="AM1274" s="30"/>
      <c r="AN1274" s="30"/>
      <c r="AO1274" s="30"/>
      <c r="AP1274" s="30"/>
      <c r="AQ1274" s="38"/>
      <c r="AR1274" s="30"/>
      <c r="AS1274" s="30"/>
      <c r="AT1274" s="29"/>
      <c r="AU1274" s="30"/>
      <c r="AV1274" s="30"/>
      <c r="AW1274" s="30"/>
      <c r="AX1274" s="29"/>
      <c r="AY1274" s="39"/>
      <c r="AZ1274" s="30"/>
      <c r="BA1274" s="30"/>
      <c r="BB1274" s="29"/>
      <c r="BC1274" s="52"/>
      <c r="BD1274" s="30"/>
      <c r="BE1274" s="29"/>
      <c r="BF1274" s="30"/>
      <c r="BG1274" s="30"/>
      <c r="BH1274" s="30"/>
      <c r="BI1274" s="30"/>
      <c r="BJ1274" s="30"/>
      <c r="BK1274" s="30"/>
      <c r="BL1274" s="30"/>
      <c r="BM1274" s="30"/>
      <c r="BN1274" s="30"/>
      <c r="BO1274" s="30"/>
      <c r="BP1274" s="30"/>
      <c r="BQ1274" s="30"/>
      <c r="BR1274" s="30"/>
      <c r="BS1274" s="30"/>
      <c r="BT1274" s="30"/>
      <c r="BU1274" s="30"/>
      <c r="BV1274" s="30"/>
      <c r="BW1274" s="30"/>
      <c r="BX1274" s="30"/>
      <c r="BY1274" s="30"/>
      <c r="BZ1274" s="30"/>
      <c r="CA1274" s="30"/>
      <c r="CB1274" s="30"/>
      <c r="CC1274" s="30"/>
      <c r="CD1274" s="30"/>
      <c r="CE1274" s="30"/>
      <c r="CF1274" s="30"/>
      <c r="CG1274" s="30"/>
      <c r="CH1274" s="30"/>
      <c r="CI1274" s="30"/>
      <c r="CJ1274" s="30"/>
      <c r="CK1274" s="30"/>
      <c r="CL1274" s="30"/>
      <c r="CM1274" s="30"/>
      <c r="CN1274" s="30"/>
      <c r="CO1274" s="30"/>
      <c r="CP1274" s="30"/>
      <c r="CQ1274" s="30"/>
      <c r="CR1274" s="30"/>
      <c r="CS1274" s="30"/>
      <c r="CT1274" s="30"/>
      <c r="CU1274" s="30"/>
      <c r="CV1274" s="30"/>
      <c r="CW1274" s="30"/>
      <c r="CX1274" s="30"/>
      <c r="CY1274" s="30"/>
      <c r="CZ1274" s="30"/>
      <c r="DA1274" s="30"/>
      <c r="DB1274" s="30"/>
      <c r="DC1274" s="30"/>
      <c r="DD1274" s="30"/>
      <c r="DE1274" s="30"/>
      <c r="DF1274" s="30"/>
      <c r="DG1274" s="30"/>
      <c r="DH1274" s="30"/>
      <c r="DI1274" s="30"/>
      <c r="DJ1274" s="30"/>
      <c r="DK1274" s="30"/>
      <c r="DL1274" s="30"/>
      <c r="DM1274" s="30"/>
      <c r="DN1274" s="30"/>
      <c r="DO1274" s="30"/>
      <c r="DP1274" s="30"/>
      <c r="DQ1274" s="30"/>
      <c r="DR1274" s="30"/>
      <c r="DS1274" s="30"/>
      <c r="DT1274" s="30"/>
      <c r="DU1274" s="30"/>
      <c r="DV1274" s="30"/>
      <c r="DW1274" s="30"/>
      <c r="DX1274" s="30"/>
      <c r="DY1274" s="30"/>
      <c r="DZ1274" s="30"/>
    </row>
    <row r="1275">
      <c r="A1275" s="30"/>
      <c r="B1275" s="42"/>
      <c r="C1275" s="43"/>
      <c r="D1275" s="30"/>
      <c r="E1275" s="28"/>
      <c r="F1275" s="30"/>
      <c r="G1275" s="30"/>
      <c r="H1275" s="30"/>
      <c r="I1275" s="30"/>
      <c r="J1275" s="28"/>
      <c r="K1275" s="30"/>
      <c r="L1275" s="30"/>
      <c r="M1275" s="30"/>
      <c r="N1275" s="30"/>
      <c r="O1275" s="28"/>
      <c r="P1275" s="30"/>
      <c r="Q1275" s="30"/>
      <c r="R1275" s="30"/>
      <c r="S1275" s="36"/>
      <c r="T1275" s="30"/>
      <c r="U1275" s="36"/>
      <c r="V1275" s="30"/>
      <c r="W1275" s="28"/>
      <c r="X1275" s="30"/>
      <c r="Y1275" s="30"/>
      <c r="Z1275" s="30"/>
      <c r="AA1275" s="30"/>
      <c r="AB1275" s="30"/>
      <c r="AC1275" s="28"/>
      <c r="AD1275" s="30"/>
      <c r="AE1275" s="30"/>
      <c r="AF1275" s="30"/>
      <c r="AG1275" s="29"/>
      <c r="AH1275" s="30"/>
      <c r="AI1275" s="36"/>
      <c r="AJ1275" s="30"/>
      <c r="AK1275" s="29"/>
      <c r="AL1275" s="30"/>
      <c r="AM1275" s="30"/>
      <c r="AN1275" s="30"/>
      <c r="AO1275" s="30"/>
      <c r="AP1275" s="30"/>
      <c r="AQ1275" s="38"/>
      <c r="AR1275" s="30"/>
      <c r="AS1275" s="30"/>
      <c r="AT1275" s="29"/>
      <c r="AU1275" s="30"/>
      <c r="AV1275" s="30"/>
      <c r="AW1275" s="30"/>
      <c r="AX1275" s="29"/>
      <c r="AY1275" s="39"/>
      <c r="AZ1275" s="30"/>
      <c r="BA1275" s="30"/>
      <c r="BB1275" s="29"/>
      <c r="BC1275" s="52"/>
      <c r="BD1275" s="30"/>
      <c r="BE1275" s="29"/>
      <c r="BF1275" s="30"/>
      <c r="BG1275" s="30"/>
      <c r="BH1275" s="30"/>
      <c r="BI1275" s="30"/>
      <c r="BJ1275" s="30"/>
      <c r="BK1275" s="30"/>
      <c r="BL1275" s="30"/>
      <c r="BM1275" s="30"/>
      <c r="BN1275" s="30"/>
      <c r="BO1275" s="30"/>
      <c r="BP1275" s="30"/>
      <c r="BQ1275" s="30"/>
      <c r="BR1275" s="30"/>
      <c r="BS1275" s="30"/>
      <c r="BT1275" s="30"/>
      <c r="BU1275" s="30"/>
      <c r="BV1275" s="30"/>
      <c r="BW1275" s="30"/>
      <c r="BX1275" s="30"/>
      <c r="BY1275" s="30"/>
      <c r="BZ1275" s="30"/>
      <c r="CA1275" s="30"/>
      <c r="CB1275" s="30"/>
      <c r="CC1275" s="30"/>
      <c r="CD1275" s="30"/>
      <c r="CE1275" s="30"/>
      <c r="CF1275" s="30"/>
      <c r="CG1275" s="30"/>
      <c r="CH1275" s="30"/>
      <c r="CI1275" s="30"/>
      <c r="CJ1275" s="30"/>
      <c r="CK1275" s="30"/>
      <c r="CL1275" s="30"/>
      <c r="CM1275" s="30"/>
      <c r="CN1275" s="30"/>
      <c r="CO1275" s="30"/>
      <c r="CP1275" s="30"/>
      <c r="CQ1275" s="30"/>
      <c r="CR1275" s="30"/>
      <c r="CS1275" s="30"/>
      <c r="CT1275" s="30"/>
      <c r="CU1275" s="30"/>
      <c r="CV1275" s="30"/>
      <c r="CW1275" s="30"/>
      <c r="CX1275" s="30"/>
      <c r="CY1275" s="30"/>
      <c r="CZ1275" s="30"/>
      <c r="DA1275" s="30"/>
      <c r="DB1275" s="30"/>
      <c r="DC1275" s="30"/>
      <c r="DD1275" s="30"/>
      <c r="DE1275" s="30"/>
      <c r="DF1275" s="30"/>
      <c r="DG1275" s="30"/>
      <c r="DH1275" s="30"/>
      <c r="DI1275" s="30"/>
      <c r="DJ1275" s="30"/>
      <c r="DK1275" s="30"/>
      <c r="DL1275" s="30"/>
      <c r="DM1275" s="30"/>
      <c r="DN1275" s="30"/>
      <c r="DO1275" s="30"/>
      <c r="DP1275" s="30"/>
      <c r="DQ1275" s="30"/>
      <c r="DR1275" s="30"/>
      <c r="DS1275" s="30"/>
      <c r="DT1275" s="30"/>
      <c r="DU1275" s="30"/>
      <c r="DV1275" s="30"/>
      <c r="DW1275" s="30"/>
      <c r="DX1275" s="30"/>
      <c r="DY1275" s="30"/>
      <c r="DZ1275" s="30"/>
    </row>
    <row r="1276">
      <c r="A1276" s="30"/>
      <c r="B1276" s="42"/>
      <c r="C1276" s="43"/>
      <c r="D1276" s="30"/>
      <c r="E1276" s="28"/>
      <c r="F1276" s="30"/>
      <c r="G1276" s="30"/>
      <c r="H1276" s="30"/>
      <c r="I1276" s="30"/>
      <c r="J1276" s="28"/>
      <c r="K1276" s="30"/>
      <c r="L1276" s="30"/>
      <c r="M1276" s="30"/>
      <c r="N1276" s="30"/>
      <c r="O1276" s="28"/>
      <c r="P1276" s="30"/>
      <c r="Q1276" s="30"/>
      <c r="R1276" s="30"/>
      <c r="S1276" s="36"/>
      <c r="T1276" s="30"/>
      <c r="U1276" s="36"/>
      <c r="V1276" s="30"/>
      <c r="W1276" s="28"/>
      <c r="X1276" s="30"/>
      <c r="Y1276" s="30"/>
      <c r="Z1276" s="30"/>
      <c r="AA1276" s="30"/>
      <c r="AB1276" s="30"/>
      <c r="AC1276" s="28"/>
      <c r="AD1276" s="30"/>
      <c r="AE1276" s="30"/>
      <c r="AF1276" s="30"/>
      <c r="AG1276" s="29"/>
      <c r="AH1276" s="30"/>
      <c r="AI1276" s="36"/>
      <c r="AJ1276" s="30"/>
      <c r="AK1276" s="29"/>
      <c r="AL1276" s="30"/>
      <c r="AM1276" s="30"/>
      <c r="AN1276" s="30"/>
      <c r="AO1276" s="30"/>
      <c r="AP1276" s="30"/>
      <c r="AQ1276" s="38"/>
      <c r="AR1276" s="30"/>
      <c r="AS1276" s="30"/>
      <c r="AT1276" s="29"/>
      <c r="AU1276" s="30"/>
      <c r="AV1276" s="30"/>
      <c r="AW1276" s="30"/>
      <c r="AX1276" s="29"/>
      <c r="AY1276" s="39"/>
      <c r="AZ1276" s="30"/>
      <c r="BA1276" s="30"/>
      <c r="BB1276" s="29"/>
      <c r="BC1276" s="52"/>
      <c r="BD1276" s="30"/>
      <c r="BE1276" s="29"/>
      <c r="BF1276" s="30"/>
      <c r="BG1276" s="30"/>
      <c r="BH1276" s="30"/>
      <c r="BI1276" s="30"/>
      <c r="BJ1276" s="30"/>
      <c r="BK1276" s="30"/>
      <c r="BL1276" s="30"/>
      <c r="BM1276" s="30"/>
      <c r="BN1276" s="30"/>
      <c r="BO1276" s="30"/>
      <c r="BP1276" s="30"/>
      <c r="BQ1276" s="30"/>
      <c r="BR1276" s="30"/>
      <c r="BS1276" s="30"/>
      <c r="BT1276" s="30"/>
      <c r="BU1276" s="30"/>
      <c r="BV1276" s="30"/>
      <c r="BW1276" s="30"/>
      <c r="BX1276" s="30"/>
      <c r="BY1276" s="30"/>
      <c r="BZ1276" s="30"/>
      <c r="CA1276" s="30"/>
      <c r="CB1276" s="30"/>
      <c r="CC1276" s="30"/>
      <c r="CD1276" s="30"/>
      <c r="CE1276" s="30"/>
      <c r="CF1276" s="30"/>
      <c r="CG1276" s="30"/>
      <c r="CH1276" s="30"/>
      <c r="CI1276" s="30"/>
      <c r="CJ1276" s="30"/>
      <c r="CK1276" s="30"/>
      <c r="CL1276" s="30"/>
      <c r="CM1276" s="30"/>
      <c r="CN1276" s="30"/>
      <c r="CO1276" s="30"/>
      <c r="CP1276" s="30"/>
      <c r="CQ1276" s="30"/>
      <c r="CR1276" s="30"/>
      <c r="CS1276" s="30"/>
      <c r="CT1276" s="30"/>
      <c r="CU1276" s="30"/>
      <c r="CV1276" s="30"/>
      <c r="CW1276" s="30"/>
      <c r="CX1276" s="30"/>
      <c r="CY1276" s="30"/>
      <c r="CZ1276" s="30"/>
      <c r="DA1276" s="30"/>
      <c r="DB1276" s="30"/>
      <c r="DC1276" s="30"/>
      <c r="DD1276" s="30"/>
      <c r="DE1276" s="30"/>
      <c r="DF1276" s="30"/>
      <c r="DG1276" s="30"/>
      <c r="DH1276" s="30"/>
      <c r="DI1276" s="30"/>
      <c r="DJ1276" s="30"/>
      <c r="DK1276" s="30"/>
      <c r="DL1276" s="30"/>
      <c r="DM1276" s="30"/>
      <c r="DN1276" s="30"/>
      <c r="DO1276" s="30"/>
      <c r="DP1276" s="30"/>
      <c r="DQ1276" s="30"/>
      <c r="DR1276" s="30"/>
      <c r="DS1276" s="30"/>
      <c r="DT1276" s="30"/>
      <c r="DU1276" s="30"/>
      <c r="DV1276" s="30"/>
      <c r="DW1276" s="30"/>
      <c r="DX1276" s="30"/>
      <c r="DY1276" s="30"/>
      <c r="DZ1276" s="30"/>
    </row>
    <row r="1277">
      <c r="A1277" s="30"/>
      <c r="B1277" s="42"/>
      <c r="C1277" s="43"/>
      <c r="D1277" s="30"/>
      <c r="E1277" s="28"/>
      <c r="F1277" s="30"/>
      <c r="G1277" s="30"/>
      <c r="H1277" s="30"/>
      <c r="I1277" s="30"/>
      <c r="J1277" s="28"/>
      <c r="K1277" s="30"/>
      <c r="L1277" s="30"/>
      <c r="M1277" s="30"/>
      <c r="N1277" s="30"/>
      <c r="O1277" s="28"/>
      <c r="P1277" s="30"/>
      <c r="Q1277" s="30"/>
      <c r="R1277" s="30"/>
      <c r="S1277" s="36"/>
      <c r="T1277" s="30"/>
      <c r="U1277" s="36"/>
      <c r="V1277" s="30"/>
      <c r="W1277" s="28"/>
      <c r="X1277" s="30"/>
      <c r="Y1277" s="30"/>
      <c r="Z1277" s="30"/>
      <c r="AA1277" s="30"/>
      <c r="AB1277" s="30"/>
      <c r="AC1277" s="28"/>
      <c r="AD1277" s="30"/>
      <c r="AE1277" s="30"/>
      <c r="AF1277" s="30"/>
      <c r="AG1277" s="29"/>
      <c r="AH1277" s="30"/>
      <c r="AI1277" s="36"/>
      <c r="AJ1277" s="30"/>
      <c r="AK1277" s="29"/>
      <c r="AL1277" s="30"/>
      <c r="AM1277" s="30"/>
      <c r="AN1277" s="30"/>
      <c r="AO1277" s="30"/>
      <c r="AP1277" s="30"/>
      <c r="AQ1277" s="38"/>
      <c r="AR1277" s="30"/>
      <c r="AS1277" s="30"/>
      <c r="AT1277" s="29"/>
      <c r="AU1277" s="30"/>
      <c r="AV1277" s="30"/>
      <c r="AW1277" s="30"/>
      <c r="AX1277" s="29"/>
      <c r="AY1277" s="39"/>
      <c r="AZ1277" s="30"/>
      <c r="BA1277" s="30"/>
      <c r="BB1277" s="29"/>
      <c r="BC1277" s="52"/>
      <c r="BD1277" s="30"/>
      <c r="BE1277" s="29"/>
      <c r="BF1277" s="30"/>
      <c r="BG1277" s="30"/>
      <c r="BH1277" s="30"/>
      <c r="BI1277" s="30"/>
      <c r="BJ1277" s="30"/>
      <c r="BK1277" s="30"/>
      <c r="BL1277" s="30"/>
      <c r="BM1277" s="30"/>
      <c r="BN1277" s="30"/>
      <c r="BO1277" s="30"/>
      <c r="BP1277" s="30"/>
      <c r="BQ1277" s="30"/>
      <c r="BR1277" s="30"/>
      <c r="BS1277" s="30"/>
      <c r="BT1277" s="30"/>
      <c r="BU1277" s="30"/>
      <c r="BV1277" s="30"/>
      <c r="BW1277" s="30"/>
      <c r="BX1277" s="30"/>
      <c r="BY1277" s="30"/>
      <c r="BZ1277" s="30"/>
      <c r="CA1277" s="30"/>
      <c r="CB1277" s="30"/>
      <c r="CC1277" s="30"/>
      <c r="CD1277" s="30"/>
      <c r="CE1277" s="30"/>
      <c r="CF1277" s="30"/>
      <c r="CG1277" s="30"/>
      <c r="CH1277" s="30"/>
      <c r="CI1277" s="30"/>
      <c r="CJ1277" s="30"/>
      <c r="CK1277" s="30"/>
      <c r="CL1277" s="30"/>
      <c r="CM1277" s="30"/>
      <c r="CN1277" s="30"/>
      <c r="CO1277" s="30"/>
      <c r="CP1277" s="30"/>
      <c r="CQ1277" s="30"/>
      <c r="CR1277" s="30"/>
      <c r="CS1277" s="30"/>
      <c r="CT1277" s="30"/>
      <c r="CU1277" s="30"/>
      <c r="CV1277" s="30"/>
      <c r="CW1277" s="30"/>
      <c r="CX1277" s="30"/>
      <c r="CY1277" s="30"/>
      <c r="CZ1277" s="30"/>
      <c r="DA1277" s="30"/>
      <c r="DB1277" s="30"/>
      <c r="DC1277" s="30"/>
      <c r="DD1277" s="30"/>
      <c r="DE1277" s="30"/>
      <c r="DF1277" s="30"/>
      <c r="DG1277" s="30"/>
      <c r="DH1277" s="30"/>
      <c r="DI1277" s="30"/>
      <c r="DJ1277" s="30"/>
      <c r="DK1277" s="30"/>
      <c r="DL1277" s="30"/>
      <c r="DM1277" s="30"/>
      <c r="DN1277" s="30"/>
      <c r="DO1277" s="30"/>
      <c r="DP1277" s="30"/>
      <c r="DQ1277" s="30"/>
      <c r="DR1277" s="30"/>
      <c r="DS1277" s="30"/>
      <c r="DT1277" s="30"/>
      <c r="DU1277" s="30"/>
      <c r="DV1277" s="30"/>
      <c r="DW1277" s="30"/>
      <c r="DX1277" s="30"/>
      <c r="DY1277" s="30"/>
      <c r="DZ1277" s="30"/>
    </row>
    <row r="1278">
      <c r="A1278" s="30"/>
      <c r="B1278" s="42"/>
      <c r="C1278" s="43"/>
      <c r="D1278" s="30"/>
      <c r="E1278" s="28"/>
      <c r="F1278" s="30"/>
      <c r="G1278" s="30"/>
      <c r="H1278" s="30"/>
      <c r="I1278" s="30"/>
      <c r="J1278" s="28"/>
      <c r="K1278" s="30"/>
      <c r="L1278" s="30"/>
      <c r="M1278" s="30"/>
      <c r="N1278" s="30"/>
      <c r="O1278" s="28"/>
      <c r="P1278" s="30"/>
      <c r="Q1278" s="30"/>
      <c r="R1278" s="30"/>
      <c r="S1278" s="36"/>
      <c r="T1278" s="30"/>
      <c r="U1278" s="36"/>
      <c r="V1278" s="30"/>
      <c r="W1278" s="28"/>
      <c r="X1278" s="30"/>
      <c r="Y1278" s="30"/>
      <c r="Z1278" s="30"/>
      <c r="AA1278" s="30"/>
      <c r="AB1278" s="30"/>
      <c r="AC1278" s="28"/>
      <c r="AD1278" s="30"/>
      <c r="AE1278" s="30"/>
      <c r="AF1278" s="30"/>
      <c r="AG1278" s="29"/>
      <c r="AH1278" s="30"/>
      <c r="AI1278" s="36"/>
      <c r="AJ1278" s="30"/>
      <c r="AK1278" s="29"/>
      <c r="AL1278" s="30"/>
      <c r="AM1278" s="30"/>
      <c r="AN1278" s="30"/>
      <c r="AO1278" s="30"/>
      <c r="AP1278" s="30"/>
      <c r="AQ1278" s="38"/>
      <c r="AR1278" s="30"/>
      <c r="AS1278" s="30"/>
      <c r="AT1278" s="29"/>
      <c r="AU1278" s="30"/>
      <c r="AV1278" s="30"/>
      <c r="AW1278" s="30"/>
      <c r="AX1278" s="29"/>
      <c r="AY1278" s="39"/>
      <c r="AZ1278" s="30"/>
      <c r="BA1278" s="30"/>
      <c r="BB1278" s="29"/>
      <c r="BC1278" s="52"/>
      <c r="BD1278" s="30"/>
      <c r="BE1278" s="29"/>
      <c r="BF1278" s="30"/>
      <c r="BG1278" s="30"/>
      <c r="BH1278" s="30"/>
      <c r="BI1278" s="30"/>
      <c r="BJ1278" s="30"/>
      <c r="BK1278" s="30"/>
      <c r="BL1278" s="30"/>
      <c r="BM1278" s="30"/>
      <c r="BN1278" s="30"/>
      <c r="BO1278" s="30"/>
      <c r="BP1278" s="30"/>
      <c r="BQ1278" s="30"/>
      <c r="BR1278" s="30"/>
      <c r="BS1278" s="30"/>
      <c r="BT1278" s="30"/>
      <c r="BU1278" s="30"/>
      <c r="BV1278" s="30"/>
      <c r="BW1278" s="30"/>
      <c r="BX1278" s="30"/>
      <c r="BY1278" s="30"/>
      <c r="BZ1278" s="30"/>
      <c r="CA1278" s="30"/>
      <c r="CB1278" s="30"/>
      <c r="CC1278" s="30"/>
      <c r="CD1278" s="30"/>
      <c r="CE1278" s="30"/>
      <c r="CF1278" s="30"/>
      <c r="CG1278" s="30"/>
      <c r="CH1278" s="30"/>
      <c r="CI1278" s="30"/>
      <c r="CJ1278" s="30"/>
      <c r="CK1278" s="30"/>
      <c r="CL1278" s="30"/>
      <c r="CM1278" s="30"/>
      <c r="CN1278" s="30"/>
      <c r="CO1278" s="30"/>
      <c r="CP1278" s="30"/>
      <c r="CQ1278" s="30"/>
      <c r="CR1278" s="30"/>
      <c r="CS1278" s="30"/>
      <c r="CT1278" s="30"/>
      <c r="CU1278" s="30"/>
      <c r="CV1278" s="30"/>
      <c r="CW1278" s="30"/>
      <c r="CX1278" s="30"/>
      <c r="CY1278" s="30"/>
      <c r="CZ1278" s="30"/>
      <c r="DA1278" s="30"/>
      <c r="DB1278" s="30"/>
      <c r="DC1278" s="30"/>
      <c r="DD1278" s="30"/>
      <c r="DE1278" s="30"/>
      <c r="DF1278" s="30"/>
      <c r="DG1278" s="30"/>
      <c r="DH1278" s="30"/>
      <c r="DI1278" s="30"/>
      <c r="DJ1278" s="30"/>
      <c r="DK1278" s="30"/>
      <c r="DL1278" s="30"/>
      <c r="DM1278" s="30"/>
      <c r="DN1278" s="30"/>
      <c r="DO1278" s="30"/>
      <c r="DP1278" s="30"/>
      <c r="DQ1278" s="30"/>
      <c r="DR1278" s="30"/>
      <c r="DS1278" s="30"/>
      <c r="DT1278" s="30"/>
      <c r="DU1278" s="30"/>
      <c r="DV1278" s="30"/>
      <c r="DW1278" s="30"/>
      <c r="DX1278" s="30"/>
      <c r="DY1278" s="30"/>
      <c r="DZ1278" s="30"/>
    </row>
    <row r="1279">
      <c r="A1279" s="30"/>
      <c r="B1279" s="42"/>
      <c r="C1279" s="43"/>
      <c r="D1279" s="30"/>
      <c r="E1279" s="28"/>
      <c r="F1279" s="30"/>
      <c r="G1279" s="30"/>
      <c r="H1279" s="30"/>
      <c r="I1279" s="30"/>
      <c r="J1279" s="28"/>
      <c r="K1279" s="30"/>
      <c r="L1279" s="30"/>
      <c r="M1279" s="30"/>
      <c r="N1279" s="30"/>
      <c r="O1279" s="28"/>
      <c r="P1279" s="30"/>
      <c r="Q1279" s="30"/>
      <c r="R1279" s="30"/>
      <c r="S1279" s="36"/>
      <c r="T1279" s="30"/>
      <c r="U1279" s="36"/>
      <c r="V1279" s="30"/>
      <c r="W1279" s="28"/>
      <c r="X1279" s="30"/>
      <c r="Y1279" s="30"/>
      <c r="Z1279" s="30"/>
      <c r="AA1279" s="30"/>
      <c r="AB1279" s="30"/>
      <c r="AC1279" s="28"/>
      <c r="AD1279" s="30"/>
      <c r="AE1279" s="30"/>
      <c r="AF1279" s="30"/>
      <c r="AG1279" s="29"/>
      <c r="AH1279" s="30"/>
      <c r="AI1279" s="36"/>
      <c r="AJ1279" s="30"/>
      <c r="AK1279" s="29"/>
      <c r="AL1279" s="30"/>
      <c r="AM1279" s="30"/>
      <c r="AN1279" s="30"/>
      <c r="AO1279" s="30"/>
      <c r="AP1279" s="30"/>
      <c r="AQ1279" s="38"/>
      <c r="AR1279" s="30"/>
      <c r="AS1279" s="30"/>
      <c r="AT1279" s="29"/>
      <c r="AU1279" s="30"/>
      <c r="AV1279" s="30"/>
      <c r="AW1279" s="30"/>
      <c r="AX1279" s="29"/>
      <c r="AY1279" s="39"/>
      <c r="AZ1279" s="30"/>
      <c r="BA1279" s="30"/>
      <c r="BB1279" s="29"/>
      <c r="BC1279" s="52"/>
      <c r="BD1279" s="30"/>
      <c r="BE1279" s="29"/>
      <c r="BF1279" s="30"/>
      <c r="BG1279" s="30"/>
      <c r="BH1279" s="30"/>
      <c r="BI1279" s="30"/>
      <c r="BJ1279" s="30"/>
      <c r="BK1279" s="30"/>
      <c r="BL1279" s="30"/>
      <c r="BM1279" s="30"/>
      <c r="BN1279" s="30"/>
      <c r="BO1279" s="30"/>
      <c r="BP1279" s="30"/>
      <c r="BQ1279" s="30"/>
      <c r="BR1279" s="30"/>
      <c r="BS1279" s="30"/>
      <c r="BT1279" s="30"/>
      <c r="BU1279" s="30"/>
      <c r="BV1279" s="30"/>
      <c r="BW1279" s="30"/>
      <c r="BX1279" s="30"/>
      <c r="BY1279" s="30"/>
      <c r="BZ1279" s="30"/>
      <c r="CA1279" s="30"/>
      <c r="CB1279" s="30"/>
      <c r="CC1279" s="30"/>
      <c r="CD1279" s="30"/>
      <c r="CE1279" s="30"/>
      <c r="CF1279" s="30"/>
      <c r="CG1279" s="30"/>
      <c r="CH1279" s="30"/>
      <c r="CI1279" s="30"/>
      <c r="CJ1279" s="30"/>
      <c r="CK1279" s="30"/>
      <c r="CL1279" s="30"/>
      <c r="CM1279" s="30"/>
      <c r="CN1279" s="30"/>
      <c r="CO1279" s="30"/>
      <c r="CP1279" s="30"/>
      <c r="CQ1279" s="30"/>
      <c r="CR1279" s="30"/>
      <c r="CS1279" s="30"/>
      <c r="CT1279" s="30"/>
      <c r="CU1279" s="30"/>
      <c r="CV1279" s="30"/>
      <c r="CW1279" s="30"/>
      <c r="CX1279" s="30"/>
      <c r="CY1279" s="30"/>
      <c r="CZ1279" s="30"/>
      <c r="DA1279" s="30"/>
      <c r="DB1279" s="30"/>
      <c r="DC1279" s="30"/>
      <c r="DD1279" s="30"/>
      <c r="DE1279" s="30"/>
      <c r="DF1279" s="30"/>
      <c r="DG1279" s="30"/>
      <c r="DH1279" s="30"/>
      <c r="DI1279" s="30"/>
      <c r="DJ1279" s="30"/>
      <c r="DK1279" s="30"/>
      <c r="DL1279" s="30"/>
      <c r="DM1279" s="30"/>
      <c r="DN1279" s="30"/>
      <c r="DO1279" s="30"/>
      <c r="DP1279" s="30"/>
      <c r="DQ1279" s="30"/>
      <c r="DR1279" s="30"/>
      <c r="DS1279" s="30"/>
      <c r="DT1279" s="30"/>
      <c r="DU1279" s="30"/>
      <c r="DV1279" s="30"/>
      <c r="DW1279" s="30"/>
      <c r="DX1279" s="30"/>
      <c r="DY1279" s="30"/>
      <c r="DZ1279" s="30"/>
    </row>
    <row r="1280">
      <c r="A1280" s="30"/>
      <c r="B1280" s="42"/>
      <c r="C1280" s="43"/>
      <c r="D1280" s="30"/>
      <c r="E1280" s="28"/>
      <c r="F1280" s="30"/>
      <c r="G1280" s="30"/>
      <c r="H1280" s="30"/>
      <c r="I1280" s="30"/>
      <c r="J1280" s="28"/>
      <c r="K1280" s="30"/>
      <c r="L1280" s="30"/>
      <c r="M1280" s="30"/>
      <c r="N1280" s="30"/>
      <c r="O1280" s="28"/>
      <c r="P1280" s="30"/>
      <c r="Q1280" s="30"/>
      <c r="R1280" s="30"/>
      <c r="S1280" s="36"/>
      <c r="T1280" s="30"/>
      <c r="U1280" s="36"/>
      <c r="V1280" s="30"/>
      <c r="W1280" s="28"/>
      <c r="X1280" s="30"/>
      <c r="Y1280" s="30"/>
      <c r="Z1280" s="30"/>
      <c r="AA1280" s="30"/>
      <c r="AB1280" s="30"/>
      <c r="AC1280" s="28"/>
      <c r="AD1280" s="30"/>
      <c r="AE1280" s="30"/>
      <c r="AF1280" s="30"/>
      <c r="AG1280" s="29"/>
      <c r="AH1280" s="30"/>
      <c r="AI1280" s="36"/>
      <c r="AJ1280" s="30"/>
      <c r="AK1280" s="29"/>
      <c r="AL1280" s="30"/>
      <c r="AM1280" s="30"/>
      <c r="AN1280" s="30"/>
      <c r="AO1280" s="30"/>
      <c r="AP1280" s="30"/>
      <c r="AQ1280" s="38"/>
      <c r="AR1280" s="30"/>
      <c r="AS1280" s="30"/>
      <c r="AT1280" s="29"/>
      <c r="AU1280" s="30"/>
      <c r="AV1280" s="30"/>
      <c r="AW1280" s="30"/>
      <c r="AX1280" s="29"/>
      <c r="AY1280" s="39"/>
      <c r="AZ1280" s="30"/>
      <c r="BA1280" s="30"/>
      <c r="BB1280" s="29"/>
      <c r="BC1280" s="52"/>
      <c r="BD1280" s="30"/>
      <c r="BE1280" s="29"/>
      <c r="BF1280" s="30"/>
      <c r="BG1280" s="30"/>
      <c r="BH1280" s="30"/>
      <c r="BI1280" s="30"/>
      <c r="BJ1280" s="30"/>
      <c r="BK1280" s="30"/>
      <c r="BL1280" s="30"/>
      <c r="BM1280" s="30"/>
      <c r="BN1280" s="30"/>
      <c r="BO1280" s="30"/>
      <c r="BP1280" s="30"/>
      <c r="BQ1280" s="30"/>
      <c r="BR1280" s="30"/>
      <c r="BS1280" s="30"/>
      <c r="BT1280" s="30"/>
      <c r="BU1280" s="30"/>
      <c r="BV1280" s="30"/>
      <c r="BW1280" s="30"/>
      <c r="BX1280" s="30"/>
      <c r="BY1280" s="30"/>
      <c r="BZ1280" s="30"/>
      <c r="CA1280" s="30"/>
      <c r="CB1280" s="30"/>
      <c r="CC1280" s="30"/>
      <c r="CD1280" s="30"/>
      <c r="CE1280" s="30"/>
      <c r="CF1280" s="30"/>
      <c r="CG1280" s="30"/>
      <c r="CH1280" s="30"/>
      <c r="CI1280" s="30"/>
      <c r="CJ1280" s="30"/>
      <c r="CK1280" s="30"/>
      <c r="CL1280" s="30"/>
      <c r="CM1280" s="30"/>
      <c r="CN1280" s="30"/>
      <c r="CO1280" s="30"/>
      <c r="CP1280" s="30"/>
      <c r="CQ1280" s="30"/>
      <c r="CR1280" s="30"/>
      <c r="CS1280" s="30"/>
      <c r="CT1280" s="30"/>
      <c r="CU1280" s="30"/>
      <c r="CV1280" s="30"/>
      <c r="CW1280" s="30"/>
      <c r="CX1280" s="30"/>
      <c r="CY1280" s="30"/>
      <c r="CZ1280" s="30"/>
      <c r="DA1280" s="30"/>
      <c r="DB1280" s="30"/>
      <c r="DC1280" s="30"/>
      <c r="DD1280" s="30"/>
      <c r="DE1280" s="30"/>
      <c r="DF1280" s="30"/>
      <c r="DG1280" s="30"/>
      <c r="DH1280" s="30"/>
      <c r="DI1280" s="30"/>
      <c r="DJ1280" s="30"/>
      <c r="DK1280" s="30"/>
      <c r="DL1280" s="30"/>
      <c r="DM1280" s="30"/>
      <c r="DN1280" s="30"/>
      <c r="DO1280" s="30"/>
      <c r="DP1280" s="30"/>
      <c r="DQ1280" s="30"/>
      <c r="DR1280" s="30"/>
      <c r="DS1280" s="30"/>
      <c r="DT1280" s="30"/>
      <c r="DU1280" s="30"/>
      <c r="DV1280" s="30"/>
      <c r="DW1280" s="30"/>
      <c r="DX1280" s="30"/>
      <c r="DY1280" s="30"/>
      <c r="DZ1280" s="30"/>
    </row>
    <row r="1281">
      <c r="A1281" s="30"/>
      <c r="B1281" s="42"/>
      <c r="C1281" s="43"/>
      <c r="D1281" s="30"/>
      <c r="E1281" s="28"/>
      <c r="F1281" s="30"/>
      <c r="G1281" s="30"/>
      <c r="H1281" s="30"/>
      <c r="I1281" s="30"/>
      <c r="J1281" s="28"/>
      <c r="K1281" s="30"/>
      <c r="L1281" s="30"/>
      <c r="M1281" s="30"/>
      <c r="N1281" s="30"/>
      <c r="O1281" s="28"/>
      <c r="P1281" s="30"/>
      <c r="Q1281" s="30"/>
      <c r="R1281" s="30"/>
      <c r="S1281" s="36"/>
      <c r="T1281" s="30"/>
      <c r="U1281" s="36"/>
      <c r="V1281" s="30"/>
      <c r="W1281" s="28"/>
      <c r="X1281" s="30"/>
      <c r="Y1281" s="30"/>
      <c r="Z1281" s="30"/>
      <c r="AA1281" s="30"/>
      <c r="AB1281" s="30"/>
      <c r="AC1281" s="28"/>
      <c r="AD1281" s="30"/>
      <c r="AE1281" s="30"/>
      <c r="AF1281" s="30"/>
      <c r="AG1281" s="29"/>
      <c r="AH1281" s="30"/>
      <c r="AI1281" s="36"/>
      <c r="AJ1281" s="30"/>
      <c r="AK1281" s="29"/>
      <c r="AL1281" s="30"/>
      <c r="AM1281" s="30"/>
      <c r="AN1281" s="30"/>
      <c r="AO1281" s="30"/>
      <c r="AP1281" s="30"/>
      <c r="AQ1281" s="38"/>
      <c r="AR1281" s="30"/>
      <c r="AS1281" s="30"/>
      <c r="AT1281" s="29"/>
      <c r="AU1281" s="30"/>
      <c r="AV1281" s="30"/>
      <c r="AW1281" s="30"/>
      <c r="AX1281" s="29"/>
      <c r="AY1281" s="39"/>
      <c r="AZ1281" s="30"/>
      <c r="BA1281" s="30"/>
      <c r="BB1281" s="29"/>
      <c r="BC1281" s="52"/>
      <c r="BD1281" s="30"/>
      <c r="BE1281" s="29"/>
      <c r="BF1281" s="30"/>
      <c r="BG1281" s="30"/>
      <c r="BH1281" s="30"/>
      <c r="BI1281" s="30"/>
      <c r="BJ1281" s="30"/>
      <c r="BK1281" s="30"/>
      <c r="BL1281" s="30"/>
      <c r="BM1281" s="30"/>
      <c r="BN1281" s="30"/>
      <c r="BO1281" s="30"/>
      <c r="BP1281" s="30"/>
      <c r="BQ1281" s="30"/>
      <c r="BR1281" s="30"/>
      <c r="BS1281" s="30"/>
      <c r="BT1281" s="30"/>
      <c r="BU1281" s="30"/>
      <c r="BV1281" s="30"/>
      <c r="BW1281" s="30"/>
      <c r="BX1281" s="30"/>
      <c r="BY1281" s="30"/>
      <c r="BZ1281" s="30"/>
      <c r="CA1281" s="30"/>
      <c r="CB1281" s="30"/>
      <c r="CC1281" s="30"/>
      <c r="CD1281" s="30"/>
      <c r="CE1281" s="30"/>
      <c r="CF1281" s="30"/>
      <c r="CG1281" s="30"/>
      <c r="CH1281" s="30"/>
      <c r="CI1281" s="30"/>
      <c r="CJ1281" s="30"/>
      <c r="CK1281" s="30"/>
      <c r="CL1281" s="30"/>
      <c r="CM1281" s="30"/>
      <c r="CN1281" s="30"/>
      <c r="CO1281" s="30"/>
      <c r="CP1281" s="30"/>
      <c r="CQ1281" s="30"/>
      <c r="CR1281" s="30"/>
      <c r="CS1281" s="30"/>
      <c r="CT1281" s="30"/>
      <c r="CU1281" s="30"/>
      <c r="CV1281" s="30"/>
      <c r="CW1281" s="30"/>
      <c r="CX1281" s="30"/>
      <c r="CY1281" s="30"/>
      <c r="CZ1281" s="30"/>
      <c r="DA1281" s="30"/>
      <c r="DB1281" s="30"/>
      <c r="DC1281" s="30"/>
      <c r="DD1281" s="30"/>
      <c r="DE1281" s="30"/>
      <c r="DF1281" s="30"/>
      <c r="DG1281" s="30"/>
      <c r="DH1281" s="30"/>
      <c r="DI1281" s="30"/>
      <c r="DJ1281" s="30"/>
      <c r="DK1281" s="30"/>
      <c r="DL1281" s="30"/>
      <c r="DM1281" s="30"/>
      <c r="DN1281" s="30"/>
      <c r="DO1281" s="30"/>
      <c r="DP1281" s="30"/>
      <c r="DQ1281" s="30"/>
      <c r="DR1281" s="30"/>
      <c r="DS1281" s="30"/>
      <c r="DT1281" s="30"/>
      <c r="DU1281" s="30"/>
      <c r="DV1281" s="30"/>
      <c r="DW1281" s="30"/>
      <c r="DX1281" s="30"/>
      <c r="DY1281" s="30"/>
      <c r="DZ1281" s="30"/>
    </row>
    <row r="1282">
      <c r="A1282" s="30"/>
      <c r="B1282" s="42"/>
      <c r="C1282" s="43"/>
      <c r="D1282" s="30"/>
      <c r="E1282" s="28"/>
      <c r="F1282" s="30"/>
      <c r="G1282" s="30"/>
      <c r="H1282" s="30"/>
      <c r="I1282" s="30"/>
      <c r="J1282" s="28"/>
      <c r="K1282" s="30"/>
      <c r="L1282" s="30"/>
      <c r="M1282" s="30"/>
      <c r="N1282" s="30"/>
      <c r="O1282" s="28"/>
      <c r="P1282" s="30"/>
      <c r="Q1282" s="30"/>
      <c r="R1282" s="30"/>
      <c r="S1282" s="36"/>
      <c r="T1282" s="30"/>
      <c r="U1282" s="36"/>
      <c r="V1282" s="30"/>
      <c r="W1282" s="28"/>
      <c r="X1282" s="30"/>
      <c r="Y1282" s="30"/>
      <c r="Z1282" s="30"/>
      <c r="AA1282" s="30"/>
      <c r="AB1282" s="30"/>
      <c r="AC1282" s="28"/>
      <c r="AD1282" s="30"/>
      <c r="AE1282" s="30"/>
      <c r="AF1282" s="30"/>
      <c r="AG1282" s="29"/>
      <c r="AH1282" s="30"/>
      <c r="AI1282" s="36"/>
      <c r="AJ1282" s="30"/>
      <c r="AK1282" s="29"/>
      <c r="AL1282" s="30"/>
      <c r="AM1282" s="30"/>
      <c r="AN1282" s="30"/>
      <c r="AO1282" s="30"/>
      <c r="AP1282" s="30"/>
      <c r="AQ1282" s="38"/>
      <c r="AR1282" s="30"/>
      <c r="AS1282" s="30"/>
      <c r="AT1282" s="29"/>
      <c r="AU1282" s="30"/>
      <c r="AV1282" s="30"/>
      <c r="AW1282" s="30"/>
      <c r="AX1282" s="29"/>
      <c r="AY1282" s="39"/>
      <c r="AZ1282" s="30"/>
      <c r="BA1282" s="30"/>
      <c r="BB1282" s="29"/>
      <c r="BC1282" s="52"/>
      <c r="BD1282" s="30"/>
      <c r="BE1282" s="29"/>
      <c r="BF1282" s="30"/>
      <c r="BG1282" s="30"/>
      <c r="BH1282" s="30"/>
      <c r="BI1282" s="30"/>
      <c r="BJ1282" s="30"/>
      <c r="BK1282" s="30"/>
      <c r="BL1282" s="30"/>
      <c r="BM1282" s="30"/>
      <c r="BN1282" s="30"/>
      <c r="BO1282" s="30"/>
      <c r="BP1282" s="30"/>
      <c r="BQ1282" s="30"/>
      <c r="BR1282" s="30"/>
      <c r="BS1282" s="30"/>
      <c r="BT1282" s="30"/>
      <c r="BU1282" s="30"/>
      <c r="BV1282" s="30"/>
      <c r="BW1282" s="30"/>
      <c r="BX1282" s="30"/>
      <c r="BY1282" s="30"/>
      <c r="BZ1282" s="30"/>
      <c r="CA1282" s="30"/>
      <c r="CB1282" s="30"/>
      <c r="CC1282" s="30"/>
      <c r="CD1282" s="30"/>
      <c r="CE1282" s="30"/>
      <c r="CF1282" s="30"/>
      <c r="CG1282" s="30"/>
      <c r="CH1282" s="30"/>
      <c r="CI1282" s="30"/>
      <c r="CJ1282" s="30"/>
      <c r="CK1282" s="30"/>
      <c r="CL1282" s="30"/>
      <c r="CM1282" s="30"/>
      <c r="CN1282" s="30"/>
      <c r="CO1282" s="30"/>
      <c r="CP1282" s="30"/>
      <c r="CQ1282" s="30"/>
      <c r="CR1282" s="30"/>
      <c r="CS1282" s="30"/>
      <c r="CT1282" s="30"/>
      <c r="CU1282" s="30"/>
      <c r="CV1282" s="30"/>
      <c r="CW1282" s="30"/>
      <c r="CX1282" s="30"/>
      <c r="CY1282" s="30"/>
      <c r="CZ1282" s="30"/>
      <c r="DA1282" s="30"/>
      <c r="DB1282" s="30"/>
      <c r="DC1282" s="30"/>
      <c r="DD1282" s="30"/>
      <c r="DE1282" s="30"/>
      <c r="DF1282" s="30"/>
      <c r="DG1282" s="30"/>
      <c r="DH1282" s="30"/>
      <c r="DI1282" s="30"/>
      <c r="DJ1282" s="30"/>
      <c r="DK1282" s="30"/>
      <c r="DL1282" s="30"/>
      <c r="DM1282" s="30"/>
      <c r="DN1282" s="30"/>
      <c r="DO1282" s="30"/>
      <c r="DP1282" s="30"/>
      <c r="DQ1282" s="30"/>
      <c r="DR1282" s="30"/>
      <c r="DS1282" s="30"/>
      <c r="DT1282" s="30"/>
      <c r="DU1282" s="30"/>
      <c r="DV1282" s="30"/>
      <c r="DW1282" s="30"/>
      <c r="DX1282" s="30"/>
      <c r="DY1282" s="30"/>
      <c r="DZ1282" s="30"/>
    </row>
    <row r="1283">
      <c r="A1283" s="30"/>
      <c r="B1283" s="42"/>
      <c r="C1283" s="43"/>
      <c r="D1283" s="30"/>
      <c r="E1283" s="28"/>
      <c r="F1283" s="30"/>
      <c r="G1283" s="30"/>
      <c r="H1283" s="30"/>
      <c r="I1283" s="30"/>
      <c r="J1283" s="28"/>
      <c r="K1283" s="30"/>
      <c r="L1283" s="30"/>
      <c r="M1283" s="30"/>
      <c r="N1283" s="30"/>
      <c r="O1283" s="28"/>
      <c r="P1283" s="30"/>
      <c r="Q1283" s="30"/>
      <c r="R1283" s="30"/>
      <c r="S1283" s="36"/>
      <c r="T1283" s="30"/>
      <c r="U1283" s="36"/>
      <c r="V1283" s="30"/>
      <c r="W1283" s="28"/>
      <c r="X1283" s="30"/>
      <c r="Y1283" s="30"/>
      <c r="Z1283" s="30"/>
      <c r="AA1283" s="30"/>
      <c r="AB1283" s="30"/>
      <c r="AC1283" s="28"/>
      <c r="AD1283" s="30"/>
      <c r="AE1283" s="30"/>
      <c r="AF1283" s="30"/>
      <c r="AG1283" s="29"/>
      <c r="AH1283" s="30"/>
      <c r="AI1283" s="36"/>
      <c r="AJ1283" s="30"/>
      <c r="AK1283" s="29"/>
      <c r="AL1283" s="30"/>
      <c r="AM1283" s="30"/>
      <c r="AN1283" s="30"/>
      <c r="AO1283" s="30"/>
      <c r="AP1283" s="30"/>
      <c r="AQ1283" s="38"/>
      <c r="AR1283" s="30"/>
      <c r="AS1283" s="30"/>
      <c r="AT1283" s="29"/>
      <c r="AU1283" s="30"/>
      <c r="AV1283" s="30"/>
      <c r="AW1283" s="30"/>
      <c r="AX1283" s="29"/>
      <c r="AY1283" s="39"/>
      <c r="AZ1283" s="30"/>
      <c r="BA1283" s="30"/>
      <c r="BB1283" s="29"/>
      <c r="BC1283" s="52"/>
      <c r="BD1283" s="30"/>
      <c r="BE1283" s="29"/>
      <c r="BF1283" s="30"/>
      <c r="BG1283" s="30"/>
      <c r="BH1283" s="30"/>
      <c r="BI1283" s="30"/>
      <c r="BJ1283" s="30"/>
      <c r="BK1283" s="30"/>
      <c r="BL1283" s="30"/>
      <c r="BM1283" s="30"/>
      <c r="BN1283" s="30"/>
      <c r="BO1283" s="30"/>
      <c r="BP1283" s="30"/>
      <c r="BQ1283" s="30"/>
      <c r="BR1283" s="30"/>
      <c r="BS1283" s="30"/>
      <c r="BT1283" s="30"/>
      <c r="BU1283" s="30"/>
      <c r="BV1283" s="30"/>
      <c r="BW1283" s="30"/>
      <c r="BX1283" s="30"/>
      <c r="BY1283" s="30"/>
      <c r="BZ1283" s="30"/>
      <c r="CA1283" s="30"/>
      <c r="CB1283" s="30"/>
      <c r="CC1283" s="30"/>
      <c r="CD1283" s="30"/>
      <c r="CE1283" s="30"/>
      <c r="CF1283" s="30"/>
      <c r="CG1283" s="30"/>
      <c r="CH1283" s="30"/>
      <c r="CI1283" s="30"/>
      <c r="CJ1283" s="30"/>
      <c r="CK1283" s="30"/>
      <c r="CL1283" s="30"/>
      <c r="CM1283" s="30"/>
      <c r="CN1283" s="30"/>
      <c r="CO1283" s="30"/>
      <c r="CP1283" s="30"/>
      <c r="CQ1283" s="30"/>
      <c r="CR1283" s="30"/>
      <c r="CS1283" s="30"/>
      <c r="CT1283" s="30"/>
      <c r="CU1283" s="30"/>
      <c r="CV1283" s="30"/>
      <c r="CW1283" s="30"/>
      <c r="CX1283" s="30"/>
      <c r="CY1283" s="30"/>
      <c r="CZ1283" s="30"/>
      <c r="DA1283" s="30"/>
      <c r="DB1283" s="30"/>
      <c r="DC1283" s="30"/>
      <c r="DD1283" s="30"/>
      <c r="DE1283" s="30"/>
      <c r="DF1283" s="30"/>
      <c r="DG1283" s="30"/>
      <c r="DH1283" s="30"/>
      <c r="DI1283" s="30"/>
      <c r="DJ1283" s="30"/>
      <c r="DK1283" s="30"/>
      <c r="DL1283" s="30"/>
      <c r="DM1283" s="30"/>
      <c r="DN1283" s="30"/>
      <c r="DO1283" s="30"/>
      <c r="DP1283" s="30"/>
      <c r="DQ1283" s="30"/>
      <c r="DR1283" s="30"/>
      <c r="DS1283" s="30"/>
      <c r="DT1283" s="30"/>
      <c r="DU1283" s="30"/>
      <c r="DV1283" s="30"/>
      <c r="DW1283" s="30"/>
      <c r="DX1283" s="30"/>
      <c r="DY1283" s="30"/>
      <c r="DZ1283" s="30"/>
    </row>
    <row r="1284">
      <c r="A1284" s="30"/>
      <c r="B1284" s="42"/>
      <c r="C1284" s="43"/>
      <c r="D1284" s="30"/>
      <c r="E1284" s="28"/>
      <c r="F1284" s="30"/>
      <c r="G1284" s="30"/>
      <c r="H1284" s="30"/>
      <c r="I1284" s="30"/>
      <c r="J1284" s="28"/>
      <c r="K1284" s="30"/>
      <c r="L1284" s="30"/>
      <c r="M1284" s="30"/>
      <c r="N1284" s="30"/>
      <c r="O1284" s="28"/>
      <c r="P1284" s="30"/>
      <c r="Q1284" s="30"/>
      <c r="R1284" s="30"/>
      <c r="S1284" s="36"/>
      <c r="T1284" s="30"/>
      <c r="U1284" s="36"/>
      <c r="V1284" s="30"/>
      <c r="W1284" s="28"/>
      <c r="X1284" s="30"/>
      <c r="Y1284" s="30"/>
      <c r="Z1284" s="30"/>
      <c r="AA1284" s="30"/>
      <c r="AB1284" s="30"/>
      <c r="AC1284" s="28"/>
      <c r="AD1284" s="30"/>
      <c r="AE1284" s="30"/>
      <c r="AF1284" s="30"/>
      <c r="AG1284" s="29"/>
      <c r="AH1284" s="30"/>
      <c r="AI1284" s="36"/>
      <c r="AJ1284" s="30"/>
      <c r="AK1284" s="29"/>
      <c r="AL1284" s="30"/>
      <c r="AM1284" s="30"/>
      <c r="AN1284" s="30"/>
      <c r="AO1284" s="30"/>
      <c r="AP1284" s="30"/>
      <c r="AQ1284" s="38"/>
      <c r="AR1284" s="30"/>
      <c r="AS1284" s="30"/>
      <c r="AT1284" s="29"/>
      <c r="AU1284" s="30"/>
      <c r="AV1284" s="30"/>
      <c r="AW1284" s="30"/>
      <c r="AX1284" s="29"/>
      <c r="AY1284" s="39"/>
      <c r="AZ1284" s="30"/>
      <c r="BA1284" s="30"/>
      <c r="BB1284" s="29"/>
      <c r="BC1284" s="52"/>
      <c r="BD1284" s="30"/>
      <c r="BE1284" s="29"/>
      <c r="BF1284" s="30"/>
      <c r="BG1284" s="30"/>
      <c r="BH1284" s="30"/>
      <c r="BI1284" s="30"/>
      <c r="BJ1284" s="30"/>
      <c r="BK1284" s="30"/>
      <c r="BL1284" s="30"/>
      <c r="BM1284" s="30"/>
      <c r="BN1284" s="30"/>
      <c r="BO1284" s="30"/>
      <c r="BP1284" s="30"/>
      <c r="BQ1284" s="30"/>
      <c r="BR1284" s="30"/>
      <c r="BS1284" s="30"/>
      <c r="BT1284" s="30"/>
      <c r="BU1284" s="30"/>
      <c r="BV1284" s="30"/>
      <c r="BW1284" s="30"/>
      <c r="BX1284" s="30"/>
      <c r="BY1284" s="30"/>
      <c r="BZ1284" s="30"/>
      <c r="CA1284" s="30"/>
      <c r="CB1284" s="30"/>
      <c r="CC1284" s="30"/>
      <c r="CD1284" s="30"/>
      <c r="CE1284" s="30"/>
      <c r="CF1284" s="30"/>
      <c r="CG1284" s="30"/>
      <c r="CH1284" s="30"/>
      <c r="CI1284" s="30"/>
      <c r="CJ1284" s="30"/>
      <c r="CK1284" s="30"/>
      <c r="CL1284" s="30"/>
      <c r="CM1284" s="30"/>
      <c r="CN1284" s="30"/>
      <c r="CO1284" s="30"/>
      <c r="CP1284" s="30"/>
      <c r="CQ1284" s="30"/>
      <c r="CR1284" s="30"/>
      <c r="CS1284" s="30"/>
      <c r="CT1284" s="30"/>
      <c r="CU1284" s="30"/>
      <c r="CV1284" s="30"/>
      <c r="CW1284" s="30"/>
      <c r="CX1284" s="30"/>
      <c r="CY1284" s="30"/>
      <c r="CZ1284" s="30"/>
      <c r="DA1284" s="30"/>
      <c r="DB1284" s="30"/>
      <c r="DC1284" s="30"/>
      <c r="DD1284" s="30"/>
      <c r="DE1284" s="30"/>
      <c r="DF1284" s="30"/>
      <c r="DG1284" s="30"/>
      <c r="DH1284" s="30"/>
      <c r="DI1284" s="30"/>
      <c r="DJ1284" s="30"/>
      <c r="DK1284" s="30"/>
      <c r="DL1284" s="30"/>
      <c r="DM1284" s="30"/>
      <c r="DN1284" s="30"/>
      <c r="DO1284" s="30"/>
      <c r="DP1284" s="30"/>
      <c r="DQ1284" s="30"/>
      <c r="DR1284" s="30"/>
      <c r="DS1284" s="30"/>
      <c r="DT1284" s="30"/>
      <c r="DU1284" s="30"/>
      <c r="DV1284" s="30"/>
      <c r="DW1284" s="30"/>
      <c r="DX1284" s="30"/>
      <c r="DY1284" s="30"/>
      <c r="DZ1284" s="30"/>
    </row>
    <row r="1285">
      <c r="A1285" s="30"/>
      <c r="B1285" s="42"/>
      <c r="C1285" s="43"/>
      <c r="D1285" s="30"/>
      <c r="E1285" s="28"/>
      <c r="F1285" s="30"/>
      <c r="G1285" s="30"/>
      <c r="H1285" s="30"/>
      <c r="I1285" s="30"/>
      <c r="J1285" s="28"/>
      <c r="K1285" s="30"/>
      <c r="L1285" s="30"/>
      <c r="M1285" s="30"/>
      <c r="N1285" s="30"/>
      <c r="O1285" s="28"/>
      <c r="P1285" s="30"/>
      <c r="Q1285" s="30"/>
      <c r="R1285" s="30"/>
      <c r="S1285" s="36"/>
      <c r="T1285" s="30"/>
      <c r="U1285" s="36"/>
      <c r="V1285" s="30"/>
      <c r="W1285" s="28"/>
      <c r="X1285" s="30"/>
      <c r="Y1285" s="30"/>
      <c r="Z1285" s="30"/>
      <c r="AA1285" s="30"/>
      <c r="AB1285" s="30"/>
      <c r="AC1285" s="28"/>
      <c r="AD1285" s="30"/>
      <c r="AE1285" s="30"/>
      <c r="AF1285" s="30"/>
      <c r="AG1285" s="29"/>
      <c r="AH1285" s="30"/>
      <c r="AI1285" s="36"/>
      <c r="AJ1285" s="30"/>
      <c r="AK1285" s="29"/>
      <c r="AL1285" s="30"/>
      <c r="AM1285" s="30"/>
      <c r="AN1285" s="30"/>
      <c r="AO1285" s="30"/>
      <c r="AP1285" s="30"/>
      <c r="AQ1285" s="38"/>
      <c r="AR1285" s="30"/>
      <c r="AS1285" s="30"/>
      <c r="AT1285" s="29"/>
      <c r="AU1285" s="30"/>
      <c r="AV1285" s="30"/>
      <c r="AW1285" s="30"/>
      <c r="AX1285" s="29"/>
      <c r="AY1285" s="39"/>
      <c r="AZ1285" s="30"/>
      <c r="BA1285" s="30"/>
      <c r="BB1285" s="29"/>
      <c r="BC1285" s="52"/>
      <c r="BD1285" s="30"/>
      <c r="BE1285" s="29"/>
      <c r="BF1285" s="30"/>
      <c r="BG1285" s="30"/>
      <c r="BH1285" s="30"/>
      <c r="BI1285" s="30"/>
      <c r="BJ1285" s="30"/>
      <c r="BK1285" s="30"/>
      <c r="BL1285" s="30"/>
      <c r="BM1285" s="30"/>
      <c r="BN1285" s="30"/>
      <c r="BO1285" s="30"/>
      <c r="BP1285" s="30"/>
      <c r="BQ1285" s="30"/>
      <c r="BR1285" s="30"/>
      <c r="BS1285" s="30"/>
      <c r="BT1285" s="30"/>
      <c r="BU1285" s="30"/>
      <c r="BV1285" s="30"/>
      <c r="BW1285" s="30"/>
      <c r="BX1285" s="30"/>
      <c r="BY1285" s="30"/>
      <c r="BZ1285" s="30"/>
      <c r="CA1285" s="30"/>
      <c r="CB1285" s="30"/>
      <c r="CC1285" s="30"/>
      <c r="CD1285" s="30"/>
      <c r="CE1285" s="30"/>
      <c r="CF1285" s="30"/>
      <c r="CG1285" s="30"/>
      <c r="CH1285" s="30"/>
      <c r="CI1285" s="30"/>
      <c r="CJ1285" s="30"/>
      <c r="CK1285" s="30"/>
      <c r="CL1285" s="30"/>
      <c r="CM1285" s="30"/>
      <c r="CN1285" s="30"/>
      <c r="CO1285" s="30"/>
      <c r="CP1285" s="30"/>
      <c r="CQ1285" s="30"/>
      <c r="CR1285" s="30"/>
      <c r="CS1285" s="30"/>
      <c r="CT1285" s="30"/>
      <c r="CU1285" s="30"/>
      <c r="CV1285" s="30"/>
      <c r="CW1285" s="30"/>
      <c r="CX1285" s="30"/>
      <c r="CY1285" s="30"/>
      <c r="CZ1285" s="30"/>
      <c r="DA1285" s="30"/>
      <c r="DB1285" s="30"/>
      <c r="DC1285" s="30"/>
      <c r="DD1285" s="30"/>
      <c r="DE1285" s="30"/>
      <c r="DF1285" s="30"/>
      <c r="DG1285" s="30"/>
      <c r="DH1285" s="30"/>
      <c r="DI1285" s="30"/>
      <c r="DJ1285" s="30"/>
      <c r="DK1285" s="30"/>
      <c r="DL1285" s="30"/>
      <c r="DM1285" s="30"/>
      <c r="DN1285" s="30"/>
      <c r="DO1285" s="30"/>
      <c r="DP1285" s="30"/>
      <c r="DQ1285" s="30"/>
      <c r="DR1285" s="30"/>
      <c r="DS1285" s="30"/>
      <c r="DT1285" s="30"/>
      <c r="DU1285" s="30"/>
      <c r="DV1285" s="30"/>
      <c r="DW1285" s="30"/>
      <c r="DX1285" s="30"/>
      <c r="DY1285" s="30"/>
      <c r="DZ1285" s="30"/>
    </row>
    <row r="1286">
      <c r="A1286" s="30"/>
      <c r="B1286" s="42"/>
      <c r="C1286" s="43"/>
      <c r="D1286" s="30"/>
      <c r="E1286" s="28"/>
      <c r="F1286" s="30"/>
      <c r="G1286" s="30"/>
      <c r="H1286" s="30"/>
      <c r="I1286" s="30"/>
      <c r="J1286" s="28"/>
      <c r="K1286" s="30"/>
      <c r="L1286" s="30"/>
      <c r="M1286" s="30"/>
      <c r="N1286" s="30"/>
      <c r="O1286" s="28"/>
      <c r="P1286" s="30"/>
      <c r="Q1286" s="30"/>
      <c r="R1286" s="30"/>
      <c r="S1286" s="36"/>
      <c r="T1286" s="30"/>
      <c r="U1286" s="36"/>
      <c r="V1286" s="30"/>
      <c r="W1286" s="28"/>
      <c r="X1286" s="30"/>
      <c r="Y1286" s="30"/>
      <c r="Z1286" s="30"/>
      <c r="AA1286" s="30"/>
      <c r="AB1286" s="30"/>
      <c r="AC1286" s="28"/>
      <c r="AD1286" s="30"/>
      <c r="AE1286" s="30"/>
      <c r="AF1286" s="30"/>
      <c r="AG1286" s="29"/>
      <c r="AH1286" s="30"/>
      <c r="AI1286" s="36"/>
      <c r="AJ1286" s="30"/>
      <c r="AK1286" s="29"/>
      <c r="AL1286" s="30"/>
      <c r="AM1286" s="30"/>
      <c r="AN1286" s="30"/>
      <c r="AO1286" s="30"/>
      <c r="AP1286" s="30"/>
      <c r="AQ1286" s="38"/>
      <c r="AR1286" s="30"/>
      <c r="AS1286" s="30"/>
      <c r="AT1286" s="29"/>
      <c r="AU1286" s="30"/>
      <c r="AV1286" s="30"/>
      <c r="AW1286" s="30"/>
      <c r="AX1286" s="29"/>
      <c r="AY1286" s="39"/>
      <c r="AZ1286" s="30"/>
      <c r="BA1286" s="30"/>
      <c r="BB1286" s="29"/>
      <c r="BC1286" s="52"/>
      <c r="BD1286" s="30"/>
      <c r="BE1286" s="29"/>
      <c r="BF1286" s="30"/>
      <c r="BG1286" s="30"/>
      <c r="BH1286" s="30"/>
      <c r="BI1286" s="30"/>
      <c r="BJ1286" s="30"/>
      <c r="BK1286" s="30"/>
      <c r="BL1286" s="30"/>
      <c r="BM1286" s="30"/>
      <c r="BN1286" s="30"/>
      <c r="BO1286" s="30"/>
      <c r="BP1286" s="30"/>
      <c r="BQ1286" s="30"/>
      <c r="BR1286" s="30"/>
      <c r="BS1286" s="30"/>
      <c r="BT1286" s="30"/>
      <c r="BU1286" s="30"/>
      <c r="BV1286" s="30"/>
      <c r="BW1286" s="30"/>
      <c r="BX1286" s="30"/>
      <c r="BY1286" s="30"/>
      <c r="BZ1286" s="30"/>
      <c r="CA1286" s="30"/>
      <c r="CB1286" s="30"/>
      <c r="CC1286" s="30"/>
      <c r="CD1286" s="30"/>
      <c r="CE1286" s="30"/>
      <c r="CF1286" s="30"/>
      <c r="CG1286" s="30"/>
      <c r="CH1286" s="30"/>
      <c r="CI1286" s="30"/>
      <c r="CJ1286" s="30"/>
      <c r="CK1286" s="30"/>
      <c r="CL1286" s="30"/>
      <c r="CM1286" s="30"/>
      <c r="CN1286" s="30"/>
      <c r="CO1286" s="30"/>
      <c r="CP1286" s="30"/>
      <c r="CQ1286" s="30"/>
      <c r="CR1286" s="30"/>
      <c r="CS1286" s="30"/>
      <c r="CT1286" s="30"/>
      <c r="CU1286" s="30"/>
      <c r="CV1286" s="30"/>
      <c r="CW1286" s="30"/>
      <c r="CX1286" s="30"/>
      <c r="CY1286" s="30"/>
      <c r="CZ1286" s="30"/>
      <c r="DA1286" s="30"/>
      <c r="DB1286" s="30"/>
      <c r="DC1286" s="30"/>
      <c r="DD1286" s="30"/>
      <c r="DE1286" s="30"/>
      <c r="DF1286" s="30"/>
      <c r="DG1286" s="30"/>
      <c r="DH1286" s="30"/>
      <c r="DI1286" s="30"/>
      <c r="DJ1286" s="30"/>
      <c r="DK1286" s="30"/>
      <c r="DL1286" s="30"/>
      <c r="DM1286" s="30"/>
      <c r="DN1286" s="30"/>
      <c r="DO1286" s="30"/>
      <c r="DP1286" s="30"/>
      <c r="DQ1286" s="30"/>
      <c r="DR1286" s="30"/>
      <c r="DS1286" s="30"/>
      <c r="DT1286" s="30"/>
      <c r="DU1286" s="30"/>
      <c r="DV1286" s="30"/>
      <c r="DW1286" s="30"/>
      <c r="DX1286" s="30"/>
      <c r="DY1286" s="30"/>
      <c r="DZ1286" s="30"/>
    </row>
    <row r="1287">
      <c r="A1287" s="30"/>
      <c r="B1287" s="42"/>
      <c r="C1287" s="43"/>
      <c r="D1287" s="30"/>
      <c r="E1287" s="28"/>
      <c r="F1287" s="30"/>
      <c r="G1287" s="30"/>
      <c r="H1287" s="30"/>
      <c r="I1287" s="30"/>
      <c r="J1287" s="28"/>
      <c r="K1287" s="30"/>
      <c r="L1287" s="30"/>
      <c r="M1287" s="30"/>
      <c r="N1287" s="30"/>
      <c r="O1287" s="28"/>
      <c r="P1287" s="30"/>
      <c r="Q1287" s="30"/>
      <c r="R1287" s="30"/>
      <c r="S1287" s="36"/>
      <c r="T1287" s="30"/>
      <c r="U1287" s="36"/>
      <c r="V1287" s="30"/>
      <c r="W1287" s="28"/>
      <c r="X1287" s="30"/>
      <c r="Y1287" s="30"/>
      <c r="Z1287" s="30"/>
      <c r="AA1287" s="30"/>
      <c r="AB1287" s="30"/>
      <c r="AC1287" s="28"/>
      <c r="AD1287" s="30"/>
      <c r="AE1287" s="30"/>
      <c r="AF1287" s="30"/>
      <c r="AG1287" s="29"/>
      <c r="AH1287" s="30"/>
      <c r="AI1287" s="36"/>
      <c r="AJ1287" s="30"/>
      <c r="AK1287" s="29"/>
      <c r="AL1287" s="30"/>
      <c r="AM1287" s="30"/>
      <c r="AN1287" s="30"/>
      <c r="AO1287" s="30"/>
      <c r="AP1287" s="30"/>
      <c r="AQ1287" s="38"/>
      <c r="AR1287" s="30"/>
      <c r="AS1287" s="30"/>
      <c r="AT1287" s="29"/>
      <c r="AU1287" s="30"/>
      <c r="AV1287" s="30"/>
      <c r="AW1287" s="30"/>
      <c r="AX1287" s="29"/>
      <c r="AY1287" s="39"/>
      <c r="AZ1287" s="30"/>
      <c r="BA1287" s="30"/>
      <c r="BB1287" s="29"/>
      <c r="BC1287" s="52"/>
      <c r="BD1287" s="30"/>
      <c r="BE1287" s="29"/>
      <c r="BF1287" s="30"/>
      <c r="BG1287" s="30"/>
      <c r="BH1287" s="30"/>
      <c r="BI1287" s="30"/>
      <c r="BJ1287" s="30"/>
      <c r="BK1287" s="30"/>
      <c r="BL1287" s="30"/>
      <c r="BM1287" s="30"/>
      <c r="BN1287" s="30"/>
      <c r="BO1287" s="30"/>
      <c r="BP1287" s="30"/>
      <c r="BQ1287" s="30"/>
      <c r="BR1287" s="30"/>
      <c r="BS1287" s="30"/>
      <c r="BT1287" s="30"/>
      <c r="BU1287" s="30"/>
      <c r="BV1287" s="30"/>
      <c r="BW1287" s="30"/>
      <c r="BX1287" s="30"/>
      <c r="BY1287" s="30"/>
      <c r="BZ1287" s="30"/>
      <c r="CA1287" s="30"/>
      <c r="CB1287" s="30"/>
      <c r="CC1287" s="30"/>
      <c r="CD1287" s="30"/>
      <c r="CE1287" s="30"/>
      <c r="CF1287" s="30"/>
      <c r="CG1287" s="30"/>
      <c r="CH1287" s="30"/>
      <c r="CI1287" s="30"/>
      <c r="CJ1287" s="30"/>
      <c r="CK1287" s="30"/>
      <c r="CL1287" s="30"/>
      <c r="CM1287" s="30"/>
      <c r="CN1287" s="30"/>
      <c r="CO1287" s="30"/>
      <c r="CP1287" s="30"/>
      <c r="CQ1287" s="30"/>
      <c r="CR1287" s="30"/>
      <c r="CS1287" s="30"/>
      <c r="CT1287" s="30"/>
      <c r="CU1287" s="30"/>
      <c r="CV1287" s="30"/>
      <c r="CW1287" s="30"/>
      <c r="CX1287" s="30"/>
      <c r="CY1287" s="30"/>
      <c r="CZ1287" s="30"/>
      <c r="DA1287" s="30"/>
      <c r="DB1287" s="30"/>
      <c r="DC1287" s="30"/>
      <c r="DD1287" s="30"/>
      <c r="DE1287" s="30"/>
      <c r="DF1287" s="30"/>
      <c r="DG1287" s="30"/>
      <c r="DH1287" s="30"/>
      <c r="DI1287" s="30"/>
      <c r="DJ1287" s="30"/>
      <c r="DK1287" s="30"/>
      <c r="DL1287" s="30"/>
      <c r="DM1287" s="30"/>
      <c r="DN1287" s="30"/>
      <c r="DO1287" s="30"/>
      <c r="DP1287" s="30"/>
      <c r="DQ1287" s="30"/>
      <c r="DR1287" s="30"/>
      <c r="DS1287" s="30"/>
      <c r="DT1287" s="30"/>
      <c r="DU1287" s="30"/>
      <c r="DV1287" s="30"/>
      <c r="DW1287" s="30"/>
      <c r="DX1287" s="30"/>
      <c r="DY1287" s="30"/>
      <c r="DZ1287" s="30"/>
    </row>
    <row r="1288">
      <c r="A1288" s="30"/>
      <c r="B1288" s="42"/>
      <c r="C1288" s="43"/>
      <c r="D1288" s="30"/>
      <c r="E1288" s="28"/>
      <c r="F1288" s="30"/>
      <c r="G1288" s="30"/>
      <c r="H1288" s="30"/>
      <c r="I1288" s="30"/>
      <c r="J1288" s="28"/>
      <c r="K1288" s="30"/>
      <c r="L1288" s="30"/>
      <c r="M1288" s="30"/>
      <c r="N1288" s="30"/>
      <c r="O1288" s="28"/>
      <c r="P1288" s="30"/>
      <c r="Q1288" s="30"/>
      <c r="R1288" s="30"/>
      <c r="S1288" s="36"/>
      <c r="T1288" s="30"/>
      <c r="U1288" s="36"/>
      <c r="V1288" s="30"/>
      <c r="W1288" s="28"/>
      <c r="X1288" s="30"/>
      <c r="Y1288" s="30"/>
      <c r="Z1288" s="30"/>
      <c r="AA1288" s="30"/>
      <c r="AB1288" s="30"/>
      <c r="AC1288" s="28"/>
      <c r="AD1288" s="30"/>
      <c r="AE1288" s="30"/>
      <c r="AF1288" s="30"/>
      <c r="AG1288" s="29"/>
      <c r="AH1288" s="30"/>
      <c r="AI1288" s="36"/>
      <c r="AJ1288" s="30"/>
      <c r="AK1288" s="29"/>
      <c r="AL1288" s="30"/>
      <c r="AM1288" s="30"/>
      <c r="AN1288" s="30"/>
      <c r="AO1288" s="30"/>
      <c r="AP1288" s="30"/>
      <c r="AQ1288" s="38"/>
      <c r="AR1288" s="30"/>
      <c r="AS1288" s="30"/>
      <c r="AT1288" s="29"/>
      <c r="AU1288" s="30"/>
      <c r="AV1288" s="30"/>
      <c r="AW1288" s="30"/>
      <c r="AX1288" s="29"/>
      <c r="AY1288" s="39"/>
      <c r="AZ1288" s="30"/>
      <c r="BA1288" s="30"/>
      <c r="BB1288" s="29"/>
      <c r="BC1288" s="52"/>
      <c r="BD1288" s="30"/>
      <c r="BE1288" s="29"/>
      <c r="BF1288" s="30"/>
      <c r="BG1288" s="30"/>
      <c r="BH1288" s="30"/>
      <c r="BI1288" s="30"/>
      <c r="BJ1288" s="30"/>
      <c r="BK1288" s="30"/>
      <c r="BL1288" s="30"/>
      <c r="BM1288" s="30"/>
      <c r="BN1288" s="30"/>
      <c r="BO1288" s="30"/>
      <c r="BP1288" s="30"/>
      <c r="BQ1288" s="30"/>
      <c r="BR1288" s="30"/>
      <c r="BS1288" s="30"/>
      <c r="BT1288" s="30"/>
      <c r="BU1288" s="30"/>
      <c r="BV1288" s="30"/>
      <c r="BW1288" s="30"/>
      <c r="BX1288" s="30"/>
      <c r="BY1288" s="30"/>
      <c r="BZ1288" s="30"/>
      <c r="CA1288" s="30"/>
      <c r="CB1288" s="30"/>
      <c r="CC1288" s="30"/>
      <c r="CD1288" s="30"/>
      <c r="CE1288" s="30"/>
      <c r="CF1288" s="30"/>
      <c r="CG1288" s="30"/>
      <c r="CH1288" s="30"/>
      <c r="CI1288" s="30"/>
      <c r="CJ1288" s="30"/>
      <c r="CK1288" s="30"/>
      <c r="CL1288" s="30"/>
      <c r="CM1288" s="30"/>
      <c r="CN1288" s="30"/>
      <c r="CO1288" s="30"/>
      <c r="CP1288" s="30"/>
      <c r="CQ1288" s="30"/>
      <c r="CR1288" s="30"/>
      <c r="CS1288" s="30"/>
      <c r="CT1288" s="30"/>
      <c r="CU1288" s="30"/>
      <c r="CV1288" s="30"/>
      <c r="CW1288" s="30"/>
      <c r="CX1288" s="30"/>
      <c r="CY1288" s="30"/>
      <c r="CZ1288" s="30"/>
      <c r="DA1288" s="30"/>
      <c r="DB1288" s="30"/>
      <c r="DC1288" s="30"/>
      <c r="DD1288" s="30"/>
      <c r="DE1288" s="30"/>
      <c r="DF1288" s="30"/>
      <c r="DG1288" s="30"/>
      <c r="DH1288" s="30"/>
      <c r="DI1288" s="30"/>
      <c r="DJ1288" s="30"/>
      <c r="DK1288" s="30"/>
      <c r="DL1288" s="30"/>
      <c r="DM1288" s="30"/>
      <c r="DN1288" s="30"/>
      <c r="DO1288" s="30"/>
      <c r="DP1288" s="30"/>
      <c r="DQ1288" s="30"/>
      <c r="DR1288" s="30"/>
      <c r="DS1288" s="30"/>
      <c r="DT1288" s="30"/>
      <c r="DU1288" s="30"/>
      <c r="DV1288" s="30"/>
      <c r="DW1288" s="30"/>
      <c r="DX1288" s="30"/>
      <c r="DY1288" s="30"/>
      <c r="DZ1288" s="30"/>
    </row>
    <row r="1289">
      <c r="A1289" s="30"/>
      <c r="B1289" s="42"/>
      <c r="C1289" s="43"/>
      <c r="D1289" s="30"/>
      <c r="E1289" s="28"/>
      <c r="F1289" s="30"/>
      <c r="G1289" s="30"/>
      <c r="H1289" s="30"/>
      <c r="I1289" s="30"/>
      <c r="J1289" s="28"/>
      <c r="K1289" s="30"/>
      <c r="L1289" s="30"/>
      <c r="M1289" s="30"/>
      <c r="N1289" s="30"/>
      <c r="O1289" s="28"/>
      <c r="P1289" s="30"/>
      <c r="Q1289" s="30"/>
      <c r="R1289" s="30"/>
      <c r="S1289" s="36"/>
      <c r="T1289" s="30"/>
      <c r="U1289" s="36"/>
      <c r="V1289" s="30"/>
      <c r="W1289" s="28"/>
      <c r="X1289" s="30"/>
      <c r="Y1289" s="30"/>
      <c r="Z1289" s="30"/>
      <c r="AA1289" s="30"/>
      <c r="AB1289" s="30"/>
      <c r="AC1289" s="28"/>
      <c r="AD1289" s="30"/>
      <c r="AE1289" s="30"/>
      <c r="AF1289" s="30"/>
      <c r="AG1289" s="29"/>
      <c r="AH1289" s="30"/>
      <c r="AI1289" s="36"/>
      <c r="AJ1289" s="30"/>
      <c r="AK1289" s="29"/>
      <c r="AL1289" s="30"/>
      <c r="AM1289" s="30"/>
      <c r="AN1289" s="30"/>
      <c r="AO1289" s="30"/>
      <c r="AP1289" s="30"/>
      <c r="AQ1289" s="38"/>
      <c r="AR1289" s="30"/>
      <c r="AS1289" s="30"/>
      <c r="AT1289" s="29"/>
      <c r="AU1289" s="30"/>
      <c r="AV1289" s="30"/>
      <c r="AW1289" s="30"/>
      <c r="AX1289" s="29"/>
      <c r="AY1289" s="39"/>
      <c r="AZ1289" s="30"/>
      <c r="BA1289" s="30"/>
      <c r="BB1289" s="29"/>
      <c r="BC1289" s="52"/>
      <c r="BD1289" s="30"/>
      <c r="BE1289" s="29"/>
      <c r="BF1289" s="30"/>
      <c r="BG1289" s="30"/>
      <c r="BH1289" s="30"/>
      <c r="BI1289" s="30"/>
      <c r="BJ1289" s="30"/>
      <c r="BK1289" s="30"/>
      <c r="BL1289" s="30"/>
      <c r="BM1289" s="30"/>
      <c r="BN1289" s="30"/>
      <c r="BO1289" s="30"/>
      <c r="BP1289" s="30"/>
      <c r="BQ1289" s="30"/>
      <c r="BR1289" s="30"/>
      <c r="BS1289" s="30"/>
      <c r="BT1289" s="30"/>
      <c r="BU1289" s="30"/>
      <c r="BV1289" s="30"/>
      <c r="BW1289" s="30"/>
      <c r="BX1289" s="30"/>
      <c r="BY1289" s="30"/>
      <c r="BZ1289" s="30"/>
      <c r="CA1289" s="30"/>
      <c r="CB1289" s="30"/>
      <c r="CC1289" s="30"/>
      <c r="CD1289" s="30"/>
      <c r="CE1289" s="30"/>
      <c r="CF1289" s="30"/>
      <c r="CG1289" s="30"/>
      <c r="CH1289" s="30"/>
      <c r="CI1289" s="30"/>
      <c r="CJ1289" s="30"/>
      <c r="CK1289" s="30"/>
      <c r="CL1289" s="30"/>
      <c r="CM1289" s="30"/>
      <c r="CN1289" s="30"/>
      <c r="CO1289" s="30"/>
      <c r="CP1289" s="30"/>
      <c r="CQ1289" s="30"/>
      <c r="CR1289" s="30"/>
      <c r="CS1289" s="30"/>
      <c r="CT1289" s="30"/>
      <c r="CU1289" s="30"/>
      <c r="CV1289" s="30"/>
      <c r="CW1289" s="30"/>
      <c r="CX1289" s="30"/>
      <c r="CY1289" s="30"/>
      <c r="CZ1289" s="30"/>
      <c r="DA1289" s="30"/>
      <c r="DB1289" s="30"/>
      <c r="DC1289" s="30"/>
      <c r="DD1289" s="30"/>
      <c r="DE1289" s="30"/>
      <c r="DF1289" s="30"/>
      <c r="DG1289" s="30"/>
      <c r="DH1289" s="30"/>
      <c r="DI1289" s="30"/>
      <c r="DJ1289" s="30"/>
      <c r="DK1289" s="30"/>
      <c r="DL1289" s="30"/>
      <c r="DM1289" s="30"/>
      <c r="DN1289" s="30"/>
      <c r="DO1289" s="30"/>
      <c r="DP1289" s="30"/>
      <c r="DQ1289" s="30"/>
      <c r="DR1289" s="30"/>
      <c r="DS1289" s="30"/>
      <c r="DT1289" s="30"/>
      <c r="DU1289" s="30"/>
      <c r="DV1289" s="30"/>
      <c r="DW1289" s="30"/>
      <c r="DX1289" s="30"/>
      <c r="DY1289" s="30"/>
      <c r="DZ1289" s="30"/>
    </row>
    <row r="1290">
      <c r="A1290" s="30"/>
      <c r="B1290" s="42"/>
      <c r="C1290" s="43"/>
      <c r="D1290" s="30"/>
      <c r="E1290" s="28"/>
      <c r="F1290" s="30"/>
      <c r="G1290" s="30"/>
      <c r="H1290" s="30"/>
      <c r="I1290" s="30"/>
      <c r="J1290" s="28"/>
      <c r="K1290" s="30"/>
      <c r="L1290" s="30"/>
      <c r="M1290" s="30"/>
      <c r="N1290" s="30"/>
      <c r="O1290" s="28"/>
      <c r="P1290" s="30"/>
      <c r="Q1290" s="30"/>
      <c r="R1290" s="30"/>
      <c r="S1290" s="36"/>
      <c r="T1290" s="30"/>
      <c r="U1290" s="36"/>
      <c r="V1290" s="30"/>
      <c r="W1290" s="28"/>
      <c r="X1290" s="30"/>
      <c r="Y1290" s="30"/>
      <c r="Z1290" s="30"/>
      <c r="AA1290" s="30"/>
      <c r="AB1290" s="30"/>
      <c r="AC1290" s="28"/>
      <c r="AD1290" s="30"/>
      <c r="AE1290" s="30"/>
      <c r="AF1290" s="30"/>
      <c r="AG1290" s="29"/>
      <c r="AH1290" s="30"/>
      <c r="AI1290" s="36"/>
      <c r="AJ1290" s="30"/>
      <c r="AK1290" s="29"/>
      <c r="AL1290" s="30"/>
      <c r="AM1290" s="30"/>
      <c r="AN1290" s="30"/>
      <c r="AO1290" s="30"/>
      <c r="AP1290" s="30"/>
      <c r="AQ1290" s="38"/>
      <c r="AR1290" s="30"/>
      <c r="AS1290" s="30"/>
      <c r="AT1290" s="29"/>
      <c r="AU1290" s="30"/>
      <c r="AV1290" s="30"/>
      <c r="AW1290" s="30"/>
      <c r="AX1290" s="29"/>
      <c r="AY1290" s="39"/>
      <c r="AZ1290" s="30"/>
      <c r="BA1290" s="30"/>
      <c r="BB1290" s="29"/>
      <c r="BC1290" s="52"/>
      <c r="BD1290" s="30"/>
      <c r="BE1290" s="29"/>
      <c r="BF1290" s="30"/>
      <c r="BG1290" s="30"/>
      <c r="BH1290" s="30"/>
      <c r="BI1290" s="30"/>
      <c r="BJ1290" s="30"/>
      <c r="BK1290" s="30"/>
      <c r="BL1290" s="30"/>
      <c r="BM1290" s="30"/>
      <c r="BN1290" s="30"/>
      <c r="BO1290" s="30"/>
      <c r="BP1290" s="30"/>
      <c r="BQ1290" s="30"/>
      <c r="BR1290" s="30"/>
      <c r="BS1290" s="30"/>
      <c r="BT1290" s="30"/>
      <c r="BU1290" s="30"/>
      <c r="BV1290" s="30"/>
      <c r="BW1290" s="30"/>
      <c r="BX1290" s="30"/>
      <c r="BY1290" s="30"/>
      <c r="BZ1290" s="30"/>
      <c r="CA1290" s="30"/>
      <c r="CB1290" s="30"/>
      <c r="CC1290" s="30"/>
      <c r="CD1290" s="30"/>
      <c r="CE1290" s="30"/>
      <c r="CF1290" s="30"/>
      <c r="CG1290" s="30"/>
      <c r="CH1290" s="30"/>
      <c r="CI1290" s="30"/>
      <c r="CJ1290" s="30"/>
      <c r="CK1290" s="30"/>
      <c r="CL1290" s="30"/>
      <c r="CM1290" s="30"/>
      <c r="CN1290" s="30"/>
      <c r="CO1290" s="30"/>
      <c r="CP1290" s="30"/>
      <c r="CQ1290" s="30"/>
      <c r="CR1290" s="30"/>
      <c r="CS1290" s="30"/>
      <c r="CT1290" s="30"/>
      <c r="CU1290" s="30"/>
      <c r="CV1290" s="30"/>
      <c r="CW1290" s="30"/>
      <c r="CX1290" s="30"/>
      <c r="CY1290" s="30"/>
      <c r="CZ1290" s="30"/>
      <c r="DA1290" s="30"/>
      <c r="DB1290" s="30"/>
      <c r="DC1290" s="30"/>
      <c r="DD1290" s="30"/>
      <c r="DE1290" s="30"/>
      <c r="DF1290" s="30"/>
      <c r="DG1290" s="30"/>
      <c r="DH1290" s="30"/>
      <c r="DI1290" s="30"/>
      <c r="DJ1290" s="30"/>
      <c r="DK1290" s="30"/>
      <c r="DL1290" s="30"/>
      <c r="DM1290" s="30"/>
      <c r="DN1290" s="30"/>
      <c r="DO1290" s="30"/>
      <c r="DP1290" s="30"/>
      <c r="DQ1290" s="30"/>
      <c r="DR1290" s="30"/>
      <c r="DS1290" s="30"/>
      <c r="DT1290" s="30"/>
      <c r="DU1290" s="30"/>
      <c r="DV1290" s="30"/>
      <c r="DW1290" s="30"/>
      <c r="DX1290" s="30"/>
      <c r="DY1290" s="30"/>
      <c r="DZ1290" s="30"/>
    </row>
    <row r="1291">
      <c r="A1291" s="30"/>
      <c r="B1291" s="42"/>
      <c r="C1291" s="43"/>
      <c r="D1291" s="30"/>
      <c r="E1291" s="28"/>
      <c r="F1291" s="30"/>
      <c r="G1291" s="30"/>
      <c r="H1291" s="30"/>
      <c r="I1291" s="30"/>
      <c r="J1291" s="28"/>
      <c r="K1291" s="30"/>
      <c r="L1291" s="30"/>
      <c r="M1291" s="30"/>
      <c r="N1291" s="30"/>
      <c r="O1291" s="28"/>
      <c r="P1291" s="30"/>
      <c r="Q1291" s="30"/>
      <c r="R1291" s="30"/>
      <c r="S1291" s="36"/>
      <c r="T1291" s="30"/>
      <c r="U1291" s="36"/>
      <c r="V1291" s="30"/>
      <c r="W1291" s="28"/>
      <c r="X1291" s="30"/>
      <c r="Y1291" s="30"/>
      <c r="Z1291" s="30"/>
      <c r="AA1291" s="30"/>
      <c r="AB1291" s="30"/>
      <c r="AC1291" s="28"/>
      <c r="AD1291" s="30"/>
      <c r="AE1291" s="30"/>
      <c r="AF1291" s="30"/>
      <c r="AG1291" s="29"/>
      <c r="AH1291" s="30"/>
      <c r="AI1291" s="36"/>
      <c r="AJ1291" s="30"/>
      <c r="AK1291" s="29"/>
      <c r="AL1291" s="30"/>
      <c r="AM1291" s="30"/>
      <c r="AN1291" s="30"/>
      <c r="AO1291" s="30"/>
      <c r="AP1291" s="30"/>
      <c r="AQ1291" s="38"/>
      <c r="AR1291" s="30"/>
      <c r="AS1291" s="30"/>
      <c r="AT1291" s="29"/>
      <c r="AU1291" s="30"/>
      <c r="AV1291" s="30"/>
      <c r="AW1291" s="30"/>
      <c r="AX1291" s="29"/>
      <c r="AY1291" s="39"/>
      <c r="AZ1291" s="30"/>
      <c r="BA1291" s="30"/>
      <c r="BB1291" s="29"/>
      <c r="BC1291" s="52"/>
      <c r="BD1291" s="30"/>
      <c r="BE1291" s="29"/>
      <c r="BF1291" s="30"/>
      <c r="BG1291" s="30"/>
      <c r="BH1291" s="30"/>
      <c r="BI1291" s="30"/>
      <c r="BJ1291" s="30"/>
      <c r="BK1291" s="30"/>
      <c r="BL1291" s="30"/>
      <c r="BM1291" s="30"/>
      <c r="BN1291" s="30"/>
      <c r="BO1291" s="30"/>
      <c r="BP1291" s="30"/>
      <c r="BQ1291" s="30"/>
      <c r="BR1291" s="30"/>
      <c r="BS1291" s="30"/>
      <c r="BT1291" s="30"/>
      <c r="BU1291" s="30"/>
      <c r="BV1291" s="30"/>
      <c r="BW1291" s="30"/>
      <c r="BX1291" s="30"/>
      <c r="BY1291" s="30"/>
      <c r="BZ1291" s="30"/>
      <c r="CA1291" s="30"/>
      <c r="CB1291" s="30"/>
      <c r="CC1291" s="30"/>
      <c r="CD1291" s="30"/>
      <c r="CE1291" s="30"/>
      <c r="CF1291" s="30"/>
      <c r="CG1291" s="30"/>
      <c r="CH1291" s="30"/>
      <c r="CI1291" s="30"/>
      <c r="CJ1291" s="30"/>
      <c r="CK1291" s="30"/>
      <c r="CL1291" s="30"/>
      <c r="CM1291" s="30"/>
      <c r="CN1291" s="30"/>
      <c r="CO1291" s="30"/>
      <c r="CP1291" s="30"/>
      <c r="CQ1291" s="30"/>
      <c r="CR1291" s="30"/>
      <c r="CS1291" s="30"/>
      <c r="CT1291" s="30"/>
      <c r="CU1291" s="30"/>
      <c r="CV1291" s="30"/>
      <c r="CW1291" s="30"/>
      <c r="CX1291" s="30"/>
      <c r="CY1291" s="30"/>
      <c r="CZ1291" s="30"/>
      <c r="DA1291" s="30"/>
      <c r="DB1291" s="30"/>
      <c r="DC1291" s="30"/>
      <c r="DD1291" s="30"/>
      <c r="DE1291" s="30"/>
      <c r="DF1291" s="30"/>
      <c r="DG1291" s="30"/>
      <c r="DH1291" s="30"/>
      <c r="DI1291" s="30"/>
      <c r="DJ1291" s="30"/>
      <c r="DK1291" s="30"/>
      <c r="DL1291" s="30"/>
      <c r="DM1291" s="30"/>
      <c r="DN1291" s="30"/>
      <c r="DO1291" s="30"/>
      <c r="DP1291" s="30"/>
      <c r="DQ1291" s="30"/>
      <c r="DR1291" s="30"/>
      <c r="DS1291" s="30"/>
      <c r="DT1291" s="30"/>
      <c r="DU1291" s="30"/>
      <c r="DV1291" s="30"/>
      <c r="DW1291" s="30"/>
      <c r="DX1291" s="30"/>
      <c r="DY1291" s="30"/>
      <c r="DZ1291" s="30"/>
    </row>
    <row r="1292">
      <c r="A1292" s="30"/>
      <c r="B1292" s="42"/>
      <c r="C1292" s="43"/>
      <c r="D1292" s="30"/>
      <c r="E1292" s="28"/>
      <c r="F1292" s="30"/>
      <c r="G1292" s="30"/>
      <c r="H1292" s="30"/>
      <c r="I1292" s="30"/>
      <c r="J1292" s="28"/>
      <c r="K1292" s="30"/>
      <c r="L1292" s="30"/>
      <c r="M1292" s="30"/>
      <c r="N1292" s="30"/>
      <c r="O1292" s="28"/>
      <c r="P1292" s="30"/>
      <c r="Q1292" s="30"/>
      <c r="R1292" s="30"/>
      <c r="S1292" s="36"/>
      <c r="T1292" s="30"/>
      <c r="U1292" s="36"/>
      <c r="V1292" s="30"/>
      <c r="W1292" s="28"/>
      <c r="X1292" s="30"/>
      <c r="Y1292" s="30"/>
      <c r="Z1292" s="30"/>
      <c r="AA1292" s="30"/>
      <c r="AB1292" s="30"/>
      <c r="AC1292" s="28"/>
      <c r="AD1292" s="30"/>
      <c r="AE1292" s="30"/>
      <c r="AF1292" s="30"/>
      <c r="AG1292" s="29"/>
      <c r="AH1292" s="30"/>
      <c r="AI1292" s="36"/>
      <c r="AJ1292" s="30"/>
      <c r="AK1292" s="29"/>
      <c r="AL1292" s="30"/>
      <c r="AM1292" s="30"/>
      <c r="AN1292" s="30"/>
      <c r="AO1292" s="30"/>
      <c r="AP1292" s="30"/>
      <c r="AQ1292" s="38"/>
      <c r="AR1292" s="30"/>
      <c r="AS1292" s="30"/>
      <c r="AT1292" s="29"/>
      <c r="AU1292" s="30"/>
      <c r="AV1292" s="30"/>
      <c r="AW1292" s="30"/>
      <c r="AX1292" s="29"/>
      <c r="AY1292" s="39"/>
      <c r="AZ1292" s="30"/>
      <c r="BA1292" s="30"/>
      <c r="BB1292" s="29"/>
      <c r="BC1292" s="52"/>
      <c r="BD1292" s="30"/>
      <c r="BE1292" s="29"/>
      <c r="BF1292" s="30"/>
      <c r="BG1292" s="30"/>
      <c r="BH1292" s="30"/>
      <c r="BI1292" s="30"/>
      <c r="BJ1292" s="30"/>
      <c r="BK1292" s="30"/>
      <c r="BL1292" s="30"/>
      <c r="BM1292" s="30"/>
      <c r="BN1292" s="30"/>
      <c r="BO1292" s="30"/>
      <c r="BP1292" s="30"/>
      <c r="BQ1292" s="30"/>
      <c r="BR1292" s="30"/>
      <c r="BS1292" s="30"/>
      <c r="BT1292" s="30"/>
      <c r="BU1292" s="30"/>
      <c r="BV1292" s="30"/>
      <c r="BW1292" s="30"/>
      <c r="BX1292" s="30"/>
      <c r="BY1292" s="30"/>
      <c r="BZ1292" s="30"/>
      <c r="CA1292" s="30"/>
      <c r="CB1292" s="30"/>
      <c r="CC1292" s="30"/>
      <c r="CD1292" s="30"/>
      <c r="CE1292" s="30"/>
      <c r="CF1292" s="30"/>
      <c r="CG1292" s="30"/>
      <c r="CH1292" s="30"/>
      <c r="CI1292" s="30"/>
      <c r="CJ1292" s="30"/>
      <c r="CK1292" s="30"/>
      <c r="CL1292" s="30"/>
      <c r="CM1292" s="30"/>
      <c r="CN1292" s="30"/>
      <c r="CO1292" s="30"/>
      <c r="CP1292" s="30"/>
      <c r="CQ1292" s="30"/>
      <c r="CR1292" s="30"/>
      <c r="CS1292" s="30"/>
      <c r="CT1292" s="30"/>
      <c r="CU1292" s="30"/>
      <c r="CV1292" s="30"/>
      <c r="CW1292" s="30"/>
      <c r="CX1292" s="30"/>
      <c r="CY1292" s="30"/>
      <c r="CZ1292" s="30"/>
      <c r="DA1292" s="30"/>
      <c r="DB1292" s="30"/>
      <c r="DC1292" s="30"/>
      <c r="DD1292" s="30"/>
      <c r="DE1292" s="30"/>
      <c r="DF1292" s="30"/>
      <c r="DG1292" s="30"/>
      <c r="DH1292" s="30"/>
      <c r="DI1292" s="30"/>
      <c r="DJ1292" s="30"/>
      <c r="DK1292" s="30"/>
      <c r="DL1292" s="30"/>
      <c r="DM1292" s="30"/>
      <c r="DN1292" s="30"/>
      <c r="DO1292" s="30"/>
      <c r="DP1292" s="30"/>
      <c r="DQ1292" s="30"/>
      <c r="DR1292" s="30"/>
      <c r="DS1292" s="30"/>
      <c r="DT1292" s="30"/>
      <c r="DU1292" s="30"/>
      <c r="DV1292" s="30"/>
      <c r="DW1292" s="30"/>
      <c r="DX1292" s="30"/>
      <c r="DY1292" s="30"/>
      <c r="DZ1292" s="30"/>
    </row>
    <row r="1293">
      <c r="A1293" s="30"/>
      <c r="B1293" s="42"/>
      <c r="C1293" s="43"/>
      <c r="D1293" s="30"/>
      <c r="E1293" s="28"/>
      <c r="F1293" s="30"/>
      <c r="G1293" s="30"/>
      <c r="H1293" s="30"/>
      <c r="I1293" s="30"/>
      <c r="J1293" s="28"/>
      <c r="K1293" s="30"/>
      <c r="L1293" s="30"/>
      <c r="M1293" s="30"/>
      <c r="N1293" s="30"/>
      <c r="O1293" s="28"/>
      <c r="P1293" s="30"/>
      <c r="Q1293" s="30"/>
      <c r="R1293" s="30"/>
      <c r="S1293" s="36"/>
      <c r="T1293" s="30"/>
      <c r="U1293" s="36"/>
      <c r="V1293" s="30"/>
      <c r="W1293" s="28"/>
      <c r="X1293" s="30"/>
      <c r="Y1293" s="30"/>
      <c r="Z1293" s="30"/>
      <c r="AA1293" s="30"/>
      <c r="AB1293" s="30"/>
      <c r="AC1293" s="28"/>
      <c r="AD1293" s="30"/>
      <c r="AE1293" s="30"/>
      <c r="AF1293" s="30"/>
      <c r="AG1293" s="29"/>
      <c r="AH1293" s="30"/>
      <c r="AI1293" s="36"/>
      <c r="AJ1293" s="30"/>
      <c r="AK1293" s="29"/>
      <c r="AL1293" s="30"/>
      <c r="AM1293" s="30"/>
      <c r="AN1293" s="30"/>
      <c r="AO1293" s="30"/>
      <c r="AP1293" s="30"/>
      <c r="AQ1293" s="38"/>
      <c r="AR1293" s="30"/>
      <c r="AS1293" s="30"/>
      <c r="AT1293" s="29"/>
      <c r="AU1293" s="30"/>
      <c r="AV1293" s="30"/>
      <c r="AW1293" s="30"/>
      <c r="AX1293" s="29"/>
      <c r="AY1293" s="39"/>
      <c r="AZ1293" s="30"/>
      <c r="BA1293" s="30"/>
      <c r="BB1293" s="29"/>
      <c r="BC1293" s="52"/>
      <c r="BD1293" s="30"/>
      <c r="BE1293" s="29"/>
      <c r="BF1293" s="30"/>
      <c r="BG1293" s="30"/>
      <c r="BH1293" s="30"/>
      <c r="BI1293" s="30"/>
      <c r="BJ1293" s="30"/>
      <c r="BK1293" s="30"/>
      <c r="BL1293" s="30"/>
      <c r="BM1293" s="30"/>
      <c r="BN1293" s="30"/>
      <c r="BO1293" s="30"/>
      <c r="BP1293" s="30"/>
      <c r="BQ1293" s="30"/>
      <c r="BR1293" s="30"/>
      <c r="BS1293" s="30"/>
      <c r="BT1293" s="30"/>
      <c r="BU1293" s="30"/>
      <c r="BV1293" s="30"/>
      <c r="BW1293" s="30"/>
      <c r="BX1293" s="30"/>
      <c r="BY1293" s="30"/>
      <c r="BZ1293" s="30"/>
      <c r="CA1293" s="30"/>
      <c r="CB1293" s="30"/>
      <c r="CC1293" s="30"/>
      <c r="CD1293" s="30"/>
      <c r="CE1293" s="30"/>
      <c r="CF1293" s="30"/>
      <c r="CG1293" s="30"/>
      <c r="CH1293" s="30"/>
      <c r="CI1293" s="30"/>
      <c r="CJ1293" s="30"/>
      <c r="CK1293" s="30"/>
      <c r="CL1293" s="30"/>
      <c r="CM1293" s="30"/>
      <c r="CN1293" s="30"/>
      <c r="CO1293" s="30"/>
      <c r="CP1293" s="30"/>
      <c r="CQ1293" s="30"/>
      <c r="CR1293" s="30"/>
      <c r="CS1293" s="30"/>
      <c r="CT1293" s="30"/>
      <c r="CU1293" s="30"/>
      <c r="CV1293" s="30"/>
      <c r="CW1293" s="30"/>
      <c r="CX1293" s="30"/>
      <c r="CY1293" s="30"/>
      <c r="CZ1293" s="30"/>
      <c r="DA1293" s="30"/>
      <c r="DB1293" s="30"/>
      <c r="DC1293" s="30"/>
      <c r="DD1293" s="30"/>
      <c r="DE1293" s="30"/>
      <c r="DF1293" s="30"/>
      <c r="DG1293" s="30"/>
      <c r="DH1293" s="30"/>
      <c r="DI1293" s="30"/>
      <c r="DJ1293" s="30"/>
      <c r="DK1293" s="30"/>
      <c r="DL1293" s="30"/>
      <c r="DM1293" s="30"/>
      <c r="DN1293" s="30"/>
      <c r="DO1293" s="30"/>
      <c r="DP1293" s="30"/>
      <c r="DQ1293" s="30"/>
      <c r="DR1293" s="30"/>
      <c r="DS1293" s="30"/>
      <c r="DT1293" s="30"/>
      <c r="DU1293" s="30"/>
      <c r="DV1293" s="30"/>
      <c r="DW1293" s="30"/>
      <c r="DX1293" s="30"/>
      <c r="DY1293" s="30"/>
      <c r="DZ1293" s="30"/>
    </row>
    <row r="1294">
      <c r="A1294" s="30"/>
      <c r="B1294" s="42"/>
      <c r="C1294" s="43"/>
      <c r="D1294" s="30"/>
      <c r="E1294" s="28"/>
      <c r="F1294" s="30"/>
      <c r="G1294" s="30"/>
      <c r="H1294" s="30"/>
      <c r="I1294" s="30"/>
      <c r="J1294" s="28"/>
      <c r="K1294" s="30"/>
      <c r="L1294" s="30"/>
      <c r="M1294" s="30"/>
      <c r="N1294" s="30"/>
      <c r="O1294" s="28"/>
      <c r="P1294" s="30"/>
      <c r="Q1294" s="30"/>
      <c r="R1294" s="30"/>
      <c r="S1294" s="36"/>
      <c r="T1294" s="30"/>
      <c r="U1294" s="36"/>
      <c r="V1294" s="30"/>
      <c r="W1294" s="28"/>
      <c r="X1294" s="30"/>
      <c r="Y1294" s="30"/>
      <c r="Z1294" s="30"/>
      <c r="AA1294" s="30"/>
      <c r="AB1294" s="30"/>
      <c r="AC1294" s="28"/>
      <c r="AD1294" s="30"/>
      <c r="AE1294" s="30"/>
      <c r="AF1294" s="30"/>
      <c r="AG1294" s="29"/>
      <c r="AH1294" s="30"/>
      <c r="AI1294" s="36"/>
      <c r="AJ1294" s="30"/>
      <c r="AK1294" s="29"/>
      <c r="AL1294" s="30"/>
      <c r="AM1294" s="30"/>
      <c r="AN1294" s="30"/>
      <c r="AO1294" s="30"/>
      <c r="AP1294" s="30"/>
      <c r="AQ1294" s="38"/>
      <c r="AR1294" s="30"/>
      <c r="AS1294" s="30"/>
      <c r="AT1294" s="29"/>
      <c r="AU1294" s="30"/>
      <c r="AV1294" s="30"/>
      <c r="AW1294" s="30"/>
      <c r="AX1294" s="29"/>
      <c r="AY1294" s="39"/>
      <c r="AZ1294" s="30"/>
      <c r="BA1294" s="30"/>
      <c r="BB1294" s="29"/>
      <c r="BC1294" s="52"/>
      <c r="BD1294" s="30"/>
      <c r="BE1294" s="29"/>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0"/>
      <c r="CF1294" s="30"/>
      <c r="CG1294" s="30"/>
      <c r="CH1294" s="30"/>
      <c r="CI1294" s="30"/>
      <c r="CJ1294" s="30"/>
      <c r="CK1294" s="30"/>
      <c r="CL1294" s="30"/>
      <c r="CM1294" s="30"/>
      <c r="CN1294" s="30"/>
      <c r="CO1294" s="30"/>
      <c r="CP1294" s="30"/>
      <c r="CQ1294" s="30"/>
      <c r="CR1294" s="30"/>
      <c r="CS1294" s="30"/>
      <c r="CT1294" s="30"/>
      <c r="CU1294" s="30"/>
      <c r="CV1294" s="30"/>
      <c r="CW1294" s="30"/>
      <c r="CX1294" s="30"/>
      <c r="CY1294" s="30"/>
      <c r="CZ1294" s="30"/>
      <c r="DA1294" s="30"/>
      <c r="DB1294" s="30"/>
      <c r="DC1294" s="30"/>
      <c r="DD1294" s="30"/>
      <c r="DE1294" s="30"/>
      <c r="DF1294" s="30"/>
      <c r="DG1294" s="30"/>
      <c r="DH1294" s="30"/>
      <c r="DI1294" s="30"/>
      <c r="DJ1294" s="30"/>
      <c r="DK1294" s="30"/>
      <c r="DL1294" s="30"/>
      <c r="DM1294" s="30"/>
      <c r="DN1294" s="30"/>
      <c r="DO1294" s="30"/>
      <c r="DP1294" s="30"/>
      <c r="DQ1294" s="30"/>
      <c r="DR1294" s="30"/>
      <c r="DS1294" s="30"/>
      <c r="DT1294" s="30"/>
      <c r="DU1294" s="30"/>
      <c r="DV1294" s="30"/>
      <c r="DW1294" s="30"/>
      <c r="DX1294" s="30"/>
      <c r="DY1294" s="30"/>
      <c r="DZ1294" s="30"/>
    </row>
    <row r="1295">
      <c r="A1295" s="30"/>
      <c r="B1295" s="42"/>
      <c r="C1295" s="43"/>
      <c r="D1295" s="30"/>
      <c r="E1295" s="28"/>
      <c r="F1295" s="30"/>
      <c r="G1295" s="30"/>
      <c r="H1295" s="30"/>
      <c r="I1295" s="30"/>
      <c r="J1295" s="28"/>
      <c r="K1295" s="30"/>
      <c r="L1295" s="30"/>
      <c r="M1295" s="30"/>
      <c r="N1295" s="30"/>
      <c r="O1295" s="28"/>
      <c r="P1295" s="30"/>
      <c r="Q1295" s="30"/>
      <c r="R1295" s="30"/>
      <c r="S1295" s="36"/>
      <c r="T1295" s="30"/>
      <c r="U1295" s="36"/>
      <c r="V1295" s="30"/>
      <c r="W1295" s="28"/>
      <c r="X1295" s="30"/>
      <c r="Y1295" s="30"/>
      <c r="Z1295" s="30"/>
      <c r="AA1295" s="30"/>
      <c r="AB1295" s="30"/>
      <c r="AC1295" s="28"/>
      <c r="AD1295" s="30"/>
      <c r="AE1295" s="30"/>
      <c r="AF1295" s="30"/>
      <c r="AG1295" s="29"/>
      <c r="AH1295" s="30"/>
      <c r="AI1295" s="36"/>
      <c r="AJ1295" s="30"/>
      <c r="AK1295" s="29"/>
      <c r="AL1295" s="30"/>
      <c r="AM1295" s="30"/>
      <c r="AN1295" s="30"/>
      <c r="AO1295" s="30"/>
      <c r="AP1295" s="30"/>
      <c r="AQ1295" s="38"/>
      <c r="AR1295" s="30"/>
      <c r="AS1295" s="30"/>
      <c r="AT1295" s="29"/>
      <c r="AU1295" s="30"/>
      <c r="AV1295" s="30"/>
      <c r="AW1295" s="30"/>
      <c r="AX1295" s="29"/>
      <c r="AY1295" s="39"/>
      <c r="AZ1295" s="30"/>
      <c r="BA1295" s="30"/>
      <c r="BB1295" s="29"/>
      <c r="BC1295" s="52"/>
      <c r="BD1295" s="30"/>
      <c r="BE1295" s="29"/>
      <c r="BF1295" s="30"/>
      <c r="BG1295" s="30"/>
      <c r="BH1295" s="30"/>
      <c r="BI1295" s="30"/>
      <c r="BJ1295" s="30"/>
      <c r="BK1295" s="30"/>
      <c r="BL1295" s="30"/>
      <c r="BM1295" s="30"/>
      <c r="BN1295" s="30"/>
      <c r="BO1295" s="30"/>
      <c r="BP1295" s="30"/>
      <c r="BQ1295" s="30"/>
      <c r="BR1295" s="30"/>
      <c r="BS1295" s="30"/>
      <c r="BT1295" s="30"/>
      <c r="BU1295" s="30"/>
      <c r="BV1295" s="30"/>
      <c r="BW1295" s="30"/>
      <c r="BX1295" s="30"/>
      <c r="BY1295" s="30"/>
      <c r="BZ1295" s="30"/>
      <c r="CA1295" s="30"/>
      <c r="CB1295" s="30"/>
      <c r="CC1295" s="30"/>
      <c r="CD1295" s="30"/>
      <c r="CE1295" s="30"/>
      <c r="CF1295" s="30"/>
      <c r="CG1295" s="30"/>
      <c r="CH1295" s="30"/>
      <c r="CI1295" s="30"/>
      <c r="CJ1295" s="30"/>
      <c r="CK1295" s="30"/>
      <c r="CL1295" s="30"/>
      <c r="CM1295" s="30"/>
      <c r="CN1295" s="30"/>
      <c r="CO1295" s="30"/>
      <c r="CP1295" s="30"/>
      <c r="CQ1295" s="30"/>
      <c r="CR1295" s="30"/>
      <c r="CS1295" s="30"/>
      <c r="CT1295" s="30"/>
      <c r="CU1295" s="30"/>
      <c r="CV1295" s="30"/>
      <c r="CW1295" s="30"/>
      <c r="CX1295" s="30"/>
      <c r="CY1295" s="30"/>
      <c r="CZ1295" s="30"/>
      <c r="DA1295" s="30"/>
      <c r="DB1295" s="30"/>
      <c r="DC1295" s="30"/>
      <c r="DD1295" s="30"/>
      <c r="DE1295" s="30"/>
      <c r="DF1295" s="30"/>
      <c r="DG1295" s="30"/>
      <c r="DH1295" s="30"/>
      <c r="DI1295" s="30"/>
      <c r="DJ1295" s="30"/>
      <c r="DK1295" s="30"/>
      <c r="DL1295" s="30"/>
      <c r="DM1295" s="30"/>
      <c r="DN1295" s="30"/>
      <c r="DO1295" s="30"/>
      <c r="DP1295" s="30"/>
      <c r="DQ1295" s="30"/>
      <c r="DR1295" s="30"/>
      <c r="DS1295" s="30"/>
      <c r="DT1295" s="30"/>
      <c r="DU1295" s="30"/>
      <c r="DV1295" s="30"/>
      <c r="DW1295" s="30"/>
      <c r="DX1295" s="30"/>
      <c r="DY1295" s="30"/>
      <c r="DZ1295" s="30"/>
    </row>
    <row r="1296">
      <c r="A1296" s="30"/>
      <c r="B1296" s="42"/>
      <c r="C1296" s="43"/>
      <c r="D1296" s="30"/>
      <c r="E1296" s="28"/>
      <c r="F1296" s="30"/>
      <c r="G1296" s="30"/>
      <c r="H1296" s="30"/>
      <c r="I1296" s="30"/>
      <c r="J1296" s="28"/>
      <c r="K1296" s="30"/>
      <c r="L1296" s="30"/>
      <c r="M1296" s="30"/>
      <c r="N1296" s="30"/>
      <c r="O1296" s="28"/>
      <c r="P1296" s="30"/>
      <c r="Q1296" s="30"/>
      <c r="R1296" s="30"/>
      <c r="S1296" s="36"/>
      <c r="T1296" s="30"/>
      <c r="U1296" s="36"/>
      <c r="V1296" s="30"/>
      <c r="W1296" s="28"/>
      <c r="X1296" s="30"/>
      <c r="Y1296" s="30"/>
      <c r="Z1296" s="30"/>
      <c r="AA1296" s="30"/>
      <c r="AB1296" s="30"/>
      <c r="AC1296" s="28"/>
      <c r="AD1296" s="30"/>
      <c r="AE1296" s="30"/>
      <c r="AF1296" s="30"/>
      <c r="AG1296" s="29"/>
      <c r="AH1296" s="30"/>
      <c r="AI1296" s="36"/>
      <c r="AJ1296" s="30"/>
      <c r="AK1296" s="29"/>
      <c r="AL1296" s="30"/>
      <c r="AM1296" s="30"/>
      <c r="AN1296" s="30"/>
      <c r="AO1296" s="30"/>
      <c r="AP1296" s="30"/>
      <c r="AQ1296" s="38"/>
      <c r="AR1296" s="30"/>
      <c r="AS1296" s="30"/>
      <c r="AT1296" s="29"/>
      <c r="AU1296" s="30"/>
      <c r="AV1296" s="30"/>
      <c r="AW1296" s="30"/>
      <c r="AX1296" s="29"/>
      <c r="AY1296" s="39"/>
      <c r="AZ1296" s="30"/>
      <c r="BA1296" s="30"/>
      <c r="BB1296" s="29"/>
      <c r="BC1296" s="52"/>
      <c r="BD1296" s="30"/>
      <c r="BE1296" s="29"/>
      <c r="BF1296" s="30"/>
      <c r="BG1296" s="30"/>
      <c r="BH1296" s="30"/>
      <c r="BI1296" s="30"/>
      <c r="BJ1296" s="30"/>
      <c r="BK1296" s="30"/>
      <c r="BL1296" s="30"/>
      <c r="BM1296" s="30"/>
      <c r="BN1296" s="30"/>
      <c r="BO1296" s="30"/>
      <c r="BP1296" s="30"/>
      <c r="BQ1296" s="30"/>
      <c r="BR1296" s="30"/>
      <c r="BS1296" s="30"/>
      <c r="BT1296" s="30"/>
      <c r="BU1296" s="30"/>
      <c r="BV1296" s="30"/>
      <c r="BW1296" s="30"/>
      <c r="BX1296" s="30"/>
      <c r="BY1296" s="30"/>
      <c r="BZ1296" s="30"/>
      <c r="CA1296" s="30"/>
      <c r="CB1296" s="30"/>
      <c r="CC1296" s="30"/>
      <c r="CD1296" s="30"/>
      <c r="CE1296" s="30"/>
      <c r="CF1296" s="30"/>
      <c r="CG1296" s="30"/>
      <c r="CH1296" s="30"/>
      <c r="CI1296" s="30"/>
      <c r="CJ1296" s="30"/>
      <c r="CK1296" s="30"/>
      <c r="CL1296" s="30"/>
      <c r="CM1296" s="30"/>
      <c r="CN1296" s="30"/>
      <c r="CO1296" s="30"/>
      <c r="CP1296" s="30"/>
      <c r="CQ1296" s="30"/>
      <c r="CR1296" s="30"/>
      <c r="CS1296" s="30"/>
      <c r="CT1296" s="30"/>
      <c r="CU1296" s="30"/>
      <c r="CV1296" s="30"/>
      <c r="CW1296" s="30"/>
      <c r="CX1296" s="30"/>
      <c r="CY1296" s="30"/>
      <c r="CZ1296" s="30"/>
      <c r="DA1296" s="30"/>
      <c r="DB1296" s="30"/>
      <c r="DC1296" s="30"/>
      <c r="DD1296" s="30"/>
      <c r="DE1296" s="30"/>
      <c r="DF1296" s="30"/>
      <c r="DG1296" s="30"/>
      <c r="DH1296" s="30"/>
      <c r="DI1296" s="30"/>
      <c r="DJ1296" s="30"/>
      <c r="DK1296" s="30"/>
      <c r="DL1296" s="30"/>
      <c r="DM1296" s="30"/>
      <c r="DN1296" s="30"/>
      <c r="DO1296" s="30"/>
      <c r="DP1296" s="30"/>
      <c r="DQ1296" s="30"/>
      <c r="DR1296" s="30"/>
      <c r="DS1296" s="30"/>
      <c r="DT1296" s="30"/>
      <c r="DU1296" s="30"/>
      <c r="DV1296" s="30"/>
      <c r="DW1296" s="30"/>
      <c r="DX1296" s="30"/>
      <c r="DY1296" s="30"/>
      <c r="DZ1296" s="30"/>
    </row>
    <row r="1297">
      <c r="A1297" s="30"/>
      <c r="B1297" s="42"/>
      <c r="C1297" s="43"/>
      <c r="D1297" s="30"/>
      <c r="E1297" s="28"/>
      <c r="F1297" s="30"/>
      <c r="G1297" s="30"/>
      <c r="H1297" s="30"/>
      <c r="I1297" s="30"/>
      <c r="J1297" s="28"/>
      <c r="K1297" s="30"/>
      <c r="L1297" s="30"/>
      <c r="M1297" s="30"/>
      <c r="N1297" s="30"/>
      <c r="O1297" s="28"/>
      <c r="P1297" s="30"/>
      <c r="Q1297" s="30"/>
      <c r="R1297" s="30"/>
      <c r="S1297" s="36"/>
      <c r="T1297" s="30"/>
      <c r="U1297" s="36"/>
      <c r="V1297" s="30"/>
      <c r="W1297" s="28"/>
      <c r="X1297" s="30"/>
      <c r="Y1297" s="30"/>
      <c r="Z1297" s="30"/>
      <c r="AA1297" s="30"/>
      <c r="AB1297" s="30"/>
      <c r="AC1297" s="28"/>
      <c r="AD1297" s="30"/>
      <c r="AE1297" s="30"/>
      <c r="AF1297" s="30"/>
      <c r="AG1297" s="29"/>
      <c r="AH1297" s="30"/>
      <c r="AI1297" s="36"/>
      <c r="AJ1297" s="30"/>
      <c r="AK1297" s="29"/>
      <c r="AL1297" s="30"/>
      <c r="AM1297" s="30"/>
      <c r="AN1297" s="30"/>
      <c r="AO1297" s="30"/>
      <c r="AP1297" s="30"/>
      <c r="AQ1297" s="38"/>
      <c r="AR1297" s="30"/>
      <c r="AS1297" s="30"/>
      <c r="AT1297" s="29"/>
      <c r="AU1297" s="30"/>
      <c r="AV1297" s="30"/>
      <c r="AW1297" s="30"/>
      <c r="AX1297" s="29"/>
      <c r="AY1297" s="39"/>
      <c r="AZ1297" s="30"/>
      <c r="BA1297" s="30"/>
      <c r="BB1297" s="29"/>
      <c r="BC1297" s="52"/>
      <c r="BD1297" s="30"/>
      <c r="BE1297" s="29"/>
      <c r="BF1297" s="30"/>
      <c r="BG1297" s="30"/>
      <c r="BH1297" s="30"/>
      <c r="BI1297" s="30"/>
      <c r="BJ1297" s="30"/>
      <c r="BK1297" s="30"/>
      <c r="BL1297" s="30"/>
      <c r="BM1297" s="30"/>
      <c r="BN1297" s="30"/>
      <c r="BO1297" s="30"/>
      <c r="BP1297" s="30"/>
      <c r="BQ1297" s="30"/>
      <c r="BR1297" s="30"/>
      <c r="BS1297" s="30"/>
      <c r="BT1297" s="30"/>
      <c r="BU1297" s="30"/>
      <c r="BV1297" s="30"/>
      <c r="BW1297" s="30"/>
      <c r="BX1297" s="30"/>
      <c r="BY1297" s="30"/>
      <c r="BZ1297" s="30"/>
      <c r="CA1297" s="30"/>
      <c r="CB1297" s="30"/>
      <c r="CC1297" s="30"/>
      <c r="CD1297" s="30"/>
      <c r="CE1297" s="30"/>
      <c r="CF1297" s="30"/>
      <c r="CG1297" s="30"/>
      <c r="CH1297" s="30"/>
      <c r="CI1297" s="30"/>
      <c r="CJ1297" s="30"/>
      <c r="CK1297" s="30"/>
      <c r="CL1297" s="30"/>
      <c r="CM1297" s="30"/>
      <c r="CN1297" s="30"/>
      <c r="CO1297" s="30"/>
      <c r="CP1297" s="30"/>
      <c r="CQ1297" s="30"/>
      <c r="CR1297" s="30"/>
      <c r="CS1297" s="30"/>
      <c r="CT1297" s="30"/>
      <c r="CU1297" s="30"/>
      <c r="CV1297" s="30"/>
      <c r="CW1297" s="30"/>
      <c r="CX1297" s="30"/>
      <c r="CY1297" s="30"/>
      <c r="CZ1297" s="30"/>
      <c r="DA1297" s="30"/>
      <c r="DB1297" s="30"/>
      <c r="DC1297" s="30"/>
      <c r="DD1297" s="30"/>
      <c r="DE1297" s="30"/>
      <c r="DF1297" s="30"/>
      <c r="DG1297" s="30"/>
      <c r="DH1297" s="30"/>
      <c r="DI1297" s="30"/>
      <c r="DJ1297" s="30"/>
      <c r="DK1297" s="30"/>
      <c r="DL1297" s="30"/>
      <c r="DM1297" s="30"/>
      <c r="DN1297" s="30"/>
      <c r="DO1297" s="30"/>
      <c r="DP1297" s="30"/>
      <c r="DQ1297" s="30"/>
      <c r="DR1297" s="30"/>
      <c r="DS1297" s="30"/>
      <c r="DT1297" s="30"/>
      <c r="DU1297" s="30"/>
      <c r="DV1297" s="30"/>
      <c r="DW1297" s="30"/>
      <c r="DX1297" s="30"/>
      <c r="DY1297" s="30"/>
      <c r="DZ1297" s="30"/>
    </row>
    <row r="1298">
      <c r="A1298" s="30"/>
      <c r="B1298" s="42"/>
      <c r="C1298" s="43"/>
      <c r="D1298" s="30"/>
      <c r="E1298" s="28"/>
      <c r="F1298" s="30"/>
      <c r="G1298" s="30"/>
      <c r="H1298" s="30"/>
      <c r="I1298" s="30"/>
      <c r="J1298" s="28"/>
      <c r="K1298" s="30"/>
      <c r="L1298" s="30"/>
      <c r="M1298" s="30"/>
      <c r="N1298" s="30"/>
      <c r="O1298" s="28"/>
      <c r="P1298" s="30"/>
      <c r="Q1298" s="30"/>
      <c r="R1298" s="30"/>
      <c r="S1298" s="36"/>
      <c r="T1298" s="30"/>
      <c r="U1298" s="36"/>
      <c r="V1298" s="30"/>
      <c r="W1298" s="28"/>
      <c r="X1298" s="30"/>
      <c r="Y1298" s="30"/>
      <c r="Z1298" s="30"/>
      <c r="AA1298" s="30"/>
      <c r="AB1298" s="30"/>
      <c r="AC1298" s="28"/>
      <c r="AD1298" s="30"/>
      <c r="AE1298" s="30"/>
      <c r="AF1298" s="30"/>
      <c r="AG1298" s="29"/>
      <c r="AH1298" s="30"/>
      <c r="AI1298" s="36"/>
      <c r="AJ1298" s="30"/>
      <c r="AK1298" s="29"/>
      <c r="AL1298" s="30"/>
      <c r="AM1298" s="30"/>
      <c r="AN1298" s="30"/>
      <c r="AO1298" s="30"/>
      <c r="AP1298" s="30"/>
      <c r="AQ1298" s="38"/>
      <c r="AR1298" s="30"/>
      <c r="AS1298" s="30"/>
      <c r="AT1298" s="29"/>
      <c r="AU1298" s="30"/>
      <c r="AV1298" s="30"/>
      <c r="AW1298" s="30"/>
      <c r="AX1298" s="29"/>
      <c r="AY1298" s="39"/>
      <c r="AZ1298" s="30"/>
      <c r="BA1298" s="30"/>
      <c r="BB1298" s="29"/>
      <c r="BC1298" s="52"/>
      <c r="BD1298" s="30"/>
      <c r="BE1298" s="29"/>
      <c r="BF1298" s="30"/>
      <c r="BG1298" s="30"/>
      <c r="BH1298" s="30"/>
      <c r="BI1298" s="30"/>
      <c r="BJ1298" s="30"/>
      <c r="BK1298" s="30"/>
      <c r="BL1298" s="30"/>
      <c r="BM1298" s="30"/>
      <c r="BN1298" s="30"/>
      <c r="BO1298" s="30"/>
      <c r="BP1298" s="30"/>
      <c r="BQ1298" s="30"/>
      <c r="BR1298" s="30"/>
      <c r="BS1298" s="30"/>
      <c r="BT1298" s="30"/>
      <c r="BU1298" s="30"/>
      <c r="BV1298" s="30"/>
      <c r="BW1298" s="30"/>
      <c r="BX1298" s="30"/>
      <c r="BY1298" s="30"/>
      <c r="BZ1298" s="30"/>
      <c r="CA1298" s="30"/>
      <c r="CB1298" s="30"/>
      <c r="CC1298" s="30"/>
      <c r="CD1298" s="30"/>
      <c r="CE1298" s="30"/>
      <c r="CF1298" s="30"/>
      <c r="CG1298" s="30"/>
      <c r="CH1298" s="30"/>
      <c r="CI1298" s="30"/>
      <c r="CJ1298" s="30"/>
      <c r="CK1298" s="30"/>
      <c r="CL1298" s="30"/>
      <c r="CM1298" s="30"/>
      <c r="CN1298" s="30"/>
      <c r="CO1298" s="30"/>
      <c r="CP1298" s="30"/>
      <c r="CQ1298" s="30"/>
      <c r="CR1298" s="30"/>
      <c r="CS1298" s="30"/>
      <c r="CT1298" s="30"/>
      <c r="CU1298" s="30"/>
      <c r="CV1298" s="30"/>
      <c r="CW1298" s="30"/>
      <c r="CX1298" s="30"/>
      <c r="CY1298" s="30"/>
      <c r="CZ1298" s="30"/>
      <c r="DA1298" s="30"/>
      <c r="DB1298" s="30"/>
      <c r="DC1298" s="30"/>
      <c r="DD1298" s="30"/>
      <c r="DE1298" s="30"/>
      <c r="DF1298" s="30"/>
      <c r="DG1298" s="30"/>
      <c r="DH1298" s="30"/>
      <c r="DI1298" s="30"/>
      <c r="DJ1298" s="30"/>
      <c r="DK1298" s="30"/>
      <c r="DL1298" s="30"/>
      <c r="DM1298" s="30"/>
      <c r="DN1298" s="30"/>
      <c r="DO1298" s="30"/>
      <c r="DP1298" s="30"/>
      <c r="DQ1298" s="30"/>
      <c r="DR1298" s="30"/>
      <c r="DS1298" s="30"/>
      <c r="DT1298" s="30"/>
      <c r="DU1298" s="30"/>
      <c r="DV1298" s="30"/>
      <c r="DW1298" s="30"/>
      <c r="DX1298" s="30"/>
      <c r="DY1298" s="30"/>
      <c r="DZ1298" s="30"/>
    </row>
    <row r="1299">
      <c r="A1299" s="30"/>
      <c r="B1299" s="42"/>
      <c r="C1299" s="43"/>
      <c r="D1299" s="30"/>
      <c r="E1299" s="28"/>
      <c r="F1299" s="30"/>
      <c r="G1299" s="30"/>
      <c r="H1299" s="30"/>
      <c r="I1299" s="30"/>
      <c r="J1299" s="28"/>
      <c r="K1299" s="30"/>
      <c r="L1299" s="30"/>
      <c r="M1299" s="30"/>
      <c r="N1299" s="30"/>
      <c r="O1299" s="28"/>
      <c r="P1299" s="30"/>
      <c r="Q1299" s="30"/>
      <c r="R1299" s="30"/>
      <c r="S1299" s="36"/>
      <c r="T1299" s="30"/>
      <c r="U1299" s="36"/>
      <c r="V1299" s="30"/>
      <c r="W1299" s="28"/>
      <c r="X1299" s="30"/>
      <c r="Y1299" s="30"/>
      <c r="Z1299" s="30"/>
      <c r="AA1299" s="30"/>
      <c r="AB1299" s="30"/>
      <c r="AC1299" s="28"/>
      <c r="AD1299" s="30"/>
      <c r="AE1299" s="30"/>
      <c r="AF1299" s="30"/>
      <c r="AG1299" s="29"/>
      <c r="AH1299" s="30"/>
      <c r="AI1299" s="36"/>
      <c r="AJ1299" s="30"/>
      <c r="AK1299" s="29"/>
      <c r="AL1299" s="30"/>
      <c r="AM1299" s="30"/>
      <c r="AN1299" s="30"/>
      <c r="AO1299" s="30"/>
      <c r="AP1299" s="30"/>
      <c r="AQ1299" s="38"/>
      <c r="AR1299" s="30"/>
      <c r="AS1299" s="30"/>
      <c r="AT1299" s="29"/>
      <c r="AU1299" s="30"/>
      <c r="AV1299" s="30"/>
      <c r="AW1299" s="30"/>
      <c r="AX1299" s="29"/>
      <c r="AY1299" s="39"/>
      <c r="AZ1299" s="30"/>
      <c r="BA1299" s="30"/>
      <c r="BB1299" s="29"/>
      <c r="BC1299" s="52"/>
      <c r="BD1299" s="30"/>
      <c r="BE1299" s="29"/>
      <c r="BF1299" s="30"/>
      <c r="BG1299" s="30"/>
      <c r="BH1299" s="30"/>
      <c r="BI1299" s="30"/>
      <c r="BJ1299" s="30"/>
      <c r="BK1299" s="30"/>
      <c r="BL1299" s="30"/>
      <c r="BM1299" s="30"/>
      <c r="BN1299" s="30"/>
      <c r="BO1299" s="30"/>
      <c r="BP1299" s="30"/>
      <c r="BQ1299" s="30"/>
      <c r="BR1299" s="30"/>
      <c r="BS1299" s="30"/>
      <c r="BT1299" s="30"/>
      <c r="BU1299" s="30"/>
      <c r="BV1299" s="30"/>
      <c r="BW1299" s="30"/>
      <c r="BX1299" s="30"/>
      <c r="BY1299" s="30"/>
      <c r="BZ1299" s="30"/>
      <c r="CA1299" s="30"/>
      <c r="CB1299" s="30"/>
      <c r="CC1299" s="30"/>
      <c r="CD1299" s="30"/>
      <c r="CE1299" s="30"/>
      <c r="CF1299" s="30"/>
      <c r="CG1299" s="30"/>
      <c r="CH1299" s="30"/>
      <c r="CI1299" s="30"/>
      <c r="CJ1299" s="30"/>
      <c r="CK1299" s="30"/>
      <c r="CL1299" s="30"/>
      <c r="CM1299" s="30"/>
      <c r="CN1299" s="30"/>
      <c r="CO1299" s="30"/>
      <c r="CP1299" s="30"/>
      <c r="CQ1299" s="30"/>
      <c r="CR1299" s="30"/>
      <c r="CS1299" s="30"/>
      <c r="CT1299" s="30"/>
      <c r="CU1299" s="30"/>
      <c r="CV1299" s="30"/>
      <c r="CW1299" s="30"/>
      <c r="CX1299" s="30"/>
      <c r="CY1299" s="30"/>
      <c r="CZ1299" s="30"/>
      <c r="DA1299" s="30"/>
      <c r="DB1299" s="30"/>
      <c r="DC1299" s="30"/>
      <c r="DD1299" s="30"/>
      <c r="DE1299" s="30"/>
      <c r="DF1299" s="30"/>
      <c r="DG1299" s="30"/>
      <c r="DH1299" s="30"/>
      <c r="DI1299" s="30"/>
      <c r="DJ1299" s="30"/>
      <c r="DK1299" s="30"/>
      <c r="DL1299" s="30"/>
      <c r="DM1299" s="30"/>
      <c r="DN1299" s="30"/>
      <c r="DO1299" s="30"/>
      <c r="DP1299" s="30"/>
      <c r="DQ1299" s="30"/>
      <c r="DR1299" s="30"/>
      <c r="DS1299" s="30"/>
      <c r="DT1299" s="30"/>
      <c r="DU1299" s="30"/>
      <c r="DV1299" s="30"/>
      <c r="DW1299" s="30"/>
      <c r="DX1299" s="30"/>
      <c r="DY1299" s="30"/>
      <c r="DZ1299" s="30"/>
    </row>
    <row r="1300">
      <c r="A1300" s="30"/>
      <c r="B1300" s="42"/>
      <c r="C1300" s="43"/>
      <c r="D1300" s="30"/>
      <c r="E1300" s="28"/>
      <c r="F1300" s="30"/>
      <c r="G1300" s="30"/>
      <c r="H1300" s="30"/>
      <c r="I1300" s="30"/>
      <c r="J1300" s="28"/>
      <c r="K1300" s="30"/>
      <c r="L1300" s="30"/>
      <c r="M1300" s="30"/>
      <c r="N1300" s="30"/>
      <c r="O1300" s="28"/>
      <c r="P1300" s="30"/>
      <c r="Q1300" s="30"/>
      <c r="R1300" s="30"/>
      <c r="S1300" s="36"/>
      <c r="T1300" s="30"/>
      <c r="U1300" s="36"/>
      <c r="V1300" s="30"/>
      <c r="W1300" s="28"/>
      <c r="X1300" s="30"/>
      <c r="Y1300" s="30"/>
      <c r="Z1300" s="30"/>
      <c r="AA1300" s="30"/>
      <c r="AB1300" s="30"/>
      <c r="AC1300" s="28"/>
      <c r="AD1300" s="30"/>
      <c r="AE1300" s="30"/>
      <c r="AF1300" s="30"/>
      <c r="AG1300" s="29"/>
      <c r="AH1300" s="30"/>
      <c r="AI1300" s="36"/>
      <c r="AJ1300" s="30"/>
      <c r="AK1300" s="29"/>
      <c r="AL1300" s="30"/>
      <c r="AM1300" s="30"/>
      <c r="AN1300" s="30"/>
      <c r="AO1300" s="30"/>
      <c r="AP1300" s="30"/>
      <c r="AQ1300" s="38"/>
      <c r="AR1300" s="30"/>
      <c r="AS1300" s="30"/>
      <c r="AT1300" s="29"/>
      <c r="AU1300" s="30"/>
      <c r="AV1300" s="30"/>
      <c r="AW1300" s="30"/>
      <c r="AX1300" s="29"/>
      <c r="AY1300" s="39"/>
      <c r="AZ1300" s="30"/>
      <c r="BA1300" s="30"/>
      <c r="BB1300" s="29"/>
      <c r="BC1300" s="52"/>
      <c r="BD1300" s="30"/>
      <c r="BE1300" s="29"/>
      <c r="BF1300" s="30"/>
      <c r="BG1300" s="30"/>
      <c r="BH1300" s="30"/>
      <c r="BI1300" s="30"/>
      <c r="BJ1300" s="30"/>
      <c r="BK1300" s="30"/>
      <c r="BL1300" s="30"/>
      <c r="BM1300" s="30"/>
      <c r="BN1300" s="30"/>
      <c r="BO1300" s="30"/>
      <c r="BP1300" s="30"/>
      <c r="BQ1300" s="30"/>
      <c r="BR1300" s="30"/>
      <c r="BS1300" s="30"/>
      <c r="BT1300" s="30"/>
      <c r="BU1300" s="30"/>
      <c r="BV1300" s="30"/>
      <c r="BW1300" s="30"/>
      <c r="BX1300" s="30"/>
      <c r="BY1300" s="30"/>
      <c r="BZ1300" s="30"/>
      <c r="CA1300" s="30"/>
      <c r="CB1300" s="30"/>
      <c r="CC1300" s="30"/>
      <c r="CD1300" s="30"/>
      <c r="CE1300" s="30"/>
      <c r="CF1300" s="30"/>
      <c r="CG1300" s="30"/>
      <c r="CH1300" s="30"/>
      <c r="CI1300" s="30"/>
      <c r="CJ1300" s="30"/>
      <c r="CK1300" s="30"/>
      <c r="CL1300" s="30"/>
      <c r="CM1300" s="30"/>
      <c r="CN1300" s="30"/>
      <c r="CO1300" s="30"/>
      <c r="CP1300" s="30"/>
      <c r="CQ1300" s="30"/>
      <c r="CR1300" s="30"/>
      <c r="CS1300" s="30"/>
      <c r="CT1300" s="30"/>
      <c r="CU1300" s="30"/>
      <c r="CV1300" s="30"/>
      <c r="CW1300" s="30"/>
      <c r="CX1300" s="30"/>
      <c r="CY1300" s="30"/>
      <c r="CZ1300" s="30"/>
      <c r="DA1300" s="30"/>
      <c r="DB1300" s="30"/>
      <c r="DC1300" s="30"/>
      <c r="DD1300" s="30"/>
      <c r="DE1300" s="30"/>
      <c r="DF1300" s="30"/>
      <c r="DG1300" s="30"/>
      <c r="DH1300" s="30"/>
      <c r="DI1300" s="30"/>
      <c r="DJ1300" s="30"/>
      <c r="DK1300" s="30"/>
      <c r="DL1300" s="30"/>
      <c r="DM1300" s="30"/>
      <c r="DN1300" s="30"/>
      <c r="DO1300" s="30"/>
      <c r="DP1300" s="30"/>
      <c r="DQ1300" s="30"/>
      <c r="DR1300" s="30"/>
      <c r="DS1300" s="30"/>
      <c r="DT1300" s="30"/>
      <c r="DU1300" s="30"/>
      <c r="DV1300" s="30"/>
      <c r="DW1300" s="30"/>
      <c r="DX1300" s="30"/>
      <c r="DY1300" s="30"/>
      <c r="DZ1300" s="30"/>
    </row>
    <row r="1301">
      <c r="A1301" s="30"/>
      <c r="B1301" s="42"/>
      <c r="C1301" s="43"/>
      <c r="D1301" s="30"/>
      <c r="E1301" s="28"/>
      <c r="F1301" s="30"/>
      <c r="G1301" s="30"/>
      <c r="H1301" s="30"/>
      <c r="I1301" s="30"/>
      <c r="J1301" s="28"/>
      <c r="K1301" s="30"/>
      <c r="L1301" s="30"/>
      <c r="M1301" s="30"/>
      <c r="N1301" s="30"/>
      <c r="O1301" s="28"/>
      <c r="P1301" s="30"/>
      <c r="Q1301" s="30"/>
      <c r="R1301" s="30"/>
      <c r="S1301" s="36"/>
      <c r="T1301" s="30"/>
      <c r="U1301" s="36"/>
      <c r="V1301" s="30"/>
      <c r="W1301" s="28"/>
      <c r="X1301" s="30"/>
      <c r="Y1301" s="30"/>
      <c r="Z1301" s="30"/>
      <c r="AA1301" s="30"/>
      <c r="AB1301" s="30"/>
      <c r="AC1301" s="28"/>
      <c r="AD1301" s="30"/>
      <c r="AE1301" s="30"/>
      <c r="AF1301" s="30"/>
      <c r="AG1301" s="29"/>
      <c r="AH1301" s="30"/>
      <c r="AI1301" s="36"/>
      <c r="AJ1301" s="30"/>
      <c r="AK1301" s="29"/>
      <c r="AL1301" s="30"/>
      <c r="AM1301" s="30"/>
      <c r="AN1301" s="30"/>
      <c r="AO1301" s="30"/>
      <c r="AP1301" s="30"/>
      <c r="AQ1301" s="38"/>
      <c r="AR1301" s="30"/>
      <c r="AS1301" s="30"/>
      <c r="AT1301" s="29"/>
      <c r="AU1301" s="30"/>
      <c r="AV1301" s="30"/>
      <c r="AW1301" s="30"/>
      <c r="AX1301" s="29"/>
      <c r="AY1301" s="39"/>
      <c r="AZ1301" s="30"/>
      <c r="BA1301" s="30"/>
      <c r="BB1301" s="29"/>
      <c r="BC1301" s="52"/>
      <c r="BD1301" s="30"/>
      <c r="BE1301" s="29"/>
      <c r="BF1301" s="30"/>
      <c r="BG1301" s="30"/>
      <c r="BH1301" s="30"/>
      <c r="BI1301" s="30"/>
      <c r="BJ1301" s="30"/>
      <c r="BK1301" s="30"/>
      <c r="BL1301" s="30"/>
      <c r="BM1301" s="30"/>
      <c r="BN1301" s="30"/>
      <c r="BO1301" s="30"/>
      <c r="BP1301" s="30"/>
      <c r="BQ1301" s="30"/>
      <c r="BR1301" s="30"/>
      <c r="BS1301" s="30"/>
      <c r="BT1301" s="30"/>
      <c r="BU1301" s="30"/>
      <c r="BV1301" s="30"/>
      <c r="BW1301" s="30"/>
      <c r="BX1301" s="30"/>
      <c r="BY1301" s="30"/>
      <c r="BZ1301" s="30"/>
      <c r="CA1301" s="30"/>
      <c r="CB1301" s="30"/>
      <c r="CC1301" s="30"/>
      <c r="CD1301" s="30"/>
      <c r="CE1301" s="30"/>
      <c r="CF1301" s="30"/>
      <c r="CG1301" s="30"/>
      <c r="CH1301" s="30"/>
      <c r="CI1301" s="30"/>
      <c r="CJ1301" s="30"/>
      <c r="CK1301" s="30"/>
      <c r="CL1301" s="30"/>
      <c r="CM1301" s="30"/>
      <c r="CN1301" s="30"/>
      <c r="CO1301" s="30"/>
      <c r="CP1301" s="30"/>
      <c r="CQ1301" s="30"/>
      <c r="CR1301" s="30"/>
      <c r="CS1301" s="30"/>
      <c r="CT1301" s="30"/>
      <c r="CU1301" s="30"/>
      <c r="CV1301" s="30"/>
      <c r="CW1301" s="30"/>
      <c r="CX1301" s="30"/>
      <c r="CY1301" s="30"/>
      <c r="CZ1301" s="30"/>
      <c r="DA1301" s="30"/>
      <c r="DB1301" s="30"/>
      <c r="DC1301" s="30"/>
      <c r="DD1301" s="30"/>
      <c r="DE1301" s="30"/>
      <c r="DF1301" s="30"/>
      <c r="DG1301" s="30"/>
      <c r="DH1301" s="30"/>
      <c r="DI1301" s="30"/>
      <c r="DJ1301" s="30"/>
      <c r="DK1301" s="30"/>
      <c r="DL1301" s="30"/>
      <c r="DM1301" s="30"/>
      <c r="DN1301" s="30"/>
      <c r="DO1301" s="30"/>
      <c r="DP1301" s="30"/>
      <c r="DQ1301" s="30"/>
      <c r="DR1301" s="30"/>
      <c r="DS1301" s="30"/>
      <c r="DT1301" s="30"/>
      <c r="DU1301" s="30"/>
      <c r="DV1301" s="30"/>
      <c r="DW1301" s="30"/>
      <c r="DX1301" s="30"/>
      <c r="DY1301" s="30"/>
      <c r="DZ1301" s="30"/>
    </row>
    <row r="1302">
      <c r="A1302" s="30"/>
      <c r="B1302" s="42"/>
      <c r="C1302" s="43"/>
      <c r="D1302" s="30"/>
      <c r="E1302" s="28"/>
      <c r="F1302" s="30"/>
      <c r="G1302" s="30"/>
      <c r="H1302" s="30"/>
      <c r="I1302" s="30"/>
      <c r="J1302" s="28"/>
      <c r="K1302" s="30"/>
      <c r="L1302" s="30"/>
      <c r="M1302" s="30"/>
      <c r="N1302" s="30"/>
      <c r="O1302" s="28"/>
      <c r="P1302" s="30"/>
      <c r="Q1302" s="30"/>
      <c r="R1302" s="30"/>
      <c r="S1302" s="36"/>
      <c r="T1302" s="30"/>
      <c r="U1302" s="36"/>
      <c r="V1302" s="30"/>
      <c r="W1302" s="28"/>
      <c r="X1302" s="30"/>
      <c r="Y1302" s="30"/>
      <c r="Z1302" s="30"/>
      <c r="AA1302" s="30"/>
      <c r="AB1302" s="30"/>
      <c r="AC1302" s="28"/>
      <c r="AD1302" s="30"/>
      <c r="AE1302" s="30"/>
      <c r="AF1302" s="30"/>
      <c r="AG1302" s="29"/>
      <c r="AH1302" s="30"/>
      <c r="AI1302" s="36"/>
      <c r="AJ1302" s="30"/>
      <c r="AK1302" s="29"/>
      <c r="AL1302" s="30"/>
      <c r="AM1302" s="30"/>
      <c r="AN1302" s="30"/>
      <c r="AO1302" s="30"/>
      <c r="AP1302" s="30"/>
      <c r="AQ1302" s="38"/>
      <c r="AR1302" s="30"/>
      <c r="AS1302" s="30"/>
      <c r="AT1302" s="29"/>
      <c r="AU1302" s="30"/>
      <c r="AV1302" s="30"/>
      <c r="AW1302" s="30"/>
      <c r="AX1302" s="29"/>
      <c r="AY1302" s="39"/>
      <c r="AZ1302" s="30"/>
      <c r="BA1302" s="30"/>
      <c r="BB1302" s="29"/>
      <c r="BC1302" s="52"/>
      <c r="BD1302" s="30"/>
      <c r="BE1302" s="29"/>
      <c r="BF1302" s="30"/>
      <c r="BG1302" s="30"/>
      <c r="BH1302" s="30"/>
      <c r="BI1302" s="30"/>
      <c r="BJ1302" s="30"/>
      <c r="BK1302" s="30"/>
      <c r="BL1302" s="30"/>
      <c r="BM1302" s="30"/>
      <c r="BN1302" s="30"/>
      <c r="BO1302" s="30"/>
      <c r="BP1302" s="30"/>
      <c r="BQ1302" s="30"/>
      <c r="BR1302" s="30"/>
      <c r="BS1302" s="30"/>
      <c r="BT1302" s="30"/>
      <c r="BU1302" s="30"/>
      <c r="BV1302" s="30"/>
      <c r="BW1302" s="30"/>
      <c r="BX1302" s="30"/>
      <c r="BY1302" s="30"/>
      <c r="BZ1302" s="30"/>
      <c r="CA1302" s="30"/>
      <c r="CB1302" s="30"/>
      <c r="CC1302" s="30"/>
      <c r="CD1302" s="30"/>
      <c r="CE1302" s="30"/>
      <c r="CF1302" s="30"/>
      <c r="CG1302" s="30"/>
      <c r="CH1302" s="30"/>
      <c r="CI1302" s="30"/>
      <c r="CJ1302" s="30"/>
      <c r="CK1302" s="30"/>
      <c r="CL1302" s="30"/>
      <c r="CM1302" s="30"/>
      <c r="CN1302" s="30"/>
      <c r="CO1302" s="30"/>
      <c r="CP1302" s="30"/>
      <c r="CQ1302" s="30"/>
      <c r="CR1302" s="30"/>
      <c r="CS1302" s="30"/>
      <c r="CT1302" s="30"/>
      <c r="CU1302" s="30"/>
      <c r="CV1302" s="30"/>
      <c r="CW1302" s="30"/>
      <c r="CX1302" s="30"/>
      <c r="CY1302" s="30"/>
      <c r="CZ1302" s="30"/>
      <c r="DA1302" s="30"/>
      <c r="DB1302" s="30"/>
      <c r="DC1302" s="30"/>
      <c r="DD1302" s="30"/>
      <c r="DE1302" s="30"/>
      <c r="DF1302" s="30"/>
      <c r="DG1302" s="30"/>
      <c r="DH1302" s="30"/>
      <c r="DI1302" s="30"/>
      <c r="DJ1302" s="30"/>
      <c r="DK1302" s="30"/>
      <c r="DL1302" s="30"/>
      <c r="DM1302" s="30"/>
      <c r="DN1302" s="30"/>
      <c r="DO1302" s="30"/>
      <c r="DP1302" s="30"/>
      <c r="DQ1302" s="30"/>
      <c r="DR1302" s="30"/>
      <c r="DS1302" s="30"/>
      <c r="DT1302" s="30"/>
      <c r="DU1302" s="30"/>
      <c r="DV1302" s="30"/>
      <c r="DW1302" s="30"/>
      <c r="DX1302" s="30"/>
      <c r="DY1302" s="30"/>
      <c r="DZ1302" s="30"/>
    </row>
    <row r="1303">
      <c r="A1303" s="30"/>
      <c r="B1303" s="42"/>
      <c r="C1303" s="43"/>
      <c r="D1303" s="30"/>
      <c r="E1303" s="28"/>
      <c r="F1303" s="30"/>
      <c r="G1303" s="30"/>
      <c r="H1303" s="30"/>
      <c r="I1303" s="30"/>
      <c r="J1303" s="28"/>
      <c r="K1303" s="30"/>
      <c r="L1303" s="30"/>
      <c r="M1303" s="30"/>
      <c r="N1303" s="30"/>
      <c r="O1303" s="28"/>
      <c r="P1303" s="30"/>
      <c r="Q1303" s="30"/>
      <c r="R1303" s="30"/>
      <c r="S1303" s="36"/>
      <c r="T1303" s="30"/>
      <c r="U1303" s="36"/>
      <c r="V1303" s="30"/>
      <c r="W1303" s="28"/>
      <c r="X1303" s="30"/>
      <c r="Y1303" s="30"/>
      <c r="Z1303" s="30"/>
      <c r="AA1303" s="30"/>
      <c r="AB1303" s="30"/>
      <c r="AC1303" s="28"/>
      <c r="AD1303" s="30"/>
      <c r="AE1303" s="30"/>
      <c r="AF1303" s="30"/>
      <c r="AG1303" s="29"/>
      <c r="AH1303" s="30"/>
      <c r="AI1303" s="36"/>
      <c r="AJ1303" s="30"/>
      <c r="AK1303" s="29"/>
      <c r="AL1303" s="30"/>
      <c r="AM1303" s="30"/>
      <c r="AN1303" s="30"/>
      <c r="AO1303" s="30"/>
      <c r="AP1303" s="30"/>
      <c r="AQ1303" s="38"/>
      <c r="AR1303" s="30"/>
      <c r="AS1303" s="30"/>
      <c r="AT1303" s="29"/>
      <c r="AU1303" s="30"/>
      <c r="AV1303" s="30"/>
      <c r="AW1303" s="30"/>
      <c r="AX1303" s="29"/>
      <c r="AY1303" s="39"/>
      <c r="AZ1303" s="30"/>
      <c r="BA1303" s="30"/>
      <c r="BB1303" s="29"/>
      <c r="BC1303" s="52"/>
      <c r="BD1303" s="30"/>
      <c r="BE1303" s="29"/>
      <c r="BF1303" s="30"/>
      <c r="BG1303" s="30"/>
      <c r="BH1303" s="30"/>
      <c r="BI1303" s="30"/>
      <c r="BJ1303" s="30"/>
      <c r="BK1303" s="30"/>
      <c r="BL1303" s="30"/>
      <c r="BM1303" s="30"/>
      <c r="BN1303" s="30"/>
      <c r="BO1303" s="30"/>
      <c r="BP1303" s="30"/>
      <c r="BQ1303" s="30"/>
      <c r="BR1303" s="30"/>
      <c r="BS1303" s="30"/>
      <c r="BT1303" s="30"/>
      <c r="BU1303" s="30"/>
      <c r="BV1303" s="30"/>
      <c r="BW1303" s="30"/>
      <c r="BX1303" s="30"/>
      <c r="BY1303" s="30"/>
      <c r="BZ1303" s="30"/>
      <c r="CA1303" s="30"/>
      <c r="CB1303" s="30"/>
      <c r="CC1303" s="30"/>
      <c r="CD1303" s="30"/>
      <c r="CE1303" s="30"/>
      <c r="CF1303" s="30"/>
      <c r="CG1303" s="30"/>
      <c r="CH1303" s="30"/>
      <c r="CI1303" s="30"/>
      <c r="CJ1303" s="30"/>
      <c r="CK1303" s="30"/>
      <c r="CL1303" s="30"/>
      <c r="CM1303" s="30"/>
      <c r="CN1303" s="30"/>
      <c r="CO1303" s="30"/>
      <c r="CP1303" s="30"/>
      <c r="CQ1303" s="30"/>
      <c r="CR1303" s="30"/>
      <c r="CS1303" s="30"/>
      <c r="CT1303" s="30"/>
      <c r="CU1303" s="30"/>
      <c r="CV1303" s="30"/>
      <c r="CW1303" s="30"/>
      <c r="CX1303" s="30"/>
      <c r="CY1303" s="30"/>
      <c r="CZ1303" s="30"/>
      <c r="DA1303" s="30"/>
      <c r="DB1303" s="30"/>
      <c r="DC1303" s="30"/>
      <c r="DD1303" s="30"/>
      <c r="DE1303" s="30"/>
      <c r="DF1303" s="30"/>
      <c r="DG1303" s="30"/>
      <c r="DH1303" s="30"/>
      <c r="DI1303" s="30"/>
      <c r="DJ1303" s="30"/>
      <c r="DK1303" s="30"/>
      <c r="DL1303" s="30"/>
      <c r="DM1303" s="30"/>
      <c r="DN1303" s="30"/>
      <c r="DO1303" s="30"/>
      <c r="DP1303" s="30"/>
      <c r="DQ1303" s="30"/>
      <c r="DR1303" s="30"/>
      <c r="DS1303" s="30"/>
      <c r="DT1303" s="30"/>
      <c r="DU1303" s="30"/>
      <c r="DV1303" s="30"/>
      <c r="DW1303" s="30"/>
      <c r="DX1303" s="30"/>
      <c r="DY1303" s="30"/>
      <c r="DZ1303" s="30"/>
    </row>
    <row r="1304">
      <c r="A1304" s="30"/>
      <c r="B1304" s="42"/>
      <c r="C1304" s="43"/>
      <c r="D1304" s="30"/>
      <c r="E1304" s="28"/>
      <c r="F1304" s="30"/>
      <c r="G1304" s="30"/>
      <c r="H1304" s="30"/>
      <c r="I1304" s="30"/>
      <c r="J1304" s="28"/>
      <c r="K1304" s="30"/>
      <c r="L1304" s="30"/>
      <c r="M1304" s="30"/>
      <c r="N1304" s="30"/>
      <c r="O1304" s="28"/>
      <c r="P1304" s="30"/>
      <c r="Q1304" s="30"/>
      <c r="R1304" s="30"/>
      <c r="S1304" s="36"/>
      <c r="T1304" s="30"/>
      <c r="U1304" s="36"/>
      <c r="V1304" s="30"/>
      <c r="W1304" s="28"/>
      <c r="X1304" s="30"/>
      <c r="Y1304" s="30"/>
      <c r="Z1304" s="30"/>
      <c r="AA1304" s="30"/>
      <c r="AB1304" s="30"/>
      <c r="AC1304" s="28"/>
      <c r="AD1304" s="30"/>
      <c r="AE1304" s="30"/>
      <c r="AF1304" s="30"/>
      <c r="AG1304" s="29"/>
      <c r="AH1304" s="30"/>
      <c r="AI1304" s="36"/>
      <c r="AJ1304" s="30"/>
      <c r="AK1304" s="29"/>
      <c r="AL1304" s="30"/>
      <c r="AM1304" s="30"/>
      <c r="AN1304" s="30"/>
      <c r="AO1304" s="30"/>
      <c r="AP1304" s="30"/>
      <c r="AQ1304" s="38"/>
      <c r="AR1304" s="30"/>
      <c r="AS1304" s="30"/>
      <c r="AT1304" s="29"/>
      <c r="AU1304" s="30"/>
      <c r="AV1304" s="30"/>
      <c r="AW1304" s="30"/>
      <c r="AX1304" s="29"/>
      <c r="AY1304" s="39"/>
      <c r="AZ1304" s="30"/>
      <c r="BA1304" s="30"/>
      <c r="BB1304" s="29"/>
      <c r="BC1304" s="52"/>
      <c r="BD1304" s="30"/>
      <c r="BE1304" s="29"/>
      <c r="BF1304" s="30"/>
      <c r="BG1304" s="30"/>
      <c r="BH1304" s="30"/>
      <c r="BI1304" s="30"/>
      <c r="BJ1304" s="30"/>
      <c r="BK1304" s="30"/>
      <c r="BL1304" s="30"/>
      <c r="BM1304" s="30"/>
      <c r="BN1304" s="30"/>
      <c r="BO1304" s="30"/>
      <c r="BP1304" s="30"/>
      <c r="BQ1304" s="30"/>
      <c r="BR1304" s="30"/>
      <c r="BS1304" s="30"/>
      <c r="BT1304" s="30"/>
      <c r="BU1304" s="30"/>
      <c r="BV1304" s="30"/>
      <c r="BW1304" s="30"/>
      <c r="BX1304" s="30"/>
      <c r="BY1304" s="30"/>
      <c r="BZ1304" s="30"/>
      <c r="CA1304" s="30"/>
      <c r="CB1304" s="30"/>
      <c r="CC1304" s="30"/>
      <c r="CD1304" s="30"/>
      <c r="CE1304" s="30"/>
      <c r="CF1304" s="30"/>
      <c r="CG1304" s="30"/>
      <c r="CH1304" s="30"/>
      <c r="CI1304" s="30"/>
      <c r="CJ1304" s="30"/>
      <c r="CK1304" s="30"/>
      <c r="CL1304" s="30"/>
      <c r="CM1304" s="30"/>
      <c r="CN1304" s="30"/>
      <c r="CO1304" s="30"/>
      <c r="CP1304" s="30"/>
      <c r="CQ1304" s="30"/>
      <c r="CR1304" s="30"/>
      <c r="CS1304" s="30"/>
      <c r="CT1304" s="30"/>
      <c r="CU1304" s="30"/>
      <c r="CV1304" s="30"/>
      <c r="CW1304" s="30"/>
      <c r="CX1304" s="30"/>
      <c r="CY1304" s="30"/>
      <c r="CZ1304" s="30"/>
      <c r="DA1304" s="30"/>
      <c r="DB1304" s="30"/>
      <c r="DC1304" s="30"/>
      <c r="DD1304" s="30"/>
      <c r="DE1304" s="30"/>
      <c r="DF1304" s="30"/>
      <c r="DG1304" s="30"/>
      <c r="DH1304" s="30"/>
      <c r="DI1304" s="30"/>
      <c r="DJ1304" s="30"/>
      <c r="DK1304" s="30"/>
      <c r="DL1304" s="30"/>
      <c r="DM1304" s="30"/>
      <c r="DN1304" s="30"/>
      <c r="DO1304" s="30"/>
      <c r="DP1304" s="30"/>
      <c r="DQ1304" s="30"/>
      <c r="DR1304" s="30"/>
      <c r="DS1304" s="30"/>
      <c r="DT1304" s="30"/>
      <c r="DU1304" s="30"/>
      <c r="DV1304" s="30"/>
      <c r="DW1304" s="30"/>
      <c r="DX1304" s="30"/>
      <c r="DY1304" s="30"/>
      <c r="DZ1304" s="30"/>
    </row>
    <row r="1305">
      <c r="A1305" s="30"/>
      <c r="B1305" s="42"/>
      <c r="C1305" s="43"/>
      <c r="D1305" s="30"/>
      <c r="E1305" s="28"/>
      <c r="F1305" s="30"/>
      <c r="G1305" s="30"/>
      <c r="H1305" s="30"/>
      <c r="I1305" s="30"/>
      <c r="J1305" s="28"/>
      <c r="K1305" s="30"/>
      <c r="L1305" s="30"/>
      <c r="M1305" s="30"/>
      <c r="N1305" s="30"/>
      <c r="O1305" s="28"/>
      <c r="P1305" s="30"/>
      <c r="Q1305" s="30"/>
      <c r="R1305" s="30"/>
      <c r="S1305" s="36"/>
      <c r="T1305" s="30"/>
      <c r="U1305" s="36"/>
      <c r="V1305" s="30"/>
      <c r="W1305" s="28"/>
      <c r="X1305" s="30"/>
      <c r="Y1305" s="30"/>
      <c r="Z1305" s="30"/>
      <c r="AA1305" s="30"/>
      <c r="AB1305" s="30"/>
      <c r="AC1305" s="28"/>
      <c r="AD1305" s="30"/>
      <c r="AE1305" s="30"/>
      <c r="AF1305" s="30"/>
      <c r="AG1305" s="29"/>
      <c r="AH1305" s="30"/>
      <c r="AI1305" s="36"/>
      <c r="AJ1305" s="30"/>
      <c r="AK1305" s="29"/>
      <c r="AL1305" s="30"/>
      <c r="AM1305" s="30"/>
      <c r="AN1305" s="30"/>
      <c r="AO1305" s="30"/>
      <c r="AP1305" s="30"/>
      <c r="AQ1305" s="38"/>
      <c r="AR1305" s="30"/>
      <c r="AS1305" s="30"/>
      <c r="AT1305" s="29"/>
      <c r="AU1305" s="30"/>
      <c r="AV1305" s="30"/>
      <c r="AW1305" s="30"/>
      <c r="AX1305" s="29"/>
      <c r="AY1305" s="39"/>
      <c r="AZ1305" s="30"/>
      <c r="BA1305" s="30"/>
      <c r="BB1305" s="29"/>
      <c r="BC1305" s="52"/>
      <c r="BD1305" s="30"/>
      <c r="BE1305" s="29"/>
      <c r="BF1305" s="30"/>
      <c r="BG1305" s="30"/>
      <c r="BH1305" s="30"/>
      <c r="BI1305" s="30"/>
      <c r="BJ1305" s="30"/>
      <c r="BK1305" s="30"/>
      <c r="BL1305" s="30"/>
      <c r="BM1305" s="30"/>
      <c r="BN1305" s="30"/>
      <c r="BO1305" s="30"/>
      <c r="BP1305" s="30"/>
      <c r="BQ1305" s="30"/>
      <c r="BR1305" s="30"/>
      <c r="BS1305" s="30"/>
      <c r="BT1305" s="30"/>
      <c r="BU1305" s="30"/>
      <c r="BV1305" s="30"/>
      <c r="BW1305" s="30"/>
      <c r="BX1305" s="30"/>
      <c r="BY1305" s="30"/>
      <c r="BZ1305" s="30"/>
      <c r="CA1305" s="30"/>
      <c r="CB1305" s="30"/>
      <c r="CC1305" s="30"/>
      <c r="CD1305" s="30"/>
      <c r="CE1305" s="30"/>
      <c r="CF1305" s="30"/>
      <c r="CG1305" s="30"/>
      <c r="CH1305" s="30"/>
      <c r="CI1305" s="30"/>
      <c r="CJ1305" s="30"/>
      <c r="CK1305" s="30"/>
      <c r="CL1305" s="30"/>
      <c r="CM1305" s="30"/>
      <c r="CN1305" s="30"/>
      <c r="CO1305" s="30"/>
      <c r="CP1305" s="30"/>
      <c r="CQ1305" s="30"/>
      <c r="CR1305" s="30"/>
      <c r="CS1305" s="30"/>
      <c r="CT1305" s="30"/>
      <c r="CU1305" s="30"/>
      <c r="CV1305" s="30"/>
      <c r="CW1305" s="30"/>
      <c r="CX1305" s="30"/>
      <c r="CY1305" s="30"/>
      <c r="CZ1305" s="30"/>
      <c r="DA1305" s="30"/>
      <c r="DB1305" s="30"/>
      <c r="DC1305" s="30"/>
      <c r="DD1305" s="30"/>
      <c r="DE1305" s="30"/>
      <c r="DF1305" s="30"/>
      <c r="DG1305" s="30"/>
      <c r="DH1305" s="30"/>
      <c r="DI1305" s="30"/>
      <c r="DJ1305" s="30"/>
      <c r="DK1305" s="30"/>
      <c r="DL1305" s="30"/>
      <c r="DM1305" s="30"/>
      <c r="DN1305" s="30"/>
      <c r="DO1305" s="30"/>
      <c r="DP1305" s="30"/>
      <c r="DQ1305" s="30"/>
      <c r="DR1305" s="30"/>
      <c r="DS1305" s="30"/>
      <c r="DT1305" s="30"/>
      <c r="DU1305" s="30"/>
      <c r="DV1305" s="30"/>
      <c r="DW1305" s="30"/>
      <c r="DX1305" s="30"/>
      <c r="DY1305" s="30"/>
      <c r="DZ1305" s="30"/>
    </row>
    <row r="1306">
      <c r="A1306" s="30"/>
      <c r="B1306" s="42"/>
      <c r="C1306" s="43"/>
      <c r="D1306" s="30"/>
      <c r="E1306" s="28"/>
      <c r="F1306" s="30"/>
      <c r="G1306" s="30"/>
      <c r="H1306" s="30"/>
      <c r="I1306" s="30"/>
      <c r="J1306" s="28"/>
      <c r="K1306" s="30"/>
      <c r="L1306" s="30"/>
      <c r="M1306" s="30"/>
      <c r="N1306" s="30"/>
      <c r="O1306" s="28"/>
      <c r="P1306" s="30"/>
      <c r="Q1306" s="30"/>
      <c r="R1306" s="30"/>
      <c r="S1306" s="36"/>
      <c r="T1306" s="30"/>
      <c r="U1306" s="36"/>
      <c r="V1306" s="30"/>
      <c r="W1306" s="28"/>
      <c r="X1306" s="30"/>
      <c r="Y1306" s="30"/>
      <c r="Z1306" s="30"/>
      <c r="AA1306" s="30"/>
      <c r="AB1306" s="30"/>
      <c r="AC1306" s="28"/>
      <c r="AD1306" s="30"/>
      <c r="AE1306" s="30"/>
      <c r="AF1306" s="30"/>
      <c r="AG1306" s="29"/>
      <c r="AH1306" s="30"/>
      <c r="AI1306" s="36"/>
      <c r="AJ1306" s="30"/>
      <c r="AK1306" s="29"/>
      <c r="AL1306" s="30"/>
      <c r="AM1306" s="30"/>
      <c r="AN1306" s="30"/>
      <c r="AO1306" s="30"/>
      <c r="AP1306" s="30"/>
      <c r="AQ1306" s="38"/>
      <c r="AR1306" s="30"/>
      <c r="AS1306" s="30"/>
      <c r="AT1306" s="29"/>
      <c r="AU1306" s="30"/>
      <c r="AV1306" s="30"/>
      <c r="AW1306" s="30"/>
      <c r="AX1306" s="29"/>
      <c r="AY1306" s="39"/>
      <c r="AZ1306" s="30"/>
      <c r="BA1306" s="30"/>
      <c r="BB1306" s="29"/>
      <c r="BC1306" s="52"/>
      <c r="BD1306" s="30"/>
      <c r="BE1306" s="29"/>
      <c r="BF1306" s="30"/>
      <c r="BG1306" s="30"/>
      <c r="BH1306" s="30"/>
      <c r="BI1306" s="30"/>
      <c r="BJ1306" s="30"/>
      <c r="BK1306" s="30"/>
      <c r="BL1306" s="30"/>
      <c r="BM1306" s="30"/>
      <c r="BN1306" s="30"/>
      <c r="BO1306" s="30"/>
      <c r="BP1306" s="30"/>
      <c r="BQ1306" s="30"/>
      <c r="BR1306" s="30"/>
      <c r="BS1306" s="30"/>
      <c r="BT1306" s="30"/>
      <c r="BU1306" s="30"/>
      <c r="BV1306" s="30"/>
      <c r="BW1306" s="30"/>
      <c r="BX1306" s="30"/>
      <c r="BY1306" s="30"/>
      <c r="BZ1306" s="30"/>
      <c r="CA1306" s="30"/>
      <c r="CB1306" s="30"/>
      <c r="CC1306" s="30"/>
      <c r="CD1306" s="30"/>
      <c r="CE1306" s="30"/>
      <c r="CF1306" s="30"/>
      <c r="CG1306" s="30"/>
      <c r="CH1306" s="30"/>
      <c r="CI1306" s="30"/>
      <c r="CJ1306" s="30"/>
      <c r="CK1306" s="30"/>
      <c r="CL1306" s="30"/>
      <c r="CM1306" s="30"/>
      <c r="CN1306" s="30"/>
      <c r="CO1306" s="30"/>
      <c r="CP1306" s="30"/>
      <c r="CQ1306" s="30"/>
      <c r="CR1306" s="30"/>
      <c r="CS1306" s="30"/>
      <c r="CT1306" s="30"/>
      <c r="CU1306" s="30"/>
      <c r="CV1306" s="30"/>
      <c r="CW1306" s="30"/>
      <c r="CX1306" s="30"/>
      <c r="CY1306" s="30"/>
      <c r="CZ1306" s="30"/>
      <c r="DA1306" s="30"/>
      <c r="DB1306" s="30"/>
      <c r="DC1306" s="30"/>
      <c r="DD1306" s="30"/>
      <c r="DE1306" s="30"/>
      <c r="DF1306" s="30"/>
      <c r="DG1306" s="30"/>
      <c r="DH1306" s="30"/>
      <c r="DI1306" s="30"/>
      <c r="DJ1306" s="30"/>
      <c r="DK1306" s="30"/>
      <c r="DL1306" s="30"/>
      <c r="DM1306" s="30"/>
      <c r="DN1306" s="30"/>
      <c r="DO1306" s="30"/>
      <c r="DP1306" s="30"/>
      <c r="DQ1306" s="30"/>
      <c r="DR1306" s="30"/>
      <c r="DS1306" s="30"/>
      <c r="DT1306" s="30"/>
      <c r="DU1306" s="30"/>
      <c r="DV1306" s="30"/>
      <c r="DW1306" s="30"/>
      <c r="DX1306" s="30"/>
      <c r="DY1306" s="30"/>
      <c r="DZ1306" s="30"/>
    </row>
    <row r="1307">
      <c r="A1307" s="30"/>
      <c r="B1307" s="42"/>
      <c r="C1307" s="43"/>
      <c r="D1307" s="30"/>
      <c r="E1307" s="28"/>
      <c r="F1307" s="30"/>
      <c r="G1307" s="30"/>
      <c r="H1307" s="30"/>
      <c r="I1307" s="30"/>
      <c r="J1307" s="28"/>
      <c r="K1307" s="30"/>
      <c r="L1307" s="30"/>
      <c r="M1307" s="30"/>
      <c r="N1307" s="30"/>
      <c r="O1307" s="28"/>
      <c r="P1307" s="30"/>
      <c r="Q1307" s="30"/>
      <c r="R1307" s="30"/>
      <c r="S1307" s="36"/>
      <c r="T1307" s="30"/>
      <c r="U1307" s="36"/>
      <c r="V1307" s="30"/>
      <c r="W1307" s="28"/>
      <c r="X1307" s="30"/>
      <c r="Y1307" s="30"/>
      <c r="Z1307" s="30"/>
      <c r="AA1307" s="30"/>
      <c r="AB1307" s="30"/>
      <c r="AC1307" s="28"/>
      <c r="AD1307" s="30"/>
      <c r="AE1307" s="30"/>
      <c r="AF1307" s="30"/>
      <c r="AG1307" s="29"/>
      <c r="AH1307" s="30"/>
      <c r="AI1307" s="36"/>
      <c r="AJ1307" s="30"/>
      <c r="AK1307" s="29"/>
      <c r="AL1307" s="30"/>
      <c r="AM1307" s="30"/>
      <c r="AN1307" s="30"/>
      <c r="AO1307" s="30"/>
      <c r="AP1307" s="30"/>
      <c r="AQ1307" s="38"/>
      <c r="AR1307" s="30"/>
      <c r="AS1307" s="30"/>
      <c r="AT1307" s="29"/>
      <c r="AU1307" s="30"/>
      <c r="AV1307" s="30"/>
      <c r="AW1307" s="30"/>
      <c r="AX1307" s="29"/>
      <c r="AY1307" s="39"/>
      <c r="AZ1307" s="30"/>
      <c r="BA1307" s="30"/>
      <c r="BB1307" s="29"/>
      <c r="BC1307" s="52"/>
      <c r="BD1307" s="30"/>
      <c r="BE1307" s="29"/>
      <c r="BF1307" s="30"/>
      <c r="BG1307" s="30"/>
      <c r="BH1307" s="30"/>
      <c r="BI1307" s="30"/>
      <c r="BJ1307" s="30"/>
      <c r="BK1307" s="30"/>
      <c r="BL1307" s="30"/>
      <c r="BM1307" s="30"/>
      <c r="BN1307" s="30"/>
      <c r="BO1307" s="30"/>
      <c r="BP1307" s="30"/>
      <c r="BQ1307" s="30"/>
      <c r="BR1307" s="30"/>
      <c r="BS1307" s="30"/>
      <c r="BT1307" s="30"/>
      <c r="BU1307" s="30"/>
      <c r="BV1307" s="30"/>
      <c r="BW1307" s="30"/>
      <c r="BX1307" s="30"/>
      <c r="BY1307" s="30"/>
      <c r="BZ1307" s="30"/>
      <c r="CA1307" s="30"/>
      <c r="CB1307" s="30"/>
      <c r="CC1307" s="30"/>
      <c r="CD1307" s="30"/>
      <c r="CE1307" s="30"/>
      <c r="CF1307" s="30"/>
      <c r="CG1307" s="30"/>
      <c r="CH1307" s="30"/>
      <c r="CI1307" s="30"/>
      <c r="CJ1307" s="30"/>
      <c r="CK1307" s="30"/>
      <c r="CL1307" s="30"/>
      <c r="CM1307" s="30"/>
      <c r="CN1307" s="30"/>
      <c r="CO1307" s="30"/>
      <c r="CP1307" s="30"/>
      <c r="CQ1307" s="30"/>
      <c r="CR1307" s="30"/>
      <c r="CS1307" s="30"/>
      <c r="CT1307" s="30"/>
      <c r="CU1307" s="30"/>
      <c r="CV1307" s="30"/>
      <c r="CW1307" s="30"/>
      <c r="CX1307" s="30"/>
      <c r="CY1307" s="30"/>
      <c r="CZ1307" s="30"/>
      <c r="DA1307" s="30"/>
      <c r="DB1307" s="30"/>
      <c r="DC1307" s="30"/>
      <c r="DD1307" s="30"/>
      <c r="DE1307" s="30"/>
      <c r="DF1307" s="30"/>
      <c r="DG1307" s="30"/>
      <c r="DH1307" s="30"/>
      <c r="DI1307" s="30"/>
      <c r="DJ1307" s="30"/>
      <c r="DK1307" s="30"/>
      <c r="DL1307" s="30"/>
      <c r="DM1307" s="30"/>
      <c r="DN1307" s="30"/>
      <c r="DO1307" s="30"/>
      <c r="DP1307" s="30"/>
      <c r="DQ1307" s="30"/>
      <c r="DR1307" s="30"/>
      <c r="DS1307" s="30"/>
      <c r="DT1307" s="30"/>
      <c r="DU1307" s="30"/>
      <c r="DV1307" s="30"/>
      <c r="DW1307" s="30"/>
      <c r="DX1307" s="30"/>
      <c r="DY1307" s="30"/>
      <c r="DZ1307" s="30"/>
    </row>
    <row r="1308">
      <c r="A1308" s="30"/>
      <c r="B1308" s="42"/>
      <c r="C1308" s="43"/>
      <c r="D1308" s="30"/>
      <c r="E1308" s="28"/>
      <c r="F1308" s="30"/>
      <c r="G1308" s="30"/>
      <c r="H1308" s="30"/>
      <c r="I1308" s="30"/>
      <c r="J1308" s="28"/>
      <c r="K1308" s="30"/>
      <c r="L1308" s="30"/>
      <c r="M1308" s="30"/>
      <c r="N1308" s="30"/>
      <c r="O1308" s="28"/>
      <c r="P1308" s="30"/>
      <c r="Q1308" s="30"/>
      <c r="R1308" s="30"/>
      <c r="S1308" s="36"/>
      <c r="T1308" s="30"/>
      <c r="U1308" s="36"/>
      <c r="V1308" s="30"/>
      <c r="W1308" s="28"/>
      <c r="X1308" s="30"/>
      <c r="Y1308" s="30"/>
      <c r="Z1308" s="30"/>
      <c r="AA1308" s="30"/>
      <c r="AB1308" s="30"/>
      <c r="AC1308" s="28"/>
      <c r="AD1308" s="30"/>
      <c r="AE1308" s="30"/>
      <c r="AF1308" s="30"/>
      <c r="AG1308" s="29"/>
      <c r="AH1308" s="30"/>
      <c r="AI1308" s="36"/>
      <c r="AJ1308" s="30"/>
      <c r="AK1308" s="29"/>
      <c r="AL1308" s="30"/>
      <c r="AM1308" s="30"/>
      <c r="AN1308" s="30"/>
      <c r="AO1308" s="30"/>
      <c r="AP1308" s="30"/>
      <c r="AQ1308" s="38"/>
      <c r="AR1308" s="30"/>
      <c r="AS1308" s="30"/>
      <c r="AT1308" s="29"/>
      <c r="AU1308" s="30"/>
      <c r="AV1308" s="30"/>
      <c r="AW1308" s="30"/>
      <c r="AX1308" s="29"/>
      <c r="AY1308" s="39"/>
      <c r="AZ1308" s="30"/>
      <c r="BA1308" s="30"/>
      <c r="BB1308" s="29"/>
      <c r="BC1308" s="52"/>
      <c r="BD1308" s="30"/>
      <c r="BE1308" s="29"/>
      <c r="BF1308" s="30"/>
      <c r="BG1308" s="30"/>
      <c r="BH1308" s="30"/>
      <c r="BI1308" s="30"/>
      <c r="BJ1308" s="30"/>
      <c r="BK1308" s="30"/>
      <c r="BL1308" s="30"/>
      <c r="BM1308" s="30"/>
      <c r="BN1308" s="30"/>
      <c r="BO1308" s="30"/>
      <c r="BP1308" s="30"/>
      <c r="BQ1308" s="30"/>
      <c r="BR1308" s="30"/>
      <c r="BS1308" s="30"/>
      <c r="BT1308" s="30"/>
      <c r="BU1308" s="30"/>
      <c r="BV1308" s="30"/>
      <c r="BW1308" s="30"/>
      <c r="BX1308" s="30"/>
      <c r="BY1308" s="30"/>
      <c r="BZ1308" s="30"/>
      <c r="CA1308" s="30"/>
      <c r="CB1308" s="30"/>
      <c r="CC1308" s="30"/>
      <c r="CD1308" s="30"/>
      <c r="CE1308" s="30"/>
      <c r="CF1308" s="30"/>
      <c r="CG1308" s="30"/>
      <c r="CH1308" s="30"/>
      <c r="CI1308" s="30"/>
      <c r="CJ1308" s="30"/>
      <c r="CK1308" s="30"/>
      <c r="CL1308" s="30"/>
      <c r="CM1308" s="30"/>
      <c r="CN1308" s="30"/>
      <c r="CO1308" s="30"/>
      <c r="CP1308" s="30"/>
      <c r="CQ1308" s="30"/>
      <c r="CR1308" s="30"/>
      <c r="CS1308" s="30"/>
      <c r="CT1308" s="30"/>
      <c r="CU1308" s="30"/>
      <c r="CV1308" s="30"/>
      <c r="CW1308" s="30"/>
      <c r="CX1308" s="30"/>
      <c r="CY1308" s="30"/>
      <c r="CZ1308" s="30"/>
      <c r="DA1308" s="30"/>
      <c r="DB1308" s="30"/>
      <c r="DC1308" s="30"/>
      <c r="DD1308" s="30"/>
      <c r="DE1308" s="30"/>
      <c r="DF1308" s="30"/>
      <c r="DG1308" s="30"/>
      <c r="DH1308" s="30"/>
      <c r="DI1308" s="30"/>
      <c r="DJ1308" s="30"/>
      <c r="DK1308" s="30"/>
      <c r="DL1308" s="30"/>
      <c r="DM1308" s="30"/>
      <c r="DN1308" s="30"/>
      <c r="DO1308" s="30"/>
      <c r="DP1308" s="30"/>
      <c r="DQ1308" s="30"/>
      <c r="DR1308" s="30"/>
      <c r="DS1308" s="30"/>
      <c r="DT1308" s="30"/>
      <c r="DU1308" s="30"/>
      <c r="DV1308" s="30"/>
      <c r="DW1308" s="30"/>
      <c r="DX1308" s="30"/>
      <c r="DY1308" s="30"/>
      <c r="DZ1308" s="30"/>
    </row>
    <row r="1309">
      <c r="A1309" s="30"/>
      <c r="B1309" s="42"/>
      <c r="C1309" s="43"/>
      <c r="D1309" s="30"/>
      <c r="E1309" s="28"/>
      <c r="F1309" s="30"/>
      <c r="G1309" s="30"/>
      <c r="H1309" s="30"/>
      <c r="I1309" s="30"/>
      <c r="J1309" s="28"/>
      <c r="K1309" s="30"/>
      <c r="L1309" s="30"/>
      <c r="M1309" s="30"/>
      <c r="N1309" s="30"/>
      <c r="O1309" s="28"/>
      <c r="P1309" s="30"/>
      <c r="Q1309" s="30"/>
      <c r="R1309" s="30"/>
      <c r="S1309" s="36"/>
      <c r="T1309" s="30"/>
      <c r="U1309" s="36"/>
      <c r="V1309" s="30"/>
      <c r="W1309" s="28"/>
      <c r="X1309" s="30"/>
      <c r="Y1309" s="30"/>
      <c r="Z1309" s="30"/>
      <c r="AA1309" s="30"/>
      <c r="AB1309" s="30"/>
      <c r="AC1309" s="28"/>
      <c r="AD1309" s="30"/>
      <c r="AE1309" s="30"/>
      <c r="AF1309" s="30"/>
      <c r="AG1309" s="29"/>
      <c r="AH1309" s="30"/>
      <c r="AI1309" s="36"/>
      <c r="AJ1309" s="30"/>
      <c r="AK1309" s="29"/>
      <c r="AL1309" s="30"/>
      <c r="AM1309" s="30"/>
      <c r="AN1309" s="30"/>
      <c r="AO1309" s="30"/>
      <c r="AP1309" s="30"/>
      <c r="AQ1309" s="38"/>
      <c r="AR1309" s="30"/>
      <c r="AS1309" s="30"/>
      <c r="AT1309" s="29"/>
      <c r="AU1309" s="30"/>
      <c r="AV1309" s="30"/>
      <c r="AW1309" s="30"/>
      <c r="AX1309" s="29"/>
      <c r="AY1309" s="39"/>
      <c r="AZ1309" s="30"/>
      <c r="BA1309" s="30"/>
      <c r="BB1309" s="29"/>
      <c r="BC1309" s="52"/>
      <c r="BD1309" s="30"/>
      <c r="BE1309" s="29"/>
      <c r="BF1309" s="30"/>
      <c r="BG1309" s="30"/>
      <c r="BH1309" s="30"/>
      <c r="BI1309" s="30"/>
      <c r="BJ1309" s="30"/>
      <c r="BK1309" s="30"/>
      <c r="BL1309" s="30"/>
      <c r="BM1309" s="30"/>
      <c r="BN1309" s="30"/>
      <c r="BO1309" s="30"/>
      <c r="BP1309" s="30"/>
      <c r="BQ1309" s="30"/>
      <c r="BR1309" s="30"/>
      <c r="BS1309" s="30"/>
      <c r="BT1309" s="30"/>
      <c r="BU1309" s="30"/>
      <c r="BV1309" s="30"/>
      <c r="BW1309" s="30"/>
      <c r="BX1309" s="30"/>
      <c r="BY1309" s="30"/>
      <c r="BZ1309" s="30"/>
      <c r="CA1309" s="30"/>
      <c r="CB1309" s="30"/>
      <c r="CC1309" s="30"/>
      <c r="CD1309" s="30"/>
      <c r="CE1309" s="30"/>
      <c r="CF1309" s="30"/>
      <c r="CG1309" s="30"/>
      <c r="CH1309" s="30"/>
      <c r="CI1309" s="30"/>
      <c r="CJ1309" s="30"/>
      <c r="CK1309" s="30"/>
      <c r="CL1309" s="30"/>
      <c r="CM1309" s="30"/>
      <c r="CN1309" s="30"/>
      <c r="CO1309" s="30"/>
      <c r="CP1309" s="30"/>
      <c r="CQ1309" s="30"/>
      <c r="CR1309" s="30"/>
      <c r="CS1309" s="30"/>
      <c r="CT1309" s="30"/>
      <c r="CU1309" s="30"/>
      <c r="CV1309" s="30"/>
      <c r="CW1309" s="30"/>
      <c r="CX1309" s="30"/>
      <c r="CY1309" s="30"/>
      <c r="CZ1309" s="30"/>
      <c r="DA1309" s="30"/>
      <c r="DB1309" s="30"/>
      <c r="DC1309" s="30"/>
      <c r="DD1309" s="30"/>
      <c r="DE1309" s="30"/>
      <c r="DF1309" s="30"/>
      <c r="DG1309" s="30"/>
      <c r="DH1309" s="30"/>
      <c r="DI1309" s="30"/>
      <c r="DJ1309" s="30"/>
      <c r="DK1309" s="30"/>
      <c r="DL1309" s="30"/>
      <c r="DM1309" s="30"/>
      <c r="DN1309" s="30"/>
      <c r="DO1309" s="30"/>
      <c r="DP1309" s="30"/>
      <c r="DQ1309" s="30"/>
      <c r="DR1309" s="30"/>
      <c r="DS1309" s="30"/>
      <c r="DT1309" s="30"/>
      <c r="DU1309" s="30"/>
      <c r="DV1309" s="30"/>
      <c r="DW1309" s="30"/>
      <c r="DX1309" s="30"/>
      <c r="DY1309" s="30"/>
      <c r="DZ1309" s="30"/>
    </row>
    <row r="1310">
      <c r="A1310" s="30"/>
      <c r="B1310" s="42"/>
      <c r="C1310" s="43"/>
      <c r="D1310" s="30"/>
      <c r="E1310" s="28"/>
      <c r="F1310" s="30"/>
      <c r="G1310" s="30"/>
      <c r="H1310" s="30"/>
      <c r="I1310" s="30"/>
      <c r="J1310" s="28"/>
      <c r="K1310" s="30"/>
      <c r="L1310" s="30"/>
      <c r="M1310" s="30"/>
      <c r="N1310" s="30"/>
      <c r="O1310" s="28"/>
      <c r="P1310" s="30"/>
      <c r="Q1310" s="30"/>
      <c r="R1310" s="30"/>
      <c r="S1310" s="36"/>
      <c r="T1310" s="30"/>
      <c r="U1310" s="36"/>
      <c r="V1310" s="30"/>
      <c r="W1310" s="28"/>
      <c r="X1310" s="30"/>
      <c r="Y1310" s="30"/>
      <c r="Z1310" s="30"/>
      <c r="AA1310" s="30"/>
      <c r="AB1310" s="30"/>
      <c r="AC1310" s="28"/>
      <c r="AD1310" s="30"/>
      <c r="AE1310" s="30"/>
      <c r="AF1310" s="30"/>
      <c r="AG1310" s="29"/>
      <c r="AH1310" s="30"/>
      <c r="AI1310" s="36"/>
      <c r="AJ1310" s="30"/>
      <c r="AK1310" s="29"/>
      <c r="AL1310" s="30"/>
      <c r="AM1310" s="30"/>
      <c r="AN1310" s="30"/>
      <c r="AO1310" s="30"/>
      <c r="AP1310" s="30"/>
      <c r="AQ1310" s="38"/>
      <c r="AR1310" s="30"/>
      <c r="AS1310" s="30"/>
      <c r="AT1310" s="29"/>
      <c r="AU1310" s="30"/>
      <c r="AV1310" s="30"/>
      <c r="AW1310" s="30"/>
      <c r="AX1310" s="29"/>
      <c r="AY1310" s="39"/>
      <c r="AZ1310" s="30"/>
      <c r="BA1310" s="30"/>
      <c r="BB1310" s="29"/>
      <c r="BC1310" s="52"/>
      <c r="BD1310" s="30"/>
      <c r="BE1310" s="29"/>
      <c r="BF1310" s="30"/>
      <c r="BG1310" s="30"/>
      <c r="BH1310" s="30"/>
      <c r="BI1310" s="30"/>
      <c r="BJ1310" s="30"/>
      <c r="BK1310" s="30"/>
      <c r="BL1310" s="30"/>
      <c r="BM1310" s="30"/>
      <c r="BN1310" s="30"/>
      <c r="BO1310" s="30"/>
      <c r="BP1310" s="30"/>
      <c r="BQ1310" s="30"/>
      <c r="BR1310" s="30"/>
      <c r="BS1310" s="30"/>
      <c r="BT1310" s="30"/>
      <c r="BU1310" s="30"/>
      <c r="BV1310" s="30"/>
      <c r="BW1310" s="30"/>
      <c r="BX1310" s="30"/>
      <c r="BY1310" s="30"/>
      <c r="BZ1310" s="30"/>
      <c r="CA1310" s="30"/>
      <c r="CB1310" s="30"/>
      <c r="CC1310" s="30"/>
      <c r="CD1310" s="30"/>
      <c r="CE1310" s="30"/>
      <c r="CF1310" s="30"/>
      <c r="CG1310" s="30"/>
      <c r="CH1310" s="30"/>
      <c r="CI1310" s="30"/>
      <c r="CJ1310" s="30"/>
      <c r="CK1310" s="30"/>
      <c r="CL1310" s="30"/>
      <c r="CM1310" s="30"/>
      <c r="CN1310" s="30"/>
      <c r="CO1310" s="30"/>
      <c r="CP1310" s="30"/>
      <c r="CQ1310" s="30"/>
      <c r="CR1310" s="30"/>
      <c r="CS1310" s="30"/>
      <c r="CT1310" s="30"/>
      <c r="CU1310" s="30"/>
      <c r="CV1310" s="30"/>
      <c r="CW1310" s="30"/>
      <c r="CX1310" s="30"/>
      <c r="CY1310" s="30"/>
      <c r="CZ1310" s="30"/>
      <c r="DA1310" s="30"/>
      <c r="DB1310" s="30"/>
      <c r="DC1310" s="30"/>
      <c r="DD1310" s="30"/>
      <c r="DE1310" s="30"/>
      <c r="DF1310" s="30"/>
      <c r="DG1310" s="30"/>
      <c r="DH1310" s="30"/>
      <c r="DI1310" s="30"/>
      <c r="DJ1310" s="30"/>
      <c r="DK1310" s="30"/>
      <c r="DL1310" s="30"/>
      <c r="DM1310" s="30"/>
      <c r="DN1310" s="30"/>
      <c r="DO1310" s="30"/>
      <c r="DP1310" s="30"/>
      <c r="DQ1310" s="30"/>
      <c r="DR1310" s="30"/>
      <c r="DS1310" s="30"/>
      <c r="DT1310" s="30"/>
      <c r="DU1310" s="30"/>
      <c r="DV1310" s="30"/>
      <c r="DW1310" s="30"/>
      <c r="DX1310" s="30"/>
      <c r="DY1310" s="30"/>
      <c r="DZ1310" s="30"/>
    </row>
    <row r="1311">
      <c r="A1311" s="30"/>
      <c r="B1311" s="42"/>
      <c r="C1311" s="43"/>
      <c r="D1311" s="30"/>
      <c r="E1311" s="28"/>
      <c r="F1311" s="30"/>
      <c r="G1311" s="30"/>
      <c r="H1311" s="30"/>
      <c r="I1311" s="30"/>
      <c r="J1311" s="28"/>
      <c r="K1311" s="30"/>
      <c r="L1311" s="30"/>
      <c r="M1311" s="30"/>
      <c r="N1311" s="30"/>
      <c r="O1311" s="28"/>
      <c r="P1311" s="30"/>
      <c r="Q1311" s="30"/>
      <c r="R1311" s="30"/>
      <c r="S1311" s="36"/>
      <c r="T1311" s="30"/>
      <c r="U1311" s="36"/>
      <c r="V1311" s="30"/>
      <c r="W1311" s="28"/>
      <c r="X1311" s="30"/>
      <c r="Y1311" s="30"/>
      <c r="Z1311" s="30"/>
      <c r="AA1311" s="30"/>
      <c r="AB1311" s="30"/>
      <c r="AC1311" s="28"/>
      <c r="AD1311" s="30"/>
      <c r="AE1311" s="30"/>
      <c r="AF1311" s="30"/>
      <c r="AG1311" s="29"/>
      <c r="AH1311" s="30"/>
      <c r="AI1311" s="36"/>
      <c r="AJ1311" s="30"/>
      <c r="AK1311" s="29"/>
      <c r="AL1311" s="30"/>
      <c r="AM1311" s="30"/>
      <c r="AN1311" s="30"/>
      <c r="AO1311" s="30"/>
      <c r="AP1311" s="30"/>
      <c r="AQ1311" s="38"/>
      <c r="AR1311" s="30"/>
      <c r="AS1311" s="30"/>
      <c r="AT1311" s="29"/>
      <c r="AU1311" s="30"/>
      <c r="AV1311" s="30"/>
      <c r="AW1311" s="30"/>
      <c r="AX1311" s="29"/>
      <c r="AY1311" s="39"/>
      <c r="AZ1311" s="30"/>
      <c r="BA1311" s="30"/>
      <c r="BB1311" s="29"/>
      <c r="BC1311" s="52"/>
      <c r="BD1311" s="30"/>
      <c r="BE1311" s="29"/>
      <c r="BF1311" s="30"/>
      <c r="BG1311" s="30"/>
      <c r="BH1311" s="30"/>
      <c r="BI1311" s="30"/>
      <c r="BJ1311" s="30"/>
      <c r="BK1311" s="30"/>
      <c r="BL1311" s="30"/>
      <c r="BM1311" s="30"/>
      <c r="BN1311" s="30"/>
      <c r="BO1311" s="30"/>
      <c r="BP1311" s="30"/>
      <c r="BQ1311" s="30"/>
      <c r="BR1311" s="30"/>
      <c r="BS1311" s="30"/>
      <c r="BT1311" s="30"/>
      <c r="BU1311" s="30"/>
      <c r="BV1311" s="30"/>
      <c r="BW1311" s="30"/>
      <c r="BX1311" s="30"/>
      <c r="BY1311" s="30"/>
      <c r="BZ1311" s="30"/>
      <c r="CA1311" s="30"/>
      <c r="CB1311" s="30"/>
      <c r="CC1311" s="30"/>
      <c r="CD1311" s="30"/>
      <c r="CE1311" s="30"/>
      <c r="CF1311" s="30"/>
      <c r="CG1311" s="30"/>
      <c r="CH1311" s="30"/>
      <c r="CI1311" s="30"/>
      <c r="CJ1311" s="30"/>
      <c r="CK1311" s="30"/>
      <c r="CL1311" s="30"/>
      <c r="CM1311" s="30"/>
      <c r="CN1311" s="30"/>
      <c r="CO1311" s="30"/>
      <c r="CP1311" s="30"/>
      <c r="CQ1311" s="30"/>
      <c r="CR1311" s="30"/>
      <c r="CS1311" s="30"/>
      <c r="CT1311" s="30"/>
      <c r="CU1311" s="30"/>
      <c r="CV1311" s="30"/>
      <c r="CW1311" s="30"/>
      <c r="CX1311" s="30"/>
      <c r="CY1311" s="30"/>
      <c r="CZ1311" s="30"/>
      <c r="DA1311" s="30"/>
      <c r="DB1311" s="30"/>
      <c r="DC1311" s="30"/>
      <c r="DD1311" s="30"/>
      <c r="DE1311" s="30"/>
      <c r="DF1311" s="30"/>
      <c r="DG1311" s="30"/>
      <c r="DH1311" s="30"/>
      <c r="DI1311" s="30"/>
      <c r="DJ1311" s="30"/>
      <c r="DK1311" s="30"/>
      <c r="DL1311" s="30"/>
      <c r="DM1311" s="30"/>
      <c r="DN1311" s="30"/>
      <c r="DO1311" s="30"/>
      <c r="DP1311" s="30"/>
      <c r="DQ1311" s="30"/>
      <c r="DR1311" s="30"/>
      <c r="DS1311" s="30"/>
      <c r="DT1311" s="30"/>
      <c r="DU1311" s="30"/>
      <c r="DV1311" s="30"/>
      <c r="DW1311" s="30"/>
      <c r="DX1311" s="30"/>
      <c r="DY1311" s="30"/>
      <c r="DZ1311" s="30"/>
    </row>
    <row r="1312">
      <c r="A1312" s="30"/>
      <c r="B1312" s="42"/>
      <c r="C1312" s="43"/>
      <c r="D1312" s="30"/>
      <c r="E1312" s="28"/>
      <c r="F1312" s="30"/>
      <c r="G1312" s="30"/>
      <c r="H1312" s="30"/>
      <c r="I1312" s="30"/>
      <c r="J1312" s="28"/>
      <c r="K1312" s="30"/>
      <c r="L1312" s="30"/>
      <c r="M1312" s="30"/>
      <c r="N1312" s="30"/>
      <c r="O1312" s="28"/>
      <c r="P1312" s="30"/>
      <c r="Q1312" s="30"/>
      <c r="R1312" s="30"/>
      <c r="S1312" s="36"/>
      <c r="T1312" s="30"/>
      <c r="U1312" s="36"/>
      <c r="V1312" s="30"/>
      <c r="W1312" s="28"/>
      <c r="X1312" s="30"/>
      <c r="Y1312" s="30"/>
      <c r="Z1312" s="30"/>
      <c r="AA1312" s="30"/>
      <c r="AB1312" s="30"/>
      <c r="AC1312" s="28"/>
      <c r="AD1312" s="30"/>
      <c r="AE1312" s="30"/>
      <c r="AF1312" s="30"/>
      <c r="AG1312" s="29"/>
      <c r="AH1312" s="30"/>
      <c r="AI1312" s="36"/>
      <c r="AJ1312" s="30"/>
      <c r="AK1312" s="29"/>
      <c r="AL1312" s="30"/>
      <c r="AM1312" s="30"/>
      <c r="AN1312" s="30"/>
      <c r="AO1312" s="30"/>
      <c r="AP1312" s="30"/>
      <c r="AQ1312" s="38"/>
      <c r="AR1312" s="30"/>
      <c r="AS1312" s="30"/>
      <c r="AT1312" s="29"/>
      <c r="AU1312" s="30"/>
      <c r="AV1312" s="30"/>
      <c r="AW1312" s="30"/>
      <c r="AX1312" s="29"/>
      <c r="AY1312" s="39"/>
      <c r="AZ1312" s="30"/>
      <c r="BA1312" s="30"/>
      <c r="BB1312" s="29"/>
      <c r="BC1312" s="52"/>
      <c r="BD1312" s="30"/>
      <c r="BE1312" s="29"/>
      <c r="BF1312" s="30"/>
      <c r="BG1312" s="30"/>
      <c r="BH1312" s="30"/>
      <c r="BI1312" s="30"/>
      <c r="BJ1312" s="30"/>
      <c r="BK1312" s="30"/>
      <c r="BL1312" s="30"/>
      <c r="BM1312" s="30"/>
      <c r="BN1312" s="30"/>
      <c r="BO1312" s="30"/>
      <c r="BP1312" s="30"/>
      <c r="BQ1312" s="30"/>
      <c r="BR1312" s="30"/>
      <c r="BS1312" s="30"/>
      <c r="BT1312" s="30"/>
      <c r="BU1312" s="30"/>
      <c r="BV1312" s="30"/>
      <c r="BW1312" s="30"/>
      <c r="BX1312" s="30"/>
      <c r="BY1312" s="30"/>
      <c r="BZ1312" s="30"/>
      <c r="CA1312" s="30"/>
      <c r="CB1312" s="30"/>
      <c r="CC1312" s="30"/>
      <c r="CD1312" s="30"/>
      <c r="CE1312" s="30"/>
      <c r="CF1312" s="30"/>
      <c r="CG1312" s="30"/>
      <c r="CH1312" s="30"/>
      <c r="CI1312" s="30"/>
      <c r="CJ1312" s="30"/>
      <c r="CK1312" s="30"/>
      <c r="CL1312" s="30"/>
      <c r="CM1312" s="30"/>
      <c r="CN1312" s="30"/>
      <c r="CO1312" s="30"/>
      <c r="CP1312" s="30"/>
      <c r="CQ1312" s="30"/>
      <c r="CR1312" s="30"/>
      <c r="CS1312" s="30"/>
      <c r="CT1312" s="30"/>
      <c r="CU1312" s="30"/>
      <c r="CV1312" s="30"/>
      <c r="CW1312" s="30"/>
      <c r="CX1312" s="30"/>
      <c r="CY1312" s="30"/>
      <c r="CZ1312" s="30"/>
      <c r="DA1312" s="30"/>
      <c r="DB1312" s="30"/>
      <c r="DC1312" s="30"/>
      <c r="DD1312" s="30"/>
      <c r="DE1312" s="30"/>
      <c r="DF1312" s="30"/>
      <c r="DG1312" s="30"/>
      <c r="DH1312" s="30"/>
      <c r="DI1312" s="30"/>
      <c r="DJ1312" s="30"/>
      <c r="DK1312" s="30"/>
      <c r="DL1312" s="30"/>
      <c r="DM1312" s="30"/>
      <c r="DN1312" s="30"/>
      <c r="DO1312" s="30"/>
      <c r="DP1312" s="30"/>
      <c r="DQ1312" s="30"/>
      <c r="DR1312" s="30"/>
      <c r="DS1312" s="30"/>
      <c r="DT1312" s="30"/>
      <c r="DU1312" s="30"/>
      <c r="DV1312" s="30"/>
      <c r="DW1312" s="30"/>
      <c r="DX1312" s="30"/>
      <c r="DY1312" s="30"/>
      <c r="DZ1312" s="30"/>
    </row>
    <row r="1313">
      <c r="A1313" s="30"/>
      <c r="B1313" s="42"/>
      <c r="C1313" s="43"/>
      <c r="D1313" s="30"/>
      <c r="E1313" s="28"/>
      <c r="F1313" s="30"/>
      <c r="G1313" s="30"/>
      <c r="H1313" s="30"/>
      <c r="I1313" s="30"/>
      <c r="J1313" s="28"/>
      <c r="K1313" s="30"/>
      <c r="L1313" s="30"/>
      <c r="M1313" s="30"/>
      <c r="N1313" s="30"/>
      <c r="O1313" s="28"/>
      <c r="P1313" s="30"/>
      <c r="Q1313" s="30"/>
      <c r="R1313" s="30"/>
      <c r="S1313" s="36"/>
      <c r="T1313" s="30"/>
      <c r="U1313" s="36"/>
      <c r="V1313" s="30"/>
      <c r="W1313" s="28"/>
      <c r="X1313" s="30"/>
      <c r="Y1313" s="30"/>
      <c r="Z1313" s="30"/>
      <c r="AA1313" s="30"/>
      <c r="AB1313" s="30"/>
      <c r="AC1313" s="28"/>
      <c r="AD1313" s="30"/>
      <c r="AE1313" s="30"/>
      <c r="AF1313" s="30"/>
      <c r="AG1313" s="29"/>
      <c r="AH1313" s="30"/>
      <c r="AI1313" s="36"/>
      <c r="AJ1313" s="30"/>
      <c r="AK1313" s="29"/>
      <c r="AL1313" s="30"/>
      <c r="AM1313" s="30"/>
      <c r="AN1313" s="30"/>
      <c r="AO1313" s="30"/>
      <c r="AP1313" s="30"/>
      <c r="AQ1313" s="38"/>
      <c r="AR1313" s="30"/>
      <c r="AS1313" s="30"/>
      <c r="AT1313" s="29"/>
      <c r="AU1313" s="30"/>
      <c r="AV1313" s="30"/>
      <c r="AW1313" s="30"/>
      <c r="AX1313" s="29"/>
      <c r="AY1313" s="39"/>
      <c r="AZ1313" s="30"/>
      <c r="BA1313" s="30"/>
      <c r="BB1313" s="29"/>
      <c r="BC1313" s="52"/>
      <c r="BD1313" s="30"/>
      <c r="BE1313" s="29"/>
      <c r="BF1313" s="30"/>
      <c r="BG1313" s="30"/>
      <c r="BH1313" s="30"/>
      <c r="BI1313" s="30"/>
      <c r="BJ1313" s="30"/>
      <c r="BK1313" s="30"/>
      <c r="BL1313" s="30"/>
      <c r="BM1313" s="30"/>
      <c r="BN1313" s="30"/>
      <c r="BO1313" s="30"/>
      <c r="BP1313" s="30"/>
      <c r="BQ1313" s="30"/>
      <c r="BR1313" s="30"/>
      <c r="BS1313" s="30"/>
      <c r="BT1313" s="30"/>
      <c r="BU1313" s="30"/>
      <c r="BV1313" s="30"/>
      <c r="BW1313" s="30"/>
      <c r="BX1313" s="30"/>
      <c r="BY1313" s="30"/>
      <c r="BZ1313" s="30"/>
      <c r="CA1313" s="30"/>
      <c r="CB1313" s="30"/>
      <c r="CC1313" s="30"/>
      <c r="CD1313" s="30"/>
      <c r="CE1313" s="30"/>
      <c r="CF1313" s="30"/>
      <c r="CG1313" s="30"/>
      <c r="CH1313" s="30"/>
      <c r="CI1313" s="30"/>
      <c r="CJ1313" s="30"/>
      <c r="CK1313" s="30"/>
      <c r="CL1313" s="30"/>
      <c r="CM1313" s="30"/>
      <c r="CN1313" s="30"/>
      <c r="CO1313" s="30"/>
      <c r="CP1313" s="30"/>
      <c r="CQ1313" s="30"/>
      <c r="CR1313" s="30"/>
      <c r="CS1313" s="30"/>
      <c r="CT1313" s="30"/>
      <c r="CU1313" s="30"/>
      <c r="CV1313" s="30"/>
      <c r="CW1313" s="30"/>
      <c r="CX1313" s="30"/>
      <c r="CY1313" s="30"/>
      <c r="CZ1313" s="30"/>
      <c r="DA1313" s="30"/>
      <c r="DB1313" s="30"/>
      <c r="DC1313" s="30"/>
      <c r="DD1313" s="30"/>
      <c r="DE1313" s="30"/>
      <c r="DF1313" s="30"/>
      <c r="DG1313" s="30"/>
      <c r="DH1313" s="30"/>
      <c r="DI1313" s="30"/>
      <c r="DJ1313" s="30"/>
      <c r="DK1313" s="30"/>
      <c r="DL1313" s="30"/>
      <c r="DM1313" s="30"/>
      <c r="DN1313" s="30"/>
      <c r="DO1313" s="30"/>
      <c r="DP1313" s="30"/>
      <c r="DQ1313" s="30"/>
      <c r="DR1313" s="30"/>
      <c r="DS1313" s="30"/>
      <c r="DT1313" s="30"/>
      <c r="DU1313" s="30"/>
      <c r="DV1313" s="30"/>
      <c r="DW1313" s="30"/>
      <c r="DX1313" s="30"/>
      <c r="DY1313" s="30"/>
      <c r="DZ1313" s="30"/>
    </row>
    <row r="1314">
      <c r="A1314" s="30"/>
      <c r="B1314" s="42"/>
      <c r="C1314" s="43"/>
      <c r="D1314" s="30"/>
      <c r="E1314" s="28"/>
      <c r="F1314" s="30"/>
      <c r="G1314" s="30"/>
      <c r="H1314" s="30"/>
      <c r="I1314" s="30"/>
      <c r="J1314" s="28"/>
      <c r="K1314" s="30"/>
      <c r="L1314" s="30"/>
      <c r="M1314" s="30"/>
      <c r="N1314" s="30"/>
      <c r="O1314" s="28"/>
      <c r="P1314" s="30"/>
      <c r="Q1314" s="30"/>
      <c r="R1314" s="30"/>
      <c r="S1314" s="36"/>
      <c r="T1314" s="30"/>
      <c r="U1314" s="36"/>
      <c r="V1314" s="30"/>
      <c r="W1314" s="28"/>
      <c r="X1314" s="30"/>
      <c r="Y1314" s="30"/>
      <c r="Z1314" s="30"/>
      <c r="AA1314" s="30"/>
      <c r="AB1314" s="30"/>
      <c r="AC1314" s="28"/>
      <c r="AD1314" s="30"/>
      <c r="AE1314" s="30"/>
      <c r="AF1314" s="30"/>
      <c r="AG1314" s="29"/>
      <c r="AH1314" s="30"/>
      <c r="AI1314" s="36"/>
      <c r="AJ1314" s="30"/>
      <c r="AK1314" s="29"/>
      <c r="AL1314" s="30"/>
      <c r="AM1314" s="30"/>
      <c r="AN1314" s="30"/>
      <c r="AO1314" s="30"/>
      <c r="AP1314" s="30"/>
      <c r="AQ1314" s="38"/>
      <c r="AR1314" s="30"/>
      <c r="AS1314" s="30"/>
      <c r="AT1314" s="29"/>
      <c r="AU1314" s="30"/>
      <c r="AV1314" s="30"/>
      <c r="AW1314" s="30"/>
      <c r="AX1314" s="29"/>
      <c r="AY1314" s="39"/>
      <c r="AZ1314" s="30"/>
      <c r="BA1314" s="30"/>
      <c r="BB1314" s="29"/>
      <c r="BC1314" s="52"/>
      <c r="BD1314" s="30"/>
      <c r="BE1314" s="29"/>
      <c r="BF1314" s="30"/>
      <c r="BG1314" s="30"/>
      <c r="BH1314" s="30"/>
      <c r="BI1314" s="30"/>
      <c r="BJ1314" s="30"/>
      <c r="BK1314" s="30"/>
      <c r="BL1314" s="30"/>
      <c r="BM1314" s="30"/>
      <c r="BN1314" s="30"/>
      <c r="BO1314" s="30"/>
      <c r="BP1314" s="30"/>
      <c r="BQ1314" s="30"/>
      <c r="BR1314" s="30"/>
      <c r="BS1314" s="30"/>
      <c r="BT1314" s="30"/>
      <c r="BU1314" s="30"/>
      <c r="BV1314" s="30"/>
      <c r="BW1314" s="30"/>
      <c r="BX1314" s="30"/>
      <c r="BY1314" s="30"/>
      <c r="BZ1314" s="30"/>
      <c r="CA1314" s="30"/>
      <c r="CB1314" s="30"/>
      <c r="CC1314" s="30"/>
      <c r="CD1314" s="30"/>
      <c r="CE1314" s="30"/>
      <c r="CF1314" s="30"/>
      <c r="CG1314" s="30"/>
      <c r="CH1314" s="30"/>
      <c r="CI1314" s="30"/>
      <c r="CJ1314" s="30"/>
      <c r="CK1314" s="30"/>
      <c r="CL1314" s="30"/>
      <c r="CM1314" s="30"/>
      <c r="CN1314" s="30"/>
      <c r="CO1314" s="30"/>
      <c r="CP1314" s="30"/>
      <c r="CQ1314" s="30"/>
      <c r="CR1314" s="30"/>
      <c r="CS1314" s="30"/>
      <c r="CT1314" s="30"/>
      <c r="CU1314" s="30"/>
      <c r="CV1314" s="30"/>
      <c r="CW1314" s="30"/>
      <c r="CX1314" s="30"/>
      <c r="CY1314" s="30"/>
      <c r="CZ1314" s="30"/>
      <c r="DA1314" s="30"/>
      <c r="DB1314" s="30"/>
      <c r="DC1314" s="30"/>
      <c r="DD1314" s="30"/>
      <c r="DE1314" s="30"/>
      <c r="DF1314" s="30"/>
      <c r="DG1314" s="30"/>
      <c r="DH1314" s="30"/>
      <c r="DI1314" s="30"/>
      <c r="DJ1314" s="30"/>
      <c r="DK1314" s="30"/>
      <c r="DL1314" s="30"/>
      <c r="DM1314" s="30"/>
      <c r="DN1314" s="30"/>
      <c r="DO1314" s="30"/>
      <c r="DP1314" s="30"/>
      <c r="DQ1314" s="30"/>
      <c r="DR1314" s="30"/>
      <c r="DS1314" s="30"/>
      <c r="DT1314" s="30"/>
      <c r="DU1314" s="30"/>
      <c r="DV1314" s="30"/>
      <c r="DW1314" s="30"/>
      <c r="DX1314" s="30"/>
      <c r="DY1314" s="30"/>
      <c r="DZ1314" s="30"/>
    </row>
    <row r="1315">
      <c r="A1315" s="30"/>
      <c r="B1315" s="42"/>
      <c r="C1315" s="43"/>
      <c r="D1315" s="30"/>
      <c r="E1315" s="28"/>
      <c r="F1315" s="30"/>
      <c r="G1315" s="30"/>
      <c r="H1315" s="30"/>
      <c r="I1315" s="30"/>
      <c r="J1315" s="28"/>
      <c r="K1315" s="30"/>
      <c r="L1315" s="30"/>
      <c r="M1315" s="30"/>
      <c r="N1315" s="30"/>
      <c r="O1315" s="28"/>
      <c r="P1315" s="30"/>
      <c r="Q1315" s="30"/>
      <c r="R1315" s="30"/>
      <c r="S1315" s="36"/>
      <c r="T1315" s="30"/>
      <c r="U1315" s="36"/>
      <c r="V1315" s="30"/>
      <c r="W1315" s="28"/>
      <c r="X1315" s="30"/>
      <c r="Y1315" s="30"/>
      <c r="Z1315" s="30"/>
      <c r="AA1315" s="30"/>
      <c r="AB1315" s="30"/>
      <c r="AC1315" s="28"/>
      <c r="AD1315" s="30"/>
      <c r="AE1315" s="30"/>
      <c r="AF1315" s="30"/>
      <c r="AG1315" s="29"/>
      <c r="AH1315" s="30"/>
      <c r="AI1315" s="36"/>
      <c r="AJ1315" s="30"/>
      <c r="AK1315" s="29"/>
      <c r="AL1315" s="30"/>
      <c r="AM1315" s="30"/>
      <c r="AN1315" s="30"/>
      <c r="AO1315" s="30"/>
      <c r="AP1315" s="30"/>
      <c r="AQ1315" s="38"/>
      <c r="AR1315" s="30"/>
      <c r="AS1315" s="30"/>
      <c r="AT1315" s="29"/>
      <c r="AU1315" s="30"/>
      <c r="AV1315" s="30"/>
      <c r="AW1315" s="30"/>
      <c r="AX1315" s="29"/>
      <c r="AY1315" s="39"/>
      <c r="AZ1315" s="30"/>
      <c r="BA1315" s="30"/>
      <c r="BB1315" s="29"/>
      <c r="BC1315" s="52"/>
      <c r="BD1315" s="30"/>
      <c r="BE1315" s="29"/>
      <c r="BF1315" s="30"/>
      <c r="BG1315" s="30"/>
      <c r="BH1315" s="30"/>
      <c r="BI1315" s="30"/>
      <c r="BJ1315" s="30"/>
      <c r="BK1315" s="30"/>
      <c r="BL1315" s="30"/>
      <c r="BM1315" s="30"/>
      <c r="BN1315" s="30"/>
      <c r="BO1315" s="30"/>
      <c r="BP1315" s="30"/>
      <c r="BQ1315" s="30"/>
      <c r="BR1315" s="30"/>
      <c r="BS1315" s="30"/>
      <c r="BT1315" s="30"/>
      <c r="BU1315" s="30"/>
      <c r="BV1315" s="30"/>
      <c r="BW1315" s="30"/>
      <c r="BX1315" s="30"/>
      <c r="BY1315" s="30"/>
      <c r="BZ1315" s="30"/>
      <c r="CA1315" s="30"/>
      <c r="CB1315" s="30"/>
      <c r="CC1315" s="30"/>
      <c r="CD1315" s="30"/>
      <c r="CE1315" s="30"/>
      <c r="CF1315" s="30"/>
      <c r="CG1315" s="30"/>
      <c r="CH1315" s="30"/>
      <c r="CI1315" s="30"/>
      <c r="CJ1315" s="30"/>
      <c r="CK1315" s="30"/>
      <c r="CL1315" s="30"/>
      <c r="CM1315" s="30"/>
      <c r="CN1315" s="30"/>
      <c r="CO1315" s="30"/>
      <c r="CP1315" s="30"/>
      <c r="CQ1315" s="30"/>
      <c r="CR1315" s="30"/>
      <c r="CS1315" s="30"/>
      <c r="CT1315" s="30"/>
      <c r="CU1315" s="30"/>
      <c r="CV1315" s="30"/>
      <c r="CW1315" s="30"/>
      <c r="CX1315" s="30"/>
      <c r="CY1315" s="30"/>
      <c r="CZ1315" s="30"/>
      <c r="DA1315" s="30"/>
      <c r="DB1315" s="30"/>
      <c r="DC1315" s="30"/>
      <c r="DD1315" s="30"/>
      <c r="DE1315" s="30"/>
      <c r="DF1315" s="30"/>
      <c r="DG1315" s="30"/>
      <c r="DH1315" s="30"/>
      <c r="DI1315" s="30"/>
      <c r="DJ1315" s="30"/>
      <c r="DK1315" s="30"/>
      <c r="DL1315" s="30"/>
      <c r="DM1315" s="30"/>
      <c r="DN1315" s="30"/>
      <c r="DO1315" s="30"/>
      <c r="DP1315" s="30"/>
      <c r="DQ1315" s="30"/>
      <c r="DR1315" s="30"/>
      <c r="DS1315" s="30"/>
      <c r="DT1315" s="30"/>
      <c r="DU1315" s="30"/>
      <c r="DV1315" s="30"/>
      <c r="DW1315" s="30"/>
      <c r="DX1315" s="30"/>
      <c r="DY1315" s="30"/>
      <c r="DZ1315" s="30"/>
    </row>
    <row r="1316">
      <c r="A1316" s="30"/>
      <c r="B1316" s="42"/>
      <c r="C1316" s="43"/>
      <c r="D1316" s="30"/>
      <c r="E1316" s="28"/>
      <c r="F1316" s="30"/>
      <c r="G1316" s="30"/>
      <c r="H1316" s="30"/>
      <c r="I1316" s="30"/>
      <c r="J1316" s="28"/>
      <c r="K1316" s="30"/>
      <c r="L1316" s="30"/>
      <c r="M1316" s="30"/>
      <c r="N1316" s="30"/>
      <c r="O1316" s="28"/>
      <c r="P1316" s="30"/>
      <c r="Q1316" s="30"/>
      <c r="R1316" s="30"/>
      <c r="S1316" s="36"/>
      <c r="T1316" s="30"/>
      <c r="U1316" s="36"/>
      <c r="V1316" s="30"/>
      <c r="W1316" s="28"/>
      <c r="X1316" s="30"/>
      <c r="Y1316" s="30"/>
      <c r="Z1316" s="30"/>
      <c r="AA1316" s="30"/>
      <c r="AB1316" s="30"/>
      <c r="AC1316" s="28"/>
      <c r="AD1316" s="30"/>
      <c r="AE1316" s="30"/>
      <c r="AF1316" s="30"/>
      <c r="AG1316" s="29"/>
      <c r="AH1316" s="30"/>
      <c r="AI1316" s="36"/>
      <c r="AJ1316" s="30"/>
      <c r="AK1316" s="29"/>
      <c r="AL1316" s="30"/>
      <c r="AM1316" s="30"/>
      <c r="AN1316" s="30"/>
      <c r="AO1316" s="30"/>
      <c r="AP1316" s="30"/>
      <c r="AQ1316" s="38"/>
      <c r="AR1316" s="30"/>
      <c r="AS1316" s="30"/>
      <c r="AT1316" s="29"/>
      <c r="AU1316" s="30"/>
      <c r="AV1316" s="30"/>
      <c r="AW1316" s="30"/>
      <c r="AX1316" s="29"/>
      <c r="AY1316" s="39"/>
      <c r="AZ1316" s="30"/>
      <c r="BA1316" s="30"/>
      <c r="BB1316" s="29"/>
      <c r="BC1316" s="52"/>
      <c r="BD1316" s="30"/>
      <c r="BE1316" s="29"/>
      <c r="BF1316" s="30"/>
      <c r="BG1316" s="30"/>
      <c r="BH1316" s="30"/>
      <c r="BI1316" s="30"/>
      <c r="BJ1316" s="30"/>
      <c r="BK1316" s="30"/>
      <c r="BL1316" s="30"/>
      <c r="BM1316" s="30"/>
      <c r="BN1316" s="30"/>
      <c r="BO1316" s="30"/>
      <c r="BP1316" s="30"/>
      <c r="BQ1316" s="30"/>
      <c r="BR1316" s="30"/>
      <c r="BS1316" s="30"/>
      <c r="BT1316" s="30"/>
      <c r="BU1316" s="30"/>
      <c r="BV1316" s="30"/>
      <c r="BW1316" s="30"/>
      <c r="BX1316" s="30"/>
      <c r="BY1316" s="30"/>
      <c r="BZ1316" s="30"/>
      <c r="CA1316" s="30"/>
      <c r="CB1316" s="30"/>
      <c r="CC1316" s="30"/>
      <c r="CD1316" s="30"/>
      <c r="CE1316" s="30"/>
      <c r="CF1316" s="30"/>
      <c r="CG1316" s="30"/>
      <c r="CH1316" s="30"/>
      <c r="CI1316" s="30"/>
      <c r="CJ1316" s="30"/>
      <c r="CK1316" s="30"/>
      <c r="CL1316" s="30"/>
      <c r="CM1316" s="30"/>
      <c r="CN1316" s="30"/>
      <c r="CO1316" s="30"/>
      <c r="CP1316" s="30"/>
      <c r="CQ1316" s="30"/>
      <c r="CR1316" s="30"/>
      <c r="CS1316" s="30"/>
      <c r="CT1316" s="30"/>
      <c r="CU1316" s="30"/>
      <c r="CV1316" s="30"/>
      <c r="CW1316" s="30"/>
      <c r="CX1316" s="30"/>
      <c r="CY1316" s="30"/>
      <c r="CZ1316" s="30"/>
      <c r="DA1316" s="30"/>
      <c r="DB1316" s="30"/>
      <c r="DC1316" s="30"/>
      <c r="DD1316" s="30"/>
      <c r="DE1316" s="30"/>
      <c r="DF1316" s="30"/>
      <c r="DG1316" s="30"/>
      <c r="DH1316" s="30"/>
      <c r="DI1316" s="30"/>
      <c r="DJ1316" s="30"/>
      <c r="DK1316" s="30"/>
      <c r="DL1316" s="30"/>
      <c r="DM1316" s="30"/>
      <c r="DN1316" s="30"/>
      <c r="DO1316" s="30"/>
      <c r="DP1316" s="30"/>
      <c r="DQ1316" s="30"/>
      <c r="DR1316" s="30"/>
      <c r="DS1316" s="30"/>
      <c r="DT1316" s="30"/>
      <c r="DU1316" s="30"/>
      <c r="DV1316" s="30"/>
      <c r="DW1316" s="30"/>
      <c r="DX1316" s="30"/>
      <c r="DY1316" s="30"/>
      <c r="DZ1316" s="30"/>
    </row>
    <row r="1317">
      <c r="A1317" s="30"/>
      <c r="B1317" s="42"/>
      <c r="C1317" s="43"/>
      <c r="D1317" s="30"/>
      <c r="E1317" s="28"/>
      <c r="F1317" s="30"/>
      <c r="G1317" s="30"/>
      <c r="H1317" s="30"/>
      <c r="I1317" s="30"/>
      <c r="J1317" s="28"/>
      <c r="K1317" s="30"/>
      <c r="L1317" s="30"/>
      <c r="M1317" s="30"/>
      <c r="N1317" s="30"/>
      <c r="O1317" s="28"/>
      <c r="P1317" s="30"/>
      <c r="Q1317" s="30"/>
      <c r="R1317" s="30"/>
      <c r="S1317" s="36"/>
      <c r="T1317" s="30"/>
      <c r="U1317" s="36"/>
      <c r="V1317" s="30"/>
      <c r="W1317" s="28"/>
      <c r="X1317" s="30"/>
      <c r="Y1317" s="30"/>
      <c r="Z1317" s="30"/>
      <c r="AA1317" s="30"/>
      <c r="AB1317" s="30"/>
      <c r="AC1317" s="28"/>
      <c r="AD1317" s="30"/>
      <c r="AE1317" s="30"/>
      <c r="AF1317" s="30"/>
      <c r="AG1317" s="29"/>
      <c r="AH1317" s="30"/>
      <c r="AI1317" s="36"/>
      <c r="AJ1317" s="30"/>
      <c r="AK1317" s="29"/>
      <c r="AL1317" s="30"/>
      <c r="AM1317" s="30"/>
      <c r="AN1317" s="30"/>
      <c r="AO1317" s="30"/>
      <c r="AP1317" s="30"/>
      <c r="AQ1317" s="38"/>
      <c r="AR1317" s="30"/>
      <c r="AS1317" s="30"/>
      <c r="AT1317" s="29"/>
      <c r="AU1317" s="30"/>
      <c r="AV1317" s="30"/>
      <c r="AW1317" s="30"/>
      <c r="AX1317" s="29"/>
      <c r="AY1317" s="39"/>
      <c r="AZ1317" s="30"/>
      <c r="BA1317" s="30"/>
      <c r="BB1317" s="29"/>
      <c r="BC1317" s="52"/>
      <c r="BD1317" s="30"/>
      <c r="BE1317" s="29"/>
      <c r="BF1317" s="30"/>
      <c r="BG1317" s="30"/>
      <c r="BH1317" s="30"/>
      <c r="BI1317" s="30"/>
      <c r="BJ1317" s="30"/>
      <c r="BK1317" s="30"/>
      <c r="BL1317" s="30"/>
      <c r="BM1317" s="30"/>
      <c r="BN1317" s="30"/>
      <c r="BO1317" s="30"/>
      <c r="BP1317" s="30"/>
      <c r="BQ1317" s="30"/>
      <c r="BR1317" s="30"/>
      <c r="BS1317" s="30"/>
      <c r="BT1317" s="30"/>
      <c r="BU1317" s="30"/>
      <c r="BV1317" s="30"/>
      <c r="BW1317" s="30"/>
      <c r="BX1317" s="30"/>
      <c r="BY1317" s="30"/>
      <c r="BZ1317" s="30"/>
      <c r="CA1317" s="30"/>
      <c r="CB1317" s="30"/>
      <c r="CC1317" s="30"/>
      <c r="CD1317" s="30"/>
      <c r="CE1317" s="30"/>
      <c r="CF1317" s="30"/>
      <c r="CG1317" s="30"/>
      <c r="CH1317" s="30"/>
      <c r="CI1317" s="30"/>
      <c r="CJ1317" s="30"/>
      <c r="CK1317" s="30"/>
      <c r="CL1317" s="30"/>
      <c r="CM1317" s="30"/>
      <c r="CN1317" s="30"/>
      <c r="CO1317" s="30"/>
      <c r="CP1317" s="30"/>
      <c r="CQ1317" s="30"/>
      <c r="CR1317" s="30"/>
      <c r="CS1317" s="30"/>
      <c r="CT1317" s="30"/>
      <c r="CU1317" s="30"/>
      <c r="CV1317" s="30"/>
      <c r="CW1317" s="30"/>
      <c r="CX1317" s="30"/>
      <c r="CY1317" s="30"/>
      <c r="CZ1317" s="30"/>
      <c r="DA1317" s="30"/>
      <c r="DB1317" s="30"/>
      <c r="DC1317" s="30"/>
      <c r="DD1317" s="30"/>
      <c r="DE1317" s="30"/>
      <c r="DF1317" s="30"/>
      <c r="DG1317" s="30"/>
      <c r="DH1317" s="30"/>
      <c r="DI1317" s="30"/>
      <c r="DJ1317" s="30"/>
      <c r="DK1317" s="30"/>
      <c r="DL1317" s="30"/>
      <c r="DM1317" s="30"/>
      <c r="DN1317" s="30"/>
      <c r="DO1317" s="30"/>
      <c r="DP1317" s="30"/>
      <c r="DQ1317" s="30"/>
      <c r="DR1317" s="30"/>
      <c r="DS1317" s="30"/>
      <c r="DT1317" s="30"/>
      <c r="DU1317" s="30"/>
      <c r="DV1317" s="30"/>
      <c r="DW1317" s="30"/>
      <c r="DX1317" s="30"/>
      <c r="DY1317" s="30"/>
      <c r="DZ1317" s="30"/>
    </row>
    <row r="1318">
      <c r="A1318" s="30"/>
      <c r="B1318" s="42"/>
      <c r="C1318" s="43"/>
      <c r="D1318" s="30"/>
      <c r="E1318" s="28"/>
      <c r="F1318" s="30"/>
      <c r="G1318" s="30"/>
      <c r="H1318" s="30"/>
      <c r="I1318" s="30"/>
      <c r="J1318" s="28"/>
      <c r="K1318" s="30"/>
      <c r="L1318" s="30"/>
      <c r="M1318" s="30"/>
      <c r="N1318" s="30"/>
      <c r="O1318" s="28"/>
      <c r="P1318" s="30"/>
      <c r="Q1318" s="30"/>
      <c r="R1318" s="30"/>
      <c r="S1318" s="36"/>
      <c r="T1318" s="30"/>
      <c r="U1318" s="36"/>
      <c r="V1318" s="30"/>
      <c r="W1318" s="28"/>
      <c r="X1318" s="30"/>
      <c r="Y1318" s="30"/>
      <c r="Z1318" s="30"/>
      <c r="AA1318" s="30"/>
      <c r="AB1318" s="30"/>
      <c r="AC1318" s="28"/>
      <c r="AD1318" s="30"/>
      <c r="AE1318" s="30"/>
      <c r="AF1318" s="30"/>
      <c r="AG1318" s="29"/>
      <c r="AH1318" s="30"/>
      <c r="AI1318" s="36"/>
      <c r="AJ1318" s="30"/>
      <c r="AK1318" s="29"/>
      <c r="AL1318" s="30"/>
      <c r="AM1318" s="30"/>
      <c r="AN1318" s="30"/>
      <c r="AO1318" s="30"/>
      <c r="AP1318" s="30"/>
      <c r="AQ1318" s="38"/>
      <c r="AR1318" s="30"/>
      <c r="AS1318" s="30"/>
      <c r="AT1318" s="29"/>
      <c r="AU1318" s="30"/>
      <c r="AV1318" s="30"/>
      <c r="AW1318" s="30"/>
      <c r="AX1318" s="29"/>
      <c r="AY1318" s="39"/>
      <c r="AZ1318" s="30"/>
      <c r="BA1318" s="30"/>
      <c r="BB1318" s="29"/>
      <c r="BC1318" s="52"/>
      <c r="BD1318" s="30"/>
      <c r="BE1318" s="29"/>
      <c r="BF1318" s="30"/>
      <c r="BG1318" s="30"/>
      <c r="BH1318" s="30"/>
      <c r="BI1318" s="30"/>
      <c r="BJ1318" s="30"/>
      <c r="BK1318" s="30"/>
      <c r="BL1318" s="30"/>
      <c r="BM1318" s="30"/>
      <c r="BN1318" s="30"/>
      <c r="BO1318" s="30"/>
      <c r="BP1318" s="30"/>
      <c r="BQ1318" s="30"/>
      <c r="BR1318" s="30"/>
      <c r="BS1318" s="30"/>
      <c r="BT1318" s="30"/>
      <c r="BU1318" s="30"/>
      <c r="BV1318" s="30"/>
      <c r="BW1318" s="30"/>
      <c r="BX1318" s="30"/>
      <c r="BY1318" s="30"/>
      <c r="BZ1318" s="30"/>
      <c r="CA1318" s="30"/>
      <c r="CB1318" s="30"/>
      <c r="CC1318" s="30"/>
      <c r="CD1318" s="30"/>
      <c r="CE1318" s="30"/>
      <c r="CF1318" s="30"/>
      <c r="CG1318" s="30"/>
      <c r="CH1318" s="30"/>
      <c r="CI1318" s="30"/>
      <c r="CJ1318" s="30"/>
      <c r="CK1318" s="30"/>
      <c r="CL1318" s="30"/>
      <c r="CM1318" s="30"/>
      <c r="CN1318" s="30"/>
      <c r="CO1318" s="30"/>
      <c r="CP1318" s="30"/>
      <c r="CQ1318" s="30"/>
      <c r="CR1318" s="30"/>
      <c r="CS1318" s="30"/>
      <c r="CT1318" s="30"/>
      <c r="CU1318" s="30"/>
      <c r="CV1318" s="30"/>
      <c r="CW1318" s="30"/>
      <c r="CX1318" s="30"/>
      <c r="CY1318" s="30"/>
      <c r="CZ1318" s="30"/>
      <c r="DA1318" s="30"/>
      <c r="DB1318" s="30"/>
      <c r="DC1318" s="30"/>
      <c r="DD1318" s="30"/>
      <c r="DE1318" s="30"/>
      <c r="DF1318" s="30"/>
      <c r="DG1318" s="30"/>
      <c r="DH1318" s="30"/>
      <c r="DI1318" s="30"/>
      <c r="DJ1318" s="30"/>
      <c r="DK1318" s="30"/>
      <c r="DL1318" s="30"/>
      <c r="DM1318" s="30"/>
      <c r="DN1318" s="30"/>
      <c r="DO1318" s="30"/>
      <c r="DP1318" s="30"/>
      <c r="DQ1318" s="30"/>
      <c r="DR1318" s="30"/>
      <c r="DS1318" s="30"/>
      <c r="DT1318" s="30"/>
      <c r="DU1318" s="30"/>
      <c r="DV1318" s="30"/>
      <c r="DW1318" s="30"/>
      <c r="DX1318" s="30"/>
      <c r="DY1318" s="30"/>
      <c r="DZ1318" s="30"/>
    </row>
    <row r="1319">
      <c r="A1319" s="30"/>
      <c r="B1319" s="42"/>
      <c r="C1319" s="43"/>
      <c r="D1319" s="30"/>
      <c r="E1319" s="28"/>
      <c r="F1319" s="30"/>
      <c r="G1319" s="30"/>
      <c r="H1319" s="30"/>
      <c r="I1319" s="30"/>
      <c r="J1319" s="28"/>
      <c r="K1319" s="30"/>
      <c r="L1319" s="30"/>
      <c r="M1319" s="30"/>
      <c r="N1319" s="30"/>
      <c r="O1319" s="28"/>
      <c r="P1319" s="30"/>
      <c r="Q1319" s="30"/>
      <c r="R1319" s="30"/>
      <c r="S1319" s="36"/>
      <c r="T1319" s="30"/>
      <c r="U1319" s="36"/>
      <c r="V1319" s="30"/>
      <c r="W1319" s="28"/>
      <c r="X1319" s="30"/>
      <c r="Y1319" s="30"/>
      <c r="Z1319" s="30"/>
      <c r="AA1319" s="30"/>
      <c r="AB1319" s="30"/>
      <c r="AC1319" s="28"/>
      <c r="AD1319" s="30"/>
      <c r="AE1319" s="30"/>
      <c r="AF1319" s="30"/>
      <c r="AG1319" s="29"/>
      <c r="AH1319" s="30"/>
      <c r="AI1319" s="36"/>
      <c r="AJ1319" s="30"/>
      <c r="AK1319" s="29"/>
      <c r="AL1319" s="30"/>
      <c r="AM1319" s="30"/>
      <c r="AN1319" s="30"/>
      <c r="AO1319" s="30"/>
      <c r="AP1319" s="30"/>
      <c r="AQ1319" s="38"/>
      <c r="AR1319" s="30"/>
      <c r="AS1319" s="30"/>
      <c r="AT1319" s="29"/>
      <c r="AU1319" s="30"/>
      <c r="AV1319" s="30"/>
      <c r="AW1319" s="30"/>
      <c r="AX1319" s="29"/>
      <c r="AY1319" s="39"/>
      <c r="AZ1319" s="30"/>
      <c r="BA1319" s="30"/>
      <c r="BB1319" s="29"/>
      <c r="BC1319" s="52"/>
      <c r="BD1319" s="30"/>
      <c r="BE1319" s="29"/>
      <c r="BF1319" s="30"/>
      <c r="BG1319" s="30"/>
      <c r="BH1319" s="30"/>
      <c r="BI1319" s="30"/>
      <c r="BJ1319" s="30"/>
      <c r="BK1319" s="30"/>
      <c r="BL1319" s="30"/>
      <c r="BM1319" s="30"/>
      <c r="BN1319" s="30"/>
      <c r="BO1319" s="30"/>
      <c r="BP1319" s="30"/>
      <c r="BQ1319" s="30"/>
      <c r="BR1319" s="30"/>
      <c r="BS1319" s="30"/>
      <c r="BT1319" s="30"/>
      <c r="BU1319" s="30"/>
      <c r="BV1319" s="30"/>
      <c r="BW1319" s="30"/>
      <c r="BX1319" s="30"/>
      <c r="BY1319" s="30"/>
      <c r="BZ1319" s="30"/>
      <c r="CA1319" s="30"/>
      <c r="CB1319" s="30"/>
      <c r="CC1319" s="30"/>
      <c r="CD1319" s="30"/>
      <c r="CE1319" s="30"/>
      <c r="CF1319" s="30"/>
      <c r="CG1319" s="30"/>
      <c r="CH1319" s="30"/>
      <c r="CI1319" s="30"/>
      <c r="CJ1319" s="30"/>
      <c r="CK1319" s="30"/>
      <c r="CL1319" s="30"/>
      <c r="CM1319" s="30"/>
      <c r="CN1319" s="30"/>
      <c r="CO1319" s="30"/>
      <c r="CP1319" s="30"/>
      <c r="CQ1319" s="30"/>
      <c r="CR1319" s="30"/>
      <c r="CS1319" s="30"/>
      <c r="CT1319" s="30"/>
      <c r="CU1319" s="30"/>
      <c r="CV1319" s="30"/>
      <c r="CW1319" s="30"/>
      <c r="CX1319" s="30"/>
      <c r="CY1319" s="30"/>
      <c r="CZ1319" s="30"/>
      <c r="DA1319" s="30"/>
      <c r="DB1319" s="30"/>
      <c r="DC1319" s="30"/>
      <c r="DD1319" s="30"/>
      <c r="DE1319" s="30"/>
      <c r="DF1319" s="30"/>
      <c r="DG1319" s="30"/>
      <c r="DH1319" s="30"/>
      <c r="DI1319" s="30"/>
      <c r="DJ1319" s="30"/>
      <c r="DK1319" s="30"/>
      <c r="DL1319" s="30"/>
      <c r="DM1319" s="30"/>
      <c r="DN1319" s="30"/>
      <c r="DO1319" s="30"/>
      <c r="DP1319" s="30"/>
      <c r="DQ1319" s="30"/>
      <c r="DR1319" s="30"/>
      <c r="DS1319" s="30"/>
      <c r="DT1319" s="30"/>
      <c r="DU1319" s="30"/>
      <c r="DV1319" s="30"/>
      <c r="DW1319" s="30"/>
      <c r="DX1319" s="30"/>
      <c r="DY1319" s="30"/>
      <c r="DZ1319" s="30"/>
    </row>
    <row r="1320">
      <c r="A1320" s="30"/>
      <c r="B1320" s="42"/>
      <c r="C1320" s="43"/>
      <c r="D1320" s="30"/>
      <c r="E1320" s="28"/>
      <c r="F1320" s="30"/>
      <c r="G1320" s="30"/>
      <c r="H1320" s="30"/>
      <c r="I1320" s="30"/>
      <c r="J1320" s="28"/>
      <c r="K1320" s="30"/>
      <c r="L1320" s="30"/>
      <c r="M1320" s="30"/>
      <c r="N1320" s="30"/>
      <c r="O1320" s="28"/>
      <c r="P1320" s="30"/>
      <c r="Q1320" s="30"/>
      <c r="R1320" s="30"/>
      <c r="S1320" s="36"/>
      <c r="T1320" s="30"/>
      <c r="U1320" s="36"/>
      <c r="V1320" s="30"/>
      <c r="W1320" s="28"/>
      <c r="X1320" s="30"/>
      <c r="Y1320" s="30"/>
      <c r="Z1320" s="30"/>
      <c r="AA1320" s="30"/>
      <c r="AB1320" s="30"/>
      <c r="AC1320" s="28"/>
      <c r="AD1320" s="30"/>
      <c r="AE1320" s="30"/>
      <c r="AF1320" s="30"/>
      <c r="AG1320" s="29"/>
      <c r="AH1320" s="30"/>
      <c r="AI1320" s="36"/>
      <c r="AJ1320" s="30"/>
      <c r="AK1320" s="29"/>
      <c r="AL1320" s="30"/>
      <c r="AM1320" s="30"/>
      <c r="AN1320" s="30"/>
      <c r="AO1320" s="30"/>
      <c r="AP1320" s="30"/>
      <c r="AQ1320" s="38"/>
      <c r="AR1320" s="30"/>
      <c r="AS1320" s="30"/>
      <c r="AT1320" s="29"/>
      <c r="AU1320" s="30"/>
      <c r="AV1320" s="30"/>
      <c r="AW1320" s="30"/>
      <c r="AX1320" s="29"/>
      <c r="AY1320" s="39"/>
      <c r="AZ1320" s="30"/>
      <c r="BA1320" s="30"/>
      <c r="BB1320" s="29"/>
      <c r="BC1320" s="52"/>
      <c r="BD1320" s="30"/>
      <c r="BE1320" s="29"/>
      <c r="BF1320" s="30"/>
      <c r="BG1320" s="30"/>
      <c r="BH1320" s="30"/>
      <c r="BI1320" s="30"/>
      <c r="BJ1320" s="30"/>
      <c r="BK1320" s="30"/>
      <c r="BL1320" s="30"/>
      <c r="BM1320" s="30"/>
      <c r="BN1320" s="30"/>
      <c r="BO1320" s="30"/>
      <c r="BP1320" s="30"/>
      <c r="BQ1320" s="30"/>
      <c r="BR1320" s="30"/>
      <c r="BS1320" s="30"/>
      <c r="BT1320" s="30"/>
      <c r="BU1320" s="30"/>
      <c r="BV1320" s="30"/>
      <c r="BW1320" s="30"/>
      <c r="BX1320" s="30"/>
      <c r="BY1320" s="30"/>
      <c r="BZ1320" s="30"/>
      <c r="CA1320" s="30"/>
      <c r="CB1320" s="30"/>
      <c r="CC1320" s="30"/>
      <c r="CD1320" s="30"/>
      <c r="CE1320" s="30"/>
      <c r="CF1320" s="30"/>
      <c r="CG1320" s="30"/>
      <c r="CH1320" s="30"/>
      <c r="CI1320" s="30"/>
      <c r="CJ1320" s="30"/>
      <c r="CK1320" s="30"/>
      <c r="CL1320" s="30"/>
      <c r="CM1320" s="30"/>
      <c r="CN1320" s="30"/>
      <c r="CO1320" s="30"/>
      <c r="CP1320" s="30"/>
      <c r="CQ1320" s="30"/>
      <c r="CR1320" s="30"/>
      <c r="CS1320" s="30"/>
      <c r="CT1320" s="30"/>
      <c r="CU1320" s="30"/>
      <c r="CV1320" s="30"/>
      <c r="CW1320" s="30"/>
      <c r="CX1320" s="30"/>
      <c r="CY1320" s="30"/>
      <c r="CZ1320" s="30"/>
      <c r="DA1320" s="30"/>
      <c r="DB1320" s="30"/>
      <c r="DC1320" s="30"/>
      <c r="DD1320" s="30"/>
      <c r="DE1320" s="30"/>
      <c r="DF1320" s="30"/>
      <c r="DG1320" s="30"/>
      <c r="DH1320" s="30"/>
      <c r="DI1320" s="30"/>
      <c r="DJ1320" s="30"/>
      <c r="DK1320" s="30"/>
      <c r="DL1320" s="30"/>
      <c r="DM1320" s="30"/>
      <c r="DN1320" s="30"/>
      <c r="DO1320" s="30"/>
      <c r="DP1320" s="30"/>
      <c r="DQ1320" s="30"/>
      <c r="DR1320" s="30"/>
      <c r="DS1320" s="30"/>
      <c r="DT1320" s="30"/>
      <c r="DU1320" s="30"/>
      <c r="DV1320" s="30"/>
      <c r="DW1320" s="30"/>
      <c r="DX1320" s="30"/>
      <c r="DY1320" s="30"/>
      <c r="DZ1320" s="30"/>
    </row>
    <row r="1321">
      <c r="A1321" s="30"/>
      <c r="B1321" s="42"/>
      <c r="C1321" s="43"/>
      <c r="D1321" s="30"/>
      <c r="E1321" s="28"/>
      <c r="F1321" s="30"/>
      <c r="G1321" s="30"/>
      <c r="H1321" s="30"/>
      <c r="I1321" s="30"/>
      <c r="J1321" s="28"/>
      <c r="K1321" s="30"/>
      <c r="L1321" s="30"/>
      <c r="M1321" s="30"/>
      <c r="N1321" s="30"/>
      <c r="O1321" s="28"/>
      <c r="P1321" s="30"/>
      <c r="Q1321" s="30"/>
      <c r="R1321" s="30"/>
      <c r="S1321" s="36"/>
      <c r="T1321" s="30"/>
      <c r="U1321" s="36"/>
      <c r="V1321" s="30"/>
      <c r="W1321" s="28"/>
      <c r="X1321" s="30"/>
      <c r="Y1321" s="30"/>
      <c r="Z1321" s="30"/>
      <c r="AA1321" s="30"/>
      <c r="AB1321" s="30"/>
      <c r="AC1321" s="28"/>
      <c r="AD1321" s="30"/>
      <c r="AE1321" s="30"/>
      <c r="AF1321" s="30"/>
      <c r="AG1321" s="29"/>
      <c r="AH1321" s="30"/>
      <c r="AI1321" s="36"/>
      <c r="AJ1321" s="30"/>
      <c r="AK1321" s="29"/>
      <c r="AL1321" s="30"/>
      <c r="AM1321" s="30"/>
      <c r="AN1321" s="30"/>
      <c r="AO1321" s="30"/>
      <c r="AP1321" s="30"/>
      <c r="AQ1321" s="38"/>
      <c r="AR1321" s="30"/>
      <c r="AS1321" s="30"/>
      <c r="AT1321" s="29"/>
      <c r="AU1321" s="30"/>
      <c r="AV1321" s="30"/>
      <c r="AW1321" s="30"/>
      <c r="AX1321" s="29"/>
      <c r="AY1321" s="39"/>
      <c r="AZ1321" s="30"/>
      <c r="BA1321" s="30"/>
      <c r="BB1321" s="29"/>
      <c r="BC1321" s="52"/>
      <c r="BD1321" s="30"/>
      <c r="BE1321" s="29"/>
      <c r="BF1321" s="30"/>
      <c r="BG1321" s="30"/>
      <c r="BH1321" s="30"/>
      <c r="BI1321" s="30"/>
      <c r="BJ1321" s="30"/>
      <c r="BK1321" s="30"/>
      <c r="BL1321" s="30"/>
      <c r="BM1321" s="30"/>
      <c r="BN1321" s="30"/>
      <c r="BO1321" s="30"/>
      <c r="BP1321" s="30"/>
      <c r="BQ1321" s="30"/>
      <c r="BR1321" s="30"/>
      <c r="BS1321" s="30"/>
      <c r="BT1321" s="30"/>
      <c r="BU1321" s="30"/>
      <c r="BV1321" s="30"/>
      <c r="BW1321" s="30"/>
      <c r="BX1321" s="30"/>
      <c r="BY1321" s="30"/>
      <c r="BZ1321" s="30"/>
      <c r="CA1321" s="30"/>
      <c r="CB1321" s="30"/>
      <c r="CC1321" s="30"/>
      <c r="CD1321" s="30"/>
      <c r="CE1321" s="30"/>
      <c r="CF1321" s="30"/>
      <c r="CG1321" s="30"/>
      <c r="CH1321" s="30"/>
      <c r="CI1321" s="30"/>
      <c r="CJ1321" s="30"/>
      <c r="CK1321" s="30"/>
      <c r="CL1321" s="30"/>
      <c r="CM1321" s="30"/>
      <c r="CN1321" s="30"/>
      <c r="CO1321" s="30"/>
      <c r="CP1321" s="30"/>
      <c r="CQ1321" s="30"/>
      <c r="CR1321" s="30"/>
      <c r="CS1321" s="30"/>
      <c r="CT1321" s="30"/>
      <c r="CU1321" s="30"/>
      <c r="CV1321" s="30"/>
      <c r="CW1321" s="30"/>
      <c r="CX1321" s="30"/>
      <c r="CY1321" s="30"/>
      <c r="CZ1321" s="30"/>
      <c r="DA1321" s="30"/>
      <c r="DB1321" s="30"/>
      <c r="DC1321" s="30"/>
      <c r="DD1321" s="30"/>
      <c r="DE1321" s="30"/>
      <c r="DF1321" s="30"/>
      <c r="DG1321" s="30"/>
      <c r="DH1321" s="30"/>
      <c r="DI1321" s="30"/>
      <c r="DJ1321" s="30"/>
      <c r="DK1321" s="30"/>
      <c r="DL1321" s="30"/>
      <c r="DM1321" s="30"/>
      <c r="DN1321" s="30"/>
      <c r="DO1321" s="30"/>
      <c r="DP1321" s="30"/>
      <c r="DQ1321" s="30"/>
      <c r="DR1321" s="30"/>
      <c r="DS1321" s="30"/>
      <c r="DT1321" s="30"/>
      <c r="DU1321" s="30"/>
      <c r="DV1321" s="30"/>
      <c r="DW1321" s="30"/>
      <c r="DX1321" s="30"/>
      <c r="DY1321" s="30"/>
      <c r="DZ1321" s="30"/>
    </row>
    <row r="1322">
      <c r="A1322" s="30"/>
      <c r="B1322" s="42"/>
      <c r="C1322" s="43"/>
      <c r="D1322" s="30"/>
      <c r="E1322" s="28"/>
      <c r="F1322" s="30"/>
      <c r="G1322" s="30"/>
      <c r="H1322" s="30"/>
      <c r="I1322" s="30"/>
      <c r="J1322" s="28"/>
      <c r="K1322" s="30"/>
      <c r="L1322" s="30"/>
      <c r="M1322" s="30"/>
      <c r="N1322" s="30"/>
      <c r="O1322" s="28"/>
      <c r="P1322" s="30"/>
      <c r="Q1322" s="30"/>
      <c r="R1322" s="30"/>
      <c r="S1322" s="36"/>
      <c r="T1322" s="30"/>
      <c r="U1322" s="36"/>
      <c r="V1322" s="30"/>
      <c r="W1322" s="28"/>
      <c r="X1322" s="30"/>
      <c r="Y1322" s="30"/>
      <c r="Z1322" s="30"/>
      <c r="AA1322" s="30"/>
      <c r="AB1322" s="30"/>
      <c r="AC1322" s="28"/>
      <c r="AD1322" s="30"/>
      <c r="AE1322" s="30"/>
      <c r="AF1322" s="30"/>
      <c r="AG1322" s="29"/>
      <c r="AH1322" s="30"/>
      <c r="AI1322" s="36"/>
      <c r="AJ1322" s="30"/>
      <c r="AK1322" s="29"/>
      <c r="AL1322" s="30"/>
      <c r="AM1322" s="30"/>
      <c r="AN1322" s="30"/>
      <c r="AO1322" s="30"/>
      <c r="AP1322" s="30"/>
      <c r="AQ1322" s="38"/>
      <c r="AR1322" s="30"/>
      <c r="AS1322" s="30"/>
      <c r="AT1322" s="29"/>
      <c r="AU1322" s="30"/>
      <c r="AV1322" s="30"/>
      <c r="AW1322" s="30"/>
      <c r="AX1322" s="29"/>
      <c r="AY1322" s="39"/>
      <c r="AZ1322" s="30"/>
      <c r="BA1322" s="30"/>
      <c r="BB1322" s="29"/>
      <c r="BC1322" s="52"/>
      <c r="BD1322" s="30"/>
      <c r="BE1322" s="29"/>
      <c r="BF1322" s="30"/>
      <c r="BG1322" s="30"/>
      <c r="BH1322" s="30"/>
      <c r="BI1322" s="30"/>
      <c r="BJ1322" s="30"/>
      <c r="BK1322" s="30"/>
      <c r="BL1322" s="30"/>
      <c r="BM1322" s="30"/>
      <c r="BN1322" s="30"/>
      <c r="BO1322" s="30"/>
      <c r="BP1322" s="30"/>
      <c r="BQ1322" s="30"/>
      <c r="BR1322" s="30"/>
      <c r="BS1322" s="30"/>
      <c r="BT1322" s="30"/>
      <c r="BU1322" s="30"/>
      <c r="BV1322" s="30"/>
      <c r="BW1322" s="30"/>
      <c r="BX1322" s="30"/>
      <c r="BY1322" s="30"/>
      <c r="BZ1322" s="30"/>
      <c r="CA1322" s="30"/>
      <c r="CB1322" s="30"/>
      <c r="CC1322" s="30"/>
      <c r="CD1322" s="30"/>
      <c r="CE1322" s="30"/>
      <c r="CF1322" s="30"/>
      <c r="CG1322" s="30"/>
      <c r="CH1322" s="30"/>
      <c r="CI1322" s="30"/>
      <c r="CJ1322" s="30"/>
      <c r="CK1322" s="30"/>
      <c r="CL1322" s="30"/>
      <c r="CM1322" s="30"/>
      <c r="CN1322" s="30"/>
      <c r="CO1322" s="30"/>
      <c r="CP1322" s="30"/>
      <c r="CQ1322" s="30"/>
      <c r="CR1322" s="30"/>
      <c r="CS1322" s="30"/>
      <c r="CT1322" s="30"/>
      <c r="CU1322" s="30"/>
      <c r="CV1322" s="30"/>
      <c r="CW1322" s="30"/>
      <c r="CX1322" s="30"/>
      <c r="CY1322" s="30"/>
      <c r="CZ1322" s="30"/>
      <c r="DA1322" s="30"/>
      <c r="DB1322" s="30"/>
      <c r="DC1322" s="30"/>
      <c r="DD1322" s="30"/>
      <c r="DE1322" s="30"/>
      <c r="DF1322" s="30"/>
      <c r="DG1322" s="30"/>
      <c r="DH1322" s="30"/>
      <c r="DI1322" s="30"/>
      <c r="DJ1322" s="30"/>
      <c r="DK1322" s="30"/>
      <c r="DL1322" s="30"/>
      <c r="DM1322" s="30"/>
      <c r="DN1322" s="30"/>
      <c r="DO1322" s="30"/>
      <c r="DP1322" s="30"/>
      <c r="DQ1322" s="30"/>
      <c r="DR1322" s="30"/>
      <c r="DS1322" s="30"/>
      <c r="DT1322" s="30"/>
      <c r="DU1322" s="30"/>
      <c r="DV1322" s="30"/>
      <c r="DW1322" s="30"/>
      <c r="DX1322" s="30"/>
      <c r="DY1322" s="30"/>
      <c r="DZ1322" s="30"/>
    </row>
    <row r="1323">
      <c r="A1323" s="30"/>
      <c r="B1323" s="42"/>
      <c r="C1323" s="43"/>
      <c r="D1323" s="30"/>
      <c r="E1323" s="28"/>
      <c r="F1323" s="30"/>
      <c r="G1323" s="30"/>
      <c r="H1323" s="30"/>
      <c r="I1323" s="30"/>
      <c r="J1323" s="28"/>
      <c r="K1323" s="30"/>
      <c r="L1323" s="30"/>
      <c r="M1323" s="30"/>
      <c r="N1323" s="30"/>
      <c r="O1323" s="28"/>
      <c r="P1323" s="30"/>
      <c r="Q1323" s="30"/>
      <c r="R1323" s="30"/>
      <c r="S1323" s="36"/>
      <c r="T1323" s="30"/>
      <c r="U1323" s="36"/>
      <c r="V1323" s="30"/>
      <c r="W1323" s="28"/>
      <c r="X1323" s="30"/>
      <c r="Y1323" s="30"/>
      <c r="Z1323" s="30"/>
      <c r="AA1323" s="30"/>
      <c r="AB1323" s="30"/>
      <c r="AC1323" s="28"/>
      <c r="AD1323" s="30"/>
      <c r="AE1323" s="30"/>
      <c r="AF1323" s="30"/>
      <c r="AG1323" s="29"/>
      <c r="AH1323" s="30"/>
      <c r="AI1323" s="36"/>
      <c r="AJ1323" s="30"/>
      <c r="AK1323" s="29"/>
      <c r="AL1323" s="30"/>
      <c r="AM1323" s="30"/>
      <c r="AN1323" s="30"/>
      <c r="AO1323" s="30"/>
      <c r="AP1323" s="30"/>
      <c r="AQ1323" s="38"/>
      <c r="AR1323" s="30"/>
      <c r="AS1323" s="30"/>
      <c r="AT1323" s="29"/>
      <c r="AU1323" s="30"/>
      <c r="AV1323" s="30"/>
      <c r="AW1323" s="30"/>
      <c r="AX1323" s="29"/>
      <c r="AY1323" s="39"/>
      <c r="AZ1323" s="30"/>
      <c r="BA1323" s="30"/>
      <c r="BB1323" s="29"/>
      <c r="BC1323" s="52"/>
      <c r="BD1323" s="30"/>
      <c r="BE1323" s="29"/>
      <c r="BF1323" s="30"/>
      <c r="BG1323" s="30"/>
      <c r="BH1323" s="30"/>
      <c r="BI1323" s="30"/>
      <c r="BJ1323" s="30"/>
      <c r="BK1323" s="30"/>
      <c r="BL1323" s="30"/>
      <c r="BM1323" s="30"/>
      <c r="BN1323" s="30"/>
      <c r="BO1323" s="30"/>
      <c r="BP1323" s="30"/>
      <c r="BQ1323" s="30"/>
      <c r="BR1323" s="30"/>
      <c r="BS1323" s="30"/>
      <c r="BT1323" s="30"/>
      <c r="BU1323" s="30"/>
      <c r="BV1323" s="30"/>
      <c r="BW1323" s="30"/>
      <c r="BX1323" s="30"/>
      <c r="BY1323" s="30"/>
      <c r="BZ1323" s="30"/>
      <c r="CA1323" s="30"/>
      <c r="CB1323" s="30"/>
      <c r="CC1323" s="30"/>
      <c r="CD1323" s="30"/>
      <c r="CE1323" s="30"/>
      <c r="CF1323" s="30"/>
      <c r="CG1323" s="30"/>
      <c r="CH1323" s="30"/>
      <c r="CI1323" s="30"/>
      <c r="CJ1323" s="30"/>
      <c r="CK1323" s="30"/>
      <c r="CL1323" s="30"/>
      <c r="CM1323" s="30"/>
      <c r="CN1323" s="30"/>
      <c r="CO1323" s="30"/>
      <c r="CP1323" s="30"/>
      <c r="CQ1323" s="30"/>
      <c r="CR1323" s="30"/>
      <c r="CS1323" s="30"/>
      <c r="CT1323" s="30"/>
      <c r="CU1323" s="30"/>
      <c r="CV1323" s="30"/>
      <c r="CW1323" s="30"/>
      <c r="CX1323" s="30"/>
      <c r="CY1323" s="30"/>
      <c r="CZ1323" s="30"/>
      <c r="DA1323" s="30"/>
      <c r="DB1323" s="30"/>
      <c r="DC1323" s="30"/>
      <c r="DD1323" s="30"/>
      <c r="DE1323" s="30"/>
      <c r="DF1323" s="30"/>
      <c r="DG1323" s="30"/>
      <c r="DH1323" s="30"/>
      <c r="DI1323" s="30"/>
      <c r="DJ1323" s="30"/>
      <c r="DK1323" s="30"/>
      <c r="DL1323" s="30"/>
      <c r="DM1323" s="30"/>
      <c r="DN1323" s="30"/>
      <c r="DO1323" s="30"/>
      <c r="DP1323" s="30"/>
      <c r="DQ1323" s="30"/>
      <c r="DR1323" s="30"/>
      <c r="DS1323" s="30"/>
      <c r="DT1323" s="30"/>
      <c r="DU1323" s="30"/>
      <c r="DV1323" s="30"/>
      <c r="DW1323" s="30"/>
      <c r="DX1323" s="30"/>
      <c r="DY1323" s="30"/>
      <c r="DZ1323" s="30"/>
    </row>
    <row r="1324">
      <c r="A1324" s="30"/>
      <c r="B1324" s="42"/>
      <c r="C1324" s="43"/>
      <c r="D1324" s="30"/>
      <c r="E1324" s="28"/>
      <c r="F1324" s="30"/>
      <c r="G1324" s="30"/>
      <c r="H1324" s="30"/>
      <c r="I1324" s="30"/>
      <c r="J1324" s="28"/>
      <c r="K1324" s="30"/>
      <c r="L1324" s="30"/>
      <c r="M1324" s="30"/>
      <c r="N1324" s="30"/>
      <c r="O1324" s="28"/>
      <c r="P1324" s="30"/>
      <c r="Q1324" s="30"/>
      <c r="R1324" s="30"/>
      <c r="S1324" s="36"/>
      <c r="T1324" s="30"/>
      <c r="U1324" s="36"/>
      <c r="V1324" s="30"/>
      <c r="W1324" s="28"/>
      <c r="X1324" s="30"/>
      <c r="Y1324" s="30"/>
      <c r="Z1324" s="30"/>
      <c r="AA1324" s="30"/>
      <c r="AB1324" s="30"/>
      <c r="AC1324" s="28"/>
      <c r="AD1324" s="30"/>
      <c r="AE1324" s="30"/>
      <c r="AF1324" s="30"/>
      <c r="AG1324" s="29"/>
      <c r="AH1324" s="30"/>
      <c r="AI1324" s="36"/>
      <c r="AJ1324" s="30"/>
      <c r="AK1324" s="29"/>
      <c r="AL1324" s="30"/>
      <c r="AM1324" s="30"/>
      <c r="AN1324" s="30"/>
      <c r="AO1324" s="30"/>
      <c r="AP1324" s="30"/>
      <c r="AQ1324" s="38"/>
      <c r="AR1324" s="30"/>
      <c r="AS1324" s="30"/>
      <c r="AT1324" s="29"/>
      <c r="AU1324" s="30"/>
      <c r="AV1324" s="30"/>
      <c r="AW1324" s="30"/>
      <c r="AX1324" s="29"/>
      <c r="AY1324" s="39"/>
      <c r="AZ1324" s="30"/>
      <c r="BA1324" s="30"/>
      <c r="BB1324" s="29"/>
      <c r="BC1324" s="52"/>
      <c r="BD1324" s="30"/>
      <c r="BE1324" s="29"/>
      <c r="BF1324" s="30"/>
      <c r="BG1324" s="30"/>
      <c r="BH1324" s="30"/>
      <c r="BI1324" s="30"/>
      <c r="BJ1324" s="30"/>
      <c r="BK1324" s="30"/>
      <c r="BL1324" s="30"/>
      <c r="BM1324" s="30"/>
      <c r="BN1324" s="30"/>
      <c r="BO1324" s="30"/>
      <c r="BP1324" s="30"/>
      <c r="BQ1324" s="30"/>
      <c r="BR1324" s="30"/>
      <c r="BS1324" s="30"/>
      <c r="BT1324" s="30"/>
      <c r="BU1324" s="30"/>
      <c r="BV1324" s="30"/>
      <c r="BW1324" s="30"/>
      <c r="BX1324" s="30"/>
      <c r="BY1324" s="30"/>
      <c r="BZ1324" s="30"/>
      <c r="CA1324" s="30"/>
      <c r="CB1324" s="30"/>
      <c r="CC1324" s="30"/>
      <c r="CD1324" s="30"/>
      <c r="CE1324" s="30"/>
      <c r="CF1324" s="30"/>
      <c r="CG1324" s="30"/>
      <c r="CH1324" s="30"/>
      <c r="CI1324" s="30"/>
      <c r="CJ1324" s="30"/>
      <c r="CK1324" s="30"/>
      <c r="CL1324" s="30"/>
      <c r="CM1324" s="30"/>
      <c r="CN1324" s="30"/>
      <c r="CO1324" s="30"/>
      <c r="CP1324" s="30"/>
      <c r="CQ1324" s="30"/>
      <c r="CR1324" s="30"/>
      <c r="CS1324" s="30"/>
      <c r="CT1324" s="30"/>
      <c r="CU1324" s="30"/>
      <c r="CV1324" s="30"/>
      <c r="CW1324" s="30"/>
      <c r="CX1324" s="30"/>
      <c r="CY1324" s="30"/>
      <c r="CZ1324" s="30"/>
      <c r="DA1324" s="30"/>
      <c r="DB1324" s="30"/>
      <c r="DC1324" s="30"/>
      <c r="DD1324" s="30"/>
      <c r="DE1324" s="30"/>
      <c r="DF1324" s="30"/>
      <c r="DG1324" s="30"/>
      <c r="DH1324" s="30"/>
      <c r="DI1324" s="30"/>
      <c r="DJ1324" s="30"/>
      <c r="DK1324" s="30"/>
      <c r="DL1324" s="30"/>
      <c r="DM1324" s="30"/>
      <c r="DN1324" s="30"/>
      <c r="DO1324" s="30"/>
      <c r="DP1324" s="30"/>
      <c r="DQ1324" s="30"/>
      <c r="DR1324" s="30"/>
      <c r="DS1324" s="30"/>
      <c r="DT1324" s="30"/>
      <c r="DU1324" s="30"/>
      <c r="DV1324" s="30"/>
      <c r="DW1324" s="30"/>
      <c r="DX1324" s="30"/>
      <c r="DY1324" s="30"/>
      <c r="DZ1324" s="30"/>
    </row>
    <row r="1325">
      <c r="A1325" s="30"/>
      <c r="B1325" s="42"/>
      <c r="C1325" s="43"/>
      <c r="D1325" s="30"/>
      <c r="E1325" s="28"/>
      <c r="F1325" s="30"/>
      <c r="G1325" s="30"/>
      <c r="H1325" s="30"/>
      <c r="I1325" s="30"/>
      <c r="J1325" s="28"/>
      <c r="K1325" s="30"/>
      <c r="L1325" s="30"/>
      <c r="M1325" s="30"/>
      <c r="N1325" s="30"/>
      <c r="O1325" s="28"/>
      <c r="P1325" s="30"/>
      <c r="Q1325" s="30"/>
      <c r="R1325" s="30"/>
      <c r="S1325" s="36"/>
      <c r="T1325" s="30"/>
      <c r="U1325" s="36"/>
      <c r="V1325" s="30"/>
      <c r="W1325" s="28"/>
      <c r="X1325" s="30"/>
      <c r="Y1325" s="30"/>
      <c r="Z1325" s="30"/>
      <c r="AA1325" s="30"/>
      <c r="AB1325" s="30"/>
      <c r="AC1325" s="28"/>
      <c r="AD1325" s="30"/>
      <c r="AE1325" s="30"/>
      <c r="AF1325" s="30"/>
      <c r="AG1325" s="29"/>
      <c r="AH1325" s="30"/>
      <c r="AI1325" s="36"/>
      <c r="AJ1325" s="30"/>
      <c r="AK1325" s="29"/>
      <c r="AL1325" s="30"/>
      <c r="AM1325" s="30"/>
      <c r="AN1325" s="30"/>
      <c r="AO1325" s="30"/>
      <c r="AP1325" s="30"/>
      <c r="AQ1325" s="38"/>
      <c r="AR1325" s="30"/>
      <c r="AS1325" s="30"/>
      <c r="AT1325" s="29"/>
      <c r="AU1325" s="30"/>
      <c r="AV1325" s="30"/>
      <c r="AW1325" s="30"/>
      <c r="AX1325" s="29"/>
      <c r="AY1325" s="39"/>
      <c r="AZ1325" s="30"/>
      <c r="BA1325" s="30"/>
      <c r="BB1325" s="29"/>
      <c r="BC1325" s="52"/>
      <c r="BD1325" s="30"/>
      <c r="BE1325" s="29"/>
      <c r="BF1325" s="30"/>
      <c r="BG1325" s="30"/>
      <c r="BH1325" s="30"/>
      <c r="BI1325" s="30"/>
      <c r="BJ1325" s="30"/>
      <c r="BK1325" s="30"/>
      <c r="BL1325" s="30"/>
      <c r="BM1325" s="30"/>
      <c r="BN1325" s="30"/>
      <c r="BO1325" s="30"/>
      <c r="BP1325" s="30"/>
      <c r="BQ1325" s="30"/>
      <c r="BR1325" s="30"/>
      <c r="BS1325" s="30"/>
      <c r="BT1325" s="30"/>
      <c r="BU1325" s="30"/>
      <c r="BV1325" s="30"/>
      <c r="BW1325" s="30"/>
      <c r="BX1325" s="30"/>
      <c r="BY1325" s="30"/>
      <c r="BZ1325" s="30"/>
      <c r="CA1325" s="30"/>
      <c r="CB1325" s="30"/>
      <c r="CC1325" s="30"/>
      <c r="CD1325" s="30"/>
      <c r="CE1325" s="30"/>
      <c r="CF1325" s="30"/>
      <c r="CG1325" s="30"/>
      <c r="CH1325" s="30"/>
      <c r="CI1325" s="30"/>
      <c r="CJ1325" s="30"/>
      <c r="CK1325" s="30"/>
      <c r="CL1325" s="30"/>
      <c r="CM1325" s="30"/>
      <c r="CN1325" s="30"/>
      <c r="CO1325" s="30"/>
      <c r="CP1325" s="30"/>
      <c r="CQ1325" s="30"/>
      <c r="CR1325" s="30"/>
      <c r="CS1325" s="30"/>
      <c r="CT1325" s="30"/>
      <c r="CU1325" s="30"/>
      <c r="CV1325" s="30"/>
      <c r="CW1325" s="30"/>
      <c r="CX1325" s="30"/>
      <c r="CY1325" s="30"/>
      <c r="CZ1325" s="30"/>
      <c r="DA1325" s="30"/>
      <c r="DB1325" s="30"/>
      <c r="DC1325" s="30"/>
      <c r="DD1325" s="30"/>
      <c r="DE1325" s="30"/>
      <c r="DF1325" s="30"/>
      <c r="DG1325" s="30"/>
      <c r="DH1325" s="30"/>
      <c r="DI1325" s="30"/>
      <c r="DJ1325" s="30"/>
      <c r="DK1325" s="30"/>
      <c r="DL1325" s="30"/>
      <c r="DM1325" s="30"/>
      <c r="DN1325" s="30"/>
      <c r="DO1325" s="30"/>
      <c r="DP1325" s="30"/>
      <c r="DQ1325" s="30"/>
      <c r="DR1325" s="30"/>
      <c r="DS1325" s="30"/>
      <c r="DT1325" s="30"/>
      <c r="DU1325" s="30"/>
      <c r="DV1325" s="30"/>
      <c r="DW1325" s="30"/>
      <c r="DX1325" s="30"/>
      <c r="DY1325" s="30"/>
      <c r="DZ1325" s="30"/>
    </row>
    <row r="1326">
      <c r="A1326" s="30"/>
      <c r="B1326" s="42"/>
      <c r="C1326" s="43"/>
      <c r="D1326" s="30"/>
      <c r="E1326" s="28"/>
      <c r="F1326" s="30"/>
      <c r="G1326" s="30"/>
      <c r="H1326" s="30"/>
      <c r="I1326" s="30"/>
      <c r="J1326" s="28"/>
      <c r="K1326" s="30"/>
      <c r="L1326" s="30"/>
      <c r="M1326" s="30"/>
      <c r="N1326" s="30"/>
      <c r="O1326" s="28"/>
      <c r="P1326" s="30"/>
      <c r="Q1326" s="30"/>
      <c r="R1326" s="30"/>
      <c r="S1326" s="36"/>
      <c r="T1326" s="30"/>
      <c r="U1326" s="36"/>
      <c r="V1326" s="30"/>
      <c r="W1326" s="28"/>
      <c r="X1326" s="30"/>
      <c r="Y1326" s="30"/>
      <c r="Z1326" s="30"/>
      <c r="AA1326" s="30"/>
      <c r="AB1326" s="30"/>
      <c r="AC1326" s="28"/>
      <c r="AD1326" s="30"/>
      <c r="AE1326" s="30"/>
      <c r="AF1326" s="30"/>
      <c r="AG1326" s="29"/>
      <c r="AH1326" s="30"/>
      <c r="AI1326" s="36"/>
      <c r="AJ1326" s="30"/>
      <c r="AK1326" s="29"/>
      <c r="AL1326" s="30"/>
      <c r="AM1326" s="30"/>
      <c r="AN1326" s="30"/>
      <c r="AO1326" s="30"/>
      <c r="AP1326" s="30"/>
      <c r="AQ1326" s="38"/>
      <c r="AR1326" s="30"/>
      <c r="AS1326" s="30"/>
      <c r="AT1326" s="29"/>
      <c r="AU1326" s="30"/>
      <c r="AV1326" s="30"/>
      <c r="AW1326" s="30"/>
      <c r="AX1326" s="29"/>
      <c r="AY1326" s="39"/>
      <c r="AZ1326" s="30"/>
      <c r="BA1326" s="30"/>
      <c r="BB1326" s="29"/>
      <c r="BC1326" s="52"/>
      <c r="BD1326" s="30"/>
      <c r="BE1326" s="29"/>
      <c r="BF1326" s="30"/>
      <c r="BG1326" s="30"/>
      <c r="BH1326" s="30"/>
      <c r="BI1326" s="30"/>
      <c r="BJ1326" s="30"/>
      <c r="BK1326" s="30"/>
      <c r="BL1326" s="30"/>
      <c r="BM1326" s="30"/>
      <c r="BN1326" s="30"/>
      <c r="BO1326" s="30"/>
      <c r="BP1326" s="30"/>
      <c r="BQ1326" s="30"/>
      <c r="BR1326" s="30"/>
      <c r="BS1326" s="30"/>
      <c r="BT1326" s="30"/>
      <c r="BU1326" s="30"/>
      <c r="BV1326" s="30"/>
      <c r="BW1326" s="30"/>
      <c r="BX1326" s="30"/>
      <c r="BY1326" s="30"/>
      <c r="BZ1326" s="30"/>
      <c r="CA1326" s="30"/>
      <c r="CB1326" s="30"/>
      <c r="CC1326" s="30"/>
      <c r="CD1326" s="30"/>
      <c r="CE1326" s="30"/>
      <c r="CF1326" s="30"/>
      <c r="CG1326" s="30"/>
      <c r="CH1326" s="30"/>
      <c r="CI1326" s="30"/>
      <c r="CJ1326" s="30"/>
      <c r="CK1326" s="30"/>
      <c r="CL1326" s="30"/>
      <c r="CM1326" s="30"/>
      <c r="CN1326" s="30"/>
      <c r="CO1326" s="30"/>
      <c r="CP1326" s="30"/>
      <c r="CQ1326" s="30"/>
      <c r="CR1326" s="30"/>
      <c r="CS1326" s="30"/>
      <c r="CT1326" s="30"/>
      <c r="CU1326" s="30"/>
      <c r="CV1326" s="30"/>
      <c r="CW1326" s="30"/>
      <c r="CX1326" s="30"/>
      <c r="CY1326" s="30"/>
      <c r="CZ1326" s="30"/>
      <c r="DA1326" s="30"/>
      <c r="DB1326" s="30"/>
      <c r="DC1326" s="30"/>
      <c r="DD1326" s="30"/>
      <c r="DE1326" s="30"/>
      <c r="DF1326" s="30"/>
      <c r="DG1326" s="30"/>
      <c r="DH1326" s="30"/>
      <c r="DI1326" s="30"/>
      <c r="DJ1326" s="30"/>
      <c r="DK1326" s="30"/>
      <c r="DL1326" s="30"/>
      <c r="DM1326" s="30"/>
      <c r="DN1326" s="30"/>
      <c r="DO1326" s="30"/>
      <c r="DP1326" s="30"/>
      <c r="DQ1326" s="30"/>
      <c r="DR1326" s="30"/>
      <c r="DS1326" s="30"/>
      <c r="DT1326" s="30"/>
      <c r="DU1326" s="30"/>
      <c r="DV1326" s="30"/>
      <c r="DW1326" s="30"/>
      <c r="DX1326" s="30"/>
      <c r="DY1326" s="30"/>
      <c r="DZ1326" s="30"/>
    </row>
    <row r="1327">
      <c r="A1327" s="30"/>
      <c r="B1327" s="42"/>
      <c r="C1327" s="43"/>
      <c r="D1327" s="30"/>
      <c r="E1327" s="28"/>
      <c r="F1327" s="30"/>
      <c r="G1327" s="30"/>
      <c r="H1327" s="30"/>
      <c r="I1327" s="30"/>
      <c r="J1327" s="28"/>
      <c r="K1327" s="30"/>
      <c r="L1327" s="30"/>
      <c r="M1327" s="30"/>
      <c r="N1327" s="30"/>
      <c r="O1327" s="28"/>
      <c r="P1327" s="30"/>
      <c r="Q1327" s="30"/>
      <c r="R1327" s="30"/>
      <c r="S1327" s="36"/>
      <c r="T1327" s="30"/>
      <c r="U1327" s="36"/>
      <c r="V1327" s="30"/>
      <c r="W1327" s="28"/>
      <c r="X1327" s="30"/>
      <c r="Y1327" s="30"/>
      <c r="Z1327" s="30"/>
      <c r="AA1327" s="30"/>
      <c r="AB1327" s="30"/>
      <c r="AC1327" s="28"/>
      <c r="AD1327" s="30"/>
      <c r="AE1327" s="30"/>
      <c r="AF1327" s="30"/>
      <c r="AG1327" s="29"/>
      <c r="AH1327" s="30"/>
      <c r="AI1327" s="36"/>
      <c r="AJ1327" s="30"/>
      <c r="AK1327" s="29"/>
      <c r="AL1327" s="30"/>
      <c r="AM1327" s="30"/>
      <c r="AN1327" s="30"/>
      <c r="AO1327" s="30"/>
      <c r="AP1327" s="30"/>
      <c r="AQ1327" s="38"/>
      <c r="AR1327" s="30"/>
      <c r="AS1327" s="30"/>
      <c r="AT1327" s="29"/>
      <c r="AU1327" s="30"/>
      <c r="AV1327" s="30"/>
      <c r="AW1327" s="30"/>
      <c r="AX1327" s="29"/>
      <c r="AY1327" s="39"/>
      <c r="AZ1327" s="30"/>
      <c r="BA1327" s="30"/>
      <c r="BB1327" s="29"/>
      <c r="BC1327" s="52"/>
      <c r="BD1327" s="30"/>
      <c r="BE1327" s="29"/>
      <c r="BF1327" s="30"/>
      <c r="BG1327" s="30"/>
      <c r="BH1327" s="30"/>
      <c r="BI1327" s="30"/>
      <c r="BJ1327" s="30"/>
      <c r="BK1327" s="30"/>
      <c r="BL1327" s="30"/>
      <c r="BM1327" s="30"/>
      <c r="BN1327" s="30"/>
      <c r="BO1327" s="30"/>
      <c r="BP1327" s="30"/>
      <c r="BQ1327" s="30"/>
      <c r="BR1327" s="30"/>
      <c r="BS1327" s="30"/>
      <c r="BT1327" s="30"/>
      <c r="BU1327" s="30"/>
      <c r="BV1327" s="30"/>
      <c r="BW1327" s="30"/>
      <c r="BX1327" s="30"/>
      <c r="BY1327" s="30"/>
      <c r="BZ1327" s="30"/>
      <c r="CA1327" s="30"/>
      <c r="CB1327" s="30"/>
      <c r="CC1327" s="30"/>
      <c r="CD1327" s="30"/>
      <c r="CE1327" s="30"/>
      <c r="CF1327" s="30"/>
      <c r="CG1327" s="30"/>
      <c r="CH1327" s="30"/>
      <c r="CI1327" s="30"/>
      <c r="CJ1327" s="30"/>
      <c r="CK1327" s="30"/>
      <c r="CL1327" s="30"/>
      <c r="CM1327" s="30"/>
      <c r="CN1327" s="30"/>
      <c r="CO1327" s="30"/>
      <c r="CP1327" s="30"/>
      <c r="CQ1327" s="30"/>
      <c r="CR1327" s="30"/>
      <c r="CS1327" s="30"/>
      <c r="CT1327" s="30"/>
      <c r="CU1327" s="30"/>
      <c r="CV1327" s="30"/>
      <c r="CW1327" s="30"/>
      <c r="CX1327" s="30"/>
      <c r="CY1327" s="30"/>
      <c r="CZ1327" s="30"/>
      <c r="DA1327" s="30"/>
      <c r="DB1327" s="30"/>
      <c r="DC1327" s="30"/>
      <c r="DD1327" s="30"/>
      <c r="DE1327" s="30"/>
      <c r="DF1327" s="30"/>
      <c r="DG1327" s="30"/>
      <c r="DH1327" s="30"/>
      <c r="DI1327" s="30"/>
      <c r="DJ1327" s="30"/>
      <c r="DK1327" s="30"/>
      <c r="DL1327" s="30"/>
      <c r="DM1327" s="30"/>
      <c r="DN1327" s="30"/>
      <c r="DO1327" s="30"/>
      <c r="DP1327" s="30"/>
      <c r="DQ1327" s="30"/>
      <c r="DR1327" s="30"/>
      <c r="DS1327" s="30"/>
      <c r="DT1327" s="30"/>
      <c r="DU1327" s="30"/>
      <c r="DV1327" s="30"/>
      <c r="DW1327" s="30"/>
      <c r="DX1327" s="30"/>
      <c r="DY1327" s="30"/>
      <c r="DZ1327" s="30"/>
    </row>
    <row r="1328">
      <c r="A1328" s="30"/>
      <c r="B1328" s="42"/>
      <c r="C1328" s="43"/>
      <c r="D1328" s="30"/>
      <c r="E1328" s="28"/>
      <c r="F1328" s="30"/>
      <c r="G1328" s="30"/>
      <c r="H1328" s="30"/>
      <c r="I1328" s="30"/>
      <c r="J1328" s="28"/>
      <c r="K1328" s="30"/>
      <c r="L1328" s="30"/>
      <c r="M1328" s="30"/>
      <c r="N1328" s="30"/>
      <c r="O1328" s="28"/>
      <c r="P1328" s="30"/>
      <c r="Q1328" s="30"/>
      <c r="R1328" s="30"/>
      <c r="S1328" s="36"/>
      <c r="T1328" s="30"/>
      <c r="U1328" s="36"/>
      <c r="V1328" s="30"/>
      <c r="W1328" s="28"/>
      <c r="X1328" s="30"/>
      <c r="Y1328" s="30"/>
      <c r="Z1328" s="30"/>
      <c r="AA1328" s="30"/>
      <c r="AB1328" s="30"/>
      <c r="AC1328" s="28"/>
      <c r="AD1328" s="30"/>
      <c r="AE1328" s="30"/>
      <c r="AF1328" s="30"/>
      <c r="AG1328" s="29"/>
      <c r="AH1328" s="30"/>
      <c r="AI1328" s="36"/>
      <c r="AJ1328" s="30"/>
      <c r="AK1328" s="29"/>
      <c r="AL1328" s="30"/>
      <c r="AM1328" s="30"/>
      <c r="AN1328" s="30"/>
      <c r="AO1328" s="30"/>
      <c r="AP1328" s="30"/>
      <c r="AQ1328" s="38"/>
      <c r="AR1328" s="30"/>
      <c r="AS1328" s="30"/>
      <c r="AT1328" s="29"/>
      <c r="AU1328" s="30"/>
      <c r="AV1328" s="30"/>
      <c r="AW1328" s="30"/>
      <c r="AX1328" s="29"/>
      <c r="AY1328" s="39"/>
      <c r="AZ1328" s="30"/>
      <c r="BA1328" s="30"/>
      <c r="BB1328" s="29"/>
      <c r="BC1328" s="52"/>
      <c r="BD1328" s="30"/>
      <c r="BE1328" s="29"/>
      <c r="BF1328" s="30"/>
      <c r="BG1328" s="30"/>
      <c r="BH1328" s="30"/>
      <c r="BI1328" s="30"/>
      <c r="BJ1328" s="30"/>
      <c r="BK1328" s="30"/>
      <c r="BL1328" s="30"/>
      <c r="BM1328" s="30"/>
      <c r="BN1328" s="30"/>
      <c r="BO1328" s="30"/>
      <c r="BP1328" s="30"/>
      <c r="BQ1328" s="30"/>
      <c r="BR1328" s="30"/>
      <c r="BS1328" s="30"/>
      <c r="BT1328" s="30"/>
      <c r="BU1328" s="30"/>
      <c r="BV1328" s="30"/>
      <c r="BW1328" s="30"/>
      <c r="BX1328" s="30"/>
      <c r="BY1328" s="30"/>
      <c r="BZ1328" s="30"/>
      <c r="CA1328" s="30"/>
      <c r="CB1328" s="30"/>
      <c r="CC1328" s="30"/>
      <c r="CD1328" s="30"/>
      <c r="CE1328" s="30"/>
      <c r="CF1328" s="30"/>
      <c r="CG1328" s="30"/>
      <c r="CH1328" s="30"/>
      <c r="CI1328" s="30"/>
      <c r="CJ1328" s="30"/>
      <c r="CK1328" s="30"/>
      <c r="CL1328" s="30"/>
      <c r="CM1328" s="30"/>
      <c r="CN1328" s="30"/>
      <c r="CO1328" s="30"/>
      <c r="CP1328" s="30"/>
      <c r="CQ1328" s="30"/>
      <c r="CR1328" s="30"/>
      <c r="CS1328" s="30"/>
      <c r="CT1328" s="30"/>
      <c r="CU1328" s="30"/>
      <c r="CV1328" s="30"/>
      <c r="CW1328" s="30"/>
      <c r="CX1328" s="30"/>
      <c r="CY1328" s="30"/>
      <c r="CZ1328" s="30"/>
      <c r="DA1328" s="30"/>
      <c r="DB1328" s="30"/>
      <c r="DC1328" s="30"/>
      <c r="DD1328" s="30"/>
      <c r="DE1328" s="30"/>
      <c r="DF1328" s="30"/>
      <c r="DG1328" s="30"/>
      <c r="DH1328" s="30"/>
      <c r="DI1328" s="30"/>
      <c r="DJ1328" s="30"/>
      <c r="DK1328" s="30"/>
      <c r="DL1328" s="30"/>
      <c r="DM1328" s="30"/>
      <c r="DN1328" s="30"/>
      <c r="DO1328" s="30"/>
      <c r="DP1328" s="30"/>
      <c r="DQ1328" s="30"/>
      <c r="DR1328" s="30"/>
      <c r="DS1328" s="30"/>
      <c r="DT1328" s="30"/>
      <c r="DU1328" s="30"/>
      <c r="DV1328" s="30"/>
      <c r="DW1328" s="30"/>
      <c r="DX1328" s="30"/>
      <c r="DY1328" s="30"/>
      <c r="DZ1328" s="30"/>
    </row>
    <row r="1329">
      <c r="A1329" s="30"/>
      <c r="B1329" s="42"/>
      <c r="C1329" s="43"/>
      <c r="D1329" s="30"/>
      <c r="E1329" s="28"/>
      <c r="F1329" s="30"/>
      <c r="G1329" s="30"/>
      <c r="H1329" s="30"/>
      <c r="I1329" s="30"/>
      <c r="J1329" s="28"/>
      <c r="K1329" s="30"/>
      <c r="L1329" s="30"/>
      <c r="M1329" s="30"/>
      <c r="N1329" s="30"/>
      <c r="O1329" s="28"/>
      <c r="P1329" s="30"/>
      <c r="Q1329" s="30"/>
      <c r="R1329" s="30"/>
      <c r="S1329" s="36"/>
      <c r="T1329" s="30"/>
      <c r="U1329" s="36"/>
      <c r="V1329" s="30"/>
      <c r="W1329" s="28"/>
      <c r="X1329" s="30"/>
      <c r="Y1329" s="30"/>
      <c r="Z1329" s="30"/>
      <c r="AA1329" s="30"/>
      <c r="AB1329" s="30"/>
      <c r="AC1329" s="28"/>
      <c r="AD1329" s="30"/>
      <c r="AE1329" s="30"/>
      <c r="AF1329" s="30"/>
      <c r="AG1329" s="29"/>
      <c r="AH1329" s="30"/>
      <c r="AI1329" s="36"/>
      <c r="AJ1329" s="30"/>
      <c r="AK1329" s="29"/>
      <c r="AL1329" s="30"/>
      <c r="AM1329" s="30"/>
      <c r="AN1329" s="30"/>
      <c r="AO1329" s="30"/>
      <c r="AP1329" s="30"/>
      <c r="AQ1329" s="38"/>
      <c r="AR1329" s="30"/>
      <c r="AS1329" s="30"/>
      <c r="AT1329" s="29"/>
      <c r="AU1329" s="30"/>
      <c r="AV1329" s="30"/>
      <c r="AW1329" s="30"/>
      <c r="AX1329" s="29"/>
      <c r="AY1329" s="39"/>
      <c r="AZ1329" s="30"/>
      <c r="BA1329" s="30"/>
      <c r="BB1329" s="29"/>
      <c r="BC1329" s="52"/>
      <c r="BD1329" s="30"/>
      <c r="BE1329" s="29"/>
      <c r="BF1329" s="30"/>
      <c r="BG1329" s="30"/>
      <c r="BH1329" s="30"/>
      <c r="BI1329" s="30"/>
      <c r="BJ1329" s="30"/>
      <c r="BK1329" s="30"/>
      <c r="BL1329" s="30"/>
      <c r="BM1329" s="30"/>
      <c r="BN1329" s="30"/>
      <c r="BO1329" s="30"/>
      <c r="BP1329" s="30"/>
      <c r="BQ1329" s="30"/>
      <c r="BR1329" s="30"/>
      <c r="BS1329" s="30"/>
      <c r="BT1329" s="30"/>
      <c r="BU1329" s="30"/>
      <c r="BV1329" s="30"/>
      <c r="BW1329" s="30"/>
      <c r="BX1329" s="30"/>
      <c r="BY1329" s="30"/>
      <c r="BZ1329" s="30"/>
      <c r="CA1329" s="30"/>
      <c r="CB1329" s="30"/>
      <c r="CC1329" s="30"/>
      <c r="CD1329" s="30"/>
      <c r="CE1329" s="30"/>
      <c r="CF1329" s="30"/>
      <c r="CG1329" s="30"/>
      <c r="CH1329" s="30"/>
      <c r="CI1329" s="30"/>
      <c r="CJ1329" s="30"/>
      <c r="CK1329" s="30"/>
      <c r="CL1329" s="30"/>
      <c r="CM1329" s="30"/>
      <c r="CN1329" s="30"/>
      <c r="CO1329" s="30"/>
      <c r="CP1329" s="30"/>
      <c r="CQ1329" s="30"/>
      <c r="CR1329" s="30"/>
      <c r="CS1329" s="30"/>
      <c r="CT1329" s="30"/>
      <c r="CU1329" s="30"/>
      <c r="CV1329" s="30"/>
      <c r="CW1329" s="30"/>
      <c r="CX1329" s="30"/>
      <c r="CY1329" s="30"/>
      <c r="CZ1329" s="30"/>
      <c r="DA1329" s="30"/>
      <c r="DB1329" s="30"/>
      <c r="DC1329" s="30"/>
      <c r="DD1329" s="30"/>
      <c r="DE1329" s="30"/>
      <c r="DF1329" s="30"/>
      <c r="DG1329" s="30"/>
      <c r="DH1329" s="30"/>
      <c r="DI1329" s="30"/>
      <c r="DJ1329" s="30"/>
      <c r="DK1329" s="30"/>
      <c r="DL1329" s="30"/>
      <c r="DM1329" s="30"/>
      <c r="DN1329" s="30"/>
      <c r="DO1329" s="30"/>
      <c r="DP1329" s="30"/>
      <c r="DQ1329" s="30"/>
      <c r="DR1329" s="30"/>
      <c r="DS1329" s="30"/>
      <c r="DT1329" s="30"/>
      <c r="DU1329" s="30"/>
      <c r="DV1329" s="30"/>
      <c r="DW1329" s="30"/>
      <c r="DX1329" s="30"/>
      <c r="DY1329" s="30"/>
      <c r="DZ1329" s="30"/>
    </row>
    <row r="1330">
      <c r="A1330" s="30"/>
      <c r="B1330" s="42"/>
      <c r="C1330" s="43"/>
      <c r="D1330" s="30"/>
      <c r="E1330" s="28"/>
      <c r="F1330" s="30"/>
      <c r="G1330" s="30"/>
      <c r="H1330" s="30"/>
      <c r="I1330" s="30"/>
      <c r="J1330" s="28"/>
      <c r="K1330" s="30"/>
      <c r="L1330" s="30"/>
      <c r="M1330" s="30"/>
      <c r="N1330" s="30"/>
      <c r="O1330" s="28"/>
      <c r="P1330" s="30"/>
      <c r="Q1330" s="30"/>
      <c r="R1330" s="30"/>
      <c r="S1330" s="36"/>
      <c r="T1330" s="30"/>
      <c r="U1330" s="36"/>
      <c r="V1330" s="30"/>
      <c r="W1330" s="28"/>
      <c r="X1330" s="30"/>
      <c r="Y1330" s="30"/>
      <c r="Z1330" s="30"/>
      <c r="AA1330" s="30"/>
      <c r="AB1330" s="30"/>
      <c r="AC1330" s="28"/>
      <c r="AD1330" s="30"/>
      <c r="AE1330" s="30"/>
      <c r="AF1330" s="30"/>
      <c r="AG1330" s="29"/>
      <c r="AH1330" s="30"/>
      <c r="AI1330" s="36"/>
      <c r="AJ1330" s="30"/>
      <c r="AK1330" s="29"/>
      <c r="AL1330" s="30"/>
      <c r="AM1330" s="30"/>
      <c r="AN1330" s="30"/>
      <c r="AO1330" s="30"/>
      <c r="AP1330" s="30"/>
      <c r="AQ1330" s="38"/>
      <c r="AR1330" s="30"/>
      <c r="AS1330" s="30"/>
      <c r="AT1330" s="29"/>
      <c r="AU1330" s="30"/>
      <c r="AV1330" s="30"/>
      <c r="AW1330" s="30"/>
      <c r="AX1330" s="29"/>
      <c r="AY1330" s="39"/>
      <c r="AZ1330" s="30"/>
      <c r="BA1330" s="30"/>
      <c r="BB1330" s="29"/>
      <c r="BC1330" s="52"/>
      <c r="BD1330" s="30"/>
      <c r="BE1330" s="29"/>
      <c r="BF1330" s="30"/>
      <c r="BG1330" s="30"/>
      <c r="BH1330" s="30"/>
      <c r="BI1330" s="30"/>
      <c r="BJ1330" s="30"/>
      <c r="BK1330" s="30"/>
      <c r="BL1330" s="30"/>
      <c r="BM1330" s="30"/>
      <c r="BN1330" s="30"/>
      <c r="BO1330" s="30"/>
      <c r="BP1330" s="30"/>
      <c r="BQ1330" s="30"/>
      <c r="BR1330" s="30"/>
      <c r="BS1330" s="30"/>
      <c r="BT1330" s="30"/>
      <c r="BU1330" s="30"/>
      <c r="BV1330" s="30"/>
      <c r="BW1330" s="30"/>
      <c r="BX1330" s="30"/>
      <c r="BY1330" s="30"/>
      <c r="BZ1330" s="30"/>
      <c r="CA1330" s="30"/>
      <c r="CB1330" s="30"/>
      <c r="CC1330" s="30"/>
      <c r="CD1330" s="30"/>
      <c r="CE1330" s="30"/>
      <c r="CF1330" s="30"/>
      <c r="CG1330" s="30"/>
      <c r="CH1330" s="30"/>
      <c r="CI1330" s="30"/>
      <c r="CJ1330" s="30"/>
      <c r="CK1330" s="30"/>
      <c r="CL1330" s="30"/>
      <c r="CM1330" s="30"/>
      <c r="CN1330" s="30"/>
      <c r="CO1330" s="30"/>
      <c r="CP1330" s="30"/>
      <c r="CQ1330" s="30"/>
      <c r="CR1330" s="30"/>
      <c r="CS1330" s="30"/>
      <c r="CT1330" s="30"/>
      <c r="CU1330" s="30"/>
      <c r="CV1330" s="30"/>
      <c r="CW1330" s="30"/>
      <c r="CX1330" s="30"/>
      <c r="CY1330" s="30"/>
      <c r="CZ1330" s="30"/>
      <c r="DA1330" s="30"/>
      <c r="DB1330" s="30"/>
      <c r="DC1330" s="30"/>
      <c r="DD1330" s="30"/>
      <c r="DE1330" s="30"/>
      <c r="DF1330" s="30"/>
      <c r="DG1330" s="30"/>
      <c r="DH1330" s="30"/>
      <c r="DI1330" s="30"/>
      <c r="DJ1330" s="30"/>
      <c r="DK1330" s="30"/>
      <c r="DL1330" s="30"/>
      <c r="DM1330" s="30"/>
      <c r="DN1330" s="30"/>
      <c r="DO1330" s="30"/>
      <c r="DP1330" s="30"/>
      <c r="DQ1330" s="30"/>
      <c r="DR1330" s="30"/>
      <c r="DS1330" s="30"/>
      <c r="DT1330" s="30"/>
      <c r="DU1330" s="30"/>
      <c r="DV1330" s="30"/>
      <c r="DW1330" s="30"/>
      <c r="DX1330" s="30"/>
      <c r="DY1330" s="30"/>
      <c r="DZ1330" s="30"/>
    </row>
    <row r="1331">
      <c r="A1331" s="30"/>
      <c r="B1331" s="42"/>
      <c r="C1331" s="43"/>
      <c r="D1331" s="30"/>
      <c r="E1331" s="28"/>
      <c r="F1331" s="30"/>
      <c r="G1331" s="30"/>
      <c r="H1331" s="30"/>
      <c r="I1331" s="30"/>
      <c r="J1331" s="28"/>
      <c r="K1331" s="30"/>
      <c r="L1331" s="30"/>
      <c r="M1331" s="30"/>
      <c r="N1331" s="30"/>
      <c r="O1331" s="28"/>
      <c r="P1331" s="30"/>
      <c r="Q1331" s="30"/>
      <c r="R1331" s="30"/>
      <c r="S1331" s="36"/>
      <c r="T1331" s="30"/>
      <c r="U1331" s="36"/>
      <c r="V1331" s="30"/>
      <c r="W1331" s="28"/>
      <c r="X1331" s="30"/>
      <c r="Y1331" s="30"/>
      <c r="Z1331" s="30"/>
      <c r="AA1331" s="30"/>
      <c r="AB1331" s="30"/>
      <c r="AC1331" s="28"/>
      <c r="AD1331" s="30"/>
      <c r="AE1331" s="30"/>
      <c r="AF1331" s="30"/>
      <c r="AG1331" s="29"/>
      <c r="AH1331" s="30"/>
      <c r="AI1331" s="36"/>
      <c r="AJ1331" s="30"/>
      <c r="AK1331" s="29"/>
      <c r="AL1331" s="30"/>
      <c r="AM1331" s="30"/>
      <c r="AN1331" s="30"/>
      <c r="AO1331" s="30"/>
      <c r="AP1331" s="30"/>
      <c r="AQ1331" s="38"/>
      <c r="AR1331" s="30"/>
      <c r="AS1331" s="30"/>
      <c r="AT1331" s="29"/>
      <c r="AU1331" s="30"/>
      <c r="AV1331" s="30"/>
      <c r="AW1331" s="30"/>
      <c r="AX1331" s="29"/>
      <c r="AY1331" s="39"/>
      <c r="AZ1331" s="30"/>
      <c r="BA1331" s="30"/>
      <c r="BB1331" s="29"/>
      <c r="BC1331" s="52"/>
      <c r="BD1331" s="30"/>
      <c r="BE1331" s="29"/>
      <c r="BF1331" s="30"/>
      <c r="BG1331" s="30"/>
      <c r="BH1331" s="30"/>
      <c r="BI1331" s="30"/>
      <c r="BJ1331" s="30"/>
      <c r="BK1331" s="30"/>
      <c r="BL1331" s="30"/>
      <c r="BM1331" s="30"/>
      <c r="BN1331" s="30"/>
      <c r="BO1331" s="30"/>
      <c r="BP1331" s="30"/>
      <c r="BQ1331" s="30"/>
      <c r="BR1331" s="30"/>
      <c r="BS1331" s="30"/>
      <c r="BT1331" s="30"/>
      <c r="BU1331" s="30"/>
      <c r="BV1331" s="30"/>
      <c r="BW1331" s="30"/>
      <c r="BX1331" s="30"/>
      <c r="BY1331" s="30"/>
      <c r="BZ1331" s="30"/>
      <c r="CA1331" s="30"/>
      <c r="CB1331" s="30"/>
      <c r="CC1331" s="30"/>
      <c r="CD1331" s="30"/>
      <c r="CE1331" s="30"/>
      <c r="CF1331" s="30"/>
      <c r="CG1331" s="30"/>
      <c r="CH1331" s="30"/>
      <c r="CI1331" s="30"/>
      <c r="CJ1331" s="30"/>
      <c r="CK1331" s="30"/>
      <c r="CL1331" s="30"/>
      <c r="CM1331" s="30"/>
      <c r="CN1331" s="30"/>
      <c r="CO1331" s="30"/>
      <c r="CP1331" s="30"/>
      <c r="CQ1331" s="30"/>
      <c r="CR1331" s="30"/>
      <c r="CS1331" s="30"/>
      <c r="CT1331" s="30"/>
      <c r="CU1331" s="30"/>
      <c r="CV1331" s="30"/>
      <c r="CW1331" s="30"/>
      <c r="CX1331" s="30"/>
      <c r="CY1331" s="30"/>
      <c r="CZ1331" s="30"/>
      <c r="DA1331" s="30"/>
      <c r="DB1331" s="30"/>
      <c r="DC1331" s="30"/>
      <c r="DD1331" s="30"/>
      <c r="DE1331" s="30"/>
      <c r="DF1331" s="30"/>
      <c r="DG1331" s="30"/>
      <c r="DH1331" s="30"/>
      <c r="DI1331" s="30"/>
      <c r="DJ1331" s="30"/>
      <c r="DK1331" s="30"/>
      <c r="DL1331" s="30"/>
      <c r="DM1331" s="30"/>
      <c r="DN1331" s="30"/>
      <c r="DO1331" s="30"/>
      <c r="DP1331" s="30"/>
      <c r="DQ1331" s="30"/>
      <c r="DR1331" s="30"/>
      <c r="DS1331" s="30"/>
      <c r="DT1331" s="30"/>
      <c r="DU1331" s="30"/>
      <c r="DV1331" s="30"/>
      <c r="DW1331" s="30"/>
      <c r="DX1331" s="30"/>
      <c r="DY1331" s="30"/>
      <c r="DZ1331" s="30"/>
    </row>
    <row r="1332">
      <c r="A1332" s="30"/>
      <c r="B1332" s="42"/>
      <c r="C1332" s="43"/>
      <c r="D1332" s="30"/>
      <c r="E1332" s="28"/>
      <c r="F1332" s="30"/>
      <c r="G1332" s="30"/>
      <c r="H1332" s="30"/>
      <c r="I1332" s="30"/>
      <c r="J1332" s="28"/>
      <c r="K1332" s="30"/>
      <c r="L1332" s="30"/>
      <c r="M1332" s="30"/>
      <c r="N1332" s="30"/>
      <c r="O1332" s="28"/>
      <c r="P1332" s="30"/>
      <c r="Q1332" s="30"/>
      <c r="R1332" s="30"/>
      <c r="S1332" s="36"/>
      <c r="T1332" s="30"/>
      <c r="U1332" s="36"/>
      <c r="V1332" s="30"/>
      <c r="W1332" s="28"/>
      <c r="X1332" s="30"/>
      <c r="Y1332" s="30"/>
      <c r="Z1332" s="30"/>
      <c r="AA1332" s="30"/>
      <c r="AB1332" s="30"/>
      <c r="AC1332" s="28"/>
      <c r="AD1332" s="30"/>
      <c r="AE1332" s="30"/>
      <c r="AF1332" s="30"/>
      <c r="AG1332" s="29"/>
      <c r="AH1332" s="30"/>
      <c r="AI1332" s="36"/>
      <c r="AJ1332" s="30"/>
      <c r="AK1332" s="29"/>
      <c r="AL1332" s="30"/>
      <c r="AM1332" s="30"/>
      <c r="AN1332" s="30"/>
      <c r="AO1332" s="30"/>
      <c r="AP1332" s="30"/>
      <c r="AQ1332" s="38"/>
      <c r="AR1332" s="30"/>
      <c r="AS1332" s="30"/>
      <c r="AT1332" s="29"/>
      <c r="AU1332" s="30"/>
      <c r="AV1332" s="30"/>
      <c r="AW1332" s="30"/>
      <c r="AX1332" s="29"/>
      <c r="AY1332" s="39"/>
      <c r="AZ1332" s="30"/>
      <c r="BA1332" s="30"/>
      <c r="BB1332" s="29"/>
      <c r="BC1332" s="52"/>
      <c r="BD1332" s="30"/>
      <c r="BE1332" s="29"/>
      <c r="BF1332" s="30"/>
      <c r="BG1332" s="30"/>
      <c r="BH1332" s="30"/>
      <c r="BI1332" s="30"/>
      <c r="BJ1332" s="30"/>
      <c r="BK1332" s="30"/>
      <c r="BL1332" s="30"/>
      <c r="BM1332" s="30"/>
      <c r="BN1332" s="30"/>
      <c r="BO1332" s="30"/>
      <c r="BP1332" s="30"/>
      <c r="BQ1332" s="30"/>
      <c r="BR1332" s="30"/>
      <c r="BS1332" s="30"/>
      <c r="BT1332" s="30"/>
      <c r="BU1332" s="30"/>
      <c r="BV1332" s="30"/>
      <c r="BW1332" s="30"/>
      <c r="BX1332" s="30"/>
      <c r="BY1332" s="30"/>
      <c r="BZ1332" s="30"/>
      <c r="CA1332" s="30"/>
      <c r="CB1332" s="30"/>
      <c r="CC1332" s="30"/>
      <c r="CD1332" s="30"/>
      <c r="CE1332" s="30"/>
      <c r="CF1332" s="30"/>
      <c r="CG1332" s="30"/>
      <c r="CH1332" s="30"/>
      <c r="CI1332" s="30"/>
      <c r="CJ1332" s="30"/>
      <c r="CK1332" s="30"/>
      <c r="CL1332" s="30"/>
      <c r="CM1332" s="30"/>
      <c r="CN1332" s="30"/>
      <c r="CO1332" s="30"/>
      <c r="CP1332" s="30"/>
      <c r="CQ1332" s="30"/>
      <c r="CR1332" s="30"/>
      <c r="CS1332" s="30"/>
      <c r="CT1332" s="30"/>
      <c r="CU1332" s="30"/>
      <c r="CV1332" s="30"/>
      <c r="CW1332" s="30"/>
      <c r="CX1332" s="30"/>
      <c r="CY1332" s="30"/>
      <c r="CZ1332" s="30"/>
      <c r="DA1332" s="30"/>
      <c r="DB1332" s="30"/>
      <c r="DC1332" s="30"/>
      <c r="DD1332" s="30"/>
      <c r="DE1332" s="30"/>
      <c r="DF1332" s="30"/>
      <c r="DG1332" s="30"/>
      <c r="DH1332" s="30"/>
      <c r="DI1332" s="30"/>
      <c r="DJ1332" s="30"/>
      <c r="DK1332" s="30"/>
      <c r="DL1332" s="30"/>
      <c r="DM1332" s="30"/>
      <c r="DN1332" s="30"/>
      <c r="DO1332" s="30"/>
      <c r="DP1332" s="30"/>
      <c r="DQ1332" s="30"/>
      <c r="DR1332" s="30"/>
      <c r="DS1332" s="30"/>
      <c r="DT1332" s="30"/>
      <c r="DU1332" s="30"/>
      <c r="DV1332" s="30"/>
      <c r="DW1332" s="30"/>
      <c r="DX1332" s="30"/>
      <c r="DY1332" s="30"/>
      <c r="DZ1332" s="30"/>
    </row>
    <row r="1333">
      <c r="A1333" s="30"/>
      <c r="B1333" s="42"/>
      <c r="C1333" s="43"/>
      <c r="D1333" s="30"/>
      <c r="E1333" s="28"/>
      <c r="F1333" s="30"/>
      <c r="G1333" s="30"/>
      <c r="H1333" s="30"/>
      <c r="I1333" s="30"/>
      <c r="J1333" s="28"/>
      <c r="K1333" s="30"/>
      <c r="L1333" s="30"/>
      <c r="M1333" s="30"/>
      <c r="N1333" s="30"/>
      <c r="O1333" s="28"/>
      <c r="P1333" s="30"/>
      <c r="Q1333" s="30"/>
      <c r="R1333" s="30"/>
      <c r="S1333" s="36"/>
      <c r="T1333" s="30"/>
      <c r="U1333" s="36"/>
      <c r="V1333" s="30"/>
      <c r="W1333" s="28"/>
      <c r="X1333" s="30"/>
      <c r="Y1333" s="30"/>
      <c r="Z1333" s="30"/>
      <c r="AA1333" s="30"/>
      <c r="AB1333" s="30"/>
      <c r="AC1333" s="28"/>
      <c r="AD1333" s="30"/>
      <c r="AE1333" s="30"/>
      <c r="AF1333" s="30"/>
      <c r="AG1333" s="29"/>
      <c r="AH1333" s="30"/>
      <c r="AI1333" s="36"/>
      <c r="AJ1333" s="30"/>
      <c r="AK1333" s="29"/>
      <c r="AL1333" s="30"/>
      <c r="AM1333" s="30"/>
      <c r="AN1333" s="30"/>
      <c r="AO1333" s="30"/>
      <c r="AP1333" s="30"/>
      <c r="AQ1333" s="38"/>
      <c r="AR1333" s="30"/>
      <c r="AS1333" s="30"/>
      <c r="AT1333" s="29"/>
      <c r="AU1333" s="30"/>
      <c r="AV1333" s="30"/>
      <c r="AW1333" s="30"/>
      <c r="AX1333" s="29"/>
      <c r="AY1333" s="39"/>
      <c r="AZ1333" s="30"/>
      <c r="BA1333" s="30"/>
      <c r="BB1333" s="29"/>
      <c r="BC1333" s="52"/>
      <c r="BD1333" s="30"/>
      <c r="BE1333" s="29"/>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0"/>
      <c r="CF1333" s="30"/>
      <c r="CG1333" s="30"/>
      <c r="CH1333" s="30"/>
      <c r="CI1333" s="30"/>
      <c r="CJ1333" s="30"/>
      <c r="CK1333" s="30"/>
      <c r="CL1333" s="30"/>
      <c r="CM1333" s="30"/>
      <c r="CN1333" s="30"/>
      <c r="CO1333" s="30"/>
      <c r="CP1333" s="30"/>
      <c r="CQ1333" s="30"/>
      <c r="CR1333" s="30"/>
      <c r="CS1333" s="30"/>
      <c r="CT1333" s="30"/>
      <c r="CU1333" s="30"/>
      <c r="CV1333" s="30"/>
      <c r="CW1333" s="30"/>
      <c r="CX1333" s="30"/>
      <c r="CY1333" s="30"/>
      <c r="CZ1333" s="30"/>
      <c r="DA1333" s="30"/>
      <c r="DB1333" s="30"/>
      <c r="DC1333" s="30"/>
      <c r="DD1333" s="30"/>
      <c r="DE1333" s="30"/>
      <c r="DF1333" s="30"/>
      <c r="DG1333" s="30"/>
      <c r="DH1333" s="30"/>
      <c r="DI1333" s="30"/>
      <c r="DJ1333" s="30"/>
      <c r="DK1333" s="30"/>
      <c r="DL1333" s="30"/>
      <c r="DM1333" s="30"/>
      <c r="DN1333" s="30"/>
      <c r="DO1333" s="30"/>
      <c r="DP1333" s="30"/>
      <c r="DQ1333" s="30"/>
      <c r="DR1333" s="30"/>
      <c r="DS1333" s="30"/>
      <c r="DT1333" s="30"/>
      <c r="DU1333" s="30"/>
      <c r="DV1333" s="30"/>
      <c r="DW1333" s="30"/>
      <c r="DX1333" s="30"/>
      <c r="DY1333" s="30"/>
      <c r="DZ1333" s="30"/>
    </row>
    <row r="1334">
      <c r="A1334" s="30"/>
      <c r="B1334" s="42"/>
      <c r="C1334" s="43"/>
      <c r="D1334" s="30"/>
      <c r="E1334" s="28"/>
      <c r="F1334" s="30"/>
      <c r="G1334" s="30"/>
      <c r="H1334" s="30"/>
      <c r="I1334" s="30"/>
      <c r="J1334" s="28"/>
      <c r="K1334" s="30"/>
      <c r="L1334" s="30"/>
      <c r="M1334" s="30"/>
      <c r="N1334" s="30"/>
      <c r="O1334" s="28"/>
      <c r="P1334" s="30"/>
      <c r="Q1334" s="30"/>
      <c r="R1334" s="30"/>
      <c r="S1334" s="36"/>
      <c r="T1334" s="30"/>
      <c r="U1334" s="36"/>
      <c r="V1334" s="30"/>
      <c r="W1334" s="28"/>
      <c r="X1334" s="30"/>
      <c r="Y1334" s="30"/>
      <c r="Z1334" s="30"/>
      <c r="AA1334" s="30"/>
      <c r="AB1334" s="30"/>
      <c r="AC1334" s="28"/>
      <c r="AD1334" s="30"/>
      <c r="AE1334" s="30"/>
      <c r="AF1334" s="30"/>
      <c r="AG1334" s="29"/>
      <c r="AH1334" s="30"/>
      <c r="AI1334" s="36"/>
      <c r="AJ1334" s="30"/>
      <c r="AK1334" s="29"/>
      <c r="AL1334" s="30"/>
      <c r="AM1334" s="30"/>
      <c r="AN1334" s="30"/>
      <c r="AO1334" s="30"/>
      <c r="AP1334" s="30"/>
      <c r="AQ1334" s="38"/>
      <c r="AR1334" s="30"/>
      <c r="AS1334" s="30"/>
      <c r="AT1334" s="29"/>
      <c r="AU1334" s="30"/>
      <c r="AV1334" s="30"/>
      <c r="AW1334" s="30"/>
      <c r="AX1334" s="29"/>
      <c r="AY1334" s="39"/>
      <c r="AZ1334" s="30"/>
      <c r="BA1334" s="30"/>
      <c r="BB1334" s="29"/>
      <c r="BC1334" s="52"/>
      <c r="BD1334" s="30"/>
      <c r="BE1334" s="29"/>
      <c r="BF1334" s="30"/>
      <c r="BG1334" s="30"/>
      <c r="BH1334" s="30"/>
      <c r="BI1334" s="30"/>
      <c r="BJ1334" s="30"/>
      <c r="BK1334" s="30"/>
      <c r="BL1334" s="30"/>
      <c r="BM1334" s="30"/>
      <c r="BN1334" s="30"/>
      <c r="BO1334" s="30"/>
      <c r="BP1334" s="30"/>
      <c r="BQ1334" s="30"/>
      <c r="BR1334" s="30"/>
      <c r="BS1334" s="30"/>
      <c r="BT1334" s="30"/>
      <c r="BU1334" s="30"/>
      <c r="BV1334" s="30"/>
      <c r="BW1334" s="30"/>
      <c r="BX1334" s="30"/>
      <c r="BY1334" s="30"/>
      <c r="BZ1334" s="30"/>
      <c r="CA1334" s="30"/>
      <c r="CB1334" s="30"/>
      <c r="CC1334" s="30"/>
      <c r="CD1334" s="30"/>
      <c r="CE1334" s="30"/>
      <c r="CF1334" s="30"/>
      <c r="CG1334" s="30"/>
      <c r="CH1334" s="30"/>
      <c r="CI1334" s="30"/>
      <c r="CJ1334" s="30"/>
      <c r="CK1334" s="30"/>
      <c r="CL1334" s="30"/>
      <c r="CM1334" s="30"/>
      <c r="CN1334" s="30"/>
      <c r="CO1334" s="30"/>
      <c r="CP1334" s="30"/>
      <c r="CQ1334" s="30"/>
      <c r="CR1334" s="30"/>
      <c r="CS1334" s="30"/>
      <c r="CT1334" s="30"/>
      <c r="CU1334" s="30"/>
      <c r="CV1334" s="30"/>
      <c r="CW1334" s="30"/>
      <c r="CX1334" s="30"/>
      <c r="CY1334" s="30"/>
      <c r="CZ1334" s="30"/>
      <c r="DA1334" s="30"/>
      <c r="DB1334" s="30"/>
      <c r="DC1334" s="30"/>
      <c r="DD1334" s="30"/>
      <c r="DE1334" s="30"/>
      <c r="DF1334" s="30"/>
      <c r="DG1334" s="30"/>
      <c r="DH1334" s="30"/>
      <c r="DI1334" s="30"/>
      <c r="DJ1334" s="30"/>
      <c r="DK1334" s="30"/>
      <c r="DL1334" s="30"/>
      <c r="DM1334" s="30"/>
      <c r="DN1334" s="30"/>
      <c r="DO1334" s="30"/>
      <c r="DP1334" s="30"/>
      <c r="DQ1334" s="30"/>
      <c r="DR1334" s="30"/>
      <c r="DS1334" s="30"/>
      <c r="DT1334" s="30"/>
      <c r="DU1334" s="30"/>
      <c r="DV1334" s="30"/>
      <c r="DW1334" s="30"/>
      <c r="DX1334" s="30"/>
      <c r="DY1334" s="30"/>
      <c r="DZ1334" s="30"/>
    </row>
    <row r="1335">
      <c r="A1335" s="30"/>
      <c r="B1335" s="42"/>
      <c r="C1335" s="43"/>
      <c r="D1335" s="30"/>
      <c r="E1335" s="28"/>
      <c r="F1335" s="30"/>
      <c r="G1335" s="30"/>
      <c r="H1335" s="30"/>
      <c r="I1335" s="30"/>
      <c r="J1335" s="28"/>
      <c r="K1335" s="30"/>
      <c r="L1335" s="30"/>
      <c r="M1335" s="30"/>
      <c r="N1335" s="30"/>
      <c r="O1335" s="28"/>
      <c r="P1335" s="30"/>
      <c r="Q1335" s="30"/>
      <c r="R1335" s="30"/>
      <c r="S1335" s="36"/>
      <c r="T1335" s="30"/>
      <c r="U1335" s="36"/>
      <c r="V1335" s="30"/>
      <c r="W1335" s="28"/>
      <c r="X1335" s="30"/>
      <c r="Y1335" s="30"/>
      <c r="Z1335" s="30"/>
      <c r="AA1335" s="30"/>
      <c r="AB1335" s="30"/>
      <c r="AC1335" s="28"/>
      <c r="AD1335" s="30"/>
      <c r="AE1335" s="30"/>
      <c r="AF1335" s="30"/>
      <c r="AG1335" s="29"/>
      <c r="AH1335" s="30"/>
      <c r="AI1335" s="36"/>
      <c r="AJ1335" s="30"/>
      <c r="AK1335" s="29"/>
      <c r="AL1335" s="30"/>
      <c r="AM1335" s="30"/>
      <c r="AN1335" s="30"/>
      <c r="AO1335" s="30"/>
      <c r="AP1335" s="30"/>
      <c r="AQ1335" s="38"/>
      <c r="AR1335" s="30"/>
      <c r="AS1335" s="30"/>
      <c r="AT1335" s="29"/>
      <c r="AU1335" s="30"/>
      <c r="AV1335" s="30"/>
      <c r="AW1335" s="30"/>
      <c r="AX1335" s="29"/>
      <c r="AY1335" s="39"/>
      <c r="AZ1335" s="30"/>
      <c r="BA1335" s="30"/>
      <c r="BB1335" s="29"/>
      <c r="BC1335" s="52"/>
      <c r="BD1335" s="30"/>
      <c r="BE1335" s="29"/>
      <c r="BF1335" s="30"/>
      <c r="BG1335" s="30"/>
      <c r="BH1335" s="30"/>
      <c r="BI1335" s="30"/>
      <c r="BJ1335" s="30"/>
      <c r="BK1335" s="30"/>
      <c r="BL1335" s="30"/>
      <c r="BM1335" s="30"/>
      <c r="BN1335" s="30"/>
      <c r="BO1335" s="30"/>
      <c r="BP1335" s="30"/>
      <c r="BQ1335" s="30"/>
      <c r="BR1335" s="30"/>
      <c r="BS1335" s="30"/>
      <c r="BT1335" s="30"/>
      <c r="BU1335" s="30"/>
      <c r="BV1335" s="30"/>
      <c r="BW1335" s="30"/>
      <c r="BX1335" s="30"/>
      <c r="BY1335" s="30"/>
      <c r="BZ1335" s="30"/>
      <c r="CA1335" s="30"/>
      <c r="CB1335" s="30"/>
      <c r="CC1335" s="30"/>
      <c r="CD1335" s="30"/>
      <c r="CE1335" s="30"/>
      <c r="CF1335" s="30"/>
      <c r="CG1335" s="30"/>
      <c r="CH1335" s="30"/>
      <c r="CI1335" s="30"/>
      <c r="CJ1335" s="30"/>
      <c r="CK1335" s="30"/>
      <c r="CL1335" s="30"/>
      <c r="CM1335" s="30"/>
      <c r="CN1335" s="30"/>
      <c r="CO1335" s="30"/>
      <c r="CP1335" s="30"/>
      <c r="CQ1335" s="30"/>
      <c r="CR1335" s="30"/>
      <c r="CS1335" s="30"/>
      <c r="CT1335" s="30"/>
      <c r="CU1335" s="30"/>
      <c r="CV1335" s="30"/>
      <c r="CW1335" s="30"/>
      <c r="CX1335" s="30"/>
      <c r="CY1335" s="30"/>
      <c r="CZ1335" s="30"/>
      <c r="DA1335" s="30"/>
      <c r="DB1335" s="30"/>
      <c r="DC1335" s="30"/>
      <c r="DD1335" s="30"/>
      <c r="DE1335" s="30"/>
      <c r="DF1335" s="30"/>
      <c r="DG1335" s="30"/>
      <c r="DH1335" s="30"/>
      <c r="DI1335" s="30"/>
      <c r="DJ1335" s="30"/>
      <c r="DK1335" s="30"/>
      <c r="DL1335" s="30"/>
      <c r="DM1335" s="30"/>
      <c r="DN1335" s="30"/>
      <c r="DO1335" s="30"/>
      <c r="DP1335" s="30"/>
      <c r="DQ1335" s="30"/>
      <c r="DR1335" s="30"/>
      <c r="DS1335" s="30"/>
      <c r="DT1335" s="30"/>
      <c r="DU1335" s="30"/>
      <c r="DV1335" s="30"/>
      <c r="DW1335" s="30"/>
      <c r="DX1335" s="30"/>
      <c r="DY1335" s="30"/>
      <c r="DZ1335" s="30"/>
    </row>
    <row r="1336">
      <c r="A1336" s="30"/>
      <c r="B1336" s="42"/>
      <c r="C1336" s="43"/>
      <c r="D1336" s="30"/>
      <c r="E1336" s="28"/>
      <c r="F1336" s="30"/>
      <c r="G1336" s="30"/>
      <c r="H1336" s="30"/>
      <c r="I1336" s="30"/>
      <c r="J1336" s="28"/>
      <c r="K1336" s="30"/>
      <c r="L1336" s="30"/>
      <c r="M1336" s="30"/>
      <c r="N1336" s="30"/>
      <c r="O1336" s="28"/>
      <c r="P1336" s="30"/>
      <c r="Q1336" s="30"/>
      <c r="R1336" s="30"/>
      <c r="S1336" s="36"/>
      <c r="T1336" s="30"/>
      <c r="U1336" s="36"/>
      <c r="V1336" s="30"/>
      <c r="W1336" s="28"/>
      <c r="X1336" s="30"/>
      <c r="Y1336" s="30"/>
      <c r="Z1336" s="30"/>
      <c r="AA1336" s="30"/>
      <c r="AB1336" s="30"/>
      <c r="AC1336" s="28"/>
      <c r="AD1336" s="30"/>
      <c r="AE1336" s="30"/>
      <c r="AF1336" s="30"/>
      <c r="AG1336" s="29"/>
      <c r="AH1336" s="30"/>
      <c r="AI1336" s="36"/>
      <c r="AJ1336" s="30"/>
      <c r="AK1336" s="29"/>
      <c r="AL1336" s="30"/>
      <c r="AM1336" s="30"/>
      <c r="AN1336" s="30"/>
      <c r="AO1336" s="30"/>
      <c r="AP1336" s="30"/>
      <c r="AQ1336" s="38"/>
      <c r="AR1336" s="30"/>
      <c r="AS1336" s="30"/>
      <c r="AT1336" s="29"/>
      <c r="AU1336" s="30"/>
      <c r="AV1336" s="30"/>
      <c r="AW1336" s="30"/>
      <c r="AX1336" s="29"/>
      <c r="AY1336" s="39"/>
      <c r="AZ1336" s="30"/>
      <c r="BA1336" s="30"/>
      <c r="BB1336" s="29"/>
      <c r="BC1336" s="52"/>
      <c r="BD1336" s="30"/>
      <c r="BE1336" s="29"/>
      <c r="BF1336" s="30"/>
      <c r="BG1336" s="30"/>
      <c r="BH1336" s="30"/>
      <c r="BI1336" s="30"/>
      <c r="BJ1336" s="30"/>
      <c r="BK1336" s="30"/>
      <c r="BL1336" s="30"/>
      <c r="BM1336" s="30"/>
      <c r="BN1336" s="30"/>
      <c r="BO1336" s="30"/>
      <c r="BP1336" s="30"/>
      <c r="BQ1336" s="30"/>
      <c r="BR1336" s="30"/>
      <c r="BS1336" s="30"/>
      <c r="BT1336" s="30"/>
      <c r="BU1336" s="30"/>
      <c r="BV1336" s="30"/>
      <c r="BW1336" s="30"/>
      <c r="BX1336" s="30"/>
      <c r="BY1336" s="30"/>
      <c r="BZ1336" s="30"/>
      <c r="CA1336" s="30"/>
      <c r="CB1336" s="30"/>
      <c r="CC1336" s="30"/>
      <c r="CD1336" s="30"/>
      <c r="CE1336" s="30"/>
      <c r="CF1336" s="30"/>
      <c r="CG1336" s="30"/>
      <c r="CH1336" s="30"/>
      <c r="CI1336" s="30"/>
      <c r="CJ1336" s="30"/>
      <c r="CK1336" s="30"/>
      <c r="CL1336" s="30"/>
      <c r="CM1336" s="30"/>
      <c r="CN1336" s="30"/>
      <c r="CO1336" s="30"/>
      <c r="CP1336" s="30"/>
      <c r="CQ1336" s="30"/>
      <c r="CR1336" s="30"/>
      <c r="CS1336" s="30"/>
      <c r="CT1336" s="30"/>
      <c r="CU1336" s="30"/>
      <c r="CV1336" s="30"/>
      <c r="CW1336" s="30"/>
      <c r="CX1336" s="30"/>
      <c r="CY1336" s="30"/>
      <c r="CZ1336" s="30"/>
      <c r="DA1336" s="30"/>
      <c r="DB1336" s="30"/>
      <c r="DC1336" s="30"/>
      <c r="DD1336" s="30"/>
      <c r="DE1336" s="30"/>
      <c r="DF1336" s="30"/>
      <c r="DG1336" s="30"/>
      <c r="DH1336" s="30"/>
      <c r="DI1336" s="30"/>
      <c r="DJ1336" s="30"/>
      <c r="DK1336" s="30"/>
      <c r="DL1336" s="30"/>
      <c r="DM1336" s="30"/>
      <c r="DN1336" s="30"/>
      <c r="DO1336" s="30"/>
      <c r="DP1336" s="30"/>
      <c r="DQ1336" s="30"/>
      <c r="DR1336" s="30"/>
      <c r="DS1336" s="30"/>
      <c r="DT1336" s="30"/>
      <c r="DU1336" s="30"/>
      <c r="DV1336" s="30"/>
      <c r="DW1336" s="30"/>
      <c r="DX1336" s="30"/>
      <c r="DY1336" s="30"/>
      <c r="DZ1336" s="30"/>
    </row>
    <row r="1337">
      <c r="A1337" s="30"/>
      <c r="B1337" s="42"/>
      <c r="C1337" s="43"/>
      <c r="D1337" s="30"/>
      <c r="E1337" s="28"/>
      <c r="F1337" s="30"/>
      <c r="G1337" s="30"/>
      <c r="H1337" s="30"/>
      <c r="I1337" s="30"/>
      <c r="J1337" s="28"/>
      <c r="K1337" s="30"/>
      <c r="L1337" s="30"/>
      <c r="M1337" s="30"/>
      <c r="N1337" s="30"/>
      <c r="O1337" s="28"/>
      <c r="P1337" s="30"/>
      <c r="Q1337" s="30"/>
      <c r="R1337" s="30"/>
      <c r="S1337" s="36"/>
      <c r="T1337" s="30"/>
      <c r="U1337" s="36"/>
      <c r="V1337" s="30"/>
      <c r="W1337" s="28"/>
      <c r="X1337" s="30"/>
      <c r="Y1337" s="30"/>
      <c r="Z1337" s="30"/>
      <c r="AA1337" s="30"/>
      <c r="AB1337" s="30"/>
      <c r="AC1337" s="28"/>
      <c r="AD1337" s="30"/>
      <c r="AE1337" s="30"/>
      <c r="AF1337" s="30"/>
      <c r="AG1337" s="29"/>
      <c r="AH1337" s="30"/>
      <c r="AI1337" s="36"/>
      <c r="AJ1337" s="30"/>
      <c r="AK1337" s="29"/>
      <c r="AL1337" s="30"/>
      <c r="AM1337" s="30"/>
      <c r="AN1337" s="30"/>
      <c r="AO1337" s="30"/>
      <c r="AP1337" s="30"/>
      <c r="AQ1337" s="38"/>
      <c r="AR1337" s="30"/>
      <c r="AS1337" s="30"/>
      <c r="AT1337" s="29"/>
      <c r="AU1337" s="30"/>
      <c r="AV1337" s="30"/>
      <c r="AW1337" s="30"/>
      <c r="AX1337" s="29"/>
      <c r="AY1337" s="39"/>
      <c r="AZ1337" s="30"/>
      <c r="BA1337" s="30"/>
      <c r="BB1337" s="29"/>
      <c r="BC1337" s="52"/>
      <c r="BD1337" s="30"/>
      <c r="BE1337" s="29"/>
      <c r="BF1337" s="30"/>
      <c r="BG1337" s="30"/>
      <c r="BH1337" s="30"/>
      <c r="BI1337" s="30"/>
      <c r="BJ1337" s="30"/>
      <c r="BK1337" s="30"/>
      <c r="BL1337" s="30"/>
      <c r="BM1337" s="30"/>
      <c r="BN1337" s="30"/>
      <c r="BO1337" s="30"/>
      <c r="BP1337" s="30"/>
      <c r="BQ1337" s="30"/>
      <c r="BR1337" s="30"/>
      <c r="BS1337" s="30"/>
      <c r="BT1337" s="30"/>
      <c r="BU1337" s="30"/>
      <c r="BV1337" s="30"/>
      <c r="BW1337" s="30"/>
      <c r="BX1337" s="30"/>
      <c r="BY1337" s="30"/>
      <c r="BZ1337" s="30"/>
      <c r="CA1337" s="30"/>
      <c r="CB1337" s="30"/>
      <c r="CC1337" s="30"/>
      <c r="CD1337" s="30"/>
      <c r="CE1337" s="30"/>
      <c r="CF1337" s="30"/>
      <c r="CG1337" s="30"/>
      <c r="CH1337" s="30"/>
      <c r="CI1337" s="30"/>
      <c r="CJ1337" s="30"/>
      <c r="CK1337" s="30"/>
      <c r="CL1337" s="30"/>
      <c r="CM1337" s="30"/>
      <c r="CN1337" s="30"/>
      <c r="CO1337" s="30"/>
      <c r="CP1337" s="30"/>
      <c r="CQ1337" s="30"/>
      <c r="CR1337" s="30"/>
      <c r="CS1337" s="30"/>
      <c r="CT1337" s="30"/>
      <c r="CU1337" s="30"/>
      <c r="CV1337" s="30"/>
      <c r="CW1337" s="30"/>
      <c r="CX1337" s="30"/>
      <c r="CY1337" s="30"/>
      <c r="CZ1337" s="30"/>
      <c r="DA1337" s="30"/>
      <c r="DB1337" s="30"/>
      <c r="DC1337" s="30"/>
      <c r="DD1337" s="30"/>
      <c r="DE1337" s="30"/>
      <c r="DF1337" s="30"/>
      <c r="DG1337" s="30"/>
      <c r="DH1337" s="30"/>
      <c r="DI1337" s="30"/>
      <c r="DJ1337" s="30"/>
      <c r="DK1337" s="30"/>
      <c r="DL1337" s="30"/>
      <c r="DM1337" s="30"/>
      <c r="DN1337" s="30"/>
      <c r="DO1337" s="30"/>
      <c r="DP1337" s="30"/>
      <c r="DQ1337" s="30"/>
      <c r="DR1337" s="30"/>
      <c r="DS1337" s="30"/>
      <c r="DT1337" s="30"/>
      <c r="DU1337" s="30"/>
      <c r="DV1337" s="30"/>
      <c r="DW1337" s="30"/>
      <c r="DX1337" s="30"/>
      <c r="DY1337" s="30"/>
      <c r="DZ1337" s="30"/>
    </row>
    <row r="1338">
      <c r="A1338" s="30"/>
      <c r="B1338" s="42"/>
      <c r="C1338" s="43"/>
      <c r="D1338" s="30"/>
      <c r="E1338" s="28"/>
      <c r="F1338" s="30"/>
      <c r="G1338" s="30"/>
      <c r="H1338" s="30"/>
      <c r="I1338" s="30"/>
      <c r="J1338" s="28"/>
      <c r="K1338" s="30"/>
      <c r="L1338" s="30"/>
      <c r="M1338" s="30"/>
      <c r="N1338" s="30"/>
      <c r="O1338" s="28"/>
      <c r="P1338" s="30"/>
      <c r="Q1338" s="30"/>
      <c r="R1338" s="30"/>
      <c r="S1338" s="36"/>
      <c r="T1338" s="30"/>
      <c r="U1338" s="36"/>
      <c r="V1338" s="30"/>
      <c r="W1338" s="28"/>
      <c r="X1338" s="30"/>
      <c r="Y1338" s="30"/>
      <c r="Z1338" s="30"/>
      <c r="AA1338" s="30"/>
      <c r="AB1338" s="30"/>
      <c r="AC1338" s="28"/>
      <c r="AD1338" s="30"/>
      <c r="AE1338" s="30"/>
      <c r="AF1338" s="30"/>
      <c r="AG1338" s="29"/>
      <c r="AH1338" s="30"/>
      <c r="AI1338" s="36"/>
      <c r="AJ1338" s="30"/>
      <c r="AK1338" s="29"/>
      <c r="AL1338" s="30"/>
      <c r="AM1338" s="30"/>
      <c r="AN1338" s="30"/>
      <c r="AO1338" s="30"/>
      <c r="AP1338" s="30"/>
      <c r="AQ1338" s="38"/>
      <c r="AR1338" s="30"/>
      <c r="AS1338" s="30"/>
      <c r="AT1338" s="29"/>
      <c r="AU1338" s="30"/>
      <c r="AV1338" s="30"/>
      <c r="AW1338" s="30"/>
      <c r="AX1338" s="29"/>
      <c r="AY1338" s="39"/>
      <c r="AZ1338" s="30"/>
      <c r="BA1338" s="30"/>
      <c r="BB1338" s="29"/>
      <c r="BC1338" s="52"/>
      <c r="BD1338" s="30"/>
      <c r="BE1338" s="29"/>
      <c r="BF1338" s="30"/>
      <c r="BG1338" s="30"/>
      <c r="BH1338" s="30"/>
      <c r="BI1338" s="30"/>
      <c r="BJ1338" s="30"/>
      <c r="BK1338" s="30"/>
      <c r="BL1338" s="30"/>
      <c r="BM1338" s="30"/>
      <c r="BN1338" s="30"/>
      <c r="BO1338" s="30"/>
      <c r="BP1338" s="30"/>
      <c r="BQ1338" s="30"/>
      <c r="BR1338" s="30"/>
      <c r="BS1338" s="30"/>
      <c r="BT1338" s="30"/>
      <c r="BU1338" s="30"/>
      <c r="BV1338" s="30"/>
      <c r="BW1338" s="30"/>
      <c r="BX1338" s="30"/>
      <c r="BY1338" s="30"/>
      <c r="BZ1338" s="30"/>
      <c r="CA1338" s="30"/>
      <c r="CB1338" s="30"/>
      <c r="CC1338" s="30"/>
      <c r="CD1338" s="30"/>
      <c r="CE1338" s="30"/>
      <c r="CF1338" s="30"/>
      <c r="CG1338" s="30"/>
      <c r="CH1338" s="30"/>
      <c r="CI1338" s="30"/>
      <c r="CJ1338" s="30"/>
      <c r="CK1338" s="30"/>
      <c r="CL1338" s="30"/>
      <c r="CM1338" s="30"/>
      <c r="CN1338" s="30"/>
      <c r="CO1338" s="30"/>
      <c r="CP1338" s="30"/>
      <c r="CQ1338" s="30"/>
      <c r="CR1338" s="30"/>
      <c r="CS1338" s="30"/>
      <c r="CT1338" s="30"/>
      <c r="CU1338" s="30"/>
      <c r="CV1338" s="30"/>
      <c r="CW1338" s="30"/>
      <c r="CX1338" s="30"/>
      <c r="CY1338" s="30"/>
      <c r="CZ1338" s="30"/>
      <c r="DA1338" s="30"/>
      <c r="DB1338" s="30"/>
      <c r="DC1338" s="30"/>
      <c r="DD1338" s="30"/>
      <c r="DE1338" s="30"/>
      <c r="DF1338" s="30"/>
      <c r="DG1338" s="30"/>
      <c r="DH1338" s="30"/>
      <c r="DI1338" s="30"/>
      <c r="DJ1338" s="30"/>
      <c r="DK1338" s="30"/>
      <c r="DL1338" s="30"/>
      <c r="DM1338" s="30"/>
      <c r="DN1338" s="30"/>
      <c r="DO1338" s="30"/>
      <c r="DP1338" s="30"/>
      <c r="DQ1338" s="30"/>
      <c r="DR1338" s="30"/>
      <c r="DS1338" s="30"/>
      <c r="DT1338" s="30"/>
      <c r="DU1338" s="30"/>
      <c r="DV1338" s="30"/>
      <c r="DW1338" s="30"/>
      <c r="DX1338" s="30"/>
      <c r="DY1338" s="30"/>
      <c r="DZ1338" s="30"/>
    </row>
    <row r="1339">
      <c r="A1339" s="30"/>
      <c r="B1339" s="42"/>
      <c r="C1339" s="43"/>
      <c r="D1339" s="30"/>
      <c r="E1339" s="28"/>
      <c r="F1339" s="30"/>
      <c r="G1339" s="30"/>
      <c r="H1339" s="30"/>
      <c r="I1339" s="30"/>
      <c r="J1339" s="28"/>
      <c r="K1339" s="30"/>
      <c r="L1339" s="30"/>
      <c r="M1339" s="30"/>
      <c r="N1339" s="30"/>
      <c r="O1339" s="28"/>
      <c r="P1339" s="30"/>
      <c r="Q1339" s="30"/>
      <c r="R1339" s="30"/>
      <c r="S1339" s="36"/>
      <c r="T1339" s="30"/>
      <c r="U1339" s="36"/>
      <c r="V1339" s="30"/>
      <c r="W1339" s="28"/>
      <c r="X1339" s="30"/>
      <c r="Y1339" s="30"/>
      <c r="Z1339" s="30"/>
      <c r="AA1339" s="30"/>
      <c r="AB1339" s="30"/>
      <c r="AC1339" s="28"/>
      <c r="AD1339" s="30"/>
      <c r="AE1339" s="30"/>
      <c r="AF1339" s="30"/>
      <c r="AG1339" s="29"/>
      <c r="AH1339" s="30"/>
      <c r="AI1339" s="36"/>
      <c r="AJ1339" s="30"/>
      <c r="AK1339" s="29"/>
      <c r="AL1339" s="30"/>
      <c r="AM1339" s="30"/>
      <c r="AN1339" s="30"/>
      <c r="AO1339" s="30"/>
      <c r="AP1339" s="30"/>
      <c r="AQ1339" s="38"/>
      <c r="AR1339" s="30"/>
      <c r="AS1339" s="30"/>
      <c r="AT1339" s="29"/>
      <c r="AU1339" s="30"/>
      <c r="AV1339" s="30"/>
      <c r="AW1339" s="30"/>
      <c r="AX1339" s="29"/>
      <c r="AY1339" s="39"/>
      <c r="AZ1339" s="30"/>
      <c r="BA1339" s="30"/>
      <c r="BB1339" s="29"/>
      <c r="BC1339" s="52"/>
      <c r="BD1339" s="30"/>
      <c r="BE1339" s="29"/>
      <c r="BF1339" s="30"/>
      <c r="BG1339" s="30"/>
      <c r="BH1339" s="30"/>
      <c r="BI1339" s="30"/>
      <c r="BJ1339" s="30"/>
      <c r="BK1339" s="30"/>
      <c r="BL1339" s="30"/>
      <c r="BM1339" s="30"/>
      <c r="BN1339" s="30"/>
      <c r="BO1339" s="30"/>
      <c r="BP1339" s="30"/>
      <c r="BQ1339" s="30"/>
      <c r="BR1339" s="30"/>
      <c r="BS1339" s="30"/>
      <c r="BT1339" s="30"/>
      <c r="BU1339" s="30"/>
      <c r="BV1339" s="30"/>
      <c r="BW1339" s="30"/>
      <c r="BX1339" s="30"/>
      <c r="BY1339" s="30"/>
      <c r="BZ1339" s="30"/>
      <c r="CA1339" s="30"/>
      <c r="CB1339" s="30"/>
      <c r="CC1339" s="30"/>
      <c r="CD1339" s="30"/>
      <c r="CE1339" s="30"/>
      <c r="CF1339" s="30"/>
      <c r="CG1339" s="30"/>
      <c r="CH1339" s="30"/>
      <c r="CI1339" s="30"/>
      <c r="CJ1339" s="30"/>
      <c r="CK1339" s="30"/>
      <c r="CL1339" s="30"/>
      <c r="CM1339" s="30"/>
      <c r="CN1339" s="30"/>
      <c r="CO1339" s="30"/>
      <c r="CP1339" s="30"/>
      <c r="CQ1339" s="30"/>
      <c r="CR1339" s="30"/>
      <c r="CS1339" s="30"/>
      <c r="CT1339" s="30"/>
      <c r="CU1339" s="30"/>
      <c r="CV1339" s="30"/>
      <c r="CW1339" s="30"/>
      <c r="CX1339" s="30"/>
      <c r="CY1339" s="30"/>
      <c r="CZ1339" s="30"/>
      <c r="DA1339" s="30"/>
      <c r="DB1339" s="30"/>
      <c r="DC1339" s="30"/>
      <c r="DD1339" s="30"/>
      <c r="DE1339" s="30"/>
      <c r="DF1339" s="30"/>
      <c r="DG1339" s="30"/>
      <c r="DH1339" s="30"/>
      <c r="DI1339" s="30"/>
      <c r="DJ1339" s="30"/>
      <c r="DK1339" s="30"/>
      <c r="DL1339" s="30"/>
      <c r="DM1339" s="30"/>
      <c r="DN1339" s="30"/>
      <c r="DO1339" s="30"/>
      <c r="DP1339" s="30"/>
      <c r="DQ1339" s="30"/>
      <c r="DR1339" s="30"/>
      <c r="DS1339" s="30"/>
      <c r="DT1339" s="30"/>
      <c r="DU1339" s="30"/>
      <c r="DV1339" s="30"/>
      <c r="DW1339" s="30"/>
      <c r="DX1339" s="30"/>
      <c r="DY1339" s="30"/>
      <c r="DZ1339" s="30"/>
    </row>
    <row r="1340">
      <c r="A1340" s="30"/>
      <c r="B1340" s="42"/>
      <c r="C1340" s="43"/>
      <c r="D1340" s="30"/>
      <c r="E1340" s="28"/>
      <c r="F1340" s="30"/>
      <c r="G1340" s="30"/>
      <c r="H1340" s="30"/>
      <c r="I1340" s="30"/>
      <c r="J1340" s="28"/>
      <c r="K1340" s="30"/>
      <c r="L1340" s="30"/>
      <c r="M1340" s="30"/>
      <c r="N1340" s="30"/>
      <c r="O1340" s="28"/>
      <c r="P1340" s="30"/>
      <c r="Q1340" s="30"/>
      <c r="R1340" s="30"/>
      <c r="S1340" s="36"/>
      <c r="T1340" s="30"/>
      <c r="U1340" s="36"/>
      <c r="V1340" s="30"/>
      <c r="W1340" s="28"/>
      <c r="X1340" s="30"/>
      <c r="Y1340" s="30"/>
      <c r="Z1340" s="30"/>
      <c r="AA1340" s="30"/>
      <c r="AB1340" s="30"/>
      <c r="AC1340" s="28"/>
      <c r="AD1340" s="30"/>
      <c r="AE1340" s="30"/>
      <c r="AF1340" s="30"/>
      <c r="AG1340" s="29"/>
      <c r="AH1340" s="30"/>
      <c r="AI1340" s="36"/>
      <c r="AJ1340" s="30"/>
      <c r="AK1340" s="29"/>
      <c r="AL1340" s="30"/>
      <c r="AM1340" s="30"/>
      <c r="AN1340" s="30"/>
      <c r="AO1340" s="30"/>
      <c r="AP1340" s="30"/>
      <c r="AQ1340" s="38"/>
      <c r="AR1340" s="30"/>
      <c r="AS1340" s="30"/>
      <c r="AT1340" s="29"/>
      <c r="AU1340" s="30"/>
      <c r="AV1340" s="30"/>
      <c r="AW1340" s="30"/>
      <c r="AX1340" s="29"/>
      <c r="AY1340" s="39"/>
      <c r="AZ1340" s="30"/>
      <c r="BA1340" s="30"/>
      <c r="BB1340" s="29"/>
      <c r="BC1340" s="52"/>
      <c r="BD1340" s="30"/>
      <c r="BE1340" s="29"/>
      <c r="BF1340" s="30"/>
      <c r="BG1340" s="30"/>
      <c r="BH1340" s="30"/>
      <c r="BI1340" s="30"/>
      <c r="BJ1340" s="30"/>
      <c r="BK1340" s="30"/>
      <c r="BL1340" s="30"/>
      <c r="BM1340" s="30"/>
      <c r="BN1340" s="30"/>
      <c r="BO1340" s="30"/>
      <c r="BP1340" s="30"/>
      <c r="BQ1340" s="30"/>
      <c r="BR1340" s="30"/>
      <c r="BS1340" s="30"/>
      <c r="BT1340" s="30"/>
      <c r="BU1340" s="30"/>
      <c r="BV1340" s="30"/>
      <c r="BW1340" s="30"/>
      <c r="BX1340" s="30"/>
      <c r="BY1340" s="30"/>
      <c r="BZ1340" s="30"/>
      <c r="CA1340" s="30"/>
      <c r="CB1340" s="30"/>
      <c r="CC1340" s="30"/>
      <c r="CD1340" s="30"/>
      <c r="CE1340" s="30"/>
      <c r="CF1340" s="30"/>
      <c r="CG1340" s="30"/>
      <c r="CH1340" s="30"/>
      <c r="CI1340" s="30"/>
      <c r="CJ1340" s="30"/>
      <c r="CK1340" s="30"/>
      <c r="CL1340" s="30"/>
      <c r="CM1340" s="30"/>
      <c r="CN1340" s="30"/>
      <c r="CO1340" s="30"/>
      <c r="CP1340" s="30"/>
      <c r="CQ1340" s="30"/>
      <c r="CR1340" s="30"/>
      <c r="CS1340" s="30"/>
      <c r="CT1340" s="30"/>
      <c r="CU1340" s="30"/>
      <c r="CV1340" s="30"/>
      <c r="CW1340" s="30"/>
      <c r="CX1340" s="30"/>
      <c r="CY1340" s="30"/>
      <c r="CZ1340" s="30"/>
      <c r="DA1340" s="30"/>
      <c r="DB1340" s="30"/>
      <c r="DC1340" s="30"/>
      <c r="DD1340" s="30"/>
      <c r="DE1340" s="30"/>
      <c r="DF1340" s="30"/>
      <c r="DG1340" s="30"/>
      <c r="DH1340" s="30"/>
      <c r="DI1340" s="30"/>
      <c r="DJ1340" s="30"/>
      <c r="DK1340" s="30"/>
      <c r="DL1340" s="30"/>
      <c r="DM1340" s="30"/>
      <c r="DN1340" s="30"/>
      <c r="DO1340" s="30"/>
      <c r="DP1340" s="30"/>
      <c r="DQ1340" s="30"/>
      <c r="DR1340" s="30"/>
      <c r="DS1340" s="30"/>
      <c r="DT1340" s="30"/>
      <c r="DU1340" s="30"/>
      <c r="DV1340" s="30"/>
      <c r="DW1340" s="30"/>
      <c r="DX1340" s="30"/>
      <c r="DY1340" s="30"/>
      <c r="DZ1340" s="30"/>
    </row>
    <row r="1341">
      <c r="A1341" s="30"/>
      <c r="B1341" s="42"/>
      <c r="C1341" s="43"/>
      <c r="D1341" s="30"/>
      <c r="E1341" s="28"/>
      <c r="F1341" s="30"/>
      <c r="G1341" s="30"/>
      <c r="H1341" s="30"/>
      <c r="I1341" s="30"/>
      <c r="J1341" s="28"/>
      <c r="K1341" s="30"/>
      <c r="L1341" s="30"/>
      <c r="M1341" s="30"/>
      <c r="N1341" s="30"/>
      <c r="O1341" s="28"/>
      <c r="P1341" s="30"/>
      <c r="Q1341" s="30"/>
      <c r="R1341" s="30"/>
      <c r="S1341" s="36"/>
      <c r="T1341" s="30"/>
      <c r="U1341" s="36"/>
      <c r="V1341" s="30"/>
      <c r="W1341" s="28"/>
      <c r="X1341" s="30"/>
      <c r="Y1341" s="30"/>
      <c r="Z1341" s="30"/>
      <c r="AA1341" s="30"/>
      <c r="AB1341" s="30"/>
      <c r="AC1341" s="28"/>
      <c r="AD1341" s="30"/>
      <c r="AE1341" s="30"/>
      <c r="AF1341" s="30"/>
      <c r="AG1341" s="29"/>
      <c r="AH1341" s="30"/>
      <c r="AI1341" s="36"/>
      <c r="AJ1341" s="30"/>
      <c r="AK1341" s="29"/>
      <c r="AL1341" s="30"/>
      <c r="AM1341" s="30"/>
      <c r="AN1341" s="30"/>
      <c r="AO1341" s="30"/>
      <c r="AP1341" s="30"/>
      <c r="AQ1341" s="38"/>
      <c r="AR1341" s="30"/>
      <c r="AS1341" s="30"/>
      <c r="AT1341" s="29"/>
      <c r="AU1341" s="30"/>
      <c r="AV1341" s="30"/>
      <c r="AW1341" s="30"/>
      <c r="AX1341" s="29"/>
      <c r="AY1341" s="39"/>
      <c r="AZ1341" s="30"/>
      <c r="BA1341" s="30"/>
      <c r="BB1341" s="29"/>
      <c r="BC1341" s="52"/>
      <c r="BD1341" s="30"/>
      <c r="BE1341" s="29"/>
      <c r="BF1341" s="30"/>
      <c r="BG1341" s="30"/>
      <c r="BH1341" s="30"/>
      <c r="BI1341" s="30"/>
      <c r="BJ1341" s="30"/>
      <c r="BK1341" s="30"/>
      <c r="BL1341" s="30"/>
      <c r="BM1341" s="30"/>
      <c r="BN1341" s="30"/>
      <c r="BO1341" s="30"/>
      <c r="BP1341" s="30"/>
      <c r="BQ1341" s="30"/>
      <c r="BR1341" s="30"/>
      <c r="BS1341" s="30"/>
      <c r="BT1341" s="30"/>
      <c r="BU1341" s="30"/>
      <c r="BV1341" s="30"/>
      <c r="BW1341" s="30"/>
      <c r="BX1341" s="30"/>
      <c r="BY1341" s="30"/>
      <c r="BZ1341" s="30"/>
      <c r="CA1341" s="30"/>
      <c r="CB1341" s="30"/>
      <c r="CC1341" s="30"/>
      <c r="CD1341" s="30"/>
      <c r="CE1341" s="30"/>
      <c r="CF1341" s="30"/>
      <c r="CG1341" s="30"/>
      <c r="CH1341" s="30"/>
      <c r="CI1341" s="30"/>
      <c r="CJ1341" s="30"/>
      <c r="CK1341" s="30"/>
      <c r="CL1341" s="30"/>
      <c r="CM1341" s="30"/>
      <c r="CN1341" s="30"/>
      <c r="CO1341" s="30"/>
      <c r="CP1341" s="30"/>
      <c r="CQ1341" s="30"/>
      <c r="CR1341" s="30"/>
      <c r="CS1341" s="30"/>
      <c r="CT1341" s="30"/>
      <c r="CU1341" s="30"/>
      <c r="CV1341" s="30"/>
      <c r="CW1341" s="30"/>
      <c r="CX1341" s="30"/>
      <c r="CY1341" s="30"/>
      <c r="CZ1341" s="30"/>
      <c r="DA1341" s="30"/>
      <c r="DB1341" s="30"/>
      <c r="DC1341" s="30"/>
      <c r="DD1341" s="30"/>
      <c r="DE1341" s="30"/>
      <c r="DF1341" s="30"/>
      <c r="DG1341" s="30"/>
      <c r="DH1341" s="30"/>
      <c r="DI1341" s="30"/>
      <c r="DJ1341" s="30"/>
      <c r="DK1341" s="30"/>
      <c r="DL1341" s="30"/>
      <c r="DM1341" s="30"/>
      <c r="DN1341" s="30"/>
      <c r="DO1341" s="30"/>
      <c r="DP1341" s="30"/>
      <c r="DQ1341" s="30"/>
      <c r="DR1341" s="30"/>
      <c r="DS1341" s="30"/>
      <c r="DT1341" s="30"/>
      <c r="DU1341" s="30"/>
      <c r="DV1341" s="30"/>
      <c r="DW1341" s="30"/>
      <c r="DX1341" s="30"/>
      <c r="DY1341" s="30"/>
      <c r="DZ1341" s="30"/>
    </row>
    <row r="1342">
      <c r="A1342" s="30"/>
      <c r="B1342" s="42"/>
      <c r="C1342" s="43"/>
      <c r="D1342" s="30"/>
      <c r="E1342" s="28"/>
      <c r="F1342" s="30"/>
      <c r="G1342" s="30"/>
      <c r="H1342" s="30"/>
      <c r="I1342" s="30"/>
      <c r="J1342" s="28"/>
      <c r="K1342" s="30"/>
      <c r="L1342" s="30"/>
      <c r="M1342" s="30"/>
      <c r="N1342" s="30"/>
      <c r="O1342" s="28"/>
      <c r="P1342" s="30"/>
      <c r="Q1342" s="30"/>
      <c r="R1342" s="30"/>
      <c r="S1342" s="36"/>
      <c r="T1342" s="30"/>
      <c r="U1342" s="36"/>
      <c r="V1342" s="30"/>
      <c r="W1342" s="28"/>
      <c r="X1342" s="30"/>
      <c r="Y1342" s="30"/>
      <c r="Z1342" s="30"/>
      <c r="AA1342" s="30"/>
      <c r="AB1342" s="30"/>
      <c r="AC1342" s="28"/>
      <c r="AD1342" s="30"/>
      <c r="AE1342" s="30"/>
      <c r="AF1342" s="30"/>
      <c r="AG1342" s="29"/>
      <c r="AH1342" s="30"/>
      <c r="AI1342" s="36"/>
      <c r="AJ1342" s="30"/>
      <c r="AK1342" s="29"/>
      <c r="AL1342" s="30"/>
      <c r="AM1342" s="30"/>
      <c r="AN1342" s="30"/>
      <c r="AO1342" s="30"/>
      <c r="AP1342" s="30"/>
      <c r="AQ1342" s="38"/>
      <c r="AR1342" s="30"/>
      <c r="AS1342" s="30"/>
      <c r="AT1342" s="29"/>
      <c r="AU1342" s="30"/>
      <c r="AV1342" s="30"/>
      <c r="AW1342" s="30"/>
      <c r="AX1342" s="29"/>
      <c r="AY1342" s="39"/>
      <c r="AZ1342" s="30"/>
      <c r="BA1342" s="30"/>
      <c r="BB1342" s="29"/>
      <c r="BC1342" s="52"/>
      <c r="BD1342" s="30"/>
      <c r="BE1342" s="29"/>
      <c r="BF1342" s="30"/>
      <c r="BG1342" s="30"/>
      <c r="BH1342" s="30"/>
      <c r="BI1342" s="30"/>
      <c r="BJ1342" s="30"/>
      <c r="BK1342" s="30"/>
      <c r="BL1342" s="30"/>
      <c r="BM1342" s="30"/>
      <c r="BN1342" s="30"/>
      <c r="BO1342" s="30"/>
      <c r="BP1342" s="30"/>
      <c r="BQ1342" s="30"/>
      <c r="BR1342" s="30"/>
      <c r="BS1342" s="30"/>
      <c r="BT1342" s="30"/>
      <c r="BU1342" s="30"/>
      <c r="BV1342" s="30"/>
      <c r="BW1342" s="30"/>
      <c r="BX1342" s="30"/>
      <c r="BY1342" s="30"/>
      <c r="BZ1342" s="30"/>
      <c r="CA1342" s="30"/>
      <c r="CB1342" s="30"/>
      <c r="CC1342" s="30"/>
      <c r="CD1342" s="30"/>
      <c r="CE1342" s="30"/>
      <c r="CF1342" s="30"/>
      <c r="CG1342" s="30"/>
      <c r="CH1342" s="30"/>
      <c r="CI1342" s="30"/>
      <c r="CJ1342" s="30"/>
      <c r="CK1342" s="30"/>
      <c r="CL1342" s="30"/>
      <c r="CM1342" s="30"/>
      <c r="CN1342" s="30"/>
      <c r="CO1342" s="30"/>
      <c r="CP1342" s="30"/>
      <c r="CQ1342" s="30"/>
      <c r="CR1342" s="30"/>
      <c r="CS1342" s="30"/>
      <c r="CT1342" s="30"/>
      <c r="CU1342" s="30"/>
      <c r="CV1342" s="30"/>
      <c r="CW1342" s="30"/>
      <c r="CX1342" s="30"/>
      <c r="CY1342" s="30"/>
      <c r="CZ1342" s="30"/>
      <c r="DA1342" s="30"/>
      <c r="DB1342" s="30"/>
      <c r="DC1342" s="30"/>
      <c r="DD1342" s="30"/>
      <c r="DE1342" s="30"/>
      <c r="DF1342" s="30"/>
      <c r="DG1342" s="30"/>
      <c r="DH1342" s="30"/>
      <c r="DI1342" s="30"/>
      <c r="DJ1342" s="30"/>
      <c r="DK1342" s="30"/>
      <c r="DL1342" s="30"/>
      <c r="DM1342" s="30"/>
      <c r="DN1342" s="30"/>
      <c r="DO1342" s="30"/>
      <c r="DP1342" s="30"/>
      <c r="DQ1342" s="30"/>
      <c r="DR1342" s="30"/>
      <c r="DS1342" s="30"/>
      <c r="DT1342" s="30"/>
      <c r="DU1342" s="30"/>
      <c r="DV1342" s="30"/>
      <c r="DW1342" s="30"/>
      <c r="DX1342" s="30"/>
      <c r="DY1342" s="30"/>
      <c r="DZ1342" s="30"/>
    </row>
    <row r="1343">
      <c r="A1343" s="30"/>
      <c r="B1343" s="42"/>
      <c r="C1343" s="43"/>
      <c r="D1343" s="30"/>
      <c r="E1343" s="28"/>
      <c r="F1343" s="30"/>
      <c r="G1343" s="30"/>
      <c r="H1343" s="30"/>
      <c r="I1343" s="30"/>
      <c r="J1343" s="28"/>
      <c r="K1343" s="30"/>
      <c r="L1343" s="30"/>
      <c r="M1343" s="30"/>
      <c r="N1343" s="30"/>
      <c r="O1343" s="28"/>
      <c r="P1343" s="30"/>
      <c r="Q1343" s="30"/>
      <c r="R1343" s="30"/>
      <c r="S1343" s="36"/>
      <c r="T1343" s="30"/>
      <c r="U1343" s="36"/>
      <c r="V1343" s="30"/>
      <c r="W1343" s="28"/>
      <c r="X1343" s="30"/>
      <c r="Y1343" s="30"/>
      <c r="Z1343" s="30"/>
      <c r="AA1343" s="30"/>
      <c r="AB1343" s="30"/>
      <c r="AC1343" s="28"/>
      <c r="AD1343" s="30"/>
      <c r="AE1343" s="30"/>
      <c r="AF1343" s="30"/>
      <c r="AG1343" s="29"/>
      <c r="AH1343" s="30"/>
      <c r="AI1343" s="36"/>
      <c r="AJ1343" s="30"/>
      <c r="AK1343" s="29"/>
      <c r="AL1343" s="30"/>
      <c r="AM1343" s="30"/>
      <c r="AN1343" s="30"/>
      <c r="AO1343" s="30"/>
      <c r="AP1343" s="30"/>
      <c r="AQ1343" s="38"/>
      <c r="AR1343" s="30"/>
      <c r="AS1343" s="30"/>
      <c r="AT1343" s="29"/>
      <c r="AU1343" s="30"/>
      <c r="AV1343" s="30"/>
      <c r="AW1343" s="30"/>
      <c r="AX1343" s="29"/>
      <c r="AY1343" s="39"/>
      <c r="AZ1343" s="30"/>
      <c r="BA1343" s="30"/>
      <c r="BB1343" s="29"/>
      <c r="BC1343" s="52"/>
      <c r="BD1343" s="30"/>
      <c r="BE1343" s="29"/>
      <c r="BF1343" s="30"/>
      <c r="BG1343" s="30"/>
      <c r="BH1343" s="30"/>
      <c r="BI1343" s="30"/>
      <c r="BJ1343" s="30"/>
      <c r="BK1343" s="30"/>
      <c r="BL1343" s="30"/>
      <c r="BM1343" s="30"/>
      <c r="BN1343" s="30"/>
      <c r="BO1343" s="30"/>
      <c r="BP1343" s="30"/>
      <c r="BQ1343" s="30"/>
      <c r="BR1343" s="30"/>
      <c r="BS1343" s="30"/>
      <c r="BT1343" s="30"/>
      <c r="BU1343" s="30"/>
      <c r="BV1343" s="30"/>
      <c r="BW1343" s="30"/>
      <c r="BX1343" s="30"/>
      <c r="BY1343" s="30"/>
      <c r="BZ1343" s="30"/>
      <c r="CA1343" s="30"/>
      <c r="CB1343" s="30"/>
      <c r="CC1343" s="30"/>
      <c r="CD1343" s="30"/>
      <c r="CE1343" s="30"/>
      <c r="CF1343" s="30"/>
      <c r="CG1343" s="30"/>
      <c r="CH1343" s="30"/>
      <c r="CI1343" s="30"/>
      <c r="CJ1343" s="30"/>
      <c r="CK1343" s="30"/>
      <c r="CL1343" s="30"/>
      <c r="CM1343" s="30"/>
      <c r="CN1343" s="30"/>
      <c r="CO1343" s="30"/>
      <c r="CP1343" s="30"/>
      <c r="CQ1343" s="30"/>
      <c r="CR1343" s="30"/>
      <c r="CS1343" s="30"/>
      <c r="CT1343" s="30"/>
      <c r="CU1343" s="30"/>
      <c r="CV1343" s="30"/>
      <c r="CW1343" s="30"/>
      <c r="CX1343" s="30"/>
      <c r="CY1343" s="30"/>
      <c r="CZ1343" s="30"/>
      <c r="DA1343" s="30"/>
      <c r="DB1343" s="30"/>
      <c r="DC1343" s="30"/>
      <c r="DD1343" s="30"/>
      <c r="DE1343" s="30"/>
      <c r="DF1343" s="30"/>
      <c r="DG1343" s="30"/>
      <c r="DH1343" s="30"/>
      <c r="DI1343" s="30"/>
      <c r="DJ1343" s="30"/>
      <c r="DK1343" s="30"/>
      <c r="DL1343" s="30"/>
      <c r="DM1343" s="30"/>
      <c r="DN1343" s="30"/>
      <c r="DO1343" s="30"/>
      <c r="DP1343" s="30"/>
      <c r="DQ1343" s="30"/>
      <c r="DR1343" s="30"/>
      <c r="DS1343" s="30"/>
      <c r="DT1343" s="30"/>
      <c r="DU1343" s="30"/>
      <c r="DV1343" s="30"/>
      <c r="DW1343" s="30"/>
      <c r="DX1343" s="30"/>
      <c r="DY1343" s="30"/>
      <c r="DZ1343" s="30"/>
    </row>
    <row r="1344">
      <c r="A1344" s="30"/>
      <c r="B1344" s="42"/>
      <c r="C1344" s="43"/>
      <c r="D1344" s="30"/>
      <c r="E1344" s="28"/>
      <c r="F1344" s="30"/>
      <c r="G1344" s="30"/>
      <c r="H1344" s="30"/>
      <c r="I1344" s="30"/>
      <c r="J1344" s="28"/>
      <c r="K1344" s="30"/>
      <c r="L1344" s="30"/>
      <c r="M1344" s="30"/>
      <c r="N1344" s="30"/>
      <c r="O1344" s="28"/>
      <c r="P1344" s="30"/>
      <c r="Q1344" s="30"/>
      <c r="R1344" s="30"/>
      <c r="S1344" s="36"/>
      <c r="T1344" s="30"/>
      <c r="U1344" s="36"/>
      <c r="V1344" s="30"/>
      <c r="W1344" s="28"/>
      <c r="X1344" s="30"/>
      <c r="Y1344" s="30"/>
      <c r="Z1344" s="30"/>
      <c r="AA1344" s="30"/>
      <c r="AB1344" s="30"/>
      <c r="AC1344" s="28"/>
      <c r="AD1344" s="30"/>
      <c r="AE1344" s="30"/>
      <c r="AF1344" s="30"/>
      <c r="AG1344" s="29"/>
      <c r="AH1344" s="30"/>
      <c r="AI1344" s="36"/>
      <c r="AJ1344" s="30"/>
      <c r="AK1344" s="29"/>
      <c r="AL1344" s="30"/>
      <c r="AM1344" s="30"/>
      <c r="AN1344" s="30"/>
      <c r="AO1344" s="30"/>
      <c r="AP1344" s="30"/>
      <c r="AQ1344" s="38"/>
      <c r="AR1344" s="30"/>
      <c r="AS1344" s="30"/>
      <c r="AT1344" s="29"/>
      <c r="AU1344" s="30"/>
      <c r="AV1344" s="30"/>
      <c r="AW1344" s="30"/>
      <c r="AX1344" s="29"/>
      <c r="AY1344" s="39"/>
      <c r="AZ1344" s="30"/>
      <c r="BA1344" s="30"/>
      <c r="BB1344" s="29"/>
      <c r="BC1344" s="52"/>
      <c r="BD1344" s="30"/>
      <c r="BE1344" s="29"/>
      <c r="BF1344" s="30"/>
      <c r="BG1344" s="30"/>
      <c r="BH1344" s="30"/>
      <c r="BI1344" s="30"/>
      <c r="BJ1344" s="30"/>
      <c r="BK1344" s="30"/>
      <c r="BL1344" s="30"/>
      <c r="BM1344" s="30"/>
      <c r="BN1344" s="30"/>
      <c r="BO1344" s="30"/>
      <c r="BP1344" s="30"/>
      <c r="BQ1344" s="30"/>
      <c r="BR1344" s="30"/>
      <c r="BS1344" s="30"/>
      <c r="BT1344" s="30"/>
      <c r="BU1344" s="30"/>
      <c r="BV1344" s="30"/>
      <c r="BW1344" s="30"/>
      <c r="BX1344" s="30"/>
      <c r="BY1344" s="30"/>
      <c r="BZ1344" s="30"/>
      <c r="CA1344" s="30"/>
      <c r="CB1344" s="30"/>
      <c r="CC1344" s="30"/>
      <c r="CD1344" s="30"/>
      <c r="CE1344" s="30"/>
      <c r="CF1344" s="30"/>
      <c r="CG1344" s="30"/>
      <c r="CH1344" s="30"/>
      <c r="CI1344" s="30"/>
      <c r="CJ1344" s="30"/>
      <c r="CK1344" s="30"/>
      <c r="CL1344" s="30"/>
      <c r="CM1344" s="30"/>
      <c r="CN1344" s="30"/>
      <c r="CO1344" s="30"/>
      <c r="CP1344" s="30"/>
      <c r="CQ1344" s="30"/>
      <c r="CR1344" s="30"/>
      <c r="CS1344" s="30"/>
      <c r="CT1344" s="30"/>
      <c r="CU1344" s="30"/>
      <c r="CV1344" s="30"/>
      <c r="CW1344" s="30"/>
      <c r="CX1344" s="30"/>
      <c r="CY1344" s="30"/>
      <c r="CZ1344" s="30"/>
      <c r="DA1344" s="30"/>
      <c r="DB1344" s="30"/>
      <c r="DC1344" s="30"/>
      <c r="DD1344" s="30"/>
      <c r="DE1344" s="30"/>
      <c r="DF1344" s="30"/>
      <c r="DG1344" s="30"/>
      <c r="DH1344" s="30"/>
      <c r="DI1344" s="30"/>
      <c r="DJ1344" s="30"/>
      <c r="DK1344" s="30"/>
      <c r="DL1344" s="30"/>
      <c r="DM1344" s="30"/>
      <c r="DN1344" s="30"/>
      <c r="DO1344" s="30"/>
      <c r="DP1344" s="30"/>
      <c r="DQ1344" s="30"/>
      <c r="DR1344" s="30"/>
      <c r="DS1344" s="30"/>
      <c r="DT1344" s="30"/>
      <c r="DU1344" s="30"/>
      <c r="DV1344" s="30"/>
      <c r="DW1344" s="30"/>
      <c r="DX1344" s="30"/>
      <c r="DY1344" s="30"/>
      <c r="DZ1344" s="30"/>
    </row>
    <row r="1345">
      <c r="A1345" s="30"/>
      <c r="B1345" s="42"/>
      <c r="C1345" s="43"/>
      <c r="D1345" s="30"/>
      <c r="E1345" s="28"/>
      <c r="F1345" s="30"/>
      <c r="G1345" s="30"/>
      <c r="H1345" s="30"/>
      <c r="I1345" s="30"/>
      <c r="J1345" s="28"/>
      <c r="K1345" s="30"/>
      <c r="L1345" s="30"/>
      <c r="M1345" s="30"/>
      <c r="N1345" s="30"/>
      <c r="O1345" s="28"/>
      <c r="P1345" s="30"/>
      <c r="Q1345" s="30"/>
      <c r="R1345" s="30"/>
      <c r="S1345" s="36"/>
      <c r="T1345" s="30"/>
      <c r="U1345" s="36"/>
      <c r="V1345" s="30"/>
      <c r="W1345" s="28"/>
      <c r="X1345" s="30"/>
      <c r="Y1345" s="30"/>
      <c r="Z1345" s="30"/>
      <c r="AA1345" s="30"/>
      <c r="AB1345" s="30"/>
      <c r="AC1345" s="28"/>
      <c r="AD1345" s="30"/>
      <c r="AE1345" s="30"/>
      <c r="AF1345" s="30"/>
      <c r="AG1345" s="29"/>
      <c r="AH1345" s="30"/>
      <c r="AI1345" s="36"/>
      <c r="AJ1345" s="30"/>
      <c r="AK1345" s="29"/>
      <c r="AL1345" s="30"/>
      <c r="AM1345" s="30"/>
      <c r="AN1345" s="30"/>
      <c r="AO1345" s="30"/>
      <c r="AP1345" s="30"/>
      <c r="AQ1345" s="38"/>
      <c r="AR1345" s="30"/>
      <c r="AS1345" s="30"/>
      <c r="AT1345" s="29"/>
      <c r="AU1345" s="30"/>
      <c r="AV1345" s="30"/>
      <c r="AW1345" s="30"/>
      <c r="AX1345" s="29"/>
      <c r="AY1345" s="39"/>
      <c r="AZ1345" s="30"/>
      <c r="BA1345" s="30"/>
      <c r="BB1345" s="29"/>
      <c r="BC1345" s="52"/>
      <c r="BD1345" s="30"/>
      <c r="BE1345" s="29"/>
      <c r="BF1345" s="30"/>
      <c r="BG1345" s="30"/>
      <c r="BH1345" s="30"/>
      <c r="BI1345" s="30"/>
      <c r="BJ1345" s="30"/>
      <c r="BK1345" s="30"/>
      <c r="BL1345" s="30"/>
      <c r="BM1345" s="30"/>
      <c r="BN1345" s="30"/>
      <c r="BO1345" s="30"/>
      <c r="BP1345" s="30"/>
      <c r="BQ1345" s="30"/>
      <c r="BR1345" s="30"/>
      <c r="BS1345" s="30"/>
      <c r="BT1345" s="30"/>
      <c r="BU1345" s="30"/>
      <c r="BV1345" s="30"/>
      <c r="BW1345" s="30"/>
      <c r="BX1345" s="30"/>
      <c r="BY1345" s="30"/>
      <c r="BZ1345" s="30"/>
      <c r="CA1345" s="30"/>
      <c r="CB1345" s="30"/>
      <c r="CC1345" s="30"/>
      <c r="CD1345" s="30"/>
      <c r="CE1345" s="30"/>
      <c r="CF1345" s="30"/>
      <c r="CG1345" s="30"/>
      <c r="CH1345" s="30"/>
      <c r="CI1345" s="30"/>
      <c r="CJ1345" s="30"/>
      <c r="CK1345" s="30"/>
      <c r="CL1345" s="30"/>
      <c r="CM1345" s="30"/>
      <c r="CN1345" s="30"/>
      <c r="CO1345" s="30"/>
      <c r="CP1345" s="30"/>
      <c r="CQ1345" s="30"/>
      <c r="CR1345" s="30"/>
      <c r="CS1345" s="30"/>
      <c r="CT1345" s="30"/>
      <c r="CU1345" s="30"/>
      <c r="CV1345" s="30"/>
      <c r="CW1345" s="30"/>
      <c r="CX1345" s="30"/>
      <c r="CY1345" s="30"/>
      <c r="CZ1345" s="30"/>
      <c r="DA1345" s="30"/>
      <c r="DB1345" s="30"/>
      <c r="DC1345" s="30"/>
      <c r="DD1345" s="30"/>
      <c r="DE1345" s="30"/>
      <c r="DF1345" s="30"/>
      <c r="DG1345" s="30"/>
      <c r="DH1345" s="30"/>
      <c r="DI1345" s="30"/>
      <c r="DJ1345" s="30"/>
      <c r="DK1345" s="30"/>
      <c r="DL1345" s="30"/>
      <c r="DM1345" s="30"/>
      <c r="DN1345" s="30"/>
      <c r="DO1345" s="30"/>
      <c r="DP1345" s="30"/>
      <c r="DQ1345" s="30"/>
      <c r="DR1345" s="30"/>
      <c r="DS1345" s="30"/>
      <c r="DT1345" s="30"/>
      <c r="DU1345" s="30"/>
      <c r="DV1345" s="30"/>
      <c r="DW1345" s="30"/>
      <c r="DX1345" s="30"/>
      <c r="DY1345" s="30"/>
      <c r="DZ1345" s="30"/>
    </row>
    <row r="1346">
      <c r="A1346" s="30"/>
      <c r="B1346" s="42"/>
      <c r="C1346" s="43"/>
      <c r="D1346" s="30"/>
      <c r="E1346" s="28"/>
      <c r="F1346" s="30"/>
      <c r="G1346" s="30"/>
      <c r="H1346" s="30"/>
      <c r="I1346" s="30"/>
      <c r="J1346" s="28"/>
      <c r="K1346" s="30"/>
      <c r="L1346" s="30"/>
      <c r="M1346" s="30"/>
      <c r="N1346" s="30"/>
      <c r="O1346" s="28"/>
      <c r="P1346" s="30"/>
      <c r="Q1346" s="30"/>
      <c r="R1346" s="30"/>
      <c r="S1346" s="36"/>
      <c r="T1346" s="30"/>
      <c r="U1346" s="36"/>
      <c r="V1346" s="30"/>
      <c r="W1346" s="28"/>
      <c r="X1346" s="30"/>
      <c r="Y1346" s="30"/>
      <c r="Z1346" s="30"/>
      <c r="AA1346" s="30"/>
      <c r="AB1346" s="30"/>
      <c r="AC1346" s="28"/>
      <c r="AD1346" s="30"/>
      <c r="AE1346" s="30"/>
      <c r="AF1346" s="30"/>
      <c r="AG1346" s="29"/>
      <c r="AH1346" s="30"/>
      <c r="AI1346" s="36"/>
      <c r="AJ1346" s="30"/>
      <c r="AK1346" s="29"/>
      <c r="AL1346" s="30"/>
      <c r="AM1346" s="30"/>
      <c r="AN1346" s="30"/>
      <c r="AO1346" s="30"/>
      <c r="AP1346" s="30"/>
      <c r="AQ1346" s="38"/>
      <c r="AR1346" s="30"/>
      <c r="AS1346" s="30"/>
      <c r="AT1346" s="29"/>
      <c r="AU1346" s="30"/>
      <c r="AV1346" s="30"/>
      <c r="AW1346" s="30"/>
      <c r="AX1346" s="29"/>
      <c r="AY1346" s="39"/>
      <c r="AZ1346" s="30"/>
      <c r="BA1346" s="30"/>
      <c r="BB1346" s="29"/>
      <c r="BC1346" s="52"/>
      <c r="BD1346" s="30"/>
      <c r="BE1346" s="29"/>
      <c r="BF1346" s="30"/>
      <c r="BG1346" s="30"/>
      <c r="BH1346" s="30"/>
      <c r="BI1346" s="30"/>
      <c r="BJ1346" s="30"/>
      <c r="BK1346" s="30"/>
      <c r="BL1346" s="30"/>
      <c r="BM1346" s="30"/>
      <c r="BN1346" s="30"/>
      <c r="BO1346" s="30"/>
      <c r="BP1346" s="30"/>
      <c r="BQ1346" s="30"/>
      <c r="BR1346" s="30"/>
      <c r="BS1346" s="30"/>
      <c r="BT1346" s="30"/>
      <c r="BU1346" s="30"/>
      <c r="BV1346" s="30"/>
      <c r="BW1346" s="30"/>
      <c r="BX1346" s="30"/>
      <c r="BY1346" s="30"/>
      <c r="BZ1346" s="30"/>
      <c r="CA1346" s="30"/>
      <c r="CB1346" s="30"/>
      <c r="CC1346" s="30"/>
      <c r="CD1346" s="30"/>
      <c r="CE1346" s="30"/>
      <c r="CF1346" s="30"/>
      <c r="CG1346" s="30"/>
      <c r="CH1346" s="30"/>
      <c r="CI1346" s="30"/>
      <c r="CJ1346" s="30"/>
      <c r="CK1346" s="30"/>
      <c r="CL1346" s="30"/>
      <c r="CM1346" s="30"/>
      <c r="CN1346" s="30"/>
      <c r="CO1346" s="30"/>
      <c r="CP1346" s="30"/>
      <c r="CQ1346" s="30"/>
      <c r="CR1346" s="30"/>
      <c r="CS1346" s="30"/>
      <c r="CT1346" s="30"/>
      <c r="CU1346" s="30"/>
      <c r="CV1346" s="30"/>
      <c r="CW1346" s="30"/>
      <c r="CX1346" s="30"/>
      <c r="CY1346" s="30"/>
      <c r="CZ1346" s="30"/>
      <c r="DA1346" s="30"/>
      <c r="DB1346" s="30"/>
      <c r="DC1346" s="30"/>
      <c r="DD1346" s="30"/>
      <c r="DE1346" s="30"/>
      <c r="DF1346" s="30"/>
      <c r="DG1346" s="30"/>
      <c r="DH1346" s="30"/>
      <c r="DI1346" s="30"/>
      <c r="DJ1346" s="30"/>
      <c r="DK1346" s="30"/>
      <c r="DL1346" s="30"/>
      <c r="DM1346" s="30"/>
      <c r="DN1346" s="30"/>
      <c r="DO1346" s="30"/>
      <c r="DP1346" s="30"/>
      <c r="DQ1346" s="30"/>
      <c r="DR1346" s="30"/>
      <c r="DS1346" s="30"/>
      <c r="DT1346" s="30"/>
      <c r="DU1346" s="30"/>
      <c r="DV1346" s="30"/>
      <c r="DW1346" s="30"/>
      <c r="DX1346" s="30"/>
      <c r="DY1346" s="30"/>
      <c r="DZ1346" s="30"/>
    </row>
    <row r="1347">
      <c r="A1347" s="30"/>
      <c r="B1347" s="42"/>
      <c r="C1347" s="43"/>
      <c r="D1347" s="30"/>
      <c r="E1347" s="28"/>
      <c r="F1347" s="30"/>
      <c r="G1347" s="30"/>
      <c r="H1347" s="30"/>
      <c r="I1347" s="30"/>
      <c r="J1347" s="28"/>
      <c r="K1347" s="30"/>
      <c r="L1347" s="30"/>
      <c r="M1347" s="30"/>
      <c r="N1347" s="30"/>
      <c r="O1347" s="28"/>
      <c r="P1347" s="30"/>
      <c r="Q1347" s="30"/>
      <c r="R1347" s="30"/>
      <c r="S1347" s="36"/>
      <c r="T1347" s="30"/>
      <c r="U1347" s="36"/>
      <c r="V1347" s="30"/>
      <c r="W1347" s="28"/>
      <c r="X1347" s="30"/>
      <c r="Y1347" s="30"/>
      <c r="Z1347" s="30"/>
      <c r="AA1347" s="30"/>
      <c r="AB1347" s="30"/>
      <c r="AC1347" s="28"/>
      <c r="AD1347" s="30"/>
      <c r="AE1347" s="30"/>
      <c r="AF1347" s="30"/>
      <c r="AG1347" s="29"/>
      <c r="AH1347" s="30"/>
      <c r="AI1347" s="36"/>
      <c r="AJ1347" s="30"/>
      <c r="AK1347" s="29"/>
      <c r="AL1347" s="30"/>
      <c r="AM1347" s="30"/>
      <c r="AN1347" s="30"/>
      <c r="AO1347" s="30"/>
      <c r="AP1347" s="30"/>
      <c r="AQ1347" s="38"/>
      <c r="AR1347" s="30"/>
      <c r="AS1347" s="30"/>
      <c r="AT1347" s="29"/>
      <c r="AU1347" s="30"/>
      <c r="AV1347" s="30"/>
      <c r="AW1347" s="30"/>
      <c r="AX1347" s="29"/>
      <c r="AY1347" s="39"/>
      <c r="AZ1347" s="30"/>
      <c r="BA1347" s="30"/>
      <c r="BB1347" s="29"/>
      <c r="BC1347" s="52"/>
      <c r="BD1347" s="30"/>
      <c r="BE1347" s="29"/>
      <c r="BF1347" s="30"/>
      <c r="BG1347" s="30"/>
      <c r="BH1347" s="30"/>
      <c r="BI1347" s="30"/>
      <c r="BJ1347" s="30"/>
      <c r="BK1347" s="30"/>
      <c r="BL1347" s="30"/>
      <c r="BM1347" s="30"/>
      <c r="BN1347" s="30"/>
      <c r="BO1347" s="30"/>
      <c r="BP1347" s="30"/>
      <c r="BQ1347" s="30"/>
      <c r="BR1347" s="30"/>
      <c r="BS1347" s="30"/>
      <c r="BT1347" s="30"/>
      <c r="BU1347" s="30"/>
      <c r="BV1347" s="30"/>
      <c r="BW1347" s="30"/>
      <c r="BX1347" s="30"/>
      <c r="BY1347" s="30"/>
      <c r="BZ1347" s="30"/>
      <c r="CA1347" s="30"/>
      <c r="CB1347" s="30"/>
      <c r="CC1347" s="30"/>
      <c r="CD1347" s="30"/>
      <c r="CE1347" s="30"/>
      <c r="CF1347" s="30"/>
      <c r="CG1347" s="30"/>
      <c r="CH1347" s="30"/>
      <c r="CI1347" s="30"/>
      <c r="CJ1347" s="30"/>
      <c r="CK1347" s="30"/>
      <c r="CL1347" s="30"/>
      <c r="CM1347" s="30"/>
      <c r="CN1347" s="30"/>
      <c r="CO1347" s="30"/>
      <c r="CP1347" s="30"/>
      <c r="CQ1347" s="30"/>
      <c r="CR1347" s="30"/>
      <c r="CS1347" s="30"/>
      <c r="CT1347" s="30"/>
      <c r="CU1347" s="30"/>
      <c r="CV1347" s="30"/>
      <c r="CW1347" s="30"/>
      <c r="CX1347" s="30"/>
      <c r="CY1347" s="30"/>
      <c r="CZ1347" s="30"/>
      <c r="DA1347" s="30"/>
      <c r="DB1347" s="30"/>
      <c r="DC1347" s="30"/>
      <c r="DD1347" s="30"/>
      <c r="DE1347" s="30"/>
      <c r="DF1347" s="30"/>
      <c r="DG1347" s="30"/>
      <c r="DH1347" s="30"/>
      <c r="DI1347" s="30"/>
      <c r="DJ1347" s="30"/>
      <c r="DK1347" s="30"/>
      <c r="DL1347" s="30"/>
      <c r="DM1347" s="30"/>
      <c r="DN1347" s="30"/>
      <c r="DO1347" s="30"/>
      <c r="DP1347" s="30"/>
      <c r="DQ1347" s="30"/>
      <c r="DR1347" s="30"/>
      <c r="DS1347" s="30"/>
      <c r="DT1347" s="30"/>
      <c r="DU1347" s="30"/>
      <c r="DV1347" s="30"/>
      <c r="DW1347" s="30"/>
      <c r="DX1347" s="30"/>
      <c r="DY1347" s="30"/>
      <c r="DZ1347" s="30"/>
    </row>
    <row r="1348">
      <c r="A1348" s="30"/>
      <c r="B1348" s="42"/>
      <c r="C1348" s="43"/>
      <c r="D1348" s="30"/>
      <c r="E1348" s="28"/>
      <c r="F1348" s="30"/>
      <c r="G1348" s="30"/>
      <c r="H1348" s="30"/>
      <c r="I1348" s="30"/>
      <c r="J1348" s="28"/>
      <c r="K1348" s="30"/>
      <c r="L1348" s="30"/>
      <c r="M1348" s="30"/>
      <c r="N1348" s="30"/>
      <c r="O1348" s="28"/>
      <c r="P1348" s="30"/>
      <c r="Q1348" s="30"/>
      <c r="R1348" s="30"/>
      <c r="S1348" s="36"/>
      <c r="T1348" s="30"/>
      <c r="U1348" s="36"/>
      <c r="V1348" s="30"/>
      <c r="W1348" s="28"/>
      <c r="X1348" s="30"/>
      <c r="Y1348" s="30"/>
      <c r="Z1348" s="30"/>
      <c r="AA1348" s="30"/>
      <c r="AB1348" s="30"/>
      <c r="AC1348" s="28"/>
      <c r="AD1348" s="30"/>
      <c r="AE1348" s="30"/>
      <c r="AF1348" s="30"/>
      <c r="AG1348" s="29"/>
      <c r="AH1348" s="30"/>
      <c r="AI1348" s="36"/>
      <c r="AJ1348" s="30"/>
      <c r="AK1348" s="29"/>
      <c r="AL1348" s="30"/>
      <c r="AM1348" s="30"/>
      <c r="AN1348" s="30"/>
      <c r="AO1348" s="30"/>
      <c r="AP1348" s="30"/>
      <c r="AQ1348" s="38"/>
      <c r="AR1348" s="30"/>
      <c r="AS1348" s="30"/>
      <c r="AT1348" s="29"/>
      <c r="AU1348" s="30"/>
      <c r="AV1348" s="30"/>
      <c r="AW1348" s="30"/>
      <c r="AX1348" s="29"/>
      <c r="AY1348" s="39"/>
      <c r="AZ1348" s="30"/>
      <c r="BA1348" s="30"/>
      <c r="BB1348" s="29"/>
      <c r="BC1348" s="52"/>
      <c r="BD1348" s="30"/>
      <c r="BE1348" s="29"/>
      <c r="BF1348" s="30"/>
      <c r="BG1348" s="30"/>
      <c r="BH1348" s="30"/>
      <c r="BI1348" s="30"/>
      <c r="BJ1348" s="30"/>
      <c r="BK1348" s="30"/>
      <c r="BL1348" s="30"/>
      <c r="BM1348" s="30"/>
      <c r="BN1348" s="30"/>
      <c r="BO1348" s="30"/>
      <c r="BP1348" s="30"/>
      <c r="BQ1348" s="30"/>
      <c r="BR1348" s="30"/>
      <c r="BS1348" s="30"/>
      <c r="BT1348" s="30"/>
      <c r="BU1348" s="30"/>
      <c r="BV1348" s="30"/>
      <c r="BW1348" s="30"/>
      <c r="BX1348" s="30"/>
      <c r="BY1348" s="30"/>
      <c r="BZ1348" s="30"/>
      <c r="CA1348" s="30"/>
      <c r="CB1348" s="30"/>
      <c r="CC1348" s="30"/>
      <c r="CD1348" s="30"/>
      <c r="CE1348" s="30"/>
      <c r="CF1348" s="30"/>
      <c r="CG1348" s="30"/>
      <c r="CH1348" s="30"/>
      <c r="CI1348" s="30"/>
      <c r="CJ1348" s="30"/>
      <c r="CK1348" s="30"/>
      <c r="CL1348" s="30"/>
      <c r="CM1348" s="30"/>
      <c r="CN1348" s="30"/>
      <c r="CO1348" s="30"/>
      <c r="CP1348" s="30"/>
      <c r="CQ1348" s="30"/>
      <c r="CR1348" s="30"/>
      <c r="CS1348" s="30"/>
      <c r="CT1348" s="30"/>
      <c r="CU1348" s="30"/>
      <c r="CV1348" s="30"/>
      <c r="CW1348" s="30"/>
      <c r="CX1348" s="30"/>
      <c r="CY1348" s="30"/>
      <c r="CZ1348" s="30"/>
      <c r="DA1348" s="30"/>
      <c r="DB1348" s="30"/>
      <c r="DC1348" s="30"/>
      <c r="DD1348" s="30"/>
      <c r="DE1348" s="30"/>
      <c r="DF1348" s="30"/>
      <c r="DG1348" s="30"/>
      <c r="DH1348" s="30"/>
      <c r="DI1348" s="30"/>
      <c r="DJ1348" s="30"/>
      <c r="DK1348" s="30"/>
      <c r="DL1348" s="30"/>
      <c r="DM1348" s="30"/>
      <c r="DN1348" s="30"/>
      <c r="DO1348" s="30"/>
      <c r="DP1348" s="30"/>
      <c r="DQ1348" s="30"/>
      <c r="DR1348" s="30"/>
      <c r="DS1348" s="30"/>
      <c r="DT1348" s="30"/>
      <c r="DU1348" s="30"/>
      <c r="DV1348" s="30"/>
      <c r="DW1348" s="30"/>
      <c r="DX1348" s="30"/>
      <c r="DY1348" s="30"/>
      <c r="DZ1348" s="30"/>
    </row>
    <row r="1349">
      <c r="A1349" s="30"/>
      <c r="B1349" s="42"/>
      <c r="C1349" s="43"/>
      <c r="D1349" s="30"/>
      <c r="E1349" s="28"/>
      <c r="F1349" s="30"/>
      <c r="G1349" s="30"/>
      <c r="H1349" s="30"/>
      <c r="I1349" s="30"/>
      <c r="J1349" s="28"/>
      <c r="K1349" s="30"/>
      <c r="L1349" s="30"/>
      <c r="M1349" s="30"/>
      <c r="N1349" s="30"/>
      <c r="O1349" s="28"/>
      <c r="P1349" s="30"/>
      <c r="Q1349" s="30"/>
      <c r="R1349" s="30"/>
      <c r="S1349" s="36"/>
      <c r="T1349" s="30"/>
      <c r="U1349" s="36"/>
      <c r="V1349" s="30"/>
      <c r="W1349" s="28"/>
      <c r="X1349" s="30"/>
      <c r="Y1349" s="30"/>
      <c r="Z1349" s="30"/>
      <c r="AA1349" s="30"/>
      <c r="AB1349" s="30"/>
      <c r="AC1349" s="28"/>
      <c r="AD1349" s="30"/>
      <c r="AE1349" s="30"/>
      <c r="AF1349" s="30"/>
      <c r="AG1349" s="29"/>
      <c r="AH1349" s="30"/>
      <c r="AI1349" s="36"/>
      <c r="AJ1349" s="30"/>
      <c r="AK1349" s="29"/>
      <c r="AL1349" s="30"/>
      <c r="AM1349" s="30"/>
      <c r="AN1349" s="30"/>
      <c r="AO1349" s="30"/>
      <c r="AP1349" s="30"/>
      <c r="AQ1349" s="38"/>
      <c r="AR1349" s="30"/>
      <c r="AS1349" s="30"/>
      <c r="AT1349" s="29"/>
      <c r="AU1349" s="30"/>
      <c r="AV1349" s="30"/>
      <c r="AW1349" s="30"/>
      <c r="AX1349" s="29"/>
      <c r="AY1349" s="39"/>
      <c r="AZ1349" s="30"/>
      <c r="BA1349" s="30"/>
      <c r="BB1349" s="29"/>
      <c r="BC1349" s="52"/>
      <c r="BD1349" s="30"/>
      <c r="BE1349" s="29"/>
      <c r="BF1349" s="30"/>
      <c r="BG1349" s="30"/>
      <c r="BH1349" s="30"/>
      <c r="BI1349" s="30"/>
      <c r="BJ1349" s="30"/>
      <c r="BK1349" s="30"/>
      <c r="BL1349" s="30"/>
      <c r="BM1349" s="30"/>
      <c r="BN1349" s="30"/>
      <c r="BO1349" s="30"/>
      <c r="BP1349" s="30"/>
      <c r="BQ1349" s="30"/>
      <c r="BR1349" s="30"/>
      <c r="BS1349" s="30"/>
      <c r="BT1349" s="30"/>
      <c r="BU1349" s="30"/>
      <c r="BV1349" s="30"/>
      <c r="BW1349" s="30"/>
      <c r="BX1349" s="30"/>
      <c r="BY1349" s="30"/>
      <c r="BZ1349" s="30"/>
      <c r="CA1349" s="30"/>
      <c r="CB1349" s="30"/>
      <c r="CC1349" s="30"/>
      <c r="CD1349" s="30"/>
      <c r="CE1349" s="30"/>
      <c r="CF1349" s="30"/>
      <c r="CG1349" s="30"/>
      <c r="CH1349" s="30"/>
      <c r="CI1349" s="30"/>
      <c r="CJ1349" s="30"/>
      <c r="CK1349" s="30"/>
      <c r="CL1349" s="30"/>
      <c r="CM1349" s="30"/>
      <c r="CN1349" s="30"/>
      <c r="CO1349" s="30"/>
      <c r="CP1349" s="30"/>
      <c r="CQ1349" s="30"/>
      <c r="CR1349" s="30"/>
      <c r="CS1349" s="30"/>
      <c r="CT1349" s="30"/>
      <c r="CU1349" s="30"/>
      <c r="CV1349" s="30"/>
      <c r="CW1349" s="30"/>
      <c r="CX1349" s="30"/>
      <c r="CY1349" s="30"/>
      <c r="CZ1349" s="30"/>
      <c r="DA1349" s="30"/>
      <c r="DB1349" s="30"/>
      <c r="DC1349" s="30"/>
      <c r="DD1349" s="30"/>
      <c r="DE1349" s="30"/>
      <c r="DF1349" s="30"/>
      <c r="DG1349" s="30"/>
      <c r="DH1349" s="30"/>
      <c r="DI1349" s="30"/>
      <c r="DJ1349" s="30"/>
      <c r="DK1349" s="30"/>
      <c r="DL1349" s="30"/>
      <c r="DM1349" s="30"/>
      <c r="DN1349" s="30"/>
      <c r="DO1349" s="30"/>
      <c r="DP1349" s="30"/>
      <c r="DQ1349" s="30"/>
      <c r="DR1349" s="30"/>
      <c r="DS1349" s="30"/>
      <c r="DT1349" s="30"/>
      <c r="DU1349" s="30"/>
      <c r="DV1349" s="30"/>
      <c r="DW1349" s="30"/>
      <c r="DX1349" s="30"/>
      <c r="DY1349" s="30"/>
      <c r="DZ1349" s="30"/>
    </row>
    <row r="1350">
      <c r="A1350" s="30"/>
      <c r="B1350" s="42"/>
      <c r="C1350" s="43"/>
      <c r="D1350" s="30"/>
      <c r="E1350" s="28"/>
      <c r="F1350" s="30"/>
      <c r="G1350" s="30"/>
      <c r="H1350" s="30"/>
      <c r="I1350" s="30"/>
      <c r="J1350" s="28"/>
      <c r="K1350" s="30"/>
      <c r="L1350" s="30"/>
      <c r="M1350" s="30"/>
      <c r="N1350" s="30"/>
      <c r="O1350" s="28"/>
      <c r="P1350" s="30"/>
      <c r="Q1350" s="30"/>
      <c r="R1350" s="30"/>
      <c r="S1350" s="36"/>
      <c r="T1350" s="30"/>
      <c r="U1350" s="36"/>
      <c r="V1350" s="30"/>
      <c r="W1350" s="28"/>
      <c r="X1350" s="30"/>
      <c r="Y1350" s="30"/>
      <c r="Z1350" s="30"/>
      <c r="AA1350" s="30"/>
      <c r="AB1350" s="30"/>
      <c r="AC1350" s="28"/>
      <c r="AD1350" s="30"/>
      <c r="AE1350" s="30"/>
      <c r="AF1350" s="30"/>
      <c r="AG1350" s="29"/>
      <c r="AH1350" s="30"/>
      <c r="AI1350" s="36"/>
      <c r="AJ1350" s="30"/>
      <c r="AK1350" s="29"/>
      <c r="AL1350" s="30"/>
      <c r="AM1350" s="30"/>
      <c r="AN1350" s="30"/>
      <c r="AO1350" s="30"/>
      <c r="AP1350" s="30"/>
      <c r="AQ1350" s="38"/>
      <c r="AR1350" s="30"/>
      <c r="AS1350" s="30"/>
      <c r="AT1350" s="29"/>
      <c r="AU1350" s="30"/>
      <c r="AV1350" s="30"/>
      <c r="AW1350" s="30"/>
      <c r="AX1350" s="29"/>
      <c r="AY1350" s="39"/>
      <c r="AZ1350" s="30"/>
      <c r="BA1350" s="30"/>
      <c r="BB1350" s="29"/>
      <c r="BC1350" s="52"/>
      <c r="BD1350" s="30"/>
      <c r="BE1350" s="29"/>
      <c r="BF1350" s="30"/>
      <c r="BG1350" s="30"/>
      <c r="BH1350" s="30"/>
      <c r="BI1350" s="30"/>
      <c r="BJ1350" s="30"/>
      <c r="BK1350" s="30"/>
      <c r="BL1350" s="30"/>
      <c r="BM1350" s="30"/>
      <c r="BN1350" s="30"/>
      <c r="BO1350" s="30"/>
      <c r="BP1350" s="30"/>
      <c r="BQ1350" s="30"/>
      <c r="BR1350" s="30"/>
      <c r="BS1350" s="30"/>
      <c r="BT1350" s="30"/>
      <c r="BU1350" s="30"/>
      <c r="BV1350" s="30"/>
      <c r="BW1350" s="30"/>
      <c r="BX1350" s="30"/>
      <c r="BY1350" s="30"/>
      <c r="BZ1350" s="30"/>
      <c r="CA1350" s="30"/>
      <c r="CB1350" s="30"/>
      <c r="CC1350" s="30"/>
      <c r="CD1350" s="30"/>
      <c r="CE1350" s="30"/>
      <c r="CF1350" s="30"/>
      <c r="CG1350" s="30"/>
      <c r="CH1350" s="30"/>
      <c r="CI1350" s="30"/>
      <c r="CJ1350" s="30"/>
      <c r="CK1350" s="30"/>
      <c r="CL1350" s="30"/>
      <c r="CM1350" s="30"/>
      <c r="CN1350" s="30"/>
      <c r="CO1350" s="30"/>
      <c r="CP1350" s="30"/>
      <c r="CQ1350" s="30"/>
      <c r="CR1350" s="30"/>
      <c r="CS1350" s="30"/>
      <c r="CT1350" s="30"/>
      <c r="CU1350" s="30"/>
      <c r="CV1350" s="30"/>
      <c r="CW1350" s="30"/>
      <c r="CX1350" s="30"/>
      <c r="CY1350" s="30"/>
      <c r="CZ1350" s="30"/>
      <c r="DA1350" s="30"/>
      <c r="DB1350" s="30"/>
      <c r="DC1350" s="30"/>
      <c r="DD1350" s="30"/>
      <c r="DE1350" s="30"/>
      <c r="DF1350" s="30"/>
      <c r="DG1350" s="30"/>
      <c r="DH1350" s="30"/>
      <c r="DI1350" s="30"/>
      <c r="DJ1350" s="30"/>
      <c r="DK1350" s="30"/>
      <c r="DL1350" s="30"/>
      <c r="DM1350" s="30"/>
      <c r="DN1350" s="30"/>
      <c r="DO1350" s="30"/>
      <c r="DP1350" s="30"/>
      <c r="DQ1350" s="30"/>
      <c r="DR1350" s="30"/>
      <c r="DS1350" s="30"/>
      <c r="DT1350" s="30"/>
      <c r="DU1350" s="30"/>
      <c r="DV1350" s="30"/>
      <c r="DW1350" s="30"/>
      <c r="DX1350" s="30"/>
      <c r="DY1350" s="30"/>
      <c r="DZ1350" s="30"/>
    </row>
    <row r="1351">
      <c r="A1351" s="30"/>
      <c r="B1351" s="42"/>
      <c r="C1351" s="43"/>
      <c r="D1351" s="30"/>
      <c r="E1351" s="28"/>
      <c r="F1351" s="30"/>
      <c r="G1351" s="30"/>
      <c r="H1351" s="30"/>
      <c r="I1351" s="30"/>
      <c r="J1351" s="28"/>
      <c r="K1351" s="30"/>
      <c r="L1351" s="30"/>
      <c r="M1351" s="30"/>
      <c r="N1351" s="30"/>
      <c r="O1351" s="28"/>
      <c r="P1351" s="30"/>
      <c r="Q1351" s="30"/>
      <c r="R1351" s="30"/>
      <c r="S1351" s="36"/>
      <c r="T1351" s="30"/>
      <c r="U1351" s="36"/>
      <c r="V1351" s="30"/>
      <c r="W1351" s="28"/>
      <c r="X1351" s="30"/>
      <c r="Y1351" s="30"/>
      <c r="Z1351" s="30"/>
      <c r="AA1351" s="30"/>
      <c r="AB1351" s="30"/>
      <c r="AC1351" s="28"/>
      <c r="AD1351" s="30"/>
      <c r="AE1351" s="30"/>
      <c r="AF1351" s="30"/>
      <c r="AG1351" s="29"/>
      <c r="AH1351" s="30"/>
      <c r="AI1351" s="36"/>
      <c r="AJ1351" s="30"/>
      <c r="AK1351" s="29"/>
      <c r="AL1351" s="30"/>
      <c r="AM1351" s="30"/>
      <c r="AN1351" s="30"/>
      <c r="AO1351" s="30"/>
      <c r="AP1351" s="30"/>
      <c r="AQ1351" s="38"/>
      <c r="AR1351" s="30"/>
      <c r="AS1351" s="30"/>
      <c r="AT1351" s="29"/>
      <c r="AU1351" s="30"/>
      <c r="AV1351" s="30"/>
      <c r="AW1351" s="30"/>
      <c r="AX1351" s="29"/>
      <c r="AY1351" s="39"/>
      <c r="AZ1351" s="30"/>
      <c r="BA1351" s="30"/>
      <c r="BB1351" s="29"/>
      <c r="BC1351" s="52"/>
      <c r="BD1351" s="30"/>
      <c r="BE1351" s="29"/>
      <c r="BF1351" s="30"/>
      <c r="BG1351" s="30"/>
      <c r="BH1351" s="30"/>
      <c r="BI1351" s="30"/>
      <c r="BJ1351" s="30"/>
      <c r="BK1351" s="30"/>
      <c r="BL1351" s="30"/>
      <c r="BM1351" s="30"/>
      <c r="BN1351" s="30"/>
      <c r="BO1351" s="30"/>
      <c r="BP1351" s="30"/>
      <c r="BQ1351" s="30"/>
      <c r="BR1351" s="30"/>
      <c r="BS1351" s="30"/>
      <c r="BT1351" s="30"/>
      <c r="BU1351" s="30"/>
      <c r="BV1351" s="30"/>
      <c r="BW1351" s="30"/>
      <c r="BX1351" s="30"/>
      <c r="BY1351" s="30"/>
      <c r="BZ1351" s="30"/>
      <c r="CA1351" s="30"/>
      <c r="CB1351" s="30"/>
      <c r="CC1351" s="30"/>
      <c r="CD1351" s="30"/>
      <c r="CE1351" s="30"/>
      <c r="CF1351" s="30"/>
      <c r="CG1351" s="30"/>
      <c r="CH1351" s="30"/>
      <c r="CI1351" s="30"/>
      <c r="CJ1351" s="30"/>
      <c r="CK1351" s="30"/>
      <c r="CL1351" s="30"/>
      <c r="CM1351" s="30"/>
      <c r="CN1351" s="30"/>
      <c r="CO1351" s="30"/>
      <c r="CP1351" s="30"/>
      <c r="CQ1351" s="30"/>
      <c r="CR1351" s="30"/>
      <c r="CS1351" s="30"/>
      <c r="CT1351" s="30"/>
      <c r="CU1351" s="30"/>
      <c r="CV1351" s="30"/>
      <c r="CW1351" s="30"/>
      <c r="CX1351" s="30"/>
      <c r="CY1351" s="30"/>
      <c r="CZ1351" s="30"/>
      <c r="DA1351" s="30"/>
      <c r="DB1351" s="30"/>
      <c r="DC1351" s="30"/>
      <c r="DD1351" s="30"/>
      <c r="DE1351" s="30"/>
      <c r="DF1351" s="30"/>
      <c r="DG1351" s="30"/>
      <c r="DH1351" s="30"/>
      <c r="DI1351" s="30"/>
      <c r="DJ1351" s="30"/>
      <c r="DK1351" s="30"/>
      <c r="DL1351" s="30"/>
      <c r="DM1351" s="30"/>
      <c r="DN1351" s="30"/>
      <c r="DO1351" s="30"/>
      <c r="DP1351" s="30"/>
      <c r="DQ1351" s="30"/>
      <c r="DR1351" s="30"/>
      <c r="DS1351" s="30"/>
      <c r="DT1351" s="30"/>
      <c r="DU1351" s="30"/>
      <c r="DV1351" s="30"/>
      <c r="DW1351" s="30"/>
      <c r="DX1351" s="30"/>
      <c r="DY1351" s="30"/>
      <c r="DZ1351" s="30"/>
    </row>
    <row r="1352">
      <c r="A1352" s="30"/>
      <c r="B1352" s="42"/>
      <c r="C1352" s="43"/>
      <c r="D1352" s="30"/>
      <c r="E1352" s="28"/>
      <c r="F1352" s="30"/>
      <c r="G1352" s="30"/>
      <c r="H1352" s="30"/>
      <c r="I1352" s="30"/>
      <c r="J1352" s="28"/>
      <c r="K1352" s="30"/>
      <c r="L1352" s="30"/>
      <c r="M1352" s="30"/>
      <c r="N1352" s="30"/>
      <c r="O1352" s="28"/>
      <c r="P1352" s="30"/>
      <c r="Q1352" s="30"/>
      <c r="R1352" s="30"/>
      <c r="S1352" s="36"/>
      <c r="T1352" s="30"/>
      <c r="U1352" s="36"/>
      <c r="V1352" s="30"/>
      <c r="W1352" s="28"/>
      <c r="X1352" s="30"/>
      <c r="Y1352" s="30"/>
      <c r="Z1352" s="30"/>
      <c r="AA1352" s="30"/>
      <c r="AB1352" s="30"/>
      <c r="AC1352" s="28"/>
      <c r="AD1352" s="30"/>
      <c r="AE1352" s="30"/>
      <c r="AF1352" s="30"/>
      <c r="AG1352" s="29"/>
      <c r="AH1352" s="30"/>
      <c r="AI1352" s="36"/>
      <c r="AJ1352" s="30"/>
      <c r="AK1352" s="29"/>
      <c r="AL1352" s="30"/>
      <c r="AM1352" s="30"/>
      <c r="AN1352" s="30"/>
      <c r="AO1352" s="30"/>
      <c r="AP1352" s="30"/>
      <c r="AQ1352" s="38"/>
      <c r="AR1352" s="30"/>
      <c r="AS1352" s="30"/>
      <c r="AT1352" s="29"/>
      <c r="AU1352" s="30"/>
      <c r="AV1352" s="30"/>
      <c r="AW1352" s="30"/>
      <c r="AX1352" s="29"/>
      <c r="AY1352" s="39"/>
      <c r="AZ1352" s="30"/>
      <c r="BA1352" s="30"/>
      <c r="BB1352" s="29"/>
      <c r="BC1352" s="52"/>
      <c r="BD1352" s="30"/>
      <c r="BE1352" s="29"/>
      <c r="BF1352" s="30"/>
      <c r="BG1352" s="30"/>
      <c r="BH1352" s="30"/>
      <c r="BI1352" s="30"/>
      <c r="BJ1352" s="30"/>
      <c r="BK1352" s="30"/>
      <c r="BL1352" s="30"/>
      <c r="BM1352" s="30"/>
      <c r="BN1352" s="30"/>
      <c r="BO1352" s="30"/>
      <c r="BP1352" s="30"/>
      <c r="BQ1352" s="30"/>
      <c r="BR1352" s="30"/>
      <c r="BS1352" s="30"/>
      <c r="BT1352" s="30"/>
      <c r="BU1352" s="30"/>
      <c r="BV1352" s="30"/>
      <c r="BW1352" s="30"/>
      <c r="BX1352" s="30"/>
      <c r="BY1352" s="30"/>
      <c r="BZ1352" s="30"/>
      <c r="CA1352" s="30"/>
      <c r="CB1352" s="30"/>
      <c r="CC1352" s="30"/>
      <c r="CD1352" s="30"/>
      <c r="CE1352" s="30"/>
      <c r="CF1352" s="30"/>
      <c r="CG1352" s="30"/>
      <c r="CH1352" s="30"/>
      <c r="CI1352" s="30"/>
      <c r="CJ1352" s="30"/>
      <c r="CK1352" s="30"/>
      <c r="CL1352" s="30"/>
      <c r="CM1352" s="30"/>
      <c r="CN1352" s="30"/>
      <c r="CO1352" s="30"/>
      <c r="CP1352" s="30"/>
      <c r="CQ1352" s="30"/>
      <c r="CR1352" s="30"/>
      <c r="CS1352" s="30"/>
      <c r="CT1352" s="30"/>
      <c r="CU1352" s="30"/>
      <c r="CV1352" s="30"/>
      <c r="CW1352" s="30"/>
      <c r="CX1352" s="30"/>
      <c r="CY1352" s="30"/>
      <c r="CZ1352" s="30"/>
      <c r="DA1352" s="30"/>
      <c r="DB1352" s="30"/>
      <c r="DC1352" s="30"/>
      <c r="DD1352" s="30"/>
      <c r="DE1352" s="30"/>
      <c r="DF1352" s="30"/>
      <c r="DG1352" s="30"/>
      <c r="DH1352" s="30"/>
      <c r="DI1352" s="30"/>
      <c r="DJ1352" s="30"/>
      <c r="DK1352" s="30"/>
      <c r="DL1352" s="30"/>
      <c r="DM1352" s="30"/>
      <c r="DN1352" s="30"/>
      <c r="DO1352" s="30"/>
      <c r="DP1352" s="30"/>
      <c r="DQ1352" s="30"/>
      <c r="DR1352" s="30"/>
      <c r="DS1352" s="30"/>
      <c r="DT1352" s="30"/>
      <c r="DU1352" s="30"/>
      <c r="DV1352" s="30"/>
      <c r="DW1352" s="30"/>
      <c r="DX1352" s="30"/>
      <c r="DY1352" s="30"/>
      <c r="DZ1352" s="30"/>
    </row>
    <row r="1353">
      <c r="A1353" s="30"/>
      <c r="B1353" s="42"/>
      <c r="C1353" s="43"/>
      <c r="D1353" s="30"/>
      <c r="E1353" s="28"/>
      <c r="F1353" s="30"/>
      <c r="G1353" s="30"/>
      <c r="H1353" s="30"/>
      <c r="I1353" s="30"/>
      <c r="J1353" s="28"/>
      <c r="K1353" s="30"/>
      <c r="L1353" s="30"/>
      <c r="M1353" s="30"/>
      <c r="N1353" s="30"/>
      <c r="O1353" s="28"/>
      <c r="P1353" s="30"/>
      <c r="Q1353" s="30"/>
      <c r="R1353" s="30"/>
      <c r="S1353" s="36"/>
      <c r="T1353" s="30"/>
      <c r="U1353" s="36"/>
      <c r="V1353" s="30"/>
      <c r="W1353" s="28"/>
      <c r="X1353" s="30"/>
      <c r="Y1353" s="30"/>
      <c r="Z1353" s="30"/>
      <c r="AA1353" s="30"/>
      <c r="AB1353" s="30"/>
      <c r="AC1353" s="28"/>
      <c r="AD1353" s="30"/>
      <c r="AE1353" s="30"/>
      <c r="AF1353" s="30"/>
      <c r="AG1353" s="29"/>
      <c r="AH1353" s="30"/>
      <c r="AI1353" s="36"/>
      <c r="AJ1353" s="30"/>
      <c r="AK1353" s="29"/>
      <c r="AL1353" s="30"/>
      <c r="AM1353" s="30"/>
      <c r="AN1353" s="30"/>
      <c r="AO1353" s="30"/>
      <c r="AP1353" s="30"/>
      <c r="AQ1353" s="38"/>
      <c r="AR1353" s="30"/>
      <c r="AS1353" s="30"/>
      <c r="AT1353" s="29"/>
      <c r="AU1353" s="30"/>
      <c r="AV1353" s="30"/>
      <c r="AW1353" s="30"/>
      <c r="AX1353" s="29"/>
      <c r="AY1353" s="39"/>
      <c r="AZ1353" s="30"/>
      <c r="BA1353" s="30"/>
      <c r="BB1353" s="29"/>
      <c r="BC1353" s="52"/>
      <c r="BD1353" s="30"/>
      <c r="BE1353" s="29"/>
      <c r="BF1353" s="30"/>
      <c r="BG1353" s="30"/>
      <c r="BH1353" s="30"/>
      <c r="BI1353" s="30"/>
      <c r="BJ1353" s="30"/>
      <c r="BK1353" s="30"/>
      <c r="BL1353" s="30"/>
      <c r="BM1353" s="30"/>
      <c r="BN1353" s="30"/>
      <c r="BO1353" s="30"/>
      <c r="BP1353" s="30"/>
      <c r="BQ1353" s="30"/>
      <c r="BR1353" s="30"/>
      <c r="BS1353" s="30"/>
      <c r="BT1353" s="30"/>
      <c r="BU1353" s="30"/>
      <c r="BV1353" s="30"/>
      <c r="BW1353" s="30"/>
      <c r="BX1353" s="30"/>
      <c r="BY1353" s="30"/>
      <c r="BZ1353" s="30"/>
      <c r="CA1353" s="30"/>
      <c r="CB1353" s="30"/>
      <c r="CC1353" s="30"/>
      <c r="CD1353" s="30"/>
      <c r="CE1353" s="30"/>
      <c r="CF1353" s="30"/>
      <c r="CG1353" s="30"/>
      <c r="CH1353" s="30"/>
      <c r="CI1353" s="30"/>
      <c r="CJ1353" s="30"/>
      <c r="CK1353" s="30"/>
      <c r="CL1353" s="30"/>
      <c r="CM1353" s="30"/>
      <c r="CN1353" s="30"/>
      <c r="CO1353" s="30"/>
      <c r="CP1353" s="30"/>
      <c r="CQ1353" s="30"/>
      <c r="CR1353" s="30"/>
      <c r="CS1353" s="30"/>
      <c r="CT1353" s="30"/>
      <c r="CU1353" s="30"/>
      <c r="CV1353" s="30"/>
      <c r="CW1353" s="30"/>
      <c r="CX1353" s="30"/>
      <c r="CY1353" s="30"/>
      <c r="CZ1353" s="30"/>
      <c r="DA1353" s="30"/>
      <c r="DB1353" s="30"/>
      <c r="DC1353" s="30"/>
      <c r="DD1353" s="30"/>
      <c r="DE1353" s="30"/>
      <c r="DF1353" s="30"/>
      <c r="DG1353" s="30"/>
      <c r="DH1353" s="30"/>
      <c r="DI1353" s="30"/>
      <c r="DJ1353" s="30"/>
      <c r="DK1353" s="30"/>
      <c r="DL1353" s="30"/>
      <c r="DM1353" s="30"/>
      <c r="DN1353" s="30"/>
      <c r="DO1353" s="30"/>
      <c r="DP1353" s="30"/>
      <c r="DQ1353" s="30"/>
      <c r="DR1353" s="30"/>
      <c r="DS1353" s="30"/>
      <c r="DT1353" s="30"/>
      <c r="DU1353" s="30"/>
      <c r="DV1353" s="30"/>
      <c r="DW1353" s="30"/>
      <c r="DX1353" s="30"/>
      <c r="DY1353" s="30"/>
      <c r="DZ1353" s="30"/>
    </row>
    <row r="1354">
      <c r="A1354" s="30"/>
      <c r="B1354" s="42"/>
      <c r="C1354" s="43"/>
      <c r="D1354" s="30"/>
      <c r="E1354" s="28"/>
      <c r="F1354" s="30"/>
      <c r="G1354" s="30"/>
      <c r="H1354" s="30"/>
      <c r="I1354" s="30"/>
      <c r="J1354" s="28"/>
      <c r="K1354" s="30"/>
      <c r="L1354" s="30"/>
      <c r="M1354" s="30"/>
      <c r="N1354" s="30"/>
      <c r="O1354" s="28"/>
      <c r="P1354" s="30"/>
      <c r="Q1354" s="30"/>
      <c r="R1354" s="30"/>
      <c r="S1354" s="36"/>
      <c r="T1354" s="30"/>
      <c r="U1354" s="36"/>
      <c r="V1354" s="30"/>
      <c r="W1354" s="28"/>
      <c r="X1354" s="30"/>
      <c r="Y1354" s="30"/>
      <c r="Z1354" s="30"/>
      <c r="AA1354" s="30"/>
      <c r="AB1354" s="30"/>
      <c r="AC1354" s="28"/>
      <c r="AD1354" s="30"/>
      <c r="AE1354" s="30"/>
      <c r="AF1354" s="30"/>
      <c r="AG1354" s="29"/>
      <c r="AH1354" s="30"/>
      <c r="AI1354" s="36"/>
      <c r="AJ1354" s="30"/>
      <c r="AK1354" s="29"/>
      <c r="AL1354" s="30"/>
      <c r="AM1354" s="30"/>
      <c r="AN1354" s="30"/>
      <c r="AO1354" s="30"/>
      <c r="AP1354" s="30"/>
      <c r="AQ1354" s="38"/>
      <c r="AR1354" s="30"/>
      <c r="AS1354" s="30"/>
      <c r="AT1354" s="29"/>
      <c r="AU1354" s="30"/>
      <c r="AV1354" s="30"/>
      <c r="AW1354" s="30"/>
      <c r="AX1354" s="29"/>
      <c r="AY1354" s="39"/>
      <c r="AZ1354" s="30"/>
      <c r="BA1354" s="30"/>
      <c r="BB1354" s="29"/>
      <c r="BC1354" s="52"/>
      <c r="BD1354" s="30"/>
      <c r="BE1354" s="29"/>
      <c r="BF1354" s="30"/>
      <c r="BG1354" s="30"/>
      <c r="BH1354" s="30"/>
      <c r="BI1354" s="30"/>
      <c r="BJ1354" s="30"/>
      <c r="BK1354" s="30"/>
      <c r="BL1354" s="30"/>
      <c r="BM1354" s="30"/>
      <c r="BN1354" s="30"/>
      <c r="BO1354" s="30"/>
      <c r="BP1354" s="30"/>
      <c r="BQ1354" s="30"/>
      <c r="BR1354" s="30"/>
      <c r="BS1354" s="30"/>
      <c r="BT1354" s="30"/>
      <c r="BU1354" s="30"/>
      <c r="BV1354" s="30"/>
      <c r="BW1354" s="30"/>
      <c r="BX1354" s="30"/>
      <c r="BY1354" s="30"/>
      <c r="BZ1354" s="30"/>
      <c r="CA1354" s="30"/>
      <c r="CB1354" s="30"/>
      <c r="CC1354" s="30"/>
      <c r="CD1354" s="30"/>
      <c r="CE1354" s="30"/>
      <c r="CF1354" s="30"/>
      <c r="CG1354" s="30"/>
      <c r="CH1354" s="30"/>
      <c r="CI1354" s="30"/>
      <c r="CJ1354" s="30"/>
      <c r="CK1354" s="30"/>
      <c r="CL1354" s="30"/>
      <c r="CM1354" s="30"/>
      <c r="CN1354" s="30"/>
      <c r="CO1354" s="30"/>
      <c r="CP1354" s="30"/>
      <c r="CQ1354" s="30"/>
      <c r="CR1354" s="30"/>
      <c r="CS1354" s="30"/>
      <c r="CT1354" s="30"/>
      <c r="CU1354" s="30"/>
      <c r="CV1354" s="30"/>
      <c r="CW1354" s="30"/>
      <c r="CX1354" s="30"/>
      <c r="CY1354" s="30"/>
      <c r="CZ1354" s="30"/>
      <c r="DA1354" s="30"/>
      <c r="DB1354" s="30"/>
      <c r="DC1354" s="30"/>
      <c r="DD1354" s="30"/>
      <c r="DE1354" s="30"/>
      <c r="DF1354" s="30"/>
      <c r="DG1354" s="30"/>
      <c r="DH1354" s="30"/>
      <c r="DI1354" s="30"/>
      <c r="DJ1354" s="30"/>
      <c r="DK1354" s="30"/>
      <c r="DL1354" s="30"/>
      <c r="DM1354" s="30"/>
      <c r="DN1354" s="30"/>
      <c r="DO1354" s="30"/>
      <c r="DP1354" s="30"/>
      <c r="DQ1354" s="30"/>
      <c r="DR1354" s="30"/>
      <c r="DS1354" s="30"/>
      <c r="DT1354" s="30"/>
      <c r="DU1354" s="30"/>
      <c r="DV1354" s="30"/>
      <c r="DW1354" s="30"/>
      <c r="DX1354" s="30"/>
      <c r="DY1354" s="30"/>
      <c r="DZ1354" s="30"/>
    </row>
    <row r="1355">
      <c r="A1355" s="30"/>
      <c r="B1355" s="42"/>
      <c r="C1355" s="43"/>
      <c r="D1355" s="30"/>
      <c r="E1355" s="28"/>
      <c r="F1355" s="30"/>
      <c r="G1355" s="30"/>
      <c r="H1355" s="30"/>
      <c r="I1355" s="30"/>
      <c r="J1355" s="28"/>
      <c r="K1355" s="30"/>
      <c r="L1355" s="30"/>
      <c r="M1355" s="30"/>
      <c r="N1355" s="30"/>
      <c r="O1355" s="28"/>
      <c r="P1355" s="30"/>
      <c r="Q1355" s="30"/>
      <c r="R1355" s="30"/>
      <c r="S1355" s="36"/>
      <c r="T1355" s="30"/>
      <c r="U1355" s="36"/>
      <c r="V1355" s="30"/>
      <c r="W1355" s="28"/>
      <c r="X1355" s="30"/>
      <c r="Y1355" s="30"/>
      <c r="Z1355" s="30"/>
      <c r="AA1355" s="30"/>
      <c r="AB1355" s="30"/>
      <c r="AC1355" s="28"/>
      <c r="AD1355" s="30"/>
      <c r="AE1355" s="30"/>
      <c r="AF1355" s="30"/>
      <c r="AG1355" s="29"/>
      <c r="AH1355" s="30"/>
      <c r="AI1355" s="36"/>
      <c r="AJ1355" s="30"/>
      <c r="AK1355" s="29"/>
      <c r="AL1355" s="30"/>
      <c r="AM1355" s="30"/>
      <c r="AN1355" s="30"/>
      <c r="AO1355" s="30"/>
      <c r="AP1355" s="30"/>
      <c r="AQ1355" s="38"/>
      <c r="AR1355" s="30"/>
      <c r="AS1355" s="30"/>
      <c r="AT1355" s="29"/>
      <c r="AU1355" s="30"/>
      <c r="AV1355" s="30"/>
      <c r="AW1355" s="30"/>
      <c r="AX1355" s="29"/>
      <c r="AY1355" s="39"/>
      <c r="AZ1355" s="30"/>
      <c r="BA1355" s="30"/>
      <c r="BB1355" s="29"/>
      <c r="BC1355" s="52"/>
      <c r="BD1355" s="30"/>
      <c r="BE1355" s="29"/>
      <c r="BF1355" s="30"/>
      <c r="BG1355" s="30"/>
      <c r="BH1355" s="30"/>
      <c r="BI1355" s="30"/>
      <c r="BJ1355" s="30"/>
      <c r="BK1355" s="30"/>
      <c r="BL1355" s="30"/>
      <c r="BM1355" s="30"/>
      <c r="BN1355" s="30"/>
      <c r="BO1355" s="30"/>
      <c r="BP1355" s="30"/>
      <c r="BQ1355" s="30"/>
      <c r="BR1355" s="30"/>
      <c r="BS1355" s="30"/>
      <c r="BT1355" s="30"/>
      <c r="BU1355" s="30"/>
      <c r="BV1355" s="30"/>
      <c r="BW1355" s="30"/>
      <c r="BX1355" s="30"/>
      <c r="BY1355" s="30"/>
      <c r="BZ1355" s="30"/>
      <c r="CA1355" s="30"/>
      <c r="CB1355" s="30"/>
      <c r="CC1355" s="30"/>
      <c r="CD1355" s="30"/>
      <c r="CE1355" s="30"/>
      <c r="CF1355" s="30"/>
      <c r="CG1355" s="30"/>
      <c r="CH1355" s="30"/>
      <c r="CI1355" s="30"/>
      <c r="CJ1355" s="30"/>
      <c r="CK1355" s="30"/>
      <c r="CL1355" s="30"/>
      <c r="CM1355" s="30"/>
      <c r="CN1355" s="30"/>
      <c r="CO1355" s="30"/>
      <c r="CP1355" s="30"/>
      <c r="CQ1355" s="30"/>
      <c r="CR1355" s="30"/>
      <c r="CS1355" s="30"/>
      <c r="CT1355" s="30"/>
      <c r="CU1355" s="30"/>
      <c r="CV1355" s="30"/>
      <c r="CW1355" s="30"/>
      <c r="CX1355" s="30"/>
      <c r="CY1355" s="30"/>
      <c r="CZ1355" s="30"/>
      <c r="DA1355" s="30"/>
      <c r="DB1355" s="30"/>
      <c r="DC1355" s="30"/>
      <c r="DD1355" s="30"/>
      <c r="DE1355" s="30"/>
      <c r="DF1355" s="30"/>
      <c r="DG1355" s="30"/>
      <c r="DH1355" s="30"/>
      <c r="DI1355" s="30"/>
      <c r="DJ1355" s="30"/>
      <c r="DK1355" s="30"/>
      <c r="DL1355" s="30"/>
      <c r="DM1355" s="30"/>
      <c r="DN1355" s="30"/>
      <c r="DO1355" s="30"/>
      <c r="DP1355" s="30"/>
      <c r="DQ1355" s="30"/>
      <c r="DR1355" s="30"/>
      <c r="DS1355" s="30"/>
      <c r="DT1355" s="30"/>
      <c r="DU1355" s="30"/>
      <c r="DV1355" s="30"/>
      <c r="DW1355" s="30"/>
      <c r="DX1355" s="30"/>
      <c r="DY1355" s="30"/>
      <c r="DZ1355" s="30"/>
    </row>
    <row r="1356">
      <c r="A1356" s="30"/>
      <c r="B1356" s="42"/>
      <c r="C1356" s="43"/>
      <c r="D1356" s="30"/>
      <c r="E1356" s="28"/>
      <c r="F1356" s="30"/>
      <c r="G1356" s="30"/>
      <c r="H1356" s="30"/>
      <c r="I1356" s="30"/>
      <c r="J1356" s="28"/>
      <c r="K1356" s="30"/>
      <c r="L1356" s="30"/>
      <c r="M1356" s="30"/>
      <c r="N1356" s="30"/>
      <c r="O1356" s="28"/>
      <c r="P1356" s="30"/>
      <c r="Q1356" s="30"/>
      <c r="R1356" s="30"/>
      <c r="S1356" s="36"/>
      <c r="T1356" s="30"/>
      <c r="U1356" s="36"/>
      <c r="V1356" s="30"/>
      <c r="W1356" s="28"/>
      <c r="X1356" s="30"/>
      <c r="Y1356" s="30"/>
      <c r="Z1356" s="30"/>
      <c r="AA1356" s="30"/>
      <c r="AB1356" s="30"/>
      <c r="AC1356" s="28"/>
      <c r="AD1356" s="30"/>
      <c r="AE1356" s="30"/>
      <c r="AF1356" s="30"/>
      <c r="AG1356" s="29"/>
      <c r="AH1356" s="30"/>
      <c r="AI1356" s="36"/>
      <c r="AJ1356" s="30"/>
      <c r="AK1356" s="29"/>
      <c r="AL1356" s="30"/>
      <c r="AM1356" s="30"/>
      <c r="AN1356" s="30"/>
      <c r="AO1356" s="30"/>
      <c r="AP1356" s="30"/>
      <c r="AQ1356" s="38"/>
      <c r="AR1356" s="30"/>
      <c r="AS1356" s="30"/>
      <c r="AT1356" s="29"/>
      <c r="AU1356" s="30"/>
      <c r="AV1356" s="30"/>
      <c r="AW1356" s="30"/>
      <c r="AX1356" s="29"/>
      <c r="AY1356" s="39"/>
      <c r="AZ1356" s="30"/>
      <c r="BA1356" s="30"/>
      <c r="BB1356" s="29"/>
      <c r="BC1356" s="52"/>
      <c r="BD1356" s="30"/>
      <c r="BE1356" s="29"/>
      <c r="BF1356" s="30"/>
      <c r="BG1356" s="30"/>
      <c r="BH1356" s="30"/>
      <c r="BI1356" s="30"/>
      <c r="BJ1356" s="30"/>
      <c r="BK1356" s="30"/>
      <c r="BL1356" s="30"/>
      <c r="BM1356" s="30"/>
      <c r="BN1356" s="30"/>
      <c r="BO1356" s="30"/>
      <c r="BP1356" s="30"/>
      <c r="BQ1356" s="30"/>
      <c r="BR1356" s="30"/>
      <c r="BS1356" s="30"/>
      <c r="BT1356" s="30"/>
      <c r="BU1356" s="30"/>
      <c r="BV1356" s="30"/>
      <c r="BW1356" s="30"/>
      <c r="BX1356" s="30"/>
      <c r="BY1356" s="30"/>
      <c r="BZ1356" s="30"/>
      <c r="CA1356" s="30"/>
      <c r="CB1356" s="30"/>
      <c r="CC1356" s="30"/>
      <c r="CD1356" s="30"/>
      <c r="CE1356" s="30"/>
      <c r="CF1356" s="30"/>
      <c r="CG1356" s="30"/>
      <c r="CH1356" s="30"/>
      <c r="CI1356" s="30"/>
      <c r="CJ1356" s="30"/>
      <c r="CK1356" s="30"/>
      <c r="CL1356" s="30"/>
      <c r="CM1356" s="30"/>
      <c r="CN1356" s="30"/>
      <c r="CO1356" s="30"/>
      <c r="CP1356" s="30"/>
      <c r="CQ1356" s="30"/>
      <c r="CR1356" s="30"/>
      <c r="CS1356" s="30"/>
      <c r="CT1356" s="30"/>
      <c r="CU1356" s="30"/>
      <c r="CV1356" s="30"/>
      <c r="CW1356" s="30"/>
      <c r="CX1356" s="30"/>
      <c r="CY1356" s="30"/>
      <c r="CZ1356" s="30"/>
      <c r="DA1356" s="30"/>
      <c r="DB1356" s="30"/>
      <c r="DC1356" s="30"/>
      <c r="DD1356" s="30"/>
      <c r="DE1356" s="30"/>
      <c r="DF1356" s="30"/>
      <c r="DG1356" s="30"/>
      <c r="DH1356" s="30"/>
      <c r="DI1356" s="30"/>
      <c r="DJ1356" s="30"/>
      <c r="DK1356" s="30"/>
      <c r="DL1356" s="30"/>
      <c r="DM1356" s="30"/>
      <c r="DN1356" s="30"/>
      <c r="DO1356" s="30"/>
      <c r="DP1356" s="30"/>
      <c r="DQ1356" s="30"/>
      <c r="DR1356" s="30"/>
      <c r="DS1356" s="30"/>
      <c r="DT1356" s="30"/>
      <c r="DU1356" s="30"/>
      <c r="DV1356" s="30"/>
      <c r="DW1356" s="30"/>
      <c r="DX1356" s="30"/>
      <c r="DY1356" s="30"/>
      <c r="DZ1356" s="30"/>
    </row>
    <row r="1357">
      <c r="A1357" s="30"/>
      <c r="B1357" s="42"/>
      <c r="C1357" s="43"/>
      <c r="D1357" s="30"/>
      <c r="E1357" s="28"/>
      <c r="F1357" s="30"/>
      <c r="G1357" s="30"/>
      <c r="H1357" s="30"/>
      <c r="I1357" s="30"/>
      <c r="J1357" s="28"/>
      <c r="K1357" s="30"/>
      <c r="L1357" s="30"/>
      <c r="M1357" s="30"/>
      <c r="N1357" s="30"/>
      <c r="O1357" s="28"/>
      <c r="P1357" s="30"/>
      <c r="Q1357" s="30"/>
      <c r="R1357" s="30"/>
      <c r="S1357" s="36"/>
      <c r="T1357" s="30"/>
      <c r="U1357" s="36"/>
      <c r="V1357" s="30"/>
      <c r="W1357" s="28"/>
      <c r="X1357" s="30"/>
      <c r="Y1357" s="30"/>
      <c r="Z1357" s="30"/>
      <c r="AA1357" s="30"/>
      <c r="AB1357" s="30"/>
      <c r="AC1357" s="28"/>
      <c r="AD1357" s="30"/>
      <c r="AE1357" s="30"/>
      <c r="AF1357" s="30"/>
      <c r="AG1357" s="29"/>
      <c r="AH1357" s="30"/>
      <c r="AI1357" s="36"/>
      <c r="AJ1357" s="30"/>
      <c r="AK1357" s="29"/>
      <c r="AL1357" s="30"/>
      <c r="AM1357" s="30"/>
      <c r="AN1357" s="30"/>
      <c r="AO1357" s="30"/>
      <c r="AP1357" s="30"/>
      <c r="AQ1357" s="38"/>
      <c r="AR1357" s="30"/>
      <c r="AS1357" s="30"/>
      <c r="AT1357" s="29"/>
      <c r="AU1357" s="30"/>
      <c r="AV1357" s="30"/>
      <c r="AW1357" s="30"/>
      <c r="AX1357" s="29"/>
      <c r="AY1357" s="39"/>
      <c r="AZ1357" s="30"/>
      <c r="BA1357" s="30"/>
      <c r="BB1357" s="29"/>
      <c r="BC1357" s="52"/>
      <c r="BD1357" s="30"/>
      <c r="BE1357" s="29"/>
      <c r="BF1357" s="30"/>
      <c r="BG1357" s="30"/>
      <c r="BH1357" s="30"/>
      <c r="BI1357" s="30"/>
      <c r="BJ1357" s="30"/>
      <c r="BK1357" s="30"/>
      <c r="BL1357" s="30"/>
      <c r="BM1357" s="30"/>
      <c r="BN1357" s="30"/>
      <c r="BO1357" s="30"/>
      <c r="BP1357" s="30"/>
      <c r="BQ1357" s="30"/>
      <c r="BR1357" s="30"/>
      <c r="BS1357" s="30"/>
      <c r="BT1357" s="30"/>
      <c r="BU1357" s="30"/>
      <c r="BV1357" s="30"/>
      <c r="BW1357" s="30"/>
      <c r="BX1357" s="30"/>
      <c r="BY1357" s="30"/>
      <c r="BZ1357" s="30"/>
      <c r="CA1357" s="30"/>
      <c r="CB1357" s="30"/>
      <c r="CC1357" s="30"/>
      <c r="CD1357" s="30"/>
      <c r="CE1357" s="30"/>
      <c r="CF1357" s="30"/>
      <c r="CG1357" s="30"/>
      <c r="CH1357" s="30"/>
      <c r="CI1357" s="30"/>
      <c r="CJ1357" s="30"/>
      <c r="CK1357" s="30"/>
      <c r="CL1357" s="30"/>
      <c r="CM1357" s="30"/>
      <c r="CN1357" s="30"/>
      <c r="CO1357" s="30"/>
      <c r="CP1357" s="30"/>
      <c r="CQ1357" s="30"/>
      <c r="CR1357" s="30"/>
      <c r="CS1357" s="30"/>
      <c r="CT1357" s="30"/>
      <c r="CU1357" s="30"/>
      <c r="CV1357" s="30"/>
      <c r="CW1357" s="30"/>
      <c r="CX1357" s="30"/>
      <c r="CY1357" s="30"/>
      <c r="CZ1357" s="30"/>
      <c r="DA1357" s="30"/>
      <c r="DB1357" s="30"/>
      <c r="DC1357" s="30"/>
      <c r="DD1357" s="30"/>
      <c r="DE1357" s="30"/>
      <c r="DF1357" s="30"/>
      <c r="DG1357" s="30"/>
      <c r="DH1357" s="30"/>
      <c r="DI1357" s="30"/>
      <c r="DJ1357" s="30"/>
      <c r="DK1357" s="30"/>
      <c r="DL1357" s="30"/>
      <c r="DM1357" s="30"/>
      <c r="DN1357" s="30"/>
      <c r="DO1357" s="30"/>
      <c r="DP1357" s="30"/>
      <c r="DQ1357" s="30"/>
      <c r="DR1357" s="30"/>
      <c r="DS1357" s="30"/>
      <c r="DT1357" s="30"/>
      <c r="DU1357" s="30"/>
      <c r="DV1357" s="30"/>
      <c r="DW1357" s="30"/>
      <c r="DX1357" s="30"/>
      <c r="DY1357" s="30"/>
      <c r="DZ1357" s="30"/>
    </row>
    <row r="1358">
      <c r="A1358" s="30"/>
      <c r="B1358" s="42"/>
      <c r="C1358" s="43"/>
      <c r="D1358" s="30"/>
      <c r="E1358" s="28"/>
      <c r="F1358" s="30"/>
      <c r="G1358" s="30"/>
      <c r="H1358" s="30"/>
      <c r="I1358" s="30"/>
      <c r="J1358" s="28"/>
      <c r="K1358" s="30"/>
      <c r="L1358" s="30"/>
      <c r="M1358" s="30"/>
      <c r="N1358" s="30"/>
      <c r="O1358" s="28"/>
      <c r="P1358" s="30"/>
      <c r="Q1358" s="30"/>
      <c r="R1358" s="30"/>
      <c r="S1358" s="36"/>
      <c r="T1358" s="30"/>
      <c r="U1358" s="36"/>
      <c r="V1358" s="30"/>
      <c r="W1358" s="28"/>
      <c r="X1358" s="30"/>
      <c r="Y1358" s="30"/>
      <c r="Z1358" s="30"/>
      <c r="AA1358" s="30"/>
      <c r="AB1358" s="30"/>
      <c r="AC1358" s="28"/>
      <c r="AD1358" s="30"/>
      <c r="AE1358" s="30"/>
      <c r="AF1358" s="30"/>
      <c r="AG1358" s="29"/>
      <c r="AH1358" s="30"/>
      <c r="AI1358" s="36"/>
      <c r="AJ1358" s="30"/>
      <c r="AK1358" s="29"/>
      <c r="AL1358" s="30"/>
      <c r="AM1358" s="30"/>
      <c r="AN1358" s="30"/>
      <c r="AO1358" s="30"/>
      <c r="AP1358" s="30"/>
      <c r="AQ1358" s="38"/>
      <c r="AR1358" s="30"/>
      <c r="AS1358" s="30"/>
      <c r="AT1358" s="29"/>
      <c r="AU1358" s="30"/>
      <c r="AV1358" s="30"/>
      <c r="AW1358" s="30"/>
      <c r="AX1358" s="29"/>
      <c r="AY1358" s="39"/>
      <c r="AZ1358" s="30"/>
      <c r="BA1358" s="30"/>
      <c r="BB1358" s="29"/>
      <c r="BC1358" s="52"/>
      <c r="BD1358" s="30"/>
      <c r="BE1358" s="29"/>
      <c r="BF1358" s="30"/>
      <c r="BG1358" s="30"/>
      <c r="BH1358" s="30"/>
      <c r="BI1358" s="30"/>
      <c r="BJ1358" s="30"/>
      <c r="BK1358" s="30"/>
      <c r="BL1358" s="30"/>
      <c r="BM1358" s="30"/>
      <c r="BN1358" s="30"/>
      <c r="BO1358" s="30"/>
      <c r="BP1358" s="30"/>
      <c r="BQ1358" s="30"/>
      <c r="BR1358" s="30"/>
      <c r="BS1358" s="30"/>
      <c r="BT1358" s="30"/>
      <c r="BU1358" s="30"/>
      <c r="BV1358" s="30"/>
      <c r="BW1358" s="30"/>
      <c r="BX1358" s="30"/>
      <c r="BY1358" s="30"/>
      <c r="BZ1358" s="30"/>
      <c r="CA1358" s="30"/>
      <c r="CB1358" s="30"/>
      <c r="CC1358" s="30"/>
      <c r="CD1358" s="30"/>
      <c r="CE1358" s="30"/>
      <c r="CF1358" s="30"/>
      <c r="CG1358" s="30"/>
      <c r="CH1358" s="30"/>
      <c r="CI1358" s="30"/>
      <c r="CJ1358" s="30"/>
      <c r="CK1358" s="30"/>
      <c r="CL1358" s="30"/>
      <c r="CM1358" s="30"/>
      <c r="CN1358" s="30"/>
      <c r="CO1358" s="30"/>
      <c r="CP1358" s="30"/>
      <c r="CQ1358" s="30"/>
      <c r="CR1358" s="30"/>
      <c r="CS1358" s="30"/>
      <c r="CT1358" s="30"/>
      <c r="CU1358" s="30"/>
      <c r="CV1358" s="30"/>
      <c r="CW1358" s="30"/>
      <c r="CX1358" s="30"/>
      <c r="CY1358" s="30"/>
      <c r="CZ1358" s="30"/>
      <c r="DA1358" s="30"/>
      <c r="DB1358" s="30"/>
      <c r="DC1358" s="30"/>
      <c r="DD1358" s="30"/>
      <c r="DE1358" s="30"/>
      <c r="DF1358" s="30"/>
      <c r="DG1358" s="30"/>
      <c r="DH1358" s="30"/>
      <c r="DI1358" s="30"/>
      <c r="DJ1358" s="30"/>
      <c r="DK1358" s="30"/>
      <c r="DL1358" s="30"/>
      <c r="DM1358" s="30"/>
      <c r="DN1358" s="30"/>
      <c r="DO1358" s="30"/>
      <c r="DP1358" s="30"/>
      <c r="DQ1358" s="30"/>
      <c r="DR1358" s="30"/>
      <c r="DS1358" s="30"/>
      <c r="DT1358" s="30"/>
      <c r="DU1358" s="30"/>
      <c r="DV1358" s="30"/>
      <c r="DW1358" s="30"/>
      <c r="DX1358" s="30"/>
      <c r="DY1358" s="30"/>
      <c r="DZ1358" s="30"/>
    </row>
    <row r="1359">
      <c r="A1359" s="30"/>
      <c r="B1359" s="42"/>
      <c r="C1359" s="43"/>
      <c r="D1359" s="30"/>
      <c r="E1359" s="28"/>
      <c r="F1359" s="30"/>
      <c r="G1359" s="30"/>
      <c r="H1359" s="30"/>
      <c r="I1359" s="30"/>
      <c r="J1359" s="28"/>
      <c r="K1359" s="30"/>
      <c r="L1359" s="30"/>
      <c r="M1359" s="30"/>
      <c r="N1359" s="30"/>
      <c r="O1359" s="28"/>
      <c r="P1359" s="30"/>
      <c r="Q1359" s="30"/>
      <c r="R1359" s="30"/>
      <c r="S1359" s="36"/>
      <c r="T1359" s="30"/>
      <c r="U1359" s="36"/>
      <c r="V1359" s="30"/>
      <c r="W1359" s="28"/>
      <c r="X1359" s="30"/>
      <c r="Y1359" s="30"/>
      <c r="Z1359" s="30"/>
      <c r="AA1359" s="30"/>
      <c r="AB1359" s="30"/>
      <c r="AC1359" s="28"/>
      <c r="AD1359" s="30"/>
      <c r="AE1359" s="30"/>
      <c r="AF1359" s="30"/>
      <c r="AG1359" s="29"/>
      <c r="AH1359" s="30"/>
      <c r="AI1359" s="36"/>
      <c r="AJ1359" s="30"/>
      <c r="AK1359" s="29"/>
      <c r="AL1359" s="30"/>
      <c r="AM1359" s="30"/>
      <c r="AN1359" s="30"/>
      <c r="AO1359" s="30"/>
      <c r="AP1359" s="30"/>
      <c r="AQ1359" s="38"/>
      <c r="AR1359" s="30"/>
      <c r="AS1359" s="30"/>
      <c r="AT1359" s="29"/>
      <c r="AU1359" s="30"/>
      <c r="AV1359" s="30"/>
      <c r="AW1359" s="30"/>
      <c r="AX1359" s="29"/>
      <c r="AY1359" s="39"/>
      <c r="AZ1359" s="30"/>
      <c r="BA1359" s="30"/>
      <c r="BB1359" s="29"/>
      <c r="BC1359" s="52"/>
      <c r="BD1359" s="30"/>
      <c r="BE1359" s="29"/>
      <c r="BF1359" s="30"/>
      <c r="BG1359" s="30"/>
      <c r="BH1359" s="30"/>
      <c r="BI1359" s="30"/>
      <c r="BJ1359" s="30"/>
      <c r="BK1359" s="30"/>
      <c r="BL1359" s="30"/>
      <c r="BM1359" s="30"/>
      <c r="BN1359" s="30"/>
      <c r="BO1359" s="30"/>
      <c r="BP1359" s="30"/>
      <c r="BQ1359" s="30"/>
      <c r="BR1359" s="30"/>
      <c r="BS1359" s="30"/>
      <c r="BT1359" s="30"/>
      <c r="BU1359" s="30"/>
      <c r="BV1359" s="30"/>
      <c r="BW1359" s="30"/>
      <c r="BX1359" s="30"/>
      <c r="BY1359" s="30"/>
      <c r="BZ1359" s="30"/>
      <c r="CA1359" s="30"/>
      <c r="CB1359" s="30"/>
      <c r="CC1359" s="30"/>
      <c r="CD1359" s="30"/>
      <c r="CE1359" s="30"/>
      <c r="CF1359" s="30"/>
      <c r="CG1359" s="30"/>
      <c r="CH1359" s="30"/>
      <c r="CI1359" s="30"/>
      <c r="CJ1359" s="30"/>
      <c r="CK1359" s="30"/>
      <c r="CL1359" s="30"/>
      <c r="CM1359" s="30"/>
      <c r="CN1359" s="30"/>
      <c r="CO1359" s="30"/>
      <c r="CP1359" s="30"/>
      <c r="CQ1359" s="30"/>
      <c r="CR1359" s="30"/>
      <c r="CS1359" s="30"/>
      <c r="CT1359" s="30"/>
      <c r="CU1359" s="30"/>
      <c r="CV1359" s="30"/>
      <c r="CW1359" s="30"/>
      <c r="CX1359" s="30"/>
      <c r="CY1359" s="30"/>
      <c r="CZ1359" s="30"/>
      <c r="DA1359" s="30"/>
      <c r="DB1359" s="30"/>
      <c r="DC1359" s="30"/>
      <c r="DD1359" s="30"/>
      <c r="DE1359" s="30"/>
      <c r="DF1359" s="30"/>
      <c r="DG1359" s="30"/>
      <c r="DH1359" s="30"/>
      <c r="DI1359" s="30"/>
      <c r="DJ1359" s="30"/>
      <c r="DK1359" s="30"/>
      <c r="DL1359" s="30"/>
      <c r="DM1359" s="30"/>
      <c r="DN1359" s="30"/>
      <c r="DO1359" s="30"/>
      <c r="DP1359" s="30"/>
      <c r="DQ1359" s="30"/>
      <c r="DR1359" s="30"/>
      <c r="DS1359" s="30"/>
      <c r="DT1359" s="30"/>
      <c r="DU1359" s="30"/>
      <c r="DV1359" s="30"/>
      <c r="DW1359" s="30"/>
      <c r="DX1359" s="30"/>
      <c r="DY1359" s="30"/>
      <c r="DZ1359" s="30"/>
    </row>
    <row r="1360">
      <c r="A1360" s="30"/>
      <c r="B1360" s="42"/>
      <c r="C1360" s="43"/>
      <c r="D1360" s="30"/>
      <c r="E1360" s="28"/>
      <c r="F1360" s="30"/>
      <c r="G1360" s="30"/>
      <c r="H1360" s="30"/>
      <c r="I1360" s="30"/>
      <c r="J1360" s="28"/>
      <c r="K1360" s="30"/>
      <c r="L1360" s="30"/>
      <c r="M1360" s="30"/>
      <c r="N1360" s="30"/>
      <c r="O1360" s="28"/>
      <c r="P1360" s="30"/>
      <c r="Q1360" s="30"/>
      <c r="R1360" s="30"/>
      <c r="S1360" s="36"/>
      <c r="T1360" s="30"/>
      <c r="U1360" s="36"/>
      <c r="V1360" s="30"/>
      <c r="W1360" s="28"/>
      <c r="X1360" s="30"/>
      <c r="Y1360" s="30"/>
      <c r="Z1360" s="30"/>
      <c r="AA1360" s="30"/>
      <c r="AB1360" s="30"/>
      <c r="AC1360" s="28"/>
      <c r="AD1360" s="30"/>
      <c r="AE1360" s="30"/>
      <c r="AF1360" s="30"/>
      <c r="AG1360" s="29"/>
      <c r="AH1360" s="30"/>
      <c r="AI1360" s="36"/>
      <c r="AJ1360" s="30"/>
      <c r="AK1360" s="29"/>
      <c r="AL1360" s="30"/>
      <c r="AM1360" s="30"/>
      <c r="AN1360" s="30"/>
      <c r="AO1360" s="30"/>
      <c r="AP1360" s="30"/>
      <c r="AQ1360" s="38"/>
      <c r="AR1360" s="30"/>
      <c r="AS1360" s="30"/>
      <c r="AT1360" s="29"/>
      <c r="AU1360" s="30"/>
      <c r="AV1360" s="30"/>
      <c r="AW1360" s="30"/>
      <c r="AX1360" s="29"/>
      <c r="AY1360" s="39"/>
      <c r="AZ1360" s="30"/>
      <c r="BA1360" s="30"/>
      <c r="BB1360" s="29"/>
      <c r="BC1360" s="52"/>
      <c r="BD1360" s="30"/>
      <c r="BE1360" s="29"/>
      <c r="BF1360" s="30"/>
      <c r="BG1360" s="30"/>
      <c r="BH1360" s="30"/>
      <c r="BI1360" s="30"/>
      <c r="BJ1360" s="30"/>
      <c r="BK1360" s="30"/>
      <c r="BL1360" s="30"/>
      <c r="BM1360" s="30"/>
      <c r="BN1360" s="30"/>
      <c r="BO1360" s="30"/>
      <c r="BP1360" s="30"/>
      <c r="BQ1360" s="30"/>
      <c r="BR1360" s="30"/>
      <c r="BS1360" s="30"/>
      <c r="BT1360" s="30"/>
      <c r="BU1360" s="30"/>
      <c r="BV1360" s="30"/>
      <c r="BW1360" s="30"/>
      <c r="BX1360" s="30"/>
      <c r="BY1360" s="30"/>
      <c r="BZ1360" s="30"/>
      <c r="CA1360" s="30"/>
      <c r="CB1360" s="30"/>
      <c r="CC1360" s="30"/>
      <c r="CD1360" s="30"/>
      <c r="CE1360" s="30"/>
      <c r="CF1360" s="30"/>
      <c r="CG1360" s="30"/>
      <c r="CH1360" s="30"/>
      <c r="CI1360" s="30"/>
      <c r="CJ1360" s="30"/>
      <c r="CK1360" s="30"/>
      <c r="CL1360" s="30"/>
      <c r="CM1360" s="30"/>
      <c r="CN1360" s="30"/>
      <c r="CO1360" s="30"/>
      <c r="CP1360" s="30"/>
      <c r="CQ1360" s="30"/>
      <c r="CR1360" s="30"/>
      <c r="CS1360" s="30"/>
      <c r="CT1360" s="30"/>
      <c r="CU1360" s="30"/>
      <c r="CV1360" s="30"/>
      <c r="CW1360" s="30"/>
      <c r="CX1360" s="30"/>
      <c r="CY1360" s="30"/>
      <c r="CZ1360" s="30"/>
      <c r="DA1360" s="30"/>
      <c r="DB1360" s="30"/>
      <c r="DC1360" s="30"/>
      <c r="DD1360" s="30"/>
      <c r="DE1360" s="30"/>
      <c r="DF1360" s="30"/>
      <c r="DG1360" s="30"/>
      <c r="DH1360" s="30"/>
      <c r="DI1360" s="30"/>
      <c r="DJ1360" s="30"/>
      <c r="DK1360" s="30"/>
      <c r="DL1360" s="30"/>
      <c r="DM1360" s="30"/>
      <c r="DN1360" s="30"/>
      <c r="DO1360" s="30"/>
      <c r="DP1360" s="30"/>
      <c r="DQ1360" s="30"/>
      <c r="DR1360" s="30"/>
      <c r="DS1360" s="30"/>
      <c r="DT1360" s="30"/>
      <c r="DU1360" s="30"/>
      <c r="DV1360" s="30"/>
      <c r="DW1360" s="30"/>
      <c r="DX1360" s="30"/>
      <c r="DY1360" s="30"/>
      <c r="DZ1360" s="30"/>
    </row>
    <row r="1361">
      <c r="A1361" s="30"/>
      <c r="B1361" s="42"/>
      <c r="C1361" s="43"/>
      <c r="D1361" s="30"/>
      <c r="E1361" s="28"/>
      <c r="F1361" s="30"/>
      <c r="G1361" s="30"/>
      <c r="H1361" s="30"/>
      <c r="I1361" s="30"/>
      <c r="J1361" s="28"/>
      <c r="K1361" s="30"/>
      <c r="L1361" s="30"/>
      <c r="M1361" s="30"/>
      <c r="N1361" s="30"/>
      <c r="O1361" s="28"/>
      <c r="P1361" s="30"/>
      <c r="Q1361" s="30"/>
      <c r="R1361" s="30"/>
      <c r="S1361" s="36"/>
      <c r="T1361" s="30"/>
      <c r="U1361" s="36"/>
      <c r="V1361" s="30"/>
      <c r="W1361" s="28"/>
      <c r="X1361" s="30"/>
      <c r="Y1361" s="30"/>
      <c r="Z1361" s="30"/>
      <c r="AA1361" s="30"/>
      <c r="AB1361" s="30"/>
      <c r="AC1361" s="28"/>
      <c r="AD1361" s="30"/>
      <c r="AE1361" s="30"/>
      <c r="AF1361" s="30"/>
      <c r="AG1361" s="29"/>
      <c r="AH1361" s="30"/>
      <c r="AI1361" s="36"/>
      <c r="AJ1361" s="30"/>
      <c r="AK1361" s="29"/>
      <c r="AL1361" s="30"/>
      <c r="AM1361" s="30"/>
      <c r="AN1361" s="30"/>
      <c r="AO1361" s="30"/>
      <c r="AP1361" s="30"/>
      <c r="AQ1361" s="38"/>
      <c r="AR1361" s="30"/>
      <c r="AS1361" s="30"/>
      <c r="AT1361" s="29"/>
      <c r="AU1361" s="30"/>
      <c r="AV1361" s="30"/>
      <c r="AW1361" s="30"/>
      <c r="AX1361" s="29"/>
      <c r="AY1361" s="39"/>
      <c r="AZ1361" s="30"/>
      <c r="BA1361" s="30"/>
      <c r="BB1361" s="29"/>
      <c r="BC1361" s="52"/>
      <c r="BD1361" s="30"/>
      <c r="BE1361" s="29"/>
      <c r="BF1361" s="30"/>
      <c r="BG1361" s="30"/>
      <c r="BH1361" s="30"/>
      <c r="BI1361" s="30"/>
      <c r="BJ1361" s="30"/>
      <c r="BK1361" s="30"/>
      <c r="BL1361" s="30"/>
      <c r="BM1361" s="30"/>
      <c r="BN1361" s="30"/>
      <c r="BO1361" s="30"/>
      <c r="BP1361" s="30"/>
      <c r="BQ1361" s="30"/>
      <c r="BR1361" s="30"/>
      <c r="BS1361" s="30"/>
      <c r="BT1361" s="30"/>
      <c r="BU1361" s="30"/>
      <c r="BV1361" s="30"/>
      <c r="BW1361" s="30"/>
      <c r="BX1361" s="30"/>
      <c r="BY1361" s="30"/>
      <c r="BZ1361" s="30"/>
      <c r="CA1361" s="30"/>
      <c r="CB1361" s="30"/>
      <c r="CC1361" s="30"/>
      <c r="CD1361" s="30"/>
      <c r="CE1361" s="30"/>
      <c r="CF1361" s="30"/>
      <c r="CG1361" s="30"/>
      <c r="CH1361" s="30"/>
      <c r="CI1361" s="30"/>
      <c r="CJ1361" s="30"/>
      <c r="CK1361" s="30"/>
      <c r="CL1361" s="30"/>
      <c r="CM1361" s="30"/>
      <c r="CN1361" s="30"/>
      <c r="CO1361" s="30"/>
      <c r="CP1361" s="30"/>
      <c r="CQ1361" s="30"/>
      <c r="CR1361" s="30"/>
      <c r="CS1361" s="30"/>
      <c r="CT1361" s="30"/>
      <c r="CU1361" s="30"/>
      <c r="CV1361" s="30"/>
      <c r="CW1361" s="30"/>
      <c r="CX1361" s="30"/>
      <c r="CY1361" s="30"/>
      <c r="CZ1361" s="30"/>
      <c r="DA1361" s="30"/>
      <c r="DB1361" s="30"/>
      <c r="DC1361" s="30"/>
      <c r="DD1361" s="30"/>
      <c r="DE1361" s="30"/>
      <c r="DF1361" s="30"/>
      <c r="DG1361" s="30"/>
      <c r="DH1361" s="30"/>
      <c r="DI1361" s="30"/>
      <c r="DJ1361" s="30"/>
      <c r="DK1361" s="30"/>
      <c r="DL1361" s="30"/>
      <c r="DM1361" s="30"/>
      <c r="DN1361" s="30"/>
      <c r="DO1361" s="30"/>
      <c r="DP1361" s="30"/>
      <c r="DQ1361" s="30"/>
      <c r="DR1361" s="30"/>
      <c r="DS1361" s="30"/>
      <c r="DT1361" s="30"/>
      <c r="DU1361" s="30"/>
      <c r="DV1361" s="30"/>
      <c r="DW1361" s="30"/>
      <c r="DX1361" s="30"/>
      <c r="DY1361" s="30"/>
      <c r="DZ1361" s="30"/>
    </row>
    <row r="1362">
      <c r="A1362" s="30"/>
      <c r="B1362" s="42"/>
      <c r="C1362" s="43"/>
      <c r="D1362" s="30"/>
      <c r="E1362" s="28"/>
      <c r="F1362" s="30"/>
      <c r="G1362" s="30"/>
      <c r="H1362" s="30"/>
      <c r="I1362" s="30"/>
      <c r="J1362" s="28"/>
      <c r="K1362" s="30"/>
      <c r="L1362" s="30"/>
      <c r="M1362" s="30"/>
      <c r="N1362" s="30"/>
      <c r="O1362" s="28"/>
      <c r="P1362" s="30"/>
      <c r="Q1362" s="30"/>
      <c r="R1362" s="30"/>
      <c r="S1362" s="36"/>
      <c r="T1362" s="30"/>
      <c r="U1362" s="36"/>
      <c r="V1362" s="30"/>
      <c r="W1362" s="28"/>
      <c r="X1362" s="30"/>
      <c r="Y1362" s="30"/>
      <c r="Z1362" s="30"/>
      <c r="AA1362" s="30"/>
      <c r="AB1362" s="30"/>
      <c r="AC1362" s="28"/>
      <c r="AD1362" s="30"/>
      <c r="AE1362" s="30"/>
      <c r="AF1362" s="30"/>
      <c r="AG1362" s="29"/>
      <c r="AH1362" s="30"/>
      <c r="AI1362" s="36"/>
      <c r="AJ1362" s="30"/>
      <c r="AK1362" s="29"/>
      <c r="AL1362" s="30"/>
      <c r="AM1362" s="30"/>
      <c r="AN1362" s="30"/>
      <c r="AO1362" s="30"/>
      <c r="AP1362" s="30"/>
      <c r="AQ1362" s="38"/>
      <c r="AR1362" s="30"/>
      <c r="AS1362" s="30"/>
      <c r="AT1362" s="29"/>
      <c r="AU1362" s="30"/>
      <c r="AV1362" s="30"/>
      <c r="AW1362" s="30"/>
      <c r="AX1362" s="29"/>
      <c r="AY1362" s="39"/>
      <c r="AZ1362" s="30"/>
      <c r="BA1362" s="30"/>
      <c r="BB1362" s="29"/>
      <c r="BC1362" s="52"/>
      <c r="BD1362" s="30"/>
      <c r="BE1362" s="29"/>
      <c r="BF1362" s="30"/>
      <c r="BG1362" s="30"/>
      <c r="BH1362" s="30"/>
      <c r="BI1362" s="30"/>
      <c r="BJ1362" s="30"/>
      <c r="BK1362" s="30"/>
      <c r="BL1362" s="30"/>
      <c r="BM1362" s="30"/>
      <c r="BN1362" s="30"/>
      <c r="BO1362" s="30"/>
      <c r="BP1362" s="30"/>
      <c r="BQ1362" s="30"/>
      <c r="BR1362" s="30"/>
      <c r="BS1362" s="30"/>
      <c r="BT1362" s="30"/>
      <c r="BU1362" s="30"/>
      <c r="BV1362" s="30"/>
      <c r="BW1362" s="30"/>
      <c r="BX1362" s="30"/>
      <c r="BY1362" s="30"/>
      <c r="BZ1362" s="30"/>
      <c r="CA1362" s="30"/>
      <c r="CB1362" s="30"/>
      <c r="CC1362" s="30"/>
      <c r="CD1362" s="30"/>
      <c r="CE1362" s="30"/>
      <c r="CF1362" s="30"/>
      <c r="CG1362" s="30"/>
      <c r="CH1362" s="30"/>
      <c r="CI1362" s="30"/>
      <c r="CJ1362" s="30"/>
      <c r="CK1362" s="30"/>
      <c r="CL1362" s="30"/>
      <c r="CM1362" s="30"/>
      <c r="CN1362" s="30"/>
      <c r="CO1362" s="30"/>
      <c r="CP1362" s="30"/>
      <c r="CQ1362" s="30"/>
      <c r="CR1362" s="30"/>
      <c r="CS1362" s="30"/>
      <c r="CT1362" s="30"/>
      <c r="CU1362" s="30"/>
      <c r="CV1362" s="30"/>
      <c r="CW1362" s="30"/>
      <c r="CX1362" s="30"/>
      <c r="CY1362" s="30"/>
      <c r="CZ1362" s="30"/>
      <c r="DA1362" s="30"/>
      <c r="DB1362" s="30"/>
      <c r="DC1362" s="30"/>
      <c r="DD1362" s="30"/>
      <c r="DE1362" s="30"/>
      <c r="DF1362" s="30"/>
      <c r="DG1362" s="30"/>
      <c r="DH1362" s="30"/>
      <c r="DI1362" s="30"/>
      <c r="DJ1362" s="30"/>
      <c r="DK1362" s="30"/>
      <c r="DL1362" s="30"/>
      <c r="DM1362" s="30"/>
      <c r="DN1362" s="30"/>
      <c r="DO1362" s="30"/>
      <c r="DP1362" s="30"/>
      <c r="DQ1362" s="30"/>
      <c r="DR1362" s="30"/>
      <c r="DS1362" s="30"/>
      <c r="DT1362" s="30"/>
      <c r="DU1362" s="30"/>
      <c r="DV1362" s="30"/>
      <c r="DW1362" s="30"/>
      <c r="DX1362" s="30"/>
      <c r="DY1362" s="30"/>
      <c r="DZ1362" s="30"/>
    </row>
    <row r="1363">
      <c r="A1363" s="30"/>
      <c r="B1363" s="42"/>
      <c r="C1363" s="43"/>
      <c r="D1363" s="30"/>
      <c r="E1363" s="28"/>
      <c r="F1363" s="30"/>
      <c r="G1363" s="30"/>
      <c r="H1363" s="30"/>
      <c r="I1363" s="30"/>
      <c r="J1363" s="28"/>
      <c r="K1363" s="30"/>
      <c r="L1363" s="30"/>
      <c r="M1363" s="30"/>
      <c r="N1363" s="30"/>
      <c r="O1363" s="28"/>
      <c r="P1363" s="30"/>
      <c r="Q1363" s="30"/>
      <c r="R1363" s="30"/>
      <c r="S1363" s="36"/>
      <c r="T1363" s="30"/>
      <c r="U1363" s="36"/>
      <c r="V1363" s="30"/>
      <c r="W1363" s="28"/>
      <c r="X1363" s="30"/>
      <c r="Y1363" s="30"/>
      <c r="Z1363" s="30"/>
      <c r="AA1363" s="30"/>
      <c r="AB1363" s="30"/>
      <c r="AC1363" s="28"/>
      <c r="AD1363" s="30"/>
      <c r="AE1363" s="30"/>
      <c r="AF1363" s="30"/>
      <c r="AG1363" s="29"/>
      <c r="AH1363" s="30"/>
      <c r="AI1363" s="36"/>
      <c r="AJ1363" s="30"/>
      <c r="AK1363" s="29"/>
      <c r="AL1363" s="30"/>
      <c r="AM1363" s="30"/>
      <c r="AN1363" s="30"/>
      <c r="AO1363" s="30"/>
      <c r="AP1363" s="30"/>
      <c r="AQ1363" s="38"/>
      <c r="AR1363" s="30"/>
      <c r="AS1363" s="30"/>
      <c r="AT1363" s="29"/>
      <c r="AU1363" s="30"/>
      <c r="AV1363" s="30"/>
      <c r="AW1363" s="30"/>
      <c r="AX1363" s="29"/>
      <c r="AY1363" s="39"/>
      <c r="AZ1363" s="30"/>
      <c r="BA1363" s="30"/>
      <c r="BB1363" s="29"/>
      <c r="BC1363" s="52"/>
      <c r="BD1363" s="30"/>
      <c r="BE1363" s="29"/>
      <c r="BF1363" s="30"/>
      <c r="BG1363" s="30"/>
      <c r="BH1363" s="30"/>
      <c r="BI1363" s="30"/>
      <c r="BJ1363" s="30"/>
      <c r="BK1363" s="30"/>
      <c r="BL1363" s="30"/>
      <c r="BM1363" s="30"/>
      <c r="BN1363" s="30"/>
      <c r="BO1363" s="30"/>
      <c r="BP1363" s="30"/>
      <c r="BQ1363" s="30"/>
      <c r="BR1363" s="30"/>
      <c r="BS1363" s="30"/>
      <c r="BT1363" s="30"/>
      <c r="BU1363" s="30"/>
      <c r="BV1363" s="30"/>
      <c r="BW1363" s="30"/>
      <c r="BX1363" s="30"/>
      <c r="BY1363" s="30"/>
      <c r="BZ1363" s="30"/>
      <c r="CA1363" s="30"/>
      <c r="CB1363" s="30"/>
      <c r="CC1363" s="30"/>
      <c r="CD1363" s="30"/>
      <c r="CE1363" s="30"/>
      <c r="CF1363" s="30"/>
      <c r="CG1363" s="30"/>
      <c r="CH1363" s="30"/>
      <c r="CI1363" s="30"/>
      <c r="CJ1363" s="30"/>
      <c r="CK1363" s="30"/>
      <c r="CL1363" s="30"/>
      <c r="CM1363" s="30"/>
      <c r="CN1363" s="30"/>
      <c r="CO1363" s="30"/>
      <c r="CP1363" s="30"/>
      <c r="CQ1363" s="30"/>
      <c r="CR1363" s="30"/>
      <c r="CS1363" s="30"/>
      <c r="CT1363" s="30"/>
      <c r="CU1363" s="30"/>
      <c r="CV1363" s="30"/>
      <c r="CW1363" s="30"/>
      <c r="CX1363" s="30"/>
      <c r="CY1363" s="30"/>
      <c r="CZ1363" s="30"/>
      <c r="DA1363" s="30"/>
      <c r="DB1363" s="30"/>
      <c r="DC1363" s="30"/>
      <c r="DD1363" s="30"/>
      <c r="DE1363" s="30"/>
      <c r="DF1363" s="30"/>
      <c r="DG1363" s="30"/>
      <c r="DH1363" s="30"/>
      <c r="DI1363" s="30"/>
      <c r="DJ1363" s="30"/>
      <c r="DK1363" s="30"/>
      <c r="DL1363" s="30"/>
      <c r="DM1363" s="30"/>
      <c r="DN1363" s="30"/>
      <c r="DO1363" s="30"/>
      <c r="DP1363" s="30"/>
      <c r="DQ1363" s="30"/>
      <c r="DR1363" s="30"/>
      <c r="DS1363" s="30"/>
      <c r="DT1363" s="30"/>
      <c r="DU1363" s="30"/>
      <c r="DV1363" s="30"/>
      <c r="DW1363" s="30"/>
      <c r="DX1363" s="30"/>
      <c r="DY1363" s="30"/>
      <c r="DZ1363" s="30"/>
    </row>
    <row r="1364">
      <c r="A1364" s="30"/>
      <c r="B1364" s="42"/>
      <c r="C1364" s="43"/>
      <c r="D1364" s="30"/>
      <c r="E1364" s="28"/>
      <c r="F1364" s="30"/>
      <c r="G1364" s="30"/>
      <c r="H1364" s="30"/>
      <c r="I1364" s="30"/>
      <c r="J1364" s="28"/>
      <c r="K1364" s="30"/>
      <c r="L1364" s="30"/>
      <c r="M1364" s="30"/>
      <c r="N1364" s="30"/>
      <c r="O1364" s="28"/>
      <c r="P1364" s="30"/>
      <c r="Q1364" s="30"/>
      <c r="R1364" s="30"/>
      <c r="S1364" s="36"/>
      <c r="T1364" s="30"/>
      <c r="U1364" s="36"/>
      <c r="V1364" s="30"/>
      <c r="W1364" s="28"/>
      <c r="X1364" s="30"/>
      <c r="Y1364" s="30"/>
      <c r="Z1364" s="30"/>
      <c r="AA1364" s="30"/>
      <c r="AB1364" s="30"/>
      <c r="AC1364" s="28"/>
      <c r="AD1364" s="30"/>
      <c r="AE1364" s="30"/>
      <c r="AF1364" s="30"/>
      <c r="AG1364" s="29"/>
      <c r="AH1364" s="30"/>
      <c r="AI1364" s="36"/>
      <c r="AJ1364" s="30"/>
      <c r="AK1364" s="29"/>
      <c r="AL1364" s="30"/>
      <c r="AM1364" s="30"/>
      <c r="AN1364" s="30"/>
      <c r="AO1364" s="30"/>
      <c r="AP1364" s="30"/>
      <c r="AQ1364" s="38"/>
      <c r="AR1364" s="30"/>
      <c r="AS1364" s="30"/>
      <c r="AT1364" s="29"/>
      <c r="AU1364" s="30"/>
      <c r="AV1364" s="30"/>
      <c r="AW1364" s="30"/>
      <c r="AX1364" s="29"/>
      <c r="AY1364" s="39"/>
      <c r="AZ1364" s="30"/>
      <c r="BA1364" s="30"/>
      <c r="BB1364" s="29"/>
      <c r="BC1364" s="52"/>
      <c r="BD1364" s="30"/>
      <c r="BE1364" s="29"/>
      <c r="BF1364" s="30"/>
      <c r="BG1364" s="30"/>
      <c r="BH1364" s="30"/>
      <c r="BI1364" s="30"/>
      <c r="BJ1364" s="30"/>
      <c r="BK1364" s="30"/>
      <c r="BL1364" s="30"/>
      <c r="BM1364" s="30"/>
      <c r="BN1364" s="30"/>
      <c r="BO1364" s="30"/>
      <c r="BP1364" s="30"/>
      <c r="BQ1364" s="30"/>
      <c r="BR1364" s="30"/>
      <c r="BS1364" s="30"/>
      <c r="BT1364" s="30"/>
      <c r="BU1364" s="30"/>
      <c r="BV1364" s="30"/>
      <c r="BW1364" s="30"/>
      <c r="BX1364" s="30"/>
      <c r="BY1364" s="30"/>
      <c r="BZ1364" s="30"/>
      <c r="CA1364" s="30"/>
      <c r="CB1364" s="30"/>
      <c r="CC1364" s="30"/>
      <c r="CD1364" s="30"/>
      <c r="CE1364" s="30"/>
      <c r="CF1364" s="30"/>
      <c r="CG1364" s="30"/>
      <c r="CH1364" s="30"/>
      <c r="CI1364" s="30"/>
      <c r="CJ1364" s="30"/>
      <c r="CK1364" s="30"/>
      <c r="CL1364" s="30"/>
      <c r="CM1364" s="30"/>
      <c r="CN1364" s="30"/>
      <c r="CO1364" s="30"/>
      <c r="CP1364" s="30"/>
      <c r="CQ1364" s="30"/>
      <c r="CR1364" s="30"/>
      <c r="CS1364" s="30"/>
      <c r="CT1364" s="30"/>
      <c r="CU1364" s="30"/>
      <c r="CV1364" s="30"/>
      <c r="CW1364" s="30"/>
      <c r="CX1364" s="30"/>
      <c r="CY1364" s="30"/>
      <c r="CZ1364" s="30"/>
      <c r="DA1364" s="30"/>
      <c r="DB1364" s="30"/>
      <c r="DC1364" s="30"/>
      <c r="DD1364" s="30"/>
      <c r="DE1364" s="30"/>
      <c r="DF1364" s="30"/>
      <c r="DG1364" s="30"/>
      <c r="DH1364" s="30"/>
      <c r="DI1364" s="30"/>
      <c r="DJ1364" s="30"/>
      <c r="DK1364" s="30"/>
      <c r="DL1364" s="30"/>
      <c r="DM1364" s="30"/>
      <c r="DN1364" s="30"/>
      <c r="DO1364" s="30"/>
      <c r="DP1364" s="30"/>
      <c r="DQ1364" s="30"/>
      <c r="DR1364" s="30"/>
      <c r="DS1364" s="30"/>
      <c r="DT1364" s="30"/>
      <c r="DU1364" s="30"/>
      <c r="DV1364" s="30"/>
      <c r="DW1364" s="30"/>
      <c r="DX1364" s="30"/>
      <c r="DY1364" s="30"/>
      <c r="DZ1364" s="30"/>
    </row>
    <row r="1365">
      <c r="A1365" s="30"/>
      <c r="B1365" s="42"/>
      <c r="C1365" s="43"/>
      <c r="D1365" s="30"/>
      <c r="E1365" s="28"/>
      <c r="F1365" s="30"/>
      <c r="G1365" s="30"/>
      <c r="H1365" s="30"/>
      <c r="I1365" s="30"/>
      <c r="J1365" s="28"/>
      <c r="K1365" s="30"/>
      <c r="L1365" s="30"/>
      <c r="M1365" s="30"/>
      <c r="N1365" s="30"/>
      <c r="O1365" s="28"/>
      <c r="P1365" s="30"/>
      <c r="Q1365" s="30"/>
      <c r="R1365" s="30"/>
      <c r="S1365" s="36"/>
      <c r="T1365" s="30"/>
      <c r="U1365" s="36"/>
      <c r="V1365" s="30"/>
      <c r="W1365" s="28"/>
      <c r="X1365" s="30"/>
      <c r="Y1365" s="30"/>
      <c r="Z1365" s="30"/>
      <c r="AA1365" s="30"/>
      <c r="AB1365" s="30"/>
      <c r="AC1365" s="28"/>
      <c r="AD1365" s="30"/>
      <c r="AE1365" s="30"/>
      <c r="AF1365" s="30"/>
      <c r="AG1365" s="29"/>
      <c r="AH1365" s="30"/>
      <c r="AI1365" s="36"/>
      <c r="AJ1365" s="30"/>
      <c r="AK1365" s="29"/>
      <c r="AL1365" s="30"/>
      <c r="AM1365" s="30"/>
      <c r="AN1365" s="30"/>
      <c r="AO1365" s="30"/>
      <c r="AP1365" s="30"/>
      <c r="AQ1365" s="38"/>
      <c r="AR1365" s="30"/>
      <c r="AS1365" s="30"/>
      <c r="AT1365" s="29"/>
      <c r="AU1365" s="30"/>
      <c r="AV1365" s="30"/>
      <c r="AW1365" s="30"/>
      <c r="AX1365" s="29"/>
      <c r="AY1365" s="39"/>
      <c r="AZ1365" s="30"/>
      <c r="BA1365" s="30"/>
      <c r="BB1365" s="29"/>
      <c r="BC1365" s="52"/>
      <c r="BD1365" s="30"/>
      <c r="BE1365" s="29"/>
      <c r="BF1365" s="30"/>
      <c r="BG1365" s="30"/>
      <c r="BH1365" s="30"/>
      <c r="BI1365" s="30"/>
      <c r="BJ1365" s="30"/>
      <c r="BK1365" s="30"/>
      <c r="BL1365" s="30"/>
      <c r="BM1365" s="30"/>
      <c r="BN1365" s="30"/>
      <c r="BO1365" s="30"/>
      <c r="BP1365" s="30"/>
      <c r="BQ1365" s="30"/>
      <c r="BR1365" s="30"/>
      <c r="BS1365" s="30"/>
      <c r="BT1365" s="30"/>
      <c r="BU1365" s="30"/>
      <c r="BV1365" s="30"/>
      <c r="BW1365" s="30"/>
      <c r="BX1365" s="30"/>
      <c r="BY1365" s="30"/>
      <c r="BZ1365" s="30"/>
      <c r="CA1365" s="30"/>
      <c r="CB1365" s="30"/>
      <c r="CC1365" s="30"/>
      <c r="CD1365" s="30"/>
      <c r="CE1365" s="30"/>
      <c r="CF1365" s="30"/>
      <c r="CG1365" s="30"/>
      <c r="CH1365" s="30"/>
      <c r="CI1365" s="30"/>
      <c r="CJ1365" s="30"/>
      <c r="CK1365" s="30"/>
      <c r="CL1365" s="30"/>
      <c r="CM1365" s="30"/>
      <c r="CN1365" s="30"/>
      <c r="CO1365" s="30"/>
      <c r="CP1365" s="30"/>
      <c r="CQ1365" s="30"/>
      <c r="CR1365" s="30"/>
      <c r="CS1365" s="30"/>
      <c r="CT1365" s="30"/>
      <c r="CU1365" s="30"/>
      <c r="CV1365" s="30"/>
      <c r="CW1365" s="30"/>
      <c r="CX1365" s="30"/>
      <c r="CY1365" s="30"/>
      <c r="CZ1365" s="30"/>
      <c r="DA1365" s="30"/>
      <c r="DB1365" s="30"/>
      <c r="DC1365" s="30"/>
      <c r="DD1365" s="30"/>
      <c r="DE1365" s="30"/>
      <c r="DF1365" s="30"/>
      <c r="DG1365" s="30"/>
      <c r="DH1365" s="30"/>
      <c r="DI1365" s="30"/>
      <c r="DJ1365" s="30"/>
      <c r="DK1365" s="30"/>
      <c r="DL1365" s="30"/>
      <c r="DM1365" s="30"/>
      <c r="DN1365" s="30"/>
      <c r="DO1365" s="30"/>
      <c r="DP1365" s="30"/>
      <c r="DQ1365" s="30"/>
      <c r="DR1365" s="30"/>
      <c r="DS1365" s="30"/>
      <c r="DT1365" s="30"/>
      <c r="DU1365" s="30"/>
      <c r="DV1365" s="30"/>
      <c r="DW1365" s="30"/>
      <c r="DX1365" s="30"/>
      <c r="DY1365" s="30"/>
      <c r="DZ1365" s="30"/>
    </row>
    <row r="1366">
      <c r="A1366" s="30"/>
      <c r="B1366" s="42"/>
      <c r="C1366" s="43"/>
      <c r="D1366" s="30"/>
      <c r="E1366" s="28"/>
      <c r="F1366" s="30"/>
      <c r="G1366" s="30"/>
      <c r="H1366" s="30"/>
      <c r="I1366" s="30"/>
      <c r="J1366" s="28"/>
      <c r="K1366" s="30"/>
      <c r="L1366" s="30"/>
      <c r="M1366" s="30"/>
      <c r="N1366" s="30"/>
      <c r="O1366" s="28"/>
      <c r="P1366" s="30"/>
      <c r="Q1366" s="30"/>
      <c r="R1366" s="30"/>
      <c r="S1366" s="36"/>
      <c r="T1366" s="30"/>
      <c r="U1366" s="36"/>
      <c r="V1366" s="30"/>
      <c r="W1366" s="28"/>
      <c r="X1366" s="30"/>
      <c r="Y1366" s="30"/>
      <c r="Z1366" s="30"/>
      <c r="AA1366" s="30"/>
      <c r="AB1366" s="30"/>
      <c r="AC1366" s="28"/>
      <c r="AD1366" s="30"/>
      <c r="AE1366" s="30"/>
      <c r="AF1366" s="30"/>
      <c r="AG1366" s="29"/>
      <c r="AH1366" s="30"/>
      <c r="AI1366" s="36"/>
      <c r="AJ1366" s="30"/>
      <c r="AK1366" s="29"/>
      <c r="AL1366" s="30"/>
      <c r="AM1366" s="30"/>
      <c r="AN1366" s="30"/>
      <c r="AO1366" s="30"/>
      <c r="AP1366" s="30"/>
      <c r="AQ1366" s="38"/>
      <c r="AR1366" s="30"/>
      <c r="AS1366" s="30"/>
      <c r="AT1366" s="29"/>
      <c r="AU1366" s="30"/>
      <c r="AV1366" s="30"/>
      <c r="AW1366" s="30"/>
      <c r="AX1366" s="29"/>
      <c r="AY1366" s="39"/>
      <c r="AZ1366" s="30"/>
      <c r="BA1366" s="30"/>
      <c r="BB1366" s="29"/>
      <c r="BC1366" s="52"/>
      <c r="BD1366" s="30"/>
      <c r="BE1366" s="29"/>
      <c r="BF1366" s="30"/>
      <c r="BG1366" s="30"/>
      <c r="BH1366" s="30"/>
      <c r="BI1366" s="30"/>
      <c r="BJ1366" s="30"/>
      <c r="BK1366" s="30"/>
      <c r="BL1366" s="30"/>
      <c r="BM1366" s="30"/>
      <c r="BN1366" s="30"/>
      <c r="BO1366" s="30"/>
      <c r="BP1366" s="30"/>
      <c r="BQ1366" s="30"/>
      <c r="BR1366" s="30"/>
      <c r="BS1366" s="30"/>
      <c r="BT1366" s="30"/>
      <c r="BU1366" s="30"/>
      <c r="BV1366" s="30"/>
      <c r="BW1366" s="30"/>
      <c r="BX1366" s="30"/>
      <c r="BY1366" s="30"/>
      <c r="BZ1366" s="30"/>
      <c r="CA1366" s="30"/>
      <c r="CB1366" s="30"/>
      <c r="CC1366" s="30"/>
      <c r="CD1366" s="30"/>
      <c r="CE1366" s="30"/>
      <c r="CF1366" s="30"/>
      <c r="CG1366" s="30"/>
      <c r="CH1366" s="30"/>
      <c r="CI1366" s="30"/>
      <c r="CJ1366" s="30"/>
      <c r="CK1366" s="30"/>
      <c r="CL1366" s="30"/>
      <c r="CM1366" s="30"/>
      <c r="CN1366" s="30"/>
      <c r="CO1366" s="30"/>
      <c r="CP1366" s="30"/>
      <c r="CQ1366" s="30"/>
      <c r="CR1366" s="30"/>
      <c r="CS1366" s="30"/>
      <c r="CT1366" s="30"/>
      <c r="CU1366" s="30"/>
      <c r="CV1366" s="30"/>
      <c r="CW1366" s="30"/>
      <c r="CX1366" s="30"/>
      <c r="CY1366" s="30"/>
      <c r="CZ1366" s="30"/>
      <c r="DA1366" s="30"/>
      <c r="DB1366" s="30"/>
      <c r="DC1366" s="30"/>
      <c r="DD1366" s="30"/>
      <c r="DE1366" s="30"/>
      <c r="DF1366" s="30"/>
      <c r="DG1366" s="30"/>
      <c r="DH1366" s="30"/>
      <c r="DI1366" s="30"/>
      <c r="DJ1366" s="30"/>
      <c r="DK1366" s="30"/>
      <c r="DL1366" s="30"/>
      <c r="DM1366" s="30"/>
      <c r="DN1366" s="30"/>
      <c r="DO1366" s="30"/>
      <c r="DP1366" s="30"/>
      <c r="DQ1366" s="30"/>
      <c r="DR1366" s="30"/>
      <c r="DS1366" s="30"/>
      <c r="DT1366" s="30"/>
      <c r="DU1366" s="30"/>
      <c r="DV1366" s="30"/>
      <c r="DW1366" s="30"/>
      <c r="DX1366" s="30"/>
      <c r="DY1366" s="30"/>
      <c r="DZ1366" s="30"/>
    </row>
    <row r="1367">
      <c r="A1367" s="30"/>
      <c r="B1367" s="42"/>
      <c r="C1367" s="43"/>
      <c r="D1367" s="30"/>
      <c r="E1367" s="28"/>
      <c r="F1367" s="30"/>
      <c r="G1367" s="30"/>
      <c r="H1367" s="30"/>
      <c r="I1367" s="30"/>
      <c r="J1367" s="28"/>
      <c r="K1367" s="30"/>
      <c r="L1367" s="30"/>
      <c r="M1367" s="30"/>
      <c r="N1367" s="30"/>
      <c r="O1367" s="28"/>
      <c r="P1367" s="30"/>
      <c r="Q1367" s="30"/>
      <c r="R1367" s="30"/>
      <c r="S1367" s="36"/>
      <c r="T1367" s="30"/>
      <c r="U1367" s="36"/>
      <c r="V1367" s="30"/>
      <c r="W1367" s="28"/>
      <c r="X1367" s="30"/>
      <c r="Y1367" s="30"/>
      <c r="Z1367" s="30"/>
      <c r="AA1367" s="30"/>
      <c r="AB1367" s="30"/>
      <c r="AC1367" s="28"/>
      <c r="AD1367" s="30"/>
      <c r="AE1367" s="30"/>
      <c r="AF1367" s="30"/>
      <c r="AG1367" s="29"/>
      <c r="AH1367" s="30"/>
      <c r="AI1367" s="36"/>
      <c r="AJ1367" s="30"/>
      <c r="AK1367" s="29"/>
      <c r="AL1367" s="30"/>
      <c r="AM1367" s="30"/>
      <c r="AN1367" s="30"/>
      <c r="AO1367" s="30"/>
      <c r="AP1367" s="30"/>
      <c r="AQ1367" s="38"/>
      <c r="AR1367" s="30"/>
      <c r="AS1367" s="30"/>
      <c r="AT1367" s="29"/>
      <c r="AU1367" s="30"/>
      <c r="AV1367" s="30"/>
      <c r="AW1367" s="30"/>
      <c r="AX1367" s="29"/>
      <c r="AY1367" s="39"/>
      <c r="AZ1367" s="30"/>
      <c r="BA1367" s="30"/>
      <c r="BB1367" s="29"/>
      <c r="BC1367" s="52"/>
      <c r="BD1367" s="30"/>
      <c r="BE1367" s="29"/>
      <c r="BF1367" s="30"/>
      <c r="BG1367" s="30"/>
      <c r="BH1367" s="30"/>
      <c r="BI1367" s="30"/>
      <c r="BJ1367" s="30"/>
      <c r="BK1367" s="30"/>
      <c r="BL1367" s="30"/>
      <c r="BM1367" s="30"/>
      <c r="BN1367" s="30"/>
      <c r="BO1367" s="30"/>
      <c r="BP1367" s="30"/>
      <c r="BQ1367" s="30"/>
      <c r="BR1367" s="30"/>
      <c r="BS1367" s="30"/>
      <c r="BT1367" s="30"/>
      <c r="BU1367" s="30"/>
      <c r="BV1367" s="30"/>
      <c r="BW1367" s="30"/>
      <c r="BX1367" s="30"/>
      <c r="BY1367" s="30"/>
      <c r="BZ1367" s="30"/>
      <c r="CA1367" s="30"/>
      <c r="CB1367" s="30"/>
      <c r="CC1367" s="30"/>
      <c r="CD1367" s="30"/>
      <c r="CE1367" s="30"/>
      <c r="CF1367" s="30"/>
      <c r="CG1367" s="30"/>
      <c r="CH1367" s="30"/>
      <c r="CI1367" s="30"/>
      <c r="CJ1367" s="30"/>
      <c r="CK1367" s="30"/>
      <c r="CL1367" s="30"/>
      <c r="CM1367" s="30"/>
      <c r="CN1367" s="30"/>
      <c r="CO1367" s="30"/>
      <c r="CP1367" s="30"/>
      <c r="CQ1367" s="30"/>
      <c r="CR1367" s="30"/>
      <c r="CS1367" s="30"/>
      <c r="CT1367" s="30"/>
      <c r="CU1367" s="30"/>
      <c r="CV1367" s="30"/>
      <c r="CW1367" s="30"/>
      <c r="CX1367" s="30"/>
      <c r="CY1367" s="30"/>
      <c r="CZ1367" s="30"/>
      <c r="DA1367" s="30"/>
      <c r="DB1367" s="30"/>
      <c r="DC1367" s="30"/>
      <c r="DD1367" s="30"/>
      <c r="DE1367" s="30"/>
      <c r="DF1367" s="30"/>
      <c r="DG1367" s="30"/>
      <c r="DH1367" s="30"/>
      <c r="DI1367" s="30"/>
      <c r="DJ1367" s="30"/>
      <c r="DK1367" s="30"/>
      <c r="DL1367" s="30"/>
      <c r="DM1367" s="30"/>
      <c r="DN1367" s="30"/>
      <c r="DO1367" s="30"/>
      <c r="DP1367" s="30"/>
      <c r="DQ1367" s="30"/>
      <c r="DR1367" s="30"/>
      <c r="DS1367" s="30"/>
      <c r="DT1367" s="30"/>
      <c r="DU1367" s="30"/>
      <c r="DV1367" s="30"/>
      <c r="DW1367" s="30"/>
      <c r="DX1367" s="30"/>
      <c r="DY1367" s="30"/>
      <c r="DZ1367" s="30"/>
    </row>
    <row r="1368">
      <c r="A1368" s="30"/>
      <c r="B1368" s="42"/>
      <c r="C1368" s="43"/>
      <c r="D1368" s="30"/>
      <c r="E1368" s="28"/>
      <c r="F1368" s="30"/>
      <c r="G1368" s="30"/>
      <c r="H1368" s="30"/>
      <c r="I1368" s="30"/>
      <c r="J1368" s="28"/>
      <c r="K1368" s="30"/>
      <c r="L1368" s="30"/>
      <c r="M1368" s="30"/>
      <c r="N1368" s="30"/>
      <c r="O1368" s="28"/>
      <c r="P1368" s="30"/>
      <c r="Q1368" s="30"/>
      <c r="R1368" s="30"/>
      <c r="S1368" s="36"/>
      <c r="T1368" s="30"/>
      <c r="U1368" s="36"/>
      <c r="V1368" s="30"/>
      <c r="W1368" s="28"/>
      <c r="X1368" s="30"/>
      <c r="Y1368" s="30"/>
      <c r="Z1368" s="30"/>
      <c r="AA1368" s="30"/>
      <c r="AB1368" s="30"/>
      <c r="AC1368" s="28"/>
      <c r="AD1368" s="30"/>
      <c r="AE1368" s="30"/>
      <c r="AF1368" s="30"/>
      <c r="AG1368" s="29"/>
      <c r="AH1368" s="30"/>
      <c r="AI1368" s="36"/>
      <c r="AJ1368" s="30"/>
      <c r="AK1368" s="29"/>
      <c r="AL1368" s="30"/>
      <c r="AM1368" s="30"/>
      <c r="AN1368" s="30"/>
      <c r="AO1368" s="30"/>
      <c r="AP1368" s="30"/>
      <c r="AQ1368" s="38"/>
      <c r="AR1368" s="30"/>
      <c r="AS1368" s="30"/>
      <c r="AT1368" s="29"/>
      <c r="AU1368" s="30"/>
      <c r="AV1368" s="30"/>
      <c r="AW1368" s="30"/>
      <c r="AX1368" s="29"/>
      <c r="AY1368" s="39"/>
      <c r="AZ1368" s="30"/>
      <c r="BA1368" s="30"/>
      <c r="BB1368" s="29"/>
      <c r="BC1368" s="52"/>
      <c r="BD1368" s="30"/>
      <c r="BE1368" s="29"/>
      <c r="BF1368" s="30"/>
      <c r="BG1368" s="30"/>
      <c r="BH1368" s="30"/>
      <c r="BI1368" s="30"/>
      <c r="BJ1368" s="30"/>
      <c r="BK1368" s="30"/>
      <c r="BL1368" s="30"/>
      <c r="BM1368" s="30"/>
      <c r="BN1368" s="30"/>
      <c r="BO1368" s="30"/>
      <c r="BP1368" s="30"/>
      <c r="BQ1368" s="30"/>
      <c r="BR1368" s="30"/>
      <c r="BS1368" s="30"/>
      <c r="BT1368" s="30"/>
      <c r="BU1368" s="30"/>
      <c r="BV1368" s="30"/>
      <c r="BW1368" s="30"/>
      <c r="BX1368" s="30"/>
      <c r="BY1368" s="30"/>
      <c r="BZ1368" s="30"/>
      <c r="CA1368" s="30"/>
      <c r="CB1368" s="30"/>
      <c r="CC1368" s="30"/>
      <c r="CD1368" s="30"/>
      <c r="CE1368" s="30"/>
      <c r="CF1368" s="30"/>
      <c r="CG1368" s="30"/>
      <c r="CH1368" s="30"/>
      <c r="CI1368" s="30"/>
      <c r="CJ1368" s="30"/>
      <c r="CK1368" s="30"/>
      <c r="CL1368" s="30"/>
      <c r="CM1368" s="30"/>
      <c r="CN1368" s="30"/>
      <c r="CO1368" s="30"/>
      <c r="CP1368" s="30"/>
      <c r="CQ1368" s="30"/>
      <c r="CR1368" s="30"/>
      <c r="CS1368" s="30"/>
      <c r="CT1368" s="30"/>
      <c r="CU1368" s="30"/>
      <c r="CV1368" s="30"/>
      <c r="CW1368" s="30"/>
      <c r="CX1368" s="30"/>
      <c r="CY1368" s="30"/>
      <c r="CZ1368" s="30"/>
      <c r="DA1368" s="30"/>
      <c r="DB1368" s="30"/>
      <c r="DC1368" s="30"/>
      <c r="DD1368" s="30"/>
      <c r="DE1368" s="30"/>
      <c r="DF1368" s="30"/>
      <c r="DG1368" s="30"/>
      <c r="DH1368" s="30"/>
      <c r="DI1368" s="30"/>
      <c r="DJ1368" s="30"/>
      <c r="DK1368" s="30"/>
      <c r="DL1368" s="30"/>
      <c r="DM1368" s="30"/>
      <c r="DN1368" s="30"/>
      <c r="DO1368" s="30"/>
      <c r="DP1368" s="30"/>
      <c r="DQ1368" s="30"/>
      <c r="DR1368" s="30"/>
      <c r="DS1368" s="30"/>
      <c r="DT1368" s="30"/>
      <c r="DU1368" s="30"/>
      <c r="DV1368" s="30"/>
      <c r="DW1368" s="30"/>
      <c r="DX1368" s="30"/>
      <c r="DY1368" s="30"/>
      <c r="DZ1368" s="30"/>
    </row>
    <row r="1369">
      <c r="A1369" s="30"/>
      <c r="B1369" s="42"/>
      <c r="C1369" s="43"/>
      <c r="D1369" s="30"/>
      <c r="E1369" s="28"/>
      <c r="F1369" s="30"/>
      <c r="G1369" s="30"/>
      <c r="H1369" s="30"/>
      <c r="I1369" s="30"/>
      <c r="J1369" s="28"/>
      <c r="K1369" s="30"/>
      <c r="L1369" s="30"/>
      <c r="M1369" s="30"/>
      <c r="N1369" s="30"/>
      <c r="O1369" s="28"/>
      <c r="P1369" s="30"/>
      <c r="Q1369" s="30"/>
      <c r="R1369" s="30"/>
      <c r="S1369" s="36"/>
      <c r="T1369" s="30"/>
      <c r="U1369" s="36"/>
      <c r="V1369" s="30"/>
      <c r="W1369" s="28"/>
      <c r="X1369" s="30"/>
      <c r="Y1369" s="30"/>
      <c r="Z1369" s="30"/>
      <c r="AA1369" s="30"/>
      <c r="AB1369" s="30"/>
      <c r="AC1369" s="28"/>
      <c r="AD1369" s="30"/>
      <c r="AE1369" s="30"/>
      <c r="AF1369" s="30"/>
      <c r="AG1369" s="29"/>
      <c r="AH1369" s="30"/>
      <c r="AI1369" s="36"/>
      <c r="AJ1369" s="30"/>
      <c r="AK1369" s="29"/>
      <c r="AL1369" s="30"/>
      <c r="AM1369" s="30"/>
      <c r="AN1369" s="30"/>
      <c r="AO1369" s="30"/>
      <c r="AP1369" s="30"/>
      <c r="AQ1369" s="38"/>
      <c r="AR1369" s="30"/>
      <c r="AS1369" s="30"/>
      <c r="AT1369" s="29"/>
      <c r="AU1369" s="30"/>
      <c r="AV1369" s="30"/>
      <c r="AW1369" s="30"/>
      <c r="AX1369" s="29"/>
      <c r="AY1369" s="39"/>
      <c r="AZ1369" s="30"/>
      <c r="BA1369" s="30"/>
      <c r="BB1369" s="29"/>
      <c r="BC1369" s="52"/>
      <c r="BD1369" s="30"/>
      <c r="BE1369" s="29"/>
      <c r="BF1369" s="30"/>
      <c r="BG1369" s="30"/>
      <c r="BH1369" s="30"/>
      <c r="BI1369" s="30"/>
      <c r="BJ1369" s="30"/>
      <c r="BK1369" s="30"/>
      <c r="BL1369" s="30"/>
      <c r="BM1369" s="30"/>
      <c r="BN1369" s="30"/>
      <c r="BO1369" s="30"/>
      <c r="BP1369" s="30"/>
      <c r="BQ1369" s="30"/>
      <c r="BR1369" s="30"/>
      <c r="BS1369" s="30"/>
      <c r="BT1369" s="30"/>
      <c r="BU1369" s="30"/>
      <c r="BV1369" s="30"/>
      <c r="BW1369" s="30"/>
      <c r="BX1369" s="30"/>
      <c r="BY1369" s="30"/>
      <c r="BZ1369" s="30"/>
      <c r="CA1369" s="30"/>
      <c r="CB1369" s="30"/>
      <c r="CC1369" s="30"/>
      <c r="CD1369" s="30"/>
      <c r="CE1369" s="30"/>
      <c r="CF1369" s="30"/>
      <c r="CG1369" s="30"/>
      <c r="CH1369" s="30"/>
      <c r="CI1369" s="30"/>
      <c r="CJ1369" s="30"/>
      <c r="CK1369" s="30"/>
      <c r="CL1369" s="30"/>
      <c r="CM1369" s="30"/>
      <c r="CN1369" s="30"/>
      <c r="CO1369" s="30"/>
      <c r="CP1369" s="30"/>
      <c r="CQ1369" s="30"/>
      <c r="CR1369" s="30"/>
      <c r="CS1369" s="30"/>
      <c r="CT1369" s="30"/>
      <c r="CU1369" s="30"/>
      <c r="CV1369" s="30"/>
      <c r="CW1369" s="30"/>
      <c r="CX1369" s="30"/>
      <c r="CY1369" s="30"/>
      <c r="CZ1369" s="30"/>
      <c r="DA1369" s="30"/>
      <c r="DB1369" s="30"/>
      <c r="DC1369" s="30"/>
      <c r="DD1369" s="30"/>
      <c r="DE1369" s="30"/>
      <c r="DF1369" s="30"/>
      <c r="DG1369" s="30"/>
      <c r="DH1369" s="30"/>
      <c r="DI1369" s="30"/>
      <c r="DJ1369" s="30"/>
      <c r="DK1369" s="30"/>
      <c r="DL1369" s="30"/>
      <c r="DM1369" s="30"/>
      <c r="DN1369" s="30"/>
      <c r="DO1369" s="30"/>
      <c r="DP1369" s="30"/>
      <c r="DQ1369" s="30"/>
      <c r="DR1369" s="30"/>
      <c r="DS1369" s="30"/>
      <c r="DT1369" s="30"/>
      <c r="DU1369" s="30"/>
      <c r="DV1369" s="30"/>
      <c r="DW1369" s="30"/>
      <c r="DX1369" s="30"/>
      <c r="DY1369" s="30"/>
      <c r="DZ1369" s="30"/>
    </row>
    <row r="1370">
      <c r="A1370" s="30"/>
      <c r="B1370" s="42"/>
      <c r="C1370" s="43"/>
      <c r="D1370" s="30"/>
      <c r="E1370" s="28"/>
      <c r="F1370" s="30"/>
      <c r="G1370" s="30"/>
      <c r="H1370" s="30"/>
      <c r="I1370" s="30"/>
      <c r="J1370" s="28"/>
      <c r="K1370" s="30"/>
      <c r="L1370" s="30"/>
      <c r="M1370" s="30"/>
      <c r="N1370" s="30"/>
      <c r="O1370" s="28"/>
      <c r="P1370" s="30"/>
      <c r="Q1370" s="30"/>
      <c r="R1370" s="30"/>
      <c r="S1370" s="36"/>
      <c r="T1370" s="30"/>
      <c r="U1370" s="36"/>
      <c r="V1370" s="30"/>
      <c r="W1370" s="28"/>
      <c r="X1370" s="30"/>
      <c r="Y1370" s="30"/>
      <c r="Z1370" s="30"/>
      <c r="AA1370" s="30"/>
      <c r="AB1370" s="30"/>
      <c r="AC1370" s="28"/>
      <c r="AD1370" s="30"/>
      <c r="AE1370" s="30"/>
      <c r="AF1370" s="30"/>
      <c r="AG1370" s="29"/>
      <c r="AH1370" s="30"/>
      <c r="AI1370" s="36"/>
      <c r="AJ1370" s="30"/>
      <c r="AK1370" s="29"/>
      <c r="AL1370" s="30"/>
      <c r="AM1370" s="30"/>
      <c r="AN1370" s="30"/>
      <c r="AO1370" s="30"/>
      <c r="AP1370" s="30"/>
      <c r="AQ1370" s="38"/>
      <c r="AR1370" s="30"/>
      <c r="AS1370" s="30"/>
      <c r="AT1370" s="29"/>
      <c r="AU1370" s="30"/>
      <c r="AV1370" s="30"/>
      <c r="AW1370" s="30"/>
      <c r="AX1370" s="29"/>
      <c r="AY1370" s="39"/>
      <c r="AZ1370" s="30"/>
      <c r="BA1370" s="30"/>
      <c r="BB1370" s="29"/>
      <c r="BC1370" s="52"/>
      <c r="BD1370" s="30"/>
      <c r="BE1370" s="29"/>
      <c r="BF1370" s="30"/>
      <c r="BG1370" s="30"/>
      <c r="BH1370" s="30"/>
      <c r="BI1370" s="30"/>
      <c r="BJ1370" s="30"/>
      <c r="BK1370" s="30"/>
      <c r="BL1370" s="30"/>
      <c r="BM1370" s="30"/>
      <c r="BN1370" s="30"/>
      <c r="BO1370" s="30"/>
      <c r="BP1370" s="30"/>
      <c r="BQ1370" s="30"/>
      <c r="BR1370" s="30"/>
      <c r="BS1370" s="30"/>
      <c r="BT1370" s="30"/>
      <c r="BU1370" s="30"/>
      <c r="BV1370" s="30"/>
      <c r="BW1370" s="30"/>
      <c r="BX1370" s="30"/>
      <c r="BY1370" s="30"/>
      <c r="BZ1370" s="30"/>
      <c r="CA1370" s="30"/>
      <c r="CB1370" s="30"/>
      <c r="CC1370" s="30"/>
      <c r="CD1370" s="30"/>
      <c r="CE1370" s="30"/>
      <c r="CF1370" s="30"/>
      <c r="CG1370" s="30"/>
      <c r="CH1370" s="30"/>
      <c r="CI1370" s="30"/>
      <c r="CJ1370" s="30"/>
      <c r="CK1370" s="30"/>
      <c r="CL1370" s="30"/>
      <c r="CM1370" s="30"/>
      <c r="CN1370" s="30"/>
      <c r="CO1370" s="30"/>
      <c r="CP1370" s="30"/>
      <c r="CQ1370" s="30"/>
      <c r="CR1370" s="30"/>
      <c r="CS1370" s="30"/>
      <c r="CT1370" s="30"/>
      <c r="CU1370" s="30"/>
      <c r="CV1370" s="30"/>
      <c r="CW1370" s="30"/>
      <c r="CX1370" s="30"/>
      <c r="CY1370" s="30"/>
      <c r="CZ1370" s="30"/>
      <c r="DA1370" s="30"/>
      <c r="DB1370" s="30"/>
      <c r="DC1370" s="30"/>
      <c r="DD1370" s="30"/>
      <c r="DE1370" s="30"/>
      <c r="DF1370" s="30"/>
      <c r="DG1370" s="30"/>
      <c r="DH1370" s="30"/>
      <c r="DI1370" s="30"/>
      <c r="DJ1370" s="30"/>
      <c r="DK1370" s="30"/>
      <c r="DL1370" s="30"/>
      <c r="DM1370" s="30"/>
      <c r="DN1370" s="30"/>
      <c r="DO1370" s="30"/>
      <c r="DP1370" s="30"/>
      <c r="DQ1370" s="30"/>
      <c r="DR1370" s="30"/>
      <c r="DS1370" s="30"/>
      <c r="DT1370" s="30"/>
      <c r="DU1370" s="30"/>
      <c r="DV1370" s="30"/>
      <c r="DW1370" s="30"/>
      <c r="DX1370" s="30"/>
      <c r="DY1370" s="30"/>
      <c r="DZ1370" s="30"/>
    </row>
    <row r="1371">
      <c r="A1371" s="30"/>
      <c r="B1371" s="42"/>
      <c r="C1371" s="43"/>
      <c r="D1371" s="30"/>
      <c r="E1371" s="28"/>
      <c r="F1371" s="30"/>
      <c r="G1371" s="30"/>
      <c r="H1371" s="30"/>
      <c r="I1371" s="30"/>
      <c r="J1371" s="28"/>
      <c r="K1371" s="30"/>
      <c r="L1371" s="30"/>
      <c r="M1371" s="30"/>
      <c r="N1371" s="30"/>
      <c r="O1371" s="28"/>
      <c r="P1371" s="30"/>
      <c r="Q1371" s="30"/>
      <c r="R1371" s="30"/>
      <c r="S1371" s="36"/>
      <c r="T1371" s="30"/>
      <c r="U1371" s="36"/>
      <c r="V1371" s="30"/>
      <c r="W1371" s="28"/>
      <c r="X1371" s="30"/>
      <c r="Y1371" s="30"/>
      <c r="Z1371" s="30"/>
      <c r="AA1371" s="30"/>
      <c r="AB1371" s="30"/>
      <c r="AC1371" s="28"/>
      <c r="AD1371" s="30"/>
      <c r="AE1371" s="30"/>
      <c r="AF1371" s="30"/>
      <c r="AG1371" s="29"/>
      <c r="AH1371" s="30"/>
      <c r="AI1371" s="36"/>
      <c r="AJ1371" s="30"/>
      <c r="AK1371" s="29"/>
      <c r="AL1371" s="30"/>
      <c r="AM1371" s="30"/>
      <c r="AN1371" s="30"/>
      <c r="AO1371" s="30"/>
      <c r="AP1371" s="30"/>
      <c r="AQ1371" s="38"/>
      <c r="AR1371" s="30"/>
      <c r="AS1371" s="30"/>
      <c r="AT1371" s="29"/>
      <c r="AU1371" s="30"/>
      <c r="AV1371" s="30"/>
      <c r="AW1371" s="30"/>
      <c r="AX1371" s="29"/>
      <c r="AY1371" s="39"/>
      <c r="AZ1371" s="30"/>
      <c r="BA1371" s="30"/>
      <c r="BB1371" s="29"/>
      <c r="BC1371" s="52"/>
      <c r="BD1371" s="30"/>
      <c r="BE1371" s="29"/>
      <c r="BF1371" s="30"/>
      <c r="BG1371" s="30"/>
      <c r="BH1371" s="30"/>
      <c r="BI1371" s="30"/>
      <c r="BJ1371" s="30"/>
      <c r="BK1371" s="30"/>
      <c r="BL1371" s="30"/>
      <c r="BM1371" s="30"/>
      <c r="BN1371" s="30"/>
      <c r="BO1371" s="30"/>
      <c r="BP1371" s="30"/>
      <c r="BQ1371" s="30"/>
      <c r="BR1371" s="30"/>
      <c r="BS1371" s="30"/>
      <c r="BT1371" s="30"/>
      <c r="BU1371" s="30"/>
      <c r="BV1371" s="30"/>
      <c r="BW1371" s="30"/>
      <c r="BX1371" s="30"/>
      <c r="BY1371" s="30"/>
      <c r="BZ1371" s="30"/>
      <c r="CA1371" s="30"/>
      <c r="CB1371" s="30"/>
      <c r="CC1371" s="30"/>
      <c r="CD1371" s="30"/>
      <c r="CE1371" s="30"/>
      <c r="CF1371" s="30"/>
      <c r="CG1371" s="30"/>
      <c r="CH1371" s="30"/>
      <c r="CI1371" s="30"/>
      <c r="CJ1371" s="30"/>
      <c r="CK1371" s="30"/>
      <c r="CL1371" s="30"/>
      <c r="CM1371" s="30"/>
      <c r="CN1371" s="30"/>
      <c r="CO1371" s="30"/>
      <c r="CP1371" s="30"/>
      <c r="CQ1371" s="30"/>
      <c r="CR1371" s="30"/>
      <c r="CS1371" s="30"/>
      <c r="CT1371" s="30"/>
      <c r="CU1371" s="30"/>
      <c r="CV1371" s="30"/>
      <c r="CW1371" s="30"/>
      <c r="CX1371" s="30"/>
      <c r="CY1371" s="30"/>
      <c r="CZ1371" s="30"/>
      <c r="DA1371" s="30"/>
      <c r="DB1371" s="30"/>
      <c r="DC1371" s="30"/>
      <c r="DD1371" s="30"/>
      <c r="DE1371" s="30"/>
      <c r="DF1371" s="30"/>
      <c r="DG1371" s="30"/>
      <c r="DH1371" s="30"/>
      <c r="DI1371" s="30"/>
      <c r="DJ1371" s="30"/>
      <c r="DK1371" s="30"/>
      <c r="DL1371" s="30"/>
      <c r="DM1371" s="30"/>
      <c r="DN1371" s="30"/>
      <c r="DO1371" s="30"/>
      <c r="DP1371" s="30"/>
      <c r="DQ1371" s="30"/>
      <c r="DR1371" s="30"/>
      <c r="DS1371" s="30"/>
      <c r="DT1371" s="30"/>
      <c r="DU1371" s="30"/>
      <c r="DV1371" s="30"/>
      <c r="DW1371" s="30"/>
      <c r="DX1371" s="30"/>
      <c r="DY1371" s="30"/>
      <c r="DZ1371" s="30"/>
    </row>
    <row r="1372">
      <c r="A1372" s="30"/>
      <c r="B1372" s="42"/>
      <c r="C1372" s="43"/>
      <c r="D1372" s="30"/>
      <c r="E1372" s="28"/>
      <c r="F1372" s="30"/>
      <c r="G1372" s="30"/>
      <c r="H1372" s="30"/>
      <c r="I1372" s="30"/>
      <c r="J1372" s="28"/>
      <c r="K1372" s="30"/>
      <c r="L1372" s="30"/>
      <c r="M1372" s="30"/>
      <c r="N1372" s="30"/>
      <c r="O1372" s="28"/>
      <c r="P1372" s="30"/>
      <c r="Q1372" s="30"/>
      <c r="R1372" s="30"/>
      <c r="S1372" s="36"/>
      <c r="T1372" s="30"/>
      <c r="U1372" s="36"/>
      <c r="V1372" s="30"/>
      <c r="W1372" s="28"/>
      <c r="X1372" s="30"/>
      <c r="Y1372" s="30"/>
      <c r="Z1372" s="30"/>
      <c r="AA1372" s="30"/>
      <c r="AB1372" s="30"/>
      <c r="AC1372" s="28"/>
      <c r="AD1372" s="30"/>
      <c r="AE1372" s="30"/>
      <c r="AF1372" s="30"/>
      <c r="AG1372" s="29"/>
      <c r="AH1372" s="30"/>
      <c r="AI1372" s="36"/>
      <c r="AJ1372" s="30"/>
      <c r="AK1372" s="29"/>
      <c r="AL1372" s="30"/>
      <c r="AM1372" s="30"/>
      <c r="AN1372" s="30"/>
      <c r="AO1372" s="30"/>
      <c r="AP1372" s="30"/>
      <c r="AQ1372" s="38"/>
      <c r="AR1372" s="30"/>
      <c r="AS1372" s="30"/>
      <c r="AT1372" s="29"/>
      <c r="AU1372" s="30"/>
      <c r="AV1372" s="30"/>
      <c r="AW1372" s="30"/>
      <c r="AX1372" s="29"/>
      <c r="AY1372" s="39"/>
      <c r="AZ1372" s="30"/>
      <c r="BA1372" s="30"/>
      <c r="BB1372" s="29"/>
      <c r="BC1372" s="52"/>
      <c r="BD1372" s="30"/>
      <c r="BE1372" s="29"/>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0"/>
      <c r="CF1372" s="30"/>
      <c r="CG1372" s="30"/>
      <c r="CH1372" s="30"/>
      <c r="CI1372" s="30"/>
      <c r="CJ1372" s="30"/>
      <c r="CK1372" s="30"/>
      <c r="CL1372" s="30"/>
      <c r="CM1372" s="30"/>
      <c r="CN1372" s="30"/>
      <c r="CO1372" s="30"/>
      <c r="CP1372" s="30"/>
      <c r="CQ1372" s="30"/>
      <c r="CR1372" s="30"/>
      <c r="CS1372" s="30"/>
      <c r="CT1372" s="30"/>
      <c r="CU1372" s="30"/>
      <c r="CV1372" s="30"/>
      <c r="CW1372" s="30"/>
      <c r="CX1372" s="30"/>
      <c r="CY1372" s="30"/>
      <c r="CZ1372" s="30"/>
      <c r="DA1372" s="30"/>
      <c r="DB1372" s="30"/>
      <c r="DC1372" s="30"/>
      <c r="DD1372" s="30"/>
      <c r="DE1372" s="30"/>
      <c r="DF1372" s="30"/>
      <c r="DG1372" s="30"/>
      <c r="DH1372" s="30"/>
      <c r="DI1372" s="30"/>
      <c r="DJ1372" s="30"/>
      <c r="DK1372" s="30"/>
      <c r="DL1372" s="30"/>
      <c r="DM1372" s="30"/>
      <c r="DN1372" s="30"/>
      <c r="DO1372" s="30"/>
      <c r="DP1372" s="30"/>
      <c r="DQ1372" s="30"/>
      <c r="DR1372" s="30"/>
      <c r="DS1372" s="30"/>
      <c r="DT1372" s="30"/>
      <c r="DU1372" s="30"/>
      <c r="DV1372" s="30"/>
      <c r="DW1372" s="30"/>
      <c r="DX1372" s="30"/>
      <c r="DY1372" s="30"/>
      <c r="DZ1372" s="30"/>
    </row>
    <row r="1373">
      <c r="A1373" s="30"/>
      <c r="B1373" s="42"/>
      <c r="C1373" s="43"/>
      <c r="D1373" s="30"/>
      <c r="E1373" s="28"/>
      <c r="F1373" s="30"/>
      <c r="G1373" s="30"/>
      <c r="H1373" s="30"/>
      <c r="I1373" s="30"/>
      <c r="J1373" s="28"/>
      <c r="K1373" s="30"/>
      <c r="L1373" s="30"/>
      <c r="M1373" s="30"/>
      <c r="N1373" s="30"/>
      <c r="O1373" s="28"/>
      <c r="P1373" s="30"/>
      <c r="Q1373" s="30"/>
      <c r="R1373" s="30"/>
      <c r="S1373" s="36"/>
      <c r="T1373" s="30"/>
      <c r="U1373" s="36"/>
      <c r="V1373" s="30"/>
      <c r="W1373" s="28"/>
      <c r="X1373" s="30"/>
      <c r="Y1373" s="30"/>
      <c r="Z1373" s="30"/>
      <c r="AA1373" s="30"/>
      <c r="AB1373" s="30"/>
      <c r="AC1373" s="28"/>
      <c r="AD1373" s="30"/>
      <c r="AE1373" s="30"/>
      <c r="AF1373" s="30"/>
      <c r="AG1373" s="29"/>
      <c r="AH1373" s="30"/>
      <c r="AI1373" s="36"/>
      <c r="AJ1373" s="30"/>
      <c r="AK1373" s="29"/>
      <c r="AL1373" s="30"/>
      <c r="AM1373" s="30"/>
      <c r="AN1373" s="30"/>
      <c r="AO1373" s="30"/>
      <c r="AP1373" s="30"/>
      <c r="AQ1373" s="38"/>
      <c r="AR1373" s="30"/>
      <c r="AS1373" s="30"/>
      <c r="AT1373" s="29"/>
      <c r="AU1373" s="30"/>
      <c r="AV1373" s="30"/>
      <c r="AW1373" s="30"/>
      <c r="AX1373" s="29"/>
      <c r="AY1373" s="39"/>
      <c r="AZ1373" s="30"/>
      <c r="BA1373" s="30"/>
      <c r="BB1373" s="29"/>
      <c r="BC1373" s="52"/>
      <c r="BD1373" s="30"/>
      <c r="BE1373" s="29"/>
      <c r="BF1373" s="30"/>
      <c r="BG1373" s="30"/>
      <c r="BH1373" s="30"/>
      <c r="BI1373" s="30"/>
      <c r="BJ1373" s="30"/>
      <c r="BK1373" s="30"/>
      <c r="BL1373" s="30"/>
      <c r="BM1373" s="30"/>
      <c r="BN1373" s="30"/>
      <c r="BO1373" s="30"/>
      <c r="BP1373" s="30"/>
      <c r="BQ1373" s="30"/>
      <c r="BR1373" s="30"/>
      <c r="BS1373" s="30"/>
      <c r="BT1373" s="30"/>
      <c r="BU1373" s="30"/>
      <c r="BV1373" s="30"/>
      <c r="BW1373" s="30"/>
      <c r="BX1373" s="30"/>
      <c r="BY1373" s="30"/>
      <c r="BZ1373" s="30"/>
      <c r="CA1373" s="30"/>
      <c r="CB1373" s="30"/>
      <c r="CC1373" s="30"/>
      <c r="CD1373" s="30"/>
      <c r="CE1373" s="30"/>
      <c r="CF1373" s="30"/>
      <c r="CG1373" s="30"/>
      <c r="CH1373" s="30"/>
      <c r="CI1373" s="30"/>
      <c r="CJ1373" s="30"/>
      <c r="CK1373" s="30"/>
      <c r="CL1373" s="30"/>
      <c r="CM1373" s="30"/>
      <c r="CN1373" s="30"/>
      <c r="CO1373" s="30"/>
      <c r="CP1373" s="30"/>
      <c r="CQ1373" s="30"/>
      <c r="CR1373" s="30"/>
      <c r="CS1373" s="30"/>
      <c r="CT1373" s="30"/>
      <c r="CU1373" s="30"/>
      <c r="CV1373" s="30"/>
      <c r="CW1373" s="30"/>
      <c r="CX1373" s="30"/>
      <c r="CY1373" s="30"/>
      <c r="CZ1373" s="30"/>
      <c r="DA1373" s="30"/>
      <c r="DB1373" s="30"/>
      <c r="DC1373" s="30"/>
      <c r="DD1373" s="30"/>
      <c r="DE1373" s="30"/>
      <c r="DF1373" s="30"/>
      <c r="DG1373" s="30"/>
      <c r="DH1373" s="30"/>
      <c r="DI1373" s="30"/>
      <c r="DJ1373" s="30"/>
      <c r="DK1373" s="30"/>
      <c r="DL1373" s="30"/>
      <c r="DM1373" s="30"/>
      <c r="DN1373" s="30"/>
      <c r="DO1373" s="30"/>
      <c r="DP1373" s="30"/>
      <c r="DQ1373" s="30"/>
      <c r="DR1373" s="30"/>
      <c r="DS1373" s="30"/>
      <c r="DT1373" s="30"/>
      <c r="DU1373" s="30"/>
      <c r="DV1373" s="30"/>
      <c r="DW1373" s="30"/>
      <c r="DX1373" s="30"/>
      <c r="DY1373" s="30"/>
      <c r="DZ1373" s="30"/>
    </row>
    <row r="1374">
      <c r="A1374" s="30"/>
      <c r="B1374" s="42"/>
      <c r="C1374" s="43"/>
      <c r="D1374" s="30"/>
      <c r="E1374" s="28"/>
      <c r="F1374" s="30"/>
      <c r="G1374" s="30"/>
      <c r="H1374" s="30"/>
      <c r="I1374" s="30"/>
      <c r="J1374" s="28"/>
      <c r="K1374" s="30"/>
      <c r="L1374" s="30"/>
      <c r="M1374" s="30"/>
      <c r="N1374" s="30"/>
      <c r="O1374" s="28"/>
      <c r="P1374" s="30"/>
      <c r="Q1374" s="30"/>
      <c r="R1374" s="30"/>
      <c r="S1374" s="36"/>
      <c r="T1374" s="30"/>
      <c r="U1374" s="36"/>
      <c r="V1374" s="30"/>
      <c r="W1374" s="28"/>
      <c r="X1374" s="30"/>
      <c r="Y1374" s="30"/>
      <c r="Z1374" s="30"/>
      <c r="AA1374" s="30"/>
      <c r="AB1374" s="30"/>
      <c r="AC1374" s="28"/>
      <c r="AD1374" s="30"/>
      <c r="AE1374" s="30"/>
      <c r="AF1374" s="30"/>
      <c r="AG1374" s="29"/>
      <c r="AH1374" s="30"/>
      <c r="AI1374" s="36"/>
      <c r="AJ1374" s="30"/>
      <c r="AK1374" s="29"/>
      <c r="AL1374" s="30"/>
      <c r="AM1374" s="30"/>
      <c r="AN1374" s="30"/>
      <c r="AO1374" s="30"/>
      <c r="AP1374" s="30"/>
      <c r="AQ1374" s="38"/>
      <c r="AR1374" s="30"/>
      <c r="AS1374" s="30"/>
      <c r="AT1374" s="29"/>
      <c r="AU1374" s="30"/>
      <c r="AV1374" s="30"/>
      <c r="AW1374" s="30"/>
      <c r="AX1374" s="29"/>
      <c r="AY1374" s="39"/>
      <c r="AZ1374" s="30"/>
      <c r="BA1374" s="30"/>
      <c r="BB1374" s="29"/>
      <c r="BC1374" s="52"/>
      <c r="BD1374" s="30"/>
      <c r="BE1374" s="29"/>
      <c r="BF1374" s="30"/>
      <c r="BG1374" s="30"/>
      <c r="BH1374" s="30"/>
      <c r="BI1374" s="30"/>
      <c r="BJ1374" s="30"/>
      <c r="BK1374" s="30"/>
      <c r="BL1374" s="30"/>
      <c r="BM1374" s="30"/>
      <c r="BN1374" s="30"/>
      <c r="BO1374" s="30"/>
      <c r="BP1374" s="30"/>
      <c r="BQ1374" s="30"/>
      <c r="BR1374" s="30"/>
      <c r="BS1374" s="30"/>
      <c r="BT1374" s="30"/>
      <c r="BU1374" s="30"/>
      <c r="BV1374" s="30"/>
      <c r="BW1374" s="30"/>
      <c r="BX1374" s="30"/>
      <c r="BY1374" s="30"/>
      <c r="BZ1374" s="30"/>
      <c r="CA1374" s="30"/>
      <c r="CB1374" s="30"/>
      <c r="CC1374" s="30"/>
      <c r="CD1374" s="30"/>
      <c r="CE1374" s="30"/>
      <c r="CF1374" s="30"/>
      <c r="CG1374" s="30"/>
      <c r="CH1374" s="30"/>
      <c r="CI1374" s="30"/>
      <c r="CJ1374" s="30"/>
      <c r="CK1374" s="30"/>
      <c r="CL1374" s="30"/>
      <c r="CM1374" s="30"/>
      <c r="CN1374" s="30"/>
      <c r="CO1374" s="30"/>
      <c r="CP1374" s="30"/>
      <c r="CQ1374" s="30"/>
      <c r="CR1374" s="30"/>
      <c r="CS1374" s="30"/>
      <c r="CT1374" s="30"/>
      <c r="CU1374" s="30"/>
      <c r="CV1374" s="30"/>
      <c r="CW1374" s="30"/>
      <c r="CX1374" s="30"/>
      <c r="CY1374" s="30"/>
      <c r="CZ1374" s="30"/>
      <c r="DA1374" s="30"/>
      <c r="DB1374" s="30"/>
      <c r="DC1374" s="30"/>
      <c r="DD1374" s="30"/>
      <c r="DE1374" s="30"/>
      <c r="DF1374" s="30"/>
      <c r="DG1374" s="30"/>
      <c r="DH1374" s="30"/>
      <c r="DI1374" s="30"/>
      <c r="DJ1374" s="30"/>
      <c r="DK1374" s="30"/>
      <c r="DL1374" s="30"/>
      <c r="DM1374" s="30"/>
      <c r="DN1374" s="30"/>
      <c r="DO1374" s="30"/>
      <c r="DP1374" s="30"/>
      <c r="DQ1374" s="30"/>
      <c r="DR1374" s="30"/>
      <c r="DS1374" s="30"/>
      <c r="DT1374" s="30"/>
      <c r="DU1374" s="30"/>
      <c r="DV1374" s="30"/>
      <c r="DW1374" s="30"/>
      <c r="DX1374" s="30"/>
      <c r="DY1374" s="30"/>
      <c r="DZ1374" s="30"/>
    </row>
    <row r="1375">
      <c r="A1375" s="30"/>
      <c r="B1375" s="42"/>
      <c r="C1375" s="43"/>
      <c r="D1375" s="30"/>
      <c r="E1375" s="28"/>
      <c r="F1375" s="30"/>
      <c r="G1375" s="30"/>
      <c r="H1375" s="30"/>
      <c r="I1375" s="30"/>
      <c r="J1375" s="28"/>
      <c r="K1375" s="30"/>
      <c r="L1375" s="30"/>
      <c r="M1375" s="30"/>
      <c r="N1375" s="30"/>
      <c r="O1375" s="28"/>
      <c r="P1375" s="30"/>
      <c r="Q1375" s="30"/>
      <c r="R1375" s="30"/>
      <c r="S1375" s="36"/>
      <c r="T1375" s="30"/>
      <c r="U1375" s="36"/>
      <c r="V1375" s="30"/>
      <c r="W1375" s="28"/>
      <c r="X1375" s="30"/>
      <c r="Y1375" s="30"/>
      <c r="Z1375" s="30"/>
      <c r="AA1375" s="30"/>
      <c r="AB1375" s="30"/>
      <c r="AC1375" s="28"/>
      <c r="AD1375" s="30"/>
      <c r="AE1375" s="30"/>
      <c r="AF1375" s="30"/>
      <c r="AG1375" s="29"/>
      <c r="AH1375" s="30"/>
      <c r="AI1375" s="36"/>
      <c r="AJ1375" s="30"/>
      <c r="AK1375" s="29"/>
      <c r="AL1375" s="30"/>
      <c r="AM1375" s="30"/>
      <c r="AN1375" s="30"/>
      <c r="AO1375" s="30"/>
      <c r="AP1375" s="30"/>
      <c r="AQ1375" s="38"/>
      <c r="AR1375" s="30"/>
      <c r="AS1375" s="30"/>
      <c r="AT1375" s="29"/>
      <c r="AU1375" s="30"/>
      <c r="AV1375" s="30"/>
      <c r="AW1375" s="30"/>
      <c r="AX1375" s="29"/>
      <c r="AY1375" s="39"/>
      <c r="AZ1375" s="30"/>
      <c r="BA1375" s="30"/>
      <c r="BB1375" s="29"/>
      <c r="BC1375" s="52"/>
      <c r="BD1375" s="30"/>
      <c r="BE1375" s="29"/>
      <c r="BF1375" s="30"/>
      <c r="BG1375" s="30"/>
      <c r="BH1375" s="30"/>
      <c r="BI1375" s="30"/>
      <c r="BJ1375" s="30"/>
      <c r="BK1375" s="30"/>
      <c r="BL1375" s="30"/>
      <c r="BM1375" s="30"/>
      <c r="BN1375" s="30"/>
      <c r="BO1375" s="30"/>
      <c r="BP1375" s="30"/>
      <c r="BQ1375" s="30"/>
      <c r="BR1375" s="30"/>
      <c r="BS1375" s="30"/>
      <c r="BT1375" s="30"/>
      <c r="BU1375" s="30"/>
      <c r="BV1375" s="30"/>
      <c r="BW1375" s="30"/>
      <c r="BX1375" s="30"/>
      <c r="BY1375" s="30"/>
      <c r="BZ1375" s="30"/>
      <c r="CA1375" s="30"/>
      <c r="CB1375" s="30"/>
      <c r="CC1375" s="30"/>
      <c r="CD1375" s="30"/>
      <c r="CE1375" s="30"/>
      <c r="CF1375" s="30"/>
      <c r="CG1375" s="30"/>
      <c r="CH1375" s="30"/>
      <c r="CI1375" s="30"/>
      <c r="CJ1375" s="30"/>
      <c r="CK1375" s="30"/>
      <c r="CL1375" s="30"/>
      <c r="CM1375" s="30"/>
      <c r="CN1375" s="30"/>
      <c r="CO1375" s="30"/>
      <c r="CP1375" s="30"/>
      <c r="CQ1375" s="30"/>
      <c r="CR1375" s="30"/>
      <c r="CS1375" s="30"/>
      <c r="CT1375" s="30"/>
      <c r="CU1375" s="30"/>
      <c r="CV1375" s="30"/>
      <c r="CW1375" s="30"/>
      <c r="CX1375" s="30"/>
      <c r="CY1375" s="30"/>
      <c r="CZ1375" s="30"/>
      <c r="DA1375" s="30"/>
      <c r="DB1375" s="30"/>
      <c r="DC1375" s="30"/>
      <c r="DD1375" s="30"/>
      <c r="DE1375" s="30"/>
      <c r="DF1375" s="30"/>
      <c r="DG1375" s="30"/>
      <c r="DH1375" s="30"/>
      <c r="DI1375" s="30"/>
      <c r="DJ1375" s="30"/>
      <c r="DK1375" s="30"/>
      <c r="DL1375" s="30"/>
      <c r="DM1375" s="30"/>
      <c r="DN1375" s="30"/>
      <c r="DO1375" s="30"/>
      <c r="DP1375" s="30"/>
      <c r="DQ1375" s="30"/>
      <c r="DR1375" s="30"/>
      <c r="DS1375" s="30"/>
      <c r="DT1375" s="30"/>
      <c r="DU1375" s="30"/>
      <c r="DV1375" s="30"/>
      <c r="DW1375" s="30"/>
      <c r="DX1375" s="30"/>
      <c r="DY1375" s="30"/>
      <c r="DZ1375" s="30"/>
    </row>
    <row r="1376">
      <c r="A1376" s="30"/>
      <c r="B1376" s="42"/>
      <c r="C1376" s="43"/>
      <c r="D1376" s="30"/>
      <c r="E1376" s="28"/>
      <c r="F1376" s="30"/>
      <c r="G1376" s="30"/>
      <c r="H1376" s="30"/>
      <c r="I1376" s="30"/>
      <c r="J1376" s="28"/>
      <c r="K1376" s="30"/>
      <c r="L1376" s="30"/>
      <c r="M1376" s="30"/>
      <c r="N1376" s="30"/>
      <c r="O1376" s="28"/>
      <c r="P1376" s="30"/>
      <c r="Q1376" s="30"/>
      <c r="R1376" s="30"/>
      <c r="S1376" s="36"/>
      <c r="T1376" s="30"/>
      <c r="U1376" s="36"/>
      <c r="V1376" s="30"/>
      <c r="W1376" s="28"/>
      <c r="X1376" s="30"/>
      <c r="Y1376" s="30"/>
      <c r="Z1376" s="30"/>
      <c r="AA1376" s="30"/>
      <c r="AB1376" s="30"/>
      <c r="AC1376" s="28"/>
      <c r="AD1376" s="30"/>
      <c r="AE1376" s="30"/>
      <c r="AF1376" s="30"/>
      <c r="AG1376" s="29"/>
      <c r="AH1376" s="30"/>
      <c r="AI1376" s="36"/>
      <c r="AJ1376" s="30"/>
      <c r="AK1376" s="29"/>
      <c r="AL1376" s="30"/>
      <c r="AM1376" s="30"/>
      <c r="AN1376" s="30"/>
      <c r="AO1376" s="30"/>
      <c r="AP1376" s="30"/>
      <c r="AQ1376" s="38"/>
      <c r="AR1376" s="30"/>
      <c r="AS1376" s="30"/>
      <c r="AT1376" s="29"/>
      <c r="AU1376" s="30"/>
      <c r="AV1376" s="30"/>
      <c r="AW1376" s="30"/>
      <c r="AX1376" s="29"/>
      <c r="AY1376" s="39"/>
      <c r="AZ1376" s="30"/>
      <c r="BA1376" s="30"/>
      <c r="BB1376" s="29"/>
      <c r="BC1376" s="52"/>
      <c r="BD1376" s="30"/>
      <c r="BE1376" s="29"/>
      <c r="BF1376" s="30"/>
      <c r="BG1376" s="30"/>
      <c r="BH1376" s="30"/>
      <c r="BI1376" s="30"/>
      <c r="BJ1376" s="30"/>
      <c r="BK1376" s="30"/>
      <c r="BL1376" s="30"/>
      <c r="BM1376" s="30"/>
      <c r="BN1376" s="30"/>
      <c r="BO1376" s="30"/>
      <c r="BP1376" s="30"/>
      <c r="BQ1376" s="30"/>
      <c r="BR1376" s="30"/>
      <c r="BS1376" s="30"/>
      <c r="BT1376" s="30"/>
      <c r="BU1376" s="30"/>
      <c r="BV1376" s="30"/>
      <c r="BW1376" s="30"/>
      <c r="BX1376" s="30"/>
      <c r="BY1376" s="30"/>
      <c r="BZ1376" s="30"/>
      <c r="CA1376" s="30"/>
      <c r="CB1376" s="30"/>
      <c r="CC1376" s="30"/>
      <c r="CD1376" s="30"/>
      <c r="CE1376" s="30"/>
      <c r="CF1376" s="30"/>
      <c r="CG1376" s="30"/>
      <c r="CH1376" s="30"/>
      <c r="CI1376" s="30"/>
      <c r="CJ1376" s="30"/>
      <c r="CK1376" s="30"/>
      <c r="CL1376" s="30"/>
      <c r="CM1376" s="30"/>
      <c r="CN1376" s="30"/>
      <c r="CO1376" s="30"/>
      <c r="CP1376" s="30"/>
      <c r="CQ1376" s="30"/>
      <c r="CR1376" s="30"/>
      <c r="CS1376" s="30"/>
      <c r="CT1376" s="30"/>
      <c r="CU1376" s="30"/>
      <c r="CV1376" s="30"/>
      <c r="CW1376" s="30"/>
      <c r="CX1376" s="30"/>
      <c r="CY1376" s="30"/>
      <c r="CZ1376" s="30"/>
      <c r="DA1376" s="30"/>
      <c r="DB1376" s="30"/>
      <c r="DC1376" s="30"/>
      <c r="DD1376" s="30"/>
      <c r="DE1376" s="30"/>
      <c r="DF1376" s="30"/>
      <c r="DG1376" s="30"/>
      <c r="DH1376" s="30"/>
      <c r="DI1376" s="30"/>
      <c r="DJ1376" s="30"/>
      <c r="DK1376" s="30"/>
      <c r="DL1376" s="30"/>
      <c r="DM1376" s="30"/>
      <c r="DN1376" s="30"/>
      <c r="DO1376" s="30"/>
      <c r="DP1376" s="30"/>
      <c r="DQ1376" s="30"/>
      <c r="DR1376" s="30"/>
      <c r="DS1376" s="30"/>
      <c r="DT1376" s="30"/>
      <c r="DU1376" s="30"/>
      <c r="DV1376" s="30"/>
      <c r="DW1376" s="30"/>
      <c r="DX1376" s="30"/>
      <c r="DY1376" s="30"/>
      <c r="DZ1376" s="30"/>
    </row>
    <row r="1377">
      <c r="A1377" s="30"/>
      <c r="B1377" s="42"/>
      <c r="C1377" s="43"/>
      <c r="D1377" s="30"/>
      <c r="E1377" s="28"/>
      <c r="F1377" s="30"/>
      <c r="G1377" s="30"/>
      <c r="H1377" s="30"/>
      <c r="I1377" s="30"/>
      <c r="J1377" s="28"/>
      <c r="K1377" s="30"/>
      <c r="L1377" s="30"/>
      <c r="M1377" s="30"/>
      <c r="N1377" s="30"/>
      <c r="O1377" s="28"/>
      <c r="P1377" s="30"/>
      <c r="Q1377" s="30"/>
      <c r="R1377" s="30"/>
      <c r="S1377" s="36"/>
      <c r="T1377" s="30"/>
      <c r="U1377" s="36"/>
      <c r="V1377" s="30"/>
      <c r="W1377" s="28"/>
      <c r="X1377" s="30"/>
      <c r="Y1377" s="30"/>
      <c r="Z1377" s="30"/>
      <c r="AA1377" s="30"/>
      <c r="AB1377" s="30"/>
      <c r="AC1377" s="28"/>
      <c r="AD1377" s="30"/>
      <c r="AE1377" s="30"/>
      <c r="AF1377" s="30"/>
      <c r="AG1377" s="29"/>
      <c r="AH1377" s="30"/>
      <c r="AI1377" s="36"/>
      <c r="AJ1377" s="30"/>
      <c r="AK1377" s="29"/>
      <c r="AL1377" s="30"/>
      <c r="AM1377" s="30"/>
      <c r="AN1377" s="30"/>
      <c r="AO1377" s="30"/>
      <c r="AP1377" s="30"/>
      <c r="AQ1377" s="38"/>
      <c r="AR1377" s="30"/>
      <c r="AS1377" s="30"/>
      <c r="AT1377" s="29"/>
      <c r="AU1377" s="30"/>
      <c r="AV1377" s="30"/>
      <c r="AW1377" s="30"/>
      <c r="AX1377" s="29"/>
      <c r="AY1377" s="39"/>
      <c r="AZ1377" s="30"/>
      <c r="BA1377" s="30"/>
      <c r="BB1377" s="29"/>
      <c r="BC1377" s="52"/>
      <c r="BD1377" s="30"/>
      <c r="BE1377" s="29"/>
      <c r="BF1377" s="30"/>
      <c r="BG1377" s="30"/>
      <c r="BH1377" s="30"/>
      <c r="BI1377" s="30"/>
      <c r="BJ1377" s="30"/>
      <c r="BK1377" s="30"/>
      <c r="BL1377" s="30"/>
      <c r="BM1377" s="30"/>
      <c r="BN1377" s="30"/>
      <c r="BO1377" s="30"/>
      <c r="BP1377" s="30"/>
      <c r="BQ1377" s="30"/>
      <c r="BR1377" s="30"/>
      <c r="BS1377" s="30"/>
      <c r="BT1377" s="30"/>
      <c r="BU1377" s="30"/>
      <c r="BV1377" s="30"/>
      <c r="BW1377" s="30"/>
      <c r="BX1377" s="30"/>
      <c r="BY1377" s="30"/>
      <c r="BZ1377" s="30"/>
      <c r="CA1377" s="30"/>
      <c r="CB1377" s="30"/>
      <c r="CC1377" s="30"/>
      <c r="CD1377" s="30"/>
      <c r="CE1377" s="30"/>
      <c r="CF1377" s="30"/>
      <c r="CG1377" s="30"/>
      <c r="CH1377" s="30"/>
      <c r="CI1377" s="30"/>
      <c r="CJ1377" s="30"/>
      <c r="CK1377" s="30"/>
      <c r="CL1377" s="30"/>
      <c r="CM1377" s="30"/>
      <c r="CN1377" s="30"/>
      <c r="CO1377" s="30"/>
      <c r="CP1377" s="30"/>
      <c r="CQ1377" s="30"/>
      <c r="CR1377" s="30"/>
      <c r="CS1377" s="30"/>
      <c r="CT1377" s="30"/>
      <c r="CU1377" s="30"/>
      <c r="CV1377" s="30"/>
      <c r="CW1377" s="30"/>
      <c r="CX1377" s="30"/>
      <c r="CY1377" s="30"/>
      <c r="CZ1377" s="30"/>
      <c r="DA1377" s="30"/>
      <c r="DB1377" s="30"/>
      <c r="DC1377" s="30"/>
      <c r="DD1377" s="30"/>
      <c r="DE1377" s="30"/>
      <c r="DF1377" s="30"/>
      <c r="DG1377" s="30"/>
      <c r="DH1377" s="30"/>
      <c r="DI1377" s="30"/>
      <c r="DJ1377" s="30"/>
      <c r="DK1377" s="30"/>
      <c r="DL1377" s="30"/>
      <c r="DM1377" s="30"/>
      <c r="DN1377" s="30"/>
      <c r="DO1377" s="30"/>
      <c r="DP1377" s="30"/>
      <c r="DQ1377" s="30"/>
      <c r="DR1377" s="30"/>
      <c r="DS1377" s="30"/>
      <c r="DT1377" s="30"/>
      <c r="DU1377" s="30"/>
      <c r="DV1377" s="30"/>
      <c r="DW1377" s="30"/>
      <c r="DX1377" s="30"/>
      <c r="DY1377" s="30"/>
      <c r="DZ1377" s="30"/>
    </row>
    <row r="1378">
      <c r="A1378" s="30"/>
      <c r="B1378" s="42"/>
      <c r="C1378" s="43"/>
      <c r="D1378" s="30"/>
      <c r="E1378" s="28"/>
      <c r="F1378" s="30"/>
      <c r="G1378" s="30"/>
      <c r="H1378" s="30"/>
      <c r="I1378" s="30"/>
      <c r="J1378" s="28"/>
      <c r="K1378" s="30"/>
      <c r="L1378" s="30"/>
      <c r="M1378" s="30"/>
      <c r="N1378" s="30"/>
      <c r="O1378" s="28"/>
      <c r="P1378" s="30"/>
      <c r="Q1378" s="30"/>
      <c r="R1378" s="30"/>
      <c r="S1378" s="36"/>
      <c r="T1378" s="30"/>
      <c r="U1378" s="36"/>
      <c r="V1378" s="30"/>
      <c r="W1378" s="28"/>
      <c r="X1378" s="30"/>
      <c r="Y1378" s="30"/>
      <c r="Z1378" s="30"/>
      <c r="AA1378" s="30"/>
      <c r="AB1378" s="30"/>
      <c r="AC1378" s="28"/>
      <c r="AD1378" s="30"/>
      <c r="AE1378" s="30"/>
      <c r="AF1378" s="30"/>
      <c r="AG1378" s="29"/>
      <c r="AH1378" s="30"/>
      <c r="AI1378" s="36"/>
      <c r="AJ1378" s="30"/>
      <c r="AK1378" s="29"/>
      <c r="AL1378" s="30"/>
      <c r="AM1378" s="30"/>
      <c r="AN1378" s="30"/>
      <c r="AO1378" s="30"/>
      <c r="AP1378" s="30"/>
      <c r="AQ1378" s="38"/>
      <c r="AR1378" s="30"/>
      <c r="AS1378" s="30"/>
      <c r="AT1378" s="29"/>
      <c r="AU1378" s="30"/>
      <c r="AV1378" s="30"/>
      <c r="AW1378" s="30"/>
      <c r="AX1378" s="29"/>
      <c r="AY1378" s="39"/>
      <c r="AZ1378" s="30"/>
      <c r="BA1378" s="30"/>
      <c r="BB1378" s="29"/>
      <c r="BC1378" s="52"/>
      <c r="BD1378" s="30"/>
      <c r="BE1378" s="29"/>
      <c r="BF1378" s="30"/>
      <c r="BG1378" s="30"/>
      <c r="BH1378" s="30"/>
      <c r="BI1378" s="30"/>
      <c r="BJ1378" s="30"/>
      <c r="BK1378" s="30"/>
      <c r="BL1378" s="30"/>
      <c r="BM1378" s="30"/>
      <c r="BN1378" s="30"/>
      <c r="BO1378" s="30"/>
      <c r="BP1378" s="30"/>
      <c r="BQ1378" s="30"/>
      <c r="BR1378" s="30"/>
      <c r="BS1378" s="30"/>
      <c r="BT1378" s="30"/>
      <c r="BU1378" s="30"/>
      <c r="BV1378" s="30"/>
      <c r="BW1378" s="30"/>
      <c r="BX1378" s="30"/>
      <c r="BY1378" s="30"/>
      <c r="BZ1378" s="30"/>
      <c r="CA1378" s="30"/>
      <c r="CB1378" s="30"/>
      <c r="CC1378" s="30"/>
      <c r="CD1378" s="30"/>
      <c r="CE1378" s="30"/>
      <c r="CF1378" s="30"/>
      <c r="CG1378" s="30"/>
      <c r="CH1378" s="30"/>
      <c r="CI1378" s="30"/>
      <c r="CJ1378" s="30"/>
      <c r="CK1378" s="30"/>
      <c r="CL1378" s="30"/>
      <c r="CM1378" s="30"/>
      <c r="CN1378" s="30"/>
      <c r="CO1378" s="30"/>
      <c r="CP1378" s="30"/>
      <c r="CQ1378" s="30"/>
      <c r="CR1378" s="30"/>
      <c r="CS1378" s="30"/>
      <c r="CT1378" s="30"/>
      <c r="CU1378" s="30"/>
      <c r="CV1378" s="30"/>
      <c r="CW1378" s="30"/>
      <c r="CX1378" s="30"/>
      <c r="CY1378" s="30"/>
      <c r="CZ1378" s="30"/>
      <c r="DA1378" s="30"/>
      <c r="DB1378" s="30"/>
      <c r="DC1378" s="30"/>
      <c r="DD1378" s="30"/>
      <c r="DE1378" s="30"/>
      <c r="DF1378" s="30"/>
      <c r="DG1378" s="30"/>
      <c r="DH1378" s="30"/>
      <c r="DI1378" s="30"/>
      <c r="DJ1378" s="30"/>
      <c r="DK1378" s="30"/>
      <c r="DL1378" s="30"/>
      <c r="DM1378" s="30"/>
      <c r="DN1378" s="30"/>
      <c r="DO1378" s="30"/>
      <c r="DP1378" s="30"/>
      <c r="DQ1378" s="30"/>
      <c r="DR1378" s="30"/>
      <c r="DS1378" s="30"/>
      <c r="DT1378" s="30"/>
      <c r="DU1378" s="30"/>
      <c r="DV1378" s="30"/>
      <c r="DW1378" s="30"/>
      <c r="DX1378" s="30"/>
      <c r="DY1378" s="30"/>
      <c r="DZ1378" s="30"/>
    </row>
    <row r="1379">
      <c r="A1379" s="30"/>
      <c r="B1379" s="42"/>
      <c r="C1379" s="43"/>
      <c r="D1379" s="30"/>
      <c r="E1379" s="28"/>
      <c r="F1379" s="30"/>
      <c r="G1379" s="30"/>
      <c r="H1379" s="30"/>
      <c r="I1379" s="30"/>
      <c r="J1379" s="28"/>
      <c r="K1379" s="30"/>
      <c r="L1379" s="30"/>
      <c r="M1379" s="30"/>
      <c r="N1379" s="30"/>
      <c r="O1379" s="28"/>
      <c r="P1379" s="30"/>
      <c r="Q1379" s="30"/>
      <c r="R1379" s="30"/>
      <c r="S1379" s="36"/>
      <c r="T1379" s="30"/>
      <c r="U1379" s="36"/>
      <c r="V1379" s="30"/>
      <c r="W1379" s="28"/>
      <c r="X1379" s="30"/>
      <c r="Y1379" s="30"/>
      <c r="Z1379" s="30"/>
      <c r="AA1379" s="30"/>
      <c r="AB1379" s="30"/>
      <c r="AC1379" s="28"/>
      <c r="AD1379" s="30"/>
      <c r="AE1379" s="30"/>
      <c r="AF1379" s="30"/>
      <c r="AG1379" s="29"/>
      <c r="AH1379" s="30"/>
      <c r="AI1379" s="36"/>
      <c r="AJ1379" s="30"/>
      <c r="AK1379" s="29"/>
      <c r="AL1379" s="30"/>
      <c r="AM1379" s="30"/>
      <c r="AN1379" s="30"/>
      <c r="AO1379" s="30"/>
      <c r="AP1379" s="30"/>
      <c r="AQ1379" s="38"/>
      <c r="AR1379" s="30"/>
      <c r="AS1379" s="30"/>
      <c r="AT1379" s="29"/>
      <c r="AU1379" s="30"/>
      <c r="AV1379" s="30"/>
      <c r="AW1379" s="30"/>
      <c r="AX1379" s="29"/>
      <c r="AY1379" s="39"/>
      <c r="AZ1379" s="30"/>
      <c r="BA1379" s="30"/>
      <c r="BB1379" s="29"/>
      <c r="BC1379" s="52"/>
      <c r="BD1379" s="30"/>
      <c r="BE1379" s="29"/>
      <c r="BF1379" s="30"/>
      <c r="BG1379" s="30"/>
      <c r="BH1379" s="30"/>
      <c r="BI1379" s="30"/>
      <c r="BJ1379" s="30"/>
      <c r="BK1379" s="30"/>
      <c r="BL1379" s="30"/>
      <c r="BM1379" s="30"/>
      <c r="BN1379" s="30"/>
      <c r="BO1379" s="30"/>
      <c r="BP1379" s="30"/>
      <c r="BQ1379" s="30"/>
      <c r="BR1379" s="30"/>
      <c r="BS1379" s="30"/>
      <c r="BT1379" s="30"/>
      <c r="BU1379" s="30"/>
      <c r="BV1379" s="30"/>
      <c r="BW1379" s="30"/>
      <c r="BX1379" s="30"/>
      <c r="BY1379" s="30"/>
      <c r="BZ1379" s="30"/>
      <c r="CA1379" s="30"/>
      <c r="CB1379" s="30"/>
      <c r="CC1379" s="30"/>
      <c r="CD1379" s="30"/>
      <c r="CE1379" s="30"/>
      <c r="CF1379" s="30"/>
      <c r="CG1379" s="30"/>
      <c r="CH1379" s="30"/>
      <c r="CI1379" s="30"/>
      <c r="CJ1379" s="30"/>
      <c r="CK1379" s="30"/>
      <c r="CL1379" s="30"/>
      <c r="CM1379" s="30"/>
      <c r="CN1379" s="30"/>
      <c r="CO1379" s="30"/>
      <c r="CP1379" s="30"/>
      <c r="CQ1379" s="30"/>
      <c r="CR1379" s="30"/>
      <c r="CS1379" s="30"/>
      <c r="CT1379" s="30"/>
      <c r="CU1379" s="30"/>
      <c r="CV1379" s="30"/>
      <c r="CW1379" s="30"/>
      <c r="CX1379" s="30"/>
      <c r="CY1379" s="30"/>
      <c r="CZ1379" s="30"/>
      <c r="DA1379" s="30"/>
      <c r="DB1379" s="30"/>
      <c r="DC1379" s="30"/>
      <c r="DD1379" s="30"/>
      <c r="DE1379" s="30"/>
      <c r="DF1379" s="30"/>
      <c r="DG1379" s="30"/>
      <c r="DH1379" s="30"/>
      <c r="DI1379" s="30"/>
      <c r="DJ1379" s="30"/>
      <c r="DK1379" s="30"/>
      <c r="DL1379" s="30"/>
      <c r="DM1379" s="30"/>
      <c r="DN1379" s="30"/>
      <c r="DO1379" s="30"/>
      <c r="DP1379" s="30"/>
      <c r="DQ1379" s="30"/>
      <c r="DR1379" s="30"/>
      <c r="DS1379" s="30"/>
      <c r="DT1379" s="30"/>
      <c r="DU1379" s="30"/>
      <c r="DV1379" s="30"/>
      <c r="DW1379" s="30"/>
      <c r="DX1379" s="30"/>
      <c r="DY1379" s="30"/>
      <c r="DZ1379" s="30"/>
    </row>
    <row r="1380">
      <c r="A1380" s="30"/>
      <c r="B1380" s="42"/>
      <c r="C1380" s="43"/>
      <c r="D1380" s="30"/>
      <c r="E1380" s="28"/>
      <c r="F1380" s="30"/>
      <c r="G1380" s="30"/>
      <c r="H1380" s="30"/>
      <c r="I1380" s="30"/>
      <c r="J1380" s="28"/>
      <c r="K1380" s="30"/>
      <c r="L1380" s="30"/>
      <c r="M1380" s="30"/>
      <c r="N1380" s="30"/>
      <c r="O1380" s="28"/>
      <c r="P1380" s="30"/>
      <c r="Q1380" s="30"/>
      <c r="R1380" s="30"/>
      <c r="S1380" s="36"/>
      <c r="T1380" s="30"/>
      <c r="U1380" s="36"/>
      <c r="V1380" s="30"/>
      <c r="W1380" s="28"/>
      <c r="X1380" s="30"/>
      <c r="Y1380" s="30"/>
      <c r="Z1380" s="30"/>
      <c r="AA1380" s="30"/>
      <c r="AB1380" s="30"/>
      <c r="AC1380" s="28"/>
      <c r="AD1380" s="30"/>
      <c r="AE1380" s="30"/>
      <c r="AF1380" s="30"/>
      <c r="AG1380" s="29"/>
      <c r="AH1380" s="30"/>
      <c r="AI1380" s="36"/>
      <c r="AJ1380" s="30"/>
      <c r="AK1380" s="29"/>
      <c r="AL1380" s="30"/>
      <c r="AM1380" s="30"/>
      <c r="AN1380" s="30"/>
      <c r="AO1380" s="30"/>
      <c r="AP1380" s="30"/>
      <c r="AQ1380" s="38"/>
      <c r="AR1380" s="30"/>
      <c r="AS1380" s="30"/>
      <c r="AT1380" s="29"/>
      <c r="AU1380" s="30"/>
      <c r="AV1380" s="30"/>
      <c r="AW1380" s="30"/>
      <c r="AX1380" s="29"/>
      <c r="AY1380" s="39"/>
      <c r="AZ1380" s="30"/>
      <c r="BA1380" s="30"/>
      <c r="BB1380" s="29"/>
      <c r="BC1380" s="52"/>
      <c r="BD1380" s="30"/>
      <c r="BE1380" s="29"/>
      <c r="BF1380" s="30"/>
      <c r="BG1380" s="30"/>
      <c r="BH1380" s="30"/>
      <c r="BI1380" s="30"/>
      <c r="BJ1380" s="30"/>
      <c r="BK1380" s="30"/>
      <c r="BL1380" s="30"/>
      <c r="BM1380" s="30"/>
      <c r="BN1380" s="30"/>
      <c r="BO1380" s="30"/>
      <c r="BP1380" s="30"/>
      <c r="BQ1380" s="30"/>
      <c r="BR1380" s="30"/>
      <c r="BS1380" s="30"/>
      <c r="BT1380" s="30"/>
      <c r="BU1380" s="30"/>
      <c r="BV1380" s="30"/>
      <c r="BW1380" s="30"/>
      <c r="BX1380" s="30"/>
      <c r="BY1380" s="30"/>
      <c r="BZ1380" s="30"/>
      <c r="CA1380" s="30"/>
      <c r="CB1380" s="30"/>
      <c r="CC1380" s="30"/>
      <c r="CD1380" s="30"/>
      <c r="CE1380" s="30"/>
      <c r="CF1380" s="30"/>
      <c r="CG1380" s="30"/>
      <c r="CH1380" s="30"/>
      <c r="CI1380" s="30"/>
      <c r="CJ1380" s="30"/>
      <c r="CK1380" s="30"/>
      <c r="CL1380" s="30"/>
      <c r="CM1380" s="30"/>
      <c r="CN1380" s="30"/>
      <c r="CO1380" s="30"/>
      <c r="CP1380" s="30"/>
      <c r="CQ1380" s="30"/>
      <c r="CR1380" s="30"/>
      <c r="CS1380" s="30"/>
      <c r="CT1380" s="30"/>
      <c r="CU1380" s="30"/>
      <c r="CV1380" s="30"/>
      <c r="CW1380" s="30"/>
      <c r="CX1380" s="30"/>
      <c r="CY1380" s="30"/>
      <c r="CZ1380" s="30"/>
      <c r="DA1380" s="30"/>
      <c r="DB1380" s="30"/>
      <c r="DC1380" s="30"/>
      <c r="DD1380" s="30"/>
      <c r="DE1380" s="30"/>
      <c r="DF1380" s="30"/>
      <c r="DG1380" s="30"/>
      <c r="DH1380" s="30"/>
      <c r="DI1380" s="30"/>
      <c r="DJ1380" s="30"/>
      <c r="DK1380" s="30"/>
      <c r="DL1380" s="30"/>
      <c r="DM1380" s="30"/>
      <c r="DN1380" s="30"/>
      <c r="DO1380" s="30"/>
      <c r="DP1380" s="30"/>
      <c r="DQ1380" s="30"/>
      <c r="DR1380" s="30"/>
      <c r="DS1380" s="30"/>
      <c r="DT1380" s="30"/>
      <c r="DU1380" s="30"/>
      <c r="DV1380" s="30"/>
      <c r="DW1380" s="30"/>
      <c r="DX1380" s="30"/>
      <c r="DY1380" s="30"/>
      <c r="DZ1380" s="30"/>
    </row>
    <row r="1381">
      <c r="A1381" s="30"/>
      <c r="B1381" s="42"/>
      <c r="C1381" s="43"/>
      <c r="D1381" s="30"/>
      <c r="E1381" s="28"/>
      <c r="F1381" s="30"/>
      <c r="G1381" s="30"/>
      <c r="H1381" s="30"/>
      <c r="I1381" s="30"/>
      <c r="J1381" s="28"/>
      <c r="K1381" s="30"/>
      <c r="L1381" s="30"/>
      <c r="M1381" s="30"/>
      <c r="N1381" s="30"/>
      <c r="O1381" s="28"/>
      <c r="P1381" s="30"/>
      <c r="Q1381" s="30"/>
      <c r="R1381" s="30"/>
      <c r="S1381" s="36"/>
      <c r="T1381" s="30"/>
      <c r="U1381" s="36"/>
      <c r="V1381" s="30"/>
      <c r="W1381" s="28"/>
      <c r="X1381" s="30"/>
      <c r="Y1381" s="30"/>
      <c r="Z1381" s="30"/>
      <c r="AA1381" s="30"/>
      <c r="AB1381" s="30"/>
      <c r="AC1381" s="28"/>
      <c r="AD1381" s="30"/>
      <c r="AE1381" s="30"/>
      <c r="AF1381" s="30"/>
      <c r="AG1381" s="29"/>
      <c r="AH1381" s="30"/>
      <c r="AI1381" s="36"/>
      <c r="AJ1381" s="30"/>
      <c r="AK1381" s="29"/>
      <c r="AL1381" s="30"/>
      <c r="AM1381" s="30"/>
      <c r="AN1381" s="30"/>
      <c r="AO1381" s="30"/>
      <c r="AP1381" s="30"/>
      <c r="AQ1381" s="38"/>
      <c r="AR1381" s="30"/>
      <c r="AS1381" s="30"/>
      <c r="AT1381" s="29"/>
      <c r="AU1381" s="30"/>
      <c r="AV1381" s="30"/>
      <c r="AW1381" s="30"/>
      <c r="AX1381" s="29"/>
      <c r="AY1381" s="39"/>
      <c r="AZ1381" s="30"/>
      <c r="BA1381" s="30"/>
      <c r="BB1381" s="29"/>
      <c r="BC1381" s="52"/>
      <c r="BD1381" s="30"/>
      <c r="BE1381" s="29"/>
      <c r="BF1381" s="30"/>
      <c r="BG1381" s="30"/>
      <c r="BH1381" s="30"/>
      <c r="BI1381" s="30"/>
      <c r="BJ1381" s="30"/>
      <c r="BK1381" s="30"/>
      <c r="BL1381" s="30"/>
      <c r="BM1381" s="30"/>
      <c r="BN1381" s="30"/>
      <c r="BO1381" s="30"/>
      <c r="BP1381" s="30"/>
      <c r="BQ1381" s="30"/>
      <c r="BR1381" s="30"/>
      <c r="BS1381" s="30"/>
      <c r="BT1381" s="30"/>
      <c r="BU1381" s="30"/>
      <c r="BV1381" s="30"/>
      <c r="BW1381" s="30"/>
      <c r="BX1381" s="30"/>
      <c r="BY1381" s="30"/>
      <c r="BZ1381" s="30"/>
      <c r="CA1381" s="30"/>
      <c r="CB1381" s="30"/>
      <c r="CC1381" s="30"/>
      <c r="CD1381" s="30"/>
      <c r="CE1381" s="30"/>
      <c r="CF1381" s="30"/>
      <c r="CG1381" s="30"/>
      <c r="CH1381" s="30"/>
      <c r="CI1381" s="30"/>
      <c r="CJ1381" s="30"/>
      <c r="CK1381" s="30"/>
      <c r="CL1381" s="30"/>
      <c r="CM1381" s="30"/>
      <c r="CN1381" s="30"/>
      <c r="CO1381" s="30"/>
      <c r="CP1381" s="30"/>
      <c r="CQ1381" s="30"/>
      <c r="CR1381" s="30"/>
      <c r="CS1381" s="30"/>
      <c r="CT1381" s="30"/>
      <c r="CU1381" s="30"/>
      <c r="CV1381" s="30"/>
      <c r="CW1381" s="30"/>
      <c r="CX1381" s="30"/>
      <c r="CY1381" s="30"/>
      <c r="CZ1381" s="30"/>
      <c r="DA1381" s="30"/>
      <c r="DB1381" s="30"/>
      <c r="DC1381" s="30"/>
      <c r="DD1381" s="30"/>
      <c r="DE1381" s="30"/>
      <c r="DF1381" s="30"/>
      <c r="DG1381" s="30"/>
      <c r="DH1381" s="30"/>
      <c r="DI1381" s="30"/>
      <c r="DJ1381" s="30"/>
      <c r="DK1381" s="30"/>
      <c r="DL1381" s="30"/>
      <c r="DM1381" s="30"/>
      <c r="DN1381" s="30"/>
      <c r="DO1381" s="30"/>
      <c r="DP1381" s="30"/>
      <c r="DQ1381" s="30"/>
      <c r="DR1381" s="30"/>
      <c r="DS1381" s="30"/>
      <c r="DT1381" s="30"/>
      <c r="DU1381" s="30"/>
      <c r="DV1381" s="30"/>
      <c r="DW1381" s="30"/>
      <c r="DX1381" s="30"/>
      <c r="DY1381" s="30"/>
      <c r="DZ1381" s="30"/>
    </row>
    <row r="1382">
      <c r="A1382" s="30"/>
      <c r="B1382" s="42"/>
      <c r="C1382" s="43"/>
      <c r="D1382" s="30"/>
      <c r="E1382" s="28"/>
      <c r="F1382" s="30"/>
      <c r="G1382" s="30"/>
      <c r="H1382" s="30"/>
      <c r="I1382" s="30"/>
      <c r="J1382" s="28"/>
      <c r="K1382" s="30"/>
      <c r="L1382" s="30"/>
      <c r="M1382" s="30"/>
      <c r="N1382" s="30"/>
      <c r="O1382" s="28"/>
      <c r="P1382" s="30"/>
      <c r="Q1382" s="30"/>
      <c r="R1382" s="30"/>
      <c r="S1382" s="36"/>
      <c r="T1382" s="30"/>
      <c r="U1382" s="36"/>
      <c r="V1382" s="30"/>
      <c r="W1382" s="28"/>
      <c r="X1382" s="30"/>
      <c r="Y1382" s="30"/>
      <c r="Z1382" s="30"/>
      <c r="AA1382" s="30"/>
      <c r="AB1382" s="30"/>
      <c r="AC1382" s="28"/>
      <c r="AD1382" s="30"/>
      <c r="AE1382" s="30"/>
      <c r="AF1382" s="30"/>
      <c r="AG1382" s="29"/>
      <c r="AH1382" s="30"/>
      <c r="AI1382" s="36"/>
      <c r="AJ1382" s="30"/>
      <c r="AK1382" s="29"/>
      <c r="AL1382" s="30"/>
      <c r="AM1382" s="30"/>
      <c r="AN1382" s="30"/>
      <c r="AO1382" s="30"/>
      <c r="AP1382" s="30"/>
      <c r="AQ1382" s="38"/>
      <c r="AR1382" s="30"/>
      <c r="AS1382" s="30"/>
      <c r="AT1382" s="29"/>
      <c r="AU1382" s="30"/>
      <c r="AV1382" s="30"/>
      <c r="AW1382" s="30"/>
      <c r="AX1382" s="29"/>
      <c r="AY1382" s="39"/>
      <c r="AZ1382" s="30"/>
      <c r="BA1382" s="30"/>
      <c r="BB1382" s="29"/>
      <c r="BC1382" s="52"/>
      <c r="BD1382" s="30"/>
      <c r="BE1382" s="29"/>
      <c r="BF1382" s="30"/>
      <c r="BG1382" s="30"/>
      <c r="BH1382" s="30"/>
      <c r="BI1382" s="30"/>
      <c r="BJ1382" s="30"/>
      <c r="BK1382" s="30"/>
      <c r="BL1382" s="30"/>
      <c r="BM1382" s="30"/>
      <c r="BN1382" s="30"/>
      <c r="BO1382" s="30"/>
      <c r="BP1382" s="30"/>
      <c r="BQ1382" s="30"/>
      <c r="BR1382" s="30"/>
      <c r="BS1382" s="30"/>
      <c r="BT1382" s="30"/>
      <c r="BU1382" s="30"/>
      <c r="BV1382" s="30"/>
      <c r="BW1382" s="30"/>
      <c r="BX1382" s="30"/>
      <c r="BY1382" s="30"/>
      <c r="BZ1382" s="30"/>
      <c r="CA1382" s="30"/>
      <c r="CB1382" s="30"/>
      <c r="CC1382" s="30"/>
      <c r="CD1382" s="30"/>
      <c r="CE1382" s="30"/>
      <c r="CF1382" s="30"/>
      <c r="CG1382" s="30"/>
      <c r="CH1382" s="30"/>
      <c r="CI1382" s="30"/>
      <c r="CJ1382" s="30"/>
      <c r="CK1382" s="30"/>
      <c r="CL1382" s="30"/>
      <c r="CM1382" s="30"/>
      <c r="CN1382" s="30"/>
      <c r="CO1382" s="30"/>
      <c r="CP1382" s="30"/>
      <c r="CQ1382" s="30"/>
      <c r="CR1382" s="30"/>
      <c r="CS1382" s="30"/>
      <c r="CT1382" s="30"/>
      <c r="CU1382" s="30"/>
      <c r="CV1382" s="30"/>
      <c r="CW1382" s="30"/>
      <c r="CX1382" s="30"/>
      <c r="CY1382" s="30"/>
      <c r="CZ1382" s="30"/>
      <c r="DA1382" s="30"/>
      <c r="DB1382" s="30"/>
      <c r="DC1382" s="30"/>
      <c r="DD1382" s="30"/>
      <c r="DE1382" s="30"/>
      <c r="DF1382" s="30"/>
      <c r="DG1382" s="30"/>
      <c r="DH1382" s="30"/>
      <c r="DI1382" s="30"/>
      <c r="DJ1382" s="30"/>
      <c r="DK1382" s="30"/>
      <c r="DL1382" s="30"/>
      <c r="DM1382" s="30"/>
      <c r="DN1382" s="30"/>
      <c r="DO1382" s="30"/>
      <c r="DP1382" s="30"/>
      <c r="DQ1382" s="30"/>
      <c r="DR1382" s="30"/>
      <c r="DS1382" s="30"/>
      <c r="DT1382" s="30"/>
      <c r="DU1382" s="30"/>
      <c r="DV1382" s="30"/>
      <c r="DW1382" s="30"/>
      <c r="DX1382" s="30"/>
      <c r="DY1382" s="30"/>
      <c r="DZ1382" s="30"/>
    </row>
    <row r="1383">
      <c r="A1383" s="30"/>
      <c r="B1383" s="42"/>
      <c r="C1383" s="43"/>
      <c r="D1383" s="30"/>
      <c r="E1383" s="28"/>
      <c r="F1383" s="30"/>
      <c r="G1383" s="30"/>
      <c r="H1383" s="30"/>
      <c r="I1383" s="30"/>
      <c r="J1383" s="28"/>
      <c r="K1383" s="30"/>
      <c r="L1383" s="30"/>
      <c r="M1383" s="30"/>
      <c r="N1383" s="30"/>
      <c r="O1383" s="28"/>
      <c r="P1383" s="30"/>
      <c r="Q1383" s="30"/>
      <c r="R1383" s="30"/>
      <c r="S1383" s="36"/>
      <c r="T1383" s="30"/>
      <c r="U1383" s="36"/>
      <c r="V1383" s="30"/>
      <c r="W1383" s="28"/>
      <c r="X1383" s="30"/>
      <c r="Y1383" s="30"/>
      <c r="Z1383" s="30"/>
      <c r="AA1383" s="30"/>
      <c r="AB1383" s="30"/>
      <c r="AC1383" s="28"/>
      <c r="AD1383" s="30"/>
      <c r="AE1383" s="30"/>
      <c r="AF1383" s="30"/>
      <c r="AG1383" s="29"/>
      <c r="AH1383" s="30"/>
      <c r="AI1383" s="36"/>
      <c r="AJ1383" s="30"/>
      <c r="AK1383" s="29"/>
      <c r="AL1383" s="30"/>
      <c r="AM1383" s="30"/>
      <c r="AN1383" s="30"/>
      <c r="AO1383" s="30"/>
      <c r="AP1383" s="30"/>
      <c r="AQ1383" s="38"/>
      <c r="AR1383" s="30"/>
      <c r="AS1383" s="30"/>
      <c r="AT1383" s="29"/>
      <c r="AU1383" s="30"/>
      <c r="AV1383" s="30"/>
      <c r="AW1383" s="30"/>
      <c r="AX1383" s="29"/>
      <c r="AY1383" s="39"/>
      <c r="AZ1383" s="30"/>
      <c r="BA1383" s="30"/>
      <c r="BB1383" s="29"/>
      <c r="BC1383" s="52"/>
      <c r="BD1383" s="30"/>
      <c r="BE1383" s="29"/>
      <c r="BF1383" s="30"/>
      <c r="BG1383" s="30"/>
      <c r="BH1383" s="30"/>
      <c r="BI1383" s="30"/>
      <c r="BJ1383" s="30"/>
      <c r="BK1383" s="30"/>
      <c r="BL1383" s="30"/>
      <c r="BM1383" s="30"/>
      <c r="BN1383" s="30"/>
      <c r="BO1383" s="30"/>
      <c r="BP1383" s="30"/>
      <c r="BQ1383" s="30"/>
      <c r="BR1383" s="30"/>
      <c r="BS1383" s="30"/>
      <c r="BT1383" s="30"/>
      <c r="BU1383" s="30"/>
      <c r="BV1383" s="30"/>
      <c r="BW1383" s="30"/>
      <c r="BX1383" s="30"/>
      <c r="BY1383" s="30"/>
      <c r="BZ1383" s="30"/>
      <c r="CA1383" s="30"/>
      <c r="CB1383" s="30"/>
      <c r="CC1383" s="30"/>
      <c r="CD1383" s="30"/>
      <c r="CE1383" s="30"/>
      <c r="CF1383" s="30"/>
      <c r="CG1383" s="30"/>
      <c r="CH1383" s="30"/>
      <c r="CI1383" s="30"/>
      <c r="CJ1383" s="30"/>
      <c r="CK1383" s="30"/>
      <c r="CL1383" s="30"/>
      <c r="CM1383" s="30"/>
      <c r="CN1383" s="30"/>
      <c r="CO1383" s="30"/>
      <c r="CP1383" s="30"/>
      <c r="CQ1383" s="30"/>
      <c r="CR1383" s="30"/>
      <c r="CS1383" s="30"/>
      <c r="CT1383" s="30"/>
      <c r="CU1383" s="30"/>
      <c r="CV1383" s="30"/>
      <c r="CW1383" s="30"/>
      <c r="CX1383" s="30"/>
      <c r="CY1383" s="30"/>
      <c r="CZ1383" s="30"/>
      <c r="DA1383" s="30"/>
      <c r="DB1383" s="30"/>
      <c r="DC1383" s="30"/>
      <c r="DD1383" s="30"/>
      <c r="DE1383" s="30"/>
      <c r="DF1383" s="30"/>
      <c r="DG1383" s="30"/>
      <c r="DH1383" s="30"/>
      <c r="DI1383" s="30"/>
      <c r="DJ1383" s="30"/>
      <c r="DK1383" s="30"/>
      <c r="DL1383" s="30"/>
      <c r="DM1383" s="30"/>
      <c r="DN1383" s="30"/>
      <c r="DO1383" s="30"/>
      <c r="DP1383" s="30"/>
      <c r="DQ1383" s="30"/>
      <c r="DR1383" s="30"/>
      <c r="DS1383" s="30"/>
      <c r="DT1383" s="30"/>
      <c r="DU1383" s="30"/>
      <c r="DV1383" s="30"/>
      <c r="DW1383" s="30"/>
      <c r="DX1383" s="30"/>
      <c r="DY1383" s="30"/>
      <c r="DZ1383" s="30"/>
    </row>
    <row r="1384">
      <c r="A1384" s="30"/>
      <c r="B1384" s="42"/>
      <c r="C1384" s="43"/>
      <c r="D1384" s="30"/>
      <c r="E1384" s="28"/>
      <c r="F1384" s="30"/>
      <c r="G1384" s="30"/>
      <c r="H1384" s="30"/>
      <c r="I1384" s="30"/>
      <c r="J1384" s="28"/>
      <c r="K1384" s="30"/>
      <c r="L1384" s="30"/>
      <c r="M1384" s="30"/>
      <c r="N1384" s="30"/>
      <c r="O1384" s="28"/>
      <c r="P1384" s="30"/>
      <c r="Q1384" s="30"/>
      <c r="R1384" s="30"/>
      <c r="S1384" s="36"/>
      <c r="T1384" s="30"/>
      <c r="U1384" s="36"/>
      <c r="V1384" s="30"/>
      <c r="W1384" s="28"/>
      <c r="X1384" s="30"/>
      <c r="Y1384" s="30"/>
      <c r="Z1384" s="30"/>
      <c r="AA1384" s="30"/>
      <c r="AB1384" s="30"/>
      <c r="AC1384" s="28"/>
      <c r="AD1384" s="30"/>
      <c r="AE1384" s="30"/>
      <c r="AF1384" s="30"/>
      <c r="AG1384" s="29"/>
      <c r="AH1384" s="30"/>
      <c r="AI1384" s="36"/>
      <c r="AJ1384" s="30"/>
      <c r="AK1384" s="29"/>
      <c r="AL1384" s="30"/>
      <c r="AM1384" s="30"/>
      <c r="AN1384" s="30"/>
      <c r="AO1384" s="30"/>
      <c r="AP1384" s="30"/>
      <c r="AQ1384" s="38"/>
      <c r="AR1384" s="30"/>
      <c r="AS1384" s="30"/>
      <c r="AT1384" s="29"/>
      <c r="AU1384" s="30"/>
      <c r="AV1384" s="30"/>
      <c r="AW1384" s="30"/>
      <c r="AX1384" s="29"/>
      <c r="AY1384" s="39"/>
      <c r="AZ1384" s="30"/>
      <c r="BA1384" s="30"/>
      <c r="BB1384" s="29"/>
      <c r="BC1384" s="52"/>
      <c r="BD1384" s="30"/>
      <c r="BE1384" s="29"/>
      <c r="BF1384" s="30"/>
      <c r="BG1384" s="30"/>
      <c r="BH1384" s="30"/>
      <c r="BI1384" s="30"/>
      <c r="BJ1384" s="30"/>
      <c r="BK1384" s="30"/>
      <c r="BL1384" s="30"/>
      <c r="BM1384" s="30"/>
      <c r="BN1384" s="30"/>
      <c r="BO1384" s="30"/>
      <c r="BP1384" s="30"/>
      <c r="BQ1384" s="30"/>
      <c r="BR1384" s="30"/>
      <c r="BS1384" s="30"/>
      <c r="BT1384" s="30"/>
      <c r="BU1384" s="30"/>
      <c r="BV1384" s="30"/>
      <c r="BW1384" s="30"/>
      <c r="BX1384" s="30"/>
      <c r="BY1384" s="30"/>
      <c r="BZ1384" s="30"/>
      <c r="CA1384" s="30"/>
      <c r="CB1384" s="30"/>
      <c r="CC1384" s="30"/>
      <c r="CD1384" s="30"/>
      <c r="CE1384" s="30"/>
      <c r="CF1384" s="30"/>
      <c r="CG1384" s="30"/>
      <c r="CH1384" s="30"/>
      <c r="CI1384" s="30"/>
      <c r="CJ1384" s="30"/>
      <c r="CK1384" s="30"/>
      <c r="CL1384" s="30"/>
      <c r="CM1384" s="30"/>
      <c r="CN1384" s="30"/>
      <c r="CO1384" s="30"/>
      <c r="CP1384" s="30"/>
      <c r="CQ1384" s="30"/>
      <c r="CR1384" s="30"/>
      <c r="CS1384" s="30"/>
      <c r="CT1384" s="30"/>
      <c r="CU1384" s="30"/>
      <c r="CV1384" s="30"/>
      <c r="CW1384" s="30"/>
      <c r="CX1384" s="30"/>
      <c r="CY1384" s="30"/>
      <c r="CZ1384" s="30"/>
      <c r="DA1384" s="30"/>
      <c r="DB1384" s="30"/>
      <c r="DC1384" s="30"/>
      <c r="DD1384" s="30"/>
      <c r="DE1384" s="30"/>
      <c r="DF1384" s="30"/>
      <c r="DG1384" s="30"/>
      <c r="DH1384" s="30"/>
      <c r="DI1384" s="30"/>
      <c r="DJ1384" s="30"/>
      <c r="DK1384" s="30"/>
      <c r="DL1384" s="30"/>
      <c r="DM1384" s="30"/>
      <c r="DN1384" s="30"/>
      <c r="DO1384" s="30"/>
      <c r="DP1384" s="30"/>
      <c r="DQ1384" s="30"/>
      <c r="DR1384" s="30"/>
      <c r="DS1384" s="30"/>
      <c r="DT1384" s="30"/>
      <c r="DU1384" s="30"/>
      <c r="DV1384" s="30"/>
      <c r="DW1384" s="30"/>
      <c r="DX1384" s="30"/>
      <c r="DY1384" s="30"/>
      <c r="DZ1384" s="30"/>
    </row>
    <row r="1385">
      <c r="A1385" s="30"/>
      <c r="B1385" s="42"/>
      <c r="C1385" s="43"/>
      <c r="D1385" s="30"/>
      <c r="E1385" s="28"/>
      <c r="F1385" s="30"/>
      <c r="G1385" s="30"/>
      <c r="H1385" s="30"/>
      <c r="I1385" s="30"/>
      <c r="J1385" s="28"/>
      <c r="K1385" s="30"/>
      <c r="L1385" s="30"/>
      <c r="M1385" s="30"/>
      <c r="N1385" s="30"/>
      <c r="O1385" s="28"/>
      <c r="P1385" s="30"/>
      <c r="Q1385" s="30"/>
      <c r="R1385" s="30"/>
      <c r="S1385" s="36"/>
      <c r="T1385" s="30"/>
      <c r="U1385" s="36"/>
      <c r="V1385" s="30"/>
      <c r="W1385" s="28"/>
      <c r="X1385" s="30"/>
      <c r="Y1385" s="30"/>
      <c r="Z1385" s="30"/>
      <c r="AA1385" s="30"/>
      <c r="AB1385" s="30"/>
      <c r="AC1385" s="28"/>
      <c r="AD1385" s="30"/>
      <c r="AE1385" s="30"/>
      <c r="AF1385" s="30"/>
      <c r="AG1385" s="29"/>
      <c r="AH1385" s="30"/>
      <c r="AI1385" s="36"/>
      <c r="AJ1385" s="30"/>
      <c r="AK1385" s="29"/>
      <c r="AL1385" s="30"/>
      <c r="AM1385" s="30"/>
      <c r="AN1385" s="30"/>
      <c r="AO1385" s="30"/>
      <c r="AP1385" s="30"/>
      <c r="AQ1385" s="38"/>
      <c r="AR1385" s="30"/>
      <c r="AS1385" s="30"/>
      <c r="AT1385" s="29"/>
      <c r="AU1385" s="30"/>
      <c r="AV1385" s="30"/>
      <c r="AW1385" s="30"/>
      <c r="AX1385" s="29"/>
      <c r="AY1385" s="39"/>
      <c r="AZ1385" s="30"/>
      <c r="BA1385" s="30"/>
      <c r="BB1385" s="29"/>
      <c r="BC1385" s="52"/>
      <c r="BD1385" s="30"/>
      <c r="BE1385" s="29"/>
      <c r="BF1385" s="30"/>
      <c r="BG1385" s="30"/>
      <c r="BH1385" s="30"/>
      <c r="BI1385" s="30"/>
      <c r="BJ1385" s="30"/>
      <c r="BK1385" s="30"/>
      <c r="BL1385" s="30"/>
      <c r="BM1385" s="30"/>
      <c r="BN1385" s="30"/>
      <c r="BO1385" s="30"/>
      <c r="BP1385" s="30"/>
      <c r="BQ1385" s="30"/>
      <c r="BR1385" s="30"/>
      <c r="BS1385" s="30"/>
      <c r="BT1385" s="30"/>
      <c r="BU1385" s="30"/>
      <c r="BV1385" s="30"/>
      <c r="BW1385" s="30"/>
      <c r="BX1385" s="30"/>
      <c r="BY1385" s="30"/>
      <c r="BZ1385" s="30"/>
      <c r="CA1385" s="30"/>
      <c r="CB1385" s="30"/>
      <c r="CC1385" s="30"/>
      <c r="CD1385" s="30"/>
      <c r="CE1385" s="30"/>
      <c r="CF1385" s="30"/>
      <c r="CG1385" s="30"/>
      <c r="CH1385" s="30"/>
      <c r="CI1385" s="30"/>
      <c r="CJ1385" s="30"/>
      <c r="CK1385" s="30"/>
      <c r="CL1385" s="30"/>
      <c r="CM1385" s="30"/>
      <c r="CN1385" s="30"/>
      <c r="CO1385" s="30"/>
      <c r="CP1385" s="30"/>
      <c r="CQ1385" s="30"/>
      <c r="CR1385" s="30"/>
      <c r="CS1385" s="30"/>
      <c r="CT1385" s="30"/>
      <c r="CU1385" s="30"/>
      <c r="CV1385" s="30"/>
      <c r="CW1385" s="30"/>
      <c r="CX1385" s="30"/>
      <c r="CY1385" s="30"/>
      <c r="CZ1385" s="30"/>
      <c r="DA1385" s="30"/>
      <c r="DB1385" s="30"/>
      <c r="DC1385" s="30"/>
      <c r="DD1385" s="30"/>
      <c r="DE1385" s="30"/>
      <c r="DF1385" s="30"/>
      <c r="DG1385" s="30"/>
      <c r="DH1385" s="30"/>
      <c r="DI1385" s="30"/>
      <c r="DJ1385" s="30"/>
      <c r="DK1385" s="30"/>
      <c r="DL1385" s="30"/>
      <c r="DM1385" s="30"/>
      <c r="DN1385" s="30"/>
      <c r="DO1385" s="30"/>
      <c r="DP1385" s="30"/>
      <c r="DQ1385" s="30"/>
      <c r="DR1385" s="30"/>
      <c r="DS1385" s="30"/>
      <c r="DT1385" s="30"/>
      <c r="DU1385" s="30"/>
      <c r="DV1385" s="30"/>
      <c r="DW1385" s="30"/>
      <c r="DX1385" s="30"/>
      <c r="DY1385" s="30"/>
      <c r="DZ1385" s="30"/>
    </row>
    <row r="1386">
      <c r="A1386" s="30"/>
      <c r="B1386" s="42"/>
      <c r="C1386" s="43"/>
      <c r="D1386" s="30"/>
      <c r="E1386" s="28"/>
      <c r="F1386" s="30"/>
      <c r="G1386" s="30"/>
      <c r="H1386" s="30"/>
      <c r="I1386" s="30"/>
      <c r="J1386" s="28"/>
      <c r="K1386" s="30"/>
      <c r="L1386" s="30"/>
      <c r="M1386" s="30"/>
      <c r="N1386" s="30"/>
      <c r="O1386" s="28"/>
      <c r="P1386" s="30"/>
      <c r="Q1386" s="30"/>
      <c r="R1386" s="30"/>
      <c r="S1386" s="36"/>
      <c r="T1386" s="30"/>
      <c r="U1386" s="36"/>
      <c r="V1386" s="30"/>
      <c r="W1386" s="28"/>
      <c r="X1386" s="30"/>
      <c r="Y1386" s="30"/>
      <c r="Z1386" s="30"/>
      <c r="AA1386" s="30"/>
      <c r="AB1386" s="30"/>
      <c r="AC1386" s="28"/>
      <c r="AD1386" s="30"/>
      <c r="AE1386" s="30"/>
      <c r="AF1386" s="30"/>
      <c r="AG1386" s="29"/>
      <c r="AH1386" s="30"/>
      <c r="AI1386" s="36"/>
      <c r="AJ1386" s="30"/>
      <c r="AK1386" s="29"/>
      <c r="AL1386" s="30"/>
      <c r="AM1386" s="30"/>
      <c r="AN1386" s="30"/>
      <c r="AO1386" s="30"/>
      <c r="AP1386" s="30"/>
      <c r="AQ1386" s="38"/>
      <c r="AR1386" s="30"/>
      <c r="AS1386" s="30"/>
      <c r="AT1386" s="29"/>
      <c r="AU1386" s="30"/>
      <c r="AV1386" s="30"/>
      <c r="AW1386" s="30"/>
      <c r="AX1386" s="29"/>
      <c r="AY1386" s="39"/>
      <c r="AZ1386" s="30"/>
      <c r="BA1386" s="30"/>
      <c r="BB1386" s="29"/>
      <c r="BC1386" s="52"/>
      <c r="BD1386" s="30"/>
      <c r="BE1386" s="29"/>
      <c r="BF1386" s="30"/>
      <c r="BG1386" s="30"/>
      <c r="BH1386" s="30"/>
      <c r="BI1386" s="30"/>
      <c r="BJ1386" s="30"/>
      <c r="BK1386" s="30"/>
      <c r="BL1386" s="30"/>
      <c r="BM1386" s="30"/>
      <c r="BN1386" s="30"/>
      <c r="BO1386" s="30"/>
      <c r="BP1386" s="30"/>
      <c r="BQ1386" s="30"/>
      <c r="BR1386" s="30"/>
      <c r="BS1386" s="30"/>
      <c r="BT1386" s="30"/>
      <c r="BU1386" s="30"/>
      <c r="BV1386" s="30"/>
      <c r="BW1386" s="30"/>
      <c r="BX1386" s="30"/>
      <c r="BY1386" s="30"/>
      <c r="BZ1386" s="30"/>
      <c r="CA1386" s="30"/>
      <c r="CB1386" s="30"/>
      <c r="CC1386" s="30"/>
      <c r="CD1386" s="30"/>
      <c r="CE1386" s="30"/>
      <c r="CF1386" s="30"/>
      <c r="CG1386" s="30"/>
      <c r="CH1386" s="30"/>
      <c r="CI1386" s="30"/>
      <c r="CJ1386" s="30"/>
      <c r="CK1386" s="30"/>
      <c r="CL1386" s="30"/>
      <c r="CM1386" s="30"/>
      <c r="CN1386" s="30"/>
      <c r="CO1386" s="30"/>
      <c r="CP1386" s="30"/>
      <c r="CQ1386" s="30"/>
      <c r="CR1386" s="30"/>
      <c r="CS1386" s="30"/>
      <c r="CT1386" s="30"/>
      <c r="CU1386" s="30"/>
      <c r="CV1386" s="30"/>
      <c r="CW1386" s="30"/>
      <c r="CX1386" s="30"/>
      <c r="CY1386" s="30"/>
      <c r="CZ1386" s="30"/>
      <c r="DA1386" s="30"/>
      <c r="DB1386" s="30"/>
      <c r="DC1386" s="30"/>
      <c r="DD1386" s="30"/>
      <c r="DE1386" s="30"/>
      <c r="DF1386" s="30"/>
      <c r="DG1386" s="30"/>
      <c r="DH1386" s="30"/>
      <c r="DI1386" s="30"/>
      <c r="DJ1386" s="30"/>
      <c r="DK1386" s="30"/>
      <c r="DL1386" s="30"/>
      <c r="DM1386" s="30"/>
      <c r="DN1386" s="30"/>
      <c r="DO1386" s="30"/>
      <c r="DP1386" s="30"/>
      <c r="DQ1386" s="30"/>
      <c r="DR1386" s="30"/>
      <c r="DS1386" s="30"/>
      <c r="DT1386" s="30"/>
      <c r="DU1386" s="30"/>
      <c r="DV1386" s="30"/>
      <c r="DW1386" s="30"/>
      <c r="DX1386" s="30"/>
      <c r="DY1386" s="30"/>
      <c r="DZ1386" s="30"/>
    </row>
    <row r="1387">
      <c r="A1387" s="30"/>
      <c r="B1387" s="42"/>
      <c r="C1387" s="43"/>
      <c r="D1387" s="30"/>
      <c r="E1387" s="28"/>
      <c r="F1387" s="30"/>
      <c r="G1387" s="30"/>
      <c r="H1387" s="30"/>
      <c r="I1387" s="30"/>
      <c r="J1387" s="28"/>
      <c r="K1387" s="30"/>
      <c r="L1387" s="30"/>
      <c r="M1387" s="30"/>
      <c r="N1387" s="30"/>
      <c r="O1387" s="28"/>
      <c r="P1387" s="30"/>
      <c r="Q1387" s="30"/>
      <c r="R1387" s="30"/>
      <c r="S1387" s="36"/>
      <c r="T1387" s="30"/>
      <c r="U1387" s="36"/>
      <c r="V1387" s="30"/>
      <c r="W1387" s="28"/>
      <c r="X1387" s="30"/>
      <c r="Y1387" s="30"/>
      <c r="Z1387" s="30"/>
      <c r="AA1387" s="30"/>
      <c r="AB1387" s="30"/>
      <c r="AC1387" s="28"/>
      <c r="AD1387" s="30"/>
      <c r="AE1387" s="30"/>
      <c r="AF1387" s="30"/>
      <c r="AG1387" s="29"/>
      <c r="AH1387" s="30"/>
      <c r="AI1387" s="36"/>
      <c r="AJ1387" s="30"/>
      <c r="AK1387" s="29"/>
      <c r="AL1387" s="30"/>
      <c r="AM1387" s="30"/>
      <c r="AN1387" s="30"/>
      <c r="AO1387" s="30"/>
      <c r="AP1387" s="30"/>
      <c r="AQ1387" s="38"/>
      <c r="AR1387" s="30"/>
      <c r="AS1387" s="30"/>
      <c r="AT1387" s="29"/>
      <c r="AU1387" s="30"/>
      <c r="AV1387" s="30"/>
      <c r="AW1387" s="30"/>
      <c r="AX1387" s="29"/>
      <c r="AY1387" s="39"/>
      <c r="AZ1387" s="30"/>
      <c r="BA1387" s="30"/>
      <c r="BB1387" s="29"/>
      <c r="BC1387" s="52"/>
      <c r="BD1387" s="30"/>
      <c r="BE1387" s="29"/>
      <c r="BF1387" s="30"/>
      <c r="BG1387" s="30"/>
      <c r="BH1387" s="30"/>
      <c r="BI1387" s="30"/>
      <c r="BJ1387" s="30"/>
      <c r="BK1387" s="30"/>
      <c r="BL1387" s="30"/>
      <c r="BM1387" s="30"/>
      <c r="BN1387" s="30"/>
      <c r="BO1387" s="30"/>
      <c r="BP1387" s="30"/>
      <c r="BQ1387" s="30"/>
      <c r="BR1387" s="30"/>
      <c r="BS1387" s="30"/>
      <c r="BT1387" s="30"/>
      <c r="BU1387" s="30"/>
      <c r="BV1387" s="30"/>
      <c r="BW1387" s="30"/>
      <c r="BX1387" s="30"/>
      <c r="BY1387" s="30"/>
      <c r="BZ1387" s="30"/>
      <c r="CA1387" s="30"/>
      <c r="CB1387" s="30"/>
      <c r="CC1387" s="30"/>
      <c r="CD1387" s="30"/>
      <c r="CE1387" s="30"/>
      <c r="CF1387" s="30"/>
      <c r="CG1387" s="30"/>
      <c r="CH1387" s="30"/>
      <c r="CI1387" s="30"/>
      <c r="CJ1387" s="30"/>
      <c r="CK1387" s="30"/>
      <c r="CL1387" s="30"/>
      <c r="CM1387" s="30"/>
      <c r="CN1387" s="30"/>
      <c r="CO1387" s="30"/>
      <c r="CP1387" s="30"/>
      <c r="CQ1387" s="30"/>
      <c r="CR1387" s="30"/>
      <c r="CS1387" s="30"/>
      <c r="CT1387" s="30"/>
      <c r="CU1387" s="30"/>
      <c r="CV1387" s="30"/>
      <c r="CW1387" s="30"/>
      <c r="CX1387" s="30"/>
      <c r="CY1387" s="30"/>
      <c r="CZ1387" s="30"/>
      <c r="DA1387" s="30"/>
      <c r="DB1387" s="30"/>
      <c r="DC1387" s="30"/>
      <c r="DD1387" s="30"/>
      <c r="DE1387" s="30"/>
      <c r="DF1387" s="30"/>
      <c r="DG1387" s="30"/>
      <c r="DH1387" s="30"/>
      <c r="DI1387" s="30"/>
      <c r="DJ1387" s="30"/>
      <c r="DK1387" s="30"/>
      <c r="DL1387" s="30"/>
      <c r="DM1387" s="30"/>
      <c r="DN1387" s="30"/>
      <c r="DO1387" s="30"/>
      <c r="DP1387" s="30"/>
      <c r="DQ1387" s="30"/>
      <c r="DR1387" s="30"/>
      <c r="DS1387" s="30"/>
      <c r="DT1387" s="30"/>
      <c r="DU1387" s="30"/>
      <c r="DV1387" s="30"/>
      <c r="DW1387" s="30"/>
      <c r="DX1387" s="30"/>
      <c r="DY1387" s="30"/>
      <c r="DZ1387" s="30"/>
    </row>
    <row r="1388">
      <c r="A1388" s="30"/>
      <c r="B1388" s="42"/>
      <c r="C1388" s="43"/>
      <c r="D1388" s="30"/>
      <c r="E1388" s="28"/>
      <c r="F1388" s="30"/>
      <c r="G1388" s="30"/>
      <c r="H1388" s="30"/>
      <c r="I1388" s="30"/>
      <c r="J1388" s="28"/>
      <c r="K1388" s="30"/>
      <c r="L1388" s="30"/>
      <c r="M1388" s="30"/>
      <c r="N1388" s="30"/>
      <c r="O1388" s="28"/>
      <c r="P1388" s="30"/>
      <c r="Q1388" s="30"/>
      <c r="R1388" s="30"/>
      <c r="S1388" s="36"/>
      <c r="T1388" s="30"/>
      <c r="U1388" s="36"/>
      <c r="V1388" s="30"/>
      <c r="W1388" s="28"/>
      <c r="X1388" s="30"/>
      <c r="Y1388" s="30"/>
      <c r="Z1388" s="30"/>
      <c r="AA1388" s="30"/>
      <c r="AB1388" s="30"/>
      <c r="AC1388" s="28"/>
      <c r="AD1388" s="30"/>
      <c r="AE1388" s="30"/>
      <c r="AF1388" s="30"/>
      <c r="AG1388" s="29"/>
      <c r="AH1388" s="30"/>
      <c r="AI1388" s="36"/>
      <c r="AJ1388" s="30"/>
      <c r="AK1388" s="29"/>
      <c r="AL1388" s="30"/>
      <c r="AM1388" s="30"/>
      <c r="AN1388" s="30"/>
      <c r="AO1388" s="30"/>
      <c r="AP1388" s="30"/>
      <c r="AQ1388" s="38"/>
      <c r="AR1388" s="30"/>
      <c r="AS1388" s="30"/>
      <c r="AT1388" s="29"/>
      <c r="AU1388" s="30"/>
      <c r="AV1388" s="30"/>
      <c r="AW1388" s="30"/>
      <c r="AX1388" s="29"/>
      <c r="AY1388" s="39"/>
      <c r="AZ1388" s="30"/>
      <c r="BA1388" s="30"/>
      <c r="BB1388" s="29"/>
      <c r="BC1388" s="52"/>
      <c r="BD1388" s="30"/>
      <c r="BE1388" s="29"/>
      <c r="BF1388" s="30"/>
      <c r="BG1388" s="30"/>
      <c r="BH1388" s="30"/>
      <c r="BI1388" s="30"/>
      <c r="BJ1388" s="30"/>
      <c r="BK1388" s="30"/>
      <c r="BL1388" s="30"/>
      <c r="BM1388" s="30"/>
      <c r="BN1388" s="30"/>
      <c r="BO1388" s="30"/>
      <c r="BP1388" s="30"/>
      <c r="BQ1388" s="30"/>
      <c r="BR1388" s="30"/>
      <c r="BS1388" s="30"/>
      <c r="BT1388" s="30"/>
      <c r="BU1388" s="30"/>
      <c r="BV1388" s="30"/>
      <c r="BW1388" s="30"/>
      <c r="BX1388" s="30"/>
      <c r="BY1388" s="30"/>
      <c r="BZ1388" s="30"/>
      <c r="CA1388" s="30"/>
      <c r="CB1388" s="30"/>
      <c r="CC1388" s="30"/>
      <c r="CD1388" s="30"/>
      <c r="CE1388" s="30"/>
      <c r="CF1388" s="30"/>
      <c r="CG1388" s="30"/>
      <c r="CH1388" s="30"/>
      <c r="CI1388" s="30"/>
      <c r="CJ1388" s="30"/>
      <c r="CK1388" s="30"/>
      <c r="CL1388" s="30"/>
      <c r="CM1388" s="30"/>
      <c r="CN1388" s="30"/>
      <c r="CO1388" s="30"/>
      <c r="CP1388" s="30"/>
      <c r="CQ1388" s="30"/>
      <c r="CR1388" s="30"/>
      <c r="CS1388" s="30"/>
      <c r="CT1388" s="30"/>
      <c r="CU1388" s="30"/>
      <c r="CV1388" s="30"/>
      <c r="CW1388" s="30"/>
      <c r="CX1388" s="30"/>
      <c r="CY1388" s="30"/>
      <c r="CZ1388" s="30"/>
      <c r="DA1388" s="30"/>
      <c r="DB1388" s="30"/>
      <c r="DC1388" s="30"/>
      <c r="DD1388" s="30"/>
      <c r="DE1388" s="30"/>
      <c r="DF1388" s="30"/>
      <c r="DG1388" s="30"/>
      <c r="DH1388" s="30"/>
      <c r="DI1388" s="30"/>
      <c r="DJ1388" s="30"/>
      <c r="DK1388" s="30"/>
      <c r="DL1388" s="30"/>
      <c r="DM1388" s="30"/>
      <c r="DN1388" s="30"/>
      <c r="DO1388" s="30"/>
      <c r="DP1388" s="30"/>
      <c r="DQ1388" s="30"/>
      <c r="DR1388" s="30"/>
      <c r="DS1388" s="30"/>
      <c r="DT1388" s="30"/>
      <c r="DU1388" s="30"/>
      <c r="DV1388" s="30"/>
      <c r="DW1388" s="30"/>
      <c r="DX1388" s="30"/>
      <c r="DY1388" s="30"/>
      <c r="DZ1388" s="30"/>
    </row>
    <row r="1389">
      <c r="A1389" s="30"/>
      <c r="B1389" s="42"/>
      <c r="C1389" s="43"/>
      <c r="D1389" s="30"/>
      <c r="E1389" s="28"/>
      <c r="F1389" s="30"/>
      <c r="G1389" s="30"/>
      <c r="H1389" s="30"/>
      <c r="I1389" s="30"/>
      <c r="J1389" s="28"/>
      <c r="K1389" s="30"/>
      <c r="L1389" s="30"/>
      <c r="M1389" s="30"/>
      <c r="N1389" s="30"/>
      <c r="O1389" s="28"/>
      <c r="P1389" s="30"/>
      <c r="Q1389" s="30"/>
      <c r="R1389" s="30"/>
      <c r="S1389" s="36"/>
      <c r="T1389" s="30"/>
      <c r="U1389" s="36"/>
      <c r="V1389" s="30"/>
      <c r="W1389" s="28"/>
      <c r="X1389" s="30"/>
      <c r="Y1389" s="30"/>
      <c r="Z1389" s="30"/>
      <c r="AA1389" s="30"/>
      <c r="AB1389" s="30"/>
      <c r="AC1389" s="28"/>
      <c r="AD1389" s="30"/>
      <c r="AE1389" s="30"/>
      <c r="AF1389" s="30"/>
      <c r="AG1389" s="29"/>
      <c r="AH1389" s="30"/>
      <c r="AI1389" s="36"/>
      <c r="AJ1389" s="30"/>
      <c r="AK1389" s="29"/>
      <c r="AL1389" s="30"/>
      <c r="AM1389" s="30"/>
      <c r="AN1389" s="30"/>
      <c r="AO1389" s="30"/>
      <c r="AP1389" s="30"/>
      <c r="AQ1389" s="38"/>
      <c r="AR1389" s="30"/>
      <c r="AS1389" s="30"/>
      <c r="AT1389" s="29"/>
      <c r="AU1389" s="30"/>
      <c r="AV1389" s="30"/>
      <c r="AW1389" s="30"/>
      <c r="AX1389" s="29"/>
      <c r="AY1389" s="39"/>
      <c r="AZ1389" s="30"/>
      <c r="BA1389" s="30"/>
      <c r="BB1389" s="29"/>
      <c r="BC1389" s="52"/>
      <c r="BD1389" s="30"/>
      <c r="BE1389" s="29"/>
      <c r="BF1389" s="30"/>
      <c r="BG1389" s="30"/>
      <c r="BH1389" s="30"/>
      <c r="BI1389" s="30"/>
      <c r="BJ1389" s="30"/>
      <c r="BK1389" s="30"/>
      <c r="BL1389" s="30"/>
      <c r="BM1389" s="30"/>
      <c r="BN1389" s="30"/>
      <c r="BO1389" s="30"/>
      <c r="BP1389" s="30"/>
      <c r="BQ1389" s="30"/>
      <c r="BR1389" s="30"/>
      <c r="BS1389" s="30"/>
      <c r="BT1389" s="30"/>
      <c r="BU1389" s="30"/>
      <c r="BV1389" s="30"/>
      <c r="BW1389" s="30"/>
      <c r="BX1389" s="30"/>
      <c r="BY1389" s="30"/>
      <c r="BZ1389" s="30"/>
      <c r="CA1389" s="30"/>
      <c r="CB1389" s="30"/>
      <c r="CC1389" s="30"/>
      <c r="CD1389" s="30"/>
      <c r="CE1389" s="30"/>
      <c r="CF1389" s="30"/>
      <c r="CG1389" s="30"/>
      <c r="CH1389" s="30"/>
      <c r="CI1389" s="30"/>
      <c r="CJ1389" s="30"/>
      <c r="CK1389" s="30"/>
      <c r="CL1389" s="30"/>
      <c r="CM1389" s="30"/>
      <c r="CN1389" s="30"/>
      <c r="CO1389" s="30"/>
      <c r="CP1389" s="30"/>
      <c r="CQ1389" s="30"/>
      <c r="CR1389" s="30"/>
      <c r="CS1389" s="30"/>
      <c r="CT1389" s="30"/>
      <c r="CU1389" s="30"/>
      <c r="CV1389" s="30"/>
      <c r="CW1389" s="30"/>
      <c r="CX1389" s="30"/>
      <c r="CY1389" s="30"/>
      <c r="CZ1389" s="30"/>
      <c r="DA1389" s="30"/>
      <c r="DB1389" s="30"/>
      <c r="DC1389" s="30"/>
      <c r="DD1389" s="30"/>
      <c r="DE1389" s="30"/>
      <c r="DF1389" s="30"/>
      <c r="DG1389" s="30"/>
      <c r="DH1389" s="30"/>
      <c r="DI1389" s="30"/>
      <c r="DJ1389" s="30"/>
      <c r="DK1389" s="30"/>
      <c r="DL1389" s="30"/>
      <c r="DM1389" s="30"/>
      <c r="DN1389" s="30"/>
      <c r="DO1389" s="30"/>
      <c r="DP1389" s="30"/>
      <c r="DQ1389" s="30"/>
      <c r="DR1389" s="30"/>
      <c r="DS1389" s="30"/>
      <c r="DT1389" s="30"/>
      <c r="DU1389" s="30"/>
      <c r="DV1389" s="30"/>
      <c r="DW1389" s="30"/>
      <c r="DX1389" s="30"/>
      <c r="DY1389" s="30"/>
      <c r="DZ1389" s="30"/>
    </row>
    <row r="1390">
      <c r="A1390" s="30"/>
      <c r="B1390" s="42"/>
      <c r="C1390" s="43"/>
      <c r="D1390" s="30"/>
      <c r="E1390" s="28"/>
      <c r="F1390" s="30"/>
      <c r="G1390" s="30"/>
      <c r="H1390" s="30"/>
      <c r="I1390" s="30"/>
      <c r="J1390" s="28"/>
      <c r="K1390" s="30"/>
      <c r="L1390" s="30"/>
      <c r="M1390" s="30"/>
      <c r="N1390" s="30"/>
      <c r="O1390" s="28"/>
      <c r="P1390" s="30"/>
      <c r="Q1390" s="30"/>
      <c r="R1390" s="30"/>
      <c r="S1390" s="36"/>
      <c r="T1390" s="30"/>
      <c r="U1390" s="36"/>
      <c r="V1390" s="30"/>
      <c r="W1390" s="28"/>
      <c r="X1390" s="30"/>
      <c r="Y1390" s="30"/>
      <c r="Z1390" s="30"/>
      <c r="AA1390" s="30"/>
      <c r="AB1390" s="30"/>
      <c r="AC1390" s="28"/>
      <c r="AD1390" s="30"/>
      <c r="AE1390" s="30"/>
      <c r="AF1390" s="30"/>
      <c r="AG1390" s="29"/>
      <c r="AH1390" s="30"/>
      <c r="AI1390" s="36"/>
      <c r="AJ1390" s="30"/>
      <c r="AK1390" s="29"/>
      <c r="AL1390" s="30"/>
      <c r="AM1390" s="30"/>
      <c r="AN1390" s="30"/>
      <c r="AO1390" s="30"/>
      <c r="AP1390" s="30"/>
      <c r="AQ1390" s="38"/>
      <c r="AR1390" s="30"/>
      <c r="AS1390" s="30"/>
      <c r="AT1390" s="29"/>
      <c r="AU1390" s="30"/>
      <c r="AV1390" s="30"/>
      <c r="AW1390" s="30"/>
      <c r="AX1390" s="29"/>
      <c r="AY1390" s="39"/>
      <c r="AZ1390" s="30"/>
      <c r="BA1390" s="30"/>
      <c r="BB1390" s="29"/>
      <c r="BC1390" s="52"/>
      <c r="BD1390" s="30"/>
      <c r="BE1390" s="29"/>
      <c r="BF1390" s="30"/>
      <c r="BG1390" s="30"/>
      <c r="BH1390" s="30"/>
      <c r="BI1390" s="30"/>
      <c r="BJ1390" s="30"/>
      <c r="BK1390" s="30"/>
      <c r="BL1390" s="30"/>
      <c r="BM1390" s="30"/>
      <c r="BN1390" s="30"/>
      <c r="BO1390" s="30"/>
      <c r="BP1390" s="30"/>
      <c r="BQ1390" s="30"/>
      <c r="BR1390" s="30"/>
      <c r="BS1390" s="30"/>
      <c r="BT1390" s="30"/>
      <c r="BU1390" s="30"/>
      <c r="BV1390" s="30"/>
      <c r="BW1390" s="30"/>
      <c r="BX1390" s="30"/>
      <c r="BY1390" s="30"/>
      <c r="BZ1390" s="30"/>
      <c r="CA1390" s="30"/>
      <c r="CB1390" s="30"/>
      <c r="CC1390" s="30"/>
      <c r="CD1390" s="30"/>
      <c r="CE1390" s="30"/>
      <c r="CF1390" s="30"/>
      <c r="CG1390" s="30"/>
      <c r="CH1390" s="30"/>
      <c r="CI1390" s="30"/>
      <c r="CJ1390" s="30"/>
      <c r="CK1390" s="30"/>
      <c r="CL1390" s="30"/>
      <c r="CM1390" s="30"/>
      <c r="CN1390" s="30"/>
      <c r="CO1390" s="30"/>
      <c r="CP1390" s="30"/>
      <c r="CQ1390" s="30"/>
      <c r="CR1390" s="30"/>
      <c r="CS1390" s="30"/>
      <c r="CT1390" s="30"/>
      <c r="CU1390" s="30"/>
      <c r="CV1390" s="30"/>
      <c r="CW1390" s="30"/>
      <c r="CX1390" s="30"/>
      <c r="CY1390" s="30"/>
      <c r="CZ1390" s="30"/>
      <c r="DA1390" s="30"/>
      <c r="DB1390" s="30"/>
      <c r="DC1390" s="30"/>
      <c r="DD1390" s="30"/>
      <c r="DE1390" s="30"/>
      <c r="DF1390" s="30"/>
      <c r="DG1390" s="30"/>
      <c r="DH1390" s="30"/>
      <c r="DI1390" s="30"/>
      <c r="DJ1390" s="30"/>
      <c r="DK1390" s="30"/>
      <c r="DL1390" s="30"/>
      <c r="DM1390" s="30"/>
      <c r="DN1390" s="30"/>
      <c r="DO1390" s="30"/>
      <c r="DP1390" s="30"/>
      <c r="DQ1390" s="30"/>
      <c r="DR1390" s="30"/>
      <c r="DS1390" s="30"/>
      <c r="DT1390" s="30"/>
      <c r="DU1390" s="30"/>
      <c r="DV1390" s="30"/>
      <c r="DW1390" s="30"/>
      <c r="DX1390" s="30"/>
      <c r="DY1390" s="30"/>
      <c r="DZ1390" s="30"/>
    </row>
    <row r="1391">
      <c r="A1391" s="30"/>
      <c r="B1391" s="42"/>
      <c r="C1391" s="43"/>
      <c r="D1391" s="30"/>
      <c r="E1391" s="28"/>
      <c r="F1391" s="30"/>
      <c r="G1391" s="30"/>
      <c r="H1391" s="30"/>
      <c r="I1391" s="30"/>
      <c r="J1391" s="28"/>
      <c r="K1391" s="30"/>
      <c r="L1391" s="30"/>
      <c r="M1391" s="30"/>
      <c r="N1391" s="30"/>
      <c r="O1391" s="28"/>
      <c r="P1391" s="30"/>
      <c r="Q1391" s="30"/>
      <c r="R1391" s="30"/>
      <c r="S1391" s="36"/>
      <c r="T1391" s="30"/>
      <c r="U1391" s="36"/>
      <c r="V1391" s="30"/>
      <c r="W1391" s="28"/>
      <c r="X1391" s="30"/>
      <c r="Y1391" s="30"/>
      <c r="Z1391" s="30"/>
      <c r="AA1391" s="30"/>
      <c r="AB1391" s="30"/>
      <c r="AC1391" s="28"/>
      <c r="AD1391" s="30"/>
      <c r="AE1391" s="30"/>
      <c r="AF1391" s="30"/>
      <c r="AG1391" s="29"/>
      <c r="AH1391" s="30"/>
      <c r="AI1391" s="36"/>
      <c r="AJ1391" s="30"/>
      <c r="AK1391" s="29"/>
      <c r="AL1391" s="30"/>
      <c r="AM1391" s="30"/>
      <c r="AN1391" s="30"/>
      <c r="AO1391" s="30"/>
      <c r="AP1391" s="30"/>
      <c r="AQ1391" s="38"/>
      <c r="AR1391" s="30"/>
      <c r="AS1391" s="30"/>
      <c r="AT1391" s="29"/>
      <c r="AU1391" s="30"/>
      <c r="AV1391" s="30"/>
      <c r="AW1391" s="30"/>
      <c r="AX1391" s="29"/>
      <c r="AY1391" s="39"/>
      <c r="AZ1391" s="30"/>
      <c r="BA1391" s="30"/>
      <c r="BB1391" s="29"/>
      <c r="BC1391" s="52"/>
      <c r="BD1391" s="30"/>
      <c r="BE1391" s="29"/>
      <c r="BF1391" s="30"/>
      <c r="BG1391" s="30"/>
      <c r="BH1391" s="30"/>
      <c r="BI1391" s="30"/>
      <c r="BJ1391" s="30"/>
      <c r="BK1391" s="30"/>
      <c r="BL1391" s="30"/>
      <c r="BM1391" s="30"/>
      <c r="BN1391" s="30"/>
      <c r="BO1391" s="30"/>
      <c r="BP1391" s="30"/>
      <c r="BQ1391" s="30"/>
      <c r="BR1391" s="30"/>
      <c r="BS1391" s="30"/>
      <c r="BT1391" s="30"/>
      <c r="BU1391" s="30"/>
      <c r="BV1391" s="30"/>
      <c r="BW1391" s="30"/>
      <c r="BX1391" s="30"/>
      <c r="BY1391" s="30"/>
      <c r="BZ1391" s="30"/>
      <c r="CA1391" s="30"/>
      <c r="CB1391" s="30"/>
      <c r="CC1391" s="30"/>
      <c r="CD1391" s="30"/>
      <c r="CE1391" s="30"/>
      <c r="CF1391" s="30"/>
      <c r="CG1391" s="30"/>
      <c r="CH1391" s="30"/>
      <c r="CI1391" s="30"/>
      <c r="CJ1391" s="30"/>
      <c r="CK1391" s="30"/>
      <c r="CL1391" s="30"/>
      <c r="CM1391" s="30"/>
      <c r="CN1391" s="30"/>
      <c r="CO1391" s="30"/>
      <c r="CP1391" s="30"/>
      <c r="CQ1391" s="30"/>
      <c r="CR1391" s="30"/>
      <c r="CS1391" s="30"/>
      <c r="CT1391" s="30"/>
      <c r="CU1391" s="30"/>
      <c r="CV1391" s="30"/>
      <c r="CW1391" s="30"/>
      <c r="CX1391" s="30"/>
      <c r="CY1391" s="30"/>
      <c r="CZ1391" s="30"/>
      <c r="DA1391" s="30"/>
      <c r="DB1391" s="30"/>
      <c r="DC1391" s="30"/>
      <c r="DD1391" s="30"/>
      <c r="DE1391" s="30"/>
      <c r="DF1391" s="30"/>
      <c r="DG1391" s="30"/>
      <c r="DH1391" s="30"/>
      <c r="DI1391" s="30"/>
      <c r="DJ1391" s="30"/>
      <c r="DK1391" s="30"/>
      <c r="DL1391" s="30"/>
      <c r="DM1391" s="30"/>
      <c r="DN1391" s="30"/>
      <c r="DO1391" s="30"/>
      <c r="DP1391" s="30"/>
      <c r="DQ1391" s="30"/>
      <c r="DR1391" s="30"/>
      <c r="DS1391" s="30"/>
      <c r="DT1391" s="30"/>
      <c r="DU1391" s="30"/>
      <c r="DV1391" s="30"/>
      <c r="DW1391" s="30"/>
      <c r="DX1391" s="30"/>
      <c r="DY1391" s="30"/>
      <c r="DZ1391" s="30"/>
    </row>
    <row r="1392">
      <c r="A1392" s="30"/>
      <c r="B1392" s="42"/>
      <c r="C1392" s="43"/>
      <c r="D1392" s="30"/>
      <c r="E1392" s="28"/>
      <c r="F1392" s="30"/>
      <c r="G1392" s="30"/>
      <c r="H1392" s="30"/>
      <c r="I1392" s="30"/>
      <c r="J1392" s="28"/>
      <c r="K1392" s="30"/>
      <c r="L1392" s="30"/>
      <c r="M1392" s="30"/>
      <c r="N1392" s="30"/>
      <c r="O1392" s="28"/>
      <c r="P1392" s="30"/>
      <c r="Q1392" s="30"/>
      <c r="R1392" s="30"/>
      <c r="S1392" s="36"/>
      <c r="T1392" s="30"/>
      <c r="U1392" s="36"/>
      <c r="V1392" s="30"/>
      <c r="W1392" s="28"/>
      <c r="X1392" s="30"/>
      <c r="Y1392" s="30"/>
      <c r="Z1392" s="30"/>
      <c r="AA1392" s="30"/>
      <c r="AB1392" s="30"/>
      <c r="AC1392" s="28"/>
      <c r="AD1392" s="30"/>
      <c r="AE1392" s="30"/>
      <c r="AF1392" s="30"/>
      <c r="AG1392" s="29"/>
      <c r="AH1392" s="30"/>
      <c r="AI1392" s="36"/>
      <c r="AJ1392" s="30"/>
      <c r="AK1392" s="29"/>
      <c r="AL1392" s="30"/>
      <c r="AM1392" s="30"/>
      <c r="AN1392" s="30"/>
      <c r="AO1392" s="30"/>
      <c r="AP1392" s="30"/>
      <c r="AQ1392" s="38"/>
      <c r="AR1392" s="30"/>
      <c r="AS1392" s="30"/>
      <c r="AT1392" s="29"/>
      <c r="AU1392" s="30"/>
      <c r="AV1392" s="30"/>
      <c r="AW1392" s="30"/>
      <c r="AX1392" s="29"/>
      <c r="AY1392" s="39"/>
      <c r="AZ1392" s="30"/>
      <c r="BA1392" s="30"/>
      <c r="BB1392" s="29"/>
      <c r="BC1392" s="52"/>
      <c r="BD1392" s="30"/>
      <c r="BE1392" s="29"/>
      <c r="BF1392" s="30"/>
      <c r="BG1392" s="30"/>
      <c r="BH1392" s="30"/>
      <c r="BI1392" s="30"/>
      <c r="BJ1392" s="30"/>
      <c r="BK1392" s="30"/>
      <c r="BL1392" s="30"/>
      <c r="BM1392" s="30"/>
      <c r="BN1392" s="30"/>
      <c r="BO1392" s="30"/>
      <c r="BP1392" s="30"/>
      <c r="BQ1392" s="30"/>
      <c r="BR1392" s="30"/>
      <c r="BS1392" s="30"/>
      <c r="BT1392" s="30"/>
      <c r="BU1392" s="30"/>
      <c r="BV1392" s="30"/>
      <c r="BW1392" s="30"/>
      <c r="BX1392" s="30"/>
      <c r="BY1392" s="30"/>
      <c r="BZ1392" s="30"/>
      <c r="CA1392" s="30"/>
      <c r="CB1392" s="30"/>
      <c r="CC1392" s="30"/>
      <c r="CD1392" s="30"/>
      <c r="CE1392" s="30"/>
      <c r="CF1392" s="30"/>
      <c r="CG1392" s="30"/>
      <c r="CH1392" s="30"/>
      <c r="CI1392" s="30"/>
      <c r="CJ1392" s="30"/>
      <c r="CK1392" s="30"/>
      <c r="CL1392" s="30"/>
      <c r="CM1392" s="30"/>
      <c r="CN1392" s="30"/>
      <c r="CO1392" s="30"/>
      <c r="CP1392" s="30"/>
      <c r="CQ1392" s="30"/>
      <c r="CR1392" s="30"/>
      <c r="CS1392" s="30"/>
      <c r="CT1392" s="30"/>
      <c r="CU1392" s="30"/>
      <c r="CV1392" s="30"/>
      <c r="CW1392" s="30"/>
      <c r="CX1392" s="30"/>
      <c r="CY1392" s="30"/>
      <c r="CZ1392" s="30"/>
      <c r="DA1392" s="30"/>
      <c r="DB1392" s="30"/>
      <c r="DC1392" s="30"/>
      <c r="DD1392" s="30"/>
      <c r="DE1392" s="30"/>
      <c r="DF1392" s="30"/>
      <c r="DG1392" s="30"/>
      <c r="DH1392" s="30"/>
      <c r="DI1392" s="30"/>
      <c r="DJ1392" s="30"/>
      <c r="DK1392" s="30"/>
      <c r="DL1392" s="30"/>
      <c r="DM1392" s="30"/>
      <c r="DN1392" s="30"/>
      <c r="DO1392" s="30"/>
      <c r="DP1392" s="30"/>
      <c r="DQ1392" s="30"/>
      <c r="DR1392" s="30"/>
      <c r="DS1392" s="30"/>
      <c r="DT1392" s="30"/>
      <c r="DU1392" s="30"/>
      <c r="DV1392" s="30"/>
      <c r="DW1392" s="30"/>
      <c r="DX1392" s="30"/>
      <c r="DY1392" s="30"/>
      <c r="DZ1392" s="30"/>
    </row>
    <row r="1393">
      <c r="A1393" s="30"/>
      <c r="B1393" s="42"/>
      <c r="C1393" s="43"/>
      <c r="D1393" s="30"/>
      <c r="E1393" s="28"/>
      <c r="F1393" s="30"/>
      <c r="G1393" s="30"/>
      <c r="H1393" s="30"/>
      <c r="I1393" s="30"/>
      <c r="J1393" s="28"/>
      <c r="K1393" s="30"/>
      <c r="L1393" s="30"/>
      <c r="M1393" s="30"/>
      <c r="N1393" s="30"/>
      <c r="O1393" s="28"/>
      <c r="P1393" s="30"/>
      <c r="Q1393" s="30"/>
      <c r="R1393" s="30"/>
      <c r="S1393" s="36"/>
      <c r="T1393" s="30"/>
      <c r="U1393" s="36"/>
      <c r="V1393" s="30"/>
      <c r="W1393" s="28"/>
      <c r="X1393" s="30"/>
      <c r="Y1393" s="30"/>
      <c r="Z1393" s="30"/>
      <c r="AA1393" s="30"/>
      <c r="AB1393" s="30"/>
      <c r="AC1393" s="28"/>
      <c r="AD1393" s="30"/>
      <c r="AE1393" s="30"/>
      <c r="AF1393" s="30"/>
      <c r="AG1393" s="29"/>
      <c r="AH1393" s="30"/>
      <c r="AI1393" s="36"/>
      <c r="AJ1393" s="30"/>
      <c r="AK1393" s="29"/>
      <c r="AL1393" s="30"/>
      <c r="AM1393" s="30"/>
      <c r="AN1393" s="30"/>
      <c r="AO1393" s="30"/>
      <c r="AP1393" s="30"/>
      <c r="AQ1393" s="38"/>
      <c r="AR1393" s="30"/>
      <c r="AS1393" s="30"/>
      <c r="AT1393" s="29"/>
      <c r="AU1393" s="30"/>
      <c r="AV1393" s="30"/>
      <c r="AW1393" s="30"/>
      <c r="AX1393" s="29"/>
      <c r="AY1393" s="39"/>
      <c r="AZ1393" s="30"/>
      <c r="BA1393" s="30"/>
      <c r="BB1393" s="29"/>
      <c r="BC1393" s="52"/>
      <c r="BD1393" s="30"/>
      <c r="BE1393" s="29"/>
      <c r="BF1393" s="30"/>
      <c r="BG1393" s="30"/>
      <c r="BH1393" s="30"/>
      <c r="BI1393" s="30"/>
      <c r="BJ1393" s="30"/>
      <c r="BK1393" s="30"/>
      <c r="BL1393" s="30"/>
      <c r="BM1393" s="30"/>
      <c r="BN1393" s="30"/>
      <c r="BO1393" s="30"/>
      <c r="BP1393" s="30"/>
      <c r="BQ1393" s="30"/>
      <c r="BR1393" s="30"/>
      <c r="BS1393" s="30"/>
      <c r="BT1393" s="30"/>
      <c r="BU1393" s="30"/>
      <c r="BV1393" s="30"/>
      <c r="BW1393" s="30"/>
      <c r="BX1393" s="30"/>
      <c r="BY1393" s="30"/>
      <c r="BZ1393" s="30"/>
      <c r="CA1393" s="30"/>
      <c r="CB1393" s="30"/>
      <c r="CC1393" s="30"/>
      <c r="CD1393" s="30"/>
      <c r="CE1393" s="30"/>
      <c r="CF1393" s="30"/>
      <c r="CG1393" s="30"/>
      <c r="CH1393" s="30"/>
      <c r="CI1393" s="30"/>
      <c r="CJ1393" s="30"/>
      <c r="CK1393" s="30"/>
      <c r="CL1393" s="30"/>
      <c r="CM1393" s="30"/>
      <c r="CN1393" s="30"/>
      <c r="CO1393" s="30"/>
      <c r="CP1393" s="30"/>
      <c r="CQ1393" s="30"/>
      <c r="CR1393" s="30"/>
      <c r="CS1393" s="30"/>
      <c r="CT1393" s="30"/>
      <c r="CU1393" s="30"/>
      <c r="CV1393" s="30"/>
      <c r="CW1393" s="30"/>
      <c r="CX1393" s="30"/>
      <c r="CY1393" s="30"/>
      <c r="CZ1393" s="30"/>
      <c r="DA1393" s="30"/>
      <c r="DB1393" s="30"/>
      <c r="DC1393" s="30"/>
      <c r="DD1393" s="30"/>
      <c r="DE1393" s="30"/>
      <c r="DF1393" s="30"/>
      <c r="DG1393" s="30"/>
      <c r="DH1393" s="30"/>
      <c r="DI1393" s="30"/>
      <c r="DJ1393" s="30"/>
      <c r="DK1393" s="30"/>
      <c r="DL1393" s="30"/>
      <c r="DM1393" s="30"/>
      <c r="DN1393" s="30"/>
      <c r="DO1393" s="30"/>
      <c r="DP1393" s="30"/>
      <c r="DQ1393" s="30"/>
      <c r="DR1393" s="30"/>
      <c r="DS1393" s="30"/>
      <c r="DT1393" s="30"/>
      <c r="DU1393" s="30"/>
      <c r="DV1393" s="30"/>
      <c r="DW1393" s="30"/>
      <c r="DX1393" s="30"/>
      <c r="DY1393" s="30"/>
      <c r="DZ1393" s="30"/>
    </row>
    <row r="1394">
      <c r="A1394" s="30"/>
      <c r="B1394" s="42"/>
      <c r="C1394" s="43"/>
      <c r="D1394" s="30"/>
      <c r="E1394" s="28"/>
      <c r="F1394" s="30"/>
      <c r="G1394" s="30"/>
      <c r="H1394" s="30"/>
      <c r="I1394" s="30"/>
      <c r="J1394" s="28"/>
      <c r="K1394" s="30"/>
      <c r="L1394" s="30"/>
      <c r="M1394" s="30"/>
      <c r="N1394" s="30"/>
      <c r="O1394" s="28"/>
      <c r="P1394" s="30"/>
      <c r="Q1394" s="30"/>
      <c r="R1394" s="30"/>
      <c r="S1394" s="36"/>
      <c r="T1394" s="30"/>
      <c r="U1394" s="36"/>
      <c r="V1394" s="30"/>
      <c r="W1394" s="28"/>
      <c r="X1394" s="30"/>
      <c r="Y1394" s="30"/>
      <c r="Z1394" s="30"/>
      <c r="AA1394" s="30"/>
      <c r="AB1394" s="30"/>
      <c r="AC1394" s="28"/>
      <c r="AD1394" s="30"/>
      <c r="AE1394" s="30"/>
      <c r="AF1394" s="30"/>
      <c r="AG1394" s="29"/>
      <c r="AH1394" s="30"/>
      <c r="AI1394" s="36"/>
      <c r="AJ1394" s="30"/>
      <c r="AK1394" s="29"/>
      <c r="AL1394" s="30"/>
      <c r="AM1394" s="30"/>
      <c r="AN1394" s="30"/>
      <c r="AO1394" s="30"/>
      <c r="AP1394" s="30"/>
      <c r="AQ1394" s="38"/>
      <c r="AR1394" s="30"/>
      <c r="AS1394" s="30"/>
      <c r="AT1394" s="29"/>
      <c r="AU1394" s="30"/>
      <c r="AV1394" s="30"/>
      <c r="AW1394" s="30"/>
      <c r="AX1394" s="29"/>
      <c r="AY1394" s="39"/>
      <c r="AZ1394" s="30"/>
      <c r="BA1394" s="30"/>
      <c r="BB1394" s="29"/>
      <c r="BC1394" s="52"/>
      <c r="BD1394" s="30"/>
      <c r="BE1394" s="29"/>
      <c r="BF1394" s="30"/>
      <c r="BG1394" s="30"/>
      <c r="BH1394" s="30"/>
      <c r="BI1394" s="30"/>
      <c r="BJ1394" s="30"/>
      <c r="BK1394" s="30"/>
      <c r="BL1394" s="30"/>
      <c r="BM1394" s="30"/>
      <c r="BN1394" s="30"/>
      <c r="BO1394" s="30"/>
      <c r="BP1394" s="30"/>
      <c r="BQ1394" s="30"/>
      <c r="BR1394" s="30"/>
      <c r="BS1394" s="30"/>
      <c r="BT1394" s="30"/>
      <c r="BU1394" s="30"/>
      <c r="BV1394" s="30"/>
      <c r="BW1394" s="30"/>
      <c r="BX1394" s="30"/>
      <c r="BY1394" s="30"/>
      <c r="BZ1394" s="30"/>
      <c r="CA1394" s="30"/>
      <c r="CB1394" s="30"/>
      <c r="CC1394" s="30"/>
      <c r="CD1394" s="30"/>
      <c r="CE1394" s="30"/>
      <c r="CF1394" s="30"/>
      <c r="CG1394" s="30"/>
      <c r="CH1394" s="30"/>
      <c r="CI1394" s="30"/>
      <c r="CJ1394" s="30"/>
      <c r="CK1394" s="30"/>
      <c r="CL1394" s="30"/>
      <c r="CM1394" s="30"/>
      <c r="CN1394" s="30"/>
      <c r="CO1394" s="30"/>
      <c r="CP1394" s="30"/>
      <c r="CQ1394" s="30"/>
      <c r="CR1394" s="30"/>
      <c r="CS1394" s="30"/>
      <c r="CT1394" s="30"/>
      <c r="CU1394" s="30"/>
      <c r="CV1394" s="30"/>
      <c r="CW1394" s="30"/>
      <c r="CX1394" s="30"/>
      <c r="CY1394" s="30"/>
      <c r="CZ1394" s="30"/>
      <c r="DA1394" s="30"/>
      <c r="DB1394" s="30"/>
      <c r="DC1394" s="30"/>
      <c r="DD1394" s="30"/>
      <c r="DE1394" s="30"/>
      <c r="DF1394" s="30"/>
      <c r="DG1394" s="30"/>
      <c r="DH1394" s="30"/>
      <c r="DI1394" s="30"/>
      <c r="DJ1394" s="30"/>
      <c r="DK1394" s="30"/>
      <c r="DL1394" s="30"/>
      <c r="DM1394" s="30"/>
      <c r="DN1394" s="30"/>
      <c r="DO1394" s="30"/>
      <c r="DP1394" s="30"/>
      <c r="DQ1394" s="30"/>
      <c r="DR1394" s="30"/>
      <c r="DS1394" s="30"/>
      <c r="DT1394" s="30"/>
      <c r="DU1394" s="30"/>
      <c r="DV1394" s="30"/>
      <c r="DW1394" s="30"/>
      <c r="DX1394" s="30"/>
      <c r="DY1394" s="30"/>
      <c r="DZ1394" s="30"/>
    </row>
    <row r="1395">
      <c r="A1395" s="30"/>
      <c r="B1395" s="42"/>
      <c r="C1395" s="43"/>
      <c r="D1395" s="30"/>
      <c r="E1395" s="28"/>
      <c r="F1395" s="30"/>
      <c r="G1395" s="30"/>
      <c r="H1395" s="30"/>
      <c r="I1395" s="30"/>
      <c r="J1395" s="28"/>
      <c r="K1395" s="30"/>
      <c r="L1395" s="30"/>
      <c r="M1395" s="30"/>
      <c r="N1395" s="30"/>
      <c r="O1395" s="28"/>
      <c r="P1395" s="30"/>
      <c r="Q1395" s="30"/>
      <c r="R1395" s="30"/>
      <c r="S1395" s="36"/>
      <c r="T1395" s="30"/>
      <c r="U1395" s="36"/>
      <c r="V1395" s="30"/>
      <c r="W1395" s="28"/>
      <c r="X1395" s="30"/>
      <c r="Y1395" s="30"/>
      <c r="Z1395" s="30"/>
      <c r="AA1395" s="30"/>
      <c r="AB1395" s="30"/>
      <c r="AC1395" s="28"/>
      <c r="AD1395" s="30"/>
      <c r="AE1395" s="30"/>
      <c r="AF1395" s="30"/>
      <c r="AG1395" s="29"/>
      <c r="AH1395" s="30"/>
      <c r="AI1395" s="36"/>
      <c r="AJ1395" s="30"/>
      <c r="AK1395" s="29"/>
      <c r="AL1395" s="30"/>
      <c r="AM1395" s="30"/>
      <c r="AN1395" s="30"/>
      <c r="AO1395" s="30"/>
      <c r="AP1395" s="30"/>
      <c r="AQ1395" s="38"/>
      <c r="AR1395" s="30"/>
      <c r="AS1395" s="30"/>
      <c r="AT1395" s="29"/>
      <c r="AU1395" s="30"/>
      <c r="AV1395" s="30"/>
      <c r="AW1395" s="30"/>
      <c r="AX1395" s="29"/>
      <c r="AY1395" s="39"/>
      <c r="AZ1395" s="30"/>
      <c r="BA1395" s="30"/>
      <c r="BB1395" s="29"/>
      <c r="BC1395" s="52"/>
      <c r="BD1395" s="30"/>
      <c r="BE1395" s="29"/>
      <c r="BF1395" s="30"/>
      <c r="BG1395" s="30"/>
      <c r="BH1395" s="30"/>
      <c r="BI1395" s="30"/>
      <c r="BJ1395" s="30"/>
      <c r="BK1395" s="30"/>
      <c r="BL1395" s="30"/>
      <c r="BM1395" s="30"/>
      <c r="BN1395" s="30"/>
      <c r="BO1395" s="30"/>
      <c r="BP1395" s="30"/>
      <c r="BQ1395" s="30"/>
      <c r="BR1395" s="30"/>
      <c r="BS1395" s="30"/>
      <c r="BT1395" s="30"/>
      <c r="BU1395" s="30"/>
      <c r="BV1395" s="30"/>
      <c r="BW1395" s="30"/>
      <c r="BX1395" s="30"/>
      <c r="BY1395" s="30"/>
      <c r="BZ1395" s="30"/>
      <c r="CA1395" s="30"/>
      <c r="CB1395" s="30"/>
      <c r="CC1395" s="30"/>
      <c r="CD1395" s="30"/>
      <c r="CE1395" s="30"/>
      <c r="CF1395" s="30"/>
      <c r="CG1395" s="30"/>
      <c r="CH1395" s="30"/>
      <c r="CI1395" s="30"/>
      <c r="CJ1395" s="30"/>
      <c r="CK1395" s="30"/>
      <c r="CL1395" s="30"/>
      <c r="CM1395" s="30"/>
      <c r="CN1395" s="30"/>
      <c r="CO1395" s="30"/>
      <c r="CP1395" s="30"/>
      <c r="CQ1395" s="30"/>
      <c r="CR1395" s="30"/>
      <c r="CS1395" s="30"/>
      <c r="CT1395" s="30"/>
      <c r="CU1395" s="30"/>
      <c r="CV1395" s="30"/>
      <c r="CW1395" s="30"/>
      <c r="CX1395" s="30"/>
      <c r="CY1395" s="30"/>
      <c r="CZ1395" s="30"/>
      <c r="DA1395" s="30"/>
      <c r="DB1395" s="30"/>
      <c r="DC1395" s="30"/>
      <c r="DD1395" s="30"/>
      <c r="DE1395" s="30"/>
      <c r="DF1395" s="30"/>
      <c r="DG1395" s="30"/>
      <c r="DH1395" s="30"/>
      <c r="DI1395" s="30"/>
      <c r="DJ1395" s="30"/>
      <c r="DK1395" s="30"/>
      <c r="DL1395" s="30"/>
      <c r="DM1395" s="30"/>
      <c r="DN1395" s="30"/>
      <c r="DO1395" s="30"/>
      <c r="DP1395" s="30"/>
      <c r="DQ1395" s="30"/>
      <c r="DR1395" s="30"/>
      <c r="DS1395" s="30"/>
      <c r="DT1395" s="30"/>
      <c r="DU1395" s="30"/>
      <c r="DV1395" s="30"/>
      <c r="DW1395" s="30"/>
      <c r="DX1395" s="30"/>
      <c r="DY1395" s="30"/>
      <c r="DZ1395" s="30"/>
    </row>
    <row r="1396">
      <c r="A1396" s="30"/>
      <c r="B1396" s="42"/>
      <c r="C1396" s="43"/>
      <c r="D1396" s="30"/>
      <c r="E1396" s="28"/>
      <c r="F1396" s="30"/>
      <c r="G1396" s="30"/>
      <c r="H1396" s="30"/>
      <c r="I1396" s="30"/>
      <c r="J1396" s="28"/>
      <c r="K1396" s="30"/>
      <c r="L1396" s="30"/>
      <c r="M1396" s="30"/>
      <c r="N1396" s="30"/>
      <c r="O1396" s="28"/>
      <c r="P1396" s="30"/>
      <c r="Q1396" s="30"/>
      <c r="R1396" s="30"/>
      <c r="S1396" s="36"/>
      <c r="T1396" s="30"/>
      <c r="U1396" s="36"/>
      <c r="V1396" s="30"/>
      <c r="W1396" s="28"/>
      <c r="X1396" s="30"/>
      <c r="Y1396" s="30"/>
      <c r="Z1396" s="30"/>
      <c r="AA1396" s="30"/>
      <c r="AB1396" s="30"/>
      <c r="AC1396" s="28"/>
      <c r="AD1396" s="30"/>
      <c r="AE1396" s="30"/>
      <c r="AF1396" s="30"/>
      <c r="AG1396" s="29"/>
      <c r="AH1396" s="30"/>
      <c r="AI1396" s="36"/>
      <c r="AJ1396" s="30"/>
      <c r="AK1396" s="29"/>
      <c r="AL1396" s="30"/>
      <c r="AM1396" s="30"/>
      <c r="AN1396" s="30"/>
      <c r="AO1396" s="30"/>
      <c r="AP1396" s="30"/>
      <c r="AQ1396" s="38"/>
      <c r="AR1396" s="30"/>
      <c r="AS1396" s="30"/>
      <c r="AT1396" s="29"/>
      <c r="AU1396" s="30"/>
      <c r="AV1396" s="30"/>
      <c r="AW1396" s="30"/>
      <c r="AX1396" s="29"/>
      <c r="AY1396" s="39"/>
      <c r="AZ1396" s="30"/>
      <c r="BA1396" s="30"/>
      <c r="BB1396" s="29"/>
      <c r="BC1396" s="52"/>
      <c r="BD1396" s="30"/>
      <c r="BE1396" s="29"/>
      <c r="BF1396" s="30"/>
      <c r="BG1396" s="30"/>
      <c r="BH1396" s="30"/>
      <c r="BI1396" s="30"/>
      <c r="BJ1396" s="30"/>
      <c r="BK1396" s="30"/>
      <c r="BL1396" s="30"/>
      <c r="BM1396" s="30"/>
      <c r="BN1396" s="30"/>
      <c r="BO1396" s="30"/>
      <c r="BP1396" s="30"/>
      <c r="BQ1396" s="30"/>
      <c r="BR1396" s="30"/>
      <c r="BS1396" s="30"/>
      <c r="BT1396" s="30"/>
      <c r="BU1396" s="30"/>
      <c r="BV1396" s="30"/>
      <c r="BW1396" s="30"/>
      <c r="BX1396" s="30"/>
      <c r="BY1396" s="30"/>
      <c r="BZ1396" s="30"/>
      <c r="CA1396" s="30"/>
      <c r="CB1396" s="30"/>
      <c r="CC1396" s="30"/>
      <c r="CD1396" s="30"/>
      <c r="CE1396" s="30"/>
      <c r="CF1396" s="30"/>
      <c r="CG1396" s="30"/>
      <c r="CH1396" s="30"/>
      <c r="CI1396" s="30"/>
      <c r="CJ1396" s="30"/>
      <c r="CK1396" s="30"/>
      <c r="CL1396" s="30"/>
      <c r="CM1396" s="30"/>
      <c r="CN1396" s="30"/>
      <c r="CO1396" s="30"/>
      <c r="CP1396" s="30"/>
      <c r="CQ1396" s="30"/>
      <c r="CR1396" s="30"/>
      <c r="CS1396" s="30"/>
      <c r="CT1396" s="30"/>
      <c r="CU1396" s="30"/>
      <c r="CV1396" s="30"/>
      <c r="CW1396" s="30"/>
      <c r="CX1396" s="30"/>
      <c r="CY1396" s="30"/>
      <c r="CZ1396" s="30"/>
      <c r="DA1396" s="30"/>
      <c r="DB1396" s="30"/>
      <c r="DC1396" s="30"/>
      <c r="DD1396" s="30"/>
      <c r="DE1396" s="30"/>
      <c r="DF1396" s="30"/>
      <c r="DG1396" s="30"/>
      <c r="DH1396" s="30"/>
      <c r="DI1396" s="30"/>
      <c r="DJ1396" s="30"/>
      <c r="DK1396" s="30"/>
      <c r="DL1396" s="30"/>
      <c r="DM1396" s="30"/>
      <c r="DN1396" s="30"/>
      <c r="DO1396" s="30"/>
      <c r="DP1396" s="30"/>
      <c r="DQ1396" s="30"/>
      <c r="DR1396" s="30"/>
      <c r="DS1396" s="30"/>
      <c r="DT1396" s="30"/>
      <c r="DU1396" s="30"/>
      <c r="DV1396" s="30"/>
      <c r="DW1396" s="30"/>
      <c r="DX1396" s="30"/>
      <c r="DY1396" s="30"/>
      <c r="DZ1396" s="30"/>
    </row>
    <row r="1397">
      <c r="A1397" s="30"/>
      <c r="B1397" s="42"/>
      <c r="C1397" s="43"/>
      <c r="D1397" s="30"/>
      <c r="E1397" s="28"/>
      <c r="F1397" s="30"/>
      <c r="G1397" s="30"/>
      <c r="H1397" s="30"/>
      <c r="I1397" s="30"/>
      <c r="J1397" s="28"/>
      <c r="K1397" s="30"/>
      <c r="L1397" s="30"/>
      <c r="M1397" s="30"/>
      <c r="N1397" s="30"/>
      <c r="O1397" s="28"/>
      <c r="P1397" s="30"/>
      <c r="Q1397" s="30"/>
      <c r="R1397" s="30"/>
      <c r="S1397" s="36"/>
      <c r="T1397" s="30"/>
      <c r="U1397" s="36"/>
      <c r="V1397" s="30"/>
      <c r="W1397" s="28"/>
      <c r="X1397" s="30"/>
      <c r="Y1397" s="30"/>
      <c r="Z1397" s="30"/>
      <c r="AA1397" s="30"/>
      <c r="AB1397" s="30"/>
      <c r="AC1397" s="28"/>
      <c r="AD1397" s="30"/>
      <c r="AE1397" s="30"/>
      <c r="AF1397" s="30"/>
      <c r="AG1397" s="29"/>
      <c r="AH1397" s="30"/>
      <c r="AI1397" s="36"/>
      <c r="AJ1397" s="30"/>
      <c r="AK1397" s="29"/>
      <c r="AL1397" s="30"/>
      <c r="AM1397" s="30"/>
      <c r="AN1397" s="30"/>
      <c r="AO1397" s="30"/>
      <c r="AP1397" s="30"/>
      <c r="AQ1397" s="38"/>
      <c r="AR1397" s="30"/>
      <c r="AS1397" s="30"/>
      <c r="AT1397" s="29"/>
      <c r="AU1397" s="30"/>
      <c r="AV1397" s="30"/>
      <c r="AW1397" s="30"/>
      <c r="AX1397" s="29"/>
      <c r="AY1397" s="39"/>
      <c r="AZ1397" s="30"/>
      <c r="BA1397" s="30"/>
      <c r="BB1397" s="29"/>
      <c r="BC1397" s="52"/>
      <c r="BD1397" s="30"/>
      <c r="BE1397" s="29"/>
      <c r="BF1397" s="30"/>
      <c r="BG1397" s="30"/>
      <c r="BH1397" s="30"/>
      <c r="BI1397" s="30"/>
      <c r="BJ1397" s="30"/>
      <c r="BK1397" s="30"/>
      <c r="BL1397" s="30"/>
      <c r="BM1397" s="30"/>
      <c r="BN1397" s="30"/>
      <c r="BO1397" s="30"/>
      <c r="BP1397" s="30"/>
      <c r="BQ1397" s="30"/>
      <c r="BR1397" s="30"/>
      <c r="BS1397" s="30"/>
      <c r="BT1397" s="30"/>
      <c r="BU1397" s="30"/>
      <c r="BV1397" s="30"/>
      <c r="BW1397" s="30"/>
      <c r="BX1397" s="30"/>
      <c r="BY1397" s="30"/>
      <c r="BZ1397" s="30"/>
      <c r="CA1397" s="30"/>
      <c r="CB1397" s="30"/>
      <c r="CC1397" s="30"/>
      <c r="CD1397" s="30"/>
      <c r="CE1397" s="30"/>
      <c r="CF1397" s="30"/>
      <c r="CG1397" s="30"/>
      <c r="CH1397" s="30"/>
      <c r="CI1397" s="30"/>
      <c r="CJ1397" s="30"/>
      <c r="CK1397" s="30"/>
      <c r="CL1397" s="30"/>
      <c r="CM1397" s="30"/>
      <c r="CN1397" s="30"/>
      <c r="CO1397" s="30"/>
      <c r="CP1397" s="30"/>
      <c r="CQ1397" s="30"/>
      <c r="CR1397" s="30"/>
      <c r="CS1397" s="30"/>
      <c r="CT1397" s="30"/>
      <c r="CU1397" s="30"/>
      <c r="CV1397" s="30"/>
      <c r="CW1397" s="30"/>
      <c r="CX1397" s="30"/>
      <c r="CY1397" s="30"/>
      <c r="CZ1397" s="30"/>
      <c r="DA1397" s="30"/>
      <c r="DB1397" s="30"/>
      <c r="DC1397" s="30"/>
      <c r="DD1397" s="30"/>
      <c r="DE1397" s="30"/>
      <c r="DF1397" s="30"/>
      <c r="DG1397" s="30"/>
      <c r="DH1397" s="30"/>
      <c r="DI1397" s="30"/>
      <c r="DJ1397" s="30"/>
      <c r="DK1397" s="30"/>
      <c r="DL1397" s="30"/>
      <c r="DM1397" s="30"/>
      <c r="DN1397" s="30"/>
      <c r="DO1397" s="30"/>
      <c r="DP1397" s="30"/>
      <c r="DQ1397" s="30"/>
      <c r="DR1397" s="30"/>
      <c r="DS1397" s="30"/>
      <c r="DT1397" s="30"/>
      <c r="DU1397" s="30"/>
      <c r="DV1397" s="30"/>
      <c r="DW1397" s="30"/>
      <c r="DX1397" s="30"/>
      <c r="DY1397" s="30"/>
      <c r="DZ1397" s="30"/>
    </row>
    <row r="1398">
      <c r="A1398" s="30"/>
      <c r="B1398" s="42"/>
      <c r="C1398" s="43"/>
      <c r="D1398" s="30"/>
      <c r="E1398" s="28"/>
      <c r="F1398" s="30"/>
      <c r="G1398" s="30"/>
      <c r="H1398" s="30"/>
      <c r="I1398" s="30"/>
      <c r="J1398" s="28"/>
      <c r="K1398" s="30"/>
      <c r="L1398" s="30"/>
      <c r="M1398" s="30"/>
      <c r="N1398" s="30"/>
      <c r="O1398" s="28"/>
      <c r="P1398" s="30"/>
      <c r="Q1398" s="30"/>
      <c r="R1398" s="30"/>
      <c r="S1398" s="36"/>
      <c r="T1398" s="30"/>
      <c r="U1398" s="36"/>
      <c r="V1398" s="30"/>
      <c r="W1398" s="28"/>
      <c r="X1398" s="30"/>
      <c r="Y1398" s="30"/>
      <c r="Z1398" s="30"/>
      <c r="AA1398" s="30"/>
      <c r="AB1398" s="30"/>
      <c r="AC1398" s="28"/>
      <c r="AD1398" s="30"/>
      <c r="AE1398" s="30"/>
      <c r="AF1398" s="30"/>
      <c r="AG1398" s="29"/>
      <c r="AH1398" s="30"/>
      <c r="AI1398" s="36"/>
      <c r="AJ1398" s="30"/>
      <c r="AK1398" s="29"/>
      <c r="AL1398" s="30"/>
      <c r="AM1398" s="30"/>
      <c r="AN1398" s="30"/>
      <c r="AO1398" s="30"/>
      <c r="AP1398" s="30"/>
      <c r="AQ1398" s="38"/>
      <c r="AR1398" s="30"/>
      <c r="AS1398" s="30"/>
      <c r="AT1398" s="29"/>
      <c r="AU1398" s="30"/>
      <c r="AV1398" s="30"/>
      <c r="AW1398" s="30"/>
      <c r="AX1398" s="29"/>
      <c r="AY1398" s="39"/>
      <c r="AZ1398" s="30"/>
      <c r="BA1398" s="30"/>
      <c r="BB1398" s="29"/>
      <c r="BC1398" s="52"/>
      <c r="BD1398" s="30"/>
      <c r="BE1398" s="29"/>
      <c r="BF1398" s="30"/>
      <c r="BG1398" s="30"/>
      <c r="BH1398" s="30"/>
      <c r="BI1398" s="30"/>
      <c r="BJ1398" s="30"/>
      <c r="BK1398" s="30"/>
      <c r="BL1398" s="30"/>
      <c r="BM1398" s="30"/>
      <c r="BN1398" s="30"/>
      <c r="BO1398" s="30"/>
      <c r="BP1398" s="30"/>
      <c r="BQ1398" s="30"/>
      <c r="BR1398" s="30"/>
      <c r="BS1398" s="30"/>
      <c r="BT1398" s="30"/>
      <c r="BU1398" s="30"/>
      <c r="BV1398" s="30"/>
      <c r="BW1398" s="30"/>
      <c r="BX1398" s="30"/>
      <c r="BY1398" s="30"/>
      <c r="BZ1398" s="30"/>
      <c r="CA1398" s="30"/>
      <c r="CB1398" s="30"/>
      <c r="CC1398" s="30"/>
      <c r="CD1398" s="30"/>
      <c r="CE1398" s="30"/>
      <c r="CF1398" s="30"/>
      <c r="CG1398" s="30"/>
      <c r="CH1398" s="30"/>
      <c r="CI1398" s="30"/>
      <c r="CJ1398" s="30"/>
      <c r="CK1398" s="30"/>
      <c r="CL1398" s="30"/>
      <c r="CM1398" s="30"/>
      <c r="CN1398" s="30"/>
      <c r="CO1398" s="30"/>
      <c r="CP1398" s="30"/>
      <c r="CQ1398" s="30"/>
      <c r="CR1398" s="30"/>
      <c r="CS1398" s="30"/>
      <c r="CT1398" s="30"/>
      <c r="CU1398" s="30"/>
      <c r="CV1398" s="30"/>
      <c r="CW1398" s="30"/>
      <c r="CX1398" s="30"/>
      <c r="CY1398" s="30"/>
      <c r="CZ1398" s="30"/>
      <c r="DA1398" s="30"/>
      <c r="DB1398" s="30"/>
      <c r="DC1398" s="30"/>
      <c r="DD1398" s="30"/>
      <c r="DE1398" s="30"/>
      <c r="DF1398" s="30"/>
      <c r="DG1398" s="30"/>
      <c r="DH1398" s="30"/>
      <c r="DI1398" s="30"/>
      <c r="DJ1398" s="30"/>
      <c r="DK1398" s="30"/>
      <c r="DL1398" s="30"/>
      <c r="DM1398" s="30"/>
      <c r="DN1398" s="30"/>
      <c r="DO1398" s="30"/>
      <c r="DP1398" s="30"/>
      <c r="DQ1398" s="30"/>
      <c r="DR1398" s="30"/>
      <c r="DS1398" s="30"/>
      <c r="DT1398" s="30"/>
      <c r="DU1398" s="30"/>
      <c r="DV1398" s="30"/>
      <c r="DW1398" s="30"/>
      <c r="DX1398" s="30"/>
      <c r="DY1398" s="30"/>
      <c r="DZ1398" s="30"/>
    </row>
    <row r="1399">
      <c r="A1399" s="30"/>
      <c r="B1399" s="42"/>
      <c r="C1399" s="43"/>
      <c r="D1399" s="30"/>
      <c r="E1399" s="28"/>
      <c r="F1399" s="30"/>
      <c r="G1399" s="30"/>
      <c r="H1399" s="30"/>
      <c r="I1399" s="30"/>
      <c r="J1399" s="28"/>
      <c r="K1399" s="30"/>
      <c r="L1399" s="30"/>
      <c r="M1399" s="30"/>
      <c r="N1399" s="30"/>
      <c r="O1399" s="28"/>
      <c r="P1399" s="30"/>
      <c r="Q1399" s="30"/>
      <c r="R1399" s="30"/>
      <c r="S1399" s="36"/>
      <c r="T1399" s="30"/>
      <c r="U1399" s="36"/>
      <c r="V1399" s="30"/>
      <c r="W1399" s="28"/>
      <c r="X1399" s="30"/>
      <c r="Y1399" s="30"/>
      <c r="Z1399" s="30"/>
      <c r="AA1399" s="30"/>
      <c r="AB1399" s="30"/>
      <c r="AC1399" s="28"/>
      <c r="AD1399" s="30"/>
      <c r="AE1399" s="30"/>
      <c r="AF1399" s="30"/>
      <c r="AG1399" s="29"/>
      <c r="AH1399" s="30"/>
      <c r="AI1399" s="36"/>
      <c r="AJ1399" s="30"/>
      <c r="AK1399" s="29"/>
      <c r="AL1399" s="30"/>
      <c r="AM1399" s="30"/>
      <c r="AN1399" s="30"/>
      <c r="AO1399" s="30"/>
      <c r="AP1399" s="30"/>
      <c r="AQ1399" s="38"/>
      <c r="AR1399" s="30"/>
      <c r="AS1399" s="30"/>
      <c r="AT1399" s="29"/>
      <c r="AU1399" s="30"/>
      <c r="AV1399" s="30"/>
      <c r="AW1399" s="30"/>
      <c r="AX1399" s="29"/>
      <c r="AY1399" s="39"/>
      <c r="AZ1399" s="30"/>
      <c r="BA1399" s="30"/>
      <c r="BB1399" s="29"/>
      <c r="BC1399" s="52"/>
      <c r="BD1399" s="30"/>
      <c r="BE1399" s="29"/>
      <c r="BF1399" s="30"/>
      <c r="BG1399" s="30"/>
      <c r="BH1399" s="30"/>
      <c r="BI1399" s="30"/>
      <c r="BJ1399" s="30"/>
      <c r="BK1399" s="30"/>
      <c r="BL1399" s="30"/>
      <c r="BM1399" s="30"/>
      <c r="BN1399" s="30"/>
      <c r="BO1399" s="30"/>
      <c r="BP1399" s="30"/>
      <c r="BQ1399" s="30"/>
      <c r="BR1399" s="30"/>
      <c r="BS1399" s="30"/>
      <c r="BT1399" s="30"/>
      <c r="BU1399" s="30"/>
      <c r="BV1399" s="30"/>
      <c r="BW1399" s="30"/>
      <c r="BX1399" s="30"/>
      <c r="BY1399" s="30"/>
      <c r="BZ1399" s="30"/>
      <c r="CA1399" s="30"/>
      <c r="CB1399" s="30"/>
      <c r="CC1399" s="30"/>
      <c r="CD1399" s="30"/>
      <c r="CE1399" s="30"/>
      <c r="CF1399" s="30"/>
      <c r="CG1399" s="30"/>
      <c r="CH1399" s="30"/>
      <c r="CI1399" s="30"/>
      <c r="CJ1399" s="30"/>
      <c r="CK1399" s="30"/>
      <c r="CL1399" s="30"/>
      <c r="CM1399" s="30"/>
      <c r="CN1399" s="30"/>
      <c r="CO1399" s="30"/>
      <c r="CP1399" s="30"/>
      <c r="CQ1399" s="30"/>
      <c r="CR1399" s="30"/>
      <c r="CS1399" s="30"/>
      <c r="CT1399" s="30"/>
      <c r="CU1399" s="30"/>
      <c r="CV1399" s="30"/>
      <c r="CW1399" s="30"/>
      <c r="CX1399" s="30"/>
      <c r="CY1399" s="30"/>
      <c r="CZ1399" s="30"/>
      <c r="DA1399" s="30"/>
      <c r="DB1399" s="30"/>
      <c r="DC1399" s="30"/>
      <c r="DD1399" s="30"/>
      <c r="DE1399" s="30"/>
      <c r="DF1399" s="30"/>
      <c r="DG1399" s="30"/>
      <c r="DH1399" s="30"/>
      <c r="DI1399" s="30"/>
      <c r="DJ1399" s="30"/>
      <c r="DK1399" s="30"/>
      <c r="DL1399" s="30"/>
      <c r="DM1399" s="30"/>
      <c r="DN1399" s="30"/>
      <c r="DO1399" s="30"/>
      <c r="DP1399" s="30"/>
      <c r="DQ1399" s="30"/>
      <c r="DR1399" s="30"/>
      <c r="DS1399" s="30"/>
      <c r="DT1399" s="30"/>
      <c r="DU1399" s="30"/>
      <c r="DV1399" s="30"/>
      <c r="DW1399" s="30"/>
      <c r="DX1399" s="30"/>
      <c r="DY1399" s="30"/>
      <c r="DZ1399" s="30"/>
    </row>
    <row r="1400">
      <c r="A1400" s="30"/>
      <c r="B1400" s="42"/>
      <c r="C1400" s="43"/>
      <c r="D1400" s="30"/>
      <c r="E1400" s="28"/>
      <c r="F1400" s="30"/>
      <c r="G1400" s="30"/>
      <c r="H1400" s="30"/>
      <c r="I1400" s="30"/>
      <c r="J1400" s="28"/>
      <c r="K1400" s="30"/>
      <c r="L1400" s="30"/>
      <c r="M1400" s="30"/>
      <c r="N1400" s="30"/>
      <c r="O1400" s="28"/>
      <c r="P1400" s="30"/>
      <c r="Q1400" s="30"/>
      <c r="R1400" s="30"/>
      <c r="S1400" s="36"/>
      <c r="T1400" s="30"/>
      <c r="U1400" s="36"/>
      <c r="V1400" s="30"/>
      <c r="W1400" s="28"/>
      <c r="X1400" s="30"/>
      <c r="Y1400" s="30"/>
      <c r="Z1400" s="30"/>
      <c r="AA1400" s="30"/>
      <c r="AB1400" s="30"/>
      <c r="AC1400" s="28"/>
      <c r="AD1400" s="30"/>
      <c r="AE1400" s="30"/>
      <c r="AF1400" s="30"/>
      <c r="AG1400" s="29"/>
      <c r="AH1400" s="30"/>
      <c r="AI1400" s="36"/>
      <c r="AJ1400" s="30"/>
      <c r="AK1400" s="29"/>
      <c r="AL1400" s="30"/>
      <c r="AM1400" s="30"/>
      <c r="AN1400" s="30"/>
      <c r="AO1400" s="30"/>
      <c r="AP1400" s="30"/>
      <c r="AQ1400" s="38"/>
      <c r="AR1400" s="30"/>
      <c r="AS1400" s="30"/>
      <c r="AT1400" s="29"/>
      <c r="AU1400" s="30"/>
      <c r="AV1400" s="30"/>
      <c r="AW1400" s="30"/>
      <c r="AX1400" s="29"/>
      <c r="AY1400" s="39"/>
      <c r="AZ1400" s="30"/>
      <c r="BA1400" s="30"/>
      <c r="BB1400" s="29"/>
      <c r="BC1400" s="52"/>
      <c r="BD1400" s="30"/>
      <c r="BE1400" s="29"/>
      <c r="BF1400" s="30"/>
      <c r="BG1400" s="30"/>
      <c r="BH1400" s="30"/>
      <c r="BI1400" s="30"/>
      <c r="BJ1400" s="30"/>
      <c r="BK1400" s="30"/>
      <c r="BL1400" s="30"/>
      <c r="BM1400" s="30"/>
      <c r="BN1400" s="30"/>
      <c r="BO1400" s="30"/>
      <c r="BP1400" s="30"/>
      <c r="BQ1400" s="30"/>
      <c r="BR1400" s="30"/>
      <c r="BS1400" s="30"/>
      <c r="BT1400" s="30"/>
      <c r="BU1400" s="30"/>
      <c r="BV1400" s="30"/>
      <c r="BW1400" s="30"/>
      <c r="BX1400" s="30"/>
      <c r="BY1400" s="30"/>
      <c r="BZ1400" s="30"/>
      <c r="CA1400" s="30"/>
      <c r="CB1400" s="30"/>
      <c r="CC1400" s="30"/>
      <c r="CD1400" s="30"/>
      <c r="CE1400" s="30"/>
      <c r="CF1400" s="30"/>
      <c r="CG1400" s="30"/>
      <c r="CH1400" s="30"/>
      <c r="CI1400" s="30"/>
      <c r="CJ1400" s="30"/>
      <c r="CK1400" s="30"/>
      <c r="CL1400" s="30"/>
      <c r="CM1400" s="30"/>
      <c r="CN1400" s="30"/>
      <c r="CO1400" s="30"/>
      <c r="CP1400" s="30"/>
      <c r="CQ1400" s="30"/>
      <c r="CR1400" s="30"/>
      <c r="CS1400" s="30"/>
      <c r="CT1400" s="30"/>
      <c r="CU1400" s="30"/>
      <c r="CV1400" s="30"/>
      <c r="CW1400" s="30"/>
      <c r="CX1400" s="30"/>
      <c r="CY1400" s="30"/>
      <c r="CZ1400" s="30"/>
      <c r="DA1400" s="30"/>
      <c r="DB1400" s="30"/>
      <c r="DC1400" s="30"/>
      <c r="DD1400" s="30"/>
      <c r="DE1400" s="30"/>
      <c r="DF1400" s="30"/>
      <c r="DG1400" s="30"/>
      <c r="DH1400" s="30"/>
      <c r="DI1400" s="30"/>
      <c r="DJ1400" s="30"/>
      <c r="DK1400" s="30"/>
      <c r="DL1400" s="30"/>
      <c r="DM1400" s="30"/>
      <c r="DN1400" s="30"/>
      <c r="DO1400" s="30"/>
      <c r="DP1400" s="30"/>
      <c r="DQ1400" s="30"/>
      <c r="DR1400" s="30"/>
      <c r="DS1400" s="30"/>
      <c r="DT1400" s="30"/>
      <c r="DU1400" s="30"/>
      <c r="DV1400" s="30"/>
      <c r="DW1400" s="30"/>
      <c r="DX1400" s="30"/>
      <c r="DY1400" s="30"/>
      <c r="DZ1400" s="30"/>
    </row>
    <row r="1401">
      <c r="A1401" s="30"/>
      <c r="B1401" s="42"/>
      <c r="C1401" s="43"/>
      <c r="D1401" s="30"/>
      <c r="E1401" s="28"/>
      <c r="F1401" s="30"/>
      <c r="G1401" s="30"/>
      <c r="H1401" s="30"/>
      <c r="I1401" s="30"/>
      <c r="J1401" s="28"/>
      <c r="K1401" s="30"/>
      <c r="L1401" s="30"/>
      <c r="M1401" s="30"/>
      <c r="N1401" s="30"/>
      <c r="O1401" s="28"/>
      <c r="P1401" s="30"/>
      <c r="Q1401" s="30"/>
      <c r="R1401" s="30"/>
      <c r="S1401" s="36"/>
      <c r="T1401" s="30"/>
      <c r="U1401" s="36"/>
      <c r="V1401" s="30"/>
      <c r="W1401" s="28"/>
      <c r="X1401" s="30"/>
      <c r="Y1401" s="30"/>
      <c r="Z1401" s="30"/>
      <c r="AA1401" s="30"/>
      <c r="AB1401" s="30"/>
      <c r="AC1401" s="28"/>
      <c r="AD1401" s="30"/>
      <c r="AE1401" s="30"/>
      <c r="AF1401" s="30"/>
      <c r="AG1401" s="29"/>
      <c r="AH1401" s="30"/>
      <c r="AI1401" s="36"/>
      <c r="AJ1401" s="30"/>
      <c r="AK1401" s="29"/>
      <c r="AL1401" s="30"/>
      <c r="AM1401" s="30"/>
      <c r="AN1401" s="30"/>
      <c r="AO1401" s="30"/>
      <c r="AP1401" s="30"/>
      <c r="AQ1401" s="38"/>
      <c r="AR1401" s="30"/>
      <c r="AS1401" s="30"/>
      <c r="AT1401" s="29"/>
      <c r="AU1401" s="30"/>
      <c r="AV1401" s="30"/>
      <c r="AW1401" s="30"/>
      <c r="AX1401" s="29"/>
      <c r="AY1401" s="39"/>
      <c r="AZ1401" s="30"/>
      <c r="BA1401" s="30"/>
      <c r="BB1401" s="29"/>
      <c r="BC1401" s="52"/>
      <c r="BD1401" s="30"/>
      <c r="BE1401" s="29"/>
      <c r="BF1401" s="30"/>
      <c r="BG1401" s="30"/>
      <c r="BH1401" s="30"/>
      <c r="BI1401" s="30"/>
      <c r="BJ1401" s="30"/>
      <c r="BK1401" s="30"/>
      <c r="BL1401" s="30"/>
      <c r="BM1401" s="30"/>
      <c r="BN1401" s="30"/>
      <c r="BO1401" s="30"/>
      <c r="BP1401" s="30"/>
      <c r="BQ1401" s="30"/>
      <c r="BR1401" s="30"/>
      <c r="BS1401" s="30"/>
      <c r="BT1401" s="30"/>
      <c r="BU1401" s="30"/>
      <c r="BV1401" s="30"/>
      <c r="BW1401" s="30"/>
      <c r="BX1401" s="30"/>
      <c r="BY1401" s="30"/>
      <c r="BZ1401" s="30"/>
      <c r="CA1401" s="30"/>
      <c r="CB1401" s="30"/>
      <c r="CC1401" s="30"/>
      <c r="CD1401" s="30"/>
      <c r="CE1401" s="30"/>
      <c r="CF1401" s="30"/>
      <c r="CG1401" s="30"/>
      <c r="CH1401" s="30"/>
      <c r="CI1401" s="30"/>
      <c r="CJ1401" s="30"/>
      <c r="CK1401" s="30"/>
      <c r="CL1401" s="30"/>
      <c r="CM1401" s="30"/>
      <c r="CN1401" s="30"/>
      <c r="CO1401" s="30"/>
      <c r="CP1401" s="30"/>
      <c r="CQ1401" s="30"/>
      <c r="CR1401" s="30"/>
      <c r="CS1401" s="30"/>
      <c r="CT1401" s="30"/>
      <c r="CU1401" s="30"/>
      <c r="CV1401" s="30"/>
      <c r="CW1401" s="30"/>
      <c r="CX1401" s="30"/>
      <c r="CY1401" s="30"/>
      <c r="CZ1401" s="30"/>
      <c r="DA1401" s="30"/>
      <c r="DB1401" s="30"/>
      <c r="DC1401" s="30"/>
      <c r="DD1401" s="30"/>
      <c r="DE1401" s="30"/>
      <c r="DF1401" s="30"/>
      <c r="DG1401" s="30"/>
      <c r="DH1401" s="30"/>
      <c r="DI1401" s="30"/>
      <c r="DJ1401" s="30"/>
      <c r="DK1401" s="30"/>
      <c r="DL1401" s="30"/>
      <c r="DM1401" s="30"/>
      <c r="DN1401" s="30"/>
      <c r="DO1401" s="30"/>
      <c r="DP1401" s="30"/>
      <c r="DQ1401" s="30"/>
      <c r="DR1401" s="30"/>
      <c r="DS1401" s="30"/>
      <c r="DT1401" s="30"/>
      <c r="DU1401" s="30"/>
      <c r="DV1401" s="30"/>
      <c r="DW1401" s="30"/>
      <c r="DX1401" s="30"/>
      <c r="DY1401" s="30"/>
      <c r="DZ1401" s="30"/>
    </row>
    <row r="1402">
      <c r="A1402" s="30"/>
      <c r="B1402" s="42"/>
      <c r="C1402" s="43"/>
      <c r="D1402" s="30"/>
      <c r="E1402" s="28"/>
      <c r="F1402" s="30"/>
      <c r="G1402" s="30"/>
      <c r="H1402" s="30"/>
      <c r="I1402" s="30"/>
      <c r="J1402" s="28"/>
      <c r="K1402" s="30"/>
      <c r="L1402" s="30"/>
      <c r="M1402" s="30"/>
      <c r="N1402" s="30"/>
      <c r="O1402" s="28"/>
      <c r="P1402" s="30"/>
      <c r="Q1402" s="30"/>
      <c r="R1402" s="30"/>
      <c r="S1402" s="36"/>
      <c r="T1402" s="30"/>
      <c r="U1402" s="36"/>
      <c r="V1402" s="30"/>
      <c r="W1402" s="28"/>
      <c r="X1402" s="30"/>
      <c r="Y1402" s="30"/>
      <c r="Z1402" s="30"/>
      <c r="AA1402" s="30"/>
      <c r="AB1402" s="30"/>
      <c r="AC1402" s="28"/>
      <c r="AD1402" s="30"/>
      <c r="AE1402" s="30"/>
      <c r="AF1402" s="30"/>
      <c r="AG1402" s="29"/>
      <c r="AH1402" s="30"/>
      <c r="AI1402" s="36"/>
      <c r="AJ1402" s="30"/>
      <c r="AK1402" s="29"/>
      <c r="AL1402" s="30"/>
      <c r="AM1402" s="30"/>
      <c r="AN1402" s="30"/>
      <c r="AO1402" s="30"/>
      <c r="AP1402" s="30"/>
      <c r="AQ1402" s="38"/>
      <c r="AR1402" s="30"/>
      <c r="AS1402" s="30"/>
      <c r="AT1402" s="29"/>
      <c r="AU1402" s="30"/>
      <c r="AV1402" s="30"/>
      <c r="AW1402" s="30"/>
      <c r="AX1402" s="29"/>
      <c r="AY1402" s="39"/>
      <c r="AZ1402" s="30"/>
      <c r="BA1402" s="30"/>
      <c r="BB1402" s="29"/>
      <c r="BC1402" s="52"/>
      <c r="BD1402" s="30"/>
      <c r="BE1402" s="29"/>
      <c r="BF1402" s="30"/>
      <c r="BG1402" s="30"/>
      <c r="BH1402" s="30"/>
      <c r="BI1402" s="30"/>
      <c r="BJ1402" s="30"/>
      <c r="BK1402" s="30"/>
      <c r="BL1402" s="30"/>
      <c r="BM1402" s="30"/>
      <c r="BN1402" s="30"/>
      <c r="BO1402" s="30"/>
      <c r="BP1402" s="30"/>
      <c r="BQ1402" s="30"/>
      <c r="BR1402" s="30"/>
      <c r="BS1402" s="30"/>
      <c r="BT1402" s="30"/>
      <c r="BU1402" s="30"/>
      <c r="BV1402" s="30"/>
      <c r="BW1402" s="30"/>
      <c r="BX1402" s="30"/>
      <c r="BY1402" s="30"/>
      <c r="BZ1402" s="30"/>
      <c r="CA1402" s="30"/>
      <c r="CB1402" s="30"/>
      <c r="CC1402" s="30"/>
      <c r="CD1402" s="30"/>
      <c r="CE1402" s="30"/>
      <c r="CF1402" s="30"/>
      <c r="CG1402" s="30"/>
      <c r="CH1402" s="30"/>
      <c r="CI1402" s="30"/>
      <c r="CJ1402" s="30"/>
      <c r="CK1402" s="30"/>
      <c r="CL1402" s="30"/>
      <c r="CM1402" s="30"/>
      <c r="CN1402" s="30"/>
      <c r="CO1402" s="30"/>
      <c r="CP1402" s="30"/>
      <c r="CQ1402" s="30"/>
      <c r="CR1402" s="30"/>
      <c r="CS1402" s="30"/>
      <c r="CT1402" s="30"/>
      <c r="CU1402" s="30"/>
      <c r="CV1402" s="30"/>
      <c r="CW1402" s="30"/>
      <c r="CX1402" s="30"/>
      <c r="CY1402" s="30"/>
      <c r="CZ1402" s="30"/>
      <c r="DA1402" s="30"/>
      <c r="DB1402" s="30"/>
      <c r="DC1402" s="30"/>
      <c r="DD1402" s="30"/>
      <c r="DE1402" s="30"/>
      <c r="DF1402" s="30"/>
      <c r="DG1402" s="30"/>
      <c r="DH1402" s="30"/>
      <c r="DI1402" s="30"/>
      <c r="DJ1402" s="30"/>
      <c r="DK1402" s="30"/>
      <c r="DL1402" s="30"/>
      <c r="DM1402" s="30"/>
      <c r="DN1402" s="30"/>
      <c r="DO1402" s="30"/>
      <c r="DP1402" s="30"/>
      <c r="DQ1402" s="30"/>
      <c r="DR1402" s="30"/>
      <c r="DS1402" s="30"/>
      <c r="DT1402" s="30"/>
      <c r="DU1402" s="30"/>
      <c r="DV1402" s="30"/>
      <c r="DW1402" s="30"/>
      <c r="DX1402" s="30"/>
      <c r="DY1402" s="30"/>
      <c r="DZ1402" s="30"/>
    </row>
    <row r="1403">
      <c r="A1403" s="30"/>
      <c r="B1403" s="42"/>
      <c r="C1403" s="43"/>
      <c r="D1403" s="30"/>
      <c r="E1403" s="28"/>
      <c r="F1403" s="30"/>
      <c r="G1403" s="30"/>
      <c r="H1403" s="30"/>
      <c r="I1403" s="30"/>
      <c r="J1403" s="28"/>
      <c r="K1403" s="30"/>
      <c r="L1403" s="30"/>
      <c r="M1403" s="30"/>
      <c r="N1403" s="30"/>
      <c r="O1403" s="28"/>
      <c r="P1403" s="30"/>
      <c r="Q1403" s="30"/>
      <c r="R1403" s="30"/>
      <c r="S1403" s="36"/>
      <c r="T1403" s="30"/>
      <c r="U1403" s="36"/>
      <c r="V1403" s="30"/>
      <c r="W1403" s="28"/>
      <c r="X1403" s="30"/>
      <c r="Y1403" s="30"/>
      <c r="Z1403" s="30"/>
      <c r="AA1403" s="30"/>
      <c r="AB1403" s="30"/>
      <c r="AC1403" s="28"/>
      <c r="AD1403" s="30"/>
      <c r="AE1403" s="30"/>
      <c r="AF1403" s="30"/>
      <c r="AG1403" s="29"/>
      <c r="AH1403" s="30"/>
      <c r="AI1403" s="36"/>
      <c r="AJ1403" s="30"/>
      <c r="AK1403" s="29"/>
      <c r="AL1403" s="30"/>
      <c r="AM1403" s="30"/>
      <c r="AN1403" s="30"/>
      <c r="AO1403" s="30"/>
      <c r="AP1403" s="30"/>
      <c r="AQ1403" s="38"/>
      <c r="AR1403" s="30"/>
      <c r="AS1403" s="30"/>
      <c r="AT1403" s="29"/>
      <c r="AU1403" s="30"/>
      <c r="AV1403" s="30"/>
      <c r="AW1403" s="30"/>
      <c r="AX1403" s="29"/>
      <c r="AY1403" s="39"/>
      <c r="AZ1403" s="30"/>
      <c r="BA1403" s="30"/>
      <c r="BB1403" s="29"/>
      <c r="BC1403" s="52"/>
      <c r="BD1403" s="30"/>
      <c r="BE1403" s="29"/>
      <c r="BF1403" s="30"/>
      <c r="BG1403" s="30"/>
      <c r="BH1403" s="30"/>
      <c r="BI1403" s="30"/>
      <c r="BJ1403" s="30"/>
      <c r="BK1403" s="30"/>
      <c r="BL1403" s="30"/>
      <c r="BM1403" s="30"/>
      <c r="BN1403" s="30"/>
      <c r="BO1403" s="30"/>
      <c r="BP1403" s="30"/>
      <c r="BQ1403" s="30"/>
      <c r="BR1403" s="30"/>
      <c r="BS1403" s="30"/>
      <c r="BT1403" s="30"/>
      <c r="BU1403" s="30"/>
      <c r="BV1403" s="30"/>
      <c r="BW1403" s="30"/>
      <c r="BX1403" s="30"/>
      <c r="BY1403" s="30"/>
      <c r="BZ1403" s="30"/>
      <c r="CA1403" s="30"/>
      <c r="CB1403" s="30"/>
      <c r="CC1403" s="30"/>
      <c r="CD1403" s="30"/>
      <c r="CE1403" s="30"/>
      <c r="CF1403" s="30"/>
      <c r="CG1403" s="30"/>
      <c r="CH1403" s="30"/>
      <c r="CI1403" s="30"/>
      <c r="CJ1403" s="30"/>
      <c r="CK1403" s="30"/>
      <c r="CL1403" s="30"/>
      <c r="CM1403" s="30"/>
      <c r="CN1403" s="30"/>
      <c r="CO1403" s="30"/>
      <c r="CP1403" s="30"/>
      <c r="CQ1403" s="30"/>
      <c r="CR1403" s="30"/>
      <c r="CS1403" s="30"/>
      <c r="CT1403" s="30"/>
      <c r="CU1403" s="30"/>
      <c r="CV1403" s="30"/>
      <c r="CW1403" s="30"/>
      <c r="CX1403" s="30"/>
      <c r="CY1403" s="30"/>
      <c r="CZ1403" s="30"/>
      <c r="DA1403" s="30"/>
      <c r="DB1403" s="30"/>
      <c r="DC1403" s="30"/>
      <c r="DD1403" s="30"/>
      <c r="DE1403" s="30"/>
      <c r="DF1403" s="30"/>
      <c r="DG1403" s="30"/>
      <c r="DH1403" s="30"/>
      <c r="DI1403" s="30"/>
      <c r="DJ1403" s="30"/>
      <c r="DK1403" s="30"/>
      <c r="DL1403" s="30"/>
      <c r="DM1403" s="30"/>
      <c r="DN1403" s="30"/>
      <c r="DO1403" s="30"/>
      <c r="DP1403" s="30"/>
      <c r="DQ1403" s="30"/>
      <c r="DR1403" s="30"/>
      <c r="DS1403" s="30"/>
      <c r="DT1403" s="30"/>
      <c r="DU1403" s="30"/>
      <c r="DV1403" s="30"/>
      <c r="DW1403" s="30"/>
      <c r="DX1403" s="30"/>
      <c r="DY1403" s="30"/>
      <c r="DZ1403" s="30"/>
    </row>
    <row r="1404">
      <c r="A1404" s="30"/>
      <c r="B1404" s="42"/>
      <c r="C1404" s="43"/>
      <c r="D1404" s="30"/>
      <c r="E1404" s="28"/>
      <c r="F1404" s="30"/>
      <c r="G1404" s="30"/>
      <c r="H1404" s="30"/>
      <c r="I1404" s="30"/>
      <c r="J1404" s="28"/>
      <c r="K1404" s="30"/>
      <c r="L1404" s="30"/>
      <c r="M1404" s="30"/>
      <c r="N1404" s="30"/>
      <c r="O1404" s="28"/>
      <c r="P1404" s="30"/>
      <c r="Q1404" s="30"/>
      <c r="R1404" s="30"/>
      <c r="S1404" s="36"/>
      <c r="T1404" s="30"/>
      <c r="U1404" s="36"/>
      <c r="V1404" s="30"/>
      <c r="W1404" s="28"/>
      <c r="X1404" s="30"/>
      <c r="Y1404" s="30"/>
      <c r="Z1404" s="30"/>
      <c r="AA1404" s="30"/>
      <c r="AB1404" s="30"/>
      <c r="AC1404" s="28"/>
      <c r="AD1404" s="30"/>
      <c r="AE1404" s="30"/>
      <c r="AF1404" s="30"/>
      <c r="AG1404" s="29"/>
      <c r="AH1404" s="30"/>
      <c r="AI1404" s="36"/>
      <c r="AJ1404" s="30"/>
      <c r="AK1404" s="29"/>
      <c r="AL1404" s="30"/>
      <c r="AM1404" s="30"/>
      <c r="AN1404" s="30"/>
      <c r="AO1404" s="30"/>
      <c r="AP1404" s="30"/>
      <c r="AQ1404" s="38"/>
      <c r="AR1404" s="30"/>
      <c r="AS1404" s="30"/>
      <c r="AT1404" s="29"/>
      <c r="AU1404" s="30"/>
      <c r="AV1404" s="30"/>
      <c r="AW1404" s="30"/>
      <c r="AX1404" s="29"/>
      <c r="AY1404" s="39"/>
      <c r="AZ1404" s="30"/>
      <c r="BA1404" s="30"/>
      <c r="BB1404" s="29"/>
      <c r="BC1404" s="52"/>
      <c r="BD1404" s="30"/>
      <c r="BE1404" s="29"/>
      <c r="BF1404" s="30"/>
      <c r="BG1404" s="30"/>
      <c r="BH1404" s="30"/>
      <c r="BI1404" s="30"/>
      <c r="BJ1404" s="30"/>
      <c r="BK1404" s="30"/>
      <c r="BL1404" s="30"/>
      <c r="BM1404" s="30"/>
      <c r="BN1404" s="30"/>
      <c r="BO1404" s="30"/>
      <c r="BP1404" s="30"/>
      <c r="BQ1404" s="30"/>
      <c r="BR1404" s="30"/>
      <c r="BS1404" s="30"/>
      <c r="BT1404" s="30"/>
      <c r="BU1404" s="30"/>
      <c r="BV1404" s="30"/>
      <c r="BW1404" s="30"/>
      <c r="BX1404" s="30"/>
      <c r="BY1404" s="30"/>
      <c r="BZ1404" s="30"/>
      <c r="CA1404" s="30"/>
      <c r="CB1404" s="30"/>
      <c r="CC1404" s="30"/>
      <c r="CD1404" s="30"/>
      <c r="CE1404" s="30"/>
      <c r="CF1404" s="30"/>
      <c r="CG1404" s="30"/>
      <c r="CH1404" s="30"/>
      <c r="CI1404" s="30"/>
      <c r="CJ1404" s="30"/>
      <c r="CK1404" s="30"/>
      <c r="CL1404" s="30"/>
      <c r="CM1404" s="30"/>
      <c r="CN1404" s="30"/>
      <c r="CO1404" s="30"/>
      <c r="CP1404" s="30"/>
      <c r="CQ1404" s="30"/>
      <c r="CR1404" s="30"/>
      <c r="CS1404" s="30"/>
      <c r="CT1404" s="30"/>
      <c r="CU1404" s="30"/>
      <c r="CV1404" s="30"/>
      <c r="CW1404" s="30"/>
      <c r="CX1404" s="30"/>
      <c r="CY1404" s="30"/>
      <c r="CZ1404" s="30"/>
      <c r="DA1404" s="30"/>
      <c r="DB1404" s="30"/>
      <c r="DC1404" s="30"/>
      <c r="DD1404" s="30"/>
      <c r="DE1404" s="30"/>
      <c r="DF1404" s="30"/>
      <c r="DG1404" s="30"/>
      <c r="DH1404" s="30"/>
      <c r="DI1404" s="30"/>
      <c r="DJ1404" s="30"/>
      <c r="DK1404" s="30"/>
      <c r="DL1404" s="30"/>
      <c r="DM1404" s="30"/>
      <c r="DN1404" s="30"/>
      <c r="DO1404" s="30"/>
      <c r="DP1404" s="30"/>
      <c r="DQ1404" s="30"/>
      <c r="DR1404" s="30"/>
      <c r="DS1404" s="30"/>
      <c r="DT1404" s="30"/>
      <c r="DU1404" s="30"/>
      <c r="DV1404" s="30"/>
      <c r="DW1404" s="30"/>
      <c r="DX1404" s="30"/>
      <c r="DY1404" s="30"/>
      <c r="DZ1404" s="30"/>
    </row>
    <row r="1405">
      <c r="A1405" s="30"/>
      <c r="B1405" s="42"/>
      <c r="C1405" s="43"/>
      <c r="D1405" s="30"/>
      <c r="E1405" s="28"/>
      <c r="F1405" s="30"/>
      <c r="G1405" s="30"/>
      <c r="H1405" s="30"/>
      <c r="I1405" s="30"/>
      <c r="J1405" s="28"/>
      <c r="K1405" s="30"/>
      <c r="L1405" s="30"/>
      <c r="M1405" s="30"/>
      <c r="N1405" s="30"/>
      <c r="O1405" s="28"/>
      <c r="P1405" s="30"/>
      <c r="Q1405" s="30"/>
      <c r="R1405" s="30"/>
      <c r="S1405" s="36"/>
      <c r="T1405" s="30"/>
      <c r="U1405" s="36"/>
      <c r="V1405" s="30"/>
      <c r="W1405" s="28"/>
      <c r="X1405" s="30"/>
      <c r="Y1405" s="30"/>
      <c r="Z1405" s="30"/>
      <c r="AA1405" s="30"/>
      <c r="AB1405" s="30"/>
      <c r="AC1405" s="28"/>
      <c r="AD1405" s="30"/>
      <c r="AE1405" s="30"/>
      <c r="AF1405" s="30"/>
      <c r="AG1405" s="29"/>
      <c r="AH1405" s="30"/>
      <c r="AI1405" s="36"/>
      <c r="AJ1405" s="30"/>
      <c r="AK1405" s="29"/>
      <c r="AL1405" s="30"/>
      <c r="AM1405" s="30"/>
      <c r="AN1405" s="30"/>
      <c r="AO1405" s="30"/>
      <c r="AP1405" s="30"/>
      <c r="AQ1405" s="38"/>
      <c r="AR1405" s="30"/>
      <c r="AS1405" s="30"/>
      <c r="AT1405" s="29"/>
      <c r="AU1405" s="30"/>
      <c r="AV1405" s="30"/>
      <c r="AW1405" s="30"/>
      <c r="AX1405" s="29"/>
      <c r="AY1405" s="39"/>
      <c r="AZ1405" s="30"/>
      <c r="BA1405" s="30"/>
      <c r="BB1405" s="29"/>
      <c r="BC1405" s="52"/>
      <c r="BD1405" s="30"/>
      <c r="BE1405" s="29"/>
      <c r="BF1405" s="30"/>
      <c r="BG1405" s="30"/>
      <c r="BH1405" s="30"/>
      <c r="BI1405" s="30"/>
      <c r="BJ1405" s="30"/>
      <c r="BK1405" s="30"/>
      <c r="BL1405" s="30"/>
      <c r="BM1405" s="30"/>
      <c r="BN1405" s="30"/>
      <c r="BO1405" s="30"/>
      <c r="BP1405" s="30"/>
      <c r="BQ1405" s="30"/>
      <c r="BR1405" s="30"/>
      <c r="BS1405" s="30"/>
      <c r="BT1405" s="30"/>
      <c r="BU1405" s="30"/>
      <c r="BV1405" s="30"/>
      <c r="BW1405" s="30"/>
      <c r="BX1405" s="30"/>
      <c r="BY1405" s="30"/>
      <c r="BZ1405" s="30"/>
      <c r="CA1405" s="30"/>
      <c r="CB1405" s="30"/>
      <c r="CC1405" s="30"/>
      <c r="CD1405" s="30"/>
      <c r="CE1405" s="30"/>
      <c r="CF1405" s="30"/>
      <c r="CG1405" s="30"/>
      <c r="CH1405" s="30"/>
      <c r="CI1405" s="30"/>
      <c r="CJ1405" s="30"/>
      <c r="CK1405" s="30"/>
      <c r="CL1405" s="30"/>
      <c r="CM1405" s="30"/>
      <c r="CN1405" s="30"/>
      <c r="CO1405" s="30"/>
      <c r="CP1405" s="30"/>
      <c r="CQ1405" s="30"/>
      <c r="CR1405" s="30"/>
      <c r="CS1405" s="30"/>
      <c r="CT1405" s="30"/>
      <c r="CU1405" s="30"/>
      <c r="CV1405" s="30"/>
      <c r="CW1405" s="30"/>
      <c r="CX1405" s="30"/>
      <c r="CY1405" s="30"/>
      <c r="CZ1405" s="30"/>
      <c r="DA1405" s="30"/>
      <c r="DB1405" s="30"/>
      <c r="DC1405" s="30"/>
      <c r="DD1405" s="30"/>
      <c r="DE1405" s="30"/>
      <c r="DF1405" s="30"/>
      <c r="DG1405" s="30"/>
      <c r="DH1405" s="30"/>
      <c r="DI1405" s="30"/>
      <c r="DJ1405" s="30"/>
      <c r="DK1405" s="30"/>
      <c r="DL1405" s="30"/>
      <c r="DM1405" s="30"/>
      <c r="DN1405" s="30"/>
      <c r="DO1405" s="30"/>
      <c r="DP1405" s="30"/>
      <c r="DQ1405" s="30"/>
      <c r="DR1405" s="30"/>
      <c r="DS1405" s="30"/>
      <c r="DT1405" s="30"/>
      <c r="DU1405" s="30"/>
      <c r="DV1405" s="30"/>
      <c r="DW1405" s="30"/>
      <c r="DX1405" s="30"/>
      <c r="DY1405" s="30"/>
      <c r="DZ1405" s="30"/>
    </row>
    <row r="1406">
      <c r="A1406" s="30"/>
      <c r="B1406" s="42"/>
      <c r="C1406" s="43"/>
      <c r="D1406" s="30"/>
      <c r="E1406" s="28"/>
      <c r="F1406" s="30"/>
      <c r="G1406" s="30"/>
      <c r="H1406" s="30"/>
      <c r="I1406" s="30"/>
      <c r="J1406" s="28"/>
      <c r="K1406" s="30"/>
      <c r="L1406" s="30"/>
      <c r="M1406" s="30"/>
      <c r="N1406" s="30"/>
      <c r="O1406" s="28"/>
      <c r="P1406" s="30"/>
      <c r="Q1406" s="30"/>
      <c r="R1406" s="30"/>
      <c r="S1406" s="36"/>
      <c r="T1406" s="30"/>
      <c r="U1406" s="36"/>
      <c r="V1406" s="30"/>
      <c r="W1406" s="28"/>
      <c r="X1406" s="30"/>
      <c r="Y1406" s="30"/>
      <c r="Z1406" s="30"/>
      <c r="AA1406" s="30"/>
      <c r="AB1406" s="30"/>
      <c r="AC1406" s="28"/>
      <c r="AD1406" s="30"/>
      <c r="AE1406" s="30"/>
      <c r="AF1406" s="30"/>
      <c r="AG1406" s="29"/>
      <c r="AH1406" s="30"/>
      <c r="AI1406" s="36"/>
      <c r="AJ1406" s="30"/>
      <c r="AK1406" s="29"/>
      <c r="AL1406" s="30"/>
      <c r="AM1406" s="30"/>
      <c r="AN1406" s="30"/>
      <c r="AO1406" s="30"/>
      <c r="AP1406" s="30"/>
      <c r="AQ1406" s="38"/>
      <c r="AR1406" s="30"/>
      <c r="AS1406" s="30"/>
      <c r="AT1406" s="29"/>
      <c r="AU1406" s="30"/>
      <c r="AV1406" s="30"/>
      <c r="AW1406" s="30"/>
      <c r="AX1406" s="29"/>
      <c r="AY1406" s="39"/>
      <c r="AZ1406" s="30"/>
      <c r="BA1406" s="30"/>
      <c r="BB1406" s="29"/>
      <c r="BC1406" s="52"/>
      <c r="BD1406" s="30"/>
      <c r="BE1406" s="29"/>
      <c r="BF1406" s="30"/>
      <c r="BG1406" s="30"/>
      <c r="BH1406" s="30"/>
      <c r="BI1406" s="30"/>
      <c r="BJ1406" s="30"/>
      <c r="BK1406" s="30"/>
      <c r="BL1406" s="30"/>
      <c r="BM1406" s="30"/>
      <c r="BN1406" s="30"/>
      <c r="BO1406" s="30"/>
      <c r="BP1406" s="30"/>
      <c r="BQ1406" s="30"/>
      <c r="BR1406" s="30"/>
      <c r="BS1406" s="30"/>
      <c r="BT1406" s="30"/>
      <c r="BU1406" s="30"/>
      <c r="BV1406" s="30"/>
      <c r="BW1406" s="30"/>
      <c r="BX1406" s="30"/>
      <c r="BY1406" s="30"/>
      <c r="BZ1406" s="30"/>
      <c r="CA1406" s="30"/>
      <c r="CB1406" s="30"/>
      <c r="CC1406" s="30"/>
      <c r="CD1406" s="30"/>
      <c r="CE1406" s="30"/>
      <c r="CF1406" s="30"/>
      <c r="CG1406" s="30"/>
      <c r="CH1406" s="30"/>
      <c r="CI1406" s="30"/>
      <c r="CJ1406" s="30"/>
      <c r="CK1406" s="30"/>
      <c r="CL1406" s="30"/>
      <c r="CM1406" s="30"/>
      <c r="CN1406" s="30"/>
      <c r="CO1406" s="30"/>
      <c r="CP1406" s="30"/>
      <c r="CQ1406" s="30"/>
      <c r="CR1406" s="30"/>
      <c r="CS1406" s="30"/>
      <c r="CT1406" s="30"/>
      <c r="CU1406" s="30"/>
      <c r="CV1406" s="30"/>
      <c r="CW1406" s="30"/>
      <c r="CX1406" s="30"/>
      <c r="CY1406" s="30"/>
      <c r="CZ1406" s="30"/>
      <c r="DA1406" s="30"/>
      <c r="DB1406" s="30"/>
      <c r="DC1406" s="30"/>
      <c r="DD1406" s="30"/>
      <c r="DE1406" s="30"/>
      <c r="DF1406" s="30"/>
      <c r="DG1406" s="30"/>
      <c r="DH1406" s="30"/>
      <c r="DI1406" s="30"/>
      <c r="DJ1406" s="30"/>
      <c r="DK1406" s="30"/>
      <c r="DL1406" s="30"/>
      <c r="DM1406" s="30"/>
      <c r="DN1406" s="30"/>
      <c r="DO1406" s="30"/>
      <c r="DP1406" s="30"/>
      <c r="DQ1406" s="30"/>
      <c r="DR1406" s="30"/>
      <c r="DS1406" s="30"/>
      <c r="DT1406" s="30"/>
      <c r="DU1406" s="30"/>
      <c r="DV1406" s="30"/>
      <c r="DW1406" s="30"/>
      <c r="DX1406" s="30"/>
      <c r="DY1406" s="30"/>
      <c r="DZ1406" s="30"/>
    </row>
    <row r="1407">
      <c r="A1407" s="30"/>
      <c r="B1407" s="42"/>
      <c r="C1407" s="43"/>
      <c r="D1407" s="30"/>
      <c r="E1407" s="28"/>
      <c r="F1407" s="30"/>
      <c r="G1407" s="30"/>
      <c r="H1407" s="30"/>
      <c r="I1407" s="30"/>
      <c r="J1407" s="28"/>
      <c r="K1407" s="30"/>
      <c r="L1407" s="30"/>
      <c r="M1407" s="30"/>
      <c r="N1407" s="30"/>
      <c r="O1407" s="28"/>
      <c r="P1407" s="30"/>
      <c r="Q1407" s="30"/>
      <c r="R1407" s="30"/>
      <c r="S1407" s="36"/>
      <c r="T1407" s="30"/>
      <c r="U1407" s="36"/>
      <c r="V1407" s="30"/>
      <c r="W1407" s="28"/>
      <c r="X1407" s="30"/>
      <c r="Y1407" s="30"/>
      <c r="Z1407" s="30"/>
      <c r="AA1407" s="30"/>
      <c r="AB1407" s="30"/>
      <c r="AC1407" s="28"/>
      <c r="AD1407" s="30"/>
      <c r="AE1407" s="30"/>
      <c r="AF1407" s="30"/>
      <c r="AG1407" s="29"/>
      <c r="AH1407" s="30"/>
      <c r="AI1407" s="36"/>
      <c r="AJ1407" s="30"/>
      <c r="AK1407" s="29"/>
      <c r="AL1407" s="30"/>
      <c r="AM1407" s="30"/>
      <c r="AN1407" s="30"/>
      <c r="AO1407" s="30"/>
      <c r="AP1407" s="30"/>
      <c r="AQ1407" s="38"/>
      <c r="AR1407" s="30"/>
      <c r="AS1407" s="30"/>
      <c r="AT1407" s="29"/>
      <c r="AU1407" s="30"/>
      <c r="AV1407" s="30"/>
      <c r="AW1407" s="30"/>
      <c r="AX1407" s="29"/>
      <c r="AY1407" s="39"/>
      <c r="AZ1407" s="30"/>
      <c r="BA1407" s="30"/>
      <c r="BB1407" s="29"/>
      <c r="BC1407" s="52"/>
      <c r="BD1407" s="30"/>
      <c r="BE1407" s="29"/>
      <c r="BF1407" s="30"/>
      <c r="BG1407" s="30"/>
      <c r="BH1407" s="30"/>
      <c r="BI1407" s="30"/>
      <c r="BJ1407" s="30"/>
      <c r="BK1407" s="30"/>
      <c r="BL1407" s="30"/>
      <c r="BM1407" s="30"/>
      <c r="BN1407" s="30"/>
      <c r="BO1407" s="30"/>
      <c r="BP1407" s="30"/>
      <c r="BQ1407" s="30"/>
      <c r="BR1407" s="30"/>
      <c r="BS1407" s="30"/>
      <c r="BT1407" s="30"/>
      <c r="BU1407" s="30"/>
      <c r="BV1407" s="30"/>
      <c r="BW1407" s="30"/>
      <c r="BX1407" s="30"/>
      <c r="BY1407" s="30"/>
      <c r="BZ1407" s="30"/>
      <c r="CA1407" s="30"/>
      <c r="CB1407" s="30"/>
      <c r="CC1407" s="30"/>
      <c r="CD1407" s="30"/>
      <c r="CE1407" s="30"/>
      <c r="CF1407" s="30"/>
      <c r="CG1407" s="30"/>
      <c r="CH1407" s="30"/>
      <c r="CI1407" s="30"/>
      <c r="CJ1407" s="30"/>
      <c r="CK1407" s="30"/>
      <c r="CL1407" s="30"/>
      <c r="CM1407" s="30"/>
      <c r="CN1407" s="30"/>
      <c r="CO1407" s="30"/>
      <c r="CP1407" s="30"/>
      <c r="CQ1407" s="30"/>
      <c r="CR1407" s="30"/>
      <c r="CS1407" s="30"/>
      <c r="CT1407" s="30"/>
      <c r="CU1407" s="30"/>
      <c r="CV1407" s="30"/>
      <c r="CW1407" s="30"/>
      <c r="CX1407" s="30"/>
      <c r="CY1407" s="30"/>
      <c r="CZ1407" s="30"/>
      <c r="DA1407" s="30"/>
      <c r="DB1407" s="30"/>
      <c r="DC1407" s="30"/>
      <c r="DD1407" s="30"/>
      <c r="DE1407" s="30"/>
      <c r="DF1407" s="30"/>
      <c r="DG1407" s="30"/>
      <c r="DH1407" s="30"/>
      <c r="DI1407" s="30"/>
      <c r="DJ1407" s="30"/>
      <c r="DK1407" s="30"/>
      <c r="DL1407" s="30"/>
      <c r="DM1407" s="30"/>
      <c r="DN1407" s="30"/>
      <c r="DO1407" s="30"/>
      <c r="DP1407" s="30"/>
      <c r="DQ1407" s="30"/>
      <c r="DR1407" s="30"/>
      <c r="DS1407" s="30"/>
      <c r="DT1407" s="30"/>
      <c r="DU1407" s="30"/>
      <c r="DV1407" s="30"/>
      <c r="DW1407" s="30"/>
      <c r="DX1407" s="30"/>
      <c r="DY1407" s="30"/>
      <c r="DZ1407" s="30"/>
    </row>
    <row r="1408">
      <c r="A1408" s="30"/>
      <c r="B1408" s="42"/>
      <c r="C1408" s="43"/>
      <c r="D1408" s="30"/>
      <c r="E1408" s="28"/>
      <c r="F1408" s="30"/>
      <c r="G1408" s="30"/>
      <c r="H1408" s="30"/>
      <c r="I1408" s="30"/>
      <c r="J1408" s="28"/>
      <c r="K1408" s="30"/>
      <c r="L1408" s="30"/>
      <c r="M1408" s="30"/>
      <c r="N1408" s="30"/>
      <c r="O1408" s="28"/>
      <c r="P1408" s="30"/>
      <c r="Q1408" s="30"/>
      <c r="R1408" s="30"/>
      <c r="S1408" s="36"/>
      <c r="T1408" s="30"/>
      <c r="U1408" s="36"/>
      <c r="V1408" s="30"/>
      <c r="W1408" s="28"/>
      <c r="X1408" s="30"/>
      <c r="Y1408" s="30"/>
      <c r="Z1408" s="30"/>
      <c r="AA1408" s="30"/>
      <c r="AB1408" s="30"/>
      <c r="AC1408" s="28"/>
      <c r="AD1408" s="30"/>
      <c r="AE1408" s="30"/>
      <c r="AF1408" s="30"/>
      <c r="AG1408" s="29"/>
      <c r="AH1408" s="30"/>
      <c r="AI1408" s="36"/>
      <c r="AJ1408" s="30"/>
      <c r="AK1408" s="29"/>
      <c r="AL1408" s="30"/>
      <c r="AM1408" s="30"/>
      <c r="AN1408" s="30"/>
      <c r="AO1408" s="30"/>
      <c r="AP1408" s="30"/>
      <c r="AQ1408" s="38"/>
      <c r="AR1408" s="30"/>
      <c r="AS1408" s="30"/>
      <c r="AT1408" s="29"/>
      <c r="AU1408" s="30"/>
      <c r="AV1408" s="30"/>
      <c r="AW1408" s="30"/>
      <c r="AX1408" s="29"/>
      <c r="AY1408" s="39"/>
      <c r="AZ1408" s="30"/>
      <c r="BA1408" s="30"/>
      <c r="BB1408" s="29"/>
      <c r="BC1408" s="52"/>
      <c r="BD1408" s="30"/>
      <c r="BE1408" s="29"/>
      <c r="BF1408" s="30"/>
      <c r="BG1408" s="30"/>
      <c r="BH1408" s="30"/>
      <c r="BI1408" s="30"/>
      <c r="BJ1408" s="30"/>
      <c r="BK1408" s="30"/>
      <c r="BL1408" s="30"/>
      <c r="BM1408" s="30"/>
      <c r="BN1408" s="30"/>
      <c r="BO1408" s="30"/>
      <c r="BP1408" s="30"/>
      <c r="BQ1408" s="30"/>
      <c r="BR1408" s="30"/>
      <c r="BS1408" s="30"/>
      <c r="BT1408" s="30"/>
      <c r="BU1408" s="30"/>
      <c r="BV1408" s="30"/>
      <c r="BW1408" s="30"/>
      <c r="BX1408" s="30"/>
      <c r="BY1408" s="30"/>
      <c r="BZ1408" s="30"/>
      <c r="CA1408" s="30"/>
      <c r="CB1408" s="30"/>
      <c r="CC1408" s="30"/>
      <c r="CD1408" s="30"/>
      <c r="CE1408" s="30"/>
      <c r="CF1408" s="30"/>
      <c r="CG1408" s="30"/>
      <c r="CH1408" s="30"/>
      <c r="CI1408" s="30"/>
      <c r="CJ1408" s="30"/>
      <c r="CK1408" s="30"/>
      <c r="CL1408" s="30"/>
      <c r="CM1408" s="30"/>
      <c r="CN1408" s="30"/>
      <c r="CO1408" s="30"/>
      <c r="CP1408" s="30"/>
      <c r="CQ1408" s="30"/>
      <c r="CR1408" s="30"/>
      <c r="CS1408" s="30"/>
      <c r="CT1408" s="30"/>
      <c r="CU1408" s="30"/>
      <c r="CV1408" s="30"/>
      <c r="CW1408" s="30"/>
      <c r="CX1408" s="30"/>
      <c r="CY1408" s="30"/>
      <c r="CZ1408" s="30"/>
      <c r="DA1408" s="30"/>
      <c r="DB1408" s="30"/>
      <c r="DC1408" s="30"/>
      <c r="DD1408" s="30"/>
      <c r="DE1408" s="30"/>
      <c r="DF1408" s="30"/>
      <c r="DG1408" s="30"/>
      <c r="DH1408" s="30"/>
      <c r="DI1408" s="30"/>
      <c r="DJ1408" s="30"/>
      <c r="DK1408" s="30"/>
      <c r="DL1408" s="30"/>
      <c r="DM1408" s="30"/>
      <c r="DN1408" s="30"/>
      <c r="DO1408" s="30"/>
      <c r="DP1408" s="30"/>
      <c r="DQ1408" s="30"/>
      <c r="DR1408" s="30"/>
      <c r="DS1408" s="30"/>
      <c r="DT1408" s="30"/>
      <c r="DU1408" s="30"/>
      <c r="DV1408" s="30"/>
      <c r="DW1408" s="30"/>
      <c r="DX1408" s="30"/>
      <c r="DY1408" s="30"/>
      <c r="DZ1408" s="30"/>
    </row>
    <row r="1409">
      <c r="A1409" s="30"/>
      <c r="B1409" s="42"/>
      <c r="C1409" s="43"/>
      <c r="D1409" s="30"/>
      <c r="E1409" s="28"/>
      <c r="F1409" s="30"/>
      <c r="G1409" s="30"/>
      <c r="H1409" s="30"/>
      <c r="I1409" s="30"/>
      <c r="J1409" s="28"/>
      <c r="K1409" s="30"/>
      <c r="L1409" s="30"/>
      <c r="M1409" s="30"/>
      <c r="N1409" s="30"/>
      <c r="O1409" s="28"/>
      <c r="P1409" s="30"/>
      <c r="Q1409" s="30"/>
      <c r="R1409" s="30"/>
      <c r="S1409" s="36"/>
      <c r="T1409" s="30"/>
      <c r="U1409" s="36"/>
      <c r="V1409" s="30"/>
      <c r="W1409" s="28"/>
      <c r="X1409" s="30"/>
      <c r="Y1409" s="30"/>
      <c r="Z1409" s="30"/>
      <c r="AA1409" s="30"/>
      <c r="AB1409" s="30"/>
      <c r="AC1409" s="28"/>
      <c r="AD1409" s="30"/>
      <c r="AE1409" s="30"/>
      <c r="AF1409" s="30"/>
      <c r="AG1409" s="29"/>
      <c r="AH1409" s="30"/>
      <c r="AI1409" s="36"/>
      <c r="AJ1409" s="30"/>
      <c r="AK1409" s="29"/>
      <c r="AL1409" s="30"/>
      <c r="AM1409" s="30"/>
      <c r="AN1409" s="30"/>
      <c r="AO1409" s="30"/>
      <c r="AP1409" s="30"/>
      <c r="AQ1409" s="38"/>
      <c r="AR1409" s="30"/>
      <c r="AS1409" s="30"/>
      <c r="AT1409" s="29"/>
      <c r="AU1409" s="30"/>
      <c r="AV1409" s="30"/>
      <c r="AW1409" s="30"/>
      <c r="AX1409" s="29"/>
      <c r="AY1409" s="39"/>
      <c r="AZ1409" s="30"/>
      <c r="BA1409" s="30"/>
      <c r="BB1409" s="29"/>
      <c r="BC1409" s="52"/>
      <c r="BD1409" s="30"/>
      <c r="BE1409" s="29"/>
      <c r="BF1409" s="30"/>
      <c r="BG1409" s="30"/>
      <c r="BH1409" s="30"/>
      <c r="BI1409" s="30"/>
      <c r="BJ1409" s="30"/>
      <c r="BK1409" s="30"/>
      <c r="BL1409" s="30"/>
      <c r="BM1409" s="30"/>
      <c r="BN1409" s="30"/>
      <c r="BO1409" s="30"/>
      <c r="BP1409" s="30"/>
      <c r="BQ1409" s="30"/>
      <c r="BR1409" s="30"/>
      <c r="BS1409" s="30"/>
      <c r="BT1409" s="30"/>
      <c r="BU1409" s="30"/>
      <c r="BV1409" s="30"/>
      <c r="BW1409" s="30"/>
      <c r="BX1409" s="30"/>
      <c r="BY1409" s="30"/>
      <c r="BZ1409" s="30"/>
      <c r="CA1409" s="30"/>
      <c r="CB1409" s="30"/>
      <c r="CC1409" s="30"/>
      <c r="CD1409" s="30"/>
      <c r="CE1409" s="30"/>
      <c r="CF1409" s="30"/>
      <c r="CG1409" s="30"/>
      <c r="CH1409" s="30"/>
      <c r="CI1409" s="30"/>
      <c r="CJ1409" s="30"/>
      <c r="CK1409" s="30"/>
      <c r="CL1409" s="30"/>
      <c r="CM1409" s="30"/>
      <c r="CN1409" s="30"/>
      <c r="CO1409" s="30"/>
      <c r="CP1409" s="30"/>
      <c r="CQ1409" s="30"/>
      <c r="CR1409" s="30"/>
      <c r="CS1409" s="30"/>
      <c r="CT1409" s="30"/>
      <c r="CU1409" s="30"/>
      <c r="CV1409" s="30"/>
      <c r="CW1409" s="30"/>
      <c r="CX1409" s="30"/>
      <c r="CY1409" s="30"/>
      <c r="CZ1409" s="30"/>
      <c r="DA1409" s="30"/>
      <c r="DB1409" s="30"/>
      <c r="DC1409" s="30"/>
      <c r="DD1409" s="30"/>
      <c r="DE1409" s="30"/>
      <c r="DF1409" s="30"/>
      <c r="DG1409" s="30"/>
      <c r="DH1409" s="30"/>
      <c r="DI1409" s="30"/>
      <c r="DJ1409" s="30"/>
      <c r="DK1409" s="30"/>
      <c r="DL1409" s="30"/>
      <c r="DM1409" s="30"/>
      <c r="DN1409" s="30"/>
      <c r="DO1409" s="30"/>
      <c r="DP1409" s="30"/>
      <c r="DQ1409" s="30"/>
      <c r="DR1409" s="30"/>
      <c r="DS1409" s="30"/>
      <c r="DT1409" s="30"/>
      <c r="DU1409" s="30"/>
      <c r="DV1409" s="30"/>
      <c r="DW1409" s="30"/>
      <c r="DX1409" s="30"/>
      <c r="DY1409" s="30"/>
      <c r="DZ1409" s="30"/>
    </row>
    <row r="1410">
      <c r="A1410" s="30"/>
      <c r="B1410" s="42"/>
      <c r="C1410" s="43"/>
      <c r="D1410" s="30"/>
      <c r="E1410" s="28"/>
      <c r="F1410" s="30"/>
      <c r="G1410" s="30"/>
      <c r="H1410" s="30"/>
      <c r="I1410" s="30"/>
      <c r="J1410" s="28"/>
      <c r="K1410" s="30"/>
      <c r="L1410" s="30"/>
      <c r="M1410" s="30"/>
      <c r="N1410" s="30"/>
      <c r="O1410" s="28"/>
      <c r="P1410" s="30"/>
      <c r="Q1410" s="30"/>
      <c r="R1410" s="30"/>
      <c r="S1410" s="36"/>
      <c r="T1410" s="30"/>
      <c r="U1410" s="36"/>
      <c r="V1410" s="30"/>
      <c r="W1410" s="28"/>
      <c r="X1410" s="30"/>
      <c r="Y1410" s="30"/>
      <c r="Z1410" s="30"/>
      <c r="AA1410" s="30"/>
      <c r="AB1410" s="30"/>
      <c r="AC1410" s="28"/>
      <c r="AD1410" s="30"/>
      <c r="AE1410" s="30"/>
      <c r="AF1410" s="30"/>
      <c r="AG1410" s="29"/>
      <c r="AH1410" s="30"/>
      <c r="AI1410" s="36"/>
      <c r="AJ1410" s="30"/>
      <c r="AK1410" s="29"/>
      <c r="AL1410" s="30"/>
      <c r="AM1410" s="30"/>
      <c r="AN1410" s="30"/>
      <c r="AO1410" s="30"/>
      <c r="AP1410" s="30"/>
      <c r="AQ1410" s="38"/>
      <c r="AR1410" s="30"/>
      <c r="AS1410" s="30"/>
      <c r="AT1410" s="29"/>
      <c r="AU1410" s="30"/>
      <c r="AV1410" s="30"/>
      <c r="AW1410" s="30"/>
      <c r="AX1410" s="29"/>
      <c r="AY1410" s="39"/>
      <c r="AZ1410" s="30"/>
      <c r="BA1410" s="30"/>
      <c r="BB1410" s="29"/>
      <c r="BC1410" s="52"/>
      <c r="BD1410" s="30"/>
      <c r="BE1410" s="29"/>
      <c r="BF1410" s="30"/>
      <c r="BG1410" s="30"/>
      <c r="BH1410" s="30"/>
      <c r="BI1410" s="30"/>
      <c r="BJ1410" s="30"/>
      <c r="BK1410" s="30"/>
      <c r="BL1410" s="30"/>
      <c r="BM1410" s="30"/>
      <c r="BN1410" s="30"/>
      <c r="BO1410" s="30"/>
      <c r="BP1410" s="30"/>
      <c r="BQ1410" s="30"/>
      <c r="BR1410" s="30"/>
      <c r="BS1410" s="30"/>
      <c r="BT1410" s="30"/>
      <c r="BU1410" s="30"/>
      <c r="BV1410" s="30"/>
      <c r="BW1410" s="30"/>
      <c r="BX1410" s="30"/>
      <c r="BY1410" s="30"/>
      <c r="BZ1410" s="30"/>
      <c r="CA1410" s="30"/>
      <c r="CB1410" s="30"/>
      <c r="CC1410" s="30"/>
      <c r="CD1410" s="30"/>
      <c r="CE1410" s="30"/>
      <c r="CF1410" s="30"/>
      <c r="CG1410" s="30"/>
      <c r="CH1410" s="30"/>
      <c r="CI1410" s="30"/>
      <c r="CJ1410" s="30"/>
      <c r="CK1410" s="30"/>
      <c r="CL1410" s="30"/>
      <c r="CM1410" s="30"/>
      <c r="CN1410" s="30"/>
      <c r="CO1410" s="30"/>
      <c r="CP1410" s="30"/>
      <c r="CQ1410" s="30"/>
      <c r="CR1410" s="30"/>
      <c r="CS1410" s="30"/>
      <c r="CT1410" s="30"/>
      <c r="CU1410" s="30"/>
      <c r="CV1410" s="30"/>
      <c r="CW1410" s="30"/>
      <c r="CX1410" s="30"/>
      <c r="CY1410" s="30"/>
      <c r="CZ1410" s="30"/>
      <c r="DA1410" s="30"/>
      <c r="DB1410" s="30"/>
      <c r="DC1410" s="30"/>
      <c r="DD1410" s="30"/>
      <c r="DE1410" s="30"/>
      <c r="DF1410" s="30"/>
      <c r="DG1410" s="30"/>
      <c r="DH1410" s="30"/>
      <c r="DI1410" s="30"/>
      <c r="DJ1410" s="30"/>
      <c r="DK1410" s="30"/>
      <c r="DL1410" s="30"/>
      <c r="DM1410" s="30"/>
      <c r="DN1410" s="30"/>
      <c r="DO1410" s="30"/>
      <c r="DP1410" s="30"/>
      <c r="DQ1410" s="30"/>
      <c r="DR1410" s="30"/>
      <c r="DS1410" s="30"/>
      <c r="DT1410" s="30"/>
      <c r="DU1410" s="30"/>
      <c r="DV1410" s="30"/>
      <c r="DW1410" s="30"/>
      <c r="DX1410" s="30"/>
      <c r="DY1410" s="30"/>
      <c r="DZ1410" s="30"/>
    </row>
    <row r="1411">
      <c r="A1411" s="30"/>
      <c r="B1411" s="42"/>
      <c r="C1411" s="43"/>
      <c r="D1411" s="30"/>
      <c r="E1411" s="28"/>
      <c r="F1411" s="30"/>
      <c r="G1411" s="30"/>
      <c r="H1411" s="30"/>
      <c r="I1411" s="30"/>
      <c r="J1411" s="28"/>
      <c r="K1411" s="30"/>
      <c r="L1411" s="30"/>
      <c r="M1411" s="30"/>
      <c r="N1411" s="30"/>
      <c r="O1411" s="28"/>
      <c r="P1411" s="30"/>
      <c r="Q1411" s="30"/>
      <c r="R1411" s="30"/>
      <c r="S1411" s="36"/>
      <c r="T1411" s="30"/>
      <c r="U1411" s="36"/>
      <c r="V1411" s="30"/>
      <c r="W1411" s="28"/>
      <c r="X1411" s="30"/>
      <c r="Y1411" s="30"/>
      <c r="Z1411" s="30"/>
      <c r="AA1411" s="30"/>
      <c r="AB1411" s="30"/>
      <c r="AC1411" s="28"/>
      <c r="AD1411" s="30"/>
      <c r="AE1411" s="30"/>
      <c r="AF1411" s="30"/>
      <c r="AG1411" s="29"/>
      <c r="AH1411" s="30"/>
      <c r="AI1411" s="36"/>
      <c r="AJ1411" s="30"/>
      <c r="AK1411" s="29"/>
      <c r="AL1411" s="30"/>
      <c r="AM1411" s="30"/>
      <c r="AN1411" s="30"/>
      <c r="AO1411" s="30"/>
      <c r="AP1411" s="30"/>
      <c r="AQ1411" s="38"/>
      <c r="AR1411" s="30"/>
      <c r="AS1411" s="30"/>
      <c r="AT1411" s="29"/>
      <c r="AU1411" s="30"/>
      <c r="AV1411" s="30"/>
      <c r="AW1411" s="30"/>
      <c r="AX1411" s="29"/>
      <c r="AY1411" s="39"/>
      <c r="AZ1411" s="30"/>
      <c r="BA1411" s="30"/>
      <c r="BB1411" s="29"/>
      <c r="BC1411" s="52"/>
      <c r="BD1411" s="30"/>
      <c r="BE1411" s="29"/>
      <c r="BF1411" s="30"/>
      <c r="BG1411" s="30"/>
      <c r="BH1411" s="30"/>
      <c r="BI1411" s="30"/>
      <c r="BJ1411" s="30"/>
      <c r="BK1411" s="30"/>
      <c r="BL1411" s="30"/>
      <c r="BM1411" s="30"/>
      <c r="BN1411" s="30"/>
      <c r="BO1411" s="30"/>
      <c r="BP1411" s="30"/>
      <c r="BQ1411" s="30"/>
      <c r="BR1411" s="30"/>
      <c r="BS1411" s="30"/>
      <c r="BT1411" s="30"/>
      <c r="BU1411" s="30"/>
      <c r="BV1411" s="30"/>
      <c r="BW1411" s="30"/>
      <c r="BX1411" s="30"/>
      <c r="BY1411" s="30"/>
      <c r="BZ1411" s="30"/>
      <c r="CA1411" s="30"/>
      <c r="CB1411" s="30"/>
      <c r="CC1411" s="30"/>
      <c r="CD1411" s="30"/>
      <c r="CE1411" s="30"/>
      <c r="CF1411" s="30"/>
      <c r="CG1411" s="30"/>
      <c r="CH1411" s="30"/>
      <c r="CI1411" s="30"/>
      <c r="CJ1411" s="30"/>
      <c r="CK1411" s="30"/>
      <c r="CL1411" s="30"/>
      <c r="CM1411" s="30"/>
      <c r="CN1411" s="30"/>
      <c r="CO1411" s="30"/>
      <c r="CP1411" s="30"/>
      <c r="CQ1411" s="30"/>
      <c r="CR1411" s="30"/>
      <c r="CS1411" s="30"/>
      <c r="CT1411" s="30"/>
      <c r="CU1411" s="30"/>
      <c r="CV1411" s="30"/>
      <c r="CW1411" s="30"/>
      <c r="CX1411" s="30"/>
      <c r="CY1411" s="30"/>
      <c r="CZ1411" s="30"/>
      <c r="DA1411" s="30"/>
      <c r="DB1411" s="30"/>
      <c r="DC1411" s="30"/>
      <c r="DD1411" s="30"/>
      <c r="DE1411" s="30"/>
      <c r="DF1411" s="30"/>
      <c r="DG1411" s="30"/>
      <c r="DH1411" s="30"/>
      <c r="DI1411" s="30"/>
      <c r="DJ1411" s="30"/>
      <c r="DK1411" s="30"/>
      <c r="DL1411" s="30"/>
      <c r="DM1411" s="30"/>
      <c r="DN1411" s="30"/>
      <c r="DO1411" s="30"/>
      <c r="DP1411" s="30"/>
      <c r="DQ1411" s="30"/>
      <c r="DR1411" s="30"/>
      <c r="DS1411" s="30"/>
      <c r="DT1411" s="30"/>
      <c r="DU1411" s="30"/>
      <c r="DV1411" s="30"/>
      <c r="DW1411" s="30"/>
      <c r="DX1411" s="30"/>
      <c r="DY1411" s="30"/>
      <c r="DZ1411" s="30"/>
    </row>
    <row r="1412">
      <c r="A1412" s="30"/>
      <c r="B1412" s="42"/>
      <c r="C1412" s="43"/>
      <c r="D1412" s="30"/>
      <c r="E1412" s="28"/>
      <c r="F1412" s="30"/>
      <c r="G1412" s="30"/>
      <c r="H1412" s="30"/>
      <c r="I1412" s="30"/>
      <c r="J1412" s="28"/>
      <c r="K1412" s="30"/>
      <c r="L1412" s="30"/>
      <c r="M1412" s="30"/>
      <c r="N1412" s="30"/>
      <c r="O1412" s="28"/>
      <c r="P1412" s="30"/>
      <c r="Q1412" s="30"/>
      <c r="R1412" s="30"/>
      <c r="S1412" s="36"/>
      <c r="T1412" s="30"/>
      <c r="U1412" s="36"/>
      <c r="V1412" s="30"/>
      <c r="W1412" s="28"/>
      <c r="X1412" s="30"/>
      <c r="Y1412" s="30"/>
      <c r="Z1412" s="30"/>
      <c r="AA1412" s="30"/>
      <c r="AB1412" s="30"/>
      <c r="AC1412" s="28"/>
      <c r="AD1412" s="30"/>
      <c r="AE1412" s="30"/>
      <c r="AF1412" s="30"/>
      <c r="AG1412" s="29"/>
      <c r="AH1412" s="30"/>
      <c r="AI1412" s="36"/>
      <c r="AJ1412" s="30"/>
      <c r="AK1412" s="29"/>
      <c r="AL1412" s="30"/>
      <c r="AM1412" s="30"/>
      <c r="AN1412" s="30"/>
      <c r="AO1412" s="30"/>
      <c r="AP1412" s="30"/>
      <c r="AQ1412" s="38"/>
      <c r="AR1412" s="30"/>
      <c r="AS1412" s="30"/>
      <c r="AT1412" s="29"/>
      <c r="AU1412" s="30"/>
      <c r="AV1412" s="30"/>
      <c r="AW1412" s="30"/>
      <c r="AX1412" s="29"/>
      <c r="AY1412" s="39"/>
      <c r="AZ1412" s="30"/>
      <c r="BA1412" s="30"/>
      <c r="BB1412" s="29"/>
      <c r="BC1412" s="52"/>
      <c r="BD1412" s="30"/>
      <c r="BE1412" s="29"/>
      <c r="BF1412" s="30"/>
      <c r="BG1412" s="30"/>
      <c r="BH1412" s="30"/>
      <c r="BI1412" s="30"/>
      <c r="BJ1412" s="30"/>
      <c r="BK1412" s="30"/>
      <c r="BL1412" s="30"/>
      <c r="BM1412" s="30"/>
      <c r="BN1412" s="30"/>
      <c r="BO1412" s="30"/>
      <c r="BP1412" s="30"/>
      <c r="BQ1412" s="30"/>
      <c r="BR1412" s="30"/>
      <c r="BS1412" s="30"/>
      <c r="BT1412" s="30"/>
      <c r="BU1412" s="30"/>
      <c r="BV1412" s="30"/>
      <c r="BW1412" s="30"/>
      <c r="BX1412" s="30"/>
      <c r="BY1412" s="30"/>
      <c r="BZ1412" s="30"/>
      <c r="CA1412" s="30"/>
      <c r="CB1412" s="30"/>
      <c r="CC1412" s="30"/>
      <c r="CD1412" s="30"/>
      <c r="CE1412" s="30"/>
      <c r="CF1412" s="30"/>
      <c r="CG1412" s="30"/>
      <c r="CH1412" s="30"/>
      <c r="CI1412" s="30"/>
      <c r="CJ1412" s="30"/>
      <c r="CK1412" s="30"/>
      <c r="CL1412" s="30"/>
      <c r="CM1412" s="30"/>
      <c r="CN1412" s="30"/>
      <c r="CO1412" s="30"/>
      <c r="CP1412" s="30"/>
      <c r="CQ1412" s="30"/>
      <c r="CR1412" s="30"/>
      <c r="CS1412" s="30"/>
      <c r="CT1412" s="30"/>
      <c r="CU1412" s="30"/>
      <c r="CV1412" s="30"/>
      <c r="CW1412" s="30"/>
      <c r="CX1412" s="30"/>
      <c r="CY1412" s="30"/>
      <c r="CZ1412" s="30"/>
      <c r="DA1412" s="30"/>
      <c r="DB1412" s="30"/>
      <c r="DC1412" s="30"/>
      <c r="DD1412" s="30"/>
      <c r="DE1412" s="30"/>
      <c r="DF1412" s="30"/>
      <c r="DG1412" s="30"/>
      <c r="DH1412" s="30"/>
      <c r="DI1412" s="30"/>
      <c r="DJ1412" s="30"/>
      <c r="DK1412" s="30"/>
      <c r="DL1412" s="30"/>
      <c r="DM1412" s="30"/>
      <c r="DN1412" s="30"/>
      <c r="DO1412" s="30"/>
      <c r="DP1412" s="30"/>
      <c r="DQ1412" s="30"/>
      <c r="DR1412" s="30"/>
      <c r="DS1412" s="30"/>
      <c r="DT1412" s="30"/>
      <c r="DU1412" s="30"/>
      <c r="DV1412" s="30"/>
      <c r="DW1412" s="30"/>
      <c r="DX1412" s="30"/>
      <c r="DY1412" s="30"/>
      <c r="DZ1412" s="30"/>
    </row>
    <row r="1413">
      <c r="A1413" s="30"/>
      <c r="B1413" s="42"/>
      <c r="C1413" s="43"/>
      <c r="D1413" s="30"/>
      <c r="E1413" s="28"/>
      <c r="F1413" s="30"/>
      <c r="G1413" s="30"/>
      <c r="H1413" s="30"/>
      <c r="I1413" s="30"/>
      <c r="J1413" s="28"/>
      <c r="K1413" s="30"/>
      <c r="L1413" s="30"/>
      <c r="M1413" s="30"/>
      <c r="N1413" s="30"/>
      <c r="O1413" s="28"/>
      <c r="P1413" s="30"/>
      <c r="Q1413" s="30"/>
      <c r="R1413" s="30"/>
      <c r="S1413" s="36"/>
      <c r="T1413" s="30"/>
      <c r="U1413" s="36"/>
      <c r="V1413" s="30"/>
      <c r="W1413" s="28"/>
      <c r="X1413" s="30"/>
      <c r="Y1413" s="30"/>
      <c r="Z1413" s="30"/>
      <c r="AA1413" s="30"/>
      <c r="AB1413" s="30"/>
      <c r="AC1413" s="28"/>
      <c r="AD1413" s="30"/>
      <c r="AE1413" s="30"/>
      <c r="AF1413" s="30"/>
      <c r="AG1413" s="29"/>
      <c r="AH1413" s="30"/>
      <c r="AI1413" s="36"/>
      <c r="AJ1413" s="30"/>
      <c r="AK1413" s="29"/>
      <c r="AL1413" s="30"/>
      <c r="AM1413" s="30"/>
      <c r="AN1413" s="30"/>
      <c r="AO1413" s="30"/>
      <c r="AP1413" s="30"/>
      <c r="AQ1413" s="38"/>
      <c r="AR1413" s="30"/>
      <c r="AS1413" s="30"/>
      <c r="AT1413" s="29"/>
      <c r="AU1413" s="30"/>
      <c r="AV1413" s="30"/>
      <c r="AW1413" s="30"/>
      <c r="AX1413" s="29"/>
      <c r="AY1413" s="39"/>
      <c r="AZ1413" s="30"/>
      <c r="BA1413" s="30"/>
      <c r="BB1413" s="29"/>
      <c r="BC1413" s="52"/>
      <c r="BD1413" s="30"/>
      <c r="BE1413" s="29"/>
      <c r="BF1413" s="30"/>
      <c r="BG1413" s="30"/>
      <c r="BH1413" s="30"/>
      <c r="BI1413" s="30"/>
      <c r="BJ1413" s="30"/>
      <c r="BK1413" s="30"/>
      <c r="BL1413" s="30"/>
      <c r="BM1413" s="30"/>
      <c r="BN1413" s="30"/>
      <c r="BO1413" s="30"/>
      <c r="BP1413" s="30"/>
      <c r="BQ1413" s="30"/>
      <c r="BR1413" s="30"/>
      <c r="BS1413" s="30"/>
      <c r="BT1413" s="30"/>
      <c r="BU1413" s="30"/>
      <c r="BV1413" s="30"/>
      <c r="BW1413" s="30"/>
      <c r="BX1413" s="30"/>
      <c r="BY1413" s="30"/>
      <c r="BZ1413" s="30"/>
      <c r="CA1413" s="30"/>
      <c r="CB1413" s="30"/>
      <c r="CC1413" s="30"/>
      <c r="CD1413" s="30"/>
      <c r="CE1413" s="30"/>
      <c r="CF1413" s="30"/>
      <c r="CG1413" s="30"/>
      <c r="CH1413" s="30"/>
      <c r="CI1413" s="30"/>
      <c r="CJ1413" s="30"/>
      <c r="CK1413" s="30"/>
      <c r="CL1413" s="30"/>
      <c r="CM1413" s="30"/>
      <c r="CN1413" s="30"/>
      <c r="CO1413" s="30"/>
      <c r="CP1413" s="30"/>
      <c r="CQ1413" s="30"/>
      <c r="CR1413" s="30"/>
      <c r="CS1413" s="30"/>
      <c r="CT1413" s="30"/>
      <c r="CU1413" s="30"/>
      <c r="CV1413" s="30"/>
      <c r="CW1413" s="30"/>
      <c r="CX1413" s="30"/>
      <c r="CY1413" s="30"/>
      <c r="CZ1413" s="30"/>
      <c r="DA1413" s="30"/>
      <c r="DB1413" s="30"/>
      <c r="DC1413" s="30"/>
      <c r="DD1413" s="30"/>
      <c r="DE1413" s="30"/>
      <c r="DF1413" s="30"/>
      <c r="DG1413" s="30"/>
      <c r="DH1413" s="30"/>
      <c r="DI1413" s="30"/>
      <c r="DJ1413" s="30"/>
      <c r="DK1413" s="30"/>
      <c r="DL1413" s="30"/>
      <c r="DM1413" s="30"/>
      <c r="DN1413" s="30"/>
      <c r="DO1413" s="30"/>
      <c r="DP1413" s="30"/>
      <c r="DQ1413" s="30"/>
      <c r="DR1413" s="30"/>
      <c r="DS1413" s="30"/>
      <c r="DT1413" s="30"/>
      <c r="DU1413" s="30"/>
      <c r="DV1413" s="30"/>
      <c r="DW1413" s="30"/>
      <c r="DX1413" s="30"/>
      <c r="DY1413" s="30"/>
      <c r="DZ1413" s="30"/>
    </row>
    <row r="1414">
      <c r="A1414" s="30"/>
      <c r="B1414" s="42"/>
      <c r="C1414" s="43"/>
      <c r="D1414" s="30"/>
      <c r="E1414" s="28"/>
      <c r="F1414" s="30"/>
      <c r="G1414" s="30"/>
      <c r="H1414" s="30"/>
      <c r="I1414" s="30"/>
      <c r="J1414" s="28"/>
      <c r="K1414" s="30"/>
      <c r="L1414" s="30"/>
      <c r="M1414" s="30"/>
      <c r="N1414" s="30"/>
      <c r="O1414" s="28"/>
      <c r="P1414" s="30"/>
      <c r="Q1414" s="30"/>
      <c r="R1414" s="30"/>
      <c r="S1414" s="36"/>
      <c r="T1414" s="30"/>
      <c r="U1414" s="36"/>
      <c r="V1414" s="30"/>
      <c r="W1414" s="28"/>
      <c r="X1414" s="30"/>
      <c r="Y1414" s="30"/>
      <c r="Z1414" s="30"/>
      <c r="AA1414" s="30"/>
      <c r="AB1414" s="30"/>
      <c r="AC1414" s="28"/>
      <c r="AD1414" s="30"/>
      <c r="AE1414" s="30"/>
      <c r="AF1414" s="30"/>
      <c r="AG1414" s="29"/>
      <c r="AH1414" s="30"/>
      <c r="AI1414" s="36"/>
      <c r="AJ1414" s="30"/>
      <c r="AK1414" s="29"/>
      <c r="AL1414" s="30"/>
      <c r="AM1414" s="30"/>
      <c r="AN1414" s="30"/>
      <c r="AO1414" s="30"/>
      <c r="AP1414" s="30"/>
      <c r="AQ1414" s="38"/>
      <c r="AR1414" s="30"/>
      <c r="AS1414" s="30"/>
      <c r="AT1414" s="29"/>
      <c r="AU1414" s="30"/>
      <c r="AV1414" s="30"/>
      <c r="AW1414" s="30"/>
      <c r="AX1414" s="29"/>
      <c r="AY1414" s="39"/>
      <c r="AZ1414" s="30"/>
      <c r="BA1414" s="30"/>
      <c r="BB1414" s="29"/>
      <c r="BC1414" s="52"/>
      <c r="BD1414" s="30"/>
      <c r="BE1414" s="29"/>
      <c r="BF1414" s="30"/>
      <c r="BG1414" s="30"/>
      <c r="BH1414" s="30"/>
      <c r="BI1414" s="30"/>
      <c r="BJ1414" s="30"/>
      <c r="BK1414" s="30"/>
      <c r="BL1414" s="30"/>
      <c r="BM1414" s="30"/>
      <c r="BN1414" s="30"/>
      <c r="BO1414" s="30"/>
      <c r="BP1414" s="30"/>
      <c r="BQ1414" s="30"/>
      <c r="BR1414" s="30"/>
      <c r="BS1414" s="30"/>
      <c r="BT1414" s="30"/>
      <c r="BU1414" s="30"/>
      <c r="BV1414" s="30"/>
      <c r="BW1414" s="30"/>
      <c r="BX1414" s="30"/>
      <c r="BY1414" s="30"/>
      <c r="BZ1414" s="30"/>
      <c r="CA1414" s="30"/>
      <c r="CB1414" s="30"/>
      <c r="CC1414" s="30"/>
      <c r="CD1414" s="30"/>
      <c r="CE1414" s="30"/>
      <c r="CF1414" s="30"/>
      <c r="CG1414" s="30"/>
      <c r="CH1414" s="30"/>
      <c r="CI1414" s="30"/>
      <c r="CJ1414" s="30"/>
      <c r="CK1414" s="30"/>
      <c r="CL1414" s="30"/>
      <c r="CM1414" s="30"/>
      <c r="CN1414" s="30"/>
      <c r="CO1414" s="30"/>
      <c r="CP1414" s="30"/>
      <c r="CQ1414" s="30"/>
      <c r="CR1414" s="30"/>
      <c r="CS1414" s="30"/>
      <c r="CT1414" s="30"/>
      <c r="CU1414" s="30"/>
      <c r="CV1414" s="30"/>
      <c r="CW1414" s="30"/>
      <c r="CX1414" s="30"/>
      <c r="CY1414" s="30"/>
      <c r="CZ1414" s="30"/>
      <c r="DA1414" s="30"/>
      <c r="DB1414" s="30"/>
      <c r="DC1414" s="30"/>
      <c r="DD1414" s="30"/>
      <c r="DE1414" s="30"/>
      <c r="DF1414" s="30"/>
      <c r="DG1414" s="30"/>
      <c r="DH1414" s="30"/>
      <c r="DI1414" s="30"/>
      <c r="DJ1414" s="30"/>
      <c r="DK1414" s="30"/>
      <c r="DL1414" s="30"/>
      <c r="DM1414" s="30"/>
      <c r="DN1414" s="30"/>
      <c r="DO1414" s="30"/>
      <c r="DP1414" s="30"/>
      <c r="DQ1414" s="30"/>
      <c r="DR1414" s="30"/>
      <c r="DS1414" s="30"/>
      <c r="DT1414" s="30"/>
      <c r="DU1414" s="30"/>
      <c r="DV1414" s="30"/>
      <c r="DW1414" s="30"/>
      <c r="DX1414" s="30"/>
      <c r="DY1414" s="30"/>
      <c r="DZ1414" s="30"/>
    </row>
    <row r="1415">
      <c r="A1415" s="30"/>
      <c r="B1415" s="42"/>
      <c r="C1415" s="43"/>
      <c r="D1415" s="30"/>
      <c r="E1415" s="28"/>
      <c r="F1415" s="30"/>
      <c r="G1415" s="30"/>
      <c r="H1415" s="30"/>
      <c r="I1415" s="30"/>
      <c r="J1415" s="28"/>
      <c r="K1415" s="30"/>
      <c r="L1415" s="30"/>
      <c r="M1415" s="30"/>
      <c r="N1415" s="30"/>
      <c r="O1415" s="28"/>
      <c r="P1415" s="30"/>
      <c r="Q1415" s="30"/>
      <c r="R1415" s="30"/>
      <c r="S1415" s="36"/>
      <c r="T1415" s="30"/>
      <c r="U1415" s="36"/>
      <c r="V1415" s="30"/>
      <c r="W1415" s="28"/>
      <c r="X1415" s="30"/>
      <c r="Y1415" s="30"/>
      <c r="Z1415" s="30"/>
      <c r="AA1415" s="30"/>
      <c r="AB1415" s="30"/>
      <c r="AC1415" s="28"/>
      <c r="AD1415" s="30"/>
      <c r="AE1415" s="30"/>
      <c r="AF1415" s="30"/>
      <c r="AG1415" s="29"/>
      <c r="AH1415" s="30"/>
      <c r="AI1415" s="36"/>
      <c r="AJ1415" s="30"/>
      <c r="AK1415" s="29"/>
      <c r="AL1415" s="30"/>
      <c r="AM1415" s="30"/>
      <c r="AN1415" s="30"/>
      <c r="AO1415" s="30"/>
      <c r="AP1415" s="30"/>
      <c r="AQ1415" s="38"/>
      <c r="AR1415" s="30"/>
      <c r="AS1415" s="30"/>
      <c r="AT1415" s="29"/>
      <c r="AU1415" s="30"/>
      <c r="AV1415" s="30"/>
      <c r="AW1415" s="30"/>
      <c r="AX1415" s="29"/>
      <c r="AY1415" s="39"/>
      <c r="AZ1415" s="30"/>
      <c r="BA1415" s="30"/>
      <c r="BB1415" s="29"/>
      <c r="BC1415" s="52"/>
      <c r="BD1415" s="30"/>
      <c r="BE1415" s="29"/>
      <c r="BF1415" s="30"/>
      <c r="BG1415" s="30"/>
      <c r="BH1415" s="30"/>
      <c r="BI1415" s="30"/>
      <c r="BJ1415" s="30"/>
      <c r="BK1415" s="30"/>
      <c r="BL1415" s="30"/>
      <c r="BM1415" s="30"/>
      <c r="BN1415" s="30"/>
      <c r="BO1415" s="30"/>
      <c r="BP1415" s="30"/>
      <c r="BQ1415" s="30"/>
      <c r="BR1415" s="30"/>
      <c r="BS1415" s="30"/>
      <c r="BT1415" s="30"/>
      <c r="BU1415" s="30"/>
      <c r="BV1415" s="30"/>
      <c r="BW1415" s="30"/>
      <c r="BX1415" s="30"/>
      <c r="BY1415" s="30"/>
      <c r="BZ1415" s="30"/>
      <c r="CA1415" s="30"/>
      <c r="CB1415" s="30"/>
      <c r="CC1415" s="30"/>
      <c r="CD1415" s="30"/>
      <c r="CE1415" s="30"/>
      <c r="CF1415" s="30"/>
      <c r="CG1415" s="30"/>
      <c r="CH1415" s="30"/>
      <c r="CI1415" s="30"/>
      <c r="CJ1415" s="30"/>
      <c r="CK1415" s="30"/>
      <c r="CL1415" s="30"/>
      <c r="CM1415" s="30"/>
      <c r="CN1415" s="30"/>
      <c r="CO1415" s="30"/>
      <c r="CP1415" s="30"/>
      <c r="CQ1415" s="30"/>
      <c r="CR1415" s="30"/>
      <c r="CS1415" s="30"/>
      <c r="CT1415" s="30"/>
      <c r="CU1415" s="30"/>
      <c r="CV1415" s="30"/>
      <c r="CW1415" s="30"/>
      <c r="CX1415" s="30"/>
      <c r="CY1415" s="30"/>
      <c r="CZ1415" s="30"/>
      <c r="DA1415" s="30"/>
      <c r="DB1415" s="30"/>
      <c r="DC1415" s="30"/>
      <c r="DD1415" s="30"/>
      <c r="DE1415" s="30"/>
      <c r="DF1415" s="30"/>
      <c r="DG1415" s="30"/>
      <c r="DH1415" s="30"/>
      <c r="DI1415" s="30"/>
      <c r="DJ1415" s="30"/>
      <c r="DK1415" s="30"/>
      <c r="DL1415" s="30"/>
      <c r="DM1415" s="30"/>
      <c r="DN1415" s="30"/>
      <c r="DO1415" s="30"/>
      <c r="DP1415" s="30"/>
      <c r="DQ1415" s="30"/>
      <c r="DR1415" s="30"/>
      <c r="DS1415" s="30"/>
      <c r="DT1415" s="30"/>
      <c r="DU1415" s="30"/>
      <c r="DV1415" s="30"/>
      <c r="DW1415" s="30"/>
      <c r="DX1415" s="30"/>
      <c r="DY1415" s="30"/>
      <c r="DZ1415" s="30"/>
    </row>
    <row r="1416">
      <c r="A1416" s="30"/>
      <c r="B1416" s="42"/>
      <c r="C1416" s="43"/>
      <c r="D1416" s="30"/>
      <c r="E1416" s="28"/>
      <c r="F1416" s="30"/>
      <c r="G1416" s="30"/>
      <c r="H1416" s="30"/>
      <c r="I1416" s="30"/>
      <c r="J1416" s="28"/>
      <c r="K1416" s="30"/>
      <c r="L1416" s="30"/>
      <c r="M1416" s="30"/>
      <c r="N1416" s="30"/>
      <c r="O1416" s="28"/>
      <c r="P1416" s="30"/>
      <c r="Q1416" s="30"/>
      <c r="R1416" s="30"/>
      <c r="S1416" s="36"/>
      <c r="T1416" s="30"/>
      <c r="U1416" s="36"/>
      <c r="V1416" s="30"/>
      <c r="W1416" s="28"/>
      <c r="X1416" s="30"/>
      <c r="Y1416" s="30"/>
      <c r="Z1416" s="30"/>
      <c r="AA1416" s="30"/>
      <c r="AB1416" s="30"/>
      <c r="AC1416" s="28"/>
      <c r="AD1416" s="30"/>
      <c r="AE1416" s="30"/>
      <c r="AF1416" s="30"/>
      <c r="AG1416" s="29"/>
      <c r="AH1416" s="30"/>
      <c r="AI1416" s="36"/>
      <c r="AJ1416" s="30"/>
      <c r="AK1416" s="29"/>
      <c r="AL1416" s="30"/>
      <c r="AM1416" s="30"/>
      <c r="AN1416" s="30"/>
      <c r="AO1416" s="30"/>
      <c r="AP1416" s="30"/>
      <c r="AQ1416" s="38"/>
      <c r="AR1416" s="30"/>
      <c r="AS1416" s="30"/>
      <c r="AT1416" s="29"/>
      <c r="AU1416" s="30"/>
      <c r="AV1416" s="30"/>
      <c r="AW1416" s="30"/>
      <c r="AX1416" s="29"/>
      <c r="AY1416" s="39"/>
      <c r="AZ1416" s="30"/>
      <c r="BA1416" s="30"/>
      <c r="BB1416" s="29"/>
      <c r="BC1416" s="52"/>
      <c r="BD1416" s="30"/>
      <c r="BE1416" s="29"/>
      <c r="BF1416" s="30"/>
      <c r="BG1416" s="30"/>
      <c r="BH1416" s="30"/>
      <c r="BI1416" s="30"/>
      <c r="BJ1416" s="30"/>
      <c r="BK1416" s="30"/>
      <c r="BL1416" s="30"/>
      <c r="BM1416" s="30"/>
      <c r="BN1416" s="30"/>
      <c r="BO1416" s="30"/>
      <c r="BP1416" s="30"/>
      <c r="BQ1416" s="30"/>
      <c r="BR1416" s="30"/>
      <c r="BS1416" s="30"/>
      <c r="BT1416" s="30"/>
      <c r="BU1416" s="30"/>
      <c r="BV1416" s="30"/>
      <c r="BW1416" s="30"/>
      <c r="BX1416" s="30"/>
      <c r="BY1416" s="30"/>
      <c r="BZ1416" s="30"/>
      <c r="CA1416" s="30"/>
      <c r="CB1416" s="30"/>
      <c r="CC1416" s="30"/>
      <c r="CD1416" s="30"/>
      <c r="CE1416" s="30"/>
      <c r="CF1416" s="30"/>
      <c r="CG1416" s="30"/>
      <c r="CH1416" s="30"/>
      <c r="CI1416" s="30"/>
      <c r="CJ1416" s="30"/>
      <c r="CK1416" s="30"/>
      <c r="CL1416" s="30"/>
      <c r="CM1416" s="30"/>
      <c r="CN1416" s="30"/>
      <c r="CO1416" s="30"/>
      <c r="CP1416" s="30"/>
      <c r="CQ1416" s="30"/>
      <c r="CR1416" s="30"/>
      <c r="CS1416" s="30"/>
      <c r="CT1416" s="30"/>
      <c r="CU1416" s="30"/>
      <c r="CV1416" s="30"/>
      <c r="CW1416" s="30"/>
      <c r="CX1416" s="30"/>
      <c r="CY1416" s="30"/>
      <c r="CZ1416" s="30"/>
      <c r="DA1416" s="30"/>
      <c r="DB1416" s="30"/>
      <c r="DC1416" s="30"/>
      <c r="DD1416" s="30"/>
      <c r="DE1416" s="30"/>
      <c r="DF1416" s="30"/>
      <c r="DG1416" s="30"/>
      <c r="DH1416" s="30"/>
      <c r="DI1416" s="30"/>
      <c r="DJ1416" s="30"/>
      <c r="DK1416" s="30"/>
      <c r="DL1416" s="30"/>
      <c r="DM1416" s="30"/>
      <c r="DN1416" s="30"/>
      <c r="DO1416" s="30"/>
      <c r="DP1416" s="30"/>
      <c r="DQ1416" s="30"/>
      <c r="DR1416" s="30"/>
      <c r="DS1416" s="30"/>
      <c r="DT1416" s="30"/>
      <c r="DU1416" s="30"/>
      <c r="DV1416" s="30"/>
      <c r="DW1416" s="30"/>
      <c r="DX1416" s="30"/>
      <c r="DY1416" s="30"/>
      <c r="DZ1416" s="30"/>
    </row>
    <row r="1417">
      <c r="A1417" s="30"/>
      <c r="B1417" s="42"/>
      <c r="C1417" s="43"/>
      <c r="D1417" s="30"/>
      <c r="E1417" s="28"/>
      <c r="F1417" s="30"/>
      <c r="G1417" s="30"/>
      <c r="H1417" s="30"/>
      <c r="I1417" s="30"/>
      <c r="J1417" s="28"/>
      <c r="K1417" s="30"/>
      <c r="L1417" s="30"/>
      <c r="M1417" s="30"/>
      <c r="N1417" s="30"/>
      <c r="O1417" s="28"/>
      <c r="P1417" s="30"/>
      <c r="Q1417" s="30"/>
      <c r="R1417" s="30"/>
      <c r="S1417" s="36"/>
      <c r="T1417" s="30"/>
      <c r="U1417" s="36"/>
      <c r="V1417" s="30"/>
      <c r="W1417" s="28"/>
      <c r="X1417" s="30"/>
      <c r="Y1417" s="30"/>
      <c r="Z1417" s="30"/>
      <c r="AA1417" s="30"/>
      <c r="AB1417" s="30"/>
      <c r="AC1417" s="28"/>
      <c r="AD1417" s="30"/>
      <c r="AE1417" s="30"/>
      <c r="AF1417" s="30"/>
      <c r="AG1417" s="29"/>
      <c r="AH1417" s="30"/>
      <c r="AI1417" s="36"/>
      <c r="AJ1417" s="30"/>
      <c r="AK1417" s="29"/>
      <c r="AL1417" s="30"/>
      <c r="AM1417" s="30"/>
      <c r="AN1417" s="30"/>
      <c r="AO1417" s="30"/>
      <c r="AP1417" s="30"/>
      <c r="AQ1417" s="38"/>
      <c r="AR1417" s="30"/>
      <c r="AS1417" s="30"/>
      <c r="AT1417" s="29"/>
      <c r="AU1417" s="30"/>
      <c r="AV1417" s="30"/>
      <c r="AW1417" s="30"/>
      <c r="AX1417" s="29"/>
      <c r="AY1417" s="39"/>
      <c r="AZ1417" s="30"/>
      <c r="BA1417" s="30"/>
      <c r="BB1417" s="29"/>
      <c r="BC1417" s="52"/>
      <c r="BD1417" s="30"/>
      <c r="BE1417" s="29"/>
      <c r="BF1417" s="30"/>
      <c r="BG1417" s="30"/>
      <c r="BH1417" s="30"/>
      <c r="BI1417" s="30"/>
      <c r="BJ1417" s="30"/>
      <c r="BK1417" s="30"/>
      <c r="BL1417" s="30"/>
      <c r="BM1417" s="30"/>
      <c r="BN1417" s="30"/>
      <c r="BO1417" s="30"/>
      <c r="BP1417" s="30"/>
      <c r="BQ1417" s="30"/>
      <c r="BR1417" s="30"/>
      <c r="BS1417" s="30"/>
      <c r="BT1417" s="30"/>
      <c r="BU1417" s="30"/>
      <c r="BV1417" s="30"/>
      <c r="BW1417" s="30"/>
      <c r="BX1417" s="30"/>
      <c r="BY1417" s="30"/>
      <c r="BZ1417" s="30"/>
      <c r="CA1417" s="30"/>
      <c r="CB1417" s="30"/>
      <c r="CC1417" s="30"/>
      <c r="CD1417" s="30"/>
      <c r="CE1417" s="30"/>
      <c r="CF1417" s="30"/>
      <c r="CG1417" s="30"/>
      <c r="CH1417" s="30"/>
      <c r="CI1417" s="30"/>
      <c r="CJ1417" s="30"/>
      <c r="CK1417" s="30"/>
      <c r="CL1417" s="30"/>
      <c r="CM1417" s="30"/>
      <c r="CN1417" s="30"/>
      <c r="CO1417" s="30"/>
      <c r="CP1417" s="30"/>
      <c r="CQ1417" s="30"/>
      <c r="CR1417" s="30"/>
      <c r="CS1417" s="30"/>
      <c r="CT1417" s="30"/>
      <c r="CU1417" s="30"/>
      <c r="CV1417" s="30"/>
      <c r="CW1417" s="30"/>
      <c r="CX1417" s="30"/>
      <c r="CY1417" s="30"/>
      <c r="CZ1417" s="30"/>
      <c r="DA1417" s="30"/>
      <c r="DB1417" s="30"/>
      <c r="DC1417" s="30"/>
      <c r="DD1417" s="30"/>
      <c r="DE1417" s="30"/>
      <c r="DF1417" s="30"/>
      <c r="DG1417" s="30"/>
      <c r="DH1417" s="30"/>
      <c r="DI1417" s="30"/>
      <c r="DJ1417" s="30"/>
      <c r="DK1417" s="30"/>
      <c r="DL1417" s="30"/>
      <c r="DM1417" s="30"/>
      <c r="DN1417" s="30"/>
      <c r="DO1417" s="30"/>
      <c r="DP1417" s="30"/>
      <c r="DQ1417" s="30"/>
      <c r="DR1417" s="30"/>
      <c r="DS1417" s="30"/>
      <c r="DT1417" s="30"/>
      <c r="DU1417" s="30"/>
      <c r="DV1417" s="30"/>
      <c r="DW1417" s="30"/>
      <c r="DX1417" s="30"/>
      <c r="DY1417" s="30"/>
      <c r="DZ1417" s="30"/>
    </row>
    <row r="1418">
      <c r="A1418" s="30"/>
      <c r="B1418" s="42"/>
      <c r="C1418" s="43"/>
      <c r="D1418" s="30"/>
      <c r="E1418" s="28"/>
      <c r="F1418" s="30"/>
      <c r="G1418" s="30"/>
      <c r="H1418" s="30"/>
      <c r="I1418" s="30"/>
      <c r="J1418" s="28"/>
      <c r="K1418" s="30"/>
      <c r="L1418" s="30"/>
      <c r="M1418" s="30"/>
      <c r="N1418" s="30"/>
      <c r="O1418" s="28"/>
      <c r="P1418" s="30"/>
      <c r="Q1418" s="30"/>
      <c r="R1418" s="30"/>
      <c r="S1418" s="36"/>
      <c r="T1418" s="30"/>
      <c r="U1418" s="36"/>
      <c r="V1418" s="30"/>
      <c r="W1418" s="28"/>
      <c r="X1418" s="30"/>
      <c r="Y1418" s="30"/>
      <c r="Z1418" s="30"/>
      <c r="AA1418" s="30"/>
      <c r="AB1418" s="30"/>
      <c r="AC1418" s="28"/>
      <c r="AD1418" s="30"/>
      <c r="AE1418" s="30"/>
      <c r="AF1418" s="30"/>
      <c r="AG1418" s="29"/>
      <c r="AH1418" s="30"/>
      <c r="AI1418" s="36"/>
      <c r="AJ1418" s="30"/>
      <c r="AK1418" s="29"/>
      <c r="AL1418" s="30"/>
      <c r="AM1418" s="30"/>
      <c r="AN1418" s="30"/>
      <c r="AO1418" s="30"/>
      <c r="AP1418" s="30"/>
      <c r="AQ1418" s="38"/>
      <c r="AR1418" s="30"/>
      <c r="AS1418" s="30"/>
      <c r="AT1418" s="29"/>
      <c r="AU1418" s="30"/>
      <c r="AV1418" s="30"/>
      <c r="AW1418" s="30"/>
      <c r="AX1418" s="29"/>
      <c r="AY1418" s="39"/>
      <c r="AZ1418" s="30"/>
      <c r="BA1418" s="30"/>
      <c r="BB1418" s="29"/>
      <c r="BC1418" s="52"/>
      <c r="BD1418" s="30"/>
      <c r="BE1418" s="29"/>
      <c r="BF1418" s="30"/>
      <c r="BG1418" s="30"/>
      <c r="BH1418" s="30"/>
      <c r="BI1418" s="30"/>
      <c r="BJ1418" s="30"/>
      <c r="BK1418" s="30"/>
      <c r="BL1418" s="30"/>
      <c r="BM1418" s="30"/>
      <c r="BN1418" s="30"/>
      <c r="BO1418" s="30"/>
      <c r="BP1418" s="30"/>
      <c r="BQ1418" s="30"/>
      <c r="BR1418" s="30"/>
      <c r="BS1418" s="30"/>
      <c r="BT1418" s="30"/>
      <c r="BU1418" s="30"/>
      <c r="BV1418" s="30"/>
      <c r="BW1418" s="30"/>
      <c r="BX1418" s="30"/>
      <c r="BY1418" s="30"/>
      <c r="BZ1418" s="30"/>
      <c r="CA1418" s="30"/>
      <c r="CB1418" s="30"/>
      <c r="CC1418" s="30"/>
      <c r="CD1418" s="30"/>
      <c r="CE1418" s="30"/>
      <c r="CF1418" s="30"/>
      <c r="CG1418" s="30"/>
      <c r="CH1418" s="30"/>
      <c r="CI1418" s="30"/>
      <c r="CJ1418" s="30"/>
      <c r="CK1418" s="30"/>
      <c r="CL1418" s="30"/>
      <c r="CM1418" s="30"/>
      <c r="CN1418" s="30"/>
      <c r="CO1418" s="30"/>
      <c r="CP1418" s="30"/>
      <c r="CQ1418" s="30"/>
      <c r="CR1418" s="30"/>
      <c r="CS1418" s="30"/>
      <c r="CT1418" s="30"/>
      <c r="CU1418" s="30"/>
      <c r="CV1418" s="30"/>
      <c r="CW1418" s="30"/>
      <c r="CX1418" s="30"/>
      <c r="CY1418" s="30"/>
      <c r="CZ1418" s="30"/>
      <c r="DA1418" s="30"/>
      <c r="DB1418" s="30"/>
      <c r="DC1418" s="30"/>
      <c r="DD1418" s="30"/>
      <c r="DE1418" s="30"/>
      <c r="DF1418" s="30"/>
      <c r="DG1418" s="30"/>
      <c r="DH1418" s="30"/>
      <c r="DI1418" s="30"/>
      <c r="DJ1418" s="30"/>
      <c r="DK1418" s="30"/>
      <c r="DL1418" s="30"/>
      <c r="DM1418" s="30"/>
      <c r="DN1418" s="30"/>
      <c r="DO1418" s="30"/>
      <c r="DP1418" s="30"/>
      <c r="DQ1418" s="30"/>
      <c r="DR1418" s="30"/>
      <c r="DS1418" s="30"/>
      <c r="DT1418" s="30"/>
      <c r="DU1418" s="30"/>
      <c r="DV1418" s="30"/>
      <c r="DW1418" s="30"/>
      <c r="DX1418" s="30"/>
      <c r="DY1418" s="30"/>
      <c r="DZ1418" s="30"/>
    </row>
    <row r="1419">
      <c r="A1419" s="30"/>
      <c r="B1419" s="42"/>
      <c r="C1419" s="43"/>
      <c r="D1419" s="30"/>
      <c r="E1419" s="28"/>
      <c r="F1419" s="30"/>
      <c r="G1419" s="30"/>
      <c r="H1419" s="30"/>
      <c r="I1419" s="30"/>
      <c r="J1419" s="28"/>
      <c r="K1419" s="30"/>
      <c r="L1419" s="30"/>
      <c r="M1419" s="30"/>
      <c r="N1419" s="30"/>
      <c r="O1419" s="28"/>
      <c r="P1419" s="30"/>
      <c r="Q1419" s="30"/>
      <c r="R1419" s="30"/>
      <c r="S1419" s="36"/>
      <c r="T1419" s="30"/>
      <c r="U1419" s="36"/>
      <c r="V1419" s="30"/>
      <c r="W1419" s="28"/>
      <c r="X1419" s="30"/>
      <c r="Y1419" s="30"/>
      <c r="Z1419" s="30"/>
      <c r="AA1419" s="30"/>
      <c r="AB1419" s="30"/>
      <c r="AC1419" s="28"/>
      <c r="AD1419" s="30"/>
      <c r="AE1419" s="30"/>
      <c r="AF1419" s="30"/>
      <c r="AG1419" s="29"/>
      <c r="AH1419" s="30"/>
      <c r="AI1419" s="36"/>
      <c r="AJ1419" s="30"/>
      <c r="AK1419" s="29"/>
      <c r="AL1419" s="30"/>
      <c r="AM1419" s="30"/>
      <c r="AN1419" s="30"/>
      <c r="AO1419" s="30"/>
      <c r="AP1419" s="30"/>
      <c r="AQ1419" s="38"/>
      <c r="AR1419" s="30"/>
      <c r="AS1419" s="30"/>
      <c r="AT1419" s="29"/>
      <c r="AU1419" s="30"/>
      <c r="AV1419" s="30"/>
      <c r="AW1419" s="30"/>
      <c r="AX1419" s="29"/>
      <c r="AY1419" s="39"/>
      <c r="AZ1419" s="30"/>
      <c r="BA1419" s="30"/>
      <c r="BB1419" s="29"/>
      <c r="BC1419" s="52"/>
      <c r="BD1419" s="30"/>
      <c r="BE1419" s="29"/>
      <c r="BF1419" s="30"/>
      <c r="BG1419" s="30"/>
      <c r="BH1419" s="30"/>
      <c r="BI1419" s="30"/>
      <c r="BJ1419" s="30"/>
      <c r="BK1419" s="30"/>
      <c r="BL1419" s="30"/>
      <c r="BM1419" s="30"/>
      <c r="BN1419" s="30"/>
      <c r="BO1419" s="30"/>
      <c r="BP1419" s="30"/>
      <c r="BQ1419" s="30"/>
      <c r="BR1419" s="30"/>
      <c r="BS1419" s="30"/>
      <c r="BT1419" s="30"/>
      <c r="BU1419" s="30"/>
      <c r="BV1419" s="30"/>
      <c r="BW1419" s="30"/>
      <c r="BX1419" s="30"/>
      <c r="BY1419" s="30"/>
      <c r="BZ1419" s="30"/>
      <c r="CA1419" s="30"/>
      <c r="CB1419" s="30"/>
      <c r="CC1419" s="30"/>
      <c r="CD1419" s="30"/>
      <c r="CE1419" s="30"/>
      <c r="CF1419" s="30"/>
      <c r="CG1419" s="30"/>
      <c r="CH1419" s="30"/>
      <c r="CI1419" s="30"/>
      <c r="CJ1419" s="30"/>
      <c r="CK1419" s="30"/>
      <c r="CL1419" s="30"/>
      <c r="CM1419" s="30"/>
      <c r="CN1419" s="30"/>
      <c r="CO1419" s="30"/>
      <c r="CP1419" s="30"/>
      <c r="CQ1419" s="30"/>
      <c r="CR1419" s="30"/>
      <c r="CS1419" s="30"/>
      <c r="CT1419" s="30"/>
      <c r="CU1419" s="30"/>
      <c r="CV1419" s="30"/>
      <c r="CW1419" s="30"/>
      <c r="CX1419" s="30"/>
      <c r="CY1419" s="30"/>
      <c r="CZ1419" s="30"/>
      <c r="DA1419" s="30"/>
      <c r="DB1419" s="30"/>
      <c r="DC1419" s="30"/>
      <c r="DD1419" s="30"/>
      <c r="DE1419" s="30"/>
      <c r="DF1419" s="30"/>
      <c r="DG1419" s="30"/>
      <c r="DH1419" s="30"/>
      <c r="DI1419" s="30"/>
      <c r="DJ1419" s="30"/>
      <c r="DK1419" s="30"/>
      <c r="DL1419" s="30"/>
      <c r="DM1419" s="30"/>
      <c r="DN1419" s="30"/>
      <c r="DO1419" s="30"/>
      <c r="DP1419" s="30"/>
      <c r="DQ1419" s="30"/>
      <c r="DR1419" s="30"/>
      <c r="DS1419" s="30"/>
      <c r="DT1419" s="30"/>
      <c r="DU1419" s="30"/>
      <c r="DV1419" s="30"/>
      <c r="DW1419" s="30"/>
      <c r="DX1419" s="30"/>
      <c r="DY1419" s="30"/>
      <c r="DZ1419" s="30"/>
    </row>
    <row r="1420">
      <c r="A1420" s="30"/>
      <c r="B1420" s="42"/>
      <c r="C1420" s="43"/>
      <c r="D1420" s="30"/>
      <c r="E1420" s="28"/>
      <c r="F1420" s="30"/>
      <c r="G1420" s="30"/>
      <c r="H1420" s="30"/>
      <c r="I1420" s="30"/>
      <c r="J1420" s="28"/>
      <c r="K1420" s="30"/>
      <c r="L1420" s="30"/>
      <c r="M1420" s="30"/>
      <c r="N1420" s="30"/>
      <c r="O1420" s="28"/>
      <c r="P1420" s="30"/>
      <c r="Q1420" s="30"/>
      <c r="R1420" s="30"/>
      <c r="S1420" s="36"/>
      <c r="T1420" s="30"/>
      <c r="U1420" s="36"/>
      <c r="V1420" s="30"/>
      <c r="W1420" s="28"/>
      <c r="X1420" s="30"/>
      <c r="Y1420" s="30"/>
      <c r="Z1420" s="30"/>
      <c r="AA1420" s="30"/>
      <c r="AB1420" s="30"/>
      <c r="AC1420" s="28"/>
      <c r="AD1420" s="30"/>
      <c r="AE1420" s="30"/>
      <c r="AF1420" s="30"/>
      <c r="AG1420" s="29"/>
      <c r="AH1420" s="30"/>
      <c r="AI1420" s="36"/>
      <c r="AJ1420" s="30"/>
      <c r="AK1420" s="29"/>
      <c r="AL1420" s="30"/>
      <c r="AM1420" s="30"/>
      <c r="AN1420" s="30"/>
      <c r="AO1420" s="30"/>
      <c r="AP1420" s="30"/>
      <c r="AQ1420" s="38"/>
      <c r="AR1420" s="30"/>
      <c r="AS1420" s="30"/>
      <c r="AT1420" s="29"/>
      <c r="AU1420" s="30"/>
      <c r="AV1420" s="30"/>
      <c r="AW1420" s="30"/>
      <c r="AX1420" s="29"/>
      <c r="AY1420" s="39"/>
      <c r="AZ1420" s="30"/>
      <c r="BA1420" s="30"/>
      <c r="BB1420" s="29"/>
      <c r="BC1420" s="52"/>
      <c r="BD1420" s="30"/>
      <c r="BE1420" s="29"/>
      <c r="BF1420" s="30"/>
      <c r="BG1420" s="30"/>
      <c r="BH1420" s="30"/>
      <c r="BI1420" s="30"/>
      <c r="BJ1420" s="30"/>
      <c r="BK1420" s="30"/>
      <c r="BL1420" s="30"/>
      <c r="BM1420" s="30"/>
      <c r="BN1420" s="30"/>
      <c r="BO1420" s="30"/>
      <c r="BP1420" s="30"/>
      <c r="BQ1420" s="30"/>
      <c r="BR1420" s="30"/>
      <c r="BS1420" s="30"/>
      <c r="BT1420" s="30"/>
      <c r="BU1420" s="30"/>
      <c r="BV1420" s="30"/>
      <c r="BW1420" s="30"/>
      <c r="BX1420" s="30"/>
      <c r="BY1420" s="30"/>
      <c r="BZ1420" s="30"/>
      <c r="CA1420" s="30"/>
      <c r="CB1420" s="30"/>
      <c r="CC1420" s="30"/>
      <c r="CD1420" s="30"/>
      <c r="CE1420" s="30"/>
      <c r="CF1420" s="30"/>
      <c r="CG1420" s="30"/>
      <c r="CH1420" s="30"/>
      <c r="CI1420" s="30"/>
      <c r="CJ1420" s="30"/>
      <c r="CK1420" s="30"/>
      <c r="CL1420" s="30"/>
      <c r="CM1420" s="30"/>
      <c r="CN1420" s="30"/>
      <c r="CO1420" s="30"/>
      <c r="CP1420" s="30"/>
      <c r="CQ1420" s="30"/>
      <c r="CR1420" s="30"/>
      <c r="CS1420" s="30"/>
      <c r="CT1420" s="30"/>
      <c r="CU1420" s="30"/>
      <c r="CV1420" s="30"/>
      <c r="CW1420" s="30"/>
      <c r="CX1420" s="30"/>
      <c r="CY1420" s="30"/>
      <c r="CZ1420" s="30"/>
      <c r="DA1420" s="30"/>
      <c r="DB1420" s="30"/>
      <c r="DC1420" s="30"/>
      <c r="DD1420" s="30"/>
      <c r="DE1420" s="30"/>
      <c r="DF1420" s="30"/>
      <c r="DG1420" s="30"/>
      <c r="DH1420" s="30"/>
      <c r="DI1420" s="30"/>
      <c r="DJ1420" s="30"/>
      <c r="DK1420" s="30"/>
      <c r="DL1420" s="30"/>
      <c r="DM1420" s="30"/>
      <c r="DN1420" s="30"/>
      <c r="DO1420" s="30"/>
      <c r="DP1420" s="30"/>
      <c r="DQ1420" s="30"/>
      <c r="DR1420" s="30"/>
      <c r="DS1420" s="30"/>
      <c r="DT1420" s="30"/>
      <c r="DU1420" s="30"/>
      <c r="DV1420" s="30"/>
      <c r="DW1420" s="30"/>
      <c r="DX1420" s="30"/>
      <c r="DY1420" s="30"/>
      <c r="DZ1420" s="30"/>
    </row>
    <row r="1421">
      <c r="A1421" s="30"/>
      <c r="B1421" s="42"/>
      <c r="C1421" s="43"/>
      <c r="D1421" s="30"/>
      <c r="E1421" s="28"/>
      <c r="F1421" s="30"/>
      <c r="G1421" s="30"/>
      <c r="H1421" s="30"/>
      <c r="I1421" s="30"/>
      <c r="J1421" s="28"/>
      <c r="K1421" s="30"/>
      <c r="L1421" s="30"/>
      <c r="M1421" s="30"/>
      <c r="N1421" s="30"/>
      <c r="O1421" s="28"/>
      <c r="P1421" s="30"/>
      <c r="Q1421" s="30"/>
      <c r="R1421" s="30"/>
      <c r="S1421" s="36"/>
      <c r="T1421" s="30"/>
      <c r="U1421" s="36"/>
      <c r="V1421" s="30"/>
      <c r="W1421" s="28"/>
      <c r="X1421" s="30"/>
      <c r="Y1421" s="30"/>
      <c r="Z1421" s="30"/>
      <c r="AA1421" s="30"/>
      <c r="AB1421" s="30"/>
      <c r="AC1421" s="28"/>
      <c r="AD1421" s="30"/>
      <c r="AE1421" s="30"/>
      <c r="AF1421" s="30"/>
      <c r="AG1421" s="29"/>
      <c r="AH1421" s="30"/>
      <c r="AI1421" s="36"/>
      <c r="AJ1421" s="30"/>
      <c r="AK1421" s="29"/>
      <c r="AL1421" s="30"/>
      <c r="AM1421" s="30"/>
      <c r="AN1421" s="30"/>
      <c r="AO1421" s="30"/>
      <c r="AP1421" s="30"/>
      <c r="AQ1421" s="38"/>
      <c r="AR1421" s="30"/>
      <c r="AS1421" s="30"/>
      <c r="AT1421" s="29"/>
      <c r="AU1421" s="30"/>
      <c r="AV1421" s="30"/>
      <c r="AW1421" s="30"/>
      <c r="AX1421" s="29"/>
      <c r="AY1421" s="39"/>
      <c r="AZ1421" s="30"/>
      <c r="BA1421" s="30"/>
      <c r="BB1421" s="29"/>
      <c r="BC1421" s="52"/>
      <c r="BD1421" s="30"/>
      <c r="BE1421" s="29"/>
      <c r="BF1421" s="30"/>
      <c r="BG1421" s="30"/>
      <c r="BH1421" s="30"/>
      <c r="BI1421" s="30"/>
      <c r="BJ1421" s="30"/>
      <c r="BK1421" s="30"/>
      <c r="BL1421" s="30"/>
      <c r="BM1421" s="30"/>
      <c r="BN1421" s="30"/>
      <c r="BO1421" s="30"/>
      <c r="BP1421" s="30"/>
      <c r="BQ1421" s="30"/>
      <c r="BR1421" s="30"/>
      <c r="BS1421" s="30"/>
      <c r="BT1421" s="30"/>
      <c r="BU1421" s="30"/>
      <c r="BV1421" s="30"/>
      <c r="BW1421" s="30"/>
      <c r="BX1421" s="30"/>
      <c r="BY1421" s="30"/>
      <c r="BZ1421" s="30"/>
      <c r="CA1421" s="30"/>
      <c r="CB1421" s="30"/>
      <c r="CC1421" s="30"/>
      <c r="CD1421" s="30"/>
      <c r="CE1421" s="30"/>
      <c r="CF1421" s="30"/>
      <c r="CG1421" s="30"/>
      <c r="CH1421" s="30"/>
      <c r="CI1421" s="30"/>
      <c r="CJ1421" s="30"/>
      <c r="CK1421" s="30"/>
      <c r="CL1421" s="30"/>
      <c r="CM1421" s="30"/>
      <c r="CN1421" s="30"/>
      <c r="CO1421" s="30"/>
      <c r="CP1421" s="30"/>
      <c r="CQ1421" s="30"/>
      <c r="CR1421" s="30"/>
      <c r="CS1421" s="30"/>
      <c r="CT1421" s="30"/>
      <c r="CU1421" s="30"/>
      <c r="CV1421" s="30"/>
      <c r="CW1421" s="30"/>
      <c r="CX1421" s="30"/>
      <c r="CY1421" s="30"/>
      <c r="CZ1421" s="30"/>
      <c r="DA1421" s="30"/>
      <c r="DB1421" s="30"/>
      <c r="DC1421" s="30"/>
      <c r="DD1421" s="30"/>
      <c r="DE1421" s="30"/>
      <c r="DF1421" s="30"/>
      <c r="DG1421" s="30"/>
      <c r="DH1421" s="30"/>
      <c r="DI1421" s="30"/>
      <c r="DJ1421" s="30"/>
      <c r="DK1421" s="30"/>
      <c r="DL1421" s="30"/>
      <c r="DM1421" s="30"/>
      <c r="DN1421" s="30"/>
      <c r="DO1421" s="30"/>
      <c r="DP1421" s="30"/>
      <c r="DQ1421" s="30"/>
      <c r="DR1421" s="30"/>
      <c r="DS1421" s="30"/>
      <c r="DT1421" s="30"/>
      <c r="DU1421" s="30"/>
      <c r="DV1421" s="30"/>
      <c r="DW1421" s="30"/>
      <c r="DX1421" s="30"/>
      <c r="DY1421" s="30"/>
      <c r="DZ1421" s="30"/>
    </row>
    <row r="1422">
      <c r="A1422" s="30"/>
      <c r="B1422" s="42"/>
      <c r="C1422" s="43"/>
      <c r="D1422" s="30"/>
      <c r="E1422" s="28"/>
      <c r="F1422" s="30"/>
      <c r="G1422" s="30"/>
      <c r="H1422" s="30"/>
      <c r="I1422" s="30"/>
      <c r="J1422" s="28"/>
      <c r="K1422" s="30"/>
      <c r="L1422" s="30"/>
      <c r="M1422" s="30"/>
      <c r="N1422" s="30"/>
      <c r="O1422" s="28"/>
      <c r="P1422" s="30"/>
      <c r="Q1422" s="30"/>
      <c r="R1422" s="30"/>
      <c r="S1422" s="36"/>
      <c r="T1422" s="30"/>
      <c r="U1422" s="36"/>
      <c r="V1422" s="30"/>
      <c r="W1422" s="28"/>
      <c r="X1422" s="30"/>
      <c r="Y1422" s="30"/>
      <c r="Z1422" s="30"/>
      <c r="AA1422" s="30"/>
      <c r="AB1422" s="30"/>
      <c r="AC1422" s="28"/>
      <c r="AD1422" s="30"/>
      <c r="AE1422" s="30"/>
      <c r="AF1422" s="30"/>
      <c r="AG1422" s="29"/>
      <c r="AH1422" s="30"/>
      <c r="AI1422" s="36"/>
      <c r="AJ1422" s="30"/>
      <c r="AK1422" s="29"/>
      <c r="AL1422" s="30"/>
      <c r="AM1422" s="30"/>
      <c r="AN1422" s="30"/>
      <c r="AO1422" s="30"/>
      <c r="AP1422" s="30"/>
      <c r="AQ1422" s="38"/>
      <c r="AR1422" s="30"/>
      <c r="AS1422" s="30"/>
      <c r="AT1422" s="29"/>
      <c r="AU1422" s="30"/>
      <c r="AV1422" s="30"/>
      <c r="AW1422" s="30"/>
      <c r="AX1422" s="29"/>
      <c r="AY1422" s="39"/>
      <c r="AZ1422" s="30"/>
      <c r="BA1422" s="30"/>
      <c r="BB1422" s="29"/>
      <c r="BC1422" s="52"/>
      <c r="BD1422" s="30"/>
      <c r="BE1422" s="29"/>
      <c r="BF1422" s="30"/>
      <c r="BG1422" s="30"/>
      <c r="BH1422" s="30"/>
      <c r="BI1422" s="30"/>
      <c r="BJ1422" s="30"/>
      <c r="BK1422" s="30"/>
      <c r="BL1422" s="30"/>
      <c r="BM1422" s="30"/>
      <c r="BN1422" s="30"/>
      <c r="BO1422" s="30"/>
      <c r="BP1422" s="30"/>
      <c r="BQ1422" s="30"/>
      <c r="BR1422" s="30"/>
      <c r="BS1422" s="30"/>
      <c r="BT1422" s="30"/>
      <c r="BU1422" s="30"/>
      <c r="BV1422" s="30"/>
      <c r="BW1422" s="30"/>
      <c r="BX1422" s="30"/>
      <c r="BY1422" s="30"/>
      <c r="BZ1422" s="30"/>
      <c r="CA1422" s="30"/>
      <c r="CB1422" s="30"/>
      <c r="CC1422" s="30"/>
      <c r="CD1422" s="30"/>
      <c r="CE1422" s="30"/>
      <c r="CF1422" s="30"/>
      <c r="CG1422" s="30"/>
      <c r="CH1422" s="30"/>
      <c r="CI1422" s="30"/>
      <c r="CJ1422" s="30"/>
      <c r="CK1422" s="30"/>
      <c r="CL1422" s="30"/>
      <c r="CM1422" s="30"/>
      <c r="CN1422" s="30"/>
      <c r="CO1422" s="30"/>
      <c r="CP1422" s="30"/>
      <c r="CQ1422" s="30"/>
      <c r="CR1422" s="30"/>
      <c r="CS1422" s="30"/>
      <c r="CT1422" s="30"/>
      <c r="CU1422" s="30"/>
      <c r="CV1422" s="30"/>
      <c r="CW1422" s="30"/>
      <c r="CX1422" s="30"/>
      <c r="CY1422" s="30"/>
      <c r="CZ1422" s="30"/>
      <c r="DA1422" s="30"/>
      <c r="DB1422" s="30"/>
      <c r="DC1422" s="30"/>
      <c r="DD1422" s="30"/>
      <c r="DE1422" s="30"/>
      <c r="DF1422" s="30"/>
      <c r="DG1422" s="30"/>
      <c r="DH1422" s="30"/>
      <c r="DI1422" s="30"/>
      <c r="DJ1422" s="30"/>
      <c r="DK1422" s="30"/>
      <c r="DL1422" s="30"/>
      <c r="DM1422" s="30"/>
      <c r="DN1422" s="30"/>
      <c r="DO1422" s="30"/>
      <c r="DP1422" s="30"/>
      <c r="DQ1422" s="30"/>
      <c r="DR1422" s="30"/>
      <c r="DS1422" s="30"/>
      <c r="DT1422" s="30"/>
      <c r="DU1422" s="30"/>
      <c r="DV1422" s="30"/>
      <c r="DW1422" s="30"/>
      <c r="DX1422" s="30"/>
      <c r="DY1422" s="30"/>
      <c r="DZ1422" s="30"/>
    </row>
    <row r="1423">
      <c r="A1423" s="30"/>
      <c r="B1423" s="42"/>
      <c r="C1423" s="43"/>
      <c r="D1423" s="30"/>
      <c r="E1423" s="28"/>
      <c r="F1423" s="30"/>
      <c r="G1423" s="30"/>
      <c r="H1423" s="30"/>
      <c r="I1423" s="30"/>
      <c r="J1423" s="28"/>
      <c r="K1423" s="30"/>
      <c r="L1423" s="30"/>
      <c r="M1423" s="30"/>
      <c r="N1423" s="30"/>
      <c r="O1423" s="28"/>
      <c r="P1423" s="30"/>
      <c r="Q1423" s="30"/>
      <c r="R1423" s="30"/>
      <c r="S1423" s="36"/>
      <c r="T1423" s="30"/>
      <c r="U1423" s="36"/>
      <c r="V1423" s="30"/>
      <c r="W1423" s="28"/>
      <c r="X1423" s="30"/>
      <c r="Y1423" s="30"/>
      <c r="Z1423" s="30"/>
      <c r="AA1423" s="30"/>
      <c r="AB1423" s="30"/>
      <c r="AC1423" s="28"/>
      <c r="AD1423" s="30"/>
      <c r="AE1423" s="30"/>
      <c r="AF1423" s="30"/>
      <c r="AG1423" s="29"/>
      <c r="AH1423" s="30"/>
      <c r="AI1423" s="36"/>
      <c r="AJ1423" s="30"/>
      <c r="AK1423" s="29"/>
      <c r="AL1423" s="30"/>
      <c r="AM1423" s="30"/>
      <c r="AN1423" s="30"/>
      <c r="AO1423" s="30"/>
      <c r="AP1423" s="30"/>
      <c r="AQ1423" s="38"/>
      <c r="AR1423" s="30"/>
      <c r="AS1423" s="30"/>
      <c r="AT1423" s="29"/>
      <c r="AU1423" s="30"/>
      <c r="AV1423" s="30"/>
      <c r="AW1423" s="30"/>
      <c r="AX1423" s="29"/>
      <c r="AY1423" s="39"/>
      <c r="AZ1423" s="30"/>
      <c r="BA1423" s="30"/>
      <c r="BB1423" s="29"/>
      <c r="BC1423" s="52"/>
      <c r="BD1423" s="30"/>
      <c r="BE1423" s="29"/>
      <c r="BF1423" s="30"/>
      <c r="BG1423" s="30"/>
      <c r="BH1423" s="30"/>
      <c r="BI1423" s="30"/>
      <c r="BJ1423" s="30"/>
      <c r="BK1423" s="30"/>
      <c r="BL1423" s="30"/>
      <c r="BM1423" s="30"/>
      <c r="BN1423" s="30"/>
      <c r="BO1423" s="30"/>
      <c r="BP1423" s="30"/>
      <c r="BQ1423" s="30"/>
      <c r="BR1423" s="30"/>
      <c r="BS1423" s="30"/>
      <c r="BT1423" s="30"/>
      <c r="BU1423" s="30"/>
      <c r="BV1423" s="30"/>
      <c r="BW1423" s="30"/>
      <c r="BX1423" s="30"/>
      <c r="BY1423" s="30"/>
      <c r="BZ1423" s="30"/>
      <c r="CA1423" s="30"/>
      <c r="CB1423" s="30"/>
      <c r="CC1423" s="30"/>
      <c r="CD1423" s="30"/>
      <c r="CE1423" s="30"/>
      <c r="CF1423" s="30"/>
      <c r="CG1423" s="30"/>
      <c r="CH1423" s="30"/>
      <c r="CI1423" s="30"/>
      <c r="CJ1423" s="30"/>
      <c r="CK1423" s="30"/>
      <c r="CL1423" s="30"/>
      <c r="CM1423" s="30"/>
      <c r="CN1423" s="30"/>
      <c r="CO1423" s="30"/>
      <c r="CP1423" s="30"/>
      <c r="CQ1423" s="30"/>
      <c r="CR1423" s="30"/>
      <c r="CS1423" s="30"/>
      <c r="CT1423" s="30"/>
      <c r="CU1423" s="30"/>
      <c r="CV1423" s="30"/>
      <c r="CW1423" s="30"/>
      <c r="CX1423" s="30"/>
      <c r="CY1423" s="30"/>
      <c r="CZ1423" s="30"/>
      <c r="DA1423" s="30"/>
      <c r="DB1423" s="30"/>
      <c r="DC1423" s="30"/>
      <c r="DD1423" s="30"/>
      <c r="DE1423" s="30"/>
      <c r="DF1423" s="30"/>
      <c r="DG1423" s="30"/>
      <c r="DH1423" s="30"/>
      <c r="DI1423" s="30"/>
      <c r="DJ1423" s="30"/>
      <c r="DK1423" s="30"/>
      <c r="DL1423" s="30"/>
      <c r="DM1423" s="30"/>
      <c r="DN1423" s="30"/>
      <c r="DO1423" s="30"/>
      <c r="DP1423" s="30"/>
      <c r="DQ1423" s="30"/>
      <c r="DR1423" s="30"/>
      <c r="DS1423" s="30"/>
      <c r="DT1423" s="30"/>
      <c r="DU1423" s="30"/>
      <c r="DV1423" s="30"/>
      <c r="DW1423" s="30"/>
      <c r="DX1423" s="30"/>
      <c r="DY1423" s="30"/>
      <c r="DZ1423" s="30"/>
    </row>
    <row r="1424">
      <c r="A1424" s="30"/>
      <c r="B1424" s="42"/>
      <c r="C1424" s="43"/>
      <c r="D1424" s="30"/>
      <c r="E1424" s="28"/>
      <c r="F1424" s="30"/>
      <c r="G1424" s="30"/>
      <c r="H1424" s="30"/>
      <c r="I1424" s="30"/>
      <c r="J1424" s="28"/>
      <c r="K1424" s="30"/>
      <c r="L1424" s="30"/>
      <c r="M1424" s="30"/>
      <c r="N1424" s="30"/>
      <c r="O1424" s="28"/>
      <c r="P1424" s="30"/>
      <c r="Q1424" s="30"/>
      <c r="R1424" s="30"/>
      <c r="S1424" s="36"/>
      <c r="T1424" s="30"/>
      <c r="U1424" s="36"/>
      <c r="V1424" s="30"/>
      <c r="W1424" s="28"/>
      <c r="X1424" s="30"/>
      <c r="Y1424" s="30"/>
      <c r="Z1424" s="30"/>
      <c r="AA1424" s="30"/>
      <c r="AB1424" s="30"/>
      <c r="AC1424" s="28"/>
      <c r="AD1424" s="30"/>
      <c r="AE1424" s="30"/>
      <c r="AF1424" s="30"/>
      <c r="AG1424" s="29"/>
      <c r="AH1424" s="30"/>
      <c r="AI1424" s="36"/>
      <c r="AJ1424" s="30"/>
      <c r="AK1424" s="29"/>
      <c r="AL1424" s="30"/>
      <c r="AM1424" s="30"/>
      <c r="AN1424" s="30"/>
      <c r="AO1424" s="30"/>
      <c r="AP1424" s="30"/>
      <c r="AQ1424" s="38"/>
      <c r="AR1424" s="30"/>
      <c r="AS1424" s="30"/>
      <c r="AT1424" s="29"/>
      <c r="AU1424" s="30"/>
      <c r="AV1424" s="30"/>
      <c r="AW1424" s="30"/>
      <c r="AX1424" s="29"/>
      <c r="AY1424" s="39"/>
      <c r="AZ1424" s="30"/>
      <c r="BA1424" s="30"/>
      <c r="BB1424" s="29"/>
      <c r="BC1424" s="52"/>
      <c r="BD1424" s="30"/>
      <c r="BE1424" s="29"/>
      <c r="BF1424" s="30"/>
      <c r="BG1424" s="30"/>
      <c r="BH1424" s="30"/>
      <c r="BI1424" s="30"/>
      <c r="BJ1424" s="30"/>
      <c r="BK1424" s="30"/>
      <c r="BL1424" s="30"/>
      <c r="BM1424" s="30"/>
      <c r="BN1424" s="30"/>
      <c r="BO1424" s="30"/>
      <c r="BP1424" s="30"/>
      <c r="BQ1424" s="30"/>
      <c r="BR1424" s="30"/>
      <c r="BS1424" s="30"/>
      <c r="BT1424" s="30"/>
      <c r="BU1424" s="30"/>
      <c r="BV1424" s="30"/>
      <c r="BW1424" s="30"/>
      <c r="BX1424" s="30"/>
      <c r="BY1424" s="30"/>
      <c r="BZ1424" s="30"/>
      <c r="CA1424" s="30"/>
      <c r="CB1424" s="30"/>
      <c r="CC1424" s="30"/>
      <c r="CD1424" s="30"/>
      <c r="CE1424" s="30"/>
      <c r="CF1424" s="30"/>
      <c r="CG1424" s="30"/>
      <c r="CH1424" s="30"/>
      <c r="CI1424" s="30"/>
      <c r="CJ1424" s="30"/>
      <c r="CK1424" s="30"/>
      <c r="CL1424" s="30"/>
      <c r="CM1424" s="30"/>
      <c r="CN1424" s="30"/>
      <c r="CO1424" s="30"/>
      <c r="CP1424" s="30"/>
      <c r="CQ1424" s="30"/>
      <c r="CR1424" s="30"/>
      <c r="CS1424" s="30"/>
      <c r="CT1424" s="30"/>
      <c r="CU1424" s="30"/>
      <c r="CV1424" s="30"/>
      <c r="CW1424" s="30"/>
      <c r="CX1424" s="30"/>
      <c r="CY1424" s="30"/>
      <c r="CZ1424" s="30"/>
      <c r="DA1424" s="30"/>
      <c r="DB1424" s="30"/>
      <c r="DC1424" s="30"/>
      <c r="DD1424" s="30"/>
      <c r="DE1424" s="30"/>
      <c r="DF1424" s="30"/>
      <c r="DG1424" s="30"/>
      <c r="DH1424" s="30"/>
      <c r="DI1424" s="30"/>
      <c r="DJ1424" s="30"/>
      <c r="DK1424" s="30"/>
      <c r="DL1424" s="30"/>
      <c r="DM1424" s="30"/>
      <c r="DN1424" s="30"/>
      <c r="DO1424" s="30"/>
      <c r="DP1424" s="30"/>
      <c r="DQ1424" s="30"/>
      <c r="DR1424" s="30"/>
      <c r="DS1424" s="30"/>
      <c r="DT1424" s="30"/>
      <c r="DU1424" s="30"/>
      <c r="DV1424" s="30"/>
      <c r="DW1424" s="30"/>
      <c r="DX1424" s="30"/>
      <c r="DY1424" s="30"/>
      <c r="DZ1424" s="30"/>
    </row>
    <row r="1425">
      <c r="A1425" s="30"/>
      <c r="B1425" s="42"/>
      <c r="C1425" s="43"/>
      <c r="D1425" s="30"/>
      <c r="E1425" s="28"/>
      <c r="F1425" s="30"/>
      <c r="G1425" s="30"/>
      <c r="H1425" s="30"/>
      <c r="I1425" s="30"/>
      <c r="J1425" s="28"/>
      <c r="K1425" s="30"/>
      <c r="L1425" s="30"/>
      <c r="M1425" s="30"/>
      <c r="N1425" s="30"/>
      <c r="O1425" s="28"/>
      <c r="P1425" s="30"/>
      <c r="Q1425" s="30"/>
      <c r="R1425" s="30"/>
      <c r="S1425" s="36"/>
      <c r="T1425" s="30"/>
      <c r="U1425" s="36"/>
      <c r="V1425" s="30"/>
      <c r="W1425" s="28"/>
      <c r="X1425" s="30"/>
      <c r="Y1425" s="30"/>
      <c r="Z1425" s="30"/>
      <c r="AA1425" s="30"/>
      <c r="AB1425" s="30"/>
      <c r="AC1425" s="28"/>
      <c r="AD1425" s="30"/>
      <c r="AE1425" s="30"/>
      <c r="AF1425" s="30"/>
      <c r="AG1425" s="29"/>
      <c r="AH1425" s="30"/>
      <c r="AI1425" s="36"/>
      <c r="AJ1425" s="30"/>
      <c r="AK1425" s="29"/>
      <c r="AL1425" s="30"/>
      <c r="AM1425" s="30"/>
      <c r="AN1425" s="30"/>
      <c r="AO1425" s="30"/>
      <c r="AP1425" s="30"/>
      <c r="AQ1425" s="38"/>
      <c r="AR1425" s="30"/>
      <c r="AS1425" s="30"/>
      <c r="AT1425" s="29"/>
      <c r="AU1425" s="30"/>
      <c r="AV1425" s="30"/>
      <c r="AW1425" s="30"/>
      <c r="AX1425" s="29"/>
      <c r="AY1425" s="39"/>
      <c r="AZ1425" s="30"/>
      <c r="BA1425" s="30"/>
      <c r="BB1425" s="29"/>
      <c r="BC1425" s="52"/>
      <c r="BD1425" s="30"/>
      <c r="BE1425" s="29"/>
      <c r="BF1425" s="30"/>
      <c r="BG1425" s="30"/>
      <c r="BH1425" s="30"/>
      <c r="BI1425" s="30"/>
      <c r="BJ1425" s="30"/>
      <c r="BK1425" s="30"/>
      <c r="BL1425" s="30"/>
      <c r="BM1425" s="30"/>
      <c r="BN1425" s="30"/>
      <c r="BO1425" s="30"/>
      <c r="BP1425" s="30"/>
      <c r="BQ1425" s="30"/>
      <c r="BR1425" s="30"/>
      <c r="BS1425" s="30"/>
      <c r="BT1425" s="30"/>
      <c r="BU1425" s="30"/>
      <c r="BV1425" s="30"/>
      <c r="BW1425" s="30"/>
      <c r="BX1425" s="30"/>
      <c r="BY1425" s="30"/>
      <c r="BZ1425" s="30"/>
      <c r="CA1425" s="30"/>
      <c r="CB1425" s="30"/>
      <c r="CC1425" s="30"/>
      <c r="CD1425" s="30"/>
      <c r="CE1425" s="30"/>
      <c r="CF1425" s="30"/>
      <c r="CG1425" s="30"/>
      <c r="CH1425" s="30"/>
      <c r="CI1425" s="30"/>
      <c r="CJ1425" s="30"/>
      <c r="CK1425" s="30"/>
      <c r="CL1425" s="30"/>
      <c r="CM1425" s="30"/>
      <c r="CN1425" s="30"/>
      <c r="CO1425" s="30"/>
      <c r="CP1425" s="30"/>
      <c r="CQ1425" s="30"/>
      <c r="CR1425" s="30"/>
      <c r="CS1425" s="30"/>
      <c r="CT1425" s="30"/>
      <c r="CU1425" s="30"/>
      <c r="CV1425" s="30"/>
      <c r="CW1425" s="30"/>
      <c r="CX1425" s="30"/>
      <c r="CY1425" s="30"/>
      <c r="CZ1425" s="30"/>
      <c r="DA1425" s="30"/>
      <c r="DB1425" s="30"/>
      <c r="DC1425" s="30"/>
      <c r="DD1425" s="30"/>
      <c r="DE1425" s="30"/>
      <c r="DF1425" s="30"/>
      <c r="DG1425" s="30"/>
      <c r="DH1425" s="30"/>
      <c r="DI1425" s="30"/>
      <c r="DJ1425" s="30"/>
      <c r="DK1425" s="30"/>
      <c r="DL1425" s="30"/>
      <c r="DM1425" s="30"/>
      <c r="DN1425" s="30"/>
      <c r="DO1425" s="30"/>
      <c r="DP1425" s="30"/>
      <c r="DQ1425" s="30"/>
      <c r="DR1425" s="30"/>
      <c r="DS1425" s="30"/>
      <c r="DT1425" s="30"/>
      <c r="DU1425" s="30"/>
      <c r="DV1425" s="30"/>
      <c r="DW1425" s="30"/>
      <c r="DX1425" s="30"/>
      <c r="DY1425" s="30"/>
      <c r="DZ1425" s="30"/>
    </row>
    <row r="1426">
      <c r="A1426" s="30"/>
      <c r="B1426" s="42"/>
      <c r="C1426" s="43"/>
      <c r="D1426" s="30"/>
      <c r="E1426" s="28"/>
      <c r="F1426" s="30"/>
      <c r="G1426" s="30"/>
      <c r="H1426" s="30"/>
      <c r="I1426" s="30"/>
      <c r="J1426" s="28"/>
      <c r="K1426" s="30"/>
      <c r="L1426" s="30"/>
      <c r="M1426" s="30"/>
      <c r="N1426" s="30"/>
      <c r="O1426" s="28"/>
      <c r="P1426" s="30"/>
      <c r="Q1426" s="30"/>
      <c r="R1426" s="30"/>
      <c r="S1426" s="36"/>
      <c r="T1426" s="30"/>
      <c r="U1426" s="36"/>
      <c r="V1426" s="30"/>
      <c r="W1426" s="28"/>
      <c r="X1426" s="30"/>
      <c r="Y1426" s="30"/>
      <c r="Z1426" s="30"/>
      <c r="AA1426" s="30"/>
      <c r="AB1426" s="30"/>
      <c r="AC1426" s="28"/>
      <c r="AD1426" s="30"/>
      <c r="AE1426" s="30"/>
      <c r="AF1426" s="30"/>
      <c r="AG1426" s="29"/>
      <c r="AH1426" s="30"/>
      <c r="AI1426" s="36"/>
      <c r="AJ1426" s="30"/>
      <c r="AK1426" s="29"/>
      <c r="AL1426" s="30"/>
      <c r="AM1426" s="30"/>
      <c r="AN1426" s="30"/>
      <c r="AO1426" s="30"/>
      <c r="AP1426" s="30"/>
      <c r="AQ1426" s="38"/>
      <c r="AR1426" s="30"/>
      <c r="AS1426" s="30"/>
      <c r="AT1426" s="29"/>
      <c r="AU1426" s="30"/>
      <c r="AV1426" s="30"/>
      <c r="AW1426" s="30"/>
      <c r="AX1426" s="29"/>
      <c r="AY1426" s="39"/>
      <c r="AZ1426" s="30"/>
      <c r="BA1426" s="30"/>
      <c r="BB1426" s="29"/>
      <c r="BC1426" s="52"/>
      <c r="BD1426" s="30"/>
      <c r="BE1426" s="29"/>
      <c r="BF1426" s="30"/>
      <c r="BG1426" s="30"/>
      <c r="BH1426" s="30"/>
      <c r="BI1426" s="30"/>
      <c r="BJ1426" s="30"/>
      <c r="BK1426" s="30"/>
      <c r="BL1426" s="30"/>
      <c r="BM1426" s="30"/>
      <c r="BN1426" s="30"/>
      <c r="BO1426" s="30"/>
      <c r="BP1426" s="30"/>
      <c r="BQ1426" s="30"/>
      <c r="BR1426" s="30"/>
      <c r="BS1426" s="30"/>
      <c r="BT1426" s="30"/>
      <c r="BU1426" s="30"/>
      <c r="BV1426" s="30"/>
      <c r="BW1426" s="30"/>
      <c r="BX1426" s="30"/>
      <c r="BY1426" s="30"/>
      <c r="BZ1426" s="30"/>
      <c r="CA1426" s="30"/>
      <c r="CB1426" s="30"/>
      <c r="CC1426" s="30"/>
      <c r="CD1426" s="30"/>
      <c r="CE1426" s="30"/>
      <c r="CF1426" s="30"/>
      <c r="CG1426" s="30"/>
      <c r="CH1426" s="30"/>
      <c r="CI1426" s="30"/>
      <c r="CJ1426" s="30"/>
      <c r="CK1426" s="30"/>
      <c r="CL1426" s="30"/>
      <c r="CM1426" s="30"/>
      <c r="CN1426" s="30"/>
      <c r="CO1426" s="30"/>
      <c r="CP1426" s="30"/>
      <c r="CQ1426" s="30"/>
      <c r="CR1426" s="30"/>
      <c r="CS1426" s="30"/>
      <c r="CT1426" s="30"/>
      <c r="CU1426" s="30"/>
      <c r="CV1426" s="30"/>
      <c r="CW1426" s="30"/>
      <c r="CX1426" s="30"/>
      <c r="CY1426" s="30"/>
      <c r="CZ1426" s="30"/>
      <c r="DA1426" s="30"/>
      <c r="DB1426" s="30"/>
      <c r="DC1426" s="30"/>
      <c r="DD1426" s="30"/>
      <c r="DE1426" s="30"/>
      <c r="DF1426" s="30"/>
      <c r="DG1426" s="30"/>
      <c r="DH1426" s="30"/>
      <c r="DI1426" s="30"/>
      <c r="DJ1426" s="30"/>
      <c r="DK1426" s="30"/>
      <c r="DL1426" s="30"/>
      <c r="DM1426" s="30"/>
      <c r="DN1426" s="30"/>
      <c r="DO1426" s="30"/>
      <c r="DP1426" s="30"/>
      <c r="DQ1426" s="30"/>
      <c r="DR1426" s="30"/>
      <c r="DS1426" s="30"/>
      <c r="DT1426" s="30"/>
      <c r="DU1426" s="30"/>
      <c r="DV1426" s="30"/>
      <c r="DW1426" s="30"/>
      <c r="DX1426" s="30"/>
      <c r="DY1426" s="30"/>
      <c r="DZ1426" s="30"/>
    </row>
    <row r="1427">
      <c r="A1427" s="30"/>
      <c r="B1427" s="42"/>
      <c r="C1427" s="43"/>
      <c r="D1427" s="30"/>
      <c r="E1427" s="28"/>
      <c r="F1427" s="30"/>
      <c r="G1427" s="30"/>
      <c r="H1427" s="30"/>
      <c r="I1427" s="30"/>
      <c r="J1427" s="28"/>
      <c r="K1427" s="30"/>
      <c r="L1427" s="30"/>
      <c r="M1427" s="30"/>
      <c r="N1427" s="30"/>
      <c r="O1427" s="28"/>
      <c r="P1427" s="30"/>
      <c r="Q1427" s="30"/>
      <c r="R1427" s="30"/>
      <c r="S1427" s="36"/>
      <c r="T1427" s="30"/>
      <c r="U1427" s="36"/>
      <c r="V1427" s="30"/>
      <c r="W1427" s="28"/>
      <c r="X1427" s="30"/>
      <c r="Y1427" s="30"/>
      <c r="Z1427" s="30"/>
      <c r="AA1427" s="30"/>
      <c r="AB1427" s="30"/>
      <c r="AC1427" s="28"/>
      <c r="AD1427" s="30"/>
      <c r="AE1427" s="30"/>
      <c r="AF1427" s="30"/>
      <c r="AG1427" s="29"/>
      <c r="AH1427" s="30"/>
      <c r="AI1427" s="36"/>
      <c r="AJ1427" s="30"/>
      <c r="AK1427" s="29"/>
      <c r="AL1427" s="30"/>
      <c r="AM1427" s="30"/>
      <c r="AN1427" s="30"/>
      <c r="AO1427" s="30"/>
      <c r="AP1427" s="30"/>
      <c r="AQ1427" s="38"/>
      <c r="AR1427" s="30"/>
      <c r="AS1427" s="30"/>
      <c r="AT1427" s="29"/>
      <c r="AU1427" s="30"/>
      <c r="AV1427" s="30"/>
      <c r="AW1427" s="30"/>
      <c r="AX1427" s="29"/>
      <c r="AY1427" s="39"/>
      <c r="AZ1427" s="30"/>
      <c r="BA1427" s="30"/>
      <c r="BB1427" s="29"/>
      <c r="BC1427" s="52"/>
      <c r="BD1427" s="30"/>
      <c r="BE1427" s="29"/>
      <c r="BF1427" s="30"/>
      <c r="BG1427" s="30"/>
      <c r="BH1427" s="30"/>
      <c r="BI1427" s="30"/>
      <c r="BJ1427" s="30"/>
      <c r="BK1427" s="30"/>
      <c r="BL1427" s="30"/>
      <c r="BM1427" s="30"/>
      <c r="BN1427" s="30"/>
      <c r="BO1427" s="30"/>
      <c r="BP1427" s="30"/>
      <c r="BQ1427" s="30"/>
      <c r="BR1427" s="30"/>
      <c r="BS1427" s="30"/>
      <c r="BT1427" s="30"/>
      <c r="BU1427" s="30"/>
      <c r="BV1427" s="30"/>
      <c r="BW1427" s="30"/>
      <c r="BX1427" s="30"/>
      <c r="BY1427" s="30"/>
      <c r="BZ1427" s="30"/>
      <c r="CA1427" s="30"/>
      <c r="CB1427" s="30"/>
      <c r="CC1427" s="30"/>
      <c r="CD1427" s="30"/>
      <c r="CE1427" s="30"/>
      <c r="CF1427" s="30"/>
      <c r="CG1427" s="30"/>
      <c r="CH1427" s="30"/>
      <c r="CI1427" s="30"/>
      <c r="CJ1427" s="30"/>
      <c r="CK1427" s="30"/>
      <c r="CL1427" s="30"/>
      <c r="CM1427" s="30"/>
      <c r="CN1427" s="30"/>
      <c r="CO1427" s="30"/>
      <c r="CP1427" s="30"/>
      <c r="CQ1427" s="30"/>
      <c r="CR1427" s="30"/>
      <c r="CS1427" s="30"/>
      <c r="CT1427" s="30"/>
      <c r="CU1427" s="30"/>
      <c r="CV1427" s="30"/>
      <c r="CW1427" s="30"/>
      <c r="CX1427" s="30"/>
      <c r="CY1427" s="30"/>
      <c r="CZ1427" s="30"/>
      <c r="DA1427" s="30"/>
      <c r="DB1427" s="30"/>
      <c r="DC1427" s="30"/>
      <c r="DD1427" s="30"/>
      <c r="DE1427" s="30"/>
      <c r="DF1427" s="30"/>
      <c r="DG1427" s="30"/>
      <c r="DH1427" s="30"/>
      <c r="DI1427" s="30"/>
      <c r="DJ1427" s="30"/>
      <c r="DK1427" s="30"/>
      <c r="DL1427" s="30"/>
      <c r="DM1427" s="30"/>
      <c r="DN1427" s="30"/>
      <c r="DO1427" s="30"/>
      <c r="DP1427" s="30"/>
      <c r="DQ1427" s="30"/>
      <c r="DR1427" s="30"/>
      <c r="DS1427" s="30"/>
      <c r="DT1427" s="30"/>
      <c r="DU1427" s="30"/>
      <c r="DV1427" s="30"/>
      <c r="DW1427" s="30"/>
      <c r="DX1427" s="30"/>
      <c r="DY1427" s="30"/>
      <c r="DZ1427" s="30"/>
    </row>
    <row r="1428">
      <c r="A1428" s="30"/>
      <c r="B1428" s="42"/>
      <c r="C1428" s="43"/>
      <c r="D1428" s="30"/>
      <c r="E1428" s="28"/>
      <c r="F1428" s="30"/>
      <c r="G1428" s="30"/>
      <c r="H1428" s="30"/>
      <c r="I1428" s="30"/>
      <c r="J1428" s="28"/>
      <c r="K1428" s="30"/>
      <c r="L1428" s="30"/>
      <c r="M1428" s="30"/>
      <c r="N1428" s="30"/>
      <c r="O1428" s="28"/>
      <c r="P1428" s="30"/>
      <c r="Q1428" s="30"/>
      <c r="R1428" s="30"/>
      <c r="S1428" s="36"/>
      <c r="T1428" s="30"/>
      <c r="U1428" s="36"/>
      <c r="V1428" s="30"/>
      <c r="W1428" s="28"/>
      <c r="X1428" s="30"/>
      <c r="Y1428" s="30"/>
      <c r="Z1428" s="30"/>
      <c r="AA1428" s="30"/>
      <c r="AB1428" s="30"/>
      <c r="AC1428" s="28"/>
      <c r="AD1428" s="30"/>
      <c r="AE1428" s="30"/>
      <c r="AF1428" s="30"/>
      <c r="AG1428" s="29"/>
      <c r="AH1428" s="30"/>
      <c r="AI1428" s="36"/>
      <c r="AJ1428" s="30"/>
      <c r="AK1428" s="29"/>
      <c r="AL1428" s="30"/>
      <c r="AM1428" s="30"/>
      <c r="AN1428" s="30"/>
      <c r="AO1428" s="30"/>
      <c r="AP1428" s="30"/>
      <c r="AQ1428" s="38"/>
      <c r="AR1428" s="30"/>
      <c r="AS1428" s="30"/>
      <c r="AT1428" s="29"/>
      <c r="AU1428" s="30"/>
      <c r="AV1428" s="30"/>
      <c r="AW1428" s="30"/>
      <c r="AX1428" s="29"/>
      <c r="AY1428" s="39"/>
      <c r="AZ1428" s="30"/>
      <c r="BA1428" s="30"/>
      <c r="BB1428" s="29"/>
      <c r="BC1428" s="52"/>
      <c r="BD1428" s="30"/>
      <c r="BE1428" s="29"/>
      <c r="BF1428" s="30"/>
      <c r="BG1428" s="30"/>
      <c r="BH1428" s="30"/>
      <c r="BI1428" s="30"/>
      <c r="BJ1428" s="30"/>
      <c r="BK1428" s="30"/>
      <c r="BL1428" s="30"/>
      <c r="BM1428" s="30"/>
      <c r="BN1428" s="30"/>
      <c r="BO1428" s="30"/>
      <c r="BP1428" s="30"/>
      <c r="BQ1428" s="30"/>
      <c r="BR1428" s="30"/>
      <c r="BS1428" s="30"/>
      <c r="BT1428" s="30"/>
      <c r="BU1428" s="30"/>
      <c r="BV1428" s="30"/>
      <c r="BW1428" s="30"/>
      <c r="BX1428" s="30"/>
      <c r="BY1428" s="30"/>
      <c r="BZ1428" s="30"/>
      <c r="CA1428" s="30"/>
      <c r="CB1428" s="30"/>
      <c r="CC1428" s="30"/>
      <c r="CD1428" s="30"/>
      <c r="CE1428" s="30"/>
      <c r="CF1428" s="30"/>
      <c r="CG1428" s="30"/>
      <c r="CH1428" s="30"/>
      <c r="CI1428" s="30"/>
      <c r="CJ1428" s="30"/>
      <c r="CK1428" s="30"/>
      <c r="CL1428" s="30"/>
      <c r="CM1428" s="30"/>
      <c r="CN1428" s="30"/>
      <c r="CO1428" s="30"/>
      <c r="CP1428" s="30"/>
      <c r="CQ1428" s="30"/>
      <c r="CR1428" s="30"/>
      <c r="CS1428" s="30"/>
      <c r="CT1428" s="30"/>
      <c r="CU1428" s="30"/>
      <c r="CV1428" s="30"/>
      <c r="CW1428" s="30"/>
      <c r="CX1428" s="30"/>
      <c r="CY1428" s="30"/>
      <c r="CZ1428" s="30"/>
      <c r="DA1428" s="30"/>
      <c r="DB1428" s="30"/>
      <c r="DC1428" s="30"/>
      <c r="DD1428" s="30"/>
      <c r="DE1428" s="30"/>
      <c r="DF1428" s="30"/>
      <c r="DG1428" s="30"/>
      <c r="DH1428" s="30"/>
      <c r="DI1428" s="30"/>
      <c r="DJ1428" s="30"/>
      <c r="DK1428" s="30"/>
      <c r="DL1428" s="30"/>
      <c r="DM1428" s="30"/>
      <c r="DN1428" s="30"/>
      <c r="DO1428" s="30"/>
      <c r="DP1428" s="30"/>
      <c r="DQ1428" s="30"/>
      <c r="DR1428" s="30"/>
      <c r="DS1428" s="30"/>
      <c r="DT1428" s="30"/>
      <c r="DU1428" s="30"/>
      <c r="DV1428" s="30"/>
      <c r="DW1428" s="30"/>
      <c r="DX1428" s="30"/>
      <c r="DY1428" s="30"/>
      <c r="DZ1428" s="30"/>
    </row>
    <row r="1429">
      <c r="A1429" s="30"/>
      <c r="B1429" s="42"/>
      <c r="C1429" s="43"/>
      <c r="D1429" s="30"/>
      <c r="E1429" s="28"/>
      <c r="F1429" s="30"/>
      <c r="G1429" s="30"/>
      <c r="H1429" s="30"/>
      <c r="I1429" s="30"/>
      <c r="J1429" s="28"/>
      <c r="K1429" s="30"/>
      <c r="L1429" s="30"/>
      <c r="M1429" s="30"/>
      <c r="N1429" s="30"/>
      <c r="O1429" s="28"/>
      <c r="P1429" s="30"/>
      <c r="Q1429" s="30"/>
      <c r="R1429" s="30"/>
      <c r="S1429" s="36"/>
      <c r="T1429" s="30"/>
      <c r="U1429" s="36"/>
      <c r="V1429" s="30"/>
      <c r="W1429" s="28"/>
      <c r="X1429" s="30"/>
      <c r="Y1429" s="30"/>
      <c r="Z1429" s="30"/>
      <c r="AA1429" s="30"/>
      <c r="AB1429" s="30"/>
      <c r="AC1429" s="28"/>
      <c r="AD1429" s="30"/>
      <c r="AE1429" s="30"/>
      <c r="AF1429" s="30"/>
      <c r="AG1429" s="29"/>
      <c r="AH1429" s="30"/>
      <c r="AI1429" s="36"/>
      <c r="AJ1429" s="30"/>
      <c r="AK1429" s="29"/>
      <c r="AL1429" s="30"/>
      <c r="AM1429" s="30"/>
      <c r="AN1429" s="30"/>
      <c r="AO1429" s="30"/>
      <c r="AP1429" s="30"/>
      <c r="AQ1429" s="38"/>
      <c r="AR1429" s="30"/>
      <c r="AS1429" s="30"/>
      <c r="AT1429" s="29"/>
      <c r="AU1429" s="30"/>
      <c r="AV1429" s="30"/>
      <c r="AW1429" s="30"/>
      <c r="AX1429" s="29"/>
      <c r="AY1429" s="39"/>
      <c r="AZ1429" s="30"/>
      <c r="BA1429" s="30"/>
      <c r="BB1429" s="29"/>
      <c r="BC1429" s="52"/>
      <c r="BD1429" s="30"/>
      <c r="BE1429" s="29"/>
      <c r="BF1429" s="30"/>
      <c r="BG1429" s="30"/>
      <c r="BH1429" s="30"/>
      <c r="BI1429" s="30"/>
      <c r="BJ1429" s="30"/>
      <c r="BK1429" s="30"/>
      <c r="BL1429" s="30"/>
      <c r="BM1429" s="30"/>
      <c r="BN1429" s="30"/>
      <c r="BO1429" s="30"/>
      <c r="BP1429" s="30"/>
      <c r="BQ1429" s="30"/>
      <c r="BR1429" s="30"/>
      <c r="BS1429" s="30"/>
      <c r="BT1429" s="30"/>
      <c r="BU1429" s="30"/>
      <c r="BV1429" s="30"/>
      <c r="BW1429" s="30"/>
      <c r="BX1429" s="30"/>
      <c r="BY1429" s="30"/>
      <c r="BZ1429" s="30"/>
      <c r="CA1429" s="30"/>
      <c r="CB1429" s="30"/>
      <c r="CC1429" s="30"/>
      <c r="CD1429" s="30"/>
      <c r="CE1429" s="30"/>
      <c r="CF1429" s="30"/>
      <c r="CG1429" s="30"/>
      <c r="CH1429" s="30"/>
      <c r="CI1429" s="30"/>
      <c r="CJ1429" s="30"/>
      <c r="CK1429" s="30"/>
      <c r="CL1429" s="30"/>
      <c r="CM1429" s="30"/>
      <c r="CN1429" s="30"/>
      <c r="CO1429" s="30"/>
      <c r="CP1429" s="30"/>
      <c r="CQ1429" s="30"/>
      <c r="CR1429" s="30"/>
      <c r="CS1429" s="30"/>
      <c r="CT1429" s="30"/>
      <c r="CU1429" s="30"/>
      <c r="CV1429" s="30"/>
      <c r="CW1429" s="30"/>
      <c r="CX1429" s="30"/>
      <c r="CY1429" s="30"/>
      <c r="CZ1429" s="30"/>
      <c r="DA1429" s="30"/>
      <c r="DB1429" s="30"/>
      <c r="DC1429" s="30"/>
      <c r="DD1429" s="30"/>
      <c r="DE1429" s="30"/>
      <c r="DF1429" s="30"/>
      <c r="DG1429" s="30"/>
      <c r="DH1429" s="30"/>
      <c r="DI1429" s="30"/>
      <c r="DJ1429" s="30"/>
      <c r="DK1429" s="30"/>
      <c r="DL1429" s="30"/>
      <c r="DM1429" s="30"/>
      <c r="DN1429" s="30"/>
      <c r="DO1429" s="30"/>
      <c r="DP1429" s="30"/>
      <c r="DQ1429" s="30"/>
      <c r="DR1429" s="30"/>
      <c r="DS1429" s="30"/>
      <c r="DT1429" s="30"/>
      <c r="DU1429" s="30"/>
      <c r="DV1429" s="30"/>
      <c r="DW1429" s="30"/>
      <c r="DX1429" s="30"/>
      <c r="DY1429" s="30"/>
      <c r="DZ1429" s="30"/>
    </row>
    <row r="1430">
      <c r="A1430" s="30"/>
      <c r="B1430" s="42"/>
      <c r="C1430" s="43"/>
      <c r="D1430" s="30"/>
      <c r="E1430" s="28"/>
      <c r="F1430" s="30"/>
      <c r="G1430" s="30"/>
      <c r="H1430" s="30"/>
      <c r="I1430" s="30"/>
      <c r="J1430" s="28"/>
      <c r="K1430" s="30"/>
      <c r="L1430" s="30"/>
      <c r="M1430" s="30"/>
      <c r="N1430" s="30"/>
      <c r="O1430" s="28"/>
      <c r="P1430" s="30"/>
      <c r="Q1430" s="30"/>
      <c r="R1430" s="30"/>
      <c r="S1430" s="36"/>
      <c r="T1430" s="30"/>
      <c r="U1430" s="36"/>
      <c r="V1430" s="30"/>
      <c r="W1430" s="28"/>
      <c r="X1430" s="30"/>
      <c r="Y1430" s="30"/>
      <c r="Z1430" s="30"/>
      <c r="AA1430" s="30"/>
      <c r="AB1430" s="30"/>
      <c r="AC1430" s="28"/>
      <c r="AD1430" s="30"/>
      <c r="AE1430" s="30"/>
      <c r="AF1430" s="30"/>
      <c r="AG1430" s="29"/>
      <c r="AH1430" s="30"/>
      <c r="AI1430" s="36"/>
      <c r="AJ1430" s="30"/>
      <c r="AK1430" s="29"/>
      <c r="AL1430" s="30"/>
      <c r="AM1430" s="30"/>
      <c r="AN1430" s="30"/>
      <c r="AO1430" s="30"/>
      <c r="AP1430" s="30"/>
      <c r="AQ1430" s="38"/>
      <c r="AR1430" s="30"/>
      <c r="AS1430" s="30"/>
      <c r="AT1430" s="29"/>
      <c r="AU1430" s="30"/>
      <c r="AV1430" s="30"/>
      <c r="AW1430" s="30"/>
      <c r="AX1430" s="29"/>
      <c r="AY1430" s="39"/>
      <c r="AZ1430" s="30"/>
      <c r="BA1430" s="30"/>
      <c r="BB1430" s="29"/>
      <c r="BC1430" s="52"/>
      <c r="BD1430" s="30"/>
      <c r="BE1430" s="29"/>
      <c r="BF1430" s="30"/>
      <c r="BG1430" s="30"/>
      <c r="BH1430" s="30"/>
      <c r="BI1430" s="30"/>
      <c r="BJ1430" s="30"/>
      <c r="BK1430" s="30"/>
      <c r="BL1430" s="30"/>
      <c r="BM1430" s="30"/>
      <c r="BN1430" s="30"/>
      <c r="BO1430" s="30"/>
      <c r="BP1430" s="30"/>
      <c r="BQ1430" s="30"/>
      <c r="BR1430" s="30"/>
      <c r="BS1430" s="30"/>
      <c r="BT1430" s="30"/>
      <c r="BU1430" s="30"/>
      <c r="BV1430" s="30"/>
      <c r="BW1430" s="30"/>
      <c r="BX1430" s="30"/>
      <c r="BY1430" s="30"/>
      <c r="BZ1430" s="30"/>
      <c r="CA1430" s="30"/>
      <c r="CB1430" s="30"/>
      <c r="CC1430" s="30"/>
      <c r="CD1430" s="30"/>
      <c r="CE1430" s="30"/>
      <c r="CF1430" s="30"/>
      <c r="CG1430" s="30"/>
      <c r="CH1430" s="30"/>
      <c r="CI1430" s="30"/>
      <c r="CJ1430" s="30"/>
      <c r="CK1430" s="30"/>
      <c r="CL1430" s="30"/>
      <c r="CM1430" s="30"/>
      <c r="CN1430" s="30"/>
      <c r="CO1430" s="30"/>
      <c r="CP1430" s="30"/>
      <c r="CQ1430" s="30"/>
      <c r="CR1430" s="30"/>
      <c r="CS1430" s="30"/>
      <c r="CT1430" s="30"/>
      <c r="CU1430" s="30"/>
      <c r="CV1430" s="30"/>
      <c r="CW1430" s="30"/>
      <c r="CX1430" s="30"/>
      <c r="CY1430" s="30"/>
      <c r="CZ1430" s="30"/>
      <c r="DA1430" s="30"/>
      <c r="DB1430" s="30"/>
      <c r="DC1430" s="30"/>
      <c r="DD1430" s="30"/>
      <c r="DE1430" s="30"/>
      <c r="DF1430" s="30"/>
      <c r="DG1430" s="30"/>
      <c r="DH1430" s="30"/>
      <c r="DI1430" s="30"/>
      <c r="DJ1430" s="30"/>
      <c r="DK1430" s="30"/>
      <c r="DL1430" s="30"/>
      <c r="DM1430" s="30"/>
      <c r="DN1430" s="30"/>
      <c r="DO1430" s="30"/>
      <c r="DP1430" s="30"/>
      <c r="DQ1430" s="30"/>
      <c r="DR1430" s="30"/>
      <c r="DS1430" s="30"/>
      <c r="DT1430" s="30"/>
      <c r="DU1430" s="30"/>
      <c r="DV1430" s="30"/>
      <c r="DW1430" s="30"/>
      <c r="DX1430" s="30"/>
      <c r="DY1430" s="30"/>
      <c r="DZ1430" s="30"/>
    </row>
    <row r="1431">
      <c r="A1431" s="30"/>
      <c r="B1431" s="42"/>
      <c r="C1431" s="43"/>
      <c r="D1431" s="30"/>
      <c r="E1431" s="28"/>
      <c r="F1431" s="30"/>
      <c r="G1431" s="30"/>
      <c r="H1431" s="30"/>
      <c r="I1431" s="30"/>
      <c r="J1431" s="28"/>
      <c r="K1431" s="30"/>
      <c r="L1431" s="30"/>
      <c r="M1431" s="30"/>
      <c r="N1431" s="30"/>
      <c r="O1431" s="28"/>
      <c r="P1431" s="30"/>
      <c r="Q1431" s="30"/>
      <c r="R1431" s="30"/>
      <c r="S1431" s="36"/>
      <c r="T1431" s="30"/>
      <c r="U1431" s="36"/>
      <c r="V1431" s="30"/>
      <c r="W1431" s="28"/>
      <c r="X1431" s="30"/>
      <c r="Y1431" s="30"/>
      <c r="Z1431" s="30"/>
      <c r="AA1431" s="30"/>
      <c r="AB1431" s="30"/>
      <c r="AC1431" s="28"/>
      <c r="AD1431" s="30"/>
      <c r="AE1431" s="30"/>
      <c r="AF1431" s="30"/>
      <c r="AG1431" s="29"/>
      <c r="AH1431" s="30"/>
      <c r="AI1431" s="36"/>
      <c r="AJ1431" s="30"/>
      <c r="AK1431" s="29"/>
      <c r="AL1431" s="30"/>
      <c r="AM1431" s="30"/>
      <c r="AN1431" s="30"/>
      <c r="AO1431" s="30"/>
      <c r="AP1431" s="30"/>
      <c r="AQ1431" s="38"/>
      <c r="AR1431" s="30"/>
      <c r="AS1431" s="30"/>
      <c r="AT1431" s="29"/>
      <c r="AU1431" s="30"/>
      <c r="AV1431" s="30"/>
      <c r="AW1431" s="30"/>
      <c r="AX1431" s="29"/>
      <c r="AY1431" s="39"/>
      <c r="AZ1431" s="30"/>
      <c r="BA1431" s="30"/>
      <c r="BB1431" s="29"/>
      <c r="BC1431" s="52"/>
      <c r="BD1431" s="30"/>
      <c r="BE1431" s="29"/>
      <c r="BF1431" s="30"/>
      <c r="BG1431" s="30"/>
      <c r="BH1431" s="30"/>
      <c r="BI1431" s="30"/>
      <c r="BJ1431" s="30"/>
      <c r="BK1431" s="30"/>
      <c r="BL1431" s="30"/>
      <c r="BM1431" s="30"/>
      <c r="BN1431" s="30"/>
      <c r="BO1431" s="30"/>
      <c r="BP1431" s="30"/>
      <c r="BQ1431" s="30"/>
      <c r="BR1431" s="30"/>
      <c r="BS1431" s="30"/>
      <c r="BT1431" s="30"/>
      <c r="BU1431" s="30"/>
      <c r="BV1431" s="30"/>
      <c r="BW1431" s="30"/>
      <c r="BX1431" s="30"/>
      <c r="BY1431" s="30"/>
      <c r="BZ1431" s="30"/>
      <c r="CA1431" s="30"/>
      <c r="CB1431" s="30"/>
      <c r="CC1431" s="30"/>
      <c r="CD1431" s="30"/>
      <c r="CE1431" s="30"/>
      <c r="CF1431" s="30"/>
      <c r="CG1431" s="30"/>
      <c r="CH1431" s="30"/>
      <c r="CI1431" s="30"/>
      <c r="CJ1431" s="30"/>
      <c r="CK1431" s="30"/>
      <c r="CL1431" s="30"/>
      <c r="CM1431" s="30"/>
      <c r="CN1431" s="30"/>
      <c r="CO1431" s="30"/>
      <c r="CP1431" s="30"/>
      <c r="CQ1431" s="30"/>
      <c r="CR1431" s="30"/>
      <c r="CS1431" s="30"/>
      <c r="CT1431" s="30"/>
      <c r="CU1431" s="30"/>
      <c r="CV1431" s="30"/>
      <c r="CW1431" s="30"/>
      <c r="CX1431" s="30"/>
      <c r="CY1431" s="30"/>
      <c r="CZ1431" s="30"/>
      <c r="DA1431" s="30"/>
      <c r="DB1431" s="30"/>
      <c r="DC1431" s="30"/>
      <c r="DD1431" s="30"/>
      <c r="DE1431" s="30"/>
      <c r="DF1431" s="30"/>
      <c r="DG1431" s="30"/>
      <c r="DH1431" s="30"/>
      <c r="DI1431" s="30"/>
      <c r="DJ1431" s="30"/>
      <c r="DK1431" s="30"/>
      <c r="DL1431" s="30"/>
      <c r="DM1431" s="30"/>
      <c r="DN1431" s="30"/>
      <c r="DO1431" s="30"/>
      <c r="DP1431" s="30"/>
      <c r="DQ1431" s="30"/>
      <c r="DR1431" s="30"/>
      <c r="DS1431" s="30"/>
      <c r="DT1431" s="30"/>
      <c r="DU1431" s="30"/>
      <c r="DV1431" s="30"/>
      <c r="DW1431" s="30"/>
      <c r="DX1431" s="30"/>
      <c r="DY1431" s="30"/>
      <c r="DZ1431" s="30"/>
    </row>
    <row r="1432">
      <c r="A1432" s="30"/>
      <c r="B1432" s="42"/>
      <c r="C1432" s="43"/>
      <c r="D1432" s="30"/>
      <c r="E1432" s="28"/>
      <c r="F1432" s="30"/>
      <c r="G1432" s="30"/>
      <c r="H1432" s="30"/>
      <c r="I1432" s="30"/>
      <c r="J1432" s="28"/>
      <c r="K1432" s="30"/>
      <c r="L1432" s="30"/>
      <c r="M1432" s="30"/>
      <c r="N1432" s="30"/>
      <c r="O1432" s="28"/>
      <c r="P1432" s="30"/>
      <c r="Q1432" s="30"/>
      <c r="R1432" s="30"/>
      <c r="S1432" s="36"/>
      <c r="T1432" s="30"/>
      <c r="U1432" s="36"/>
      <c r="V1432" s="30"/>
      <c r="W1432" s="28"/>
      <c r="X1432" s="30"/>
      <c r="Y1432" s="30"/>
      <c r="Z1432" s="30"/>
      <c r="AA1432" s="30"/>
      <c r="AB1432" s="30"/>
      <c r="AC1432" s="28"/>
      <c r="AD1432" s="30"/>
      <c r="AE1432" s="30"/>
      <c r="AF1432" s="30"/>
      <c r="AG1432" s="29"/>
      <c r="AH1432" s="30"/>
      <c r="AI1432" s="36"/>
      <c r="AJ1432" s="30"/>
      <c r="AK1432" s="29"/>
      <c r="AL1432" s="30"/>
      <c r="AM1432" s="30"/>
      <c r="AN1432" s="30"/>
      <c r="AO1432" s="30"/>
      <c r="AP1432" s="30"/>
      <c r="AQ1432" s="38"/>
      <c r="AR1432" s="30"/>
      <c r="AS1432" s="30"/>
      <c r="AT1432" s="29"/>
      <c r="AU1432" s="30"/>
      <c r="AV1432" s="30"/>
      <c r="AW1432" s="30"/>
      <c r="AX1432" s="29"/>
      <c r="AY1432" s="39"/>
      <c r="AZ1432" s="30"/>
      <c r="BA1432" s="30"/>
      <c r="BB1432" s="29"/>
      <c r="BC1432" s="52"/>
      <c r="BD1432" s="30"/>
      <c r="BE1432" s="29"/>
      <c r="BF1432" s="30"/>
      <c r="BG1432" s="30"/>
      <c r="BH1432" s="30"/>
      <c r="BI1432" s="30"/>
      <c r="BJ1432" s="30"/>
      <c r="BK1432" s="30"/>
      <c r="BL1432" s="30"/>
      <c r="BM1432" s="30"/>
      <c r="BN1432" s="30"/>
      <c r="BO1432" s="30"/>
      <c r="BP1432" s="30"/>
      <c r="BQ1432" s="30"/>
      <c r="BR1432" s="30"/>
      <c r="BS1432" s="30"/>
      <c r="BT1432" s="30"/>
      <c r="BU1432" s="30"/>
      <c r="BV1432" s="30"/>
      <c r="BW1432" s="30"/>
      <c r="BX1432" s="30"/>
      <c r="BY1432" s="30"/>
      <c r="BZ1432" s="30"/>
      <c r="CA1432" s="30"/>
      <c r="CB1432" s="30"/>
      <c r="CC1432" s="30"/>
      <c r="CD1432" s="30"/>
      <c r="CE1432" s="30"/>
      <c r="CF1432" s="30"/>
      <c r="CG1432" s="30"/>
      <c r="CH1432" s="30"/>
      <c r="CI1432" s="30"/>
      <c r="CJ1432" s="30"/>
      <c r="CK1432" s="30"/>
      <c r="CL1432" s="30"/>
      <c r="CM1432" s="30"/>
      <c r="CN1432" s="30"/>
      <c r="CO1432" s="30"/>
      <c r="CP1432" s="30"/>
      <c r="CQ1432" s="30"/>
      <c r="CR1432" s="30"/>
      <c r="CS1432" s="30"/>
      <c r="CT1432" s="30"/>
      <c r="CU1432" s="30"/>
      <c r="CV1432" s="30"/>
      <c r="CW1432" s="30"/>
      <c r="CX1432" s="30"/>
      <c r="CY1432" s="30"/>
      <c r="CZ1432" s="30"/>
      <c r="DA1432" s="30"/>
      <c r="DB1432" s="30"/>
      <c r="DC1432" s="30"/>
      <c r="DD1432" s="30"/>
      <c r="DE1432" s="30"/>
      <c r="DF1432" s="30"/>
      <c r="DG1432" s="30"/>
      <c r="DH1432" s="30"/>
      <c r="DI1432" s="30"/>
      <c r="DJ1432" s="30"/>
      <c r="DK1432" s="30"/>
      <c r="DL1432" s="30"/>
      <c r="DM1432" s="30"/>
      <c r="DN1432" s="30"/>
      <c r="DO1432" s="30"/>
      <c r="DP1432" s="30"/>
      <c r="DQ1432" s="30"/>
      <c r="DR1432" s="30"/>
      <c r="DS1432" s="30"/>
      <c r="DT1432" s="30"/>
      <c r="DU1432" s="30"/>
      <c r="DV1432" s="30"/>
      <c r="DW1432" s="30"/>
      <c r="DX1432" s="30"/>
      <c r="DY1432" s="30"/>
      <c r="DZ1432" s="30"/>
    </row>
    <row r="1433">
      <c r="A1433" s="30"/>
      <c r="B1433" s="42"/>
      <c r="C1433" s="43"/>
      <c r="D1433" s="30"/>
      <c r="E1433" s="28"/>
      <c r="F1433" s="30"/>
      <c r="G1433" s="30"/>
      <c r="H1433" s="30"/>
      <c r="I1433" s="30"/>
      <c r="J1433" s="28"/>
      <c r="K1433" s="30"/>
      <c r="L1433" s="30"/>
      <c r="M1433" s="30"/>
      <c r="N1433" s="30"/>
      <c r="O1433" s="28"/>
      <c r="P1433" s="30"/>
      <c r="Q1433" s="30"/>
      <c r="R1433" s="30"/>
      <c r="S1433" s="36"/>
      <c r="T1433" s="30"/>
      <c r="U1433" s="36"/>
      <c r="V1433" s="30"/>
      <c r="W1433" s="28"/>
      <c r="X1433" s="30"/>
      <c r="Y1433" s="30"/>
      <c r="Z1433" s="30"/>
      <c r="AA1433" s="30"/>
      <c r="AB1433" s="30"/>
      <c r="AC1433" s="28"/>
      <c r="AD1433" s="30"/>
      <c r="AE1433" s="30"/>
      <c r="AF1433" s="30"/>
      <c r="AG1433" s="29"/>
      <c r="AH1433" s="30"/>
      <c r="AI1433" s="36"/>
      <c r="AJ1433" s="30"/>
      <c r="AK1433" s="29"/>
      <c r="AL1433" s="30"/>
      <c r="AM1433" s="30"/>
      <c r="AN1433" s="30"/>
      <c r="AO1433" s="30"/>
      <c r="AP1433" s="30"/>
      <c r="AQ1433" s="38"/>
      <c r="AR1433" s="30"/>
      <c r="AS1433" s="30"/>
      <c r="AT1433" s="29"/>
      <c r="AU1433" s="30"/>
      <c r="AV1433" s="30"/>
      <c r="AW1433" s="30"/>
      <c r="AX1433" s="29"/>
      <c r="AY1433" s="39"/>
      <c r="AZ1433" s="30"/>
      <c r="BA1433" s="30"/>
      <c r="BB1433" s="29"/>
      <c r="BC1433" s="52"/>
      <c r="BD1433" s="30"/>
      <c r="BE1433" s="29"/>
      <c r="BF1433" s="30"/>
      <c r="BG1433" s="30"/>
      <c r="BH1433" s="30"/>
      <c r="BI1433" s="30"/>
      <c r="BJ1433" s="30"/>
      <c r="BK1433" s="30"/>
      <c r="BL1433" s="30"/>
      <c r="BM1433" s="30"/>
      <c r="BN1433" s="30"/>
      <c r="BO1433" s="30"/>
      <c r="BP1433" s="30"/>
      <c r="BQ1433" s="30"/>
      <c r="BR1433" s="30"/>
      <c r="BS1433" s="30"/>
      <c r="BT1433" s="30"/>
      <c r="BU1433" s="30"/>
      <c r="BV1433" s="30"/>
      <c r="BW1433" s="30"/>
      <c r="BX1433" s="30"/>
      <c r="BY1433" s="30"/>
      <c r="BZ1433" s="30"/>
      <c r="CA1433" s="30"/>
      <c r="CB1433" s="30"/>
      <c r="CC1433" s="30"/>
      <c r="CD1433" s="30"/>
      <c r="CE1433" s="30"/>
      <c r="CF1433" s="30"/>
      <c r="CG1433" s="30"/>
      <c r="CH1433" s="30"/>
      <c r="CI1433" s="30"/>
      <c r="CJ1433" s="30"/>
      <c r="CK1433" s="30"/>
      <c r="CL1433" s="30"/>
      <c r="CM1433" s="30"/>
      <c r="CN1433" s="30"/>
      <c r="CO1433" s="30"/>
      <c r="CP1433" s="30"/>
      <c r="CQ1433" s="30"/>
      <c r="CR1433" s="30"/>
      <c r="CS1433" s="30"/>
      <c r="CT1433" s="30"/>
      <c r="CU1433" s="30"/>
      <c r="CV1433" s="30"/>
      <c r="CW1433" s="30"/>
      <c r="CX1433" s="30"/>
      <c r="CY1433" s="30"/>
      <c r="CZ1433" s="30"/>
      <c r="DA1433" s="30"/>
      <c r="DB1433" s="30"/>
      <c r="DC1433" s="30"/>
      <c r="DD1433" s="30"/>
      <c r="DE1433" s="30"/>
      <c r="DF1433" s="30"/>
      <c r="DG1433" s="30"/>
      <c r="DH1433" s="30"/>
      <c r="DI1433" s="30"/>
      <c r="DJ1433" s="30"/>
      <c r="DK1433" s="30"/>
      <c r="DL1433" s="30"/>
      <c r="DM1433" s="30"/>
      <c r="DN1433" s="30"/>
      <c r="DO1433" s="30"/>
      <c r="DP1433" s="30"/>
      <c r="DQ1433" s="30"/>
      <c r="DR1433" s="30"/>
      <c r="DS1433" s="30"/>
      <c r="DT1433" s="30"/>
      <c r="DU1433" s="30"/>
      <c r="DV1433" s="30"/>
      <c r="DW1433" s="30"/>
      <c r="DX1433" s="30"/>
      <c r="DY1433" s="30"/>
      <c r="DZ1433" s="30"/>
    </row>
    <row r="1434">
      <c r="A1434" s="30"/>
      <c r="B1434" s="42"/>
      <c r="C1434" s="43"/>
      <c r="D1434" s="30"/>
      <c r="E1434" s="28"/>
      <c r="F1434" s="30"/>
      <c r="G1434" s="30"/>
      <c r="H1434" s="30"/>
      <c r="I1434" s="30"/>
      <c r="J1434" s="28"/>
      <c r="K1434" s="30"/>
      <c r="L1434" s="30"/>
      <c r="M1434" s="30"/>
      <c r="N1434" s="30"/>
      <c r="O1434" s="28"/>
      <c r="P1434" s="30"/>
      <c r="Q1434" s="30"/>
      <c r="R1434" s="30"/>
      <c r="S1434" s="36"/>
      <c r="T1434" s="30"/>
      <c r="U1434" s="36"/>
      <c r="V1434" s="30"/>
      <c r="W1434" s="28"/>
      <c r="X1434" s="30"/>
      <c r="Y1434" s="30"/>
      <c r="Z1434" s="30"/>
      <c r="AA1434" s="30"/>
      <c r="AB1434" s="30"/>
      <c r="AC1434" s="28"/>
      <c r="AD1434" s="30"/>
      <c r="AE1434" s="30"/>
      <c r="AF1434" s="30"/>
      <c r="AG1434" s="29"/>
      <c r="AH1434" s="30"/>
      <c r="AI1434" s="36"/>
      <c r="AJ1434" s="30"/>
      <c r="AK1434" s="29"/>
      <c r="AL1434" s="30"/>
      <c r="AM1434" s="30"/>
      <c r="AN1434" s="30"/>
      <c r="AO1434" s="30"/>
      <c r="AP1434" s="30"/>
      <c r="AQ1434" s="38"/>
      <c r="AR1434" s="30"/>
      <c r="AS1434" s="30"/>
      <c r="AT1434" s="29"/>
      <c r="AU1434" s="30"/>
      <c r="AV1434" s="30"/>
      <c r="AW1434" s="30"/>
      <c r="AX1434" s="29"/>
      <c r="AY1434" s="39"/>
      <c r="AZ1434" s="30"/>
      <c r="BA1434" s="30"/>
      <c r="BB1434" s="29"/>
      <c r="BC1434" s="52"/>
      <c r="BD1434" s="30"/>
      <c r="BE1434" s="29"/>
      <c r="BF1434" s="30"/>
      <c r="BG1434" s="30"/>
      <c r="BH1434" s="30"/>
      <c r="BI1434" s="30"/>
      <c r="BJ1434" s="30"/>
      <c r="BK1434" s="30"/>
      <c r="BL1434" s="30"/>
      <c r="BM1434" s="30"/>
      <c r="BN1434" s="30"/>
      <c r="BO1434" s="30"/>
      <c r="BP1434" s="30"/>
      <c r="BQ1434" s="30"/>
      <c r="BR1434" s="30"/>
      <c r="BS1434" s="30"/>
      <c r="BT1434" s="30"/>
      <c r="BU1434" s="30"/>
      <c r="BV1434" s="30"/>
      <c r="BW1434" s="30"/>
      <c r="BX1434" s="30"/>
      <c r="BY1434" s="30"/>
      <c r="BZ1434" s="30"/>
      <c r="CA1434" s="30"/>
      <c r="CB1434" s="30"/>
      <c r="CC1434" s="30"/>
      <c r="CD1434" s="30"/>
      <c r="CE1434" s="30"/>
      <c r="CF1434" s="30"/>
      <c r="CG1434" s="30"/>
      <c r="CH1434" s="30"/>
      <c r="CI1434" s="30"/>
      <c r="CJ1434" s="30"/>
      <c r="CK1434" s="30"/>
      <c r="CL1434" s="30"/>
      <c r="CM1434" s="30"/>
      <c r="CN1434" s="30"/>
      <c r="CO1434" s="30"/>
      <c r="CP1434" s="30"/>
      <c r="CQ1434" s="30"/>
      <c r="CR1434" s="30"/>
      <c r="CS1434" s="30"/>
      <c r="CT1434" s="30"/>
      <c r="CU1434" s="30"/>
      <c r="CV1434" s="30"/>
      <c r="CW1434" s="30"/>
      <c r="CX1434" s="30"/>
      <c r="CY1434" s="30"/>
      <c r="CZ1434" s="30"/>
      <c r="DA1434" s="30"/>
      <c r="DB1434" s="30"/>
      <c r="DC1434" s="30"/>
      <c r="DD1434" s="30"/>
      <c r="DE1434" s="30"/>
      <c r="DF1434" s="30"/>
      <c r="DG1434" s="30"/>
      <c r="DH1434" s="30"/>
      <c r="DI1434" s="30"/>
      <c r="DJ1434" s="30"/>
      <c r="DK1434" s="30"/>
      <c r="DL1434" s="30"/>
      <c r="DM1434" s="30"/>
      <c r="DN1434" s="30"/>
      <c r="DO1434" s="30"/>
      <c r="DP1434" s="30"/>
      <c r="DQ1434" s="30"/>
      <c r="DR1434" s="30"/>
      <c r="DS1434" s="30"/>
      <c r="DT1434" s="30"/>
      <c r="DU1434" s="30"/>
      <c r="DV1434" s="30"/>
      <c r="DW1434" s="30"/>
      <c r="DX1434" s="30"/>
      <c r="DY1434" s="30"/>
      <c r="DZ1434" s="30"/>
    </row>
    <row r="1435">
      <c r="A1435" s="30"/>
      <c r="B1435" s="42"/>
      <c r="C1435" s="43"/>
      <c r="D1435" s="30"/>
      <c r="E1435" s="28"/>
      <c r="F1435" s="30"/>
      <c r="G1435" s="30"/>
      <c r="H1435" s="30"/>
      <c r="I1435" s="30"/>
      <c r="J1435" s="28"/>
      <c r="K1435" s="30"/>
      <c r="L1435" s="30"/>
      <c r="M1435" s="30"/>
      <c r="N1435" s="30"/>
      <c r="O1435" s="28"/>
      <c r="P1435" s="30"/>
      <c r="Q1435" s="30"/>
      <c r="R1435" s="30"/>
      <c r="S1435" s="36"/>
      <c r="T1435" s="30"/>
      <c r="U1435" s="36"/>
      <c r="V1435" s="30"/>
      <c r="W1435" s="28"/>
      <c r="X1435" s="30"/>
      <c r="Y1435" s="30"/>
      <c r="Z1435" s="30"/>
      <c r="AA1435" s="30"/>
      <c r="AB1435" s="30"/>
      <c r="AC1435" s="28"/>
      <c r="AD1435" s="30"/>
      <c r="AE1435" s="30"/>
      <c r="AF1435" s="30"/>
      <c r="AG1435" s="29"/>
      <c r="AH1435" s="30"/>
      <c r="AI1435" s="36"/>
      <c r="AJ1435" s="30"/>
      <c r="AK1435" s="29"/>
      <c r="AL1435" s="30"/>
      <c r="AM1435" s="30"/>
      <c r="AN1435" s="30"/>
      <c r="AO1435" s="30"/>
      <c r="AP1435" s="30"/>
      <c r="AQ1435" s="38"/>
      <c r="AR1435" s="30"/>
      <c r="AS1435" s="30"/>
      <c r="AT1435" s="29"/>
      <c r="AU1435" s="30"/>
      <c r="AV1435" s="30"/>
      <c r="AW1435" s="30"/>
      <c r="AX1435" s="29"/>
      <c r="AY1435" s="39"/>
      <c r="AZ1435" s="30"/>
      <c r="BA1435" s="30"/>
      <c r="BB1435" s="29"/>
      <c r="BC1435" s="52"/>
      <c r="BD1435" s="30"/>
      <c r="BE1435" s="29"/>
      <c r="BF1435" s="30"/>
      <c r="BG1435" s="30"/>
      <c r="BH1435" s="30"/>
      <c r="BI1435" s="30"/>
      <c r="BJ1435" s="30"/>
      <c r="BK1435" s="30"/>
      <c r="BL1435" s="30"/>
      <c r="BM1435" s="30"/>
      <c r="BN1435" s="30"/>
      <c r="BO1435" s="30"/>
      <c r="BP1435" s="30"/>
      <c r="BQ1435" s="30"/>
      <c r="BR1435" s="30"/>
      <c r="BS1435" s="30"/>
      <c r="BT1435" s="30"/>
      <c r="BU1435" s="30"/>
      <c r="BV1435" s="30"/>
      <c r="BW1435" s="30"/>
      <c r="BX1435" s="30"/>
      <c r="BY1435" s="30"/>
      <c r="BZ1435" s="30"/>
      <c r="CA1435" s="30"/>
      <c r="CB1435" s="30"/>
      <c r="CC1435" s="30"/>
      <c r="CD1435" s="30"/>
      <c r="CE1435" s="30"/>
      <c r="CF1435" s="30"/>
      <c r="CG1435" s="30"/>
      <c r="CH1435" s="30"/>
      <c r="CI1435" s="30"/>
      <c r="CJ1435" s="30"/>
      <c r="CK1435" s="30"/>
      <c r="CL1435" s="30"/>
      <c r="CM1435" s="30"/>
      <c r="CN1435" s="30"/>
      <c r="CO1435" s="30"/>
      <c r="CP1435" s="30"/>
      <c r="CQ1435" s="30"/>
      <c r="CR1435" s="30"/>
      <c r="CS1435" s="30"/>
      <c r="CT1435" s="30"/>
      <c r="CU1435" s="30"/>
      <c r="CV1435" s="30"/>
      <c r="CW1435" s="30"/>
      <c r="CX1435" s="30"/>
      <c r="CY1435" s="30"/>
      <c r="CZ1435" s="30"/>
      <c r="DA1435" s="30"/>
      <c r="DB1435" s="30"/>
      <c r="DC1435" s="30"/>
      <c r="DD1435" s="30"/>
      <c r="DE1435" s="30"/>
      <c r="DF1435" s="30"/>
      <c r="DG1435" s="30"/>
      <c r="DH1435" s="30"/>
      <c r="DI1435" s="30"/>
      <c r="DJ1435" s="30"/>
      <c r="DK1435" s="30"/>
      <c r="DL1435" s="30"/>
      <c r="DM1435" s="30"/>
      <c r="DN1435" s="30"/>
      <c r="DO1435" s="30"/>
      <c r="DP1435" s="30"/>
      <c r="DQ1435" s="30"/>
      <c r="DR1435" s="30"/>
      <c r="DS1435" s="30"/>
      <c r="DT1435" s="30"/>
      <c r="DU1435" s="30"/>
      <c r="DV1435" s="30"/>
      <c r="DW1435" s="30"/>
      <c r="DX1435" s="30"/>
      <c r="DY1435" s="30"/>
      <c r="DZ1435" s="30"/>
    </row>
    <row r="1436">
      <c r="A1436" s="30"/>
      <c r="B1436" s="42"/>
      <c r="C1436" s="43"/>
      <c r="D1436" s="30"/>
      <c r="E1436" s="28"/>
      <c r="F1436" s="30"/>
      <c r="G1436" s="30"/>
      <c r="H1436" s="30"/>
      <c r="I1436" s="30"/>
      <c r="J1436" s="28"/>
      <c r="K1436" s="30"/>
      <c r="L1436" s="30"/>
      <c r="M1436" s="30"/>
      <c r="N1436" s="30"/>
      <c r="O1436" s="28"/>
      <c r="P1436" s="30"/>
      <c r="Q1436" s="30"/>
      <c r="R1436" s="30"/>
      <c r="S1436" s="36"/>
      <c r="T1436" s="30"/>
      <c r="U1436" s="36"/>
      <c r="V1436" s="30"/>
      <c r="W1436" s="28"/>
      <c r="X1436" s="30"/>
      <c r="Y1436" s="30"/>
      <c r="Z1436" s="30"/>
      <c r="AA1436" s="30"/>
      <c r="AB1436" s="30"/>
      <c r="AC1436" s="28"/>
      <c r="AD1436" s="30"/>
      <c r="AE1436" s="30"/>
      <c r="AF1436" s="30"/>
      <c r="AG1436" s="29"/>
      <c r="AH1436" s="30"/>
      <c r="AI1436" s="36"/>
      <c r="AJ1436" s="30"/>
      <c r="AK1436" s="29"/>
      <c r="AL1436" s="30"/>
      <c r="AM1436" s="30"/>
      <c r="AN1436" s="30"/>
      <c r="AO1436" s="30"/>
      <c r="AP1436" s="30"/>
      <c r="AQ1436" s="38"/>
      <c r="AR1436" s="30"/>
      <c r="AS1436" s="30"/>
      <c r="AT1436" s="29"/>
      <c r="AU1436" s="30"/>
      <c r="AV1436" s="30"/>
      <c r="AW1436" s="30"/>
      <c r="AX1436" s="29"/>
      <c r="AY1436" s="39"/>
      <c r="AZ1436" s="30"/>
      <c r="BA1436" s="30"/>
      <c r="BB1436" s="29"/>
      <c r="BC1436" s="52"/>
      <c r="BD1436" s="30"/>
      <c r="BE1436" s="29"/>
      <c r="BF1436" s="30"/>
      <c r="BG1436" s="30"/>
      <c r="BH1436" s="30"/>
      <c r="BI1436" s="30"/>
      <c r="BJ1436" s="30"/>
      <c r="BK1436" s="30"/>
      <c r="BL1436" s="30"/>
      <c r="BM1436" s="30"/>
      <c r="BN1436" s="30"/>
      <c r="BO1436" s="30"/>
      <c r="BP1436" s="30"/>
      <c r="BQ1436" s="30"/>
      <c r="BR1436" s="30"/>
      <c r="BS1436" s="30"/>
      <c r="BT1436" s="30"/>
      <c r="BU1436" s="30"/>
      <c r="BV1436" s="30"/>
      <c r="BW1436" s="30"/>
      <c r="BX1436" s="30"/>
      <c r="BY1436" s="30"/>
      <c r="BZ1436" s="30"/>
      <c r="CA1436" s="30"/>
      <c r="CB1436" s="30"/>
      <c r="CC1436" s="30"/>
      <c r="CD1436" s="30"/>
      <c r="CE1436" s="30"/>
      <c r="CF1436" s="30"/>
      <c r="CG1436" s="30"/>
      <c r="CH1436" s="30"/>
      <c r="CI1436" s="30"/>
      <c r="CJ1436" s="30"/>
      <c r="CK1436" s="30"/>
      <c r="CL1436" s="30"/>
      <c r="CM1436" s="30"/>
      <c r="CN1436" s="30"/>
      <c r="CO1436" s="30"/>
      <c r="CP1436" s="30"/>
      <c r="CQ1436" s="30"/>
      <c r="CR1436" s="30"/>
      <c r="CS1436" s="30"/>
      <c r="CT1436" s="30"/>
      <c r="CU1436" s="30"/>
      <c r="CV1436" s="30"/>
      <c r="CW1436" s="30"/>
      <c r="CX1436" s="30"/>
      <c r="CY1436" s="30"/>
      <c r="CZ1436" s="30"/>
      <c r="DA1436" s="30"/>
      <c r="DB1436" s="30"/>
      <c r="DC1436" s="30"/>
      <c r="DD1436" s="30"/>
      <c r="DE1436" s="30"/>
      <c r="DF1436" s="30"/>
      <c r="DG1436" s="30"/>
      <c r="DH1436" s="30"/>
      <c r="DI1436" s="30"/>
      <c r="DJ1436" s="30"/>
      <c r="DK1436" s="30"/>
      <c r="DL1436" s="30"/>
      <c r="DM1436" s="30"/>
      <c r="DN1436" s="30"/>
      <c r="DO1436" s="30"/>
      <c r="DP1436" s="30"/>
      <c r="DQ1436" s="30"/>
      <c r="DR1436" s="30"/>
      <c r="DS1436" s="30"/>
      <c r="DT1436" s="30"/>
      <c r="DU1436" s="30"/>
      <c r="DV1436" s="30"/>
      <c r="DW1436" s="30"/>
      <c r="DX1436" s="30"/>
      <c r="DY1436" s="30"/>
      <c r="DZ1436" s="30"/>
    </row>
    <row r="1437">
      <c r="A1437" s="30"/>
      <c r="B1437" s="42"/>
      <c r="C1437" s="43"/>
      <c r="D1437" s="30"/>
      <c r="E1437" s="28"/>
      <c r="F1437" s="30"/>
      <c r="G1437" s="30"/>
      <c r="H1437" s="30"/>
      <c r="I1437" s="30"/>
      <c r="J1437" s="28"/>
      <c r="K1437" s="30"/>
      <c r="L1437" s="30"/>
      <c r="M1437" s="30"/>
      <c r="N1437" s="30"/>
      <c r="O1437" s="28"/>
      <c r="P1437" s="30"/>
      <c r="Q1437" s="30"/>
      <c r="R1437" s="30"/>
      <c r="S1437" s="36"/>
      <c r="T1437" s="30"/>
      <c r="U1437" s="36"/>
      <c r="V1437" s="30"/>
      <c r="W1437" s="28"/>
      <c r="X1437" s="30"/>
      <c r="Y1437" s="30"/>
      <c r="Z1437" s="30"/>
      <c r="AA1437" s="30"/>
      <c r="AB1437" s="30"/>
      <c r="AC1437" s="28"/>
      <c r="AD1437" s="30"/>
      <c r="AE1437" s="30"/>
      <c r="AF1437" s="30"/>
      <c r="AG1437" s="29"/>
      <c r="AH1437" s="30"/>
      <c r="AI1437" s="36"/>
      <c r="AJ1437" s="30"/>
      <c r="AK1437" s="29"/>
      <c r="AL1437" s="30"/>
      <c r="AM1437" s="30"/>
      <c r="AN1437" s="30"/>
      <c r="AO1437" s="30"/>
      <c r="AP1437" s="30"/>
      <c r="AQ1437" s="38"/>
      <c r="AR1437" s="30"/>
      <c r="AS1437" s="30"/>
      <c r="AT1437" s="29"/>
      <c r="AU1437" s="30"/>
      <c r="AV1437" s="30"/>
      <c r="AW1437" s="30"/>
      <c r="AX1437" s="29"/>
      <c r="AY1437" s="39"/>
      <c r="AZ1437" s="30"/>
      <c r="BA1437" s="30"/>
      <c r="BB1437" s="29"/>
      <c r="BC1437" s="52"/>
      <c r="BD1437" s="30"/>
      <c r="BE1437" s="29"/>
      <c r="BF1437" s="30"/>
      <c r="BG1437" s="30"/>
      <c r="BH1437" s="30"/>
      <c r="BI1437" s="30"/>
      <c r="BJ1437" s="30"/>
      <c r="BK1437" s="30"/>
      <c r="BL1437" s="30"/>
      <c r="BM1437" s="30"/>
      <c r="BN1437" s="30"/>
      <c r="BO1437" s="30"/>
      <c r="BP1437" s="30"/>
      <c r="BQ1437" s="30"/>
      <c r="BR1437" s="30"/>
      <c r="BS1437" s="30"/>
      <c r="BT1437" s="30"/>
      <c r="BU1437" s="30"/>
      <c r="BV1437" s="30"/>
      <c r="BW1437" s="30"/>
      <c r="BX1437" s="30"/>
      <c r="BY1437" s="30"/>
      <c r="BZ1437" s="30"/>
      <c r="CA1437" s="30"/>
      <c r="CB1437" s="30"/>
      <c r="CC1437" s="30"/>
      <c r="CD1437" s="30"/>
      <c r="CE1437" s="30"/>
      <c r="CF1437" s="30"/>
      <c r="CG1437" s="30"/>
      <c r="CH1437" s="30"/>
      <c r="CI1437" s="30"/>
      <c r="CJ1437" s="30"/>
      <c r="CK1437" s="30"/>
      <c r="CL1437" s="30"/>
      <c r="CM1437" s="30"/>
      <c r="CN1437" s="30"/>
      <c r="CO1437" s="30"/>
      <c r="CP1437" s="30"/>
      <c r="CQ1437" s="30"/>
      <c r="CR1437" s="30"/>
      <c r="CS1437" s="30"/>
      <c r="CT1437" s="30"/>
      <c r="CU1437" s="30"/>
      <c r="CV1437" s="30"/>
      <c r="CW1437" s="30"/>
      <c r="CX1437" s="30"/>
      <c r="CY1437" s="30"/>
      <c r="CZ1437" s="30"/>
      <c r="DA1437" s="30"/>
      <c r="DB1437" s="30"/>
      <c r="DC1437" s="30"/>
      <c r="DD1437" s="30"/>
      <c r="DE1437" s="30"/>
      <c r="DF1437" s="30"/>
      <c r="DG1437" s="30"/>
      <c r="DH1437" s="30"/>
      <c r="DI1437" s="30"/>
      <c r="DJ1437" s="30"/>
      <c r="DK1437" s="30"/>
      <c r="DL1437" s="30"/>
      <c r="DM1437" s="30"/>
      <c r="DN1437" s="30"/>
      <c r="DO1437" s="30"/>
      <c r="DP1437" s="30"/>
      <c r="DQ1437" s="30"/>
      <c r="DR1437" s="30"/>
      <c r="DS1437" s="30"/>
      <c r="DT1437" s="30"/>
      <c r="DU1437" s="30"/>
      <c r="DV1437" s="30"/>
      <c r="DW1437" s="30"/>
      <c r="DX1437" s="30"/>
      <c r="DY1437" s="30"/>
      <c r="DZ1437" s="30"/>
    </row>
    <row r="1438">
      <c r="A1438" s="30"/>
      <c r="B1438" s="42"/>
      <c r="C1438" s="43"/>
      <c r="D1438" s="30"/>
      <c r="E1438" s="28"/>
      <c r="F1438" s="30"/>
      <c r="G1438" s="30"/>
      <c r="H1438" s="30"/>
      <c r="I1438" s="30"/>
      <c r="J1438" s="28"/>
      <c r="K1438" s="30"/>
      <c r="L1438" s="30"/>
      <c r="M1438" s="30"/>
      <c r="N1438" s="30"/>
      <c r="O1438" s="28"/>
      <c r="P1438" s="30"/>
      <c r="Q1438" s="30"/>
      <c r="R1438" s="30"/>
      <c r="S1438" s="36"/>
      <c r="T1438" s="30"/>
      <c r="U1438" s="36"/>
      <c r="V1438" s="30"/>
      <c r="W1438" s="28"/>
      <c r="X1438" s="30"/>
      <c r="Y1438" s="30"/>
      <c r="Z1438" s="30"/>
      <c r="AA1438" s="30"/>
      <c r="AB1438" s="30"/>
      <c r="AC1438" s="28"/>
      <c r="AD1438" s="30"/>
      <c r="AE1438" s="30"/>
      <c r="AF1438" s="30"/>
      <c r="AG1438" s="29"/>
      <c r="AH1438" s="30"/>
      <c r="AI1438" s="36"/>
      <c r="AJ1438" s="30"/>
      <c r="AK1438" s="29"/>
      <c r="AL1438" s="30"/>
      <c r="AM1438" s="30"/>
      <c r="AN1438" s="30"/>
      <c r="AO1438" s="30"/>
      <c r="AP1438" s="30"/>
      <c r="AQ1438" s="38"/>
      <c r="AR1438" s="30"/>
      <c r="AS1438" s="30"/>
      <c r="AT1438" s="29"/>
      <c r="AU1438" s="30"/>
      <c r="AV1438" s="30"/>
      <c r="AW1438" s="30"/>
      <c r="AX1438" s="29"/>
      <c r="AY1438" s="39"/>
      <c r="AZ1438" s="30"/>
      <c r="BA1438" s="30"/>
      <c r="BB1438" s="29"/>
      <c r="BC1438" s="52"/>
      <c r="BD1438" s="30"/>
      <c r="BE1438" s="29"/>
      <c r="BF1438" s="30"/>
      <c r="BG1438" s="30"/>
      <c r="BH1438" s="30"/>
      <c r="BI1438" s="30"/>
      <c r="BJ1438" s="30"/>
      <c r="BK1438" s="30"/>
      <c r="BL1438" s="30"/>
      <c r="BM1438" s="30"/>
      <c r="BN1438" s="30"/>
      <c r="BO1438" s="30"/>
      <c r="BP1438" s="30"/>
      <c r="BQ1438" s="30"/>
      <c r="BR1438" s="30"/>
      <c r="BS1438" s="30"/>
      <c r="BT1438" s="30"/>
      <c r="BU1438" s="30"/>
      <c r="BV1438" s="30"/>
      <c r="BW1438" s="30"/>
      <c r="BX1438" s="30"/>
      <c r="BY1438" s="30"/>
      <c r="BZ1438" s="30"/>
      <c r="CA1438" s="30"/>
      <c r="CB1438" s="30"/>
      <c r="CC1438" s="30"/>
      <c r="CD1438" s="30"/>
      <c r="CE1438" s="30"/>
      <c r="CF1438" s="30"/>
      <c r="CG1438" s="30"/>
      <c r="CH1438" s="30"/>
      <c r="CI1438" s="30"/>
      <c r="CJ1438" s="30"/>
      <c r="CK1438" s="30"/>
      <c r="CL1438" s="30"/>
      <c r="CM1438" s="30"/>
      <c r="CN1438" s="30"/>
      <c r="CO1438" s="30"/>
      <c r="CP1438" s="30"/>
      <c r="CQ1438" s="30"/>
      <c r="CR1438" s="30"/>
      <c r="CS1438" s="30"/>
      <c r="CT1438" s="30"/>
      <c r="CU1438" s="30"/>
      <c r="CV1438" s="30"/>
      <c r="CW1438" s="30"/>
      <c r="CX1438" s="30"/>
      <c r="CY1438" s="30"/>
      <c r="CZ1438" s="30"/>
      <c r="DA1438" s="30"/>
      <c r="DB1438" s="30"/>
      <c r="DC1438" s="30"/>
      <c r="DD1438" s="30"/>
      <c r="DE1438" s="30"/>
      <c r="DF1438" s="30"/>
      <c r="DG1438" s="30"/>
      <c r="DH1438" s="30"/>
      <c r="DI1438" s="30"/>
      <c r="DJ1438" s="30"/>
      <c r="DK1438" s="30"/>
      <c r="DL1438" s="30"/>
      <c r="DM1438" s="30"/>
      <c r="DN1438" s="30"/>
      <c r="DO1438" s="30"/>
      <c r="DP1438" s="30"/>
      <c r="DQ1438" s="30"/>
      <c r="DR1438" s="30"/>
      <c r="DS1438" s="30"/>
      <c r="DT1438" s="30"/>
      <c r="DU1438" s="30"/>
      <c r="DV1438" s="30"/>
      <c r="DW1438" s="30"/>
      <c r="DX1438" s="30"/>
      <c r="DY1438" s="30"/>
      <c r="DZ1438" s="30"/>
    </row>
    <row r="1439">
      <c r="A1439" s="30"/>
      <c r="B1439" s="42"/>
      <c r="C1439" s="43"/>
      <c r="D1439" s="30"/>
      <c r="E1439" s="28"/>
      <c r="F1439" s="30"/>
      <c r="G1439" s="30"/>
      <c r="H1439" s="30"/>
      <c r="I1439" s="30"/>
      <c r="J1439" s="28"/>
      <c r="K1439" s="30"/>
      <c r="L1439" s="30"/>
      <c r="M1439" s="30"/>
      <c r="N1439" s="30"/>
      <c r="O1439" s="28"/>
      <c r="P1439" s="30"/>
      <c r="Q1439" s="30"/>
      <c r="R1439" s="30"/>
      <c r="S1439" s="36"/>
      <c r="T1439" s="30"/>
      <c r="U1439" s="36"/>
      <c r="V1439" s="30"/>
      <c r="W1439" s="28"/>
      <c r="X1439" s="30"/>
      <c r="Y1439" s="30"/>
      <c r="Z1439" s="30"/>
      <c r="AA1439" s="30"/>
      <c r="AB1439" s="30"/>
      <c r="AC1439" s="28"/>
      <c r="AD1439" s="30"/>
      <c r="AE1439" s="30"/>
      <c r="AF1439" s="30"/>
      <c r="AG1439" s="29"/>
      <c r="AH1439" s="30"/>
      <c r="AI1439" s="36"/>
      <c r="AJ1439" s="30"/>
      <c r="AK1439" s="29"/>
      <c r="AL1439" s="30"/>
      <c r="AM1439" s="30"/>
      <c r="AN1439" s="30"/>
      <c r="AO1439" s="30"/>
      <c r="AP1439" s="30"/>
      <c r="AQ1439" s="38"/>
      <c r="AR1439" s="30"/>
      <c r="AS1439" s="30"/>
      <c r="AT1439" s="29"/>
      <c r="AU1439" s="30"/>
      <c r="AV1439" s="30"/>
      <c r="AW1439" s="30"/>
      <c r="AX1439" s="29"/>
      <c r="AY1439" s="39"/>
      <c r="AZ1439" s="30"/>
      <c r="BA1439" s="30"/>
      <c r="BB1439" s="29"/>
      <c r="BC1439" s="52"/>
      <c r="BD1439" s="30"/>
      <c r="BE1439" s="29"/>
      <c r="BF1439" s="30"/>
      <c r="BG1439" s="30"/>
      <c r="BH1439" s="30"/>
      <c r="BI1439" s="30"/>
      <c r="BJ1439" s="30"/>
      <c r="BK1439" s="30"/>
      <c r="BL1439" s="30"/>
      <c r="BM1439" s="30"/>
      <c r="BN1439" s="30"/>
      <c r="BO1439" s="30"/>
      <c r="BP1439" s="30"/>
      <c r="BQ1439" s="30"/>
      <c r="BR1439" s="30"/>
      <c r="BS1439" s="30"/>
      <c r="BT1439" s="30"/>
      <c r="BU1439" s="30"/>
      <c r="BV1439" s="30"/>
      <c r="BW1439" s="30"/>
      <c r="BX1439" s="30"/>
      <c r="BY1439" s="30"/>
      <c r="BZ1439" s="30"/>
      <c r="CA1439" s="30"/>
      <c r="CB1439" s="30"/>
      <c r="CC1439" s="30"/>
      <c r="CD1439" s="30"/>
      <c r="CE1439" s="30"/>
      <c r="CF1439" s="30"/>
      <c r="CG1439" s="30"/>
      <c r="CH1439" s="30"/>
      <c r="CI1439" s="30"/>
      <c r="CJ1439" s="30"/>
      <c r="CK1439" s="30"/>
      <c r="CL1439" s="30"/>
      <c r="CM1439" s="30"/>
      <c r="CN1439" s="30"/>
      <c r="CO1439" s="30"/>
      <c r="CP1439" s="30"/>
      <c r="CQ1439" s="30"/>
      <c r="CR1439" s="30"/>
      <c r="CS1439" s="30"/>
      <c r="CT1439" s="30"/>
      <c r="CU1439" s="30"/>
      <c r="CV1439" s="30"/>
      <c r="CW1439" s="30"/>
      <c r="CX1439" s="30"/>
      <c r="CY1439" s="30"/>
      <c r="CZ1439" s="30"/>
      <c r="DA1439" s="30"/>
      <c r="DB1439" s="30"/>
      <c r="DC1439" s="30"/>
      <c r="DD1439" s="30"/>
      <c r="DE1439" s="30"/>
      <c r="DF1439" s="30"/>
      <c r="DG1439" s="30"/>
      <c r="DH1439" s="30"/>
      <c r="DI1439" s="30"/>
      <c r="DJ1439" s="30"/>
      <c r="DK1439" s="30"/>
      <c r="DL1439" s="30"/>
      <c r="DM1439" s="30"/>
      <c r="DN1439" s="30"/>
      <c r="DO1439" s="30"/>
      <c r="DP1439" s="30"/>
      <c r="DQ1439" s="30"/>
      <c r="DR1439" s="30"/>
      <c r="DS1439" s="30"/>
      <c r="DT1439" s="30"/>
      <c r="DU1439" s="30"/>
      <c r="DV1439" s="30"/>
      <c r="DW1439" s="30"/>
      <c r="DX1439" s="30"/>
      <c r="DY1439" s="30"/>
      <c r="DZ1439" s="30"/>
    </row>
    <row r="1440">
      <c r="A1440" s="30"/>
      <c r="B1440" s="42"/>
      <c r="C1440" s="43"/>
      <c r="D1440" s="30"/>
      <c r="E1440" s="28"/>
      <c r="F1440" s="30"/>
      <c r="G1440" s="30"/>
      <c r="H1440" s="30"/>
      <c r="I1440" s="30"/>
      <c r="J1440" s="28"/>
      <c r="K1440" s="30"/>
      <c r="L1440" s="30"/>
      <c r="M1440" s="30"/>
      <c r="N1440" s="30"/>
      <c r="O1440" s="28"/>
      <c r="P1440" s="30"/>
      <c r="Q1440" s="30"/>
      <c r="R1440" s="30"/>
      <c r="S1440" s="36"/>
      <c r="T1440" s="30"/>
      <c r="U1440" s="36"/>
      <c r="V1440" s="30"/>
      <c r="W1440" s="28"/>
      <c r="X1440" s="30"/>
      <c r="Y1440" s="30"/>
      <c r="Z1440" s="30"/>
      <c r="AA1440" s="30"/>
      <c r="AB1440" s="30"/>
      <c r="AC1440" s="28"/>
      <c r="AD1440" s="30"/>
      <c r="AE1440" s="30"/>
      <c r="AF1440" s="30"/>
      <c r="AG1440" s="29"/>
      <c r="AH1440" s="30"/>
      <c r="AI1440" s="36"/>
      <c r="AJ1440" s="30"/>
      <c r="AK1440" s="29"/>
      <c r="AL1440" s="30"/>
      <c r="AM1440" s="30"/>
      <c r="AN1440" s="30"/>
      <c r="AO1440" s="30"/>
      <c r="AP1440" s="30"/>
      <c r="AQ1440" s="38"/>
      <c r="AR1440" s="30"/>
      <c r="AS1440" s="30"/>
      <c r="AT1440" s="29"/>
      <c r="AU1440" s="30"/>
      <c r="AV1440" s="30"/>
      <c r="AW1440" s="30"/>
      <c r="AX1440" s="29"/>
      <c r="AY1440" s="39"/>
      <c r="AZ1440" s="30"/>
      <c r="BA1440" s="30"/>
      <c r="BB1440" s="29"/>
      <c r="BC1440" s="52"/>
      <c r="BD1440" s="30"/>
      <c r="BE1440" s="29"/>
      <c r="BF1440" s="30"/>
      <c r="BG1440" s="30"/>
      <c r="BH1440" s="30"/>
      <c r="BI1440" s="30"/>
      <c r="BJ1440" s="30"/>
      <c r="BK1440" s="30"/>
      <c r="BL1440" s="30"/>
      <c r="BM1440" s="30"/>
      <c r="BN1440" s="30"/>
      <c r="BO1440" s="30"/>
      <c r="BP1440" s="30"/>
      <c r="BQ1440" s="30"/>
      <c r="BR1440" s="30"/>
      <c r="BS1440" s="30"/>
      <c r="BT1440" s="30"/>
      <c r="BU1440" s="30"/>
      <c r="BV1440" s="30"/>
      <c r="BW1440" s="30"/>
      <c r="BX1440" s="30"/>
      <c r="BY1440" s="30"/>
      <c r="BZ1440" s="30"/>
      <c r="CA1440" s="30"/>
      <c r="CB1440" s="30"/>
      <c r="CC1440" s="30"/>
      <c r="CD1440" s="30"/>
      <c r="CE1440" s="30"/>
      <c r="CF1440" s="30"/>
      <c r="CG1440" s="30"/>
      <c r="CH1440" s="30"/>
      <c r="CI1440" s="30"/>
      <c r="CJ1440" s="30"/>
      <c r="CK1440" s="30"/>
      <c r="CL1440" s="30"/>
      <c r="CM1440" s="30"/>
      <c r="CN1440" s="30"/>
      <c r="CO1440" s="30"/>
      <c r="CP1440" s="30"/>
      <c r="CQ1440" s="30"/>
      <c r="CR1440" s="30"/>
      <c r="CS1440" s="30"/>
      <c r="CT1440" s="30"/>
      <c r="CU1440" s="30"/>
      <c r="CV1440" s="30"/>
      <c r="CW1440" s="30"/>
      <c r="CX1440" s="30"/>
      <c r="CY1440" s="30"/>
      <c r="CZ1440" s="30"/>
      <c r="DA1440" s="30"/>
      <c r="DB1440" s="30"/>
      <c r="DC1440" s="30"/>
      <c r="DD1440" s="30"/>
      <c r="DE1440" s="30"/>
      <c r="DF1440" s="30"/>
      <c r="DG1440" s="30"/>
      <c r="DH1440" s="30"/>
      <c r="DI1440" s="30"/>
      <c r="DJ1440" s="30"/>
      <c r="DK1440" s="30"/>
      <c r="DL1440" s="30"/>
      <c r="DM1440" s="30"/>
      <c r="DN1440" s="30"/>
      <c r="DO1440" s="30"/>
      <c r="DP1440" s="30"/>
      <c r="DQ1440" s="30"/>
      <c r="DR1440" s="30"/>
      <c r="DS1440" s="30"/>
      <c r="DT1440" s="30"/>
      <c r="DU1440" s="30"/>
      <c r="DV1440" s="30"/>
      <c r="DW1440" s="30"/>
      <c r="DX1440" s="30"/>
      <c r="DY1440" s="30"/>
      <c r="DZ1440" s="30"/>
    </row>
    <row r="1441">
      <c r="A1441" s="30"/>
      <c r="B1441" s="42"/>
      <c r="C1441" s="43"/>
      <c r="D1441" s="30"/>
      <c r="E1441" s="28"/>
      <c r="F1441" s="30"/>
      <c r="G1441" s="30"/>
      <c r="H1441" s="30"/>
      <c r="I1441" s="30"/>
      <c r="J1441" s="28"/>
      <c r="K1441" s="30"/>
      <c r="L1441" s="30"/>
      <c r="M1441" s="30"/>
      <c r="N1441" s="30"/>
      <c r="O1441" s="28"/>
      <c r="P1441" s="30"/>
      <c r="Q1441" s="30"/>
      <c r="R1441" s="30"/>
      <c r="S1441" s="36"/>
      <c r="T1441" s="30"/>
      <c r="U1441" s="36"/>
      <c r="V1441" s="30"/>
      <c r="W1441" s="28"/>
      <c r="X1441" s="30"/>
      <c r="Y1441" s="30"/>
      <c r="Z1441" s="30"/>
      <c r="AA1441" s="30"/>
      <c r="AB1441" s="30"/>
      <c r="AC1441" s="28"/>
      <c r="AD1441" s="30"/>
      <c r="AE1441" s="30"/>
      <c r="AF1441" s="30"/>
      <c r="AG1441" s="29"/>
      <c r="AH1441" s="30"/>
      <c r="AI1441" s="36"/>
      <c r="AJ1441" s="30"/>
      <c r="AK1441" s="29"/>
      <c r="AL1441" s="30"/>
      <c r="AM1441" s="30"/>
      <c r="AN1441" s="30"/>
      <c r="AO1441" s="30"/>
      <c r="AP1441" s="30"/>
      <c r="AQ1441" s="38"/>
      <c r="AR1441" s="30"/>
      <c r="AS1441" s="30"/>
      <c r="AT1441" s="29"/>
      <c r="AU1441" s="30"/>
      <c r="AV1441" s="30"/>
      <c r="AW1441" s="30"/>
      <c r="AX1441" s="29"/>
      <c r="AY1441" s="39"/>
      <c r="AZ1441" s="30"/>
      <c r="BA1441" s="30"/>
      <c r="BB1441" s="29"/>
      <c r="BC1441" s="52"/>
      <c r="BD1441" s="30"/>
      <c r="BE1441" s="29"/>
      <c r="BF1441" s="30"/>
      <c r="BG1441" s="30"/>
      <c r="BH1441" s="30"/>
      <c r="BI1441" s="30"/>
      <c r="BJ1441" s="30"/>
      <c r="BK1441" s="30"/>
      <c r="BL1441" s="30"/>
      <c r="BM1441" s="30"/>
      <c r="BN1441" s="30"/>
      <c r="BO1441" s="30"/>
      <c r="BP1441" s="30"/>
      <c r="BQ1441" s="30"/>
      <c r="BR1441" s="30"/>
      <c r="BS1441" s="30"/>
      <c r="BT1441" s="30"/>
      <c r="BU1441" s="30"/>
      <c r="BV1441" s="30"/>
      <c r="BW1441" s="30"/>
      <c r="BX1441" s="30"/>
      <c r="BY1441" s="30"/>
      <c r="BZ1441" s="30"/>
      <c r="CA1441" s="30"/>
      <c r="CB1441" s="30"/>
      <c r="CC1441" s="30"/>
      <c r="CD1441" s="30"/>
      <c r="CE1441" s="30"/>
      <c r="CF1441" s="30"/>
      <c r="CG1441" s="30"/>
      <c r="CH1441" s="30"/>
      <c r="CI1441" s="30"/>
      <c r="CJ1441" s="30"/>
      <c r="CK1441" s="30"/>
      <c r="CL1441" s="30"/>
      <c r="CM1441" s="30"/>
      <c r="CN1441" s="30"/>
      <c r="CO1441" s="30"/>
      <c r="CP1441" s="30"/>
      <c r="CQ1441" s="30"/>
      <c r="CR1441" s="30"/>
      <c r="CS1441" s="30"/>
      <c r="CT1441" s="30"/>
      <c r="CU1441" s="30"/>
      <c r="CV1441" s="30"/>
      <c r="CW1441" s="30"/>
      <c r="CX1441" s="30"/>
      <c r="CY1441" s="30"/>
      <c r="CZ1441" s="30"/>
      <c r="DA1441" s="30"/>
      <c r="DB1441" s="30"/>
      <c r="DC1441" s="30"/>
      <c r="DD1441" s="30"/>
      <c r="DE1441" s="30"/>
      <c r="DF1441" s="30"/>
      <c r="DG1441" s="30"/>
      <c r="DH1441" s="30"/>
      <c r="DI1441" s="30"/>
      <c r="DJ1441" s="30"/>
      <c r="DK1441" s="30"/>
      <c r="DL1441" s="30"/>
      <c r="DM1441" s="30"/>
      <c r="DN1441" s="30"/>
      <c r="DO1441" s="30"/>
      <c r="DP1441" s="30"/>
      <c r="DQ1441" s="30"/>
      <c r="DR1441" s="30"/>
      <c r="DS1441" s="30"/>
      <c r="DT1441" s="30"/>
      <c r="DU1441" s="30"/>
      <c r="DV1441" s="30"/>
      <c r="DW1441" s="30"/>
      <c r="DX1441" s="30"/>
      <c r="DY1441" s="30"/>
      <c r="DZ1441" s="30"/>
    </row>
    <row r="1442">
      <c r="A1442" s="30"/>
      <c r="B1442" s="42"/>
      <c r="C1442" s="43"/>
      <c r="D1442" s="30"/>
      <c r="E1442" s="28"/>
      <c r="F1442" s="30"/>
      <c r="G1442" s="30"/>
      <c r="H1442" s="30"/>
      <c r="I1442" s="30"/>
      <c r="J1442" s="28"/>
      <c r="K1442" s="30"/>
      <c r="L1442" s="30"/>
      <c r="M1442" s="30"/>
      <c r="N1442" s="30"/>
      <c r="O1442" s="28"/>
      <c r="P1442" s="30"/>
      <c r="Q1442" s="30"/>
      <c r="R1442" s="30"/>
      <c r="S1442" s="36"/>
      <c r="T1442" s="30"/>
      <c r="U1442" s="36"/>
      <c r="V1442" s="30"/>
      <c r="W1442" s="28"/>
      <c r="X1442" s="30"/>
      <c r="Y1442" s="30"/>
      <c r="Z1442" s="30"/>
      <c r="AA1442" s="30"/>
      <c r="AB1442" s="30"/>
      <c r="AC1442" s="28"/>
      <c r="AD1442" s="30"/>
      <c r="AE1442" s="30"/>
      <c r="AF1442" s="30"/>
      <c r="AG1442" s="29"/>
      <c r="AH1442" s="30"/>
      <c r="AI1442" s="36"/>
      <c r="AJ1442" s="30"/>
      <c r="AK1442" s="29"/>
      <c r="AL1442" s="30"/>
      <c r="AM1442" s="30"/>
      <c r="AN1442" s="30"/>
      <c r="AO1442" s="30"/>
      <c r="AP1442" s="30"/>
      <c r="AQ1442" s="38"/>
      <c r="AR1442" s="30"/>
      <c r="AS1442" s="30"/>
      <c r="AT1442" s="29"/>
      <c r="AU1442" s="30"/>
      <c r="AV1442" s="30"/>
      <c r="AW1442" s="30"/>
      <c r="AX1442" s="29"/>
      <c r="AY1442" s="39"/>
      <c r="AZ1442" s="30"/>
      <c r="BA1442" s="30"/>
      <c r="BB1442" s="29"/>
      <c r="BC1442" s="52"/>
      <c r="BD1442" s="30"/>
      <c r="BE1442" s="29"/>
      <c r="BF1442" s="30"/>
      <c r="BG1442" s="30"/>
      <c r="BH1442" s="30"/>
      <c r="BI1442" s="30"/>
      <c r="BJ1442" s="30"/>
      <c r="BK1442" s="30"/>
      <c r="BL1442" s="30"/>
      <c r="BM1442" s="30"/>
      <c r="BN1442" s="30"/>
      <c r="BO1442" s="30"/>
      <c r="BP1442" s="30"/>
      <c r="BQ1442" s="30"/>
      <c r="BR1442" s="30"/>
      <c r="BS1442" s="30"/>
      <c r="BT1442" s="30"/>
      <c r="BU1442" s="30"/>
      <c r="BV1442" s="30"/>
      <c r="BW1442" s="30"/>
      <c r="BX1442" s="30"/>
      <c r="BY1442" s="30"/>
      <c r="BZ1442" s="30"/>
      <c r="CA1442" s="30"/>
      <c r="CB1442" s="30"/>
      <c r="CC1442" s="30"/>
      <c r="CD1442" s="30"/>
      <c r="CE1442" s="30"/>
      <c r="CF1442" s="30"/>
      <c r="CG1442" s="30"/>
      <c r="CH1442" s="30"/>
      <c r="CI1442" s="30"/>
      <c r="CJ1442" s="30"/>
      <c r="CK1442" s="30"/>
      <c r="CL1442" s="30"/>
      <c r="CM1442" s="30"/>
      <c r="CN1442" s="30"/>
      <c r="CO1442" s="30"/>
      <c r="CP1442" s="30"/>
      <c r="CQ1442" s="30"/>
      <c r="CR1442" s="30"/>
      <c r="CS1442" s="30"/>
      <c r="CT1442" s="30"/>
      <c r="CU1442" s="30"/>
      <c r="CV1442" s="30"/>
      <c r="CW1442" s="30"/>
      <c r="CX1442" s="30"/>
      <c r="CY1442" s="30"/>
      <c r="CZ1442" s="30"/>
      <c r="DA1442" s="30"/>
      <c r="DB1442" s="30"/>
      <c r="DC1442" s="30"/>
      <c r="DD1442" s="30"/>
      <c r="DE1442" s="30"/>
      <c r="DF1442" s="30"/>
      <c r="DG1442" s="30"/>
      <c r="DH1442" s="30"/>
      <c r="DI1442" s="30"/>
      <c r="DJ1442" s="30"/>
      <c r="DK1442" s="30"/>
      <c r="DL1442" s="30"/>
      <c r="DM1442" s="30"/>
      <c r="DN1442" s="30"/>
      <c r="DO1442" s="30"/>
      <c r="DP1442" s="30"/>
      <c r="DQ1442" s="30"/>
      <c r="DR1442" s="30"/>
      <c r="DS1442" s="30"/>
      <c r="DT1442" s="30"/>
      <c r="DU1442" s="30"/>
      <c r="DV1442" s="30"/>
      <c r="DW1442" s="30"/>
      <c r="DX1442" s="30"/>
      <c r="DY1442" s="30"/>
      <c r="DZ1442" s="30"/>
    </row>
    <row r="1443">
      <c r="A1443" s="30"/>
      <c r="B1443" s="42"/>
      <c r="C1443" s="43"/>
      <c r="D1443" s="30"/>
      <c r="E1443" s="28"/>
      <c r="F1443" s="30"/>
      <c r="G1443" s="30"/>
      <c r="H1443" s="30"/>
      <c r="I1443" s="30"/>
      <c r="J1443" s="28"/>
      <c r="K1443" s="30"/>
      <c r="L1443" s="30"/>
      <c r="M1443" s="30"/>
      <c r="N1443" s="30"/>
      <c r="O1443" s="28"/>
      <c r="P1443" s="30"/>
      <c r="Q1443" s="30"/>
      <c r="R1443" s="30"/>
      <c r="S1443" s="36"/>
      <c r="T1443" s="30"/>
      <c r="U1443" s="36"/>
      <c r="V1443" s="30"/>
      <c r="W1443" s="28"/>
      <c r="X1443" s="30"/>
      <c r="Y1443" s="30"/>
      <c r="Z1443" s="30"/>
      <c r="AA1443" s="30"/>
      <c r="AB1443" s="30"/>
      <c r="AC1443" s="28"/>
      <c r="AD1443" s="30"/>
      <c r="AE1443" s="30"/>
      <c r="AF1443" s="30"/>
      <c r="AG1443" s="29"/>
      <c r="AH1443" s="30"/>
      <c r="AI1443" s="36"/>
      <c r="AJ1443" s="30"/>
      <c r="AK1443" s="29"/>
      <c r="AL1443" s="30"/>
      <c r="AM1443" s="30"/>
      <c r="AN1443" s="30"/>
      <c r="AO1443" s="30"/>
      <c r="AP1443" s="30"/>
      <c r="AQ1443" s="38"/>
      <c r="AR1443" s="30"/>
      <c r="AS1443" s="30"/>
      <c r="AT1443" s="29"/>
      <c r="AU1443" s="30"/>
      <c r="AV1443" s="30"/>
      <c r="AW1443" s="30"/>
      <c r="AX1443" s="29"/>
      <c r="AY1443" s="39"/>
      <c r="AZ1443" s="30"/>
      <c r="BA1443" s="30"/>
      <c r="BB1443" s="29"/>
      <c r="BC1443" s="52"/>
      <c r="BD1443" s="30"/>
      <c r="BE1443" s="29"/>
      <c r="BF1443" s="30"/>
      <c r="BG1443" s="30"/>
      <c r="BH1443" s="30"/>
      <c r="BI1443" s="30"/>
      <c r="BJ1443" s="30"/>
      <c r="BK1443" s="30"/>
      <c r="BL1443" s="30"/>
      <c r="BM1443" s="30"/>
      <c r="BN1443" s="30"/>
      <c r="BO1443" s="30"/>
      <c r="BP1443" s="30"/>
      <c r="BQ1443" s="30"/>
      <c r="BR1443" s="30"/>
      <c r="BS1443" s="30"/>
      <c r="BT1443" s="30"/>
      <c r="BU1443" s="30"/>
      <c r="BV1443" s="30"/>
      <c r="BW1443" s="30"/>
      <c r="BX1443" s="30"/>
      <c r="BY1443" s="30"/>
      <c r="BZ1443" s="30"/>
      <c r="CA1443" s="30"/>
      <c r="CB1443" s="30"/>
      <c r="CC1443" s="30"/>
      <c r="CD1443" s="30"/>
      <c r="CE1443" s="30"/>
      <c r="CF1443" s="30"/>
      <c r="CG1443" s="30"/>
      <c r="CH1443" s="30"/>
      <c r="CI1443" s="30"/>
      <c r="CJ1443" s="30"/>
      <c r="CK1443" s="30"/>
      <c r="CL1443" s="30"/>
      <c r="CM1443" s="30"/>
      <c r="CN1443" s="30"/>
      <c r="CO1443" s="30"/>
      <c r="CP1443" s="30"/>
      <c r="CQ1443" s="30"/>
      <c r="CR1443" s="30"/>
      <c r="CS1443" s="30"/>
      <c r="CT1443" s="30"/>
      <c r="CU1443" s="30"/>
      <c r="CV1443" s="30"/>
      <c r="CW1443" s="30"/>
      <c r="CX1443" s="30"/>
      <c r="CY1443" s="30"/>
      <c r="CZ1443" s="30"/>
      <c r="DA1443" s="30"/>
      <c r="DB1443" s="30"/>
      <c r="DC1443" s="30"/>
      <c r="DD1443" s="30"/>
      <c r="DE1443" s="30"/>
      <c r="DF1443" s="30"/>
      <c r="DG1443" s="30"/>
      <c r="DH1443" s="30"/>
      <c r="DI1443" s="30"/>
      <c r="DJ1443" s="30"/>
      <c r="DK1443" s="30"/>
      <c r="DL1443" s="30"/>
      <c r="DM1443" s="30"/>
      <c r="DN1443" s="30"/>
      <c r="DO1443" s="30"/>
      <c r="DP1443" s="30"/>
      <c r="DQ1443" s="30"/>
      <c r="DR1443" s="30"/>
      <c r="DS1443" s="30"/>
      <c r="DT1443" s="30"/>
      <c r="DU1443" s="30"/>
      <c r="DV1443" s="30"/>
      <c r="DW1443" s="30"/>
      <c r="DX1443" s="30"/>
      <c r="DY1443" s="30"/>
      <c r="DZ1443" s="30"/>
    </row>
    <row r="1444">
      <c r="A1444" s="30"/>
      <c r="B1444" s="42"/>
      <c r="C1444" s="43"/>
      <c r="D1444" s="30"/>
      <c r="E1444" s="28"/>
      <c r="F1444" s="30"/>
      <c r="G1444" s="30"/>
      <c r="H1444" s="30"/>
      <c r="I1444" s="30"/>
      <c r="J1444" s="28"/>
      <c r="K1444" s="30"/>
      <c r="L1444" s="30"/>
      <c r="M1444" s="30"/>
      <c r="N1444" s="30"/>
      <c r="O1444" s="28"/>
      <c r="P1444" s="30"/>
      <c r="Q1444" s="30"/>
      <c r="R1444" s="30"/>
      <c r="S1444" s="36"/>
      <c r="T1444" s="30"/>
      <c r="U1444" s="36"/>
      <c r="V1444" s="30"/>
      <c r="W1444" s="28"/>
      <c r="X1444" s="30"/>
      <c r="Y1444" s="30"/>
      <c r="Z1444" s="30"/>
      <c r="AA1444" s="30"/>
      <c r="AB1444" s="30"/>
      <c r="AC1444" s="28"/>
      <c r="AD1444" s="30"/>
      <c r="AE1444" s="30"/>
      <c r="AF1444" s="30"/>
      <c r="AG1444" s="29"/>
      <c r="AH1444" s="30"/>
      <c r="AI1444" s="36"/>
      <c r="AJ1444" s="30"/>
      <c r="AK1444" s="29"/>
      <c r="AL1444" s="30"/>
      <c r="AM1444" s="30"/>
      <c r="AN1444" s="30"/>
      <c r="AO1444" s="30"/>
      <c r="AP1444" s="30"/>
      <c r="AQ1444" s="38"/>
      <c r="AR1444" s="30"/>
      <c r="AS1444" s="30"/>
      <c r="AT1444" s="29"/>
      <c r="AU1444" s="30"/>
      <c r="AV1444" s="30"/>
      <c r="AW1444" s="30"/>
      <c r="AX1444" s="29"/>
      <c r="AY1444" s="39"/>
      <c r="AZ1444" s="30"/>
      <c r="BA1444" s="30"/>
      <c r="BB1444" s="29"/>
      <c r="BC1444" s="52"/>
      <c r="BD1444" s="30"/>
      <c r="BE1444" s="29"/>
      <c r="BF1444" s="30"/>
      <c r="BG1444" s="30"/>
      <c r="BH1444" s="30"/>
      <c r="BI1444" s="30"/>
      <c r="BJ1444" s="30"/>
      <c r="BK1444" s="30"/>
      <c r="BL1444" s="30"/>
      <c r="BM1444" s="30"/>
      <c r="BN1444" s="30"/>
      <c r="BO1444" s="30"/>
      <c r="BP1444" s="30"/>
      <c r="BQ1444" s="30"/>
      <c r="BR1444" s="30"/>
      <c r="BS1444" s="30"/>
      <c r="BT1444" s="30"/>
      <c r="BU1444" s="30"/>
      <c r="BV1444" s="30"/>
      <c r="BW1444" s="30"/>
      <c r="BX1444" s="30"/>
      <c r="BY1444" s="30"/>
      <c r="BZ1444" s="30"/>
      <c r="CA1444" s="30"/>
      <c r="CB1444" s="30"/>
      <c r="CC1444" s="30"/>
      <c r="CD1444" s="30"/>
      <c r="CE1444" s="30"/>
      <c r="CF1444" s="30"/>
      <c r="CG1444" s="30"/>
      <c r="CH1444" s="30"/>
      <c r="CI1444" s="30"/>
      <c r="CJ1444" s="30"/>
      <c r="CK1444" s="30"/>
      <c r="CL1444" s="30"/>
      <c r="CM1444" s="30"/>
      <c r="CN1444" s="30"/>
      <c r="CO1444" s="30"/>
      <c r="CP1444" s="30"/>
      <c r="CQ1444" s="30"/>
      <c r="CR1444" s="30"/>
      <c r="CS1444" s="30"/>
      <c r="CT1444" s="30"/>
      <c r="CU1444" s="30"/>
      <c r="CV1444" s="30"/>
      <c r="CW1444" s="30"/>
      <c r="CX1444" s="30"/>
      <c r="CY1444" s="30"/>
      <c r="CZ1444" s="30"/>
      <c r="DA1444" s="30"/>
      <c r="DB1444" s="30"/>
      <c r="DC1444" s="30"/>
      <c r="DD1444" s="30"/>
      <c r="DE1444" s="30"/>
      <c r="DF1444" s="30"/>
      <c r="DG1444" s="30"/>
      <c r="DH1444" s="30"/>
      <c r="DI1444" s="30"/>
      <c r="DJ1444" s="30"/>
      <c r="DK1444" s="30"/>
      <c r="DL1444" s="30"/>
      <c r="DM1444" s="30"/>
      <c r="DN1444" s="30"/>
      <c r="DO1444" s="30"/>
      <c r="DP1444" s="30"/>
      <c r="DQ1444" s="30"/>
      <c r="DR1444" s="30"/>
      <c r="DS1444" s="30"/>
      <c r="DT1444" s="30"/>
      <c r="DU1444" s="30"/>
      <c r="DV1444" s="30"/>
      <c r="DW1444" s="30"/>
      <c r="DX1444" s="30"/>
      <c r="DY1444" s="30"/>
      <c r="DZ1444" s="30"/>
    </row>
    <row r="1445">
      <c r="A1445" s="30"/>
      <c r="B1445" s="42"/>
      <c r="C1445" s="43"/>
      <c r="D1445" s="30"/>
      <c r="E1445" s="28"/>
      <c r="F1445" s="30"/>
      <c r="G1445" s="30"/>
      <c r="H1445" s="30"/>
      <c r="I1445" s="30"/>
      <c r="J1445" s="28"/>
      <c r="K1445" s="30"/>
      <c r="L1445" s="30"/>
      <c r="M1445" s="30"/>
      <c r="N1445" s="30"/>
      <c r="O1445" s="28"/>
      <c r="P1445" s="30"/>
      <c r="Q1445" s="30"/>
      <c r="R1445" s="30"/>
      <c r="S1445" s="36"/>
      <c r="T1445" s="30"/>
      <c r="U1445" s="36"/>
      <c r="V1445" s="30"/>
      <c r="W1445" s="28"/>
      <c r="X1445" s="30"/>
      <c r="Y1445" s="30"/>
      <c r="Z1445" s="30"/>
      <c r="AA1445" s="30"/>
      <c r="AB1445" s="30"/>
      <c r="AC1445" s="28"/>
      <c r="AD1445" s="30"/>
      <c r="AE1445" s="30"/>
      <c r="AF1445" s="30"/>
      <c r="AG1445" s="29"/>
      <c r="AH1445" s="30"/>
      <c r="AI1445" s="36"/>
      <c r="AJ1445" s="30"/>
      <c r="AK1445" s="29"/>
      <c r="AL1445" s="30"/>
      <c r="AM1445" s="30"/>
      <c r="AN1445" s="30"/>
      <c r="AO1445" s="30"/>
      <c r="AP1445" s="30"/>
      <c r="AQ1445" s="38"/>
      <c r="AR1445" s="30"/>
      <c r="AS1445" s="30"/>
      <c r="AT1445" s="29"/>
      <c r="AU1445" s="30"/>
      <c r="AV1445" s="30"/>
      <c r="AW1445" s="30"/>
      <c r="AX1445" s="29"/>
      <c r="AY1445" s="39"/>
      <c r="AZ1445" s="30"/>
      <c r="BA1445" s="30"/>
      <c r="BB1445" s="29"/>
      <c r="BC1445" s="52"/>
      <c r="BD1445" s="30"/>
      <c r="BE1445" s="29"/>
      <c r="BF1445" s="30"/>
      <c r="BG1445" s="30"/>
      <c r="BH1445" s="30"/>
      <c r="BI1445" s="30"/>
      <c r="BJ1445" s="30"/>
      <c r="BK1445" s="30"/>
      <c r="BL1445" s="30"/>
      <c r="BM1445" s="30"/>
      <c r="BN1445" s="30"/>
      <c r="BO1445" s="30"/>
      <c r="BP1445" s="30"/>
      <c r="BQ1445" s="30"/>
      <c r="BR1445" s="30"/>
      <c r="BS1445" s="30"/>
      <c r="BT1445" s="30"/>
      <c r="BU1445" s="30"/>
      <c r="BV1445" s="30"/>
      <c r="BW1445" s="30"/>
      <c r="BX1445" s="30"/>
      <c r="BY1445" s="30"/>
      <c r="BZ1445" s="30"/>
      <c r="CA1445" s="30"/>
      <c r="CB1445" s="30"/>
      <c r="CC1445" s="30"/>
      <c r="CD1445" s="30"/>
      <c r="CE1445" s="30"/>
      <c r="CF1445" s="30"/>
      <c r="CG1445" s="30"/>
      <c r="CH1445" s="30"/>
      <c r="CI1445" s="30"/>
      <c r="CJ1445" s="30"/>
      <c r="CK1445" s="30"/>
      <c r="CL1445" s="30"/>
      <c r="CM1445" s="30"/>
      <c r="CN1445" s="30"/>
      <c r="CO1445" s="30"/>
      <c r="CP1445" s="30"/>
      <c r="CQ1445" s="30"/>
      <c r="CR1445" s="30"/>
      <c r="CS1445" s="30"/>
      <c r="CT1445" s="30"/>
      <c r="CU1445" s="30"/>
      <c r="CV1445" s="30"/>
      <c r="CW1445" s="30"/>
      <c r="CX1445" s="30"/>
      <c r="CY1445" s="30"/>
      <c r="CZ1445" s="30"/>
      <c r="DA1445" s="30"/>
      <c r="DB1445" s="30"/>
      <c r="DC1445" s="30"/>
      <c r="DD1445" s="30"/>
      <c r="DE1445" s="30"/>
      <c r="DF1445" s="30"/>
      <c r="DG1445" s="30"/>
      <c r="DH1445" s="30"/>
      <c r="DI1445" s="30"/>
      <c r="DJ1445" s="30"/>
      <c r="DK1445" s="30"/>
      <c r="DL1445" s="30"/>
      <c r="DM1445" s="30"/>
      <c r="DN1445" s="30"/>
      <c r="DO1445" s="30"/>
      <c r="DP1445" s="30"/>
      <c r="DQ1445" s="30"/>
      <c r="DR1445" s="30"/>
      <c r="DS1445" s="30"/>
      <c r="DT1445" s="30"/>
      <c r="DU1445" s="30"/>
      <c r="DV1445" s="30"/>
      <c r="DW1445" s="30"/>
      <c r="DX1445" s="30"/>
      <c r="DY1445" s="30"/>
      <c r="DZ1445" s="30"/>
    </row>
    <row r="1446">
      <c r="A1446" s="30"/>
      <c r="B1446" s="42"/>
      <c r="C1446" s="43"/>
      <c r="D1446" s="30"/>
      <c r="E1446" s="28"/>
      <c r="F1446" s="30"/>
      <c r="G1446" s="30"/>
      <c r="H1446" s="30"/>
      <c r="I1446" s="30"/>
      <c r="J1446" s="28"/>
      <c r="K1446" s="30"/>
      <c r="L1446" s="30"/>
      <c r="M1446" s="30"/>
      <c r="N1446" s="30"/>
      <c r="O1446" s="28"/>
      <c r="P1446" s="30"/>
      <c r="Q1446" s="30"/>
      <c r="R1446" s="30"/>
      <c r="S1446" s="36"/>
      <c r="T1446" s="30"/>
      <c r="U1446" s="36"/>
      <c r="V1446" s="30"/>
      <c r="W1446" s="28"/>
      <c r="X1446" s="30"/>
      <c r="Y1446" s="30"/>
      <c r="Z1446" s="30"/>
      <c r="AA1446" s="30"/>
      <c r="AB1446" s="30"/>
      <c r="AC1446" s="28"/>
      <c r="AD1446" s="30"/>
      <c r="AE1446" s="30"/>
      <c r="AF1446" s="30"/>
      <c r="AG1446" s="29"/>
      <c r="AH1446" s="30"/>
      <c r="AI1446" s="36"/>
      <c r="AJ1446" s="30"/>
      <c r="AK1446" s="29"/>
      <c r="AL1446" s="30"/>
      <c r="AM1446" s="30"/>
      <c r="AN1446" s="30"/>
      <c r="AO1446" s="30"/>
      <c r="AP1446" s="30"/>
      <c r="AQ1446" s="38"/>
      <c r="AR1446" s="30"/>
      <c r="AS1446" s="30"/>
      <c r="AT1446" s="29"/>
      <c r="AU1446" s="30"/>
      <c r="AV1446" s="30"/>
      <c r="AW1446" s="30"/>
      <c r="AX1446" s="29"/>
      <c r="AY1446" s="39"/>
      <c r="AZ1446" s="30"/>
      <c r="BA1446" s="30"/>
      <c r="BB1446" s="29"/>
      <c r="BC1446" s="52"/>
      <c r="BD1446" s="30"/>
      <c r="BE1446" s="29"/>
      <c r="BF1446" s="30"/>
      <c r="BG1446" s="30"/>
      <c r="BH1446" s="30"/>
      <c r="BI1446" s="30"/>
      <c r="BJ1446" s="30"/>
      <c r="BK1446" s="30"/>
      <c r="BL1446" s="30"/>
      <c r="BM1446" s="30"/>
      <c r="BN1446" s="30"/>
      <c r="BO1446" s="30"/>
      <c r="BP1446" s="30"/>
      <c r="BQ1446" s="30"/>
      <c r="BR1446" s="30"/>
      <c r="BS1446" s="30"/>
      <c r="BT1446" s="30"/>
      <c r="BU1446" s="30"/>
      <c r="BV1446" s="30"/>
      <c r="BW1446" s="30"/>
      <c r="BX1446" s="30"/>
      <c r="BY1446" s="30"/>
      <c r="BZ1446" s="30"/>
      <c r="CA1446" s="30"/>
      <c r="CB1446" s="30"/>
      <c r="CC1446" s="30"/>
      <c r="CD1446" s="30"/>
      <c r="CE1446" s="30"/>
      <c r="CF1446" s="30"/>
      <c r="CG1446" s="30"/>
      <c r="CH1446" s="30"/>
      <c r="CI1446" s="30"/>
      <c r="CJ1446" s="30"/>
      <c r="CK1446" s="30"/>
      <c r="CL1446" s="30"/>
      <c r="CM1446" s="30"/>
      <c r="CN1446" s="30"/>
      <c r="CO1446" s="30"/>
      <c r="CP1446" s="30"/>
      <c r="CQ1446" s="30"/>
      <c r="CR1446" s="30"/>
      <c r="CS1446" s="30"/>
      <c r="CT1446" s="30"/>
      <c r="CU1446" s="30"/>
      <c r="CV1446" s="30"/>
      <c r="CW1446" s="30"/>
      <c r="CX1446" s="30"/>
      <c r="CY1446" s="30"/>
      <c r="CZ1446" s="30"/>
      <c r="DA1446" s="30"/>
      <c r="DB1446" s="30"/>
      <c r="DC1446" s="30"/>
      <c r="DD1446" s="30"/>
      <c r="DE1446" s="30"/>
      <c r="DF1446" s="30"/>
      <c r="DG1446" s="30"/>
      <c r="DH1446" s="30"/>
      <c r="DI1446" s="30"/>
      <c r="DJ1446" s="30"/>
      <c r="DK1446" s="30"/>
      <c r="DL1446" s="30"/>
      <c r="DM1446" s="30"/>
      <c r="DN1446" s="30"/>
      <c r="DO1446" s="30"/>
      <c r="DP1446" s="30"/>
      <c r="DQ1446" s="30"/>
      <c r="DR1446" s="30"/>
      <c r="DS1446" s="30"/>
      <c r="DT1446" s="30"/>
      <c r="DU1446" s="30"/>
      <c r="DV1446" s="30"/>
      <c r="DW1446" s="30"/>
      <c r="DX1446" s="30"/>
      <c r="DY1446" s="30"/>
      <c r="DZ1446" s="30"/>
    </row>
    <row r="1447">
      <c r="A1447" s="30"/>
      <c r="B1447" s="42"/>
      <c r="C1447" s="43"/>
      <c r="D1447" s="30"/>
      <c r="E1447" s="28"/>
      <c r="F1447" s="30"/>
      <c r="G1447" s="30"/>
      <c r="H1447" s="30"/>
      <c r="I1447" s="30"/>
      <c r="J1447" s="28"/>
      <c r="K1447" s="30"/>
      <c r="L1447" s="30"/>
      <c r="M1447" s="30"/>
      <c r="N1447" s="30"/>
      <c r="O1447" s="28"/>
      <c r="P1447" s="30"/>
      <c r="Q1447" s="30"/>
      <c r="R1447" s="30"/>
      <c r="S1447" s="36"/>
      <c r="T1447" s="30"/>
      <c r="U1447" s="36"/>
      <c r="V1447" s="30"/>
      <c r="W1447" s="28"/>
      <c r="X1447" s="30"/>
      <c r="Y1447" s="30"/>
      <c r="Z1447" s="30"/>
      <c r="AA1447" s="30"/>
      <c r="AB1447" s="30"/>
      <c r="AC1447" s="28"/>
      <c r="AD1447" s="30"/>
      <c r="AE1447" s="30"/>
      <c r="AF1447" s="30"/>
      <c r="AG1447" s="29"/>
      <c r="AH1447" s="30"/>
      <c r="AI1447" s="36"/>
      <c r="AJ1447" s="30"/>
      <c r="AK1447" s="29"/>
      <c r="AL1447" s="30"/>
      <c r="AM1447" s="30"/>
      <c r="AN1447" s="30"/>
      <c r="AO1447" s="30"/>
      <c r="AP1447" s="30"/>
      <c r="AQ1447" s="38"/>
      <c r="AR1447" s="30"/>
      <c r="AS1447" s="30"/>
      <c r="AT1447" s="29"/>
      <c r="AU1447" s="30"/>
      <c r="AV1447" s="30"/>
      <c r="AW1447" s="30"/>
      <c r="AX1447" s="29"/>
      <c r="AY1447" s="39"/>
      <c r="AZ1447" s="30"/>
      <c r="BA1447" s="30"/>
      <c r="BB1447" s="29"/>
      <c r="BC1447" s="52"/>
      <c r="BD1447" s="30"/>
      <c r="BE1447" s="29"/>
      <c r="BF1447" s="30"/>
      <c r="BG1447" s="30"/>
      <c r="BH1447" s="30"/>
      <c r="BI1447" s="30"/>
      <c r="BJ1447" s="30"/>
      <c r="BK1447" s="30"/>
      <c r="BL1447" s="30"/>
      <c r="BM1447" s="30"/>
      <c r="BN1447" s="30"/>
      <c r="BO1447" s="30"/>
      <c r="BP1447" s="30"/>
      <c r="BQ1447" s="30"/>
      <c r="BR1447" s="30"/>
      <c r="BS1447" s="30"/>
      <c r="BT1447" s="30"/>
      <c r="BU1447" s="30"/>
      <c r="BV1447" s="30"/>
      <c r="BW1447" s="30"/>
      <c r="BX1447" s="30"/>
      <c r="BY1447" s="30"/>
      <c r="BZ1447" s="30"/>
      <c r="CA1447" s="30"/>
      <c r="CB1447" s="30"/>
      <c r="CC1447" s="30"/>
      <c r="CD1447" s="30"/>
      <c r="CE1447" s="30"/>
      <c r="CF1447" s="30"/>
      <c r="CG1447" s="30"/>
      <c r="CH1447" s="30"/>
      <c r="CI1447" s="30"/>
      <c r="CJ1447" s="30"/>
      <c r="CK1447" s="30"/>
      <c r="CL1447" s="30"/>
      <c r="CM1447" s="30"/>
      <c r="CN1447" s="30"/>
      <c r="CO1447" s="30"/>
      <c r="CP1447" s="30"/>
      <c r="CQ1447" s="30"/>
      <c r="CR1447" s="30"/>
      <c r="CS1447" s="30"/>
      <c r="CT1447" s="30"/>
      <c r="CU1447" s="30"/>
      <c r="CV1447" s="30"/>
      <c r="CW1447" s="30"/>
      <c r="CX1447" s="30"/>
      <c r="CY1447" s="30"/>
      <c r="CZ1447" s="30"/>
      <c r="DA1447" s="30"/>
      <c r="DB1447" s="30"/>
      <c r="DC1447" s="30"/>
      <c r="DD1447" s="30"/>
      <c r="DE1447" s="30"/>
      <c r="DF1447" s="30"/>
      <c r="DG1447" s="30"/>
      <c r="DH1447" s="30"/>
      <c r="DI1447" s="30"/>
      <c r="DJ1447" s="30"/>
      <c r="DK1447" s="30"/>
      <c r="DL1447" s="30"/>
      <c r="DM1447" s="30"/>
      <c r="DN1447" s="30"/>
      <c r="DO1447" s="30"/>
      <c r="DP1447" s="30"/>
      <c r="DQ1447" s="30"/>
      <c r="DR1447" s="30"/>
      <c r="DS1447" s="30"/>
      <c r="DT1447" s="30"/>
      <c r="DU1447" s="30"/>
      <c r="DV1447" s="30"/>
      <c r="DW1447" s="30"/>
      <c r="DX1447" s="30"/>
      <c r="DY1447" s="30"/>
      <c r="DZ1447" s="30"/>
    </row>
    <row r="1448">
      <c r="A1448" s="30"/>
      <c r="B1448" s="42"/>
      <c r="C1448" s="43"/>
      <c r="D1448" s="30"/>
      <c r="E1448" s="28"/>
      <c r="F1448" s="30"/>
      <c r="G1448" s="30"/>
      <c r="H1448" s="30"/>
      <c r="I1448" s="30"/>
      <c r="J1448" s="28"/>
      <c r="K1448" s="30"/>
      <c r="L1448" s="30"/>
      <c r="M1448" s="30"/>
      <c r="N1448" s="30"/>
      <c r="O1448" s="28"/>
      <c r="P1448" s="30"/>
      <c r="Q1448" s="30"/>
      <c r="R1448" s="30"/>
      <c r="S1448" s="36"/>
      <c r="T1448" s="30"/>
      <c r="U1448" s="36"/>
      <c r="V1448" s="30"/>
      <c r="W1448" s="28"/>
      <c r="X1448" s="30"/>
      <c r="Y1448" s="30"/>
      <c r="Z1448" s="30"/>
      <c r="AA1448" s="30"/>
      <c r="AB1448" s="30"/>
      <c r="AC1448" s="28"/>
      <c r="AD1448" s="30"/>
      <c r="AE1448" s="30"/>
      <c r="AF1448" s="30"/>
      <c r="AG1448" s="29"/>
      <c r="AH1448" s="30"/>
      <c r="AI1448" s="36"/>
      <c r="AJ1448" s="30"/>
      <c r="AK1448" s="29"/>
      <c r="AL1448" s="30"/>
      <c r="AM1448" s="30"/>
      <c r="AN1448" s="30"/>
      <c r="AO1448" s="30"/>
      <c r="AP1448" s="30"/>
      <c r="AQ1448" s="38"/>
      <c r="AR1448" s="30"/>
      <c r="AS1448" s="30"/>
      <c r="AT1448" s="29"/>
      <c r="AU1448" s="30"/>
      <c r="AV1448" s="30"/>
      <c r="AW1448" s="30"/>
      <c r="AX1448" s="29"/>
      <c r="AY1448" s="39"/>
      <c r="AZ1448" s="30"/>
      <c r="BA1448" s="30"/>
      <c r="BB1448" s="29"/>
      <c r="BC1448" s="52"/>
      <c r="BD1448" s="30"/>
      <c r="BE1448" s="29"/>
      <c r="BF1448" s="30"/>
      <c r="BG1448" s="30"/>
      <c r="BH1448" s="30"/>
      <c r="BI1448" s="30"/>
      <c r="BJ1448" s="30"/>
      <c r="BK1448" s="30"/>
      <c r="BL1448" s="30"/>
      <c r="BM1448" s="30"/>
      <c r="BN1448" s="30"/>
      <c r="BO1448" s="30"/>
      <c r="BP1448" s="30"/>
      <c r="BQ1448" s="30"/>
      <c r="BR1448" s="30"/>
      <c r="BS1448" s="30"/>
      <c r="BT1448" s="30"/>
      <c r="BU1448" s="30"/>
      <c r="BV1448" s="30"/>
      <c r="BW1448" s="30"/>
      <c r="BX1448" s="30"/>
      <c r="BY1448" s="30"/>
      <c r="BZ1448" s="30"/>
      <c r="CA1448" s="30"/>
      <c r="CB1448" s="30"/>
      <c r="CC1448" s="30"/>
      <c r="CD1448" s="30"/>
      <c r="CE1448" s="30"/>
      <c r="CF1448" s="30"/>
      <c r="CG1448" s="30"/>
      <c r="CH1448" s="30"/>
      <c r="CI1448" s="30"/>
      <c r="CJ1448" s="30"/>
      <c r="CK1448" s="30"/>
      <c r="CL1448" s="30"/>
      <c r="CM1448" s="30"/>
      <c r="CN1448" s="30"/>
      <c r="CO1448" s="30"/>
      <c r="CP1448" s="30"/>
      <c r="CQ1448" s="30"/>
      <c r="CR1448" s="30"/>
      <c r="CS1448" s="30"/>
      <c r="CT1448" s="30"/>
      <c r="CU1448" s="30"/>
      <c r="CV1448" s="30"/>
      <c r="CW1448" s="30"/>
      <c r="CX1448" s="30"/>
      <c r="CY1448" s="30"/>
      <c r="CZ1448" s="30"/>
      <c r="DA1448" s="30"/>
      <c r="DB1448" s="30"/>
      <c r="DC1448" s="30"/>
      <c r="DD1448" s="30"/>
      <c r="DE1448" s="30"/>
      <c r="DF1448" s="30"/>
      <c r="DG1448" s="30"/>
      <c r="DH1448" s="30"/>
      <c r="DI1448" s="30"/>
      <c r="DJ1448" s="30"/>
      <c r="DK1448" s="30"/>
      <c r="DL1448" s="30"/>
      <c r="DM1448" s="30"/>
      <c r="DN1448" s="30"/>
      <c r="DO1448" s="30"/>
      <c r="DP1448" s="30"/>
      <c r="DQ1448" s="30"/>
      <c r="DR1448" s="30"/>
      <c r="DS1448" s="30"/>
      <c r="DT1448" s="30"/>
      <c r="DU1448" s="30"/>
      <c r="DV1448" s="30"/>
      <c r="DW1448" s="30"/>
      <c r="DX1448" s="30"/>
      <c r="DY1448" s="30"/>
      <c r="DZ1448" s="30"/>
    </row>
    <row r="1449">
      <c r="A1449" s="30"/>
      <c r="B1449" s="42"/>
      <c r="C1449" s="43"/>
      <c r="D1449" s="30"/>
      <c r="E1449" s="28"/>
      <c r="F1449" s="30"/>
      <c r="G1449" s="30"/>
      <c r="H1449" s="30"/>
      <c r="I1449" s="30"/>
      <c r="J1449" s="28"/>
      <c r="K1449" s="30"/>
      <c r="L1449" s="30"/>
      <c r="M1449" s="30"/>
      <c r="N1449" s="30"/>
      <c r="O1449" s="28"/>
      <c r="P1449" s="30"/>
      <c r="Q1449" s="30"/>
      <c r="R1449" s="30"/>
      <c r="S1449" s="36"/>
      <c r="T1449" s="30"/>
      <c r="U1449" s="36"/>
      <c r="V1449" s="30"/>
      <c r="W1449" s="28"/>
      <c r="X1449" s="30"/>
      <c r="Y1449" s="30"/>
      <c r="Z1449" s="30"/>
      <c r="AA1449" s="30"/>
      <c r="AB1449" s="30"/>
      <c r="AC1449" s="28"/>
      <c r="AD1449" s="30"/>
      <c r="AE1449" s="30"/>
      <c r="AF1449" s="30"/>
      <c r="AG1449" s="29"/>
      <c r="AH1449" s="30"/>
      <c r="AI1449" s="36"/>
      <c r="AJ1449" s="30"/>
      <c r="AK1449" s="29"/>
      <c r="AL1449" s="30"/>
      <c r="AM1449" s="30"/>
      <c r="AN1449" s="30"/>
      <c r="AO1449" s="30"/>
      <c r="AP1449" s="30"/>
      <c r="AQ1449" s="38"/>
      <c r="AR1449" s="30"/>
      <c r="AS1449" s="30"/>
      <c r="AT1449" s="29"/>
      <c r="AU1449" s="30"/>
      <c r="AV1449" s="30"/>
      <c r="AW1449" s="30"/>
      <c r="AX1449" s="29"/>
      <c r="AY1449" s="39"/>
      <c r="AZ1449" s="30"/>
      <c r="BA1449" s="30"/>
      <c r="BB1449" s="29"/>
      <c r="BC1449" s="52"/>
      <c r="BD1449" s="30"/>
      <c r="BE1449" s="29"/>
      <c r="BF1449" s="30"/>
      <c r="BG1449" s="30"/>
      <c r="BH1449" s="30"/>
      <c r="BI1449" s="30"/>
      <c r="BJ1449" s="30"/>
      <c r="BK1449" s="30"/>
      <c r="BL1449" s="30"/>
      <c r="BM1449" s="30"/>
      <c r="BN1449" s="30"/>
      <c r="BO1449" s="30"/>
      <c r="BP1449" s="30"/>
      <c r="BQ1449" s="30"/>
      <c r="BR1449" s="30"/>
      <c r="BS1449" s="30"/>
      <c r="BT1449" s="30"/>
      <c r="BU1449" s="30"/>
      <c r="BV1449" s="30"/>
      <c r="BW1449" s="30"/>
      <c r="BX1449" s="30"/>
      <c r="BY1449" s="30"/>
      <c r="BZ1449" s="30"/>
      <c r="CA1449" s="30"/>
      <c r="CB1449" s="30"/>
      <c r="CC1449" s="30"/>
      <c r="CD1449" s="30"/>
      <c r="CE1449" s="30"/>
      <c r="CF1449" s="30"/>
      <c r="CG1449" s="30"/>
      <c r="CH1449" s="30"/>
      <c r="CI1449" s="30"/>
      <c r="CJ1449" s="30"/>
      <c r="CK1449" s="30"/>
      <c r="CL1449" s="30"/>
      <c r="CM1449" s="30"/>
      <c r="CN1449" s="30"/>
      <c r="CO1449" s="30"/>
      <c r="CP1449" s="30"/>
      <c r="CQ1449" s="30"/>
      <c r="CR1449" s="30"/>
      <c r="CS1449" s="30"/>
      <c r="CT1449" s="30"/>
      <c r="CU1449" s="30"/>
      <c r="CV1449" s="30"/>
      <c r="CW1449" s="30"/>
      <c r="CX1449" s="30"/>
      <c r="CY1449" s="30"/>
      <c r="CZ1449" s="30"/>
      <c r="DA1449" s="30"/>
      <c r="DB1449" s="30"/>
      <c r="DC1449" s="30"/>
      <c r="DD1449" s="30"/>
      <c r="DE1449" s="30"/>
      <c r="DF1449" s="30"/>
      <c r="DG1449" s="30"/>
      <c r="DH1449" s="30"/>
      <c r="DI1449" s="30"/>
      <c r="DJ1449" s="30"/>
      <c r="DK1449" s="30"/>
      <c r="DL1449" s="30"/>
      <c r="DM1449" s="30"/>
      <c r="DN1449" s="30"/>
      <c r="DO1449" s="30"/>
      <c r="DP1449" s="30"/>
      <c r="DQ1449" s="30"/>
      <c r="DR1449" s="30"/>
      <c r="DS1449" s="30"/>
      <c r="DT1449" s="30"/>
      <c r="DU1449" s="30"/>
      <c r="DV1449" s="30"/>
      <c r="DW1449" s="30"/>
      <c r="DX1449" s="30"/>
      <c r="DY1449" s="30"/>
      <c r="DZ1449" s="30"/>
    </row>
    <row r="1450">
      <c r="A1450" s="30"/>
      <c r="B1450" s="42"/>
      <c r="C1450" s="43"/>
      <c r="D1450" s="30"/>
      <c r="E1450" s="28"/>
      <c r="F1450" s="30"/>
      <c r="G1450" s="30"/>
      <c r="H1450" s="30"/>
      <c r="I1450" s="30"/>
      <c r="J1450" s="28"/>
      <c r="K1450" s="30"/>
      <c r="L1450" s="30"/>
      <c r="M1450" s="30"/>
      <c r="N1450" s="30"/>
      <c r="O1450" s="28"/>
      <c r="P1450" s="30"/>
      <c r="Q1450" s="30"/>
      <c r="R1450" s="30"/>
      <c r="S1450" s="36"/>
      <c r="T1450" s="30"/>
      <c r="U1450" s="36"/>
      <c r="V1450" s="30"/>
      <c r="W1450" s="28"/>
      <c r="X1450" s="30"/>
      <c r="Y1450" s="30"/>
      <c r="Z1450" s="30"/>
      <c r="AA1450" s="30"/>
      <c r="AB1450" s="30"/>
      <c r="AC1450" s="28"/>
      <c r="AD1450" s="30"/>
      <c r="AE1450" s="30"/>
      <c r="AF1450" s="30"/>
      <c r="AG1450" s="29"/>
      <c r="AH1450" s="30"/>
      <c r="AI1450" s="36"/>
      <c r="AJ1450" s="30"/>
      <c r="AK1450" s="29"/>
      <c r="AL1450" s="30"/>
      <c r="AM1450" s="30"/>
      <c r="AN1450" s="30"/>
      <c r="AO1450" s="30"/>
      <c r="AP1450" s="30"/>
      <c r="AQ1450" s="38"/>
      <c r="AR1450" s="30"/>
      <c r="AS1450" s="30"/>
      <c r="AT1450" s="29"/>
      <c r="AU1450" s="30"/>
      <c r="AV1450" s="30"/>
      <c r="AW1450" s="30"/>
      <c r="AX1450" s="29"/>
      <c r="AY1450" s="39"/>
      <c r="AZ1450" s="30"/>
      <c r="BA1450" s="30"/>
      <c r="BB1450" s="29"/>
      <c r="BC1450" s="52"/>
      <c r="BD1450" s="30"/>
      <c r="BE1450" s="29"/>
      <c r="BF1450" s="30"/>
      <c r="BG1450" s="30"/>
      <c r="BH1450" s="30"/>
      <c r="BI1450" s="30"/>
      <c r="BJ1450" s="30"/>
      <c r="BK1450" s="30"/>
      <c r="BL1450" s="30"/>
      <c r="BM1450" s="30"/>
      <c r="BN1450" s="30"/>
      <c r="BO1450" s="30"/>
      <c r="BP1450" s="30"/>
      <c r="BQ1450" s="30"/>
      <c r="BR1450" s="30"/>
      <c r="BS1450" s="30"/>
      <c r="BT1450" s="30"/>
      <c r="BU1450" s="30"/>
      <c r="BV1450" s="30"/>
      <c r="BW1450" s="30"/>
      <c r="BX1450" s="30"/>
      <c r="BY1450" s="30"/>
      <c r="BZ1450" s="30"/>
      <c r="CA1450" s="30"/>
      <c r="CB1450" s="30"/>
      <c r="CC1450" s="30"/>
      <c r="CD1450" s="30"/>
      <c r="CE1450" s="30"/>
      <c r="CF1450" s="30"/>
      <c r="CG1450" s="30"/>
      <c r="CH1450" s="30"/>
      <c r="CI1450" s="30"/>
      <c r="CJ1450" s="30"/>
      <c r="CK1450" s="30"/>
      <c r="CL1450" s="30"/>
      <c r="CM1450" s="30"/>
      <c r="CN1450" s="30"/>
      <c r="CO1450" s="30"/>
      <c r="CP1450" s="30"/>
      <c r="CQ1450" s="30"/>
      <c r="CR1450" s="30"/>
      <c r="CS1450" s="30"/>
      <c r="CT1450" s="30"/>
      <c r="CU1450" s="30"/>
      <c r="CV1450" s="30"/>
      <c r="CW1450" s="30"/>
      <c r="CX1450" s="30"/>
      <c r="CY1450" s="30"/>
      <c r="CZ1450" s="30"/>
      <c r="DA1450" s="30"/>
      <c r="DB1450" s="30"/>
      <c r="DC1450" s="30"/>
      <c r="DD1450" s="30"/>
      <c r="DE1450" s="30"/>
      <c r="DF1450" s="30"/>
      <c r="DG1450" s="30"/>
      <c r="DH1450" s="30"/>
      <c r="DI1450" s="30"/>
      <c r="DJ1450" s="30"/>
      <c r="DK1450" s="30"/>
      <c r="DL1450" s="30"/>
      <c r="DM1450" s="30"/>
      <c r="DN1450" s="30"/>
      <c r="DO1450" s="30"/>
      <c r="DP1450" s="30"/>
      <c r="DQ1450" s="30"/>
      <c r="DR1450" s="30"/>
      <c r="DS1450" s="30"/>
      <c r="DT1450" s="30"/>
      <c r="DU1450" s="30"/>
      <c r="DV1450" s="30"/>
      <c r="DW1450" s="30"/>
      <c r="DX1450" s="30"/>
      <c r="DY1450" s="30"/>
      <c r="DZ1450" s="30"/>
    </row>
    <row r="1451">
      <c r="A1451" s="30"/>
      <c r="B1451" s="42"/>
      <c r="C1451" s="43"/>
      <c r="D1451" s="30"/>
      <c r="E1451" s="28"/>
      <c r="F1451" s="30"/>
      <c r="G1451" s="30"/>
      <c r="H1451" s="30"/>
      <c r="I1451" s="30"/>
      <c r="J1451" s="28"/>
      <c r="K1451" s="30"/>
      <c r="L1451" s="30"/>
      <c r="M1451" s="30"/>
      <c r="N1451" s="30"/>
      <c r="O1451" s="28"/>
      <c r="P1451" s="30"/>
      <c r="Q1451" s="30"/>
      <c r="R1451" s="30"/>
      <c r="S1451" s="36"/>
      <c r="T1451" s="30"/>
      <c r="U1451" s="36"/>
      <c r="V1451" s="30"/>
      <c r="W1451" s="28"/>
      <c r="X1451" s="30"/>
      <c r="Y1451" s="30"/>
      <c r="Z1451" s="30"/>
      <c r="AA1451" s="30"/>
      <c r="AB1451" s="30"/>
      <c r="AC1451" s="28"/>
      <c r="AD1451" s="30"/>
      <c r="AE1451" s="30"/>
      <c r="AF1451" s="30"/>
      <c r="AG1451" s="29"/>
      <c r="AH1451" s="30"/>
      <c r="AI1451" s="36"/>
      <c r="AJ1451" s="30"/>
      <c r="AK1451" s="29"/>
      <c r="AL1451" s="30"/>
      <c r="AM1451" s="30"/>
      <c r="AN1451" s="30"/>
      <c r="AO1451" s="30"/>
      <c r="AP1451" s="30"/>
      <c r="AQ1451" s="38"/>
      <c r="AR1451" s="30"/>
      <c r="AS1451" s="30"/>
      <c r="AT1451" s="29"/>
      <c r="AU1451" s="30"/>
      <c r="AV1451" s="30"/>
      <c r="AW1451" s="30"/>
      <c r="AX1451" s="29"/>
      <c r="AY1451" s="39"/>
      <c r="AZ1451" s="30"/>
      <c r="BA1451" s="30"/>
      <c r="BB1451" s="29"/>
      <c r="BC1451" s="52"/>
      <c r="BD1451" s="30"/>
      <c r="BE1451" s="29"/>
      <c r="BF1451" s="30"/>
      <c r="BG1451" s="30"/>
      <c r="BH1451" s="30"/>
      <c r="BI1451" s="30"/>
      <c r="BJ1451" s="30"/>
      <c r="BK1451" s="30"/>
      <c r="BL1451" s="30"/>
      <c r="BM1451" s="30"/>
      <c r="BN1451" s="30"/>
      <c r="BO1451" s="30"/>
      <c r="BP1451" s="30"/>
      <c r="BQ1451" s="30"/>
      <c r="BR1451" s="30"/>
      <c r="BS1451" s="30"/>
      <c r="BT1451" s="30"/>
      <c r="BU1451" s="30"/>
      <c r="BV1451" s="30"/>
      <c r="BW1451" s="30"/>
      <c r="BX1451" s="30"/>
      <c r="BY1451" s="30"/>
      <c r="BZ1451" s="30"/>
      <c r="CA1451" s="30"/>
      <c r="CB1451" s="30"/>
      <c r="CC1451" s="30"/>
      <c r="CD1451" s="30"/>
      <c r="CE1451" s="30"/>
      <c r="CF1451" s="30"/>
      <c r="CG1451" s="30"/>
      <c r="CH1451" s="30"/>
      <c r="CI1451" s="30"/>
      <c r="CJ1451" s="30"/>
      <c r="CK1451" s="30"/>
      <c r="CL1451" s="30"/>
      <c r="CM1451" s="30"/>
      <c r="CN1451" s="30"/>
      <c r="CO1451" s="30"/>
      <c r="CP1451" s="30"/>
      <c r="CQ1451" s="30"/>
      <c r="CR1451" s="30"/>
      <c r="CS1451" s="30"/>
      <c r="CT1451" s="30"/>
      <c r="CU1451" s="30"/>
      <c r="CV1451" s="30"/>
      <c r="CW1451" s="30"/>
      <c r="CX1451" s="30"/>
      <c r="CY1451" s="30"/>
      <c r="CZ1451" s="30"/>
      <c r="DA1451" s="30"/>
      <c r="DB1451" s="30"/>
      <c r="DC1451" s="30"/>
      <c r="DD1451" s="30"/>
      <c r="DE1451" s="30"/>
      <c r="DF1451" s="30"/>
      <c r="DG1451" s="30"/>
      <c r="DH1451" s="30"/>
      <c r="DI1451" s="30"/>
      <c r="DJ1451" s="30"/>
      <c r="DK1451" s="30"/>
      <c r="DL1451" s="30"/>
      <c r="DM1451" s="30"/>
      <c r="DN1451" s="30"/>
      <c r="DO1451" s="30"/>
      <c r="DP1451" s="30"/>
      <c r="DQ1451" s="30"/>
      <c r="DR1451" s="30"/>
      <c r="DS1451" s="30"/>
      <c r="DT1451" s="30"/>
      <c r="DU1451" s="30"/>
      <c r="DV1451" s="30"/>
      <c r="DW1451" s="30"/>
      <c r="DX1451" s="30"/>
      <c r="DY1451" s="30"/>
      <c r="DZ1451" s="30"/>
    </row>
    <row r="1452">
      <c r="A1452" s="30"/>
      <c r="B1452" s="42"/>
      <c r="C1452" s="43"/>
      <c r="D1452" s="30"/>
      <c r="E1452" s="28"/>
      <c r="F1452" s="30"/>
      <c r="G1452" s="30"/>
      <c r="H1452" s="30"/>
      <c r="I1452" s="30"/>
      <c r="J1452" s="28"/>
      <c r="K1452" s="30"/>
      <c r="L1452" s="30"/>
      <c r="M1452" s="30"/>
      <c r="N1452" s="30"/>
      <c r="O1452" s="28"/>
      <c r="P1452" s="30"/>
      <c r="Q1452" s="30"/>
      <c r="R1452" s="30"/>
      <c r="S1452" s="36"/>
      <c r="T1452" s="30"/>
      <c r="U1452" s="36"/>
      <c r="V1452" s="30"/>
      <c r="W1452" s="28"/>
      <c r="X1452" s="30"/>
      <c r="Y1452" s="30"/>
      <c r="Z1452" s="30"/>
      <c r="AA1452" s="30"/>
      <c r="AB1452" s="30"/>
      <c r="AC1452" s="28"/>
      <c r="AD1452" s="30"/>
      <c r="AE1452" s="30"/>
      <c r="AF1452" s="30"/>
      <c r="AG1452" s="29"/>
      <c r="AH1452" s="30"/>
      <c r="AI1452" s="36"/>
      <c r="AJ1452" s="30"/>
      <c r="AK1452" s="29"/>
      <c r="AL1452" s="30"/>
      <c r="AM1452" s="30"/>
      <c r="AN1452" s="30"/>
      <c r="AO1452" s="30"/>
      <c r="AP1452" s="30"/>
      <c r="AQ1452" s="38"/>
      <c r="AR1452" s="30"/>
      <c r="AS1452" s="30"/>
      <c r="AT1452" s="29"/>
      <c r="AU1452" s="30"/>
      <c r="AV1452" s="30"/>
      <c r="AW1452" s="30"/>
      <c r="AX1452" s="29"/>
      <c r="AY1452" s="39"/>
      <c r="AZ1452" s="30"/>
      <c r="BA1452" s="30"/>
      <c r="BB1452" s="29"/>
      <c r="BC1452" s="52"/>
      <c r="BD1452" s="30"/>
      <c r="BE1452" s="29"/>
      <c r="BF1452" s="30"/>
      <c r="BG1452" s="30"/>
      <c r="BH1452" s="30"/>
      <c r="BI1452" s="30"/>
      <c r="BJ1452" s="30"/>
      <c r="BK1452" s="30"/>
      <c r="BL1452" s="30"/>
      <c r="BM1452" s="30"/>
      <c r="BN1452" s="30"/>
      <c r="BO1452" s="30"/>
      <c r="BP1452" s="30"/>
      <c r="BQ1452" s="30"/>
      <c r="BR1452" s="30"/>
      <c r="BS1452" s="30"/>
      <c r="BT1452" s="30"/>
      <c r="BU1452" s="30"/>
      <c r="BV1452" s="30"/>
      <c r="BW1452" s="30"/>
      <c r="BX1452" s="30"/>
      <c r="BY1452" s="30"/>
      <c r="BZ1452" s="30"/>
      <c r="CA1452" s="30"/>
      <c r="CB1452" s="30"/>
      <c r="CC1452" s="30"/>
      <c r="CD1452" s="30"/>
      <c r="CE1452" s="30"/>
      <c r="CF1452" s="30"/>
      <c r="CG1452" s="30"/>
      <c r="CH1452" s="30"/>
      <c r="CI1452" s="30"/>
      <c r="CJ1452" s="30"/>
      <c r="CK1452" s="30"/>
      <c r="CL1452" s="30"/>
      <c r="CM1452" s="30"/>
      <c r="CN1452" s="30"/>
      <c r="CO1452" s="30"/>
      <c r="CP1452" s="30"/>
      <c r="CQ1452" s="30"/>
      <c r="CR1452" s="30"/>
      <c r="CS1452" s="30"/>
      <c r="CT1452" s="30"/>
      <c r="CU1452" s="30"/>
      <c r="CV1452" s="30"/>
      <c r="CW1452" s="30"/>
      <c r="CX1452" s="30"/>
      <c r="CY1452" s="30"/>
      <c r="CZ1452" s="30"/>
      <c r="DA1452" s="30"/>
      <c r="DB1452" s="30"/>
      <c r="DC1452" s="30"/>
      <c r="DD1452" s="30"/>
      <c r="DE1452" s="30"/>
      <c r="DF1452" s="30"/>
      <c r="DG1452" s="30"/>
      <c r="DH1452" s="30"/>
      <c r="DI1452" s="30"/>
      <c r="DJ1452" s="30"/>
      <c r="DK1452" s="30"/>
      <c r="DL1452" s="30"/>
      <c r="DM1452" s="30"/>
      <c r="DN1452" s="30"/>
      <c r="DO1452" s="30"/>
      <c r="DP1452" s="30"/>
      <c r="DQ1452" s="30"/>
      <c r="DR1452" s="30"/>
      <c r="DS1452" s="30"/>
      <c r="DT1452" s="30"/>
      <c r="DU1452" s="30"/>
      <c r="DV1452" s="30"/>
      <c r="DW1452" s="30"/>
      <c r="DX1452" s="30"/>
      <c r="DY1452" s="30"/>
      <c r="DZ1452" s="30"/>
    </row>
    <row r="1453">
      <c r="A1453" s="30"/>
      <c r="B1453" s="42"/>
      <c r="C1453" s="43"/>
      <c r="D1453" s="30"/>
      <c r="E1453" s="28"/>
      <c r="F1453" s="30"/>
      <c r="G1453" s="30"/>
      <c r="H1453" s="30"/>
      <c r="I1453" s="30"/>
      <c r="J1453" s="28"/>
      <c r="K1453" s="30"/>
      <c r="L1453" s="30"/>
      <c r="M1453" s="30"/>
      <c r="N1453" s="30"/>
      <c r="O1453" s="28"/>
      <c r="P1453" s="30"/>
      <c r="Q1453" s="30"/>
      <c r="R1453" s="30"/>
      <c r="S1453" s="36"/>
      <c r="T1453" s="30"/>
      <c r="U1453" s="36"/>
      <c r="V1453" s="30"/>
      <c r="W1453" s="28"/>
      <c r="X1453" s="30"/>
      <c r="Y1453" s="30"/>
      <c r="Z1453" s="30"/>
      <c r="AA1453" s="30"/>
      <c r="AB1453" s="30"/>
      <c r="AC1453" s="28"/>
      <c r="AD1453" s="30"/>
      <c r="AE1453" s="30"/>
      <c r="AF1453" s="30"/>
      <c r="AG1453" s="29"/>
      <c r="AH1453" s="30"/>
      <c r="AI1453" s="36"/>
      <c r="AJ1453" s="30"/>
      <c r="AK1453" s="29"/>
      <c r="AL1453" s="30"/>
      <c r="AM1453" s="30"/>
      <c r="AN1453" s="30"/>
      <c r="AO1453" s="30"/>
      <c r="AP1453" s="30"/>
      <c r="AQ1453" s="38"/>
      <c r="AR1453" s="30"/>
      <c r="AS1453" s="30"/>
      <c r="AT1453" s="29"/>
      <c r="AU1453" s="30"/>
      <c r="AV1453" s="30"/>
      <c r="AW1453" s="30"/>
      <c r="AX1453" s="29"/>
      <c r="AY1453" s="39"/>
      <c r="AZ1453" s="30"/>
      <c r="BA1453" s="30"/>
      <c r="BB1453" s="29"/>
      <c r="BC1453" s="52"/>
      <c r="BD1453" s="30"/>
      <c r="BE1453" s="29"/>
      <c r="BF1453" s="30"/>
      <c r="BG1453" s="30"/>
      <c r="BH1453" s="30"/>
      <c r="BI1453" s="30"/>
      <c r="BJ1453" s="30"/>
      <c r="BK1453" s="30"/>
      <c r="BL1453" s="30"/>
      <c r="BM1453" s="30"/>
      <c r="BN1453" s="30"/>
      <c r="BO1453" s="30"/>
      <c r="BP1453" s="30"/>
      <c r="BQ1453" s="30"/>
      <c r="BR1453" s="30"/>
      <c r="BS1453" s="30"/>
      <c r="BT1453" s="30"/>
      <c r="BU1453" s="30"/>
      <c r="BV1453" s="30"/>
      <c r="BW1453" s="30"/>
      <c r="BX1453" s="30"/>
      <c r="BY1453" s="30"/>
      <c r="BZ1453" s="30"/>
      <c r="CA1453" s="30"/>
      <c r="CB1453" s="30"/>
      <c r="CC1453" s="30"/>
      <c r="CD1453" s="30"/>
      <c r="CE1453" s="30"/>
      <c r="CF1453" s="30"/>
      <c r="CG1453" s="30"/>
      <c r="CH1453" s="30"/>
      <c r="CI1453" s="30"/>
      <c r="CJ1453" s="30"/>
      <c r="CK1453" s="30"/>
      <c r="CL1453" s="30"/>
      <c r="CM1453" s="30"/>
      <c r="CN1453" s="30"/>
      <c r="CO1453" s="30"/>
      <c r="CP1453" s="30"/>
      <c r="CQ1453" s="30"/>
      <c r="CR1453" s="30"/>
      <c r="CS1453" s="30"/>
      <c r="CT1453" s="30"/>
      <c r="CU1453" s="30"/>
      <c r="CV1453" s="30"/>
      <c r="CW1453" s="30"/>
      <c r="CX1453" s="30"/>
      <c r="CY1453" s="30"/>
      <c r="CZ1453" s="30"/>
      <c r="DA1453" s="30"/>
      <c r="DB1453" s="30"/>
      <c r="DC1453" s="30"/>
      <c r="DD1453" s="30"/>
      <c r="DE1453" s="30"/>
      <c r="DF1453" s="30"/>
      <c r="DG1453" s="30"/>
      <c r="DH1453" s="30"/>
      <c r="DI1453" s="30"/>
      <c r="DJ1453" s="30"/>
      <c r="DK1453" s="30"/>
      <c r="DL1453" s="30"/>
      <c r="DM1453" s="30"/>
      <c r="DN1453" s="30"/>
      <c r="DO1453" s="30"/>
      <c r="DP1453" s="30"/>
      <c r="DQ1453" s="30"/>
      <c r="DR1453" s="30"/>
      <c r="DS1453" s="30"/>
      <c r="DT1453" s="30"/>
      <c r="DU1453" s="30"/>
      <c r="DV1453" s="30"/>
      <c r="DW1453" s="30"/>
      <c r="DX1453" s="30"/>
      <c r="DY1453" s="30"/>
      <c r="DZ1453" s="30"/>
    </row>
    <row r="1454">
      <c r="A1454" s="30"/>
      <c r="B1454" s="42"/>
      <c r="C1454" s="43"/>
      <c r="D1454" s="30"/>
      <c r="E1454" s="28"/>
      <c r="F1454" s="30"/>
      <c r="G1454" s="30"/>
      <c r="H1454" s="30"/>
      <c r="I1454" s="30"/>
      <c r="J1454" s="28"/>
      <c r="K1454" s="30"/>
      <c r="L1454" s="30"/>
      <c r="M1454" s="30"/>
      <c r="N1454" s="30"/>
      <c r="O1454" s="28"/>
      <c r="P1454" s="30"/>
      <c r="Q1454" s="30"/>
      <c r="R1454" s="30"/>
      <c r="S1454" s="36"/>
      <c r="T1454" s="30"/>
      <c r="U1454" s="36"/>
      <c r="V1454" s="30"/>
      <c r="W1454" s="28"/>
      <c r="X1454" s="30"/>
      <c r="Y1454" s="30"/>
      <c r="Z1454" s="30"/>
      <c r="AA1454" s="30"/>
      <c r="AB1454" s="30"/>
      <c r="AC1454" s="28"/>
      <c r="AD1454" s="30"/>
      <c r="AE1454" s="30"/>
      <c r="AF1454" s="30"/>
      <c r="AG1454" s="29"/>
      <c r="AH1454" s="30"/>
      <c r="AI1454" s="36"/>
      <c r="AJ1454" s="30"/>
      <c r="AK1454" s="29"/>
      <c r="AL1454" s="30"/>
      <c r="AM1454" s="30"/>
      <c r="AN1454" s="30"/>
      <c r="AO1454" s="30"/>
      <c r="AP1454" s="30"/>
      <c r="AQ1454" s="38"/>
      <c r="AR1454" s="30"/>
      <c r="AS1454" s="30"/>
      <c r="AT1454" s="29"/>
      <c r="AU1454" s="30"/>
      <c r="AV1454" s="30"/>
      <c r="AW1454" s="30"/>
      <c r="AX1454" s="29"/>
      <c r="AY1454" s="39"/>
      <c r="AZ1454" s="30"/>
      <c r="BA1454" s="30"/>
      <c r="BB1454" s="29"/>
      <c r="BC1454" s="52"/>
      <c r="BD1454" s="30"/>
      <c r="BE1454" s="29"/>
      <c r="BF1454" s="30"/>
      <c r="BG1454" s="30"/>
      <c r="BH1454" s="30"/>
      <c r="BI1454" s="30"/>
      <c r="BJ1454" s="30"/>
      <c r="BK1454" s="30"/>
      <c r="BL1454" s="30"/>
      <c r="BM1454" s="30"/>
      <c r="BN1454" s="30"/>
      <c r="BO1454" s="30"/>
      <c r="BP1454" s="30"/>
      <c r="BQ1454" s="30"/>
      <c r="BR1454" s="30"/>
      <c r="BS1454" s="30"/>
      <c r="BT1454" s="30"/>
      <c r="BU1454" s="30"/>
      <c r="BV1454" s="30"/>
      <c r="BW1454" s="30"/>
      <c r="BX1454" s="30"/>
      <c r="BY1454" s="30"/>
      <c r="BZ1454" s="30"/>
      <c r="CA1454" s="30"/>
      <c r="CB1454" s="30"/>
      <c r="CC1454" s="30"/>
      <c r="CD1454" s="30"/>
      <c r="CE1454" s="30"/>
      <c r="CF1454" s="30"/>
      <c r="CG1454" s="30"/>
      <c r="CH1454" s="30"/>
      <c r="CI1454" s="30"/>
      <c r="CJ1454" s="30"/>
      <c r="CK1454" s="30"/>
      <c r="CL1454" s="30"/>
      <c r="CM1454" s="30"/>
      <c r="CN1454" s="30"/>
      <c r="CO1454" s="30"/>
      <c r="CP1454" s="30"/>
      <c r="CQ1454" s="30"/>
      <c r="CR1454" s="30"/>
      <c r="CS1454" s="30"/>
      <c r="CT1454" s="30"/>
      <c r="CU1454" s="30"/>
      <c r="CV1454" s="30"/>
      <c r="CW1454" s="30"/>
      <c r="CX1454" s="30"/>
      <c r="CY1454" s="30"/>
      <c r="CZ1454" s="30"/>
      <c r="DA1454" s="30"/>
      <c r="DB1454" s="30"/>
      <c r="DC1454" s="30"/>
      <c r="DD1454" s="30"/>
      <c r="DE1454" s="30"/>
      <c r="DF1454" s="30"/>
      <c r="DG1454" s="30"/>
      <c r="DH1454" s="30"/>
      <c r="DI1454" s="30"/>
      <c r="DJ1454" s="30"/>
      <c r="DK1454" s="30"/>
      <c r="DL1454" s="30"/>
      <c r="DM1454" s="30"/>
      <c r="DN1454" s="30"/>
      <c r="DO1454" s="30"/>
      <c r="DP1454" s="30"/>
      <c r="DQ1454" s="30"/>
      <c r="DR1454" s="30"/>
      <c r="DS1454" s="30"/>
      <c r="DT1454" s="30"/>
      <c r="DU1454" s="30"/>
      <c r="DV1454" s="30"/>
      <c r="DW1454" s="30"/>
      <c r="DX1454" s="30"/>
      <c r="DY1454" s="30"/>
      <c r="DZ1454" s="30"/>
    </row>
    <row r="1455">
      <c r="A1455" s="30"/>
      <c r="B1455" s="42"/>
      <c r="C1455" s="43"/>
      <c r="D1455" s="30"/>
      <c r="E1455" s="28"/>
      <c r="F1455" s="30"/>
      <c r="G1455" s="30"/>
      <c r="H1455" s="30"/>
      <c r="I1455" s="30"/>
      <c r="J1455" s="28"/>
      <c r="K1455" s="30"/>
      <c r="L1455" s="30"/>
      <c r="M1455" s="30"/>
      <c r="N1455" s="30"/>
      <c r="O1455" s="28"/>
      <c r="P1455" s="30"/>
      <c r="Q1455" s="30"/>
      <c r="R1455" s="30"/>
      <c r="S1455" s="36"/>
      <c r="T1455" s="30"/>
      <c r="U1455" s="36"/>
      <c r="V1455" s="30"/>
      <c r="W1455" s="28"/>
      <c r="X1455" s="30"/>
      <c r="Y1455" s="30"/>
      <c r="Z1455" s="30"/>
      <c r="AA1455" s="30"/>
      <c r="AB1455" s="30"/>
      <c r="AC1455" s="28"/>
      <c r="AD1455" s="30"/>
      <c r="AE1455" s="30"/>
      <c r="AF1455" s="30"/>
      <c r="AG1455" s="29"/>
      <c r="AH1455" s="30"/>
      <c r="AI1455" s="36"/>
      <c r="AJ1455" s="30"/>
      <c r="AK1455" s="29"/>
      <c r="AL1455" s="30"/>
      <c r="AM1455" s="30"/>
      <c r="AN1455" s="30"/>
      <c r="AO1455" s="30"/>
      <c r="AP1455" s="30"/>
      <c r="AQ1455" s="38"/>
      <c r="AR1455" s="30"/>
      <c r="AS1455" s="30"/>
      <c r="AT1455" s="29"/>
      <c r="AU1455" s="30"/>
      <c r="AV1455" s="30"/>
      <c r="AW1455" s="30"/>
      <c r="AX1455" s="29"/>
      <c r="AY1455" s="39"/>
      <c r="AZ1455" s="30"/>
      <c r="BA1455" s="30"/>
      <c r="BB1455" s="29"/>
      <c r="BC1455" s="52"/>
      <c r="BD1455" s="30"/>
      <c r="BE1455" s="29"/>
      <c r="BF1455" s="30"/>
      <c r="BG1455" s="30"/>
      <c r="BH1455" s="30"/>
      <c r="BI1455" s="30"/>
      <c r="BJ1455" s="30"/>
      <c r="BK1455" s="30"/>
      <c r="BL1455" s="30"/>
      <c r="BM1455" s="30"/>
      <c r="BN1455" s="30"/>
      <c r="BO1455" s="30"/>
      <c r="BP1455" s="30"/>
      <c r="BQ1455" s="30"/>
      <c r="BR1455" s="30"/>
      <c r="BS1455" s="30"/>
      <c r="BT1455" s="30"/>
      <c r="BU1455" s="30"/>
      <c r="BV1455" s="30"/>
      <c r="BW1455" s="30"/>
      <c r="BX1455" s="30"/>
      <c r="BY1455" s="30"/>
      <c r="BZ1455" s="30"/>
      <c r="CA1455" s="30"/>
      <c r="CB1455" s="30"/>
      <c r="CC1455" s="30"/>
      <c r="CD1455" s="30"/>
      <c r="CE1455" s="30"/>
      <c r="CF1455" s="30"/>
      <c r="CG1455" s="30"/>
      <c r="CH1455" s="30"/>
      <c r="CI1455" s="30"/>
      <c r="CJ1455" s="30"/>
      <c r="CK1455" s="30"/>
      <c r="CL1455" s="30"/>
      <c r="CM1455" s="30"/>
      <c r="CN1455" s="30"/>
      <c r="CO1455" s="30"/>
      <c r="CP1455" s="30"/>
      <c r="CQ1455" s="30"/>
      <c r="CR1455" s="30"/>
      <c r="CS1455" s="30"/>
      <c r="CT1455" s="30"/>
      <c r="CU1455" s="30"/>
      <c r="CV1455" s="30"/>
      <c r="CW1455" s="30"/>
      <c r="CX1455" s="30"/>
      <c r="CY1455" s="30"/>
      <c r="CZ1455" s="30"/>
      <c r="DA1455" s="30"/>
      <c r="DB1455" s="30"/>
      <c r="DC1455" s="30"/>
      <c r="DD1455" s="30"/>
      <c r="DE1455" s="30"/>
      <c r="DF1455" s="30"/>
      <c r="DG1455" s="30"/>
      <c r="DH1455" s="30"/>
      <c r="DI1455" s="30"/>
      <c r="DJ1455" s="30"/>
      <c r="DK1455" s="30"/>
      <c r="DL1455" s="30"/>
      <c r="DM1455" s="30"/>
      <c r="DN1455" s="30"/>
      <c r="DO1455" s="30"/>
      <c r="DP1455" s="30"/>
      <c r="DQ1455" s="30"/>
      <c r="DR1455" s="30"/>
      <c r="DS1455" s="30"/>
      <c r="DT1455" s="30"/>
      <c r="DU1455" s="30"/>
      <c r="DV1455" s="30"/>
      <c r="DW1455" s="30"/>
      <c r="DX1455" s="30"/>
      <c r="DY1455" s="30"/>
      <c r="DZ1455" s="30"/>
    </row>
    <row r="1456">
      <c r="A1456" s="30"/>
      <c r="B1456" s="42"/>
      <c r="C1456" s="43"/>
      <c r="D1456" s="30"/>
      <c r="E1456" s="28"/>
      <c r="F1456" s="30"/>
      <c r="G1456" s="30"/>
      <c r="H1456" s="30"/>
      <c r="I1456" s="30"/>
      <c r="J1456" s="28"/>
      <c r="K1456" s="30"/>
      <c r="L1456" s="30"/>
      <c r="M1456" s="30"/>
      <c r="N1456" s="30"/>
      <c r="O1456" s="28"/>
      <c r="P1456" s="30"/>
      <c r="Q1456" s="30"/>
      <c r="R1456" s="30"/>
      <c r="S1456" s="36"/>
      <c r="T1456" s="30"/>
      <c r="U1456" s="36"/>
      <c r="V1456" s="30"/>
      <c r="W1456" s="28"/>
      <c r="X1456" s="30"/>
      <c r="Y1456" s="30"/>
      <c r="Z1456" s="30"/>
      <c r="AA1456" s="30"/>
      <c r="AB1456" s="30"/>
      <c r="AC1456" s="28"/>
      <c r="AD1456" s="30"/>
      <c r="AE1456" s="30"/>
      <c r="AF1456" s="30"/>
      <c r="AG1456" s="29"/>
      <c r="AH1456" s="30"/>
      <c r="AI1456" s="36"/>
      <c r="AJ1456" s="30"/>
      <c r="AK1456" s="29"/>
      <c r="AL1456" s="30"/>
      <c r="AM1456" s="30"/>
      <c r="AN1456" s="30"/>
      <c r="AO1456" s="30"/>
      <c r="AP1456" s="30"/>
      <c r="AQ1456" s="38"/>
      <c r="AR1456" s="30"/>
      <c r="AS1456" s="30"/>
      <c r="AT1456" s="29"/>
      <c r="AU1456" s="30"/>
      <c r="AV1456" s="30"/>
      <c r="AW1456" s="30"/>
      <c r="AX1456" s="29"/>
      <c r="AY1456" s="39"/>
      <c r="AZ1456" s="30"/>
      <c r="BA1456" s="30"/>
      <c r="BB1456" s="29"/>
      <c r="BC1456" s="52"/>
      <c r="BD1456" s="30"/>
      <c r="BE1456" s="29"/>
      <c r="BF1456" s="30"/>
      <c r="BG1456" s="30"/>
      <c r="BH1456" s="30"/>
      <c r="BI1456" s="30"/>
      <c r="BJ1456" s="30"/>
      <c r="BK1456" s="30"/>
      <c r="BL1456" s="30"/>
      <c r="BM1456" s="30"/>
      <c r="BN1456" s="30"/>
      <c r="BO1456" s="30"/>
      <c r="BP1456" s="30"/>
      <c r="BQ1456" s="30"/>
      <c r="BR1456" s="30"/>
      <c r="BS1456" s="30"/>
      <c r="BT1456" s="30"/>
      <c r="BU1456" s="30"/>
      <c r="BV1456" s="30"/>
      <c r="BW1456" s="30"/>
      <c r="BX1456" s="30"/>
      <c r="BY1456" s="30"/>
      <c r="BZ1456" s="30"/>
      <c r="CA1456" s="30"/>
      <c r="CB1456" s="30"/>
      <c r="CC1456" s="30"/>
      <c r="CD1456" s="30"/>
      <c r="CE1456" s="30"/>
      <c r="CF1456" s="30"/>
      <c r="CG1456" s="30"/>
      <c r="CH1456" s="30"/>
      <c r="CI1456" s="30"/>
      <c r="CJ1456" s="30"/>
      <c r="CK1456" s="30"/>
      <c r="CL1456" s="30"/>
      <c r="CM1456" s="30"/>
      <c r="CN1456" s="30"/>
      <c r="CO1456" s="30"/>
      <c r="CP1456" s="30"/>
      <c r="CQ1456" s="30"/>
      <c r="CR1456" s="30"/>
      <c r="CS1456" s="30"/>
      <c r="CT1456" s="30"/>
      <c r="CU1456" s="30"/>
      <c r="CV1456" s="30"/>
      <c r="CW1456" s="30"/>
      <c r="CX1456" s="30"/>
      <c r="CY1456" s="30"/>
      <c r="CZ1456" s="30"/>
      <c r="DA1456" s="30"/>
      <c r="DB1456" s="30"/>
      <c r="DC1456" s="30"/>
      <c r="DD1456" s="30"/>
      <c r="DE1456" s="30"/>
      <c r="DF1456" s="30"/>
      <c r="DG1456" s="30"/>
      <c r="DH1456" s="30"/>
      <c r="DI1456" s="30"/>
      <c r="DJ1456" s="30"/>
      <c r="DK1456" s="30"/>
      <c r="DL1456" s="30"/>
      <c r="DM1456" s="30"/>
      <c r="DN1456" s="30"/>
      <c r="DO1456" s="30"/>
      <c r="DP1456" s="30"/>
      <c r="DQ1456" s="30"/>
      <c r="DR1456" s="30"/>
      <c r="DS1456" s="30"/>
      <c r="DT1456" s="30"/>
      <c r="DU1456" s="30"/>
      <c r="DV1456" s="30"/>
      <c r="DW1456" s="30"/>
      <c r="DX1456" s="30"/>
      <c r="DY1456" s="30"/>
      <c r="DZ1456" s="30"/>
    </row>
    <row r="1457">
      <c r="A1457" s="30"/>
      <c r="B1457" s="42"/>
      <c r="C1457" s="43"/>
      <c r="D1457" s="30"/>
      <c r="E1457" s="28"/>
      <c r="F1457" s="30"/>
      <c r="G1457" s="30"/>
      <c r="H1457" s="30"/>
      <c r="I1457" s="30"/>
      <c r="J1457" s="28"/>
      <c r="K1457" s="30"/>
      <c r="L1457" s="30"/>
      <c r="M1457" s="30"/>
      <c r="N1457" s="30"/>
      <c r="O1457" s="28"/>
      <c r="P1457" s="30"/>
      <c r="Q1457" s="30"/>
      <c r="R1457" s="30"/>
      <c r="S1457" s="36"/>
      <c r="T1457" s="30"/>
      <c r="U1457" s="36"/>
      <c r="V1457" s="30"/>
      <c r="W1457" s="28"/>
      <c r="X1457" s="30"/>
      <c r="Y1457" s="30"/>
      <c r="Z1457" s="30"/>
      <c r="AA1457" s="30"/>
      <c r="AB1457" s="30"/>
      <c r="AC1457" s="28"/>
      <c r="AD1457" s="30"/>
      <c r="AE1457" s="30"/>
      <c r="AF1457" s="30"/>
      <c r="AG1457" s="29"/>
      <c r="AH1457" s="30"/>
      <c r="AI1457" s="36"/>
      <c r="AJ1457" s="30"/>
      <c r="AK1457" s="29"/>
      <c r="AL1457" s="30"/>
      <c r="AM1457" s="30"/>
      <c r="AN1457" s="30"/>
      <c r="AO1457" s="30"/>
      <c r="AP1457" s="30"/>
      <c r="AQ1457" s="38"/>
      <c r="AR1457" s="30"/>
      <c r="AS1457" s="30"/>
      <c r="AT1457" s="29"/>
      <c r="AU1457" s="30"/>
      <c r="AV1457" s="30"/>
      <c r="AW1457" s="30"/>
      <c r="AX1457" s="29"/>
      <c r="AY1457" s="39"/>
      <c r="AZ1457" s="30"/>
      <c r="BA1457" s="30"/>
      <c r="BB1457" s="29"/>
      <c r="BC1457" s="52"/>
      <c r="BD1457" s="30"/>
      <c r="BE1457" s="29"/>
      <c r="BF1457" s="30"/>
      <c r="BG1457" s="30"/>
      <c r="BH1457" s="30"/>
      <c r="BI1457" s="30"/>
      <c r="BJ1457" s="30"/>
      <c r="BK1457" s="30"/>
      <c r="BL1457" s="30"/>
      <c r="BM1457" s="30"/>
      <c r="BN1457" s="30"/>
      <c r="BO1457" s="30"/>
      <c r="BP1457" s="30"/>
      <c r="BQ1457" s="30"/>
      <c r="BR1457" s="30"/>
      <c r="BS1457" s="30"/>
      <c r="BT1457" s="30"/>
      <c r="BU1457" s="30"/>
      <c r="BV1457" s="30"/>
      <c r="BW1457" s="30"/>
      <c r="BX1457" s="30"/>
      <c r="BY1457" s="30"/>
      <c r="BZ1457" s="30"/>
      <c r="CA1457" s="30"/>
      <c r="CB1457" s="30"/>
      <c r="CC1457" s="30"/>
      <c r="CD1457" s="30"/>
      <c r="CE1457" s="30"/>
      <c r="CF1457" s="30"/>
      <c r="CG1457" s="30"/>
      <c r="CH1457" s="30"/>
      <c r="CI1457" s="30"/>
      <c r="CJ1457" s="30"/>
      <c r="CK1457" s="30"/>
      <c r="CL1457" s="30"/>
      <c r="CM1457" s="30"/>
      <c r="CN1457" s="30"/>
      <c r="CO1457" s="30"/>
      <c r="CP1457" s="30"/>
      <c r="CQ1457" s="30"/>
      <c r="CR1457" s="30"/>
      <c r="CS1457" s="30"/>
      <c r="CT1457" s="30"/>
      <c r="CU1457" s="30"/>
      <c r="CV1457" s="30"/>
      <c r="CW1457" s="30"/>
      <c r="CX1457" s="30"/>
      <c r="CY1457" s="30"/>
      <c r="CZ1457" s="30"/>
      <c r="DA1457" s="30"/>
      <c r="DB1457" s="30"/>
      <c r="DC1457" s="30"/>
      <c r="DD1457" s="30"/>
      <c r="DE1457" s="30"/>
      <c r="DF1457" s="30"/>
      <c r="DG1457" s="30"/>
      <c r="DH1457" s="30"/>
      <c r="DI1457" s="30"/>
      <c r="DJ1457" s="30"/>
      <c r="DK1457" s="30"/>
      <c r="DL1457" s="30"/>
      <c r="DM1457" s="30"/>
      <c r="DN1457" s="30"/>
      <c r="DO1457" s="30"/>
      <c r="DP1457" s="30"/>
      <c r="DQ1457" s="30"/>
      <c r="DR1457" s="30"/>
      <c r="DS1457" s="30"/>
      <c r="DT1457" s="30"/>
      <c r="DU1457" s="30"/>
      <c r="DV1457" s="30"/>
      <c r="DW1457" s="30"/>
      <c r="DX1457" s="30"/>
      <c r="DY1457" s="30"/>
      <c r="DZ1457" s="30"/>
    </row>
    <row r="1458">
      <c r="A1458" s="30"/>
      <c r="B1458" s="42"/>
      <c r="C1458" s="43"/>
      <c r="D1458" s="30"/>
      <c r="E1458" s="28"/>
      <c r="F1458" s="30"/>
      <c r="G1458" s="30"/>
      <c r="H1458" s="30"/>
      <c r="I1458" s="30"/>
      <c r="J1458" s="28"/>
      <c r="K1458" s="30"/>
      <c r="L1458" s="30"/>
      <c r="M1458" s="30"/>
      <c r="N1458" s="30"/>
      <c r="O1458" s="28"/>
      <c r="P1458" s="30"/>
      <c r="Q1458" s="30"/>
      <c r="R1458" s="30"/>
      <c r="S1458" s="36"/>
      <c r="T1458" s="30"/>
      <c r="U1458" s="36"/>
      <c r="V1458" s="30"/>
      <c r="W1458" s="28"/>
      <c r="X1458" s="30"/>
      <c r="Y1458" s="30"/>
      <c r="Z1458" s="30"/>
      <c r="AA1458" s="30"/>
      <c r="AB1458" s="30"/>
      <c r="AC1458" s="28"/>
      <c r="AD1458" s="30"/>
      <c r="AE1458" s="30"/>
      <c r="AF1458" s="30"/>
      <c r="AG1458" s="29"/>
      <c r="AH1458" s="30"/>
      <c r="AI1458" s="36"/>
      <c r="AJ1458" s="30"/>
      <c r="AK1458" s="29"/>
      <c r="AL1458" s="30"/>
      <c r="AM1458" s="30"/>
      <c r="AN1458" s="30"/>
      <c r="AO1458" s="30"/>
      <c r="AP1458" s="30"/>
      <c r="AQ1458" s="38"/>
      <c r="AR1458" s="30"/>
      <c r="AS1458" s="30"/>
      <c r="AT1458" s="29"/>
      <c r="AU1458" s="30"/>
      <c r="AV1458" s="30"/>
      <c r="AW1458" s="30"/>
      <c r="AX1458" s="29"/>
      <c r="AY1458" s="39"/>
      <c r="AZ1458" s="30"/>
      <c r="BA1458" s="30"/>
      <c r="BB1458" s="29"/>
      <c r="BC1458" s="52"/>
      <c r="BD1458" s="30"/>
      <c r="BE1458" s="29"/>
      <c r="BF1458" s="30"/>
      <c r="BG1458" s="30"/>
      <c r="BH1458" s="30"/>
      <c r="BI1458" s="30"/>
      <c r="BJ1458" s="30"/>
      <c r="BK1458" s="30"/>
      <c r="BL1458" s="30"/>
      <c r="BM1458" s="30"/>
      <c r="BN1458" s="30"/>
      <c r="BO1458" s="30"/>
      <c r="BP1458" s="30"/>
      <c r="BQ1458" s="30"/>
      <c r="BR1458" s="30"/>
      <c r="BS1458" s="30"/>
      <c r="BT1458" s="30"/>
      <c r="BU1458" s="30"/>
      <c r="BV1458" s="30"/>
      <c r="BW1458" s="30"/>
      <c r="BX1458" s="30"/>
      <c r="BY1458" s="30"/>
      <c r="BZ1458" s="30"/>
      <c r="CA1458" s="30"/>
      <c r="CB1458" s="30"/>
      <c r="CC1458" s="30"/>
      <c r="CD1458" s="30"/>
      <c r="CE1458" s="30"/>
      <c r="CF1458" s="30"/>
      <c r="CG1458" s="30"/>
      <c r="CH1458" s="30"/>
      <c r="CI1458" s="30"/>
      <c r="CJ1458" s="30"/>
      <c r="CK1458" s="30"/>
      <c r="CL1458" s="30"/>
      <c r="CM1458" s="30"/>
      <c r="CN1458" s="30"/>
      <c r="CO1458" s="30"/>
      <c r="CP1458" s="30"/>
      <c r="CQ1458" s="30"/>
      <c r="CR1458" s="30"/>
      <c r="CS1458" s="30"/>
      <c r="CT1458" s="30"/>
      <c r="CU1458" s="30"/>
      <c r="CV1458" s="30"/>
      <c r="CW1458" s="30"/>
      <c r="CX1458" s="30"/>
      <c r="CY1458" s="30"/>
      <c r="CZ1458" s="30"/>
      <c r="DA1458" s="30"/>
      <c r="DB1458" s="30"/>
      <c r="DC1458" s="30"/>
      <c r="DD1458" s="30"/>
      <c r="DE1458" s="30"/>
      <c r="DF1458" s="30"/>
      <c r="DG1458" s="30"/>
      <c r="DH1458" s="30"/>
      <c r="DI1458" s="30"/>
      <c r="DJ1458" s="30"/>
      <c r="DK1458" s="30"/>
      <c r="DL1458" s="30"/>
      <c r="DM1458" s="30"/>
      <c r="DN1458" s="30"/>
      <c r="DO1458" s="30"/>
      <c r="DP1458" s="30"/>
      <c r="DQ1458" s="30"/>
      <c r="DR1458" s="30"/>
      <c r="DS1458" s="30"/>
      <c r="DT1458" s="30"/>
      <c r="DU1458" s="30"/>
      <c r="DV1458" s="30"/>
      <c r="DW1458" s="30"/>
      <c r="DX1458" s="30"/>
      <c r="DY1458" s="30"/>
      <c r="DZ1458" s="30"/>
    </row>
    <row r="1459">
      <c r="A1459" s="30"/>
      <c r="B1459" s="42"/>
      <c r="C1459" s="43"/>
      <c r="D1459" s="30"/>
      <c r="E1459" s="28"/>
      <c r="F1459" s="30"/>
      <c r="G1459" s="30"/>
      <c r="H1459" s="30"/>
      <c r="I1459" s="30"/>
      <c r="J1459" s="28"/>
      <c r="K1459" s="30"/>
      <c r="L1459" s="30"/>
      <c r="M1459" s="30"/>
      <c r="N1459" s="30"/>
      <c r="O1459" s="28"/>
      <c r="P1459" s="30"/>
      <c r="Q1459" s="30"/>
      <c r="R1459" s="30"/>
      <c r="S1459" s="36"/>
      <c r="T1459" s="30"/>
      <c r="U1459" s="36"/>
      <c r="V1459" s="30"/>
      <c r="W1459" s="28"/>
      <c r="X1459" s="30"/>
      <c r="Y1459" s="30"/>
      <c r="Z1459" s="30"/>
      <c r="AA1459" s="30"/>
      <c r="AB1459" s="30"/>
      <c r="AC1459" s="28"/>
      <c r="AD1459" s="30"/>
      <c r="AE1459" s="30"/>
      <c r="AF1459" s="30"/>
      <c r="AG1459" s="29"/>
      <c r="AH1459" s="30"/>
      <c r="AI1459" s="36"/>
      <c r="AJ1459" s="30"/>
      <c r="AK1459" s="29"/>
      <c r="AL1459" s="30"/>
      <c r="AM1459" s="30"/>
      <c r="AN1459" s="30"/>
      <c r="AO1459" s="30"/>
      <c r="AP1459" s="30"/>
      <c r="AQ1459" s="38"/>
      <c r="AR1459" s="30"/>
      <c r="AS1459" s="30"/>
      <c r="AT1459" s="29"/>
      <c r="AU1459" s="30"/>
      <c r="AV1459" s="30"/>
      <c r="AW1459" s="30"/>
      <c r="AX1459" s="29"/>
      <c r="AY1459" s="39"/>
      <c r="AZ1459" s="30"/>
      <c r="BA1459" s="30"/>
      <c r="BB1459" s="29"/>
      <c r="BC1459" s="52"/>
      <c r="BD1459" s="30"/>
      <c r="BE1459" s="29"/>
      <c r="BF1459" s="30"/>
      <c r="BG1459" s="30"/>
      <c r="BH1459" s="30"/>
      <c r="BI1459" s="30"/>
      <c r="BJ1459" s="30"/>
      <c r="BK1459" s="30"/>
      <c r="BL1459" s="30"/>
      <c r="BM1459" s="30"/>
      <c r="BN1459" s="30"/>
      <c r="BO1459" s="30"/>
      <c r="BP1459" s="30"/>
      <c r="BQ1459" s="30"/>
      <c r="BR1459" s="30"/>
      <c r="BS1459" s="30"/>
      <c r="BT1459" s="30"/>
      <c r="BU1459" s="30"/>
      <c r="BV1459" s="30"/>
      <c r="BW1459" s="30"/>
      <c r="BX1459" s="30"/>
      <c r="BY1459" s="30"/>
      <c r="BZ1459" s="30"/>
      <c r="CA1459" s="30"/>
      <c r="CB1459" s="30"/>
      <c r="CC1459" s="30"/>
      <c r="CD1459" s="30"/>
      <c r="CE1459" s="30"/>
      <c r="CF1459" s="30"/>
      <c r="CG1459" s="30"/>
      <c r="CH1459" s="30"/>
      <c r="CI1459" s="30"/>
      <c r="CJ1459" s="30"/>
      <c r="CK1459" s="30"/>
      <c r="CL1459" s="30"/>
      <c r="CM1459" s="30"/>
      <c r="CN1459" s="30"/>
      <c r="CO1459" s="30"/>
      <c r="CP1459" s="30"/>
      <c r="CQ1459" s="30"/>
      <c r="CR1459" s="30"/>
      <c r="CS1459" s="30"/>
      <c r="CT1459" s="30"/>
      <c r="CU1459" s="30"/>
      <c r="CV1459" s="30"/>
      <c r="CW1459" s="30"/>
      <c r="CX1459" s="30"/>
      <c r="CY1459" s="30"/>
      <c r="CZ1459" s="30"/>
      <c r="DA1459" s="30"/>
      <c r="DB1459" s="30"/>
      <c r="DC1459" s="30"/>
      <c r="DD1459" s="30"/>
      <c r="DE1459" s="30"/>
      <c r="DF1459" s="30"/>
      <c r="DG1459" s="30"/>
      <c r="DH1459" s="30"/>
      <c r="DI1459" s="30"/>
      <c r="DJ1459" s="30"/>
      <c r="DK1459" s="30"/>
      <c r="DL1459" s="30"/>
      <c r="DM1459" s="30"/>
      <c r="DN1459" s="30"/>
      <c r="DO1459" s="30"/>
      <c r="DP1459" s="30"/>
      <c r="DQ1459" s="30"/>
      <c r="DR1459" s="30"/>
      <c r="DS1459" s="30"/>
      <c r="DT1459" s="30"/>
      <c r="DU1459" s="30"/>
      <c r="DV1459" s="30"/>
      <c r="DW1459" s="30"/>
      <c r="DX1459" s="30"/>
      <c r="DY1459" s="30"/>
      <c r="DZ1459" s="30"/>
    </row>
    <row r="1460">
      <c r="A1460" s="30"/>
      <c r="B1460" s="42"/>
      <c r="C1460" s="43"/>
      <c r="D1460" s="30"/>
      <c r="E1460" s="28"/>
      <c r="F1460" s="30"/>
      <c r="G1460" s="30"/>
      <c r="H1460" s="30"/>
      <c r="I1460" s="30"/>
      <c r="J1460" s="28"/>
      <c r="K1460" s="30"/>
      <c r="L1460" s="30"/>
      <c r="M1460" s="30"/>
      <c r="N1460" s="30"/>
      <c r="O1460" s="28"/>
      <c r="P1460" s="30"/>
      <c r="Q1460" s="30"/>
      <c r="R1460" s="30"/>
      <c r="S1460" s="36"/>
      <c r="T1460" s="30"/>
      <c r="U1460" s="36"/>
      <c r="V1460" s="30"/>
      <c r="W1460" s="28"/>
      <c r="X1460" s="30"/>
      <c r="Y1460" s="30"/>
      <c r="Z1460" s="30"/>
      <c r="AA1460" s="30"/>
      <c r="AB1460" s="30"/>
      <c r="AC1460" s="28"/>
      <c r="AD1460" s="30"/>
      <c r="AE1460" s="30"/>
      <c r="AF1460" s="30"/>
      <c r="AG1460" s="29"/>
      <c r="AH1460" s="30"/>
      <c r="AI1460" s="36"/>
      <c r="AJ1460" s="30"/>
      <c r="AK1460" s="29"/>
      <c r="AL1460" s="30"/>
      <c r="AM1460" s="30"/>
      <c r="AN1460" s="30"/>
      <c r="AO1460" s="30"/>
      <c r="AP1460" s="30"/>
      <c r="AQ1460" s="38"/>
      <c r="AR1460" s="30"/>
      <c r="AS1460" s="30"/>
      <c r="AT1460" s="29"/>
      <c r="AU1460" s="30"/>
      <c r="AV1460" s="30"/>
      <c r="AW1460" s="30"/>
      <c r="AX1460" s="29"/>
      <c r="AY1460" s="39"/>
      <c r="AZ1460" s="30"/>
      <c r="BA1460" s="30"/>
      <c r="BB1460" s="29"/>
      <c r="BC1460" s="52"/>
      <c r="BD1460" s="30"/>
      <c r="BE1460" s="29"/>
      <c r="BF1460" s="30"/>
      <c r="BG1460" s="30"/>
      <c r="BH1460" s="30"/>
      <c r="BI1460" s="30"/>
      <c r="BJ1460" s="30"/>
      <c r="BK1460" s="30"/>
      <c r="BL1460" s="30"/>
      <c r="BM1460" s="30"/>
      <c r="BN1460" s="30"/>
      <c r="BO1460" s="30"/>
      <c r="BP1460" s="30"/>
      <c r="BQ1460" s="30"/>
      <c r="BR1460" s="30"/>
      <c r="BS1460" s="30"/>
      <c r="BT1460" s="30"/>
      <c r="BU1460" s="30"/>
      <c r="BV1460" s="30"/>
      <c r="BW1460" s="30"/>
      <c r="BX1460" s="30"/>
      <c r="BY1460" s="30"/>
      <c r="BZ1460" s="30"/>
      <c r="CA1460" s="30"/>
      <c r="CB1460" s="30"/>
      <c r="CC1460" s="30"/>
      <c r="CD1460" s="30"/>
      <c r="CE1460" s="30"/>
      <c r="CF1460" s="30"/>
      <c r="CG1460" s="30"/>
      <c r="CH1460" s="30"/>
      <c r="CI1460" s="30"/>
      <c r="CJ1460" s="30"/>
      <c r="CK1460" s="30"/>
      <c r="CL1460" s="30"/>
      <c r="CM1460" s="30"/>
      <c r="CN1460" s="30"/>
      <c r="CO1460" s="30"/>
      <c r="CP1460" s="30"/>
      <c r="CQ1460" s="30"/>
      <c r="CR1460" s="30"/>
      <c r="CS1460" s="30"/>
      <c r="CT1460" s="30"/>
      <c r="CU1460" s="30"/>
      <c r="CV1460" s="30"/>
      <c r="CW1460" s="30"/>
      <c r="CX1460" s="30"/>
      <c r="CY1460" s="30"/>
      <c r="CZ1460" s="30"/>
      <c r="DA1460" s="30"/>
      <c r="DB1460" s="30"/>
      <c r="DC1460" s="30"/>
      <c r="DD1460" s="30"/>
      <c r="DE1460" s="30"/>
      <c r="DF1460" s="30"/>
      <c r="DG1460" s="30"/>
      <c r="DH1460" s="30"/>
      <c r="DI1460" s="30"/>
      <c r="DJ1460" s="30"/>
      <c r="DK1460" s="30"/>
      <c r="DL1460" s="30"/>
      <c r="DM1460" s="30"/>
      <c r="DN1460" s="30"/>
      <c r="DO1460" s="30"/>
      <c r="DP1460" s="30"/>
      <c r="DQ1460" s="30"/>
      <c r="DR1460" s="30"/>
      <c r="DS1460" s="30"/>
      <c r="DT1460" s="30"/>
      <c r="DU1460" s="30"/>
      <c r="DV1460" s="30"/>
      <c r="DW1460" s="30"/>
      <c r="DX1460" s="30"/>
      <c r="DY1460" s="30"/>
      <c r="DZ1460" s="30"/>
    </row>
    <row r="1461">
      <c r="A1461" s="30"/>
      <c r="B1461" s="42"/>
      <c r="C1461" s="43"/>
      <c r="D1461" s="30"/>
      <c r="E1461" s="28"/>
      <c r="F1461" s="30"/>
      <c r="G1461" s="30"/>
      <c r="H1461" s="30"/>
      <c r="I1461" s="30"/>
      <c r="J1461" s="28"/>
      <c r="K1461" s="30"/>
      <c r="L1461" s="30"/>
      <c r="M1461" s="30"/>
      <c r="N1461" s="30"/>
      <c r="O1461" s="28"/>
      <c r="P1461" s="30"/>
      <c r="Q1461" s="30"/>
      <c r="R1461" s="30"/>
      <c r="S1461" s="36"/>
      <c r="T1461" s="30"/>
      <c r="U1461" s="36"/>
      <c r="V1461" s="30"/>
      <c r="W1461" s="28"/>
      <c r="X1461" s="30"/>
      <c r="Y1461" s="30"/>
      <c r="Z1461" s="30"/>
      <c r="AA1461" s="30"/>
      <c r="AB1461" s="30"/>
      <c r="AC1461" s="28"/>
      <c r="AD1461" s="30"/>
      <c r="AE1461" s="30"/>
      <c r="AF1461" s="30"/>
      <c r="AG1461" s="29"/>
      <c r="AH1461" s="30"/>
      <c r="AI1461" s="36"/>
      <c r="AJ1461" s="30"/>
      <c r="AK1461" s="29"/>
      <c r="AL1461" s="30"/>
      <c r="AM1461" s="30"/>
      <c r="AN1461" s="30"/>
      <c r="AO1461" s="30"/>
      <c r="AP1461" s="30"/>
      <c r="AQ1461" s="38"/>
      <c r="AR1461" s="30"/>
      <c r="AS1461" s="30"/>
      <c r="AT1461" s="29"/>
      <c r="AU1461" s="30"/>
      <c r="AV1461" s="30"/>
      <c r="AW1461" s="30"/>
      <c r="AX1461" s="29"/>
      <c r="AY1461" s="39"/>
      <c r="AZ1461" s="30"/>
      <c r="BA1461" s="30"/>
      <c r="BB1461" s="29"/>
      <c r="BC1461" s="52"/>
      <c r="BD1461" s="30"/>
      <c r="BE1461" s="29"/>
      <c r="BF1461" s="30"/>
      <c r="BG1461" s="30"/>
      <c r="BH1461" s="30"/>
      <c r="BI1461" s="30"/>
      <c r="BJ1461" s="30"/>
      <c r="BK1461" s="30"/>
      <c r="BL1461" s="30"/>
      <c r="BM1461" s="30"/>
      <c r="BN1461" s="30"/>
      <c r="BO1461" s="30"/>
      <c r="BP1461" s="30"/>
      <c r="BQ1461" s="30"/>
      <c r="BR1461" s="30"/>
      <c r="BS1461" s="30"/>
      <c r="BT1461" s="30"/>
      <c r="BU1461" s="30"/>
      <c r="BV1461" s="30"/>
      <c r="BW1461" s="30"/>
      <c r="BX1461" s="30"/>
      <c r="BY1461" s="30"/>
      <c r="BZ1461" s="30"/>
      <c r="CA1461" s="30"/>
      <c r="CB1461" s="30"/>
      <c r="CC1461" s="30"/>
      <c r="CD1461" s="30"/>
      <c r="CE1461" s="30"/>
      <c r="CF1461" s="30"/>
      <c r="CG1461" s="30"/>
      <c r="CH1461" s="30"/>
      <c r="CI1461" s="30"/>
      <c r="CJ1461" s="30"/>
      <c r="CK1461" s="30"/>
      <c r="CL1461" s="30"/>
      <c r="CM1461" s="30"/>
      <c r="CN1461" s="30"/>
      <c r="CO1461" s="30"/>
      <c r="CP1461" s="30"/>
      <c r="CQ1461" s="30"/>
      <c r="CR1461" s="30"/>
      <c r="CS1461" s="30"/>
      <c r="CT1461" s="30"/>
      <c r="CU1461" s="30"/>
      <c r="CV1461" s="30"/>
      <c r="CW1461" s="30"/>
      <c r="CX1461" s="30"/>
      <c r="CY1461" s="30"/>
      <c r="CZ1461" s="30"/>
      <c r="DA1461" s="30"/>
      <c r="DB1461" s="30"/>
      <c r="DC1461" s="30"/>
      <c r="DD1461" s="30"/>
      <c r="DE1461" s="30"/>
      <c r="DF1461" s="30"/>
      <c r="DG1461" s="30"/>
      <c r="DH1461" s="30"/>
      <c r="DI1461" s="30"/>
      <c r="DJ1461" s="30"/>
      <c r="DK1461" s="30"/>
      <c r="DL1461" s="30"/>
      <c r="DM1461" s="30"/>
      <c r="DN1461" s="30"/>
      <c r="DO1461" s="30"/>
      <c r="DP1461" s="30"/>
      <c r="DQ1461" s="30"/>
      <c r="DR1461" s="30"/>
      <c r="DS1461" s="30"/>
      <c r="DT1461" s="30"/>
      <c r="DU1461" s="30"/>
      <c r="DV1461" s="30"/>
      <c r="DW1461" s="30"/>
      <c r="DX1461" s="30"/>
      <c r="DY1461" s="30"/>
      <c r="DZ1461" s="30"/>
    </row>
    <row r="1462">
      <c r="A1462" s="30"/>
      <c r="B1462" s="42"/>
      <c r="C1462" s="43"/>
      <c r="D1462" s="30"/>
      <c r="E1462" s="28"/>
      <c r="F1462" s="30"/>
      <c r="G1462" s="30"/>
      <c r="H1462" s="30"/>
      <c r="I1462" s="30"/>
      <c r="J1462" s="28"/>
      <c r="K1462" s="30"/>
      <c r="L1462" s="30"/>
      <c r="M1462" s="30"/>
      <c r="N1462" s="30"/>
      <c r="O1462" s="28"/>
      <c r="P1462" s="30"/>
      <c r="Q1462" s="30"/>
      <c r="R1462" s="30"/>
      <c r="S1462" s="36"/>
      <c r="T1462" s="30"/>
      <c r="U1462" s="36"/>
      <c r="V1462" s="30"/>
      <c r="W1462" s="28"/>
      <c r="X1462" s="30"/>
      <c r="Y1462" s="30"/>
      <c r="Z1462" s="30"/>
      <c r="AA1462" s="30"/>
      <c r="AB1462" s="30"/>
      <c r="AC1462" s="28"/>
      <c r="AD1462" s="30"/>
      <c r="AE1462" s="30"/>
      <c r="AF1462" s="30"/>
      <c r="AG1462" s="29"/>
      <c r="AH1462" s="30"/>
      <c r="AI1462" s="36"/>
      <c r="AJ1462" s="30"/>
      <c r="AK1462" s="29"/>
      <c r="AL1462" s="30"/>
      <c r="AM1462" s="30"/>
      <c r="AN1462" s="30"/>
      <c r="AO1462" s="30"/>
      <c r="AP1462" s="30"/>
      <c r="AQ1462" s="38"/>
      <c r="AR1462" s="30"/>
      <c r="AS1462" s="30"/>
      <c r="AT1462" s="29"/>
      <c r="AU1462" s="30"/>
      <c r="AV1462" s="30"/>
      <c r="AW1462" s="30"/>
      <c r="AX1462" s="29"/>
      <c r="AY1462" s="39"/>
      <c r="AZ1462" s="30"/>
      <c r="BA1462" s="30"/>
      <c r="BB1462" s="29"/>
      <c r="BC1462" s="52"/>
      <c r="BD1462" s="30"/>
      <c r="BE1462" s="29"/>
      <c r="BF1462" s="30"/>
      <c r="BG1462" s="30"/>
      <c r="BH1462" s="30"/>
      <c r="BI1462" s="30"/>
      <c r="BJ1462" s="30"/>
      <c r="BK1462" s="30"/>
      <c r="BL1462" s="30"/>
      <c r="BM1462" s="30"/>
      <c r="BN1462" s="30"/>
      <c r="BO1462" s="30"/>
      <c r="BP1462" s="30"/>
      <c r="BQ1462" s="30"/>
      <c r="BR1462" s="30"/>
      <c r="BS1462" s="30"/>
      <c r="BT1462" s="30"/>
      <c r="BU1462" s="30"/>
      <c r="BV1462" s="30"/>
      <c r="BW1462" s="30"/>
      <c r="BX1462" s="30"/>
      <c r="BY1462" s="30"/>
      <c r="BZ1462" s="30"/>
      <c r="CA1462" s="30"/>
      <c r="CB1462" s="30"/>
      <c r="CC1462" s="30"/>
      <c r="CD1462" s="30"/>
      <c r="CE1462" s="30"/>
      <c r="CF1462" s="30"/>
      <c r="CG1462" s="30"/>
      <c r="CH1462" s="30"/>
      <c r="CI1462" s="30"/>
      <c r="CJ1462" s="30"/>
      <c r="CK1462" s="30"/>
      <c r="CL1462" s="30"/>
      <c r="CM1462" s="30"/>
      <c r="CN1462" s="30"/>
      <c r="CO1462" s="30"/>
      <c r="CP1462" s="30"/>
      <c r="CQ1462" s="30"/>
      <c r="CR1462" s="30"/>
      <c r="CS1462" s="30"/>
      <c r="CT1462" s="30"/>
      <c r="CU1462" s="30"/>
      <c r="CV1462" s="30"/>
      <c r="CW1462" s="30"/>
      <c r="CX1462" s="30"/>
      <c r="CY1462" s="30"/>
      <c r="CZ1462" s="30"/>
      <c r="DA1462" s="30"/>
      <c r="DB1462" s="30"/>
      <c r="DC1462" s="30"/>
      <c r="DD1462" s="30"/>
      <c r="DE1462" s="30"/>
      <c r="DF1462" s="30"/>
      <c r="DG1462" s="30"/>
      <c r="DH1462" s="30"/>
      <c r="DI1462" s="30"/>
      <c r="DJ1462" s="30"/>
      <c r="DK1462" s="30"/>
      <c r="DL1462" s="30"/>
      <c r="DM1462" s="30"/>
      <c r="DN1462" s="30"/>
      <c r="DO1462" s="30"/>
      <c r="DP1462" s="30"/>
      <c r="DQ1462" s="30"/>
      <c r="DR1462" s="30"/>
      <c r="DS1462" s="30"/>
      <c r="DT1462" s="30"/>
      <c r="DU1462" s="30"/>
      <c r="DV1462" s="30"/>
      <c r="DW1462" s="30"/>
      <c r="DX1462" s="30"/>
      <c r="DY1462" s="30"/>
      <c r="DZ1462" s="30"/>
    </row>
    <row r="1463">
      <c r="A1463" s="30"/>
      <c r="B1463" s="42"/>
      <c r="C1463" s="43"/>
      <c r="D1463" s="30"/>
      <c r="E1463" s="28"/>
      <c r="F1463" s="30"/>
      <c r="G1463" s="30"/>
      <c r="H1463" s="30"/>
      <c r="I1463" s="30"/>
      <c r="J1463" s="28"/>
      <c r="K1463" s="30"/>
      <c r="L1463" s="30"/>
      <c r="M1463" s="30"/>
      <c r="N1463" s="30"/>
      <c r="O1463" s="28"/>
      <c r="P1463" s="30"/>
      <c r="Q1463" s="30"/>
      <c r="R1463" s="30"/>
      <c r="S1463" s="36"/>
      <c r="T1463" s="30"/>
      <c r="U1463" s="36"/>
      <c r="V1463" s="30"/>
      <c r="W1463" s="28"/>
      <c r="X1463" s="30"/>
      <c r="Y1463" s="30"/>
      <c r="Z1463" s="30"/>
      <c r="AA1463" s="30"/>
      <c r="AB1463" s="30"/>
      <c r="AC1463" s="28"/>
      <c r="AD1463" s="30"/>
      <c r="AE1463" s="30"/>
      <c r="AF1463" s="30"/>
      <c r="AG1463" s="29"/>
      <c r="AH1463" s="30"/>
      <c r="AI1463" s="36"/>
      <c r="AJ1463" s="30"/>
      <c r="AK1463" s="29"/>
      <c r="AL1463" s="30"/>
      <c r="AM1463" s="30"/>
      <c r="AN1463" s="30"/>
      <c r="AO1463" s="30"/>
      <c r="AP1463" s="30"/>
      <c r="AQ1463" s="38"/>
      <c r="AR1463" s="30"/>
      <c r="AS1463" s="30"/>
      <c r="AT1463" s="29"/>
      <c r="AU1463" s="30"/>
      <c r="AV1463" s="30"/>
      <c r="AW1463" s="30"/>
      <c r="AX1463" s="29"/>
      <c r="AY1463" s="39"/>
      <c r="AZ1463" s="30"/>
      <c r="BA1463" s="30"/>
      <c r="BB1463" s="29"/>
      <c r="BC1463" s="52"/>
      <c r="BD1463" s="30"/>
      <c r="BE1463" s="29"/>
      <c r="BF1463" s="30"/>
      <c r="BG1463" s="30"/>
      <c r="BH1463" s="30"/>
      <c r="BI1463" s="30"/>
      <c r="BJ1463" s="30"/>
      <c r="BK1463" s="30"/>
      <c r="BL1463" s="30"/>
      <c r="BM1463" s="30"/>
      <c r="BN1463" s="30"/>
      <c r="BO1463" s="30"/>
      <c r="BP1463" s="30"/>
      <c r="BQ1463" s="30"/>
      <c r="BR1463" s="30"/>
      <c r="BS1463" s="30"/>
      <c r="BT1463" s="30"/>
      <c r="BU1463" s="30"/>
      <c r="BV1463" s="30"/>
      <c r="BW1463" s="30"/>
      <c r="BX1463" s="30"/>
      <c r="BY1463" s="30"/>
      <c r="BZ1463" s="30"/>
      <c r="CA1463" s="30"/>
      <c r="CB1463" s="30"/>
      <c r="CC1463" s="30"/>
      <c r="CD1463" s="30"/>
      <c r="CE1463" s="30"/>
      <c r="CF1463" s="30"/>
      <c r="CG1463" s="30"/>
      <c r="CH1463" s="30"/>
      <c r="CI1463" s="30"/>
      <c r="CJ1463" s="30"/>
      <c r="CK1463" s="30"/>
      <c r="CL1463" s="30"/>
      <c r="CM1463" s="30"/>
      <c r="CN1463" s="30"/>
      <c r="CO1463" s="30"/>
      <c r="CP1463" s="30"/>
      <c r="CQ1463" s="30"/>
      <c r="CR1463" s="30"/>
      <c r="CS1463" s="30"/>
      <c r="CT1463" s="30"/>
      <c r="CU1463" s="30"/>
      <c r="CV1463" s="30"/>
      <c r="CW1463" s="30"/>
      <c r="CX1463" s="30"/>
      <c r="CY1463" s="30"/>
      <c r="CZ1463" s="30"/>
      <c r="DA1463" s="30"/>
      <c r="DB1463" s="30"/>
      <c r="DC1463" s="30"/>
      <c r="DD1463" s="30"/>
      <c r="DE1463" s="30"/>
      <c r="DF1463" s="30"/>
      <c r="DG1463" s="30"/>
      <c r="DH1463" s="30"/>
      <c r="DI1463" s="30"/>
      <c r="DJ1463" s="30"/>
      <c r="DK1463" s="30"/>
      <c r="DL1463" s="30"/>
      <c r="DM1463" s="30"/>
      <c r="DN1463" s="30"/>
      <c r="DO1463" s="30"/>
      <c r="DP1463" s="30"/>
      <c r="DQ1463" s="30"/>
      <c r="DR1463" s="30"/>
      <c r="DS1463" s="30"/>
      <c r="DT1463" s="30"/>
      <c r="DU1463" s="30"/>
      <c r="DV1463" s="30"/>
      <c r="DW1463" s="30"/>
      <c r="DX1463" s="30"/>
      <c r="DY1463" s="30"/>
      <c r="DZ1463" s="30"/>
    </row>
    <row r="1464">
      <c r="A1464" s="30"/>
      <c r="B1464" s="42"/>
      <c r="C1464" s="43"/>
      <c r="D1464" s="30"/>
      <c r="E1464" s="28"/>
      <c r="F1464" s="30"/>
      <c r="G1464" s="30"/>
      <c r="H1464" s="30"/>
      <c r="I1464" s="30"/>
      <c r="J1464" s="28"/>
      <c r="K1464" s="30"/>
      <c r="L1464" s="30"/>
      <c r="M1464" s="30"/>
      <c r="N1464" s="30"/>
      <c r="O1464" s="28"/>
      <c r="P1464" s="30"/>
      <c r="Q1464" s="30"/>
      <c r="R1464" s="30"/>
      <c r="S1464" s="36"/>
      <c r="T1464" s="30"/>
      <c r="U1464" s="36"/>
      <c r="V1464" s="30"/>
      <c r="W1464" s="28"/>
      <c r="X1464" s="30"/>
      <c r="Y1464" s="30"/>
      <c r="Z1464" s="30"/>
      <c r="AA1464" s="30"/>
      <c r="AB1464" s="30"/>
      <c r="AC1464" s="28"/>
      <c r="AD1464" s="30"/>
      <c r="AE1464" s="30"/>
      <c r="AF1464" s="30"/>
      <c r="AG1464" s="29"/>
      <c r="AH1464" s="30"/>
      <c r="AI1464" s="36"/>
      <c r="AJ1464" s="30"/>
      <c r="AK1464" s="29"/>
      <c r="AL1464" s="30"/>
      <c r="AM1464" s="30"/>
      <c r="AN1464" s="30"/>
      <c r="AO1464" s="30"/>
      <c r="AP1464" s="30"/>
      <c r="AQ1464" s="38"/>
      <c r="AR1464" s="30"/>
      <c r="AS1464" s="30"/>
      <c r="AT1464" s="29"/>
      <c r="AU1464" s="30"/>
      <c r="AV1464" s="30"/>
      <c r="AW1464" s="30"/>
      <c r="AX1464" s="29"/>
      <c r="AY1464" s="39"/>
      <c r="AZ1464" s="30"/>
      <c r="BA1464" s="30"/>
      <c r="BB1464" s="29"/>
      <c r="BC1464" s="52"/>
      <c r="BD1464" s="30"/>
      <c r="BE1464" s="29"/>
      <c r="BF1464" s="30"/>
      <c r="BG1464" s="30"/>
      <c r="BH1464" s="30"/>
      <c r="BI1464" s="30"/>
      <c r="BJ1464" s="30"/>
      <c r="BK1464" s="30"/>
      <c r="BL1464" s="30"/>
      <c r="BM1464" s="30"/>
      <c r="BN1464" s="30"/>
      <c r="BO1464" s="30"/>
      <c r="BP1464" s="30"/>
      <c r="BQ1464" s="30"/>
      <c r="BR1464" s="30"/>
      <c r="BS1464" s="30"/>
      <c r="BT1464" s="30"/>
      <c r="BU1464" s="30"/>
      <c r="BV1464" s="30"/>
      <c r="BW1464" s="30"/>
      <c r="BX1464" s="30"/>
      <c r="BY1464" s="30"/>
      <c r="BZ1464" s="30"/>
      <c r="CA1464" s="30"/>
      <c r="CB1464" s="30"/>
      <c r="CC1464" s="30"/>
      <c r="CD1464" s="30"/>
      <c r="CE1464" s="30"/>
      <c r="CF1464" s="30"/>
      <c r="CG1464" s="30"/>
      <c r="CH1464" s="30"/>
      <c r="CI1464" s="30"/>
      <c r="CJ1464" s="30"/>
      <c r="CK1464" s="30"/>
      <c r="CL1464" s="30"/>
      <c r="CM1464" s="30"/>
      <c r="CN1464" s="30"/>
      <c r="CO1464" s="30"/>
      <c r="CP1464" s="30"/>
      <c r="CQ1464" s="30"/>
      <c r="CR1464" s="30"/>
      <c r="CS1464" s="30"/>
      <c r="CT1464" s="30"/>
      <c r="CU1464" s="30"/>
      <c r="CV1464" s="30"/>
      <c r="CW1464" s="30"/>
      <c r="CX1464" s="30"/>
      <c r="CY1464" s="30"/>
      <c r="CZ1464" s="30"/>
      <c r="DA1464" s="30"/>
      <c r="DB1464" s="30"/>
      <c r="DC1464" s="30"/>
      <c r="DD1464" s="30"/>
      <c r="DE1464" s="30"/>
      <c r="DF1464" s="30"/>
      <c r="DG1464" s="30"/>
      <c r="DH1464" s="30"/>
      <c r="DI1464" s="30"/>
      <c r="DJ1464" s="30"/>
      <c r="DK1464" s="30"/>
      <c r="DL1464" s="30"/>
      <c r="DM1464" s="30"/>
      <c r="DN1464" s="30"/>
      <c r="DO1464" s="30"/>
      <c r="DP1464" s="30"/>
      <c r="DQ1464" s="30"/>
      <c r="DR1464" s="30"/>
      <c r="DS1464" s="30"/>
      <c r="DT1464" s="30"/>
      <c r="DU1464" s="30"/>
      <c r="DV1464" s="30"/>
      <c r="DW1464" s="30"/>
      <c r="DX1464" s="30"/>
      <c r="DY1464" s="30"/>
      <c r="DZ1464" s="30"/>
    </row>
    <row r="1465">
      <c r="A1465" s="30"/>
      <c r="B1465" s="42"/>
      <c r="C1465" s="43"/>
      <c r="D1465" s="30"/>
      <c r="E1465" s="28"/>
      <c r="F1465" s="30"/>
      <c r="G1465" s="30"/>
      <c r="H1465" s="30"/>
      <c r="I1465" s="30"/>
      <c r="J1465" s="28"/>
      <c r="K1465" s="30"/>
      <c r="L1465" s="30"/>
      <c r="M1465" s="30"/>
      <c r="N1465" s="30"/>
      <c r="O1465" s="28"/>
      <c r="P1465" s="30"/>
      <c r="Q1465" s="30"/>
      <c r="R1465" s="30"/>
      <c r="S1465" s="36"/>
      <c r="T1465" s="30"/>
      <c r="U1465" s="36"/>
      <c r="V1465" s="30"/>
      <c r="W1465" s="28"/>
      <c r="X1465" s="30"/>
      <c r="Y1465" s="30"/>
      <c r="Z1465" s="30"/>
      <c r="AA1465" s="30"/>
      <c r="AB1465" s="30"/>
      <c r="AC1465" s="28"/>
      <c r="AD1465" s="30"/>
      <c r="AE1465" s="30"/>
      <c r="AF1465" s="30"/>
      <c r="AG1465" s="29"/>
      <c r="AH1465" s="30"/>
      <c r="AI1465" s="36"/>
      <c r="AJ1465" s="30"/>
      <c r="AK1465" s="29"/>
      <c r="AL1465" s="30"/>
      <c r="AM1465" s="30"/>
      <c r="AN1465" s="30"/>
      <c r="AO1465" s="30"/>
      <c r="AP1465" s="30"/>
      <c r="AQ1465" s="38"/>
      <c r="AR1465" s="30"/>
      <c r="AS1465" s="30"/>
      <c r="AT1465" s="29"/>
      <c r="AU1465" s="30"/>
      <c r="AV1465" s="30"/>
      <c r="AW1465" s="30"/>
      <c r="AX1465" s="29"/>
      <c r="AY1465" s="39"/>
      <c r="AZ1465" s="30"/>
      <c r="BA1465" s="30"/>
      <c r="BB1465" s="29"/>
      <c r="BC1465" s="52"/>
      <c r="BD1465" s="30"/>
      <c r="BE1465" s="29"/>
      <c r="BF1465" s="30"/>
      <c r="BG1465" s="30"/>
      <c r="BH1465" s="30"/>
      <c r="BI1465" s="30"/>
      <c r="BJ1465" s="30"/>
      <c r="BK1465" s="30"/>
      <c r="BL1465" s="30"/>
      <c r="BM1465" s="30"/>
      <c r="BN1465" s="30"/>
      <c r="BO1465" s="30"/>
      <c r="BP1465" s="30"/>
      <c r="BQ1465" s="30"/>
      <c r="BR1465" s="30"/>
      <c r="BS1465" s="30"/>
      <c r="BT1465" s="30"/>
      <c r="BU1465" s="30"/>
      <c r="BV1465" s="30"/>
      <c r="BW1465" s="30"/>
      <c r="BX1465" s="30"/>
      <c r="BY1465" s="30"/>
      <c r="BZ1465" s="30"/>
      <c r="CA1465" s="30"/>
      <c r="CB1465" s="30"/>
      <c r="CC1465" s="30"/>
      <c r="CD1465" s="30"/>
      <c r="CE1465" s="30"/>
      <c r="CF1465" s="30"/>
      <c r="CG1465" s="30"/>
      <c r="CH1465" s="30"/>
      <c r="CI1465" s="30"/>
      <c r="CJ1465" s="30"/>
      <c r="CK1465" s="30"/>
      <c r="CL1465" s="30"/>
      <c r="CM1465" s="30"/>
      <c r="CN1465" s="30"/>
      <c r="CO1465" s="30"/>
      <c r="CP1465" s="30"/>
      <c r="CQ1465" s="30"/>
      <c r="CR1465" s="30"/>
      <c r="CS1465" s="30"/>
      <c r="CT1465" s="30"/>
      <c r="CU1465" s="30"/>
      <c r="CV1465" s="30"/>
      <c r="CW1465" s="30"/>
      <c r="CX1465" s="30"/>
      <c r="CY1465" s="30"/>
      <c r="CZ1465" s="30"/>
      <c r="DA1465" s="30"/>
      <c r="DB1465" s="30"/>
      <c r="DC1465" s="30"/>
      <c r="DD1465" s="30"/>
      <c r="DE1465" s="30"/>
      <c r="DF1465" s="30"/>
      <c r="DG1465" s="30"/>
      <c r="DH1465" s="30"/>
      <c r="DI1465" s="30"/>
      <c r="DJ1465" s="30"/>
      <c r="DK1465" s="30"/>
      <c r="DL1465" s="30"/>
      <c r="DM1465" s="30"/>
      <c r="DN1465" s="30"/>
      <c r="DO1465" s="30"/>
      <c r="DP1465" s="30"/>
      <c r="DQ1465" s="30"/>
      <c r="DR1465" s="30"/>
      <c r="DS1465" s="30"/>
      <c r="DT1465" s="30"/>
      <c r="DU1465" s="30"/>
      <c r="DV1465" s="30"/>
      <c r="DW1465" s="30"/>
      <c r="DX1465" s="30"/>
      <c r="DY1465" s="30"/>
      <c r="DZ1465" s="30"/>
    </row>
    <row r="1466">
      <c r="A1466" s="30"/>
      <c r="B1466" s="42"/>
      <c r="C1466" s="43"/>
      <c r="D1466" s="30"/>
      <c r="E1466" s="28"/>
      <c r="F1466" s="30"/>
      <c r="G1466" s="30"/>
      <c r="H1466" s="30"/>
      <c r="I1466" s="30"/>
      <c r="J1466" s="28"/>
      <c r="K1466" s="30"/>
      <c r="L1466" s="30"/>
      <c r="M1466" s="30"/>
      <c r="N1466" s="30"/>
      <c r="O1466" s="28"/>
      <c r="P1466" s="30"/>
      <c r="Q1466" s="30"/>
      <c r="R1466" s="30"/>
      <c r="S1466" s="36"/>
      <c r="T1466" s="30"/>
      <c r="U1466" s="36"/>
      <c r="V1466" s="30"/>
      <c r="W1466" s="28"/>
      <c r="X1466" s="30"/>
      <c r="Y1466" s="30"/>
      <c r="Z1466" s="30"/>
      <c r="AA1466" s="30"/>
      <c r="AB1466" s="30"/>
      <c r="AC1466" s="28"/>
      <c r="AD1466" s="30"/>
      <c r="AE1466" s="30"/>
      <c r="AF1466" s="30"/>
      <c r="AG1466" s="29"/>
      <c r="AH1466" s="30"/>
      <c r="AI1466" s="36"/>
      <c r="AJ1466" s="30"/>
      <c r="AK1466" s="29"/>
      <c r="AL1466" s="30"/>
      <c r="AM1466" s="30"/>
      <c r="AN1466" s="30"/>
      <c r="AO1466" s="30"/>
      <c r="AP1466" s="30"/>
      <c r="AQ1466" s="38"/>
      <c r="AR1466" s="30"/>
      <c r="AS1466" s="30"/>
      <c r="AT1466" s="29"/>
      <c r="AU1466" s="30"/>
      <c r="AV1466" s="30"/>
      <c r="AW1466" s="30"/>
      <c r="AX1466" s="29"/>
      <c r="AY1466" s="39"/>
      <c r="AZ1466" s="30"/>
      <c r="BA1466" s="30"/>
      <c r="BB1466" s="29"/>
      <c r="BC1466" s="52"/>
      <c r="BD1466" s="30"/>
      <c r="BE1466" s="29"/>
      <c r="BF1466" s="30"/>
      <c r="BG1466" s="30"/>
      <c r="BH1466" s="30"/>
      <c r="BI1466" s="30"/>
      <c r="BJ1466" s="30"/>
      <c r="BK1466" s="30"/>
      <c r="BL1466" s="30"/>
      <c r="BM1466" s="30"/>
      <c r="BN1466" s="30"/>
      <c r="BO1466" s="30"/>
      <c r="BP1466" s="30"/>
      <c r="BQ1466" s="30"/>
      <c r="BR1466" s="30"/>
      <c r="BS1466" s="30"/>
      <c r="BT1466" s="30"/>
      <c r="BU1466" s="30"/>
      <c r="BV1466" s="30"/>
      <c r="BW1466" s="30"/>
      <c r="BX1466" s="30"/>
      <c r="BY1466" s="30"/>
      <c r="BZ1466" s="30"/>
      <c r="CA1466" s="30"/>
      <c r="CB1466" s="30"/>
      <c r="CC1466" s="30"/>
      <c r="CD1466" s="30"/>
      <c r="CE1466" s="30"/>
      <c r="CF1466" s="30"/>
      <c r="CG1466" s="30"/>
      <c r="CH1466" s="30"/>
      <c r="CI1466" s="30"/>
      <c r="CJ1466" s="30"/>
      <c r="CK1466" s="30"/>
      <c r="CL1466" s="30"/>
      <c r="CM1466" s="30"/>
      <c r="CN1466" s="30"/>
      <c r="CO1466" s="30"/>
      <c r="CP1466" s="30"/>
      <c r="CQ1466" s="30"/>
      <c r="CR1466" s="30"/>
      <c r="CS1466" s="30"/>
      <c r="CT1466" s="30"/>
      <c r="CU1466" s="30"/>
      <c r="CV1466" s="30"/>
      <c r="CW1466" s="30"/>
      <c r="CX1466" s="30"/>
      <c r="CY1466" s="30"/>
      <c r="CZ1466" s="30"/>
      <c r="DA1466" s="30"/>
      <c r="DB1466" s="30"/>
      <c r="DC1466" s="30"/>
      <c r="DD1466" s="30"/>
      <c r="DE1466" s="30"/>
      <c r="DF1466" s="30"/>
      <c r="DG1466" s="30"/>
      <c r="DH1466" s="30"/>
      <c r="DI1466" s="30"/>
      <c r="DJ1466" s="30"/>
      <c r="DK1466" s="30"/>
      <c r="DL1466" s="30"/>
      <c r="DM1466" s="30"/>
      <c r="DN1466" s="30"/>
      <c r="DO1466" s="30"/>
      <c r="DP1466" s="30"/>
      <c r="DQ1466" s="30"/>
      <c r="DR1466" s="30"/>
      <c r="DS1466" s="30"/>
      <c r="DT1466" s="30"/>
      <c r="DU1466" s="30"/>
      <c r="DV1466" s="30"/>
      <c r="DW1466" s="30"/>
      <c r="DX1466" s="30"/>
      <c r="DY1466" s="30"/>
      <c r="DZ1466" s="30"/>
    </row>
    <row r="1467">
      <c r="A1467" s="30"/>
      <c r="B1467" s="42"/>
      <c r="C1467" s="43"/>
      <c r="D1467" s="30"/>
      <c r="E1467" s="28"/>
      <c r="F1467" s="30"/>
      <c r="G1467" s="30"/>
      <c r="H1467" s="30"/>
      <c r="I1467" s="30"/>
      <c r="J1467" s="28"/>
      <c r="K1467" s="30"/>
      <c r="L1467" s="30"/>
      <c r="M1467" s="30"/>
      <c r="N1467" s="30"/>
      <c r="O1467" s="28"/>
      <c r="P1467" s="30"/>
      <c r="Q1467" s="30"/>
      <c r="R1467" s="30"/>
      <c r="S1467" s="36"/>
      <c r="T1467" s="30"/>
      <c r="U1467" s="36"/>
      <c r="V1467" s="30"/>
      <c r="W1467" s="28"/>
      <c r="X1467" s="30"/>
      <c r="Y1467" s="30"/>
      <c r="Z1467" s="30"/>
      <c r="AA1467" s="30"/>
      <c r="AB1467" s="30"/>
      <c r="AC1467" s="28"/>
      <c r="AD1467" s="30"/>
      <c r="AE1467" s="30"/>
      <c r="AF1467" s="30"/>
      <c r="AG1467" s="29"/>
      <c r="AH1467" s="30"/>
      <c r="AI1467" s="36"/>
      <c r="AJ1467" s="30"/>
      <c r="AK1467" s="29"/>
      <c r="AL1467" s="30"/>
      <c r="AM1467" s="30"/>
      <c r="AN1467" s="30"/>
      <c r="AO1467" s="30"/>
      <c r="AP1467" s="30"/>
      <c r="AQ1467" s="38"/>
      <c r="AR1467" s="30"/>
      <c r="AS1467" s="30"/>
      <c r="AT1467" s="29"/>
      <c r="AU1467" s="30"/>
      <c r="AV1467" s="30"/>
      <c r="AW1467" s="30"/>
      <c r="AX1467" s="29"/>
      <c r="AY1467" s="39"/>
      <c r="AZ1467" s="30"/>
      <c r="BA1467" s="30"/>
      <c r="BB1467" s="29"/>
      <c r="BC1467" s="52"/>
      <c r="BD1467" s="30"/>
      <c r="BE1467" s="29"/>
      <c r="BF1467" s="30"/>
      <c r="BG1467" s="30"/>
      <c r="BH1467" s="30"/>
      <c r="BI1467" s="30"/>
      <c r="BJ1467" s="30"/>
      <c r="BK1467" s="30"/>
      <c r="BL1467" s="30"/>
      <c r="BM1467" s="30"/>
      <c r="BN1467" s="30"/>
      <c r="BO1467" s="30"/>
      <c r="BP1467" s="30"/>
      <c r="BQ1467" s="30"/>
      <c r="BR1467" s="30"/>
      <c r="BS1467" s="30"/>
      <c r="BT1467" s="30"/>
      <c r="BU1467" s="30"/>
      <c r="BV1467" s="30"/>
      <c r="BW1467" s="30"/>
      <c r="BX1467" s="30"/>
      <c r="BY1467" s="30"/>
      <c r="BZ1467" s="30"/>
      <c r="CA1467" s="30"/>
      <c r="CB1467" s="30"/>
      <c r="CC1467" s="30"/>
      <c r="CD1467" s="30"/>
      <c r="CE1467" s="30"/>
      <c r="CF1467" s="30"/>
      <c r="CG1467" s="30"/>
      <c r="CH1467" s="30"/>
      <c r="CI1467" s="30"/>
      <c r="CJ1467" s="30"/>
      <c r="CK1467" s="30"/>
      <c r="CL1467" s="30"/>
      <c r="CM1467" s="30"/>
      <c r="CN1467" s="30"/>
      <c r="CO1467" s="30"/>
      <c r="CP1467" s="30"/>
      <c r="CQ1467" s="30"/>
      <c r="CR1467" s="30"/>
      <c r="CS1467" s="30"/>
      <c r="CT1467" s="30"/>
      <c r="CU1467" s="30"/>
      <c r="CV1467" s="30"/>
      <c r="CW1467" s="30"/>
      <c r="CX1467" s="30"/>
      <c r="CY1467" s="30"/>
      <c r="CZ1467" s="30"/>
      <c r="DA1467" s="30"/>
      <c r="DB1467" s="30"/>
      <c r="DC1467" s="30"/>
      <c r="DD1467" s="30"/>
      <c r="DE1467" s="30"/>
      <c r="DF1467" s="30"/>
      <c r="DG1467" s="30"/>
      <c r="DH1467" s="30"/>
      <c r="DI1467" s="30"/>
      <c r="DJ1467" s="30"/>
      <c r="DK1467" s="30"/>
      <c r="DL1467" s="30"/>
      <c r="DM1467" s="30"/>
      <c r="DN1467" s="30"/>
      <c r="DO1467" s="30"/>
      <c r="DP1467" s="30"/>
      <c r="DQ1467" s="30"/>
      <c r="DR1467" s="30"/>
      <c r="DS1467" s="30"/>
      <c r="DT1467" s="30"/>
      <c r="DU1467" s="30"/>
      <c r="DV1467" s="30"/>
      <c r="DW1467" s="30"/>
      <c r="DX1467" s="30"/>
      <c r="DY1467" s="30"/>
      <c r="DZ1467" s="30"/>
    </row>
    <row r="1468">
      <c r="A1468" s="30"/>
      <c r="B1468" s="42"/>
      <c r="C1468" s="43"/>
      <c r="D1468" s="30"/>
      <c r="E1468" s="28"/>
      <c r="F1468" s="30"/>
      <c r="G1468" s="30"/>
      <c r="H1468" s="30"/>
      <c r="I1468" s="30"/>
      <c r="J1468" s="28"/>
      <c r="K1468" s="30"/>
      <c r="L1468" s="30"/>
      <c r="M1468" s="30"/>
      <c r="N1468" s="30"/>
      <c r="O1468" s="28"/>
      <c r="P1468" s="30"/>
      <c r="Q1468" s="30"/>
      <c r="R1468" s="30"/>
      <c r="S1468" s="36"/>
      <c r="T1468" s="30"/>
      <c r="U1468" s="36"/>
      <c r="V1468" s="30"/>
      <c r="W1468" s="28"/>
      <c r="X1468" s="30"/>
      <c r="Y1468" s="30"/>
      <c r="Z1468" s="30"/>
      <c r="AA1468" s="30"/>
      <c r="AB1468" s="30"/>
      <c r="AC1468" s="28"/>
      <c r="AD1468" s="30"/>
      <c r="AE1468" s="30"/>
      <c r="AF1468" s="30"/>
      <c r="AG1468" s="29"/>
      <c r="AH1468" s="30"/>
      <c r="AI1468" s="36"/>
      <c r="AJ1468" s="30"/>
      <c r="AK1468" s="29"/>
      <c r="AL1468" s="30"/>
      <c r="AM1468" s="30"/>
      <c r="AN1468" s="30"/>
      <c r="AO1468" s="30"/>
      <c r="AP1468" s="30"/>
      <c r="AQ1468" s="38"/>
      <c r="AR1468" s="30"/>
      <c r="AS1468" s="30"/>
      <c r="AT1468" s="29"/>
      <c r="AU1468" s="30"/>
      <c r="AV1468" s="30"/>
      <c r="AW1468" s="30"/>
      <c r="AX1468" s="29"/>
      <c r="AY1468" s="39"/>
      <c r="AZ1468" s="30"/>
      <c r="BA1468" s="30"/>
      <c r="BB1468" s="29"/>
      <c r="BC1468" s="52"/>
      <c r="BD1468" s="30"/>
      <c r="BE1468" s="29"/>
      <c r="BF1468" s="30"/>
      <c r="BG1468" s="30"/>
      <c r="BH1468" s="30"/>
      <c r="BI1468" s="30"/>
      <c r="BJ1468" s="30"/>
      <c r="BK1468" s="30"/>
      <c r="BL1468" s="30"/>
      <c r="BM1468" s="30"/>
      <c r="BN1468" s="30"/>
      <c r="BO1468" s="30"/>
      <c r="BP1468" s="30"/>
      <c r="BQ1468" s="30"/>
      <c r="BR1468" s="30"/>
      <c r="BS1468" s="30"/>
      <c r="BT1468" s="30"/>
      <c r="BU1468" s="30"/>
      <c r="BV1468" s="30"/>
      <c r="BW1468" s="30"/>
      <c r="BX1468" s="30"/>
      <c r="BY1468" s="30"/>
      <c r="BZ1468" s="30"/>
      <c r="CA1468" s="30"/>
      <c r="CB1468" s="30"/>
      <c r="CC1468" s="30"/>
      <c r="CD1468" s="30"/>
      <c r="CE1468" s="30"/>
      <c r="CF1468" s="30"/>
      <c r="CG1468" s="30"/>
      <c r="CH1468" s="30"/>
      <c r="CI1468" s="30"/>
      <c r="CJ1468" s="30"/>
      <c r="CK1468" s="30"/>
      <c r="CL1468" s="30"/>
      <c r="CM1468" s="30"/>
      <c r="CN1468" s="30"/>
      <c r="CO1468" s="30"/>
      <c r="CP1468" s="30"/>
      <c r="CQ1468" s="30"/>
      <c r="CR1468" s="30"/>
      <c r="CS1468" s="30"/>
      <c r="CT1468" s="30"/>
      <c r="CU1468" s="30"/>
      <c r="CV1468" s="30"/>
      <c r="CW1468" s="30"/>
      <c r="CX1468" s="30"/>
      <c r="CY1468" s="30"/>
      <c r="CZ1468" s="30"/>
      <c r="DA1468" s="30"/>
      <c r="DB1468" s="30"/>
      <c r="DC1468" s="30"/>
      <c r="DD1468" s="30"/>
      <c r="DE1468" s="30"/>
      <c r="DF1468" s="30"/>
      <c r="DG1468" s="30"/>
      <c r="DH1468" s="30"/>
      <c r="DI1468" s="30"/>
      <c r="DJ1468" s="30"/>
      <c r="DK1468" s="30"/>
      <c r="DL1468" s="30"/>
      <c r="DM1468" s="30"/>
      <c r="DN1468" s="30"/>
      <c r="DO1468" s="30"/>
      <c r="DP1468" s="30"/>
      <c r="DQ1468" s="30"/>
      <c r="DR1468" s="30"/>
      <c r="DS1468" s="30"/>
      <c r="DT1468" s="30"/>
      <c r="DU1468" s="30"/>
      <c r="DV1468" s="30"/>
      <c r="DW1468" s="30"/>
      <c r="DX1468" s="30"/>
      <c r="DY1468" s="30"/>
      <c r="DZ1468" s="30"/>
    </row>
    <row r="1469">
      <c r="A1469" s="30"/>
      <c r="B1469" s="42"/>
      <c r="C1469" s="43"/>
      <c r="D1469" s="30"/>
      <c r="E1469" s="28"/>
      <c r="F1469" s="30"/>
      <c r="G1469" s="30"/>
      <c r="H1469" s="30"/>
      <c r="I1469" s="30"/>
      <c r="J1469" s="28"/>
      <c r="K1469" s="30"/>
      <c r="L1469" s="30"/>
      <c r="M1469" s="30"/>
      <c r="N1469" s="30"/>
      <c r="O1469" s="28"/>
      <c r="P1469" s="30"/>
      <c r="Q1469" s="30"/>
      <c r="R1469" s="30"/>
      <c r="S1469" s="36"/>
      <c r="T1469" s="30"/>
      <c r="U1469" s="36"/>
      <c r="V1469" s="30"/>
      <c r="W1469" s="28"/>
      <c r="X1469" s="30"/>
      <c r="Y1469" s="30"/>
      <c r="Z1469" s="30"/>
      <c r="AA1469" s="30"/>
      <c r="AB1469" s="30"/>
      <c r="AC1469" s="28"/>
      <c r="AD1469" s="30"/>
      <c r="AE1469" s="30"/>
      <c r="AF1469" s="30"/>
      <c r="AG1469" s="29"/>
      <c r="AH1469" s="30"/>
      <c r="AI1469" s="36"/>
      <c r="AJ1469" s="30"/>
      <c r="AK1469" s="29"/>
      <c r="AL1469" s="30"/>
      <c r="AM1469" s="30"/>
      <c r="AN1469" s="30"/>
      <c r="AO1469" s="30"/>
      <c r="AP1469" s="30"/>
      <c r="AQ1469" s="38"/>
      <c r="AR1469" s="30"/>
      <c r="AS1469" s="30"/>
      <c r="AT1469" s="29"/>
      <c r="AU1469" s="30"/>
      <c r="AV1469" s="30"/>
      <c r="AW1469" s="30"/>
      <c r="AX1469" s="29"/>
      <c r="AY1469" s="39"/>
      <c r="AZ1469" s="30"/>
      <c r="BA1469" s="30"/>
      <c r="BB1469" s="29"/>
      <c r="BC1469" s="52"/>
      <c r="BD1469" s="30"/>
      <c r="BE1469" s="29"/>
      <c r="BF1469" s="30"/>
      <c r="BG1469" s="30"/>
      <c r="BH1469" s="30"/>
      <c r="BI1469" s="30"/>
      <c r="BJ1469" s="30"/>
      <c r="BK1469" s="30"/>
      <c r="BL1469" s="30"/>
      <c r="BM1469" s="30"/>
      <c r="BN1469" s="30"/>
      <c r="BO1469" s="30"/>
      <c r="BP1469" s="30"/>
      <c r="BQ1469" s="30"/>
      <c r="BR1469" s="30"/>
      <c r="BS1469" s="30"/>
      <c r="BT1469" s="30"/>
      <c r="BU1469" s="30"/>
      <c r="BV1469" s="30"/>
      <c r="BW1469" s="30"/>
      <c r="BX1469" s="30"/>
      <c r="BY1469" s="30"/>
      <c r="BZ1469" s="30"/>
      <c r="CA1469" s="30"/>
      <c r="CB1469" s="30"/>
      <c r="CC1469" s="30"/>
      <c r="CD1469" s="30"/>
      <c r="CE1469" s="30"/>
      <c r="CF1469" s="30"/>
      <c r="CG1469" s="30"/>
      <c r="CH1469" s="30"/>
      <c r="CI1469" s="30"/>
      <c r="CJ1469" s="30"/>
      <c r="CK1469" s="30"/>
      <c r="CL1469" s="30"/>
      <c r="CM1469" s="30"/>
      <c r="CN1469" s="30"/>
      <c r="CO1469" s="30"/>
      <c r="CP1469" s="30"/>
      <c r="CQ1469" s="30"/>
      <c r="CR1469" s="30"/>
      <c r="CS1469" s="30"/>
      <c r="CT1469" s="30"/>
      <c r="CU1469" s="30"/>
      <c r="CV1469" s="30"/>
      <c r="CW1469" s="30"/>
      <c r="CX1469" s="30"/>
      <c r="CY1469" s="30"/>
      <c r="CZ1469" s="30"/>
      <c r="DA1469" s="30"/>
      <c r="DB1469" s="30"/>
      <c r="DC1469" s="30"/>
      <c r="DD1469" s="30"/>
      <c r="DE1469" s="30"/>
      <c r="DF1469" s="30"/>
      <c r="DG1469" s="30"/>
      <c r="DH1469" s="30"/>
      <c r="DI1469" s="30"/>
      <c r="DJ1469" s="30"/>
      <c r="DK1469" s="30"/>
      <c r="DL1469" s="30"/>
      <c r="DM1469" s="30"/>
      <c r="DN1469" s="30"/>
      <c r="DO1469" s="30"/>
      <c r="DP1469" s="30"/>
      <c r="DQ1469" s="30"/>
      <c r="DR1469" s="30"/>
      <c r="DS1469" s="30"/>
      <c r="DT1469" s="30"/>
      <c r="DU1469" s="30"/>
      <c r="DV1469" s="30"/>
      <c r="DW1469" s="30"/>
      <c r="DX1469" s="30"/>
      <c r="DY1469" s="30"/>
      <c r="DZ1469" s="30"/>
    </row>
    <row r="1470">
      <c r="A1470" s="30"/>
      <c r="B1470" s="42"/>
      <c r="C1470" s="43"/>
      <c r="D1470" s="30"/>
      <c r="E1470" s="28"/>
      <c r="F1470" s="30"/>
      <c r="G1470" s="30"/>
      <c r="H1470" s="30"/>
      <c r="I1470" s="30"/>
      <c r="J1470" s="28"/>
      <c r="K1470" s="30"/>
      <c r="L1470" s="30"/>
      <c r="M1470" s="30"/>
      <c r="N1470" s="30"/>
      <c r="O1470" s="28"/>
      <c r="P1470" s="30"/>
      <c r="Q1470" s="30"/>
      <c r="R1470" s="30"/>
      <c r="S1470" s="36"/>
      <c r="T1470" s="30"/>
      <c r="U1470" s="36"/>
      <c r="V1470" s="30"/>
      <c r="W1470" s="28"/>
      <c r="X1470" s="30"/>
      <c r="Y1470" s="30"/>
      <c r="Z1470" s="30"/>
      <c r="AA1470" s="30"/>
      <c r="AB1470" s="30"/>
      <c r="AC1470" s="28"/>
      <c r="AD1470" s="30"/>
      <c r="AE1470" s="30"/>
      <c r="AF1470" s="30"/>
      <c r="AG1470" s="29"/>
      <c r="AH1470" s="30"/>
      <c r="AI1470" s="36"/>
      <c r="AJ1470" s="30"/>
      <c r="AK1470" s="29"/>
      <c r="AL1470" s="30"/>
      <c r="AM1470" s="30"/>
      <c r="AN1470" s="30"/>
      <c r="AO1470" s="30"/>
      <c r="AP1470" s="30"/>
      <c r="AQ1470" s="38"/>
      <c r="AR1470" s="30"/>
      <c r="AS1470" s="30"/>
      <c r="AT1470" s="29"/>
      <c r="AU1470" s="30"/>
      <c r="AV1470" s="30"/>
      <c r="AW1470" s="30"/>
      <c r="AX1470" s="29"/>
      <c r="AY1470" s="39"/>
      <c r="AZ1470" s="30"/>
      <c r="BA1470" s="30"/>
      <c r="BB1470" s="29"/>
      <c r="BC1470" s="52"/>
      <c r="BD1470" s="30"/>
      <c r="BE1470" s="29"/>
      <c r="BF1470" s="30"/>
      <c r="BG1470" s="30"/>
      <c r="BH1470" s="30"/>
      <c r="BI1470" s="30"/>
      <c r="BJ1470" s="30"/>
      <c r="BK1470" s="30"/>
      <c r="BL1470" s="30"/>
      <c r="BM1470" s="30"/>
      <c r="BN1470" s="30"/>
      <c r="BO1470" s="30"/>
      <c r="BP1470" s="30"/>
      <c r="BQ1470" s="30"/>
      <c r="BR1470" s="30"/>
      <c r="BS1470" s="30"/>
      <c r="BT1470" s="30"/>
      <c r="BU1470" s="30"/>
      <c r="BV1470" s="30"/>
      <c r="BW1470" s="30"/>
      <c r="BX1470" s="30"/>
      <c r="BY1470" s="30"/>
      <c r="BZ1470" s="30"/>
      <c r="CA1470" s="30"/>
      <c r="CB1470" s="30"/>
      <c r="CC1470" s="30"/>
      <c r="CD1470" s="30"/>
      <c r="CE1470" s="30"/>
      <c r="CF1470" s="30"/>
      <c r="CG1470" s="30"/>
      <c r="CH1470" s="30"/>
      <c r="CI1470" s="30"/>
      <c r="CJ1470" s="30"/>
      <c r="CK1470" s="30"/>
      <c r="CL1470" s="30"/>
      <c r="CM1470" s="30"/>
      <c r="CN1470" s="30"/>
      <c r="CO1470" s="30"/>
      <c r="CP1470" s="30"/>
      <c r="CQ1470" s="30"/>
      <c r="CR1470" s="30"/>
      <c r="CS1470" s="30"/>
      <c r="CT1470" s="30"/>
      <c r="CU1470" s="30"/>
      <c r="CV1470" s="30"/>
      <c r="CW1470" s="30"/>
      <c r="CX1470" s="30"/>
      <c r="CY1470" s="30"/>
      <c r="CZ1470" s="30"/>
      <c r="DA1470" s="30"/>
      <c r="DB1470" s="30"/>
      <c r="DC1470" s="30"/>
      <c r="DD1470" s="30"/>
      <c r="DE1470" s="30"/>
      <c r="DF1470" s="30"/>
      <c r="DG1470" s="30"/>
      <c r="DH1470" s="30"/>
      <c r="DI1470" s="30"/>
      <c r="DJ1470" s="30"/>
      <c r="DK1470" s="30"/>
      <c r="DL1470" s="30"/>
      <c r="DM1470" s="30"/>
      <c r="DN1470" s="30"/>
      <c r="DO1470" s="30"/>
      <c r="DP1470" s="30"/>
      <c r="DQ1470" s="30"/>
      <c r="DR1470" s="30"/>
      <c r="DS1470" s="30"/>
      <c r="DT1470" s="30"/>
      <c r="DU1470" s="30"/>
      <c r="DV1470" s="30"/>
      <c r="DW1470" s="30"/>
      <c r="DX1470" s="30"/>
      <c r="DY1470" s="30"/>
      <c r="DZ1470" s="30"/>
    </row>
    <row r="1471">
      <c r="A1471" s="30"/>
      <c r="B1471" s="42"/>
      <c r="C1471" s="43"/>
      <c r="D1471" s="30"/>
      <c r="E1471" s="28"/>
      <c r="F1471" s="30"/>
      <c r="G1471" s="30"/>
      <c r="H1471" s="30"/>
      <c r="I1471" s="30"/>
      <c r="J1471" s="28"/>
      <c r="K1471" s="30"/>
      <c r="L1471" s="30"/>
      <c r="M1471" s="30"/>
      <c r="N1471" s="30"/>
      <c r="O1471" s="28"/>
      <c r="P1471" s="30"/>
      <c r="Q1471" s="30"/>
      <c r="R1471" s="30"/>
      <c r="S1471" s="36"/>
      <c r="T1471" s="30"/>
      <c r="U1471" s="36"/>
      <c r="V1471" s="30"/>
      <c r="W1471" s="28"/>
      <c r="X1471" s="30"/>
      <c r="Y1471" s="30"/>
      <c r="Z1471" s="30"/>
      <c r="AA1471" s="30"/>
      <c r="AB1471" s="30"/>
      <c r="AC1471" s="28"/>
      <c r="AD1471" s="30"/>
      <c r="AE1471" s="30"/>
      <c r="AF1471" s="30"/>
      <c r="AG1471" s="29"/>
      <c r="AH1471" s="30"/>
      <c r="AI1471" s="36"/>
      <c r="AJ1471" s="30"/>
      <c r="AK1471" s="29"/>
      <c r="AL1471" s="30"/>
      <c r="AM1471" s="30"/>
      <c r="AN1471" s="30"/>
      <c r="AO1471" s="30"/>
      <c r="AP1471" s="30"/>
      <c r="AQ1471" s="38"/>
      <c r="AR1471" s="30"/>
      <c r="AS1471" s="30"/>
      <c r="AT1471" s="29"/>
      <c r="AU1471" s="30"/>
      <c r="AV1471" s="30"/>
      <c r="AW1471" s="30"/>
      <c r="AX1471" s="29"/>
      <c r="AY1471" s="39"/>
      <c r="AZ1471" s="30"/>
      <c r="BA1471" s="30"/>
      <c r="BB1471" s="29"/>
      <c r="BC1471" s="52"/>
      <c r="BD1471" s="30"/>
      <c r="BE1471" s="29"/>
      <c r="BF1471" s="30"/>
      <c r="BG1471" s="30"/>
      <c r="BH1471" s="30"/>
      <c r="BI1471" s="30"/>
      <c r="BJ1471" s="30"/>
      <c r="BK1471" s="30"/>
      <c r="BL1471" s="30"/>
      <c r="BM1471" s="30"/>
      <c r="BN1471" s="30"/>
      <c r="BO1471" s="30"/>
      <c r="BP1471" s="30"/>
      <c r="BQ1471" s="30"/>
      <c r="BR1471" s="30"/>
      <c r="BS1471" s="30"/>
      <c r="BT1471" s="30"/>
      <c r="BU1471" s="30"/>
      <c r="BV1471" s="30"/>
      <c r="BW1471" s="30"/>
      <c r="BX1471" s="30"/>
      <c r="BY1471" s="30"/>
      <c r="BZ1471" s="30"/>
      <c r="CA1471" s="30"/>
      <c r="CB1471" s="30"/>
      <c r="CC1471" s="30"/>
      <c r="CD1471" s="30"/>
      <c r="CE1471" s="30"/>
      <c r="CF1471" s="30"/>
      <c r="CG1471" s="30"/>
      <c r="CH1471" s="30"/>
      <c r="CI1471" s="30"/>
      <c r="CJ1471" s="30"/>
      <c r="CK1471" s="30"/>
      <c r="CL1471" s="30"/>
      <c r="CM1471" s="30"/>
      <c r="CN1471" s="30"/>
      <c r="CO1471" s="30"/>
      <c r="CP1471" s="30"/>
      <c r="CQ1471" s="30"/>
      <c r="CR1471" s="30"/>
      <c r="CS1471" s="30"/>
      <c r="CT1471" s="30"/>
      <c r="CU1471" s="30"/>
      <c r="CV1471" s="30"/>
      <c r="CW1471" s="30"/>
      <c r="CX1471" s="30"/>
      <c r="CY1471" s="30"/>
      <c r="CZ1471" s="30"/>
      <c r="DA1471" s="30"/>
      <c r="DB1471" s="30"/>
      <c r="DC1471" s="30"/>
      <c r="DD1471" s="30"/>
      <c r="DE1471" s="30"/>
      <c r="DF1471" s="30"/>
      <c r="DG1471" s="30"/>
      <c r="DH1471" s="30"/>
      <c r="DI1471" s="30"/>
      <c r="DJ1471" s="30"/>
      <c r="DK1471" s="30"/>
      <c r="DL1471" s="30"/>
      <c r="DM1471" s="30"/>
      <c r="DN1471" s="30"/>
      <c r="DO1471" s="30"/>
      <c r="DP1471" s="30"/>
      <c r="DQ1471" s="30"/>
      <c r="DR1471" s="30"/>
      <c r="DS1471" s="30"/>
      <c r="DT1471" s="30"/>
      <c r="DU1471" s="30"/>
      <c r="DV1471" s="30"/>
      <c r="DW1471" s="30"/>
      <c r="DX1471" s="30"/>
      <c r="DY1471" s="30"/>
      <c r="DZ1471" s="30"/>
    </row>
    <row r="1472">
      <c r="A1472" s="30"/>
      <c r="B1472" s="42"/>
      <c r="C1472" s="43"/>
      <c r="D1472" s="30"/>
      <c r="E1472" s="28"/>
      <c r="F1472" s="30"/>
      <c r="G1472" s="30"/>
      <c r="H1472" s="30"/>
      <c r="I1472" s="30"/>
      <c r="J1472" s="28"/>
      <c r="K1472" s="30"/>
      <c r="L1472" s="30"/>
      <c r="M1472" s="30"/>
      <c r="N1472" s="30"/>
      <c r="O1472" s="28"/>
      <c r="P1472" s="30"/>
      <c r="Q1472" s="30"/>
      <c r="R1472" s="30"/>
      <c r="S1472" s="36"/>
      <c r="T1472" s="30"/>
      <c r="U1472" s="36"/>
      <c r="V1472" s="30"/>
      <c r="W1472" s="28"/>
      <c r="X1472" s="30"/>
      <c r="Y1472" s="30"/>
      <c r="Z1472" s="30"/>
      <c r="AA1472" s="30"/>
      <c r="AB1472" s="30"/>
      <c r="AC1472" s="28"/>
      <c r="AD1472" s="30"/>
      <c r="AE1472" s="30"/>
      <c r="AF1472" s="30"/>
      <c r="AG1472" s="29"/>
      <c r="AH1472" s="30"/>
      <c r="AI1472" s="36"/>
      <c r="AJ1472" s="30"/>
      <c r="AK1472" s="29"/>
      <c r="AL1472" s="30"/>
      <c r="AM1472" s="30"/>
      <c r="AN1472" s="30"/>
      <c r="AO1472" s="30"/>
      <c r="AP1472" s="30"/>
      <c r="AQ1472" s="38"/>
      <c r="AR1472" s="30"/>
      <c r="AS1472" s="30"/>
      <c r="AT1472" s="29"/>
      <c r="AU1472" s="30"/>
      <c r="AV1472" s="30"/>
      <c r="AW1472" s="30"/>
      <c r="AX1472" s="29"/>
      <c r="AY1472" s="39"/>
      <c r="AZ1472" s="30"/>
      <c r="BA1472" s="30"/>
      <c r="BB1472" s="29"/>
      <c r="BC1472" s="52"/>
      <c r="BD1472" s="30"/>
      <c r="BE1472" s="29"/>
      <c r="BF1472" s="30"/>
      <c r="BG1472" s="30"/>
      <c r="BH1472" s="30"/>
      <c r="BI1472" s="30"/>
      <c r="BJ1472" s="30"/>
      <c r="BK1472" s="30"/>
      <c r="BL1472" s="30"/>
      <c r="BM1472" s="30"/>
      <c r="BN1472" s="30"/>
      <c r="BO1472" s="30"/>
      <c r="BP1472" s="30"/>
      <c r="BQ1472" s="30"/>
      <c r="BR1472" s="30"/>
      <c r="BS1472" s="30"/>
      <c r="BT1472" s="30"/>
      <c r="BU1472" s="30"/>
      <c r="BV1472" s="30"/>
      <c r="BW1472" s="30"/>
      <c r="BX1472" s="30"/>
      <c r="BY1472" s="30"/>
      <c r="BZ1472" s="30"/>
      <c r="CA1472" s="30"/>
      <c r="CB1472" s="30"/>
      <c r="CC1472" s="30"/>
      <c r="CD1472" s="30"/>
      <c r="CE1472" s="30"/>
      <c r="CF1472" s="30"/>
      <c r="CG1472" s="30"/>
      <c r="CH1472" s="30"/>
      <c r="CI1472" s="30"/>
      <c r="CJ1472" s="30"/>
      <c r="CK1472" s="30"/>
      <c r="CL1472" s="30"/>
      <c r="CM1472" s="30"/>
      <c r="CN1472" s="30"/>
      <c r="CO1472" s="30"/>
      <c r="CP1472" s="30"/>
      <c r="CQ1472" s="30"/>
      <c r="CR1472" s="30"/>
      <c r="CS1472" s="30"/>
      <c r="CT1472" s="30"/>
      <c r="CU1472" s="30"/>
      <c r="CV1472" s="30"/>
      <c r="CW1472" s="30"/>
      <c r="CX1472" s="30"/>
      <c r="CY1472" s="30"/>
      <c r="CZ1472" s="30"/>
      <c r="DA1472" s="30"/>
      <c r="DB1472" s="30"/>
      <c r="DC1472" s="30"/>
      <c r="DD1472" s="30"/>
      <c r="DE1472" s="30"/>
      <c r="DF1472" s="30"/>
      <c r="DG1472" s="30"/>
      <c r="DH1472" s="30"/>
      <c r="DI1472" s="30"/>
      <c r="DJ1472" s="30"/>
      <c r="DK1472" s="30"/>
      <c r="DL1472" s="30"/>
      <c r="DM1472" s="30"/>
      <c r="DN1472" s="30"/>
      <c r="DO1472" s="30"/>
      <c r="DP1472" s="30"/>
      <c r="DQ1472" s="30"/>
      <c r="DR1472" s="30"/>
      <c r="DS1472" s="30"/>
      <c r="DT1472" s="30"/>
      <c r="DU1472" s="30"/>
      <c r="DV1472" s="30"/>
      <c r="DW1472" s="30"/>
      <c r="DX1472" s="30"/>
      <c r="DY1472" s="30"/>
      <c r="DZ1472" s="30"/>
    </row>
    <row r="1473">
      <c r="A1473" s="30"/>
      <c r="B1473" s="42"/>
      <c r="C1473" s="43"/>
      <c r="D1473" s="30"/>
      <c r="E1473" s="28"/>
      <c r="F1473" s="30"/>
      <c r="G1473" s="30"/>
      <c r="H1473" s="30"/>
      <c r="I1473" s="30"/>
      <c r="J1473" s="28"/>
      <c r="K1473" s="30"/>
      <c r="L1473" s="30"/>
      <c r="M1473" s="30"/>
      <c r="N1473" s="30"/>
      <c r="O1473" s="28"/>
      <c r="P1473" s="30"/>
      <c r="Q1473" s="30"/>
      <c r="R1473" s="30"/>
      <c r="S1473" s="36"/>
      <c r="T1473" s="30"/>
      <c r="U1473" s="36"/>
      <c r="V1473" s="30"/>
      <c r="W1473" s="28"/>
      <c r="X1473" s="30"/>
      <c r="Y1473" s="30"/>
      <c r="Z1473" s="30"/>
      <c r="AA1473" s="30"/>
      <c r="AB1473" s="30"/>
      <c r="AC1473" s="28"/>
      <c r="AD1473" s="30"/>
      <c r="AE1473" s="30"/>
      <c r="AF1473" s="30"/>
      <c r="AG1473" s="29"/>
      <c r="AH1473" s="30"/>
      <c r="AI1473" s="36"/>
      <c r="AJ1473" s="30"/>
      <c r="AK1473" s="29"/>
      <c r="AL1473" s="30"/>
      <c r="AM1473" s="30"/>
      <c r="AN1473" s="30"/>
      <c r="AO1473" s="30"/>
      <c r="AP1473" s="30"/>
      <c r="AQ1473" s="38"/>
      <c r="AR1473" s="30"/>
      <c r="AS1473" s="30"/>
      <c r="AT1473" s="29"/>
      <c r="AU1473" s="30"/>
      <c r="AV1473" s="30"/>
      <c r="AW1473" s="30"/>
      <c r="AX1473" s="29"/>
      <c r="AY1473" s="39"/>
      <c r="AZ1473" s="30"/>
      <c r="BA1473" s="30"/>
      <c r="BB1473" s="29"/>
      <c r="BC1473" s="52"/>
      <c r="BD1473" s="30"/>
      <c r="BE1473" s="29"/>
      <c r="BF1473" s="30"/>
      <c r="BG1473" s="30"/>
      <c r="BH1473" s="30"/>
      <c r="BI1473" s="30"/>
      <c r="BJ1473" s="30"/>
      <c r="BK1473" s="30"/>
      <c r="BL1473" s="30"/>
      <c r="BM1473" s="30"/>
      <c r="BN1473" s="30"/>
      <c r="BO1473" s="30"/>
      <c r="BP1473" s="30"/>
      <c r="BQ1473" s="30"/>
      <c r="BR1473" s="30"/>
      <c r="BS1473" s="30"/>
      <c r="BT1473" s="30"/>
      <c r="BU1473" s="30"/>
      <c r="BV1473" s="30"/>
      <c r="BW1473" s="30"/>
      <c r="BX1473" s="30"/>
      <c r="BY1473" s="30"/>
      <c r="BZ1473" s="30"/>
      <c r="CA1473" s="30"/>
      <c r="CB1473" s="30"/>
      <c r="CC1473" s="30"/>
      <c r="CD1473" s="30"/>
      <c r="CE1473" s="30"/>
      <c r="CF1473" s="30"/>
      <c r="CG1473" s="30"/>
      <c r="CH1473" s="30"/>
      <c r="CI1473" s="30"/>
      <c r="CJ1473" s="30"/>
      <c r="CK1473" s="30"/>
      <c r="CL1473" s="30"/>
      <c r="CM1473" s="30"/>
      <c r="CN1473" s="30"/>
      <c r="CO1473" s="30"/>
      <c r="CP1473" s="30"/>
      <c r="CQ1473" s="30"/>
      <c r="CR1473" s="30"/>
      <c r="CS1473" s="30"/>
      <c r="CT1473" s="30"/>
      <c r="CU1473" s="30"/>
      <c r="CV1473" s="30"/>
      <c r="CW1473" s="30"/>
      <c r="CX1473" s="30"/>
      <c r="CY1473" s="30"/>
      <c r="CZ1473" s="30"/>
      <c r="DA1473" s="30"/>
      <c r="DB1473" s="30"/>
      <c r="DC1473" s="30"/>
      <c r="DD1473" s="30"/>
      <c r="DE1473" s="30"/>
      <c r="DF1473" s="30"/>
      <c r="DG1473" s="30"/>
      <c r="DH1473" s="30"/>
      <c r="DI1473" s="30"/>
      <c r="DJ1473" s="30"/>
      <c r="DK1473" s="30"/>
      <c r="DL1473" s="30"/>
      <c r="DM1473" s="30"/>
      <c r="DN1473" s="30"/>
      <c r="DO1473" s="30"/>
      <c r="DP1473" s="30"/>
      <c r="DQ1473" s="30"/>
      <c r="DR1473" s="30"/>
      <c r="DS1473" s="30"/>
      <c r="DT1473" s="30"/>
      <c r="DU1473" s="30"/>
      <c r="DV1473" s="30"/>
      <c r="DW1473" s="30"/>
      <c r="DX1473" s="30"/>
      <c r="DY1473" s="30"/>
      <c r="DZ1473" s="30"/>
    </row>
    <row r="1474">
      <c r="A1474" s="30"/>
      <c r="B1474" s="42"/>
      <c r="C1474" s="43"/>
      <c r="D1474" s="30"/>
      <c r="E1474" s="28"/>
      <c r="F1474" s="30"/>
      <c r="G1474" s="30"/>
      <c r="H1474" s="30"/>
      <c r="I1474" s="30"/>
      <c r="J1474" s="28"/>
      <c r="K1474" s="30"/>
      <c r="L1474" s="30"/>
      <c r="M1474" s="30"/>
      <c r="N1474" s="30"/>
      <c r="O1474" s="28"/>
      <c r="P1474" s="30"/>
      <c r="Q1474" s="30"/>
      <c r="R1474" s="30"/>
      <c r="S1474" s="36"/>
      <c r="T1474" s="30"/>
      <c r="U1474" s="36"/>
      <c r="V1474" s="30"/>
      <c r="W1474" s="28"/>
      <c r="X1474" s="30"/>
      <c r="Y1474" s="30"/>
      <c r="Z1474" s="30"/>
      <c r="AA1474" s="30"/>
      <c r="AB1474" s="30"/>
      <c r="AC1474" s="28"/>
      <c r="AD1474" s="30"/>
      <c r="AE1474" s="30"/>
      <c r="AF1474" s="30"/>
      <c r="AG1474" s="29"/>
      <c r="AH1474" s="30"/>
      <c r="AI1474" s="36"/>
      <c r="AJ1474" s="30"/>
      <c r="AK1474" s="29"/>
      <c r="AL1474" s="30"/>
      <c r="AM1474" s="30"/>
      <c r="AN1474" s="30"/>
      <c r="AO1474" s="30"/>
      <c r="AP1474" s="30"/>
      <c r="AQ1474" s="38"/>
      <c r="AR1474" s="30"/>
      <c r="AS1474" s="30"/>
      <c r="AT1474" s="29"/>
      <c r="AU1474" s="30"/>
      <c r="AV1474" s="30"/>
      <c r="AW1474" s="30"/>
      <c r="AX1474" s="29"/>
      <c r="AY1474" s="39"/>
      <c r="AZ1474" s="30"/>
      <c r="BA1474" s="30"/>
      <c r="BB1474" s="29"/>
      <c r="BC1474" s="52"/>
      <c r="BD1474" s="30"/>
      <c r="BE1474" s="29"/>
      <c r="BF1474" s="30"/>
      <c r="BG1474" s="30"/>
      <c r="BH1474" s="30"/>
      <c r="BI1474" s="30"/>
      <c r="BJ1474" s="30"/>
      <c r="BK1474" s="30"/>
      <c r="BL1474" s="30"/>
      <c r="BM1474" s="30"/>
      <c r="BN1474" s="30"/>
      <c r="BO1474" s="30"/>
      <c r="BP1474" s="30"/>
      <c r="BQ1474" s="30"/>
      <c r="BR1474" s="30"/>
      <c r="BS1474" s="30"/>
      <c r="BT1474" s="30"/>
      <c r="BU1474" s="30"/>
      <c r="BV1474" s="30"/>
      <c r="BW1474" s="30"/>
      <c r="BX1474" s="30"/>
      <c r="BY1474" s="30"/>
      <c r="BZ1474" s="30"/>
      <c r="CA1474" s="30"/>
      <c r="CB1474" s="30"/>
      <c r="CC1474" s="30"/>
      <c r="CD1474" s="30"/>
      <c r="CE1474" s="30"/>
      <c r="CF1474" s="30"/>
      <c r="CG1474" s="30"/>
      <c r="CH1474" s="30"/>
      <c r="CI1474" s="30"/>
      <c r="CJ1474" s="30"/>
      <c r="CK1474" s="30"/>
      <c r="CL1474" s="30"/>
      <c r="CM1474" s="30"/>
      <c r="CN1474" s="30"/>
      <c r="CO1474" s="30"/>
      <c r="CP1474" s="30"/>
      <c r="CQ1474" s="30"/>
      <c r="CR1474" s="30"/>
      <c r="CS1474" s="30"/>
      <c r="CT1474" s="30"/>
      <c r="CU1474" s="30"/>
      <c r="CV1474" s="30"/>
      <c r="CW1474" s="30"/>
      <c r="CX1474" s="30"/>
      <c r="CY1474" s="30"/>
      <c r="CZ1474" s="30"/>
      <c r="DA1474" s="30"/>
      <c r="DB1474" s="30"/>
      <c r="DC1474" s="30"/>
      <c r="DD1474" s="30"/>
      <c r="DE1474" s="30"/>
      <c r="DF1474" s="30"/>
      <c r="DG1474" s="30"/>
      <c r="DH1474" s="30"/>
      <c r="DI1474" s="30"/>
      <c r="DJ1474" s="30"/>
      <c r="DK1474" s="30"/>
      <c r="DL1474" s="30"/>
      <c r="DM1474" s="30"/>
      <c r="DN1474" s="30"/>
      <c r="DO1474" s="30"/>
      <c r="DP1474" s="30"/>
      <c r="DQ1474" s="30"/>
      <c r="DR1474" s="30"/>
      <c r="DS1474" s="30"/>
      <c r="DT1474" s="30"/>
      <c r="DU1474" s="30"/>
      <c r="DV1474" s="30"/>
      <c r="DW1474" s="30"/>
      <c r="DX1474" s="30"/>
      <c r="DY1474" s="30"/>
      <c r="DZ1474" s="30"/>
    </row>
    <row r="1475">
      <c r="A1475" s="30"/>
      <c r="B1475" s="42"/>
      <c r="C1475" s="43"/>
      <c r="D1475" s="30"/>
      <c r="E1475" s="28"/>
      <c r="F1475" s="30"/>
      <c r="G1475" s="30"/>
      <c r="H1475" s="30"/>
      <c r="I1475" s="30"/>
      <c r="J1475" s="28"/>
      <c r="K1475" s="30"/>
      <c r="L1475" s="30"/>
      <c r="M1475" s="30"/>
      <c r="N1475" s="30"/>
      <c r="O1475" s="28"/>
      <c r="P1475" s="30"/>
      <c r="Q1475" s="30"/>
      <c r="R1475" s="30"/>
      <c r="S1475" s="36"/>
      <c r="T1475" s="30"/>
      <c r="U1475" s="36"/>
      <c r="V1475" s="30"/>
      <c r="W1475" s="28"/>
      <c r="X1475" s="30"/>
      <c r="Y1475" s="30"/>
      <c r="Z1475" s="30"/>
      <c r="AA1475" s="30"/>
      <c r="AB1475" s="30"/>
      <c r="AC1475" s="28"/>
      <c r="AD1475" s="30"/>
      <c r="AE1475" s="30"/>
      <c r="AF1475" s="30"/>
      <c r="AG1475" s="29"/>
      <c r="AH1475" s="30"/>
      <c r="AI1475" s="36"/>
      <c r="AJ1475" s="30"/>
      <c r="AK1475" s="29"/>
      <c r="AL1475" s="30"/>
      <c r="AM1475" s="30"/>
      <c r="AN1475" s="30"/>
      <c r="AO1475" s="30"/>
      <c r="AP1475" s="30"/>
      <c r="AQ1475" s="38"/>
      <c r="AR1475" s="30"/>
      <c r="AS1475" s="30"/>
      <c r="AT1475" s="29"/>
      <c r="AU1475" s="30"/>
      <c r="AV1475" s="30"/>
      <c r="AW1475" s="30"/>
      <c r="AX1475" s="29"/>
      <c r="AY1475" s="39"/>
      <c r="AZ1475" s="30"/>
      <c r="BA1475" s="30"/>
      <c r="BB1475" s="29"/>
      <c r="BC1475" s="52"/>
      <c r="BD1475" s="30"/>
      <c r="BE1475" s="29"/>
      <c r="BF1475" s="30"/>
      <c r="BG1475" s="30"/>
      <c r="BH1475" s="30"/>
      <c r="BI1475" s="30"/>
      <c r="BJ1475" s="30"/>
      <c r="BK1475" s="30"/>
      <c r="BL1475" s="30"/>
      <c r="BM1475" s="30"/>
      <c r="BN1475" s="30"/>
      <c r="BO1475" s="30"/>
      <c r="BP1475" s="30"/>
      <c r="BQ1475" s="30"/>
      <c r="BR1475" s="30"/>
      <c r="BS1475" s="30"/>
      <c r="BT1475" s="30"/>
      <c r="BU1475" s="30"/>
      <c r="BV1475" s="30"/>
      <c r="BW1475" s="30"/>
      <c r="BX1475" s="30"/>
      <c r="BY1475" s="30"/>
      <c r="BZ1475" s="30"/>
      <c r="CA1475" s="30"/>
      <c r="CB1475" s="30"/>
      <c r="CC1475" s="30"/>
      <c r="CD1475" s="30"/>
      <c r="CE1475" s="30"/>
      <c r="CF1475" s="30"/>
      <c r="CG1475" s="30"/>
      <c r="CH1475" s="30"/>
      <c r="CI1475" s="30"/>
      <c r="CJ1475" s="30"/>
      <c r="CK1475" s="30"/>
      <c r="CL1475" s="30"/>
      <c r="CM1475" s="30"/>
      <c r="CN1475" s="30"/>
      <c r="CO1475" s="30"/>
      <c r="CP1475" s="30"/>
      <c r="CQ1475" s="30"/>
      <c r="CR1475" s="30"/>
      <c r="CS1475" s="30"/>
      <c r="CT1475" s="30"/>
      <c r="CU1475" s="30"/>
      <c r="CV1475" s="30"/>
      <c r="CW1475" s="30"/>
      <c r="CX1475" s="30"/>
      <c r="CY1475" s="30"/>
      <c r="CZ1475" s="30"/>
      <c r="DA1475" s="30"/>
      <c r="DB1475" s="30"/>
      <c r="DC1475" s="30"/>
      <c r="DD1475" s="30"/>
      <c r="DE1475" s="30"/>
      <c r="DF1475" s="30"/>
      <c r="DG1475" s="30"/>
      <c r="DH1475" s="30"/>
      <c r="DI1475" s="30"/>
      <c r="DJ1475" s="30"/>
      <c r="DK1475" s="30"/>
      <c r="DL1475" s="30"/>
      <c r="DM1475" s="30"/>
      <c r="DN1475" s="30"/>
      <c r="DO1475" s="30"/>
      <c r="DP1475" s="30"/>
      <c r="DQ1475" s="30"/>
      <c r="DR1475" s="30"/>
      <c r="DS1475" s="30"/>
      <c r="DT1475" s="30"/>
      <c r="DU1475" s="30"/>
      <c r="DV1475" s="30"/>
      <c r="DW1475" s="30"/>
      <c r="DX1475" s="30"/>
      <c r="DY1475" s="30"/>
      <c r="DZ1475" s="30"/>
    </row>
    <row r="1476">
      <c r="A1476" s="30"/>
      <c r="B1476" s="42"/>
      <c r="C1476" s="43"/>
      <c r="D1476" s="30"/>
      <c r="E1476" s="28"/>
      <c r="F1476" s="30"/>
      <c r="G1476" s="30"/>
      <c r="H1476" s="30"/>
      <c r="I1476" s="30"/>
      <c r="J1476" s="28"/>
      <c r="K1476" s="30"/>
      <c r="L1476" s="30"/>
      <c r="M1476" s="30"/>
      <c r="N1476" s="30"/>
      <c r="O1476" s="28"/>
      <c r="P1476" s="30"/>
      <c r="Q1476" s="30"/>
      <c r="R1476" s="30"/>
      <c r="S1476" s="36"/>
      <c r="T1476" s="30"/>
      <c r="U1476" s="36"/>
      <c r="V1476" s="30"/>
      <c r="W1476" s="28"/>
      <c r="X1476" s="30"/>
      <c r="Y1476" s="30"/>
      <c r="Z1476" s="30"/>
      <c r="AA1476" s="30"/>
      <c r="AB1476" s="30"/>
      <c r="AC1476" s="28"/>
      <c r="AD1476" s="30"/>
      <c r="AE1476" s="30"/>
      <c r="AF1476" s="30"/>
      <c r="AG1476" s="29"/>
      <c r="AH1476" s="30"/>
      <c r="AI1476" s="36"/>
      <c r="AJ1476" s="30"/>
      <c r="AK1476" s="29"/>
      <c r="AL1476" s="30"/>
      <c r="AM1476" s="30"/>
      <c r="AN1476" s="30"/>
      <c r="AO1476" s="30"/>
      <c r="AP1476" s="30"/>
      <c r="AQ1476" s="38"/>
      <c r="AR1476" s="30"/>
      <c r="AS1476" s="30"/>
      <c r="AT1476" s="29"/>
      <c r="AU1476" s="30"/>
      <c r="AV1476" s="30"/>
      <c r="AW1476" s="30"/>
      <c r="AX1476" s="29"/>
      <c r="AY1476" s="39"/>
      <c r="AZ1476" s="30"/>
      <c r="BA1476" s="30"/>
      <c r="BB1476" s="29"/>
      <c r="BC1476" s="52"/>
      <c r="BD1476" s="30"/>
      <c r="BE1476" s="29"/>
      <c r="BF1476" s="30"/>
      <c r="BG1476" s="30"/>
      <c r="BH1476" s="30"/>
      <c r="BI1476" s="30"/>
      <c r="BJ1476" s="30"/>
      <c r="BK1476" s="30"/>
      <c r="BL1476" s="30"/>
      <c r="BM1476" s="30"/>
      <c r="BN1476" s="30"/>
      <c r="BO1476" s="30"/>
      <c r="BP1476" s="30"/>
      <c r="BQ1476" s="30"/>
      <c r="BR1476" s="30"/>
      <c r="BS1476" s="30"/>
      <c r="BT1476" s="30"/>
      <c r="BU1476" s="30"/>
      <c r="BV1476" s="30"/>
      <c r="BW1476" s="30"/>
      <c r="BX1476" s="30"/>
      <c r="BY1476" s="30"/>
      <c r="BZ1476" s="30"/>
      <c r="CA1476" s="30"/>
      <c r="CB1476" s="30"/>
      <c r="CC1476" s="30"/>
      <c r="CD1476" s="30"/>
      <c r="CE1476" s="30"/>
      <c r="CF1476" s="30"/>
      <c r="CG1476" s="30"/>
      <c r="CH1476" s="30"/>
      <c r="CI1476" s="30"/>
      <c r="CJ1476" s="30"/>
      <c r="CK1476" s="30"/>
      <c r="CL1476" s="30"/>
      <c r="CM1476" s="30"/>
      <c r="CN1476" s="30"/>
      <c r="CO1476" s="30"/>
      <c r="CP1476" s="30"/>
      <c r="CQ1476" s="30"/>
      <c r="CR1476" s="30"/>
      <c r="CS1476" s="30"/>
      <c r="CT1476" s="30"/>
      <c r="CU1476" s="30"/>
      <c r="CV1476" s="30"/>
      <c r="CW1476" s="30"/>
      <c r="CX1476" s="30"/>
      <c r="CY1476" s="30"/>
      <c r="CZ1476" s="30"/>
      <c r="DA1476" s="30"/>
      <c r="DB1476" s="30"/>
      <c r="DC1476" s="30"/>
      <c r="DD1476" s="30"/>
      <c r="DE1476" s="30"/>
      <c r="DF1476" s="30"/>
      <c r="DG1476" s="30"/>
      <c r="DH1476" s="30"/>
      <c r="DI1476" s="30"/>
      <c r="DJ1476" s="30"/>
      <c r="DK1476" s="30"/>
      <c r="DL1476" s="30"/>
      <c r="DM1476" s="30"/>
      <c r="DN1476" s="30"/>
      <c r="DO1476" s="30"/>
      <c r="DP1476" s="30"/>
      <c r="DQ1476" s="30"/>
      <c r="DR1476" s="30"/>
      <c r="DS1476" s="30"/>
      <c r="DT1476" s="30"/>
      <c r="DU1476" s="30"/>
      <c r="DV1476" s="30"/>
      <c r="DW1476" s="30"/>
      <c r="DX1476" s="30"/>
      <c r="DY1476" s="30"/>
      <c r="DZ1476" s="30"/>
    </row>
    <row r="1477">
      <c r="A1477" s="30"/>
      <c r="B1477" s="42"/>
      <c r="C1477" s="43"/>
      <c r="D1477" s="30"/>
      <c r="E1477" s="28"/>
      <c r="F1477" s="30"/>
      <c r="G1477" s="30"/>
      <c r="H1477" s="30"/>
      <c r="I1477" s="30"/>
      <c r="J1477" s="28"/>
      <c r="K1477" s="30"/>
      <c r="L1477" s="30"/>
      <c r="M1477" s="30"/>
      <c r="N1477" s="30"/>
      <c r="O1477" s="28"/>
      <c r="P1477" s="30"/>
      <c r="Q1477" s="30"/>
      <c r="R1477" s="30"/>
      <c r="S1477" s="36"/>
      <c r="T1477" s="30"/>
      <c r="U1477" s="36"/>
      <c r="V1477" s="30"/>
      <c r="W1477" s="28"/>
      <c r="X1477" s="30"/>
      <c r="Y1477" s="30"/>
      <c r="Z1477" s="30"/>
      <c r="AA1477" s="30"/>
      <c r="AB1477" s="30"/>
      <c r="AC1477" s="28"/>
      <c r="AD1477" s="30"/>
      <c r="AE1477" s="30"/>
      <c r="AF1477" s="30"/>
      <c r="AG1477" s="29"/>
      <c r="AH1477" s="30"/>
      <c r="AI1477" s="36"/>
      <c r="AJ1477" s="30"/>
      <c r="AK1477" s="29"/>
      <c r="AL1477" s="30"/>
      <c r="AM1477" s="30"/>
      <c r="AN1477" s="30"/>
      <c r="AO1477" s="30"/>
      <c r="AP1477" s="30"/>
      <c r="AQ1477" s="38"/>
      <c r="AR1477" s="30"/>
      <c r="AS1477" s="30"/>
      <c r="AT1477" s="29"/>
      <c r="AU1477" s="30"/>
      <c r="AV1477" s="30"/>
      <c r="AW1477" s="30"/>
      <c r="AX1477" s="29"/>
      <c r="AY1477" s="39"/>
      <c r="AZ1477" s="30"/>
      <c r="BA1477" s="30"/>
      <c r="BB1477" s="29"/>
      <c r="BC1477" s="52"/>
      <c r="BD1477" s="30"/>
      <c r="BE1477" s="29"/>
      <c r="BF1477" s="30"/>
      <c r="BG1477" s="30"/>
      <c r="BH1477" s="30"/>
      <c r="BI1477" s="30"/>
      <c r="BJ1477" s="30"/>
      <c r="BK1477" s="30"/>
      <c r="BL1477" s="30"/>
      <c r="BM1477" s="30"/>
      <c r="BN1477" s="30"/>
      <c r="BO1477" s="30"/>
      <c r="BP1477" s="30"/>
      <c r="BQ1477" s="30"/>
      <c r="BR1477" s="30"/>
      <c r="BS1477" s="30"/>
      <c r="BT1477" s="30"/>
      <c r="BU1477" s="30"/>
      <c r="BV1477" s="30"/>
      <c r="BW1477" s="30"/>
      <c r="BX1477" s="30"/>
      <c r="BY1477" s="30"/>
      <c r="BZ1477" s="30"/>
      <c r="CA1477" s="30"/>
      <c r="CB1477" s="30"/>
      <c r="CC1477" s="30"/>
      <c r="CD1477" s="30"/>
      <c r="CE1477" s="30"/>
      <c r="CF1477" s="30"/>
      <c r="CG1477" s="30"/>
      <c r="CH1477" s="30"/>
      <c r="CI1477" s="30"/>
      <c r="CJ1477" s="30"/>
      <c r="CK1477" s="30"/>
      <c r="CL1477" s="30"/>
      <c r="CM1477" s="30"/>
      <c r="CN1477" s="30"/>
      <c r="CO1477" s="30"/>
      <c r="CP1477" s="30"/>
      <c r="CQ1477" s="30"/>
      <c r="CR1477" s="30"/>
      <c r="CS1477" s="30"/>
      <c r="CT1477" s="30"/>
      <c r="CU1477" s="30"/>
      <c r="CV1477" s="30"/>
      <c r="CW1477" s="30"/>
      <c r="CX1477" s="30"/>
      <c r="CY1477" s="30"/>
      <c r="CZ1477" s="30"/>
      <c r="DA1477" s="30"/>
      <c r="DB1477" s="30"/>
      <c r="DC1477" s="30"/>
      <c r="DD1477" s="30"/>
      <c r="DE1477" s="30"/>
      <c r="DF1477" s="30"/>
      <c r="DG1477" s="30"/>
      <c r="DH1477" s="30"/>
      <c r="DI1477" s="30"/>
      <c r="DJ1477" s="30"/>
      <c r="DK1477" s="30"/>
      <c r="DL1477" s="30"/>
      <c r="DM1477" s="30"/>
      <c r="DN1477" s="30"/>
      <c r="DO1477" s="30"/>
      <c r="DP1477" s="30"/>
      <c r="DQ1477" s="30"/>
      <c r="DR1477" s="30"/>
      <c r="DS1477" s="30"/>
      <c r="DT1477" s="30"/>
      <c r="DU1477" s="30"/>
      <c r="DV1477" s="30"/>
      <c r="DW1477" s="30"/>
      <c r="DX1477" s="30"/>
      <c r="DY1477" s="30"/>
      <c r="DZ1477" s="30"/>
    </row>
    <row r="1478">
      <c r="A1478" s="30"/>
      <c r="B1478" s="42"/>
      <c r="C1478" s="43"/>
      <c r="D1478" s="30"/>
      <c r="E1478" s="28"/>
      <c r="F1478" s="30"/>
      <c r="G1478" s="30"/>
      <c r="H1478" s="30"/>
      <c r="I1478" s="30"/>
      <c r="J1478" s="28"/>
      <c r="K1478" s="30"/>
      <c r="L1478" s="30"/>
      <c r="M1478" s="30"/>
      <c r="N1478" s="30"/>
      <c r="O1478" s="28"/>
      <c r="P1478" s="30"/>
      <c r="Q1478" s="30"/>
      <c r="R1478" s="30"/>
      <c r="S1478" s="36"/>
      <c r="T1478" s="30"/>
      <c r="U1478" s="36"/>
      <c r="V1478" s="30"/>
      <c r="W1478" s="28"/>
      <c r="X1478" s="30"/>
      <c r="Y1478" s="30"/>
      <c r="Z1478" s="30"/>
      <c r="AA1478" s="30"/>
      <c r="AB1478" s="30"/>
      <c r="AC1478" s="28"/>
      <c r="AD1478" s="30"/>
      <c r="AE1478" s="30"/>
      <c r="AF1478" s="30"/>
      <c r="AG1478" s="29"/>
      <c r="AH1478" s="30"/>
      <c r="AI1478" s="36"/>
      <c r="AJ1478" s="30"/>
      <c r="AK1478" s="29"/>
      <c r="AL1478" s="30"/>
      <c r="AM1478" s="30"/>
      <c r="AN1478" s="30"/>
      <c r="AO1478" s="30"/>
      <c r="AP1478" s="30"/>
      <c r="AQ1478" s="38"/>
      <c r="AR1478" s="30"/>
      <c r="AS1478" s="30"/>
      <c r="AT1478" s="29"/>
      <c r="AU1478" s="30"/>
      <c r="AV1478" s="30"/>
      <c r="AW1478" s="30"/>
      <c r="AX1478" s="29"/>
      <c r="AY1478" s="39"/>
      <c r="AZ1478" s="30"/>
      <c r="BA1478" s="30"/>
      <c r="BB1478" s="29"/>
      <c r="BC1478" s="52"/>
      <c r="BD1478" s="30"/>
      <c r="BE1478" s="29"/>
      <c r="BF1478" s="30"/>
      <c r="BG1478" s="30"/>
      <c r="BH1478" s="30"/>
      <c r="BI1478" s="30"/>
      <c r="BJ1478" s="30"/>
      <c r="BK1478" s="30"/>
      <c r="BL1478" s="30"/>
      <c r="BM1478" s="30"/>
      <c r="BN1478" s="30"/>
      <c r="BO1478" s="30"/>
      <c r="BP1478" s="30"/>
      <c r="BQ1478" s="30"/>
      <c r="BR1478" s="30"/>
      <c r="BS1478" s="30"/>
      <c r="BT1478" s="30"/>
      <c r="BU1478" s="30"/>
      <c r="BV1478" s="30"/>
      <c r="BW1478" s="30"/>
      <c r="BX1478" s="30"/>
      <c r="BY1478" s="30"/>
      <c r="BZ1478" s="30"/>
      <c r="CA1478" s="30"/>
      <c r="CB1478" s="30"/>
      <c r="CC1478" s="30"/>
      <c r="CD1478" s="30"/>
      <c r="CE1478" s="30"/>
      <c r="CF1478" s="30"/>
      <c r="CG1478" s="30"/>
      <c r="CH1478" s="30"/>
      <c r="CI1478" s="30"/>
      <c r="CJ1478" s="30"/>
      <c r="CK1478" s="30"/>
      <c r="CL1478" s="30"/>
      <c r="CM1478" s="30"/>
      <c r="CN1478" s="30"/>
      <c r="CO1478" s="30"/>
      <c r="CP1478" s="30"/>
      <c r="CQ1478" s="30"/>
      <c r="CR1478" s="30"/>
      <c r="CS1478" s="30"/>
      <c r="CT1478" s="30"/>
      <c r="CU1478" s="30"/>
      <c r="CV1478" s="30"/>
      <c r="CW1478" s="30"/>
      <c r="CX1478" s="30"/>
      <c r="CY1478" s="30"/>
      <c r="CZ1478" s="30"/>
      <c r="DA1478" s="30"/>
      <c r="DB1478" s="30"/>
      <c r="DC1478" s="30"/>
      <c r="DD1478" s="30"/>
      <c r="DE1478" s="30"/>
      <c r="DF1478" s="30"/>
      <c r="DG1478" s="30"/>
      <c r="DH1478" s="30"/>
      <c r="DI1478" s="30"/>
      <c r="DJ1478" s="30"/>
      <c r="DK1478" s="30"/>
      <c r="DL1478" s="30"/>
      <c r="DM1478" s="30"/>
      <c r="DN1478" s="30"/>
      <c r="DO1478" s="30"/>
      <c r="DP1478" s="30"/>
      <c r="DQ1478" s="30"/>
      <c r="DR1478" s="30"/>
      <c r="DS1478" s="30"/>
      <c r="DT1478" s="30"/>
      <c r="DU1478" s="30"/>
      <c r="DV1478" s="30"/>
      <c r="DW1478" s="30"/>
      <c r="DX1478" s="30"/>
      <c r="DY1478" s="30"/>
      <c r="DZ1478" s="30"/>
    </row>
    <row r="1479">
      <c r="A1479" s="30"/>
      <c r="B1479" s="42"/>
      <c r="C1479" s="43"/>
      <c r="D1479" s="30"/>
      <c r="E1479" s="28"/>
      <c r="F1479" s="30"/>
      <c r="G1479" s="30"/>
      <c r="H1479" s="30"/>
      <c r="I1479" s="30"/>
      <c r="J1479" s="28"/>
      <c r="K1479" s="30"/>
      <c r="L1479" s="30"/>
      <c r="M1479" s="30"/>
      <c r="N1479" s="30"/>
      <c r="O1479" s="28"/>
      <c r="P1479" s="30"/>
      <c r="Q1479" s="30"/>
      <c r="R1479" s="30"/>
      <c r="S1479" s="36"/>
      <c r="T1479" s="30"/>
      <c r="U1479" s="36"/>
      <c r="V1479" s="30"/>
      <c r="W1479" s="28"/>
      <c r="X1479" s="30"/>
      <c r="Y1479" s="30"/>
      <c r="Z1479" s="30"/>
      <c r="AA1479" s="30"/>
      <c r="AB1479" s="30"/>
      <c r="AC1479" s="28"/>
      <c r="AD1479" s="30"/>
      <c r="AE1479" s="30"/>
      <c r="AF1479" s="30"/>
      <c r="AG1479" s="29"/>
      <c r="AH1479" s="30"/>
      <c r="AI1479" s="36"/>
      <c r="AJ1479" s="30"/>
      <c r="AK1479" s="29"/>
      <c r="AL1479" s="30"/>
      <c r="AM1479" s="30"/>
      <c r="AN1479" s="30"/>
      <c r="AO1479" s="30"/>
      <c r="AP1479" s="30"/>
      <c r="AQ1479" s="38"/>
      <c r="AR1479" s="30"/>
      <c r="AS1479" s="30"/>
      <c r="AT1479" s="29"/>
      <c r="AU1479" s="30"/>
      <c r="AV1479" s="30"/>
      <c r="AW1479" s="30"/>
      <c r="AX1479" s="29"/>
      <c r="AY1479" s="39"/>
      <c r="AZ1479" s="30"/>
      <c r="BA1479" s="30"/>
      <c r="BB1479" s="29"/>
      <c r="BC1479" s="52"/>
      <c r="BD1479" s="30"/>
      <c r="BE1479" s="29"/>
      <c r="BF1479" s="30"/>
      <c r="BG1479" s="30"/>
      <c r="BH1479" s="30"/>
      <c r="BI1479" s="30"/>
      <c r="BJ1479" s="30"/>
      <c r="BK1479" s="30"/>
      <c r="BL1479" s="30"/>
      <c r="BM1479" s="30"/>
      <c r="BN1479" s="30"/>
      <c r="BO1479" s="30"/>
      <c r="BP1479" s="30"/>
      <c r="BQ1479" s="30"/>
      <c r="BR1479" s="30"/>
      <c r="BS1479" s="30"/>
      <c r="BT1479" s="30"/>
      <c r="BU1479" s="30"/>
      <c r="BV1479" s="30"/>
      <c r="BW1479" s="30"/>
      <c r="BX1479" s="30"/>
      <c r="BY1479" s="30"/>
      <c r="BZ1479" s="30"/>
      <c r="CA1479" s="30"/>
      <c r="CB1479" s="30"/>
      <c r="CC1479" s="30"/>
      <c r="CD1479" s="30"/>
      <c r="CE1479" s="30"/>
      <c r="CF1479" s="30"/>
      <c r="CG1479" s="30"/>
      <c r="CH1479" s="30"/>
      <c r="CI1479" s="30"/>
      <c r="CJ1479" s="30"/>
      <c r="CK1479" s="30"/>
      <c r="CL1479" s="30"/>
      <c r="CM1479" s="30"/>
      <c r="CN1479" s="30"/>
      <c r="CO1479" s="30"/>
      <c r="CP1479" s="30"/>
      <c r="CQ1479" s="30"/>
      <c r="CR1479" s="30"/>
      <c r="CS1479" s="30"/>
      <c r="CT1479" s="30"/>
      <c r="CU1479" s="30"/>
      <c r="CV1479" s="30"/>
      <c r="CW1479" s="30"/>
      <c r="CX1479" s="30"/>
      <c r="CY1479" s="30"/>
      <c r="CZ1479" s="30"/>
      <c r="DA1479" s="30"/>
      <c r="DB1479" s="30"/>
      <c r="DC1479" s="30"/>
      <c r="DD1479" s="30"/>
      <c r="DE1479" s="30"/>
      <c r="DF1479" s="30"/>
      <c r="DG1479" s="30"/>
      <c r="DH1479" s="30"/>
      <c r="DI1479" s="30"/>
      <c r="DJ1479" s="30"/>
      <c r="DK1479" s="30"/>
      <c r="DL1479" s="30"/>
      <c r="DM1479" s="30"/>
      <c r="DN1479" s="30"/>
      <c r="DO1479" s="30"/>
      <c r="DP1479" s="30"/>
      <c r="DQ1479" s="30"/>
      <c r="DR1479" s="30"/>
      <c r="DS1479" s="30"/>
      <c r="DT1479" s="30"/>
      <c r="DU1479" s="30"/>
      <c r="DV1479" s="30"/>
      <c r="DW1479" s="30"/>
      <c r="DX1479" s="30"/>
      <c r="DY1479" s="30"/>
      <c r="DZ1479" s="30"/>
    </row>
    <row r="1480">
      <c r="A1480" s="30"/>
      <c r="B1480" s="42"/>
      <c r="C1480" s="43"/>
      <c r="D1480" s="30"/>
      <c r="E1480" s="28"/>
      <c r="F1480" s="30"/>
      <c r="G1480" s="30"/>
      <c r="H1480" s="30"/>
      <c r="I1480" s="30"/>
      <c r="J1480" s="28"/>
      <c r="K1480" s="30"/>
      <c r="L1480" s="30"/>
      <c r="M1480" s="30"/>
      <c r="N1480" s="30"/>
      <c r="O1480" s="28"/>
      <c r="P1480" s="30"/>
      <c r="Q1480" s="30"/>
      <c r="R1480" s="30"/>
      <c r="S1480" s="36"/>
      <c r="T1480" s="30"/>
      <c r="U1480" s="36"/>
      <c r="V1480" s="30"/>
      <c r="W1480" s="28"/>
      <c r="X1480" s="30"/>
      <c r="Y1480" s="30"/>
      <c r="Z1480" s="30"/>
      <c r="AA1480" s="30"/>
      <c r="AB1480" s="30"/>
      <c r="AC1480" s="28"/>
      <c r="AD1480" s="30"/>
      <c r="AE1480" s="30"/>
      <c r="AF1480" s="30"/>
      <c r="AG1480" s="29"/>
      <c r="AH1480" s="30"/>
      <c r="AI1480" s="36"/>
      <c r="AJ1480" s="30"/>
      <c r="AK1480" s="29"/>
      <c r="AL1480" s="30"/>
      <c r="AM1480" s="30"/>
      <c r="AN1480" s="30"/>
      <c r="AO1480" s="30"/>
      <c r="AP1480" s="30"/>
      <c r="AQ1480" s="38"/>
      <c r="AR1480" s="30"/>
      <c r="AS1480" s="30"/>
      <c r="AT1480" s="29"/>
      <c r="AU1480" s="30"/>
      <c r="AV1480" s="30"/>
      <c r="AW1480" s="30"/>
      <c r="AX1480" s="29"/>
      <c r="AY1480" s="39"/>
      <c r="AZ1480" s="30"/>
      <c r="BA1480" s="30"/>
      <c r="BB1480" s="29"/>
      <c r="BC1480" s="52"/>
      <c r="BD1480" s="30"/>
      <c r="BE1480" s="29"/>
      <c r="BF1480" s="30"/>
      <c r="BG1480" s="30"/>
      <c r="BH1480" s="30"/>
      <c r="BI1480" s="30"/>
      <c r="BJ1480" s="30"/>
      <c r="BK1480" s="30"/>
      <c r="BL1480" s="30"/>
      <c r="BM1480" s="30"/>
      <c r="BN1480" s="30"/>
      <c r="BO1480" s="30"/>
      <c r="BP1480" s="30"/>
      <c r="BQ1480" s="30"/>
      <c r="BR1480" s="30"/>
      <c r="BS1480" s="30"/>
      <c r="BT1480" s="30"/>
      <c r="BU1480" s="30"/>
      <c r="BV1480" s="30"/>
      <c r="BW1480" s="30"/>
      <c r="BX1480" s="30"/>
      <c r="BY1480" s="30"/>
      <c r="BZ1480" s="30"/>
      <c r="CA1480" s="30"/>
      <c r="CB1480" s="30"/>
      <c r="CC1480" s="30"/>
      <c r="CD1480" s="30"/>
      <c r="CE1480" s="30"/>
      <c r="CF1480" s="30"/>
      <c r="CG1480" s="30"/>
      <c r="CH1480" s="30"/>
      <c r="CI1480" s="30"/>
      <c r="CJ1480" s="30"/>
      <c r="CK1480" s="30"/>
      <c r="CL1480" s="30"/>
      <c r="CM1480" s="30"/>
      <c r="CN1480" s="30"/>
      <c r="CO1480" s="30"/>
      <c r="CP1480" s="30"/>
      <c r="CQ1480" s="30"/>
      <c r="CR1480" s="30"/>
      <c r="CS1480" s="30"/>
      <c r="CT1480" s="30"/>
      <c r="CU1480" s="30"/>
      <c r="CV1480" s="30"/>
      <c r="CW1480" s="30"/>
      <c r="CX1480" s="30"/>
      <c r="CY1480" s="30"/>
      <c r="CZ1480" s="30"/>
      <c r="DA1480" s="30"/>
      <c r="DB1480" s="30"/>
      <c r="DC1480" s="30"/>
      <c r="DD1480" s="30"/>
      <c r="DE1480" s="30"/>
      <c r="DF1480" s="30"/>
      <c r="DG1480" s="30"/>
      <c r="DH1480" s="30"/>
      <c r="DI1480" s="30"/>
      <c r="DJ1480" s="30"/>
      <c r="DK1480" s="30"/>
      <c r="DL1480" s="30"/>
      <c r="DM1480" s="30"/>
      <c r="DN1480" s="30"/>
      <c r="DO1480" s="30"/>
      <c r="DP1480" s="30"/>
      <c r="DQ1480" s="30"/>
      <c r="DR1480" s="30"/>
      <c r="DS1480" s="30"/>
      <c r="DT1480" s="30"/>
      <c r="DU1480" s="30"/>
      <c r="DV1480" s="30"/>
      <c r="DW1480" s="30"/>
      <c r="DX1480" s="30"/>
      <c r="DY1480" s="30"/>
      <c r="DZ1480" s="30"/>
    </row>
    <row r="1481">
      <c r="A1481" s="30"/>
      <c r="B1481" s="42"/>
      <c r="C1481" s="43"/>
      <c r="D1481" s="30"/>
      <c r="E1481" s="28"/>
      <c r="F1481" s="30"/>
      <c r="G1481" s="30"/>
      <c r="H1481" s="30"/>
      <c r="I1481" s="30"/>
      <c r="J1481" s="28"/>
      <c r="K1481" s="30"/>
      <c r="L1481" s="30"/>
      <c r="M1481" s="30"/>
      <c r="N1481" s="30"/>
      <c r="O1481" s="28"/>
      <c r="P1481" s="30"/>
      <c r="Q1481" s="30"/>
      <c r="R1481" s="30"/>
      <c r="S1481" s="36"/>
      <c r="T1481" s="30"/>
      <c r="U1481" s="36"/>
      <c r="V1481" s="30"/>
      <c r="W1481" s="28"/>
      <c r="X1481" s="30"/>
      <c r="Y1481" s="30"/>
      <c r="Z1481" s="30"/>
      <c r="AA1481" s="30"/>
      <c r="AB1481" s="30"/>
      <c r="AC1481" s="28"/>
      <c r="AD1481" s="30"/>
      <c r="AE1481" s="30"/>
      <c r="AF1481" s="30"/>
      <c r="AG1481" s="29"/>
      <c r="AH1481" s="30"/>
      <c r="AI1481" s="36"/>
      <c r="AJ1481" s="30"/>
      <c r="AK1481" s="29"/>
      <c r="AL1481" s="30"/>
      <c r="AM1481" s="30"/>
      <c r="AN1481" s="30"/>
      <c r="AO1481" s="30"/>
      <c r="AP1481" s="30"/>
      <c r="AQ1481" s="38"/>
      <c r="AR1481" s="30"/>
      <c r="AS1481" s="30"/>
      <c r="AT1481" s="29"/>
      <c r="AU1481" s="30"/>
      <c r="AV1481" s="30"/>
      <c r="AW1481" s="30"/>
      <c r="AX1481" s="29"/>
      <c r="AY1481" s="39"/>
      <c r="AZ1481" s="30"/>
      <c r="BA1481" s="30"/>
      <c r="BB1481" s="29"/>
      <c r="BC1481" s="52"/>
      <c r="BD1481" s="30"/>
      <c r="BE1481" s="29"/>
      <c r="BF1481" s="30"/>
      <c r="BG1481" s="30"/>
      <c r="BH1481" s="30"/>
      <c r="BI1481" s="30"/>
      <c r="BJ1481" s="30"/>
      <c r="BK1481" s="30"/>
      <c r="BL1481" s="30"/>
      <c r="BM1481" s="30"/>
      <c r="BN1481" s="30"/>
      <c r="BO1481" s="30"/>
      <c r="BP1481" s="30"/>
      <c r="BQ1481" s="30"/>
      <c r="BR1481" s="30"/>
      <c r="BS1481" s="30"/>
      <c r="BT1481" s="30"/>
      <c r="BU1481" s="30"/>
      <c r="BV1481" s="30"/>
      <c r="BW1481" s="30"/>
      <c r="BX1481" s="30"/>
      <c r="BY1481" s="30"/>
      <c r="BZ1481" s="30"/>
      <c r="CA1481" s="30"/>
      <c r="CB1481" s="30"/>
      <c r="CC1481" s="30"/>
      <c r="CD1481" s="30"/>
      <c r="CE1481" s="30"/>
      <c r="CF1481" s="30"/>
      <c r="CG1481" s="30"/>
      <c r="CH1481" s="30"/>
      <c r="CI1481" s="30"/>
      <c r="CJ1481" s="30"/>
      <c r="CK1481" s="30"/>
      <c r="CL1481" s="30"/>
      <c r="CM1481" s="30"/>
      <c r="CN1481" s="30"/>
      <c r="CO1481" s="30"/>
      <c r="CP1481" s="30"/>
      <c r="CQ1481" s="30"/>
      <c r="CR1481" s="30"/>
      <c r="CS1481" s="30"/>
      <c r="CT1481" s="30"/>
      <c r="CU1481" s="30"/>
      <c r="CV1481" s="30"/>
      <c r="CW1481" s="30"/>
      <c r="CX1481" s="30"/>
      <c r="CY1481" s="30"/>
      <c r="CZ1481" s="30"/>
      <c r="DA1481" s="30"/>
      <c r="DB1481" s="30"/>
      <c r="DC1481" s="30"/>
      <c r="DD1481" s="30"/>
      <c r="DE1481" s="30"/>
      <c r="DF1481" s="30"/>
      <c r="DG1481" s="30"/>
      <c r="DH1481" s="30"/>
      <c r="DI1481" s="30"/>
      <c r="DJ1481" s="30"/>
      <c r="DK1481" s="30"/>
      <c r="DL1481" s="30"/>
      <c r="DM1481" s="30"/>
      <c r="DN1481" s="30"/>
      <c r="DO1481" s="30"/>
      <c r="DP1481" s="30"/>
      <c r="DQ1481" s="30"/>
      <c r="DR1481" s="30"/>
      <c r="DS1481" s="30"/>
      <c r="DT1481" s="30"/>
      <c r="DU1481" s="30"/>
      <c r="DV1481" s="30"/>
      <c r="DW1481" s="30"/>
      <c r="DX1481" s="30"/>
      <c r="DY1481" s="30"/>
      <c r="DZ1481" s="30"/>
    </row>
    <row r="1482">
      <c r="A1482" s="30"/>
      <c r="B1482" s="42"/>
      <c r="C1482" s="43"/>
      <c r="D1482" s="30"/>
      <c r="E1482" s="28"/>
      <c r="F1482" s="30"/>
      <c r="G1482" s="30"/>
      <c r="H1482" s="30"/>
      <c r="I1482" s="30"/>
      <c r="J1482" s="28"/>
      <c r="K1482" s="30"/>
      <c r="L1482" s="30"/>
      <c r="M1482" s="30"/>
      <c r="N1482" s="30"/>
      <c r="O1482" s="28"/>
      <c r="P1482" s="30"/>
      <c r="Q1482" s="30"/>
      <c r="R1482" s="30"/>
      <c r="S1482" s="36"/>
      <c r="T1482" s="30"/>
      <c r="U1482" s="36"/>
      <c r="V1482" s="30"/>
      <c r="W1482" s="28"/>
      <c r="X1482" s="30"/>
      <c r="Y1482" s="30"/>
      <c r="Z1482" s="30"/>
      <c r="AA1482" s="30"/>
      <c r="AB1482" s="30"/>
      <c r="AC1482" s="28"/>
      <c r="AD1482" s="30"/>
      <c r="AE1482" s="30"/>
      <c r="AF1482" s="30"/>
      <c r="AG1482" s="29"/>
      <c r="AH1482" s="30"/>
      <c r="AI1482" s="36"/>
      <c r="AJ1482" s="30"/>
      <c r="AK1482" s="29"/>
      <c r="AL1482" s="30"/>
      <c r="AM1482" s="30"/>
      <c r="AN1482" s="30"/>
      <c r="AO1482" s="30"/>
      <c r="AP1482" s="30"/>
      <c r="AQ1482" s="38"/>
      <c r="AR1482" s="30"/>
      <c r="AS1482" s="30"/>
      <c r="AT1482" s="29"/>
      <c r="AU1482" s="30"/>
      <c r="AV1482" s="30"/>
      <c r="AW1482" s="30"/>
      <c r="AX1482" s="29"/>
      <c r="AY1482" s="39"/>
      <c r="AZ1482" s="30"/>
      <c r="BA1482" s="30"/>
      <c r="BB1482" s="29"/>
      <c r="BC1482" s="52"/>
      <c r="BD1482" s="30"/>
      <c r="BE1482" s="29"/>
      <c r="BF1482" s="30"/>
      <c r="BG1482" s="30"/>
      <c r="BH1482" s="30"/>
      <c r="BI1482" s="30"/>
      <c r="BJ1482" s="30"/>
      <c r="BK1482" s="30"/>
      <c r="BL1482" s="30"/>
      <c r="BM1482" s="30"/>
      <c r="BN1482" s="30"/>
      <c r="BO1482" s="30"/>
      <c r="BP1482" s="30"/>
      <c r="BQ1482" s="30"/>
      <c r="BR1482" s="30"/>
      <c r="BS1482" s="30"/>
      <c r="BT1482" s="30"/>
      <c r="BU1482" s="30"/>
      <c r="BV1482" s="30"/>
      <c r="BW1482" s="30"/>
      <c r="BX1482" s="30"/>
      <c r="BY1482" s="30"/>
      <c r="BZ1482" s="30"/>
      <c r="CA1482" s="30"/>
      <c r="CB1482" s="30"/>
      <c r="CC1482" s="30"/>
      <c r="CD1482" s="30"/>
      <c r="CE1482" s="30"/>
      <c r="CF1482" s="30"/>
      <c r="CG1482" s="30"/>
      <c r="CH1482" s="30"/>
      <c r="CI1482" s="30"/>
      <c r="CJ1482" s="30"/>
      <c r="CK1482" s="30"/>
      <c r="CL1482" s="30"/>
      <c r="CM1482" s="30"/>
      <c r="CN1482" s="30"/>
      <c r="CO1482" s="30"/>
      <c r="CP1482" s="30"/>
      <c r="CQ1482" s="30"/>
      <c r="CR1482" s="30"/>
      <c r="CS1482" s="30"/>
      <c r="CT1482" s="30"/>
      <c r="CU1482" s="30"/>
      <c r="CV1482" s="30"/>
      <c r="CW1482" s="30"/>
      <c r="CX1482" s="30"/>
      <c r="CY1482" s="30"/>
      <c r="CZ1482" s="30"/>
      <c r="DA1482" s="30"/>
      <c r="DB1482" s="30"/>
      <c r="DC1482" s="30"/>
      <c r="DD1482" s="30"/>
      <c r="DE1482" s="30"/>
      <c r="DF1482" s="30"/>
      <c r="DG1482" s="30"/>
      <c r="DH1482" s="30"/>
      <c r="DI1482" s="30"/>
      <c r="DJ1482" s="30"/>
      <c r="DK1482" s="30"/>
      <c r="DL1482" s="30"/>
      <c r="DM1482" s="30"/>
      <c r="DN1482" s="30"/>
      <c r="DO1482" s="30"/>
      <c r="DP1482" s="30"/>
      <c r="DQ1482" s="30"/>
      <c r="DR1482" s="30"/>
      <c r="DS1482" s="30"/>
      <c r="DT1482" s="30"/>
      <c r="DU1482" s="30"/>
      <c r="DV1482" s="30"/>
      <c r="DW1482" s="30"/>
      <c r="DX1482" s="30"/>
      <c r="DY1482" s="30"/>
      <c r="DZ1482" s="30"/>
    </row>
    <row r="1483">
      <c r="A1483" s="30"/>
      <c r="B1483" s="42"/>
      <c r="C1483" s="43"/>
      <c r="D1483" s="30"/>
      <c r="E1483" s="28"/>
      <c r="F1483" s="30"/>
      <c r="G1483" s="30"/>
      <c r="H1483" s="30"/>
      <c r="I1483" s="30"/>
      <c r="J1483" s="28"/>
      <c r="K1483" s="30"/>
      <c r="L1483" s="30"/>
      <c r="M1483" s="30"/>
      <c r="N1483" s="30"/>
      <c r="O1483" s="28"/>
      <c r="P1483" s="30"/>
      <c r="Q1483" s="30"/>
      <c r="R1483" s="30"/>
      <c r="S1483" s="36"/>
      <c r="T1483" s="30"/>
      <c r="U1483" s="36"/>
      <c r="V1483" s="30"/>
      <c r="W1483" s="28"/>
      <c r="X1483" s="30"/>
      <c r="Y1483" s="30"/>
      <c r="Z1483" s="30"/>
      <c r="AA1483" s="30"/>
      <c r="AB1483" s="30"/>
      <c r="AC1483" s="28"/>
      <c r="AD1483" s="30"/>
      <c r="AE1483" s="30"/>
      <c r="AF1483" s="30"/>
      <c r="AG1483" s="29"/>
      <c r="AH1483" s="30"/>
      <c r="AI1483" s="36"/>
      <c r="AJ1483" s="30"/>
      <c r="AK1483" s="29"/>
      <c r="AL1483" s="30"/>
      <c r="AM1483" s="30"/>
      <c r="AN1483" s="30"/>
      <c r="AO1483" s="30"/>
      <c r="AP1483" s="30"/>
      <c r="AQ1483" s="38"/>
      <c r="AR1483" s="30"/>
      <c r="AS1483" s="30"/>
      <c r="AT1483" s="29"/>
      <c r="AU1483" s="30"/>
      <c r="AV1483" s="30"/>
      <c r="AW1483" s="30"/>
      <c r="AX1483" s="29"/>
      <c r="AY1483" s="39"/>
      <c r="AZ1483" s="30"/>
      <c r="BA1483" s="30"/>
      <c r="BB1483" s="29"/>
      <c r="BC1483" s="52"/>
      <c r="BD1483" s="30"/>
      <c r="BE1483" s="29"/>
      <c r="BF1483" s="30"/>
      <c r="BG1483" s="30"/>
      <c r="BH1483" s="30"/>
      <c r="BI1483" s="30"/>
      <c r="BJ1483" s="30"/>
      <c r="BK1483" s="30"/>
      <c r="BL1483" s="30"/>
      <c r="BM1483" s="30"/>
      <c r="BN1483" s="30"/>
      <c r="BO1483" s="30"/>
      <c r="BP1483" s="30"/>
      <c r="BQ1483" s="30"/>
      <c r="BR1483" s="30"/>
      <c r="BS1483" s="30"/>
      <c r="BT1483" s="30"/>
      <c r="BU1483" s="30"/>
      <c r="BV1483" s="30"/>
      <c r="BW1483" s="30"/>
      <c r="BX1483" s="30"/>
      <c r="BY1483" s="30"/>
      <c r="BZ1483" s="30"/>
      <c r="CA1483" s="30"/>
      <c r="CB1483" s="30"/>
      <c r="CC1483" s="30"/>
      <c r="CD1483" s="30"/>
      <c r="CE1483" s="30"/>
      <c r="CF1483" s="30"/>
      <c r="CG1483" s="30"/>
      <c r="CH1483" s="30"/>
      <c r="CI1483" s="30"/>
      <c r="CJ1483" s="30"/>
      <c r="CK1483" s="30"/>
      <c r="CL1483" s="30"/>
      <c r="CM1483" s="30"/>
      <c r="CN1483" s="30"/>
      <c r="CO1483" s="30"/>
      <c r="CP1483" s="30"/>
      <c r="CQ1483" s="30"/>
      <c r="CR1483" s="30"/>
      <c r="CS1483" s="30"/>
      <c r="CT1483" s="30"/>
      <c r="CU1483" s="30"/>
      <c r="CV1483" s="30"/>
      <c r="CW1483" s="30"/>
      <c r="CX1483" s="30"/>
      <c r="CY1483" s="30"/>
      <c r="CZ1483" s="30"/>
      <c r="DA1483" s="30"/>
      <c r="DB1483" s="30"/>
      <c r="DC1483" s="30"/>
      <c r="DD1483" s="30"/>
      <c r="DE1483" s="30"/>
      <c r="DF1483" s="30"/>
      <c r="DG1483" s="30"/>
      <c r="DH1483" s="30"/>
      <c r="DI1483" s="30"/>
      <c r="DJ1483" s="30"/>
      <c r="DK1483" s="30"/>
      <c r="DL1483" s="30"/>
      <c r="DM1483" s="30"/>
      <c r="DN1483" s="30"/>
      <c r="DO1483" s="30"/>
      <c r="DP1483" s="30"/>
      <c r="DQ1483" s="30"/>
      <c r="DR1483" s="30"/>
      <c r="DS1483" s="30"/>
      <c r="DT1483" s="30"/>
      <c r="DU1483" s="30"/>
      <c r="DV1483" s="30"/>
      <c r="DW1483" s="30"/>
      <c r="DX1483" s="30"/>
      <c r="DY1483" s="30"/>
      <c r="DZ1483" s="30"/>
    </row>
    <row r="1484">
      <c r="A1484" s="30"/>
      <c r="B1484" s="42"/>
      <c r="C1484" s="43"/>
      <c r="D1484" s="30"/>
      <c r="E1484" s="28"/>
      <c r="F1484" s="30"/>
      <c r="G1484" s="30"/>
      <c r="H1484" s="30"/>
      <c r="I1484" s="30"/>
      <c r="J1484" s="28"/>
      <c r="K1484" s="30"/>
      <c r="L1484" s="30"/>
      <c r="M1484" s="30"/>
      <c r="N1484" s="30"/>
      <c r="O1484" s="28"/>
      <c r="P1484" s="30"/>
      <c r="Q1484" s="30"/>
      <c r="R1484" s="30"/>
      <c r="S1484" s="36"/>
      <c r="T1484" s="30"/>
      <c r="U1484" s="36"/>
      <c r="V1484" s="30"/>
      <c r="W1484" s="28"/>
      <c r="X1484" s="30"/>
      <c r="Y1484" s="30"/>
      <c r="Z1484" s="30"/>
      <c r="AA1484" s="30"/>
      <c r="AB1484" s="30"/>
      <c r="AC1484" s="28"/>
      <c r="AD1484" s="30"/>
      <c r="AE1484" s="30"/>
      <c r="AF1484" s="30"/>
      <c r="AG1484" s="29"/>
      <c r="AH1484" s="30"/>
      <c r="AI1484" s="36"/>
      <c r="AJ1484" s="30"/>
      <c r="AK1484" s="29"/>
      <c r="AL1484" s="30"/>
      <c r="AM1484" s="30"/>
      <c r="AN1484" s="30"/>
      <c r="AO1484" s="30"/>
      <c r="AP1484" s="30"/>
      <c r="AQ1484" s="38"/>
      <c r="AR1484" s="30"/>
      <c r="AS1484" s="30"/>
      <c r="AT1484" s="29"/>
      <c r="AU1484" s="30"/>
      <c r="AV1484" s="30"/>
      <c r="AW1484" s="30"/>
      <c r="AX1484" s="29"/>
      <c r="AY1484" s="39"/>
      <c r="AZ1484" s="30"/>
      <c r="BA1484" s="30"/>
      <c r="BB1484" s="29"/>
      <c r="BC1484" s="52"/>
      <c r="BD1484" s="30"/>
      <c r="BE1484" s="29"/>
      <c r="BF1484" s="30"/>
      <c r="BG1484" s="30"/>
      <c r="BH1484" s="30"/>
      <c r="BI1484" s="30"/>
      <c r="BJ1484" s="30"/>
      <c r="BK1484" s="30"/>
      <c r="BL1484" s="30"/>
      <c r="BM1484" s="30"/>
      <c r="BN1484" s="30"/>
      <c r="BO1484" s="30"/>
      <c r="BP1484" s="30"/>
      <c r="BQ1484" s="30"/>
      <c r="BR1484" s="30"/>
      <c r="BS1484" s="30"/>
      <c r="BT1484" s="30"/>
      <c r="BU1484" s="30"/>
      <c r="BV1484" s="30"/>
      <c r="BW1484" s="30"/>
      <c r="BX1484" s="30"/>
      <c r="BY1484" s="30"/>
      <c r="BZ1484" s="30"/>
      <c r="CA1484" s="30"/>
      <c r="CB1484" s="30"/>
      <c r="CC1484" s="30"/>
      <c r="CD1484" s="30"/>
      <c r="CE1484" s="30"/>
      <c r="CF1484" s="30"/>
      <c r="CG1484" s="30"/>
      <c r="CH1484" s="30"/>
      <c r="CI1484" s="30"/>
      <c r="CJ1484" s="30"/>
      <c r="CK1484" s="30"/>
      <c r="CL1484" s="30"/>
      <c r="CM1484" s="30"/>
      <c r="CN1484" s="30"/>
      <c r="CO1484" s="30"/>
      <c r="CP1484" s="30"/>
      <c r="CQ1484" s="30"/>
      <c r="CR1484" s="30"/>
      <c r="CS1484" s="30"/>
      <c r="CT1484" s="30"/>
      <c r="CU1484" s="30"/>
      <c r="CV1484" s="30"/>
      <c r="CW1484" s="30"/>
      <c r="CX1484" s="30"/>
      <c r="CY1484" s="30"/>
      <c r="CZ1484" s="30"/>
      <c r="DA1484" s="30"/>
      <c r="DB1484" s="30"/>
      <c r="DC1484" s="30"/>
      <c r="DD1484" s="30"/>
      <c r="DE1484" s="30"/>
      <c r="DF1484" s="30"/>
      <c r="DG1484" s="30"/>
      <c r="DH1484" s="30"/>
      <c r="DI1484" s="30"/>
      <c r="DJ1484" s="30"/>
      <c r="DK1484" s="30"/>
      <c r="DL1484" s="30"/>
      <c r="DM1484" s="30"/>
      <c r="DN1484" s="30"/>
      <c r="DO1484" s="30"/>
      <c r="DP1484" s="30"/>
      <c r="DQ1484" s="30"/>
      <c r="DR1484" s="30"/>
      <c r="DS1484" s="30"/>
      <c r="DT1484" s="30"/>
      <c r="DU1484" s="30"/>
      <c r="DV1484" s="30"/>
      <c r="DW1484" s="30"/>
      <c r="DX1484" s="30"/>
      <c r="DY1484" s="30"/>
      <c r="DZ1484" s="30"/>
    </row>
    <row r="1485">
      <c r="A1485" s="30"/>
      <c r="B1485" s="42"/>
      <c r="C1485" s="43"/>
      <c r="D1485" s="30"/>
      <c r="E1485" s="28"/>
      <c r="F1485" s="30"/>
      <c r="G1485" s="30"/>
      <c r="H1485" s="30"/>
      <c r="I1485" s="30"/>
      <c r="J1485" s="28"/>
      <c r="K1485" s="30"/>
      <c r="L1485" s="30"/>
      <c r="M1485" s="30"/>
      <c r="N1485" s="30"/>
      <c r="O1485" s="28"/>
      <c r="P1485" s="30"/>
      <c r="Q1485" s="30"/>
      <c r="R1485" s="30"/>
      <c r="S1485" s="36"/>
      <c r="T1485" s="30"/>
      <c r="U1485" s="36"/>
      <c r="V1485" s="30"/>
      <c r="W1485" s="28"/>
      <c r="X1485" s="30"/>
      <c r="Y1485" s="30"/>
      <c r="Z1485" s="30"/>
      <c r="AA1485" s="30"/>
      <c r="AB1485" s="30"/>
      <c r="AC1485" s="28"/>
      <c r="AD1485" s="30"/>
      <c r="AE1485" s="30"/>
      <c r="AF1485" s="30"/>
      <c r="AG1485" s="29"/>
      <c r="AH1485" s="30"/>
      <c r="AI1485" s="36"/>
      <c r="AJ1485" s="30"/>
      <c r="AK1485" s="29"/>
      <c r="AL1485" s="30"/>
      <c r="AM1485" s="30"/>
      <c r="AN1485" s="30"/>
      <c r="AO1485" s="30"/>
      <c r="AP1485" s="30"/>
      <c r="AQ1485" s="38"/>
      <c r="AR1485" s="30"/>
      <c r="AS1485" s="30"/>
      <c r="AT1485" s="29"/>
      <c r="AU1485" s="30"/>
      <c r="AV1485" s="30"/>
      <c r="AW1485" s="30"/>
      <c r="AX1485" s="29"/>
      <c r="AY1485" s="39"/>
      <c r="AZ1485" s="30"/>
      <c r="BA1485" s="30"/>
      <c r="BB1485" s="29"/>
      <c r="BC1485" s="52"/>
      <c r="BD1485" s="30"/>
      <c r="BE1485" s="29"/>
      <c r="BF1485" s="30"/>
      <c r="BG1485" s="30"/>
      <c r="BH1485" s="30"/>
      <c r="BI1485" s="30"/>
      <c r="BJ1485" s="30"/>
      <c r="BK1485" s="30"/>
      <c r="BL1485" s="30"/>
      <c r="BM1485" s="30"/>
      <c r="BN1485" s="30"/>
      <c r="BO1485" s="30"/>
      <c r="BP1485" s="30"/>
      <c r="BQ1485" s="30"/>
      <c r="BR1485" s="30"/>
      <c r="BS1485" s="30"/>
      <c r="BT1485" s="30"/>
      <c r="BU1485" s="30"/>
      <c r="BV1485" s="30"/>
      <c r="BW1485" s="30"/>
      <c r="BX1485" s="30"/>
      <c r="BY1485" s="30"/>
      <c r="BZ1485" s="30"/>
      <c r="CA1485" s="30"/>
      <c r="CB1485" s="30"/>
      <c r="CC1485" s="30"/>
      <c r="CD1485" s="30"/>
      <c r="CE1485" s="30"/>
      <c r="CF1485" s="30"/>
      <c r="CG1485" s="30"/>
      <c r="CH1485" s="30"/>
      <c r="CI1485" s="30"/>
      <c r="CJ1485" s="30"/>
      <c r="CK1485" s="30"/>
      <c r="CL1485" s="30"/>
      <c r="CM1485" s="30"/>
      <c r="CN1485" s="30"/>
      <c r="CO1485" s="30"/>
      <c r="CP1485" s="30"/>
      <c r="CQ1485" s="30"/>
      <c r="CR1485" s="30"/>
      <c r="CS1485" s="30"/>
      <c r="CT1485" s="30"/>
      <c r="CU1485" s="30"/>
      <c r="CV1485" s="30"/>
      <c r="CW1485" s="30"/>
      <c r="CX1485" s="30"/>
      <c r="CY1485" s="30"/>
      <c r="CZ1485" s="30"/>
      <c r="DA1485" s="30"/>
      <c r="DB1485" s="30"/>
      <c r="DC1485" s="30"/>
      <c r="DD1485" s="30"/>
      <c r="DE1485" s="30"/>
      <c r="DF1485" s="30"/>
      <c r="DG1485" s="30"/>
      <c r="DH1485" s="30"/>
      <c r="DI1485" s="30"/>
      <c r="DJ1485" s="30"/>
      <c r="DK1485" s="30"/>
      <c r="DL1485" s="30"/>
      <c r="DM1485" s="30"/>
      <c r="DN1485" s="30"/>
      <c r="DO1485" s="30"/>
      <c r="DP1485" s="30"/>
      <c r="DQ1485" s="30"/>
      <c r="DR1485" s="30"/>
      <c r="DS1485" s="30"/>
      <c r="DT1485" s="30"/>
      <c r="DU1485" s="30"/>
      <c r="DV1485" s="30"/>
      <c r="DW1485" s="30"/>
      <c r="DX1485" s="30"/>
      <c r="DY1485" s="30"/>
      <c r="DZ1485" s="30"/>
    </row>
    <row r="1486">
      <c r="A1486" s="30"/>
      <c r="B1486" s="42"/>
      <c r="C1486" s="43"/>
      <c r="D1486" s="30"/>
      <c r="E1486" s="28"/>
      <c r="F1486" s="30"/>
      <c r="G1486" s="30"/>
      <c r="H1486" s="30"/>
      <c r="I1486" s="30"/>
      <c r="J1486" s="28"/>
      <c r="K1486" s="30"/>
      <c r="L1486" s="30"/>
      <c r="M1486" s="30"/>
      <c r="N1486" s="30"/>
      <c r="O1486" s="28"/>
      <c r="P1486" s="30"/>
      <c r="Q1486" s="30"/>
      <c r="R1486" s="30"/>
      <c r="S1486" s="36"/>
      <c r="T1486" s="30"/>
      <c r="U1486" s="36"/>
      <c r="V1486" s="30"/>
      <c r="W1486" s="28"/>
      <c r="X1486" s="30"/>
      <c r="Y1486" s="30"/>
      <c r="Z1486" s="30"/>
      <c r="AA1486" s="30"/>
      <c r="AB1486" s="30"/>
      <c r="AC1486" s="28"/>
      <c r="AD1486" s="30"/>
      <c r="AE1486" s="30"/>
      <c r="AF1486" s="30"/>
      <c r="AG1486" s="29"/>
      <c r="AH1486" s="30"/>
      <c r="AI1486" s="36"/>
      <c r="AJ1486" s="30"/>
      <c r="AK1486" s="29"/>
      <c r="AL1486" s="30"/>
      <c r="AM1486" s="30"/>
      <c r="AN1486" s="30"/>
      <c r="AO1486" s="30"/>
      <c r="AP1486" s="30"/>
      <c r="AQ1486" s="38"/>
      <c r="AR1486" s="30"/>
      <c r="AS1486" s="30"/>
      <c r="AT1486" s="29"/>
      <c r="AU1486" s="30"/>
      <c r="AV1486" s="30"/>
      <c r="AW1486" s="30"/>
      <c r="AX1486" s="29"/>
      <c r="AY1486" s="39"/>
      <c r="AZ1486" s="30"/>
      <c r="BA1486" s="30"/>
      <c r="BB1486" s="29"/>
      <c r="BC1486" s="52"/>
      <c r="BD1486" s="30"/>
      <c r="BE1486" s="29"/>
      <c r="BF1486" s="30"/>
      <c r="BG1486" s="30"/>
      <c r="BH1486" s="30"/>
      <c r="BI1486" s="30"/>
      <c r="BJ1486" s="30"/>
      <c r="BK1486" s="30"/>
      <c r="BL1486" s="30"/>
      <c r="BM1486" s="30"/>
      <c r="BN1486" s="30"/>
      <c r="BO1486" s="30"/>
      <c r="BP1486" s="30"/>
      <c r="BQ1486" s="30"/>
      <c r="BR1486" s="30"/>
      <c r="BS1486" s="30"/>
      <c r="BT1486" s="30"/>
      <c r="BU1486" s="30"/>
      <c r="BV1486" s="30"/>
      <c r="BW1486" s="30"/>
      <c r="BX1486" s="30"/>
      <c r="BY1486" s="30"/>
      <c r="BZ1486" s="30"/>
      <c r="CA1486" s="30"/>
      <c r="CB1486" s="30"/>
      <c r="CC1486" s="30"/>
      <c r="CD1486" s="30"/>
      <c r="CE1486" s="30"/>
      <c r="CF1486" s="30"/>
      <c r="CG1486" s="30"/>
      <c r="CH1486" s="30"/>
      <c r="CI1486" s="30"/>
      <c r="CJ1486" s="30"/>
      <c r="CK1486" s="30"/>
      <c r="CL1486" s="30"/>
      <c r="CM1486" s="30"/>
      <c r="CN1486" s="30"/>
      <c r="CO1486" s="30"/>
      <c r="CP1486" s="30"/>
      <c r="CQ1486" s="30"/>
      <c r="CR1486" s="30"/>
      <c r="CS1486" s="30"/>
      <c r="CT1486" s="30"/>
      <c r="CU1486" s="30"/>
      <c r="CV1486" s="30"/>
      <c r="CW1486" s="30"/>
      <c r="CX1486" s="30"/>
      <c r="CY1486" s="30"/>
      <c r="CZ1486" s="30"/>
      <c r="DA1486" s="30"/>
      <c r="DB1486" s="30"/>
      <c r="DC1486" s="30"/>
      <c r="DD1486" s="30"/>
      <c r="DE1486" s="30"/>
      <c r="DF1486" s="30"/>
      <c r="DG1486" s="30"/>
      <c r="DH1486" s="30"/>
      <c r="DI1486" s="30"/>
      <c r="DJ1486" s="30"/>
      <c r="DK1486" s="30"/>
      <c r="DL1486" s="30"/>
      <c r="DM1486" s="30"/>
      <c r="DN1486" s="30"/>
      <c r="DO1486" s="30"/>
      <c r="DP1486" s="30"/>
      <c r="DQ1486" s="30"/>
      <c r="DR1486" s="30"/>
      <c r="DS1486" s="30"/>
      <c r="DT1486" s="30"/>
      <c r="DU1486" s="30"/>
      <c r="DV1486" s="30"/>
      <c r="DW1486" s="30"/>
      <c r="DX1486" s="30"/>
      <c r="DY1486" s="30"/>
      <c r="DZ1486" s="30"/>
    </row>
    <row r="1487">
      <c r="A1487" s="30"/>
      <c r="B1487" s="42"/>
      <c r="C1487" s="43"/>
      <c r="D1487" s="30"/>
      <c r="E1487" s="28"/>
      <c r="F1487" s="30"/>
      <c r="G1487" s="30"/>
      <c r="H1487" s="30"/>
      <c r="I1487" s="30"/>
      <c r="J1487" s="28"/>
      <c r="K1487" s="30"/>
      <c r="L1487" s="30"/>
      <c r="M1487" s="30"/>
      <c r="N1487" s="30"/>
      <c r="O1487" s="28"/>
      <c r="P1487" s="30"/>
      <c r="Q1487" s="30"/>
      <c r="R1487" s="30"/>
      <c r="S1487" s="36"/>
      <c r="T1487" s="30"/>
      <c r="U1487" s="36"/>
      <c r="V1487" s="30"/>
      <c r="W1487" s="28"/>
      <c r="X1487" s="30"/>
      <c r="Y1487" s="30"/>
      <c r="Z1487" s="30"/>
      <c r="AA1487" s="30"/>
      <c r="AB1487" s="30"/>
      <c r="AC1487" s="28"/>
      <c r="AD1487" s="30"/>
      <c r="AE1487" s="30"/>
      <c r="AF1487" s="30"/>
      <c r="AG1487" s="29"/>
      <c r="AH1487" s="30"/>
      <c r="AI1487" s="36"/>
      <c r="AJ1487" s="30"/>
      <c r="AK1487" s="29"/>
      <c r="AL1487" s="30"/>
      <c r="AM1487" s="30"/>
      <c r="AN1487" s="30"/>
      <c r="AO1487" s="30"/>
      <c r="AP1487" s="30"/>
      <c r="AQ1487" s="38"/>
      <c r="AR1487" s="30"/>
      <c r="AS1487" s="30"/>
      <c r="AT1487" s="29"/>
      <c r="AU1487" s="30"/>
      <c r="AV1487" s="30"/>
      <c r="AW1487" s="30"/>
      <c r="AX1487" s="29"/>
      <c r="AY1487" s="39"/>
      <c r="AZ1487" s="30"/>
      <c r="BA1487" s="30"/>
      <c r="BB1487" s="29"/>
      <c r="BC1487" s="52"/>
      <c r="BD1487" s="30"/>
      <c r="BE1487" s="29"/>
      <c r="BF1487" s="30"/>
      <c r="BG1487" s="30"/>
      <c r="BH1487" s="30"/>
      <c r="BI1487" s="30"/>
      <c r="BJ1487" s="30"/>
      <c r="BK1487" s="30"/>
      <c r="BL1487" s="30"/>
      <c r="BM1487" s="30"/>
      <c r="BN1487" s="30"/>
      <c r="BO1487" s="30"/>
      <c r="BP1487" s="30"/>
      <c r="BQ1487" s="30"/>
      <c r="BR1487" s="30"/>
      <c r="BS1487" s="30"/>
      <c r="BT1487" s="30"/>
      <c r="BU1487" s="30"/>
      <c r="BV1487" s="30"/>
      <c r="BW1487" s="30"/>
      <c r="BX1487" s="30"/>
      <c r="BY1487" s="30"/>
      <c r="BZ1487" s="30"/>
      <c r="CA1487" s="30"/>
      <c r="CB1487" s="30"/>
      <c r="CC1487" s="30"/>
      <c r="CD1487" s="30"/>
      <c r="CE1487" s="30"/>
      <c r="CF1487" s="30"/>
      <c r="CG1487" s="30"/>
      <c r="CH1487" s="30"/>
      <c r="CI1487" s="30"/>
      <c r="CJ1487" s="30"/>
      <c r="CK1487" s="30"/>
      <c r="CL1487" s="30"/>
      <c r="CM1487" s="30"/>
      <c r="CN1487" s="30"/>
      <c r="CO1487" s="30"/>
      <c r="CP1487" s="30"/>
      <c r="CQ1487" s="30"/>
      <c r="CR1487" s="30"/>
      <c r="CS1487" s="30"/>
      <c r="CT1487" s="30"/>
      <c r="CU1487" s="30"/>
      <c r="CV1487" s="30"/>
      <c r="CW1487" s="30"/>
      <c r="CX1487" s="30"/>
      <c r="CY1487" s="30"/>
      <c r="CZ1487" s="30"/>
      <c r="DA1487" s="30"/>
      <c r="DB1487" s="30"/>
      <c r="DC1487" s="30"/>
      <c r="DD1487" s="30"/>
      <c r="DE1487" s="30"/>
      <c r="DF1487" s="30"/>
      <c r="DG1487" s="30"/>
      <c r="DH1487" s="30"/>
      <c r="DI1487" s="30"/>
      <c r="DJ1487" s="30"/>
      <c r="DK1487" s="30"/>
      <c r="DL1487" s="30"/>
      <c r="DM1487" s="30"/>
      <c r="DN1487" s="30"/>
      <c r="DO1487" s="30"/>
      <c r="DP1487" s="30"/>
      <c r="DQ1487" s="30"/>
      <c r="DR1487" s="30"/>
      <c r="DS1487" s="30"/>
      <c r="DT1487" s="30"/>
      <c r="DU1487" s="30"/>
      <c r="DV1487" s="30"/>
      <c r="DW1487" s="30"/>
      <c r="DX1487" s="30"/>
      <c r="DY1487" s="30"/>
      <c r="DZ1487" s="30"/>
    </row>
    <row r="1488">
      <c r="A1488" s="30"/>
      <c r="B1488" s="42"/>
      <c r="C1488" s="43"/>
      <c r="D1488" s="30"/>
      <c r="E1488" s="28"/>
      <c r="F1488" s="30"/>
      <c r="G1488" s="30"/>
      <c r="H1488" s="30"/>
      <c r="I1488" s="30"/>
      <c r="J1488" s="28"/>
      <c r="K1488" s="30"/>
      <c r="L1488" s="30"/>
      <c r="M1488" s="30"/>
      <c r="N1488" s="30"/>
      <c r="O1488" s="28"/>
      <c r="P1488" s="30"/>
      <c r="Q1488" s="30"/>
      <c r="R1488" s="30"/>
      <c r="S1488" s="36"/>
      <c r="T1488" s="30"/>
      <c r="U1488" s="36"/>
      <c r="V1488" s="30"/>
      <c r="W1488" s="28"/>
      <c r="X1488" s="30"/>
      <c r="Y1488" s="30"/>
      <c r="Z1488" s="30"/>
      <c r="AA1488" s="30"/>
      <c r="AB1488" s="30"/>
      <c r="AC1488" s="28"/>
      <c r="AD1488" s="30"/>
      <c r="AE1488" s="30"/>
      <c r="AF1488" s="30"/>
      <c r="AG1488" s="29"/>
      <c r="AH1488" s="30"/>
      <c r="AI1488" s="36"/>
      <c r="AJ1488" s="30"/>
      <c r="AK1488" s="29"/>
      <c r="AL1488" s="30"/>
      <c r="AM1488" s="30"/>
      <c r="AN1488" s="30"/>
      <c r="AO1488" s="30"/>
      <c r="AP1488" s="30"/>
      <c r="AQ1488" s="38"/>
      <c r="AR1488" s="30"/>
      <c r="AS1488" s="30"/>
      <c r="AT1488" s="29"/>
      <c r="AU1488" s="30"/>
      <c r="AV1488" s="30"/>
      <c r="AW1488" s="30"/>
      <c r="AX1488" s="29"/>
      <c r="AY1488" s="39"/>
      <c r="AZ1488" s="30"/>
      <c r="BA1488" s="30"/>
      <c r="BB1488" s="29"/>
      <c r="BC1488" s="52"/>
      <c r="BD1488" s="30"/>
      <c r="BE1488" s="29"/>
      <c r="BF1488" s="30"/>
      <c r="BG1488" s="30"/>
      <c r="BH1488" s="30"/>
      <c r="BI1488" s="30"/>
      <c r="BJ1488" s="30"/>
      <c r="BK1488" s="30"/>
      <c r="BL1488" s="30"/>
      <c r="BM1488" s="30"/>
      <c r="BN1488" s="30"/>
      <c r="BO1488" s="30"/>
      <c r="BP1488" s="30"/>
      <c r="BQ1488" s="30"/>
      <c r="BR1488" s="30"/>
      <c r="BS1488" s="30"/>
      <c r="BT1488" s="30"/>
      <c r="BU1488" s="30"/>
      <c r="BV1488" s="30"/>
      <c r="BW1488" s="30"/>
      <c r="BX1488" s="30"/>
      <c r="BY1488" s="30"/>
      <c r="BZ1488" s="30"/>
      <c r="CA1488" s="30"/>
      <c r="CB1488" s="30"/>
      <c r="CC1488" s="30"/>
      <c r="CD1488" s="30"/>
      <c r="CE1488" s="30"/>
      <c r="CF1488" s="30"/>
      <c r="CG1488" s="30"/>
      <c r="CH1488" s="30"/>
      <c r="CI1488" s="30"/>
      <c r="CJ1488" s="30"/>
      <c r="CK1488" s="30"/>
      <c r="CL1488" s="30"/>
      <c r="CM1488" s="30"/>
      <c r="CN1488" s="30"/>
      <c r="CO1488" s="30"/>
      <c r="CP1488" s="30"/>
      <c r="CQ1488" s="30"/>
      <c r="CR1488" s="30"/>
      <c r="CS1488" s="30"/>
      <c r="CT1488" s="30"/>
      <c r="CU1488" s="30"/>
      <c r="CV1488" s="30"/>
      <c r="CW1488" s="30"/>
      <c r="CX1488" s="30"/>
      <c r="CY1488" s="30"/>
      <c r="CZ1488" s="30"/>
      <c r="DA1488" s="30"/>
      <c r="DB1488" s="30"/>
      <c r="DC1488" s="30"/>
      <c r="DD1488" s="30"/>
      <c r="DE1488" s="30"/>
      <c r="DF1488" s="30"/>
      <c r="DG1488" s="30"/>
      <c r="DH1488" s="30"/>
      <c r="DI1488" s="30"/>
      <c r="DJ1488" s="30"/>
      <c r="DK1488" s="30"/>
      <c r="DL1488" s="30"/>
      <c r="DM1488" s="30"/>
      <c r="DN1488" s="30"/>
      <c r="DO1488" s="30"/>
      <c r="DP1488" s="30"/>
      <c r="DQ1488" s="30"/>
      <c r="DR1488" s="30"/>
      <c r="DS1488" s="30"/>
      <c r="DT1488" s="30"/>
      <c r="DU1488" s="30"/>
      <c r="DV1488" s="30"/>
      <c r="DW1488" s="30"/>
      <c r="DX1488" s="30"/>
      <c r="DY1488" s="30"/>
      <c r="DZ1488" s="30"/>
    </row>
    <row r="1489">
      <c r="A1489" s="30"/>
      <c r="B1489" s="42"/>
      <c r="C1489" s="43"/>
      <c r="D1489" s="30"/>
      <c r="E1489" s="28"/>
      <c r="F1489" s="30"/>
      <c r="G1489" s="30"/>
      <c r="H1489" s="30"/>
      <c r="I1489" s="30"/>
      <c r="J1489" s="28"/>
      <c r="K1489" s="30"/>
      <c r="L1489" s="30"/>
      <c r="M1489" s="30"/>
      <c r="N1489" s="30"/>
      <c r="O1489" s="28"/>
      <c r="P1489" s="30"/>
      <c r="Q1489" s="30"/>
      <c r="R1489" s="30"/>
      <c r="S1489" s="36"/>
      <c r="T1489" s="30"/>
      <c r="U1489" s="36"/>
      <c r="V1489" s="30"/>
      <c r="W1489" s="28"/>
      <c r="X1489" s="30"/>
      <c r="Y1489" s="30"/>
      <c r="Z1489" s="30"/>
      <c r="AA1489" s="30"/>
      <c r="AB1489" s="30"/>
      <c r="AC1489" s="28"/>
      <c r="AD1489" s="30"/>
      <c r="AE1489" s="30"/>
      <c r="AF1489" s="30"/>
      <c r="AG1489" s="29"/>
      <c r="AH1489" s="30"/>
      <c r="AI1489" s="36"/>
      <c r="AJ1489" s="30"/>
      <c r="AK1489" s="29"/>
      <c r="AL1489" s="30"/>
      <c r="AM1489" s="30"/>
      <c r="AN1489" s="30"/>
      <c r="AO1489" s="30"/>
      <c r="AP1489" s="30"/>
      <c r="AQ1489" s="38"/>
      <c r="AR1489" s="30"/>
      <c r="AS1489" s="30"/>
      <c r="AT1489" s="29"/>
      <c r="AU1489" s="30"/>
      <c r="AV1489" s="30"/>
      <c r="AW1489" s="30"/>
      <c r="AX1489" s="29"/>
      <c r="AY1489" s="39"/>
      <c r="AZ1489" s="30"/>
      <c r="BA1489" s="30"/>
      <c r="BB1489" s="29"/>
      <c r="BC1489" s="52"/>
      <c r="BD1489" s="30"/>
      <c r="BE1489" s="29"/>
      <c r="BF1489" s="30"/>
      <c r="BG1489" s="30"/>
      <c r="BH1489" s="30"/>
      <c r="BI1489" s="30"/>
      <c r="BJ1489" s="30"/>
      <c r="BK1489" s="30"/>
      <c r="BL1489" s="30"/>
      <c r="BM1489" s="30"/>
      <c r="BN1489" s="30"/>
      <c r="BO1489" s="30"/>
      <c r="BP1489" s="30"/>
      <c r="BQ1489" s="30"/>
      <c r="BR1489" s="30"/>
      <c r="BS1489" s="30"/>
      <c r="BT1489" s="30"/>
      <c r="BU1489" s="30"/>
      <c r="BV1489" s="30"/>
      <c r="BW1489" s="30"/>
      <c r="BX1489" s="30"/>
      <c r="BY1489" s="30"/>
      <c r="BZ1489" s="30"/>
      <c r="CA1489" s="30"/>
      <c r="CB1489" s="30"/>
      <c r="CC1489" s="30"/>
      <c r="CD1489" s="30"/>
      <c r="CE1489" s="30"/>
      <c r="CF1489" s="30"/>
      <c r="CG1489" s="30"/>
      <c r="CH1489" s="30"/>
      <c r="CI1489" s="30"/>
      <c r="CJ1489" s="30"/>
      <c r="CK1489" s="30"/>
      <c r="CL1489" s="30"/>
      <c r="CM1489" s="30"/>
      <c r="CN1489" s="30"/>
      <c r="CO1489" s="30"/>
      <c r="CP1489" s="30"/>
      <c r="CQ1489" s="30"/>
      <c r="CR1489" s="30"/>
      <c r="CS1489" s="30"/>
      <c r="CT1489" s="30"/>
      <c r="CU1489" s="30"/>
      <c r="CV1489" s="30"/>
      <c r="CW1489" s="30"/>
      <c r="CX1489" s="30"/>
      <c r="CY1489" s="30"/>
      <c r="CZ1489" s="30"/>
      <c r="DA1489" s="30"/>
      <c r="DB1489" s="30"/>
      <c r="DC1489" s="30"/>
      <c r="DD1489" s="30"/>
      <c r="DE1489" s="30"/>
      <c r="DF1489" s="30"/>
      <c r="DG1489" s="30"/>
      <c r="DH1489" s="30"/>
      <c r="DI1489" s="30"/>
      <c r="DJ1489" s="30"/>
      <c r="DK1489" s="30"/>
      <c r="DL1489" s="30"/>
      <c r="DM1489" s="30"/>
      <c r="DN1489" s="30"/>
      <c r="DO1489" s="30"/>
      <c r="DP1489" s="30"/>
      <c r="DQ1489" s="30"/>
      <c r="DR1489" s="30"/>
      <c r="DS1489" s="30"/>
      <c r="DT1489" s="30"/>
      <c r="DU1489" s="30"/>
      <c r="DV1489" s="30"/>
      <c r="DW1489" s="30"/>
      <c r="DX1489" s="30"/>
      <c r="DY1489" s="30"/>
      <c r="DZ1489" s="30"/>
    </row>
    <row r="1490">
      <c r="A1490" s="30"/>
      <c r="B1490" s="42"/>
      <c r="C1490" s="43"/>
      <c r="D1490" s="30"/>
      <c r="E1490" s="28"/>
      <c r="F1490" s="30"/>
      <c r="G1490" s="30"/>
      <c r="H1490" s="30"/>
      <c r="I1490" s="30"/>
      <c r="J1490" s="28"/>
      <c r="K1490" s="30"/>
      <c r="L1490" s="30"/>
      <c r="M1490" s="30"/>
      <c r="N1490" s="30"/>
      <c r="O1490" s="28"/>
      <c r="P1490" s="30"/>
      <c r="Q1490" s="30"/>
      <c r="R1490" s="30"/>
      <c r="S1490" s="36"/>
      <c r="T1490" s="30"/>
      <c r="U1490" s="36"/>
      <c r="V1490" s="30"/>
      <c r="W1490" s="28"/>
      <c r="X1490" s="30"/>
      <c r="Y1490" s="30"/>
      <c r="Z1490" s="30"/>
      <c r="AA1490" s="30"/>
      <c r="AB1490" s="30"/>
      <c r="AC1490" s="28"/>
      <c r="AD1490" s="30"/>
      <c r="AE1490" s="30"/>
      <c r="AF1490" s="30"/>
      <c r="AG1490" s="29"/>
      <c r="AH1490" s="30"/>
      <c r="AI1490" s="36"/>
      <c r="AJ1490" s="30"/>
      <c r="AK1490" s="29"/>
      <c r="AL1490" s="30"/>
      <c r="AM1490" s="30"/>
      <c r="AN1490" s="30"/>
      <c r="AO1490" s="30"/>
      <c r="AP1490" s="30"/>
      <c r="AQ1490" s="38"/>
      <c r="AR1490" s="30"/>
      <c r="AS1490" s="30"/>
      <c r="AT1490" s="29"/>
      <c r="AU1490" s="30"/>
      <c r="AV1490" s="30"/>
      <c r="AW1490" s="30"/>
      <c r="AX1490" s="29"/>
      <c r="AY1490" s="39"/>
      <c r="AZ1490" s="30"/>
      <c r="BA1490" s="30"/>
      <c r="BB1490" s="29"/>
      <c r="BC1490" s="52"/>
      <c r="BD1490" s="30"/>
      <c r="BE1490" s="29"/>
      <c r="BF1490" s="30"/>
      <c r="BG1490" s="30"/>
      <c r="BH1490" s="30"/>
      <c r="BI1490" s="30"/>
      <c r="BJ1490" s="30"/>
      <c r="BK1490" s="30"/>
      <c r="BL1490" s="30"/>
      <c r="BM1490" s="30"/>
      <c r="BN1490" s="30"/>
      <c r="BO1490" s="30"/>
      <c r="BP1490" s="30"/>
      <c r="BQ1490" s="30"/>
      <c r="BR1490" s="30"/>
      <c r="BS1490" s="30"/>
      <c r="BT1490" s="30"/>
      <c r="BU1490" s="30"/>
      <c r="BV1490" s="30"/>
      <c r="BW1490" s="30"/>
      <c r="BX1490" s="30"/>
      <c r="BY1490" s="30"/>
      <c r="BZ1490" s="30"/>
      <c r="CA1490" s="30"/>
      <c r="CB1490" s="30"/>
      <c r="CC1490" s="30"/>
      <c r="CD1490" s="30"/>
      <c r="CE1490" s="30"/>
      <c r="CF1490" s="30"/>
      <c r="CG1490" s="30"/>
      <c r="CH1490" s="30"/>
      <c r="CI1490" s="30"/>
      <c r="CJ1490" s="30"/>
      <c r="CK1490" s="30"/>
      <c r="CL1490" s="30"/>
      <c r="CM1490" s="30"/>
      <c r="CN1490" s="30"/>
      <c r="CO1490" s="30"/>
      <c r="CP1490" s="30"/>
      <c r="CQ1490" s="30"/>
      <c r="CR1490" s="30"/>
      <c r="CS1490" s="30"/>
      <c r="CT1490" s="30"/>
      <c r="CU1490" s="30"/>
      <c r="CV1490" s="30"/>
      <c r="CW1490" s="30"/>
      <c r="CX1490" s="30"/>
      <c r="CY1490" s="30"/>
      <c r="CZ1490" s="30"/>
      <c r="DA1490" s="30"/>
      <c r="DB1490" s="30"/>
      <c r="DC1490" s="30"/>
      <c r="DD1490" s="30"/>
      <c r="DE1490" s="30"/>
      <c r="DF1490" s="30"/>
      <c r="DG1490" s="30"/>
      <c r="DH1490" s="30"/>
      <c r="DI1490" s="30"/>
      <c r="DJ1490" s="30"/>
      <c r="DK1490" s="30"/>
      <c r="DL1490" s="30"/>
      <c r="DM1490" s="30"/>
      <c r="DN1490" s="30"/>
      <c r="DO1490" s="30"/>
      <c r="DP1490" s="30"/>
      <c r="DQ1490" s="30"/>
      <c r="DR1490" s="30"/>
      <c r="DS1490" s="30"/>
      <c r="DT1490" s="30"/>
      <c r="DU1490" s="30"/>
      <c r="DV1490" s="30"/>
      <c r="DW1490" s="30"/>
      <c r="DX1490" s="30"/>
      <c r="DY1490" s="30"/>
      <c r="DZ1490" s="30"/>
    </row>
    <row r="1491">
      <c r="A1491" s="30"/>
      <c r="B1491" s="42"/>
      <c r="C1491" s="43"/>
      <c r="D1491" s="30"/>
      <c r="E1491" s="28"/>
      <c r="F1491" s="30"/>
      <c r="G1491" s="30"/>
      <c r="H1491" s="30"/>
      <c r="I1491" s="30"/>
      <c r="J1491" s="28"/>
      <c r="K1491" s="30"/>
      <c r="L1491" s="30"/>
      <c r="M1491" s="30"/>
      <c r="N1491" s="30"/>
      <c r="O1491" s="28"/>
      <c r="P1491" s="30"/>
      <c r="Q1491" s="30"/>
      <c r="R1491" s="30"/>
      <c r="S1491" s="36"/>
      <c r="T1491" s="30"/>
      <c r="U1491" s="36"/>
      <c r="V1491" s="30"/>
      <c r="W1491" s="28"/>
      <c r="X1491" s="30"/>
      <c r="Y1491" s="30"/>
      <c r="Z1491" s="30"/>
      <c r="AA1491" s="30"/>
      <c r="AB1491" s="30"/>
      <c r="AC1491" s="28"/>
      <c r="AD1491" s="30"/>
      <c r="AE1491" s="30"/>
      <c r="AF1491" s="30"/>
      <c r="AG1491" s="29"/>
      <c r="AH1491" s="30"/>
      <c r="AI1491" s="36"/>
      <c r="AJ1491" s="30"/>
      <c r="AK1491" s="29"/>
      <c r="AL1491" s="30"/>
      <c r="AM1491" s="30"/>
      <c r="AN1491" s="30"/>
      <c r="AO1491" s="30"/>
      <c r="AP1491" s="30"/>
      <c r="AQ1491" s="38"/>
      <c r="AR1491" s="30"/>
      <c r="AS1491" s="30"/>
      <c r="AT1491" s="29"/>
      <c r="AU1491" s="30"/>
      <c r="AV1491" s="30"/>
      <c r="AW1491" s="30"/>
      <c r="AX1491" s="29"/>
      <c r="AY1491" s="39"/>
      <c r="AZ1491" s="30"/>
      <c r="BA1491" s="30"/>
      <c r="BB1491" s="29"/>
      <c r="BC1491" s="52"/>
      <c r="BD1491" s="30"/>
      <c r="BE1491" s="29"/>
      <c r="BF1491" s="30"/>
      <c r="BG1491" s="30"/>
      <c r="BH1491" s="30"/>
      <c r="BI1491" s="30"/>
      <c r="BJ1491" s="30"/>
      <c r="BK1491" s="30"/>
      <c r="BL1491" s="30"/>
      <c r="BM1491" s="30"/>
      <c r="BN1491" s="30"/>
      <c r="BO1491" s="30"/>
      <c r="BP1491" s="30"/>
      <c r="BQ1491" s="30"/>
      <c r="BR1491" s="30"/>
      <c r="BS1491" s="30"/>
      <c r="BT1491" s="30"/>
      <c r="BU1491" s="30"/>
      <c r="BV1491" s="30"/>
      <c r="BW1491" s="30"/>
      <c r="BX1491" s="30"/>
      <c r="BY1491" s="30"/>
      <c r="BZ1491" s="30"/>
      <c r="CA1491" s="30"/>
      <c r="CB1491" s="30"/>
      <c r="CC1491" s="30"/>
      <c r="CD1491" s="30"/>
      <c r="CE1491" s="30"/>
      <c r="CF1491" s="30"/>
      <c r="CG1491" s="30"/>
      <c r="CH1491" s="30"/>
      <c r="CI1491" s="30"/>
      <c r="CJ1491" s="30"/>
      <c r="CK1491" s="30"/>
      <c r="CL1491" s="30"/>
      <c r="CM1491" s="30"/>
      <c r="CN1491" s="30"/>
      <c r="CO1491" s="30"/>
      <c r="CP1491" s="30"/>
      <c r="CQ1491" s="30"/>
      <c r="CR1491" s="30"/>
      <c r="CS1491" s="30"/>
      <c r="CT1491" s="30"/>
      <c r="CU1491" s="30"/>
      <c r="CV1491" s="30"/>
      <c r="CW1491" s="30"/>
      <c r="CX1491" s="30"/>
      <c r="CY1491" s="30"/>
      <c r="CZ1491" s="30"/>
      <c r="DA1491" s="30"/>
      <c r="DB1491" s="30"/>
      <c r="DC1491" s="30"/>
      <c r="DD1491" s="30"/>
      <c r="DE1491" s="30"/>
      <c r="DF1491" s="30"/>
      <c r="DG1491" s="30"/>
      <c r="DH1491" s="30"/>
      <c r="DI1491" s="30"/>
      <c r="DJ1491" s="30"/>
      <c r="DK1491" s="30"/>
      <c r="DL1491" s="30"/>
      <c r="DM1491" s="30"/>
      <c r="DN1491" s="30"/>
      <c r="DO1491" s="30"/>
      <c r="DP1491" s="30"/>
      <c r="DQ1491" s="30"/>
      <c r="DR1491" s="30"/>
      <c r="DS1491" s="30"/>
      <c r="DT1491" s="30"/>
      <c r="DU1491" s="30"/>
      <c r="DV1491" s="30"/>
      <c r="DW1491" s="30"/>
      <c r="DX1491" s="30"/>
      <c r="DY1491" s="30"/>
      <c r="DZ1491" s="30"/>
    </row>
    <row r="1492">
      <c r="A1492" s="30"/>
      <c r="B1492" s="42"/>
      <c r="C1492" s="43"/>
      <c r="D1492" s="30"/>
      <c r="E1492" s="28"/>
      <c r="F1492" s="30"/>
      <c r="G1492" s="30"/>
      <c r="H1492" s="30"/>
      <c r="I1492" s="30"/>
      <c r="J1492" s="28"/>
      <c r="K1492" s="30"/>
      <c r="L1492" s="30"/>
      <c r="M1492" s="30"/>
      <c r="N1492" s="30"/>
      <c r="O1492" s="28"/>
      <c r="P1492" s="30"/>
      <c r="Q1492" s="30"/>
      <c r="R1492" s="30"/>
      <c r="S1492" s="36"/>
      <c r="T1492" s="30"/>
      <c r="U1492" s="36"/>
      <c r="V1492" s="30"/>
      <c r="W1492" s="28"/>
      <c r="X1492" s="30"/>
      <c r="Y1492" s="30"/>
      <c r="Z1492" s="30"/>
      <c r="AA1492" s="30"/>
      <c r="AB1492" s="30"/>
      <c r="AC1492" s="28"/>
      <c r="AD1492" s="30"/>
      <c r="AE1492" s="30"/>
      <c r="AF1492" s="30"/>
      <c r="AG1492" s="29"/>
      <c r="AH1492" s="30"/>
      <c r="AI1492" s="36"/>
      <c r="AJ1492" s="30"/>
      <c r="AK1492" s="29"/>
      <c r="AL1492" s="30"/>
      <c r="AM1492" s="30"/>
      <c r="AN1492" s="30"/>
      <c r="AO1492" s="30"/>
      <c r="AP1492" s="30"/>
      <c r="AQ1492" s="38"/>
      <c r="AR1492" s="30"/>
      <c r="AS1492" s="30"/>
      <c r="AT1492" s="29"/>
      <c r="AU1492" s="30"/>
      <c r="AV1492" s="30"/>
      <c r="AW1492" s="30"/>
      <c r="AX1492" s="29"/>
      <c r="AY1492" s="39"/>
      <c r="AZ1492" s="30"/>
      <c r="BA1492" s="30"/>
      <c r="BB1492" s="29"/>
      <c r="BC1492" s="52"/>
      <c r="BD1492" s="30"/>
      <c r="BE1492" s="29"/>
      <c r="BF1492" s="30"/>
      <c r="BG1492" s="30"/>
      <c r="BH1492" s="30"/>
      <c r="BI1492" s="30"/>
      <c r="BJ1492" s="30"/>
      <c r="BK1492" s="30"/>
      <c r="BL1492" s="30"/>
      <c r="BM1492" s="30"/>
      <c r="BN1492" s="30"/>
      <c r="BO1492" s="30"/>
      <c r="BP1492" s="30"/>
      <c r="BQ1492" s="30"/>
      <c r="BR1492" s="30"/>
      <c r="BS1492" s="30"/>
      <c r="BT1492" s="30"/>
      <c r="BU1492" s="30"/>
      <c r="BV1492" s="30"/>
      <c r="BW1492" s="30"/>
      <c r="BX1492" s="30"/>
      <c r="BY1492" s="30"/>
      <c r="BZ1492" s="30"/>
      <c r="CA1492" s="30"/>
      <c r="CB1492" s="30"/>
      <c r="CC1492" s="30"/>
      <c r="CD1492" s="30"/>
      <c r="CE1492" s="30"/>
      <c r="CF1492" s="30"/>
      <c r="CG1492" s="30"/>
      <c r="CH1492" s="30"/>
      <c r="CI1492" s="30"/>
      <c r="CJ1492" s="30"/>
      <c r="CK1492" s="30"/>
      <c r="CL1492" s="30"/>
      <c r="CM1492" s="30"/>
      <c r="CN1492" s="30"/>
      <c r="CO1492" s="30"/>
      <c r="CP1492" s="30"/>
      <c r="CQ1492" s="30"/>
      <c r="CR1492" s="30"/>
      <c r="CS1492" s="30"/>
      <c r="CT1492" s="30"/>
      <c r="CU1492" s="30"/>
      <c r="CV1492" s="30"/>
      <c r="CW1492" s="30"/>
      <c r="CX1492" s="30"/>
      <c r="CY1492" s="30"/>
      <c r="CZ1492" s="30"/>
      <c r="DA1492" s="30"/>
      <c r="DB1492" s="30"/>
      <c r="DC1492" s="30"/>
      <c r="DD1492" s="30"/>
      <c r="DE1492" s="30"/>
      <c r="DF1492" s="30"/>
      <c r="DG1492" s="30"/>
      <c r="DH1492" s="30"/>
      <c r="DI1492" s="30"/>
      <c r="DJ1492" s="30"/>
      <c r="DK1492" s="30"/>
      <c r="DL1492" s="30"/>
      <c r="DM1492" s="30"/>
      <c r="DN1492" s="30"/>
      <c r="DO1492" s="30"/>
      <c r="DP1492" s="30"/>
      <c r="DQ1492" s="30"/>
      <c r="DR1492" s="30"/>
      <c r="DS1492" s="30"/>
      <c r="DT1492" s="30"/>
      <c r="DU1492" s="30"/>
      <c r="DV1492" s="30"/>
      <c r="DW1492" s="30"/>
      <c r="DX1492" s="30"/>
      <c r="DY1492" s="30"/>
      <c r="DZ1492" s="30"/>
    </row>
    <row r="1493">
      <c r="A1493" s="30"/>
      <c r="B1493" s="42"/>
      <c r="C1493" s="43"/>
      <c r="D1493" s="30"/>
      <c r="E1493" s="28"/>
      <c r="F1493" s="30"/>
      <c r="G1493" s="30"/>
      <c r="H1493" s="30"/>
      <c r="I1493" s="30"/>
      <c r="J1493" s="28"/>
      <c r="K1493" s="30"/>
      <c r="L1493" s="30"/>
      <c r="M1493" s="30"/>
      <c r="N1493" s="30"/>
      <c r="O1493" s="28"/>
      <c r="P1493" s="30"/>
      <c r="Q1493" s="30"/>
      <c r="R1493" s="30"/>
      <c r="S1493" s="36"/>
      <c r="T1493" s="30"/>
      <c r="U1493" s="36"/>
      <c r="V1493" s="30"/>
      <c r="W1493" s="28"/>
      <c r="X1493" s="30"/>
      <c r="Y1493" s="30"/>
      <c r="Z1493" s="30"/>
      <c r="AA1493" s="30"/>
      <c r="AB1493" s="30"/>
      <c r="AC1493" s="28"/>
      <c r="AD1493" s="30"/>
      <c r="AE1493" s="30"/>
      <c r="AF1493" s="30"/>
      <c r="AG1493" s="29"/>
      <c r="AH1493" s="30"/>
      <c r="AI1493" s="36"/>
      <c r="AJ1493" s="30"/>
      <c r="AK1493" s="29"/>
      <c r="AL1493" s="30"/>
      <c r="AM1493" s="30"/>
      <c r="AN1493" s="30"/>
      <c r="AO1493" s="30"/>
      <c r="AP1493" s="30"/>
      <c r="AQ1493" s="38"/>
      <c r="AR1493" s="30"/>
      <c r="AS1493" s="30"/>
      <c r="AT1493" s="29"/>
      <c r="AU1493" s="30"/>
      <c r="AV1493" s="30"/>
      <c r="AW1493" s="30"/>
      <c r="AX1493" s="29"/>
      <c r="AY1493" s="39"/>
      <c r="AZ1493" s="30"/>
      <c r="BA1493" s="30"/>
      <c r="BB1493" s="29"/>
      <c r="BC1493" s="52"/>
      <c r="BD1493" s="30"/>
      <c r="BE1493" s="29"/>
      <c r="BF1493" s="30"/>
      <c r="BG1493" s="30"/>
      <c r="BH1493" s="30"/>
      <c r="BI1493" s="30"/>
      <c r="BJ1493" s="30"/>
      <c r="BK1493" s="30"/>
      <c r="BL1493" s="30"/>
      <c r="BM1493" s="30"/>
      <c r="BN1493" s="30"/>
      <c r="BO1493" s="30"/>
      <c r="BP1493" s="30"/>
      <c r="BQ1493" s="30"/>
      <c r="BR1493" s="30"/>
      <c r="BS1493" s="30"/>
      <c r="BT1493" s="30"/>
      <c r="BU1493" s="30"/>
      <c r="BV1493" s="30"/>
      <c r="BW1493" s="30"/>
      <c r="BX1493" s="30"/>
      <c r="BY1493" s="30"/>
      <c r="BZ1493" s="30"/>
      <c r="CA1493" s="30"/>
      <c r="CB1493" s="30"/>
      <c r="CC1493" s="30"/>
      <c r="CD1493" s="30"/>
      <c r="CE1493" s="30"/>
      <c r="CF1493" s="30"/>
      <c r="CG1493" s="30"/>
      <c r="CH1493" s="30"/>
      <c r="CI1493" s="30"/>
      <c r="CJ1493" s="30"/>
      <c r="CK1493" s="30"/>
      <c r="CL1493" s="30"/>
      <c r="CM1493" s="30"/>
      <c r="CN1493" s="30"/>
      <c r="CO1493" s="30"/>
      <c r="CP1493" s="30"/>
      <c r="CQ1493" s="30"/>
      <c r="CR1493" s="30"/>
      <c r="CS1493" s="30"/>
      <c r="CT1493" s="30"/>
      <c r="CU1493" s="30"/>
      <c r="CV1493" s="30"/>
      <c r="CW1493" s="30"/>
      <c r="CX1493" s="30"/>
      <c r="CY1493" s="30"/>
      <c r="CZ1493" s="30"/>
      <c r="DA1493" s="30"/>
      <c r="DB1493" s="30"/>
      <c r="DC1493" s="30"/>
      <c r="DD1493" s="30"/>
      <c r="DE1493" s="30"/>
      <c r="DF1493" s="30"/>
      <c r="DG1493" s="30"/>
      <c r="DH1493" s="30"/>
      <c r="DI1493" s="30"/>
      <c r="DJ1493" s="30"/>
      <c r="DK1493" s="30"/>
      <c r="DL1493" s="30"/>
      <c r="DM1493" s="30"/>
      <c r="DN1493" s="30"/>
      <c r="DO1493" s="30"/>
      <c r="DP1493" s="30"/>
      <c r="DQ1493" s="30"/>
      <c r="DR1493" s="30"/>
      <c r="DS1493" s="30"/>
      <c r="DT1493" s="30"/>
      <c r="DU1493" s="30"/>
      <c r="DV1493" s="30"/>
      <c r="DW1493" s="30"/>
      <c r="DX1493" s="30"/>
      <c r="DY1493" s="30"/>
      <c r="DZ1493" s="30"/>
    </row>
    <row r="1494">
      <c r="A1494" s="30"/>
      <c r="B1494" s="42"/>
      <c r="C1494" s="43"/>
      <c r="D1494" s="30"/>
      <c r="E1494" s="28"/>
      <c r="F1494" s="30"/>
      <c r="G1494" s="30"/>
      <c r="H1494" s="30"/>
      <c r="I1494" s="30"/>
      <c r="J1494" s="28"/>
      <c r="K1494" s="30"/>
      <c r="L1494" s="30"/>
      <c r="M1494" s="30"/>
      <c r="N1494" s="30"/>
      <c r="O1494" s="28"/>
      <c r="P1494" s="30"/>
      <c r="Q1494" s="30"/>
      <c r="R1494" s="30"/>
      <c r="S1494" s="36"/>
      <c r="T1494" s="30"/>
      <c r="U1494" s="36"/>
      <c r="V1494" s="30"/>
      <c r="W1494" s="28"/>
      <c r="X1494" s="30"/>
      <c r="Y1494" s="30"/>
      <c r="Z1494" s="30"/>
      <c r="AA1494" s="30"/>
      <c r="AB1494" s="30"/>
      <c r="AC1494" s="28"/>
      <c r="AD1494" s="30"/>
      <c r="AE1494" s="30"/>
      <c r="AF1494" s="30"/>
      <c r="AG1494" s="29"/>
      <c r="AH1494" s="30"/>
      <c r="AI1494" s="36"/>
      <c r="AJ1494" s="30"/>
      <c r="AK1494" s="29"/>
      <c r="AL1494" s="30"/>
      <c r="AM1494" s="30"/>
      <c r="AN1494" s="30"/>
      <c r="AO1494" s="30"/>
      <c r="AP1494" s="30"/>
      <c r="AQ1494" s="38"/>
      <c r="AR1494" s="30"/>
      <c r="AS1494" s="30"/>
      <c r="AT1494" s="29"/>
      <c r="AU1494" s="30"/>
      <c r="AV1494" s="30"/>
      <c r="AW1494" s="30"/>
      <c r="AX1494" s="29"/>
      <c r="AY1494" s="39"/>
      <c r="AZ1494" s="30"/>
      <c r="BA1494" s="30"/>
      <c r="BB1494" s="29"/>
      <c r="BC1494" s="52"/>
      <c r="BD1494" s="30"/>
      <c r="BE1494" s="29"/>
      <c r="BF1494" s="30"/>
      <c r="BG1494" s="30"/>
      <c r="BH1494" s="30"/>
      <c r="BI1494" s="30"/>
      <c r="BJ1494" s="30"/>
      <c r="BK1494" s="30"/>
      <c r="BL1494" s="30"/>
      <c r="BM1494" s="30"/>
      <c r="BN1494" s="30"/>
      <c r="BO1494" s="30"/>
      <c r="BP1494" s="30"/>
      <c r="BQ1494" s="30"/>
      <c r="BR1494" s="30"/>
      <c r="BS1494" s="30"/>
      <c r="BT1494" s="30"/>
      <c r="BU1494" s="30"/>
      <c r="BV1494" s="30"/>
      <c r="BW1494" s="30"/>
      <c r="BX1494" s="30"/>
      <c r="BY1494" s="30"/>
      <c r="BZ1494" s="30"/>
      <c r="CA1494" s="30"/>
      <c r="CB1494" s="30"/>
      <c r="CC1494" s="30"/>
      <c r="CD1494" s="30"/>
      <c r="CE1494" s="30"/>
      <c r="CF1494" s="30"/>
      <c r="CG1494" s="30"/>
      <c r="CH1494" s="30"/>
      <c r="CI1494" s="30"/>
      <c r="CJ1494" s="30"/>
      <c r="CK1494" s="30"/>
      <c r="CL1494" s="30"/>
      <c r="CM1494" s="30"/>
      <c r="CN1494" s="30"/>
      <c r="CO1494" s="30"/>
      <c r="CP1494" s="30"/>
      <c r="CQ1494" s="30"/>
      <c r="CR1494" s="30"/>
      <c r="CS1494" s="30"/>
      <c r="CT1494" s="30"/>
      <c r="CU1494" s="30"/>
      <c r="CV1494" s="30"/>
      <c r="CW1494" s="30"/>
      <c r="CX1494" s="30"/>
      <c r="CY1494" s="30"/>
      <c r="CZ1494" s="30"/>
      <c r="DA1494" s="30"/>
      <c r="DB1494" s="30"/>
      <c r="DC1494" s="30"/>
      <c r="DD1494" s="30"/>
      <c r="DE1494" s="30"/>
      <c r="DF1494" s="30"/>
      <c r="DG1494" s="30"/>
      <c r="DH1494" s="30"/>
      <c r="DI1494" s="30"/>
      <c r="DJ1494" s="30"/>
      <c r="DK1494" s="30"/>
      <c r="DL1494" s="30"/>
      <c r="DM1494" s="30"/>
      <c r="DN1494" s="30"/>
      <c r="DO1494" s="30"/>
      <c r="DP1494" s="30"/>
      <c r="DQ1494" s="30"/>
      <c r="DR1494" s="30"/>
      <c r="DS1494" s="30"/>
      <c r="DT1494" s="30"/>
      <c r="DU1494" s="30"/>
      <c r="DV1494" s="30"/>
      <c r="DW1494" s="30"/>
      <c r="DX1494" s="30"/>
      <c r="DY1494" s="30"/>
      <c r="DZ1494" s="30"/>
    </row>
    <row r="1495">
      <c r="A1495" s="30"/>
      <c r="B1495" s="42"/>
      <c r="C1495" s="43"/>
      <c r="D1495" s="30"/>
      <c r="E1495" s="28"/>
      <c r="F1495" s="30"/>
      <c r="G1495" s="30"/>
      <c r="H1495" s="30"/>
      <c r="I1495" s="30"/>
      <c r="J1495" s="28"/>
      <c r="K1495" s="30"/>
      <c r="L1495" s="30"/>
      <c r="M1495" s="30"/>
      <c r="N1495" s="30"/>
      <c r="O1495" s="28"/>
      <c r="P1495" s="30"/>
      <c r="Q1495" s="30"/>
      <c r="R1495" s="30"/>
      <c r="S1495" s="36"/>
      <c r="T1495" s="30"/>
      <c r="U1495" s="36"/>
      <c r="V1495" s="30"/>
      <c r="W1495" s="28"/>
      <c r="X1495" s="30"/>
      <c r="Y1495" s="30"/>
      <c r="Z1495" s="30"/>
      <c r="AA1495" s="30"/>
      <c r="AB1495" s="30"/>
      <c r="AC1495" s="28"/>
      <c r="AD1495" s="30"/>
      <c r="AE1495" s="30"/>
      <c r="AF1495" s="30"/>
      <c r="AG1495" s="29"/>
      <c r="AH1495" s="30"/>
      <c r="AI1495" s="36"/>
      <c r="AJ1495" s="30"/>
      <c r="AK1495" s="29"/>
      <c r="AL1495" s="30"/>
      <c r="AM1495" s="30"/>
      <c r="AN1495" s="30"/>
      <c r="AO1495" s="30"/>
      <c r="AP1495" s="30"/>
      <c r="AQ1495" s="38"/>
      <c r="AR1495" s="30"/>
      <c r="AS1495" s="30"/>
      <c r="AT1495" s="29"/>
      <c r="AU1495" s="30"/>
      <c r="AV1495" s="30"/>
      <c r="AW1495" s="30"/>
      <c r="AX1495" s="29"/>
      <c r="AY1495" s="39"/>
      <c r="AZ1495" s="30"/>
      <c r="BA1495" s="30"/>
      <c r="BB1495" s="29"/>
      <c r="BC1495" s="52"/>
      <c r="BD1495" s="30"/>
      <c r="BE1495" s="29"/>
      <c r="BF1495" s="30"/>
      <c r="BG1495" s="30"/>
      <c r="BH1495" s="30"/>
      <c r="BI1495" s="30"/>
      <c r="BJ1495" s="30"/>
      <c r="BK1495" s="30"/>
      <c r="BL1495" s="30"/>
      <c r="BM1495" s="30"/>
      <c r="BN1495" s="30"/>
      <c r="BO1495" s="30"/>
      <c r="BP1495" s="30"/>
      <c r="BQ1495" s="30"/>
      <c r="BR1495" s="30"/>
      <c r="BS1495" s="30"/>
      <c r="BT1495" s="30"/>
      <c r="BU1495" s="30"/>
      <c r="BV1495" s="30"/>
      <c r="BW1495" s="30"/>
      <c r="BX1495" s="30"/>
      <c r="BY1495" s="30"/>
      <c r="BZ1495" s="30"/>
      <c r="CA1495" s="30"/>
      <c r="CB1495" s="30"/>
      <c r="CC1495" s="30"/>
      <c r="CD1495" s="30"/>
      <c r="CE1495" s="30"/>
      <c r="CF1495" s="30"/>
      <c r="CG1495" s="30"/>
      <c r="CH1495" s="30"/>
      <c r="CI1495" s="30"/>
      <c r="CJ1495" s="30"/>
      <c r="CK1495" s="30"/>
      <c r="CL1495" s="30"/>
      <c r="CM1495" s="30"/>
      <c r="CN1495" s="30"/>
      <c r="CO1495" s="30"/>
      <c r="CP1495" s="30"/>
      <c r="CQ1495" s="30"/>
      <c r="CR1495" s="30"/>
      <c r="CS1495" s="30"/>
      <c r="CT1495" s="30"/>
      <c r="CU1495" s="30"/>
      <c r="CV1495" s="30"/>
      <c r="CW1495" s="30"/>
      <c r="CX1495" s="30"/>
      <c r="CY1495" s="30"/>
      <c r="CZ1495" s="30"/>
      <c r="DA1495" s="30"/>
      <c r="DB1495" s="30"/>
      <c r="DC1495" s="30"/>
      <c r="DD1495" s="30"/>
      <c r="DE1495" s="30"/>
      <c r="DF1495" s="30"/>
      <c r="DG1495" s="30"/>
      <c r="DH1495" s="30"/>
      <c r="DI1495" s="30"/>
      <c r="DJ1495" s="30"/>
      <c r="DK1495" s="30"/>
      <c r="DL1495" s="30"/>
      <c r="DM1495" s="30"/>
      <c r="DN1495" s="30"/>
      <c r="DO1495" s="30"/>
      <c r="DP1495" s="30"/>
      <c r="DQ1495" s="30"/>
      <c r="DR1495" s="30"/>
      <c r="DS1495" s="30"/>
      <c r="DT1495" s="30"/>
      <c r="DU1495" s="30"/>
      <c r="DV1495" s="30"/>
      <c r="DW1495" s="30"/>
      <c r="DX1495" s="30"/>
      <c r="DY1495" s="30"/>
      <c r="DZ1495" s="30"/>
    </row>
    <row r="1496">
      <c r="A1496" s="30"/>
      <c r="B1496" s="42"/>
      <c r="C1496" s="43"/>
      <c r="D1496" s="30"/>
      <c r="E1496" s="28"/>
      <c r="F1496" s="30"/>
      <c r="G1496" s="30"/>
      <c r="H1496" s="30"/>
      <c r="I1496" s="30"/>
      <c r="J1496" s="28"/>
      <c r="K1496" s="30"/>
      <c r="L1496" s="30"/>
      <c r="M1496" s="30"/>
      <c r="N1496" s="30"/>
      <c r="O1496" s="28"/>
      <c r="P1496" s="30"/>
      <c r="Q1496" s="30"/>
      <c r="R1496" s="30"/>
      <c r="S1496" s="36"/>
      <c r="T1496" s="30"/>
      <c r="U1496" s="36"/>
      <c r="V1496" s="30"/>
      <c r="W1496" s="28"/>
      <c r="X1496" s="30"/>
      <c r="Y1496" s="30"/>
      <c r="Z1496" s="30"/>
      <c r="AA1496" s="30"/>
      <c r="AB1496" s="30"/>
      <c r="AC1496" s="28"/>
      <c r="AD1496" s="30"/>
      <c r="AE1496" s="30"/>
      <c r="AF1496" s="30"/>
      <c r="AG1496" s="29"/>
      <c r="AH1496" s="30"/>
      <c r="AI1496" s="36"/>
      <c r="AJ1496" s="30"/>
      <c r="AK1496" s="29"/>
      <c r="AL1496" s="30"/>
      <c r="AM1496" s="30"/>
      <c r="AN1496" s="30"/>
      <c r="AO1496" s="30"/>
      <c r="AP1496" s="30"/>
      <c r="AQ1496" s="38"/>
      <c r="AR1496" s="30"/>
      <c r="AS1496" s="30"/>
      <c r="AT1496" s="29"/>
      <c r="AU1496" s="30"/>
      <c r="AV1496" s="30"/>
      <c r="AW1496" s="30"/>
      <c r="AX1496" s="29"/>
      <c r="AY1496" s="39"/>
      <c r="AZ1496" s="30"/>
      <c r="BA1496" s="30"/>
      <c r="BB1496" s="29"/>
      <c r="BC1496" s="52"/>
      <c r="BD1496" s="30"/>
      <c r="BE1496" s="29"/>
      <c r="BF1496" s="30"/>
      <c r="BG1496" s="30"/>
      <c r="BH1496" s="30"/>
      <c r="BI1496" s="30"/>
      <c r="BJ1496" s="30"/>
      <c r="BK1496" s="30"/>
      <c r="BL1496" s="30"/>
      <c r="BM1496" s="30"/>
      <c r="BN1496" s="30"/>
      <c r="BO1496" s="30"/>
      <c r="BP1496" s="30"/>
      <c r="BQ1496" s="30"/>
      <c r="BR1496" s="30"/>
      <c r="BS1496" s="30"/>
      <c r="BT1496" s="30"/>
      <c r="BU1496" s="30"/>
      <c r="BV1496" s="30"/>
      <c r="BW1496" s="30"/>
      <c r="BX1496" s="30"/>
      <c r="BY1496" s="30"/>
      <c r="BZ1496" s="30"/>
      <c r="CA1496" s="30"/>
      <c r="CB1496" s="30"/>
      <c r="CC1496" s="30"/>
      <c r="CD1496" s="30"/>
      <c r="CE1496" s="30"/>
      <c r="CF1496" s="30"/>
      <c r="CG1496" s="30"/>
      <c r="CH1496" s="30"/>
      <c r="CI1496" s="30"/>
      <c r="CJ1496" s="30"/>
      <c r="CK1496" s="30"/>
      <c r="CL1496" s="30"/>
      <c r="CM1496" s="30"/>
      <c r="CN1496" s="30"/>
      <c r="CO1496" s="30"/>
      <c r="CP1496" s="30"/>
      <c r="CQ1496" s="30"/>
      <c r="CR1496" s="30"/>
      <c r="CS1496" s="30"/>
      <c r="CT1496" s="30"/>
      <c r="CU1496" s="30"/>
      <c r="CV1496" s="30"/>
      <c r="CW1496" s="30"/>
      <c r="CX1496" s="30"/>
      <c r="CY1496" s="30"/>
      <c r="CZ1496" s="30"/>
      <c r="DA1496" s="30"/>
      <c r="DB1496" s="30"/>
      <c r="DC1496" s="30"/>
      <c r="DD1496" s="30"/>
      <c r="DE1496" s="30"/>
      <c r="DF1496" s="30"/>
      <c r="DG1496" s="30"/>
      <c r="DH1496" s="30"/>
      <c r="DI1496" s="30"/>
      <c r="DJ1496" s="30"/>
      <c r="DK1496" s="30"/>
      <c r="DL1496" s="30"/>
      <c r="DM1496" s="30"/>
      <c r="DN1496" s="30"/>
      <c r="DO1496" s="30"/>
      <c r="DP1496" s="30"/>
      <c r="DQ1496" s="30"/>
      <c r="DR1496" s="30"/>
      <c r="DS1496" s="30"/>
      <c r="DT1496" s="30"/>
      <c r="DU1496" s="30"/>
      <c r="DV1496" s="30"/>
      <c r="DW1496" s="30"/>
      <c r="DX1496" s="30"/>
      <c r="DY1496" s="30"/>
      <c r="DZ1496" s="30"/>
    </row>
    <row r="1497">
      <c r="A1497" s="30"/>
      <c r="B1497" s="42"/>
      <c r="C1497" s="43"/>
      <c r="D1497" s="30"/>
      <c r="E1497" s="28"/>
      <c r="F1497" s="30"/>
      <c r="G1497" s="30"/>
      <c r="H1497" s="30"/>
      <c r="I1497" s="30"/>
      <c r="J1497" s="28"/>
      <c r="K1497" s="30"/>
      <c r="L1497" s="30"/>
      <c r="M1497" s="30"/>
      <c r="N1497" s="30"/>
      <c r="O1497" s="28"/>
      <c r="P1497" s="30"/>
      <c r="Q1497" s="30"/>
      <c r="R1497" s="30"/>
      <c r="S1497" s="36"/>
      <c r="T1497" s="30"/>
      <c r="U1497" s="36"/>
      <c r="V1497" s="30"/>
      <c r="W1497" s="28"/>
      <c r="X1497" s="30"/>
      <c r="Y1497" s="30"/>
      <c r="Z1497" s="30"/>
      <c r="AA1497" s="30"/>
      <c r="AB1497" s="30"/>
      <c r="AC1497" s="28"/>
      <c r="AD1497" s="30"/>
      <c r="AE1497" s="30"/>
      <c r="AF1497" s="30"/>
      <c r="AG1497" s="29"/>
      <c r="AH1497" s="30"/>
      <c r="AI1497" s="36"/>
      <c r="AJ1497" s="30"/>
      <c r="AK1497" s="29"/>
      <c r="AL1497" s="30"/>
      <c r="AM1497" s="30"/>
      <c r="AN1497" s="30"/>
      <c r="AO1497" s="30"/>
      <c r="AP1497" s="30"/>
      <c r="AQ1497" s="38"/>
      <c r="AR1497" s="30"/>
      <c r="AS1497" s="30"/>
      <c r="AT1497" s="29"/>
      <c r="AU1497" s="30"/>
      <c r="AV1497" s="30"/>
      <c r="AW1497" s="30"/>
      <c r="AX1497" s="29"/>
      <c r="AY1497" s="39"/>
      <c r="AZ1497" s="30"/>
      <c r="BA1497" s="30"/>
      <c r="BB1497" s="29"/>
      <c r="BC1497" s="52"/>
      <c r="BD1497" s="30"/>
      <c r="BE1497" s="29"/>
      <c r="BF1497" s="30"/>
      <c r="BG1497" s="30"/>
      <c r="BH1497" s="30"/>
      <c r="BI1497" s="30"/>
      <c r="BJ1497" s="30"/>
      <c r="BK1497" s="30"/>
      <c r="BL1497" s="30"/>
      <c r="BM1497" s="30"/>
      <c r="BN1497" s="30"/>
      <c r="BO1497" s="30"/>
      <c r="BP1497" s="30"/>
      <c r="BQ1497" s="30"/>
      <c r="BR1497" s="30"/>
      <c r="BS1497" s="30"/>
      <c r="BT1497" s="30"/>
      <c r="BU1497" s="30"/>
      <c r="BV1497" s="30"/>
      <c r="BW1497" s="30"/>
      <c r="BX1497" s="30"/>
      <c r="BY1497" s="30"/>
      <c r="BZ1497" s="30"/>
      <c r="CA1497" s="30"/>
      <c r="CB1497" s="30"/>
      <c r="CC1497" s="30"/>
      <c r="CD1497" s="30"/>
      <c r="CE1497" s="30"/>
      <c r="CF1497" s="30"/>
      <c r="CG1497" s="30"/>
      <c r="CH1497" s="30"/>
      <c r="CI1497" s="30"/>
      <c r="CJ1497" s="30"/>
      <c r="CK1497" s="30"/>
      <c r="CL1497" s="30"/>
      <c r="CM1497" s="30"/>
      <c r="CN1497" s="30"/>
      <c r="CO1497" s="30"/>
      <c r="CP1497" s="30"/>
      <c r="CQ1497" s="30"/>
      <c r="CR1497" s="30"/>
      <c r="CS1497" s="30"/>
      <c r="CT1497" s="30"/>
      <c r="CU1497" s="30"/>
      <c r="CV1497" s="30"/>
      <c r="CW1497" s="30"/>
      <c r="CX1497" s="30"/>
      <c r="CY1497" s="30"/>
      <c r="CZ1497" s="30"/>
      <c r="DA1497" s="30"/>
      <c r="DB1497" s="30"/>
      <c r="DC1497" s="30"/>
      <c r="DD1497" s="30"/>
      <c r="DE1497" s="30"/>
      <c r="DF1497" s="30"/>
      <c r="DG1497" s="30"/>
      <c r="DH1497" s="30"/>
      <c r="DI1497" s="30"/>
      <c r="DJ1497" s="30"/>
      <c r="DK1497" s="30"/>
      <c r="DL1497" s="30"/>
      <c r="DM1497" s="30"/>
      <c r="DN1497" s="30"/>
      <c r="DO1497" s="30"/>
      <c r="DP1497" s="30"/>
      <c r="DQ1497" s="30"/>
      <c r="DR1497" s="30"/>
      <c r="DS1497" s="30"/>
      <c r="DT1497" s="30"/>
      <c r="DU1497" s="30"/>
      <c r="DV1497" s="30"/>
      <c r="DW1497" s="30"/>
      <c r="DX1497" s="30"/>
      <c r="DY1497" s="30"/>
      <c r="DZ1497" s="30"/>
    </row>
    <row r="1498">
      <c r="A1498" s="30"/>
      <c r="B1498" s="42"/>
      <c r="C1498" s="43"/>
      <c r="D1498" s="30"/>
      <c r="E1498" s="28"/>
      <c r="F1498" s="30"/>
      <c r="G1498" s="30"/>
      <c r="H1498" s="30"/>
      <c r="I1498" s="30"/>
      <c r="J1498" s="28"/>
      <c r="K1498" s="30"/>
      <c r="L1498" s="30"/>
      <c r="M1498" s="30"/>
      <c r="N1498" s="30"/>
      <c r="O1498" s="28"/>
      <c r="P1498" s="30"/>
      <c r="Q1498" s="30"/>
      <c r="R1498" s="30"/>
      <c r="S1498" s="36"/>
      <c r="T1498" s="30"/>
      <c r="U1498" s="36"/>
      <c r="V1498" s="30"/>
      <c r="W1498" s="28"/>
      <c r="X1498" s="30"/>
      <c r="Y1498" s="30"/>
      <c r="Z1498" s="30"/>
      <c r="AA1498" s="30"/>
      <c r="AB1498" s="30"/>
      <c r="AC1498" s="28"/>
      <c r="AD1498" s="30"/>
      <c r="AE1498" s="30"/>
      <c r="AF1498" s="30"/>
      <c r="AG1498" s="29"/>
      <c r="AH1498" s="30"/>
      <c r="AI1498" s="36"/>
      <c r="AJ1498" s="30"/>
      <c r="AK1498" s="29"/>
      <c r="AL1498" s="30"/>
      <c r="AM1498" s="30"/>
      <c r="AN1498" s="30"/>
      <c r="AO1498" s="30"/>
      <c r="AP1498" s="30"/>
      <c r="AQ1498" s="38"/>
      <c r="AR1498" s="30"/>
      <c r="AS1498" s="30"/>
      <c r="AT1498" s="29"/>
      <c r="AU1498" s="30"/>
      <c r="AV1498" s="30"/>
      <c r="AW1498" s="30"/>
      <c r="AX1498" s="29"/>
      <c r="AY1498" s="39"/>
      <c r="AZ1498" s="30"/>
      <c r="BA1498" s="30"/>
      <c r="BB1498" s="29"/>
      <c r="BC1498" s="52"/>
      <c r="BD1498" s="30"/>
      <c r="BE1498" s="29"/>
      <c r="BF1498" s="30"/>
      <c r="BG1498" s="30"/>
      <c r="BH1498" s="30"/>
      <c r="BI1498" s="30"/>
      <c r="BJ1498" s="30"/>
      <c r="BK1498" s="30"/>
      <c r="BL1498" s="30"/>
      <c r="BM1498" s="30"/>
      <c r="BN1498" s="30"/>
      <c r="BO1498" s="30"/>
      <c r="BP1498" s="30"/>
      <c r="BQ1498" s="30"/>
      <c r="BR1498" s="30"/>
      <c r="BS1498" s="30"/>
      <c r="BT1498" s="30"/>
      <c r="BU1498" s="30"/>
      <c r="BV1498" s="30"/>
      <c r="BW1498" s="30"/>
      <c r="BX1498" s="30"/>
      <c r="BY1498" s="30"/>
      <c r="BZ1498" s="30"/>
      <c r="CA1498" s="30"/>
      <c r="CB1498" s="30"/>
      <c r="CC1498" s="30"/>
      <c r="CD1498" s="30"/>
      <c r="CE1498" s="30"/>
      <c r="CF1498" s="30"/>
      <c r="CG1498" s="30"/>
      <c r="CH1498" s="30"/>
      <c r="CI1498" s="30"/>
      <c r="CJ1498" s="30"/>
      <c r="CK1498" s="30"/>
      <c r="CL1498" s="30"/>
      <c r="CM1498" s="30"/>
      <c r="CN1498" s="30"/>
      <c r="CO1498" s="30"/>
      <c r="CP1498" s="30"/>
      <c r="CQ1498" s="30"/>
      <c r="CR1498" s="30"/>
      <c r="CS1498" s="30"/>
      <c r="CT1498" s="30"/>
      <c r="CU1498" s="30"/>
      <c r="CV1498" s="30"/>
      <c r="CW1498" s="30"/>
      <c r="CX1498" s="30"/>
      <c r="CY1498" s="30"/>
      <c r="CZ1498" s="30"/>
      <c r="DA1498" s="30"/>
      <c r="DB1498" s="30"/>
      <c r="DC1498" s="30"/>
      <c r="DD1498" s="30"/>
      <c r="DE1498" s="30"/>
      <c r="DF1498" s="30"/>
      <c r="DG1498" s="30"/>
      <c r="DH1498" s="30"/>
      <c r="DI1498" s="30"/>
      <c r="DJ1498" s="30"/>
      <c r="DK1498" s="30"/>
      <c r="DL1498" s="30"/>
      <c r="DM1498" s="30"/>
      <c r="DN1498" s="30"/>
      <c r="DO1498" s="30"/>
      <c r="DP1498" s="30"/>
      <c r="DQ1498" s="30"/>
      <c r="DR1498" s="30"/>
      <c r="DS1498" s="30"/>
      <c r="DT1498" s="30"/>
      <c r="DU1498" s="30"/>
      <c r="DV1498" s="30"/>
      <c r="DW1498" s="30"/>
      <c r="DX1498" s="30"/>
      <c r="DY1498" s="30"/>
      <c r="DZ1498" s="30"/>
    </row>
    <row r="1499">
      <c r="A1499" s="30"/>
      <c r="B1499" s="42"/>
      <c r="C1499" s="43"/>
      <c r="D1499" s="30"/>
      <c r="E1499" s="28"/>
      <c r="F1499" s="30"/>
      <c r="G1499" s="30"/>
      <c r="H1499" s="30"/>
      <c r="I1499" s="30"/>
      <c r="J1499" s="28"/>
      <c r="K1499" s="30"/>
      <c r="L1499" s="30"/>
      <c r="M1499" s="30"/>
      <c r="N1499" s="30"/>
      <c r="O1499" s="28"/>
      <c r="P1499" s="30"/>
      <c r="Q1499" s="30"/>
      <c r="R1499" s="30"/>
      <c r="S1499" s="36"/>
      <c r="T1499" s="30"/>
      <c r="U1499" s="36"/>
      <c r="V1499" s="30"/>
      <c r="W1499" s="28"/>
      <c r="X1499" s="30"/>
      <c r="Y1499" s="30"/>
      <c r="Z1499" s="30"/>
      <c r="AA1499" s="30"/>
      <c r="AB1499" s="30"/>
      <c r="AC1499" s="28"/>
      <c r="AD1499" s="30"/>
      <c r="AE1499" s="30"/>
      <c r="AF1499" s="30"/>
      <c r="AG1499" s="29"/>
      <c r="AH1499" s="30"/>
      <c r="AI1499" s="36"/>
      <c r="AJ1499" s="30"/>
      <c r="AK1499" s="29"/>
      <c r="AL1499" s="30"/>
      <c r="AM1499" s="30"/>
      <c r="AN1499" s="30"/>
      <c r="AO1499" s="30"/>
      <c r="AP1499" s="30"/>
      <c r="AQ1499" s="38"/>
      <c r="AR1499" s="30"/>
      <c r="AS1499" s="30"/>
      <c r="AT1499" s="29"/>
      <c r="AU1499" s="30"/>
      <c r="AV1499" s="30"/>
      <c r="AW1499" s="30"/>
      <c r="AX1499" s="29"/>
      <c r="AY1499" s="39"/>
      <c r="AZ1499" s="30"/>
      <c r="BA1499" s="30"/>
      <c r="BB1499" s="29"/>
      <c r="BC1499" s="52"/>
      <c r="BD1499" s="30"/>
      <c r="BE1499" s="29"/>
      <c r="BF1499" s="30"/>
      <c r="BG1499" s="30"/>
      <c r="BH1499" s="30"/>
      <c r="BI1499" s="30"/>
      <c r="BJ1499" s="30"/>
      <c r="BK1499" s="30"/>
      <c r="BL1499" s="30"/>
      <c r="BM1499" s="30"/>
      <c r="BN1499" s="30"/>
      <c r="BO1499" s="30"/>
      <c r="BP1499" s="30"/>
      <c r="BQ1499" s="30"/>
      <c r="BR1499" s="30"/>
      <c r="BS1499" s="30"/>
      <c r="BT1499" s="30"/>
      <c r="BU1499" s="30"/>
      <c r="BV1499" s="30"/>
      <c r="BW1499" s="30"/>
      <c r="BX1499" s="30"/>
      <c r="BY1499" s="30"/>
      <c r="BZ1499" s="30"/>
      <c r="CA1499" s="30"/>
      <c r="CB1499" s="30"/>
      <c r="CC1499" s="30"/>
      <c r="CD1499" s="30"/>
      <c r="CE1499" s="30"/>
      <c r="CF1499" s="30"/>
      <c r="CG1499" s="30"/>
      <c r="CH1499" s="30"/>
      <c r="CI1499" s="30"/>
      <c r="CJ1499" s="30"/>
      <c r="CK1499" s="30"/>
      <c r="CL1499" s="30"/>
      <c r="CM1499" s="30"/>
      <c r="CN1499" s="30"/>
      <c r="CO1499" s="30"/>
      <c r="CP1499" s="30"/>
      <c r="CQ1499" s="30"/>
      <c r="CR1499" s="30"/>
      <c r="CS1499" s="30"/>
      <c r="CT1499" s="30"/>
      <c r="CU1499" s="30"/>
      <c r="CV1499" s="30"/>
      <c r="CW1499" s="30"/>
      <c r="CX1499" s="30"/>
      <c r="CY1499" s="30"/>
      <c r="CZ1499" s="30"/>
      <c r="DA1499" s="30"/>
      <c r="DB1499" s="30"/>
      <c r="DC1499" s="30"/>
      <c r="DD1499" s="30"/>
      <c r="DE1499" s="30"/>
      <c r="DF1499" s="30"/>
      <c r="DG1499" s="30"/>
      <c r="DH1499" s="30"/>
      <c r="DI1499" s="30"/>
      <c r="DJ1499" s="30"/>
      <c r="DK1499" s="30"/>
      <c r="DL1499" s="30"/>
      <c r="DM1499" s="30"/>
      <c r="DN1499" s="30"/>
      <c r="DO1499" s="30"/>
      <c r="DP1499" s="30"/>
      <c r="DQ1499" s="30"/>
      <c r="DR1499" s="30"/>
      <c r="DS1499" s="30"/>
      <c r="DT1499" s="30"/>
      <c r="DU1499" s="30"/>
      <c r="DV1499" s="30"/>
      <c r="DW1499" s="30"/>
      <c r="DX1499" s="30"/>
      <c r="DY1499" s="30"/>
      <c r="DZ1499" s="30"/>
    </row>
    <row r="1500">
      <c r="A1500" s="30"/>
      <c r="B1500" s="42"/>
      <c r="C1500" s="43"/>
      <c r="D1500" s="30"/>
      <c r="E1500" s="28"/>
      <c r="F1500" s="30"/>
      <c r="G1500" s="30"/>
      <c r="H1500" s="30"/>
      <c r="I1500" s="30"/>
      <c r="J1500" s="28"/>
      <c r="K1500" s="30"/>
      <c r="L1500" s="30"/>
      <c r="M1500" s="30"/>
      <c r="N1500" s="30"/>
      <c r="O1500" s="28"/>
      <c r="P1500" s="30"/>
      <c r="Q1500" s="30"/>
      <c r="R1500" s="30"/>
      <c r="S1500" s="36"/>
      <c r="T1500" s="30"/>
      <c r="U1500" s="36"/>
      <c r="V1500" s="30"/>
      <c r="W1500" s="28"/>
      <c r="X1500" s="30"/>
      <c r="Y1500" s="30"/>
      <c r="Z1500" s="30"/>
      <c r="AA1500" s="30"/>
      <c r="AB1500" s="30"/>
      <c r="AC1500" s="28"/>
      <c r="AD1500" s="30"/>
      <c r="AE1500" s="30"/>
      <c r="AF1500" s="30"/>
      <c r="AG1500" s="29"/>
      <c r="AH1500" s="30"/>
      <c r="AI1500" s="36"/>
      <c r="AJ1500" s="30"/>
      <c r="AK1500" s="29"/>
      <c r="AL1500" s="30"/>
      <c r="AM1500" s="30"/>
      <c r="AN1500" s="30"/>
      <c r="AO1500" s="30"/>
      <c r="AP1500" s="30"/>
      <c r="AQ1500" s="38"/>
      <c r="AR1500" s="30"/>
      <c r="AS1500" s="30"/>
      <c r="AT1500" s="29"/>
      <c r="AU1500" s="30"/>
      <c r="AV1500" s="30"/>
      <c r="AW1500" s="30"/>
      <c r="AX1500" s="29"/>
      <c r="AY1500" s="39"/>
      <c r="AZ1500" s="30"/>
      <c r="BA1500" s="30"/>
      <c r="BB1500" s="29"/>
      <c r="BC1500" s="52"/>
      <c r="BD1500" s="30"/>
      <c r="BE1500" s="29"/>
      <c r="BF1500" s="30"/>
      <c r="BG1500" s="30"/>
      <c r="BH1500" s="30"/>
      <c r="BI1500" s="30"/>
      <c r="BJ1500" s="30"/>
      <c r="BK1500" s="30"/>
      <c r="BL1500" s="30"/>
      <c r="BM1500" s="30"/>
      <c r="BN1500" s="30"/>
      <c r="BO1500" s="30"/>
      <c r="BP1500" s="30"/>
      <c r="BQ1500" s="30"/>
      <c r="BR1500" s="30"/>
      <c r="BS1500" s="30"/>
      <c r="BT1500" s="30"/>
      <c r="BU1500" s="30"/>
      <c r="BV1500" s="30"/>
      <c r="BW1500" s="30"/>
      <c r="BX1500" s="30"/>
      <c r="BY1500" s="30"/>
      <c r="BZ1500" s="30"/>
      <c r="CA1500" s="30"/>
      <c r="CB1500" s="30"/>
      <c r="CC1500" s="30"/>
      <c r="CD1500" s="30"/>
      <c r="CE1500" s="30"/>
      <c r="CF1500" s="30"/>
      <c r="CG1500" s="30"/>
      <c r="CH1500" s="30"/>
      <c r="CI1500" s="30"/>
      <c r="CJ1500" s="30"/>
      <c r="CK1500" s="30"/>
      <c r="CL1500" s="30"/>
      <c r="CM1500" s="30"/>
      <c r="CN1500" s="30"/>
      <c r="CO1500" s="30"/>
      <c r="CP1500" s="30"/>
      <c r="CQ1500" s="30"/>
      <c r="CR1500" s="30"/>
      <c r="CS1500" s="30"/>
      <c r="CT1500" s="30"/>
      <c r="CU1500" s="30"/>
      <c r="CV1500" s="30"/>
      <c r="CW1500" s="30"/>
      <c r="CX1500" s="30"/>
      <c r="CY1500" s="30"/>
      <c r="CZ1500" s="30"/>
      <c r="DA1500" s="30"/>
      <c r="DB1500" s="30"/>
      <c r="DC1500" s="30"/>
      <c r="DD1500" s="30"/>
      <c r="DE1500" s="30"/>
      <c r="DF1500" s="30"/>
      <c r="DG1500" s="30"/>
      <c r="DH1500" s="30"/>
      <c r="DI1500" s="30"/>
      <c r="DJ1500" s="30"/>
      <c r="DK1500" s="30"/>
      <c r="DL1500" s="30"/>
      <c r="DM1500" s="30"/>
      <c r="DN1500" s="30"/>
      <c r="DO1500" s="30"/>
      <c r="DP1500" s="30"/>
      <c r="DQ1500" s="30"/>
      <c r="DR1500" s="30"/>
      <c r="DS1500" s="30"/>
      <c r="DT1500" s="30"/>
      <c r="DU1500" s="30"/>
      <c r="DV1500" s="30"/>
      <c r="DW1500" s="30"/>
      <c r="DX1500" s="30"/>
      <c r="DY1500" s="30"/>
      <c r="DZ1500" s="30"/>
    </row>
    <row r="1501">
      <c r="A1501" s="30"/>
      <c r="B1501" s="42"/>
      <c r="C1501" s="43"/>
      <c r="D1501" s="30"/>
      <c r="E1501" s="28"/>
      <c r="F1501" s="30"/>
      <c r="G1501" s="30"/>
      <c r="H1501" s="30"/>
      <c r="I1501" s="30"/>
      <c r="J1501" s="28"/>
      <c r="K1501" s="30"/>
      <c r="L1501" s="30"/>
      <c r="M1501" s="30"/>
      <c r="N1501" s="30"/>
      <c r="O1501" s="28"/>
      <c r="P1501" s="30"/>
      <c r="Q1501" s="30"/>
      <c r="R1501" s="30"/>
      <c r="S1501" s="36"/>
      <c r="T1501" s="30"/>
      <c r="U1501" s="36"/>
      <c r="V1501" s="30"/>
      <c r="W1501" s="28"/>
      <c r="X1501" s="30"/>
      <c r="Y1501" s="30"/>
      <c r="Z1501" s="30"/>
      <c r="AA1501" s="30"/>
      <c r="AB1501" s="30"/>
      <c r="AC1501" s="28"/>
      <c r="AD1501" s="30"/>
      <c r="AE1501" s="30"/>
      <c r="AF1501" s="30"/>
      <c r="AG1501" s="29"/>
      <c r="AH1501" s="30"/>
      <c r="AI1501" s="36"/>
      <c r="AJ1501" s="30"/>
      <c r="AK1501" s="29"/>
      <c r="AL1501" s="30"/>
      <c r="AM1501" s="30"/>
      <c r="AN1501" s="30"/>
      <c r="AO1501" s="30"/>
      <c r="AP1501" s="30"/>
      <c r="AQ1501" s="38"/>
      <c r="AR1501" s="30"/>
      <c r="AS1501" s="30"/>
      <c r="AT1501" s="29"/>
      <c r="AU1501" s="30"/>
      <c r="AV1501" s="30"/>
      <c r="AW1501" s="30"/>
      <c r="AX1501" s="29"/>
      <c r="AY1501" s="39"/>
      <c r="AZ1501" s="30"/>
      <c r="BA1501" s="30"/>
      <c r="BB1501" s="29"/>
      <c r="BC1501" s="52"/>
      <c r="BD1501" s="30"/>
      <c r="BE1501" s="29"/>
      <c r="BF1501" s="30"/>
      <c r="BG1501" s="30"/>
      <c r="BH1501" s="30"/>
      <c r="BI1501" s="30"/>
      <c r="BJ1501" s="30"/>
      <c r="BK1501" s="30"/>
      <c r="BL1501" s="30"/>
      <c r="BM1501" s="30"/>
      <c r="BN1501" s="30"/>
      <c r="BO1501" s="30"/>
      <c r="BP1501" s="30"/>
      <c r="BQ1501" s="30"/>
      <c r="BR1501" s="30"/>
      <c r="BS1501" s="30"/>
      <c r="BT1501" s="30"/>
      <c r="BU1501" s="30"/>
      <c r="BV1501" s="30"/>
      <c r="BW1501" s="30"/>
      <c r="BX1501" s="30"/>
      <c r="BY1501" s="30"/>
      <c r="BZ1501" s="30"/>
      <c r="CA1501" s="30"/>
      <c r="CB1501" s="30"/>
      <c r="CC1501" s="30"/>
      <c r="CD1501" s="30"/>
      <c r="CE1501" s="30"/>
      <c r="CF1501" s="30"/>
      <c r="CG1501" s="30"/>
      <c r="CH1501" s="30"/>
      <c r="CI1501" s="30"/>
      <c r="CJ1501" s="30"/>
      <c r="CK1501" s="30"/>
      <c r="CL1501" s="30"/>
      <c r="CM1501" s="30"/>
      <c r="CN1501" s="30"/>
      <c r="CO1501" s="30"/>
      <c r="CP1501" s="30"/>
      <c r="CQ1501" s="30"/>
      <c r="CR1501" s="30"/>
      <c r="CS1501" s="30"/>
      <c r="CT1501" s="30"/>
      <c r="CU1501" s="30"/>
      <c r="CV1501" s="30"/>
      <c r="CW1501" s="30"/>
      <c r="CX1501" s="30"/>
      <c r="CY1501" s="30"/>
      <c r="CZ1501" s="30"/>
      <c r="DA1501" s="30"/>
      <c r="DB1501" s="30"/>
      <c r="DC1501" s="30"/>
      <c r="DD1501" s="30"/>
      <c r="DE1501" s="30"/>
      <c r="DF1501" s="30"/>
      <c r="DG1501" s="30"/>
      <c r="DH1501" s="30"/>
      <c r="DI1501" s="30"/>
      <c r="DJ1501" s="30"/>
      <c r="DK1501" s="30"/>
      <c r="DL1501" s="30"/>
      <c r="DM1501" s="30"/>
      <c r="DN1501" s="30"/>
      <c r="DO1501" s="30"/>
      <c r="DP1501" s="30"/>
      <c r="DQ1501" s="30"/>
      <c r="DR1501" s="30"/>
      <c r="DS1501" s="30"/>
      <c r="DT1501" s="30"/>
      <c r="DU1501" s="30"/>
      <c r="DV1501" s="30"/>
      <c r="DW1501" s="30"/>
      <c r="DX1501" s="30"/>
      <c r="DY1501" s="30"/>
      <c r="DZ1501" s="30"/>
    </row>
    <row r="1502">
      <c r="A1502" s="30"/>
      <c r="B1502" s="42"/>
      <c r="C1502" s="43"/>
      <c r="D1502" s="30"/>
      <c r="E1502" s="28"/>
      <c r="F1502" s="30"/>
      <c r="G1502" s="30"/>
      <c r="H1502" s="30"/>
      <c r="I1502" s="30"/>
      <c r="J1502" s="28"/>
      <c r="K1502" s="30"/>
      <c r="L1502" s="30"/>
      <c r="M1502" s="30"/>
      <c r="N1502" s="30"/>
      <c r="O1502" s="28"/>
      <c r="P1502" s="30"/>
      <c r="Q1502" s="30"/>
      <c r="R1502" s="30"/>
      <c r="S1502" s="36"/>
      <c r="T1502" s="30"/>
      <c r="U1502" s="36"/>
      <c r="V1502" s="30"/>
      <c r="W1502" s="28"/>
      <c r="X1502" s="30"/>
      <c r="Y1502" s="30"/>
      <c r="Z1502" s="30"/>
      <c r="AA1502" s="30"/>
      <c r="AB1502" s="30"/>
      <c r="AC1502" s="28"/>
      <c r="AD1502" s="30"/>
      <c r="AE1502" s="30"/>
      <c r="AF1502" s="30"/>
      <c r="AG1502" s="29"/>
      <c r="AH1502" s="30"/>
      <c r="AI1502" s="36"/>
      <c r="AJ1502" s="30"/>
      <c r="AK1502" s="29"/>
      <c r="AL1502" s="30"/>
      <c r="AM1502" s="30"/>
      <c r="AN1502" s="30"/>
      <c r="AO1502" s="30"/>
      <c r="AP1502" s="30"/>
      <c r="AQ1502" s="38"/>
      <c r="AR1502" s="30"/>
      <c r="AS1502" s="30"/>
      <c r="AT1502" s="29"/>
      <c r="AU1502" s="30"/>
      <c r="AV1502" s="30"/>
      <c r="AW1502" s="30"/>
      <c r="AX1502" s="29"/>
      <c r="AY1502" s="39"/>
      <c r="AZ1502" s="30"/>
      <c r="BA1502" s="30"/>
      <c r="BB1502" s="29"/>
      <c r="BC1502" s="52"/>
      <c r="BD1502" s="30"/>
      <c r="BE1502" s="29"/>
      <c r="BF1502" s="30"/>
      <c r="BG1502" s="30"/>
      <c r="BH1502" s="30"/>
      <c r="BI1502" s="30"/>
      <c r="BJ1502" s="30"/>
      <c r="BK1502" s="30"/>
      <c r="BL1502" s="30"/>
      <c r="BM1502" s="30"/>
      <c r="BN1502" s="30"/>
      <c r="BO1502" s="30"/>
      <c r="BP1502" s="30"/>
      <c r="BQ1502" s="30"/>
      <c r="BR1502" s="30"/>
      <c r="BS1502" s="30"/>
      <c r="BT1502" s="30"/>
      <c r="BU1502" s="30"/>
      <c r="BV1502" s="30"/>
      <c r="BW1502" s="30"/>
      <c r="BX1502" s="30"/>
      <c r="BY1502" s="30"/>
      <c r="BZ1502" s="30"/>
      <c r="CA1502" s="30"/>
      <c r="CB1502" s="30"/>
      <c r="CC1502" s="30"/>
      <c r="CD1502" s="30"/>
      <c r="CE1502" s="30"/>
      <c r="CF1502" s="30"/>
      <c r="CG1502" s="30"/>
      <c r="CH1502" s="30"/>
      <c r="CI1502" s="30"/>
      <c r="CJ1502" s="30"/>
      <c r="CK1502" s="30"/>
      <c r="CL1502" s="30"/>
      <c r="CM1502" s="30"/>
      <c r="CN1502" s="30"/>
      <c r="CO1502" s="30"/>
      <c r="CP1502" s="30"/>
      <c r="CQ1502" s="30"/>
      <c r="CR1502" s="30"/>
      <c r="CS1502" s="30"/>
      <c r="CT1502" s="30"/>
      <c r="CU1502" s="30"/>
      <c r="CV1502" s="30"/>
      <c r="CW1502" s="30"/>
      <c r="CX1502" s="30"/>
      <c r="CY1502" s="30"/>
      <c r="CZ1502" s="30"/>
      <c r="DA1502" s="30"/>
      <c r="DB1502" s="30"/>
      <c r="DC1502" s="30"/>
      <c r="DD1502" s="30"/>
      <c r="DE1502" s="30"/>
      <c r="DF1502" s="30"/>
      <c r="DG1502" s="30"/>
      <c r="DH1502" s="30"/>
      <c r="DI1502" s="30"/>
      <c r="DJ1502" s="30"/>
      <c r="DK1502" s="30"/>
      <c r="DL1502" s="30"/>
      <c r="DM1502" s="30"/>
      <c r="DN1502" s="30"/>
      <c r="DO1502" s="30"/>
      <c r="DP1502" s="30"/>
      <c r="DQ1502" s="30"/>
      <c r="DR1502" s="30"/>
      <c r="DS1502" s="30"/>
      <c r="DT1502" s="30"/>
      <c r="DU1502" s="30"/>
      <c r="DV1502" s="30"/>
      <c r="DW1502" s="30"/>
      <c r="DX1502" s="30"/>
      <c r="DY1502" s="30"/>
      <c r="DZ1502" s="30"/>
    </row>
    <row r="1503">
      <c r="A1503" s="30"/>
      <c r="B1503" s="42"/>
      <c r="C1503" s="43"/>
      <c r="D1503" s="30"/>
      <c r="E1503" s="28"/>
      <c r="F1503" s="30"/>
      <c r="G1503" s="30"/>
      <c r="H1503" s="30"/>
      <c r="I1503" s="30"/>
      <c r="J1503" s="28"/>
      <c r="K1503" s="30"/>
      <c r="L1503" s="30"/>
      <c r="M1503" s="30"/>
      <c r="N1503" s="30"/>
      <c r="O1503" s="28"/>
      <c r="P1503" s="30"/>
      <c r="Q1503" s="30"/>
      <c r="R1503" s="30"/>
      <c r="S1503" s="36"/>
      <c r="T1503" s="30"/>
      <c r="U1503" s="36"/>
      <c r="V1503" s="30"/>
      <c r="W1503" s="28"/>
      <c r="X1503" s="30"/>
      <c r="Y1503" s="30"/>
      <c r="Z1503" s="30"/>
      <c r="AA1503" s="30"/>
      <c r="AB1503" s="30"/>
      <c r="AC1503" s="28"/>
      <c r="AD1503" s="30"/>
      <c r="AE1503" s="30"/>
      <c r="AF1503" s="30"/>
      <c r="AG1503" s="29"/>
      <c r="AH1503" s="30"/>
      <c r="AI1503" s="36"/>
      <c r="AJ1503" s="30"/>
      <c r="AK1503" s="29"/>
      <c r="AL1503" s="30"/>
      <c r="AM1503" s="30"/>
      <c r="AN1503" s="30"/>
      <c r="AO1503" s="30"/>
      <c r="AP1503" s="30"/>
      <c r="AQ1503" s="38"/>
      <c r="AR1503" s="30"/>
      <c r="AS1503" s="30"/>
      <c r="AT1503" s="29"/>
      <c r="AU1503" s="30"/>
      <c r="AV1503" s="30"/>
      <c r="AW1503" s="30"/>
      <c r="AX1503" s="29"/>
      <c r="AY1503" s="39"/>
      <c r="AZ1503" s="30"/>
      <c r="BA1503" s="30"/>
      <c r="BB1503" s="29"/>
      <c r="BC1503" s="52"/>
      <c r="BD1503" s="30"/>
      <c r="BE1503" s="29"/>
      <c r="BF1503" s="30"/>
      <c r="BG1503" s="30"/>
      <c r="BH1503" s="30"/>
      <c r="BI1503" s="30"/>
      <c r="BJ1503" s="30"/>
      <c r="BK1503" s="30"/>
      <c r="BL1503" s="30"/>
      <c r="BM1503" s="30"/>
      <c r="BN1503" s="30"/>
      <c r="BO1503" s="30"/>
      <c r="BP1503" s="30"/>
      <c r="BQ1503" s="30"/>
      <c r="BR1503" s="30"/>
      <c r="BS1503" s="30"/>
      <c r="BT1503" s="30"/>
      <c r="BU1503" s="30"/>
      <c r="BV1503" s="30"/>
      <c r="BW1503" s="30"/>
      <c r="BX1503" s="30"/>
      <c r="BY1503" s="30"/>
      <c r="BZ1503" s="30"/>
      <c r="CA1503" s="30"/>
      <c r="CB1503" s="30"/>
      <c r="CC1503" s="30"/>
      <c r="CD1503" s="30"/>
      <c r="CE1503" s="30"/>
      <c r="CF1503" s="30"/>
      <c r="CG1503" s="30"/>
      <c r="CH1503" s="30"/>
      <c r="CI1503" s="30"/>
      <c r="CJ1503" s="30"/>
      <c r="CK1503" s="30"/>
      <c r="CL1503" s="30"/>
      <c r="CM1503" s="30"/>
      <c r="CN1503" s="30"/>
      <c r="CO1503" s="30"/>
      <c r="CP1503" s="30"/>
      <c r="CQ1503" s="30"/>
      <c r="CR1503" s="30"/>
      <c r="CS1503" s="30"/>
      <c r="CT1503" s="30"/>
      <c r="CU1503" s="30"/>
      <c r="CV1503" s="30"/>
      <c r="CW1503" s="30"/>
      <c r="CX1503" s="30"/>
      <c r="CY1503" s="30"/>
      <c r="CZ1503" s="30"/>
      <c r="DA1503" s="30"/>
      <c r="DB1503" s="30"/>
      <c r="DC1503" s="30"/>
      <c r="DD1503" s="30"/>
      <c r="DE1503" s="30"/>
      <c r="DF1503" s="30"/>
      <c r="DG1503" s="30"/>
      <c r="DH1503" s="30"/>
      <c r="DI1503" s="30"/>
      <c r="DJ1503" s="30"/>
      <c r="DK1503" s="30"/>
      <c r="DL1503" s="30"/>
      <c r="DM1503" s="30"/>
      <c r="DN1503" s="30"/>
      <c r="DO1503" s="30"/>
      <c r="DP1503" s="30"/>
      <c r="DQ1503" s="30"/>
      <c r="DR1503" s="30"/>
      <c r="DS1503" s="30"/>
      <c r="DT1503" s="30"/>
      <c r="DU1503" s="30"/>
      <c r="DV1503" s="30"/>
      <c r="DW1503" s="30"/>
      <c r="DX1503" s="30"/>
      <c r="DY1503" s="30"/>
      <c r="DZ1503" s="30"/>
    </row>
    <row r="1504">
      <c r="A1504" s="30"/>
      <c r="B1504" s="42"/>
      <c r="C1504" s="43"/>
      <c r="D1504" s="30"/>
      <c r="E1504" s="28"/>
      <c r="F1504" s="30"/>
      <c r="G1504" s="30"/>
      <c r="H1504" s="30"/>
      <c r="I1504" s="30"/>
      <c r="J1504" s="28"/>
      <c r="K1504" s="30"/>
      <c r="L1504" s="30"/>
      <c r="M1504" s="30"/>
      <c r="N1504" s="30"/>
      <c r="O1504" s="28"/>
      <c r="P1504" s="30"/>
      <c r="Q1504" s="30"/>
      <c r="R1504" s="30"/>
      <c r="S1504" s="36"/>
      <c r="T1504" s="30"/>
      <c r="U1504" s="36"/>
      <c r="V1504" s="30"/>
      <c r="W1504" s="28"/>
      <c r="X1504" s="30"/>
      <c r="Y1504" s="30"/>
      <c r="Z1504" s="30"/>
      <c r="AA1504" s="30"/>
      <c r="AB1504" s="30"/>
      <c r="AC1504" s="28"/>
      <c r="AD1504" s="30"/>
      <c r="AE1504" s="30"/>
      <c r="AF1504" s="30"/>
      <c r="AG1504" s="29"/>
      <c r="AH1504" s="30"/>
      <c r="AI1504" s="36"/>
      <c r="AJ1504" s="30"/>
      <c r="AK1504" s="29"/>
      <c r="AL1504" s="30"/>
      <c r="AM1504" s="30"/>
      <c r="AN1504" s="30"/>
      <c r="AO1504" s="30"/>
      <c r="AP1504" s="30"/>
      <c r="AQ1504" s="38"/>
      <c r="AR1504" s="30"/>
      <c r="AS1504" s="30"/>
      <c r="AT1504" s="29"/>
      <c r="AU1504" s="30"/>
      <c r="AV1504" s="30"/>
      <c r="AW1504" s="30"/>
      <c r="AX1504" s="29"/>
      <c r="AY1504" s="39"/>
      <c r="AZ1504" s="30"/>
      <c r="BA1504" s="30"/>
      <c r="BB1504" s="29"/>
      <c r="BC1504" s="52"/>
      <c r="BD1504" s="30"/>
      <c r="BE1504" s="29"/>
      <c r="BF1504" s="30"/>
      <c r="BG1504" s="30"/>
      <c r="BH1504" s="30"/>
      <c r="BI1504" s="30"/>
      <c r="BJ1504" s="30"/>
      <c r="BK1504" s="30"/>
      <c r="BL1504" s="30"/>
      <c r="BM1504" s="30"/>
      <c r="BN1504" s="30"/>
      <c r="BO1504" s="30"/>
      <c r="BP1504" s="30"/>
      <c r="BQ1504" s="30"/>
      <c r="BR1504" s="30"/>
      <c r="BS1504" s="30"/>
      <c r="BT1504" s="30"/>
      <c r="BU1504" s="30"/>
      <c r="BV1504" s="30"/>
      <c r="BW1504" s="30"/>
      <c r="BX1504" s="30"/>
      <c r="BY1504" s="30"/>
      <c r="BZ1504" s="30"/>
      <c r="CA1504" s="30"/>
      <c r="CB1504" s="30"/>
      <c r="CC1504" s="30"/>
      <c r="CD1504" s="30"/>
      <c r="CE1504" s="30"/>
      <c r="CF1504" s="30"/>
      <c r="CG1504" s="30"/>
      <c r="CH1504" s="30"/>
      <c r="CI1504" s="30"/>
      <c r="CJ1504" s="30"/>
      <c r="CK1504" s="30"/>
      <c r="CL1504" s="30"/>
      <c r="CM1504" s="30"/>
      <c r="CN1504" s="30"/>
      <c r="CO1504" s="30"/>
      <c r="CP1504" s="30"/>
      <c r="CQ1504" s="30"/>
      <c r="CR1504" s="30"/>
      <c r="CS1504" s="30"/>
      <c r="CT1504" s="30"/>
      <c r="CU1504" s="30"/>
      <c r="CV1504" s="30"/>
      <c r="CW1504" s="30"/>
      <c r="CX1504" s="30"/>
      <c r="CY1504" s="30"/>
      <c r="CZ1504" s="30"/>
      <c r="DA1504" s="30"/>
      <c r="DB1504" s="30"/>
      <c r="DC1504" s="30"/>
      <c r="DD1504" s="30"/>
      <c r="DE1504" s="30"/>
      <c r="DF1504" s="30"/>
      <c r="DG1504" s="30"/>
      <c r="DH1504" s="30"/>
      <c r="DI1504" s="30"/>
      <c r="DJ1504" s="30"/>
      <c r="DK1504" s="30"/>
      <c r="DL1504" s="30"/>
      <c r="DM1504" s="30"/>
      <c r="DN1504" s="30"/>
      <c r="DO1504" s="30"/>
      <c r="DP1504" s="30"/>
      <c r="DQ1504" s="30"/>
      <c r="DR1504" s="30"/>
      <c r="DS1504" s="30"/>
      <c r="DT1504" s="30"/>
      <c r="DU1504" s="30"/>
      <c r="DV1504" s="30"/>
      <c r="DW1504" s="30"/>
      <c r="DX1504" s="30"/>
      <c r="DY1504" s="30"/>
      <c r="DZ1504" s="30"/>
    </row>
    <row r="1505">
      <c r="A1505" s="30"/>
      <c r="B1505" s="42"/>
      <c r="C1505" s="43"/>
      <c r="D1505" s="30"/>
      <c r="E1505" s="28"/>
      <c r="F1505" s="30"/>
      <c r="G1505" s="30"/>
      <c r="H1505" s="30"/>
      <c r="I1505" s="30"/>
      <c r="J1505" s="28"/>
      <c r="K1505" s="30"/>
      <c r="L1505" s="30"/>
      <c r="M1505" s="30"/>
      <c r="N1505" s="30"/>
      <c r="O1505" s="28"/>
      <c r="P1505" s="30"/>
      <c r="Q1505" s="30"/>
      <c r="R1505" s="30"/>
      <c r="S1505" s="36"/>
      <c r="T1505" s="30"/>
      <c r="U1505" s="36"/>
      <c r="V1505" s="30"/>
      <c r="W1505" s="28"/>
      <c r="X1505" s="30"/>
      <c r="Y1505" s="30"/>
      <c r="Z1505" s="30"/>
      <c r="AA1505" s="30"/>
      <c r="AB1505" s="30"/>
      <c r="AC1505" s="28"/>
      <c r="AD1505" s="30"/>
      <c r="AE1505" s="30"/>
      <c r="AF1505" s="30"/>
      <c r="AG1505" s="29"/>
      <c r="AH1505" s="30"/>
      <c r="AI1505" s="36"/>
      <c r="AJ1505" s="30"/>
      <c r="AK1505" s="29"/>
      <c r="AL1505" s="30"/>
      <c r="AM1505" s="30"/>
      <c r="AN1505" s="30"/>
      <c r="AO1505" s="30"/>
      <c r="AP1505" s="30"/>
      <c r="AQ1505" s="38"/>
      <c r="AR1505" s="30"/>
      <c r="AS1505" s="30"/>
      <c r="AT1505" s="29"/>
      <c r="AU1505" s="30"/>
      <c r="AV1505" s="30"/>
      <c r="AW1505" s="30"/>
      <c r="AX1505" s="29"/>
      <c r="AY1505" s="39"/>
      <c r="AZ1505" s="30"/>
      <c r="BA1505" s="30"/>
      <c r="BB1505" s="29"/>
      <c r="BC1505" s="52"/>
      <c r="BD1505" s="30"/>
      <c r="BE1505" s="29"/>
      <c r="BF1505" s="30"/>
      <c r="BG1505" s="30"/>
      <c r="BH1505" s="30"/>
      <c r="BI1505" s="30"/>
      <c r="BJ1505" s="30"/>
      <c r="BK1505" s="30"/>
      <c r="BL1505" s="30"/>
      <c r="BM1505" s="30"/>
      <c r="BN1505" s="30"/>
      <c r="BO1505" s="30"/>
      <c r="BP1505" s="30"/>
      <c r="BQ1505" s="30"/>
      <c r="BR1505" s="30"/>
      <c r="BS1505" s="30"/>
      <c r="BT1505" s="30"/>
      <c r="BU1505" s="30"/>
      <c r="BV1505" s="30"/>
      <c r="BW1505" s="30"/>
      <c r="BX1505" s="30"/>
      <c r="BY1505" s="30"/>
      <c r="BZ1505" s="30"/>
      <c r="CA1505" s="30"/>
      <c r="CB1505" s="30"/>
      <c r="CC1505" s="30"/>
      <c r="CD1505" s="30"/>
      <c r="CE1505" s="30"/>
      <c r="CF1505" s="30"/>
      <c r="CG1505" s="30"/>
      <c r="CH1505" s="30"/>
      <c r="CI1505" s="30"/>
      <c r="CJ1505" s="30"/>
      <c r="CK1505" s="30"/>
      <c r="CL1505" s="30"/>
      <c r="CM1505" s="30"/>
      <c r="CN1505" s="30"/>
      <c r="CO1505" s="30"/>
      <c r="CP1505" s="30"/>
      <c r="CQ1505" s="30"/>
      <c r="CR1505" s="30"/>
      <c r="CS1505" s="30"/>
      <c r="CT1505" s="30"/>
      <c r="CU1505" s="30"/>
      <c r="CV1505" s="30"/>
      <c r="CW1505" s="30"/>
      <c r="CX1505" s="30"/>
      <c r="CY1505" s="30"/>
      <c r="CZ1505" s="30"/>
      <c r="DA1505" s="30"/>
      <c r="DB1505" s="30"/>
      <c r="DC1505" s="30"/>
      <c r="DD1505" s="30"/>
      <c r="DE1505" s="30"/>
      <c r="DF1505" s="30"/>
      <c r="DG1505" s="30"/>
      <c r="DH1505" s="30"/>
      <c r="DI1505" s="30"/>
      <c r="DJ1505" s="30"/>
      <c r="DK1505" s="30"/>
      <c r="DL1505" s="30"/>
      <c r="DM1505" s="30"/>
      <c r="DN1505" s="30"/>
      <c r="DO1505" s="30"/>
      <c r="DP1505" s="30"/>
      <c r="DQ1505" s="30"/>
      <c r="DR1505" s="30"/>
      <c r="DS1505" s="30"/>
      <c r="DT1505" s="30"/>
      <c r="DU1505" s="30"/>
      <c r="DV1505" s="30"/>
      <c r="DW1505" s="30"/>
      <c r="DX1505" s="30"/>
      <c r="DY1505" s="30"/>
      <c r="DZ1505" s="30"/>
    </row>
    <row r="1506">
      <c r="A1506" s="30"/>
      <c r="B1506" s="42"/>
      <c r="C1506" s="43"/>
      <c r="D1506" s="30"/>
      <c r="E1506" s="28"/>
      <c r="F1506" s="30"/>
      <c r="G1506" s="30"/>
      <c r="H1506" s="30"/>
      <c r="I1506" s="30"/>
      <c r="J1506" s="28"/>
      <c r="K1506" s="30"/>
      <c r="L1506" s="30"/>
      <c r="M1506" s="30"/>
      <c r="N1506" s="30"/>
      <c r="O1506" s="28"/>
      <c r="P1506" s="30"/>
      <c r="Q1506" s="30"/>
      <c r="R1506" s="30"/>
      <c r="S1506" s="36"/>
      <c r="T1506" s="30"/>
      <c r="U1506" s="36"/>
      <c r="V1506" s="30"/>
      <c r="W1506" s="28"/>
      <c r="X1506" s="30"/>
      <c r="Y1506" s="30"/>
      <c r="Z1506" s="30"/>
      <c r="AA1506" s="30"/>
      <c r="AB1506" s="30"/>
      <c r="AC1506" s="28"/>
      <c r="AD1506" s="30"/>
      <c r="AE1506" s="30"/>
      <c r="AF1506" s="30"/>
      <c r="AG1506" s="29"/>
      <c r="AH1506" s="30"/>
      <c r="AI1506" s="36"/>
      <c r="AJ1506" s="30"/>
      <c r="AK1506" s="29"/>
      <c r="AL1506" s="30"/>
      <c r="AM1506" s="30"/>
      <c r="AN1506" s="30"/>
      <c r="AO1506" s="30"/>
      <c r="AP1506" s="30"/>
      <c r="AQ1506" s="38"/>
      <c r="AR1506" s="30"/>
      <c r="AS1506" s="30"/>
      <c r="AT1506" s="29"/>
      <c r="AU1506" s="30"/>
      <c r="AV1506" s="30"/>
      <c r="AW1506" s="30"/>
      <c r="AX1506" s="29"/>
      <c r="AY1506" s="39"/>
      <c r="AZ1506" s="30"/>
      <c r="BA1506" s="30"/>
      <c r="BB1506" s="29"/>
      <c r="BC1506" s="52"/>
      <c r="BD1506" s="30"/>
      <c r="BE1506" s="29"/>
      <c r="BF1506" s="30"/>
      <c r="BG1506" s="30"/>
      <c r="BH1506" s="30"/>
      <c r="BI1506" s="30"/>
      <c r="BJ1506" s="30"/>
      <c r="BK1506" s="30"/>
      <c r="BL1506" s="30"/>
      <c r="BM1506" s="30"/>
      <c r="BN1506" s="30"/>
      <c r="BO1506" s="30"/>
      <c r="BP1506" s="30"/>
      <c r="BQ1506" s="30"/>
      <c r="BR1506" s="30"/>
      <c r="BS1506" s="30"/>
      <c r="BT1506" s="30"/>
      <c r="BU1506" s="30"/>
      <c r="BV1506" s="30"/>
      <c r="BW1506" s="30"/>
      <c r="BX1506" s="30"/>
      <c r="BY1506" s="30"/>
      <c r="BZ1506" s="30"/>
      <c r="CA1506" s="30"/>
      <c r="CB1506" s="30"/>
      <c r="CC1506" s="30"/>
      <c r="CD1506" s="30"/>
      <c r="CE1506" s="30"/>
      <c r="CF1506" s="30"/>
      <c r="CG1506" s="30"/>
      <c r="CH1506" s="30"/>
      <c r="CI1506" s="30"/>
      <c r="CJ1506" s="30"/>
      <c r="CK1506" s="30"/>
      <c r="CL1506" s="30"/>
      <c r="CM1506" s="30"/>
      <c r="CN1506" s="30"/>
      <c r="CO1506" s="30"/>
      <c r="CP1506" s="30"/>
      <c r="CQ1506" s="30"/>
      <c r="CR1506" s="30"/>
      <c r="CS1506" s="30"/>
      <c r="CT1506" s="30"/>
      <c r="CU1506" s="30"/>
      <c r="CV1506" s="30"/>
      <c r="CW1506" s="30"/>
      <c r="CX1506" s="30"/>
      <c r="CY1506" s="30"/>
      <c r="CZ1506" s="30"/>
      <c r="DA1506" s="30"/>
      <c r="DB1506" s="30"/>
      <c r="DC1506" s="30"/>
      <c r="DD1506" s="30"/>
      <c r="DE1506" s="30"/>
      <c r="DF1506" s="30"/>
      <c r="DG1506" s="30"/>
      <c r="DH1506" s="30"/>
      <c r="DI1506" s="30"/>
      <c r="DJ1506" s="30"/>
      <c r="DK1506" s="30"/>
      <c r="DL1506" s="30"/>
      <c r="DM1506" s="30"/>
      <c r="DN1506" s="30"/>
      <c r="DO1506" s="30"/>
      <c r="DP1506" s="30"/>
      <c r="DQ1506" s="30"/>
      <c r="DR1506" s="30"/>
      <c r="DS1506" s="30"/>
      <c r="DT1506" s="30"/>
      <c r="DU1506" s="30"/>
      <c r="DV1506" s="30"/>
      <c r="DW1506" s="30"/>
      <c r="DX1506" s="30"/>
      <c r="DY1506" s="30"/>
      <c r="DZ1506" s="30"/>
    </row>
    <row r="1507">
      <c r="A1507" s="30"/>
      <c r="B1507" s="42"/>
      <c r="C1507" s="43"/>
      <c r="D1507" s="30"/>
      <c r="E1507" s="28"/>
      <c r="F1507" s="30"/>
      <c r="G1507" s="30"/>
      <c r="H1507" s="30"/>
      <c r="I1507" s="30"/>
      <c r="J1507" s="28"/>
      <c r="K1507" s="30"/>
      <c r="L1507" s="30"/>
      <c r="M1507" s="30"/>
      <c r="N1507" s="30"/>
      <c r="O1507" s="28"/>
      <c r="P1507" s="30"/>
      <c r="Q1507" s="30"/>
      <c r="R1507" s="30"/>
      <c r="S1507" s="36"/>
      <c r="T1507" s="30"/>
      <c r="U1507" s="36"/>
      <c r="V1507" s="30"/>
      <c r="W1507" s="28"/>
      <c r="X1507" s="30"/>
      <c r="Y1507" s="30"/>
      <c r="Z1507" s="30"/>
      <c r="AA1507" s="30"/>
      <c r="AB1507" s="30"/>
      <c r="AC1507" s="28"/>
      <c r="AD1507" s="30"/>
      <c r="AE1507" s="30"/>
      <c r="AF1507" s="30"/>
      <c r="AG1507" s="29"/>
      <c r="AH1507" s="30"/>
      <c r="AI1507" s="36"/>
      <c r="AJ1507" s="30"/>
      <c r="AK1507" s="29"/>
      <c r="AL1507" s="30"/>
      <c r="AM1507" s="30"/>
      <c r="AN1507" s="30"/>
      <c r="AO1507" s="30"/>
      <c r="AP1507" s="30"/>
      <c r="AQ1507" s="38"/>
      <c r="AR1507" s="30"/>
      <c r="AS1507" s="30"/>
      <c r="AT1507" s="29"/>
      <c r="AU1507" s="30"/>
      <c r="AV1507" s="30"/>
      <c r="AW1507" s="30"/>
      <c r="AX1507" s="29"/>
      <c r="AY1507" s="39"/>
      <c r="AZ1507" s="30"/>
      <c r="BA1507" s="30"/>
      <c r="BB1507" s="29"/>
      <c r="BC1507" s="52"/>
      <c r="BD1507" s="30"/>
      <c r="BE1507" s="29"/>
      <c r="BF1507" s="30"/>
      <c r="BG1507" s="30"/>
      <c r="BH1507" s="30"/>
      <c r="BI1507" s="30"/>
      <c r="BJ1507" s="30"/>
      <c r="BK1507" s="30"/>
      <c r="BL1507" s="30"/>
      <c r="BM1507" s="30"/>
      <c r="BN1507" s="30"/>
      <c r="BO1507" s="30"/>
      <c r="BP1507" s="30"/>
      <c r="BQ1507" s="30"/>
      <c r="BR1507" s="30"/>
      <c r="BS1507" s="30"/>
      <c r="BT1507" s="30"/>
      <c r="BU1507" s="30"/>
      <c r="BV1507" s="30"/>
      <c r="BW1507" s="30"/>
      <c r="BX1507" s="30"/>
      <c r="BY1507" s="30"/>
      <c r="BZ1507" s="30"/>
      <c r="CA1507" s="30"/>
      <c r="CB1507" s="30"/>
      <c r="CC1507" s="30"/>
      <c r="CD1507" s="30"/>
      <c r="CE1507" s="30"/>
      <c r="CF1507" s="30"/>
      <c r="CG1507" s="30"/>
      <c r="CH1507" s="30"/>
      <c r="CI1507" s="30"/>
      <c r="CJ1507" s="30"/>
      <c r="CK1507" s="30"/>
      <c r="CL1507" s="30"/>
      <c r="CM1507" s="30"/>
      <c r="CN1507" s="30"/>
      <c r="CO1507" s="30"/>
      <c r="CP1507" s="30"/>
      <c r="CQ1507" s="30"/>
      <c r="CR1507" s="30"/>
      <c r="CS1507" s="30"/>
      <c r="CT1507" s="30"/>
      <c r="CU1507" s="30"/>
      <c r="CV1507" s="30"/>
      <c r="CW1507" s="30"/>
      <c r="CX1507" s="30"/>
      <c r="CY1507" s="30"/>
      <c r="CZ1507" s="30"/>
      <c r="DA1507" s="30"/>
      <c r="DB1507" s="30"/>
      <c r="DC1507" s="30"/>
      <c r="DD1507" s="30"/>
      <c r="DE1507" s="30"/>
      <c r="DF1507" s="30"/>
      <c r="DG1507" s="30"/>
      <c r="DH1507" s="30"/>
      <c r="DI1507" s="30"/>
      <c r="DJ1507" s="30"/>
      <c r="DK1507" s="30"/>
      <c r="DL1507" s="30"/>
      <c r="DM1507" s="30"/>
      <c r="DN1507" s="30"/>
      <c r="DO1507" s="30"/>
      <c r="DP1507" s="30"/>
      <c r="DQ1507" s="30"/>
      <c r="DR1507" s="30"/>
      <c r="DS1507" s="30"/>
      <c r="DT1507" s="30"/>
      <c r="DU1507" s="30"/>
      <c r="DV1507" s="30"/>
      <c r="DW1507" s="30"/>
      <c r="DX1507" s="30"/>
      <c r="DY1507" s="30"/>
      <c r="DZ1507" s="30"/>
    </row>
    <row r="1508">
      <c r="A1508" s="30"/>
      <c r="B1508" s="42"/>
      <c r="C1508" s="43"/>
      <c r="D1508" s="30"/>
      <c r="E1508" s="28"/>
      <c r="F1508" s="30"/>
      <c r="G1508" s="30"/>
      <c r="H1508" s="30"/>
      <c r="I1508" s="30"/>
      <c r="J1508" s="28"/>
      <c r="K1508" s="30"/>
      <c r="L1508" s="30"/>
      <c r="M1508" s="30"/>
      <c r="N1508" s="30"/>
      <c r="O1508" s="28"/>
      <c r="P1508" s="30"/>
      <c r="Q1508" s="30"/>
      <c r="R1508" s="30"/>
      <c r="S1508" s="36"/>
      <c r="T1508" s="30"/>
      <c r="U1508" s="36"/>
      <c r="V1508" s="30"/>
      <c r="W1508" s="28"/>
      <c r="X1508" s="30"/>
      <c r="Y1508" s="30"/>
      <c r="Z1508" s="30"/>
      <c r="AA1508" s="30"/>
      <c r="AB1508" s="30"/>
      <c r="AC1508" s="28"/>
      <c r="AD1508" s="30"/>
      <c r="AE1508" s="30"/>
      <c r="AF1508" s="30"/>
      <c r="AG1508" s="29"/>
      <c r="AH1508" s="30"/>
      <c r="AI1508" s="36"/>
      <c r="AJ1508" s="30"/>
      <c r="AK1508" s="29"/>
      <c r="AL1508" s="30"/>
      <c r="AM1508" s="30"/>
      <c r="AN1508" s="30"/>
      <c r="AO1508" s="30"/>
      <c r="AP1508" s="30"/>
      <c r="AQ1508" s="38"/>
      <c r="AR1508" s="30"/>
      <c r="AS1508" s="30"/>
      <c r="AT1508" s="29"/>
      <c r="AU1508" s="30"/>
      <c r="AV1508" s="30"/>
      <c r="AW1508" s="30"/>
      <c r="AX1508" s="29"/>
      <c r="AY1508" s="39"/>
      <c r="AZ1508" s="30"/>
      <c r="BA1508" s="30"/>
      <c r="BB1508" s="29"/>
      <c r="BC1508" s="52"/>
      <c r="BD1508" s="30"/>
      <c r="BE1508" s="29"/>
      <c r="BF1508" s="30"/>
      <c r="BG1508" s="30"/>
      <c r="BH1508" s="30"/>
      <c r="BI1508" s="30"/>
      <c r="BJ1508" s="30"/>
      <c r="BK1508" s="30"/>
      <c r="BL1508" s="30"/>
      <c r="BM1508" s="30"/>
      <c r="BN1508" s="30"/>
      <c r="BO1508" s="30"/>
      <c r="BP1508" s="30"/>
      <c r="BQ1508" s="30"/>
      <c r="BR1508" s="30"/>
      <c r="BS1508" s="30"/>
      <c r="BT1508" s="30"/>
      <c r="BU1508" s="30"/>
      <c r="BV1508" s="30"/>
      <c r="BW1508" s="30"/>
      <c r="BX1508" s="30"/>
      <c r="BY1508" s="30"/>
      <c r="BZ1508" s="30"/>
      <c r="CA1508" s="30"/>
      <c r="CB1508" s="30"/>
      <c r="CC1508" s="30"/>
      <c r="CD1508" s="30"/>
      <c r="CE1508" s="30"/>
      <c r="CF1508" s="30"/>
      <c r="CG1508" s="30"/>
      <c r="CH1508" s="30"/>
      <c r="CI1508" s="30"/>
      <c r="CJ1508" s="30"/>
      <c r="CK1508" s="30"/>
      <c r="CL1508" s="30"/>
      <c r="CM1508" s="30"/>
      <c r="CN1508" s="30"/>
      <c r="CO1508" s="30"/>
      <c r="CP1508" s="30"/>
      <c r="CQ1508" s="30"/>
      <c r="CR1508" s="30"/>
      <c r="CS1508" s="30"/>
      <c r="CT1508" s="30"/>
      <c r="CU1508" s="30"/>
      <c r="CV1508" s="30"/>
      <c r="CW1508" s="30"/>
      <c r="CX1508" s="30"/>
      <c r="CY1508" s="30"/>
      <c r="CZ1508" s="30"/>
      <c r="DA1508" s="30"/>
      <c r="DB1508" s="30"/>
      <c r="DC1508" s="30"/>
      <c r="DD1508" s="30"/>
      <c r="DE1508" s="30"/>
      <c r="DF1508" s="30"/>
      <c r="DG1508" s="30"/>
      <c r="DH1508" s="30"/>
      <c r="DI1508" s="30"/>
      <c r="DJ1508" s="30"/>
      <c r="DK1508" s="30"/>
      <c r="DL1508" s="30"/>
      <c r="DM1508" s="30"/>
      <c r="DN1508" s="30"/>
      <c r="DO1508" s="30"/>
      <c r="DP1508" s="30"/>
      <c r="DQ1508" s="30"/>
      <c r="DR1508" s="30"/>
      <c r="DS1508" s="30"/>
      <c r="DT1508" s="30"/>
      <c r="DU1508" s="30"/>
      <c r="DV1508" s="30"/>
      <c r="DW1508" s="30"/>
      <c r="DX1508" s="30"/>
      <c r="DY1508" s="30"/>
      <c r="DZ1508" s="30"/>
    </row>
    <row r="1509">
      <c r="A1509" s="30"/>
      <c r="B1509" s="42"/>
      <c r="C1509" s="43"/>
      <c r="D1509" s="30"/>
      <c r="E1509" s="28"/>
      <c r="F1509" s="30"/>
      <c r="G1509" s="30"/>
      <c r="H1509" s="30"/>
      <c r="I1509" s="30"/>
      <c r="J1509" s="28"/>
      <c r="K1509" s="30"/>
      <c r="L1509" s="30"/>
      <c r="M1509" s="30"/>
      <c r="N1509" s="30"/>
      <c r="O1509" s="28"/>
      <c r="P1509" s="30"/>
      <c r="Q1509" s="30"/>
      <c r="R1509" s="30"/>
      <c r="S1509" s="36"/>
      <c r="T1509" s="30"/>
      <c r="U1509" s="36"/>
      <c r="V1509" s="30"/>
      <c r="W1509" s="28"/>
      <c r="X1509" s="30"/>
      <c r="Y1509" s="30"/>
      <c r="Z1509" s="30"/>
      <c r="AA1509" s="30"/>
      <c r="AB1509" s="30"/>
      <c r="AC1509" s="28"/>
      <c r="AD1509" s="30"/>
      <c r="AE1509" s="30"/>
      <c r="AF1509" s="30"/>
      <c r="AG1509" s="29"/>
      <c r="AH1509" s="30"/>
      <c r="AI1509" s="36"/>
      <c r="AJ1509" s="30"/>
      <c r="AK1509" s="29"/>
      <c r="AL1509" s="30"/>
      <c r="AM1509" s="30"/>
      <c r="AN1509" s="30"/>
      <c r="AO1509" s="30"/>
      <c r="AP1509" s="30"/>
      <c r="AQ1509" s="38"/>
      <c r="AR1509" s="30"/>
      <c r="AS1509" s="30"/>
      <c r="AT1509" s="29"/>
      <c r="AU1509" s="30"/>
      <c r="AV1509" s="30"/>
      <c r="AW1509" s="30"/>
      <c r="AX1509" s="29"/>
      <c r="AY1509" s="39"/>
      <c r="AZ1509" s="30"/>
      <c r="BA1509" s="30"/>
      <c r="BB1509" s="29"/>
      <c r="BC1509" s="52"/>
      <c r="BD1509" s="30"/>
      <c r="BE1509" s="29"/>
      <c r="BF1509" s="30"/>
      <c r="BG1509" s="30"/>
      <c r="BH1509" s="30"/>
      <c r="BI1509" s="30"/>
      <c r="BJ1509" s="30"/>
      <c r="BK1509" s="30"/>
      <c r="BL1509" s="30"/>
      <c r="BM1509" s="30"/>
      <c r="BN1509" s="30"/>
      <c r="BO1509" s="30"/>
      <c r="BP1509" s="30"/>
      <c r="BQ1509" s="30"/>
      <c r="BR1509" s="30"/>
      <c r="BS1509" s="30"/>
      <c r="BT1509" s="30"/>
      <c r="BU1509" s="30"/>
      <c r="BV1509" s="30"/>
      <c r="BW1509" s="30"/>
      <c r="BX1509" s="30"/>
      <c r="BY1509" s="30"/>
      <c r="BZ1509" s="30"/>
      <c r="CA1509" s="30"/>
      <c r="CB1509" s="30"/>
      <c r="CC1509" s="30"/>
      <c r="CD1509" s="30"/>
      <c r="CE1509" s="30"/>
      <c r="CF1509" s="30"/>
      <c r="CG1509" s="30"/>
      <c r="CH1509" s="30"/>
      <c r="CI1509" s="30"/>
      <c r="CJ1509" s="30"/>
      <c r="CK1509" s="30"/>
      <c r="CL1509" s="30"/>
      <c r="CM1509" s="30"/>
      <c r="CN1509" s="30"/>
      <c r="CO1509" s="30"/>
      <c r="CP1509" s="30"/>
      <c r="CQ1509" s="30"/>
      <c r="CR1509" s="30"/>
      <c r="CS1509" s="30"/>
      <c r="CT1509" s="30"/>
      <c r="CU1509" s="30"/>
      <c r="CV1509" s="30"/>
      <c r="CW1509" s="30"/>
      <c r="CX1509" s="30"/>
      <c r="CY1509" s="30"/>
      <c r="CZ1509" s="30"/>
      <c r="DA1509" s="30"/>
      <c r="DB1509" s="30"/>
      <c r="DC1509" s="30"/>
      <c r="DD1509" s="30"/>
      <c r="DE1509" s="30"/>
      <c r="DF1509" s="30"/>
      <c r="DG1509" s="30"/>
      <c r="DH1509" s="30"/>
      <c r="DI1509" s="30"/>
      <c r="DJ1509" s="30"/>
      <c r="DK1509" s="30"/>
      <c r="DL1509" s="30"/>
      <c r="DM1509" s="30"/>
      <c r="DN1509" s="30"/>
      <c r="DO1509" s="30"/>
      <c r="DP1509" s="30"/>
      <c r="DQ1509" s="30"/>
      <c r="DR1509" s="30"/>
      <c r="DS1509" s="30"/>
      <c r="DT1509" s="30"/>
      <c r="DU1509" s="30"/>
      <c r="DV1509" s="30"/>
      <c r="DW1509" s="30"/>
      <c r="DX1509" s="30"/>
      <c r="DY1509" s="30"/>
      <c r="DZ1509" s="30"/>
    </row>
    <row r="1510">
      <c r="A1510" s="30"/>
      <c r="B1510" s="42"/>
      <c r="C1510" s="43"/>
      <c r="D1510" s="30"/>
      <c r="E1510" s="28"/>
      <c r="F1510" s="30"/>
      <c r="G1510" s="30"/>
      <c r="H1510" s="30"/>
      <c r="I1510" s="30"/>
      <c r="J1510" s="28"/>
      <c r="K1510" s="30"/>
      <c r="L1510" s="30"/>
      <c r="M1510" s="30"/>
      <c r="N1510" s="30"/>
      <c r="O1510" s="28"/>
      <c r="P1510" s="30"/>
      <c r="Q1510" s="30"/>
      <c r="R1510" s="30"/>
      <c r="S1510" s="36"/>
      <c r="T1510" s="30"/>
      <c r="U1510" s="36"/>
      <c r="V1510" s="30"/>
      <c r="W1510" s="28"/>
      <c r="X1510" s="30"/>
      <c r="Y1510" s="30"/>
      <c r="Z1510" s="30"/>
      <c r="AA1510" s="30"/>
      <c r="AB1510" s="30"/>
      <c r="AC1510" s="28"/>
      <c r="AD1510" s="30"/>
      <c r="AE1510" s="30"/>
      <c r="AF1510" s="30"/>
      <c r="AG1510" s="29"/>
      <c r="AH1510" s="30"/>
      <c r="AI1510" s="36"/>
      <c r="AJ1510" s="30"/>
      <c r="AK1510" s="29"/>
      <c r="AL1510" s="30"/>
      <c r="AM1510" s="30"/>
      <c r="AN1510" s="30"/>
      <c r="AO1510" s="30"/>
      <c r="AP1510" s="30"/>
      <c r="AQ1510" s="38"/>
      <c r="AR1510" s="30"/>
      <c r="AS1510" s="30"/>
      <c r="AT1510" s="29"/>
      <c r="AU1510" s="30"/>
      <c r="AV1510" s="30"/>
      <c r="AW1510" s="30"/>
      <c r="AX1510" s="29"/>
      <c r="AY1510" s="39"/>
      <c r="AZ1510" s="30"/>
      <c r="BA1510" s="30"/>
      <c r="BB1510" s="29"/>
      <c r="BC1510" s="52"/>
      <c r="BD1510" s="30"/>
      <c r="BE1510" s="29"/>
      <c r="BF1510" s="30"/>
      <c r="BG1510" s="30"/>
      <c r="BH1510" s="30"/>
      <c r="BI1510" s="30"/>
      <c r="BJ1510" s="30"/>
      <c r="BK1510" s="30"/>
      <c r="BL1510" s="30"/>
      <c r="BM1510" s="30"/>
      <c r="BN1510" s="30"/>
      <c r="BO1510" s="30"/>
      <c r="BP1510" s="30"/>
      <c r="BQ1510" s="30"/>
      <c r="BR1510" s="30"/>
      <c r="BS1510" s="30"/>
      <c r="BT1510" s="30"/>
      <c r="BU1510" s="30"/>
      <c r="BV1510" s="30"/>
      <c r="BW1510" s="30"/>
      <c r="BX1510" s="30"/>
      <c r="BY1510" s="30"/>
      <c r="BZ1510" s="30"/>
      <c r="CA1510" s="30"/>
      <c r="CB1510" s="30"/>
      <c r="CC1510" s="30"/>
      <c r="CD1510" s="30"/>
      <c r="CE1510" s="30"/>
      <c r="CF1510" s="30"/>
      <c r="CG1510" s="30"/>
      <c r="CH1510" s="30"/>
      <c r="CI1510" s="30"/>
      <c r="CJ1510" s="30"/>
      <c r="CK1510" s="30"/>
      <c r="CL1510" s="30"/>
      <c r="CM1510" s="30"/>
      <c r="CN1510" s="30"/>
      <c r="CO1510" s="30"/>
      <c r="CP1510" s="30"/>
      <c r="CQ1510" s="30"/>
      <c r="CR1510" s="30"/>
      <c r="CS1510" s="30"/>
      <c r="CT1510" s="30"/>
      <c r="CU1510" s="30"/>
      <c r="CV1510" s="30"/>
      <c r="CW1510" s="30"/>
      <c r="CX1510" s="30"/>
      <c r="CY1510" s="30"/>
      <c r="CZ1510" s="30"/>
      <c r="DA1510" s="30"/>
      <c r="DB1510" s="30"/>
      <c r="DC1510" s="30"/>
      <c r="DD1510" s="30"/>
      <c r="DE1510" s="30"/>
      <c r="DF1510" s="30"/>
      <c r="DG1510" s="30"/>
      <c r="DH1510" s="30"/>
      <c r="DI1510" s="30"/>
      <c r="DJ1510" s="30"/>
      <c r="DK1510" s="30"/>
      <c r="DL1510" s="30"/>
      <c r="DM1510" s="30"/>
      <c r="DN1510" s="30"/>
      <c r="DO1510" s="30"/>
      <c r="DP1510" s="30"/>
      <c r="DQ1510" s="30"/>
      <c r="DR1510" s="30"/>
      <c r="DS1510" s="30"/>
      <c r="DT1510" s="30"/>
      <c r="DU1510" s="30"/>
      <c r="DV1510" s="30"/>
      <c r="DW1510" s="30"/>
      <c r="DX1510" s="30"/>
      <c r="DY1510" s="30"/>
      <c r="DZ1510" s="30"/>
    </row>
    <row r="1511">
      <c r="A1511" s="30"/>
      <c r="B1511" s="42"/>
      <c r="C1511" s="43"/>
      <c r="D1511" s="30"/>
      <c r="E1511" s="28"/>
      <c r="F1511" s="30"/>
      <c r="G1511" s="30"/>
      <c r="H1511" s="30"/>
      <c r="I1511" s="30"/>
      <c r="J1511" s="28"/>
      <c r="K1511" s="30"/>
      <c r="L1511" s="30"/>
      <c r="M1511" s="30"/>
      <c r="N1511" s="30"/>
      <c r="O1511" s="28"/>
      <c r="P1511" s="30"/>
      <c r="Q1511" s="30"/>
      <c r="R1511" s="30"/>
      <c r="S1511" s="36"/>
      <c r="T1511" s="30"/>
      <c r="U1511" s="36"/>
      <c r="V1511" s="30"/>
      <c r="W1511" s="28"/>
      <c r="X1511" s="30"/>
      <c r="Y1511" s="30"/>
      <c r="Z1511" s="30"/>
      <c r="AA1511" s="30"/>
      <c r="AB1511" s="30"/>
      <c r="AC1511" s="28"/>
      <c r="AD1511" s="30"/>
      <c r="AE1511" s="30"/>
      <c r="AF1511" s="30"/>
      <c r="AG1511" s="29"/>
      <c r="AH1511" s="30"/>
      <c r="AI1511" s="36"/>
      <c r="AJ1511" s="30"/>
      <c r="AK1511" s="29"/>
      <c r="AL1511" s="30"/>
      <c r="AM1511" s="30"/>
      <c r="AN1511" s="30"/>
      <c r="AO1511" s="30"/>
      <c r="AP1511" s="30"/>
      <c r="AQ1511" s="38"/>
      <c r="AR1511" s="30"/>
      <c r="AS1511" s="30"/>
      <c r="AT1511" s="29"/>
      <c r="AU1511" s="30"/>
      <c r="AV1511" s="30"/>
      <c r="AW1511" s="30"/>
      <c r="AX1511" s="29"/>
      <c r="AY1511" s="39"/>
      <c r="AZ1511" s="30"/>
      <c r="BA1511" s="30"/>
      <c r="BB1511" s="29"/>
      <c r="BC1511" s="52"/>
      <c r="BD1511" s="30"/>
      <c r="BE1511" s="29"/>
      <c r="BF1511" s="30"/>
      <c r="BG1511" s="30"/>
      <c r="BH1511" s="30"/>
      <c r="BI1511" s="30"/>
      <c r="BJ1511" s="30"/>
      <c r="BK1511" s="30"/>
      <c r="BL1511" s="30"/>
      <c r="BM1511" s="30"/>
      <c r="BN1511" s="30"/>
      <c r="BO1511" s="30"/>
      <c r="BP1511" s="30"/>
      <c r="BQ1511" s="30"/>
      <c r="BR1511" s="30"/>
      <c r="BS1511" s="30"/>
      <c r="BT1511" s="30"/>
      <c r="BU1511" s="30"/>
      <c r="BV1511" s="30"/>
      <c r="BW1511" s="30"/>
      <c r="BX1511" s="30"/>
      <c r="BY1511" s="30"/>
      <c r="BZ1511" s="30"/>
      <c r="CA1511" s="30"/>
      <c r="CB1511" s="30"/>
      <c r="CC1511" s="30"/>
      <c r="CD1511" s="30"/>
      <c r="CE1511" s="30"/>
      <c r="CF1511" s="30"/>
      <c r="CG1511" s="30"/>
      <c r="CH1511" s="30"/>
      <c r="CI1511" s="30"/>
      <c r="CJ1511" s="30"/>
      <c r="CK1511" s="30"/>
      <c r="CL1511" s="30"/>
      <c r="CM1511" s="30"/>
      <c r="CN1511" s="30"/>
      <c r="CO1511" s="30"/>
      <c r="CP1511" s="30"/>
      <c r="CQ1511" s="30"/>
      <c r="CR1511" s="30"/>
      <c r="CS1511" s="30"/>
      <c r="CT1511" s="30"/>
      <c r="CU1511" s="30"/>
      <c r="CV1511" s="30"/>
      <c r="CW1511" s="30"/>
      <c r="CX1511" s="30"/>
      <c r="CY1511" s="30"/>
      <c r="CZ1511" s="30"/>
      <c r="DA1511" s="30"/>
      <c r="DB1511" s="30"/>
      <c r="DC1511" s="30"/>
      <c r="DD1511" s="30"/>
      <c r="DE1511" s="30"/>
      <c r="DF1511" s="30"/>
      <c r="DG1511" s="30"/>
      <c r="DH1511" s="30"/>
      <c r="DI1511" s="30"/>
      <c r="DJ1511" s="30"/>
      <c r="DK1511" s="30"/>
      <c r="DL1511" s="30"/>
      <c r="DM1511" s="30"/>
      <c r="DN1511" s="30"/>
      <c r="DO1511" s="30"/>
      <c r="DP1511" s="30"/>
      <c r="DQ1511" s="30"/>
      <c r="DR1511" s="30"/>
      <c r="DS1511" s="30"/>
      <c r="DT1511" s="30"/>
      <c r="DU1511" s="30"/>
      <c r="DV1511" s="30"/>
      <c r="DW1511" s="30"/>
      <c r="DX1511" s="30"/>
      <c r="DY1511" s="30"/>
      <c r="DZ1511" s="30"/>
    </row>
    <row r="1512">
      <c r="A1512" s="30"/>
      <c r="B1512" s="42"/>
      <c r="C1512" s="43"/>
      <c r="D1512" s="30"/>
      <c r="E1512" s="28"/>
      <c r="F1512" s="30"/>
      <c r="G1512" s="30"/>
      <c r="H1512" s="30"/>
      <c r="I1512" s="30"/>
      <c r="J1512" s="28"/>
      <c r="K1512" s="30"/>
      <c r="L1512" s="30"/>
      <c r="M1512" s="30"/>
      <c r="N1512" s="30"/>
      <c r="O1512" s="28"/>
      <c r="P1512" s="30"/>
      <c r="Q1512" s="30"/>
      <c r="R1512" s="30"/>
      <c r="S1512" s="36"/>
      <c r="T1512" s="30"/>
      <c r="U1512" s="36"/>
      <c r="V1512" s="30"/>
      <c r="W1512" s="28"/>
      <c r="X1512" s="30"/>
      <c r="Y1512" s="30"/>
      <c r="Z1512" s="30"/>
      <c r="AA1512" s="30"/>
      <c r="AB1512" s="30"/>
      <c r="AC1512" s="28"/>
      <c r="AD1512" s="30"/>
      <c r="AE1512" s="30"/>
      <c r="AF1512" s="30"/>
      <c r="AG1512" s="29"/>
      <c r="AH1512" s="30"/>
      <c r="AI1512" s="36"/>
      <c r="AJ1512" s="30"/>
      <c r="AK1512" s="29"/>
      <c r="AL1512" s="30"/>
      <c r="AM1512" s="30"/>
      <c r="AN1512" s="30"/>
      <c r="AO1512" s="30"/>
      <c r="AP1512" s="30"/>
      <c r="AQ1512" s="38"/>
      <c r="AR1512" s="30"/>
      <c r="AS1512" s="30"/>
      <c r="AT1512" s="29"/>
      <c r="AU1512" s="30"/>
      <c r="AV1512" s="30"/>
      <c r="AW1512" s="30"/>
      <c r="AX1512" s="29"/>
      <c r="AY1512" s="39"/>
      <c r="AZ1512" s="30"/>
      <c r="BA1512" s="30"/>
      <c r="BB1512" s="29"/>
      <c r="BC1512" s="52"/>
      <c r="BD1512" s="30"/>
      <c r="BE1512" s="29"/>
      <c r="BF1512" s="30"/>
      <c r="BG1512" s="30"/>
      <c r="BH1512" s="30"/>
      <c r="BI1512" s="30"/>
      <c r="BJ1512" s="30"/>
      <c r="BK1512" s="30"/>
      <c r="BL1512" s="30"/>
      <c r="BM1512" s="30"/>
      <c r="BN1512" s="30"/>
      <c r="BO1512" s="30"/>
      <c r="BP1512" s="30"/>
      <c r="BQ1512" s="30"/>
      <c r="BR1512" s="30"/>
      <c r="BS1512" s="30"/>
      <c r="BT1512" s="30"/>
      <c r="BU1512" s="30"/>
      <c r="BV1512" s="30"/>
      <c r="BW1512" s="30"/>
      <c r="BX1512" s="30"/>
      <c r="BY1512" s="30"/>
      <c r="BZ1512" s="30"/>
      <c r="CA1512" s="30"/>
      <c r="CB1512" s="30"/>
      <c r="CC1512" s="30"/>
      <c r="CD1512" s="30"/>
      <c r="CE1512" s="30"/>
      <c r="CF1512" s="30"/>
      <c r="CG1512" s="30"/>
      <c r="CH1512" s="30"/>
      <c r="CI1512" s="30"/>
      <c r="CJ1512" s="30"/>
      <c r="CK1512" s="30"/>
      <c r="CL1512" s="30"/>
      <c r="CM1512" s="30"/>
      <c r="CN1512" s="30"/>
      <c r="CO1512" s="30"/>
      <c r="CP1512" s="30"/>
      <c r="CQ1512" s="30"/>
      <c r="CR1512" s="30"/>
      <c r="CS1512" s="30"/>
      <c r="CT1512" s="30"/>
      <c r="CU1512" s="30"/>
      <c r="CV1512" s="30"/>
      <c r="CW1512" s="30"/>
      <c r="CX1512" s="30"/>
      <c r="CY1512" s="30"/>
      <c r="CZ1512" s="30"/>
      <c r="DA1512" s="30"/>
      <c r="DB1512" s="30"/>
      <c r="DC1512" s="30"/>
      <c r="DD1512" s="30"/>
      <c r="DE1512" s="30"/>
      <c r="DF1512" s="30"/>
      <c r="DG1512" s="30"/>
      <c r="DH1512" s="30"/>
      <c r="DI1512" s="30"/>
      <c r="DJ1512" s="30"/>
      <c r="DK1512" s="30"/>
      <c r="DL1512" s="30"/>
      <c r="DM1512" s="30"/>
      <c r="DN1512" s="30"/>
      <c r="DO1512" s="30"/>
      <c r="DP1512" s="30"/>
      <c r="DQ1512" s="30"/>
      <c r="DR1512" s="30"/>
      <c r="DS1512" s="30"/>
      <c r="DT1512" s="30"/>
      <c r="DU1512" s="30"/>
      <c r="DV1512" s="30"/>
      <c r="DW1512" s="30"/>
      <c r="DX1512" s="30"/>
      <c r="DY1512" s="30"/>
      <c r="DZ1512" s="30"/>
    </row>
    <row r="1513">
      <c r="A1513" s="30"/>
      <c r="B1513" s="42"/>
      <c r="C1513" s="43"/>
      <c r="D1513" s="30"/>
      <c r="E1513" s="28"/>
      <c r="F1513" s="30"/>
      <c r="G1513" s="30"/>
      <c r="H1513" s="30"/>
      <c r="I1513" s="30"/>
      <c r="J1513" s="28"/>
      <c r="K1513" s="30"/>
      <c r="L1513" s="30"/>
      <c r="M1513" s="30"/>
      <c r="N1513" s="30"/>
      <c r="O1513" s="28"/>
      <c r="P1513" s="30"/>
      <c r="Q1513" s="30"/>
      <c r="R1513" s="30"/>
      <c r="S1513" s="36"/>
      <c r="T1513" s="30"/>
      <c r="U1513" s="36"/>
      <c r="V1513" s="30"/>
      <c r="W1513" s="28"/>
      <c r="X1513" s="30"/>
      <c r="Y1513" s="30"/>
      <c r="Z1513" s="30"/>
      <c r="AA1513" s="30"/>
      <c r="AB1513" s="30"/>
      <c r="AC1513" s="28"/>
      <c r="AD1513" s="30"/>
      <c r="AE1513" s="30"/>
      <c r="AF1513" s="30"/>
      <c r="AG1513" s="29"/>
      <c r="AH1513" s="30"/>
      <c r="AI1513" s="36"/>
      <c r="AJ1513" s="30"/>
      <c r="AK1513" s="29"/>
      <c r="AL1513" s="30"/>
      <c r="AM1513" s="30"/>
      <c r="AN1513" s="30"/>
      <c r="AO1513" s="30"/>
      <c r="AP1513" s="30"/>
      <c r="AQ1513" s="38"/>
      <c r="AR1513" s="30"/>
      <c r="AS1513" s="30"/>
      <c r="AT1513" s="29"/>
      <c r="AU1513" s="30"/>
      <c r="AV1513" s="30"/>
      <c r="AW1513" s="30"/>
      <c r="AX1513" s="29"/>
      <c r="AY1513" s="39"/>
      <c r="AZ1513" s="30"/>
      <c r="BA1513" s="30"/>
      <c r="BB1513" s="29"/>
      <c r="BC1513" s="52"/>
      <c r="BD1513" s="30"/>
      <c r="BE1513" s="29"/>
      <c r="BF1513" s="30"/>
      <c r="BG1513" s="30"/>
      <c r="BH1513" s="30"/>
      <c r="BI1513" s="30"/>
      <c r="BJ1513" s="30"/>
      <c r="BK1513" s="30"/>
      <c r="BL1513" s="30"/>
      <c r="BM1513" s="30"/>
      <c r="BN1513" s="30"/>
      <c r="BO1513" s="30"/>
      <c r="BP1513" s="30"/>
      <c r="BQ1513" s="30"/>
      <c r="BR1513" s="30"/>
      <c r="BS1513" s="30"/>
      <c r="BT1513" s="30"/>
      <c r="BU1513" s="30"/>
      <c r="BV1513" s="30"/>
      <c r="BW1513" s="30"/>
      <c r="BX1513" s="30"/>
      <c r="BY1513" s="30"/>
      <c r="BZ1513" s="30"/>
      <c r="CA1513" s="30"/>
      <c r="CB1513" s="30"/>
      <c r="CC1513" s="30"/>
      <c r="CD1513" s="30"/>
      <c r="CE1513" s="30"/>
      <c r="CF1513" s="30"/>
      <c r="CG1513" s="30"/>
      <c r="CH1513" s="30"/>
      <c r="CI1513" s="30"/>
      <c r="CJ1513" s="30"/>
      <c r="CK1513" s="30"/>
      <c r="CL1513" s="30"/>
      <c r="CM1513" s="30"/>
      <c r="CN1513" s="30"/>
      <c r="CO1513" s="30"/>
      <c r="CP1513" s="30"/>
      <c r="CQ1513" s="30"/>
      <c r="CR1513" s="30"/>
      <c r="CS1513" s="30"/>
      <c r="CT1513" s="30"/>
      <c r="CU1513" s="30"/>
      <c r="CV1513" s="30"/>
      <c r="CW1513" s="30"/>
      <c r="CX1513" s="30"/>
      <c r="CY1513" s="30"/>
      <c r="CZ1513" s="30"/>
      <c r="DA1513" s="30"/>
      <c r="DB1513" s="30"/>
      <c r="DC1513" s="30"/>
      <c r="DD1513" s="30"/>
      <c r="DE1513" s="30"/>
      <c r="DF1513" s="30"/>
      <c r="DG1513" s="30"/>
      <c r="DH1513" s="30"/>
      <c r="DI1513" s="30"/>
      <c r="DJ1513" s="30"/>
      <c r="DK1513" s="30"/>
      <c r="DL1513" s="30"/>
      <c r="DM1513" s="30"/>
      <c r="DN1513" s="30"/>
      <c r="DO1513" s="30"/>
      <c r="DP1513" s="30"/>
      <c r="DQ1513" s="30"/>
      <c r="DR1513" s="30"/>
      <c r="DS1513" s="30"/>
      <c r="DT1513" s="30"/>
      <c r="DU1513" s="30"/>
      <c r="DV1513" s="30"/>
      <c r="DW1513" s="30"/>
      <c r="DX1513" s="30"/>
      <c r="DY1513" s="30"/>
      <c r="DZ1513" s="30"/>
    </row>
    <row r="1514">
      <c r="A1514" s="30"/>
      <c r="B1514" s="42"/>
      <c r="C1514" s="43"/>
      <c r="D1514" s="30"/>
      <c r="E1514" s="28"/>
      <c r="F1514" s="30"/>
      <c r="G1514" s="30"/>
      <c r="H1514" s="30"/>
      <c r="I1514" s="30"/>
      <c r="J1514" s="28"/>
      <c r="K1514" s="30"/>
      <c r="L1514" s="30"/>
      <c r="M1514" s="30"/>
      <c r="N1514" s="30"/>
      <c r="O1514" s="28"/>
      <c r="P1514" s="30"/>
      <c r="Q1514" s="30"/>
      <c r="R1514" s="30"/>
      <c r="S1514" s="36"/>
      <c r="T1514" s="30"/>
      <c r="U1514" s="36"/>
      <c r="V1514" s="30"/>
      <c r="W1514" s="28"/>
      <c r="X1514" s="30"/>
      <c r="Y1514" s="30"/>
      <c r="Z1514" s="30"/>
      <c r="AA1514" s="30"/>
      <c r="AB1514" s="30"/>
      <c r="AC1514" s="28"/>
      <c r="AD1514" s="30"/>
      <c r="AE1514" s="30"/>
      <c r="AF1514" s="30"/>
      <c r="AG1514" s="29"/>
      <c r="AH1514" s="30"/>
      <c r="AI1514" s="36"/>
      <c r="AJ1514" s="30"/>
      <c r="AK1514" s="29"/>
      <c r="AL1514" s="30"/>
      <c r="AM1514" s="30"/>
      <c r="AN1514" s="30"/>
      <c r="AO1514" s="30"/>
      <c r="AP1514" s="30"/>
      <c r="AQ1514" s="38"/>
      <c r="AR1514" s="30"/>
      <c r="AS1514" s="30"/>
      <c r="AT1514" s="29"/>
      <c r="AU1514" s="30"/>
      <c r="AV1514" s="30"/>
      <c r="AW1514" s="30"/>
      <c r="AX1514" s="29"/>
      <c r="AY1514" s="39"/>
      <c r="AZ1514" s="30"/>
      <c r="BA1514" s="30"/>
      <c r="BB1514" s="29"/>
      <c r="BC1514" s="52"/>
      <c r="BD1514" s="30"/>
      <c r="BE1514" s="29"/>
      <c r="BF1514" s="30"/>
      <c r="BG1514" s="30"/>
      <c r="BH1514" s="30"/>
      <c r="BI1514" s="30"/>
      <c r="BJ1514" s="30"/>
      <c r="BK1514" s="30"/>
      <c r="BL1514" s="30"/>
      <c r="BM1514" s="30"/>
      <c r="BN1514" s="30"/>
      <c r="BO1514" s="30"/>
      <c r="BP1514" s="30"/>
      <c r="BQ1514" s="30"/>
      <c r="BR1514" s="30"/>
      <c r="BS1514" s="30"/>
      <c r="BT1514" s="30"/>
      <c r="BU1514" s="30"/>
      <c r="BV1514" s="30"/>
      <c r="BW1514" s="30"/>
      <c r="BX1514" s="30"/>
      <c r="BY1514" s="30"/>
      <c r="BZ1514" s="30"/>
      <c r="CA1514" s="30"/>
      <c r="CB1514" s="30"/>
      <c r="CC1514" s="30"/>
      <c r="CD1514" s="30"/>
      <c r="CE1514" s="30"/>
      <c r="CF1514" s="30"/>
      <c r="CG1514" s="30"/>
      <c r="CH1514" s="30"/>
      <c r="CI1514" s="30"/>
      <c r="CJ1514" s="30"/>
      <c r="CK1514" s="30"/>
      <c r="CL1514" s="30"/>
      <c r="CM1514" s="30"/>
      <c r="CN1514" s="30"/>
      <c r="CO1514" s="30"/>
      <c r="CP1514" s="30"/>
      <c r="CQ1514" s="30"/>
      <c r="CR1514" s="30"/>
      <c r="CS1514" s="30"/>
      <c r="CT1514" s="30"/>
      <c r="CU1514" s="30"/>
      <c r="CV1514" s="30"/>
      <c r="CW1514" s="30"/>
      <c r="CX1514" s="30"/>
      <c r="CY1514" s="30"/>
      <c r="CZ1514" s="30"/>
      <c r="DA1514" s="30"/>
      <c r="DB1514" s="30"/>
      <c r="DC1514" s="30"/>
      <c r="DD1514" s="30"/>
      <c r="DE1514" s="30"/>
      <c r="DF1514" s="30"/>
      <c r="DG1514" s="30"/>
      <c r="DH1514" s="30"/>
      <c r="DI1514" s="30"/>
      <c r="DJ1514" s="30"/>
      <c r="DK1514" s="30"/>
      <c r="DL1514" s="30"/>
      <c r="DM1514" s="30"/>
      <c r="DN1514" s="30"/>
      <c r="DO1514" s="30"/>
      <c r="DP1514" s="30"/>
      <c r="DQ1514" s="30"/>
      <c r="DR1514" s="30"/>
      <c r="DS1514" s="30"/>
      <c r="DT1514" s="30"/>
      <c r="DU1514" s="30"/>
      <c r="DV1514" s="30"/>
      <c r="DW1514" s="30"/>
      <c r="DX1514" s="30"/>
      <c r="DY1514" s="30"/>
      <c r="DZ1514" s="30"/>
    </row>
    <row r="1515">
      <c r="A1515" s="30"/>
      <c r="B1515" s="42"/>
      <c r="C1515" s="43"/>
      <c r="D1515" s="30"/>
      <c r="E1515" s="28"/>
      <c r="F1515" s="30"/>
      <c r="G1515" s="30"/>
      <c r="H1515" s="30"/>
      <c r="I1515" s="30"/>
      <c r="J1515" s="28"/>
      <c r="K1515" s="30"/>
      <c r="L1515" s="30"/>
      <c r="M1515" s="30"/>
      <c r="N1515" s="30"/>
      <c r="O1515" s="28"/>
      <c r="P1515" s="30"/>
      <c r="Q1515" s="30"/>
      <c r="R1515" s="30"/>
      <c r="S1515" s="36"/>
      <c r="T1515" s="30"/>
      <c r="U1515" s="36"/>
      <c r="V1515" s="30"/>
      <c r="W1515" s="28"/>
      <c r="X1515" s="30"/>
      <c r="Y1515" s="30"/>
      <c r="Z1515" s="30"/>
      <c r="AA1515" s="30"/>
      <c r="AB1515" s="30"/>
      <c r="AC1515" s="28"/>
      <c r="AD1515" s="30"/>
      <c r="AE1515" s="30"/>
      <c r="AF1515" s="30"/>
      <c r="AG1515" s="29"/>
      <c r="AH1515" s="30"/>
      <c r="AI1515" s="36"/>
      <c r="AJ1515" s="30"/>
      <c r="AK1515" s="29"/>
      <c r="AL1515" s="30"/>
      <c r="AM1515" s="30"/>
      <c r="AN1515" s="30"/>
      <c r="AO1515" s="30"/>
      <c r="AP1515" s="30"/>
      <c r="AQ1515" s="38"/>
      <c r="AR1515" s="30"/>
      <c r="AS1515" s="30"/>
      <c r="AT1515" s="29"/>
      <c r="AU1515" s="30"/>
      <c r="AV1515" s="30"/>
      <c r="AW1515" s="30"/>
      <c r="AX1515" s="29"/>
      <c r="AY1515" s="39"/>
      <c r="AZ1515" s="30"/>
      <c r="BA1515" s="30"/>
      <c r="BB1515" s="29"/>
      <c r="BC1515" s="52"/>
      <c r="BD1515" s="30"/>
      <c r="BE1515" s="29"/>
      <c r="BF1515" s="30"/>
      <c r="BG1515" s="30"/>
      <c r="BH1515" s="30"/>
      <c r="BI1515" s="30"/>
      <c r="BJ1515" s="30"/>
      <c r="BK1515" s="30"/>
      <c r="BL1515" s="30"/>
      <c r="BM1515" s="30"/>
      <c r="BN1515" s="30"/>
      <c r="BO1515" s="30"/>
      <c r="BP1515" s="30"/>
      <c r="BQ1515" s="30"/>
      <c r="BR1515" s="30"/>
      <c r="BS1515" s="30"/>
      <c r="BT1515" s="30"/>
      <c r="BU1515" s="30"/>
      <c r="BV1515" s="30"/>
      <c r="BW1515" s="30"/>
      <c r="BX1515" s="30"/>
      <c r="BY1515" s="30"/>
      <c r="BZ1515" s="30"/>
      <c r="CA1515" s="30"/>
      <c r="CB1515" s="30"/>
      <c r="CC1515" s="30"/>
      <c r="CD1515" s="30"/>
      <c r="CE1515" s="30"/>
      <c r="CF1515" s="30"/>
      <c r="CG1515" s="30"/>
      <c r="CH1515" s="30"/>
      <c r="CI1515" s="30"/>
      <c r="CJ1515" s="30"/>
      <c r="CK1515" s="30"/>
      <c r="CL1515" s="30"/>
      <c r="CM1515" s="30"/>
      <c r="CN1515" s="30"/>
      <c r="CO1515" s="30"/>
      <c r="CP1515" s="30"/>
      <c r="CQ1515" s="30"/>
      <c r="CR1515" s="30"/>
      <c r="CS1515" s="30"/>
      <c r="CT1515" s="30"/>
      <c r="CU1515" s="30"/>
      <c r="CV1515" s="30"/>
      <c r="CW1515" s="30"/>
      <c r="CX1515" s="30"/>
      <c r="CY1515" s="30"/>
      <c r="CZ1515" s="30"/>
      <c r="DA1515" s="30"/>
      <c r="DB1515" s="30"/>
      <c r="DC1515" s="30"/>
      <c r="DD1515" s="30"/>
      <c r="DE1515" s="30"/>
      <c r="DF1515" s="30"/>
      <c r="DG1515" s="30"/>
      <c r="DH1515" s="30"/>
      <c r="DI1515" s="30"/>
      <c r="DJ1515" s="30"/>
      <c r="DK1515" s="30"/>
      <c r="DL1515" s="30"/>
      <c r="DM1515" s="30"/>
      <c r="DN1515" s="30"/>
      <c r="DO1515" s="30"/>
      <c r="DP1515" s="30"/>
      <c r="DQ1515" s="30"/>
      <c r="DR1515" s="30"/>
      <c r="DS1515" s="30"/>
      <c r="DT1515" s="30"/>
      <c r="DU1515" s="30"/>
      <c r="DV1515" s="30"/>
      <c r="DW1515" s="30"/>
      <c r="DX1515" s="30"/>
      <c r="DY1515" s="30"/>
      <c r="DZ1515" s="30"/>
    </row>
    <row r="1516">
      <c r="A1516" s="30"/>
      <c r="B1516" s="42"/>
      <c r="C1516" s="43"/>
      <c r="D1516" s="30"/>
      <c r="E1516" s="28"/>
      <c r="F1516" s="30"/>
      <c r="G1516" s="30"/>
      <c r="H1516" s="30"/>
      <c r="I1516" s="30"/>
      <c r="J1516" s="28"/>
      <c r="K1516" s="30"/>
      <c r="L1516" s="30"/>
      <c r="M1516" s="30"/>
      <c r="N1516" s="30"/>
      <c r="O1516" s="28"/>
      <c r="P1516" s="30"/>
      <c r="Q1516" s="30"/>
      <c r="R1516" s="30"/>
      <c r="S1516" s="36"/>
      <c r="T1516" s="30"/>
      <c r="U1516" s="36"/>
      <c r="V1516" s="30"/>
      <c r="W1516" s="28"/>
      <c r="X1516" s="30"/>
      <c r="Y1516" s="30"/>
      <c r="Z1516" s="30"/>
      <c r="AA1516" s="30"/>
      <c r="AB1516" s="30"/>
      <c r="AC1516" s="28"/>
      <c r="AD1516" s="30"/>
      <c r="AE1516" s="30"/>
      <c r="AF1516" s="30"/>
      <c r="AG1516" s="29"/>
      <c r="AH1516" s="30"/>
      <c r="AI1516" s="36"/>
      <c r="AJ1516" s="30"/>
      <c r="AK1516" s="29"/>
      <c r="AL1516" s="30"/>
      <c r="AM1516" s="30"/>
      <c r="AN1516" s="30"/>
      <c r="AO1516" s="30"/>
      <c r="AP1516" s="30"/>
      <c r="AQ1516" s="38"/>
      <c r="AR1516" s="30"/>
      <c r="AS1516" s="30"/>
      <c r="AT1516" s="29"/>
      <c r="AU1516" s="30"/>
      <c r="AV1516" s="30"/>
      <c r="AW1516" s="30"/>
      <c r="AX1516" s="29"/>
      <c r="AY1516" s="39"/>
      <c r="AZ1516" s="30"/>
      <c r="BA1516" s="30"/>
      <c r="BB1516" s="29"/>
      <c r="BC1516" s="52"/>
      <c r="BD1516" s="30"/>
      <c r="BE1516" s="29"/>
      <c r="BF1516" s="30"/>
      <c r="BG1516" s="30"/>
      <c r="BH1516" s="30"/>
      <c r="BI1516" s="30"/>
      <c r="BJ1516" s="30"/>
      <c r="BK1516" s="30"/>
      <c r="BL1516" s="30"/>
      <c r="BM1516" s="30"/>
      <c r="BN1516" s="30"/>
      <c r="BO1516" s="30"/>
      <c r="BP1516" s="30"/>
      <c r="BQ1516" s="30"/>
      <c r="BR1516" s="30"/>
      <c r="BS1516" s="30"/>
      <c r="BT1516" s="30"/>
      <c r="BU1516" s="30"/>
      <c r="BV1516" s="30"/>
      <c r="BW1516" s="30"/>
      <c r="BX1516" s="30"/>
      <c r="BY1516" s="30"/>
      <c r="BZ1516" s="30"/>
      <c r="CA1516" s="30"/>
      <c r="CB1516" s="30"/>
      <c r="CC1516" s="30"/>
      <c r="CD1516" s="30"/>
      <c r="CE1516" s="30"/>
      <c r="CF1516" s="30"/>
      <c r="CG1516" s="30"/>
      <c r="CH1516" s="30"/>
      <c r="CI1516" s="30"/>
      <c r="CJ1516" s="30"/>
      <c r="CK1516" s="30"/>
      <c r="CL1516" s="30"/>
      <c r="CM1516" s="30"/>
      <c r="CN1516" s="30"/>
      <c r="CO1516" s="30"/>
      <c r="CP1516" s="30"/>
      <c r="CQ1516" s="30"/>
      <c r="CR1516" s="30"/>
      <c r="CS1516" s="30"/>
      <c r="CT1516" s="30"/>
      <c r="CU1516" s="30"/>
      <c r="CV1516" s="30"/>
      <c r="CW1516" s="30"/>
      <c r="CX1516" s="30"/>
      <c r="CY1516" s="30"/>
      <c r="CZ1516" s="30"/>
      <c r="DA1516" s="30"/>
      <c r="DB1516" s="30"/>
      <c r="DC1516" s="30"/>
      <c r="DD1516" s="30"/>
      <c r="DE1516" s="30"/>
      <c r="DF1516" s="30"/>
      <c r="DG1516" s="30"/>
      <c r="DH1516" s="30"/>
      <c r="DI1516" s="30"/>
      <c r="DJ1516" s="30"/>
      <c r="DK1516" s="30"/>
      <c r="DL1516" s="30"/>
      <c r="DM1516" s="30"/>
      <c r="DN1516" s="30"/>
      <c r="DO1516" s="30"/>
      <c r="DP1516" s="30"/>
      <c r="DQ1516" s="30"/>
      <c r="DR1516" s="30"/>
      <c r="DS1516" s="30"/>
      <c r="DT1516" s="30"/>
      <c r="DU1516" s="30"/>
      <c r="DV1516" s="30"/>
      <c r="DW1516" s="30"/>
      <c r="DX1516" s="30"/>
      <c r="DY1516" s="30"/>
      <c r="DZ1516" s="30"/>
    </row>
    <row r="1517">
      <c r="A1517" s="30"/>
      <c r="B1517" s="42"/>
      <c r="C1517" s="43"/>
      <c r="D1517" s="30"/>
      <c r="E1517" s="28"/>
      <c r="F1517" s="30"/>
      <c r="G1517" s="30"/>
      <c r="H1517" s="30"/>
      <c r="I1517" s="30"/>
      <c r="J1517" s="28"/>
      <c r="K1517" s="30"/>
      <c r="L1517" s="30"/>
      <c r="M1517" s="30"/>
      <c r="N1517" s="30"/>
      <c r="O1517" s="28"/>
      <c r="P1517" s="30"/>
      <c r="Q1517" s="30"/>
      <c r="R1517" s="30"/>
      <c r="S1517" s="36"/>
      <c r="T1517" s="30"/>
      <c r="U1517" s="36"/>
      <c r="V1517" s="30"/>
      <c r="W1517" s="28"/>
      <c r="X1517" s="30"/>
      <c r="Y1517" s="30"/>
      <c r="Z1517" s="30"/>
      <c r="AA1517" s="30"/>
      <c r="AB1517" s="30"/>
      <c r="AC1517" s="28"/>
      <c r="AD1517" s="30"/>
      <c r="AE1517" s="30"/>
      <c r="AF1517" s="30"/>
      <c r="AG1517" s="29"/>
      <c r="AH1517" s="30"/>
      <c r="AI1517" s="36"/>
      <c r="AJ1517" s="30"/>
      <c r="AK1517" s="29"/>
      <c r="AL1517" s="30"/>
      <c r="AM1517" s="30"/>
      <c r="AN1517" s="30"/>
      <c r="AO1517" s="30"/>
      <c r="AP1517" s="30"/>
      <c r="AQ1517" s="38"/>
      <c r="AR1517" s="30"/>
      <c r="AS1517" s="30"/>
      <c r="AT1517" s="29"/>
      <c r="AU1517" s="30"/>
      <c r="AV1517" s="30"/>
      <c r="AW1517" s="30"/>
      <c r="AX1517" s="29"/>
      <c r="AY1517" s="39"/>
      <c r="AZ1517" s="30"/>
      <c r="BA1517" s="30"/>
      <c r="BB1517" s="29"/>
      <c r="BC1517" s="52"/>
      <c r="BD1517" s="30"/>
      <c r="BE1517" s="29"/>
      <c r="BF1517" s="30"/>
      <c r="BG1517" s="30"/>
      <c r="BH1517" s="30"/>
      <c r="BI1517" s="30"/>
      <c r="BJ1517" s="30"/>
      <c r="BK1517" s="30"/>
      <c r="BL1517" s="30"/>
      <c r="BM1517" s="30"/>
      <c r="BN1517" s="30"/>
      <c r="BO1517" s="30"/>
      <c r="BP1517" s="30"/>
      <c r="BQ1517" s="30"/>
      <c r="BR1517" s="30"/>
      <c r="BS1517" s="30"/>
      <c r="BT1517" s="30"/>
      <c r="BU1517" s="30"/>
      <c r="BV1517" s="30"/>
      <c r="BW1517" s="30"/>
      <c r="BX1517" s="30"/>
      <c r="BY1517" s="30"/>
      <c r="BZ1517" s="30"/>
      <c r="CA1517" s="30"/>
      <c r="CB1517" s="30"/>
      <c r="CC1517" s="30"/>
      <c r="CD1517" s="30"/>
      <c r="CE1517" s="30"/>
      <c r="CF1517" s="30"/>
      <c r="CG1517" s="30"/>
      <c r="CH1517" s="30"/>
      <c r="CI1517" s="30"/>
      <c r="CJ1517" s="30"/>
      <c r="CK1517" s="30"/>
      <c r="CL1517" s="30"/>
      <c r="CM1517" s="30"/>
      <c r="CN1517" s="30"/>
      <c r="CO1517" s="30"/>
      <c r="CP1517" s="30"/>
      <c r="CQ1517" s="30"/>
      <c r="CR1517" s="30"/>
      <c r="CS1517" s="30"/>
      <c r="CT1517" s="30"/>
      <c r="CU1517" s="30"/>
      <c r="CV1517" s="30"/>
      <c r="CW1517" s="30"/>
      <c r="CX1517" s="30"/>
      <c r="CY1517" s="30"/>
      <c r="CZ1517" s="30"/>
      <c r="DA1517" s="30"/>
      <c r="DB1517" s="30"/>
      <c r="DC1517" s="30"/>
      <c r="DD1517" s="30"/>
      <c r="DE1517" s="30"/>
      <c r="DF1517" s="30"/>
      <c r="DG1517" s="30"/>
      <c r="DH1517" s="30"/>
      <c r="DI1517" s="30"/>
      <c r="DJ1517" s="30"/>
      <c r="DK1517" s="30"/>
      <c r="DL1517" s="30"/>
      <c r="DM1517" s="30"/>
      <c r="DN1517" s="30"/>
      <c r="DO1517" s="30"/>
      <c r="DP1517" s="30"/>
      <c r="DQ1517" s="30"/>
      <c r="DR1517" s="30"/>
      <c r="DS1517" s="30"/>
      <c r="DT1517" s="30"/>
      <c r="DU1517" s="30"/>
      <c r="DV1517" s="30"/>
      <c r="DW1517" s="30"/>
      <c r="DX1517" s="30"/>
      <c r="DY1517" s="30"/>
      <c r="DZ1517" s="30"/>
    </row>
    <row r="1518">
      <c r="A1518" s="30"/>
      <c r="B1518" s="42"/>
      <c r="C1518" s="43"/>
      <c r="D1518" s="30"/>
      <c r="E1518" s="28"/>
      <c r="F1518" s="30"/>
      <c r="G1518" s="30"/>
      <c r="H1518" s="30"/>
      <c r="I1518" s="30"/>
      <c r="J1518" s="28"/>
      <c r="K1518" s="30"/>
      <c r="L1518" s="30"/>
      <c r="M1518" s="30"/>
      <c r="N1518" s="30"/>
      <c r="O1518" s="28"/>
      <c r="P1518" s="30"/>
      <c r="Q1518" s="30"/>
      <c r="R1518" s="30"/>
      <c r="S1518" s="36"/>
      <c r="T1518" s="30"/>
      <c r="U1518" s="36"/>
      <c r="V1518" s="30"/>
      <c r="W1518" s="28"/>
      <c r="X1518" s="30"/>
      <c r="Y1518" s="30"/>
      <c r="Z1518" s="30"/>
      <c r="AA1518" s="30"/>
      <c r="AB1518" s="30"/>
      <c r="AC1518" s="28"/>
      <c r="AD1518" s="30"/>
      <c r="AE1518" s="30"/>
      <c r="AF1518" s="30"/>
      <c r="AG1518" s="29"/>
      <c r="AH1518" s="30"/>
      <c r="AI1518" s="36"/>
      <c r="AJ1518" s="30"/>
      <c r="AK1518" s="29"/>
      <c r="AL1518" s="30"/>
      <c r="AM1518" s="30"/>
      <c r="AN1518" s="30"/>
      <c r="AO1518" s="30"/>
      <c r="AP1518" s="30"/>
      <c r="AQ1518" s="38"/>
      <c r="AR1518" s="30"/>
      <c r="AS1518" s="30"/>
      <c r="AT1518" s="29"/>
      <c r="AU1518" s="30"/>
      <c r="AV1518" s="30"/>
      <c r="AW1518" s="30"/>
      <c r="AX1518" s="29"/>
      <c r="AY1518" s="39"/>
      <c r="AZ1518" s="30"/>
      <c r="BA1518" s="30"/>
      <c r="BB1518" s="29"/>
      <c r="BC1518" s="52"/>
      <c r="BD1518" s="30"/>
      <c r="BE1518" s="29"/>
      <c r="BF1518" s="30"/>
      <c r="BG1518" s="30"/>
      <c r="BH1518" s="30"/>
      <c r="BI1518" s="30"/>
      <c r="BJ1518" s="30"/>
      <c r="BK1518" s="30"/>
      <c r="BL1518" s="30"/>
      <c r="BM1518" s="30"/>
      <c r="BN1518" s="30"/>
      <c r="BO1518" s="30"/>
      <c r="BP1518" s="30"/>
      <c r="BQ1518" s="30"/>
      <c r="BR1518" s="30"/>
      <c r="BS1518" s="30"/>
      <c r="BT1518" s="30"/>
      <c r="BU1518" s="30"/>
      <c r="BV1518" s="30"/>
      <c r="BW1518" s="30"/>
      <c r="BX1518" s="30"/>
      <c r="BY1518" s="30"/>
      <c r="BZ1518" s="30"/>
      <c r="CA1518" s="30"/>
      <c r="CB1518" s="30"/>
      <c r="CC1518" s="30"/>
      <c r="CD1518" s="30"/>
      <c r="CE1518" s="30"/>
      <c r="CF1518" s="30"/>
      <c r="CG1518" s="30"/>
      <c r="CH1518" s="30"/>
      <c r="CI1518" s="30"/>
      <c r="CJ1518" s="30"/>
      <c r="CK1518" s="30"/>
      <c r="CL1518" s="30"/>
      <c r="CM1518" s="30"/>
      <c r="CN1518" s="30"/>
      <c r="CO1518" s="30"/>
      <c r="CP1518" s="30"/>
      <c r="CQ1518" s="30"/>
      <c r="CR1518" s="30"/>
      <c r="CS1518" s="30"/>
      <c r="CT1518" s="30"/>
      <c r="CU1518" s="30"/>
      <c r="CV1518" s="30"/>
      <c r="CW1518" s="30"/>
      <c r="CX1518" s="30"/>
      <c r="CY1518" s="30"/>
      <c r="CZ1518" s="30"/>
      <c r="DA1518" s="30"/>
      <c r="DB1518" s="30"/>
      <c r="DC1518" s="30"/>
      <c r="DD1518" s="30"/>
      <c r="DE1518" s="30"/>
      <c r="DF1518" s="30"/>
      <c r="DG1518" s="30"/>
      <c r="DH1518" s="30"/>
      <c r="DI1518" s="30"/>
      <c r="DJ1518" s="30"/>
      <c r="DK1518" s="30"/>
      <c r="DL1518" s="30"/>
      <c r="DM1518" s="30"/>
      <c r="DN1518" s="30"/>
      <c r="DO1518" s="30"/>
      <c r="DP1518" s="30"/>
      <c r="DQ1518" s="30"/>
      <c r="DR1518" s="30"/>
      <c r="DS1518" s="30"/>
      <c r="DT1518" s="30"/>
      <c r="DU1518" s="30"/>
      <c r="DV1518" s="30"/>
      <c r="DW1518" s="30"/>
      <c r="DX1518" s="30"/>
      <c r="DY1518" s="30"/>
      <c r="DZ1518" s="30"/>
    </row>
    <row r="1519">
      <c r="A1519" s="30"/>
      <c r="B1519" s="42"/>
      <c r="C1519" s="43"/>
      <c r="D1519" s="30"/>
      <c r="E1519" s="28"/>
      <c r="F1519" s="30"/>
      <c r="G1519" s="30"/>
      <c r="H1519" s="30"/>
      <c r="I1519" s="30"/>
      <c r="J1519" s="28"/>
      <c r="K1519" s="30"/>
      <c r="L1519" s="30"/>
      <c r="M1519" s="30"/>
      <c r="N1519" s="30"/>
      <c r="O1519" s="28"/>
      <c r="P1519" s="30"/>
      <c r="Q1519" s="30"/>
      <c r="R1519" s="30"/>
      <c r="S1519" s="36"/>
      <c r="T1519" s="30"/>
      <c r="U1519" s="36"/>
      <c r="V1519" s="30"/>
      <c r="W1519" s="28"/>
      <c r="X1519" s="30"/>
      <c r="Y1519" s="30"/>
      <c r="Z1519" s="30"/>
      <c r="AA1519" s="30"/>
      <c r="AB1519" s="30"/>
      <c r="AC1519" s="28"/>
      <c r="AD1519" s="30"/>
      <c r="AE1519" s="30"/>
      <c r="AF1519" s="30"/>
      <c r="AG1519" s="29"/>
      <c r="AH1519" s="30"/>
      <c r="AI1519" s="36"/>
      <c r="AJ1519" s="30"/>
      <c r="AK1519" s="29"/>
      <c r="AL1519" s="30"/>
      <c r="AM1519" s="30"/>
      <c r="AN1519" s="30"/>
      <c r="AO1519" s="30"/>
      <c r="AP1519" s="30"/>
      <c r="AQ1519" s="38"/>
      <c r="AR1519" s="30"/>
      <c r="AS1519" s="30"/>
      <c r="AT1519" s="29"/>
      <c r="AU1519" s="30"/>
      <c r="AV1519" s="30"/>
      <c r="AW1519" s="30"/>
      <c r="AX1519" s="29"/>
      <c r="AY1519" s="39"/>
      <c r="AZ1519" s="30"/>
      <c r="BA1519" s="30"/>
      <c r="BB1519" s="29"/>
      <c r="BC1519" s="52"/>
      <c r="BD1519" s="30"/>
      <c r="BE1519" s="29"/>
      <c r="BF1519" s="30"/>
      <c r="BG1519" s="30"/>
      <c r="BH1519" s="30"/>
      <c r="BI1519" s="30"/>
      <c r="BJ1519" s="30"/>
      <c r="BK1519" s="30"/>
      <c r="BL1519" s="30"/>
      <c r="BM1519" s="30"/>
      <c r="BN1519" s="30"/>
      <c r="BO1519" s="30"/>
      <c r="BP1519" s="30"/>
      <c r="BQ1519" s="30"/>
      <c r="BR1519" s="30"/>
      <c r="BS1519" s="30"/>
      <c r="BT1519" s="30"/>
      <c r="BU1519" s="30"/>
      <c r="BV1519" s="30"/>
      <c r="BW1519" s="30"/>
      <c r="BX1519" s="30"/>
      <c r="BY1519" s="30"/>
      <c r="BZ1519" s="30"/>
      <c r="CA1519" s="30"/>
      <c r="CB1519" s="30"/>
      <c r="CC1519" s="30"/>
      <c r="CD1519" s="30"/>
      <c r="CE1519" s="30"/>
      <c r="CF1519" s="30"/>
      <c r="CG1519" s="30"/>
      <c r="CH1519" s="30"/>
      <c r="CI1519" s="30"/>
      <c r="CJ1519" s="30"/>
      <c r="CK1519" s="30"/>
      <c r="CL1519" s="30"/>
      <c r="CM1519" s="30"/>
      <c r="CN1519" s="30"/>
      <c r="CO1519" s="30"/>
      <c r="CP1519" s="30"/>
      <c r="CQ1519" s="30"/>
      <c r="CR1519" s="30"/>
      <c r="CS1519" s="30"/>
      <c r="CT1519" s="30"/>
      <c r="CU1519" s="30"/>
      <c r="CV1519" s="30"/>
      <c r="CW1519" s="30"/>
      <c r="CX1519" s="30"/>
      <c r="CY1519" s="30"/>
      <c r="CZ1519" s="30"/>
      <c r="DA1519" s="30"/>
      <c r="DB1519" s="30"/>
      <c r="DC1519" s="30"/>
      <c r="DD1519" s="30"/>
      <c r="DE1519" s="30"/>
      <c r="DF1519" s="30"/>
      <c r="DG1519" s="30"/>
      <c r="DH1519" s="30"/>
      <c r="DI1519" s="30"/>
      <c r="DJ1519" s="30"/>
      <c r="DK1519" s="30"/>
      <c r="DL1519" s="30"/>
      <c r="DM1519" s="30"/>
      <c r="DN1519" s="30"/>
      <c r="DO1519" s="30"/>
      <c r="DP1519" s="30"/>
      <c r="DQ1519" s="30"/>
      <c r="DR1519" s="30"/>
      <c r="DS1519" s="30"/>
      <c r="DT1519" s="30"/>
      <c r="DU1519" s="30"/>
      <c r="DV1519" s="30"/>
      <c r="DW1519" s="30"/>
      <c r="DX1519" s="30"/>
      <c r="DY1519" s="30"/>
      <c r="DZ1519" s="30"/>
    </row>
    <row r="1520">
      <c r="A1520" s="30"/>
      <c r="B1520" s="42"/>
      <c r="C1520" s="43"/>
      <c r="D1520" s="30"/>
      <c r="E1520" s="28"/>
      <c r="F1520" s="30"/>
      <c r="G1520" s="30"/>
      <c r="H1520" s="30"/>
      <c r="I1520" s="30"/>
      <c r="J1520" s="28"/>
      <c r="K1520" s="30"/>
      <c r="L1520" s="30"/>
      <c r="M1520" s="30"/>
      <c r="N1520" s="30"/>
      <c r="O1520" s="28"/>
      <c r="P1520" s="30"/>
      <c r="Q1520" s="30"/>
      <c r="R1520" s="30"/>
      <c r="S1520" s="36"/>
      <c r="T1520" s="30"/>
      <c r="U1520" s="36"/>
      <c r="V1520" s="30"/>
      <c r="W1520" s="28"/>
      <c r="X1520" s="30"/>
      <c r="Y1520" s="30"/>
      <c r="Z1520" s="30"/>
      <c r="AA1520" s="30"/>
      <c r="AB1520" s="30"/>
      <c r="AC1520" s="28"/>
      <c r="AD1520" s="30"/>
      <c r="AE1520" s="30"/>
      <c r="AF1520" s="30"/>
      <c r="AG1520" s="29"/>
      <c r="AH1520" s="30"/>
      <c r="AI1520" s="36"/>
      <c r="AJ1520" s="30"/>
      <c r="AK1520" s="29"/>
      <c r="AL1520" s="30"/>
      <c r="AM1520" s="30"/>
      <c r="AN1520" s="30"/>
      <c r="AO1520" s="30"/>
      <c r="AP1520" s="30"/>
      <c r="AQ1520" s="38"/>
      <c r="AR1520" s="30"/>
      <c r="AS1520" s="30"/>
      <c r="AT1520" s="29"/>
      <c r="AU1520" s="30"/>
      <c r="AV1520" s="30"/>
      <c r="AW1520" s="30"/>
      <c r="AX1520" s="29"/>
      <c r="AY1520" s="39"/>
      <c r="AZ1520" s="30"/>
      <c r="BA1520" s="30"/>
      <c r="BB1520" s="29"/>
      <c r="BC1520" s="52"/>
      <c r="BD1520" s="30"/>
      <c r="BE1520" s="29"/>
      <c r="BF1520" s="30"/>
      <c r="BG1520" s="30"/>
      <c r="BH1520" s="30"/>
      <c r="BI1520" s="30"/>
      <c r="BJ1520" s="30"/>
      <c r="BK1520" s="30"/>
      <c r="BL1520" s="30"/>
      <c r="BM1520" s="30"/>
      <c r="BN1520" s="30"/>
      <c r="BO1520" s="30"/>
      <c r="BP1520" s="30"/>
      <c r="BQ1520" s="30"/>
      <c r="BR1520" s="30"/>
      <c r="BS1520" s="30"/>
      <c r="BT1520" s="30"/>
      <c r="BU1520" s="30"/>
      <c r="BV1520" s="30"/>
      <c r="BW1520" s="30"/>
      <c r="BX1520" s="30"/>
      <c r="BY1520" s="30"/>
      <c r="BZ1520" s="30"/>
      <c r="CA1520" s="30"/>
      <c r="CB1520" s="30"/>
      <c r="CC1520" s="30"/>
      <c r="CD1520" s="30"/>
      <c r="CE1520" s="30"/>
      <c r="CF1520" s="30"/>
      <c r="CG1520" s="30"/>
      <c r="CH1520" s="30"/>
      <c r="CI1520" s="30"/>
      <c r="CJ1520" s="30"/>
      <c r="CK1520" s="30"/>
      <c r="CL1520" s="30"/>
      <c r="CM1520" s="30"/>
      <c r="CN1520" s="30"/>
      <c r="CO1520" s="30"/>
      <c r="CP1520" s="30"/>
      <c r="CQ1520" s="30"/>
      <c r="CR1520" s="30"/>
      <c r="CS1520" s="30"/>
      <c r="CT1520" s="30"/>
      <c r="CU1520" s="30"/>
      <c r="CV1520" s="30"/>
      <c r="CW1520" s="30"/>
      <c r="CX1520" s="30"/>
      <c r="CY1520" s="30"/>
      <c r="CZ1520" s="30"/>
      <c r="DA1520" s="30"/>
      <c r="DB1520" s="30"/>
      <c r="DC1520" s="30"/>
      <c r="DD1520" s="30"/>
      <c r="DE1520" s="30"/>
      <c r="DF1520" s="30"/>
      <c r="DG1520" s="30"/>
      <c r="DH1520" s="30"/>
      <c r="DI1520" s="30"/>
      <c r="DJ1520" s="30"/>
      <c r="DK1520" s="30"/>
      <c r="DL1520" s="30"/>
      <c r="DM1520" s="30"/>
      <c r="DN1520" s="30"/>
      <c r="DO1520" s="30"/>
      <c r="DP1520" s="30"/>
      <c r="DQ1520" s="30"/>
      <c r="DR1520" s="30"/>
      <c r="DS1520" s="30"/>
      <c r="DT1520" s="30"/>
      <c r="DU1520" s="30"/>
      <c r="DV1520" s="30"/>
      <c r="DW1520" s="30"/>
      <c r="DX1520" s="30"/>
      <c r="DY1520" s="30"/>
      <c r="DZ1520" s="30"/>
    </row>
    <row r="1521">
      <c r="A1521" s="30"/>
      <c r="B1521" s="42"/>
      <c r="C1521" s="43"/>
      <c r="D1521" s="30"/>
      <c r="E1521" s="28"/>
      <c r="F1521" s="30"/>
      <c r="G1521" s="30"/>
      <c r="H1521" s="30"/>
      <c r="I1521" s="30"/>
      <c r="J1521" s="28"/>
      <c r="K1521" s="30"/>
      <c r="L1521" s="30"/>
      <c r="M1521" s="30"/>
      <c r="N1521" s="30"/>
      <c r="O1521" s="28"/>
      <c r="P1521" s="30"/>
      <c r="Q1521" s="30"/>
      <c r="R1521" s="30"/>
      <c r="S1521" s="36"/>
      <c r="T1521" s="30"/>
      <c r="U1521" s="36"/>
      <c r="V1521" s="30"/>
      <c r="W1521" s="28"/>
      <c r="X1521" s="30"/>
      <c r="Y1521" s="30"/>
      <c r="Z1521" s="30"/>
      <c r="AA1521" s="30"/>
      <c r="AB1521" s="30"/>
      <c r="AC1521" s="28"/>
      <c r="AD1521" s="30"/>
      <c r="AE1521" s="30"/>
      <c r="AF1521" s="30"/>
      <c r="AG1521" s="29"/>
      <c r="AH1521" s="30"/>
      <c r="AI1521" s="36"/>
      <c r="AJ1521" s="30"/>
      <c r="AK1521" s="29"/>
      <c r="AL1521" s="30"/>
      <c r="AM1521" s="30"/>
      <c r="AN1521" s="30"/>
      <c r="AO1521" s="30"/>
      <c r="AP1521" s="30"/>
      <c r="AQ1521" s="38"/>
      <c r="AR1521" s="30"/>
      <c r="AS1521" s="30"/>
      <c r="AT1521" s="29"/>
      <c r="AU1521" s="30"/>
      <c r="AV1521" s="30"/>
      <c r="AW1521" s="30"/>
      <c r="AX1521" s="29"/>
      <c r="AY1521" s="39"/>
      <c r="AZ1521" s="30"/>
      <c r="BA1521" s="30"/>
      <c r="BB1521" s="29"/>
      <c r="BC1521" s="52"/>
      <c r="BD1521" s="30"/>
      <c r="BE1521" s="29"/>
      <c r="BF1521" s="30"/>
      <c r="BG1521" s="30"/>
      <c r="BH1521" s="30"/>
      <c r="BI1521" s="30"/>
      <c r="BJ1521" s="30"/>
      <c r="BK1521" s="30"/>
      <c r="BL1521" s="30"/>
      <c r="BM1521" s="30"/>
      <c r="BN1521" s="30"/>
      <c r="BO1521" s="30"/>
      <c r="BP1521" s="30"/>
      <c r="BQ1521" s="30"/>
      <c r="BR1521" s="30"/>
      <c r="BS1521" s="30"/>
      <c r="BT1521" s="30"/>
      <c r="BU1521" s="30"/>
      <c r="BV1521" s="30"/>
      <c r="BW1521" s="30"/>
      <c r="BX1521" s="30"/>
      <c r="BY1521" s="30"/>
      <c r="BZ1521" s="30"/>
      <c r="CA1521" s="30"/>
      <c r="CB1521" s="30"/>
      <c r="CC1521" s="30"/>
      <c r="CD1521" s="30"/>
      <c r="CE1521" s="30"/>
      <c r="CF1521" s="30"/>
      <c r="CG1521" s="30"/>
      <c r="CH1521" s="30"/>
      <c r="CI1521" s="30"/>
      <c r="CJ1521" s="30"/>
      <c r="CK1521" s="30"/>
      <c r="CL1521" s="30"/>
      <c r="CM1521" s="30"/>
      <c r="CN1521" s="30"/>
      <c r="CO1521" s="30"/>
      <c r="CP1521" s="30"/>
      <c r="CQ1521" s="30"/>
      <c r="CR1521" s="30"/>
      <c r="CS1521" s="30"/>
      <c r="CT1521" s="30"/>
      <c r="CU1521" s="30"/>
      <c r="CV1521" s="30"/>
      <c r="CW1521" s="30"/>
      <c r="CX1521" s="30"/>
      <c r="CY1521" s="30"/>
      <c r="CZ1521" s="30"/>
      <c r="DA1521" s="30"/>
      <c r="DB1521" s="30"/>
      <c r="DC1521" s="30"/>
      <c r="DD1521" s="30"/>
      <c r="DE1521" s="30"/>
      <c r="DF1521" s="30"/>
      <c r="DG1521" s="30"/>
      <c r="DH1521" s="30"/>
      <c r="DI1521" s="30"/>
      <c r="DJ1521" s="30"/>
      <c r="DK1521" s="30"/>
      <c r="DL1521" s="30"/>
      <c r="DM1521" s="30"/>
      <c r="DN1521" s="30"/>
      <c r="DO1521" s="30"/>
      <c r="DP1521" s="30"/>
      <c r="DQ1521" s="30"/>
      <c r="DR1521" s="30"/>
      <c r="DS1521" s="30"/>
      <c r="DT1521" s="30"/>
      <c r="DU1521" s="30"/>
      <c r="DV1521" s="30"/>
      <c r="DW1521" s="30"/>
      <c r="DX1521" s="30"/>
      <c r="DY1521" s="30"/>
      <c r="DZ1521" s="30"/>
    </row>
    <row r="1522">
      <c r="A1522" s="30"/>
      <c r="B1522" s="42"/>
      <c r="C1522" s="43"/>
      <c r="D1522" s="30"/>
      <c r="E1522" s="28"/>
      <c r="F1522" s="30"/>
      <c r="G1522" s="30"/>
      <c r="H1522" s="30"/>
      <c r="I1522" s="30"/>
      <c r="J1522" s="28"/>
      <c r="K1522" s="30"/>
      <c r="L1522" s="30"/>
      <c r="M1522" s="30"/>
      <c r="N1522" s="30"/>
      <c r="O1522" s="28"/>
      <c r="P1522" s="30"/>
      <c r="Q1522" s="30"/>
      <c r="R1522" s="30"/>
      <c r="S1522" s="36"/>
      <c r="T1522" s="30"/>
      <c r="U1522" s="36"/>
      <c r="V1522" s="30"/>
      <c r="W1522" s="28"/>
      <c r="X1522" s="30"/>
      <c r="Y1522" s="30"/>
      <c r="Z1522" s="30"/>
      <c r="AA1522" s="30"/>
      <c r="AB1522" s="30"/>
      <c r="AC1522" s="28"/>
      <c r="AD1522" s="30"/>
      <c r="AE1522" s="30"/>
      <c r="AF1522" s="30"/>
      <c r="AG1522" s="29"/>
      <c r="AH1522" s="30"/>
      <c r="AI1522" s="36"/>
      <c r="AJ1522" s="30"/>
      <c r="AK1522" s="29"/>
      <c r="AL1522" s="30"/>
      <c r="AM1522" s="30"/>
      <c r="AN1522" s="30"/>
      <c r="AO1522" s="30"/>
      <c r="AP1522" s="30"/>
      <c r="AQ1522" s="38"/>
      <c r="AR1522" s="30"/>
      <c r="AS1522" s="30"/>
      <c r="AT1522" s="29"/>
      <c r="AU1522" s="30"/>
      <c r="AV1522" s="30"/>
      <c r="AW1522" s="30"/>
      <c r="AX1522" s="29"/>
      <c r="AY1522" s="39"/>
      <c r="AZ1522" s="30"/>
      <c r="BA1522" s="30"/>
      <c r="BB1522" s="29"/>
      <c r="BC1522" s="52"/>
      <c r="BD1522" s="30"/>
      <c r="BE1522" s="29"/>
      <c r="BF1522" s="30"/>
      <c r="BG1522" s="30"/>
      <c r="BH1522" s="30"/>
      <c r="BI1522" s="30"/>
      <c r="BJ1522" s="30"/>
      <c r="BK1522" s="30"/>
      <c r="BL1522" s="30"/>
      <c r="BM1522" s="30"/>
      <c r="BN1522" s="30"/>
      <c r="BO1522" s="30"/>
      <c r="BP1522" s="30"/>
      <c r="BQ1522" s="30"/>
      <c r="BR1522" s="30"/>
      <c r="BS1522" s="30"/>
      <c r="BT1522" s="30"/>
      <c r="BU1522" s="30"/>
      <c r="BV1522" s="30"/>
      <c r="BW1522" s="30"/>
      <c r="BX1522" s="30"/>
      <c r="BY1522" s="30"/>
      <c r="BZ1522" s="30"/>
      <c r="CA1522" s="30"/>
      <c r="CB1522" s="30"/>
      <c r="CC1522" s="30"/>
      <c r="CD1522" s="30"/>
      <c r="CE1522" s="30"/>
      <c r="CF1522" s="30"/>
      <c r="CG1522" s="30"/>
      <c r="CH1522" s="30"/>
      <c r="CI1522" s="30"/>
      <c r="CJ1522" s="30"/>
      <c r="CK1522" s="30"/>
      <c r="CL1522" s="30"/>
      <c r="CM1522" s="30"/>
      <c r="CN1522" s="30"/>
      <c r="CO1522" s="30"/>
      <c r="CP1522" s="30"/>
      <c r="CQ1522" s="30"/>
      <c r="CR1522" s="30"/>
      <c r="CS1522" s="30"/>
      <c r="CT1522" s="30"/>
      <c r="CU1522" s="30"/>
      <c r="CV1522" s="30"/>
      <c r="CW1522" s="30"/>
      <c r="CX1522" s="30"/>
      <c r="CY1522" s="30"/>
      <c r="CZ1522" s="30"/>
      <c r="DA1522" s="30"/>
      <c r="DB1522" s="30"/>
      <c r="DC1522" s="30"/>
      <c r="DD1522" s="30"/>
      <c r="DE1522" s="30"/>
      <c r="DF1522" s="30"/>
      <c r="DG1522" s="30"/>
      <c r="DH1522" s="30"/>
      <c r="DI1522" s="30"/>
      <c r="DJ1522" s="30"/>
      <c r="DK1522" s="30"/>
      <c r="DL1522" s="30"/>
      <c r="DM1522" s="30"/>
      <c r="DN1522" s="30"/>
      <c r="DO1522" s="30"/>
      <c r="DP1522" s="30"/>
      <c r="DQ1522" s="30"/>
      <c r="DR1522" s="30"/>
      <c r="DS1522" s="30"/>
      <c r="DT1522" s="30"/>
      <c r="DU1522" s="30"/>
      <c r="DV1522" s="30"/>
      <c r="DW1522" s="30"/>
      <c r="DX1522" s="30"/>
      <c r="DY1522" s="30"/>
      <c r="DZ1522" s="30"/>
    </row>
    <row r="1523">
      <c r="A1523" s="30"/>
      <c r="B1523" s="42"/>
      <c r="C1523" s="43"/>
      <c r="D1523" s="30"/>
      <c r="E1523" s="28"/>
      <c r="F1523" s="30"/>
      <c r="G1523" s="30"/>
      <c r="H1523" s="30"/>
      <c r="I1523" s="30"/>
      <c r="J1523" s="28"/>
      <c r="K1523" s="30"/>
      <c r="L1523" s="30"/>
      <c r="M1523" s="30"/>
      <c r="N1523" s="30"/>
      <c r="O1523" s="28"/>
      <c r="P1523" s="30"/>
      <c r="Q1523" s="30"/>
      <c r="R1523" s="30"/>
      <c r="S1523" s="36"/>
      <c r="T1523" s="30"/>
      <c r="U1523" s="36"/>
      <c r="V1523" s="30"/>
      <c r="W1523" s="28"/>
      <c r="X1523" s="30"/>
      <c r="Y1523" s="30"/>
      <c r="Z1523" s="30"/>
      <c r="AA1523" s="30"/>
      <c r="AB1523" s="30"/>
      <c r="AC1523" s="28"/>
      <c r="AD1523" s="30"/>
      <c r="AE1523" s="30"/>
      <c r="AF1523" s="30"/>
      <c r="AG1523" s="29"/>
      <c r="AH1523" s="30"/>
      <c r="AI1523" s="36"/>
      <c r="AJ1523" s="30"/>
      <c r="AK1523" s="29"/>
      <c r="AL1523" s="30"/>
      <c r="AM1523" s="30"/>
      <c r="AN1523" s="30"/>
      <c r="AO1523" s="30"/>
      <c r="AP1523" s="30"/>
      <c r="AQ1523" s="38"/>
      <c r="AR1523" s="30"/>
      <c r="AS1523" s="30"/>
      <c r="AT1523" s="29"/>
      <c r="AU1523" s="30"/>
      <c r="AV1523" s="30"/>
      <c r="AW1523" s="30"/>
      <c r="AX1523" s="29"/>
      <c r="AY1523" s="39"/>
      <c r="AZ1523" s="30"/>
      <c r="BA1523" s="30"/>
      <c r="BB1523" s="29"/>
      <c r="BC1523" s="52"/>
      <c r="BD1523" s="30"/>
      <c r="BE1523" s="29"/>
      <c r="BF1523" s="30"/>
      <c r="BG1523" s="30"/>
      <c r="BH1523" s="30"/>
      <c r="BI1523" s="30"/>
      <c r="BJ1523" s="30"/>
      <c r="BK1523" s="30"/>
      <c r="BL1523" s="30"/>
      <c r="BM1523" s="30"/>
      <c r="BN1523" s="30"/>
      <c r="BO1523" s="30"/>
      <c r="BP1523" s="30"/>
      <c r="BQ1523" s="30"/>
      <c r="BR1523" s="30"/>
      <c r="BS1523" s="30"/>
      <c r="BT1523" s="30"/>
      <c r="BU1523" s="30"/>
      <c r="BV1523" s="30"/>
      <c r="BW1523" s="30"/>
      <c r="BX1523" s="30"/>
      <c r="BY1523" s="30"/>
      <c r="BZ1523" s="30"/>
      <c r="CA1523" s="30"/>
      <c r="CB1523" s="30"/>
      <c r="CC1523" s="30"/>
      <c r="CD1523" s="30"/>
      <c r="CE1523" s="30"/>
      <c r="CF1523" s="30"/>
      <c r="CG1523" s="30"/>
      <c r="CH1523" s="30"/>
      <c r="CI1523" s="30"/>
      <c r="CJ1523" s="30"/>
      <c r="CK1523" s="30"/>
      <c r="CL1523" s="30"/>
      <c r="CM1523" s="30"/>
      <c r="CN1523" s="30"/>
      <c r="CO1523" s="30"/>
      <c r="CP1523" s="30"/>
      <c r="CQ1523" s="30"/>
      <c r="CR1523" s="30"/>
      <c r="CS1523" s="30"/>
      <c r="CT1523" s="30"/>
      <c r="CU1523" s="30"/>
      <c r="CV1523" s="30"/>
      <c r="CW1523" s="30"/>
      <c r="CX1523" s="30"/>
      <c r="CY1523" s="30"/>
      <c r="CZ1523" s="30"/>
      <c r="DA1523" s="30"/>
      <c r="DB1523" s="30"/>
      <c r="DC1523" s="30"/>
      <c r="DD1523" s="30"/>
      <c r="DE1523" s="30"/>
      <c r="DF1523" s="30"/>
      <c r="DG1523" s="30"/>
      <c r="DH1523" s="30"/>
      <c r="DI1523" s="30"/>
      <c r="DJ1523" s="30"/>
      <c r="DK1523" s="30"/>
      <c r="DL1523" s="30"/>
      <c r="DM1523" s="30"/>
      <c r="DN1523" s="30"/>
      <c r="DO1523" s="30"/>
      <c r="DP1523" s="30"/>
      <c r="DQ1523" s="30"/>
      <c r="DR1523" s="30"/>
      <c r="DS1523" s="30"/>
      <c r="DT1523" s="30"/>
      <c r="DU1523" s="30"/>
      <c r="DV1523" s="30"/>
      <c r="DW1523" s="30"/>
      <c r="DX1523" s="30"/>
      <c r="DY1523" s="30"/>
      <c r="DZ1523" s="30"/>
    </row>
    <row r="1524">
      <c r="A1524" s="30"/>
      <c r="B1524" s="42"/>
      <c r="C1524" s="43"/>
      <c r="D1524" s="30"/>
      <c r="E1524" s="28"/>
      <c r="F1524" s="30"/>
      <c r="G1524" s="30"/>
      <c r="H1524" s="30"/>
      <c r="I1524" s="30"/>
      <c r="J1524" s="28"/>
      <c r="K1524" s="30"/>
      <c r="L1524" s="30"/>
      <c r="M1524" s="30"/>
      <c r="N1524" s="30"/>
      <c r="O1524" s="28"/>
      <c r="P1524" s="30"/>
      <c r="Q1524" s="30"/>
      <c r="R1524" s="30"/>
      <c r="S1524" s="36"/>
      <c r="T1524" s="30"/>
      <c r="U1524" s="36"/>
      <c r="V1524" s="30"/>
      <c r="W1524" s="28"/>
      <c r="X1524" s="30"/>
      <c r="Y1524" s="30"/>
      <c r="Z1524" s="30"/>
      <c r="AA1524" s="30"/>
      <c r="AB1524" s="30"/>
      <c r="AC1524" s="28"/>
      <c r="AD1524" s="30"/>
      <c r="AE1524" s="30"/>
      <c r="AF1524" s="30"/>
      <c r="AG1524" s="29"/>
      <c r="AH1524" s="30"/>
      <c r="AI1524" s="36"/>
      <c r="AJ1524" s="30"/>
      <c r="AK1524" s="29"/>
      <c r="AL1524" s="30"/>
      <c r="AM1524" s="30"/>
      <c r="AN1524" s="30"/>
      <c r="AO1524" s="30"/>
      <c r="AP1524" s="30"/>
      <c r="AQ1524" s="38"/>
      <c r="AR1524" s="30"/>
      <c r="AS1524" s="30"/>
      <c r="AT1524" s="29"/>
      <c r="AU1524" s="30"/>
      <c r="AV1524" s="30"/>
      <c r="AW1524" s="30"/>
      <c r="AX1524" s="29"/>
      <c r="AY1524" s="39"/>
      <c r="AZ1524" s="30"/>
      <c r="BA1524" s="30"/>
      <c r="BB1524" s="29"/>
      <c r="BC1524" s="52"/>
      <c r="BD1524" s="30"/>
      <c r="BE1524" s="29"/>
      <c r="BF1524" s="30"/>
      <c r="BG1524" s="30"/>
      <c r="BH1524" s="30"/>
      <c r="BI1524" s="30"/>
      <c r="BJ1524" s="30"/>
      <c r="BK1524" s="30"/>
      <c r="BL1524" s="30"/>
      <c r="BM1524" s="30"/>
      <c r="BN1524" s="30"/>
      <c r="BO1524" s="30"/>
      <c r="BP1524" s="30"/>
      <c r="BQ1524" s="30"/>
      <c r="BR1524" s="30"/>
      <c r="BS1524" s="30"/>
      <c r="BT1524" s="30"/>
      <c r="BU1524" s="30"/>
      <c r="BV1524" s="30"/>
      <c r="BW1524" s="30"/>
      <c r="BX1524" s="30"/>
      <c r="BY1524" s="30"/>
      <c r="BZ1524" s="30"/>
      <c r="CA1524" s="30"/>
      <c r="CB1524" s="30"/>
      <c r="CC1524" s="30"/>
      <c r="CD1524" s="30"/>
      <c r="CE1524" s="30"/>
      <c r="CF1524" s="30"/>
      <c r="CG1524" s="30"/>
      <c r="CH1524" s="30"/>
      <c r="CI1524" s="30"/>
      <c r="CJ1524" s="30"/>
      <c r="CK1524" s="30"/>
      <c r="CL1524" s="30"/>
      <c r="CM1524" s="30"/>
      <c r="CN1524" s="30"/>
      <c r="CO1524" s="30"/>
      <c r="CP1524" s="30"/>
      <c r="CQ1524" s="30"/>
      <c r="CR1524" s="30"/>
      <c r="CS1524" s="30"/>
      <c r="CT1524" s="30"/>
      <c r="CU1524" s="30"/>
      <c r="CV1524" s="30"/>
      <c r="CW1524" s="30"/>
      <c r="CX1524" s="30"/>
      <c r="CY1524" s="30"/>
      <c r="CZ1524" s="30"/>
      <c r="DA1524" s="30"/>
      <c r="DB1524" s="30"/>
      <c r="DC1524" s="30"/>
      <c r="DD1524" s="30"/>
      <c r="DE1524" s="30"/>
      <c r="DF1524" s="30"/>
      <c r="DG1524" s="30"/>
      <c r="DH1524" s="30"/>
      <c r="DI1524" s="30"/>
      <c r="DJ1524" s="30"/>
      <c r="DK1524" s="30"/>
      <c r="DL1524" s="30"/>
      <c r="DM1524" s="30"/>
      <c r="DN1524" s="30"/>
      <c r="DO1524" s="30"/>
      <c r="DP1524" s="30"/>
      <c r="DQ1524" s="30"/>
      <c r="DR1524" s="30"/>
      <c r="DS1524" s="30"/>
      <c r="DT1524" s="30"/>
      <c r="DU1524" s="30"/>
      <c r="DV1524" s="30"/>
      <c r="DW1524" s="30"/>
      <c r="DX1524" s="30"/>
      <c r="DY1524" s="30"/>
      <c r="DZ1524" s="30"/>
    </row>
    <row r="1525">
      <c r="A1525" s="30"/>
      <c r="B1525" s="42"/>
      <c r="C1525" s="43"/>
      <c r="D1525" s="30"/>
      <c r="E1525" s="28"/>
      <c r="F1525" s="30"/>
      <c r="G1525" s="30"/>
      <c r="H1525" s="30"/>
      <c r="I1525" s="30"/>
      <c r="J1525" s="28"/>
      <c r="K1525" s="30"/>
      <c r="L1525" s="30"/>
      <c r="M1525" s="30"/>
      <c r="N1525" s="30"/>
      <c r="O1525" s="28"/>
      <c r="P1525" s="30"/>
      <c r="Q1525" s="30"/>
      <c r="R1525" s="30"/>
      <c r="S1525" s="36"/>
      <c r="T1525" s="30"/>
      <c r="U1525" s="36"/>
      <c r="V1525" s="30"/>
      <c r="W1525" s="28"/>
      <c r="X1525" s="30"/>
      <c r="Y1525" s="30"/>
      <c r="Z1525" s="30"/>
      <c r="AA1525" s="30"/>
      <c r="AB1525" s="30"/>
      <c r="AC1525" s="28"/>
      <c r="AD1525" s="30"/>
      <c r="AE1525" s="30"/>
      <c r="AF1525" s="30"/>
      <c r="AG1525" s="29"/>
      <c r="AH1525" s="30"/>
      <c r="AI1525" s="36"/>
      <c r="AJ1525" s="30"/>
      <c r="AK1525" s="29"/>
      <c r="AL1525" s="30"/>
      <c r="AM1525" s="30"/>
      <c r="AN1525" s="30"/>
      <c r="AO1525" s="30"/>
      <c r="AP1525" s="30"/>
      <c r="AQ1525" s="38"/>
      <c r="AR1525" s="30"/>
      <c r="AS1525" s="30"/>
      <c r="AT1525" s="29"/>
      <c r="AU1525" s="30"/>
      <c r="AV1525" s="30"/>
      <c r="AW1525" s="30"/>
      <c r="AX1525" s="29"/>
      <c r="AY1525" s="39"/>
      <c r="AZ1525" s="30"/>
      <c r="BA1525" s="30"/>
      <c r="BB1525" s="29"/>
      <c r="BC1525" s="52"/>
      <c r="BD1525" s="30"/>
      <c r="BE1525" s="29"/>
      <c r="BF1525" s="30"/>
      <c r="BG1525" s="30"/>
      <c r="BH1525" s="30"/>
      <c r="BI1525" s="30"/>
      <c r="BJ1525" s="30"/>
      <c r="BK1525" s="30"/>
      <c r="BL1525" s="30"/>
      <c r="BM1525" s="30"/>
      <c r="BN1525" s="30"/>
      <c r="BO1525" s="30"/>
      <c r="BP1525" s="30"/>
      <c r="BQ1525" s="30"/>
      <c r="BR1525" s="30"/>
      <c r="BS1525" s="30"/>
      <c r="BT1525" s="30"/>
      <c r="BU1525" s="30"/>
      <c r="BV1525" s="30"/>
      <c r="BW1525" s="30"/>
      <c r="BX1525" s="30"/>
      <c r="BY1525" s="30"/>
      <c r="BZ1525" s="30"/>
      <c r="CA1525" s="30"/>
      <c r="CB1525" s="30"/>
      <c r="CC1525" s="30"/>
      <c r="CD1525" s="30"/>
      <c r="CE1525" s="30"/>
      <c r="CF1525" s="30"/>
      <c r="CG1525" s="30"/>
      <c r="CH1525" s="30"/>
      <c r="CI1525" s="30"/>
      <c r="CJ1525" s="30"/>
      <c r="CK1525" s="30"/>
      <c r="CL1525" s="30"/>
      <c r="CM1525" s="30"/>
      <c r="CN1525" s="30"/>
      <c r="CO1525" s="30"/>
      <c r="CP1525" s="30"/>
      <c r="CQ1525" s="30"/>
      <c r="CR1525" s="30"/>
      <c r="CS1525" s="30"/>
      <c r="CT1525" s="30"/>
      <c r="CU1525" s="30"/>
      <c r="CV1525" s="30"/>
      <c r="CW1525" s="30"/>
      <c r="CX1525" s="30"/>
      <c r="CY1525" s="30"/>
      <c r="CZ1525" s="30"/>
      <c r="DA1525" s="30"/>
      <c r="DB1525" s="30"/>
      <c r="DC1525" s="30"/>
      <c r="DD1525" s="30"/>
      <c r="DE1525" s="30"/>
      <c r="DF1525" s="30"/>
      <c r="DG1525" s="30"/>
      <c r="DH1525" s="30"/>
      <c r="DI1525" s="30"/>
      <c r="DJ1525" s="30"/>
      <c r="DK1525" s="30"/>
      <c r="DL1525" s="30"/>
      <c r="DM1525" s="30"/>
      <c r="DN1525" s="30"/>
      <c r="DO1525" s="30"/>
      <c r="DP1525" s="30"/>
      <c r="DQ1525" s="30"/>
      <c r="DR1525" s="30"/>
      <c r="DS1525" s="30"/>
      <c r="DT1525" s="30"/>
      <c r="DU1525" s="30"/>
      <c r="DV1525" s="30"/>
      <c r="DW1525" s="30"/>
      <c r="DX1525" s="30"/>
      <c r="DY1525" s="30"/>
      <c r="DZ1525" s="30"/>
    </row>
    <row r="1526">
      <c r="A1526" s="30"/>
      <c r="B1526" s="42"/>
      <c r="C1526" s="43"/>
      <c r="D1526" s="30"/>
      <c r="E1526" s="28"/>
      <c r="F1526" s="30"/>
      <c r="G1526" s="30"/>
      <c r="H1526" s="30"/>
      <c r="I1526" s="30"/>
      <c r="J1526" s="28"/>
      <c r="K1526" s="30"/>
      <c r="L1526" s="30"/>
      <c r="M1526" s="30"/>
      <c r="N1526" s="30"/>
      <c r="O1526" s="28"/>
      <c r="P1526" s="30"/>
      <c r="Q1526" s="30"/>
      <c r="R1526" s="30"/>
      <c r="S1526" s="36"/>
      <c r="T1526" s="30"/>
      <c r="U1526" s="36"/>
      <c r="V1526" s="30"/>
      <c r="W1526" s="28"/>
      <c r="X1526" s="30"/>
      <c r="Y1526" s="30"/>
      <c r="Z1526" s="30"/>
      <c r="AA1526" s="30"/>
      <c r="AB1526" s="30"/>
      <c r="AC1526" s="28"/>
      <c r="AD1526" s="30"/>
      <c r="AE1526" s="30"/>
      <c r="AF1526" s="30"/>
      <c r="AG1526" s="29"/>
      <c r="AH1526" s="30"/>
      <c r="AI1526" s="36"/>
      <c r="AJ1526" s="30"/>
      <c r="AK1526" s="29"/>
      <c r="AL1526" s="30"/>
      <c r="AM1526" s="30"/>
      <c r="AN1526" s="30"/>
      <c r="AO1526" s="30"/>
      <c r="AP1526" s="30"/>
      <c r="AQ1526" s="38"/>
      <c r="AR1526" s="30"/>
      <c r="AS1526" s="30"/>
      <c r="AT1526" s="29"/>
      <c r="AU1526" s="30"/>
      <c r="AV1526" s="30"/>
      <c r="AW1526" s="30"/>
      <c r="AX1526" s="29"/>
      <c r="AY1526" s="39"/>
      <c r="AZ1526" s="30"/>
      <c r="BA1526" s="30"/>
      <c r="BB1526" s="29"/>
      <c r="BC1526" s="52"/>
      <c r="BD1526" s="30"/>
      <c r="BE1526" s="29"/>
      <c r="BF1526" s="30"/>
      <c r="BG1526" s="30"/>
      <c r="BH1526" s="30"/>
      <c r="BI1526" s="30"/>
      <c r="BJ1526" s="30"/>
      <c r="BK1526" s="30"/>
      <c r="BL1526" s="30"/>
      <c r="BM1526" s="30"/>
      <c r="BN1526" s="30"/>
      <c r="BO1526" s="30"/>
      <c r="BP1526" s="30"/>
      <c r="BQ1526" s="30"/>
      <c r="BR1526" s="30"/>
      <c r="BS1526" s="30"/>
      <c r="BT1526" s="30"/>
      <c r="BU1526" s="30"/>
      <c r="BV1526" s="30"/>
      <c r="BW1526" s="30"/>
      <c r="BX1526" s="30"/>
      <c r="BY1526" s="30"/>
      <c r="BZ1526" s="30"/>
      <c r="CA1526" s="30"/>
      <c r="CB1526" s="30"/>
      <c r="CC1526" s="30"/>
      <c r="CD1526" s="30"/>
      <c r="CE1526" s="30"/>
      <c r="CF1526" s="30"/>
      <c r="CG1526" s="30"/>
      <c r="CH1526" s="30"/>
      <c r="CI1526" s="30"/>
      <c r="CJ1526" s="30"/>
      <c r="CK1526" s="30"/>
      <c r="CL1526" s="30"/>
      <c r="CM1526" s="30"/>
      <c r="CN1526" s="30"/>
      <c r="CO1526" s="30"/>
      <c r="CP1526" s="30"/>
      <c r="CQ1526" s="30"/>
      <c r="CR1526" s="30"/>
      <c r="CS1526" s="30"/>
      <c r="CT1526" s="30"/>
      <c r="CU1526" s="30"/>
      <c r="CV1526" s="30"/>
      <c r="CW1526" s="30"/>
      <c r="CX1526" s="30"/>
      <c r="CY1526" s="30"/>
      <c r="CZ1526" s="30"/>
      <c r="DA1526" s="30"/>
      <c r="DB1526" s="30"/>
      <c r="DC1526" s="30"/>
      <c r="DD1526" s="30"/>
      <c r="DE1526" s="30"/>
      <c r="DF1526" s="30"/>
      <c r="DG1526" s="30"/>
      <c r="DH1526" s="30"/>
      <c r="DI1526" s="30"/>
      <c r="DJ1526" s="30"/>
      <c r="DK1526" s="30"/>
      <c r="DL1526" s="30"/>
      <c r="DM1526" s="30"/>
      <c r="DN1526" s="30"/>
      <c r="DO1526" s="30"/>
      <c r="DP1526" s="30"/>
      <c r="DQ1526" s="30"/>
      <c r="DR1526" s="30"/>
      <c r="DS1526" s="30"/>
      <c r="DT1526" s="30"/>
      <c r="DU1526" s="30"/>
      <c r="DV1526" s="30"/>
      <c r="DW1526" s="30"/>
      <c r="DX1526" s="30"/>
      <c r="DY1526" s="30"/>
      <c r="DZ1526" s="30"/>
    </row>
    <row r="1527">
      <c r="A1527" s="30"/>
      <c r="B1527" s="42"/>
      <c r="C1527" s="43"/>
      <c r="D1527" s="30"/>
      <c r="E1527" s="28"/>
      <c r="F1527" s="30"/>
      <c r="G1527" s="30"/>
      <c r="H1527" s="30"/>
      <c r="I1527" s="30"/>
      <c r="J1527" s="28"/>
      <c r="K1527" s="30"/>
      <c r="L1527" s="30"/>
      <c r="M1527" s="30"/>
      <c r="N1527" s="30"/>
      <c r="O1527" s="28"/>
      <c r="P1527" s="30"/>
      <c r="Q1527" s="30"/>
      <c r="R1527" s="30"/>
      <c r="S1527" s="36"/>
      <c r="T1527" s="30"/>
      <c r="U1527" s="36"/>
      <c r="V1527" s="30"/>
      <c r="W1527" s="28"/>
      <c r="X1527" s="30"/>
      <c r="Y1527" s="30"/>
      <c r="Z1527" s="30"/>
      <c r="AA1527" s="30"/>
      <c r="AB1527" s="30"/>
      <c r="AC1527" s="28"/>
      <c r="AD1527" s="30"/>
      <c r="AE1527" s="30"/>
      <c r="AF1527" s="30"/>
      <c r="AG1527" s="29"/>
      <c r="AH1527" s="30"/>
      <c r="AI1527" s="36"/>
      <c r="AJ1527" s="30"/>
      <c r="AK1527" s="29"/>
      <c r="AL1527" s="30"/>
      <c r="AM1527" s="30"/>
      <c r="AN1527" s="30"/>
      <c r="AO1527" s="30"/>
      <c r="AP1527" s="30"/>
      <c r="AQ1527" s="38"/>
      <c r="AR1527" s="30"/>
      <c r="AS1527" s="30"/>
      <c r="AT1527" s="29"/>
      <c r="AU1527" s="30"/>
      <c r="AV1527" s="30"/>
      <c r="AW1527" s="30"/>
      <c r="AX1527" s="29"/>
      <c r="AY1527" s="39"/>
      <c r="AZ1527" s="30"/>
      <c r="BA1527" s="30"/>
      <c r="BB1527" s="29"/>
      <c r="BC1527" s="52"/>
      <c r="BD1527" s="30"/>
      <c r="BE1527" s="29"/>
      <c r="BF1527" s="30"/>
      <c r="BG1527" s="30"/>
      <c r="BH1527" s="30"/>
      <c r="BI1527" s="30"/>
      <c r="BJ1527" s="30"/>
      <c r="BK1527" s="30"/>
      <c r="BL1527" s="30"/>
      <c r="BM1527" s="30"/>
      <c r="BN1527" s="30"/>
      <c r="BO1527" s="30"/>
      <c r="BP1527" s="30"/>
      <c r="BQ1527" s="30"/>
      <c r="BR1527" s="30"/>
      <c r="BS1527" s="30"/>
      <c r="BT1527" s="30"/>
      <c r="BU1527" s="30"/>
      <c r="BV1527" s="30"/>
      <c r="BW1527" s="30"/>
      <c r="BX1527" s="30"/>
      <c r="BY1527" s="30"/>
      <c r="BZ1527" s="30"/>
      <c r="CA1527" s="30"/>
      <c r="CB1527" s="30"/>
      <c r="CC1527" s="30"/>
      <c r="CD1527" s="30"/>
      <c r="CE1527" s="30"/>
      <c r="CF1527" s="30"/>
      <c r="CG1527" s="30"/>
      <c r="CH1527" s="30"/>
      <c r="CI1527" s="30"/>
      <c r="CJ1527" s="30"/>
      <c r="CK1527" s="30"/>
      <c r="CL1527" s="30"/>
      <c r="CM1527" s="30"/>
      <c r="CN1527" s="30"/>
      <c r="CO1527" s="30"/>
      <c r="CP1527" s="30"/>
      <c r="CQ1527" s="30"/>
      <c r="CR1527" s="30"/>
      <c r="CS1527" s="30"/>
      <c r="CT1527" s="30"/>
      <c r="CU1527" s="30"/>
      <c r="CV1527" s="30"/>
      <c r="CW1527" s="30"/>
      <c r="CX1527" s="30"/>
      <c r="CY1527" s="30"/>
      <c r="CZ1527" s="30"/>
      <c r="DA1527" s="30"/>
      <c r="DB1527" s="30"/>
      <c r="DC1527" s="30"/>
      <c r="DD1527" s="30"/>
      <c r="DE1527" s="30"/>
      <c r="DF1527" s="30"/>
      <c r="DG1527" s="30"/>
      <c r="DH1527" s="30"/>
      <c r="DI1527" s="30"/>
      <c r="DJ1527" s="30"/>
      <c r="DK1527" s="30"/>
      <c r="DL1527" s="30"/>
      <c r="DM1527" s="30"/>
      <c r="DN1527" s="30"/>
      <c r="DO1527" s="30"/>
      <c r="DP1527" s="30"/>
      <c r="DQ1527" s="30"/>
      <c r="DR1527" s="30"/>
      <c r="DS1527" s="30"/>
      <c r="DT1527" s="30"/>
      <c r="DU1527" s="30"/>
      <c r="DV1527" s="30"/>
      <c r="DW1527" s="30"/>
      <c r="DX1527" s="30"/>
      <c r="DY1527" s="30"/>
      <c r="DZ1527" s="30"/>
    </row>
    <row r="1528">
      <c r="A1528" s="30"/>
      <c r="B1528" s="42"/>
      <c r="C1528" s="43"/>
      <c r="D1528" s="30"/>
      <c r="E1528" s="28"/>
      <c r="F1528" s="30"/>
      <c r="G1528" s="30"/>
      <c r="H1528" s="30"/>
      <c r="I1528" s="30"/>
      <c r="J1528" s="28"/>
      <c r="K1528" s="30"/>
      <c r="L1528" s="30"/>
      <c r="M1528" s="30"/>
      <c r="N1528" s="30"/>
      <c r="O1528" s="28"/>
      <c r="P1528" s="30"/>
      <c r="Q1528" s="30"/>
      <c r="R1528" s="30"/>
      <c r="S1528" s="36"/>
      <c r="T1528" s="30"/>
      <c r="U1528" s="36"/>
      <c r="V1528" s="30"/>
      <c r="W1528" s="28"/>
      <c r="X1528" s="30"/>
      <c r="Y1528" s="30"/>
      <c r="Z1528" s="30"/>
      <c r="AA1528" s="30"/>
      <c r="AB1528" s="30"/>
      <c r="AC1528" s="28"/>
      <c r="AD1528" s="30"/>
      <c r="AE1528" s="30"/>
      <c r="AF1528" s="30"/>
      <c r="AG1528" s="29"/>
      <c r="AH1528" s="30"/>
      <c r="AI1528" s="36"/>
      <c r="AJ1528" s="30"/>
      <c r="AK1528" s="29"/>
      <c r="AL1528" s="30"/>
      <c r="AM1528" s="30"/>
      <c r="AN1528" s="30"/>
      <c r="AO1528" s="30"/>
      <c r="AP1528" s="30"/>
      <c r="AQ1528" s="38"/>
      <c r="AR1528" s="30"/>
      <c r="AS1528" s="30"/>
      <c r="AT1528" s="29"/>
      <c r="AU1528" s="30"/>
      <c r="AV1528" s="30"/>
      <c r="AW1528" s="30"/>
      <c r="AX1528" s="29"/>
      <c r="AY1528" s="39"/>
      <c r="AZ1528" s="30"/>
      <c r="BA1528" s="30"/>
      <c r="BB1528" s="29"/>
      <c r="BC1528" s="52"/>
      <c r="BD1528" s="30"/>
      <c r="BE1528" s="29"/>
      <c r="BF1528" s="30"/>
      <c r="BG1528" s="30"/>
      <c r="BH1528" s="30"/>
      <c r="BI1528" s="30"/>
      <c r="BJ1528" s="30"/>
      <c r="BK1528" s="30"/>
      <c r="BL1528" s="30"/>
      <c r="BM1528" s="30"/>
      <c r="BN1528" s="30"/>
      <c r="BO1528" s="30"/>
      <c r="BP1528" s="30"/>
      <c r="BQ1528" s="30"/>
      <c r="BR1528" s="30"/>
      <c r="BS1528" s="30"/>
      <c r="BT1528" s="30"/>
      <c r="BU1528" s="30"/>
      <c r="BV1528" s="30"/>
      <c r="BW1528" s="30"/>
      <c r="BX1528" s="30"/>
      <c r="BY1528" s="30"/>
      <c r="BZ1528" s="30"/>
      <c r="CA1528" s="30"/>
      <c r="CB1528" s="30"/>
      <c r="CC1528" s="30"/>
      <c r="CD1528" s="30"/>
      <c r="CE1528" s="30"/>
      <c r="CF1528" s="30"/>
      <c r="CG1528" s="30"/>
      <c r="CH1528" s="30"/>
      <c r="CI1528" s="30"/>
      <c r="CJ1528" s="30"/>
      <c r="CK1528" s="30"/>
      <c r="CL1528" s="30"/>
      <c r="CM1528" s="30"/>
      <c r="CN1528" s="30"/>
      <c r="CO1528" s="30"/>
      <c r="CP1528" s="30"/>
      <c r="CQ1528" s="30"/>
      <c r="CR1528" s="30"/>
      <c r="CS1528" s="30"/>
      <c r="CT1528" s="30"/>
      <c r="CU1528" s="30"/>
      <c r="CV1528" s="30"/>
      <c r="CW1528" s="30"/>
      <c r="CX1528" s="30"/>
      <c r="CY1528" s="30"/>
      <c r="CZ1528" s="30"/>
      <c r="DA1528" s="30"/>
      <c r="DB1528" s="30"/>
      <c r="DC1528" s="30"/>
      <c r="DD1528" s="30"/>
      <c r="DE1528" s="30"/>
      <c r="DF1528" s="30"/>
      <c r="DG1528" s="30"/>
      <c r="DH1528" s="30"/>
      <c r="DI1528" s="30"/>
      <c r="DJ1528" s="30"/>
      <c r="DK1528" s="30"/>
      <c r="DL1528" s="30"/>
      <c r="DM1528" s="30"/>
      <c r="DN1528" s="30"/>
      <c r="DO1528" s="30"/>
      <c r="DP1528" s="30"/>
      <c r="DQ1528" s="30"/>
      <c r="DR1528" s="30"/>
      <c r="DS1528" s="30"/>
      <c r="DT1528" s="30"/>
      <c r="DU1528" s="30"/>
      <c r="DV1528" s="30"/>
      <c r="DW1528" s="30"/>
      <c r="DX1528" s="30"/>
      <c r="DY1528" s="30"/>
      <c r="DZ1528" s="30"/>
    </row>
    <row r="1529">
      <c r="A1529" s="30"/>
      <c r="B1529" s="42"/>
      <c r="C1529" s="43"/>
      <c r="D1529" s="30"/>
      <c r="E1529" s="28"/>
      <c r="F1529" s="30"/>
      <c r="G1529" s="30"/>
      <c r="H1529" s="30"/>
      <c r="I1529" s="30"/>
      <c r="J1529" s="28"/>
      <c r="K1529" s="30"/>
      <c r="L1529" s="30"/>
      <c r="M1529" s="30"/>
      <c r="N1529" s="30"/>
      <c r="O1529" s="28"/>
      <c r="P1529" s="30"/>
      <c r="Q1529" s="30"/>
      <c r="R1529" s="30"/>
      <c r="S1529" s="36"/>
      <c r="T1529" s="30"/>
      <c r="U1529" s="36"/>
      <c r="V1529" s="30"/>
      <c r="W1529" s="28"/>
      <c r="X1529" s="30"/>
      <c r="Y1529" s="30"/>
      <c r="Z1529" s="30"/>
      <c r="AA1529" s="30"/>
      <c r="AB1529" s="30"/>
      <c r="AC1529" s="28"/>
      <c r="AD1529" s="30"/>
      <c r="AE1529" s="30"/>
      <c r="AF1529" s="30"/>
      <c r="AG1529" s="29"/>
      <c r="AH1529" s="30"/>
      <c r="AI1529" s="36"/>
      <c r="AJ1529" s="30"/>
      <c r="AK1529" s="29"/>
      <c r="AL1529" s="30"/>
      <c r="AM1529" s="30"/>
      <c r="AN1529" s="30"/>
      <c r="AO1529" s="30"/>
      <c r="AP1529" s="30"/>
      <c r="AQ1529" s="38"/>
      <c r="AR1529" s="30"/>
      <c r="AS1529" s="30"/>
      <c r="AT1529" s="29"/>
      <c r="AU1529" s="30"/>
      <c r="AV1529" s="30"/>
      <c r="AW1529" s="30"/>
      <c r="AX1529" s="29"/>
      <c r="AY1529" s="39"/>
      <c r="AZ1529" s="30"/>
      <c r="BA1529" s="30"/>
      <c r="BB1529" s="29"/>
      <c r="BC1529" s="52"/>
      <c r="BD1529" s="30"/>
      <c r="BE1529" s="29"/>
      <c r="BF1529" s="30"/>
      <c r="BG1529" s="30"/>
      <c r="BH1529" s="30"/>
      <c r="BI1529" s="30"/>
      <c r="BJ1529" s="30"/>
      <c r="BK1529" s="30"/>
      <c r="BL1529" s="30"/>
      <c r="BM1529" s="30"/>
      <c r="BN1529" s="30"/>
      <c r="BO1529" s="30"/>
      <c r="BP1529" s="30"/>
      <c r="BQ1529" s="30"/>
      <c r="BR1529" s="30"/>
      <c r="BS1529" s="30"/>
      <c r="BT1529" s="30"/>
      <c r="BU1529" s="30"/>
      <c r="BV1529" s="30"/>
      <c r="BW1529" s="30"/>
      <c r="BX1529" s="30"/>
      <c r="BY1529" s="30"/>
      <c r="BZ1529" s="30"/>
      <c r="CA1529" s="30"/>
      <c r="CB1529" s="30"/>
      <c r="CC1529" s="30"/>
      <c r="CD1529" s="30"/>
      <c r="CE1529" s="30"/>
      <c r="CF1529" s="30"/>
      <c r="CG1529" s="30"/>
      <c r="CH1529" s="30"/>
      <c r="CI1529" s="30"/>
      <c r="CJ1529" s="30"/>
      <c r="CK1529" s="30"/>
      <c r="CL1529" s="30"/>
      <c r="CM1529" s="30"/>
      <c r="CN1529" s="30"/>
      <c r="CO1529" s="30"/>
      <c r="CP1529" s="30"/>
      <c r="CQ1529" s="30"/>
      <c r="CR1529" s="30"/>
      <c r="CS1529" s="30"/>
      <c r="CT1529" s="30"/>
      <c r="CU1529" s="30"/>
      <c r="CV1529" s="30"/>
      <c r="CW1529" s="30"/>
      <c r="CX1529" s="30"/>
      <c r="CY1529" s="30"/>
      <c r="CZ1529" s="30"/>
      <c r="DA1529" s="30"/>
      <c r="DB1529" s="30"/>
      <c r="DC1529" s="30"/>
      <c r="DD1529" s="30"/>
      <c r="DE1529" s="30"/>
      <c r="DF1529" s="30"/>
      <c r="DG1529" s="30"/>
      <c r="DH1529" s="30"/>
      <c r="DI1529" s="30"/>
      <c r="DJ1529" s="30"/>
      <c r="DK1529" s="30"/>
      <c r="DL1529" s="30"/>
      <c r="DM1529" s="30"/>
      <c r="DN1529" s="30"/>
      <c r="DO1529" s="30"/>
      <c r="DP1529" s="30"/>
      <c r="DQ1529" s="30"/>
      <c r="DR1529" s="30"/>
      <c r="DS1529" s="30"/>
      <c r="DT1529" s="30"/>
      <c r="DU1529" s="30"/>
      <c r="DV1529" s="30"/>
      <c r="DW1529" s="30"/>
      <c r="DX1529" s="30"/>
      <c r="DY1529" s="30"/>
      <c r="DZ1529" s="30"/>
    </row>
    <row r="1530">
      <c r="A1530" s="30"/>
      <c r="B1530" s="42"/>
      <c r="C1530" s="43"/>
      <c r="D1530" s="30"/>
      <c r="E1530" s="28"/>
      <c r="F1530" s="30"/>
      <c r="G1530" s="30"/>
      <c r="H1530" s="30"/>
      <c r="I1530" s="30"/>
      <c r="J1530" s="28"/>
      <c r="K1530" s="30"/>
      <c r="L1530" s="30"/>
      <c r="M1530" s="30"/>
      <c r="N1530" s="30"/>
      <c r="O1530" s="28"/>
      <c r="P1530" s="30"/>
      <c r="Q1530" s="30"/>
      <c r="R1530" s="30"/>
      <c r="S1530" s="36"/>
      <c r="T1530" s="30"/>
      <c r="U1530" s="36"/>
      <c r="V1530" s="30"/>
      <c r="W1530" s="28"/>
      <c r="X1530" s="30"/>
      <c r="Y1530" s="30"/>
      <c r="Z1530" s="30"/>
      <c r="AA1530" s="30"/>
      <c r="AB1530" s="30"/>
      <c r="AC1530" s="28"/>
      <c r="AD1530" s="30"/>
      <c r="AE1530" s="30"/>
      <c r="AF1530" s="30"/>
      <c r="AG1530" s="29"/>
      <c r="AH1530" s="30"/>
      <c r="AI1530" s="36"/>
      <c r="AJ1530" s="30"/>
      <c r="AK1530" s="29"/>
      <c r="AL1530" s="30"/>
      <c r="AM1530" s="30"/>
      <c r="AN1530" s="30"/>
      <c r="AO1530" s="30"/>
      <c r="AP1530" s="30"/>
      <c r="AQ1530" s="38"/>
      <c r="AR1530" s="30"/>
      <c r="AS1530" s="30"/>
      <c r="AT1530" s="29"/>
      <c r="AU1530" s="30"/>
      <c r="AV1530" s="30"/>
      <c r="AW1530" s="30"/>
      <c r="AX1530" s="29"/>
      <c r="AY1530" s="39"/>
      <c r="AZ1530" s="30"/>
      <c r="BA1530" s="30"/>
      <c r="BB1530" s="29"/>
      <c r="BC1530" s="52"/>
      <c r="BD1530" s="30"/>
      <c r="BE1530" s="29"/>
      <c r="BF1530" s="30"/>
      <c r="BG1530" s="30"/>
      <c r="BH1530" s="30"/>
      <c r="BI1530" s="30"/>
      <c r="BJ1530" s="30"/>
      <c r="BK1530" s="30"/>
      <c r="BL1530" s="30"/>
      <c r="BM1530" s="30"/>
      <c r="BN1530" s="30"/>
      <c r="BO1530" s="30"/>
      <c r="BP1530" s="30"/>
      <c r="BQ1530" s="30"/>
      <c r="BR1530" s="30"/>
      <c r="BS1530" s="30"/>
      <c r="BT1530" s="30"/>
      <c r="BU1530" s="30"/>
      <c r="BV1530" s="30"/>
      <c r="BW1530" s="30"/>
      <c r="BX1530" s="30"/>
      <c r="BY1530" s="30"/>
      <c r="BZ1530" s="30"/>
      <c r="CA1530" s="30"/>
      <c r="CB1530" s="30"/>
      <c r="CC1530" s="30"/>
      <c r="CD1530" s="30"/>
      <c r="CE1530" s="30"/>
      <c r="CF1530" s="30"/>
      <c r="CG1530" s="30"/>
      <c r="CH1530" s="30"/>
      <c r="CI1530" s="30"/>
      <c r="CJ1530" s="30"/>
      <c r="CK1530" s="30"/>
      <c r="CL1530" s="30"/>
      <c r="CM1530" s="30"/>
      <c r="CN1530" s="30"/>
      <c r="CO1530" s="30"/>
      <c r="CP1530" s="30"/>
      <c r="CQ1530" s="30"/>
      <c r="CR1530" s="30"/>
      <c r="CS1530" s="30"/>
      <c r="CT1530" s="30"/>
      <c r="CU1530" s="30"/>
      <c r="CV1530" s="30"/>
      <c r="CW1530" s="30"/>
      <c r="CX1530" s="30"/>
      <c r="CY1530" s="30"/>
      <c r="CZ1530" s="30"/>
      <c r="DA1530" s="30"/>
      <c r="DB1530" s="30"/>
      <c r="DC1530" s="30"/>
      <c r="DD1530" s="30"/>
      <c r="DE1530" s="30"/>
      <c r="DF1530" s="30"/>
      <c r="DG1530" s="30"/>
      <c r="DH1530" s="30"/>
      <c r="DI1530" s="30"/>
      <c r="DJ1530" s="30"/>
      <c r="DK1530" s="30"/>
      <c r="DL1530" s="30"/>
      <c r="DM1530" s="30"/>
      <c r="DN1530" s="30"/>
      <c r="DO1530" s="30"/>
      <c r="DP1530" s="30"/>
      <c r="DQ1530" s="30"/>
      <c r="DR1530" s="30"/>
      <c r="DS1530" s="30"/>
      <c r="DT1530" s="30"/>
      <c r="DU1530" s="30"/>
      <c r="DV1530" s="30"/>
      <c r="DW1530" s="30"/>
      <c r="DX1530" s="30"/>
      <c r="DY1530" s="30"/>
      <c r="DZ1530" s="30"/>
    </row>
    <row r="1531">
      <c r="A1531" s="30"/>
      <c r="B1531" s="42"/>
      <c r="C1531" s="43"/>
      <c r="D1531" s="30"/>
      <c r="E1531" s="28"/>
      <c r="F1531" s="30"/>
      <c r="G1531" s="30"/>
      <c r="H1531" s="30"/>
      <c r="I1531" s="30"/>
      <c r="J1531" s="28"/>
      <c r="K1531" s="30"/>
      <c r="L1531" s="30"/>
      <c r="M1531" s="30"/>
      <c r="N1531" s="30"/>
      <c r="O1531" s="28"/>
      <c r="P1531" s="30"/>
      <c r="Q1531" s="30"/>
      <c r="R1531" s="30"/>
      <c r="S1531" s="36"/>
      <c r="T1531" s="30"/>
      <c r="U1531" s="36"/>
      <c r="V1531" s="30"/>
      <c r="W1531" s="28"/>
      <c r="X1531" s="30"/>
      <c r="Y1531" s="30"/>
      <c r="Z1531" s="30"/>
      <c r="AA1531" s="30"/>
      <c r="AB1531" s="30"/>
      <c r="AC1531" s="28"/>
      <c r="AD1531" s="30"/>
      <c r="AE1531" s="30"/>
      <c r="AF1531" s="30"/>
      <c r="AG1531" s="29"/>
      <c r="AH1531" s="30"/>
      <c r="AI1531" s="36"/>
      <c r="AJ1531" s="30"/>
      <c r="AK1531" s="29"/>
      <c r="AL1531" s="30"/>
      <c r="AM1531" s="30"/>
      <c r="AN1531" s="30"/>
      <c r="AO1531" s="30"/>
      <c r="AP1531" s="30"/>
      <c r="AQ1531" s="38"/>
      <c r="AR1531" s="30"/>
      <c r="AS1531" s="30"/>
      <c r="AT1531" s="29"/>
      <c r="AU1531" s="30"/>
      <c r="AV1531" s="30"/>
      <c r="AW1531" s="30"/>
      <c r="AX1531" s="29"/>
      <c r="AY1531" s="39"/>
      <c r="AZ1531" s="30"/>
      <c r="BA1531" s="30"/>
      <c r="BB1531" s="29"/>
      <c r="BC1531" s="52"/>
      <c r="BD1531" s="30"/>
      <c r="BE1531" s="29"/>
      <c r="BF1531" s="30"/>
      <c r="BG1531" s="30"/>
      <c r="BH1531" s="30"/>
      <c r="BI1531" s="30"/>
      <c r="BJ1531" s="30"/>
      <c r="BK1531" s="30"/>
      <c r="BL1531" s="30"/>
      <c r="BM1531" s="30"/>
      <c r="BN1531" s="30"/>
      <c r="BO1531" s="30"/>
      <c r="BP1531" s="30"/>
      <c r="BQ1531" s="30"/>
      <c r="BR1531" s="30"/>
      <c r="BS1531" s="30"/>
      <c r="BT1531" s="30"/>
      <c r="BU1531" s="30"/>
      <c r="BV1531" s="30"/>
      <c r="BW1531" s="30"/>
      <c r="BX1531" s="30"/>
      <c r="BY1531" s="30"/>
      <c r="BZ1531" s="30"/>
      <c r="CA1531" s="30"/>
      <c r="CB1531" s="30"/>
      <c r="CC1531" s="30"/>
      <c r="CD1531" s="30"/>
      <c r="CE1531" s="30"/>
      <c r="CF1531" s="30"/>
      <c r="CG1531" s="30"/>
      <c r="CH1531" s="30"/>
      <c r="CI1531" s="30"/>
      <c r="CJ1531" s="30"/>
      <c r="CK1531" s="30"/>
      <c r="CL1531" s="30"/>
      <c r="CM1531" s="30"/>
      <c r="CN1531" s="30"/>
      <c r="CO1531" s="30"/>
      <c r="CP1531" s="30"/>
      <c r="CQ1531" s="30"/>
      <c r="CR1531" s="30"/>
      <c r="CS1531" s="30"/>
      <c r="CT1531" s="30"/>
      <c r="CU1531" s="30"/>
      <c r="CV1531" s="30"/>
      <c r="CW1531" s="30"/>
      <c r="CX1531" s="30"/>
      <c r="CY1531" s="30"/>
      <c r="CZ1531" s="30"/>
      <c r="DA1531" s="30"/>
      <c r="DB1531" s="30"/>
      <c r="DC1531" s="30"/>
      <c r="DD1531" s="30"/>
      <c r="DE1531" s="30"/>
      <c r="DF1531" s="30"/>
      <c r="DG1531" s="30"/>
      <c r="DH1531" s="30"/>
      <c r="DI1531" s="30"/>
      <c r="DJ1531" s="30"/>
      <c r="DK1531" s="30"/>
      <c r="DL1531" s="30"/>
      <c r="DM1531" s="30"/>
      <c r="DN1531" s="30"/>
      <c r="DO1531" s="30"/>
      <c r="DP1531" s="30"/>
      <c r="DQ1531" s="30"/>
      <c r="DR1531" s="30"/>
      <c r="DS1531" s="30"/>
      <c r="DT1531" s="30"/>
      <c r="DU1531" s="30"/>
      <c r="DV1531" s="30"/>
      <c r="DW1531" s="30"/>
      <c r="DX1531" s="30"/>
      <c r="DY1531" s="30"/>
      <c r="DZ1531" s="30"/>
    </row>
    <row r="1532">
      <c r="A1532" s="30"/>
      <c r="B1532" s="42"/>
      <c r="C1532" s="43"/>
      <c r="D1532" s="30"/>
      <c r="E1532" s="28"/>
      <c r="F1532" s="30"/>
      <c r="G1532" s="30"/>
      <c r="H1532" s="30"/>
      <c r="I1532" s="30"/>
      <c r="J1532" s="28"/>
      <c r="K1532" s="30"/>
      <c r="L1532" s="30"/>
      <c r="M1532" s="30"/>
      <c r="N1532" s="30"/>
      <c r="O1532" s="28"/>
      <c r="P1532" s="30"/>
      <c r="Q1532" s="30"/>
      <c r="R1532" s="30"/>
      <c r="S1532" s="36"/>
      <c r="T1532" s="30"/>
      <c r="U1532" s="36"/>
      <c r="V1532" s="30"/>
      <c r="W1532" s="28"/>
      <c r="X1532" s="30"/>
      <c r="Y1532" s="30"/>
      <c r="Z1532" s="30"/>
      <c r="AA1532" s="30"/>
      <c r="AB1532" s="30"/>
      <c r="AC1532" s="28"/>
      <c r="AD1532" s="30"/>
      <c r="AE1532" s="30"/>
      <c r="AF1532" s="30"/>
      <c r="AG1532" s="29"/>
      <c r="AH1532" s="30"/>
      <c r="AI1532" s="36"/>
      <c r="AJ1532" s="30"/>
      <c r="AK1532" s="29"/>
      <c r="AL1532" s="30"/>
      <c r="AM1532" s="30"/>
      <c r="AN1532" s="30"/>
      <c r="AO1532" s="30"/>
      <c r="AP1532" s="30"/>
      <c r="AQ1532" s="38"/>
      <c r="AR1532" s="30"/>
      <c r="AS1532" s="30"/>
      <c r="AT1532" s="29"/>
      <c r="AU1532" s="30"/>
      <c r="AV1532" s="30"/>
      <c r="AW1532" s="30"/>
      <c r="AX1532" s="29"/>
      <c r="AY1532" s="39"/>
      <c r="AZ1532" s="30"/>
      <c r="BA1532" s="30"/>
      <c r="BB1532" s="29"/>
      <c r="BC1532" s="52"/>
      <c r="BD1532" s="30"/>
      <c r="BE1532" s="29"/>
      <c r="BF1532" s="30"/>
      <c r="BG1532" s="30"/>
      <c r="BH1532" s="30"/>
      <c r="BI1532" s="30"/>
      <c r="BJ1532" s="30"/>
      <c r="BK1532" s="30"/>
      <c r="BL1532" s="30"/>
      <c r="BM1532" s="30"/>
      <c r="BN1532" s="30"/>
      <c r="BO1532" s="30"/>
      <c r="BP1532" s="30"/>
      <c r="BQ1532" s="30"/>
      <c r="BR1532" s="30"/>
      <c r="BS1532" s="30"/>
      <c r="BT1532" s="30"/>
      <c r="BU1532" s="30"/>
      <c r="BV1532" s="30"/>
      <c r="BW1532" s="30"/>
      <c r="BX1532" s="30"/>
      <c r="BY1532" s="30"/>
      <c r="BZ1532" s="30"/>
      <c r="CA1532" s="30"/>
      <c r="CB1532" s="30"/>
      <c r="CC1532" s="30"/>
      <c r="CD1532" s="30"/>
      <c r="CE1532" s="30"/>
      <c r="CF1532" s="30"/>
      <c r="CG1532" s="30"/>
      <c r="CH1532" s="30"/>
      <c r="CI1532" s="30"/>
      <c r="CJ1532" s="30"/>
      <c r="CK1532" s="30"/>
      <c r="CL1532" s="30"/>
      <c r="CM1532" s="30"/>
      <c r="CN1532" s="30"/>
      <c r="CO1532" s="30"/>
      <c r="CP1532" s="30"/>
      <c r="CQ1532" s="30"/>
      <c r="CR1532" s="30"/>
      <c r="CS1532" s="30"/>
      <c r="CT1532" s="30"/>
      <c r="CU1532" s="30"/>
      <c r="CV1532" s="30"/>
      <c r="CW1532" s="30"/>
      <c r="CX1532" s="30"/>
      <c r="CY1532" s="30"/>
      <c r="CZ1532" s="30"/>
      <c r="DA1532" s="30"/>
      <c r="DB1532" s="30"/>
      <c r="DC1532" s="30"/>
      <c r="DD1532" s="30"/>
      <c r="DE1532" s="30"/>
      <c r="DF1532" s="30"/>
      <c r="DG1532" s="30"/>
      <c r="DH1532" s="30"/>
      <c r="DI1532" s="30"/>
      <c r="DJ1532" s="30"/>
      <c r="DK1532" s="30"/>
      <c r="DL1532" s="30"/>
      <c r="DM1532" s="30"/>
      <c r="DN1532" s="30"/>
      <c r="DO1532" s="30"/>
      <c r="DP1532" s="30"/>
      <c r="DQ1532" s="30"/>
      <c r="DR1532" s="30"/>
      <c r="DS1532" s="30"/>
      <c r="DT1532" s="30"/>
      <c r="DU1532" s="30"/>
      <c r="DV1532" s="30"/>
      <c r="DW1532" s="30"/>
      <c r="DX1532" s="30"/>
      <c r="DY1532" s="30"/>
      <c r="DZ1532" s="30"/>
    </row>
    <row r="1533">
      <c r="A1533" s="30"/>
      <c r="B1533" s="42"/>
      <c r="C1533" s="43"/>
      <c r="D1533" s="30"/>
      <c r="E1533" s="28"/>
      <c r="F1533" s="30"/>
      <c r="G1533" s="30"/>
      <c r="H1533" s="30"/>
      <c r="I1533" s="30"/>
      <c r="J1533" s="28"/>
      <c r="K1533" s="30"/>
      <c r="L1533" s="30"/>
      <c r="M1533" s="30"/>
      <c r="N1533" s="30"/>
      <c r="O1533" s="28"/>
      <c r="P1533" s="30"/>
      <c r="Q1533" s="30"/>
      <c r="R1533" s="30"/>
      <c r="S1533" s="36"/>
      <c r="T1533" s="30"/>
      <c r="U1533" s="36"/>
      <c r="V1533" s="30"/>
      <c r="W1533" s="28"/>
      <c r="X1533" s="30"/>
      <c r="Y1533" s="30"/>
      <c r="Z1533" s="30"/>
      <c r="AA1533" s="30"/>
      <c r="AB1533" s="30"/>
      <c r="AC1533" s="28"/>
      <c r="AD1533" s="30"/>
      <c r="AE1533" s="30"/>
      <c r="AF1533" s="30"/>
      <c r="AG1533" s="29"/>
      <c r="AH1533" s="30"/>
      <c r="AI1533" s="36"/>
      <c r="AJ1533" s="30"/>
      <c r="AK1533" s="29"/>
      <c r="AL1533" s="30"/>
      <c r="AM1533" s="30"/>
      <c r="AN1533" s="30"/>
      <c r="AO1533" s="30"/>
      <c r="AP1533" s="30"/>
      <c r="AQ1533" s="38"/>
      <c r="AR1533" s="30"/>
      <c r="AS1533" s="30"/>
      <c r="AT1533" s="29"/>
      <c r="AU1533" s="30"/>
      <c r="AV1533" s="30"/>
      <c r="AW1533" s="30"/>
      <c r="AX1533" s="29"/>
      <c r="AY1533" s="39"/>
      <c r="AZ1533" s="30"/>
      <c r="BA1533" s="30"/>
      <c r="BB1533" s="29"/>
      <c r="BC1533" s="52"/>
      <c r="BD1533" s="30"/>
      <c r="BE1533" s="29"/>
      <c r="BF1533" s="30"/>
      <c r="BG1533" s="30"/>
      <c r="BH1533" s="30"/>
      <c r="BI1533" s="30"/>
      <c r="BJ1533" s="30"/>
      <c r="BK1533" s="30"/>
      <c r="BL1533" s="30"/>
      <c r="BM1533" s="30"/>
      <c r="BN1533" s="30"/>
      <c r="BO1533" s="30"/>
      <c r="BP1533" s="30"/>
      <c r="BQ1533" s="30"/>
      <c r="BR1533" s="30"/>
      <c r="BS1533" s="30"/>
      <c r="BT1533" s="30"/>
      <c r="BU1533" s="30"/>
      <c r="BV1533" s="30"/>
      <c r="BW1533" s="30"/>
      <c r="BX1533" s="30"/>
      <c r="BY1533" s="30"/>
      <c r="BZ1533" s="30"/>
      <c r="CA1533" s="30"/>
      <c r="CB1533" s="30"/>
      <c r="CC1533" s="30"/>
      <c r="CD1533" s="30"/>
      <c r="CE1533" s="30"/>
      <c r="CF1533" s="30"/>
      <c r="CG1533" s="30"/>
      <c r="CH1533" s="30"/>
      <c r="CI1533" s="30"/>
      <c r="CJ1533" s="30"/>
      <c r="CK1533" s="30"/>
      <c r="CL1533" s="30"/>
      <c r="CM1533" s="30"/>
      <c r="CN1533" s="30"/>
      <c r="CO1533" s="30"/>
      <c r="CP1533" s="30"/>
      <c r="CQ1533" s="30"/>
      <c r="CR1533" s="30"/>
      <c r="CS1533" s="30"/>
      <c r="CT1533" s="30"/>
      <c r="CU1533" s="30"/>
      <c r="CV1533" s="30"/>
      <c r="CW1533" s="30"/>
      <c r="CX1533" s="30"/>
      <c r="CY1533" s="30"/>
      <c r="CZ1533" s="30"/>
      <c r="DA1533" s="30"/>
      <c r="DB1533" s="30"/>
      <c r="DC1533" s="30"/>
      <c r="DD1533" s="30"/>
      <c r="DE1533" s="30"/>
      <c r="DF1533" s="30"/>
      <c r="DG1533" s="30"/>
      <c r="DH1533" s="30"/>
      <c r="DI1533" s="30"/>
      <c r="DJ1533" s="30"/>
      <c r="DK1533" s="30"/>
      <c r="DL1533" s="30"/>
      <c r="DM1533" s="30"/>
      <c r="DN1533" s="30"/>
      <c r="DO1533" s="30"/>
      <c r="DP1533" s="30"/>
      <c r="DQ1533" s="30"/>
      <c r="DR1533" s="30"/>
      <c r="DS1533" s="30"/>
      <c r="DT1533" s="30"/>
      <c r="DU1533" s="30"/>
      <c r="DV1533" s="30"/>
      <c r="DW1533" s="30"/>
      <c r="DX1533" s="30"/>
      <c r="DY1533" s="30"/>
      <c r="DZ1533" s="30"/>
    </row>
    <row r="1534">
      <c r="A1534" s="30"/>
      <c r="B1534" s="42"/>
      <c r="C1534" s="43"/>
      <c r="D1534" s="30"/>
      <c r="E1534" s="28"/>
      <c r="F1534" s="30"/>
      <c r="G1534" s="30"/>
      <c r="H1534" s="30"/>
      <c r="I1534" s="30"/>
      <c r="J1534" s="28"/>
      <c r="K1534" s="30"/>
      <c r="L1534" s="30"/>
      <c r="M1534" s="30"/>
      <c r="N1534" s="30"/>
      <c r="O1534" s="28"/>
      <c r="P1534" s="30"/>
      <c r="Q1534" s="30"/>
      <c r="R1534" s="30"/>
      <c r="S1534" s="36"/>
      <c r="T1534" s="30"/>
      <c r="U1534" s="36"/>
      <c r="V1534" s="30"/>
      <c r="W1534" s="28"/>
      <c r="X1534" s="30"/>
      <c r="Y1534" s="30"/>
      <c r="Z1534" s="30"/>
      <c r="AA1534" s="30"/>
      <c r="AB1534" s="30"/>
      <c r="AC1534" s="28"/>
      <c r="AD1534" s="30"/>
      <c r="AE1534" s="30"/>
      <c r="AF1534" s="30"/>
      <c r="AG1534" s="29"/>
      <c r="AH1534" s="30"/>
      <c r="AI1534" s="36"/>
      <c r="AJ1534" s="30"/>
      <c r="AK1534" s="29"/>
      <c r="AL1534" s="30"/>
      <c r="AM1534" s="30"/>
      <c r="AN1534" s="30"/>
      <c r="AO1534" s="30"/>
      <c r="AP1534" s="30"/>
      <c r="AQ1534" s="38"/>
      <c r="AR1534" s="30"/>
      <c r="AS1534" s="30"/>
      <c r="AT1534" s="29"/>
      <c r="AU1534" s="30"/>
      <c r="AV1534" s="30"/>
      <c r="AW1534" s="30"/>
      <c r="AX1534" s="29"/>
      <c r="AY1534" s="39"/>
      <c r="AZ1534" s="30"/>
      <c r="BA1534" s="30"/>
      <c r="BB1534" s="29"/>
      <c r="BC1534" s="52"/>
      <c r="BD1534" s="30"/>
      <c r="BE1534" s="29"/>
      <c r="BF1534" s="30"/>
      <c r="BG1534" s="30"/>
      <c r="BH1534" s="30"/>
      <c r="BI1534" s="30"/>
      <c r="BJ1534" s="30"/>
      <c r="BK1534" s="30"/>
      <c r="BL1534" s="30"/>
      <c r="BM1534" s="30"/>
      <c r="BN1534" s="30"/>
      <c r="BO1534" s="30"/>
      <c r="BP1534" s="30"/>
      <c r="BQ1534" s="30"/>
      <c r="BR1534" s="30"/>
      <c r="BS1534" s="30"/>
      <c r="BT1534" s="30"/>
      <c r="BU1534" s="30"/>
      <c r="BV1534" s="30"/>
      <c r="BW1534" s="30"/>
      <c r="BX1534" s="30"/>
      <c r="BY1534" s="30"/>
      <c r="BZ1534" s="30"/>
      <c r="CA1534" s="30"/>
      <c r="CB1534" s="30"/>
      <c r="CC1534" s="30"/>
      <c r="CD1534" s="30"/>
      <c r="CE1534" s="30"/>
      <c r="CF1534" s="30"/>
      <c r="CG1534" s="30"/>
      <c r="CH1534" s="30"/>
      <c r="CI1534" s="30"/>
      <c r="CJ1534" s="30"/>
      <c r="CK1534" s="30"/>
      <c r="CL1534" s="30"/>
      <c r="CM1534" s="30"/>
      <c r="CN1534" s="30"/>
      <c r="CO1534" s="30"/>
      <c r="CP1534" s="30"/>
      <c r="CQ1534" s="30"/>
      <c r="CR1534" s="30"/>
      <c r="CS1534" s="30"/>
      <c r="CT1534" s="30"/>
      <c r="CU1534" s="30"/>
      <c r="CV1534" s="30"/>
      <c r="CW1534" s="30"/>
      <c r="CX1534" s="30"/>
      <c r="CY1534" s="30"/>
      <c r="CZ1534" s="30"/>
      <c r="DA1534" s="30"/>
      <c r="DB1534" s="30"/>
      <c r="DC1534" s="30"/>
      <c r="DD1534" s="30"/>
      <c r="DE1534" s="30"/>
      <c r="DF1534" s="30"/>
      <c r="DG1534" s="30"/>
      <c r="DH1534" s="30"/>
      <c r="DI1534" s="30"/>
      <c r="DJ1534" s="30"/>
      <c r="DK1534" s="30"/>
      <c r="DL1534" s="30"/>
      <c r="DM1534" s="30"/>
      <c r="DN1534" s="30"/>
      <c r="DO1534" s="30"/>
      <c r="DP1534" s="30"/>
      <c r="DQ1534" s="30"/>
      <c r="DR1534" s="30"/>
      <c r="DS1534" s="30"/>
      <c r="DT1534" s="30"/>
      <c r="DU1534" s="30"/>
      <c r="DV1534" s="30"/>
      <c r="DW1534" s="30"/>
      <c r="DX1534" s="30"/>
      <c r="DY1534" s="30"/>
      <c r="DZ1534" s="30"/>
    </row>
    <row r="1535">
      <c r="A1535" s="30"/>
      <c r="B1535" s="42"/>
      <c r="C1535" s="43"/>
      <c r="D1535" s="30"/>
      <c r="E1535" s="28"/>
      <c r="F1535" s="30"/>
      <c r="G1535" s="30"/>
      <c r="H1535" s="30"/>
      <c r="I1535" s="30"/>
      <c r="J1535" s="28"/>
      <c r="K1535" s="30"/>
      <c r="L1535" s="30"/>
      <c r="M1535" s="30"/>
      <c r="N1535" s="30"/>
      <c r="O1535" s="28"/>
      <c r="P1535" s="30"/>
      <c r="Q1535" s="30"/>
      <c r="R1535" s="30"/>
      <c r="S1535" s="36"/>
      <c r="T1535" s="30"/>
      <c r="U1535" s="36"/>
      <c r="V1535" s="30"/>
      <c r="W1535" s="28"/>
      <c r="X1535" s="30"/>
      <c r="Y1535" s="30"/>
      <c r="Z1535" s="30"/>
      <c r="AA1535" s="30"/>
      <c r="AB1535" s="30"/>
      <c r="AC1535" s="28"/>
      <c r="AD1535" s="30"/>
      <c r="AE1535" s="30"/>
      <c r="AF1535" s="30"/>
      <c r="AG1535" s="29"/>
      <c r="AH1535" s="30"/>
      <c r="AI1535" s="36"/>
      <c r="AJ1535" s="30"/>
      <c r="AK1535" s="29"/>
      <c r="AL1535" s="30"/>
      <c r="AM1535" s="30"/>
      <c r="AN1535" s="30"/>
      <c r="AO1535" s="30"/>
      <c r="AP1535" s="30"/>
      <c r="AQ1535" s="38"/>
      <c r="AR1535" s="30"/>
      <c r="AS1535" s="30"/>
      <c r="AT1535" s="29"/>
      <c r="AU1535" s="30"/>
      <c r="AV1535" s="30"/>
      <c r="AW1535" s="30"/>
      <c r="AX1535" s="29"/>
      <c r="AY1535" s="39"/>
      <c r="AZ1535" s="30"/>
      <c r="BA1535" s="30"/>
      <c r="BB1535" s="29"/>
      <c r="BC1535" s="52"/>
      <c r="BD1535" s="30"/>
      <c r="BE1535" s="29"/>
      <c r="BF1535" s="30"/>
      <c r="BG1535" s="30"/>
      <c r="BH1535" s="30"/>
      <c r="BI1535" s="30"/>
      <c r="BJ1535" s="30"/>
      <c r="BK1535" s="30"/>
      <c r="BL1535" s="30"/>
      <c r="BM1535" s="30"/>
      <c r="BN1535" s="30"/>
      <c r="BO1535" s="30"/>
      <c r="BP1535" s="30"/>
      <c r="BQ1535" s="30"/>
      <c r="BR1535" s="30"/>
      <c r="BS1535" s="30"/>
      <c r="BT1535" s="30"/>
      <c r="BU1535" s="30"/>
      <c r="BV1535" s="30"/>
      <c r="BW1535" s="30"/>
      <c r="BX1535" s="30"/>
      <c r="BY1535" s="30"/>
      <c r="BZ1535" s="30"/>
      <c r="CA1535" s="30"/>
      <c r="CB1535" s="30"/>
      <c r="CC1535" s="30"/>
      <c r="CD1535" s="30"/>
      <c r="CE1535" s="30"/>
      <c r="CF1535" s="30"/>
      <c r="CG1535" s="30"/>
      <c r="CH1535" s="30"/>
      <c r="CI1535" s="30"/>
      <c r="CJ1535" s="30"/>
      <c r="CK1535" s="30"/>
      <c r="CL1535" s="30"/>
      <c r="CM1535" s="30"/>
      <c r="CN1535" s="30"/>
      <c r="CO1535" s="30"/>
      <c r="CP1535" s="30"/>
      <c r="CQ1535" s="30"/>
      <c r="CR1535" s="30"/>
      <c r="CS1535" s="30"/>
      <c r="CT1535" s="30"/>
      <c r="CU1535" s="30"/>
      <c r="CV1535" s="30"/>
      <c r="CW1535" s="30"/>
      <c r="CX1535" s="30"/>
      <c r="CY1535" s="30"/>
      <c r="CZ1535" s="30"/>
      <c r="DA1535" s="30"/>
      <c r="DB1535" s="30"/>
      <c r="DC1535" s="30"/>
      <c r="DD1535" s="30"/>
      <c r="DE1535" s="30"/>
      <c r="DF1535" s="30"/>
      <c r="DG1535" s="30"/>
      <c r="DH1535" s="30"/>
      <c r="DI1535" s="30"/>
      <c r="DJ1535" s="30"/>
      <c r="DK1535" s="30"/>
      <c r="DL1535" s="30"/>
      <c r="DM1535" s="30"/>
      <c r="DN1535" s="30"/>
      <c r="DO1535" s="30"/>
      <c r="DP1535" s="30"/>
      <c r="DQ1535" s="30"/>
      <c r="DR1535" s="30"/>
      <c r="DS1535" s="30"/>
      <c r="DT1535" s="30"/>
      <c r="DU1535" s="30"/>
      <c r="DV1535" s="30"/>
      <c r="DW1535" s="30"/>
      <c r="DX1535" s="30"/>
      <c r="DY1535" s="30"/>
      <c r="DZ1535" s="30"/>
    </row>
    <row r="1536">
      <c r="A1536" s="30"/>
      <c r="B1536" s="42"/>
      <c r="C1536" s="43"/>
      <c r="D1536" s="30"/>
      <c r="E1536" s="28"/>
      <c r="F1536" s="30"/>
      <c r="G1536" s="30"/>
      <c r="H1536" s="30"/>
      <c r="I1536" s="30"/>
      <c r="J1536" s="28"/>
      <c r="K1536" s="30"/>
      <c r="L1536" s="30"/>
      <c r="M1536" s="30"/>
      <c r="N1536" s="30"/>
      <c r="O1536" s="28"/>
      <c r="P1536" s="30"/>
      <c r="Q1536" s="30"/>
      <c r="R1536" s="30"/>
      <c r="S1536" s="36"/>
      <c r="T1536" s="30"/>
      <c r="U1536" s="36"/>
      <c r="V1536" s="30"/>
      <c r="W1536" s="28"/>
      <c r="X1536" s="30"/>
      <c r="Y1536" s="30"/>
      <c r="Z1536" s="30"/>
      <c r="AA1536" s="30"/>
      <c r="AB1536" s="30"/>
      <c r="AC1536" s="28"/>
      <c r="AD1536" s="30"/>
      <c r="AE1536" s="30"/>
      <c r="AF1536" s="30"/>
      <c r="AG1536" s="29"/>
      <c r="AH1536" s="30"/>
      <c r="AI1536" s="36"/>
      <c r="AJ1536" s="30"/>
      <c r="AK1536" s="29"/>
      <c r="AL1536" s="30"/>
      <c r="AM1536" s="30"/>
      <c r="AN1536" s="30"/>
      <c r="AO1536" s="30"/>
      <c r="AP1536" s="30"/>
      <c r="AQ1536" s="38"/>
      <c r="AR1536" s="30"/>
      <c r="AS1536" s="30"/>
      <c r="AT1536" s="29"/>
      <c r="AU1536" s="30"/>
      <c r="AV1536" s="30"/>
      <c r="AW1536" s="30"/>
      <c r="AX1536" s="29"/>
      <c r="AY1536" s="39"/>
      <c r="AZ1536" s="30"/>
      <c r="BA1536" s="30"/>
      <c r="BB1536" s="29"/>
      <c r="BC1536" s="52"/>
      <c r="BD1536" s="30"/>
      <c r="BE1536" s="29"/>
      <c r="BF1536" s="30"/>
      <c r="BG1536" s="30"/>
      <c r="BH1536" s="30"/>
      <c r="BI1536" s="30"/>
      <c r="BJ1536" s="30"/>
      <c r="BK1536" s="30"/>
      <c r="BL1536" s="30"/>
      <c r="BM1536" s="30"/>
      <c r="BN1536" s="30"/>
      <c r="BO1536" s="30"/>
      <c r="BP1536" s="30"/>
      <c r="BQ1536" s="30"/>
      <c r="BR1536" s="30"/>
      <c r="BS1536" s="30"/>
      <c r="BT1536" s="30"/>
      <c r="BU1536" s="30"/>
      <c r="BV1536" s="30"/>
      <c r="BW1536" s="30"/>
      <c r="BX1536" s="30"/>
      <c r="BY1536" s="30"/>
      <c r="BZ1536" s="30"/>
      <c r="CA1536" s="30"/>
      <c r="CB1536" s="30"/>
      <c r="CC1536" s="30"/>
      <c r="CD1536" s="30"/>
      <c r="CE1536" s="30"/>
      <c r="CF1536" s="30"/>
      <c r="CG1536" s="30"/>
      <c r="CH1536" s="30"/>
      <c r="CI1536" s="30"/>
      <c r="CJ1536" s="30"/>
      <c r="CK1536" s="30"/>
      <c r="CL1536" s="30"/>
      <c r="CM1536" s="30"/>
      <c r="CN1536" s="30"/>
      <c r="CO1536" s="30"/>
      <c r="CP1536" s="30"/>
      <c r="CQ1536" s="30"/>
      <c r="CR1536" s="30"/>
      <c r="CS1536" s="30"/>
      <c r="CT1536" s="30"/>
      <c r="CU1536" s="30"/>
      <c r="CV1536" s="30"/>
      <c r="CW1536" s="30"/>
      <c r="CX1536" s="30"/>
      <c r="CY1536" s="30"/>
      <c r="CZ1536" s="30"/>
      <c r="DA1536" s="30"/>
      <c r="DB1536" s="30"/>
      <c r="DC1536" s="30"/>
      <c r="DD1536" s="30"/>
      <c r="DE1536" s="30"/>
      <c r="DF1536" s="30"/>
      <c r="DG1536" s="30"/>
      <c r="DH1536" s="30"/>
      <c r="DI1536" s="30"/>
      <c r="DJ1536" s="30"/>
      <c r="DK1536" s="30"/>
      <c r="DL1536" s="30"/>
      <c r="DM1536" s="30"/>
      <c r="DN1536" s="30"/>
      <c r="DO1536" s="30"/>
      <c r="DP1536" s="30"/>
      <c r="DQ1536" s="30"/>
      <c r="DR1536" s="30"/>
      <c r="DS1536" s="30"/>
      <c r="DT1536" s="30"/>
      <c r="DU1536" s="30"/>
      <c r="DV1536" s="30"/>
      <c r="DW1536" s="30"/>
      <c r="DX1536" s="30"/>
      <c r="DY1536" s="30"/>
      <c r="DZ1536" s="30"/>
    </row>
    <row r="1537">
      <c r="A1537" s="30"/>
      <c r="B1537" s="42"/>
      <c r="C1537" s="43"/>
      <c r="D1537" s="30"/>
      <c r="E1537" s="28"/>
      <c r="F1537" s="30"/>
      <c r="G1537" s="30"/>
      <c r="H1537" s="30"/>
      <c r="I1537" s="30"/>
      <c r="J1537" s="28"/>
      <c r="K1537" s="30"/>
      <c r="L1537" s="30"/>
      <c r="M1537" s="30"/>
      <c r="N1537" s="30"/>
      <c r="O1537" s="28"/>
      <c r="P1537" s="30"/>
      <c r="Q1537" s="30"/>
      <c r="R1537" s="30"/>
      <c r="S1537" s="36"/>
      <c r="T1537" s="30"/>
      <c r="U1537" s="36"/>
      <c r="V1537" s="30"/>
      <c r="W1537" s="28"/>
      <c r="X1537" s="30"/>
      <c r="Y1537" s="30"/>
      <c r="Z1537" s="30"/>
      <c r="AA1537" s="30"/>
      <c r="AB1537" s="30"/>
      <c r="AC1537" s="28"/>
      <c r="AD1537" s="30"/>
      <c r="AE1537" s="30"/>
      <c r="AF1537" s="30"/>
      <c r="AG1537" s="29"/>
      <c r="AH1537" s="30"/>
      <c r="AI1537" s="36"/>
      <c r="AJ1537" s="30"/>
      <c r="AK1537" s="29"/>
      <c r="AL1537" s="30"/>
      <c r="AM1537" s="30"/>
      <c r="AN1537" s="30"/>
      <c r="AO1537" s="30"/>
      <c r="AP1537" s="30"/>
      <c r="AQ1537" s="38"/>
      <c r="AR1537" s="30"/>
      <c r="AS1537" s="30"/>
      <c r="AT1537" s="29"/>
      <c r="AU1537" s="30"/>
      <c r="AV1537" s="30"/>
      <c r="AW1537" s="30"/>
      <c r="AX1537" s="29"/>
      <c r="AY1537" s="39"/>
      <c r="AZ1537" s="30"/>
      <c r="BA1537" s="30"/>
      <c r="BB1537" s="29"/>
      <c r="BC1537" s="52"/>
      <c r="BD1537" s="30"/>
      <c r="BE1537" s="29"/>
      <c r="BF1537" s="30"/>
      <c r="BG1537" s="30"/>
      <c r="BH1537" s="30"/>
      <c r="BI1537" s="30"/>
      <c r="BJ1537" s="30"/>
      <c r="BK1537" s="30"/>
      <c r="BL1537" s="30"/>
      <c r="BM1537" s="30"/>
      <c r="BN1537" s="30"/>
      <c r="BO1537" s="30"/>
      <c r="BP1537" s="30"/>
      <c r="BQ1537" s="30"/>
      <c r="BR1537" s="30"/>
      <c r="BS1537" s="30"/>
      <c r="BT1537" s="30"/>
      <c r="BU1537" s="30"/>
      <c r="BV1537" s="30"/>
      <c r="BW1537" s="30"/>
      <c r="BX1537" s="30"/>
      <c r="BY1537" s="30"/>
      <c r="BZ1537" s="30"/>
      <c r="CA1537" s="30"/>
      <c r="CB1537" s="30"/>
      <c r="CC1537" s="30"/>
      <c r="CD1537" s="30"/>
      <c r="CE1537" s="30"/>
      <c r="CF1537" s="30"/>
      <c r="CG1537" s="30"/>
      <c r="CH1537" s="30"/>
      <c r="CI1537" s="30"/>
      <c r="CJ1537" s="30"/>
      <c r="CK1537" s="30"/>
      <c r="CL1537" s="30"/>
      <c r="CM1537" s="30"/>
      <c r="CN1537" s="30"/>
      <c r="CO1537" s="30"/>
      <c r="CP1537" s="30"/>
      <c r="CQ1537" s="30"/>
      <c r="CR1537" s="30"/>
      <c r="CS1537" s="30"/>
      <c r="CT1537" s="30"/>
      <c r="CU1537" s="30"/>
      <c r="CV1537" s="30"/>
      <c r="CW1537" s="30"/>
      <c r="CX1537" s="30"/>
      <c r="CY1537" s="30"/>
      <c r="CZ1537" s="30"/>
      <c r="DA1537" s="30"/>
      <c r="DB1537" s="30"/>
      <c r="DC1537" s="30"/>
      <c r="DD1537" s="30"/>
      <c r="DE1537" s="30"/>
      <c r="DF1537" s="30"/>
      <c r="DG1537" s="30"/>
      <c r="DH1537" s="30"/>
      <c r="DI1537" s="30"/>
      <c r="DJ1537" s="30"/>
      <c r="DK1537" s="30"/>
      <c r="DL1537" s="30"/>
      <c r="DM1537" s="30"/>
      <c r="DN1537" s="30"/>
      <c r="DO1537" s="30"/>
      <c r="DP1537" s="30"/>
      <c r="DQ1537" s="30"/>
      <c r="DR1537" s="30"/>
      <c r="DS1537" s="30"/>
      <c r="DT1537" s="30"/>
      <c r="DU1537" s="30"/>
      <c r="DV1537" s="30"/>
      <c r="DW1537" s="30"/>
      <c r="DX1537" s="30"/>
      <c r="DY1537" s="30"/>
      <c r="DZ1537" s="30"/>
    </row>
    <row r="1538">
      <c r="A1538" s="30"/>
      <c r="B1538" s="42"/>
      <c r="C1538" s="43"/>
      <c r="D1538" s="30"/>
      <c r="E1538" s="28"/>
      <c r="F1538" s="30"/>
      <c r="G1538" s="30"/>
      <c r="H1538" s="30"/>
      <c r="I1538" s="30"/>
      <c r="J1538" s="28"/>
      <c r="K1538" s="30"/>
      <c r="L1538" s="30"/>
      <c r="M1538" s="30"/>
      <c r="N1538" s="30"/>
      <c r="O1538" s="28"/>
      <c r="P1538" s="30"/>
      <c r="Q1538" s="30"/>
      <c r="R1538" s="30"/>
      <c r="S1538" s="36"/>
      <c r="T1538" s="30"/>
      <c r="U1538" s="36"/>
      <c r="V1538" s="30"/>
      <c r="W1538" s="28"/>
      <c r="X1538" s="30"/>
      <c r="Y1538" s="30"/>
      <c r="Z1538" s="30"/>
      <c r="AA1538" s="30"/>
      <c r="AB1538" s="30"/>
      <c r="AC1538" s="28"/>
      <c r="AD1538" s="30"/>
      <c r="AE1538" s="30"/>
      <c r="AF1538" s="30"/>
      <c r="AG1538" s="29"/>
      <c r="AH1538" s="30"/>
      <c r="AI1538" s="36"/>
      <c r="AJ1538" s="30"/>
      <c r="AK1538" s="29"/>
      <c r="AL1538" s="30"/>
      <c r="AM1538" s="30"/>
      <c r="AN1538" s="30"/>
      <c r="AO1538" s="30"/>
      <c r="AP1538" s="30"/>
      <c r="AQ1538" s="38"/>
      <c r="AR1538" s="30"/>
      <c r="AS1538" s="30"/>
      <c r="AT1538" s="29"/>
      <c r="AU1538" s="30"/>
      <c r="AV1538" s="30"/>
      <c r="AW1538" s="30"/>
      <c r="AX1538" s="29"/>
      <c r="AY1538" s="39"/>
      <c r="AZ1538" s="30"/>
      <c r="BA1538" s="30"/>
      <c r="BB1538" s="29"/>
      <c r="BC1538" s="52"/>
      <c r="BD1538" s="30"/>
      <c r="BE1538" s="29"/>
      <c r="BF1538" s="30"/>
      <c r="BG1538" s="30"/>
      <c r="BH1538" s="30"/>
      <c r="BI1538" s="30"/>
      <c r="BJ1538" s="30"/>
      <c r="BK1538" s="30"/>
      <c r="BL1538" s="30"/>
      <c r="BM1538" s="30"/>
      <c r="BN1538" s="30"/>
      <c r="BO1538" s="30"/>
      <c r="BP1538" s="30"/>
      <c r="BQ1538" s="30"/>
      <c r="BR1538" s="30"/>
      <c r="BS1538" s="30"/>
      <c r="BT1538" s="30"/>
      <c r="BU1538" s="30"/>
      <c r="BV1538" s="30"/>
      <c r="BW1538" s="30"/>
      <c r="BX1538" s="30"/>
      <c r="BY1538" s="30"/>
      <c r="BZ1538" s="30"/>
      <c r="CA1538" s="30"/>
      <c r="CB1538" s="30"/>
      <c r="CC1538" s="30"/>
      <c r="CD1538" s="30"/>
      <c r="CE1538" s="30"/>
      <c r="CF1538" s="30"/>
      <c r="CG1538" s="30"/>
      <c r="CH1538" s="30"/>
      <c r="CI1538" s="30"/>
      <c r="CJ1538" s="30"/>
      <c r="CK1538" s="30"/>
      <c r="CL1538" s="30"/>
      <c r="CM1538" s="30"/>
      <c r="CN1538" s="30"/>
      <c r="CO1538" s="30"/>
      <c r="CP1538" s="30"/>
      <c r="CQ1538" s="30"/>
      <c r="CR1538" s="30"/>
      <c r="CS1538" s="30"/>
      <c r="CT1538" s="30"/>
      <c r="CU1538" s="30"/>
      <c r="CV1538" s="30"/>
      <c r="CW1538" s="30"/>
      <c r="CX1538" s="30"/>
      <c r="CY1538" s="30"/>
      <c r="CZ1538" s="30"/>
      <c r="DA1538" s="30"/>
      <c r="DB1538" s="30"/>
      <c r="DC1538" s="30"/>
      <c r="DD1538" s="30"/>
      <c r="DE1538" s="30"/>
      <c r="DF1538" s="30"/>
      <c r="DG1538" s="30"/>
      <c r="DH1538" s="30"/>
      <c r="DI1538" s="30"/>
      <c r="DJ1538" s="30"/>
      <c r="DK1538" s="30"/>
      <c r="DL1538" s="30"/>
      <c r="DM1538" s="30"/>
      <c r="DN1538" s="30"/>
      <c r="DO1538" s="30"/>
      <c r="DP1538" s="30"/>
      <c r="DQ1538" s="30"/>
      <c r="DR1538" s="30"/>
      <c r="DS1538" s="30"/>
      <c r="DT1538" s="30"/>
      <c r="DU1538" s="30"/>
      <c r="DV1538" s="30"/>
      <c r="DW1538" s="30"/>
      <c r="DX1538" s="30"/>
      <c r="DY1538" s="30"/>
      <c r="DZ1538" s="30"/>
    </row>
    <row r="1539">
      <c r="A1539" s="30"/>
      <c r="B1539" s="42"/>
      <c r="C1539" s="43"/>
      <c r="D1539" s="30"/>
      <c r="E1539" s="28"/>
      <c r="F1539" s="30"/>
      <c r="G1539" s="30"/>
      <c r="H1539" s="30"/>
      <c r="I1539" s="30"/>
      <c r="J1539" s="28"/>
      <c r="K1539" s="30"/>
      <c r="L1539" s="30"/>
      <c r="M1539" s="30"/>
      <c r="N1539" s="30"/>
      <c r="O1539" s="28"/>
      <c r="P1539" s="30"/>
      <c r="Q1539" s="30"/>
      <c r="R1539" s="30"/>
      <c r="S1539" s="36"/>
      <c r="T1539" s="30"/>
      <c r="U1539" s="36"/>
      <c r="V1539" s="30"/>
      <c r="W1539" s="28"/>
      <c r="X1539" s="30"/>
      <c r="Y1539" s="30"/>
      <c r="Z1539" s="30"/>
      <c r="AA1539" s="30"/>
      <c r="AB1539" s="30"/>
      <c r="AC1539" s="28"/>
      <c r="AD1539" s="30"/>
      <c r="AE1539" s="30"/>
      <c r="AF1539" s="30"/>
      <c r="AG1539" s="29"/>
      <c r="AH1539" s="30"/>
      <c r="AI1539" s="36"/>
      <c r="AJ1539" s="30"/>
      <c r="AK1539" s="29"/>
      <c r="AL1539" s="30"/>
      <c r="AM1539" s="30"/>
      <c r="AN1539" s="30"/>
      <c r="AO1539" s="30"/>
      <c r="AP1539" s="30"/>
      <c r="AQ1539" s="38"/>
      <c r="AR1539" s="30"/>
      <c r="AS1539" s="30"/>
      <c r="AT1539" s="29"/>
      <c r="AU1539" s="30"/>
      <c r="AV1539" s="30"/>
      <c r="AW1539" s="30"/>
      <c r="AX1539" s="29"/>
      <c r="AY1539" s="39"/>
      <c r="AZ1539" s="30"/>
      <c r="BA1539" s="30"/>
      <c r="BB1539" s="29"/>
      <c r="BC1539" s="52"/>
      <c r="BD1539" s="30"/>
      <c r="BE1539" s="29"/>
      <c r="BF1539" s="30"/>
      <c r="BG1539" s="30"/>
      <c r="BH1539" s="30"/>
      <c r="BI1539" s="30"/>
      <c r="BJ1539" s="30"/>
      <c r="BK1539" s="30"/>
      <c r="BL1539" s="30"/>
      <c r="BM1539" s="30"/>
      <c r="BN1539" s="30"/>
      <c r="BO1539" s="30"/>
      <c r="BP1539" s="30"/>
      <c r="BQ1539" s="30"/>
      <c r="BR1539" s="30"/>
      <c r="BS1539" s="30"/>
      <c r="BT1539" s="30"/>
      <c r="BU1539" s="30"/>
      <c r="BV1539" s="30"/>
      <c r="BW1539" s="30"/>
      <c r="BX1539" s="30"/>
      <c r="BY1539" s="30"/>
      <c r="BZ1539" s="30"/>
      <c r="CA1539" s="30"/>
      <c r="CB1539" s="30"/>
      <c r="CC1539" s="30"/>
      <c r="CD1539" s="30"/>
      <c r="CE1539" s="30"/>
      <c r="CF1539" s="30"/>
      <c r="CG1539" s="30"/>
      <c r="CH1539" s="30"/>
      <c r="CI1539" s="30"/>
      <c r="CJ1539" s="30"/>
      <c r="CK1539" s="30"/>
      <c r="CL1539" s="30"/>
      <c r="CM1539" s="30"/>
      <c r="CN1539" s="30"/>
      <c r="CO1539" s="30"/>
      <c r="CP1539" s="30"/>
      <c r="CQ1539" s="30"/>
      <c r="CR1539" s="30"/>
      <c r="CS1539" s="30"/>
      <c r="CT1539" s="30"/>
      <c r="CU1539" s="30"/>
      <c r="CV1539" s="30"/>
      <c r="CW1539" s="30"/>
      <c r="CX1539" s="30"/>
      <c r="CY1539" s="30"/>
      <c r="CZ1539" s="30"/>
      <c r="DA1539" s="30"/>
      <c r="DB1539" s="30"/>
      <c r="DC1539" s="30"/>
      <c r="DD1539" s="30"/>
      <c r="DE1539" s="30"/>
      <c r="DF1539" s="30"/>
      <c r="DG1539" s="30"/>
      <c r="DH1539" s="30"/>
      <c r="DI1539" s="30"/>
      <c r="DJ1539" s="30"/>
      <c r="DK1539" s="30"/>
      <c r="DL1539" s="30"/>
      <c r="DM1539" s="30"/>
      <c r="DN1539" s="30"/>
      <c r="DO1539" s="30"/>
      <c r="DP1539" s="30"/>
      <c r="DQ1539" s="30"/>
      <c r="DR1539" s="30"/>
      <c r="DS1539" s="30"/>
      <c r="DT1539" s="30"/>
      <c r="DU1539" s="30"/>
      <c r="DV1539" s="30"/>
      <c r="DW1539" s="30"/>
      <c r="DX1539" s="30"/>
      <c r="DY1539" s="30"/>
      <c r="DZ1539" s="30"/>
    </row>
    <row r="1540">
      <c r="A1540" s="30"/>
      <c r="B1540" s="42"/>
      <c r="C1540" s="43"/>
      <c r="D1540" s="30"/>
      <c r="E1540" s="28"/>
      <c r="F1540" s="30"/>
      <c r="G1540" s="30"/>
      <c r="H1540" s="30"/>
      <c r="I1540" s="30"/>
      <c r="J1540" s="28"/>
      <c r="K1540" s="30"/>
      <c r="L1540" s="30"/>
      <c r="M1540" s="30"/>
      <c r="N1540" s="30"/>
      <c r="O1540" s="28"/>
      <c r="P1540" s="30"/>
      <c r="Q1540" s="30"/>
      <c r="R1540" s="30"/>
      <c r="S1540" s="36"/>
      <c r="T1540" s="30"/>
      <c r="U1540" s="36"/>
      <c r="V1540" s="30"/>
      <c r="W1540" s="28"/>
      <c r="X1540" s="30"/>
      <c r="Y1540" s="30"/>
      <c r="Z1540" s="30"/>
      <c r="AA1540" s="30"/>
      <c r="AB1540" s="30"/>
      <c r="AC1540" s="28"/>
      <c r="AD1540" s="30"/>
      <c r="AE1540" s="30"/>
      <c r="AF1540" s="30"/>
      <c r="AG1540" s="29"/>
      <c r="AH1540" s="30"/>
      <c r="AI1540" s="36"/>
      <c r="AJ1540" s="30"/>
      <c r="AK1540" s="29"/>
      <c r="AL1540" s="30"/>
      <c r="AM1540" s="30"/>
      <c r="AN1540" s="30"/>
      <c r="AO1540" s="30"/>
      <c r="AP1540" s="30"/>
      <c r="AQ1540" s="38"/>
      <c r="AR1540" s="30"/>
      <c r="AS1540" s="30"/>
      <c r="AT1540" s="29"/>
      <c r="AU1540" s="30"/>
      <c r="AV1540" s="30"/>
      <c r="AW1540" s="30"/>
      <c r="AX1540" s="29"/>
      <c r="AY1540" s="39"/>
      <c r="AZ1540" s="30"/>
      <c r="BA1540" s="30"/>
      <c r="BB1540" s="29"/>
      <c r="BC1540" s="52"/>
      <c r="BD1540" s="30"/>
      <c r="BE1540" s="29"/>
      <c r="BF1540" s="30"/>
      <c r="BG1540" s="30"/>
      <c r="BH1540" s="30"/>
      <c r="BI1540" s="30"/>
      <c r="BJ1540" s="30"/>
      <c r="BK1540" s="30"/>
      <c r="BL1540" s="30"/>
      <c r="BM1540" s="30"/>
      <c r="BN1540" s="30"/>
      <c r="BO1540" s="30"/>
      <c r="BP1540" s="30"/>
      <c r="BQ1540" s="30"/>
      <c r="BR1540" s="30"/>
      <c r="BS1540" s="30"/>
      <c r="BT1540" s="30"/>
      <c r="BU1540" s="30"/>
      <c r="BV1540" s="30"/>
      <c r="BW1540" s="30"/>
      <c r="BX1540" s="30"/>
      <c r="BY1540" s="30"/>
      <c r="BZ1540" s="30"/>
      <c r="CA1540" s="30"/>
      <c r="CB1540" s="30"/>
      <c r="CC1540" s="30"/>
      <c r="CD1540" s="30"/>
      <c r="CE1540" s="30"/>
      <c r="CF1540" s="30"/>
      <c r="CG1540" s="30"/>
      <c r="CH1540" s="30"/>
      <c r="CI1540" s="30"/>
      <c r="CJ1540" s="30"/>
      <c r="CK1540" s="30"/>
      <c r="CL1540" s="30"/>
      <c r="CM1540" s="30"/>
      <c r="CN1540" s="30"/>
      <c r="CO1540" s="30"/>
      <c r="CP1540" s="30"/>
      <c r="CQ1540" s="30"/>
      <c r="CR1540" s="30"/>
      <c r="CS1540" s="30"/>
      <c r="CT1540" s="30"/>
      <c r="CU1540" s="30"/>
      <c r="CV1540" s="30"/>
      <c r="CW1540" s="30"/>
      <c r="CX1540" s="30"/>
      <c r="CY1540" s="30"/>
      <c r="CZ1540" s="30"/>
      <c r="DA1540" s="30"/>
      <c r="DB1540" s="30"/>
      <c r="DC1540" s="30"/>
      <c r="DD1540" s="30"/>
      <c r="DE1540" s="30"/>
      <c r="DF1540" s="30"/>
      <c r="DG1540" s="30"/>
      <c r="DH1540" s="30"/>
      <c r="DI1540" s="30"/>
      <c r="DJ1540" s="30"/>
      <c r="DK1540" s="30"/>
      <c r="DL1540" s="30"/>
      <c r="DM1540" s="30"/>
      <c r="DN1540" s="30"/>
      <c r="DO1540" s="30"/>
      <c r="DP1540" s="30"/>
      <c r="DQ1540" s="30"/>
      <c r="DR1540" s="30"/>
      <c r="DS1540" s="30"/>
      <c r="DT1540" s="30"/>
      <c r="DU1540" s="30"/>
      <c r="DV1540" s="30"/>
      <c r="DW1540" s="30"/>
      <c r="DX1540" s="30"/>
      <c r="DY1540" s="30"/>
      <c r="DZ1540" s="30"/>
    </row>
    <row r="1541">
      <c r="A1541" s="30"/>
      <c r="B1541" s="42"/>
      <c r="C1541" s="43"/>
      <c r="D1541" s="30"/>
      <c r="E1541" s="28"/>
      <c r="F1541" s="30"/>
      <c r="G1541" s="30"/>
      <c r="H1541" s="30"/>
      <c r="I1541" s="30"/>
      <c r="J1541" s="28"/>
      <c r="K1541" s="30"/>
      <c r="L1541" s="30"/>
      <c r="M1541" s="30"/>
      <c r="N1541" s="30"/>
      <c r="O1541" s="28"/>
      <c r="P1541" s="30"/>
      <c r="Q1541" s="30"/>
      <c r="R1541" s="30"/>
      <c r="S1541" s="36"/>
      <c r="T1541" s="30"/>
      <c r="U1541" s="36"/>
      <c r="V1541" s="30"/>
      <c r="W1541" s="28"/>
      <c r="X1541" s="30"/>
      <c r="Y1541" s="30"/>
      <c r="Z1541" s="30"/>
      <c r="AA1541" s="30"/>
      <c r="AB1541" s="30"/>
      <c r="AC1541" s="28"/>
      <c r="AD1541" s="30"/>
      <c r="AE1541" s="30"/>
      <c r="AF1541" s="30"/>
      <c r="AG1541" s="29"/>
      <c r="AH1541" s="30"/>
      <c r="AI1541" s="36"/>
      <c r="AJ1541" s="30"/>
      <c r="AK1541" s="29"/>
      <c r="AL1541" s="30"/>
      <c r="AM1541" s="30"/>
      <c r="AN1541" s="30"/>
      <c r="AO1541" s="30"/>
      <c r="AP1541" s="30"/>
      <c r="AQ1541" s="38"/>
      <c r="AR1541" s="30"/>
      <c r="AS1541" s="30"/>
      <c r="AT1541" s="29"/>
      <c r="AU1541" s="30"/>
      <c r="AV1541" s="30"/>
      <c r="AW1541" s="30"/>
      <c r="AX1541" s="29"/>
      <c r="AY1541" s="39"/>
      <c r="AZ1541" s="30"/>
      <c r="BA1541" s="30"/>
      <c r="BB1541" s="29"/>
      <c r="BC1541" s="52"/>
      <c r="BD1541" s="30"/>
      <c r="BE1541" s="29"/>
      <c r="BF1541" s="30"/>
      <c r="BG1541" s="30"/>
      <c r="BH1541" s="30"/>
      <c r="BI1541" s="30"/>
      <c r="BJ1541" s="30"/>
      <c r="BK1541" s="30"/>
      <c r="BL1541" s="30"/>
      <c r="BM1541" s="30"/>
      <c r="BN1541" s="30"/>
      <c r="BO1541" s="30"/>
      <c r="BP1541" s="30"/>
      <c r="BQ1541" s="30"/>
      <c r="BR1541" s="30"/>
      <c r="BS1541" s="30"/>
      <c r="BT1541" s="30"/>
      <c r="BU1541" s="30"/>
      <c r="BV1541" s="30"/>
      <c r="BW1541" s="30"/>
      <c r="BX1541" s="30"/>
      <c r="BY1541" s="30"/>
      <c r="BZ1541" s="30"/>
      <c r="CA1541" s="30"/>
      <c r="CB1541" s="30"/>
      <c r="CC1541" s="30"/>
      <c r="CD1541" s="30"/>
      <c r="CE1541" s="30"/>
      <c r="CF1541" s="30"/>
      <c r="CG1541" s="30"/>
      <c r="CH1541" s="30"/>
      <c r="CI1541" s="30"/>
      <c r="CJ1541" s="30"/>
      <c r="CK1541" s="30"/>
      <c r="CL1541" s="30"/>
      <c r="CM1541" s="30"/>
      <c r="CN1541" s="30"/>
      <c r="CO1541" s="30"/>
      <c r="CP1541" s="30"/>
      <c r="CQ1541" s="30"/>
      <c r="CR1541" s="30"/>
      <c r="CS1541" s="30"/>
      <c r="CT1541" s="30"/>
      <c r="CU1541" s="30"/>
      <c r="CV1541" s="30"/>
      <c r="CW1541" s="30"/>
      <c r="CX1541" s="30"/>
      <c r="CY1541" s="30"/>
      <c r="CZ1541" s="30"/>
      <c r="DA1541" s="30"/>
      <c r="DB1541" s="30"/>
      <c r="DC1541" s="30"/>
      <c r="DD1541" s="30"/>
      <c r="DE1541" s="30"/>
      <c r="DF1541" s="30"/>
      <c r="DG1541" s="30"/>
      <c r="DH1541" s="30"/>
      <c r="DI1541" s="30"/>
      <c r="DJ1541" s="30"/>
      <c r="DK1541" s="30"/>
      <c r="DL1541" s="30"/>
      <c r="DM1541" s="30"/>
      <c r="DN1541" s="30"/>
      <c r="DO1541" s="30"/>
      <c r="DP1541" s="30"/>
      <c r="DQ1541" s="30"/>
      <c r="DR1541" s="30"/>
      <c r="DS1541" s="30"/>
      <c r="DT1541" s="30"/>
      <c r="DU1541" s="30"/>
      <c r="DV1541" s="30"/>
      <c r="DW1541" s="30"/>
      <c r="DX1541" s="30"/>
      <c r="DY1541" s="30"/>
      <c r="DZ1541" s="30"/>
    </row>
    <row r="1542">
      <c r="A1542" s="30"/>
      <c r="B1542" s="42"/>
      <c r="C1542" s="43"/>
      <c r="D1542" s="30"/>
      <c r="E1542" s="28"/>
      <c r="F1542" s="30"/>
      <c r="G1542" s="30"/>
      <c r="H1542" s="30"/>
      <c r="I1542" s="30"/>
      <c r="J1542" s="28"/>
      <c r="K1542" s="30"/>
      <c r="L1542" s="30"/>
      <c r="M1542" s="30"/>
      <c r="N1542" s="30"/>
      <c r="O1542" s="28"/>
      <c r="P1542" s="30"/>
      <c r="Q1542" s="30"/>
      <c r="R1542" s="30"/>
      <c r="S1542" s="36"/>
      <c r="T1542" s="30"/>
      <c r="U1542" s="36"/>
      <c r="V1542" s="30"/>
      <c r="W1542" s="28"/>
      <c r="X1542" s="30"/>
      <c r="Y1542" s="30"/>
      <c r="Z1542" s="30"/>
      <c r="AA1542" s="30"/>
      <c r="AB1542" s="30"/>
      <c r="AC1542" s="28"/>
      <c r="AD1542" s="30"/>
      <c r="AE1542" s="30"/>
      <c r="AF1542" s="30"/>
      <c r="AG1542" s="29"/>
      <c r="AH1542" s="30"/>
      <c r="AI1542" s="36"/>
      <c r="AJ1542" s="30"/>
      <c r="AK1542" s="29"/>
      <c r="AL1542" s="30"/>
      <c r="AM1542" s="30"/>
      <c r="AN1542" s="30"/>
      <c r="AO1542" s="30"/>
      <c r="AP1542" s="30"/>
      <c r="AQ1542" s="38"/>
      <c r="AR1542" s="30"/>
      <c r="AS1542" s="30"/>
      <c r="AT1542" s="29"/>
      <c r="AU1542" s="30"/>
      <c r="AV1542" s="30"/>
      <c r="AW1542" s="30"/>
      <c r="AX1542" s="29"/>
      <c r="AY1542" s="39"/>
      <c r="AZ1542" s="30"/>
      <c r="BA1542" s="30"/>
      <c r="BB1542" s="29"/>
      <c r="BC1542" s="52"/>
      <c r="BD1542" s="30"/>
      <c r="BE1542" s="29"/>
      <c r="BF1542" s="30"/>
      <c r="BG1542" s="30"/>
      <c r="BH1542" s="30"/>
      <c r="BI1542" s="30"/>
      <c r="BJ1542" s="30"/>
      <c r="BK1542" s="30"/>
      <c r="BL1542" s="30"/>
      <c r="BM1542" s="30"/>
      <c r="BN1542" s="30"/>
      <c r="BO1542" s="30"/>
      <c r="BP1542" s="30"/>
      <c r="BQ1542" s="30"/>
      <c r="BR1542" s="30"/>
      <c r="BS1542" s="30"/>
      <c r="BT1542" s="30"/>
      <c r="BU1542" s="30"/>
      <c r="BV1542" s="30"/>
      <c r="BW1542" s="30"/>
      <c r="BX1542" s="30"/>
      <c r="BY1542" s="30"/>
      <c r="BZ1542" s="30"/>
      <c r="CA1542" s="30"/>
      <c r="CB1542" s="30"/>
      <c r="CC1542" s="30"/>
      <c r="CD1542" s="30"/>
      <c r="CE1542" s="30"/>
      <c r="CF1542" s="30"/>
      <c r="CG1542" s="30"/>
      <c r="CH1542" s="30"/>
      <c r="CI1542" s="30"/>
      <c r="CJ1542" s="30"/>
      <c r="CK1542" s="30"/>
      <c r="CL1542" s="30"/>
      <c r="CM1542" s="30"/>
      <c r="CN1542" s="30"/>
      <c r="CO1542" s="30"/>
      <c r="CP1542" s="30"/>
      <c r="CQ1542" s="30"/>
      <c r="CR1542" s="30"/>
      <c r="CS1542" s="30"/>
      <c r="CT1542" s="30"/>
      <c r="CU1542" s="30"/>
      <c r="CV1542" s="30"/>
      <c r="CW1542" s="30"/>
      <c r="CX1542" s="30"/>
      <c r="CY1542" s="30"/>
      <c r="CZ1542" s="30"/>
      <c r="DA1542" s="30"/>
      <c r="DB1542" s="30"/>
      <c r="DC1542" s="30"/>
      <c r="DD1542" s="30"/>
      <c r="DE1542" s="30"/>
      <c r="DF1542" s="30"/>
      <c r="DG1542" s="30"/>
      <c r="DH1542" s="30"/>
      <c r="DI1542" s="30"/>
      <c r="DJ1542" s="30"/>
      <c r="DK1542" s="30"/>
      <c r="DL1542" s="30"/>
      <c r="DM1542" s="30"/>
      <c r="DN1542" s="30"/>
      <c r="DO1542" s="30"/>
      <c r="DP1542" s="30"/>
      <c r="DQ1542" s="30"/>
      <c r="DR1542" s="30"/>
      <c r="DS1542" s="30"/>
      <c r="DT1542" s="30"/>
      <c r="DU1542" s="30"/>
      <c r="DV1542" s="30"/>
      <c r="DW1542" s="30"/>
      <c r="DX1542" s="30"/>
      <c r="DY1542" s="30"/>
      <c r="DZ1542" s="30"/>
    </row>
    <row r="1543">
      <c r="A1543" s="30"/>
      <c r="B1543" s="42"/>
      <c r="C1543" s="43"/>
      <c r="D1543" s="30"/>
      <c r="E1543" s="28"/>
      <c r="F1543" s="30"/>
      <c r="G1543" s="30"/>
      <c r="H1543" s="30"/>
      <c r="I1543" s="30"/>
      <c r="J1543" s="28"/>
      <c r="K1543" s="30"/>
      <c r="L1543" s="30"/>
      <c r="M1543" s="30"/>
      <c r="N1543" s="30"/>
      <c r="O1543" s="28"/>
      <c r="P1543" s="30"/>
      <c r="Q1543" s="30"/>
      <c r="R1543" s="30"/>
      <c r="S1543" s="36"/>
      <c r="T1543" s="30"/>
      <c r="U1543" s="36"/>
      <c r="V1543" s="30"/>
      <c r="W1543" s="28"/>
      <c r="X1543" s="30"/>
      <c r="Y1543" s="30"/>
      <c r="Z1543" s="30"/>
      <c r="AA1543" s="30"/>
      <c r="AB1543" s="30"/>
      <c r="AC1543" s="28"/>
      <c r="AD1543" s="30"/>
      <c r="AE1543" s="30"/>
      <c r="AF1543" s="30"/>
      <c r="AG1543" s="29"/>
      <c r="AH1543" s="30"/>
      <c r="AI1543" s="36"/>
      <c r="AJ1543" s="30"/>
      <c r="AK1543" s="29"/>
      <c r="AL1543" s="30"/>
      <c r="AM1543" s="30"/>
      <c r="AN1543" s="30"/>
      <c r="AO1543" s="30"/>
      <c r="AP1543" s="30"/>
      <c r="AQ1543" s="38"/>
      <c r="AR1543" s="30"/>
      <c r="AS1543" s="30"/>
      <c r="AT1543" s="29"/>
      <c r="AU1543" s="30"/>
      <c r="AV1543" s="30"/>
      <c r="AW1543" s="30"/>
      <c r="AX1543" s="29"/>
      <c r="AY1543" s="39"/>
      <c r="AZ1543" s="30"/>
      <c r="BA1543" s="30"/>
      <c r="BB1543" s="29"/>
      <c r="BC1543" s="52"/>
      <c r="BD1543" s="30"/>
      <c r="BE1543" s="29"/>
      <c r="BF1543" s="30"/>
      <c r="BG1543" s="30"/>
      <c r="BH1543" s="30"/>
      <c r="BI1543" s="30"/>
      <c r="BJ1543" s="30"/>
      <c r="BK1543" s="30"/>
      <c r="BL1543" s="30"/>
      <c r="BM1543" s="30"/>
      <c r="BN1543" s="30"/>
      <c r="BO1543" s="30"/>
      <c r="BP1543" s="30"/>
      <c r="BQ1543" s="30"/>
      <c r="BR1543" s="30"/>
      <c r="BS1543" s="30"/>
      <c r="BT1543" s="30"/>
      <c r="BU1543" s="30"/>
      <c r="BV1543" s="30"/>
      <c r="BW1543" s="30"/>
      <c r="BX1543" s="30"/>
      <c r="BY1543" s="30"/>
      <c r="BZ1543" s="30"/>
      <c r="CA1543" s="30"/>
      <c r="CB1543" s="30"/>
      <c r="CC1543" s="30"/>
      <c r="CD1543" s="30"/>
      <c r="CE1543" s="30"/>
      <c r="CF1543" s="30"/>
      <c r="CG1543" s="30"/>
      <c r="CH1543" s="30"/>
      <c r="CI1543" s="30"/>
      <c r="CJ1543" s="30"/>
      <c r="CK1543" s="30"/>
      <c r="CL1543" s="30"/>
      <c r="CM1543" s="30"/>
      <c r="CN1543" s="30"/>
      <c r="CO1543" s="30"/>
      <c r="CP1543" s="30"/>
      <c r="CQ1543" s="30"/>
      <c r="CR1543" s="30"/>
      <c r="CS1543" s="30"/>
      <c r="CT1543" s="30"/>
      <c r="CU1543" s="30"/>
      <c r="CV1543" s="30"/>
      <c r="CW1543" s="30"/>
      <c r="CX1543" s="30"/>
      <c r="CY1543" s="30"/>
      <c r="CZ1543" s="30"/>
      <c r="DA1543" s="30"/>
      <c r="DB1543" s="30"/>
      <c r="DC1543" s="30"/>
      <c r="DD1543" s="30"/>
      <c r="DE1543" s="30"/>
      <c r="DF1543" s="30"/>
      <c r="DG1543" s="30"/>
      <c r="DH1543" s="30"/>
      <c r="DI1543" s="30"/>
      <c r="DJ1543" s="30"/>
      <c r="DK1543" s="30"/>
      <c r="DL1543" s="30"/>
      <c r="DM1543" s="30"/>
      <c r="DN1543" s="30"/>
      <c r="DO1543" s="30"/>
      <c r="DP1543" s="30"/>
      <c r="DQ1543" s="30"/>
      <c r="DR1543" s="30"/>
      <c r="DS1543" s="30"/>
      <c r="DT1543" s="30"/>
      <c r="DU1543" s="30"/>
      <c r="DV1543" s="30"/>
      <c r="DW1543" s="30"/>
      <c r="DX1543" s="30"/>
      <c r="DY1543" s="30"/>
      <c r="DZ1543" s="30"/>
    </row>
    <row r="1544">
      <c r="A1544" s="30"/>
      <c r="B1544" s="42"/>
      <c r="C1544" s="43"/>
      <c r="D1544" s="30"/>
      <c r="E1544" s="28"/>
      <c r="F1544" s="30"/>
      <c r="G1544" s="30"/>
      <c r="H1544" s="30"/>
      <c r="I1544" s="30"/>
      <c r="J1544" s="28"/>
      <c r="K1544" s="30"/>
      <c r="L1544" s="30"/>
      <c r="M1544" s="30"/>
      <c r="N1544" s="30"/>
      <c r="O1544" s="28"/>
      <c r="P1544" s="30"/>
      <c r="Q1544" s="30"/>
      <c r="R1544" s="30"/>
      <c r="S1544" s="36"/>
      <c r="T1544" s="30"/>
      <c r="U1544" s="36"/>
      <c r="V1544" s="30"/>
      <c r="W1544" s="28"/>
      <c r="X1544" s="30"/>
      <c r="Y1544" s="30"/>
      <c r="Z1544" s="30"/>
      <c r="AA1544" s="30"/>
      <c r="AB1544" s="30"/>
      <c r="AC1544" s="28"/>
      <c r="AD1544" s="30"/>
      <c r="AE1544" s="30"/>
      <c r="AF1544" s="30"/>
      <c r="AG1544" s="29"/>
      <c r="AH1544" s="30"/>
      <c r="AI1544" s="36"/>
      <c r="AJ1544" s="30"/>
      <c r="AK1544" s="29"/>
      <c r="AL1544" s="30"/>
      <c r="AM1544" s="30"/>
      <c r="AN1544" s="30"/>
      <c r="AO1544" s="30"/>
      <c r="AP1544" s="30"/>
      <c r="AQ1544" s="38"/>
      <c r="AR1544" s="30"/>
      <c r="AS1544" s="30"/>
      <c r="AT1544" s="29"/>
      <c r="AU1544" s="30"/>
      <c r="AV1544" s="30"/>
      <c r="AW1544" s="30"/>
      <c r="AX1544" s="29"/>
      <c r="AY1544" s="39"/>
      <c r="AZ1544" s="30"/>
      <c r="BA1544" s="30"/>
      <c r="BB1544" s="29"/>
      <c r="BC1544" s="52"/>
      <c r="BD1544" s="30"/>
      <c r="BE1544" s="29"/>
      <c r="BF1544" s="30"/>
      <c r="BG1544" s="30"/>
      <c r="BH1544" s="30"/>
      <c r="BI1544" s="30"/>
      <c r="BJ1544" s="30"/>
      <c r="BK1544" s="30"/>
      <c r="BL1544" s="30"/>
      <c r="BM1544" s="30"/>
      <c r="BN1544" s="30"/>
      <c r="BO1544" s="30"/>
      <c r="BP1544" s="30"/>
      <c r="BQ1544" s="30"/>
      <c r="BR1544" s="30"/>
      <c r="BS1544" s="30"/>
      <c r="BT1544" s="30"/>
      <c r="BU1544" s="30"/>
      <c r="BV1544" s="30"/>
      <c r="BW1544" s="30"/>
      <c r="BX1544" s="30"/>
      <c r="BY1544" s="30"/>
      <c r="BZ1544" s="30"/>
      <c r="CA1544" s="30"/>
      <c r="CB1544" s="30"/>
      <c r="CC1544" s="30"/>
      <c r="CD1544" s="30"/>
      <c r="CE1544" s="30"/>
      <c r="CF1544" s="30"/>
      <c r="CG1544" s="30"/>
      <c r="CH1544" s="30"/>
      <c r="CI1544" s="30"/>
      <c r="CJ1544" s="30"/>
      <c r="CK1544" s="30"/>
      <c r="CL1544" s="30"/>
      <c r="CM1544" s="30"/>
      <c r="CN1544" s="30"/>
      <c r="CO1544" s="30"/>
      <c r="CP1544" s="30"/>
      <c r="CQ1544" s="30"/>
      <c r="CR1544" s="30"/>
      <c r="CS1544" s="30"/>
      <c r="CT1544" s="30"/>
      <c r="CU1544" s="30"/>
      <c r="CV1544" s="30"/>
      <c r="CW1544" s="30"/>
      <c r="CX1544" s="30"/>
      <c r="CY1544" s="30"/>
      <c r="CZ1544" s="30"/>
      <c r="DA1544" s="30"/>
      <c r="DB1544" s="30"/>
      <c r="DC1544" s="30"/>
      <c r="DD1544" s="30"/>
      <c r="DE1544" s="30"/>
      <c r="DF1544" s="30"/>
      <c r="DG1544" s="30"/>
      <c r="DH1544" s="30"/>
      <c r="DI1544" s="30"/>
      <c r="DJ1544" s="30"/>
      <c r="DK1544" s="30"/>
      <c r="DL1544" s="30"/>
      <c r="DM1544" s="30"/>
      <c r="DN1544" s="30"/>
      <c r="DO1544" s="30"/>
      <c r="DP1544" s="30"/>
      <c r="DQ1544" s="30"/>
      <c r="DR1544" s="30"/>
      <c r="DS1544" s="30"/>
      <c r="DT1544" s="30"/>
      <c r="DU1544" s="30"/>
      <c r="DV1544" s="30"/>
      <c r="DW1544" s="30"/>
      <c r="DX1544" s="30"/>
      <c r="DY1544" s="30"/>
      <c r="DZ1544" s="30"/>
    </row>
    <row r="1545">
      <c r="A1545" s="30"/>
      <c r="B1545" s="42"/>
      <c r="C1545" s="43"/>
      <c r="D1545" s="30"/>
      <c r="E1545" s="28"/>
      <c r="F1545" s="30"/>
      <c r="G1545" s="30"/>
      <c r="H1545" s="30"/>
      <c r="I1545" s="30"/>
      <c r="J1545" s="28"/>
      <c r="K1545" s="30"/>
      <c r="L1545" s="30"/>
      <c r="M1545" s="30"/>
      <c r="N1545" s="30"/>
      <c r="O1545" s="28"/>
      <c r="P1545" s="30"/>
      <c r="Q1545" s="30"/>
      <c r="R1545" s="30"/>
      <c r="S1545" s="36"/>
      <c r="T1545" s="30"/>
      <c r="U1545" s="36"/>
      <c r="V1545" s="30"/>
      <c r="W1545" s="28"/>
      <c r="X1545" s="30"/>
      <c r="Y1545" s="30"/>
      <c r="Z1545" s="30"/>
      <c r="AA1545" s="30"/>
      <c r="AB1545" s="30"/>
      <c r="AC1545" s="28"/>
      <c r="AD1545" s="30"/>
      <c r="AE1545" s="30"/>
      <c r="AF1545" s="30"/>
      <c r="AG1545" s="29"/>
      <c r="AH1545" s="30"/>
      <c r="AI1545" s="36"/>
      <c r="AJ1545" s="30"/>
      <c r="AK1545" s="29"/>
      <c r="AL1545" s="30"/>
      <c r="AM1545" s="30"/>
      <c r="AN1545" s="30"/>
      <c r="AO1545" s="30"/>
      <c r="AP1545" s="30"/>
      <c r="AQ1545" s="38"/>
      <c r="AR1545" s="30"/>
      <c r="AS1545" s="30"/>
      <c r="AT1545" s="29"/>
      <c r="AU1545" s="30"/>
      <c r="AV1545" s="30"/>
      <c r="AW1545" s="30"/>
      <c r="AX1545" s="29"/>
      <c r="AY1545" s="39"/>
      <c r="AZ1545" s="30"/>
      <c r="BA1545" s="30"/>
      <c r="BB1545" s="29"/>
      <c r="BC1545" s="52"/>
      <c r="BD1545" s="30"/>
      <c r="BE1545" s="29"/>
      <c r="BF1545" s="30"/>
      <c r="BG1545" s="30"/>
      <c r="BH1545" s="30"/>
      <c r="BI1545" s="30"/>
      <c r="BJ1545" s="30"/>
      <c r="BK1545" s="30"/>
      <c r="BL1545" s="30"/>
      <c r="BM1545" s="30"/>
      <c r="BN1545" s="30"/>
      <c r="BO1545" s="30"/>
      <c r="BP1545" s="30"/>
      <c r="BQ1545" s="30"/>
      <c r="BR1545" s="30"/>
      <c r="BS1545" s="30"/>
      <c r="BT1545" s="30"/>
      <c r="BU1545" s="30"/>
      <c r="BV1545" s="30"/>
      <c r="BW1545" s="30"/>
      <c r="BX1545" s="30"/>
      <c r="BY1545" s="30"/>
      <c r="BZ1545" s="30"/>
      <c r="CA1545" s="30"/>
      <c r="CB1545" s="30"/>
      <c r="CC1545" s="30"/>
      <c r="CD1545" s="30"/>
      <c r="CE1545" s="30"/>
      <c r="CF1545" s="30"/>
      <c r="CG1545" s="30"/>
      <c r="CH1545" s="30"/>
      <c r="CI1545" s="30"/>
      <c r="CJ1545" s="30"/>
      <c r="CK1545" s="30"/>
      <c r="CL1545" s="30"/>
      <c r="CM1545" s="30"/>
      <c r="CN1545" s="30"/>
      <c r="CO1545" s="30"/>
      <c r="CP1545" s="30"/>
      <c r="CQ1545" s="30"/>
      <c r="CR1545" s="30"/>
      <c r="CS1545" s="30"/>
      <c r="CT1545" s="30"/>
      <c r="CU1545" s="30"/>
      <c r="CV1545" s="30"/>
      <c r="CW1545" s="30"/>
      <c r="CX1545" s="30"/>
      <c r="CY1545" s="30"/>
      <c r="CZ1545" s="30"/>
      <c r="DA1545" s="30"/>
      <c r="DB1545" s="30"/>
      <c r="DC1545" s="30"/>
      <c r="DD1545" s="30"/>
      <c r="DE1545" s="30"/>
      <c r="DF1545" s="30"/>
      <c r="DG1545" s="30"/>
      <c r="DH1545" s="30"/>
      <c r="DI1545" s="30"/>
      <c r="DJ1545" s="30"/>
      <c r="DK1545" s="30"/>
      <c r="DL1545" s="30"/>
      <c r="DM1545" s="30"/>
      <c r="DN1545" s="30"/>
      <c r="DO1545" s="30"/>
      <c r="DP1545" s="30"/>
      <c r="DQ1545" s="30"/>
      <c r="DR1545" s="30"/>
      <c r="DS1545" s="30"/>
      <c r="DT1545" s="30"/>
      <c r="DU1545" s="30"/>
      <c r="DV1545" s="30"/>
      <c r="DW1545" s="30"/>
      <c r="DX1545" s="30"/>
      <c r="DY1545" s="30"/>
      <c r="DZ1545" s="30"/>
    </row>
    <row r="1546">
      <c r="A1546" s="30"/>
      <c r="B1546" s="42"/>
      <c r="C1546" s="43"/>
      <c r="D1546" s="30"/>
      <c r="E1546" s="28"/>
      <c r="F1546" s="30"/>
      <c r="G1546" s="30"/>
      <c r="H1546" s="30"/>
      <c r="I1546" s="30"/>
      <c r="J1546" s="28"/>
      <c r="K1546" s="30"/>
      <c r="L1546" s="30"/>
      <c r="M1546" s="30"/>
      <c r="N1546" s="30"/>
      <c r="O1546" s="28"/>
      <c r="P1546" s="30"/>
      <c r="Q1546" s="30"/>
      <c r="R1546" s="30"/>
      <c r="S1546" s="36"/>
      <c r="T1546" s="30"/>
      <c r="U1546" s="36"/>
      <c r="V1546" s="30"/>
      <c r="W1546" s="28"/>
      <c r="X1546" s="30"/>
      <c r="Y1546" s="30"/>
      <c r="Z1546" s="30"/>
      <c r="AA1546" s="30"/>
      <c r="AB1546" s="30"/>
      <c r="AC1546" s="28"/>
      <c r="AD1546" s="30"/>
      <c r="AE1546" s="30"/>
      <c r="AF1546" s="30"/>
      <c r="AG1546" s="29"/>
      <c r="AH1546" s="30"/>
      <c r="AI1546" s="36"/>
      <c r="AJ1546" s="30"/>
      <c r="AK1546" s="29"/>
      <c r="AL1546" s="30"/>
      <c r="AM1546" s="30"/>
      <c r="AN1546" s="30"/>
      <c r="AO1546" s="30"/>
      <c r="AP1546" s="30"/>
      <c r="AQ1546" s="38"/>
      <c r="AR1546" s="30"/>
      <c r="AS1546" s="30"/>
      <c r="AT1546" s="29"/>
      <c r="AU1546" s="30"/>
      <c r="AV1546" s="30"/>
      <c r="AW1546" s="30"/>
      <c r="AX1546" s="29"/>
      <c r="AY1546" s="39"/>
      <c r="AZ1546" s="30"/>
      <c r="BA1546" s="30"/>
      <c r="BB1546" s="29"/>
      <c r="BC1546" s="52"/>
      <c r="BD1546" s="30"/>
      <c r="BE1546" s="29"/>
      <c r="BF1546" s="30"/>
      <c r="BG1546" s="30"/>
      <c r="BH1546" s="30"/>
      <c r="BI1546" s="30"/>
      <c r="BJ1546" s="30"/>
      <c r="BK1546" s="30"/>
      <c r="BL1546" s="30"/>
      <c r="BM1546" s="30"/>
      <c r="BN1546" s="30"/>
      <c r="BO1546" s="30"/>
      <c r="BP1546" s="30"/>
      <c r="BQ1546" s="30"/>
      <c r="BR1546" s="30"/>
      <c r="BS1546" s="30"/>
      <c r="BT1546" s="30"/>
      <c r="BU1546" s="30"/>
      <c r="BV1546" s="30"/>
      <c r="BW1546" s="30"/>
      <c r="BX1546" s="30"/>
      <c r="BY1546" s="30"/>
      <c r="BZ1546" s="30"/>
      <c r="CA1546" s="30"/>
      <c r="CB1546" s="30"/>
      <c r="CC1546" s="30"/>
      <c r="CD1546" s="30"/>
      <c r="CE1546" s="30"/>
      <c r="CF1546" s="30"/>
      <c r="CG1546" s="30"/>
      <c r="CH1546" s="30"/>
      <c r="CI1546" s="30"/>
      <c r="CJ1546" s="30"/>
      <c r="CK1546" s="30"/>
      <c r="CL1546" s="30"/>
      <c r="CM1546" s="30"/>
      <c r="CN1546" s="30"/>
      <c r="CO1546" s="30"/>
      <c r="CP1546" s="30"/>
      <c r="CQ1546" s="30"/>
      <c r="CR1546" s="30"/>
      <c r="CS1546" s="30"/>
      <c r="CT1546" s="30"/>
      <c r="CU1546" s="30"/>
      <c r="CV1546" s="30"/>
      <c r="CW1546" s="30"/>
      <c r="CX1546" s="30"/>
      <c r="CY1546" s="30"/>
      <c r="CZ1546" s="30"/>
      <c r="DA1546" s="30"/>
      <c r="DB1546" s="30"/>
      <c r="DC1546" s="30"/>
      <c r="DD1546" s="30"/>
      <c r="DE1546" s="30"/>
      <c r="DF1546" s="30"/>
      <c r="DG1546" s="30"/>
      <c r="DH1546" s="30"/>
      <c r="DI1546" s="30"/>
      <c r="DJ1546" s="30"/>
      <c r="DK1546" s="30"/>
      <c r="DL1546" s="30"/>
      <c r="DM1546" s="30"/>
      <c r="DN1546" s="30"/>
      <c r="DO1546" s="30"/>
      <c r="DP1546" s="30"/>
      <c r="DQ1546" s="30"/>
      <c r="DR1546" s="30"/>
      <c r="DS1546" s="30"/>
      <c r="DT1546" s="30"/>
      <c r="DU1546" s="30"/>
      <c r="DV1546" s="30"/>
      <c r="DW1546" s="30"/>
      <c r="DX1546" s="30"/>
      <c r="DY1546" s="30"/>
      <c r="DZ1546" s="30"/>
    </row>
    <row r="1547">
      <c r="A1547" s="30"/>
      <c r="B1547" s="42"/>
      <c r="C1547" s="43"/>
      <c r="D1547" s="30"/>
      <c r="E1547" s="28"/>
      <c r="F1547" s="30"/>
      <c r="G1547" s="30"/>
      <c r="H1547" s="30"/>
      <c r="I1547" s="30"/>
      <c r="J1547" s="28"/>
      <c r="K1547" s="30"/>
      <c r="L1547" s="30"/>
      <c r="M1547" s="30"/>
      <c r="N1547" s="30"/>
      <c r="O1547" s="28"/>
      <c r="P1547" s="30"/>
      <c r="Q1547" s="30"/>
      <c r="R1547" s="30"/>
      <c r="S1547" s="36"/>
      <c r="T1547" s="30"/>
      <c r="U1547" s="36"/>
      <c r="V1547" s="30"/>
      <c r="W1547" s="28"/>
      <c r="X1547" s="30"/>
      <c r="Y1547" s="30"/>
      <c r="Z1547" s="30"/>
      <c r="AA1547" s="30"/>
      <c r="AB1547" s="30"/>
      <c r="AC1547" s="28"/>
      <c r="AD1547" s="30"/>
      <c r="AE1547" s="30"/>
      <c r="AF1547" s="30"/>
      <c r="AG1547" s="29"/>
      <c r="AH1547" s="30"/>
      <c r="AI1547" s="36"/>
      <c r="AJ1547" s="30"/>
      <c r="AK1547" s="29"/>
      <c r="AL1547" s="30"/>
      <c r="AM1547" s="30"/>
      <c r="AN1547" s="30"/>
      <c r="AO1547" s="30"/>
      <c r="AP1547" s="30"/>
      <c r="AQ1547" s="38"/>
      <c r="AR1547" s="30"/>
      <c r="AS1547" s="30"/>
      <c r="AT1547" s="29"/>
      <c r="AU1547" s="30"/>
      <c r="AV1547" s="30"/>
      <c r="AW1547" s="30"/>
      <c r="AX1547" s="29"/>
      <c r="AY1547" s="39"/>
      <c r="AZ1547" s="30"/>
      <c r="BA1547" s="30"/>
      <c r="BB1547" s="29"/>
      <c r="BC1547" s="52"/>
      <c r="BD1547" s="30"/>
      <c r="BE1547" s="29"/>
      <c r="BF1547" s="30"/>
      <c r="BG1547" s="30"/>
      <c r="BH1547" s="30"/>
      <c r="BI1547" s="30"/>
      <c r="BJ1547" s="30"/>
      <c r="BK1547" s="30"/>
      <c r="BL1547" s="30"/>
      <c r="BM1547" s="30"/>
      <c r="BN1547" s="30"/>
      <c r="BO1547" s="30"/>
      <c r="BP1547" s="30"/>
      <c r="BQ1547" s="30"/>
      <c r="BR1547" s="30"/>
      <c r="BS1547" s="30"/>
      <c r="BT1547" s="30"/>
      <c r="BU1547" s="30"/>
      <c r="BV1547" s="30"/>
      <c r="BW1547" s="30"/>
      <c r="BX1547" s="30"/>
      <c r="BY1547" s="30"/>
      <c r="BZ1547" s="30"/>
      <c r="CA1547" s="30"/>
      <c r="CB1547" s="30"/>
      <c r="CC1547" s="30"/>
      <c r="CD1547" s="30"/>
      <c r="CE1547" s="30"/>
      <c r="CF1547" s="30"/>
      <c r="CG1547" s="30"/>
      <c r="CH1547" s="30"/>
      <c r="CI1547" s="30"/>
      <c r="CJ1547" s="30"/>
      <c r="CK1547" s="30"/>
      <c r="CL1547" s="30"/>
      <c r="CM1547" s="30"/>
      <c r="CN1547" s="30"/>
      <c r="CO1547" s="30"/>
      <c r="CP1547" s="30"/>
      <c r="CQ1547" s="30"/>
      <c r="CR1547" s="30"/>
      <c r="CS1547" s="30"/>
      <c r="CT1547" s="30"/>
      <c r="CU1547" s="30"/>
      <c r="CV1547" s="30"/>
      <c r="CW1547" s="30"/>
      <c r="CX1547" s="30"/>
      <c r="CY1547" s="30"/>
      <c r="CZ1547" s="30"/>
      <c r="DA1547" s="30"/>
      <c r="DB1547" s="30"/>
      <c r="DC1547" s="30"/>
      <c r="DD1547" s="30"/>
      <c r="DE1547" s="30"/>
      <c r="DF1547" s="30"/>
      <c r="DG1547" s="30"/>
      <c r="DH1547" s="30"/>
      <c r="DI1547" s="30"/>
      <c r="DJ1547" s="30"/>
      <c r="DK1547" s="30"/>
      <c r="DL1547" s="30"/>
      <c r="DM1547" s="30"/>
      <c r="DN1547" s="30"/>
      <c r="DO1547" s="30"/>
      <c r="DP1547" s="30"/>
      <c r="DQ1547" s="30"/>
      <c r="DR1547" s="30"/>
      <c r="DS1547" s="30"/>
      <c r="DT1547" s="30"/>
      <c r="DU1547" s="30"/>
      <c r="DV1547" s="30"/>
      <c r="DW1547" s="30"/>
      <c r="DX1547" s="30"/>
      <c r="DY1547" s="30"/>
      <c r="DZ1547" s="30"/>
    </row>
    <row r="1548">
      <c r="A1548" s="30"/>
      <c r="B1548" s="42"/>
      <c r="C1548" s="43"/>
      <c r="D1548" s="30"/>
      <c r="E1548" s="28"/>
      <c r="F1548" s="30"/>
      <c r="G1548" s="30"/>
      <c r="H1548" s="30"/>
      <c r="I1548" s="30"/>
      <c r="J1548" s="28"/>
      <c r="K1548" s="30"/>
      <c r="L1548" s="30"/>
      <c r="M1548" s="30"/>
      <c r="N1548" s="30"/>
      <c r="O1548" s="28"/>
      <c r="P1548" s="30"/>
      <c r="Q1548" s="30"/>
      <c r="R1548" s="30"/>
      <c r="S1548" s="36"/>
      <c r="T1548" s="30"/>
      <c r="U1548" s="36"/>
      <c r="V1548" s="30"/>
      <c r="W1548" s="28"/>
      <c r="X1548" s="30"/>
      <c r="Y1548" s="30"/>
      <c r="Z1548" s="30"/>
      <c r="AA1548" s="30"/>
      <c r="AB1548" s="30"/>
      <c r="AC1548" s="28"/>
      <c r="AD1548" s="30"/>
      <c r="AE1548" s="30"/>
      <c r="AF1548" s="30"/>
      <c r="AG1548" s="29"/>
      <c r="AH1548" s="30"/>
      <c r="AI1548" s="36"/>
      <c r="AJ1548" s="30"/>
      <c r="AK1548" s="29"/>
      <c r="AL1548" s="30"/>
      <c r="AM1548" s="30"/>
      <c r="AN1548" s="30"/>
      <c r="AO1548" s="30"/>
      <c r="AP1548" s="30"/>
      <c r="AQ1548" s="38"/>
      <c r="AR1548" s="30"/>
      <c r="AS1548" s="30"/>
      <c r="AT1548" s="29"/>
      <c r="AU1548" s="30"/>
      <c r="AV1548" s="30"/>
      <c r="AW1548" s="30"/>
      <c r="AX1548" s="29"/>
      <c r="AY1548" s="39"/>
      <c r="AZ1548" s="30"/>
      <c r="BA1548" s="30"/>
      <c r="BB1548" s="29"/>
      <c r="BC1548" s="52"/>
      <c r="BD1548" s="30"/>
      <c r="BE1548" s="29"/>
      <c r="BF1548" s="30"/>
      <c r="BG1548" s="30"/>
      <c r="BH1548" s="30"/>
      <c r="BI1548" s="30"/>
      <c r="BJ1548" s="30"/>
      <c r="BK1548" s="30"/>
      <c r="BL1548" s="30"/>
      <c r="BM1548" s="30"/>
      <c r="BN1548" s="30"/>
      <c r="BO1548" s="30"/>
      <c r="BP1548" s="30"/>
      <c r="BQ1548" s="30"/>
      <c r="BR1548" s="30"/>
      <c r="BS1548" s="30"/>
      <c r="BT1548" s="30"/>
      <c r="BU1548" s="30"/>
      <c r="BV1548" s="30"/>
      <c r="BW1548" s="30"/>
      <c r="BX1548" s="30"/>
      <c r="BY1548" s="30"/>
      <c r="BZ1548" s="30"/>
      <c r="CA1548" s="30"/>
      <c r="CB1548" s="30"/>
      <c r="CC1548" s="30"/>
      <c r="CD1548" s="30"/>
      <c r="CE1548" s="30"/>
      <c r="CF1548" s="30"/>
      <c r="CG1548" s="30"/>
      <c r="CH1548" s="30"/>
      <c r="CI1548" s="30"/>
      <c r="CJ1548" s="30"/>
      <c r="CK1548" s="30"/>
      <c r="CL1548" s="30"/>
      <c r="CM1548" s="30"/>
      <c r="CN1548" s="30"/>
      <c r="CO1548" s="30"/>
      <c r="CP1548" s="30"/>
      <c r="CQ1548" s="30"/>
      <c r="CR1548" s="30"/>
      <c r="CS1548" s="30"/>
      <c r="CT1548" s="30"/>
      <c r="CU1548" s="30"/>
      <c r="CV1548" s="30"/>
      <c r="CW1548" s="30"/>
      <c r="CX1548" s="30"/>
      <c r="CY1548" s="30"/>
      <c r="CZ1548" s="30"/>
      <c r="DA1548" s="30"/>
      <c r="DB1548" s="30"/>
      <c r="DC1548" s="30"/>
      <c r="DD1548" s="30"/>
      <c r="DE1548" s="30"/>
      <c r="DF1548" s="30"/>
      <c r="DG1548" s="30"/>
      <c r="DH1548" s="30"/>
      <c r="DI1548" s="30"/>
      <c r="DJ1548" s="30"/>
      <c r="DK1548" s="30"/>
      <c r="DL1548" s="30"/>
      <c r="DM1548" s="30"/>
      <c r="DN1548" s="30"/>
      <c r="DO1548" s="30"/>
      <c r="DP1548" s="30"/>
      <c r="DQ1548" s="30"/>
      <c r="DR1548" s="30"/>
      <c r="DS1548" s="30"/>
      <c r="DT1548" s="30"/>
      <c r="DU1548" s="30"/>
      <c r="DV1548" s="30"/>
      <c r="DW1548" s="30"/>
      <c r="DX1548" s="30"/>
      <c r="DY1548" s="30"/>
      <c r="DZ1548" s="30"/>
    </row>
    <row r="1549">
      <c r="A1549" s="30"/>
      <c r="B1549" s="42"/>
      <c r="C1549" s="43"/>
      <c r="D1549" s="30"/>
      <c r="E1549" s="28"/>
      <c r="F1549" s="30"/>
      <c r="G1549" s="30"/>
      <c r="H1549" s="30"/>
      <c r="I1549" s="30"/>
      <c r="J1549" s="28"/>
      <c r="K1549" s="30"/>
      <c r="L1549" s="30"/>
      <c r="M1549" s="30"/>
      <c r="N1549" s="30"/>
      <c r="O1549" s="28"/>
      <c r="P1549" s="30"/>
      <c r="Q1549" s="30"/>
      <c r="R1549" s="30"/>
      <c r="S1549" s="36"/>
      <c r="T1549" s="30"/>
      <c r="U1549" s="36"/>
      <c r="V1549" s="30"/>
      <c r="W1549" s="28"/>
      <c r="X1549" s="30"/>
      <c r="Y1549" s="30"/>
      <c r="Z1549" s="30"/>
      <c r="AA1549" s="30"/>
      <c r="AB1549" s="30"/>
      <c r="AC1549" s="28"/>
      <c r="AD1549" s="30"/>
      <c r="AE1549" s="30"/>
      <c r="AF1549" s="30"/>
      <c r="AG1549" s="29"/>
      <c r="AH1549" s="30"/>
      <c r="AI1549" s="36"/>
      <c r="AJ1549" s="30"/>
      <c r="AK1549" s="29"/>
      <c r="AL1549" s="30"/>
      <c r="AM1549" s="30"/>
      <c r="AN1549" s="30"/>
      <c r="AO1549" s="30"/>
      <c r="AP1549" s="30"/>
      <c r="AQ1549" s="38"/>
      <c r="AR1549" s="30"/>
      <c r="AS1549" s="30"/>
      <c r="AT1549" s="29"/>
      <c r="AU1549" s="30"/>
      <c r="AV1549" s="30"/>
      <c r="AW1549" s="30"/>
      <c r="AX1549" s="29"/>
      <c r="AY1549" s="39"/>
      <c r="AZ1549" s="30"/>
      <c r="BA1549" s="30"/>
      <c r="BB1549" s="29"/>
      <c r="BC1549" s="52"/>
      <c r="BD1549" s="30"/>
      <c r="BE1549" s="29"/>
      <c r="BF1549" s="30"/>
      <c r="BG1549" s="30"/>
      <c r="BH1549" s="30"/>
      <c r="BI1549" s="30"/>
      <c r="BJ1549" s="30"/>
      <c r="BK1549" s="30"/>
      <c r="BL1549" s="30"/>
      <c r="BM1549" s="30"/>
      <c r="BN1549" s="30"/>
      <c r="BO1549" s="30"/>
      <c r="BP1549" s="30"/>
      <c r="BQ1549" s="30"/>
      <c r="BR1549" s="30"/>
      <c r="BS1549" s="30"/>
      <c r="BT1549" s="30"/>
      <c r="BU1549" s="30"/>
      <c r="BV1549" s="30"/>
      <c r="BW1549" s="30"/>
      <c r="BX1549" s="30"/>
      <c r="BY1549" s="30"/>
      <c r="BZ1549" s="30"/>
      <c r="CA1549" s="30"/>
      <c r="CB1549" s="30"/>
      <c r="CC1549" s="30"/>
      <c r="CD1549" s="30"/>
      <c r="CE1549" s="30"/>
      <c r="CF1549" s="30"/>
      <c r="CG1549" s="30"/>
      <c r="CH1549" s="30"/>
      <c r="CI1549" s="30"/>
      <c r="CJ1549" s="30"/>
      <c r="CK1549" s="30"/>
      <c r="CL1549" s="30"/>
      <c r="CM1549" s="30"/>
      <c r="CN1549" s="30"/>
      <c r="CO1549" s="30"/>
      <c r="CP1549" s="30"/>
      <c r="CQ1549" s="30"/>
      <c r="CR1549" s="30"/>
      <c r="CS1549" s="30"/>
      <c r="CT1549" s="30"/>
      <c r="CU1549" s="30"/>
      <c r="CV1549" s="30"/>
      <c r="CW1549" s="30"/>
      <c r="CX1549" s="30"/>
      <c r="CY1549" s="30"/>
      <c r="CZ1549" s="30"/>
      <c r="DA1549" s="30"/>
      <c r="DB1549" s="30"/>
      <c r="DC1549" s="30"/>
      <c r="DD1549" s="30"/>
      <c r="DE1549" s="30"/>
      <c r="DF1549" s="30"/>
      <c r="DG1549" s="30"/>
      <c r="DH1549" s="30"/>
      <c r="DI1549" s="30"/>
      <c r="DJ1549" s="30"/>
      <c r="DK1549" s="30"/>
      <c r="DL1549" s="30"/>
      <c r="DM1549" s="30"/>
      <c r="DN1549" s="30"/>
      <c r="DO1549" s="30"/>
      <c r="DP1549" s="30"/>
      <c r="DQ1549" s="30"/>
      <c r="DR1549" s="30"/>
      <c r="DS1549" s="30"/>
      <c r="DT1549" s="30"/>
      <c r="DU1549" s="30"/>
      <c r="DV1549" s="30"/>
      <c r="DW1549" s="30"/>
      <c r="DX1549" s="30"/>
      <c r="DY1549" s="30"/>
      <c r="DZ1549" s="30"/>
    </row>
    <row r="1550">
      <c r="A1550" s="30"/>
      <c r="B1550" s="42"/>
      <c r="C1550" s="43"/>
      <c r="D1550" s="30"/>
      <c r="E1550" s="28"/>
      <c r="F1550" s="30"/>
      <c r="G1550" s="30"/>
      <c r="H1550" s="30"/>
      <c r="I1550" s="30"/>
      <c r="J1550" s="28"/>
      <c r="K1550" s="30"/>
      <c r="L1550" s="30"/>
      <c r="M1550" s="30"/>
      <c r="N1550" s="30"/>
      <c r="O1550" s="28"/>
      <c r="P1550" s="30"/>
      <c r="Q1550" s="30"/>
      <c r="R1550" s="30"/>
      <c r="S1550" s="36"/>
      <c r="T1550" s="30"/>
      <c r="U1550" s="36"/>
      <c r="V1550" s="30"/>
      <c r="W1550" s="28"/>
      <c r="X1550" s="30"/>
      <c r="Y1550" s="30"/>
      <c r="Z1550" s="30"/>
      <c r="AA1550" s="30"/>
      <c r="AB1550" s="30"/>
      <c r="AC1550" s="28"/>
      <c r="AD1550" s="30"/>
      <c r="AE1550" s="30"/>
      <c r="AF1550" s="30"/>
      <c r="AG1550" s="29"/>
      <c r="AH1550" s="30"/>
      <c r="AI1550" s="36"/>
      <c r="AJ1550" s="30"/>
      <c r="AK1550" s="29"/>
      <c r="AL1550" s="30"/>
      <c r="AM1550" s="30"/>
      <c r="AN1550" s="30"/>
      <c r="AO1550" s="30"/>
      <c r="AP1550" s="30"/>
      <c r="AQ1550" s="38"/>
      <c r="AR1550" s="30"/>
      <c r="AS1550" s="30"/>
      <c r="AT1550" s="29"/>
      <c r="AU1550" s="30"/>
      <c r="AV1550" s="30"/>
      <c r="AW1550" s="30"/>
      <c r="AX1550" s="29"/>
      <c r="AY1550" s="39"/>
      <c r="AZ1550" s="30"/>
      <c r="BA1550" s="30"/>
      <c r="BB1550" s="29"/>
      <c r="BC1550" s="52"/>
      <c r="BD1550" s="30"/>
      <c r="BE1550" s="29"/>
      <c r="BF1550" s="30"/>
      <c r="BG1550" s="30"/>
      <c r="BH1550" s="30"/>
      <c r="BI1550" s="30"/>
      <c r="BJ1550" s="30"/>
      <c r="BK1550" s="30"/>
      <c r="BL1550" s="30"/>
      <c r="BM1550" s="30"/>
      <c r="BN1550" s="30"/>
      <c r="BO1550" s="30"/>
      <c r="BP1550" s="30"/>
      <c r="BQ1550" s="30"/>
      <c r="BR1550" s="30"/>
      <c r="BS1550" s="30"/>
      <c r="BT1550" s="30"/>
      <c r="BU1550" s="30"/>
      <c r="BV1550" s="30"/>
      <c r="BW1550" s="30"/>
      <c r="BX1550" s="30"/>
      <c r="BY1550" s="30"/>
      <c r="BZ1550" s="30"/>
      <c r="CA1550" s="30"/>
      <c r="CB1550" s="30"/>
      <c r="CC1550" s="30"/>
      <c r="CD1550" s="30"/>
      <c r="CE1550" s="30"/>
      <c r="CF1550" s="30"/>
      <c r="CG1550" s="30"/>
      <c r="CH1550" s="30"/>
      <c r="CI1550" s="30"/>
      <c r="CJ1550" s="30"/>
      <c r="CK1550" s="30"/>
      <c r="CL1550" s="30"/>
      <c r="CM1550" s="30"/>
      <c r="CN1550" s="30"/>
      <c r="CO1550" s="30"/>
      <c r="CP1550" s="30"/>
      <c r="CQ1550" s="30"/>
      <c r="CR1550" s="30"/>
      <c r="CS1550" s="30"/>
      <c r="CT1550" s="30"/>
      <c r="CU1550" s="30"/>
      <c r="CV1550" s="30"/>
      <c r="CW1550" s="30"/>
      <c r="CX1550" s="30"/>
      <c r="CY1550" s="30"/>
      <c r="CZ1550" s="30"/>
      <c r="DA1550" s="30"/>
      <c r="DB1550" s="30"/>
      <c r="DC1550" s="30"/>
      <c r="DD1550" s="30"/>
      <c r="DE1550" s="30"/>
      <c r="DF1550" s="30"/>
      <c r="DG1550" s="30"/>
      <c r="DH1550" s="30"/>
      <c r="DI1550" s="30"/>
      <c r="DJ1550" s="30"/>
      <c r="DK1550" s="30"/>
      <c r="DL1550" s="30"/>
      <c r="DM1550" s="30"/>
      <c r="DN1550" s="30"/>
      <c r="DO1550" s="30"/>
      <c r="DP1550" s="30"/>
      <c r="DQ1550" s="30"/>
      <c r="DR1550" s="30"/>
      <c r="DS1550" s="30"/>
      <c r="DT1550" s="30"/>
      <c r="DU1550" s="30"/>
      <c r="DV1550" s="30"/>
      <c r="DW1550" s="30"/>
      <c r="DX1550" s="30"/>
      <c r="DY1550" s="30"/>
      <c r="DZ1550" s="30"/>
    </row>
    <row r="1551">
      <c r="A1551" s="30"/>
      <c r="B1551" s="42"/>
      <c r="C1551" s="43"/>
      <c r="D1551" s="30"/>
      <c r="E1551" s="28"/>
      <c r="F1551" s="30"/>
      <c r="G1551" s="30"/>
      <c r="H1551" s="30"/>
      <c r="I1551" s="30"/>
      <c r="J1551" s="28"/>
      <c r="K1551" s="30"/>
      <c r="L1551" s="30"/>
      <c r="M1551" s="30"/>
      <c r="N1551" s="30"/>
      <c r="O1551" s="28"/>
      <c r="P1551" s="30"/>
      <c r="Q1551" s="30"/>
      <c r="R1551" s="30"/>
      <c r="S1551" s="36"/>
      <c r="T1551" s="30"/>
      <c r="U1551" s="36"/>
      <c r="V1551" s="30"/>
      <c r="W1551" s="28"/>
      <c r="X1551" s="30"/>
      <c r="Y1551" s="30"/>
      <c r="Z1551" s="30"/>
      <c r="AA1551" s="30"/>
      <c r="AB1551" s="30"/>
      <c r="AC1551" s="28"/>
      <c r="AD1551" s="30"/>
      <c r="AE1551" s="30"/>
      <c r="AF1551" s="30"/>
      <c r="AG1551" s="29"/>
      <c r="AH1551" s="30"/>
      <c r="AI1551" s="36"/>
      <c r="AJ1551" s="30"/>
      <c r="AK1551" s="29"/>
      <c r="AL1551" s="30"/>
      <c r="AM1551" s="30"/>
      <c r="AN1551" s="30"/>
      <c r="AO1551" s="30"/>
      <c r="AP1551" s="30"/>
      <c r="AQ1551" s="38"/>
      <c r="AR1551" s="30"/>
      <c r="AS1551" s="30"/>
      <c r="AT1551" s="29"/>
      <c r="AU1551" s="30"/>
      <c r="AV1551" s="30"/>
      <c r="AW1551" s="30"/>
      <c r="AX1551" s="29"/>
      <c r="AY1551" s="39"/>
      <c r="AZ1551" s="30"/>
      <c r="BA1551" s="30"/>
      <c r="BB1551" s="29"/>
      <c r="BC1551" s="52"/>
      <c r="BD1551" s="30"/>
      <c r="BE1551" s="29"/>
      <c r="BF1551" s="30"/>
      <c r="BG1551" s="30"/>
      <c r="BH1551" s="30"/>
      <c r="BI1551" s="30"/>
      <c r="BJ1551" s="30"/>
      <c r="BK1551" s="30"/>
      <c r="BL1551" s="30"/>
      <c r="BM1551" s="30"/>
      <c r="BN1551" s="30"/>
      <c r="BO1551" s="30"/>
      <c r="BP1551" s="30"/>
      <c r="BQ1551" s="30"/>
      <c r="BR1551" s="30"/>
      <c r="BS1551" s="30"/>
      <c r="BT1551" s="30"/>
      <c r="BU1551" s="30"/>
      <c r="BV1551" s="30"/>
      <c r="BW1551" s="30"/>
      <c r="BX1551" s="30"/>
      <c r="BY1551" s="30"/>
      <c r="BZ1551" s="30"/>
      <c r="CA1551" s="30"/>
      <c r="CB1551" s="30"/>
      <c r="CC1551" s="30"/>
      <c r="CD1551" s="30"/>
      <c r="CE1551" s="30"/>
      <c r="CF1551" s="30"/>
      <c r="CG1551" s="30"/>
      <c r="CH1551" s="30"/>
      <c r="CI1551" s="30"/>
      <c r="CJ1551" s="30"/>
      <c r="CK1551" s="30"/>
      <c r="CL1551" s="30"/>
      <c r="CM1551" s="30"/>
      <c r="CN1551" s="30"/>
      <c r="CO1551" s="30"/>
      <c r="CP1551" s="30"/>
      <c r="CQ1551" s="30"/>
      <c r="CR1551" s="30"/>
      <c r="CS1551" s="30"/>
      <c r="CT1551" s="30"/>
      <c r="CU1551" s="30"/>
      <c r="CV1551" s="30"/>
      <c r="CW1551" s="30"/>
      <c r="CX1551" s="30"/>
      <c r="CY1551" s="30"/>
      <c r="CZ1551" s="30"/>
      <c r="DA1551" s="30"/>
      <c r="DB1551" s="30"/>
      <c r="DC1551" s="30"/>
      <c r="DD1551" s="30"/>
      <c r="DE1551" s="30"/>
      <c r="DF1551" s="30"/>
      <c r="DG1551" s="30"/>
      <c r="DH1551" s="30"/>
      <c r="DI1551" s="30"/>
      <c r="DJ1551" s="30"/>
      <c r="DK1551" s="30"/>
      <c r="DL1551" s="30"/>
      <c r="DM1551" s="30"/>
      <c r="DN1551" s="30"/>
      <c r="DO1551" s="30"/>
      <c r="DP1551" s="30"/>
      <c r="DQ1551" s="30"/>
      <c r="DR1551" s="30"/>
      <c r="DS1551" s="30"/>
      <c r="DT1551" s="30"/>
      <c r="DU1551" s="30"/>
      <c r="DV1551" s="30"/>
      <c r="DW1551" s="30"/>
      <c r="DX1551" s="30"/>
      <c r="DY1551" s="30"/>
      <c r="DZ1551" s="30"/>
    </row>
    <row r="1552">
      <c r="A1552" s="30"/>
      <c r="B1552" s="42"/>
      <c r="C1552" s="43"/>
      <c r="D1552" s="30"/>
      <c r="E1552" s="28"/>
      <c r="F1552" s="30"/>
      <c r="G1552" s="30"/>
      <c r="H1552" s="30"/>
      <c r="I1552" s="30"/>
      <c r="J1552" s="28"/>
      <c r="K1552" s="30"/>
      <c r="L1552" s="30"/>
      <c r="M1552" s="30"/>
      <c r="N1552" s="30"/>
      <c r="O1552" s="28"/>
      <c r="P1552" s="30"/>
      <c r="Q1552" s="30"/>
      <c r="R1552" s="30"/>
      <c r="S1552" s="36"/>
      <c r="T1552" s="30"/>
      <c r="U1552" s="36"/>
      <c r="V1552" s="30"/>
      <c r="W1552" s="28"/>
      <c r="X1552" s="30"/>
      <c r="Y1552" s="30"/>
      <c r="Z1552" s="30"/>
      <c r="AA1552" s="30"/>
      <c r="AB1552" s="30"/>
      <c r="AC1552" s="28"/>
      <c r="AD1552" s="30"/>
      <c r="AE1552" s="30"/>
      <c r="AF1552" s="30"/>
      <c r="AG1552" s="29"/>
      <c r="AH1552" s="30"/>
      <c r="AI1552" s="36"/>
      <c r="AJ1552" s="30"/>
      <c r="AK1552" s="29"/>
      <c r="AL1552" s="30"/>
      <c r="AM1552" s="30"/>
      <c r="AN1552" s="30"/>
      <c r="AO1552" s="30"/>
      <c r="AP1552" s="30"/>
      <c r="AQ1552" s="38"/>
      <c r="AR1552" s="30"/>
      <c r="AS1552" s="30"/>
      <c r="AT1552" s="29"/>
      <c r="AU1552" s="30"/>
      <c r="AV1552" s="30"/>
      <c r="AW1552" s="30"/>
      <c r="AX1552" s="29"/>
      <c r="AY1552" s="39"/>
      <c r="AZ1552" s="30"/>
      <c r="BA1552" s="30"/>
      <c r="BB1552" s="29"/>
      <c r="BC1552" s="52"/>
      <c r="BD1552" s="30"/>
      <c r="BE1552" s="29"/>
      <c r="BF1552" s="30"/>
      <c r="BG1552" s="30"/>
      <c r="BH1552" s="30"/>
      <c r="BI1552" s="30"/>
      <c r="BJ1552" s="30"/>
      <c r="BK1552" s="30"/>
      <c r="BL1552" s="30"/>
      <c r="BM1552" s="30"/>
      <c r="BN1552" s="30"/>
      <c r="BO1552" s="30"/>
      <c r="BP1552" s="30"/>
      <c r="BQ1552" s="30"/>
      <c r="BR1552" s="30"/>
      <c r="BS1552" s="30"/>
      <c r="BT1552" s="30"/>
      <c r="BU1552" s="30"/>
      <c r="BV1552" s="30"/>
      <c r="BW1552" s="30"/>
      <c r="BX1552" s="30"/>
      <c r="BY1552" s="30"/>
      <c r="BZ1552" s="30"/>
      <c r="CA1552" s="30"/>
      <c r="CB1552" s="30"/>
      <c r="CC1552" s="30"/>
      <c r="CD1552" s="30"/>
      <c r="CE1552" s="30"/>
      <c r="CF1552" s="30"/>
      <c r="CG1552" s="30"/>
      <c r="CH1552" s="30"/>
      <c r="CI1552" s="30"/>
      <c r="CJ1552" s="30"/>
      <c r="CK1552" s="30"/>
      <c r="CL1552" s="30"/>
      <c r="CM1552" s="30"/>
      <c r="CN1552" s="30"/>
      <c r="CO1552" s="30"/>
      <c r="CP1552" s="30"/>
      <c r="CQ1552" s="30"/>
      <c r="CR1552" s="30"/>
      <c r="CS1552" s="30"/>
      <c r="CT1552" s="30"/>
      <c r="CU1552" s="30"/>
      <c r="CV1552" s="30"/>
      <c r="CW1552" s="30"/>
      <c r="CX1552" s="30"/>
      <c r="CY1552" s="30"/>
      <c r="CZ1552" s="30"/>
      <c r="DA1552" s="30"/>
      <c r="DB1552" s="30"/>
      <c r="DC1552" s="30"/>
      <c r="DD1552" s="30"/>
      <c r="DE1552" s="30"/>
      <c r="DF1552" s="30"/>
      <c r="DG1552" s="30"/>
      <c r="DH1552" s="30"/>
      <c r="DI1552" s="30"/>
      <c r="DJ1552" s="30"/>
      <c r="DK1552" s="30"/>
      <c r="DL1552" s="30"/>
      <c r="DM1552" s="30"/>
      <c r="DN1552" s="30"/>
      <c r="DO1552" s="30"/>
      <c r="DP1552" s="30"/>
      <c r="DQ1552" s="30"/>
      <c r="DR1552" s="30"/>
      <c r="DS1552" s="30"/>
      <c r="DT1552" s="30"/>
      <c r="DU1552" s="30"/>
      <c r="DV1552" s="30"/>
      <c r="DW1552" s="30"/>
      <c r="DX1552" s="30"/>
      <c r="DY1552" s="30"/>
      <c r="DZ1552" s="30"/>
    </row>
    <row r="1553">
      <c r="A1553" s="30"/>
      <c r="B1553" s="42"/>
      <c r="C1553" s="43"/>
      <c r="D1553" s="30"/>
      <c r="E1553" s="28"/>
      <c r="F1553" s="30"/>
      <c r="G1553" s="30"/>
      <c r="H1553" s="30"/>
      <c r="I1553" s="30"/>
      <c r="J1553" s="28"/>
      <c r="K1553" s="30"/>
      <c r="L1553" s="30"/>
      <c r="M1553" s="30"/>
      <c r="N1553" s="30"/>
      <c r="O1553" s="28"/>
      <c r="P1553" s="30"/>
      <c r="Q1553" s="30"/>
      <c r="R1553" s="30"/>
      <c r="S1553" s="36"/>
      <c r="T1553" s="30"/>
      <c r="U1553" s="36"/>
      <c r="V1553" s="30"/>
      <c r="W1553" s="28"/>
      <c r="X1553" s="30"/>
      <c r="Y1553" s="30"/>
      <c r="Z1553" s="30"/>
      <c r="AA1553" s="30"/>
      <c r="AB1553" s="30"/>
      <c r="AC1553" s="28"/>
      <c r="AD1553" s="30"/>
      <c r="AE1553" s="30"/>
      <c r="AF1553" s="30"/>
      <c r="AG1553" s="29"/>
      <c r="AH1553" s="30"/>
      <c r="AI1553" s="36"/>
      <c r="AJ1553" s="30"/>
      <c r="AK1553" s="29"/>
      <c r="AL1553" s="30"/>
      <c r="AM1553" s="30"/>
      <c r="AN1553" s="30"/>
      <c r="AO1553" s="30"/>
      <c r="AP1553" s="30"/>
      <c r="AQ1553" s="38"/>
      <c r="AR1553" s="30"/>
      <c r="AS1553" s="30"/>
      <c r="AT1553" s="29"/>
      <c r="AU1553" s="30"/>
      <c r="AV1553" s="30"/>
      <c r="AW1553" s="30"/>
      <c r="AX1553" s="29"/>
      <c r="AY1553" s="39"/>
      <c r="AZ1553" s="30"/>
      <c r="BA1553" s="30"/>
      <c r="BB1553" s="29"/>
      <c r="BC1553" s="52"/>
      <c r="BD1553" s="30"/>
      <c r="BE1553" s="29"/>
      <c r="BF1553" s="30"/>
      <c r="BG1553" s="30"/>
      <c r="BH1553" s="30"/>
      <c r="BI1553" s="30"/>
      <c r="BJ1553" s="30"/>
      <c r="BK1553" s="30"/>
      <c r="BL1553" s="30"/>
      <c r="BM1553" s="30"/>
      <c r="BN1553" s="30"/>
      <c r="BO1553" s="30"/>
      <c r="BP1553" s="30"/>
      <c r="BQ1553" s="30"/>
      <c r="BR1553" s="30"/>
      <c r="BS1553" s="30"/>
      <c r="BT1553" s="30"/>
      <c r="BU1553" s="30"/>
      <c r="BV1553" s="30"/>
      <c r="BW1553" s="30"/>
      <c r="BX1553" s="30"/>
      <c r="BY1553" s="30"/>
      <c r="BZ1553" s="30"/>
      <c r="CA1553" s="30"/>
      <c r="CB1553" s="30"/>
      <c r="CC1553" s="30"/>
      <c r="CD1553" s="30"/>
      <c r="CE1553" s="30"/>
      <c r="CF1553" s="30"/>
      <c r="CG1553" s="30"/>
      <c r="CH1553" s="30"/>
      <c r="CI1553" s="30"/>
      <c r="CJ1553" s="30"/>
      <c r="CK1553" s="30"/>
      <c r="CL1553" s="30"/>
      <c r="CM1553" s="30"/>
      <c r="CN1553" s="30"/>
      <c r="CO1553" s="30"/>
      <c r="CP1553" s="30"/>
      <c r="CQ1553" s="30"/>
      <c r="CR1553" s="30"/>
      <c r="CS1553" s="30"/>
      <c r="CT1553" s="30"/>
      <c r="CU1553" s="30"/>
      <c r="CV1553" s="30"/>
      <c r="CW1553" s="30"/>
      <c r="CX1553" s="30"/>
      <c r="CY1553" s="30"/>
      <c r="CZ1553" s="30"/>
      <c r="DA1553" s="30"/>
      <c r="DB1553" s="30"/>
      <c r="DC1553" s="30"/>
      <c r="DD1553" s="30"/>
      <c r="DE1553" s="30"/>
      <c r="DF1553" s="30"/>
      <c r="DG1553" s="30"/>
      <c r="DH1553" s="30"/>
      <c r="DI1553" s="30"/>
      <c r="DJ1553" s="30"/>
      <c r="DK1553" s="30"/>
      <c r="DL1553" s="30"/>
      <c r="DM1553" s="30"/>
      <c r="DN1553" s="30"/>
      <c r="DO1553" s="30"/>
      <c r="DP1553" s="30"/>
      <c r="DQ1553" s="30"/>
      <c r="DR1553" s="30"/>
      <c r="DS1553" s="30"/>
      <c r="DT1553" s="30"/>
      <c r="DU1553" s="30"/>
      <c r="DV1553" s="30"/>
      <c r="DW1553" s="30"/>
      <c r="DX1553" s="30"/>
      <c r="DY1553" s="30"/>
      <c r="DZ1553" s="30"/>
    </row>
    <row r="1554">
      <c r="A1554" s="30"/>
      <c r="B1554" s="42"/>
      <c r="C1554" s="43"/>
      <c r="D1554" s="30"/>
      <c r="E1554" s="28"/>
      <c r="F1554" s="30"/>
      <c r="G1554" s="30"/>
      <c r="H1554" s="30"/>
      <c r="I1554" s="30"/>
      <c r="J1554" s="28"/>
      <c r="K1554" s="30"/>
      <c r="L1554" s="30"/>
      <c r="M1554" s="30"/>
      <c r="N1554" s="30"/>
      <c r="O1554" s="28"/>
      <c r="P1554" s="30"/>
      <c r="Q1554" s="30"/>
      <c r="R1554" s="30"/>
      <c r="S1554" s="36"/>
      <c r="T1554" s="30"/>
      <c r="U1554" s="36"/>
      <c r="V1554" s="30"/>
      <c r="W1554" s="28"/>
      <c r="X1554" s="30"/>
      <c r="Y1554" s="30"/>
      <c r="Z1554" s="30"/>
      <c r="AA1554" s="30"/>
      <c r="AB1554" s="30"/>
      <c r="AC1554" s="28"/>
      <c r="AD1554" s="30"/>
      <c r="AE1554" s="30"/>
      <c r="AF1554" s="30"/>
      <c r="AG1554" s="29"/>
      <c r="AH1554" s="30"/>
      <c r="AI1554" s="36"/>
      <c r="AJ1554" s="30"/>
      <c r="AK1554" s="29"/>
      <c r="AL1554" s="30"/>
      <c r="AM1554" s="30"/>
      <c r="AN1554" s="30"/>
      <c r="AO1554" s="30"/>
      <c r="AP1554" s="30"/>
      <c r="AQ1554" s="38"/>
      <c r="AR1554" s="30"/>
      <c r="AS1554" s="30"/>
      <c r="AT1554" s="29"/>
      <c r="AU1554" s="30"/>
      <c r="AV1554" s="30"/>
      <c r="AW1554" s="30"/>
      <c r="AX1554" s="29"/>
      <c r="AY1554" s="39"/>
      <c r="AZ1554" s="30"/>
      <c r="BA1554" s="30"/>
      <c r="BB1554" s="29"/>
      <c r="BC1554" s="52"/>
      <c r="BD1554" s="30"/>
      <c r="BE1554" s="29"/>
      <c r="BF1554" s="30"/>
      <c r="BG1554" s="30"/>
      <c r="BH1554" s="30"/>
      <c r="BI1554" s="30"/>
      <c r="BJ1554" s="30"/>
      <c r="BK1554" s="30"/>
      <c r="BL1554" s="30"/>
      <c r="BM1554" s="30"/>
      <c r="BN1554" s="30"/>
      <c r="BO1554" s="30"/>
      <c r="BP1554" s="30"/>
      <c r="BQ1554" s="30"/>
      <c r="BR1554" s="30"/>
      <c r="BS1554" s="30"/>
      <c r="BT1554" s="30"/>
      <c r="BU1554" s="30"/>
      <c r="BV1554" s="30"/>
      <c r="BW1554" s="30"/>
      <c r="BX1554" s="30"/>
      <c r="BY1554" s="30"/>
      <c r="BZ1554" s="30"/>
      <c r="CA1554" s="30"/>
      <c r="CB1554" s="30"/>
      <c r="CC1554" s="30"/>
      <c r="CD1554" s="30"/>
      <c r="CE1554" s="30"/>
      <c r="CF1554" s="30"/>
      <c r="CG1554" s="30"/>
      <c r="CH1554" s="30"/>
      <c r="CI1554" s="30"/>
      <c r="CJ1554" s="30"/>
      <c r="CK1554" s="30"/>
      <c r="CL1554" s="30"/>
      <c r="CM1554" s="30"/>
      <c r="CN1554" s="30"/>
      <c r="CO1554" s="30"/>
      <c r="CP1554" s="30"/>
      <c r="CQ1554" s="30"/>
      <c r="CR1554" s="30"/>
      <c r="CS1554" s="30"/>
      <c r="CT1554" s="30"/>
      <c r="CU1554" s="30"/>
      <c r="CV1554" s="30"/>
      <c r="CW1554" s="30"/>
      <c r="CX1554" s="30"/>
      <c r="CY1554" s="30"/>
      <c r="CZ1554" s="30"/>
      <c r="DA1554" s="30"/>
      <c r="DB1554" s="30"/>
      <c r="DC1554" s="30"/>
      <c r="DD1554" s="30"/>
      <c r="DE1554" s="30"/>
      <c r="DF1554" s="30"/>
      <c r="DG1554" s="30"/>
      <c r="DH1554" s="30"/>
      <c r="DI1554" s="30"/>
      <c r="DJ1554" s="30"/>
      <c r="DK1554" s="30"/>
      <c r="DL1554" s="30"/>
      <c r="DM1554" s="30"/>
      <c r="DN1554" s="30"/>
      <c r="DO1554" s="30"/>
      <c r="DP1554" s="30"/>
      <c r="DQ1554" s="30"/>
      <c r="DR1554" s="30"/>
      <c r="DS1554" s="30"/>
      <c r="DT1554" s="30"/>
      <c r="DU1554" s="30"/>
      <c r="DV1554" s="30"/>
      <c r="DW1554" s="30"/>
      <c r="DX1554" s="30"/>
      <c r="DY1554" s="30"/>
      <c r="DZ1554" s="30"/>
    </row>
    <row r="1555">
      <c r="A1555" s="30"/>
      <c r="B1555" s="42"/>
      <c r="C1555" s="43"/>
      <c r="D1555" s="30"/>
      <c r="E1555" s="28"/>
      <c r="F1555" s="30"/>
      <c r="G1555" s="30"/>
      <c r="H1555" s="30"/>
      <c r="I1555" s="30"/>
      <c r="J1555" s="28"/>
      <c r="K1555" s="30"/>
      <c r="L1555" s="30"/>
      <c r="M1555" s="30"/>
      <c r="N1555" s="30"/>
      <c r="O1555" s="28"/>
      <c r="P1555" s="30"/>
      <c r="Q1555" s="30"/>
      <c r="R1555" s="30"/>
      <c r="S1555" s="36"/>
      <c r="T1555" s="30"/>
      <c r="U1555" s="36"/>
      <c r="V1555" s="30"/>
      <c r="W1555" s="28"/>
      <c r="X1555" s="30"/>
      <c r="Y1555" s="30"/>
      <c r="Z1555" s="30"/>
      <c r="AA1555" s="30"/>
      <c r="AB1555" s="30"/>
      <c r="AC1555" s="28"/>
      <c r="AD1555" s="30"/>
      <c r="AE1555" s="30"/>
      <c r="AF1555" s="30"/>
      <c r="AG1555" s="29"/>
      <c r="AH1555" s="30"/>
      <c r="AI1555" s="36"/>
      <c r="AJ1555" s="30"/>
      <c r="AK1555" s="29"/>
      <c r="AL1555" s="30"/>
      <c r="AM1555" s="30"/>
      <c r="AN1555" s="30"/>
      <c r="AO1555" s="30"/>
      <c r="AP1555" s="30"/>
      <c r="AQ1555" s="38"/>
      <c r="AR1555" s="30"/>
      <c r="AS1555" s="30"/>
      <c r="AT1555" s="29"/>
      <c r="AU1555" s="30"/>
      <c r="AV1555" s="30"/>
      <c r="AW1555" s="30"/>
      <c r="AX1555" s="29"/>
      <c r="AY1555" s="39"/>
      <c r="AZ1555" s="30"/>
      <c r="BA1555" s="30"/>
      <c r="BB1555" s="29"/>
      <c r="BC1555" s="52"/>
      <c r="BD1555" s="30"/>
      <c r="BE1555" s="29"/>
      <c r="BF1555" s="30"/>
      <c r="BG1555" s="30"/>
      <c r="BH1555" s="30"/>
      <c r="BI1555" s="30"/>
      <c r="BJ1555" s="30"/>
      <c r="BK1555" s="30"/>
      <c r="BL1555" s="30"/>
      <c r="BM1555" s="30"/>
      <c r="BN1555" s="30"/>
      <c r="BO1555" s="30"/>
      <c r="BP1555" s="30"/>
      <c r="BQ1555" s="30"/>
      <c r="BR1555" s="30"/>
      <c r="BS1555" s="30"/>
      <c r="BT1555" s="30"/>
      <c r="BU1555" s="30"/>
      <c r="BV1555" s="30"/>
      <c r="BW1555" s="30"/>
      <c r="BX1555" s="30"/>
      <c r="BY1555" s="30"/>
      <c r="BZ1555" s="30"/>
      <c r="CA1555" s="30"/>
      <c r="CB1555" s="30"/>
      <c r="CC1555" s="30"/>
      <c r="CD1555" s="30"/>
      <c r="CE1555" s="30"/>
      <c r="CF1555" s="30"/>
      <c r="CG1555" s="30"/>
      <c r="CH1555" s="30"/>
      <c r="CI1555" s="30"/>
      <c r="CJ1555" s="30"/>
      <c r="CK1555" s="30"/>
      <c r="CL1555" s="30"/>
      <c r="CM1555" s="30"/>
      <c r="CN1555" s="30"/>
      <c r="CO1555" s="30"/>
      <c r="CP1555" s="30"/>
      <c r="CQ1555" s="30"/>
      <c r="CR1555" s="30"/>
      <c r="CS1555" s="30"/>
      <c r="CT1555" s="30"/>
      <c r="CU1555" s="30"/>
      <c r="CV1555" s="30"/>
      <c r="CW1555" s="30"/>
      <c r="CX1555" s="30"/>
      <c r="CY1555" s="30"/>
      <c r="CZ1555" s="30"/>
      <c r="DA1555" s="30"/>
      <c r="DB1555" s="30"/>
      <c r="DC1555" s="30"/>
      <c r="DD1555" s="30"/>
      <c r="DE1555" s="30"/>
      <c r="DF1555" s="30"/>
      <c r="DG1555" s="30"/>
      <c r="DH1555" s="30"/>
      <c r="DI1555" s="30"/>
      <c r="DJ1555" s="30"/>
      <c r="DK1555" s="30"/>
      <c r="DL1555" s="30"/>
      <c r="DM1555" s="30"/>
      <c r="DN1555" s="30"/>
      <c r="DO1555" s="30"/>
      <c r="DP1555" s="30"/>
      <c r="DQ1555" s="30"/>
      <c r="DR1555" s="30"/>
      <c r="DS1555" s="30"/>
      <c r="DT1555" s="30"/>
      <c r="DU1555" s="30"/>
      <c r="DV1555" s="30"/>
      <c r="DW1555" s="30"/>
      <c r="DX1555" s="30"/>
      <c r="DY1555" s="30"/>
      <c r="DZ1555" s="30"/>
    </row>
    <row r="1556">
      <c r="A1556" s="30"/>
      <c r="B1556" s="42"/>
      <c r="C1556" s="43"/>
      <c r="D1556" s="30"/>
      <c r="E1556" s="28"/>
      <c r="F1556" s="30"/>
      <c r="G1556" s="30"/>
      <c r="H1556" s="30"/>
      <c r="I1556" s="30"/>
      <c r="J1556" s="28"/>
      <c r="K1556" s="30"/>
      <c r="L1556" s="30"/>
      <c r="M1556" s="30"/>
      <c r="N1556" s="30"/>
      <c r="O1556" s="28"/>
      <c r="P1556" s="30"/>
      <c r="Q1556" s="30"/>
      <c r="R1556" s="30"/>
      <c r="S1556" s="36"/>
      <c r="T1556" s="30"/>
      <c r="U1556" s="36"/>
      <c r="V1556" s="30"/>
      <c r="W1556" s="28"/>
      <c r="X1556" s="30"/>
      <c r="Y1556" s="30"/>
      <c r="Z1556" s="30"/>
      <c r="AA1556" s="30"/>
      <c r="AB1556" s="30"/>
      <c r="AC1556" s="28"/>
      <c r="AD1556" s="30"/>
      <c r="AE1556" s="30"/>
      <c r="AF1556" s="30"/>
      <c r="AG1556" s="29"/>
      <c r="AH1556" s="30"/>
      <c r="AI1556" s="36"/>
      <c r="AJ1556" s="30"/>
      <c r="AK1556" s="29"/>
      <c r="AL1556" s="30"/>
      <c r="AM1556" s="30"/>
      <c r="AN1556" s="30"/>
      <c r="AO1556" s="30"/>
      <c r="AP1556" s="30"/>
      <c r="AQ1556" s="38"/>
      <c r="AR1556" s="30"/>
      <c r="AS1556" s="30"/>
      <c r="AT1556" s="29"/>
      <c r="AU1556" s="30"/>
      <c r="AV1556" s="30"/>
      <c r="AW1556" s="30"/>
      <c r="AX1556" s="29"/>
      <c r="AY1556" s="39"/>
      <c r="AZ1556" s="30"/>
      <c r="BA1556" s="30"/>
      <c r="BB1556" s="29"/>
      <c r="BC1556" s="52"/>
      <c r="BD1556" s="30"/>
      <c r="BE1556" s="29"/>
      <c r="BF1556" s="30"/>
      <c r="BG1556" s="30"/>
      <c r="BH1556" s="30"/>
      <c r="BI1556" s="30"/>
      <c r="BJ1556" s="30"/>
      <c r="BK1556" s="30"/>
      <c r="BL1556" s="30"/>
      <c r="BM1556" s="30"/>
      <c r="BN1556" s="30"/>
      <c r="BO1556" s="30"/>
      <c r="BP1556" s="30"/>
      <c r="BQ1556" s="30"/>
      <c r="BR1556" s="30"/>
      <c r="BS1556" s="30"/>
      <c r="BT1556" s="30"/>
      <c r="BU1556" s="30"/>
      <c r="BV1556" s="30"/>
      <c r="BW1556" s="30"/>
      <c r="BX1556" s="30"/>
      <c r="BY1556" s="30"/>
      <c r="BZ1556" s="30"/>
      <c r="CA1556" s="30"/>
      <c r="CB1556" s="30"/>
      <c r="CC1556" s="30"/>
      <c r="CD1556" s="30"/>
      <c r="CE1556" s="30"/>
      <c r="CF1556" s="30"/>
      <c r="CG1556" s="30"/>
      <c r="CH1556" s="30"/>
      <c r="CI1556" s="30"/>
      <c r="CJ1556" s="30"/>
      <c r="CK1556" s="30"/>
      <c r="CL1556" s="30"/>
      <c r="CM1556" s="30"/>
      <c r="CN1556" s="30"/>
      <c r="CO1556" s="30"/>
      <c r="CP1556" s="30"/>
      <c r="CQ1556" s="30"/>
      <c r="CR1556" s="30"/>
      <c r="CS1556" s="30"/>
      <c r="CT1556" s="30"/>
      <c r="CU1556" s="30"/>
      <c r="CV1556" s="30"/>
      <c r="CW1556" s="30"/>
      <c r="CX1556" s="30"/>
      <c r="CY1556" s="30"/>
      <c r="CZ1556" s="30"/>
      <c r="DA1556" s="30"/>
      <c r="DB1556" s="30"/>
      <c r="DC1556" s="30"/>
      <c r="DD1556" s="30"/>
      <c r="DE1556" s="30"/>
      <c r="DF1556" s="30"/>
      <c r="DG1556" s="30"/>
      <c r="DH1556" s="30"/>
      <c r="DI1556" s="30"/>
      <c r="DJ1556" s="30"/>
      <c r="DK1556" s="30"/>
      <c r="DL1556" s="30"/>
      <c r="DM1556" s="30"/>
      <c r="DN1556" s="30"/>
      <c r="DO1556" s="30"/>
      <c r="DP1556" s="30"/>
      <c r="DQ1556" s="30"/>
      <c r="DR1556" s="30"/>
      <c r="DS1556" s="30"/>
      <c r="DT1556" s="30"/>
      <c r="DU1556" s="30"/>
      <c r="DV1556" s="30"/>
      <c r="DW1556" s="30"/>
      <c r="DX1556" s="30"/>
      <c r="DY1556" s="30"/>
      <c r="DZ1556" s="30"/>
    </row>
    <row r="1557">
      <c r="A1557" s="30"/>
      <c r="B1557" s="42"/>
      <c r="C1557" s="43"/>
      <c r="D1557" s="30"/>
      <c r="E1557" s="28"/>
      <c r="F1557" s="30"/>
      <c r="G1557" s="30"/>
      <c r="H1557" s="30"/>
      <c r="I1557" s="30"/>
      <c r="J1557" s="28"/>
      <c r="K1557" s="30"/>
      <c r="L1557" s="30"/>
      <c r="M1557" s="30"/>
      <c r="N1557" s="30"/>
      <c r="O1557" s="28"/>
      <c r="P1557" s="30"/>
      <c r="Q1557" s="30"/>
      <c r="R1557" s="30"/>
      <c r="S1557" s="36"/>
      <c r="T1557" s="30"/>
      <c r="U1557" s="36"/>
      <c r="V1557" s="30"/>
      <c r="W1557" s="28"/>
      <c r="X1557" s="30"/>
      <c r="Y1557" s="30"/>
      <c r="Z1557" s="30"/>
      <c r="AA1557" s="30"/>
      <c r="AB1557" s="30"/>
      <c r="AC1557" s="28"/>
      <c r="AD1557" s="30"/>
      <c r="AE1557" s="30"/>
      <c r="AF1557" s="30"/>
      <c r="AG1557" s="29"/>
      <c r="AH1557" s="30"/>
      <c r="AI1557" s="36"/>
      <c r="AJ1557" s="30"/>
      <c r="AK1557" s="29"/>
      <c r="AL1557" s="30"/>
      <c r="AM1557" s="30"/>
      <c r="AN1557" s="30"/>
      <c r="AO1557" s="30"/>
      <c r="AP1557" s="30"/>
      <c r="AQ1557" s="38"/>
      <c r="AR1557" s="30"/>
      <c r="AS1557" s="30"/>
      <c r="AT1557" s="29"/>
      <c r="AU1557" s="30"/>
      <c r="AV1557" s="30"/>
      <c r="AW1557" s="30"/>
      <c r="AX1557" s="29"/>
      <c r="AY1557" s="39"/>
      <c r="AZ1557" s="30"/>
      <c r="BA1557" s="30"/>
      <c r="BB1557" s="29"/>
      <c r="BC1557" s="52"/>
      <c r="BD1557" s="30"/>
      <c r="BE1557" s="29"/>
      <c r="BF1557" s="30"/>
      <c r="BG1557" s="30"/>
      <c r="BH1557" s="30"/>
      <c r="BI1557" s="30"/>
      <c r="BJ1557" s="30"/>
      <c r="BK1557" s="30"/>
      <c r="BL1557" s="30"/>
      <c r="BM1557" s="30"/>
      <c r="BN1557" s="30"/>
      <c r="BO1557" s="30"/>
      <c r="BP1557" s="30"/>
      <c r="BQ1557" s="30"/>
      <c r="BR1557" s="30"/>
      <c r="BS1557" s="30"/>
      <c r="BT1557" s="30"/>
      <c r="BU1557" s="30"/>
      <c r="BV1557" s="30"/>
      <c r="BW1557" s="30"/>
      <c r="BX1557" s="30"/>
      <c r="BY1557" s="30"/>
      <c r="BZ1557" s="30"/>
      <c r="CA1557" s="30"/>
      <c r="CB1557" s="30"/>
      <c r="CC1557" s="30"/>
      <c r="CD1557" s="30"/>
      <c r="CE1557" s="30"/>
      <c r="CF1557" s="30"/>
      <c r="CG1557" s="30"/>
      <c r="CH1557" s="30"/>
      <c r="CI1557" s="30"/>
      <c r="CJ1557" s="30"/>
      <c r="CK1557" s="30"/>
      <c r="CL1557" s="30"/>
      <c r="CM1557" s="30"/>
      <c r="CN1557" s="30"/>
      <c r="CO1557" s="30"/>
      <c r="CP1557" s="30"/>
      <c r="CQ1557" s="30"/>
      <c r="CR1557" s="30"/>
      <c r="CS1557" s="30"/>
      <c r="CT1557" s="30"/>
      <c r="CU1557" s="30"/>
      <c r="CV1557" s="30"/>
      <c r="CW1557" s="30"/>
      <c r="CX1557" s="30"/>
      <c r="CY1557" s="30"/>
      <c r="CZ1557" s="30"/>
      <c r="DA1557" s="30"/>
      <c r="DB1557" s="30"/>
      <c r="DC1557" s="30"/>
      <c r="DD1557" s="30"/>
      <c r="DE1557" s="30"/>
      <c r="DF1557" s="30"/>
      <c r="DG1557" s="30"/>
      <c r="DH1557" s="30"/>
      <c r="DI1557" s="30"/>
      <c r="DJ1557" s="30"/>
      <c r="DK1557" s="30"/>
      <c r="DL1557" s="30"/>
      <c r="DM1557" s="30"/>
      <c r="DN1557" s="30"/>
      <c r="DO1557" s="30"/>
      <c r="DP1557" s="30"/>
      <c r="DQ1557" s="30"/>
      <c r="DR1557" s="30"/>
      <c r="DS1557" s="30"/>
      <c r="DT1557" s="30"/>
      <c r="DU1557" s="30"/>
      <c r="DV1557" s="30"/>
      <c r="DW1557" s="30"/>
      <c r="DX1557" s="30"/>
      <c r="DY1557" s="30"/>
      <c r="DZ1557" s="30"/>
    </row>
    <row r="1558">
      <c r="A1558" s="30"/>
      <c r="B1558" s="42"/>
      <c r="C1558" s="43"/>
      <c r="D1558" s="30"/>
      <c r="E1558" s="28"/>
      <c r="F1558" s="30"/>
      <c r="G1558" s="30"/>
      <c r="H1558" s="30"/>
      <c r="I1558" s="30"/>
      <c r="J1558" s="28"/>
      <c r="K1558" s="30"/>
      <c r="L1558" s="30"/>
      <c r="M1558" s="30"/>
      <c r="N1558" s="30"/>
      <c r="O1558" s="28"/>
      <c r="P1558" s="30"/>
      <c r="Q1558" s="30"/>
      <c r="R1558" s="30"/>
      <c r="S1558" s="36"/>
      <c r="T1558" s="30"/>
      <c r="U1558" s="36"/>
      <c r="V1558" s="30"/>
      <c r="W1558" s="28"/>
      <c r="X1558" s="30"/>
      <c r="Y1558" s="30"/>
      <c r="Z1558" s="30"/>
      <c r="AA1558" s="30"/>
      <c r="AB1558" s="30"/>
      <c r="AC1558" s="28"/>
      <c r="AD1558" s="30"/>
      <c r="AE1558" s="30"/>
      <c r="AF1558" s="30"/>
      <c r="AG1558" s="29"/>
      <c r="AH1558" s="30"/>
      <c r="AI1558" s="36"/>
      <c r="AJ1558" s="30"/>
      <c r="AK1558" s="29"/>
      <c r="AL1558" s="30"/>
      <c r="AM1558" s="30"/>
      <c r="AN1558" s="30"/>
      <c r="AO1558" s="30"/>
      <c r="AP1558" s="30"/>
      <c r="AQ1558" s="38"/>
      <c r="AR1558" s="30"/>
      <c r="AS1558" s="30"/>
      <c r="AT1558" s="29"/>
      <c r="AU1558" s="30"/>
      <c r="AV1558" s="30"/>
      <c r="AW1558" s="30"/>
      <c r="AX1558" s="29"/>
      <c r="AY1558" s="39"/>
      <c r="AZ1558" s="30"/>
      <c r="BA1558" s="30"/>
      <c r="BB1558" s="29"/>
      <c r="BC1558" s="52"/>
      <c r="BD1558" s="30"/>
      <c r="BE1558" s="29"/>
      <c r="BF1558" s="30"/>
      <c r="BG1558" s="30"/>
      <c r="BH1558" s="30"/>
      <c r="BI1558" s="30"/>
      <c r="BJ1558" s="30"/>
      <c r="BK1558" s="30"/>
      <c r="BL1558" s="30"/>
      <c r="BM1558" s="30"/>
      <c r="BN1558" s="30"/>
      <c r="BO1558" s="30"/>
      <c r="BP1558" s="30"/>
      <c r="BQ1558" s="30"/>
      <c r="BR1558" s="30"/>
      <c r="BS1558" s="30"/>
      <c r="BT1558" s="30"/>
      <c r="BU1558" s="30"/>
      <c r="BV1558" s="30"/>
      <c r="BW1558" s="30"/>
      <c r="BX1558" s="30"/>
      <c r="BY1558" s="30"/>
      <c r="BZ1558" s="30"/>
      <c r="CA1558" s="30"/>
      <c r="CB1558" s="30"/>
      <c r="CC1558" s="30"/>
      <c r="CD1558" s="30"/>
      <c r="CE1558" s="30"/>
      <c r="CF1558" s="30"/>
      <c r="CG1558" s="30"/>
      <c r="CH1558" s="30"/>
      <c r="CI1558" s="30"/>
      <c r="CJ1558" s="30"/>
      <c r="CK1558" s="30"/>
      <c r="CL1558" s="30"/>
      <c r="CM1558" s="30"/>
      <c r="CN1558" s="30"/>
      <c r="CO1558" s="30"/>
      <c r="CP1558" s="30"/>
      <c r="CQ1558" s="30"/>
      <c r="CR1558" s="30"/>
      <c r="CS1558" s="30"/>
      <c r="CT1558" s="30"/>
      <c r="CU1558" s="30"/>
      <c r="CV1558" s="30"/>
      <c r="CW1558" s="30"/>
      <c r="CX1558" s="30"/>
      <c r="CY1558" s="30"/>
      <c r="CZ1558" s="30"/>
      <c r="DA1558" s="30"/>
      <c r="DB1558" s="30"/>
      <c r="DC1558" s="30"/>
      <c r="DD1558" s="30"/>
      <c r="DE1558" s="30"/>
      <c r="DF1558" s="30"/>
      <c r="DG1558" s="30"/>
      <c r="DH1558" s="30"/>
      <c r="DI1558" s="30"/>
      <c r="DJ1558" s="30"/>
      <c r="DK1558" s="30"/>
      <c r="DL1558" s="30"/>
      <c r="DM1558" s="30"/>
      <c r="DN1558" s="30"/>
      <c r="DO1558" s="30"/>
      <c r="DP1558" s="30"/>
      <c r="DQ1558" s="30"/>
      <c r="DR1558" s="30"/>
      <c r="DS1558" s="30"/>
      <c r="DT1558" s="30"/>
      <c r="DU1558" s="30"/>
      <c r="DV1558" s="30"/>
      <c r="DW1558" s="30"/>
      <c r="DX1558" s="30"/>
      <c r="DY1558" s="30"/>
      <c r="DZ1558" s="30"/>
    </row>
    <row r="1559">
      <c r="A1559" s="30"/>
      <c r="B1559" s="42"/>
      <c r="C1559" s="43"/>
      <c r="D1559" s="30"/>
      <c r="E1559" s="28"/>
      <c r="F1559" s="30"/>
      <c r="G1559" s="30"/>
      <c r="H1559" s="30"/>
      <c r="I1559" s="30"/>
      <c r="J1559" s="28"/>
      <c r="K1559" s="30"/>
      <c r="L1559" s="30"/>
      <c r="M1559" s="30"/>
      <c r="N1559" s="30"/>
      <c r="O1559" s="28"/>
      <c r="P1559" s="30"/>
      <c r="Q1559" s="30"/>
      <c r="R1559" s="30"/>
      <c r="S1559" s="36"/>
      <c r="T1559" s="30"/>
      <c r="U1559" s="36"/>
      <c r="V1559" s="30"/>
      <c r="W1559" s="28"/>
      <c r="X1559" s="30"/>
      <c r="Y1559" s="30"/>
      <c r="Z1559" s="30"/>
      <c r="AA1559" s="30"/>
      <c r="AB1559" s="30"/>
      <c r="AC1559" s="28"/>
      <c r="AD1559" s="30"/>
      <c r="AE1559" s="30"/>
      <c r="AF1559" s="30"/>
      <c r="AG1559" s="29"/>
      <c r="AH1559" s="30"/>
      <c r="AI1559" s="36"/>
      <c r="AJ1559" s="30"/>
      <c r="AK1559" s="29"/>
      <c r="AL1559" s="30"/>
      <c r="AM1559" s="30"/>
      <c r="AN1559" s="30"/>
      <c r="AO1559" s="30"/>
      <c r="AP1559" s="30"/>
      <c r="AQ1559" s="38"/>
      <c r="AR1559" s="30"/>
      <c r="AS1559" s="30"/>
      <c r="AT1559" s="29"/>
      <c r="AU1559" s="30"/>
      <c r="AV1559" s="30"/>
      <c r="AW1559" s="30"/>
      <c r="AX1559" s="29"/>
      <c r="AY1559" s="39"/>
      <c r="AZ1559" s="30"/>
      <c r="BA1559" s="30"/>
      <c r="BB1559" s="29"/>
      <c r="BC1559" s="52"/>
      <c r="BD1559" s="30"/>
      <c r="BE1559" s="29"/>
      <c r="BF1559" s="30"/>
      <c r="BG1559" s="30"/>
      <c r="BH1559" s="30"/>
      <c r="BI1559" s="30"/>
      <c r="BJ1559" s="30"/>
      <c r="BK1559" s="30"/>
      <c r="BL1559" s="30"/>
      <c r="BM1559" s="30"/>
      <c r="BN1559" s="30"/>
      <c r="BO1559" s="30"/>
      <c r="BP1559" s="30"/>
      <c r="BQ1559" s="30"/>
      <c r="BR1559" s="30"/>
      <c r="BS1559" s="30"/>
      <c r="BT1559" s="30"/>
      <c r="BU1559" s="30"/>
      <c r="BV1559" s="30"/>
      <c r="BW1559" s="30"/>
      <c r="BX1559" s="30"/>
      <c r="BY1559" s="30"/>
      <c r="BZ1559" s="30"/>
      <c r="CA1559" s="30"/>
      <c r="CB1559" s="30"/>
      <c r="CC1559" s="30"/>
      <c r="CD1559" s="30"/>
      <c r="CE1559" s="30"/>
      <c r="CF1559" s="30"/>
      <c r="CG1559" s="30"/>
      <c r="CH1559" s="30"/>
      <c r="CI1559" s="30"/>
      <c r="CJ1559" s="30"/>
      <c r="CK1559" s="30"/>
      <c r="CL1559" s="30"/>
      <c r="CM1559" s="30"/>
      <c r="CN1559" s="30"/>
      <c r="CO1559" s="30"/>
      <c r="CP1559" s="30"/>
      <c r="CQ1559" s="30"/>
      <c r="CR1559" s="30"/>
      <c r="CS1559" s="30"/>
      <c r="CT1559" s="30"/>
      <c r="CU1559" s="30"/>
      <c r="CV1559" s="30"/>
      <c r="CW1559" s="30"/>
      <c r="CX1559" s="30"/>
      <c r="CY1559" s="30"/>
      <c r="CZ1559" s="30"/>
      <c r="DA1559" s="30"/>
      <c r="DB1559" s="30"/>
      <c r="DC1559" s="30"/>
      <c r="DD1559" s="30"/>
      <c r="DE1559" s="30"/>
      <c r="DF1559" s="30"/>
      <c r="DG1559" s="30"/>
      <c r="DH1559" s="30"/>
      <c r="DI1559" s="30"/>
      <c r="DJ1559" s="30"/>
      <c r="DK1559" s="30"/>
      <c r="DL1559" s="30"/>
      <c r="DM1559" s="30"/>
      <c r="DN1559" s="30"/>
      <c r="DO1559" s="30"/>
      <c r="DP1559" s="30"/>
      <c r="DQ1559" s="30"/>
      <c r="DR1559" s="30"/>
      <c r="DS1559" s="30"/>
      <c r="DT1559" s="30"/>
      <c r="DU1559" s="30"/>
      <c r="DV1559" s="30"/>
      <c r="DW1559" s="30"/>
      <c r="DX1559" s="30"/>
      <c r="DY1559" s="30"/>
      <c r="DZ1559" s="30"/>
    </row>
    <row r="1560">
      <c r="A1560" s="30"/>
      <c r="B1560" s="42"/>
      <c r="C1560" s="43"/>
      <c r="D1560" s="30"/>
      <c r="E1560" s="28"/>
      <c r="F1560" s="30"/>
      <c r="G1560" s="30"/>
      <c r="H1560" s="30"/>
      <c r="I1560" s="30"/>
      <c r="J1560" s="28"/>
      <c r="K1560" s="30"/>
      <c r="L1560" s="30"/>
      <c r="M1560" s="30"/>
      <c r="N1560" s="30"/>
      <c r="O1560" s="28"/>
      <c r="P1560" s="30"/>
      <c r="Q1560" s="30"/>
      <c r="R1560" s="30"/>
      <c r="S1560" s="36"/>
      <c r="T1560" s="30"/>
      <c r="U1560" s="36"/>
      <c r="V1560" s="30"/>
      <c r="W1560" s="28"/>
      <c r="X1560" s="30"/>
      <c r="Y1560" s="30"/>
      <c r="Z1560" s="30"/>
      <c r="AA1560" s="30"/>
      <c r="AB1560" s="30"/>
      <c r="AC1560" s="28"/>
      <c r="AD1560" s="30"/>
      <c r="AE1560" s="30"/>
      <c r="AF1560" s="30"/>
      <c r="AG1560" s="29"/>
      <c r="AH1560" s="30"/>
      <c r="AI1560" s="36"/>
      <c r="AJ1560" s="30"/>
      <c r="AK1560" s="29"/>
      <c r="AL1560" s="30"/>
      <c r="AM1560" s="30"/>
      <c r="AN1560" s="30"/>
      <c r="AO1560" s="30"/>
      <c r="AP1560" s="30"/>
      <c r="AQ1560" s="38"/>
      <c r="AR1560" s="30"/>
      <c r="AS1560" s="30"/>
      <c r="AT1560" s="29"/>
      <c r="AU1560" s="30"/>
      <c r="AV1560" s="30"/>
      <c r="AW1560" s="30"/>
      <c r="AX1560" s="29"/>
      <c r="AY1560" s="39"/>
      <c r="AZ1560" s="30"/>
      <c r="BA1560" s="30"/>
      <c r="BB1560" s="29"/>
      <c r="BC1560" s="52"/>
      <c r="BD1560" s="30"/>
      <c r="BE1560" s="29"/>
      <c r="BF1560" s="30"/>
      <c r="BG1560" s="30"/>
      <c r="BH1560" s="30"/>
      <c r="BI1560" s="30"/>
      <c r="BJ1560" s="30"/>
      <c r="BK1560" s="30"/>
      <c r="BL1560" s="30"/>
      <c r="BM1560" s="30"/>
      <c r="BN1560" s="30"/>
      <c r="BO1560" s="30"/>
      <c r="BP1560" s="30"/>
      <c r="BQ1560" s="30"/>
      <c r="BR1560" s="30"/>
      <c r="BS1560" s="30"/>
      <c r="BT1560" s="30"/>
      <c r="BU1560" s="30"/>
      <c r="BV1560" s="30"/>
      <c r="BW1560" s="30"/>
      <c r="BX1560" s="30"/>
      <c r="BY1560" s="30"/>
      <c r="BZ1560" s="30"/>
      <c r="CA1560" s="30"/>
      <c r="CB1560" s="30"/>
      <c r="CC1560" s="30"/>
      <c r="CD1560" s="30"/>
      <c r="CE1560" s="30"/>
      <c r="CF1560" s="30"/>
      <c r="CG1560" s="30"/>
      <c r="CH1560" s="30"/>
      <c r="CI1560" s="30"/>
      <c r="CJ1560" s="30"/>
      <c r="CK1560" s="30"/>
      <c r="CL1560" s="30"/>
      <c r="CM1560" s="30"/>
      <c r="CN1560" s="30"/>
      <c r="CO1560" s="30"/>
      <c r="CP1560" s="30"/>
      <c r="CQ1560" s="30"/>
      <c r="CR1560" s="30"/>
      <c r="CS1560" s="30"/>
      <c r="CT1560" s="30"/>
      <c r="CU1560" s="30"/>
      <c r="CV1560" s="30"/>
      <c r="CW1560" s="30"/>
      <c r="CX1560" s="30"/>
      <c r="CY1560" s="30"/>
      <c r="CZ1560" s="30"/>
      <c r="DA1560" s="30"/>
      <c r="DB1560" s="30"/>
      <c r="DC1560" s="30"/>
      <c r="DD1560" s="30"/>
      <c r="DE1560" s="30"/>
      <c r="DF1560" s="30"/>
      <c r="DG1560" s="30"/>
      <c r="DH1560" s="30"/>
      <c r="DI1560" s="30"/>
      <c r="DJ1560" s="30"/>
      <c r="DK1560" s="30"/>
      <c r="DL1560" s="30"/>
      <c r="DM1560" s="30"/>
      <c r="DN1560" s="30"/>
      <c r="DO1560" s="30"/>
      <c r="DP1560" s="30"/>
      <c r="DQ1560" s="30"/>
      <c r="DR1560" s="30"/>
      <c r="DS1560" s="30"/>
      <c r="DT1560" s="30"/>
      <c r="DU1560" s="30"/>
      <c r="DV1560" s="30"/>
      <c r="DW1560" s="30"/>
      <c r="DX1560" s="30"/>
      <c r="DY1560" s="30"/>
      <c r="DZ1560" s="30"/>
    </row>
    <row r="1561">
      <c r="A1561" s="30"/>
      <c r="B1561" s="42"/>
      <c r="C1561" s="43"/>
      <c r="D1561" s="30"/>
      <c r="E1561" s="28"/>
      <c r="F1561" s="30"/>
      <c r="G1561" s="30"/>
      <c r="H1561" s="30"/>
      <c r="I1561" s="30"/>
      <c r="J1561" s="28"/>
      <c r="K1561" s="30"/>
      <c r="L1561" s="30"/>
      <c r="M1561" s="30"/>
      <c r="N1561" s="30"/>
      <c r="O1561" s="28"/>
      <c r="P1561" s="30"/>
      <c r="Q1561" s="30"/>
      <c r="R1561" s="30"/>
      <c r="S1561" s="36"/>
      <c r="T1561" s="30"/>
      <c r="U1561" s="36"/>
      <c r="V1561" s="30"/>
      <c r="W1561" s="28"/>
      <c r="X1561" s="30"/>
      <c r="Y1561" s="30"/>
      <c r="Z1561" s="30"/>
      <c r="AA1561" s="30"/>
      <c r="AB1561" s="30"/>
      <c r="AC1561" s="28"/>
      <c r="AD1561" s="30"/>
      <c r="AE1561" s="30"/>
      <c r="AF1561" s="30"/>
      <c r="AG1561" s="29"/>
      <c r="AH1561" s="30"/>
      <c r="AI1561" s="36"/>
      <c r="AJ1561" s="30"/>
      <c r="AK1561" s="29"/>
      <c r="AL1561" s="30"/>
      <c r="AM1561" s="30"/>
      <c r="AN1561" s="30"/>
      <c r="AO1561" s="30"/>
      <c r="AP1561" s="30"/>
      <c r="AQ1561" s="38"/>
      <c r="AR1561" s="30"/>
      <c r="AS1561" s="30"/>
      <c r="AT1561" s="29"/>
      <c r="AU1561" s="30"/>
      <c r="AV1561" s="30"/>
      <c r="AW1561" s="30"/>
      <c r="AX1561" s="29"/>
      <c r="AY1561" s="39"/>
      <c r="AZ1561" s="30"/>
      <c r="BA1561" s="30"/>
      <c r="BB1561" s="29"/>
      <c r="BC1561" s="52"/>
      <c r="BD1561" s="30"/>
      <c r="BE1561" s="29"/>
      <c r="BF1561" s="30"/>
      <c r="BG1561" s="30"/>
      <c r="BH1561" s="30"/>
      <c r="BI1561" s="30"/>
      <c r="BJ1561" s="30"/>
      <c r="BK1561" s="30"/>
      <c r="BL1561" s="30"/>
      <c r="BM1561" s="30"/>
      <c r="BN1561" s="30"/>
      <c r="BO1561" s="30"/>
      <c r="BP1561" s="30"/>
      <c r="BQ1561" s="30"/>
      <c r="BR1561" s="30"/>
      <c r="BS1561" s="30"/>
      <c r="BT1561" s="30"/>
      <c r="BU1561" s="30"/>
      <c r="BV1561" s="30"/>
      <c r="BW1561" s="30"/>
      <c r="BX1561" s="30"/>
      <c r="BY1561" s="30"/>
      <c r="BZ1561" s="30"/>
      <c r="CA1561" s="30"/>
      <c r="CB1561" s="30"/>
      <c r="CC1561" s="30"/>
      <c r="CD1561" s="30"/>
      <c r="CE1561" s="30"/>
      <c r="CF1561" s="30"/>
      <c r="CG1561" s="30"/>
      <c r="CH1561" s="30"/>
      <c r="CI1561" s="30"/>
      <c r="CJ1561" s="30"/>
      <c r="CK1561" s="30"/>
      <c r="CL1561" s="30"/>
      <c r="CM1561" s="30"/>
      <c r="CN1561" s="30"/>
      <c r="CO1561" s="30"/>
      <c r="CP1561" s="30"/>
      <c r="CQ1561" s="30"/>
      <c r="CR1561" s="30"/>
      <c r="CS1561" s="30"/>
      <c r="CT1561" s="30"/>
      <c r="CU1561" s="30"/>
      <c r="CV1561" s="30"/>
      <c r="CW1561" s="30"/>
      <c r="CX1561" s="30"/>
      <c r="CY1561" s="30"/>
      <c r="CZ1561" s="30"/>
      <c r="DA1561" s="30"/>
      <c r="DB1561" s="30"/>
      <c r="DC1561" s="30"/>
      <c r="DD1561" s="30"/>
      <c r="DE1561" s="30"/>
      <c r="DF1561" s="30"/>
      <c r="DG1561" s="30"/>
      <c r="DH1561" s="30"/>
      <c r="DI1561" s="30"/>
      <c r="DJ1561" s="30"/>
      <c r="DK1561" s="30"/>
      <c r="DL1561" s="30"/>
      <c r="DM1561" s="30"/>
      <c r="DN1561" s="30"/>
      <c r="DO1561" s="30"/>
      <c r="DP1561" s="30"/>
      <c r="DQ1561" s="30"/>
      <c r="DR1561" s="30"/>
      <c r="DS1561" s="30"/>
      <c r="DT1561" s="30"/>
      <c r="DU1561" s="30"/>
      <c r="DV1561" s="30"/>
      <c r="DW1561" s="30"/>
      <c r="DX1561" s="30"/>
      <c r="DY1561" s="30"/>
      <c r="DZ1561" s="30"/>
    </row>
    <row r="1562">
      <c r="A1562" s="30"/>
      <c r="B1562" s="42"/>
      <c r="C1562" s="43"/>
      <c r="D1562" s="30"/>
      <c r="E1562" s="28"/>
      <c r="F1562" s="30"/>
      <c r="G1562" s="30"/>
      <c r="H1562" s="30"/>
      <c r="I1562" s="30"/>
      <c r="J1562" s="28"/>
      <c r="K1562" s="30"/>
      <c r="L1562" s="30"/>
      <c r="M1562" s="30"/>
      <c r="N1562" s="30"/>
      <c r="O1562" s="28"/>
      <c r="P1562" s="30"/>
      <c r="Q1562" s="30"/>
      <c r="R1562" s="30"/>
      <c r="S1562" s="36"/>
      <c r="T1562" s="30"/>
      <c r="U1562" s="36"/>
      <c r="V1562" s="30"/>
      <c r="W1562" s="28"/>
      <c r="X1562" s="30"/>
      <c r="Y1562" s="30"/>
      <c r="Z1562" s="30"/>
      <c r="AA1562" s="30"/>
      <c r="AB1562" s="30"/>
      <c r="AC1562" s="28"/>
      <c r="AD1562" s="30"/>
      <c r="AE1562" s="30"/>
      <c r="AF1562" s="30"/>
      <c r="AG1562" s="29"/>
      <c r="AH1562" s="30"/>
      <c r="AI1562" s="36"/>
      <c r="AJ1562" s="30"/>
      <c r="AK1562" s="29"/>
      <c r="AL1562" s="30"/>
      <c r="AM1562" s="30"/>
      <c r="AN1562" s="30"/>
      <c r="AO1562" s="30"/>
      <c r="AP1562" s="30"/>
      <c r="AQ1562" s="38"/>
      <c r="AR1562" s="30"/>
      <c r="AS1562" s="30"/>
      <c r="AT1562" s="29"/>
      <c r="AU1562" s="30"/>
      <c r="AV1562" s="30"/>
      <c r="AW1562" s="30"/>
      <c r="AX1562" s="29"/>
      <c r="AY1562" s="39"/>
      <c r="AZ1562" s="30"/>
      <c r="BA1562" s="30"/>
      <c r="BB1562" s="29"/>
      <c r="BC1562" s="52"/>
      <c r="BD1562" s="30"/>
      <c r="BE1562" s="29"/>
      <c r="BF1562" s="30"/>
      <c r="BG1562" s="30"/>
      <c r="BH1562" s="30"/>
      <c r="BI1562" s="30"/>
      <c r="BJ1562" s="30"/>
      <c r="BK1562" s="30"/>
      <c r="BL1562" s="30"/>
      <c r="BM1562" s="30"/>
      <c r="BN1562" s="30"/>
      <c r="BO1562" s="30"/>
      <c r="BP1562" s="30"/>
      <c r="BQ1562" s="30"/>
      <c r="BR1562" s="30"/>
      <c r="BS1562" s="30"/>
      <c r="BT1562" s="30"/>
      <c r="BU1562" s="30"/>
      <c r="BV1562" s="30"/>
      <c r="BW1562" s="30"/>
      <c r="BX1562" s="30"/>
      <c r="BY1562" s="30"/>
      <c r="BZ1562" s="30"/>
      <c r="CA1562" s="30"/>
      <c r="CB1562" s="30"/>
      <c r="CC1562" s="30"/>
      <c r="CD1562" s="30"/>
      <c r="CE1562" s="30"/>
      <c r="CF1562" s="30"/>
      <c r="CG1562" s="30"/>
      <c r="CH1562" s="30"/>
      <c r="CI1562" s="30"/>
      <c r="CJ1562" s="30"/>
      <c r="CK1562" s="30"/>
      <c r="CL1562" s="30"/>
      <c r="CM1562" s="30"/>
      <c r="CN1562" s="30"/>
      <c r="CO1562" s="30"/>
      <c r="CP1562" s="30"/>
      <c r="CQ1562" s="30"/>
      <c r="CR1562" s="30"/>
      <c r="CS1562" s="30"/>
      <c r="CT1562" s="30"/>
      <c r="CU1562" s="30"/>
      <c r="CV1562" s="30"/>
      <c r="CW1562" s="30"/>
      <c r="CX1562" s="30"/>
      <c r="CY1562" s="30"/>
      <c r="CZ1562" s="30"/>
      <c r="DA1562" s="30"/>
      <c r="DB1562" s="30"/>
      <c r="DC1562" s="30"/>
      <c r="DD1562" s="30"/>
      <c r="DE1562" s="30"/>
      <c r="DF1562" s="30"/>
      <c r="DG1562" s="30"/>
      <c r="DH1562" s="30"/>
      <c r="DI1562" s="30"/>
      <c r="DJ1562" s="30"/>
      <c r="DK1562" s="30"/>
      <c r="DL1562" s="30"/>
      <c r="DM1562" s="30"/>
      <c r="DN1562" s="30"/>
      <c r="DO1562" s="30"/>
      <c r="DP1562" s="30"/>
      <c r="DQ1562" s="30"/>
      <c r="DR1562" s="30"/>
      <c r="DS1562" s="30"/>
      <c r="DT1562" s="30"/>
      <c r="DU1562" s="30"/>
      <c r="DV1562" s="30"/>
      <c r="DW1562" s="30"/>
      <c r="DX1562" s="30"/>
      <c r="DY1562" s="30"/>
      <c r="DZ1562" s="30"/>
    </row>
    <row r="1563">
      <c r="A1563" s="30"/>
      <c r="B1563" s="42"/>
      <c r="C1563" s="43"/>
      <c r="D1563" s="30"/>
      <c r="E1563" s="28"/>
      <c r="F1563" s="30"/>
      <c r="G1563" s="30"/>
      <c r="H1563" s="30"/>
      <c r="I1563" s="30"/>
      <c r="J1563" s="28"/>
      <c r="K1563" s="30"/>
      <c r="L1563" s="30"/>
      <c r="M1563" s="30"/>
      <c r="N1563" s="30"/>
      <c r="O1563" s="28"/>
      <c r="P1563" s="30"/>
      <c r="Q1563" s="30"/>
      <c r="R1563" s="30"/>
      <c r="S1563" s="36"/>
      <c r="T1563" s="30"/>
      <c r="U1563" s="36"/>
      <c r="V1563" s="30"/>
      <c r="W1563" s="28"/>
      <c r="X1563" s="30"/>
      <c r="Y1563" s="30"/>
      <c r="Z1563" s="30"/>
      <c r="AA1563" s="30"/>
      <c r="AB1563" s="30"/>
      <c r="AC1563" s="28"/>
      <c r="AD1563" s="30"/>
      <c r="AE1563" s="30"/>
      <c r="AF1563" s="30"/>
      <c r="AG1563" s="29"/>
      <c r="AH1563" s="30"/>
      <c r="AI1563" s="36"/>
      <c r="AJ1563" s="30"/>
      <c r="AK1563" s="29"/>
      <c r="AL1563" s="30"/>
      <c r="AM1563" s="30"/>
      <c r="AN1563" s="30"/>
      <c r="AO1563" s="30"/>
      <c r="AP1563" s="30"/>
      <c r="AQ1563" s="38"/>
      <c r="AR1563" s="30"/>
      <c r="AS1563" s="30"/>
      <c r="AT1563" s="29"/>
      <c r="AU1563" s="30"/>
      <c r="AV1563" s="30"/>
      <c r="AW1563" s="30"/>
      <c r="AX1563" s="29"/>
      <c r="AY1563" s="39"/>
      <c r="AZ1563" s="30"/>
      <c r="BA1563" s="30"/>
      <c r="BB1563" s="29"/>
      <c r="BC1563" s="52"/>
      <c r="BD1563" s="30"/>
      <c r="BE1563" s="29"/>
      <c r="BF1563" s="30"/>
      <c r="BG1563" s="30"/>
      <c r="BH1563" s="30"/>
      <c r="BI1563" s="30"/>
      <c r="BJ1563" s="30"/>
      <c r="BK1563" s="30"/>
      <c r="BL1563" s="30"/>
      <c r="BM1563" s="30"/>
      <c r="BN1563" s="30"/>
      <c r="BO1563" s="30"/>
      <c r="BP1563" s="30"/>
      <c r="BQ1563" s="30"/>
      <c r="BR1563" s="30"/>
      <c r="BS1563" s="30"/>
      <c r="BT1563" s="30"/>
      <c r="BU1563" s="30"/>
      <c r="BV1563" s="30"/>
      <c r="BW1563" s="30"/>
      <c r="BX1563" s="30"/>
      <c r="BY1563" s="30"/>
      <c r="BZ1563" s="30"/>
      <c r="CA1563" s="30"/>
      <c r="CB1563" s="30"/>
      <c r="CC1563" s="30"/>
      <c r="CD1563" s="30"/>
      <c r="CE1563" s="30"/>
      <c r="CF1563" s="30"/>
      <c r="CG1563" s="30"/>
      <c r="CH1563" s="30"/>
      <c r="CI1563" s="30"/>
      <c r="CJ1563" s="30"/>
      <c r="CK1563" s="30"/>
      <c r="CL1563" s="30"/>
      <c r="CM1563" s="30"/>
      <c r="CN1563" s="30"/>
      <c r="CO1563" s="30"/>
      <c r="CP1563" s="30"/>
      <c r="CQ1563" s="30"/>
      <c r="CR1563" s="30"/>
      <c r="CS1563" s="30"/>
      <c r="CT1563" s="30"/>
      <c r="CU1563" s="30"/>
      <c r="CV1563" s="30"/>
      <c r="CW1563" s="30"/>
      <c r="CX1563" s="30"/>
      <c r="CY1563" s="30"/>
      <c r="CZ1563" s="30"/>
      <c r="DA1563" s="30"/>
      <c r="DB1563" s="30"/>
      <c r="DC1563" s="30"/>
      <c r="DD1563" s="30"/>
      <c r="DE1563" s="30"/>
      <c r="DF1563" s="30"/>
      <c r="DG1563" s="30"/>
      <c r="DH1563" s="30"/>
      <c r="DI1563" s="30"/>
      <c r="DJ1563" s="30"/>
      <c r="DK1563" s="30"/>
      <c r="DL1563" s="30"/>
      <c r="DM1563" s="30"/>
      <c r="DN1563" s="30"/>
      <c r="DO1563" s="30"/>
      <c r="DP1563" s="30"/>
      <c r="DQ1563" s="30"/>
      <c r="DR1563" s="30"/>
      <c r="DS1563" s="30"/>
      <c r="DT1563" s="30"/>
      <c r="DU1563" s="30"/>
      <c r="DV1563" s="30"/>
      <c r="DW1563" s="30"/>
      <c r="DX1563" s="30"/>
      <c r="DY1563" s="30"/>
      <c r="DZ1563" s="30"/>
    </row>
    <row r="1564">
      <c r="A1564" s="30"/>
      <c r="B1564" s="42"/>
      <c r="C1564" s="43"/>
      <c r="D1564" s="30"/>
      <c r="E1564" s="28"/>
      <c r="F1564" s="30"/>
      <c r="G1564" s="30"/>
      <c r="H1564" s="30"/>
      <c r="I1564" s="30"/>
      <c r="J1564" s="28"/>
      <c r="K1564" s="30"/>
      <c r="L1564" s="30"/>
      <c r="M1564" s="30"/>
      <c r="N1564" s="30"/>
      <c r="O1564" s="28"/>
      <c r="P1564" s="30"/>
      <c r="Q1564" s="30"/>
      <c r="R1564" s="30"/>
      <c r="S1564" s="36"/>
      <c r="T1564" s="30"/>
      <c r="U1564" s="36"/>
      <c r="V1564" s="30"/>
      <c r="W1564" s="28"/>
      <c r="X1564" s="30"/>
      <c r="Y1564" s="30"/>
      <c r="Z1564" s="30"/>
      <c r="AA1564" s="30"/>
      <c r="AB1564" s="30"/>
      <c r="AC1564" s="28"/>
      <c r="AD1564" s="30"/>
      <c r="AE1564" s="30"/>
      <c r="AF1564" s="30"/>
      <c r="AG1564" s="29"/>
      <c r="AH1564" s="30"/>
      <c r="AI1564" s="36"/>
      <c r="AJ1564" s="30"/>
      <c r="AK1564" s="29"/>
      <c r="AL1564" s="30"/>
      <c r="AM1564" s="30"/>
      <c r="AN1564" s="30"/>
      <c r="AO1564" s="30"/>
      <c r="AP1564" s="30"/>
      <c r="AQ1564" s="38"/>
      <c r="AR1564" s="30"/>
      <c r="AS1564" s="30"/>
      <c r="AT1564" s="29"/>
      <c r="AU1564" s="30"/>
      <c r="AV1564" s="30"/>
      <c r="AW1564" s="30"/>
      <c r="AX1564" s="29"/>
      <c r="AY1564" s="39"/>
      <c r="AZ1564" s="30"/>
      <c r="BA1564" s="30"/>
      <c r="BB1564" s="29"/>
      <c r="BC1564" s="52"/>
      <c r="BD1564" s="30"/>
      <c r="BE1564" s="29"/>
      <c r="BF1564" s="30"/>
      <c r="BG1564" s="30"/>
      <c r="BH1564" s="30"/>
      <c r="BI1564" s="30"/>
      <c r="BJ1564" s="30"/>
      <c r="BK1564" s="30"/>
      <c r="BL1564" s="30"/>
      <c r="BM1564" s="30"/>
      <c r="BN1564" s="30"/>
      <c r="BO1564" s="30"/>
      <c r="BP1564" s="30"/>
      <c r="BQ1564" s="30"/>
      <c r="BR1564" s="30"/>
      <c r="BS1564" s="30"/>
      <c r="BT1564" s="30"/>
      <c r="BU1564" s="30"/>
      <c r="BV1564" s="30"/>
      <c r="BW1564" s="30"/>
      <c r="BX1564" s="30"/>
      <c r="BY1564" s="30"/>
      <c r="BZ1564" s="30"/>
      <c r="CA1564" s="30"/>
      <c r="CB1564" s="30"/>
      <c r="CC1564" s="30"/>
      <c r="CD1564" s="30"/>
      <c r="CE1564" s="30"/>
      <c r="CF1564" s="30"/>
      <c r="CG1564" s="30"/>
      <c r="CH1564" s="30"/>
      <c r="CI1564" s="30"/>
      <c r="CJ1564" s="30"/>
      <c r="CK1564" s="30"/>
      <c r="CL1564" s="30"/>
      <c r="CM1564" s="30"/>
      <c r="CN1564" s="30"/>
      <c r="CO1564" s="30"/>
      <c r="CP1564" s="30"/>
      <c r="CQ1564" s="30"/>
      <c r="CR1564" s="30"/>
      <c r="CS1564" s="30"/>
      <c r="CT1564" s="30"/>
      <c r="CU1564" s="30"/>
      <c r="CV1564" s="30"/>
      <c r="CW1564" s="30"/>
      <c r="CX1564" s="30"/>
      <c r="CY1564" s="30"/>
      <c r="CZ1564" s="30"/>
      <c r="DA1564" s="30"/>
      <c r="DB1564" s="30"/>
      <c r="DC1564" s="30"/>
      <c r="DD1564" s="30"/>
      <c r="DE1564" s="30"/>
      <c r="DF1564" s="30"/>
      <c r="DG1564" s="30"/>
      <c r="DH1564" s="30"/>
      <c r="DI1564" s="30"/>
      <c r="DJ1564" s="30"/>
      <c r="DK1564" s="30"/>
      <c r="DL1564" s="30"/>
      <c r="DM1564" s="30"/>
      <c r="DN1564" s="30"/>
      <c r="DO1564" s="30"/>
      <c r="DP1564" s="30"/>
      <c r="DQ1564" s="30"/>
      <c r="DR1564" s="30"/>
      <c r="DS1564" s="30"/>
      <c r="DT1564" s="30"/>
      <c r="DU1564" s="30"/>
      <c r="DV1564" s="30"/>
      <c r="DW1564" s="30"/>
      <c r="DX1564" s="30"/>
      <c r="DY1564" s="30"/>
      <c r="DZ1564" s="30"/>
    </row>
    <row r="1565">
      <c r="A1565" s="30"/>
      <c r="B1565" s="42"/>
      <c r="C1565" s="43"/>
      <c r="D1565" s="30"/>
      <c r="E1565" s="28"/>
      <c r="F1565" s="30"/>
      <c r="G1565" s="30"/>
      <c r="H1565" s="30"/>
      <c r="I1565" s="30"/>
      <c r="J1565" s="28"/>
      <c r="K1565" s="30"/>
      <c r="L1565" s="30"/>
      <c r="M1565" s="30"/>
      <c r="N1565" s="30"/>
      <c r="O1565" s="28"/>
      <c r="P1565" s="30"/>
      <c r="Q1565" s="30"/>
      <c r="R1565" s="30"/>
      <c r="S1565" s="36"/>
      <c r="T1565" s="30"/>
      <c r="U1565" s="36"/>
      <c r="V1565" s="30"/>
      <c r="W1565" s="28"/>
      <c r="X1565" s="30"/>
      <c r="Y1565" s="30"/>
      <c r="Z1565" s="30"/>
      <c r="AA1565" s="30"/>
      <c r="AB1565" s="30"/>
      <c r="AC1565" s="28"/>
      <c r="AD1565" s="30"/>
      <c r="AE1565" s="30"/>
      <c r="AF1565" s="30"/>
      <c r="AG1565" s="29"/>
      <c r="AH1565" s="30"/>
      <c r="AI1565" s="36"/>
      <c r="AJ1565" s="30"/>
      <c r="AK1565" s="29"/>
      <c r="AL1565" s="30"/>
      <c r="AM1565" s="30"/>
      <c r="AN1565" s="30"/>
      <c r="AO1565" s="30"/>
      <c r="AP1565" s="30"/>
      <c r="AQ1565" s="38"/>
      <c r="AR1565" s="30"/>
      <c r="AS1565" s="30"/>
      <c r="AT1565" s="29"/>
      <c r="AU1565" s="30"/>
      <c r="AV1565" s="30"/>
      <c r="AW1565" s="30"/>
      <c r="AX1565" s="29"/>
      <c r="AY1565" s="39"/>
      <c r="AZ1565" s="30"/>
      <c r="BA1565" s="30"/>
      <c r="BB1565" s="29"/>
      <c r="BC1565" s="52"/>
      <c r="BD1565" s="30"/>
      <c r="BE1565" s="29"/>
      <c r="BF1565" s="30"/>
      <c r="BG1565" s="30"/>
      <c r="BH1565" s="30"/>
      <c r="BI1565" s="30"/>
      <c r="BJ1565" s="30"/>
      <c r="BK1565" s="30"/>
      <c r="BL1565" s="30"/>
      <c r="BM1565" s="30"/>
      <c r="BN1565" s="30"/>
      <c r="BO1565" s="30"/>
      <c r="BP1565" s="30"/>
      <c r="BQ1565" s="30"/>
      <c r="BR1565" s="30"/>
      <c r="BS1565" s="30"/>
      <c r="BT1565" s="30"/>
      <c r="BU1565" s="30"/>
      <c r="BV1565" s="30"/>
      <c r="BW1565" s="30"/>
      <c r="BX1565" s="30"/>
      <c r="BY1565" s="30"/>
      <c r="BZ1565" s="30"/>
      <c r="CA1565" s="30"/>
      <c r="CB1565" s="30"/>
      <c r="CC1565" s="30"/>
      <c r="CD1565" s="30"/>
      <c r="CE1565" s="30"/>
      <c r="CF1565" s="30"/>
      <c r="CG1565" s="30"/>
      <c r="CH1565" s="30"/>
      <c r="CI1565" s="30"/>
      <c r="CJ1565" s="30"/>
      <c r="CK1565" s="30"/>
      <c r="CL1565" s="30"/>
      <c r="CM1565" s="30"/>
      <c r="CN1565" s="30"/>
      <c r="CO1565" s="30"/>
      <c r="CP1565" s="30"/>
      <c r="CQ1565" s="30"/>
      <c r="CR1565" s="30"/>
      <c r="CS1565" s="30"/>
      <c r="CT1565" s="30"/>
      <c r="CU1565" s="30"/>
      <c r="CV1565" s="30"/>
      <c r="CW1565" s="30"/>
      <c r="CX1565" s="30"/>
      <c r="CY1565" s="30"/>
      <c r="CZ1565" s="30"/>
      <c r="DA1565" s="30"/>
      <c r="DB1565" s="30"/>
      <c r="DC1565" s="30"/>
      <c r="DD1565" s="30"/>
      <c r="DE1565" s="30"/>
      <c r="DF1565" s="30"/>
      <c r="DG1565" s="30"/>
      <c r="DH1565" s="30"/>
      <c r="DI1565" s="30"/>
      <c r="DJ1565" s="30"/>
      <c r="DK1565" s="30"/>
      <c r="DL1565" s="30"/>
      <c r="DM1565" s="30"/>
      <c r="DN1565" s="30"/>
      <c r="DO1565" s="30"/>
      <c r="DP1565" s="30"/>
      <c r="DQ1565" s="30"/>
      <c r="DR1565" s="30"/>
      <c r="DS1565" s="30"/>
      <c r="DT1565" s="30"/>
      <c r="DU1565" s="30"/>
      <c r="DV1565" s="30"/>
      <c r="DW1565" s="30"/>
      <c r="DX1565" s="30"/>
      <c r="DY1565" s="30"/>
      <c r="DZ1565" s="30"/>
    </row>
    <row r="1566">
      <c r="A1566" s="30"/>
      <c r="B1566" s="42"/>
      <c r="C1566" s="43"/>
      <c r="D1566" s="30"/>
      <c r="E1566" s="28"/>
      <c r="F1566" s="30"/>
      <c r="G1566" s="30"/>
      <c r="H1566" s="30"/>
      <c r="I1566" s="30"/>
      <c r="J1566" s="28"/>
      <c r="K1566" s="30"/>
      <c r="L1566" s="30"/>
      <c r="M1566" s="30"/>
      <c r="N1566" s="30"/>
      <c r="O1566" s="28"/>
      <c r="P1566" s="30"/>
      <c r="Q1566" s="30"/>
      <c r="R1566" s="30"/>
      <c r="S1566" s="36"/>
      <c r="T1566" s="30"/>
      <c r="U1566" s="36"/>
      <c r="V1566" s="30"/>
      <c r="W1566" s="28"/>
      <c r="X1566" s="30"/>
      <c r="Y1566" s="30"/>
      <c r="Z1566" s="30"/>
      <c r="AA1566" s="30"/>
      <c r="AB1566" s="30"/>
      <c r="AC1566" s="28"/>
      <c r="AD1566" s="30"/>
      <c r="AE1566" s="30"/>
      <c r="AF1566" s="30"/>
      <c r="AG1566" s="29"/>
      <c r="AH1566" s="30"/>
      <c r="AI1566" s="36"/>
      <c r="AJ1566" s="30"/>
      <c r="AK1566" s="29"/>
      <c r="AL1566" s="30"/>
      <c r="AM1566" s="30"/>
      <c r="AN1566" s="30"/>
      <c r="AO1566" s="30"/>
      <c r="AP1566" s="30"/>
      <c r="AQ1566" s="38"/>
      <c r="AR1566" s="30"/>
      <c r="AS1566" s="30"/>
      <c r="AT1566" s="29"/>
      <c r="AU1566" s="30"/>
      <c r="AV1566" s="30"/>
      <c r="AW1566" s="30"/>
      <c r="AX1566" s="29"/>
      <c r="AY1566" s="39"/>
      <c r="AZ1566" s="30"/>
      <c r="BA1566" s="30"/>
      <c r="BB1566" s="29"/>
      <c r="BC1566" s="52"/>
      <c r="BD1566" s="30"/>
      <c r="BE1566" s="29"/>
      <c r="BF1566" s="30"/>
      <c r="BG1566" s="30"/>
      <c r="BH1566" s="30"/>
      <c r="BI1566" s="30"/>
      <c r="BJ1566" s="30"/>
      <c r="BK1566" s="30"/>
      <c r="BL1566" s="30"/>
      <c r="BM1566" s="30"/>
      <c r="BN1566" s="30"/>
      <c r="BO1566" s="30"/>
      <c r="BP1566" s="30"/>
      <c r="BQ1566" s="30"/>
      <c r="BR1566" s="30"/>
      <c r="BS1566" s="30"/>
      <c r="BT1566" s="30"/>
      <c r="BU1566" s="30"/>
      <c r="BV1566" s="30"/>
      <c r="BW1566" s="30"/>
      <c r="BX1566" s="30"/>
      <c r="BY1566" s="30"/>
      <c r="BZ1566" s="30"/>
      <c r="CA1566" s="30"/>
      <c r="CB1566" s="30"/>
      <c r="CC1566" s="30"/>
      <c r="CD1566" s="30"/>
      <c r="CE1566" s="30"/>
      <c r="CF1566" s="30"/>
      <c r="CG1566" s="30"/>
      <c r="CH1566" s="30"/>
      <c r="CI1566" s="30"/>
      <c r="CJ1566" s="30"/>
      <c r="CK1566" s="30"/>
      <c r="CL1566" s="30"/>
      <c r="CM1566" s="30"/>
      <c r="CN1566" s="30"/>
      <c r="CO1566" s="30"/>
      <c r="CP1566" s="30"/>
      <c r="CQ1566" s="30"/>
      <c r="CR1566" s="30"/>
      <c r="CS1566" s="30"/>
      <c r="CT1566" s="30"/>
      <c r="CU1566" s="30"/>
      <c r="CV1566" s="30"/>
      <c r="CW1566" s="30"/>
      <c r="CX1566" s="30"/>
      <c r="CY1566" s="30"/>
      <c r="CZ1566" s="30"/>
      <c r="DA1566" s="30"/>
      <c r="DB1566" s="30"/>
      <c r="DC1566" s="30"/>
      <c r="DD1566" s="30"/>
      <c r="DE1566" s="30"/>
      <c r="DF1566" s="30"/>
      <c r="DG1566" s="30"/>
      <c r="DH1566" s="30"/>
      <c r="DI1566" s="30"/>
      <c r="DJ1566" s="30"/>
      <c r="DK1566" s="30"/>
      <c r="DL1566" s="30"/>
      <c r="DM1566" s="30"/>
      <c r="DN1566" s="30"/>
      <c r="DO1566" s="30"/>
      <c r="DP1566" s="30"/>
      <c r="DQ1566" s="30"/>
      <c r="DR1566" s="30"/>
      <c r="DS1566" s="30"/>
      <c r="DT1566" s="30"/>
      <c r="DU1566" s="30"/>
      <c r="DV1566" s="30"/>
      <c r="DW1566" s="30"/>
      <c r="DX1566" s="30"/>
      <c r="DY1566" s="30"/>
      <c r="DZ1566" s="30"/>
    </row>
    <row r="1567">
      <c r="A1567" s="30"/>
      <c r="B1567" s="42"/>
      <c r="C1567" s="43"/>
      <c r="D1567" s="30"/>
      <c r="E1567" s="28"/>
      <c r="F1567" s="30"/>
      <c r="G1567" s="30"/>
      <c r="H1567" s="30"/>
      <c r="I1567" s="30"/>
      <c r="J1567" s="28"/>
      <c r="K1567" s="30"/>
      <c r="L1567" s="30"/>
      <c r="M1567" s="30"/>
      <c r="N1567" s="30"/>
      <c r="O1567" s="28"/>
      <c r="P1567" s="30"/>
      <c r="Q1567" s="30"/>
      <c r="R1567" s="30"/>
      <c r="S1567" s="36"/>
      <c r="T1567" s="30"/>
      <c r="U1567" s="36"/>
      <c r="V1567" s="30"/>
      <c r="W1567" s="28"/>
      <c r="X1567" s="30"/>
      <c r="Y1567" s="30"/>
      <c r="Z1567" s="30"/>
      <c r="AA1567" s="30"/>
      <c r="AB1567" s="30"/>
      <c r="AC1567" s="28"/>
      <c r="AD1567" s="30"/>
      <c r="AE1567" s="30"/>
      <c r="AF1567" s="30"/>
      <c r="AG1567" s="29"/>
      <c r="AH1567" s="30"/>
      <c r="AI1567" s="36"/>
      <c r="AJ1567" s="30"/>
      <c r="AK1567" s="29"/>
      <c r="AL1567" s="30"/>
      <c r="AM1567" s="30"/>
      <c r="AN1567" s="30"/>
      <c r="AO1567" s="30"/>
      <c r="AP1567" s="30"/>
      <c r="AQ1567" s="38"/>
      <c r="AR1567" s="30"/>
      <c r="AS1567" s="30"/>
      <c r="AT1567" s="29"/>
      <c r="AU1567" s="30"/>
      <c r="AV1567" s="30"/>
      <c r="AW1567" s="30"/>
      <c r="AX1567" s="29"/>
      <c r="AY1567" s="39"/>
      <c r="AZ1567" s="30"/>
      <c r="BA1567" s="30"/>
      <c r="BB1567" s="29"/>
      <c r="BC1567" s="52"/>
      <c r="BD1567" s="30"/>
      <c r="BE1567" s="29"/>
      <c r="BF1567" s="30"/>
      <c r="BG1567" s="30"/>
      <c r="BH1567" s="30"/>
      <c r="BI1567" s="30"/>
      <c r="BJ1567" s="30"/>
      <c r="BK1567" s="30"/>
      <c r="BL1567" s="30"/>
      <c r="BM1567" s="30"/>
      <c r="BN1567" s="30"/>
      <c r="BO1567" s="30"/>
      <c r="BP1567" s="30"/>
      <c r="BQ1567" s="30"/>
      <c r="BR1567" s="30"/>
      <c r="BS1567" s="30"/>
      <c r="BT1567" s="30"/>
      <c r="BU1567" s="30"/>
      <c r="BV1567" s="30"/>
      <c r="BW1567" s="30"/>
      <c r="BX1567" s="30"/>
      <c r="BY1567" s="30"/>
      <c r="BZ1567" s="30"/>
      <c r="CA1567" s="30"/>
      <c r="CB1567" s="30"/>
      <c r="CC1567" s="30"/>
      <c r="CD1567" s="30"/>
      <c r="CE1567" s="30"/>
      <c r="CF1567" s="30"/>
      <c r="CG1567" s="30"/>
      <c r="CH1567" s="30"/>
      <c r="CI1567" s="30"/>
      <c r="CJ1567" s="30"/>
      <c r="CK1567" s="30"/>
      <c r="CL1567" s="30"/>
      <c r="CM1567" s="30"/>
      <c r="CN1567" s="30"/>
      <c r="CO1567" s="30"/>
      <c r="CP1567" s="30"/>
      <c r="CQ1567" s="30"/>
      <c r="CR1567" s="30"/>
      <c r="CS1567" s="30"/>
      <c r="CT1567" s="30"/>
      <c r="CU1567" s="30"/>
      <c r="CV1567" s="30"/>
      <c r="CW1567" s="30"/>
      <c r="CX1567" s="30"/>
      <c r="CY1567" s="30"/>
      <c r="CZ1567" s="30"/>
      <c r="DA1567" s="30"/>
      <c r="DB1567" s="30"/>
      <c r="DC1567" s="30"/>
      <c r="DD1567" s="30"/>
      <c r="DE1567" s="30"/>
      <c r="DF1567" s="30"/>
      <c r="DG1567" s="30"/>
      <c r="DH1567" s="30"/>
      <c r="DI1567" s="30"/>
      <c r="DJ1567" s="30"/>
      <c r="DK1567" s="30"/>
      <c r="DL1567" s="30"/>
      <c r="DM1567" s="30"/>
      <c r="DN1567" s="30"/>
      <c r="DO1567" s="30"/>
      <c r="DP1567" s="30"/>
      <c r="DQ1567" s="30"/>
      <c r="DR1567" s="30"/>
      <c r="DS1567" s="30"/>
      <c r="DT1567" s="30"/>
      <c r="DU1567" s="30"/>
      <c r="DV1567" s="30"/>
      <c r="DW1567" s="30"/>
      <c r="DX1567" s="30"/>
      <c r="DY1567" s="30"/>
      <c r="DZ1567" s="30"/>
    </row>
    <row r="1568">
      <c r="A1568" s="30"/>
      <c r="B1568" s="42"/>
      <c r="C1568" s="43"/>
      <c r="D1568" s="30"/>
      <c r="E1568" s="28"/>
      <c r="F1568" s="30"/>
      <c r="G1568" s="30"/>
      <c r="H1568" s="30"/>
      <c r="I1568" s="30"/>
      <c r="J1568" s="28"/>
      <c r="K1568" s="30"/>
      <c r="L1568" s="30"/>
      <c r="M1568" s="30"/>
      <c r="N1568" s="30"/>
      <c r="O1568" s="28"/>
      <c r="P1568" s="30"/>
      <c r="Q1568" s="30"/>
      <c r="R1568" s="30"/>
      <c r="S1568" s="36"/>
      <c r="T1568" s="30"/>
      <c r="U1568" s="36"/>
      <c r="V1568" s="30"/>
      <c r="W1568" s="28"/>
      <c r="X1568" s="30"/>
      <c r="Y1568" s="30"/>
      <c r="Z1568" s="30"/>
      <c r="AA1568" s="30"/>
      <c r="AB1568" s="30"/>
      <c r="AC1568" s="28"/>
      <c r="AD1568" s="30"/>
      <c r="AE1568" s="30"/>
      <c r="AF1568" s="30"/>
      <c r="AG1568" s="29"/>
      <c r="AH1568" s="30"/>
      <c r="AI1568" s="36"/>
      <c r="AJ1568" s="30"/>
      <c r="AK1568" s="29"/>
      <c r="AL1568" s="30"/>
      <c r="AM1568" s="30"/>
      <c r="AN1568" s="30"/>
      <c r="AO1568" s="30"/>
      <c r="AP1568" s="30"/>
      <c r="AQ1568" s="38"/>
      <c r="AR1568" s="30"/>
      <c r="AS1568" s="30"/>
      <c r="AT1568" s="29"/>
      <c r="AU1568" s="30"/>
      <c r="AV1568" s="30"/>
      <c r="AW1568" s="30"/>
      <c r="AX1568" s="29"/>
      <c r="AY1568" s="39"/>
      <c r="AZ1568" s="30"/>
      <c r="BA1568" s="30"/>
      <c r="BB1568" s="29"/>
      <c r="BC1568" s="52"/>
      <c r="BD1568" s="30"/>
      <c r="BE1568" s="29"/>
      <c r="BF1568" s="30"/>
      <c r="BG1568" s="30"/>
      <c r="BH1568" s="30"/>
      <c r="BI1568" s="30"/>
      <c r="BJ1568" s="30"/>
      <c r="BK1568" s="30"/>
      <c r="BL1568" s="30"/>
      <c r="BM1568" s="30"/>
      <c r="BN1568" s="30"/>
      <c r="BO1568" s="30"/>
      <c r="BP1568" s="30"/>
      <c r="BQ1568" s="30"/>
      <c r="BR1568" s="30"/>
      <c r="BS1568" s="30"/>
      <c r="BT1568" s="30"/>
      <c r="BU1568" s="30"/>
      <c r="BV1568" s="30"/>
      <c r="BW1568" s="30"/>
      <c r="BX1568" s="30"/>
      <c r="BY1568" s="30"/>
      <c r="BZ1568" s="30"/>
      <c r="CA1568" s="30"/>
      <c r="CB1568" s="30"/>
      <c r="CC1568" s="30"/>
      <c r="CD1568" s="30"/>
      <c r="CE1568" s="30"/>
      <c r="CF1568" s="30"/>
      <c r="CG1568" s="30"/>
      <c r="CH1568" s="30"/>
      <c r="CI1568" s="30"/>
      <c r="CJ1568" s="30"/>
      <c r="CK1568" s="30"/>
      <c r="CL1568" s="30"/>
      <c r="CM1568" s="30"/>
      <c r="CN1568" s="30"/>
      <c r="CO1568" s="30"/>
      <c r="CP1568" s="30"/>
      <c r="CQ1568" s="30"/>
      <c r="CR1568" s="30"/>
      <c r="CS1568" s="30"/>
      <c r="CT1568" s="30"/>
      <c r="CU1568" s="30"/>
      <c r="CV1568" s="30"/>
      <c r="CW1568" s="30"/>
      <c r="CX1568" s="30"/>
      <c r="CY1568" s="30"/>
      <c r="CZ1568" s="30"/>
      <c r="DA1568" s="30"/>
      <c r="DB1568" s="30"/>
      <c r="DC1568" s="30"/>
      <c r="DD1568" s="30"/>
      <c r="DE1568" s="30"/>
      <c r="DF1568" s="30"/>
      <c r="DG1568" s="30"/>
      <c r="DH1568" s="30"/>
      <c r="DI1568" s="30"/>
      <c r="DJ1568" s="30"/>
      <c r="DK1568" s="30"/>
      <c r="DL1568" s="30"/>
      <c r="DM1568" s="30"/>
      <c r="DN1568" s="30"/>
      <c r="DO1568" s="30"/>
      <c r="DP1568" s="30"/>
      <c r="DQ1568" s="30"/>
      <c r="DR1568" s="30"/>
      <c r="DS1568" s="30"/>
      <c r="DT1568" s="30"/>
      <c r="DU1568" s="30"/>
      <c r="DV1568" s="30"/>
      <c r="DW1568" s="30"/>
      <c r="DX1568" s="30"/>
      <c r="DY1568" s="30"/>
      <c r="DZ1568" s="30"/>
    </row>
    <row r="1569">
      <c r="A1569" s="30"/>
      <c r="B1569" s="42"/>
      <c r="C1569" s="43"/>
      <c r="D1569" s="30"/>
      <c r="E1569" s="28"/>
      <c r="F1569" s="30"/>
      <c r="G1569" s="30"/>
      <c r="H1569" s="30"/>
      <c r="I1569" s="30"/>
      <c r="J1569" s="28"/>
      <c r="K1569" s="30"/>
      <c r="L1569" s="30"/>
      <c r="M1569" s="30"/>
      <c r="N1569" s="30"/>
      <c r="O1569" s="28"/>
      <c r="P1569" s="30"/>
      <c r="Q1569" s="30"/>
      <c r="R1569" s="30"/>
      <c r="S1569" s="36"/>
      <c r="T1569" s="30"/>
      <c r="U1569" s="36"/>
      <c r="V1569" s="30"/>
      <c r="W1569" s="28"/>
      <c r="X1569" s="30"/>
      <c r="Y1569" s="30"/>
      <c r="Z1569" s="30"/>
      <c r="AA1569" s="30"/>
      <c r="AB1569" s="30"/>
      <c r="AC1569" s="28"/>
      <c r="AD1569" s="30"/>
      <c r="AE1569" s="30"/>
      <c r="AF1569" s="30"/>
      <c r="AG1569" s="29"/>
      <c r="AH1569" s="30"/>
      <c r="AI1569" s="36"/>
      <c r="AJ1569" s="30"/>
      <c r="AK1569" s="29"/>
      <c r="AL1569" s="30"/>
      <c r="AM1569" s="30"/>
      <c r="AN1569" s="30"/>
      <c r="AO1569" s="30"/>
      <c r="AP1569" s="30"/>
      <c r="AQ1569" s="38"/>
      <c r="AR1569" s="30"/>
      <c r="AS1569" s="30"/>
      <c r="AT1569" s="29"/>
      <c r="AU1569" s="30"/>
      <c r="AV1569" s="30"/>
      <c r="AW1569" s="30"/>
      <c r="AX1569" s="29"/>
      <c r="AY1569" s="39"/>
      <c r="AZ1569" s="30"/>
      <c r="BA1569" s="30"/>
      <c r="BB1569" s="29"/>
      <c r="BC1569" s="52"/>
      <c r="BD1569" s="30"/>
      <c r="BE1569" s="29"/>
      <c r="BF1569" s="30"/>
      <c r="BG1569" s="30"/>
      <c r="BH1569" s="30"/>
      <c r="BI1569" s="30"/>
      <c r="BJ1569" s="30"/>
      <c r="BK1569" s="30"/>
      <c r="BL1569" s="30"/>
      <c r="BM1569" s="30"/>
      <c r="BN1569" s="30"/>
      <c r="BO1569" s="30"/>
      <c r="BP1569" s="30"/>
      <c r="BQ1569" s="30"/>
      <c r="BR1569" s="30"/>
      <c r="BS1569" s="30"/>
      <c r="BT1569" s="30"/>
      <c r="BU1569" s="30"/>
      <c r="BV1569" s="30"/>
      <c r="BW1569" s="30"/>
      <c r="BX1569" s="30"/>
      <c r="BY1569" s="30"/>
      <c r="BZ1569" s="30"/>
      <c r="CA1569" s="30"/>
      <c r="CB1569" s="30"/>
      <c r="CC1569" s="30"/>
      <c r="CD1569" s="30"/>
      <c r="CE1569" s="30"/>
      <c r="CF1569" s="30"/>
      <c r="CG1569" s="30"/>
      <c r="CH1569" s="30"/>
      <c r="CI1569" s="30"/>
      <c r="CJ1569" s="30"/>
      <c r="CK1569" s="30"/>
      <c r="CL1569" s="30"/>
      <c r="CM1569" s="30"/>
      <c r="CN1569" s="30"/>
      <c r="CO1569" s="30"/>
      <c r="CP1569" s="30"/>
      <c r="CQ1569" s="30"/>
      <c r="CR1569" s="30"/>
      <c r="CS1569" s="30"/>
      <c r="CT1569" s="30"/>
      <c r="CU1569" s="30"/>
      <c r="CV1569" s="30"/>
      <c r="CW1569" s="30"/>
      <c r="CX1569" s="30"/>
      <c r="CY1569" s="30"/>
      <c r="CZ1569" s="30"/>
      <c r="DA1569" s="30"/>
      <c r="DB1569" s="30"/>
      <c r="DC1569" s="30"/>
      <c r="DD1569" s="30"/>
      <c r="DE1569" s="30"/>
      <c r="DF1569" s="30"/>
      <c r="DG1569" s="30"/>
      <c r="DH1569" s="30"/>
      <c r="DI1569" s="30"/>
      <c r="DJ1569" s="30"/>
      <c r="DK1569" s="30"/>
      <c r="DL1569" s="30"/>
      <c r="DM1569" s="30"/>
      <c r="DN1569" s="30"/>
      <c r="DO1569" s="30"/>
      <c r="DP1569" s="30"/>
      <c r="DQ1569" s="30"/>
      <c r="DR1569" s="30"/>
      <c r="DS1569" s="30"/>
      <c r="DT1569" s="30"/>
      <c r="DU1569" s="30"/>
      <c r="DV1569" s="30"/>
      <c r="DW1569" s="30"/>
      <c r="DX1569" s="30"/>
      <c r="DY1569" s="30"/>
      <c r="DZ1569" s="30"/>
    </row>
    <row r="1570">
      <c r="A1570" s="30"/>
      <c r="B1570" s="42"/>
      <c r="C1570" s="43"/>
      <c r="D1570" s="30"/>
      <c r="E1570" s="28"/>
      <c r="F1570" s="30"/>
      <c r="G1570" s="30"/>
      <c r="H1570" s="30"/>
      <c r="I1570" s="30"/>
      <c r="J1570" s="28"/>
      <c r="K1570" s="30"/>
      <c r="L1570" s="30"/>
      <c r="M1570" s="30"/>
      <c r="N1570" s="30"/>
      <c r="O1570" s="28"/>
      <c r="P1570" s="30"/>
      <c r="Q1570" s="30"/>
      <c r="R1570" s="30"/>
      <c r="S1570" s="36"/>
      <c r="T1570" s="30"/>
      <c r="U1570" s="36"/>
      <c r="V1570" s="30"/>
      <c r="W1570" s="28"/>
      <c r="X1570" s="30"/>
      <c r="Y1570" s="30"/>
      <c r="Z1570" s="30"/>
      <c r="AA1570" s="30"/>
      <c r="AB1570" s="30"/>
      <c r="AC1570" s="28"/>
      <c r="AD1570" s="30"/>
      <c r="AE1570" s="30"/>
      <c r="AF1570" s="30"/>
      <c r="AG1570" s="29"/>
      <c r="AH1570" s="30"/>
      <c r="AI1570" s="36"/>
      <c r="AJ1570" s="30"/>
      <c r="AK1570" s="29"/>
      <c r="AL1570" s="30"/>
      <c r="AM1570" s="30"/>
      <c r="AN1570" s="30"/>
      <c r="AO1570" s="30"/>
      <c r="AP1570" s="30"/>
      <c r="AQ1570" s="38"/>
      <c r="AR1570" s="30"/>
      <c r="AS1570" s="30"/>
      <c r="AT1570" s="29"/>
      <c r="AU1570" s="30"/>
      <c r="AV1570" s="30"/>
      <c r="AW1570" s="30"/>
      <c r="AX1570" s="29"/>
      <c r="AY1570" s="39"/>
      <c r="AZ1570" s="30"/>
      <c r="BA1570" s="30"/>
      <c r="BB1570" s="29"/>
      <c r="BC1570" s="52"/>
      <c r="BD1570" s="30"/>
      <c r="BE1570" s="29"/>
      <c r="BF1570" s="30"/>
      <c r="BG1570" s="30"/>
      <c r="BH1570" s="30"/>
      <c r="BI1570" s="30"/>
      <c r="BJ1570" s="30"/>
      <c r="BK1570" s="30"/>
      <c r="BL1570" s="30"/>
      <c r="BM1570" s="30"/>
      <c r="BN1570" s="30"/>
      <c r="BO1570" s="30"/>
      <c r="BP1570" s="30"/>
      <c r="BQ1570" s="30"/>
      <c r="BR1570" s="30"/>
      <c r="BS1570" s="30"/>
      <c r="BT1570" s="30"/>
      <c r="BU1570" s="30"/>
      <c r="BV1570" s="30"/>
      <c r="BW1570" s="30"/>
      <c r="BX1570" s="30"/>
      <c r="BY1570" s="30"/>
      <c r="BZ1570" s="30"/>
      <c r="CA1570" s="30"/>
      <c r="CB1570" s="30"/>
      <c r="CC1570" s="30"/>
      <c r="CD1570" s="30"/>
      <c r="CE1570" s="30"/>
      <c r="CF1570" s="30"/>
      <c r="CG1570" s="30"/>
      <c r="CH1570" s="30"/>
      <c r="CI1570" s="30"/>
      <c r="CJ1570" s="30"/>
      <c r="CK1570" s="30"/>
      <c r="CL1570" s="30"/>
      <c r="CM1570" s="30"/>
      <c r="CN1570" s="30"/>
      <c r="CO1570" s="30"/>
      <c r="CP1570" s="30"/>
      <c r="CQ1570" s="30"/>
      <c r="CR1570" s="30"/>
      <c r="CS1570" s="30"/>
      <c r="CT1570" s="30"/>
      <c r="CU1570" s="30"/>
      <c r="CV1570" s="30"/>
      <c r="CW1570" s="30"/>
      <c r="CX1570" s="30"/>
      <c r="CY1570" s="30"/>
      <c r="CZ1570" s="30"/>
      <c r="DA1570" s="30"/>
      <c r="DB1570" s="30"/>
      <c r="DC1570" s="30"/>
      <c r="DD1570" s="30"/>
      <c r="DE1570" s="30"/>
      <c r="DF1570" s="30"/>
      <c r="DG1570" s="30"/>
      <c r="DH1570" s="30"/>
      <c r="DI1570" s="30"/>
      <c r="DJ1570" s="30"/>
      <c r="DK1570" s="30"/>
      <c r="DL1570" s="30"/>
      <c r="DM1570" s="30"/>
      <c r="DN1570" s="30"/>
      <c r="DO1570" s="30"/>
      <c r="DP1570" s="30"/>
      <c r="DQ1570" s="30"/>
      <c r="DR1570" s="30"/>
      <c r="DS1570" s="30"/>
      <c r="DT1570" s="30"/>
      <c r="DU1570" s="30"/>
      <c r="DV1570" s="30"/>
      <c r="DW1570" s="30"/>
      <c r="DX1570" s="30"/>
      <c r="DY1570" s="30"/>
      <c r="DZ1570" s="30"/>
    </row>
    <row r="1571">
      <c r="A1571" s="30"/>
      <c r="B1571" s="42"/>
      <c r="C1571" s="43"/>
      <c r="D1571" s="30"/>
      <c r="E1571" s="28"/>
      <c r="F1571" s="30"/>
      <c r="G1571" s="30"/>
      <c r="H1571" s="30"/>
      <c r="I1571" s="30"/>
      <c r="J1571" s="28"/>
      <c r="K1571" s="30"/>
      <c r="L1571" s="30"/>
      <c r="M1571" s="30"/>
      <c r="N1571" s="30"/>
      <c r="O1571" s="28"/>
      <c r="P1571" s="30"/>
      <c r="Q1571" s="30"/>
      <c r="R1571" s="30"/>
      <c r="S1571" s="36"/>
      <c r="T1571" s="30"/>
      <c r="U1571" s="36"/>
      <c r="V1571" s="30"/>
      <c r="W1571" s="28"/>
      <c r="X1571" s="30"/>
      <c r="Y1571" s="30"/>
      <c r="Z1571" s="30"/>
      <c r="AA1571" s="30"/>
      <c r="AB1571" s="30"/>
      <c r="AC1571" s="28"/>
      <c r="AD1571" s="30"/>
      <c r="AE1571" s="30"/>
      <c r="AF1571" s="30"/>
      <c r="AG1571" s="29"/>
      <c r="AH1571" s="30"/>
      <c r="AI1571" s="36"/>
      <c r="AJ1571" s="30"/>
      <c r="AK1571" s="29"/>
      <c r="AL1571" s="30"/>
      <c r="AM1571" s="30"/>
      <c r="AN1571" s="30"/>
      <c r="AO1571" s="30"/>
      <c r="AP1571" s="30"/>
      <c r="AQ1571" s="38"/>
      <c r="AR1571" s="30"/>
      <c r="AS1571" s="30"/>
      <c r="AT1571" s="29"/>
      <c r="AU1571" s="30"/>
      <c r="AV1571" s="30"/>
      <c r="AW1571" s="30"/>
      <c r="AX1571" s="29"/>
      <c r="AY1571" s="39"/>
      <c r="AZ1571" s="30"/>
      <c r="BA1571" s="30"/>
      <c r="BB1571" s="29"/>
      <c r="BC1571" s="52"/>
      <c r="BD1571" s="30"/>
      <c r="BE1571" s="29"/>
      <c r="BF1571" s="30"/>
      <c r="BG1571" s="30"/>
      <c r="BH1571" s="30"/>
      <c r="BI1571" s="30"/>
      <c r="BJ1571" s="30"/>
      <c r="BK1571" s="30"/>
      <c r="BL1571" s="30"/>
      <c r="BM1571" s="30"/>
      <c r="BN1571" s="30"/>
      <c r="BO1571" s="30"/>
      <c r="BP1571" s="30"/>
      <c r="BQ1571" s="30"/>
      <c r="BR1571" s="30"/>
      <c r="BS1571" s="30"/>
      <c r="BT1571" s="30"/>
      <c r="BU1571" s="30"/>
      <c r="BV1571" s="30"/>
      <c r="BW1571" s="30"/>
      <c r="BX1571" s="30"/>
      <c r="BY1571" s="30"/>
      <c r="BZ1571" s="30"/>
      <c r="CA1571" s="30"/>
      <c r="CB1571" s="30"/>
      <c r="CC1571" s="30"/>
      <c r="CD1571" s="30"/>
      <c r="CE1571" s="30"/>
      <c r="CF1571" s="30"/>
      <c r="CG1571" s="30"/>
      <c r="CH1571" s="30"/>
      <c r="CI1571" s="30"/>
      <c r="CJ1571" s="30"/>
      <c r="CK1571" s="30"/>
      <c r="CL1571" s="30"/>
      <c r="CM1571" s="30"/>
      <c r="CN1571" s="30"/>
      <c r="CO1571" s="30"/>
      <c r="CP1571" s="30"/>
      <c r="CQ1571" s="30"/>
      <c r="CR1571" s="30"/>
      <c r="CS1571" s="30"/>
      <c r="CT1571" s="30"/>
      <c r="CU1571" s="30"/>
      <c r="CV1571" s="30"/>
      <c r="CW1571" s="30"/>
      <c r="CX1571" s="30"/>
      <c r="CY1571" s="30"/>
      <c r="CZ1571" s="30"/>
      <c r="DA1571" s="30"/>
      <c r="DB1571" s="30"/>
      <c r="DC1571" s="30"/>
      <c r="DD1571" s="30"/>
      <c r="DE1571" s="30"/>
      <c r="DF1571" s="30"/>
      <c r="DG1571" s="30"/>
      <c r="DH1571" s="30"/>
      <c r="DI1571" s="30"/>
      <c r="DJ1571" s="30"/>
      <c r="DK1571" s="30"/>
      <c r="DL1571" s="30"/>
      <c r="DM1571" s="30"/>
      <c r="DN1571" s="30"/>
      <c r="DO1571" s="30"/>
      <c r="DP1571" s="30"/>
      <c r="DQ1571" s="30"/>
      <c r="DR1571" s="30"/>
      <c r="DS1571" s="30"/>
      <c r="DT1571" s="30"/>
      <c r="DU1571" s="30"/>
      <c r="DV1571" s="30"/>
      <c r="DW1571" s="30"/>
      <c r="DX1571" s="30"/>
      <c r="DY1571" s="30"/>
      <c r="DZ1571" s="30"/>
    </row>
    <row r="1572">
      <c r="A1572" s="30"/>
      <c r="B1572" s="42"/>
      <c r="C1572" s="43"/>
      <c r="D1572" s="30"/>
      <c r="E1572" s="28"/>
      <c r="F1572" s="30"/>
      <c r="G1572" s="30"/>
      <c r="H1572" s="30"/>
      <c r="I1572" s="30"/>
      <c r="J1572" s="28"/>
      <c r="K1572" s="30"/>
      <c r="L1572" s="30"/>
      <c r="M1572" s="30"/>
      <c r="N1572" s="30"/>
      <c r="O1572" s="28"/>
      <c r="P1572" s="30"/>
      <c r="Q1572" s="30"/>
      <c r="R1572" s="30"/>
      <c r="S1572" s="36"/>
      <c r="T1572" s="30"/>
      <c r="U1572" s="36"/>
      <c r="V1572" s="30"/>
      <c r="W1572" s="28"/>
      <c r="X1572" s="30"/>
      <c r="Y1572" s="30"/>
      <c r="Z1572" s="30"/>
      <c r="AA1572" s="30"/>
      <c r="AB1572" s="30"/>
      <c r="AC1572" s="28"/>
      <c r="AD1572" s="30"/>
      <c r="AE1572" s="30"/>
      <c r="AF1572" s="30"/>
      <c r="AG1572" s="29"/>
      <c r="AH1572" s="30"/>
      <c r="AI1572" s="36"/>
      <c r="AJ1572" s="30"/>
      <c r="AK1572" s="29"/>
      <c r="AL1572" s="30"/>
      <c r="AM1572" s="30"/>
      <c r="AN1572" s="30"/>
      <c r="AO1572" s="30"/>
      <c r="AP1572" s="30"/>
      <c r="AQ1572" s="38"/>
      <c r="AR1572" s="30"/>
      <c r="AS1572" s="30"/>
      <c r="AT1572" s="29"/>
      <c r="AU1572" s="30"/>
      <c r="AV1572" s="30"/>
      <c r="AW1572" s="30"/>
      <c r="AX1572" s="29"/>
      <c r="AY1572" s="39"/>
      <c r="AZ1572" s="30"/>
      <c r="BA1572" s="30"/>
      <c r="BB1572" s="29"/>
      <c r="BC1572" s="52"/>
      <c r="BD1572" s="30"/>
      <c r="BE1572" s="29"/>
      <c r="BF1572" s="30"/>
      <c r="BG1572" s="30"/>
      <c r="BH1572" s="30"/>
      <c r="BI1572" s="30"/>
      <c r="BJ1572" s="30"/>
      <c r="BK1572" s="30"/>
      <c r="BL1572" s="30"/>
      <c r="BM1572" s="30"/>
      <c r="BN1572" s="30"/>
      <c r="BO1572" s="30"/>
      <c r="BP1572" s="30"/>
      <c r="BQ1572" s="30"/>
      <c r="BR1572" s="30"/>
      <c r="BS1572" s="30"/>
      <c r="BT1572" s="30"/>
      <c r="BU1572" s="30"/>
      <c r="BV1572" s="30"/>
      <c r="BW1572" s="30"/>
      <c r="BX1572" s="30"/>
      <c r="BY1572" s="30"/>
      <c r="BZ1572" s="30"/>
      <c r="CA1572" s="30"/>
      <c r="CB1572" s="30"/>
      <c r="CC1572" s="30"/>
      <c r="CD1572" s="30"/>
      <c r="CE1572" s="30"/>
      <c r="CF1572" s="30"/>
      <c r="CG1572" s="30"/>
      <c r="CH1572" s="30"/>
      <c r="CI1572" s="30"/>
      <c r="CJ1572" s="30"/>
      <c r="CK1572" s="30"/>
      <c r="CL1572" s="30"/>
      <c r="CM1572" s="30"/>
      <c r="CN1572" s="30"/>
      <c r="CO1572" s="30"/>
      <c r="CP1572" s="30"/>
      <c r="CQ1572" s="30"/>
      <c r="CR1572" s="30"/>
      <c r="CS1572" s="30"/>
      <c r="CT1572" s="30"/>
      <c r="CU1572" s="30"/>
      <c r="CV1572" s="30"/>
      <c r="CW1572" s="30"/>
      <c r="CX1572" s="30"/>
      <c r="CY1572" s="30"/>
      <c r="CZ1572" s="30"/>
      <c r="DA1572" s="30"/>
      <c r="DB1572" s="30"/>
      <c r="DC1572" s="30"/>
      <c r="DD1572" s="30"/>
      <c r="DE1572" s="30"/>
      <c r="DF1572" s="30"/>
      <c r="DG1572" s="30"/>
      <c r="DH1572" s="30"/>
      <c r="DI1572" s="30"/>
      <c r="DJ1572" s="30"/>
      <c r="DK1572" s="30"/>
      <c r="DL1572" s="30"/>
      <c r="DM1572" s="30"/>
      <c r="DN1572" s="30"/>
      <c r="DO1572" s="30"/>
      <c r="DP1572" s="30"/>
      <c r="DQ1572" s="30"/>
      <c r="DR1572" s="30"/>
      <c r="DS1572" s="30"/>
      <c r="DT1572" s="30"/>
      <c r="DU1572" s="30"/>
      <c r="DV1572" s="30"/>
      <c r="DW1572" s="30"/>
      <c r="DX1572" s="30"/>
      <c r="DY1572" s="30"/>
      <c r="DZ1572" s="30"/>
    </row>
    <row r="1573">
      <c r="A1573" s="30"/>
      <c r="B1573" s="42"/>
      <c r="C1573" s="43"/>
      <c r="D1573" s="30"/>
      <c r="E1573" s="28"/>
      <c r="F1573" s="30"/>
      <c r="G1573" s="30"/>
      <c r="H1573" s="30"/>
      <c r="I1573" s="30"/>
      <c r="J1573" s="28"/>
      <c r="K1573" s="30"/>
      <c r="L1573" s="30"/>
      <c r="M1573" s="30"/>
      <c r="N1573" s="30"/>
      <c r="O1573" s="28"/>
      <c r="P1573" s="30"/>
      <c r="Q1573" s="30"/>
      <c r="R1573" s="30"/>
      <c r="S1573" s="36"/>
      <c r="T1573" s="30"/>
      <c r="U1573" s="36"/>
      <c r="V1573" s="30"/>
      <c r="W1573" s="28"/>
      <c r="X1573" s="30"/>
      <c r="Y1573" s="30"/>
      <c r="Z1573" s="30"/>
      <c r="AA1573" s="30"/>
      <c r="AB1573" s="30"/>
      <c r="AC1573" s="28"/>
      <c r="AD1573" s="30"/>
      <c r="AE1573" s="30"/>
      <c r="AF1573" s="30"/>
      <c r="AG1573" s="29"/>
      <c r="AH1573" s="30"/>
      <c r="AI1573" s="36"/>
      <c r="AJ1573" s="30"/>
      <c r="AK1573" s="29"/>
      <c r="AL1573" s="30"/>
      <c r="AM1573" s="30"/>
      <c r="AN1573" s="30"/>
      <c r="AO1573" s="30"/>
      <c r="AP1573" s="30"/>
      <c r="AQ1573" s="38"/>
      <c r="AR1573" s="30"/>
      <c r="AS1573" s="30"/>
      <c r="AT1573" s="29"/>
      <c r="AU1573" s="30"/>
      <c r="AV1573" s="30"/>
      <c r="AW1573" s="30"/>
      <c r="AX1573" s="29"/>
      <c r="AY1573" s="39"/>
      <c r="AZ1573" s="30"/>
      <c r="BA1573" s="30"/>
      <c r="BB1573" s="29"/>
      <c r="BC1573" s="52"/>
      <c r="BD1573" s="30"/>
      <c r="BE1573" s="29"/>
      <c r="BF1573" s="30"/>
      <c r="BG1573" s="30"/>
      <c r="BH1573" s="30"/>
      <c r="BI1573" s="30"/>
      <c r="BJ1573" s="30"/>
      <c r="BK1573" s="30"/>
      <c r="BL1573" s="30"/>
      <c r="BM1573" s="30"/>
      <c r="BN1573" s="30"/>
      <c r="BO1573" s="30"/>
      <c r="BP1573" s="30"/>
      <c r="BQ1573" s="30"/>
      <c r="BR1573" s="30"/>
      <c r="BS1573" s="30"/>
      <c r="BT1573" s="30"/>
      <c r="BU1573" s="30"/>
      <c r="BV1573" s="30"/>
      <c r="BW1573" s="30"/>
      <c r="BX1573" s="30"/>
      <c r="BY1573" s="30"/>
      <c r="BZ1573" s="30"/>
      <c r="CA1573" s="30"/>
      <c r="CB1573" s="30"/>
      <c r="CC1573" s="30"/>
      <c r="CD1573" s="30"/>
      <c r="CE1573" s="30"/>
      <c r="CF1573" s="30"/>
      <c r="CG1573" s="30"/>
      <c r="CH1573" s="30"/>
      <c r="CI1573" s="30"/>
      <c r="CJ1573" s="30"/>
      <c r="CK1573" s="30"/>
      <c r="CL1573" s="30"/>
      <c r="CM1573" s="30"/>
      <c r="CN1573" s="30"/>
      <c r="CO1573" s="30"/>
      <c r="CP1573" s="30"/>
      <c r="CQ1573" s="30"/>
      <c r="CR1573" s="30"/>
      <c r="CS1573" s="30"/>
      <c r="CT1573" s="30"/>
      <c r="CU1573" s="30"/>
      <c r="CV1573" s="30"/>
      <c r="CW1573" s="30"/>
      <c r="CX1573" s="30"/>
      <c r="CY1573" s="30"/>
      <c r="CZ1573" s="30"/>
      <c r="DA1573" s="30"/>
      <c r="DB1573" s="30"/>
      <c r="DC1573" s="30"/>
      <c r="DD1573" s="30"/>
      <c r="DE1573" s="30"/>
      <c r="DF1573" s="30"/>
      <c r="DG1573" s="30"/>
      <c r="DH1573" s="30"/>
      <c r="DI1573" s="30"/>
      <c r="DJ1573" s="30"/>
      <c r="DK1573" s="30"/>
      <c r="DL1573" s="30"/>
      <c r="DM1573" s="30"/>
      <c r="DN1573" s="30"/>
      <c r="DO1573" s="30"/>
      <c r="DP1573" s="30"/>
      <c r="DQ1573" s="30"/>
      <c r="DR1573" s="30"/>
      <c r="DS1573" s="30"/>
      <c r="DT1573" s="30"/>
      <c r="DU1573" s="30"/>
      <c r="DV1573" s="30"/>
      <c r="DW1573" s="30"/>
      <c r="DX1573" s="30"/>
      <c r="DY1573" s="30"/>
      <c r="DZ1573" s="30"/>
    </row>
    <row r="1574">
      <c r="A1574" s="30"/>
      <c r="B1574" s="42"/>
      <c r="C1574" s="43"/>
      <c r="D1574" s="30"/>
      <c r="E1574" s="28"/>
      <c r="F1574" s="30"/>
      <c r="G1574" s="30"/>
      <c r="H1574" s="30"/>
      <c r="I1574" s="30"/>
      <c r="J1574" s="28"/>
      <c r="K1574" s="30"/>
      <c r="L1574" s="30"/>
      <c r="M1574" s="30"/>
      <c r="N1574" s="30"/>
      <c r="O1574" s="28"/>
      <c r="P1574" s="30"/>
      <c r="Q1574" s="30"/>
      <c r="R1574" s="30"/>
      <c r="S1574" s="36"/>
      <c r="T1574" s="30"/>
      <c r="U1574" s="36"/>
      <c r="V1574" s="30"/>
      <c r="W1574" s="28"/>
      <c r="X1574" s="30"/>
      <c r="Y1574" s="30"/>
      <c r="Z1574" s="30"/>
      <c r="AA1574" s="30"/>
      <c r="AB1574" s="30"/>
      <c r="AC1574" s="28"/>
      <c r="AD1574" s="30"/>
      <c r="AE1574" s="30"/>
      <c r="AF1574" s="30"/>
      <c r="AG1574" s="29"/>
      <c r="AH1574" s="30"/>
      <c r="AI1574" s="36"/>
      <c r="AJ1574" s="30"/>
      <c r="AK1574" s="29"/>
      <c r="AL1574" s="30"/>
      <c r="AM1574" s="30"/>
      <c r="AN1574" s="30"/>
      <c r="AO1574" s="30"/>
      <c r="AP1574" s="30"/>
      <c r="AQ1574" s="38"/>
      <c r="AR1574" s="30"/>
      <c r="AS1574" s="30"/>
      <c r="AT1574" s="29"/>
      <c r="AU1574" s="30"/>
      <c r="AV1574" s="30"/>
      <c r="AW1574" s="30"/>
      <c r="AX1574" s="29"/>
      <c r="AY1574" s="39"/>
      <c r="AZ1574" s="30"/>
      <c r="BA1574" s="30"/>
      <c r="BB1574" s="29"/>
      <c r="BC1574" s="52"/>
      <c r="BD1574" s="30"/>
      <c r="BE1574" s="29"/>
      <c r="BF1574" s="30"/>
      <c r="BG1574" s="30"/>
      <c r="BH1574" s="30"/>
      <c r="BI1574" s="30"/>
      <c r="BJ1574" s="30"/>
      <c r="BK1574" s="30"/>
      <c r="BL1574" s="30"/>
      <c r="BM1574" s="30"/>
      <c r="BN1574" s="30"/>
      <c r="BO1574" s="30"/>
      <c r="BP1574" s="30"/>
      <c r="BQ1574" s="30"/>
      <c r="BR1574" s="30"/>
      <c r="BS1574" s="30"/>
      <c r="BT1574" s="30"/>
      <c r="BU1574" s="30"/>
      <c r="BV1574" s="30"/>
      <c r="BW1574" s="30"/>
      <c r="BX1574" s="30"/>
      <c r="BY1574" s="30"/>
      <c r="BZ1574" s="30"/>
      <c r="CA1574" s="30"/>
      <c r="CB1574" s="30"/>
      <c r="CC1574" s="30"/>
      <c r="CD1574" s="30"/>
      <c r="CE1574" s="30"/>
      <c r="CF1574" s="30"/>
      <c r="CG1574" s="30"/>
      <c r="CH1574" s="30"/>
      <c r="CI1574" s="30"/>
      <c r="CJ1574" s="30"/>
      <c r="CK1574" s="30"/>
      <c r="CL1574" s="30"/>
      <c r="CM1574" s="30"/>
      <c r="CN1574" s="30"/>
      <c r="CO1574" s="30"/>
      <c r="CP1574" s="30"/>
      <c r="CQ1574" s="30"/>
      <c r="CR1574" s="30"/>
      <c r="CS1574" s="30"/>
      <c r="CT1574" s="30"/>
      <c r="CU1574" s="30"/>
      <c r="CV1574" s="30"/>
      <c r="CW1574" s="30"/>
      <c r="CX1574" s="30"/>
      <c r="CY1574" s="30"/>
      <c r="CZ1574" s="30"/>
      <c r="DA1574" s="30"/>
      <c r="DB1574" s="30"/>
      <c r="DC1574" s="30"/>
      <c r="DD1574" s="30"/>
      <c r="DE1574" s="30"/>
      <c r="DF1574" s="30"/>
      <c r="DG1574" s="30"/>
      <c r="DH1574" s="30"/>
      <c r="DI1574" s="30"/>
      <c r="DJ1574" s="30"/>
      <c r="DK1574" s="30"/>
      <c r="DL1574" s="30"/>
      <c r="DM1574" s="30"/>
      <c r="DN1574" s="30"/>
      <c r="DO1574" s="30"/>
      <c r="DP1574" s="30"/>
      <c r="DQ1574" s="30"/>
      <c r="DR1574" s="30"/>
      <c r="DS1574" s="30"/>
      <c r="DT1574" s="30"/>
      <c r="DU1574" s="30"/>
      <c r="DV1574" s="30"/>
      <c r="DW1574" s="30"/>
      <c r="DX1574" s="30"/>
      <c r="DY1574" s="30"/>
      <c r="DZ1574" s="30"/>
    </row>
    <row r="1575">
      <c r="A1575" s="30"/>
      <c r="B1575" s="42"/>
      <c r="C1575" s="43"/>
      <c r="D1575" s="30"/>
      <c r="E1575" s="28"/>
      <c r="F1575" s="30"/>
      <c r="G1575" s="30"/>
      <c r="H1575" s="30"/>
      <c r="I1575" s="30"/>
      <c r="J1575" s="28"/>
      <c r="K1575" s="30"/>
      <c r="L1575" s="30"/>
      <c r="M1575" s="30"/>
      <c r="N1575" s="30"/>
      <c r="O1575" s="28"/>
      <c r="P1575" s="30"/>
      <c r="Q1575" s="30"/>
      <c r="R1575" s="30"/>
      <c r="S1575" s="36"/>
      <c r="T1575" s="30"/>
      <c r="U1575" s="36"/>
      <c r="V1575" s="30"/>
      <c r="W1575" s="28"/>
      <c r="X1575" s="30"/>
      <c r="Y1575" s="30"/>
      <c r="Z1575" s="30"/>
      <c r="AA1575" s="30"/>
      <c r="AB1575" s="30"/>
      <c r="AC1575" s="28"/>
      <c r="AD1575" s="30"/>
      <c r="AE1575" s="30"/>
      <c r="AF1575" s="30"/>
      <c r="AG1575" s="29"/>
      <c r="AH1575" s="30"/>
      <c r="AI1575" s="36"/>
      <c r="AJ1575" s="30"/>
      <c r="AK1575" s="29"/>
      <c r="AL1575" s="30"/>
      <c r="AM1575" s="30"/>
      <c r="AN1575" s="30"/>
      <c r="AO1575" s="30"/>
      <c r="AP1575" s="30"/>
      <c r="AQ1575" s="38"/>
      <c r="AR1575" s="30"/>
      <c r="AS1575" s="30"/>
      <c r="AT1575" s="29"/>
      <c r="AU1575" s="30"/>
      <c r="AV1575" s="30"/>
      <c r="AW1575" s="30"/>
      <c r="AX1575" s="29"/>
      <c r="AY1575" s="39"/>
      <c r="AZ1575" s="30"/>
      <c r="BA1575" s="30"/>
      <c r="BB1575" s="29"/>
      <c r="BC1575" s="52"/>
      <c r="BD1575" s="30"/>
      <c r="BE1575" s="29"/>
      <c r="BF1575" s="30"/>
      <c r="BG1575" s="30"/>
      <c r="BH1575" s="30"/>
      <c r="BI1575" s="30"/>
      <c r="BJ1575" s="30"/>
      <c r="BK1575" s="30"/>
      <c r="BL1575" s="30"/>
      <c r="BM1575" s="30"/>
      <c r="BN1575" s="30"/>
      <c r="BO1575" s="30"/>
      <c r="BP1575" s="30"/>
      <c r="BQ1575" s="30"/>
      <c r="BR1575" s="30"/>
      <c r="BS1575" s="30"/>
      <c r="BT1575" s="30"/>
      <c r="BU1575" s="30"/>
      <c r="BV1575" s="30"/>
      <c r="BW1575" s="30"/>
      <c r="BX1575" s="30"/>
      <c r="BY1575" s="30"/>
      <c r="BZ1575" s="30"/>
      <c r="CA1575" s="30"/>
      <c r="CB1575" s="30"/>
      <c r="CC1575" s="30"/>
      <c r="CD1575" s="30"/>
      <c r="CE1575" s="30"/>
      <c r="CF1575" s="30"/>
      <c r="CG1575" s="30"/>
      <c r="CH1575" s="30"/>
      <c r="CI1575" s="30"/>
      <c r="CJ1575" s="30"/>
      <c r="CK1575" s="30"/>
      <c r="CL1575" s="30"/>
      <c r="CM1575" s="30"/>
      <c r="CN1575" s="30"/>
      <c r="CO1575" s="30"/>
      <c r="CP1575" s="30"/>
      <c r="CQ1575" s="30"/>
      <c r="CR1575" s="30"/>
      <c r="CS1575" s="30"/>
      <c r="CT1575" s="30"/>
      <c r="CU1575" s="30"/>
      <c r="CV1575" s="30"/>
      <c r="CW1575" s="30"/>
      <c r="CX1575" s="30"/>
      <c r="CY1575" s="30"/>
      <c r="CZ1575" s="30"/>
      <c r="DA1575" s="30"/>
      <c r="DB1575" s="30"/>
      <c r="DC1575" s="30"/>
      <c r="DD1575" s="30"/>
      <c r="DE1575" s="30"/>
      <c r="DF1575" s="30"/>
      <c r="DG1575" s="30"/>
      <c r="DH1575" s="30"/>
      <c r="DI1575" s="30"/>
      <c r="DJ1575" s="30"/>
      <c r="DK1575" s="30"/>
      <c r="DL1575" s="30"/>
      <c r="DM1575" s="30"/>
      <c r="DN1575" s="30"/>
      <c r="DO1575" s="30"/>
      <c r="DP1575" s="30"/>
      <c r="DQ1575" s="30"/>
      <c r="DR1575" s="30"/>
      <c r="DS1575" s="30"/>
      <c r="DT1575" s="30"/>
      <c r="DU1575" s="30"/>
      <c r="DV1575" s="30"/>
      <c r="DW1575" s="30"/>
      <c r="DX1575" s="30"/>
      <c r="DY1575" s="30"/>
      <c r="DZ1575" s="30"/>
    </row>
    <row r="1576">
      <c r="A1576" s="30"/>
      <c r="B1576" s="42"/>
      <c r="C1576" s="43"/>
      <c r="D1576" s="30"/>
      <c r="E1576" s="28"/>
      <c r="F1576" s="30"/>
      <c r="G1576" s="30"/>
      <c r="H1576" s="30"/>
      <c r="I1576" s="30"/>
      <c r="J1576" s="28"/>
      <c r="K1576" s="30"/>
      <c r="L1576" s="30"/>
      <c r="M1576" s="30"/>
      <c r="N1576" s="30"/>
      <c r="O1576" s="28"/>
      <c r="P1576" s="30"/>
      <c r="Q1576" s="30"/>
      <c r="R1576" s="30"/>
      <c r="S1576" s="36"/>
      <c r="T1576" s="30"/>
      <c r="U1576" s="36"/>
      <c r="V1576" s="30"/>
      <c r="W1576" s="28"/>
      <c r="X1576" s="30"/>
      <c r="Y1576" s="30"/>
      <c r="Z1576" s="30"/>
      <c r="AA1576" s="30"/>
      <c r="AB1576" s="30"/>
      <c r="AC1576" s="28"/>
      <c r="AD1576" s="30"/>
      <c r="AE1576" s="30"/>
      <c r="AF1576" s="30"/>
      <c r="AG1576" s="29"/>
      <c r="AH1576" s="30"/>
      <c r="AI1576" s="36"/>
      <c r="AJ1576" s="30"/>
      <c r="AK1576" s="29"/>
      <c r="AL1576" s="30"/>
      <c r="AM1576" s="30"/>
      <c r="AN1576" s="30"/>
      <c r="AO1576" s="30"/>
      <c r="AP1576" s="30"/>
      <c r="AQ1576" s="38"/>
      <c r="AR1576" s="30"/>
      <c r="AS1576" s="30"/>
      <c r="AT1576" s="29"/>
      <c r="AU1576" s="30"/>
      <c r="AV1576" s="30"/>
      <c r="AW1576" s="30"/>
      <c r="AX1576" s="29"/>
      <c r="AY1576" s="39"/>
      <c r="AZ1576" s="30"/>
      <c r="BA1576" s="30"/>
      <c r="BB1576" s="29"/>
      <c r="BC1576" s="52"/>
      <c r="BD1576" s="30"/>
      <c r="BE1576" s="29"/>
      <c r="BF1576" s="30"/>
      <c r="BG1576" s="30"/>
      <c r="BH1576" s="30"/>
      <c r="BI1576" s="30"/>
      <c r="BJ1576" s="30"/>
      <c r="BK1576" s="30"/>
      <c r="BL1576" s="30"/>
      <c r="BM1576" s="30"/>
      <c r="BN1576" s="30"/>
      <c r="BO1576" s="30"/>
      <c r="BP1576" s="30"/>
      <c r="BQ1576" s="30"/>
      <c r="BR1576" s="30"/>
      <c r="BS1576" s="30"/>
      <c r="BT1576" s="30"/>
      <c r="BU1576" s="30"/>
      <c r="BV1576" s="30"/>
      <c r="BW1576" s="30"/>
      <c r="BX1576" s="30"/>
      <c r="BY1576" s="30"/>
      <c r="BZ1576" s="30"/>
      <c r="CA1576" s="30"/>
      <c r="CB1576" s="30"/>
      <c r="CC1576" s="30"/>
      <c r="CD1576" s="30"/>
      <c r="CE1576" s="30"/>
      <c r="CF1576" s="30"/>
      <c r="CG1576" s="30"/>
      <c r="CH1576" s="30"/>
      <c r="CI1576" s="30"/>
      <c r="CJ1576" s="30"/>
      <c r="CK1576" s="30"/>
      <c r="CL1576" s="30"/>
      <c r="CM1576" s="30"/>
      <c r="CN1576" s="30"/>
      <c r="CO1576" s="30"/>
      <c r="CP1576" s="30"/>
      <c r="CQ1576" s="30"/>
      <c r="CR1576" s="30"/>
      <c r="CS1576" s="30"/>
      <c r="CT1576" s="30"/>
      <c r="CU1576" s="30"/>
      <c r="CV1576" s="30"/>
      <c r="CW1576" s="30"/>
      <c r="CX1576" s="30"/>
      <c r="CY1576" s="30"/>
      <c r="CZ1576" s="30"/>
      <c r="DA1576" s="30"/>
      <c r="DB1576" s="30"/>
      <c r="DC1576" s="30"/>
      <c r="DD1576" s="30"/>
      <c r="DE1576" s="30"/>
      <c r="DF1576" s="30"/>
      <c r="DG1576" s="30"/>
      <c r="DH1576" s="30"/>
      <c r="DI1576" s="30"/>
      <c r="DJ1576" s="30"/>
      <c r="DK1576" s="30"/>
      <c r="DL1576" s="30"/>
      <c r="DM1576" s="30"/>
      <c r="DN1576" s="30"/>
      <c r="DO1576" s="30"/>
      <c r="DP1576" s="30"/>
      <c r="DQ1576" s="30"/>
      <c r="DR1576" s="30"/>
      <c r="DS1576" s="30"/>
      <c r="DT1576" s="30"/>
      <c r="DU1576" s="30"/>
      <c r="DV1576" s="30"/>
      <c r="DW1576" s="30"/>
      <c r="DX1576" s="30"/>
      <c r="DY1576" s="30"/>
      <c r="DZ1576" s="30"/>
    </row>
    <row r="1577">
      <c r="A1577" s="30"/>
      <c r="B1577" s="42"/>
      <c r="C1577" s="43"/>
      <c r="D1577" s="30"/>
      <c r="E1577" s="28"/>
      <c r="F1577" s="30"/>
      <c r="G1577" s="30"/>
      <c r="H1577" s="30"/>
      <c r="I1577" s="30"/>
      <c r="J1577" s="28"/>
      <c r="K1577" s="30"/>
      <c r="L1577" s="30"/>
      <c r="M1577" s="30"/>
      <c r="N1577" s="30"/>
      <c r="O1577" s="28"/>
      <c r="P1577" s="30"/>
      <c r="Q1577" s="30"/>
      <c r="R1577" s="30"/>
      <c r="S1577" s="36"/>
      <c r="T1577" s="30"/>
      <c r="U1577" s="36"/>
      <c r="V1577" s="30"/>
      <c r="W1577" s="28"/>
      <c r="X1577" s="30"/>
      <c r="Y1577" s="30"/>
      <c r="Z1577" s="30"/>
      <c r="AA1577" s="30"/>
      <c r="AB1577" s="30"/>
      <c r="AC1577" s="28"/>
      <c r="AD1577" s="30"/>
      <c r="AE1577" s="30"/>
      <c r="AF1577" s="30"/>
      <c r="AG1577" s="29"/>
      <c r="AH1577" s="30"/>
      <c r="AI1577" s="36"/>
      <c r="AJ1577" s="30"/>
      <c r="AK1577" s="29"/>
      <c r="AL1577" s="30"/>
      <c r="AM1577" s="30"/>
      <c r="AN1577" s="30"/>
      <c r="AO1577" s="30"/>
      <c r="AP1577" s="30"/>
      <c r="AQ1577" s="38"/>
      <c r="AR1577" s="30"/>
      <c r="AS1577" s="30"/>
      <c r="AT1577" s="29"/>
      <c r="AU1577" s="30"/>
      <c r="AV1577" s="30"/>
      <c r="AW1577" s="30"/>
      <c r="AX1577" s="29"/>
      <c r="AY1577" s="39"/>
      <c r="AZ1577" s="30"/>
      <c r="BA1577" s="30"/>
      <c r="BB1577" s="29"/>
      <c r="BC1577" s="52"/>
      <c r="BD1577" s="30"/>
      <c r="BE1577" s="29"/>
      <c r="BF1577" s="30"/>
      <c r="BG1577" s="30"/>
      <c r="BH1577" s="30"/>
      <c r="BI1577" s="30"/>
      <c r="BJ1577" s="30"/>
      <c r="BK1577" s="30"/>
      <c r="BL1577" s="30"/>
      <c r="BM1577" s="30"/>
      <c r="BN1577" s="30"/>
      <c r="BO1577" s="30"/>
      <c r="BP1577" s="30"/>
      <c r="BQ1577" s="30"/>
      <c r="BR1577" s="30"/>
      <c r="BS1577" s="30"/>
      <c r="BT1577" s="30"/>
      <c r="BU1577" s="30"/>
      <c r="BV1577" s="30"/>
      <c r="BW1577" s="30"/>
      <c r="BX1577" s="30"/>
      <c r="BY1577" s="30"/>
      <c r="BZ1577" s="30"/>
      <c r="CA1577" s="30"/>
      <c r="CB1577" s="30"/>
      <c r="CC1577" s="30"/>
      <c r="CD1577" s="30"/>
      <c r="CE1577" s="30"/>
      <c r="CF1577" s="30"/>
      <c r="CG1577" s="30"/>
      <c r="CH1577" s="30"/>
      <c r="CI1577" s="30"/>
      <c r="CJ1577" s="30"/>
      <c r="CK1577" s="30"/>
      <c r="CL1577" s="30"/>
      <c r="CM1577" s="30"/>
      <c r="CN1577" s="30"/>
      <c r="CO1577" s="30"/>
      <c r="CP1577" s="30"/>
      <c r="CQ1577" s="30"/>
      <c r="CR1577" s="30"/>
      <c r="CS1577" s="30"/>
      <c r="CT1577" s="30"/>
      <c r="CU1577" s="30"/>
      <c r="CV1577" s="30"/>
      <c r="CW1577" s="30"/>
      <c r="CX1577" s="30"/>
      <c r="CY1577" s="30"/>
      <c r="CZ1577" s="30"/>
      <c r="DA1577" s="30"/>
      <c r="DB1577" s="30"/>
      <c r="DC1577" s="30"/>
      <c r="DD1577" s="30"/>
      <c r="DE1577" s="30"/>
      <c r="DF1577" s="30"/>
      <c r="DG1577" s="30"/>
      <c r="DH1577" s="30"/>
      <c r="DI1577" s="30"/>
      <c r="DJ1577" s="30"/>
      <c r="DK1577" s="30"/>
      <c r="DL1577" s="30"/>
      <c r="DM1577" s="30"/>
      <c r="DN1577" s="30"/>
      <c r="DO1577" s="30"/>
      <c r="DP1577" s="30"/>
      <c r="DQ1577" s="30"/>
      <c r="DR1577" s="30"/>
      <c r="DS1577" s="30"/>
      <c r="DT1577" s="30"/>
      <c r="DU1577" s="30"/>
      <c r="DV1577" s="30"/>
      <c r="DW1577" s="30"/>
      <c r="DX1577" s="30"/>
      <c r="DY1577" s="30"/>
      <c r="DZ1577" s="30"/>
    </row>
    <row r="1578">
      <c r="A1578" s="30"/>
      <c r="B1578" s="42"/>
      <c r="C1578" s="43"/>
      <c r="D1578" s="30"/>
      <c r="E1578" s="28"/>
      <c r="F1578" s="30"/>
      <c r="G1578" s="30"/>
      <c r="H1578" s="30"/>
      <c r="I1578" s="30"/>
      <c r="J1578" s="28"/>
      <c r="K1578" s="30"/>
      <c r="L1578" s="30"/>
      <c r="M1578" s="30"/>
      <c r="N1578" s="30"/>
      <c r="O1578" s="28"/>
      <c r="P1578" s="30"/>
      <c r="Q1578" s="30"/>
      <c r="R1578" s="30"/>
      <c r="S1578" s="36"/>
      <c r="T1578" s="30"/>
      <c r="U1578" s="36"/>
      <c r="V1578" s="30"/>
      <c r="W1578" s="28"/>
      <c r="X1578" s="30"/>
      <c r="Y1578" s="30"/>
      <c r="Z1578" s="30"/>
      <c r="AA1578" s="30"/>
      <c r="AB1578" s="30"/>
      <c r="AC1578" s="28"/>
      <c r="AD1578" s="30"/>
      <c r="AE1578" s="30"/>
      <c r="AF1578" s="30"/>
      <c r="AG1578" s="29"/>
      <c r="AH1578" s="30"/>
      <c r="AI1578" s="36"/>
      <c r="AJ1578" s="30"/>
      <c r="AK1578" s="29"/>
      <c r="AL1578" s="30"/>
      <c r="AM1578" s="30"/>
      <c r="AN1578" s="30"/>
      <c r="AO1578" s="30"/>
      <c r="AP1578" s="30"/>
      <c r="AQ1578" s="38"/>
      <c r="AR1578" s="30"/>
      <c r="AS1578" s="30"/>
      <c r="AT1578" s="29"/>
      <c r="AU1578" s="30"/>
      <c r="AV1578" s="30"/>
      <c r="AW1578" s="30"/>
      <c r="AX1578" s="29"/>
      <c r="AY1578" s="39"/>
      <c r="AZ1578" s="30"/>
      <c r="BA1578" s="30"/>
      <c r="BB1578" s="29"/>
      <c r="BC1578" s="52"/>
      <c r="BD1578" s="30"/>
      <c r="BE1578" s="29"/>
      <c r="BF1578" s="30"/>
      <c r="BG1578" s="30"/>
      <c r="BH1578" s="30"/>
      <c r="BI1578" s="30"/>
      <c r="BJ1578" s="30"/>
      <c r="BK1578" s="30"/>
      <c r="BL1578" s="30"/>
      <c r="BM1578" s="30"/>
      <c r="BN1578" s="30"/>
      <c r="BO1578" s="30"/>
      <c r="BP1578" s="30"/>
      <c r="BQ1578" s="30"/>
      <c r="BR1578" s="30"/>
      <c r="BS1578" s="30"/>
      <c r="BT1578" s="30"/>
      <c r="BU1578" s="30"/>
      <c r="BV1578" s="30"/>
      <c r="BW1578" s="30"/>
      <c r="BX1578" s="30"/>
      <c r="BY1578" s="30"/>
      <c r="BZ1578" s="30"/>
      <c r="CA1578" s="30"/>
      <c r="CB1578" s="30"/>
      <c r="CC1578" s="30"/>
      <c r="CD1578" s="30"/>
      <c r="CE1578" s="30"/>
      <c r="CF1578" s="30"/>
      <c r="CG1578" s="30"/>
      <c r="CH1578" s="30"/>
      <c r="CI1578" s="30"/>
      <c r="CJ1578" s="30"/>
      <c r="CK1578" s="30"/>
      <c r="CL1578" s="30"/>
      <c r="CM1578" s="30"/>
      <c r="CN1578" s="30"/>
      <c r="CO1578" s="30"/>
      <c r="CP1578" s="30"/>
      <c r="CQ1578" s="30"/>
      <c r="CR1578" s="30"/>
      <c r="CS1578" s="30"/>
      <c r="CT1578" s="30"/>
      <c r="CU1578" s="30"/>
      <c r="CV1578" s="30"/>
      <c r="CW1578" s="30"/>
      <c r="CX1578" s="30"/>
      <c r="CY1578" s="30"/>
      <c r="CZ1578" s="30"/>
      <c r="DA1578" s="30"/>
      <c r="DB1578" s="30"/>
      <c r="DC1578" s="30"/>
      <c r="DD1578" s="30"/>
      <c r="DE1578" s="30"/>
      <c r="DF1578" s="30"/>
      <c r="DG1578" s="30"/>
      <c r="DH1578" s="30"/>
      <c r="DI1578" s="30"/>
      <c r="DJ1578" s="30"/>
      <c r="DK1578" s="30"/>
      <c r="DL1578" s="30"/>
      <c r="DM1578" s="30"/>
      <c r="DN1578" s="30"/>
      <c r="DO1578" s="30"/>
      <c r="DP1578" s="30"/>
      <c r="DQ1578" s="30"/>
      <c r="DR1578" s="30"/>
      <c r="DS1578" s="30"/>
      <c r="DT1578" s="30"/>
      <c r="DU1578" s="30"/>
      <c r="DV1578" s="30"/>
      <c r="DW1578" s="30"/>
      <c r="DX1578" s="30"/>
      <c r="DY1578" s="30"/>
      <c r="DZ1578" s="30"/>
    </row>
    <row r="1579">
      <c r="A1579" s="30"/>
      <c r="B1579" s="42"/>
      <c r="C1579" s="43"/>
      <c r="D1579" s="30"/>
      <c r="E1579" s="28"/>
      <c r="F1579" s="30"/>
      <c r="G1579" s="30"/>
      <c r="H1579" s="30"/>
      <c r="I1579" s="30"/>
      <c r="J1579" s="28"/>
      <c r="K1579" s="30"/>
      <c r="L1579" s="30"/>
      <c r="M1579" s="30"/>
      <c r="N1579" s="30"/>
      <c r="O1579" s="28"/>
      <c r="P1579" s="30"/>
      <c r="Q1579" s="30"/>
      <c r="R1579" s="30"/>
      <c r="S1579" s="36"/>
      <c r="T1579" s="30"/>
      <c r="U1579" s="36"/>
      <c r="V1579" s="30"/>
      <c r="W1579" s="28"/>
      <c r="X1579" s="30"/>
      <c r="Y1579" s="30"/>
      <c r="Z1579" s="30"/>
      <c r="AA1579" s="30"/>
      <c r="AB1579" s="30"/>
      <c r="AC1579" s="28"/>
      <c r="AD1579" s="30"/>
      <c r="AE1579" s="30"/>
      <c r="AF1579" s="30"/>
      <c r="AG1579" s="29"/>
      <c r="AH1579" s="30"/>
      <c r="AI1579" s="36"/>
      <c r="AJ1579" s="30"/>
      <c r="AK1579" s="29"/>
      <c r="AL1579" s="30"/>
      <c r="AM1579" s="30"/>
      <c r="AN1579" s="30"/>
      <c r="AO1579" s="30"/>
      <c r="AP1579" s="30"/>
      <c r="AQ1579" s="38"/>
      <c r="AR1579" s="30"/>
      <c r="AS1579" s="30"/>
      <c r="AT1579" s="29"/>
      <c r="AU1579" s="30"/>
      <c r="AV1579" s="30"/>
      <c r="AW1579" s="30"/>
      <c r="AX1579" s="29"/>
      <c r="AY1579" s="39"/>
      <c r="AZ1579" s="30"/>
      <c r="BA1579" s="30"/>
      <c r="BB1579" s="29"/>
      <c r="BC1579" s="52"/>
      <c r="BD1579" s="30"/>
      <c r="BE1579" s="29"/>
      <c r="BF1579" s="30"/>
      <c r="BG1579" s="30"/>
      <c r="BH1579" s="30"/>
      <c r="BI1579" s="30"/>
      <c r="BJ1579" s="30"/>
      <c r="BK1579" s="30"/>
      <c r="BL1579" s="30"/>
      <c r="BM1579" s="30"/>
      <c r="BN1579" s="30"/>
      <c r="BO1579" s="30"/>
      <c r="BP1579" s="30"/>
      <c r="BQ1579" s="30"/>
      <c r="BR1579" s="30"/>
      <c r="BS1579" s="30"/>
      <c r="BT1579" s="30"/>
      <c r="BU1579" s="30"/>
      <c r="BV1579" s="30"/>
      <c r="BW1579" s="30"/>
      <c r="BX1579" s="30"/>
      <c r="BY1579" s="30"/>
      <c r="BZ1579" s="30"/>
      <c r="CA1579" s="30"/>
      <c r="CB1579" s="30"/>
      <c r="CC1579" s="30"/>
      <c r="CD1579" s="30"/>
      <c r="CE1579" s="30"/>
      <c r="CF1579" s="30"/>
      <c r="CG1579" s="30"/>
      <c r="CH1579" s="30"/>
      <c r="CI1579" s="30"/>
      <c r="CJ1579" s="30"/>
      <c r="CK1579" s="30"/>
      <c r="CL1579" s="30"/>
      <c r="CM1579" s="30"/>
      <c r="CN1579" s="30"/>
      <c r="CO1579" s="30"/>
      <c r="CP1579" s="30"/>
      <c r="CQ1579" s="30"/>
      <c r="CR1579" s="30"/>
      <c r="CS1579" s="30"/>
      <c r="CT1579" s="30"/>
      <c r="CU1579" s="30"/>
      <c r="CV1579" s="30"/>
      <c r="CW1579" s="30"/>
      <c r="CX1579" s="30"/>
      <c r="CY1579" s="30"/>
      <c r="CZ1579" s="30"/>
      <c r="DA1579" s="30"/>
      <c r="DB1579" s="30"/>
      <c r="DC1579" s="30"/>
      <c r="DD1579" s="30"/>
      <c r="DE1579" s="30"/>
      <c r="DF1579" s="30"/>
      <c r="DG1579" s="30"/>
      <c r="DH1579" s="30"/>
      <c r="DI1579" s="30"/>
      <c r="DJ1579" s="30"/>
      <c r="DK1579" s="30"/>
      <c r="DL1579" s="30"/>
      <c r="DM1579" s="30"/>
      <c r="DN1579" s="30"/>
      <c r="DO1579" s="30"/>
      <c r="DP1579" s="30"/>
      <c r="DQ1579" s="30"/>
      <c r="DR1579" s="30"/>
      <c r="DS1579" s="30"/>
      <c r="DT1579" s="30"/>
      <c r="DU1579" s="30"/>
      <c r="DV1579" s="30"/>
      <c r="DW1579" s="30"/>
      <c r="DX1579" s="30"/>
      <c r="DY1579" s="30"/>
      <c r="DZ1579" s="30"/>
    </row>
    <row r="1580">
      <c r="A1580" s="30"/>
      <c r="B1580" s="42"/>
      <c r="C1580" s="43"/>
      <c r="D1580" s="30"/>
      <c r="E1580" s="28"/>
      <c r="F1580" s="30"/>
      <c r="G1580" s="30"/>
      <c r="H1580" s="30"/>
      <c r="I1580" s="30"/>
      <c r="J1580" s="28"/>
      <c r="K1580" s="30"/>
      <c r="L1580" s="30"/>
      <c r="M1580" s="30"/>
      <c r="N1580" s="30"/>
      <c r="O1580" s="28"/>
      <c r="P1580" s="30"/>
      <c r="Q1580" s="30"/>
      <c r="R1580" s="30"/>
      <c r="S1580" s="36"/>
      <c r="T1580" s="30"/>
      <c r="U1580" s="36"/>
      <c r="V1580" s="30"/>
      <c r="W1580" s="28"/>
      <c r="X1580" s="30"/>
      <c r="Y1580" s="30"/>
      <c r="Z1580" s="30"/>
      <c r="AA1580" s="30"/>
      <c r="AB1580" s="30"/>
      <c r="AC1580" s="28"/>
      <c r="AD1580" s="30"/>
      <c r="AE1580" s="30"/>
      <c r="AF1580" s="30"/>
      <c r="AG1580" s="29"/>
      <c r="AH1580" s="30"/>
      <c r="AI1580" s="36"/>
      <c r="AJ1580" s="30"/>
      <c r="AK1580" s="29"/>
      <c r="AL1580" s="30"/>
      <c r="AM1580" s="30"/>
      <c r="AN1580" s="30"/>
      <c r="AO1580" s="30"/>
      <c r="AP1580" s="30"/>
      <c r="AQ1580" s="38"/>
      <c r="AR1580" s="30"/>
      <c r="AS1580" s="30"/>
      <c r="AT1580" s="29"/>
      <c r="AU1580" s="30"/>
      <c r="AV1580" s="30"/>
      <c r="AW1580" s="30"/>
      <c r="AX1580" s="29"/>
      <c r="AY1580" s="39"/>
      <c r="AZ1580" s="30"/>
      <c r="BA1580" s="30"/>
      <c r="BB1580" s="29"/>
      <c r="BC1580" s="52"/>
      <c r="BD1580" s="30"/>
      <c r="BE1580" s="29"/>
      <c r="BF1580" s="30"/>
      <c r="BG1580" s="30"/>
      <c r="BH1580" s="30"/>
      <c r="BI1580" s="30"/>
      <c r="BJ1580" s="30"/>
      <c r="BK1580" s="30"/>
      <c r="BL1580" s="30"/>
      <c r="BM1580" s="30"/>
      <c r="BN1580" s="30"/>
      <c r="BO1580" s="30"/>
      <c r="BP1580" s="30"/>
      <c r="BQ1580" s="30"/>
      <c r="BR1580" s="30"/>
      <c r="BS1580" s="30"/>
      <c r="BT1580" s="30"/>
      <c r="BU1580" s="30"/>
      <c r="BV1580" s="30"/>
      <c r="BW1580" s="30"/>
      <c r="BX1580" s="30"/>
      <c r="BY1580" s="30"/>
      <c r="BZ1580" s="30"/>
      <c r="CA1580" s="30"/>
      <c r="CB1580" s="30"/>
      <c r="CC1580" s="30"/>
      <c r="CD1580" s="30"/>
      <c r="CE1580" s="30"/>
      <c r="CF1580" s="30"/>
      <c r="CG1580" s="30"/>
      <c r="CH1580" s="30"/>
      <c r="CI1580" s="30"/>
      <c r="CJ1580" s="30"/>
      <c r="CK1580" s="30"/>
      <c r="CL1580" s="30"/>
      <c r="CM1580" s="30"/>
      <c r="CN1580" s="30"/>
      <c r="CO1580" s="30"/>
      <c r="CP1580" s="30"/>
      <c r="CQ1580" s="30"/>
      <c r="CR1580" s="30"/>
      <c r="CS1580" s="30"/>
      <c r="CT1580" s="30"/>
      <c r="CU1580" s="30"/>
      <c r="CV1580" s="30"/>
      <c r="CW1580" s="30"/>
      <c r="CX1580" s="30"/>
      <c r="CY1580" s="30"/>
      <c r="CZ1580" s="30"/>
      <c r="DA1580" s="30"/>
      <c r="DB1580" s="30"/>
      <c r="DC1580" s="30"/>
      <c r="DD1580" s="30"/>
      <c r="DE1580" s="30"/>
      <c r="DF1580" s="30"/>
      <c r="DG1580" s="30"/>
      <c r="DH1580" s="30"/>
      <c r="DI1580" s="30"/>
      <c r="DJ1580" s="30"/>
      <c r="DK1580" s="30"/>
      <c r="DL1580" s="30"/>
      <c r="DM1580" s="30"/>
      <c r="DN1580" s="30"/>
      <c r="DO1580" s="30"/>
      <c r="DP1580" s="30"/>
      <c r="DQ1580" s="30"/>
      <c r="DR1580" s="30"/>
      <c r="DS1580" s="30"/>
      <c r="DT1580" s="30"/>
      <c r="DU1580" s="30"/>
      <c r="DV1580" s="30"/>
      <c r="DW1580" s="30"/>
      <c r="DX1580" s="30"/>
      <c r="DY1580" s="30"/>
      <c r="DZ1580" s="30"/>
    </row>
    <row r="1581">
      <c r="A1581" s="30"/>
      <c r="B1581" s="42"/>
      <c r="C1581" s="43"/>
      <c r="D1581" s="30"/>
      <c r="E1581" s="28"/>
      <c r="F1581" s="30"/>
      <c r="G1581" s="30"/>
      <c r="H1581" s="30"/>
      <c r="I1581" s="30"/>
      <c r="J1581" s="28"/>
      <c r="K1581" s="30"/>
      <c r="L1581" s="30"/>
      <c r="M1581" s="30"/>
      <c r="N1581" s="30"/>
      <c r="O1581" s="28"/>
      <c r="P1581" s="30"/>
      <c r="Q1581" s="30"/>
      <c r="R1581" s="30"/>
      <c r="S1581" s="36"/>
      <c r="T1581" s="30"/>
      <c r="U1581" s="36"/>
      <c r="V1581" s="30"/>
      <c r="W1581" s="28"/>
      <c r="X1581" s="30"/>
      <c r="Y1581" s="30"/>
      <c r="Z1581" s="30"/>
      <c r="AA1581" s="30"/>
      <c r="AB1581" s="30"/>
      <c r="AC1581" s="28"/>
      <c r="AD1581" s="30"/>
      <c r="AE1581" s="30"/>
      <c r="AF1581" s="30"/>
      <c r="AG1581" s="29"/>
      <c r="AH1581" s="30"/>
      <c r="AI1581" s="36"/>
      <c r="AJ1581" s="30"/>
      <c r="AK1581" s="29"/>
      <c r="AL1581" s="30"/>
      <c r="AM1581" s="30"/>
      <c r="AN1581" s="30"/>
      <c r="AO1581" s="30"/>
      <c r="AP1581" s="30"/>
      <c r="AQ1581" s="38"/>
      <c r="AR1581" s="30"/>
      <c r="AS1581" s="30"/>
      <c r="AT1581" s="29"/>
      <c r="AU1581" s="30"/>
      <c r="AV1581" s="30"/>
      <c r="AW1581" s="30"/>
      <c r="AX1581" s="29"/>
      <c r="AY1581" s="39"/>
      <c r="AZ1581" s="30"/>
      <c r="BA1581" s="30"/>
      <c r="BB1581" s="29"/>
      <c r="BC1581" s="52"/>
      <c r="BD1581" s="30"/>
      <c r="BE1581" s="29"/>
      <c r="BF1581" s="30"/>
      <c r="BG1581" s="30"/>
      <c r="BH1581" s="30"/>
      <c r="BI1581" s="30"/>
      <c r="BJ1581" s="30"/>
      <c r="BK1581" s="30"/>
      <c r="BL1581" s="30"/>
      <c r="BM1581" s="30"/>
      <c r="BN1581" s="30"/>
      <c r="BO1581" s="30"/>
      <c r="BP1581" s="30"/>
      <c r="BQ1581" s="30"/>
      <c r="BR1581" s="30"/>
      <c r="BS1581" s="30"/>
      <c r="BT1581" s="30"/>
      <c r="BU1581" s="30"/>
      <c r="BV1581" s="30"/>
      <c r="BW1581" s="30"/>
      <c r="BX1581" s="30"/>
      <c r="BY1581" s="30"/>
      <c r="BZ1581" s="30"/>
      <c r="CA1581" s="30"/>
      <c r="CB1581" s="30"/>
      <c r="CC1581" s="30"/>
      <c r="CD1581" s="30"/>
      <c r="CE1581" s="30"/>
      <c r="CF1581" s="30"/>
      <c r="CG1581" s="30"/>
      <c r="CH1581" s="30"/>
      <c r="CI1581" s="30"/>
      <c r="CJ1581" s="30"/>
      <c r="CK1581" s="30"/>
      <c r="CL1581" s="30"/>
      <c r="CM1581" s="30"/>
      <c r="CN1581" s="30"/>
      <c r="CO1581" s="30"/>
      <c r="CP1581" s="30"/>
      <c r="CQ1581" s="30"/>
      <c r="CR1581" s="30"/>
      <c r="CS1581" s="30"/>
      <c r="CT1581" s="30"/>
      <c r="CU1581" s="30"/>
      <c r="CV1581" s="30"/>
      <c r="CW1581" s="30"/>
      <c r="CX1581" s="30"/>
      <c r="CY1581" s="30"/>
      <c r="CZ1581" s="30"/>
      <c r="DA1581" s="30"/>
      <c r="DB1581" s="30"/>
      <c r="DC1581" s="30"/>
      <c r="DD1581" s="30"/>
      <c r="DE1581" s="30"/>
      <c r="DF1581" s="30"/>
      <c r="DG1581" s="30"/>
      <c r="DH1581" s="30"/>
      <c r="DI1581" s="30"/>
      <c r="DJ1581" s="30"/>
      <c r="DK1581" s="30"/>
      <c r="DL1581" s="30"/>
      <c r="DM1581" s="30"/>
      <c r="DN1581" s="30"/>
      <c r="DO1581" s="30"/>
      <c r="DP1581" s="30"/>
      <c r="DQ1581" s="30"/>
      <c r="DR1581" s="30"/>
      <c r="DS1581" s="30"/>
      <c r="DT1581" s="30"/>
      <c r="DU1581" s="30"/>
      <c r="DV1581" s="30"/>
      <c r="DW1581" s="30"/>
      <c r="DX1581" s="30"/>
      <c r="DY1581" s="30"/>
      <c r="DZ1581" s="30"/>
    </row>
    <row r="1582">
      <c r="A1582" s="30"/>
      <c r="B1582" s="42"/>
      <c r="C1582" s="43"/>
      <c r="D1582" s="30"/>
      <c r="E1582" s="28"/>
      <c r="F1582" s="30"/>
      <c r="G1582" s="30"/>
      <c r="H1582" s="30"/>
      <c r="I1582" s="30"/>
      <c r="J1582" s="28"/>
      <c r="K1582" s="30"/>
      <c r="L1582" s="30"/>
      <c r="M1582" s="30"/>
      <c r="N1582" s="30"/>
      <c r="O1582" s="28"/>
      <c r="P1582" s="30"/>
      <c r="Q1582" s="30"/>
      <c r="R1582" s="30"/>
      <c r="S1582" s="36"/>
      <c r="T1582" s="30"/>
      <c r="U1582" s="36"/>
      <c r="V1582" s="30"/>
      <c r="W1582" s="28"/>
      <c r="X1582" s="30"/>
      <c r="Y1582" s="30"/>
      <c r="Z1582" s="30"/>
      <c r="AA1582" s="30"/>
      <c r="AB1582" s="30"/>
      <c r="AC1582" s="28"/>
      <c r="AD1582" s="30"/>
      <c r="AE1582" s="30"/>
      <c r="AF1582" s="30"/>
      <c r="AG1582" s="29"/>
      <c r="AH1582" s="30"/>
      <c r="AI1582" s="36"/>
      <c r="AJ1582" s="30"/>
      <c r="AK1582" s="29"/>
      <c r="AL1582" s="30"/>
      <c r="AM1582" s="30"/>
      <c r="AN1582" s="30"/>
      <c r="AO1582" s="30"/>
      <c r="AP1582" s="30"/>
      <c r="AQ1582" s="38"/>
      <c r="AR1582" s="30"/>
      <c r="AS1582" s="30"/>
      <c r="AT1582" s="29"/>
      <c r="AU1582" s="30"/>
      <c r="AV1582" s="30"/>
      <c r="AW1582" s="30"/>
      <c r="AX1582" s="29"/>
      <c r="AY1582" s="39"/>
      <c r="AZ1582" s="30"/>
      <c r="BA1582" s="30"/>
      <c r="BB1582" s="29"/>
      <c r="BC1582" s="52"/>
      <c r="BD1582" s="30"/>
      <c r="BE1582" s="29"/>
      <c r="BF1582" s="30"/>
      <c r="BG1582" s="30"/>
      <c r="BH1582" s="30"/>
      <c r="BI1582" s="30"/>
      <c r="BJ1582" s="30"/>
      <c r="BK1582" s="30"/>
      <c r="BL1582" s="30"/>
      <c r="BM1582" s="30"/>
      <c r="BN1582" s="30"/>
      <c r="BO1582" s="30"/>
      <c r="BP1582" s="30"/>
      <c r="BQ1582" s="30"/>
      <c r="BR1582" s="30"/>
      <c r="BS1582" s="30"/>
      <c r="BT1582" s="30"/>
      <c r="BU1582" s="30"/>
      <c r="BV1582" s="30"/>
      <c r="BW1582" s="30"/>
      <c r="BX1582" s="30"/>
      <c r="BY1582" s="30"/>
      <c r="BZ1582" s="30"/>
      <c r="CA1582" s="30"/>
      <c r="CB1582" s="30"/>
      <c r="CC1582" s="30"/>
      <c r="CD1582" s="30"/>
      <c r="CE1582" s="30"/>
      <c r="CF1582" s="30"/>
      <c r="CG1582" s="30"/>
      <c r="CH1582" s="30"/>
      <c r="CI1582" s="30"/>
      <c r="CJ1582" s="30"/>
      <c r="CK1582" s="30"/>
      <c r="CL1582" s="30"/>
      <c r="CM1582" s="30"/>
      <c r="CN1582" s="30"/>
      <c r="CO1582" s="30"/>
      <c r="CP1582" s="30"/>
      <c r="CQ1582" s="30"/>
      <c r="CR1582" s="30"/>
      <c r="CS1582" s="30"/>
      <c r="CT1582" s="30"/>
      <c r="CU1582" s="30"/>
      <c r="CV1582" s="30"/>
      <c r="CW1582" s="30"/>
      <c r="CX1582" s="30"/>
      <c r="CY1582" s="30"/>
      <c r="CZ1582" s="30"/>
      <c r="DA1582" s="30"/>
      <c r="DB1582" s="30"/>
      <c r="DC1582" s="30"/>
      <c r="DD1582" s="30"/>
      <c r="DE1582" s="30"/>
      <c r="DF1582" s="30"/>
      <c r="DG1582" s="30"/>
      <c r="DH1582" s="30"/>
      <c r="DI1582" s="30"/>
      <c r="DJ1582" s="30"/>
      <c r="DK1582" s="30"/>
      <c r="DL1582" s="30"/>
      <c r="DM1582" s="30"/>
      <c r="DN1582" s="30"/>
      <c r="DO1582" s="30"/>
      <c r="DP1582" s="30"/>
      <c r="DQ1582" s="30"/>
      <c r="DR1582" s="30"/>
      <c r="DS1582" s="30"/>
      <c r="DT1582" s="30"/>
      <c r="DU1582" s="30"/>
      <c r="DV1582" s="30"/>
      <c r="DW1582" s="30"/>
      <c r="DX1582" s="30"/>
      <c r="DY1582" s="30"/>
      <c r="DZ1582" s="30"/>
    </row>
    <row r="1583">
      <c r="A1583" s="30"/>
      <c r="B1583" s="42"/>
      <c r="C1583" s="43"/>
      <c r="D1583" s="30"/>
      <c r="E1583" s="28"/>
      <c r="F1583" s="30"/>
      <c r="G1583" s="30"/>
      <c r="H1583" s="30"/>
      <c r="I1583" s="30"/>
      <c r="J1583" s="28"/>
      <c r="K1583" s="30"/>
      <c r="L1583" s="30"/>
      <c r="M1583" s="30"/>
      <c r="N1583" s="30"/>
      <c r="O1583" s="28"/>
      <c r="P1583" s="30"/>
      <c r="Q1583" s="30"/>
      <c r="R1583" s="30"/>
      <c r="S1583" s="36"/>
      <c r="T1583" s="30"/>
      <c r="U1583" s="36"/>
      <c r="V1583" s="30"/>
      <c r="W1583" s="28"/>
      <c r="X1583" s="30"/>
      <c r="Y1583" s="30"/>
      <c r="Z1583" s="30"/>
      <c r="AA1583" s="30"/>
      <c r="AB1583" s="30"/>
      <c r="AC1583" s="28"/>
      <c r="AD1583" s="30"/>
      <c r="AE1583" s="30"/>
      <c r="AF1583" s="30"/>
      <c r="AG1583" s="29"/>
      <c r="AH1583" s="30"/>
      <c r="AI1583" s="36"/>
      <c r="AJ1583" s="30"/>
      <c r="AK1583" s="29"/>
      <c r="AL1583" s="30"/>
      <c r="AM1583" s="30"/>
      <c r="AN1583" s="30"/>
      <c r="AO1583" s="30"/>
      <c r="AP1583" s="30"/>
      <c r="AQ1583" s="38"/>
      <c r="AR1583" s="30"/>
      <c r="AS1583" s="30"/>
      <c r="AT1583" s="29"/>
      <c r="AU1583" s="30"/>
      <c r="AV1583" s="30"/>
      <c r="AW1583" s="30"/>
      <c r="AX1583" s="29"/>
      <c r="AY1583" s="39"/>
      <c r="AZ1583" s="30"/>
      <c r="BA1583" s="30"/>
      <c r="BB1583" s="29"/>
      <c r="BC1583" s="52"/>
      <c r="BD1583" s="30"/>
      <c r="BE1583" s="29"/>
      <c r="BF1583" s="30"/>
      <c r="BG1583" s="30"/>
      <c r="BH1583" s="30"/>
      <c r="BI1583" s="30"/>
      <c r="BJ1583" s="30"/>
      <c r="BK1583" s="30"/>
      <c r="BL1583" s="30"/>
      <c r="BM1583" s="30"/>
      <c r="BN1583" s="30"/>
      <c r="BO1583" s="30"/>
      <c r="BP1583" s="30"/>
      <c r="BQ1583" s="30"/>
      <c r="BR1583" s="30"/>
      <c r="BS1583" s="30"/>
      <c r="BT1583" s="30"/>
      <c r="BU1583" s="30"/>
      <c r="BV1583" s="30"/>
      <c r="BW1583" s="30"/>
      <c r="BX1583" s="30"/>
      <c r="BY1583" s="30"/>
      <c r="BZ1583" s="30"/>
      <c r="CA1583" s="30"/>
      <c r="CB1583" s="30"/>
      <c r="CC1583" s="30"/>
      <c r="CD1583" s="30"/>
      <c r="CE1583" s="30"/>
      <c r="CF1583" s="30"/>
      <c r="CG1583" s="30"/>
      <c r="CH1583" s="30"/>
      <c r="CI1583" s="30"/>
      <c r="CJ1583" s="30"/>
      <c r="CK1583" s="30"/>
      <c r="CL1583" s="30"/>
      <c r="CM1583" s="30"/>
      <c r="CN1583" s="30"/>
      <c r="CO1583" s="30"/>
      <c r="CP1583" s="30"/>
      <c r="CQ1583" s="30"/>
      <c r="CR1583" s="30"/>
      <c r="CS1583" s="30"/>
      <c r="CT1583" s="30"/>
      <c r="CU1583" s="30"/>
      <c r="CV1583" s="30"/>
      <c r="CW1583" s="30"/>
      <c r="CX1583" s="30"/>
      <c r="CY1583" s="30"/>
      <c r="CZ1583" s="30"/>
      <c r="DA1583" s="30"/>
      <c r="DB1583" s="30"/>
      <c r="DC1583" s="30"/>
      <c r="DD1583" s="30"/>
      <c r="DE1583" s="30"/>
      <c r="DF1583" s="30"/>
      <c r="DG1583" s="30"/>
      <c r="DH1583" s="30"/>
      <c r="DI1583" s="30"/>
      <c r="DJ1583" s="30"/>
      <c r="DK1583" s="30"/>
      <c r="DL1583" s="30"/>
      <c r="DM1583" s="30"/>
      <c r="DN1583" s="30"/>
      <c r="DO1583" s="30"/>
      <c r="DP1583" s="30"/>
      <c r="DQ1583" s="30"/>
      <c r="DR1583" s="30"/>
      <c r="DS1583" s="30"/>
      <c r="DT1583" s="30"/>
      <c r="DU1583" s="30"/>
      <c r="DV1583" s="30"/>
      <c r="DW1583" s="30"/>
      <c r="DX1583" s="30"/>
      <c r="DY1583" s="30"/>
      <c r="DZ1583" s="30"/>
    </row>
    <row r="1584">
      <c r="A1584" s="30"/>
      <c r="B1584" s="42"/>
      <c r="C1584" s="43"/>
      <c r="D1584" s="30"/>
      <c r="E1584" s="28"/>
      <c r="F1584" s="30"/>
      <c r="G1584" s="30"/>
      <c r="H1584" s="30"/>
      <c r="I1584" s="30"/>
      <c r="J1584" s="28"/>
      <c r="K1584" s="30"/>
      <c r="L1584" s="30"/>
      <c r="M1584" s="30"/>
      <c r="N1584" s="30"/>
      <c r="O1584" s="28"/>
      <c r="P1584" s="30"/>
      <c r="Q1584" s="30"/>
      <c r="R1584" s="30"/>
      <c r="S1584" s="36"/>
      <c r="T1584" s="30"/>
      <c r="U1584" s="36"/>
      <c r="V1584" s="30"/>
      <c r="W1584" s="28"/>
      <c r="X1584" s="30"/>
      <c r="Y1584" s="30"/>
      <c r="Z1584" s="30"/>
      <c r="AA1584" s="30"/>
      <c r="AB1584" s="30"/>
      <c r="AC1584" s="28"/>
      <c r="AD1584" s="30"/>
      <c r="AE1584" s="30"/>
      <c r="AF1584" s="30"/>
      <c r="AG1584" s="29"/>
      <c r="AH1584" s="30"/>
      <c r="AI1584" s="36"/>
      <c r="AJ1584" s="30"/>
      <c r="AK1584" s="29"/>
      <c r="AL1584" s="30"/>
      <c r="AM1584" s="30"/>
      <c r="AN1584" s="30"/>
      <c r="AO1584" s="30"/>
      <c r="AP1584" s="30"/>
      <c r="AQ1584" s="38"/>
      <c r="AR1584" s="30"/>
      <c r="AS1584" s="30"/>
      <c r="AT1584" s="29"/>
      <c r="AU1584" s="30"/>
      <c r="AV1584" s="30"/>
      <c r="AW1584" s="30"/>
      <c r="AX1584" s="29"/>
      <c r="AY1584" s="39"/>
      <c r="AZ1584" s="30"/>
      <c r="BA1584" s="30"/>
      <c r="BB1584" s="29"/>
      <c r="BC1584" s="52"/>
      <c r="BD1584" s="30"/>
      <c r="BE1584" s="29"/>
      <c r="BF1584" s="30"/>
      <c r="BG1584" s="30"/>
      <c r="BH1584" s="30"/>
      <c r="BI1584" s="30"/>
      <c r="BJ1584" s="30"/>
      <c r="BK1584" s="30"/>
      <c r="BL1584" s="30"/>
      <c r="BM1584" s="30"/>
      <c r="BN1584" s="30"/>
      <c r="BO1584" s="30"/>
      <c r="BP1584" s="30"/>
      <c r="BQ1584" s="30"/>
      <c r="BR1584" s="30"/>
      <c r="BS1584" s="30"/>
      <c r="BT1584" s="30"/>
      <c r="BU1584" s="30"/>
      <c r="BV1584" s="30"/>
      <c r="BW1584" s="30"/>
      <c r="BX1584" s="30"/>
      <c r="BY1584" s="30"/>
      <c r="BZ1584" s="30"/>
      <c r="CA1584" s="30"/>
      <c r="CB1584" s="30"/>
      <c r="CC1584" s="30"/>
      <c r="CD1584" s="30"/>
      <c r="CE1584" s="30"/>
      <c r="CF1584" s="30"/>
      <c r="CG1584" s="30"/>
      <c r="CH1584" s="30"/>
      <c r="CI1584" s="30"/>
      <c r="CJ1584" s="30"/>
      <c r="CK1584" s="30"/>
      <c r="CL1584" s="30"/>
      <c r="CM1584" s="30"/>
      <c r="CN1584" s="30"/>
      <c r="CO1584" s="30"/>
      <c r="CP1584" s="30"/>
      <c r="CQ1584" s="30"/>
      <c r="CR1584" s="30"/>
      <c r="CS1584" s="30"/>
      <c r="CT1584" s="30"/>
      <c r="CU1584" s="30"/>
      <c r="CV1584" s="30"/>
      <c r="CW1584" s="30"/>
      <c r="CX1584" s="30"/>
      <c r="CY1584" s="30"/>
      <c r="CZ1584" s="30"/>
      <c r="DA1584" s="30"/>
      <c r="DB1584" s="30"/>
      <c r="DC1584" s="30"/>
      <c r="DD1584" s="30"/>
      <c r="DE1584" s="30"/>
      <c r="DF1584" s="30"/>
      <c r="DG1584" s="30"/>
      <c r="DH1584" s="30"/>
      <c r="DI1584" s="30"/>
      <c r="DJ1584" s="30"/>
      <c r="DK1584" s="30"/>
      <c r="DL1584" s="30"/>
      <c r="DM1584" s="30"/>
      <c r="DN1584" s="30"/>
      <c r="DO1584" s="30"/>
      <c r="DP1584" s="30"/>
      <c r="DQ1584" s="30"/>
      <c r="DR1584" s="30"/>
      <c r="DS1584" s="30"/>
      <c r="DT1584" s="30"/>
      <c r="DU1584" s="30"/>
      <c r="DV1584" s="30"/>
      <c r="DW1584" s="30"/>
      <c r="DX1584" s="30"/>
      <c r="DY1584" s="30"/>
      <c r="DZ1584" s="30"/>
    </row>
    <row r="1585">
      <c r="A1585" s="30"/>
      <c r="B1585" s="42"/>
      <c r="C1585" s="43"/>
      <c r="D1585" s="30"/>
      <c r="E1585" s="28"/>
      <c r="F1585" s="30"/>
      <c r="G1585" s="30"/>
      <c r="H1585" s="30"/>
      <c r="I1585" s="30"/>
      <c r="J1585" s="28"/>
      <c r="K1585" s="30"/>
      <c r="L1585" s="30"/>
      <c r="M1585" s="30"/>
      <c r="N1585" s="30"/>
      <c r="O1585" s="28"/>
      <c r="P1585" s="30"/>
      <c r="Q1585" s="30"/>
      <c r="R1585" s="30"/>
      <c r="S1585" s="36"/>
      <c r="T1585" s="30"/>
      <c r="U1585" s="36"/>
      <c r="V1585" s="30"/>
      <c r="W1585" s="28"/>
      <c r="X1585" s="30"/>
      <c r="Y1585" s="30"/>
      <c r="Z1585" s="30"/>
      <c r="AA1585" s="30"/>
      <c r="AB1585" s="30"/>
      <c r="AC1585" s="28"/>
      <c r="AD1585" s="30"/>
      <c r="AE1585" s="30"/>
      <c r="AF1585" s="30"/>
      <c r="AG1585" s="29"/>
      <c r="AH1585" s="30"/>
      <c r="AI1585" s="36"/>
      <c r="AJ1585" s="30"/>
      <c r="AK1585" s="29"/>
      <c r="AL1585" s="30"/>
      <c r="AM1585" s="30"/>
      <c r="AN1585" s="30"/>
      <c r="AO1585" s="30"/>
      <c r="AP1585" s="30"/>
      <c r="AQ1585" s="38"/>
      <c r="AR1585" s="30"/>
      <c r="AS1585" s="30"/>
      <c r="AT1585" s="29"/>
      <c r="AU1585" s="30"/>
      <c r="AV1585" s="30"/>
      <c r="AW1585" s="30"/>
      <c r="AX1585" s="29"/>
      <c r="AY1585" s="39"/>
      <c r="AZ1585" s="30"/>
      <c r="BA1585" s="30"/>
      <c r="BB1585" s="29"/>
      <c r="BC1585" s="52"/>
      <c r="BD1585" s="30"/>
      <c r="BE1585" s="29"/>
      <c r="BF1585" s="30"/>
      <c r="BG1585" s="30"/>
      <c r="BH1585" s="30"/>
      <c r="BI1585" s="30"/>
      <c r="BJ1585" s="30"/>
      <c r="BK1585" s="30"/>
      <c r="BL1585" s="30"/>
      <c r="BM1585" s="30"/>
      <c r="BN1585" s="30"/>
      <c r="BO1585" s="30"/>
      <c r="BP1585" s="30"/>
      <c r="BQ1585" s="30"/>
      <c r="BR1585" s="30"/>
      <c r="BS1585" s="30"/>
      <c r="BT1585" s="30"/>
      <c r="BU1585" s="30"/>
      <c r="BV1585" s="30"/>
      <c r="BW1585" s="30"/>
      <c r="BX1585" s="30"/>
      <c r="BY1585" s="30"/>
      <c r="BZ1585" s="30"/>
      <c r="CA1585" s="30"/>
      <c r="CB1585" s="30"/>
      <c r="CC1585" s="30"/>
      <c r="CD1585" s="30"/>
      <c r="CE1585" s="30"/>
      <c r="CF1585" s="30"/>
      <c r="CG1585" s="30"/>
      <c r="CH1585" s="30"/>
      <c r="CI1585" s="30"/>
      <c r="CJ1585" s="30"/>
      <c r="CK1585" s="30"/>
      <c r="CL1585" s="30"/>
      <c r="CM1585" s="30"/>
      <c r="CN1585" s="30"/>
      <c r="CO1585" s="30"/>
      <c r="CP1585" s="30"/>
      <c r="CQ1585" s="30"/>
      <c r="CR1585" s="30"/>
      <c r="CS1585" s="30"/>
      <c r="CT1585" s="30"/>
      <c r="CU1585" s="30"/>
      <c r="CV1585" s="30"/>
      <c r="CW1585" s="30"/>
      <c r="CX1585" s="30"/>
      <c r="CY1585" s="30"/>
      <c r="CZ1585" s="30"/>
      <c r="DA1585" s="30"/>
      <c r="DB1585" s="30"/>
      <c r="DC1585" s="30"/>
      <c r="DD1585" s="30"/>
      <c r="DE1585" s="30"/>
      <c r="DF1585" s="30"/>
      <c r="DG1585" s="30"/>
      <c r="DH1585" s="30"/>
      <c r="DI1585" s="30"/>
      <c r="DJ1585" s="30"/>
      <c r="DK1585" s="30"/>
      <c r="DL1585" s="30"/>
      <c r="DM1585" s="30"/>
      <c r="DN1585" s="30"/>
      <c r="DO1585" s="30"/>
      <c r="DP1585" s="30"/>
      <c r="DQ1585" s="30"/>
      <c r="DR1585" s="30"/>
      <c r="DS1585" s="30"/>
      <c r="DT1585" s="30"/>
      <c r="DU1585" s="30"/>
      <c r="DV1585" s="30"/>
      <c r="DW1585" s="30"/>
      <c r="DX1585" s="30"/>
      <c r="DY1585" s="30"/>
      <c r="DZ1585" s="30"/>
    </row>
    <row r="1586">
      <c r="A1586" s="30"/>
      <c r="B1586" s="42"/>
      <c r="C1586" s="43"/>
      <c r="D1586" s="30"/>
      <c r="E1586" s="28"/>
      <c r="F1586" s="30"/>
      <c r="G1586" s="30"/>
      <c r="H1586" s="30"/>
      <c r="I1586" s="30"/>
      <c r="J1586" s="28"/>
      <c r="K1586" s="30"/>
      <c r="L1586" s="30"/>
      <c r="M1586" s="30"/>
      <c r="N1586" s="30"/>
      <c r="O1586" s="28"/>
      <c r="P1586" s="30"/>
      <c r="Q1586" s="30"/>
      <c r="R1586" s="30"/>
      <c r="S1586" s="36"/>
      <c r="T1586" s="30"/>
      <c r="U1586" s="36"/>
      <c r="V1586" s="30"/>
      <c r="W1586" s="28"/>
      <c r="X1586" s="30"/>
      <c r="Y1586" s="30"/>
      <c r="Z1586" s="30"/>
      <c r="AA1586" s="30"/>
      <c r="AB1586" s="30"/>
      <c r="AC1586" s="28"/>
      <c r="AD1586" s="30"/>
      <c r="AE1586" s="30"/>
      <c r="AF1586" s="30"/>
      <c r="AG1586" s="29"/>
      <c r="AH1586" s="30"/>
      <c r="AI1586" s="36"/>
      <c r="AJ1586" s="30"/>
      <c r="AK1586" s="29"/>
      <c r="AL1586" s="30"/>
      <c r="AM1586" s="30"/>
      <c r="AN1586" s="30"/>
      <c r="AO1586" s="30"/>
      <c r="AP1586" s="30"/>
      <c r="AQ1586" s="38"/>
      <c r="AR1586" s="30"/>
      <c r="AS1586" s="30"/>
      <c r="AT1586" s="29"/>
      <c r="AU1586" s="30"/>
      <c r="AV1586" s="30"/>
      <c r="AW1586" s="30"/>
      <c r="AX1586" s="29"/>
      <c r="AY1586" s="39"/>
      <c r="AZ1586" s="30"/>
      <c r="BA1586" s="30"/>
      <c r="BB1586" s="29"/>
      <c r="BC1586" s="52"/>
      <c r="BD1586" s="30"/>
      <c r="BE1586" s="29"/>
      <c r="BF1586" s="30"/>
      <c r="BG1586" s="30"/>
      <c r="BH1586" s="30"/>
      <c r="BI1586" s="30"/>
      <c r="BJ1586" s="30"/>
      <c r="BK1586" s="30"/>
      <c r="BL1586" s="30"/>
      <c r="BM1586" s="30"/>
      <c r="BN1586" s="30"/>
      <c r="BO1586" s="30"/>
      <c r="BP1586" s="30"/>
      <c r="BQ1586" s="30"/>
      <c r="BR1586" s="30"/>
      <c r="BS1586" s="30"/>
      <c r="BT1586" s="30"/>
      <c r="BU1586" s="30"/>
      <c r="BV1586" s="30"/>
      <c r="BW1586" s="30"/>
      <c r="BX1586" s="30"/>
      <c r="BY1586" s="30"/>
      <c r="BZ1586" s="30"/>
      <c r="CA1586" s="30"/>
      <c r="CB1586" s="30"/>
      <c r="CC1586" s="30"/>
      <c r="CD1586" s="30"/>
      <c r="CE1586" s="30"/>
      <c r="CF1586" s="30"/>
      <c r="CG1586" s="30"/>
      <c r="CH1586" s="30"/>
      <c r="CI1586" s="30"/>
      <c r="CJ1586" s="30"/>
      <c r="CK1586" s="30"/>
      <c r="CL1586" s="30"/>
      <c r="CM1586" s="30"/>
      <c r="CN1586" s="30"/>
      <c r="CO1586" s="30"/>
      <c r="CP1586" s="30"/>
      <c r="CQ1586" s="30"/>
      <c r="CR1586" s="30"/>
      <c r="CS1586" s="30"/>
      <c r="CT1586" s="30"/>
      <c r="CU1586" s="30"/>
      <c r="CV1586" s="30"/>
      <c r="CW1586" s="30"/>
      <c r="CX1586" s="30"/>
      <c r="CY1586" s="30"/>
      <c r="CZ1586" s="30"/>
      <c r="DA1586" s="30"/>
      <c r="DB1586" s="30"/>
      <c r="DC1586" s="30"/>
      <c r="DD1586" s="30"/>
      <c r="DE1586" s="30"/>
      <c r="DF1586" s="30"/>
      <c r="DG1586" s="30"/>
      <c r="DH1586" s="30"/>
      <c r="DI1586" s="30"/>
      <c r="DJ1586" s="30"/>
      <c r="DK1586" s="30"/>
      <c r="DL1586" s="30"/>
      <c r="DM1586" s="30"/>
      <c r="DN1586" s="30"/>
      <c r="DO1586" s="30"/>
      <c r="DP1586" s="30"/>
      <c r="DQ1586" s="30"/>
      <c r="DR1586" s="30"/>
      <c r="DS1586" s="30"/>
      <c r="DT1586" s="30"/>
      <c r="DU1586" s="30"/>
      <c r="DV1586" s="30"/>
      <c r="DW1586" s="30"/>
      <c r="DX1586" s="30"/>
      <c r="DY1586" s="30"/>
      <c r="DZ1586" s="30"/>
    </row>
    <row r="1587">
      <c r="A1587" s="30"/>
      <c r="B1587" s="42"/>
      <c r="C1587" s="43"/>
      <c r="D1587" s="30"/>
      <c r="E1587" s="28"/>
      <c r="F1587" s="30"/>
      <c r="G1587" s="30"/>
      <c r="H1587" s="30"/>
      <c r="I1587" s="30"/>
      <c r="J1587" s="28"/>
      <c r="K1587" s="30"/>
      <c r="L1587" s="30"/>
      <c r="M1587" s="30"/>
      <c r="N1587" s="30"/>
      <c r="O1587" s="28"/>
      <c r="P1587" s="30"/>
      <c r="Q1587" s="30"/>
      <c r="R1587" s="30"/>
      <c r="S1587" s="36"/>
      <c r="T1587" s="30"/>
      <c r="U1587" s="36"/>
      <c r="V1587" s="30"/>
      <c r="W1587" s="28"/>
      <c r="X1587" s="30"/>
      <c r="Y1587" s="30"/>
      <c r="Z1587" s="30"/>
      <c r="AA1587" s="30"/>
      <c r="AB1587" s="30"/>
      <c r="AC1587" s="28"/>
      <c r="AD1587" s="30"/>
      <c r="AE1587" s="30"/>
      <c r="AF1587" s="30"/>
      <c r="AG1587" s="29"/>
      <c r="AH1587" s="30"/>
      <c r="AI1587" s="36"/>
      <c r="AJ1587" s="30"/>
      <c r="AK1587" s="29"/>
      <c r="AL1587" s="30"/>
      <c r="AM1587" s="30"/>
      <c r="AN1587" s="30"/>
      <c r="AO1587" s="30"/>
      <c r="AP1587" s="30"/>
      <c r="AQ1587" s="38"/>
      <c r="AR1587" s="30"/>
      <c r="AS1587" s="30"/>
      <c r="AT1587" s="29"/>
      <c r="AU1587" s="30"/>
      <c r="AV1587" s="30"/>
      <c r="AW1587" s="30"/>
      <c r="AX1587" s="29"/>
      <c r="AY1587" s="39"/>
      <c r="AZ1587" s="30"/>
      <c r="BA1587" s="30"/>
      <c r="BB1587" s="29"/>
      <c r="BC1587" s="52"/>
      <c r="BD1587" s="30"/>
      <c r="BE1587" s="29"/>
      <c r="BF1587" s="30"/>
      <c r="BG1587" s="30"/>
      <c r="BH1587" s="30"/>
      <c r="BI1587" s="30"/>
      <c r="BJ1587" s="30"/>
      <c r="BK1587" s="30"/>
      <c r="BL1587" s="30"/>
      <c r="BM1587" s="30"/>
      <c r="BN1587" s="30"/>
      <c r="BO1587" s="30"/>
      <c r="BP1587" s="30"/>
      <c r="BQ1587" s="30"/>
      <c r="BR1587" s="30"/>
      <c r="BS1587" s="30"/>
      <c r="BT1587" s="30"/>
      <c r="BU1587" s="30"/>
      <c r="BV1587" s="30"/>
      <c r="BW1587" s="30"/>
      <c r="BX1587" s="30"/>
      <c r="BY1587" s="30"/>
      <c r="BZ1587" s="30"/>
      <c r="CA1587" s="30"/>
      <c r="CB1587" s="30"/>
      <c r="CC1587" s="30"/>
      <c r="CD1587" s="30"/>
      <c r="CE1587" s="30"/>
      <c r="CF1587" s="30"/>
      <c r="CG1587" s="30"/>
      <c r="CH1587" s="30"/>
      <c r="CI1587" s="30"/>
      <c r="CJ1587" s="30"/>
      <c r="CK1587" s="30"/>
      <c r="CL1587" s="30"/>
      <c r="CM1587" s="30"/>
      <c r="CN1587" s="30"/>
      <c r="CO1587" s="30"/>
      <c r="CP1587" s="30"/>
      <c r="CQ1587" s="30"/>
      <c r="CR1587" s="30"/>
      <c r="CS1587" s="30"/>
      <c r="CT1587" s="30"/>
      <c r="CU1587" s="30"/>
      <c r="CV1587" s="30"/>
      <c r="CW1587" s="30"/>
      <c r="CX1587" s="30"/>
      <c r="CY1587" s="30"/>
      <c r="CZ1587" s="30"/>
      <c r="DA1587" s="30"/>
      <c r="DB1587" s="30"/>
      <c r="DC1587" s="30"/>
      <c r="DD1587" s="30"/>
      <c r="DE1587" s="30"/>
      <c r="DF1587" s="30"/>
      <c r="DG1587" s="30"/>
      <c r="DH1587" s="30"/>
      <c r="DI1587" s="30"/>
      <c r="DJ1587" s="30"/>
      <c r="DK1587" s="30"/>
      <c r="DL1587" s="30"/>
      <c r="DM1587" s="30"/>
      <c r="DN1587" s="30"/>
      <c r="DO1587" s="30"/>
      <c r="DP1587" s="30"/>
      <c r="DQ1587" s="30"/>
      <c r="DR1587" s="30"/>
      <c r="DS1587" s="30"/>
      <c r="DT1587" s="30"/>
      <c r="DU1587" s="30"/>
      <c r="DV1587" s="30"/>
      <c r="DW1587" s="30"/>
      <c r="DX1587" s="30"/>
      <c r="DY1587" s="30"/>
      <c r="DZ1587" s="30"/>
    </row>
    <row r="1588">
      <c r="A1588" s="30"/>
      <c r="B1588" s="42"/>
      <c r="C1588" s="43"/>
      <c r="D1588" s="30"/>
      <c r="E1588" s="28"/>
      <c r="F1588" s="30"/>
      <c r="G1588" s="30"/>
      <c r="H1588" s="30"/>
      <c r="I1588" s="30"/>
      <c r="J1588" s="28"/>
      <c r="K1588" s="30"/>
      <c r="L1588" s="30"/>
      <c r="M1588" s="30"/>
      <c r="N1588" s="30"/>
      <c r="O1588" s="28"/>
      <c r="P1588" s="30"/>
      <c r="Q1588" s="30"/>
      <c r="R1588" s="30"/>
      <c r="S1588" s="36"/>
      <c r="T1588" s="30"/>
      <c r="U1588" s="36"/>
      <c r="V1588" s="30"/>
      <c r="W1588" s="28"/>
      <c r="X1588" s="30"/>
      <c r="Y1588" s="30"/>
      <c r="Z1588" s="30"/>
      <c r="AA1588" s="30"/>
      <c r="AB1588" s="30"/>
      <c r="AC1588" s="28"/>
      <c r="AD1588" s="30"/>
      <c r="AE1588" s="30"/>
      <c r="AF1588" s="30"/>
      <c r="AG1588" s="29"/>
      <c r="AH1588" s="30"/>
      <c r="AI1588" s="36"/>
      <c r="AJ1588" s="30"/>
      <c r="AK1588" s="29"/>
      <c r="AL1588" s="30"/>
      <c r="AM1588" s="30"/>
      <c r="AN1588" s="30"/>
      <c r="AO1588" s="30"/>
      <c r="AP1588" s="30"/>
      <c r="AQ1588" s="38"/>
      <c r="AR1588" s="30"/>
      <c r="AS1588" s="30"/>
      <c r="AT1588" s="29"/>
      <c r="AU1588" s="30"/>
      <c r="AV1588" s="30"/>
      <c r="AW1588" s="30"/>
      <c r="AX1588" s="29"/>
      <c r="AY1588" s="39"/>
      <c r="AZ1588" s="30"/>
      <c r="BA1588" s="30"/>
      <c r="BB1588" s="29"/>
      <c r="BC1588" s="52"/>
      <c r="BD1588" s="30"/>
      <c r="BE1588" s="29"/>
      <c r="BF1588" s="30"/>
      <c r="BG1588" s="30"/>
      <c r="BH1588" s="30"/>
      <c r="BI1588" s="30"/>
      <c r="BJ1588" s="30"/>
      <c r="BK1588" s="30"/>
      <c r="BL1588" s="30"/>
      <c r="BM1588" s="30"/>
      <c r="BN1588" s="30"/>
      <c r="BO1588" s="30"/>
      <c r="BP1588" s="30"/>
      <c r="BQ1588" s="30"/>
      <c r="BR1588" s="30"/>
      <c r="BS1588" s="30"/>
      <c r="BT1588" s="30"/>
      <c r="BU1588" s="30"/>
      <c r="BV1588" s="30"/>
      <c r="BW1588" s="30"/>
      <c r="BX1588" s="30"/>
      <c r="BY1588" s="30"/>
      <c r="BZ1588" s="30"/>
      <c r="CA1588" s="30"/>
      <c r="CB1588" s="30"/>
      <c r="CC1588" s="30"/>
      <c r="CD1588" s="30"/>
      <c r="CE1588" s="30"/>
      <c r="CF1588" s="30"/>
      <c r="CG1588" s="30"/>
      <c r="CH1588" s="30"/>
      <c r="CI1588" s="30"/>
      <c r="CJ1588" s="30"/>
      <c r="CK1588" s="30"/>
      <c r="CL1588" s="30"/>
      <c r="CM1588" s="30"/>
      <c r="CN1588" s="30"/>
      <c r="CO1588" s="30"/>
      <c r="CP1588" s="30"/>
      <c r="CQ1588" s="30"/>
      <c r="CR1588" s="30"/>
      <c r="CS1588" s="30"/>
      <c r="CT1588" s="30"/>
      <c r="CU1588" s="30"/>
      <c r="CV1588" s="30"/>
      <c r="CW1588" s="30"/>
      <c r="CX1588" s="30"/>
      <c r="CY1588" s="30"/>
      <c r="CZ1588" s="30"/>
      <c r="DA1588" s="30"/>
      <c r="DB1588" s="30"/>
      <c r="DC1588" s="30"/>
      <c r="DD1588" s="30"/>
      <c r="DE1588" s="30"/>
      <c r="DF1588" s="30"/>
      <c r="DG1588" s="30"/>
      <c r="DH1588" s="30"/>
      <c r="DI1588" s="30"/>
      <c r="DJ1588" s="30"/>
      <c r="DK1588" s="30"/>
      <c r="DL1588" s="30"/>
      <c r="DM1588" s="30"/>
      <c r="DN1588" s="30"/>
      <c r="DO1588" s="30"/>
      <c r="DP1588" s="30"/>
      <c r="DQ1588" s="30"/>
      <c r="DR1588" s="30"/>
      <c r="DS1588" s="30"/>
      <c r="DT1588" s="30"/>
      <c r="DU1588" s="30"/>
      <c r="DV1588" s="30"/>
      <c r="DW1588" s="30"/>
      <c r="DX1588" s="30"/>
      <c r="DY1588" s="30"/>
      <c r="DZ1588" s="30"/>
    </row>
    <row r="1589">
      <c r="A1589" s="30"/>
      <c r="B1589" s="42"/>
      <c r="C1589" s="43"/>
      <c r="D1589" s="30"/>
      <c r="E1589" s="28"/>
      <c r="F1589" s="30"/>
      <c r="G1589" s="30"/>
      <c r="H1589" s="30"/>
      <c r="I1589" s="30"/>
      <c r="J1589" s="28"/>
      <c r="K1589" s="30"/>
      <c r="L1589" s="30"/>
      <c r="M1589" s="30"/>
      <c r="N1589" s="30"/>
      <c r="O1589" s="28"/>
      <c r="P1589" s="30"/>
      <c r="Q1589" s="30"/>
      <c r="R1589" s="30"/>
      <c r="S1589" s="36"/>
      <c r="T1589" s="30"/>
      <c r="U1589" s="36"/>
      <c r="V1589" s="30"/>
      <c r="W1589" s="28"/>
      <c r="X1589" s="30"/>
      <c r="Y1589" s="30"/>
      <c r="Z1589" s="30"/>
      <c r="AA1589" s="30"/>
      <c r="AB1589" s="30"/>
      <c r="AC1589" s="28"/>
      <c r="AD1589" s="30"/>
      <c r="AE1589" s="30"/>
      <c r="AF1589" s="30"/>
      <c r="AG1589" s="29"/>
      <c r="AH1589" s="30"/>
      <c r="AI1589" s="36"/>
      <c r="AJ1589" s="30"/>
      <c r="AK1589" s="29"/>
      <c r="AL1589" s="30"/>
      <c r="AM1589" s="30"/>
      <c r="AN1589" s="30"/>
      <c r="AO1589" s="30"/>
      <c r="AP1589" s="30"/>
      <c r="AQ1589" s="38"/>
      <c r="AR1589" s="30"/>
      <c r="AS1589" s="30"/>
      <c r="AT1589" s="29"/>
      <c r="AU1589" s="30"/>
      <c r="AV1589" s="30"/>
      <c r="AW1589" s="30"/>
      <c r="AX1589" s="29"/>
      <c r="AY1589" s="39"/>
      <c r="AZ1589" s="30"/>
      <c r="BA1589" s="30"/>
      <c r="BB1589" s="29"/>
      <c r="BC1589" s="52"/>
      <c r="BD1589" s="30"/>
      <c r="BE1589" s="29"/>
      <c r="BF1589" s="30"/>
      <c r="BG1589" s="30"/>
      <c r="BH1589" s="30"/>
      <c r="BI1589" s="30"/>
      <c r="BJ1589" s="30"/>
      <c r="BK1589" s="30"/>
      <c r="BL1589" s="30"/>
      <c r="BM1589" s="30"/>
      <c r="BN1589" s="30"/>
      <c r="BO1589" s="30"/>
      <c r="BP1589" s="30"/>
      <c r="BQ1589" s="30"/>
      <c r="BR1589" s="30"/>
      <c r="BS1589" s="30"/>
      <c r="BT1589" s="30"/>
      <c r="BU1589" s="30"/>
      <c r="BV1589" s="30"/>
      <c r="BW1589" s="30"/>
      <c r="BX1589" s="30"/>
      <c r="BY1589" s="30"/>
      <c r="BZ1589" s="30"/>
      <c r="CA1589" s="30"/>
      <c r="CB1589" s="30"/>
      <c r="CC1589" s="30"/>
      <c r="CD1589" s="30"/>
      <c r="CE1589" s="30"/>
      <c r="CF1589" s="30"/>
      <c r="CG1589" s="30"/>
      <c r="CH1589" s="30"/>
      <c r="CI1589" s="30"/>
      <c r="CJ1589" s="30"/>
      <c r="CK1589" s="30"/>
      <c r="CL1589" s="30"/>
      <c r="CM1589" s="30"/>
      <c r="CN1589" s="30"/>
      <c r="CO1589" s="30"/>
      <c r="CP1589" s="30"/>
      <c r="CQ1589" s="30"/>
      <c r="CR1589" s="30"/>
      <c r="CS1589" s="30"/>
      <c r="CT1589" s="30"/>
      <c r="CU1589" s="30"/>
      <c r="CV1589" s="30"/>
      <c r="CW1589" s="30"/>
      <c r="CX1589" s="30"/>
      <c r="CY1589" s="30"/>
      <c r="CZ1589" s="30"/>
      <c r="DA1589" s="30"/>
      <c r="DB1589" s="30"/>
      <c r="DC1589" s="30"/>
      <c r="DD1589" s="30"/>
      <c r="DE1589" s="30"/>
      <c r="DF1589" s="30"/>
      <c r="DG1589" s="30"/>
      <c r="DH1589" s="30"/>
      <c r="DI1589" s="30"/>
      <c r="DJ1589" s="30"/>
      <c r="DK1589" s="30"/>
      <c r="DL1589" s="30"/>
      <c r="DM1589" s="30"/>
      <c r="DN1589" s="30"/>
      <c r="DO1589" s="30"/>
      <c r="DP1589" s="30"/>
      <c r="DQ1589" s="30"/>
      <c r="DR1589" s="30"/>
      <c r="DS1589" s="30"/>
      <c r="DT1589" s="30"/>
      <c r="DU1589" s="30"/>
      <c r="DV1589" s="30"/>
      <c r="DW1589" s="30"/>
      <c r="DX1589" s="30"/>
      <c r="DY1589" s="30"/>
      <c r="DZ1589" s="30"/>
    </row>
    <row r="1590">
      <c r="A1590" s="30"/>
      <c r="B1590" s="42"/>
      <c r="C1590" s="43"/>
      <c r="D1590" s="30"/>
      <c r="E1590" s="28"/>
      <c r="F1590" s="30"/>
      <c r="G1590" s="30"/>
      <c r="H1590" s="30"/>
      <c r="I1590" s="30"/>
      <c r="J1590" s="28"/>
      <c r="K1590" s="30"/>
      <c r="L1590" s="30"/>
      <c r="M1590" s="30"/>
      <c r="N1590" s="30"/>
      <c r="O1590" s="28"/>
      <c r="P1590" s="30"/>
      <c r="Q1590" s="30"/>
      <c r="R1590" s="30"/>
      <c r="S1590" s="36"/>
      <c r="T1590" s="30"/>
      <c r="U1590" s="36"/>
      <c r="V1590" s="30"/>
      <c r="W1590" s="28"/>
      <c r="X1590" s="30"/>
      <c r="Y1590" s="30"/>
      <c r="Z1590" s="30"/>
      <c r="AA1590" s="30"/>
      <c r="AB1590" s="30"/>
      <c r="AC1590" s="28"/>
      <c r="AD1590" s="30"/>
      <c r="AE1590" s="30"/>
      <c r="AF1590" s="30"/>
      <c r="AG1590" s="29"/>
      <c r="AH1590" s="30"/>
      <c r="AI1590" s="36"/>
      <c r="AJ1590" s="30"/>
      <c r="AK1590" s="29"/>
      <c r="AL1590" s="30"/>
      <c r="AM1590" s="30"/>
      <c r="AN1590" s="30"/>
      <c r="AO1590" s="30"/>
      <c r="AP1590" s="30"/>
      <c r="AQ1590" s="38"/>
      <c r="AR1590" s="30"/>
      <c r="AS1590" s="30"/>
      <c r="AT1590" s="29"/>
      <c r="AU1590" s="30"/>
      <c r="AV1590" s="30"/>
      <c r="AW1590" s="30"/>
      <c r="AX1590" s="29"/>
      <c r="AY1590" s="39"/>
      <c r="AZ1590" s="30"/>
      <c r="BA1590" s="30"/>
      <c r="BB1590" s="29"/>
      <c r="BC1590" s="52"/>
      <c r="BD1590" s="30"/>
      <c r="BE1590" s="29"/>
      <c r="BF1590" s="30"/>
      <c r="BG1590" s="30"/>
      <c r="BH1590" s="30"/>
      <c r="BI1590" s="30"/>
      <c r="BJ1590" s="30"/>
      <c r="BK1590" s="30"/>
      <c r="BL1590" s="30"/>
      <c r="BM1590" s="30"/>
      <c r="BN1590" s="30"/>
      <c r="BO1590" s="30"/>
      <c r="BP1590" s="30"/>
      <c r="BQ1590" s="30"/>
      <c r="BR1590" s="30"/>
      <c r="BS1590" s="30"/>
      <c r="BT1590" s="30"/>
      <c r="BU1590" s="30"/>
      <c r="BV1590" s="30"/>
      <c r="BW1590" s="30"/>
      <c r="BX1590" s="30"/>
      <c r="BY1590" s="30"/>
      <c r="BZ1590" s="30"/>
      <c r="CA1590" s="30"/>
      <c r="CB1590" s="30"/>
      <c r="CC1590" s="30"/>
      <c r="CD1590" s="30"/>
      <c r="CE1590" s="30"/>
      <c r="CF1590" s="30"/>
      <c r="CG1590" s="30"/>
      <c r="CH1590" s="30"/>
      <c r="CI1590" s="30"/>
      <c r="CJ1590" s="30"/>
      <c r="CK1590" s="30"/>
      <c r="CL1590" s="30"/>
      <c r="CM1590" s="30"/>
      <c r="CN1590" s="30"/>
      <c r="CO1590" s="30"/>
      <c r="CP1590" s="30"/>
      <c r="CQ1590" s="30"/>
      <c r="CR1590" s="30"/>
      <c r="CS1590" s="30"/>
      <c r="CT1590" s="30"/>
      <c r="CU1590" s="30"/>
      <c r="CV1590" s="30"/>
      <c r="CW1590" s="30"/>
      <c r="CX1590" s="30"/>
      <c r="CY1590" s="30"/>
      <c r="CZ1590" s="30"/>
      <c r="DA1590" s="30"/>
      <c r="DB1590" s="30"/>
      <c r="DC1590" s="30"/>
      <c r="DD1590" s="30"/>
      <c r="DE1590" s="30"/>
      <c r="DF1590" s="30"/>
      <c r="DG1590" s="30"/>
      <c r="DH1590" s="30"/>
      <c r="DI1590" s="30"/>
      <c r="DJ1590" s="30"/>
      <c r="DK1590" s="30"/>
      <c r="DL1590" s="30"/>
      <c r="DM1590" s="30"/>
      <c r="DN1590" s="30"/>
      <c r="DO1590" s="30"/>
      <c r="DP1590" s="30"/>
      <c r="DQ1590" s="30"/>
      <c r="DR1590" s="30"/>
      <c r="DS1590" s="30"/>
      <c r="DT1590" s="30"/>
      <c r="DU1590" s="30"/>
      <c r="DV1590" s="30"/>
      <c r="DW1590" s="30"/>
      <c r="DX1590" s="30"/>
      <c r="DY1590" s="30"/>
      <c r="DZ1590" s="30"/>
    </row>
    <row r="1591">
      <c r="A1591" s="30"/>
      <c r="B1591" s="42"/>
      <c r="C1591" s="43"/>
      <c r="D1591" s="30"/>
      <c r="E1591" s="28"/>
      <c r="F1591" s="30"/>
      <c r="G1591" s="30"/>
      <c r="H1591" s="30"/>
      <c r="I1591" s="30"/>
      <c r="J1591" s="28"/>
      <c r="K1591" s="30"/>
      <c r="L1591" s="30"/>
      <c r="M1591" s="30"/>
      <c r="N1591" s="30"/>
      <c r="O1591" s="28"/>
      <c r="P1591" s="30"/>
      <c r="Q1591" s="30"/>
      <c r="R1591" s="30"/>
      <c r="S1591" s="36"/>
      <c r="T1591" s="30"/>
      <c r="U1591" s="36"/>
      <c r="V1591" s="30"/>
      <c r="W1591" s="28"/>
      <c r="X1591" s="30"/>
      <c r="Y1591" s="30"/>
      <c r="Z1591" s="30"/>
      <c r="AA1591" s="30"/>
      <c r="AB1591" s="30"/>
      <c r="AC1591" s="28"/>
      <c r="AD1591" s="30"/>
      <c r="AE1591" s="30"/>
      <c r="AF1591" s="30"/>
      <c r="AG1591" s="29"/>
      <c r="AH1591" s="30"/>
      <c r="AI1591" s="36"/>
      <c r="AJ1591" s="30"/>
      <c r="AK1591" s="29"/>
      <c r="AL1591" s="30"/>
      <c r="AM1591" s="30"/>
      <c r="AN1591" s="30"/>
      <c r="AO1591" s="30"/>
      <c r="AP1591" s="30"/>
      <c r="AQ1591" s="38"/>
      <c r="AR1591" s="30"/>
      <c r="AS1591" s="30"/>
      <c r="AT1591" s="29"/>
      <c r="AU1591" s="30"/>
      <c r="AV1591" s="30"/>
      <c r="AW1591" s="30"/>
      <c r="AX1591" s="29"/>
      <c r="AY1591" s="39"/>
      <c r="AZ1591" s="30"/>
      <c r="BA1591" s="30"/>
      <c r="BB1591" s="29"/>
      <c r="BC1591" s="52"/>
      <c r="BD1591" s="30"/>
      <c r="BE1591" s="29"/>
      <c r="BF1591" s="30"/>
      <c r="BG1591" s="30"/>
      <c r="BH1591" s="30"/>
      <c r="BI1591" s="30"/>
      <c r="BJ1591" s="30"/>
      <c r="BK1591" s="30"/>
      <c r="BL1591" s="30"/>
      <c r="BM1591" s="30"/>
      <c r="BN1591" s="30"/>
      <c r="BO1591" s="30"/>
      <c r="BP1591" s="30"/>
      <c r="BQ1591" s="30"/>
      <c r="BR1591" s="30"/>
      <c r="BS1591" s="30"/>
      <c r="BT1591" s="30"/>
      <c r="BU1591" s="30"/>
      <c r="BV1591" s="30"/>
      <c r="BW1591" s="30"/>
      <c r="BX1591" s="30"/>
      <c r="BY1591" s="30"/>
      <c r="BZ1591" s="30"/>
      <c r="CA1591" s="30"/>
      <c r="CB1591" s="30"/>
      <c r="CC1591" s="30"/>
      <c r="CD1591" s="30"/>
      <c r="CE1591" s="30"/>
      <c r="CF1591" s="30"/>
      <c r="CG1591" s="30"/>
      <c r="CH1591" s="30"/>
      <c r="CI1591" s="30"/>
      <c r="CJ1591" s="30"/>
      <c r="CK1591" s="30"/>
      <c r="CL1591" s="30"/>
      <c r="CM1591" s="30"/>
      <c r="CN1591" s="30"/>
      <c r="CO1591" s="30"/>
      <c r="CP1591" s="30"/>
      <c r="CQ1591" s="30"/>
      <c r="CR1591" s="30"/>
      <c r="CS1591" s="30"/>
      <c r="CT1591" s="30"/>
      <c r="CU1591" s="30"/>
      <c r="CV1591" s="30"/>
      <c r="CW1591" s="30"/>
      <c r="CX1591" s="30"/>
      <c r="CY1591" s="30"/>
      <c r="CZ1591" s="30"/>
      <c r="DA1591" s="30"/>
      <c r="DB1591" s="30"/>
      <c r="DC1591" s="30"/>
      <c r="DD1591" s="30"/>
      <c r="DE1591" s="30"/>
      <c r="DF1591" s="30"/>
      <c r="DG1591" s="30"/>
      <c r="DH1591" s="30"/>
      <c r="DI1591" s="30"/>
      <c r="DJ1591" s="30"/>
      <c r="DK1591" s="30"/>
      <c r="DL1591" s="30"/>
      <c r="DM1591" s="30"/>
      <c r="DN1591" s="30"/>
      <c r="DO1591" s="30"/>
      <c r="DP1591" s="30"/>
      <c r="DQ1591" s="30"/>
      <c r="DR1591" s="30"/>
      <c r="DS1591" s="30"/>
      <c r="DT1591" s="30"/>
      <c r="DU1591" s="30"/>
      <c r="DV1591" s="30"/>
      <c r="DW1591" s="30"/>
      <c r="DX1591" s="30"/>
      <c r="DY1591" s="30"/>
      <c r="DZ1591" s="30"/>
    </row>
    <row r="1592">
      <c r="A1592" s="30"/>
      <c r="B1592" s="42"/>
      <c r="C1592" s="43"/>
      <c r="D1592" s="30"/>
      <c r="E1592" s="28"/>
      <c r="F1592" s="30"/>
      <c r="G1592" s="30"/>
      <c r="H1592" s="30"/>
      <c r="I1592" s="30"/>
      <c r="J1592" s="28"/>
      <c r="K1592" s="30"/>
      <c r="L1592" s="30"/>
      <c r="M1592" s="30"/>
      <c r="N1592" s="30"/>
      <c r="O1592" s="28"/>
      <c r="P1592" s="30"/>
      <c r="Q1592" s="30"/>
      <c r="R1592" s="30"/>
      <c r="S1592" s="36"/>
      <c r="T1592" s="30"/>
      <c r="U1592" s="36"/>
      <c r="V1592" s="30"/>
      <c r="W1592" s="28"/>
      <c r="X1592" s="30"/>
      <c r="Y1592" s="30"/>
      <c r="Z1592" s="30"/>
      <c r="AA1592" s="30"/>
      <c r="AB1592" s="30"/>
      <c r="AC1592" s="28"/>
      <c r="AD1592" s="30"/>
      <c r="AE1592" s="30"/>
      <c r="AF1592" s="30"/>
      <c r="AG1592" s="29"/>
      <c r="AH1592" s="30"/>
      <c r="AI1592" s="36"/>
      <c r="AJ1592" s="30"/>
      <c r="AK1592" s="29"/>
      <c r="AL1592" s="30"/>
      <c r="AM1592" s="30"/>
      <c r="AN1592" s="30"/>
      <c r="AO1592" s="30"/>
      <c r="AP1592" s="30"/>
      <c r="AQ1592" s="38"/>
      <c r="AR1592" s="30"/>
      <c r="AS1592" s="30"/>
      <c r="AT1592" s="29"/>
      <c r="AU1592" s="30"/>
      <c r="AV1592" s="30"/>
      <c r="AW1592" s="30"/>
      <c r="AX1592" s="29"/>
      <c r="AY1592" s="39"/>
      <c r="AZ1592" s="30"/>
      <c r="BA1592" s="30"/>
      <c r="BB1592" s="29"/>
      <c r="BC1592" s="52"/>
      <c r="BD1592" s="30"/>
      <c r="BE1592" s="29"/>
      <c r="BF1592" s="30"/>
      <c r="BG1592" s="30"/>
      <c r="BH1592" s="30"/>
      <c r="BI1592" s="30"/>
      <c r="BJ1592" s="30"/>
      <c r="BK1592" s="30"/>
      <c r="BL1592" s="30"/>
      <c r="BM1592" s="30"/>
      <c r="BN1592" s="30"/>
      <c r="BO1592" s="30"/>
      <c r="BP1592" s="30"/>
      <c r="BQ1592" s="30"/>
      <c r="BR1592" s="30"/>
      <c r="BS1592" s="30"/>
      <c r="BT1592" s="30"/>
      <c r="BU1592" s="30"/>
      <c r="BV1592" s="30"/>
      <c r="BW1592" s="30"/>
      <c r="BX1592" s="30"/>
      <c r="BY1592" s="30"/>
      <c r="BZ1592" s="30"/>
      <c r="CA1592" s="30"/>
      <c r="CB1592" s="30"/>
      <c r="CC1592" s="30"/>
      <c r="CD1592" s="30"/>
      <c r="CE1592" s="30"/>
      <c r="CF1592" s="30"/>
      <c r="CG1592" s="30"/>
      <c r="CH1592" s="30"/>
      <c r="CI1592" s="30"/>
      <c r="CJ1592" s="30"/>
      <c r="CK1592" s="30"/>
      <c r="CL1592" s="30"/>
      <c r="CM1592" s="30"/>
      <c r="CN1592" s="30"/>
      <c r="CO1592" s="30"/>
      <c r="CP1592" s="30"/>
      <c r="CQ1592" s="30"/>
      <c r="CR1592" s="30"/>
      <c r="CS1592" s="30"/>
      <c r="CT1592" s="30"/>
      <c r="CU1592" s="30"/>
      <c r="CV1592" s="30"/>
      <c r="CW1592" s="30"/>
      <c r="CX1592" s="30"/>
      <c r="CY1592" s="30"/>
      <c r="CZ1592" s="30"/>
      <c r="DA1592" s="30"/>
      <c r="DB1592" s="30"/>
      <c r="DC1592" s="30"/>
      <c r="DD1592" s="30"/>
      <c r="DE1592" s="30"/>
      <c r="DF1592" s="30"/>
      <c r="DG1592" s="30"/>
      <c r="DH1592" s="30"/>
      <c r="DI1592" s="30"/>
      <c r="DJ1592" s="30"/>
      <c r="DK1592" s="30"/>
      <c r="DL1592" s="30"/>
      <c r="DM1592" s="30"/>
      <c r="DN1592" s="30"/>
      <c r="DO1592" s="30"/>
      <c r="DP1592" s="30"/>
      <c r="DQ1592" s="30"/>
      <c r="DR1592" s="30"/>
      <c r="DS1592" s="30"/>
      <c r="DT1592" s="30"/>
      <c r="DU1592" s="30"/>
      <c r="DV1592" s="30"/>
      <c r="DW1592" s="30"/>
      <c r="DX1592" s="30"/>
      <c r="DY1592" s="30"/>
      <c r="DZ1592" s="30"/>
    </row>
    <row r="1593">
      <c r="A1593" s="30"/>
      <c r="B1593" s="42"/>
      <c r="C1593" s="43"/>
      <c r="D1593" s="30"/>
      <c r="E1593" s="28"/>
      <c r="F1593" s="30"/>
      <c r="G1593" s="30"/>
      <c r="H1593" s="30"/>
      <c r="I1593" s="30"/>
      <c r="J1593" s="28"/>
      <c r="K1593" s="30"/>
      <c r="L1593" s="30"/>
      <c r="M1593" s="30"/>
      <c r="N1593" s="30"/>
      <c r="O1593" s="28"/>
      <c r="P1593" s="30"/>
      <c r="Q1593" s="30"/>
      <c r="R1593" s="30"/>
      <c r="S1593" s="36"/>
      <c r="T1593" s="30"/>
      <c r="U1593" s="36"/>
      <c r="V1593" s="30"/>
      <c r="W1593" s="28"/>
      <c r="X1593" s="30"/>
      <c r="Y1593" s="30"/>
      <c r="Z1593" s="30"/>
      <c r="AA1593" s="30"/>
      <c r="AB1593" s="30"/>
      <c r="AC1593" s="28"/>
      <c r="AD1593" s="30"/>
      <c r="AE1593" s="30"/>
      <c r="AF1593" s="30"/>
      <c r="AG1593" s="29"/>
      <c r="AH1593" s="30"/>
      <c r="AI1593" s="36"/>
      <c r="AJ1593" s="30"/>
      <c r="AK1593" s="29"/>
      <c r="AL1593" s="30"/>
      <c r="AM1593" s="30"/>
      <c r="AN1593" s="30"/>
      <c r="AO1593" s="30"/>
      <c r="AP1593" s="30"/>
      <c r="AQ1593" s="38"/>
      <c r="AR1593" s="30"/>
      <c r="AS1593" s="30"/>
      <c r="AT1593" s="29"/>
      <c r="AU1593" s="30"/>
      <c r="AV1593" s="30"/>
      <c r="AW1593" s="30"/>
      <c r="AX1593" s="29"/>
      <c r="AY1593" s="39"/>
      <c r="AZ1593" s="30"/>
      <c r="BA1593" s="30"/>
      <c r="BB1593" s="29"/>
      <c r="BC1593" s="52"/>
      <c r="BD1593" s="30"/>
      <c r="BE1593" s="29"/>
      <c r="BF1593" s="30"/>
      <c r="BG1593" s="30"/>
      <c r="BH1593" s="30"/>
      <c r="BI1593" s="30"/>
      <c r="BJ1593" s="30"/>
      <c r="BK1593" s="30"/>
      <c r="BL1593" s="30"/>
      <c r="BM1593" s="30"/>
      <c r="BN1593" s="30"/>
      <c r="BO1593" s="30"/>
      <c r="BP1593" s="30"/>
      <c r="BQ1593" s="30"/>
      <c r="BR1593" s="30"/>
      <c r="BS1593" s="30"/>
      <c r="BT1593" s="30"/>
      <c r="BU1593" s="30"/>
      <c r="BV1593" s="30"/>
      <c r="BW1593" s="30"/>
      <c r="BX1593" s="30"/>
      <c r="BY1593" s="30"/>
      <c r="BZ1593" s="30"/>
      <c r="CA1593" s="30"/>
      <c r="CB1593" s="30"/>
      <c r="CC1593" s="30"/>
      <c r="CD1593" s="30"/>
      <c r="CE1593" s="30"/>
      <c r="CF1593" s="30"/>
      <c r="CG1593" s="30"/>
      <c r="CH1593" s="30"/>
      <c r="CI1593" s="30"/>
      <c r="CJ1593" s="30"/>
      <c r="CK1593" s="30"/>
      <c r="CL1593" s="30"/>
      <c r="CM1593" s="30"/>
      <c r="CN1593" s="30"/>
      <c r="CO1593" s="30"/>
      <c r="CP1593" s="30"/>
      <c r="CQ1593" s="30"/>
      <c r="CR1593" s="30"/>
      <c r="CS1593" s="30"/>
      <c r="CT1593" s="30"/>
      <c r="CU1593" s="30"/>
      <c r="CV1593" s="30"/>
      <c r="CW1593" s="30"/>
      <c r="CX1593" s="30"/>
      <c r="CY1593" s="30"/>
      <c r="CZ1593" s="30"/>
      <c r="DA1593" s="30"/>
      <c r="DB1593" s="30"/>
      <c r="DC1593" s="30"/>
      <c r="DD1593" s="30"/>
      <c r="DE1593" s="30"/>
      <c r="DF1593" s="30"/>
      <c r="DG1593" s="30"/>
      <c r="DH1593" s="30"/>
      <c r="DI1593" s="30"/>
      <c r="DJ1593" s="30"/>
      <c r="DK1593" s="30"/>
      <c r="DL1593" s="30"/>
      <c r="DM1593" s="30"/>
      <c r="DN1593" s="30"/>
      <c r="DO1593" s="30"/>
      <c r="DP1593" s="30"/>
      <c r="DQ1593" s="30"/>
      <c r="DR1593" s="30"/>
      <c r="DS1593" s="30"/>
      <c r="DT1593" s="30"/>
      <c r="DU1593" s="30"/>
      <c r="DV1593" s="30"/>
      <c r="DW1593" s="30"/>
      <c r="DX1593" s="30"/>
      <c r="DY1593" s="30"/>
      <c r="DZ1593" s="30"/>
    </row>
    <row r="1594">
      <c r="A1594" s="30"/>
      <c r="B1594" s="42"/>
      <c r="C1594" s="43"/>
      <c r="D1594" s="30"/>
      <c r="E1594" s="28"/>
      <c r="F1594" s="30"/>
      <c r="G1594" s="30"/>
      <c r="H1594" s="30"/>
      <c r="I1594" s="30"/>
      <c r="J1594" s="28"/>
      <c r="K1594" s="30"/>
      <c r="L1594" s="30"/>
      <c r="M1594" s="30"/>
      <c r="N1594" s="30"/>
      <c r="O1594" s="28"/>
      <c r="P1594" s="30"/>
      <c r="Q1594" s="30"/>
      <c r="R1594" s="30"/>
      <c r="S1594" s="36"/>
      <c r="T1594" s="30"/>
      <c r="U1594" s="36"/>
      <c r="V1594" s="30"/>
      <c r="W1594" s="28"/>
      <c r="X1594" s="30"/>
      <c r="Y1594" s="30"/>
      <c r="Z1594" s="30"/>
      <c r="AA1594" s="30"/>
      <c r="AB1594" s="30"/>
      <c r="AC1594" s="28"/>
      <c r="AD1594" s="30"/>
      <c r="AE1594" s="30"/>
      <c r="AF1594" s="30"/>
      <c r="AG1594" s="29"/>
      <c r="AH1594" s="30"/>
      <c r="AI1594" s="36"/>
      <c r="AJ1594" s="30"/>
      <c r="AK1594" s="29"/>
      <c r="AL1594" s="30"/>
      <c r="AM1594" s="30"/>
      <c r="AN1594" s="30"/>
      <c r="AO1594" s="30"/>
      <c r="AP1594" s="30"/>
      <c r="AQ1594" s="38"/>
      <c r="AR1594" s="30"/>
      <c r="AS1594" s="30"/>
      <c r="AT1594" s="29"/>
      <c r="AU1594" s="30"/>
      <c r="AV1594" s="30"/>
      <c r="AW1594" s="30"/>
      <c r="AX1594" s="29"/>
      <c r="AY1594" s="39"/>
      <c r="AZ1594" s="30"/>
      <c r="BA1594" s="30"/>
      <c r="BB1594" s="29"/>
      <c r="BC1594" s="52"/>
      <c r="BD1594" s="30"/>
      <c r="BE1594" s="29"/>
      <c r="BF1594" s="30"/>
      <c r="BG1594" s="30"/>
      <c r="BH1594" s="30"/>
      <c r="BI1594" s="30"/>
      <c r="BJ1594" s="30"/>
      <c r="BK1594" s="30"/>
      <c r="BL1594" s="30"/>
      <c r="BM1594" s="30"/>
      <c r="BN1594" s="30"/>
      <c r="BO1594" s="30"/>
      <c r="BP1594" s="30"/>
      <c r="BQ1594" s="30"/>
      <c r="BR1594" s="30"/>
      <c r="BS1594" s="30"/>
      <c r="BT1594" s="30"/>
      <c r="BU1594" s="30"/>
      <c r="BV1594" s="30"/>
      <c r="BW1594" s="30"/>
      <c r="BX1594" s="30"/>
      <c r="BY1594" s="30"/>
      <c r="BZ1594" s="30"/>
      <c r="CA1594" s="30"/>
      <c r="CB1594" s="30"/>
      <c r="CC1594" s="30"/>
      <c r="CD1594" s="30"/>
      <c r="CE1594" s="30"/>
      <c r="CF1594" s="30"/>
      <c r="CG1594" s="30"/>
      <c r="CH1594" s="30"/>
      <c r="CI1594" s="30"/>
      <c r="CJ1594" s="30"/>
      <c r="CK1594" s="30"/>
      <c r="CL1594" s="30"/>
      <c r="CM1594" s="30"/>
      <c r="CN1594" s="30"/>
      <c r="CO1594" s="30"/>
      <c r="CP1594" s="30"/>
      <c r="CQ1594" s="30"/>
      <c r="CR1594" s="30"/>
      <c r="CS1594" s="30"/>
      <c r="CT1594" s="30"/>
      <c r="CU1594" s="30"/>
      <c r="CV1594" s="30"/>
      <c r="CW1594" s="30"/>
      <c r="CX1594" s="30"/>
      <c r="CY1594" s="30"/>
      <c r="CZ1594" s="30"/>
      <c r="DA1594" s="30"/>
      <c r="DB1594" s="30"/>
      <c r="DC1594" s="30"/>
      <c r="DD1594" s="30"/>
      <c r="DE1594" s="30"/>
      <c r="DF1594" s="30"/>
      <c r="DG1594" s="30"/>
      <c r="DH1594" s="30"/>
      <c r="DI1594" s="30"/>
      <c r="DJ1594" s="30"/>
      <c r="DK1594" s="30"/>
      <c r="DL1594" s="30"/>
      <c r="DM1594" s="30"/>
      <c r="DN1594" s="30"/>
      <c r="DO1594" s="30"/>
      <c r="DP1594" s="30"/>
      <c r="DQ1594" s="30"/>
      <c r="DR1594" s="30"/>
      <c r="DS1594" s="30"/>
      <c r="DT1594" s="30"/>
      <c r="DU1594" s="30"/>
      <c r="DV1594" s="30"/>
      <c r="DW1594" s="30"/>
      <c r="DX1594" s="30"/>
      <c r="DY1594" s="30"/>
      <c r="DZ1594" s="30"/>
    </row>
    <row r="1595">
      <c r="A1595" s="30"/>
      <c r="B1595" s="42"/>
      <c r="C1595" s="43"/>
      <c r="D1595" s="30"/>
      <c r="E1595" s="28"/>
      <c r="F1595" s="30"/>
      <c r="G1595" s="30"/>
      <c r="H1595" s="30"/>
      <c r="I1595" s="30"/>
      <c r="J1595" s="28"/>
      <c r="K1595" s="30"/>
      <c r="L1595" s="30"/>
      <c r="M1595" s="30"/>
      <c r="N1595" s="30"/>
      <c r="O1595" s="28"/>
      <c r="P1595" s="30"/>
      <c r="Q1595" s="30"/>
      <c r="R1595" s="30"/>
      <c r="S1595" s="36"/>
      <c r="T1595" s="30"/>
      <c r="U1595" s="36"/>
      <c r="V1595" s="30"/>
      <c r="W1595" s="28"/>
      <c r="X1595" s="30"/>
      <c r="Y1595" s="30"/>
      <c r="Z1595" s="30"/>
      <c r="AA1595" s="30"/>
      <c r="AB1595" s="30"/>
      <c r="AC1595" s="28"/>
      <c r="AD1595" s="30"/>
      <c r="AE1595" s="30"/>
      <c r="AF1595" s="30"/>
      <c r="AG1595" s="29"/>
      <c r="AH1595" s="30"/>
      <c r="AI1595" s="36"/>
      <c r="AJ1595" s="30"/>
      <c r="AK1595" s="29"/>
      <c r="AL1595" s="30"/>
      <c r="AM1595" s="30"/>
      <c r="AN1595" s="30"/>
      <c r="AO1595" s="30"/>
      <c r="AP1595" s="30"/>
      <c r="AQ1595" s="38"/>
      <c r="AR1595" s="30"/>
      <c r="AS1595" s="30"/>
      <c r="AT1595" s="29"/>
      <c r="AU1595" s="30"/>
      <c r="AV1595" s="30"/>
      <c r="AW1595" s="30"/>
      <c r="AX1595" s="29"/>
      <c r="AY1595" s="39"/>
      <c r="AZ1595" s="30"/>
      <c r="BA1595" s="30"/>
      <c r="BB1595" s="29"/>
      <c r="BC1595" s="52"/>
      <c r="BD1595" s="30"/>
      <c r="BE1595" s="29"/>
      <c r="BF1595" s="30"/>
      <c r="BG1595" s="30"/>
      <c r="BH1595" s="30"/>
      <c r="BI1595" s="30"/>
      <c r="BJ1595" s="30"/>
      <c r="BK1595" s="30"/>
      <c r="BL1595" s="30"/>
      <c r="BM1595" s="30"/>
      <c r="BN1595" s="30"/>
      <c r="BO1595" s="30"/>
      <c r="BP1595" s="30"/>
      <c r="BQ1595" s="30"/>
      <c r="BR1595" s="30"/>
      <c r="BS1595" s="30"/>
      <c r="BT1595" s="30"/>
      <c r="BU1595" s="30"/>
      <c r="BV1595" s="30"/>
      <c r="BW1595" s="30"/>
      <c r="BX1595" s="30"/>
      <c r="BY1595" s="30"/>
      <c r="BZ1595" s="30"/>
      <c r="CA1595" s="30"/>
      <c r="CB1595" s="30"/>
      <c r="CC1595" s="30"/>
      <c r="CD1595" s="30"/>
      <c r="CE1595" s="30"/>
      <c r="CF1595" s="30"/>
      <c r="CG1595" s="30"/>
      <c r="CH1595" s="30"/>
      <c r="CI1595" s="30"/>
      <c r="CJ1595" s="30"/>
      <c r="CK1595" s="30"/>
      <c r="CL1595" s="30"/>
      <c r="CM1595" s="30"/>
      <c r="CN1595" s="30"/>
      <c r="CO1595" s="30"/>
      <c r="CP1595" s="30"/>
      <c r="CQ1595" s="30"/>
      <c r="CR1595" s="30"/>
      <c r="CS1595" s="30"/>
      <c r="CT1595" s="30"/>
      <c r="CU1595" s="30"/>
      <c r="CV1595" s="30"/>
      <c r="CW1595" s="30"/>
      <c r="CX1595" s="30"/>
      <c r="CY1595" s="30"/>
      <c r="CZ1595" s="30"/>
      <c r="DA1595" s="30"/>
      <c r="DB1595" s="30"/>
      <c r="DC1595" s="30"/>
      <c r="DD1595" s="30"/>
      <c r="DE1595" s="30"/>
      <c r="DF1595" s="30"/>
      <c r="DG1595" s="30"/>
      <c r="DH1595" s="30"/>
      <c r="DI1595" s="30"/>
      <c r="DJ1595" s="30"/>
      <c r="DK1595" s="30"/>
      <c r="DL1595" s="30"/>
      <c r="DM1595" s="30"/>
      <c r="DN1595" s="30"/>
      <c r="DO1595" s="30"/>
      <c r="DP1595" s="30"/>
      <c r="DQ1595" s="30"/>
      <c r="DR1595" s="30"/>
      <c r="DS1595" s="30"/>
      <c r="DT1595" s="30"/>
      <c r="DU1595" s="30"/>
      <c r="DV1595" s="30"/>
      <c r="DW1595" s="30"/>
      <c r="DX1595" s="30"/>
      <c r="DY1595" s="30"/>
      <c r="DZ1595" s="30"/>
    </row>
    <row r="1596">
      <c r="A1596" s="30"/>
      <c r="B1596" s="42"/>
      <c r="C1596" s="43"/>
      <c r="D1596" s="30"/>
      <c r="E1596" s="28"/>
      <c r="F1596" s="30"/>
      <c r="G1596" s="30"/>
      <c r="H1596" s="30"/>
      <c r="I1596" s="30"/>
      <c r="J1596" s="28"/>
      <c r="K1596" s="30"/>
      <c r="L1596" s="30"/>
      <c r="M1596" s="30"/>
      <c r="N1596" s="30"/>
      <c r="O1596" s="28"/>
      <c r="P1596" s="30"/>
      <c r="Q1596" s="30"/>
      <c r="R1596" s="30"/>
      <c r="S1596" s="36"/>
      <c r="T1596" s="30"/>
      <c r="U1596" s="36"/>
      <c r="V1596" s="30"/>
      <c r="W1596" s="28"/>
      <c r="X1596" s="30"/>
      <c r="Y1596" s="30"/>
      <c r="Z1596" s="30"/>
      <c r="AA1596" s="30"/>
      <c r="AB1596" s="30"/>
      <c r="AC1596" s="28"/>
      <c r="AD1596" s="30"/>
      <c r="AE1596" s="30"/>
      <c r="AF1596" s="30"/>
      <c r="AG1596" s="29"/>
      <c r="AH1596" s="30"/>
      <c r="AI1596" s="36"/>
      <c r="AJ1596" s="30"/>
      <c r="AK1596" s="29"/>
      <c r="AL1596" s="30"/>
      <c r="AM1596" s="30"/>
      <c r="AN1596" s="30"/>
      <c r="AO1596" s="30"/>
      <c r="AP1596" s="30"/>
      <c r="AQ1596" s="38"/>
      <c r="AR1596" s="30"/>
      <c r="AS1596" s="30"/>
      <c r="AT1596" s="29"/>
      <c r="AU1596" s="30"/>
      <c r="AV1596" s="30"/>
      <c r="AW1596" s="30"/>
      <c r="AX1596" s="29"/>
      <c r="AY1596" s="39"/>
      <c r="AZ1596" s="30"/>
      <c r="BA1596" s="30"/>
      <c r="BB1596" s="29"/>
      <c r="BC1596" s="52"/>
      <c r="BD1596" s="30"/>
      <c r="BE1596" s="29"/>
      <c r="BF1596" s="30"/>
      <c r="BG1596" s="30"/>
      <c r="BH1596" s="30"/>
      <c r="BI1596" s="30"/>
      <c r="BJ1596" s="30"/>
      <c r="BK1596" s="30"/>
      <c r="BL1596" s="30"/>
      <c r="BM1596" s="30"/>
      <c r="BN1596" s="30"/>
      <c r="BO1596" s="30"/>
      <c r="BP1596" s="30"/>
      <c r="BQ1596" s="30"/>
      <c r="BR1596" s="30"/>
      <c r="BS1596" s="30"/>
      <c r="BT1596" s="30"/>
      <c r="BU1596" s="30"/>
      <c r="BV1596" s="30"/>
      <c r="BW1596" s="30"/>
      <c r="BX1596" s="30"/>
      <c r="BY1596" s="30"/>
      <c r="BZ1596" s="30"/>
      <c r="CA1596" s="30"/>
      <c r="CB1596" s="30"/>
      <c r="CC1596" s="30"/>
      <c r="CD1596" s="30"/>
      <c r="CE1596" s="30"/>
      <c r="CF1596" s="30"/>
      <c r="CG1596" s="30"/>
      <c r="CH1596" s="30"/>
      <c r="CI1596" s="30"/>
      <c r="CJ1596" s="30"/>
      <c r="CK1596" s="30"/>
      <c r="CL1596" s="30"/>
      <c r="CM1596" s="30"/>
      <c r="CN1596" s="30"/>
      <c r="CO1596" s="30"/>
      <c r="CP1596" s="30"/>
      <c r="CQ1596" s="30"/>
      <c r="CR1596" s="30"/>
      <c r="CS1596" s="30"/>
      <c r="CT1596" s="30"/>
      <c r="CU1596" s="30"/>
      <c r="CV1596" s="30"/>
      <c r="CW1596" s="30"/>
      <c r="CX1596" s="30"/>
      <c r="CY1596" s="30"/>
      <c r="CZ1596" s="30"/>
      <c r="DA1596" s="30"/>
      <c r="DB1596" s="30"/>
      <c r="DC1596" s="30"/>
      <c r="DD1596" s="30"/>
      <c r="DE1596" s="30"/>
      <c r="DF1596" s="30"/>
      <c r="DG1596" s="30"/>
      <c r="DH1596" s="30"/>
      <c r="DI1596" s="30"/>
      <c r="DJ1596" s="30"/>
      <c r="DK1596" s="30"/>
      <c r="DL1596" s="30"/>
      <c r="DM1596" s="30"/>
      <c r="DN1596" s="30"/>
      <c r="DO1596" s="30"/>
      <c r="DP1596" s="30"/>
      <c r="DQ1596" s="30"/>
      <c r="DR1596" s="30"/>
      <c r="DS1596" s="30"/>
      <c r="DT1596" s="30"/>
      <c r="DU1596" s="30"/>
      <c r="DV1596" s="30"/>
      <c r="DW1596" s="30"/>
      <c r="DX1596" s="30"/>
      <c r="DY1596" s="30"/>
      <c r="DZ1596" s="30"/>
    </row>
    <row r="1597">
      <c r="A1597" s="30"/>
      <c r="B1597" s="42"/>
      <c r="C1597" s="43"/>
      <c r="D1597" s="30"/>
      <c r="E1597" s="28"/>
      <c r="F1597" s="30"/>
      <c r="G1597" s="30"/>
      <c r="H1597" s="30"/>
      <c r="I1597" s="30"/>
      <c r="J1597" s="28"/>
      <c r="K1597" s="30"/>
      <c r="L1597" s="30"/>
      <c r="M1597" s="30"/>
      <c r="N1597" s="30"/>
      <c r="O1597" s="28"/>
      <c r="P1597" s="30"/>
      <c r="Q1597" s="30"/>
      <c r="R1597" s="30"/>
      <c r="S1597" s="36"/>
      <c r="T1597" s="30"/>
      <c r="U1597" s="36"/>
      <c r="V1597" s="30"/>
      <c r="W1597" s="28"/>
      <c r="X1597" s="30"/>
      <c r="Y1597" s="30"/>
      <c r="Z1597" s="30"/>
      <c r="AA1597" s="30"/>
      <c r="AB1597" s="30"/>
      <c r="AC1597" s="28"/>
      <c r="AD1597" s="30"/>
      <c r="AE1597" s="30"/>
      <c r="AF1597" s="30"/>
      <c r="AG1597" s="29"/>
      <c r="AH1597" s="30"/>
      <c r="AI1597" s="36"/>
      <c r="AJ1597" s="30"/>
      <c r="AK1597" s="29"/>
      <c r="AL1597" s="30"/>
      <c r="AM1597" s="30"/>
      <c r="AN1597" s="30"/>
      <c r="AO1597" s="30"/>
      <c r="AP1597" s="30"/>
      <c r="AQ1597" s="38"/>
      <c r="AR1597" s="30"/>
      <c r="AS1597" s="30"/>
      <c r="AT1597" s="29"/>
      <c r="AU1597" s="30"/>
      <c r="AV1597" s="30"/>
      <c r="AW1597" s="30"/>
      <c r="AX1597" s="29"/>
      <c r="AY1597" s="39"/>
      <c r="AZ1597" s="30"/>
      <c r="BA1597" s="30"/>
      <c r="BB1597" s="29"/>
      <c r="BC1597" s="52"/>
      <c r="BD1597" s="30"/>
      <c r="BE1597" s="29"/>
      <c r="BF1597" s="30"/>
      <c r="BG1597" s="30"/>
      <c r="BH1597" s="30"/>
      <c r="BI1597" s="30"/>
      <c r="BJ1597" s="30"/>
      <c r="BK1597" s="30"/>
      <c r="BL1597" s="30"/>
      <c r="BM1597" s="30"/>
      <c r="BN1597" s="30"/>
      <c r="BO1597" s="30"/>
      <c r="BP1597" s="30"/>
      <c r="BQ1597" s="30"/>
      <c r="BR1597" s="30"/>
      <c r="BS1597" s="30"/>
      <c r="BT1597" s="30"/>
      <c r="BU1597" s="30"/>
      <c r="BV1597" s="30"/>
      <c r="BW1597" s="30"/>
      <c r="BX1597" s="30"/>
      <c r="BY1597" s="30"/>
      <c r="BZ1597" s="30"/>
      <c r="CA1597" s="30"/>
      <c r="CB1597" s="30"/>
      <c r="CC1597" s="30"/>
      <c r="CD1597" s="30"/>
      <c r="CE1597" s="30"/>
      <c r="CF1597" s="30"/>
      <c r="CG1597" s="30"/>
      <c r="CH1597" s="30"/>
      <c r="CI1597" s="30"/>
      <c r="CJ1597" s="30"/>
      <c r="CK1597" s="30"/>
      <c r="CL1597" s="30"/>
      <c r="CM1597" s="30"/>
      <c r="CN1597" s="30"/>
      <c r="CO1597" s="30"/>
      <c r="CP1597" s="30"/>
      <c r="CQ1597" s="30"/>
      <c r="CR1597" s="30"/>
      <c r="CS1597" s="30"/>
      <c r="CT1597" s="30"/>
      <c r="CU1597" s="30"/>
      <c r="CV1597" s="30"/>
      <c r="CW1597" s="30"/>
      <c r="CX1597" s="30"/>
      <c r="CY1597" s="30"/>
      <c r="CZ1597" s="30"/>
      <c r="DA1597" s="30"/>
      <c r="DB1597" s="30"/>
      <c r="DC1597" s="30"/>
      <c r="DD1597" s="30"/>
      <c r="DE1597" s="30"/>
      <c r="DF1597" s="30"/>
      <c r="DG1597" s="30"/>
      <c r="DH1597" s="30"/>
      <c r="DI1597" s="30"/>
      <c r="DJ1597" s="30"/>
      <c r="DK1597" s="30"/>
      <c r="DL1597" s="30"/>
      <c r="DM1597" s="30"/>
      <c r="DN1597" s="30"/>
      <c r="DO1597" s="30"/>
      <c r="DP1597" s="30"/>
      <c r="DQ1597" s="30"/>
      <c r="DR1597" s="30"/>
      <c r="DS1597" s="30"/>
      <c r="DT1597" s="30"/>
      <c r="DU1597" s="30"/>
      <c r="DV1597" s="30"/>
      <c r="DW1597" s="30"/>
      <c r="DX1597" s="30"/>
      <c r="DY1597" s="30"/>
      <c r="DZ1597" s="30"/>
    </row>
    <row r="1598">
      <c r="A1598" s="30"/>
      <c r="B1598" s="42"/>
      <c r="C1598" s="43"/>
      <c r="D1598" s="30"/>
      <c r="E1598" s="28"/>
      <c r="F1598" s="30"/>
      <c r="G1598" s="30"/>
      <c r="H1598" s="30"/>
      <c r="I1598" s="30"/>
      <c r="J1598" s="28"/>
      <c r="K1598" s="30"/>
      <c r="L1598" s="30"/>
      <c r="M1598" s="30"/>
      <c r="N1598" s="30"/>
      <c r="O1598" s="28"/>
      <c r="P1598" s="30"/>
      <c r="Q1598" s="30"/>
      <c r="R1598" s="30"/>
      <c r="S1598" s="36"/>
      <c r="T1598" s="30"/>
      <c r="U1598" s="36"/>
      <c r="V1598" s="30"/>
      <c r="W1598" s="28"/>
      <c r="X1598" s="30"/>
      <c r="Y1598" s="30"/>
      <c r="Z1598" s="30"/>
      <c r="AA1598" s="30"/>
      <c r="AB1598" s="30"/>
      <c r="AC1598" s="28"/>
      <c r="AD1598" s="30"/>
      <c r="AE1598" s="30"/>
      <c r="AF1598" s="30"/>
      <c r="AG1598" s="29"/>
      <c r="AH1598" s="30"/>
      <c r="AI1598" s="36"/>
      <c r="AJ1598" s="30"/>
      <c r="AK1598" s="29"/>
      <c r="AL1598" s="30"/>
      <c r="AM1598" s="30"/>
      <c r="AN1598" s="30"/>
      <c r="AO1598" s="30"/>
      <c r="AP1598" s="30"/>
      <c r="AQ1598" s="38"/>
      <c r="AR1598" s="30"/>
      <c r="AS1598" s="30"/>
      <c r="AT1598" s="29"/>
      <c r="AU1598" s="30"/>
      <c r="AV1598" s="30"/>
      <c r="AW1598" s="30"/>
      <c r="AX1598" s="29"/>
      <c r="AY1598" s="39"/>
      <c r="AZ1598" s="30"/>
      <c r="BA1598" s="30"/>
      <c r="BB1598" s="29"/>
      <c r="BC1598" s="52"/>
      <c r="BD1598" s="30"/>
      <c r="BE1598" s="29"/>
      <c r="BF1598" s="30"/>
      <c r="BG1598" s="30"/>
      <c r="BH1598" s="30"/>
      <c r="BI1598" s="30"/>
      <c r="BJ1598" s="30"/>
      <c r="BK1598" s="30"/>
      <c r="BL1598" s="30"/>
      <c r="BM1598" s="30"/>
      <c r="BN1598" s="30"/>
      <c r="BO1598" s="30"/>
      <c r="BP1598" s="30"/>
      <c r="BQ1598" s="30"/>
      <c r="BR1598" s="30"/>
      <c r="BS1598" s="30"/>
      <c r="BT1598" s="30"/>
      <c r="BU1598" s="30"/>
      <c r="BV1598" s="30"/>
      <c r="BW1598" s="30"/>
      <c r="BX1598" s="30"/>
      <c r="BY1598" s="30"/>
      <c r="BZ1598" s="30"/>
      <c r="CA1598" s="30"/>
      <c r="CB1598" s="30"/>
      <c r="CC1598" s="30"/>
      <c r="CD1598" s="30"/>
      <c r="CE1598" s="30"/>
      <c r="CF1598" s="30"/>
      <c r="CG1598" s="30"/>
      <c r="CH1598" s="30"/>
      <c r="CI1598" s="30"/>
      <c r="CJ1598" s="30"/>
      <c r="CK1598" s="30"/>
      <c r="CL1598" s="30"/>
      <c r="CM1598" s="30"/>
      <c r="CN1598" s="30"/>
      <c r="CO1598" s="30"/>
      <c r="CP1598" s="30"/>
      <c r="CQ1598" s="30"/>
      <c r="CR1598" s="30"/>
      <c r="CS1598" s="30"/>
      <c r="CT1598" s="30"/>
      <c r="CU1598" s="30"/>
      <c r="CV1598" s="30"/>
      <c r="CW1598" s="30"/>
      <c r="CX1598" s="30"/>
      <c r="CY1598" s="30"/>
      <c r="CZ1598" s="30"/>
      <c r="DA1598" s="30"/>
      <c r="DB1598" s="30"/>
      <c r="DC1598" s="30"/>
      <c r="DD1598" s="30"/>
      <c r="DE1598" s="30"/>
      <c r="DF1598" s="30"/>
      <c r="DG1598" s="30"/>
      <c r="DH1598" s="30"/>
      <c r="DI1598" s="30"/>
      <c r="DJ1598" s="30"/>
      <c r="DK1598" s="30"/>
      <c r="DL1598" s="30"/>
      <c r="DM1598" s="30"/>
      <c r="DN1598" s="30"/>
      <c r="DO1598" s="30"/>
      <c r="DP1598" s="30"/>
      <c r="DQ1598" s="30"/>
      <c r="DR1598" s="30"/>
      <c r="DS1598" s="30"/>
      <c r="DT1598" s="30"/>
      <c r="DU1598" s="30"/>
      <c r="DV1598" s="30"/>
      <c r="DW1598" s="30"/>
      <c r="DX1598" s="30"/>
      <c r="DY1598" s="30"/>
      <c r="DZ1598" s="30"/>
    </row>
    <row r="1599">
      <c r="A1599" s="30"/>
      <c r="B1599" s="42"/>
      <c r="C1599" s="43"/>
      <c r="D1599" s="30"/>
      <c r="E1599" s="28"/>
      <c r="F1599" s="30"/>
      <c r="G1599" s="30"/>
      <c r="H1599" s="30"/>
      <c r="I1599" s="30"/>
      <c r="J1599" s="28"/>
      <c r="K1599" s="30"/>
      <c r="L1599" s="30"/>
      <c r="M1599" s="30"/>
      <c r="N1599" s="30"/>
      <c r="O1599" s="28"/>
      <c r="P1599" s="30"/>
      <c r="Q1599" s="30"/>
      <c r="R1599" s="30"/>
      <c r="S1599" s="36"/>
      <c r="T1599" s="30"/>
      <c r="U1599" s="36"/>
      <c r="V1599" s="30"/>
      <c r="W1599" s="28"/>
      <c r="X1599" s="30"/>
      <c r="Y1599" s="30"/>
      <c r="Z1599" s="30"/>
      <c r="AA1599" s="30"/>
      <c r="AB1599" s="30"/>
      <c r="AC1599" s="28"/>
      <c r="AD1599" s="30"/>
      <c r="AE1599" s="30"/>
      <c r="AF1599" s="30"/>
      <c r="AG1599" s="29"/>
      <c r="AH1599" s="30"/>
      <c r="AI1599" s="36"/>
      <c r="AJ1599" s="30"/>
      <c r="AK1599" s="29"/>
      <c r="AL1599" s="30"/>
      <c r="AM1599" s="30"/>
      <c r="AN1599" s="30"/>
      <c r="AO1599" s="30"/>
      <c r="AP1599" s="30"/>
      <c r="AQ1599" s="38"/>
      <c r="AR1599" s="30"/>
      <c r="AS1599" s="30"/>
      <c r="AT1599" s="29"/>
      <c r="AU1599" s="30"/>
      <c r="AV1599" s="30"/>
      <c r="AW1599" s="30"/>
      <c r="AX1599" s="29"/>
      <c r="AY1599" s="39"/>
      <c r="AZ1599" s="30"/>
      <c r="BA1599" s="30"/>
      <c r="BB1599" s="29"/>
      <c r="BC1599" s="52"/>
      <c r="BD1599" s="30"/>
      <c r="BE1599" s="29"/>
      <c r="BF1599" s="30"/>
      <c r="BG1599" s="30"/>
      <c r="BH1599" s="30"/>
      <c r="BI1599" s="30"/>
      <c r="BJ1599" s="30"/>
      <c r="BK1599" s="30"/>
      <c r="BL1599" s="30"/>
      <c r="BM1599" s="30"/>
      <c r="BN1599" s="30"/>
      <c r="BO1599" s="30"/>
      <c r="BP1599" s="30"/>
      <c r="BQ1599" s="30"/>
      <c r="BR1599" s="30"/>
      <c r="BS1599" s="30"/>
      <c r="BT1599" s="30"/>
      <c r="BU1599" s="30"/>
      <c r="BV1599" s="30"/>
      <c r="BW1599" s="30"/>
      <c r="BX1599" s="30"/>
      <c r="BY1599" s="30"/>
      <c r="BZ1599" s="30"/>
      <c r="CA1599" s="30"/>
      <c r="CB1599" s="30"/>
      <c r="CC1599" s="30"/>
      <c r="CD1599" s="30"/>
      <c r="CE1599" s="30"/>
      <c r="CF1599" s="30"/>
      <c r="CG1599" s="30"/>
      <c r="CH1599" s="30"/>
      <c r="CI1599" s="30"/>
      <c r="CJ1599" s="30"/>
      <c r="CK1599" s="30"/>
      <c r="CL1599" s="30"/>
      <c r="CM1599" s="30"/>
      <c r="CN1599" s="30"/>
      <c r="CO1599" s="30"/>
      <c r="CP1599" s="30"/>
      <c r="CQ1599" s="30"/>
      <c r="CR1599" s="30"/>
      <c r="CS1599" s="30"/>
      <c r="CT1599" s="30"/>
      <c r="CU1599" s="30"/>
      <c r="CV1599" s="30"/>
      <c r="CW1599" s="30"/>
      <c r="CX1599" s="30"/>
      <c r="CY1599" s="30"/>
      <c r="CZ1599" s="30"/>
      <c r="DA1599" s="30"/>
      <c r="DB1599" s="30"/>
      <c r="DC1599" s="30"/>
      <c r="DD1599" s="30"/>
      <c r="DE1599" s="30"/>
      <c r="DF1599" s="30"/>
      <c r="DG1599" s="30"/>
      <c r="DH1599" s="30"/>
      <c r="DI1599" s="30"/>
      <c r="DJ1599" s="30"/>
      <c r="DK1599" s="30"/>
      <c r="DL1599" s="30"/>
      <c r="DM1599" s="30"/>
      <c r="DN1599" s="30"/>
      <c r="DO1599" s="30"/>
      <c r="DP1599" s="30"/>
      <c r="DQ1599" s="30"/>
      <c r="DR1599" s="30"/>
      <c r="DS1599" s="30"/>
      <c r="DT1599" s="30"/>
      <c r="DU1599" s="30"/>
      <c r="DV1599" s="30"/>
      <c r="DW1599" s="30"/>
      <c r="DX1599" s="30"/>
      <c r="DY1599" s="30"/>
      <c r="DZ1599" s="30"/>
    </row>
    <row r="1600">
      <c r="A1600" s="30"/>
      <c r="B1600" s="42"/>
      <c r="C1600" s="43"/>
      <c r="D1600" s="30"/>
      <c r="E1600" s="28"/>
      <c r="F1600" s="30"/>
      <c r="G1600" s="30"/>
      <c r="H1600" s="30"/>
      <c r="I1600" s="30"/>
      <c r="J1600" s="28"/>
      <c r="K1600" s="30"/>
      <c r="L1600" s="30"/>
      <c r="M1600" s="30"/>
      <c r="N1600" s="30"/>
      <c r="O1600" s="28"/>
      <c r="P1600" s="30"/>
      <c r="Q1600" s="30"/>
      <c r="R1600" s="30"/>
      <c r="S1600" s="36"/>
      <c r="T1600" s="30"/>
      <c r="U1600" s="36"/>
      <c r="V1600" s="30"/>
      <c r="W1600" s="28"/>
      <c r="X1600" s="30"/>
      <c r="Y1600" s="30"/>
      <c r="Z1600" s="30"/>
      <c r="AA1600" s="30"/>
      <c r="AB1600" s="30"/>
      <c r="AC1600" s="28"/>
      <c r="AD1600" s="30"/>
      <c r="AE1600" s="30"/>
      <c r="AF1600" s="30"/>
      <c r="AG1600" s="29"/>
      <c r="AH1600" s="30"/>
      <c r="AI1600" s="36"/>
      <c r="AJ1600" s="30"/>
      <c r="AK1600" s="29"/>
      <c r="AL1600" s="30"/>
      <c r="AM1600" s="30"/>
      <c r="AN1600" s="30"/>
      <c r="AO1600" s="30"/>
      <c r="AP1600" s="30"/>
      <c r="AQ1600" s="38"/>
      <c r="AR1600" s="30"/>
      <c r="AS1600" s="30"/>
      <c r="AT1600" s="29"/>
      <c r="AU1600" s="30"/>
      <c r="AV1600" s="30"/>
      <c r="AW1600" s="30"/>
      <c r="AX1600" s="29"/>
      <c r="AY1600" s="39"/>
      <c r="AZ1600" s="30"/>
      <c r="BA1600" s="30"/>
      <c r="BB1600" s="29"/>
      <c r="BC1600" s="52"/>
      <c r="BD1600" s="30"/>
      <c r="BE1600" s="29"/>
      <c r="BF1600" s="30"/>
      <c r="BG1600" s="30"/>
      <c r="BH1600" s="30"/>
      <c r="BI1600" s="30"/>
      <c r="BJ1600" s="30"/>
      <c r="BK1600" s="30"/>
      <c r="BL1600" s="30"/>
      <c r="BM1600" s="30"/>
      <c r="BN1600" s="30"/>
      <c r="BO1600" s="30"/>
      <c r="BP1600" s="30"/>
      <c r="BQ1600" s="30"/>
      <c r="BR1600" s="30"/>
      <c r="BS1600" s="30"/>
      <c r="BT1600" s="30"/>
      <c r="BU1600" s="30"/>
      <c r="BV1600" s="30"/>
      <c r="BW1600" s="30"/>
      <c r="BX1600" s="30"/>
      <c r="BY1600" s="30"/>
      <c r="BZ1600" s="30"/>
      <c r="CA1600" s="30"/>
      <c r="CB1600" s="30"/>
      <c r="CC1600" s="30"/>
      <c r="CD1600" s="30"/>
      <c r="CE1600" s="30"/>
      <c r="CF1600" s="30"/>
      <c r="CG1600" s="30"/>
      <c r="CH1600" s="30"/>
      <c r="CI1600" s="30"/>
      <c r="CJ1600" s="30"/>
      <c r="CK1600" s="30"/>
      <c r="CL1600" s="30"/>
      <c r="CM1600" s="30"/>
      <c r="CN1600" s="30"/>
      <c r="CO1600" s="30"/>
      <c r="CP1600" s="30"/>
      <c r="CQ1600" s="30"/>
      <c r="CR1600" s="30"/>
      <c r="CS1600" s="30"/>
      <c r="CT1600" s="30"/>
      <c r="CU1600" s="30"/>
      <c r="CV1600" s="30"/>
      <c r="CW1600" s="30"/>
      <c r="CX1600" s="30"/>
      <c r="CY1600" s="30"/>
      <c r="CZ1600" s="30"/>
      <c r="DA1600" s="30"/>
      <c r="DB1600" s="30"/>
      <c r="DC1600" s="30"/>
      <c r="DD1600" s="30"/>
      <c r="DE1600" s="30"/>
      <c r="DF1600" s="30"/>
      <c r="DG1600" s="30"/>
      <c r="DH1600" s="30"/>
      <c r="DI1600" s="30"/>
      <c r="DJ1600" s="30"/>
      <c r="DK1600" s="30"/>
      <c r="DL1600" s="30"/>
      <c r="DM1600" s="30"/>
      <c r="DN1600" s="30"/>
      <c r="DO1600" s="30"/>
      <c r="DP1600" s="30"/>
      <c r="DQ1600" s="30"/>
      <c r="DR1600" s="30"/>
      <c r="DS1600" s="30"/>
      <c r="DT1600" s="30"/>
      <c r="DU1600" s="30"/>
      <c r="DV1600" s="30"/>
      <c r="DW1600" s="30"/>
      <c r="DX1600" s="30"/>
      <c r="DY1600" s="30"/>
      <c r="DZ1600" s="30"/>
    </row>
    <row r="1601">
      <c r="A1601" s="30"/>
      <c r="B1601" s="42"/>
      <c r="C1601" s="43"/>
      <c r="D1601" s="30"/>
      <c r="E1601" s="28"/>
      <c r="F1601" s="30"/>
      <c r="G1601" s="30"/>
      <c r="H1601" s="30"/>
      <c r="I1601" s="30"/>
      <c r="J1601" s="28"/>
      <c r="K1601" s="30"/>
      <c r="L1601" s="30"/>
      <c r="M1601" s="30"/>
      <c r="N1601" s="30"/>
      <c r="O1601" s="28"/>
      <c r="P1601" s="30"/>
      <c r="Q1601" s="30"/>
      <c r="R1601" s="30"/>
      <c r="S1601" s="36"/>
      <c r="T1601" s="30"/>
      <c r="U1601" s="36"/>
      <c r="V1601" s="30"/>
      <c r="W1601" s="28"/>
      <c r="X1601" s="30"/>
      <c r="Y1601" s="30"/>
      <c r="Z1601" s="30"/>
      <c r="AA1601" s="30"/>
      <c r="AB1601" s="30"/>
      <c r="AC1601" s="28"/>
      <c r="AD1601" s="30"/>
      <c r="AE1601" s="30"/>
      <c r="AF1601" s="30"/>
      <c r="AG1601" s="29"/>
      <c r="AH1601" s="30"/>
      <c r="AI1601" s="36"/>
      <c r="AJ1601" s="30"/>
      <c r="AK1601" s="29"/>
      <c r="AL1601" s="30"/>
      <c r="AM1601" s="30"/>
      <c r="AN1601" s="30"/>
      <c r="AO1601" s="30"/>
      <c r="AP1601" s="30"/>
      <c r="AQ1601" s="38"/>
      <c r="AR1601" s="30"/>
      <c r="AS1601" s="30"/>
      <c r="AT1601" s="29"/>
      <c r="AU1601" s="30"/>
      <c r="AV1601" s="30"/>
      <c r="AW1601" s="30"/>
      <c r="AX1601" s="29"/>
      <c r="AY1601" s="39"/>
      <c r="AZ1601" s="30"/>
      <c r="BA1601" s="30"/>
      <c r="BB1601" s="29"/>
      <c r="BC1601" s="52"/>
      <c r="BD1601" s="30"/>
      <c r="BE1601" s="29"/>
      <c r="BF1601" s="30"/>
      <c r="BG1601" s="30"/>
      <c r="BH1601" s="30"/>
      <c r="BI1601" s="30"/>
      <c r="BJ1601" s="30"/>
      <c r="BK1601" s="30"/>
      <c r="BL1601" s="30"/>
      <c r="BM1601" s="30"/>
      <c r="BN1601" s="30"/>
      <c r="BO1601" s="30"/>
      <c r="BP1601" s="30"/>
      <c r="BQ1601" s="30"/>
      <c r="BR1601" s="30"/>
      <c r="BS1601" s="30"/>
      <c r="BT1601" s="30"/>
      <c r="BU1601" s="30"/>
      <c r="BV1601" s="30"/>
      <c r="BW1601" s="30"/>
      <c r="BX1601" s="30"/>
      <c r="BY1601" s="30"/>
      <c r="BZ1601" s="30"/>
      <c r="CA1601" s="30"/>
      <c r="CB1601" s="30"/>
      <c r="CC1601" s="30"/>
      <c r="CD1601" s="30"/>
      <c r="CE1601" s="30"/>
      <c r="CF1601" s="30"/>
      <c r="CG1601" s="30"/>
      <c r="CH1601" s="30"/>
      <c r="CI1601" s="30"/>
      <c r="CJ1601" s="30"/>
      <c r="CK1601" s="30"/>
      <c r="CL1601" s="30"/>
      <c r="CM1601" s="30"/>
      <c r="CN1601" s="30"/>
      <c r="CO1601" s="30"/>
      <c r="CP1601" s="30"/>
      <c r="CQ1601" s="30"/>
      <c r="CR1601" s="30"/>
      <c r="CS1601" s="30"/>
      <c r="CT1601" s="30"/>
      <c r="CU1601" s="30"/>
      <c r="CV1601" s="30"/>
      <c r="CW1601" s="30"/>
      <c r="CX1601" s="30"/>
      <c r="CY1601" s="30"/>
      <c r="CZ1601" s="30"/>
      <c r="DA1601" s="30"/>
      <c r="DB1601" s="30"/>
      <c r="DC1601" s="30"/>
      <c r="DD1601" s="30"/>
      <c r="DE1601" s="30"/>
      <c r="DF1601" s="30"/>
      <c r="DG1601" s="30"/>
      <c r="DH1601" s="30"/>
      <c r="DI1601" s="30"/>
      <c r="DJ1601" s="30"/>
      <c r="DK1601" s="30"/>
      <c r="DL1601" s="30"/>
      <c r="DM1601" s="30"/>
      <c r="DN1601" s="30"/>
      <c r="DO1601" s="30"/>
      <c r="DP1601" s="30"/>
      <c r="DQ1601" s="30"/>
      <c r="DR1601" s="30"/>
      <c r="DS1601" s="30"/>
      <c r="DT1601" s="30"/>
      <c r="DU1601" s="30"/>
      <c r="DV1601" s="30"/>
      <c r="DW1601" s="30"/>
      <c r="DX1601" s="30"/>
      <c r="DY1601" s="30"/>
      <c r="DZ1601" s="30"/>
    </row>
    <row r="1602">
      <c r="A1602" s="30"/>
      <c r="B1602" s="42"/>
      <c r="C1602" s="43"/>
      <c r="D1602" s="30"/>
      <c r="E1602" s="28"/>
      <c r="F1602" s="30"/>
      <c r="G1602" s="30"/>
      <c r="H1602" s="30"/>
      <c r="I1602" s="30"/>
      <c r="J1602" s="28"/>
      <c r="K1602" s="30"/>
      <c r="L1602" s="30"/>
      <c r="M1602" s="30"/>
      <c r="N1602" s="30"/>
      <c r="O1602" s="28"/>
      <c r="P1602" s="30"/>
      <c r="Q1602" s="30"/>
      <c r="R1602" s="30"/>
      <c r="S1602" s="36"/>
      <c r="T1602" s="30"/>
      <c r="U1602" s="36"/>
      <c r="V1602" s="30"/>
      <c r="W1602" s="28"/>
      <c r="X1602" s="30"/>
      <c r="Y1602" s="30"/>
      <c r="Z1602" s="30"/>
      <c r="AA1602" s="30"/>
      <c r="AB1602" s="30"/>
      <c r="AC1602" s="28"/>
      <c r="AD1602" s="30"/>
      <c r="AE1602" s="30"/>
      <c r="AF1602" s="30"/>
      <c r="AG1602" s="29"/>
      <c r="AH1602" s="30"/>
      <c r="AI1602" s="36"/>
      <c r="AJ1602" s="30"/>
      <c r="AK1602" s="29"/>
      <c r="AL1602" s="30"/>
      <c r="AM1602" s="30"/>
      <c r="AN1602" s="30"/>
      <c r="AO1602" s="30"/>
      <c r="AP1602" s="30"/>
      <c r="AQ1602" s="38"/>
      <c r="AR1602" s="30"/>
      <c r="AS1602" s="30"/>
      <c r="AT1602" s="29"/>
      <c r="AU1602" s="30"/>
      <c r="AV1602" s="30"/>
      <c r="AW1602" s="30"/>
      <c r="AX1602" s="29"/>
      <c r="AY1602" s="39"/>
      <c r="AZ1602" s="30"/>
      <c r="BA1602" s="30"/>
      <c r="BB1602" s="29"/>
      <c r="BC1602" s="52"/>
      <c r="BD1602" s="30"/>
      <c r="BE1602" s="29"/>
      <c r="BF1602" s="30"/>
      <c r="BG1602" s="30"/>
      <c r="BH1602" s="30"/>
      <c r="BI1602" s="30"/>
      <c r="BJ1602" s="30"/>
      <c r="BK1602" s="30"/>
      <c r="BL1602" s="30"/>
      <c r="BM1602" s="30"/>
      <c r="BN1602" s="30"/>
      <c r="BO1602" s="30"/>
      <c r="BP1602" s="30"/>
      <c r="BQ1602" s="30"/>
      <c r="BR1602" s="30"/>
      <c r="BS1602" s="30"/>
      <c r="BT1602" s="30"/>
      <c r="BU1602" s="30"/>
      <c r="BV1602" s="30"/>
      <c r="BW1602" s="30"/>
      <c r="BX1602" s="30"/>
      <c r="BY1602" s="30"/>
      <c r="BZ1602" s="30"/>
      <c r="CA1602" s="30"/>
      <c r="CB1602" s="30"/>
      <c r="CC1602" s="30"/>
      <c r="CD1602" s="30"/>
      <c r="CE1602" s="30"/>
      <c r="CF1602" s="30"/>
      <c r="CG1602" s="30"/>
      <c r="CH1602" s="30"/>
      <c r="CI1602" s="30"/>
      <c r="CJ1602" s="30"/>
      <c r="CK1602" s="30"/>
      <c r="CL1602" s="30"/>
      <c r="CM1602" s="30"/>
      <c r="CN1602" s="30"/>
      <c r="CO1602" s="30"/>
      <c r="CP1602" s="30"/>
      <c r="CQ1602" s="30"/>
      <c r="CR1602" s="30"/>
      <c r="CS1602" s="30"/>
      <c r="CT1602" s="30"/>
      <c r="CU1602" s="30"/>
      <c r="CV1602" s="30"/>
      <c r="CW1602" s="30"/>
      <c r="CX1602" s="30"/>
      <c r="CY1602" s="30"/>
      <c r="CZ1602" s="30"/>
      <c r="DA1602" s="30"/>
      <c r="DB1602" s="30"/>
      <c r="DC1602" s="30"/>
      <c r="DD1602" s="30"/>
      <c r="DE1602" s="30"/>
      <c r="DF1602" s="30"/>
      <c r="DG1602" s="30"/>
      <c r="DH1602" s="30"/>
      <c r="DI1602" s="30"/>
      <c r="DJ1602" s="30"/>
      <c r="DK1602" s="30"/>
      <c r="DL1602" s="30"/>
      <c r="DM1602" s="30"/>
      <c r="DN1602" s="30"/>
      <c r="DO1602" s="30"/>
      <c r="DP1602" s="30"/>
      <c r="DQ1602" s="30"/>
      <c r="DR1602" s="30"/>
      <c r="DS1602" s="30"/>
      <c r="DT1602" s="30"/>
      <c r="DU1602" s="30"/>
      <c r="DV1602" s="30"/>
      <c r="DW1602" s="30"/>
      <c r="DX1602" s="30"/>
      <c r="DY1602" s="30"/>
      <c r="DZ1602" s="30"/>
    </row>
    <row r="1603">
      <c r="A1603" s="30"/>
      <c r="B1603" s="42"/>
      <c r="C1603" s="43"/>
      <c r="D1603" s="30"/>
      <c r="E1603" s="28"/>
      <c r="F1603" s="30"/>
      <c r="G1603" s="30"/>
      <c r="H1603" s="30"/>
      <c r="I1603" s="30"/>
      <c r="J1603" s="28"/>
      <c r="K1603" s="30"/>
      <c r="L1603" s="30"/>
      <c r="M1603" s="30"/>
      <c r="N1603" s="30"/>
      <c r="O1603" s="28"/>
      <c r="P1603" s="30"/>
      <c r="Q1603" s="30"/>
      <c r="R1603" s="30"/>
      <c r="S1603" s="36"/>
      <c r="T1603" s="30"/>
      <c r="U1603" s="36"/>
      <c r="V1603" s="30"/>
      <c r="W1603" s="28"/>
      <c r="X1603" s="30"/>
      <c r="Y1603" s="30"/>
      <c r="Z1603" s="30"/>
      <c r="AA1603" s="30"/>
      <c r="AB1603" s="30"/>
      <c r="AC1603" s="28"/>
      <c r="AD1603" s="30"/>
      <c r="AE1603" s="30"/>
      <c r="AF1603" s="30"/>
      <c r="AG1603" s="29"/>
      <c r="AH1603" s="30"/>
      <c r="AI1603" s="36"/>
      <c r="AJ1603" s="30"/>
      <c r="AK1603" s="29"/>
      <c r="AL1603" s="30"/>
      <c r="AM1603" s="30"/>
      <c r="AN1603" s="30"/>
      <c r="AO1603" s="30"/>
      <c r="AP1603" s="30"/>
      <c r="AQ1603" s="38"/>
      <c r="AR1603" s="30"/>
      <c r="AS1603" s="30"/>
      <c r="AT1603" s="29"/>
      <c r="AU1603" s="30"/>
      <c r="AV1603" s="30"/>
      <c r="AW1603" s="30"/>
      <c r="AX1603" s="29"/>
      <c r="AY1603" s="39"/>
      <c r="AZ1603" s="30"/>
      <c r="BA1603" s="30"/>
      <c r="BB1603" s="29"/>
      <c r="BC1603" s="52"/>
      <c r="BD1603" s="30"/>
      <c r="BE1603" s="29"/>
      <c r="BF1603" s="30"/>
      <c r="BG1603" s="30"/>
      <c r="BH1603" s="30"/>
      <c r="BI1603" s="30"/>
      <c r="BJ1603" s="30"/>
      <c r="BK1603" s="30"/>
      <c r="BL1603" s="30"/>
      <c r="BM1603" s="30"/>
      <c r="BN1603" s="30"/>
      <c r="BO1603" s="30"/>
      <c r="BP1603" s="30"/>
      <c r="BQ1603" s="30"/>
      <c r="BR1603" s="30"/>
      <c r="BS1603" s="30"/>
      <c r="BT1603" s="30"/>
      <c r="BU1603" s="30"/>
      <c r="BV1603" s="30"/>
      <c r="BW1603" s="30"/>
      <c r="BX1603" s="30"/>
      <c r="BY1603" s="30"/>
      <c r="BZ1603" s="30"/>
      <c r="CA1603" s="30"/>
      <c r="CB1603" s="30"/>
      <c r="CC1603" s="30"/>
      <c r="CD1603" s="30"/>
      <c r="CE1603" s="30"/>
      <c r="CF1603" s="30"/>
      <c r="CG1603" s="30"/>
      <c r="CH1603" s="30"/>
      <c r="CI1603" s="30"/>
      <c r="CJ1603" s="30"/>
      <c r="CK1603" s="30"/>
      <c r="CL1603" s="30"/>
      <c r="CM1603" s="30"/>
      <c r="CN1603" s="30"/>
      <c r="CO1603" s="30"/>
      <c r="CP1603" s="30"/>
      <c r="CQ1603" s="30"/>
      <c r="CR1603" s="30"/>
      <c r="CS1603" s="30"/>
      <c r="CT1603" s="30"/>
      <c r="CU1603" s="30"/>
      <c r="CV1603" s="30"/>
      <c r="CW1603" s="30"/>
      <c r="CX1603" s="30"/>
      <c r="CY1603" s="30"/>
      <c r="CZ1603" s="30"/>
      <c r="DA1603" s="30"/>
      <c r="DB1603" s="30"/>
      <c r="DC1603" s="30"/>
      <c r="DD1603" s="30"/>
      <c r="DE1603" s="30"/>
      <c r="DF1603" s="30"/>
      <c r="DG1603" s="30"/>
      <c r="DH1603" s="30"/>
      <c r="DI1603" s="30"/>
      <c r="DJ1603" s="30"/>
      <c r="DK1603" s="30"/>
      <c r="DL1603" s="30"/>
      <c r="DM1603" s="30"/>
      <c r="DN1603" s="30"/>
      <c r="DO1603" s="30"/>
      <c r="DP1603" s="30"/>
      <c r="DQ1603" s="30"/>
      <c r="DR1603" s="30"/>
      <c r="DS1603" s="30"/>
      <c r="DT1603" s="30"/>
      <c r="DU1603" s="30"/>
      <c r="DV1603" s="30"/>
      <c r="DW1603" s="30"/>
      <c r="DX1603" s="30"/>
      <c r="DY1603" s="30"/>
      <c r="DZ1603" s="30"/>
    </row>
    <row r="1604">
      <c r="A1604" s="30"/>
      <c r="B1604" s="42"/>
      <c r="C1604" s="43"/>
      <c r="D1604" s="30"/>
      <c r="E1604" s="28"/>
      <c r="F1604" s="30"/>
      <c r="G1604" s="30"/>
      <c r="H1604" s="30"/>
      <c r="I1604" s="30"/>
      <c r="J1604" s="28"/>
      <c r="K1604" s="30"/>
      <c r="L1604" s="30"/>
      <c r="M1604" s="30"/>
      <c r="N1604" s="30"/>
      <c r="O1604" s="28"/>
      <c r="P1604" s="30"/>
      <c r="Q1604" s="30"/>
      <c r="R1604" s="30"/>
      <c r="S1604" s="36"/>
      <c r="T1604" s="30"/>
      <c r="U1604" s="36"/>
      <c r="V1604" s="30"/>
      <c r="W1604" s="28"/>
      <c r="X1604" s="30"/>
      <c r="Y1604" s="30"/>
      <c r="Z1604" s="30"/>
      <c r="AA1604" s="30"/>
      <c r="AB1604" s="30"/>
      <c r="AC1604" s="28"/>
      <c r="AD1604" s="30"/>
      <c r="AE1604" s="30"/>
      <c r="AF1604" s="30"/>
      <c r="AG1604" s="29"/>
      <c r="AH1604" s="30"/>
      <c r="AI1604" s="36"/>
      <c r="AJ1604" s="30"/>
      <c r="AK1604" s="29"/>
      <c r="AL1604" s="30"/>
      <c r="AM1604" s="30"/>
      <c r="AN1604" s="30"/>
      <c r="AO1604" s="30"/>
      <c r="AP1604" s="30"/>
      <c r="AQ1604" s="38"/>
      <c r="AR1604" s="30"/>
      <c r="AS1604" s="30"/>
      <c r="AT1604" s="29"/>
      <c r="AU1604" s="30"/>
      <c r="AV1604" s="30"/>
      <c r="AW1604" s="30"/>
      <c r="AX1604" s="29"/>
      <c r="AY1604" s="39"/>
      <c r="AZ1604" s="30"/>
      <c r="BA1604" s="30"/>
      <c r="BB1604" s="29"/>
      <c r="BC1604" s="52"/>
      <c r="BD1604" s="30"/>
      <c r="BE1604" s="29"/>
      <c r="BF1604" s="30"/>
      <c r="BG1604" s="30"/>
      <c r="BH1604" s="30"/>
      <c r="BI1604" s="30"/>
      <c r="BJ1604" s="30"/>
      <c r="BK1604" s="30"/>
      <c r="BL1604" s="30"/>
      <c r="BM1604" s="30"/>
      <c r="BN1604" s="30"/>
      <c r="BO1604" s="30"/>
      <c r="BP1604" s="30"/>
      <c r="BQ1604" s="30"/>
      <c r="BR1604" s="30"/>
      <c r="BS1604" s="30"/>
      <c r="BT1604" s="30"/>
      <c r="BU1604" s="30"/>
      <c r="BV1604" s="30"/>
      <c r="BW1604" s="30"/>
      <c r="BX1604" s="30"/>
      <c r="BY1604" s="30"/>
      <c r="BZ1604" s="30"/>
      <c r="CA1604" s="30"/>
      <c r="CB1604" s="30"/>
      <c r="CC1604" s="30"/>
      <c r="CD1604" s="30"/>
      <c r="CE1604" s="30"/>
      <c r="CF1604" s="30"/>
      <c r="CG1604" s="30"/>
      <c r="CH1604" s="30"/>
      <c r="CI1604" s="30"/>
      <c r="CJ1604" s="30"/>
      <c r="CK1604" s="30"/>
      <c r="CL1604" s="30"/>
      <c r="CM1604" s="30"/>
      <c r="CN1604" s="30"/>
      <c r="CO1604" s="30"/>
      <c r="CP1604" s="30"/>
      <c r="CQ1604" s="30"/>
      <c r="CR1604" s="30"/>
      <c r="CS1604" s="30"/>
      <c r="CT1604" s="30"/>
      <c r="CU1604" s="30"/>
      <c r="CV1604" s="30"/>
      <c r="CW1604" s="30"/>
      <c r="CX1604" s="30"/>
      <c r="CY1604" s="30"/>
      <c r="CZ1604" s="30"/>
      <c r="DA1604" s="30"/>
      <c r="DB1604" s="30"/>
      <c r="DC1604" s="30"/>
      <c r="DD1604" s="30"/>
      <c r="DE1604" s="30"/>
      <c r="DF1604" s="30"/>
      <c r="DG1604" s="30"/>
      <c r="DH1604" s="30"/>
      <c r="DI1604" s="30"/>
      <c r="DJ1604" s="30"/>
      <c r="DK1604" s="30"/>
      <c r="DL1604" s="30"/>
      <c r="DM1604" s="30"/>
      <c r="DN1604" s="30"/>
      <c r="DO1604" s="30"/>
      <c r="DP1604" s="30"/>
      <c r="DQ1604" s="30"/>
      <c r="DR1604" s="30"/>
      <c r="DS1604" s="30"/>
      <c r="DT1604" s="30"/>
      <c r="DU1604" s="30"/>
      <c r="DV1604" s="30"/>
      <c r="DW1604" s="30"/>
      <c r="DX1604" s="30"/>
      <c r="DY1604" s="30"/>
      <c r="DZ1604" s="30"/>
    </row>
    <row r="1605">
      <c r="A1605" s="30"/>
      <c r="B1605" s="42"/>
      <c r="C1605" s="43"/>
      <c r="D1605" s="30"/>
      <c r="E1605" s="28"/>
      <c r="F1605" s="30"/>
      <c r="G1605" s="30"/>
      <c r="H1605" s="30"/>
      <c r="I1605" s="30"/>
      <c r="J1605" s="28"/>
      <c r="K1605" s="30"/>
      <c r="L1605" s="30"/>
      <c r="M1605" s="30"/>
      <c r="N1605" s="30"/>
      <c r="O1605" s="28"/>
      <c r="P1605" s="30"/>
      <c r="Q1605" s="30"/>
      <c r="R1605" s="30"/>
      <c r="S1605" s="36"/>
      <c r="T1605" s="30"/>
      <c r="U1605" s="36"/>
      <c r="V1605" s="30"/>
      <c r="W1605" s="28"/>
      <c r="X1605" s="30"/>
      <c r="Y1605" s="30"/>
      <c r="Z1605" s="30"/>
      <c r="AA1605" s="30"/>
      <c r="AB1605" s="30"/>
      <c r="AC1605" s="28"/>
      <c r="AD1605" s="30"/>
      <c r="AE1605" s="30"/>
      <c r="AF1605" s="30"/>
      <c r="AG1605" s="29"/>
      <c r="AH1605" s="30"/>
      <c r="AI1605" s="36"/>
      <c r="AJ1605" s="30"/>
      <c r="AK1605" s="29"/>
      <c r="AL1605" s="30"/>
      <c r="AM1605" s="30"/>
      <c r="AN1605" s="30"/>
      <c r="AO1605" s="30"/>
      <c r="AP1605" s="30"/>
      <c r="AQ1605" s="38"/>
      <c r="AR1605" s="30"/>
      <c r="AS1605" s="30"/>
      <c r="AT1605" s="29"/>
      <c r="AU1605" s="30"/>
      <c r="AV1605" s="30"/>
      <c r="AW1605" s="30"/>
      <c r="AX1605" s="29"/>
      <c r="AY1605" s="39"/>
      <c r="AZ1605" s="30"/>
      <c r="BA1605" s="30"/>
      <c r="BB1605" s="29"/>
      <c r="BC1605" s="52"/>
      <c r="BD1605" s="30"/>
      <c r="BE1605" s="29"/>
      <c r="BF1605" s="30"/>
      <c r="BG1605" s="30"/>
      <c r="BH1605" s="30"/>
      <c r="BI1605" s="30"/>
      <c r="BJ1605" s="30"/>
      <c r="BK1605" s="30"/>
      <c r="BL1605" s="30"/>
      <c r="BM1605" s="30"/>
      <c r="BN1605" s="30"/>
      <c r="BO1605" s="30"/>
      <c r="BP1605" s="30"/>
      <c r="BQ1605" s="30"/>
      <c r="BR1605" s="30"/>
      <c r="BS1605" s="30"/>
      <c r="BT1605" s="30"/>
      <c r="BU1605" s="30"/>
      <c r="BV1605" s="30"/>
      <c r="BW1605" s="30"/>
      <c r="BX1605" s="30"/>
      <c r="BY1605" s="30"/>
      <c r="BZ1605" s="30"/>
      <c r="CA1605" s="30"/>
      <c r="CB1605" s="30"/>
      <c r="CC1605" s="30"/>
      <c r="CD1605" s="30"/>
      <c r="CE1605" s="30"/>
      <c r="CF1605" s="30"/>
      <c r="CG1605" s="30"/>
      <c r="CH1605" s="30"/>
      <c r="CI1605" s="30"/>
      <c r="CJ1605" s="30"/>
      <c r="CK1605" s="30"/>
      <c r="CL1605" s="30"/>
      <c r="CM1605" s="30"/>
      <c r="CN1605" s="30"/>
      <c r="CO1605" s="30"/>
      <c r="CP1605" s="30"/>
      <c r="CQ1605" s="30"/>
      <c r="CR1605" s="30"/>
      <c r="CS1605" s="30"/>
      <c r="CT1605" s="30"/>
      <c r="CU1605" s="30"/>
      <c r="CV1605" s="30"/>
      <c r="CW1605" s="30"/>
      <c r="CX1605" s="30"/>
      <c r="CY1605" s="30"/>
      <c r="CZ1605" s="30"/>
      <c r="DA1605" s="30"/>
      <c r="DB1605" s="30"/>
      <c r="DC1605" s="30"/>
      <c r="DD1605" s="30"/>
      <c r="DE1605" s="30"/>
      <c r="DF1605" s="30"/>
      <c r="DG1605" s="30"/>
      <c r="DH1605" s="30"/>
      <c r="DI1605" s="30"/>
      <c r="DJ1605" s="30"/>
      <c r="DK1605" s="30"/>
      <c r="DL1605" s="30"/>
      <c r="DM1605" s="30"/>
      <c r="DN1605" s="30"/>
      <c r="DO1605" s="30"/>
      <c r="DP1605" s="30"/>
      <c r="DQ1605" s="30"/>
      <c r="DR1605" s="30"/>
      <c r="DS1605" s="30"/>
      <c r="DT1605" s="30"/>
      <c r="DU1605" s="30"/>
      <c r="DV1605" s="30"/>
      <c r="DW1605" s="30"/>
      <c r="DX1605" s="30"/>
      <c r="DY1605" s="30"/>
      <c r="DZ1605" s="30"/>
    </row>
    <row r="1606">
      <c r="A1606" s="30"/>
      <c r="B1606" s="42"/>
      <c r="C1606" s="43"/>
      <c r="D1606" s="30"/>
      <c r="E1606" s="28"/>
      <c r="F1606" s="30"/>
      <c r="G1606" s="30"/>
      <c r="H1606" s="30"/>
      <c r="I1606" s="30"/>
      <c r="J1606" s="28"/>
      <c r="K1606" s="30"/>
      <c r="L1606" s="30"/>
      <c r="M1606" s="30"/>
      <c r="N1606" s="30"/>
      <c r="O1606" s="28"/>
      <c r="P1606" s="30"/>
      <c r="Q1606" s="30"/>
      <c r="R1606" s="30"/>
      <c r="S1606" s="36"/>
      <c r="T1606" s="30"/>
      <c r="U1606" s="36"/>
      <c r="V1606" s="30"/>
      <c r="W1606" s="28"/>
      <c r="X1606" s="30"/>
      <c r="Y1606" s="30"/>
      <c r="Z1606" s="30"/>
      <c r="AA1606" s="30"/>
      <c r="AB1606" s="30"/>
      <c r="AC1606" s="28"/>
      <c r="AD1606" s="30"/>
      <c r="AE1606" s="30"/>
      <c r="AF1606" s="30"/>
      <c r="AG1606" s="29"/>
      <c r="AH1606" s="30"/>
      <c r="AI1606" s="36"/>
      <c r="AJ1606" s="30"/>
      <c r="AK1606" s="29"/>
      <c r="AL1606" s="30"/>
      <c r="AM1606" s="30"/>
      <c r="AN1606" s="30"/>
      <c r="AO1606" s="30"/>
      <c r="AP1606" s="30"/>
      <c r="AQ1606" s="38"/>
      <c r="AR1606" s="30"/>
      <c r="AS1606" s="30"/>
      <c r="AT1606" s="29"/>
      <c r="AU1606" s="30"/>
      <c r="AV1606" s="30"/>
      <c r="AW1606" s="30"/>
      <c r="AX1606" s="29"/>
      <c r="AY1606" s="39"/>
      <c r="AZ1606" s="30"/>
      <c r="BA1606" s="30"/>
      <c r="BB1606" s="29"/>
      <c r="BC1606" s="52"/>
      <c r="BD1606" s="30"/>
      <c r="BE1606" s="29"/>
      <c r="BF1606" s="30"/>
      <c r="BG1606" s="30"/>
      <c r="BH1606" s="30"/>
      <c r="BI1606" s="30"/>
      <c r="BJ1606" s="30"/>
      <c r="BK1606" s="30"/>
      <c r="BL1606" s="30"/>
      <c r="BM1606" s="30"/>
      <c r="BN1606" s="30"/>
      <c r="BO1606" s="30"/>
      <c r="BP1606" s="30"/>
      <c r="BQ1606" s="30"/>
      <c r="BR1606" s="30"/>
      <c r="BS1606" s="30"/>
      <c r="BT1606" s="30"/>
      <c r="BU1606" s="30"/>
      <c r="BV1606" s="30"/>
      <c r="BW1606" s="30"/>
      <c r="BX1606" s="30"/>
      <c r="BY1606" s="30"/>
      <c r="BZ1606" s="30"/>
      <c r="CA1606" s="30"/>
      <c r="CB1606" s="30"/>
      <c r="CC1606" s="30"/>
      <c r="CD1606" s="30"/>
      <c r="CE1606" s="30"/>
      <c r="CF1606" s="30"/>
      <c r="CG1606" s="30"/>
      <c r="CH1606" s="30"/>
      <c r="CI1606" s="30"/>
      <c r="CJ1606" s="30"/>
      <c r="CK1606" s="30"/>
      <c r="CL1606" s="30"/>
      <c r="CM1606" s="30"/>
      <c r="CN1606" s="30"/>
      <c r="CO1606" s="30"/>
      <c r="CP1606" s="30"/>
      <c r="CQ1606" s="30"/>
      <c r="CR1606" s="30"/>
      <c r="CS1606" s="30"/>
      <c r="CT1606" s="30"/>
      <c r="CU1606" s="30"/>
      <c r="CV1606" s="30"/>
      <c r="CW1606" s="30"/>
      <c r="CX1606" s="30"/>
      <c r="CY1606" s="30"/>
      <c r="CZ1606" s="30"/>
      <c r="DA1606" s="30"/>
      <c r="DB1606" s="30"/>
      <c r="DC1606" s="30"/>
      <c r="DD1606" s="30"/>
      <c r="DE1606" s="30"/>
      <c r="DF1606" s="30"/>
      <c r="DG1606" s="30"/>
      <c r="DH1606" s="30"/>
      <c r="DI1606" s="30"/>
      <c r="DJ1606" s="30"/>
      <c r="DK1606" s="30"/>
      <c r="DL1606" s="30"/>
      <c r="DM1606" s="30"/>
      <c r="DN1606" s="30"/>
      <c r="DO1606" s="30"/>
      <c r="DP1606" s="30"/>
      <c r="DQ1606" s="30"/>
      <c r="DR1606" s="30"/>
      <c r="DS1606" s="30"/>
      <c r="DT1606" s="30"/>
      <c r="DU1606" s="30"/>
      <c r="DV1606" s="30"/>
      <c r="DW1606" s="30"/>
      <c r="DX1606" s="30"/>
      <c r="DY1606" s="30"/>
      <c r="DZ1606" s="30"/>
    </row>
    <row r="1607">
      <c r="A1607" s="30"/>
      <c r="B1607" s="42"/>
      <c r="C1607" s="43"/>
      <c r="D1607" s="30"/>
      <c r="E1607" s="28"/>
      <c r="F1607" s="30"/>
      <c r="G1607" s="30"/>
      <c r="H1607" s="30"/>
      <c r="I1607" s="30"/>
      <c r="J1607" s="28"/>
      <c r="K1607" s="30"/>
      <c r="L1607" s="30"/>
      <c r="M1607" s="30"/>
      <c r="N1607" s="30"/>
      <c r="O1607" s="28"/>
      <c r="P1607" s="30"/>
      <c r="Q1607" s="30"/>
      <c r="R1607" s="30"/>
      <c r="S1607" s="36"/>
      <c r="T1607" s="30"/>
      <c r="U1607" s="36"/>
      <c r="V1607" s="30"/>
      <c r="W1607" s="28"/>
      <c r="X1607" s="30"/>
      <c r="Y1607" s="30"/>
      <c r="Z1607" s="30"/>
      <c r="AA1607" s="30"/>
      <c r="AB1607" s="30"/>
      <c r="AC1607" s="28"/>
      <c r="AD1607" s="30"/>
      <c r="AE1607" s="30"/>
      <c r="AF1607" s="30"/>
      <c r="AG1607" s="29"/>
      <c r="AH1607" s="30"/>
      <c r="AI1607" s="36"/>
      <c r="AJ1607" s="30"/>
      <c r="AK1607" s="29"/>
      <c r="AL1607" s="30"/>
      <c r="AM1607" s="30"/>
      <c r="AN1607" s="30"/>
      <c r="AO1607" s="30"/>
      <c r="AP1607" s="30"/>
      <c r="AQ1607" s="38"/>
      <c r="AR1607" s="30"/>
      <c r="AS1607" s="30"/>
      <c r="AT1607" s="29"/>
      <c r="AU1607" s="30"/>
      <c r="AV1607" s="30"/>
      <c r="AW1607" s="30"/>
      <c r="AX1607" s="29"/>
      <c r="AY1607" s="39"/>
      <c r="AZ1607" s="30"/>
      <c r="BA1607" s="30"/>
      <c r="BB1607" s="29"/>
      <c r="BC1607" s="52"/>
      <c r="BD1607" s="30"/>
      <c r="BE1607" s="29"/>
      <c r="BF1607" s="30"/>
      <c r="BG1607" s="30"/>
      <c r="BH1607" s="30"/>
      <c r="BI1607" s="30"/>
      <c r="BJ1607" s="30"/>
      <c r="BK1607" s="30"/>
      <c r="BL1607" s="30"/>
      <c r="BM1607" s="30"/>
      <c r="BN1607" s="30"/>
      <c r="BO1607" s="30"/>
      <c r="BP1607" s="30"/>
      <c r="BQ1607" s="30"/>
      <c r="BR1607" s="30"/>
      <c r="BS1607" s="30"/>
      <c r="BT1607" s="30"/>
      <c r="BU1607" s="30"/>
      <c r="BV1607" s="30"/>
      <c r="BW1607" s="30"/>
      <c r="BX1607" s="30"/>
      <c r="BY1607" s="30"/>
      <c r="BZ1607" s="30"/>
      <c r="CA1607" s="30"/>
      <c r="CB1607" s="30"/>
      <c r="CC1607" s="30"/>
      <c r="CD1607" s="30"/>
      <c r="CE1607" s="30"/>
      <c r="CF1607" s="30"/>
      <c r="CG1607" s="30"/>
      <c r="CH1607" s="30"/>
      <c r="CI1607" s="30"/>
      <c r="CJ1607" s="30"/>
      <c r="CK1607" s="30"/>
      <c r="CL1607" s="30"/>
      <c r="CM1607" s="30"/>
      <c r="CN1607" s="30"/>
      <c r="CO1607" s="30"/>
      <c r="CP1607" s="30"/>
      <c r="CQ1607" s="30"/>
      <c r="CR1607" s="30"/>
      <c r="CS1607" s="30"/>
      <c r="CT1607" s="30"/>
      <c r="CU1607" s="30"/>
      <c r="CV1607" s="30"/>
      <c r="CW1607" s="30"/>
      <c r="CX1607" s="30"/>
      <c r="CY1607" s="30"/>
      <c r="CZ1607" s="30"/>
      <c r="DA1607" s="30"/>
      <c r="DB1607" s="30"/>
      <c r="DC1607" s="30"/>
      <c r="DD1607" s="30"/>
      <c r="DE1607" s="30"/>
      <c r="DF1607" s="30"/>
      <c r="DG1607" s="30"/>
      <c r="DH1607" s="30"/>
      <c r="DI1607" s="30"/>
      <c r="DJ1607" s="30"/>
      <c r="DK1607" s="30"/>
      <c r="DL1607" s="30"/>
      <c r="DM1607" s="30"/>
      <c r="DN1607" s="30"/>
      <c r="DO1607" s="30"/>
      <c r="DP1607" s="30"/>
      <c r="DQ1607" s="30"/>
      <c r="DR1607" s="30"/>
      <c r="DS1607" s="30"/>
      <c r="DT1607" s="30"/>
      <c r="DU1607" s="30"/>
      <c r="DV1607" s="30"/>
      <c r="DW1607" s="30"/>
      <c r="DX1607" s="30"/>
      <c r="DY1607" s="30"/>
      <c r="DZ1607" s="30"/>
    </row>
    <row r="1608">
      <c r="A1608" s="30"/>
      <c r="B1608" s="42"/>
      <c r="C1608" s="43"/>
      <c r="D1608" s="30"/>
      <c r="E1608" s="28"/>
      <c r="F1608" s="30"/>
      <c r="G1608" s="30"/>
      <c r="H1608" s="30"/>
      <c r="I1608" s="30"/>
      <c r="J1608" s="28"/>
      <c r="K1608" s="30"/>
      <c r="L1608" s="30"/>
      <c r="M1608" s="30"/>
      <c r="N1608" s="30"/>
      <c r="O1608" s="28"/>
      <c r="P1608" s="30"/>
      <c r="Q1608" s="30"/>
      <c r="R1608" s="30"/>
      <c r="S1608" s="36"/>
      <c r="T1608" s="30"/>
      <c r="U1608" s="36"/>
      <c r="V1608" s="30"/>
      <c r="W1608" s="28"/>
      <c r="X1608" s="30"/>
      <c r="Y1608" s="30"/>
      <c r="Z1608" s="30"/>
      <c r="AA1608" s="30"/>
      <c r="AB1608" s="30"/>
      <c r="AC1608" s="28"/>
      <c r="AD1608" s="30"/>
      <c r="AE1608" s="30"/>
      <c r="AF1608" s="30"/>
      <c r="AG1608" s="29"/>
      <c r="AH1608" s="30"/>
      <c r="AI1608" s="36"/>
      <c r="AJ1608" s="30"/>
      <c r="AK1608" s="29"/>
      <c r="AL1608" s="30"/>
      <c r="AM1608" s="30"/>
      <c r="AN1608" s="30"/>
      <c r="AO1608" s="30"/>
      <c r="AP1608" s="30"/>
      <c r="AQ1608" s="38"/>
      <c r="AR1608" s="30"/>
      <c r="AS1608" s="30"/>
      <c r="AT1608" s="29"/>
      <c r="AU1608" s="30"/>
      <c r="AV1608" s="30"/>
      <c r="AW1608" s="30"/>
      <c r="AX1608" s="29"/>
      <c r="AY1608" s="39"/>
      <c r="AZ1608" s="30"/>
      <c r="BA1608" s="30"/>
      <c r="BB1608" s="29"/>
      <c r="BC1608" s="52"/>
      <c r="BD1608" s="30"/>
      <c r="BE1608" s="29"/>
      <c r="BF1608" s="30"/>
      <c r="BG1608" s="30"/>
      <c r="BH1608" s="30"/>
      <c r="BI1608" s="30"/>
      <c r="BJ1608" s="30"/>
      <c r="BK1608" s="30"/>
      <c r="BL1608" s="30"/>
      <c r="BM1608" s="30"/>
      <c r="BN1608" s="30"/>
      <c r="BO1608" s="30"/>
      <c r="BP1608" s="30"/>
      <c r="BQ1608" s="30"/>
      <c r="BR1608" s="30"/>
      <c r="BS1608" s="30"/>
      <c r="BT1608" s="30"/>
      <c r="BU1608" s="30"/>
      <c r="BV1608" s="30"/>
      <c r="BW1608" s="30"/>
      <c r="BX1608" s="30"/>
      <c r="BY1608" s="30"/>
      <c r="BZ1608" s="30"/>
      <c r="CA1608" s="30"/>
      <c r="CB1608" s="30"/>
      <c r="CC1608" s="30"/>
      <c r="CD1608" s="30"/>
      <c r="CE1608" s="30"/>
      <c r="CF1608" s="30"/>
      <c r="CG1608" s="30"/>
      <c r="CH1608" s="30"/>
      <c r="CI1608" s="30"/>
      <c r="CJ1608" s="30"/>
      <c r="CK1608" s="30"/>
      <c r="CL1608" s="30"/>
      <c r="CM1608" s="30"/>
      <c r="CN1608" s="30"/>
      <c r="CO1608" s="30"/>
      <c r="CP1608" s="30"/>
      <c r="CQ1608" s="30"/>
      <c r="CR1608" s="30"/>
      <c r="CS1608" s="30"/>
      <c r="CT1608" s="30"/>
      <c r="CU1608" s="30"/>
      <c r="CV1608" s="30"/>
      <c r="CW1608" s="30"/>
      <c r="CX1608" s="30"/>
      <c r="CY1608" s="30"/>
      <c r="CZ1608" s="30"/>
      <c r="DA1608" s="30"/>
      <c r="DB1608" s="30"/>
      <c r="DC1608" s="30"/>
      <c r="DD1608" s="30"/>
      <c r="DE1608" s="30"/>
      <c r="DF1608" s="30"/>
      <c r="DG1608" s="30"/>
      <c r="DH1608" s="30"/>
      <c r="DI1608" s="30"/>
      <c r="DJ1608" s="30"/>
      <c r="DK1608" s="30"/>
      <c r="DL1608" s="30"/>
      <c r="DM1608" s="30"/>
      <c r="DN1608" s="30"/>
      <c r="DO1608" s="30"/>
      <c r="DP1608" s="30"/>
      <c r="DQ1608" s="30"/>
      <c r="DR1608" s="30"/>
      <c r="DS1608" s="30"/>
      <c r="DT1608" s="30"/>
      <c r="DU1608" s="30"/>
      <c r="DV1608" s="30"/>
      <c r="DW1608" s="30"/>
      <c r="DX1608" s="30"/>
      <c r="DY1608" s="30"/>
      <c r="DZ1608" s="30"/>
    </row>
    <row r="1609">
      <c r="A1609" s="30"/>
      <c r="B1609" s="42"/>
      <c r="C1609" s="43"/>
      <c r="D1609" s="30"/>
      <c r="E1609" s="28"/>
      <c r="F1609" s="30"/>
      <c r="G1609" s="30"/>
      <c r="H1609" s="30"/>
      <c r="I1609" s="30"/>
      <c r="J1609" s="28"/>
      <c r="K1609" s="30"/>
      <c r="L1609" s="30"/>
      <c r="M1609" s="30"/>
      <c r="N1609" s="30"/>
      <c r="O1609" s="28"/>
      <c r="P1609" s="30"/>
      <c r="Q1609" s="30"/>
      <c r="R1609" s="30"/>
      <c r="S1609" s="36"/>
      <c r="T1609" s="30"/>
      <c r="U1609" s="36"/>
      <c r="V1609" s="30"/>
      <c r="W1609" s="28"/>
      <c r="X1609" s="30"/>
      <c r="Y1609" s="30"/>
      <c r="Z1609" s="30"/>
      <c r="AA1609" s="30"/>
      <c r="AB1609" s="30"/>
      <c r="AC1609" s="28"/>
      <c r="AD1609" s="30"/>
      <c r="AE1609" s="30"/>
      <c r="AF1609" s="30"/>
      <c r="AG1609" s="29"/>
      <c r="AH1609" s="30"/>
      <c r="AI1609" s="36"/>
      <c r="AJ1609" s="30"/>
      <c r="AK1609" s="29"/>
      <c r="AL1609" s="30"/>
      <c r="AM1609" s="30"/>
      <c r="AN1609" s="30"/>
      <c r="AO1609" s="30"/>
      <c r="AP1609" s="30"/>
      <c r="AQ1609" s="38"/>
      <c r="AR1609" s="30"/>
      <c r="AS1609" s="30"/>
      <c r="AT1609" s="29"/>
      <c r="AU1609" s="30"/>
      <c r="AV1609" s="30"/>
      <c r="AW1609" s="30"/>
      <c r="AX1609" s="29"/>
      <c r="AY1609" s="39"/>
      <c r="AZ1609" s="30"/>
      <c r="BA1609" s="30"/>
      <c r="BB1609" s="29"/>
      <c r="BC1609" s="52"/>
      <c r="BD1609" s="30"/>
      <c r="BE1609" s="29"/>
      <c r="BF1609" s="30"/>
      <c r="BG1609" s="30"/>
      <c r="BH1609" s="30"/>
      <c r="BI1609" s="30"/>
      <c r="BJ1609" s="30"/>
      <c r="BK1609" s="30"/>
      <c r="BL1609" s="30"/>
      <c r="BM1609" s="30"/>
      <c r="BN1609" s="30"/>
      <c r="BO1609" s="30"/>
      <c r="BP1609" s="30"/>
      <c r="BQ1609" s="30"/>
      <c r="BR1609" s="30"/>
      <c r="BS1609" s="30"/>
      <c r="BT1609" s="30"/>
      <c r="BU1609" s="30"/>
      <c r="BV1609" s="30"/>
      <c r="BW1609" s="30"/>
      <c r="BX1609" s="30"/>
      <c r="BY1609" s="30"/>
      <c r="BZ1609" s="30"/>
      <c r="CA1609" s="30"/>
      <c r="CB1609" s="30"/>
      <c r="CC1609" s="30"/>
      <c r="CD1609" s="30"/>
      <c r="CE1609" s="30"/>
      <c r="CF1609" s="30"/>
      <c r="CG1609" s="30"/>
      <c r="CH1609" s="30"/>
      <c r="CI1609" s="30"/>
      <c r="CJ1609" s="30"/>
      <c r="CK1609" s="30"/>
      <c r="CL1609" s="30"/>
      <c r="CM1609" s="30"/>
      <c r="CN1609" s="30"/>
      <c r="CO1609" s="30"/>
      <c r="CP1609" s="30"/>
      <c r="CQ1609" s="30"/>
      <c r="CR1609" s="30"/>
      <c r="CS1609" s="30"/>
      <c r="CT1609" s="30"/>
      <c r="CU1609" s="30"/>
      <c r="CV1609" s="30"/>
      <c r="CW1609" s="30"/>
      <c r="CX1609" s="30"/>
      <c r="CY1609" s="30"/>
      <c r="CZ1609" s="30"/>
      <c r="DA1609" s="30"/>
      <c r="DB1609" s="30"/>
      <c r="DC1609" s="30"/>
      <c r="DD1609" s="30"/>
      <c r="DE1609" s="30"/>
      <c r="DF1609" s="30"/>
      <c r="DG1609" s="30"/>
      <c r="DH1609" s="30"/>
      <c r="DI1609" s="30"/>
      <c r="DJ1609" s="30"/>
      <c r="DK1609" s="30"/>
      <c r="DL1609" s="30"/>
      <c r="DM1609" s="30"/>
      <c r="DN1609" s="30"/>
      <c r="DO1609" s="30"/>
      <c r="DP1609" s="30"/>
      <c r="DQ1609" s="30"/>
      <c r="DR1609" s="30"/>
      <c r="DS1609" s="30"/>
      <c r="DT1609" s="30"/>
      <c r="DU1609" s="30"/>
      <c r="DV1609" s="30"/>
      <c r="DW1609" s="30"/>
      <c r="DX1609" s="30"/>
      <c r="DY1609" s="30"/>
      <c r="DZ1609" s="30"/>
    </row>
    <row r="1610">
      <c r="A1610" s="30"/>
      <c r="B1610" s="42"/>
      <c r="C1610" s="43"/>
      <c r="D1610" s="30"/>
      <c r="E1610" s="28"/>
      <c r="F1610" s="30"/>
      <c r="G1610" s="30"/>
      <c r="H1610" s="30"/>
      <c r="I1610" s="30"/>
      <c r="J1610" s="28"/>
      <c r="K1610" s="30"/>
      <c r="L1610" s="30"/>
      <c r="M1610" s="30"/>
      <c r="N1610" s="30"/>
      <c r="O1610" s="28"/>
      <c r="P1610" s="30"/>
      <c r="Q1610" s="30"/>
      <c r="R1610" s="30"/>
      <c r="S1610" s="36"/>
      <c r="T1610" s="30"/>
      <c r="U1610" s="36"/>
      <c r="V1610" s="30"/>
      <c r="W1610" s="28"/>
      <c r="X1610" s="30"/>
      <c r="Y1610" s="30"/>
      <c r="Z1610" s="30"/>
      <c r="AA1610" s="30"/>
      <c r="AB1610" s="30"/>
      <c r="AC1610" s="28"/>
      <c r="AD1610" s="30"/>
      <c r="AE1610" s="30"/>
      <c r="AF1610" s="30"/>
      <c r="AG1610" s="29"/>
      <c r="AH1610" s="30"/>
      <c r="AI1610" s="36"/>
      <c r="AJ1610" s="30"/>
      <c r="AK1610" s="29"/>
      <c r="AL1610" s="30"/>
      <c r="AM1610" s="30"/>
      <c r="AN1610" s="30"/>
      <c r="AO1610" s="30"/>
      <c r="AP1610" s="30"/>
      <c r="AQ1610" s="38"/>
      <c r="AR1610" s="30"/>
      <c r="AS1610" s="30"/>
      <c r="AT1610" s="29"/>
      <c r="AU1610" s="30"/>
      <c r="AV1610" s="30"/>
      <c r="AW1610" s="30"/>
      <c r="AX1610" s="29"/>
      <c r="AY1610" s="39"/>
      <c r="AZ1610" s="30"/>
      <c r="BA1610" s="30"/>
      <c r="BB1610" s="29"/>
      <c r="BC1610" s="52"/>
      <c r="BD1610" s="30"/>
      <c r="BE1610" s="29"/>
      <c r="BF1610" s="30"/>
      <c r="BG1610" s="30"/>
      <c r="BH1610" s="30"/>
      <c r="BI1610" s="30"/>
      <c r="BJ1610" s="30"/>
      <c r="BK1610" s="30"/>
      <c r="BL1610" s="30"/>
      <c r="BM1610" s="30"/>
      <c r="BN1610" s="30"/>
      <c r="BO1610" s="30"/>
      <c r="BP1610" s="30"/>
      <c r="BQ1610" s="30"/>
      <c r="BR1610" s="30"/>
      <c r="BS1610" s="30"/>
      <c r="BT1610" s="30"/>
      <c r="BU1610" s="30"/>
      <c r="BV1610" s="30"/>
      <c r="BW1610" s="30"/>
      <c r="BX1610" s="30"/>
      <c r="BY1610" s="30"/>
      <c r="BZ1610" s="30"/>
      <c r="CA1610" s="30"/>
      <c r="CB1610" s="30"/>
      <c r="CC1610" s="30"/>
      <c r="CD1610" s="30"/>
      <c r="CE1610" s="30"/>
      <c r="CF1610" s="30"/>
      <c r="CG1610" s="30"/>
      <c r="CH1610" s="30"/>
      <c r="CI1610" s="30"/>
      <c r="CJ1610" s="30"/>
      <c r="CK1610" s="30"/>
      <c r="CL1610" s="30"/>
      <c r="CM1610" s="30"/>
      <c r="CN1610" s="30"/>
      <c r="CO1610" s="30"/>
      <c r="CP1610" s="30"/>
      <c r="CQ1610" s="30"/>
      <c r="CR1610" s="30"/>
      <c r="CS1610" s="30"/>
      <c r="CT1610" s="30"/>
      <c r="CU1610" s="30"/>
      <c r="CV1610" s="30"/>
      <c r="CW1610" s="30"/>
      <c r="CX1610" s="30"/>
      <c r="CY1610" s="30"/>
      <c r="CZ1610" s="30"/>
      <c r="DA1610" s="30"/>
      <c r="DB1610" s="30"/>
      <c r="DC1610" s="30"/>
      <c r="DD1610" s="30"/>
      <c r="DE1610" s="30"/>
      <c r="DF1610" s="30"/>
      <c r="DG1610" s="30"/>
      <c r="DH1610" s="30"/>
      <c r="DI1610" s="30"/>
      <c r="DJ1610" s="30"/>
      <c r="DK1610" s="30"/>
      <c r="DL1610" s="30"/>
      <c r="DM1610" s="30"/>
      <c r="DN1610" s="30"/>
      <c r="DO1610" s="30"/>
      <c r="DP1610" s="30"/>
      <c r="DQ1610" s="30"/>
      <c r="DR1610" s="30"/>
      <c r="DS1610" s="30"/>
      <c r="DT1610" s="30"/>
      <c r="DU1610" s="30"/>
      <c r="DV1610" s="30"/>
      <c r="DW1610" s="30"/>
      <c r="DX1610" s="30"/>
      <c r="DY1610" s="30"/>
      <c r="DZ1610" s="30"/>
    </row>
    <row r="1611">
      <c r="A1611" s="30"/>
      <c r="B1611" s="42"/>
      <c r="C1611" s="43"/>
      <c r="D1611" s="30"/>
      <c r="E1611" s="28"/>
      <c r="F1611" s="30"/>
      <c r="G1611" s="30"/>
      <c r="H1611" s="30"/>
      <c r="I1611" s="30"/>
      <c r="J1611" s="28"/>
      <c r="K1611" s="30"/>
      <c r="L1611" s="30"/>
      <c r="M1611" s="30"/>
      <c r="N1611" s="30"/>
      <c r="O1611" s="28"/>
      <c r="P1611" s="30"/>
      <c r="Q1611" s="30"/>
      <c r="R1611" s="30"/>
      <c r="S1611" s="36"/>
      <c r="T1611" s="30"/>
      <c r="U1611" s="36"/>
      <c r="V1611" s="30"/>
      <c r="W1611" s="28"/>
      <c r="X1611" s="30"/>
      <c r="Y1611" s="30"/>
      <c r="Z1611" s="30"/>
      <c r="AA1611" s="30"/>
      <c r="AB1611" s="30"/>
      <c r="AC1611" s="28"/>
      <c r="AD1611" s="30"/>
      <c r="AE1611" s="30"/>
      <c r="AF1611" s="30"/>
      <c r="AG1611" s="29"/>
      <c r="AH1611" s="30"/>
      <c r="AI1611" s="36"/>
      <c r="AJ1611" s="30"/>
      <c r="AK1611" s="29"/>
      <c r="AL1611" s="30"/>
      <c r="AM1611" s="30"/>
      <c r="AN1611" s="30"/>
      <c r="AO1611" s="30"/>
      <c r="AP1611" s="30"/>
      <c r="AQ1611" s="38"/>
      <c r="AR1611" s="30"/>
      <c r="AS1611" s="30"/>
      <c r="AT1611" s="29"/>
      <c r="AU1611" s="30"/>
      <c r="AV1611" s="30"/>
      <c r="AW1611" s="30"/>
      <c r="AX1611" s="29"/>
      <c r="AY1611" s="39"/>
      <c r="AZ1611" s="30"/>
      <c r="BA1611" s="30"/>
      <c r="BB1611" s="29"/>
      <c r="BC1611" s="52"/>
      <c r="BD1611" s="30"/>
      <c r="BE1611" s="29"/>
      <c r="BF1611" s="30"/>
      <c r="BG1611" s="30"/>
      <c r="BH1611" s="30"/>
      <c r="BI1611" s="30"/>
      <c r="BJ1611" s="30"/>
      <c r="BK1611" s="30"/>
      <c r="BL1611" s="30"/>
      <c r="BM1611" s="30"/>
      <c r="BN1611" s="30"/>
      <c r="BO1611" s="30"/>
      <c r="BP1611" s="30"/>
      <c r="BQ1611" s="30"/>
      <c r="BR1611" s="30"/>
      <c r="BS1611" s="30"/>
      <c r="BT1611" s="30"/>
      <c r="BU1611" s="30"/>
      <c r="BV1611" s="30"/>
      <c r="BW1611" s="30"/>
      <c r="BX1611" s="30"/>
      <c r="BY1611" s="30"/>
      <c r="BZ1611" s="30"/>
      <c r="CA1611" s="30"/>
      <c r="CB1611" s="30"/>
      <c r="CC1611" s="30"/>
      <c r="CD1611" s="30"/>
      <c r="CE1611" s="30"/>
      <c r="CF1611" s="30"/>
      <c r="CG1611" s="30"/>
      <c r="CH1611" s="30"/>
      <c r="CI1611" s="30"/>
      <c r="CJ1611" s="30"/>
      <c r="CK1611" s="30"/>
      <c r="CL1611" s="30"/>
      <c r="CM1611" s="30"/>
      <c r="CN1611" s="30"/>
      <c r="CO1611" s="30"/>
      <c r="CP1611" s="30"/>
      <c r="CQ1611" s="30"/>
      <c r="CR1611" s="30"/>
      <c r="CS1611" s="30"/>
      <c r="CT1611" s="30"/>
      <c r="CU1611" s="30"/>
      <c r="CV1611" s="30"/>
      <c r="CW1611" s="30"/>
      <c r="CX1611" s="30"/>
      <c r="CY1611" s="30"/>
      <c r="CZ1611" s="30"/>
      <c r="DA1611" s="30"/>
      <c r="DB1611" s="30"/>
      <c r="DC1611" s="30"/>
      <c r="DD1611" s="30"/>
      <c r="DE1611" s="30"/>
      <c r="DF1611" s="30"/>
      <c r="DG1611" s="30"/>
      <c r="DH1611" s="30"/>
      <c r="DI1611" s="30"/>
      <c r="DJ1611" s="30"/>
      <c r="DK1611" s="30"/>
      <c r="DL1611" s="30"/>
      <c r="DM1611" s="30"/>
      <c r="DN1611" s="30"/>
      <c r="DO1611" s="30"/>
      <c r="DP1611" s="30"/>
      <c r="DQ1611" s="30"/>
      <c r="DR1611" s="30"/>
      <c r="DS1611" s="30"/>
      <c r="DT1611" s="30"/>
      <c r="DU1611" s="30"/>
      <c r="DV1611" s="30"/>
      <c r="DW1611" s="30"/>
      <c r="DX1611" s="30"/>
      <c r="DY1611" s="30"/>
      <c r="DZ1611" s="30"/>
    </row>
    <row r="1612">
      <c r="A1612" s="30"/>
      <c r="B1612" s="42"/>
      <c r="C1612" s="43"/>
      <c r="D1612" s="30"/>
      <c r="E1612" s="28"/>
      <c r="F1612" s="30"/>
      <c r="G1612" s="30"/>
      <c r="H1612" s="30"/>
      <c r="I1612" s="30"/>
      <c r="J1612" s="28"/>
      <c r="K1612" s="30"/>
      <c r="L1612" s="30"/>
      <c r="M1612" s="30"/>
      <c r="N1612" s="30"/>
      <c r="O1612" s="28"/>
      <c r="P1612" s="30"/>
      <c r="Q1612" s="30"/>
      <c r="R1612" s="30"/>
      <c r="S1612" s="36"/>
      <c r="T1612" s="30"/>
      <c r="U1612" s="36"/>
      <c r="V1612" s="30"/>
      <c r="W1612" s="28"/>
      <c r="X1612" s="30"/>
      <c r="Y1612" s="30"/>
      <c r="Z1612" s="30"/>
      <c r="AA1612" s="30"/>
      <c r="AB1612" s="30"/>
      <c r="AC1612" s="28"/>
      <c r="AD1612" s="30"/>
      <c r="AE1612" s="30"/>
      <c r="AF1612" s="30"/>
      <c r="AG1612" s="29"/>
      <c r="AH1612" s="30"/>
      <c r="AI1612" s="36"/>
      <c r="AJ1612" s="30"/>
      <c r="AK1612" s="29"/>
      <c r="AL1612" s="30"/>
      <c r="AM1612" s="30"/>
      <c r="AN1612" s="30"/>
      <c r="AO1612" s="30"/>
      <c r="AP1612" s="30"/>
      <c r="AQ1612" s="38"/>
      <c r="AR1612" s="30"/>
      <c r="AS1612" s="30"/>
      <c r="AT1612" s="29"/>
      <c r="AU1612" s="30"/>
      <c r="AV1612" s="30"/>
      <c r="AW1612" s="30"/>
      <c r="AX1612" s="29"/>
      <c r="AY1612" s="39"/>
      <c r="AZ1612" s="30"/>
      <c r="BA1612" s="30"/>
      <c r="BB1612" s="29"/>
      <c r="BC1612" s="52"/>
      <c r="BD1612" s="30"/>
      <c r="BE1612" s="29"/>
      <c r="BF1612" s="30"/>
      <c r="BG1612" s="30"/>
      <c r="BH1612" s="30"/>
      <c r="BI1612" s="30"/>
      <c r="BJ1612" s="30"/>
      <c r="BK1612" s="30"/>
      <c r="BL1612" s="30"/>
      <c r="BM1612" s="30"/>
      <c r="BN1612" s="30"/>
      <c r="BO1612" s="30"/>
      <c r="BP1612" s="30"/>
      <c r="BQ1612" s="30"/>
      <c r="BR1612" s="30"/>
      <c r="BS1612" s="30"/>
      <c r="BT1612" s="30"/>
      <c r="BU1612" s="30"/>
      <c r="BV1612" s="30"/>
      <c r="BW1612" s="30"/>
      <c r="BX1612" s="30"/>
      <c r="BY1612" s="30"/>
      <c r="BZ1612" s="30"/>
      <c r="CA1612" s="30"/>
      <c r="CB1612" s="30"/>
      <c r="CC1612" s="30"/>
      <c r="CD1612" s="30"/>
      <c r="CE1612" s="30"/>
      <c r="CF1612" s="30"/>
      <c r="CG1612" s="30"/>
      <c r="CH1612" s="30"/>
      <c r="CI1612" s="30"/>
      <c r="CJ1612" s="30"/>
      <c r="CK1612" s="30"/>
      <c r="CL1612" s="30"/>
      <c r="CM1612" s="30"/>
      <c r="CN1612" s="30"/>
      <c r="CO1612" s="30"/>
      <c r="CP1612" s="30"/>
      <c r="CQ1612" s="30"/>
      <c r="CR1612" s="30"/>
      <c r="CS1612" s="30"/>
      <c r="CT1612" s="30"/>
      <c r="CU1612" s="30"/>
      <c r="CV1612" s="30"/>
      <c r="CW1612" s="30"/>
      <c r="CX1612" s="30"/>
      <c r="CY1612" s="30"/>
      <c r="CZ1612" s="30"/>
      <c r="DA1612" s="30"/>
      <c r="DB1612" s="30"/>
      <c r="DC1612" s="30"/>
      <c r="DD1612" s="30"/>
      <c r="DE1612" s="30"/>
      <c r="DF1612" s="30"/>
      <c r="DG1612" s="30"/>
      <c r="DH1612" s="30"/>
      <c r="DI1612" s="30"/>
      <c r="DJ1612" s="30"/>
      <c r="DK1612" s="30"/>
      <c r="DL1612" s="30"/>
      <c r="DM1612" s="30"/>
      <c r="DN1612" s="30"/>
      <c r="DO1612" s="30"/>
      <c r="DP1612" s="30"/>
      <c r="DQ1612" s="30"/>
      <c r="DR1612" s="30"/>
      <c r="DS1612" s="30"/>
      <c r="DT1612" s="30"/>
      <c r="DU1612" s="30"/>
      <c r="DV1612" s="30"/>
      <c r="DW1612" s="30"/>
      <c r="DX1612" s="30"/>
      <c r="DY1612" s="30"/>
      <c r="DZ1612" s="30"/>
    </row>
    <row r="1613">
      <c r="A1613" s="30"/>
      <c r="B1613" s="42"/>
      <c r="C1613" s="43"/>
      <c r="D1613" s="30"/>
      <c r="E1613" s="28"/>
      <c r="F1613" s="30"/>
      <c r="G1613" s="30"/>
      <c r="H1613" s="30"/>
      <c r="I1613" s="30"/>
      <c r="J1613" s="28"/>
      <c r="K1613" s="30"/>
      <c r="L1613" s="30"/>
      <c r="M1613" s="30"/>
      <c r="N1613" s="30"/>
      <c r="O1613" s="28"/>
      <c r="P1613" s="30"/>
      <c r="Q1613" s="30"/>
      <c r="R1613" s="30"/>
      <c r="S1613" s="36"/>
      <c r="T1613" s="30"/>
      <c r="U1613" s="36"/>
      <c r="V1613" s="30"/>
      <c r="W1613" s="28"/>
      <c r="X1613" s="30"/>
      <c r="Y1613" s="30"/>
      <c r="Z1613" s="30"/>
      <c r="AA1613" s="30"/>
      <c r="AB1613" s="30"/>
      <c r="AC1613" s="28"/>
      <c r="AD1613" s="30"/>
      <c r="AE1613" s="30"/>
      <c r="AF1613" s="30"/>
      <c r="AG1613" s="29"/>
      <c r="AH1613" s="30"/>
      <c r="AI1613" s="36"/>
      <c r="AJ1613" s="30"/>
      <c r="AK1613" s="29"/>
      <c r="AL1613" s="30"/>
      <c r="AM1613" s="30"/>
      <c r="AN1613" s="30"/>
      <c r="AO1613" s="30"/>
      <c r="AP1613" s="30"/>
      <c r="AQ1613" s="38"/>
      <c r="AR1613" s="30"/>
      <c r="AS1613" s="30"/>
      <c r="AT1613" s="29"/>
      <c r="AU1613" s="30"/>
      <c r="AV1613" s="30"/>
      <c r="AW1613" s="30"/>
      <c r="AX1613" s="29"/>
      <c r="AY1613" s="39"/>
      <c r="AZ1613" s="30"/>
      <c r="BA1613" s="30"/>
      <c r="BB1613" s="29"/>
      <c r="BC1613" s="52"/>
      <c r="BD1613" s="30"/>
      <c r="BE1613" s="29"/>
      <c r="BF1613" s="30"/>
      <c r="BG1613" s="30"/>
      <c r="BH1613" s="30"/>
      <c r="BI1613" s="30"/>
      <c r="BJ1613" s="30"/>
      <c r="BK1613" s="30"/>
      <c r="BL1613" s="30"/>
      <c r="BM1613" s="30"/>
      <c r="BN1613" s="30"/>
      <c r="BO1613" s="30"/>
      <c r="BP1613" s="30"/>
      <c r="BQ1613" s="30"/>
      <c r="BR1613" s="30"/>
      <c r="BS1613" s="30"/>
      <c r="BT1613" s="30"/>
      <c r="BU1613" s="30"/>
      <c r="BV1613" s="30"/>
      <c r="BW1613" s="30"/>
      <c r="BX1613" s="30"/>
      <c r="BY1613" s="30"/>
      <c r="BZ1613" s="30"/>
      <c r="CA1613" s="30"/>
      <c r="CB1613" s="30"/>
      <c r="CC1613" s="30"/>
      <c r="CD1613" s="30"/>
      <c r="CE1613" s="30"/>
      <c r="CF1613" s="30"/>
      <c r="CG1613" s="30"/>
      <c r="CH1613" s="30"/>
      <c r="CI1613" s="30"/>
      <c r="CJ1613" s="30"/>
      <c r="CK1613" s="30"/>
      <c r="CL1613" s="30"/>
      <c r="CM1613" s="30"/>
      <c r="CN1613" s="30"/>
      <c r="CO1613" s="30"/>
      <c r="CP1613" s="30"/>
      <c r="CQ1613" s="30"/>
      <c r="CR1613" s="30"/>
      <c r="CS1613" s="30"/>
      <c r="CT1613" s="30"/>
      <c r="CU1613" s="30"/>
      <c r="CV1613" s="30"/>
      <c r="CW1613" s="30"/>
      <c r="CX1613" s="30"/>
      <c r="CY1613" s="30"/>
      <c r="CZ1613" s="30"/>
      <c r="DA1613" s="30"/>
      <c r="DB1613" s="30"/>
      <c r="DC1613" s="30"/>
      <c r="DD1613" s="30"/>
      <c r="DE1613" s="30"/>
      <c r="DF1613" s="30"/>
      <c r="DG1613" s="30"/>
      <c r="DH1613" s="30"/>
      <c r="DI1613" s="30"/>
      <c r="DJ1613" s="30"/>
      <c r="DK1613" s="30"/>
      <c r="DL1613" s="30"/>
      <c r="DM1613" s="30"/>
      <c r="DN1613" s="30"/>
      <c r="DO1613" s="30"/>
      <c r="DP1613" s="30"/>
      <c r="DQ1613" s="30"/>
      <c r="DR1613" s="30"/>
      <c r="DS1613" s="30"/>
      <c r="DT1613" s="30"/>
      <c r="DU1613" s="30"/>
      <c r="DV1613" s="30"/>
      <c r="DW1613" s="30"/>
      <c r="DX1613" s="30"/>
      <c r="DY1613" s="30"/>
      <c r="DZ1613" s="30"/>
    </row>
    <row r="1614">
      <c r="A1614" s="30"/>
      <c r="B1614" s="42"/>
      <c r="C1614" s="43"/>
      <c r="D1614" s="30"/>
      <c r="E1614" s="28"/>
      <c r="F1614" s="30"/>
      <c r="G1614" s="30"/>
      <c r="H1614" s="30"/>
      <c r="I1614" s="30"/>
      <c r="J1614" s="28"/>
      <c r="K1614" s="30"/>
      <c r="L1614" s="30"/>
      <c r="M1614" s="30"/>
      <c r="N1614" s="30"/>
      <c r="O1614" s="28"/>
      <c r="P1614" s="30"/>
      <c r="Q1614" s="30"/>
      <c r="R1614" s="30"/>
      <c r="S1614" s="36"/>
      <c r="T1614" s="30"/>
      <c r="U1614" s="36"/>
      <c r="V1614" s="30"/>
      <c r="W1614" s="28"/>
      <c r="X1614" s="30"/>
      <c r="Y1614" s="30"/>
      <c r="Z1614" s="30"/>
      <c r="AA1614" s="30"/>
      <c r="AB1614" s="30"/>
      <c r="AC1614" s="28"/>
      <c r="AD1614" s="30"/>
      <c r="AE1614" s="30"/>
      <c r="AF1614" s="30"/>
      <c r="AG1614" s="29"/>
      <c r="AH1614" s="30"/>
      <c r="AI1614" s="36"/>
      <c r="AJ1614" s="30"/>
      <c r="AK1614" s="29"/>
      <c r="AL1614" s="30"/>
      <c r="AM1614" s="30"/>
      <c r="AN1614" s="30"/>
      <c r="AO1614" s="30"/>
      <c r="AP1614" s="30"/>
      <c r="AQ1614" s="38"/>
      <c r="AR1614" s="30"/>
      <c r="AS1614" s="30"/>
      <c r="AT1614" s="29"/>
      <c r="AU1614" s="30"/>
      <c r="AV1614" s="30"/>
      <c r="AW1614" s="30"/>
      <c r="AX1614" s="29"/>
      <c r="AY1614" s="39"/>
      <c r="AZ1614" s="30"/>
      <c r="BA1614" s="30"/>
      <c r="BB1614" s="29"/>
      <c r="BC1614" s="52"/>
      <c r="BD1614" s="30"/>
      <c r="BE1614" s="29"/>
      <c r="BF1614" s="30"/>
      <c r="BG1614" s="30"/>
      <c r="BH1614" s="30"/>
      <c r="BI1614" s="30"/>
      <c r="BJ1614" s="30"/>
      <c r="BK1614" s="30"/>
      <c r="BL1614" s="30"/>
      <c r="BM1614" s="30"/>
      <c r="BN1614" s="30"/>
      <c r="BO1614" s="30"/>
      <c r="BP1614" s="30"/>
      <c r="BQ1614" s="30"/>
      <c r="BR1614" s="30"/>
      <c r="BS1614" s="30"/>
      <c r="BT1614" s="30"/>
      <c r="BU1614" s="30"/>
      <c r="BV1614" s="30"/>
      <c r="BW1614" s="30"/>
      <c r="BX1614" s="30"/>
      <c r="BY1614" s="30"/>
      <c r="BZ1614" s="30"/>
      <c r="CA1614" s="30"/>
      <c r="CB1614" s="30"/>
      <c r="CC1614" s="30"/>
      <c r="CD1614" s="30"/>
      <c r="CE1614" s="30"/>
      <c r="CF1614" s="30"/>
      <c r="CG1614" s="30"/>
      <c r="CH1614" s="30"/>
      <c r="CI1614" s="30"/>
      <c r="CJ1614" s="30"/>
      <c r="CK1614" s="30"/>
      <c r="CL1614" s="30"/>
      <c r="CM1614" s="30"/>
      <c r="CN1614" s="30"/>
      <c r="CO1614" s="30"/>
      <c r="CP1614" s="30"/>
      <c r="CQ1614" s="30"/>
      <c r="CR1614" s="30"/>
      <c r="CS1614" s="30"/>
      <c r="CT1614" s="30"/>
      <c r="CU1614" s="30"/>
      <c r="CV1614" s="30"/>
      <c r="CW1614" s="30"/>
      <c r="CX1614" s="30"/>
      <c r="CY1614" s="30"/>
      <c r="CZ1614" s="30"/>
      <c r="DA1614" s="30"/>
      <c r="DB1614" s="30"/>
      <c r="DC1614" s="30"/>
      <c r="DD1614" s="30"/>
      <c r="DE1614" s="30"/>
      <c r="DF1614" s="30"/>
      <c r="DG1614" s="30"/>
      <c r="DH1614" s="30"/>
      <c r="DI1614" s="30"/>
      <c r="DJ1614" s="30"/>
      <c r="DK1614" s="30"/>
      <c r="DL1614" s="30"/>
      <c r="DM1614" s="30"/>
      <c r="DN1614" s="30"/>
      <c r="DO1614" s="30"/>
      <c r="DP1614" s="30"/>
      <c r="DQ1614" s="30"/>
      <c r="DR1614" s="30"/>
      <c r="DS1614" s="30"/>
      <c r="DT1614" s="30"/>
      <c r="DU1614" s="30"/>
      <c r="DV1614" s="30"/>
      <c r="DW1614" s="30"/>
      <c r="DX1614" s="30"/>
      <c r="DY1614" s="30"/>
      <c r="DZ1614" s="30"/>
    </row>
    <row r="1615">
      <c r="A1615" s="30"/>
      <c r="B1615" s="42"/>
      <c r="C1615" s="43"/>
      <c r="D1615" s="30"/>
      <c r="E1615" s="28"/>
      <c r="F1615" s="30"/>
      <c r="G1615" s="30"/>
      <c r="H1615" s="30"/>
      <c r="I1615" s="30"/>
      <c r="J1615" s="28"/>
      <c r="K1615" s="30"/>
      <c r="L1615" s="30"/>
      <c r="M1615" s="30"/>
      <c r="N1615" s="30"/>
      <c r="O1615" s="28"/>
      <c r="P1615" s="30"/>
      <c r="Q1615" s="30"/>
      <c r="R1615" s="30"/>
      <c r="S1615" s="36"/>
      <c r="T1615" s="30"/>
      <c r="U1615" s="36"/>
      <c r="V1615" s="30"/>
      <c r="W1615" s="28"/>
      <c r="X1615" s="30"/>
      <c r="Y1615" s="30"/>
      <c r="Z1615" s="30"/>
      <c r="AA1615" s="30"/>
      <c r="AB1615" s="30"/>
      <c r="AC1615" s="28"/>
      <c r="AD1615" s="30"/>
      <c r="AE1615" s="30"/>
      <c r="AF1615" s="30"/>
      <c r="AG1615" s="29"/>
      <c r="AH1615" s="30"/>
      <c r="AI1615" s="36"/>
      <c r="AJ1615" s="30"/>
      <c r="AK1615" s="29"/>
      <c r="AL1615" s="30"/>
      <c r="AM1615" s="30"/>
      <c r="AN1615" s="30"/>
      <c r="AO1615" s="30"/>
      <c r="AP1615" s="30"/>
      <c r="AQ1615" s="38"/>
      <c r="AR1615" s="30"/>
      <c r="AS1615" s="30"/>
      <c r="AT1615" s="29"/>
      <c r="AU1615" s="30"/>
      <c r="AV1615" s="30"/>
      <c r="AW1615" s="30"/>
      <c r="AX1615" s="29"/>
      <c r="AY1615" s="39"/>
      <c r="AZ1615" s="30"/>
      <c r="BA1615" s="30"/>
      <c r="BB1615" s="29"/>
      <c r="BC1615" s="52"/>
      <c r="BD1615" s="30"/>
      <c r="BE1615" s="29"/>
      <c r="BF1615" s="30"/>
      <c r="BG1615" s="30"/>
      <c r="BH1615" s="30"/>
      <c r="BI1615" s="30"/>
      <c r="BJ1615" s="30"/>
      <c r="BK1615" s="30"/>
      <c r="BL1615" s="30"/>
      <c r="BM1615" s="30"/>
      <c r="BN1615" s="30"/>
      <c r="BO1615" s="30"/>
      <c r="BP1615" s="30"/>
      <c r="BQ1615" s="30"/>
      <c r="BR1615" s="30"/>
      <c r="BS1615" s="30"/>
      <c r="BT1615" s="30"/>
      <c r="BU1615" s="30"/>
      <c r="BV1615" s="30"/>
      <c r="BW1615" s="30"/>
      <c r="BX1615" s="30"/>
      <c r="BY1615" s="30"/>
      <c r="BZ1615" s="30"/>
      <c r="CA1615" s="30"/>
      <c r="CB1615" s="30"/>
      <c r="CC1615" s="30"/>
      <c r="CD1615" s="30"/>
      <c r="CE1615" s="30"/>
      <c r="CF1615" s="30"/>
      <c r="CG1615" s="30"/>
      <c r="CH1615" s="30"/>
      <c r="CI1615" s="30"/>
      <c r="CJ1615" s="30"/>
      <c r="CK1615" s="30"/>
      <c r="CL1615" s="30"/>
      <c r="CM1615" s="30"/>
      <c r="CN1615" s="30"/>
      <c r="CO1615" s="30"/>
      <c r="CP1615" s="30"/>
      <c r="CQ1615" s="30"/>
      <c r="CR1615" s="30"/>
      <c r="CS1615" s="30"/>
      <c r="CT1615" s="30"/>
      <c r="CU1615" s="30"/>
      <c r="CV1615" s="30"/>
      <c r="CW1615" s="30"/>
      <c r="CX1615" s="30"/>
      <c r="CY1615" s="30"/>
      <c r="CZ1615" s="30"/>
      <c r="DA1615" s="30"/>
      <c r="DB1615" s="30"/>
      <c r="DC1615" s="30"/>
      <c r="DD1615" s="30"/>
      <c r="DE1615" s="30"/>
      <c r="DF1615" s="30"/>
      <c r="DG1615" s="30"/>
      <c r="DH1615" s="30"/>
      <c r="DI1615" s="30"/>
      <c r="DJ1615" s="30"/>
      <c r="DK1615" s="30"/>
      <c r="DL1615" s="30"/>
      <c r="DM1615" s="30"/>
      <c r="DN1615" s="30"/>
      <c r="DO1615" s="30"/>
      <c r="DP1615" s="30"/>
      <c r="DQ1615" s="30"/>
      <c r="DR1615" s="30"/>
      <c r="DS1615" s="30"/>
      <c r="DT1615" s="30"/>
      <c r="DU1615" s="30"/>
      <c r="DV1615" s="30"/>
      <c r="DW1615" s="30"/>
      <c r="DX1615" s="30"/>
      <c r="DY1615" s="30"/>
      <c r="DZ1615" s="30"/>
    </row>
    <row r="1616">
      <c r="A1616" s="30"/>
      <c r="B1616" s="42"/>
      <c r="C1616" s="43"/>
      <c r="D1616" s="30"/>
      <c r="E1616" s="28"/>
      <c r="F1616" s="30"/>
      <c r="G1616" s="30"/>
      <c r="H1616" s="30"/>
      <c r="I1616" s="30"/>
      <c r="J1616" s="28"/>
      <c r="K1616" s="30"/>
      <c r="L1616" s="30"/>
      <c r="M1616" s="30"/>
      <c r="N1616" s="30"/>
      <c r="O1616" s="28"/>
      <c r="P1616" s="30"/>
      <c r="Q1616" s="30"/>
      <c r="R1616" s="30"/>
      <c r="S1616" s="36"/>
      <c r="T1616" s="30"/>
      <c r="U1616" s="36"/>
      <c r="V1616" s="30"/>
      <c r="W1616" s="28"/>
      <c r="X1616" s="30"/>
      <c r="Y1616" s="30"/>
      <c r="Z1616" s="30"/>
      <c r="AA1616" s="30"/>
      <c r="AB1616" s="30"/>
      <c r="AC1616" s="28"/>
      <c r="AD1616" s="30"/>
      <c r="AE1616" s="30"/>
      <c r="AF1616" s="30"/>
      <c r="AG1616" s="29"/>
      <c r="AH1616" s="30"/>
      <c r="AI1616" s="36"/>
      <c r="AJ1616" s="30"/>
      <c r="AK1616" s="29"/>
      <c r="AL1616" s="30"/>
      <c r="AM1616" s="30"/>
      <c r="AN1616" s="30"/>
      <c r="AO1616" s="30"/>
      <c r="AP1616" s="30"/>
      <c r="AQ1616" s="38"/>
      <c r="AR1616" s="30"/>
      <c r="AS1616" s="30"/>
      <c r="AT1616" s="29"/>
      <c r="AU1616" s="30"/>
      <c r="AV1616" s="30"/>
      <c r="AW1616" s="30"/>
      <c r="AX1616" s="29"/>
      <c r="AY1616" s="39"/>
      <c r="AZ1616" s="30"/>
      <c r="BA1616" s="30"/>
      <c r="BB1616" s="29"/>
      <c r="BC1616" s="52"/>
      <c r="BD1616" s="30"/>
      <c r="BE1616" s="29"/>
      <c r="BF1616" s="30"/>
      <c r="BG1616" s="30"/>
      <c r="BH1616" s="30"/>
      <c r="BI1616" s="30"/>
      <c r="BJ1616" s="30"/>
      <c r="BK1616" s="30"/>
      <c r="BL1616" s="30"/>
      <c r="BM1616" s="30"/>
      <c r="BN1616" s="30"/>
      <c r="BO1616" s="30"/>
      <c r="BP1616" s="30"/>
      <c r="BQ1616" s="30"/>
      <c r="BR1616" s="30"/>
      <c r="BS1616" s="30"/>
      <c r="BT1616" s="30"/>
      <c r="BU1616" s="30"/>
      <c r="BV1616" s="30"/>
      <c r="BW1616" s="30"/>
      <c r="BX1616" s="30"/>
      <c r="BY1616" s="30"/>
      <c r="BZ1616" s="30"/>
      <c r="CA1616" s="30"/>
      <c r="CB1616" s="30"/>
      <c r="CC1616" s="30"/>
      <c r="CD1616" s="30"/>
      <c r="CE1616" s="30"/>
      <c r="CF1616" s="30"/>
      <c r="CG1616" s="30"/>
      <c r="CH1616" s="30"/>
      <c r="CI1616" s="30"/>
      <c r="CJ1616" s="30"/>
      <c r="CK1616" s="30"/>
      <c r="CL1616" s="30"/>
      <c r="CM1616" s="30"/>
      <c r="CN1616" s="30"/>
      <c r="CO1616" s="30"/>
      <c r="CP1616" s="30"/>
      <c r="CQ1616" s="30"/>
      <c r="CR1616" s="30"/>
      <c r="CS1616" s="30"/>
      <c r="CT1616" s="30"/>
      <c r="CU1616" s="30"/>
      <c r="CV1616" s="30"/>
      <c r="CW1616" s="30"/>
      <c r="CX1616" s="30"/>
      <c r="CY1616" s="30"/>
      <c r="CZ1616" s="30"/>
      <c r="DA1616" s="30"/>
      <c r="DB1616" s="30"/>
      <c r="DC1616" s="30"/>
      <c r="DD1616" s="30"/>
      <c r="DE1616" s="30"/>
      <c r="DF1616" s="30"/>
      <c r="DG1616" s="30"/>
      <c r="DH1616" s="30"/>
      <c r="DI1616" s="30"/>
      <c r="DJ1616" s="30"/>
      <c r="DK1616" s="30"/>
      <c r="DL1616" s="30"/>
      <c r="DM1616" s="30"/>
      <c r="DN1616" s="30"/>
      <c r="DO1616" s="30"/>
      <c r="DP1616" s="30"/>
      <c r="DQ1616" s="30"/>
      <c r="DR1616" s="30"/>
      <c r="DS1616" s="30"/>
      <c r="DT1616" s="30"/>
      <c r="DU1616" s="30"/>
      <c r="DV1616" s="30"/>
      <c r="DW1616" s="30"/>
      <c r="DX1616" s="30"/>
      <c r="DY1616" s="30"/>
      <c r="DZ1616" s="30"/>
    </row>
    <row r="1617">
      <c r="A1617" s="30"/>
      <c r="B1617" s="42"/>
      <c r="C1617" s="43"/>
      <c r="D1617" s="30"/>
      <c r="E1617" s="28"/>
      <c r="F1617" s="30"/>
      <c r="G1617" s="30"/>
      <c r="H1617" s="30"/>
      <c r="I1617" s="30"/>
      <c r="J1617" s="28"/>
      <c r="K1617" s="30"/>
      <c r="L1617" s="30"/>
      <c r="M1617" s="30"/>
      <c r="N1617" s="30"/>
      <c r="O1617" s="28"/>
      <c r="P1617" s="30"/>
      <c r="Q1617" s="30"/>
      <c r="R1617" s="30"/>
      <c r="S1617" s="36"/>
      <c r="T1617" s="30"/>
      <c r="U1617" s="36"/>
      <c r="V1617" s="30"/>
      <c r="W1617" s="28"/>
      <c r="X1617" s="30"/>
      <c r="Y1617" s="30"/>
      <c r="Z1617" s="30"/>
      <c r="AA1617" s="30"/>
      <c r="AB1617" s="30"/>
      <c r="AC1617" s="28"/>
      <c r="AD1617" s="30"/>
      <c r="AE1617" s="30"/>
      <c r="AF1617" s="30"/>
      <c r="AG1617" s="29"/>
      <c r="AH1617" s="30"/>
      <c r="AI1617" s="36"/>
      <c r="AJ1617" s="30"/>
      <c r="AK1617" s="29"/>
      <c r="AL1617" s="30"/>
      <c r="AM1617" s="30"/>
      <c r="AN1617" s="30"/>
      <c r="AO1617" s="30"/>
      <c r="AP1617" s="30"/>
      <c r="AQ1617" s="38"/>
      <c r="AR1617" s="30"/>
      <c r="AS1617" s="30"/>
      <c r="AT1617" s="29"/>
      <c r="AU1617" s="30"/>
      <c r="AV1617" s="30"/>
      <c r="AW1617" s="30"/>
      <c r="AX1617" s="29"/>
      <c r="AY1617" s="39"/>
      <c r="AZ1617" s="30"/>
      <c r="BA1617" s="30"/>
      <c r="BB1617" s="29"/>
      <c r="BC1617" s="52"/>
      <c r="BD1617" s="30"/>
      <c r="BE1617" s="29"/>
      <c r="BF1617" s="30"/>
      <c r="BG1617" s="30"/>
      <c r="BH1617" s="30"/>
      <c r="BI1617" s="30"/>
      <c r="BJ1617" s="30"/>
      <c r="BK1617" s="30"/>
      <c r="BL1617" s="30"/>
      <c r="BM1617" s="30"/>
      <c r="BN1617" s="30"/>
      <c r="BO1617" s="30"/>
      <c r="BP1617" s="30"/>
      <c r="BQ1617" s="30"/>
      <c r="BR1617" s="30"/>
      <c r="BS1617" s="30"/>
      <c r="BT1617" s="30"/>
      <c r="BU1617" s="30"/>
      <c r="BV1617" s="30"/>
      <c r="BW1617" s="30"/>
      <c r="BX1617" s="30"/>
      <c r="BY1617" s="30"/>
      <c r="BZ1617" s="30"/>
      <c r="CA1617" s="30"/>
      <c r="CB1617" s="30"/>
      <c r="CC1617" s="30"/>
      <c r="CD1617" s="30"/>
      <c r="CE1617" s="30"/>
      <c r="CF1617" s="30"/>
      <c r="CG1617" s="30"/>
      <c r="CH1617" s="30"/>
      <c r="CI1617" s="30"/>
      <c r="CJ1617" s="30"/>
      <c r="CK1617" s="30"/>
      <c r="CL1617" s="30"/>
      <c r="CM1617" s="30"/>
      <c r="CN1617" s="30"/>
      <c r="CO1617" s="30"/>
      <c r="CP1617" s="30"/>
      <c r="CQ1617" s="30"/>
      <c r="CR1617" s="30"/>
      <c r="CS1617" s="30"/>
      <c r="CT1617" s="30"/>
      <c r="CU1617" s="30"/>
      <c r="CV1617" s="30"/>
      <c r="CW1617" s="30"/>
      <c r="CX1617" s="30"/>
      <c r="CY1617" s="30"/>
      <c r="CZ1617" s="30"/>
      <c r="DA1617" s="30"/>
      <c r="DB1617" s="30"/>
      <c r="DC1617" s="30"/>
      <c r="DD1617" s="30"/>
      <c r="DE1617" s="30"/>
      <c r="DF1617" s="30"/>
      <c r="DG1617" s="30"/>
      <c r="DH1617" s="30"/>
      <c r="DI1617" s="30"/>
      <c r="DJ1617" s="30"/>
      <c r="DK1617" s="30"/>
      <c r="DL1617" s="30"/>
      <c r="DM1617" s="30"/>
      <c r="DN1617" s="30"/>
      <c r="DO1617" s="30"/>
      <c r="DP1617" s="30"/>
      <c r="DQ1617" s="30"/>
      <c r="DR1617" s="30"/>
      <c r="DS1617" s="30"/>
      <c r="DT1617" s="30"/>
      <c r="DU1617" s="30"/>
      <c r="DV1617" s="30"/>
      <c r="DW1617" s="30"/>
      <c r="DX1617" s="30"/>
      <c r="DY1617" s="30"/>
      <c r="DZ1617" s="30"/>
    </row>
    <row r="1618">
      <c r="A1618" s="30"/>
      <c r="B1618" s="42"/>
      <c r="C1618" s="43"/>
      <c r="D1618" s="30"/>
      <c r="E1618" s="28"/>
      <c r="F1618" s="30"/>
      <c r="G1618" s="30"/>
      <c r="H1618" s="30"/>
      <c r="I1618" s="30"/>
      <c r="J1618" s="28"/>
      <c r="K1618" s="30"/>
      <c r="L1618" s="30"/>
      <c r="M1618" s="30"/>
      <c r="N1618" s="30"/>
      <c r="O1618" s="28"/>
      <c r="P1618" s="30"/>
      <c r="Q1618" s="30"/>
      <c r="R1618" s="30"/>
      <c r="S1618" s="36"/>
      <c r="T1618" s="30"/>
      <c r="U1618" s="36"/>
      <c r="V1618" s="30"/>
      <c r="W1618" s="28"/>
      <c r="X1618" s="30"/>
      <c r="Y1618" s="30"/>
      <c r="Z1618" s="30"/>
      <c r="AA1618" s="30"/>
      <c r="AB1618" s="30"/>
      <c r="AC1618" s="28"/>
      <c r="AD1618" s="30"/>
      <c r="AE1618" s="30"/>
      <c r="AF1618" s="30"/>
      <c r="AG1618" s="29"/>
      <c r="AH1618" s="30"/>
      <c r="AI1618" s="36"/>
      <c r="AJ1618" s="30"/>
      <c r="AK1618" s="29"/>
      <c r="AL1618" s="30"/>
      <c r="AM1618" s="30"/>
      <c r="AN1618" s="30"/>
      <c r="AO1618" s="30"/>
      <c r="AP1618" s="30"/>
      <c r="AQ1618" s="38"/>
      <c r="AR1618" s="30"/>
      <c r="AS1618" s="30"/>
      <c r="AT1618" s="29"/>
      <c r="AU1618" s="30"/>
      <c r="AV1618" s="30"/>
      <c r="AW1618" s="30"/>
      <c r="AX1618" s="29"/>
      <c r="AY1618" s="39"/>
      <c r="AZ1618" s="30"/>
      <c r="BA1618" s="30"/>
      <c r="BB1618" s="29"/>
      <c r="BC1618" s="52"/>
      <c r="BD1618" s="30"/>
      <c r="BE1618" s="29"/>
      <c r="BF1618" s="30"/>
      <c r="BG1618" s="30"/>
      <c r="BH1618" s="30"/>
      <c r="BI1618" s="30"/>
      <c r="BJ1618" s="30"/>
      <c r="BK1618" s="30"/>
      <c r="BL1618" s="30"/>
      <c r="BM1618" s="30"/>
      <c r="BN1618" s="30"/>
      <c r="BO1618" s="30"/>
      <c r="BP1618" s="30"/>
      <c r="BQ1618" s="30"/>
      <c r="BR1618" s="30"/>
      <c r="BS1618" s="30"/>
      <c r="BT1618" s="30"/>
      <c r="BU1618" s="30"/>
      <c r="BV1618" s="30"/>
      <c r="BW1618" s="30"/>
      <c r="BX1618" s="30"/>
      <c r="BY1618" s="30"/>
      <c r="BZ1618" s="30"/>
      <c r="CA1618" s="30"/>
      <c r="CB1618" s="30"/>
      <c r="CC1618" s="30"/>
      <c r="CD1618" s="30"/>
      <c r="CE1618" s="30"/>
      <c r="CF1618" s="30"/>
      <c r="CG1618" s="30"/>
      <c r="CH1618" s="30"/>
      <c r="CI1618" s="30"/>
      <c r="CJ1618" s="30"/>
      <c r="CK1618" s="30"/>
      <c r="CL1618" s="30"/>
      <c r="CM1618" s="30"/>
      <c r="CN1618" s="30"/>
      <c r="CO1618" s="30"/>
      <c r="CP1618" s="30"/>
      <c r="CQ1618" s="30"/>
      <c r="CR1618" s="30"/>
      <c r="CS1618" s="30"/>
      <c r="CT1618" s="30"/>
      <c r="CU1618" s="30"/>
      <c r="CV1618" s="30"/>
      <c r="CW1618" s="30"/>
      <c r="CX1618" s="30"/>
      <c r="CY1618" s="30"/>
      <c r="CZ1618" s="30"/>
      <c r="DA1618" s="30"/>
      <c r="DB1618" s="30"/>
      <c r="DC1618" s="30"/>
      <c r="DD1618" s="30"/>
      <c r="DE1618" s="30"/>
      <c r="DF1618" s="30"/>
      <c r="DG1618" s="30"/>
      <c r="DH1618" s="30"/>
      <c r="DI1618" s="30"/>
      <c r="DJ1618" s="30"/>
      <c r="DK1618" s="30"/>
      <c r="DL1618" s="30"/>
      <c r="DM1618" s="30"/>
      <c r="DN1618" s="30"/>
      <c r="DO1618" s="30"/>
      <c r="DP1618" s="30"/>
      <c r="DQ1618" s="30"/>
      <c r="DR1618" s="30"/>
      <c r="DS1618" s="30"/>
      <c r="DT1618" s="30"/>
      <c r="DU1618" s="30"/>
      <c r="DV1618" s="30"/>
      <c r="DW1618" s="30"/>
      <c r="DX1618" s="30"/>
      <c r="DY1618" s="30"/>
      <c r="DZ1618" s="30"/>
    </row>
    <row r="1619">
      <c r="A1619" s="30"/>
      <c r="B1619" s="42"/>
      <c r="C1619" s="43"/>
      <c r="D1619" s="30"/>
      <c r="E1619" s="28"/>
      <c r="F1619" s="30"/>
      <c r="G1619" s="30"/>
      <c r="H1619" s="30"/>
      <c r="I1619" s="30"/>
      <c r="J1619" s="28"/>
      <c r="K1619" s="30"/>
      <c r="L1619" s="30"/>
      <c r="M1619" s="30"/>
      <c r="N1619" s="30"/>
      <c r="O1619" s="28"/>
      <c r="P1619" s="30"/>
      <c r="Q1619" s="30"/>
      <c r="R1619" s="30"/>
      <c r="S1619" s="36"/>
      <c r="T1619" s="30"/>
      <c r="U1619" s="36"/>
      <c r="V1619" s="30"/>
      <c r="W1619" s="28"/>
      <c r="X1619" s="30"/>
      <c r="Y1619" s="30"/>
      <c r="Z1619" s="30"/>
      <c r="AA1619" s="30"/>
      <c r="AB1619" s="30"/>
      <c r="AC1619" s="28"/>
      <c r="AD1619" s="30"/>
      <c r="AE1619" s="30"/>
      <c r="AF1619" s="30"/>
      <c r="AG1619" s="29"/>
      <c r="AH1619" s="30"/>
      <c r="AI1619" s="36"/>
      <c r="AJ1619" s="30"/>
      <c r="AK1619" s="29"/>
      <c r="AL1619" s="30"/>
      <c r="AM1619" s="30"/>
      <c r="AN1619" s="30"/>
      <c r="AO1619" s="30"/>
      <c r="AP1619" s="30"/>
      <c r="AQ1619" s="38"/>
      <c r="AR1619" s="30"/>
      <c r="AS1619" s="30"/>
      <c r="AT1619" s="29"/>
      <c r="AU1619" s="30"/>
      <c r="AV1619" s="30"/>
      <c r="AW1619" s="30"/>
      <c r="AX1619" s="29"/>
      <c r="AY1619" s="39"/>
      <c r="AZ1619" s="30"/>
      <c r="BA1619" s="30"/>
      <c r="BB1619" s="29"/>
      <c r="BC1619" s="52"/>
      <c r="BD1619" s="30"/>
      <c r="BE1619" s="29"/>
      <c r="BF1619" s="30"/>
      <c r="BG1619" s="30"/>
      <c r="BH1619" s="30"/>
      <c r="BI1619" s="30"/>
      <c r="BJ1619" s="30"/>
      <c r="BK1619" s="30"/>
      <c r="BL1619" s="30"/>
      <c r="BM1619" s="30"/>
      <c r="BN1619" s="30"/>
      <c r="BO1619" s="30"/>
      <c r="BP1619" s="30"/>
      <c r="BQ1619" s="30"/>
      <c r="BR1619" s="30"/>
      <c r="BS1619" s="30"/>
      <c r="BT1619" s="30"/>
      <c r="BU1619" s="30"/>
      <c r="BV1619" s="30"/>
      <c r="BW1619" s="30"/>
      <c r="BX1619" s="30"/>
      <c r="BY1619" s="30"/>
      <c r="BZ1619" s="30"/>
      <c r="CA1619" s="30"/>
      <c r="CB1619" s="30"/>
      <c r="CC1619" s="30"/>
      <c r="CD1619" s="30"/>
      <c r="CE1619" s="30"/>
      <c r="CF1619" s="30"/>
      <c r="CG1619" s="30"/>
      <c r="CH1619" s="30"/>
      <c r="CI1619" s="30"/>
      <c r="CJ1619" s="30"/>
      <c r="CK1619" s="30"/>
      <c r="CL1619" s="30"/>
      <c r="CM1619" s="30"/>
      <c r="CN1619" s="30"/>
      <c r="CO1619" s="30"/>
      <c r="CP1619" s="30"/>
      <c r="CQ1619" s="30"/>
      <c r="CR1619" s="30"/>
      <c r="CS1619" s="30"/>
      <c r="CT1619" s="30"/>
      <c r="CU1619" s="30"/>
      <c r="CV1619" s="30"/>
      <c r="CW1619" s="30"/>
      <c r="CX1619" s="30"/>
      <c r="CY1619" s="30"/>
      <c r="CZ1619" s="30"/>
      <c r="DA1619" s="30"/>
      <c r="DB1619" s="30"/>
      <c r="DC1619" s="30"/>
      <c r="DD1619" s="30"/>
      <c r="DE1619" s="30"/>
      <c r="DF1619" s="30"/>
      <c r="DG1619" s="30"/>
      <c r="DH1619" s="30"/>
      <c r="DI1619" s="30"/>
      <c r="DJ1619" s="30"/>
      <c r="DK1619" s="30"/>
      <c r="DL1619" s="30"/>
      <c r="DM1619" s="30"/>
      <c r="DN1619" s="30"/>
      <c r="DO1619" s="30"/>
      <c r="DP1619" s="30"/>
      <c r="DQ1619" s="30"/>
      <c r="DR1619" s="30"/>
      <c r="DS1619" s="30"/>
      <c r="DT1619" s="30"/>
      <c r="DU1619" s="30"/>
      <c r="DV1619" s="30"/>
      <c r="DW1619" s="30"/>
      <c r="DX1619" s="30"/>
      <c r="DY1619" s="30"/>
      <c r="DZ1619" s="30"/>
    </row>
    <row r="1620">
      <c r="A1620" s="30"/>
      <c r="B1620" s="42"/>
      <c r="C1620" s="43"/>
      <c r="D1620" s="30"/>
      <c r="E1620" s="28"/>
      <c r="F1620" s="30"/>
      <c r="G1620" s="30"/>
      <c r="H1620" s="30"/>
      <c r="I1620" s="30"/>
      <c r="J1620" s="28"/>
      <c r="K1620" s="30"/>
      <c r="L1620" s="30"/>
      <c r="M1620" s="30"/>
      <c r="N1620" s="30"/>
      <c r="O1620" s="28"/>
      <c r="P1620" s="30"/>
      <c r="Q1620" s="30"/>
      <c r="R1620" s="30"/>
      <c r="S1620" s="36"/>
      <c r="T1620" s="30"/>
      <c r="U1620" s="36"/>
      <c r="V1620" s="30"/>
      <c r="W1620" s="28"/>
      <c r="X1620" s="30"/>
      <c r="Y1620" s="30"/>
      <c r="Z1620" s="30"/>
      <c r="AA1620" s="30"/>
      <c r="AB1620" s="30"/>
      <c r="AC1620" s="28"/>
      <c r="AD1620" s="30"/>
      <c r="AE1620" s="30"/>
      <c r="AF1620" s="30"/>
      <c r="AG1620" s="29"/>
      <c r="AH1620" s="30"/>
      <c r="AI1620" s="36"/>
      <c r="AJ1620" s="30"/>
      <c r="AK1620" s="29"/>
      <c r="AL1620" s="30"/>
      <c r="AM1620" s="30"/>
      <c r="AN1620" s="30"/>
      <c r="AO1620" s="30"/>
      <c r="AP1620" s="30"/>
      <c r="AQ1620" s="38"/>
      <c r="AR1620" s="30"/>
      <c r="AS1620" s="30"/>
      <c r="AT1620" s="29"/>
      <c r="AU1620" s="30"/>
      <c r="AV1620" s="30"/>
      <c r="AW1620" s="30"/>
      <c r="AX1620" s="29"/>
      <c r="AY1620" s="39"/>
      <c r="AZ1620" s="30"/>
      <c r="BA1620" s="30"/>
      <c r="BB1620" s="29"/>
      <c r="BC1620" s="52"/>
      <c r="BD1620" s="30"/>
      <c r="BE1620" s="29"/>
      <c r="BF1620" s="30"/>
      <c r="BG1620" s="30"/>
      <c r="BH1620" s="30"/>
      <c r="BI1620" s="30"/>
      <c r="BJ1620" s="30"/>
      <c r="BK1620" s="30"/>
      <c r="BL1620" s="30"/>
      <c r="BM1620" s="30"/>
      <c r="BN1620" s="30"/>
      <c r="BO1620" s="30"/>
      <c r="BP1620" s="30"/>
      <c r="BQ1620" s="30"/>
      <c r="BR1620" s="30"/>
      <c r="BS1620" s="30"/>
      <c r="BT1620" s="30"/>
      <c r="BU1620" s="30"/>
      <c r="BV1620" s="30"/>
      <c r="BW1620" s="30"/>
      <c r="BX1620" s="30"/>
      <c r="BY1620" s="30"/>
      <c r="BZ1620" s="30"/>
      <c r="CA1620" s="30"/>
      <c r="CB1620" s="30"/>
      <c r="CC1620" s="30"/>
      <c r="CD1620" s="30"/>
      <c r="CE1620" s="30"/>
      <c r="CF1620" s="30"/>
      <c r="CG1620" s="30"/>
      <c r="CH1620" s="30"/>
      <c r="CI1620" s="30"/>
      <c r="CJ1620" s="30"/>
      <c r="CK1620" s="30"/>
      <c r="CL1620" s="30"/>
      <c r="CM1620" s="30"/>
      <c r="CN1620" s="30"/>
      <c r="CO1620" s="30"/>
      <c r="CP1620" s="30"/>
      <c r="CQ1620" s="30"/>
      <c r="CR1620" s="30"/>
      <c r="CS1620" s="30"/>
      <c r="CT1620" s="30"/>
      <c r="CU1620" s="30"/>
      <c r="CV1620" s="30"/>
      <c r="CW1620" s="30"/>
      <c r="CX1620" s="30"/>
      <c r="CY1620" s="30"/>
      <c r="CZ1620" s="30"/>
      <c r="DA1620" s="30"/>
      <c r="DB1620" s="30"/>
      <c r="DC1620" s="30"/>
      <c r="DD1620" s="30"/>
      <c r="DE1620" s="30"/>
      <c r="DF1620" s="30"/>
      <c r="DG1620" s="30"/>
      <c r="DH1620" s="30"/>
      <c r="DI1620" s="30"/>
      <c r="DJ1620" s="30"/>
      <c r="DK1620" s="30"/>
      <c r="DL1620" s="30"/>
      <c r="DM1620" s="30"/>
      <c r="DN1620" s="30"/>
      <c r="DO1620" s="30"/>
      <c r="DP1620" s="30"/>
      <c r="DQ1620" s="30"/>
      <c r="DR1620" s="30"/>
      <c r="DS1620" s="30"/>
      <c r="DT1620" s="30"/>
      <c r="DU1620" s="30"/>
      <c r="DV1620" s="30"/>
      <c r="DW1620" s="30"/>
      <c r="DX1620" s="30"/>
      <c r="DY1620" s="30"/>
      <c r="DZ1620" s="30"/>
    </row>
    <row r="1621">
      <c r="A1621" s="30"/>
      <c r="B1621" s="42"/>
      <c r="C1621" s="43"/>
      <c r="D1621" s="30"/>
      <c r="E1621" s="28"/>
      <c r="F1621" s="30"/>
      <c r="G1621" s="30"/>
      <c r="H1621" s="30"/>
      <c r="I1621" s="30"/>
      <c r="J1621" s="28"/>
      <c r="K1621" s="30"/>
      <c r="L1621" s="30"/>
      <c r="M1621" s="30"/>
      <c r="N1621" s="30"/>
      <c r="O1621" s="28"/>
      <c r="P1621" s="30"/>
      <c r="Q1621" s="30"/>
      <c r="R1621" s="30"/>
      <c r="S1621" s="36"/>
      <c r="T1621" s="30"/>
      <c r="U1621" s="36"/>
      <c r="V1621" s="30"/>
      <c r="W1621" s="28"/>
      <c r="X1621" s="30"/>
      <c r="Y1621" s="30"/>
      <c r="Z1621" s="30"/>
      <c r="AA1621" s="30"/>
      <c r="AB1621" s="30"/>
      <c r="AC1621" s="28"/>
      <c r="AD1621" s="30"/>
      <c r="AE1621" s="30"/>
      <c r="AF1621" s="30"/>
      <c r="AG1621" s="29"/>
      <c r="AH1621" s="30"/>
      <c r="AI1621" s="36"/>
      <c r="AJ1621" s="30"/>
      <c r="AK1621" s="29"/>
      <c r="AL1621" s="30"/>
      <c r="AM1621" s="30"/>
      <c r="AN1621" s="30"/>
      <c r="AO1621" s="30"/>
      <c r="AP1621" s="30"/>
      <c r="AQ1621" s="38"/>
      <c r="AR1621" s="30"/>
      <c r="AS1621" s="30"/>
      <c r="AT1621" s="29"/>
      <c r="AU1621" s="30"/>
      <c r="AV1621" s="30"/>
      <c r="AW1621" s="30"/>
      <c r="AX1621" s="29"/>
      <c r="AY1621" s="39"/>
      <c r="AZ1621" s="30"/>
      <c r="BA1621" s="30"/>
      <c r="BB1621" s="29"/>
      <c r="BC1621" s="52"/>
      <c r="BD1621" s="30"/>
      <c r="BE1621" s="29"/>
      <c r="BF1621" s="30"/>
      <c r="BG1621" s="30"/>
      <c r="BH1621" s="30"/>
      <c r="BI1621" s="30"/>
      <c r="BJ1621" s="30"/>
      <c r="BK1621" s="30"/>
      <c r="BL1621" s="30"/>
      <c r="BM1621" s="30"/>
      <c r="BN1621" s="30"/>
      <c r="BO1621" s="30"/>
      <c r="BP1621" s="30"/>
      <c r="BQ1621" s="30"/>
      <c r="BR1621" s="30"/>
      <c r="BS1621" s="30"/>
      <c r="BT1621" s="30"/>
      <c r="BU1621" s="30"/>
      <c r="BV1621" s="30"/>
      <c r="BW1621" s="30"/>
      <c r="BX1621" s="30"/>
      <c r="BY1621" s="30"/>
      <c r="BZ1621" s="30"/>
      <c r="CA1621" s="30"/>
      <c r="CB1621" s="30"/>
      <c r="CC1621" s="30"/>
      <c r="CD1621" s="30"/>
      <c r="CE1621" s="30"/>
      <c r="CF1621" s="30"/>
      <c r="CG1621" s="30"/>
      <c r="CH1621" s="30"/>
      <c r="CI1621" s="30"/>
      <c r="CJ1621" s="30"/>
      <c r="CK1621" s="30"/>
      <c r="CL1621" s="30"/>
      <c r="CM1621" s="30"/>
      <c r="CN1621" s="30"/>
      <c r="CO1621" s="30"/>
      <c r="CP1621" s="30"/>
      <c r="CQ1621" s="30"/>
      <c r="CR1621" s="30"/>
      <c r="CS1621" s="30"/>
      <c r="CT1621" s="30"/>
      <c r="CU1621" s="30"/>
      <c r="CV1621" s="30"/>
      <c r="CW1621" s="30"/>
      <c r="CX1621" s="30"/>
      <c r="CY1621" s="30"/>
      <c r="CZ1621" s="30"/>
      <c r="DA1621" s="30"/>
      <c r="DB1621" s="30"/>
      <c r="DC1621" s="30"/>
      <c r="DD1621" s="30"/>
      <c r="DE1621" s="30"/>
      <c r="DF1621" s="30"/>
      <c r="DG1621" s="30"/>
      <c r="DH1621" s="30"/>
      <c r="DI1621" s="30"/>
      <c r="DJ1621" s="30"/>
      <c r="DK1621" s="30"/>
      <c r="DL1621" s="30"/>
      <c r="DM1621" s="30"/>
      <c r="DN1621" s="30"/>
      <c r="DO1621" s="30"/>
      <c r="DP1621" s="30"/>
      <c r="DQ1621" s="30"/>
      <c r="DR1621" s="30"/>
      <c r="DS1621" s="30"/>
      <c r="DT1621" s="30"/>
      <c r="DU1621" s="30"/>
      <c r="DV1621" s="30"/>
      <c r="DW1621" s="30"/>
      <c r="DX1621" s="30"/>
      <c r="DY1621" s="30"/>
      <c r="DZ1621" s="30"/>
    </row>
    <row r="1622">
      <c r="A1622" s="30"/>
      <c r="B1622" s="42"/>
      <c r="C1622" s="43"/>
      <c r="D1622" s="30"/>
      <c r="E1622" s="28"/>
      <c r="F1622" s="30"/>
      <c r="G1622" s="30"/>
      <c r="H1622" s="30"/>
      <c r="I1622" s="30"/>
      <c r="J1622" s="28"/>
      <c r="K1622" s="30"/>
      <c r="L1622" s="30"/>
      <c r="M1622" s="30"/>
      <c r="N1622" s="30"/>
      <c r="O1622" s="28"/>
      <c r="P1622" s="30"/>
      <c r="Q1622" s="30"/>
      <c r="R1622" s="30"/>
      <c r="S1622" s="36"/>
      <c r="T1622" s="30"/>
      <c r="U1622" s="36"/>
      <c r="V1622" s="30"/>
      <c r="W1622" s="28"/>
      <c r="X1622" s="30"/>
      <c r="Y1622" s="30"/>
      <c r="Z1622" s="30"/>
      <c r="AA1622" s="30"/>
      <c r="AB1622" s="30"/>
      <c r="AC1622" s="28"/>
      <c r="AD1622" s="30"/>
      <c r="AE1622" s="30"/>
      <c r="AF1622" s="30"/>
      <c r="AG1622" s="29"/>
      <c r="AH1622" s="30"/>
      <c r="AI1622" s="36"/>
      <c r="AJ1622" s="30"/>
      <c r="AK1622" s="29"/>
      <c r="AL1622" s="30"/>
      <c r="AM1622" s="30"/>
      <c r="AN1622" s="30"/>
      <c r="AO1622" s="30"/>
      <c r="AP1622" s="30"/>
      <c r="AQ1622" s="38"/>
      <c r="AR1622" s="30"/>
      <c r="AS1622" s="30"/>
      <c r="AT1622" s="29"/>
      <c r="AU1622" s="30"/>
      <c r="AV1622" s="30"/>
      <c r="AW1622" s="30"/>
      <c r="AX1622" s="29"/>
      <c r="AY1622" s="39"/>
      <c r="AZ1622" s="30"/>
      <c r="BA1622" s="30"/>
      <c r="BB1622" s="29"/>
      <c r="BC1622" s="52"/>
      <c r="BD1622" s="30"/>
      <c r="BE1622" s="29"/>
      <c r="BF1622" s="30"/>
      <c r="BG1622" s="30"/>
      <c r="BH1622" s="30"/>
      <c r="BI1622" s="30"/>
      <c r="BJ1622" s="30"/>
      <c r="BK1622" s="30"/>
      <c r="BL1622" s="30"/>
      <c r="BM1622" s="30"/>
      <c r="BN1622" s="30"/>
      <c r="BO1622" s="30"/>
      <c r="BP1622" s="30"/>
      <c r="BQ1622" s="30"/>
      <c r="BR1622" s="30"/>
      <c r="BS1622" s="30"/>
      <c r="BT1622" s="30"/>
      <c r="BU1622" s="30"/>
      <c r="BV1622" s="30"/>
      <c r="BW1622" s="30"/>
      <c r="BX1622" s="30"/>
      <c r="BY1622" s="30"/>
      <c r="BZ1622" s="30"/>
      <c r="CA1622" s="30"/>
      <c r="CB1622" s="30"/>
      <c r="CC1622" s="30"/>
      <c r="CD1622" s="30"/>
      <c r="CE1622" s="30"/>
      <c r="CF1622" s="30"/>
      <c r="CG1622" s="30"/>
      <c r="CH1622" s="30"/>
      <c r="CI1622" s="30"/>
      <c r="CJ1622" s="30"/>
      <c r="CK1622" s="30"/>
      <c r="CL1622" s="30"/>
      <c r="CM1622" s="30"/>
      <c r="CN1622" s="30"/>
      <c r="CO1622" s="30"/>
      <c r="CP1622" s="30"/>
      <c r="CQ1622" s="30"/>
      <c r="CR1622" s="30"/>
      <c r="CS1622" s="30"/>
      <c r="CT1622" s="30"/>
      <c r="CU1622" s="30"/>
      <c r="CV1622" s="30"/>
      <c r="CW1622" s="30"/>
      <c r="CX1622" s="30"/>
      <c r="CY1622" s="30"/>
      <c r="CZ1622" s="30"/>
      <c r="DA1622" s="30"/>
      <c r="DB1622" s="30"/>
      <c r="DC1622" s="30"/>
      <c r="DD1622" s="30"/>
      <c r="DE1622" s="30"/>
      <c r="DF1622" s="30"/>
      <c r="DG1622" s="30"/>
      <c r="DH1622" s="30"/>
      <c r="DI1622" s="30"/>
      <c r="DJ1622" s="30"/>
      <c r="DK1622" s="30"/>
      <c r="DL1622" s="30"/>
      <c r="DM1622" s="30"/>
      <c r="DN1622" s="30"/>
      <c r="DO1622" s="30"/>
      <c r="DP1622" s="30"/>
      <c r="DQ1622" s="30"/>
      <c r="DR1622" s="30"/>
      <c r="DS1622" s="30"/>
      <c r="DT1622" s="30"/>
      <c r="DU1622" s="30"/>
      <c r="DV1622" s="30"/>
      <c r="DW1622" s="30"/>
      <c r="DX1622" s="30"/>
      <c r="DY1622" s="30"/>
      <c r="DZ1622" s="30"/>
    </row>
    <row r="1623">
      <c r="A1623" s="30"/>
      <c r="B1623" s="42"/>
      <c r="C1623" s="43"/>
      <c r="D1623" s="30"/>
      <c r="E1623" s="28"/>
      <c r="F1623" s="30"/>
      <c r="G1623" s="30"/>
      <c r="H1623" s="30"/>
      <c r="I1623" s="30"/>
      <c r="J1623" s="28"/>
      <c r="K1623" s="30"/>
      <c r="L1623" s="30"/>
      <c r="M1623" s="30"/>
      <c r="N1623" s="30"/>
      <c r="O1623" s="28"/>
      <c r="P1623" s="30"/>
      <c r="Q1623" s="30"/>
      <c r="R1623" s="30"/>
      <c r="S1623" s="36"/>
      <c r="T1623" s="30"/>
      <c r="U1623" s="36"/>
      <c r="V1623" s="30"/>
      <c r="W1623" s="28"/>
      <c r="X1623" s="30"/>
      <c r="Y1623" s="30"/>
      <c r="Z1623" s="30"/>
      <c r="AA1623" s="30"/>
      <c r="AB1623" s="30"/>
      <c r="AC1623" s="28"/>
      <c r="AD1623" s="30"/>
      <c r="AE1623" s="30"/>
      <c r="AF1623" s="30"/>
      <c r="AG1623" s="29"/>
      <c r="AH1623" s="30"/>
      <c r="AI1623" s="36"/>
      <c r="AJ1623" s="30"/>
      <c r="AK1623" s="29"/>
      <c r="AL1623" s="30"/>
      <c r="AM1623" s="30"/>
      <c r="AN1623" s="30"/>
      <c r="AO1623" s="30"/>
      <c r="AP1623" s="30"/>
      <c r="AQ1623" s="38"/>
      <c r="AR1623" s="30"/>
      <c r="AS1623" s="30"/>
      <c r="AT1623" s="29"/>
      <c r="AU1623" s="30"/>
      <c r="AV1623" s="30"/>
      <c r="AW1623" s="30"/>
      <c r="AX1623" s="29"/>
      <c r="AY1623" s="39"/>
      <c r="AZ1623" s="30"/>
      <c r="BA1623" s="30"/>
      <c r="BB1623" s="29"/>
      <c r="BC1623" s="52"/>
      <c r="BD1623" s="30"/>
      <c r="BE1623" s="29"/>
      <c r="BF1623" s="30"/>
      <c r="BG1623" s="30"/>
      <c r="BH1623" s="30"/>
      <c r="BI1623" s="30"/>
      <c r="BJ1623" s="30"/>
      <c r="BK1623" s="30"/>
      <c r="BL1623" s="30"/>
      <c r="BM1623" s="30"/>
      <c r="BN1623" s="30"/>
      <c r="BO1623" s="30"/>
      <c r="BP1623" s="30"/>
      <c r="BQ1623" s="30"/>
      <c r="BR1623" s="30"/>
      <c r="BS1623" s="30"/>
      <c r="BT1623" s="30"/>
      <c r="BU1623" s="30"/>
      <c r="BV1623" s="30"/>
      <c r="BW1623" s="30"/>
      <c r="BX1623" s="30"/>
      <c r="BY1623" s="30"/>
      <c r="BZ1623" s="30"/>
      <c r="CA1623" s="30"/>
      <c r="CB1623" s="30"/>
      <c r="CC1623" s="30"/>
      <c r="CD1623" s="30"/>
      <c r="CE1623" s="30"/>
      <c r="CF1623" s="30"/>
      <c r="CG1623" s="30"/>
      <c r="CH1623" s="30"/>
      <c r="CI1623" s="30"/>
      <c r="CJ1623" s="30"/>
      <c r="CK1623" s="30"/>
      <c r="CL1623" s="30"/>
      <c r="CM1623" s="30"/>
      <c r="CN1623" s="30"/>
      <c r="CO1623" s="30"/>
      <c r="CP1623" s="30"/>
      <c r="CQ1623" s="30"/>
      <c r="CR1623" s="30"/>
      <c r="CS1623" s="30"/>
      <c r="CT1623" s="30"/>
      <c r="CU1623" s="30"/>
      <c r="CV1623" s="30"/>
      <c r="CW1623" s="30"/>
      <c r="CX1623" s="30"/>
      <c r="CY1623" s="30"/>
      <c r="CZ1623" s="30"/>
      <c r="DA1623" s="30"/>
      <c r="DB1623" s="30"/>
      <c r="DC1623" s="30"/>
      <c r="DD1623" s="30"/>
      <c r="DE1623" s="30"/>
      <c r="DF1623" s="30"/>
      <c r="DG1623" s="30"/>
      <c r="DH1623" s="30"/>
      <c r="DI1623" s="30"/>
      <c r="DJ1623" s="30"/>
      <c r="DK1623" s="30"/>
      <c r="DL1623" s="30"/>
      <c r="DM1623" s="30"/>
      <c r="DN1623" s="30"/>
      <c r="DO1623" s="30"/>
      <c r="DP1623" s="30"/>
      <c r="DQ1623" s="30"/>
      <c r="DR1623" s="30"/>
      <c r="DS1623" s="30"/>
      <c r="DT1623" s="30"/>
      <c r="DU1623" s="30"/>
      <c r="DV1623" s="30"/>
      <c r="DW1623" s="30"/>
      <c r="DX1623" s="30"/>
      <c r="DY1623" s="30"/>
      <c r="DZ1623" s="30"/>
    </row>
    <row r="1624">
      <c r="A1624" s="30"/>
      <c r="B1624" s="42"/>
      <c r="C1624" s="43"/>
      <c r="D1624" s="30"/>
      <c r="E1624" s="28"/>
      <c r="F1624" s="30"/>
      <c r="G1624" s="30"/>
      <c r="H1624" s="30"/>
      <c r="I1624" s="30"/>
      <c r="J1624" s="28"/>
      <c r="K1624" s="30"/>
      <c r="L1624" s="30"/>
      <c r="M1624" s="30"/>
      <c r="N1624" s="30"/>
      <c r="O1624" s="28"/>
      <c r="P1624" s="30"/>
      <c r="Q1624" s="30"/>
      <c r="R1624" s="30"/>
      <c r="S1624" s="36"/>
      <c r="T1624" s="30"/>
      <c r="U1624" s="36"/>
      <c r="V1624" s="30"/>
      <c r="W1624" s="28"/>
      <c r="X1624" s="30"/>
      <c r="Y1624" s="30"/>
      <c r="Z1624" s="30"/>
      <c r="AA1624" s="30"/>
      <c r="AB1624" s="30"/>
      <c r="AC1624" s="28"/>
      <c r="AD1624" s="30"/>
      <c r="AE1624" s="30"/>
      <c r="AF1624" s="30"/>
      <c r="AG1624" s="29"/>
      <c r="AH1624" s="30"/>
      <c r="AI1624" s="36"/>
      <c r="AJ1624" s="30"/>
      <c r="AK1624" s="29"/>
      <c r="AL1624" s="30"/>
      <c r="AM1624" s="30"/>
      <c r="AN1624" s="30"/>
      <c r="AO1624" s="30"/>
      <c r="AP1624" s="30"/>
      <c r="AQ1624" s="38"/>
      <c r="AR1624" s="30"/>
      <c r="AS1624" s="30"/>
      <c r="AT1624" s="29"/>
      <c r="AU1624" s="30"/>
      <c r="AV1624" s="30"/>
      <c r="AW1624" s="30"/>
      <c r="AX1624" s="29"/>
      <c r="AY1624" s="39"/>
      <c r="AZ1624" s="30"/>
      <c r="BA1624" s="30"/>
      <c r="BB1624" s="29"/>
      <c r="BC1624" s="52"/>
      <c r="BD1624" s="30"/>
      <c r="BE1624" s="29"/>
      <c r="BF1624" s="30"/>
      <c r="BG1624" s="30"/>
      <c r="BH1624" s="30"/>
      <c r="BI1624" s="30"/>
      <c r="BJ1624" s="30"/>
      <c r="BK1624" s="30"/>
      <c r="BL1624" s="30"/>
      <c r="BM1624" s="30"/>
      <c r="BN1624" s="30"/>
      <c r="BO1624" s="30"/>
      <c r="BP1624" s="30"/>
      <c r="BQ1624" s="30"/>
      <c r="BR1624" s="30"/>
      <c r="BS1624" s="30"/>
      <c r="BT1624" s="30"/>
      <c r="BU1624" s="30"/>
      <c r="BV1624" s="30"/>
      <c r="BW1624" s="30"/>
      <c r="BX1624" s="30"/>
      <c r="BY1624" s="30"/>
      <c r="BZ1624" s="30"/>
      <c r="CA1624" s="30"/>
      <c r="CB1624" s="30"/>
      <c r="CC1624" s="30"/>
      <c r="CD1624" s="30"/>
      <c r="CE1624" s="30"/>
      <c r="CF1624" s="30"/>
      <c r="CG1624" s="30"/>
      <c r="CH1624" s="30"/>
      <c r="CI1624" s="30"/>
      <c r="CJ1624" s="30"/>
      <c r="CK1624" s="30"/>
      <c r="CL1624" s="30"/>
      <c r="CM1624" s="30"/>
      <c r="CN1624" s="30"/>
      <c r="CO1624" s="30"/>
      <c r="CP1624" s="30"/>
      <c r="CQ1624" s="30"/>
      <c r="CR1624" s="30"/>
      <c r="CS1624" s="30"/>
      <c r="CT1624" s="30"/>
      <c r="CU1624" s="30"/>
      <c r="CV1624" s="30"/>
      <c r="CW1624" s="30"/>
      <c r="CX1624" s="30"/>
      <c r="CY1624" s="30"/>
      <c r="CZ1624" s="30"/>
      <c r="DA1624" s="30"/>
      <c r="DB1624" s="30"/>
      <c r="DC1624" s="30"/>
      <c r="DD1624" s="30"/>
      <c r="DE1624" s="30"/>
      <c r="DF1624" s="30"/>
      <c r="DG1624" s="30"/>
      <c r="DH1624" s="30"/>
      <c r="DI1624" s="30"/>
      <c r="DJ1624" s="30"/>
      <c r="DK1624" s="30"/>
      <c r="DL1624" s="30"/>
      <c r="DM1624" s="30"/>
      <c r="DN1624" s="30"/>
      <c r="DO1624" s="30"/>
      <c r="DP1624" s="30"/>
      <c r="DQ1624" s="30"/>
      <c r="DR1624" s="30"/>
      <c r="DS1624" s="30"/>
      <c r="DT1624" s="30"/>
      <c r="DU1624" s="30"/>
      <c r="DV1624" s="30"/>
      <c r="DW1624" s="30"/>
      <c r="DX1624" s="30"/>
      <c r="DY1624" s="30"/>
      <c r="DZ1624" s="30"/>
    </row>
    <row r="1625">
      <c r="A1625" s="30"/>
      <c r="B1625" s="42"/>
      <c r="C1625" s="43"/>
      <c r="D1625" s="30"/>
      <c r="E1625" s="28"/>
      <c r="F1625" s="30"/>
      <c r="G1625" s="30"/>
      <c r="H1625" s="30"/>
      <c r="I1625" s="30"/>
      <c r="J1625" s="28"/>
      <c r="K1625" s="30"/>
      <c r="L1625" s="30"/>
      <c r="M1625" s="30"/>
      <c r="N1625" s="30"/>
      <c r="O1625" s="28"/>
      <c r="P1625" s="30"/>
      <c r="Q1625" s="30"/>
      <c r="R1625" s="30"/>
      <c r="S1625" s="36"/>
      <c r="T1625" s="30"/>
      <c r="U1625" s="36"/>
      <c r="V1625" s="30"/>
      <c r="W1625" s="28"/>
      <c r="X1625" s="30"/>
      <c r="Y1625" s="30"/>
      <c r="Z1625" s="30"/>
      <c r="AA1625" s="30"/>
      <c r="AB1625" s="30"/>
      <c r="AC1625" s="28"/>
      <c r="AD1625" s="30"/>
      <c r="AE1625" s="30"/>
      <c r="AF1625" s="30"/>
      <c r="AG1625" s="29"/>
      <c r="AH1625" s="30"/>
      <c r="AI1625" s="36"/>
      <c r="AJ1625" s="30"/>
      <c r="AK1625" s="29"/>
      <c r="AL1625" s="30"/>
      <c r="AM1625" s="30"/>
      <c r="AN1625" s="30"/>
      <c r="AO1625" s="30"/>
      <c r="AP1625" s="30"/>
      <c r="AQ1625" s="38"/>
      <c r="AR1625" s="30"/>
      <c r="AS1625" s="30"/>
      <c r="AT1625" s="29"/>
      <c r="AU1625" s="30"/>
      <c r="AV1625" s="30"/>
      <c r="AW1625" s="30"/>
      <c r="AX1625" s="29"/>
      <c r="AY1625" s="39"/>
      <c r="AZ1625" s="30"/>
      <c r="BA1625" s="30"/>
      <c r="BB1625" s="29"/>
      <c r="BC1625" s="52"/>
      <c r="BD1625" s="30"/>
      <c r="BE1625" s="29"/>
      <c r="BF1625" s="30"/>
      <c r="BG1625" s="30"/>
      <c r="BH1625" s="30"/>
      <c r="BI1625" s="30"/>
      <c r="BJ1625" s="30"/>
      <c r="BK1625" s="30"/>
      <c r="BL1625" s="30"/>
      <c r="BM1625" s="30"/>
      <c r="BN1625" s="30"/>
      <c r="BO1625" s="30"/>
      <c r="BP1625" s="30"/>
      <c r="BQ1625" s="30"/>
      <c r="BR1625" s="30"/>
      <c r="BS1625" s="30"/>
      <c r="BT1625" s="30"/>
      <c r="BU1625" s="30"/>
      <c r="BV1625" s="30"/>
      <c r="BW1625" s="30"/>
      <c r="BX1625" s="30"/>
      <c r="BY1625" s="30"/>
      <c r="BZ1625" s="30"/>
      <c r="CA1625" s="30"/>
      <c r="CB1625" s="30"/>
      <c r="CC1625" s="30"/>
      <c r="CD1625" s="30"/>
      <c r="CE1625" s="30"/>
      <c r="CF1625" s="30"/>
      <c r="CG1625" s="30"/>
      <c r="CH1625" s="30"/>
      <c r="CI1625" s="30"/>
      <c r="CJ1625" s="30"/>
      <c r="CK1625" s="30"/>
      <c r="CL1625" s="30"/>
      <c r="CM1625" s="30"/>
      <c r="CN1625" s="30"/>
      <c r="CO1625" s="30"/>
      <c r="CP1625" s="30"/>
      <c r="CQ1625" s="30"/>
      <c r="CR1625" s="30"/>
      <c r="CS1625" s="30"/>
      <c r="CT1625" s="30"/>
      <c r="CU1625" s="30"/>
      <c r="CV1625" s="30"/>
      <c r="CW1625" s="30"/>
      <c r="CX1625" s="30"/>
      <c r="CY1625" s="30"/>
      <c r="CZ1625" s="30"/>
      <c r="DA1625" s="30"/>
      <c r="DB1625" s="30"/>
      <c r="DC1625" s="30"/>
      <c r="DD1625" s="30"/>
      <c r="DE1625" s="30"/>
      <c r="DF1625" s="30"/>
      <c r="DG1625" s="30"/>
      <c r="DH1625" s="30"/>
      <c r="DI1625" s="30"/>
      <c r="DJ1625" s="30"/>
      <c r="DK1625" s="30"/>
      <c r="DL1625" s="30"/>
      <c r="DM1625" s="30"/>
      <c r="DN1625" s="30"/>
      <c r="DO1625" s="30"/>
      <c r="DP1625" s="30"/>
      <c r="DQ1625" s="30"/>
      <c r="DR1625" s="30"/>
      <c r="DS1625" s="30"/>
      <c r="DT1625" s="30"/>
      <c r="DU1625" s="30"/>
      <c r="DV1625" s="30"/>
      <c r="DW1625" s="30"/>
      <c r="DX1625" s="30"/>
      <c r="DY1625" s="30"/>
      <c r="DZ1625" s="30"/>
    </row>
    <row r="1626">
      <c r="A1626" s="30"/>
      <c r="B1626" s="42"/>
      <c r="C1626" s="43"/>
      <c r="D1626" s="30"/>
      <c r="E1626" s="28"/>
      <c r="F1626" s="30"/>
      <c r="G1626" s="30"/>
      <c r="H1626" s="30"/>
      <c r="I1626" s="30"/>
      <c r="J1626" s="28"/>
      <c r="K1626" s="30"/>
      <c r="L1626" s="30"/>
      <c r="M1626" s="30"/>
      <c r="N1626" s="30"/>
      <c r="O1626" s="28"/>
      <c r="P1626" s="30"/>
      <c r="Q1626" s="30"/>
      <c r="R1626" s="30"/>
      <c r="S1626" s="36"/>
      <c r="T1626" s="30"/>
      <c r="U1626" s="36"/>
      <c r="V1626" s="30"/>
      <c r="W1626" s="28"/>
      <c r="X1626" s="30"/>
      <c r="Y1626" s="30"/>
      <c r="Z1626" s="30"/>
      <c r="AA1626" s="30"/>
      <c r="AB1626" s="30"/>
      <c r="AC1626" s="28"/>
      <c r="AD1626" s="30"/>
      <c r="AE1626" s="30"/>
      <c r="AF1626" s="30"/>
      <c r="AG1626" s="29"/>
      <c r="AH1626" s="30"/>
      <c r="AI1626" s="36"/>
      <c r="AJ1626" s="30"/>
      <c r="AK1626" s="29"/>
      <c r="AL1626" s="30"/>
      <c r="AM1626" s="30"/>
      <c r="AN1626" s="30"/>
      <c r="AO1626" s="30"/>
      <c r="AP1626" s="30"/>
      <c r="AQ1626" s="38"/>
      <c r="AR1626" s="30"/>
      <c r="AS1626" s="30"/>
      <c r="AT1626" s="29"/>
      <c r="AU1626" s="30"/>
      <c r="AV1626" s="30"/>
      <c r="AW1626" s="30"/>
      <c r="AX1626" s="29"/>
      <c r="AY1626" s="39"/>
      <c r="AZ1626" s="30"/>
      <c r="BA1626" s="30"/>
      <c r="BB1626" s="29"/>
      <c r="BC1626" s="52"/>
      <c r="BD1626" s="30"/>
      <c r="BE1626" s="29"/>
      <c r="BF1626" s="30"/>
      <c r="BG1626" s="30"/>
      <c r="BH1626" s="30"/>
      <c r="BI1626" s="30"/>
      <c r="BJ1626" s="30"/>
      <c r="BK1626" s="30"/>
      <c r="BL1626" s="30"/>
      <c r="BM1626" s="30"/>
      <c r="BN1626" s="30"/>
      <c r="BO1626" s="30"/>
      <c r="BP1626" s="30"/>
      <c r="BQ1626" s="30"/>
      <c r="BR1626" s="30"/>
      <c r="BS1626" s="30"/>
      <c r="BT1626" s="30"/>
      <c r="BU1626" s="30"/>
      <c r="BV1626" s="30"/>
      <c r="BW1626" s="30"/>
      <c r="BX1626" s="30"/>
      <c r="BY1626" s="30"/>
      <c r="BZ1626" s="30"/>
      <c r="CA1626" s="30"/>
      <c r="CB1626" s="30"/>
      <c r="CC1626" s="30"/>
      <c r="CD1626" s="30"/>
      <c r="CE1626" s="30"/>
      <c r="CF1626" s="30"/>
      <c r="CG1626" s="30"/>
      <c r="CH1626" s="30"/>
      <c r="CI1626" s="30"/>
      <c r="CJ1626" s="30"/>
      <c r="CK1626" s="30"/>
      <c r="CL1626" s="30"/>
      <c r="CM1626" s="30"/>
      <c r="CN1626" s="30"/>
      <c r="CO1626" s="30"/>
      <c r="CP1626" s="30"/>
      <c r="CQ1626" s="30"/>
      <c r="CR1626" s="30"/>
      <c r="CS1626" s="30"/>
      <c r="CT1626" s="30"/>
      <c r="CU1626" s="30"/>
      <c r="CV1626" s="30"/>
      <c r="CW1626" s="30"/>
      <c r="CX1626" s="30"/>
      <c r="CY1626" s="30"/>
      <c r="CZ1626" s="30"/>
      <c r="DA1626" s="30"/>
      <c r="DB1626" s="30"/>
      <c r="DC1626" s="30"/>
      <c r="DD1626" s="30"/>
      <c r="DE1626" s="30"/>
      <c r="DF1626" s="30"/>
      <c r="DG1626" s="30"/>
      <c r="DH1626" s="30"/>
      <c r="DI1626" s="30"/>
      <c r="DJ1626" s="30"/>
      <c r="DK1626" s="30"/>
      <c r="DL1626" s="30"/>
      <c r="DM1626" s="30"/>
      <c r="DN1626" s="30"/>
      <c r="DO1626" s="30"/>
      <c r="DP1626" s="30"/>
      <c r="DQ1626" s="30"/>
      <c r="DR1626" s="30"/>
      <c r="DS1626" s="30"/>
      <c r="DT1626" s="30"/>
      <c r="DU1626" s="30"/>
      <c r="DV1626" s="30"/>
      <c r="DW1626" s="30"/>
      <c r="DX1626" s="30"/>
      <c r="DY1626" s="30"/>
      <c r="DZ1626" s="30"/>
    </row>
    <row r="1627">
      <c r="A1627" s="30"/>
      <c r="B1627" s="42"/>
      <c r="C1627" s="43"/>
      <c r="D1627" s="30"/>
      <c r="E1627" s="28"/>
      <c r="F1627" s="30"/>
      <c r="G1627" s="30"/>
      <c r="H1627" s="30"/>
      <c r="I1627" s="30"/>
      <c r="J1627" s="28"/>
      <c r="K1627" s="30"/>
      <c r="L1627" s="30"/>
      <c r="M1627" s="30"/>
      <c r="N1627" s="30"/>
      <c r="O1627" s="28"/>
      <c r="P1627" s="30"/>
      <c r="Q1627" s="30"/>
      <c r="R1627" s="30"/>
      <c r="S1627" s="36"/>
      <c r="T1627" s="30"/>
      <c r="U1627" s="36"/>
      <c r="V1627" s="30"/>
      <c r="W1627" s="28"/>
      <c r="X1627" s="30"/>
      <c r="Y1627" s="30"/>
      <c r="Z1627" s="30"/>
      <c r="AA1627" s="30"/>
      <c r="AB1627" s="30"/>
      <c r="AC1627" s="28"/>
      <c r="AD1627" s="30"/>
      <c r="AE1627" s="30"/>
      <c r="AF1627" s="30"/>
      <c r="AG1627" s="29"/>
      <c r="AH1627" s="30"/>
      <c r="AI1627" s="36"/>
      <c r="AJ1627" s="30"/>
      <c r="AK1627" s="29"/>
      <c r="AL1627" s="30"/>
      <c r="AM1627" s="30"/>
      <c r="AN1627" s="30"/>
      <c r="AO1627" s="30"/>
      <c r="AP1627" s="30"/>
      <c r="AQ1627" s="38"/>
      <c r="AR1627" s="30"/>
      <c r="AS1627" s="30"/>
      <c r="AT1627" s="29"/>
      <c r="AU1627" s="30"/>
      <c r="AV1627" s="30"/>
      <c r="AW1627" s="30"/>
      <c r="AX1627" s="29"/>
      <c r="AY1627" s="39"/>
      <c r="AZ1627" s="30"/>
      <c r="BA1627" s="30"/>
      <c r="BB1627" s="29"/>
      <c r="BC1627" s="52"/>
      <c r="BD1627" s="30"/>
      <c r="BE1627" s="29"/>
      <c r="BF1627" s="30"/>
      <c r="BG1627" s="30"/>
      <c r="BH1627" s="30"/>
      <c r="BI1627" s="30"/>
      <c r="BJ1627" s="30"/>
      <c r="BK1627" s="30"/>
      <c r="BL1627" s="30"/>
      <c r="BM1627" s="30"/>
      <c r="BN1627" s="30"/>
      <c r="BO1627" s="30"/>
      <c r="BP1627" s="30"/>
      <c r="BQ1627" s="30"/>
      <c r="BR1627" s="30"/>
      <c r="BS1627" s="30"/>
      <c r="BT1627" s="30"/>
      <c r="BU1627" s="30"/>
      <c r="BV1627" s="30"/>
      <c r="BW1627" s="30"/>
      <c r="BX1627" s="30"/>
      <c r="BY1627" s="30"/>
      <c r="BZ1627" s="30"/>
      <c r="CA1627" s="30"/>
      <c r="CB1627" s="30"/>
      <c r="CC1627" s="30"/>
      <c r="CD1627" s="30"/>
      <c r="CE1627" s="30"/>
      <c r="CF1627" s="30"/>
      <c r="CG1627" s="30"/>
      <c r="CH1627" s="30"/>
      <c r="CI1627" s="30"/>
      <c r="CJ1627" s="30"/>
      <c r="CK1627" s="30"/>
      <c r="CL1627" s="30"/>
      <c r="CM1627" s="30"/>
      <c r="CN1627" s="30"/>
      <c r="CO1627" s="30"/>
      <c r="CP1627" s="30"/>
      <c r="CQ1627" s="30"/>
      <c r="CR1627" s="30"/>
      <c r="CS1627" s="30"/>
      <c r="CT1627" s="30"/>
      <c r="CU1627" s="30"/>
      <c r="CV1627" s="30"/>
      <c r="CW1627" s="30"/>
      <c r="CX1627" s="30"/>
      <c r="CY1627" s="30"/>
      <c r="CZ1627" s="30"/>
      <c r="DA1627" s="30"/>
      <c r="DB1627" s="30"/>
      <c r="DC1627" s="30"/>
      <c r="DD1627" s="30"/>
      <c r="DE1627" s="30"/>
      <c r="DF1627" s="30"/>
      <c r="DG1627" s="30"/>
      <c r="DH1627" s="30"/>
      <c r="DI1627" s="30"/>
      <c r="DJ1627" s="30"/>
      <c r="DK1627" s="30"/>
      <c r="DL1627" s="30"/>
      <c r="DM1627" s="30"/>
      <c r="DN1627" s="30"/>
      <c r="DO1627" s="30"/>
      <c r="DP1627" s="30"/>
      <c r="DQ1627" s="30"/>
      <c r="DR1627" s="30"/>
      <c r="DS1627" s="30"/>
      <c r="DT1627" s="30"/>
      <c r="DU1627" s="30"/>
      <c r="DV1627" s="30"/>
      <c r="DW1627" s="30"/>
      <c r="DX1627" s="30"/>
      <c r="DY1627" s="30"/>
      <c r="DZ1627" s="30"/>
    </row>
    <row r="1628">
      <c r="A1628" s="30"/>
      <c r="B1628" s="42"/>
      <c r="C1628" s="43"/>
      <c r="D1628" s="30"/>
      <c r="E1628" s="28"/>
      <c r="F1628" s="30"/>
      <c r="G1628" s="30"/>
      <c r="H1628" s="30"/>
      <c r="I1628" s="30"/>
      <c r="J1628" s="28"/>
      <c r="K1628" s="30"/>
      <c r="L1628" s="30"/>
      <c r="M1628" s="30"/>
      <c r="N1628" s="30"/>
      <c r="O1628" s="28"/>
      <c r="P1628" s="30"/>
      <c r="Q1628" s="30"/>
      <c r="R1628" s="30"/>
      <c r="S1628" s="36"/>
      <c r="T1628" s="30"/>
      <c r="U1628" s="36"/>
      <c r="V1628" s="30"/>
      <c r="W1628" s="28"/>
      <c r="X1628" s="30"/>
      <c r="Y1628" s="30"/>
      <c r="Z1628" s="30"/>
      <c r="AA1628" s="30"/>
      <c r="AB1628" s="30"/>
      <c r="AC1628" s="28"/>
      <c r="AD1628" s="30"/>
      <c r="AE1628" s="30"/>
      <c r="AF1628" s="30"/>
      <c r="AG1628" s="29"/>
      <c r="AH1628" s="30"/>
      <c r="AI1628" s="36"/>
      <c r="AJ1628" s="30"/>
      <c r="AK1628" s="29"/>
      <c r="AL1628" s="30"/>
      <c r="AM1628" s="30"/>
      <c r="AN1628" s="30"/>
      <c r="AO1628" s="30"/>
      <c r="AP1628" s="30"/>
      <c r="AQ1628" s="38"/>
      <c r="AR1628" s="30"/>
      <c r="AS1628" s="30"/>
      <c r="AT1628" s="29"/>
      <c r="AU1628" s="30"/>
      <c r="AV1628" s="30"/>
      <c r="AW1628" s="30"/>
      <c r="AX1628" s="29"/>
      <c r="AY1628" s="39"/>
      <c r="AZ1628" s="30"/>
      <c r="BA1628" s="30"/>
      <c r="BB1628" s="29"/>
      <c r="BC1628" s="52"/>
      <c r="BD1628" s="30"/>
      <c r="BE1628" s="29"/>
      <c r="BF1628" s="30"/>
      <c r="BG1628" s="30"/>
      <c r="BH1628" s="30"/>
      <c r="BI1628" s="30"/>
      <c r="BJ1628" s="30"/>
      <c r="BK1628" s="30"/>
      <c r="BL1628" s="30"/>
      <c r="BM1628" s="30"/>
      <c r="BN1628" s="30"/>
      <c r="BO1628" s="30"/>
      <c r="BP1628" s="30"/>
      <c r="BQ1628" s="30"/>
      <c r="BR1628" s="30"/>
      <c r="BS1628" s="30"/>
      <c r="BT1628" s="30"/>
      <c r="BU1628" s="30"/>
      <c r="BV1628" s="30"/>
      <c r="BW1628" s="30"/>
      <c r="BX1628" s="30"/>
      <c r="BY1628" s="30"/>
      <c r="BZ1628" s="30"/>
      <c r="CA1628" s="30"/>
      <c r="CB1628" s="30"/>
      <c r="CC1628" s="30"/>
      <c r="CD1628" s="30"/>
      <c r="CE1628" s="30"/>
      <c r="CF1628" s="30"/>
      <c r="CG1628" s="30"/>
      <c r="CH1628" s="30"/>
      <c r="CI1628" s="30"/>
      <c r="CJ1628" s="30"/>
      <c r="CK1628" s="30"/>
      <c r="CL1628" s="30"/>
      <c r="CM1628" s="30"/>
      <c r="CN1628" s="30"/>
      <c r="CO1628" s="30"/>
      <c r="CP1628" s="30"/>
      <c r="CQ1628" s="30"/>
      <c r="CR1628" s="30"/>
      <c r="CS1628" s="30"/>
      <c r="CT1628" s="30"/>
      <c r="CU1628" s="30"/>
      <c r="CV1628" s="30"/>
      <c r="CW1628" s="30"/>
      <c r="CX1628" s="30"/>
      <c r="CY1628" s="30"/>
      <c r="CZ1628" s="30"/>
      <c r="DA1628" s="30"/>
      <c r="DB1628" s="30"/>
      <c r="DC1628" s="30"/>
      <c r="DD1628" s="30"/>
      <c r="DE1628" s="30"/>
      <c r="DF1628" s="30"/>
      <c r="DG1628" s="30"/>
      <c r="DH1628" s="30"/>
      <c r="DI1628" s="30"/>
      <c r="DJ1628" s="30"/>
      <c r="DK1628" s="30"/>
      <c r="DL1628" s="30"/>
      <c r="DM1628" s="30"/>
      <c r="DN1628" s="30"/>
      <c r="DO1628" s="30"/>
      <c r="DP1628" s="30"/>
      <c r="DQ1628" s="30"/>
      <c r="DR1628" s="30"/>
      <c r="DS1628" s="30"/>
      <c r="DT1628" s="30"/>
      <c r="DU1628" s="30"/>
      <c r="DV1628" s="30"/>
      <c r="DW1628" s="30"/>
      <c r="DX1628" s="30"/>
      <c r="DY1628" s="30"/>
      <c r="DZ1628" s="30"/>
    </row>
    <row r="1629">
      <c r="A1629" s="30"/>
      <c r="B1629" s="42"/>
      <c r="C1629" s="43"/>
      <c r="D1629" s="30"/>
      <c r="E1629" s="28"/>
      <c r="F1629" s="30"/>
      <c r="G1629" s="30"/>
      <c r="H1629" s="30"/>
      <c r="I1629" s="30"/>
      <c r="J1629" s="28"/>
      <c r="K1629" s="30"/>
      <c r="L1629" s="30"/>
      <c r="M1629" s="30"/>
      <c r="N1629" s="30"/>
      <c r="O1629" s="28"/>
      <c r="P1629" s="30"/>
      <c r="Q1629" s="30"/>
      <c r="R1629" s="30"/>
      <c r="S1629" s="36"/>
      <c r="T1629" s="30"/>
      <c r="U1629" s="36"/>
      <c r="V1629" s="30"/>
      <c r="W1629" s="28"/>
      <c r="X1629" s="30"/>
      <c r="Y1629" s="30"/>
      <c r="Z1629" s="30"/>
      <c r="AA1629" s="30"/>
      <c r="AB1629" s="30"/>
      <c r="AC1629" s="28"/>
      <c r="AD1629" s="30"/>
      <c r="AE1629" s="30"/>
      <c r="AF1629" s="30"/>
      <c r="AG1629" s="29"/>
      <c r="AH1629" s="30"/>
      <c r="AI1629" s="36"/>
      <c r="AJ1629" s="30"/>
      <c r="AK1629" s="29"/>
      <c r="AL1629" s="30"/>
      <c r="AM1629" s="30"/>
      <c r="AN1629" s="30"/>
      <c r="AO1629" s="30"/>
      <c r="AP1629" s="30"/>
      <c r="AQ1629" s="38"/>
      <c r="AR1629" s="30"/>
      <c r="AS1629" s="30"/>
      <c r="AT1629" s="29"/>
      <c r="AU1629" s="30"/>
      <c r="AV1629" s="30"/>
      <c r="AW1629" s="30"/>
      <c r="AX1629" s="29"/>
      <c r="AY1629" s="39"/>
      <c r="AZ1629" s="30"/>
      <c r="BA1629" s="30"/>
      <c r="BB1629" s="29"/>
      <c r="BC1629" s="52"/>
      <c r="BD1629" s="30"/>
      <c r="BE1629" s="29"/>
      <c r="BF1629" s="30"/>
      <c r="BG1629" s="30"/>
      <c r="BH1629" s="30"/>
      <c r="BI1629" s="30"/>
      <c r="BJ1629" s="30"/>
      <c r="BK1629" s="30"/>
      <c r="BL1629" s="30"/>
      <c r="BM1629" s="30"/>
      <c r="BN1629" s="30"/>
      <c r="BO1629" s="30"/>
      <c r="BP1629" s="30"/>
      <c r="BQ1629" s="30"/>
      <c r="BR1629" s="30"/>
      <c r="BS1629" s="30"/>
      <c r="BT1629" s="30"/>
      <c r="BU1629" s="30"/>
      <c r="BV1629" s="30"/>
      <c r="BW1629" s="30"/>
      <c r="BX1629" s="30"/>
      <c r="BY1629" s="30"/>
      <c r="BZ1629" s="30"/>
      <c r="CA1629" s="30"/>
      <c r="CB1629" s="30"/>
      <c r="CC1629" s="30"/>
      <c r="CD1629" s="30"/>
      <c r="CE1629" s="30"/>
      <c r="CF1629" s="30"/>
      <c r="CG1629" s="30"/>
      <c r="CH1629" s="30"/>
      <c r="CI1629" s="30"/>
      <c r="CJ1629" s="30"/>
      <c r="CK1629" s="30"/>
      <c r="CL1629" s="30"/>
      <c r="CM1629" s="30"/>
      <c r="CN1629" s="30"/>
      <c r="CO1629" s="30"/>
      <c r="CP1629" s="30"/>
      <c r="CQ1629" s="30"/>
      <c r="CR1629" s="30"/>
      <c r="CS1629" s="30"/>
      <c r="CT1629" s="30"/>
      <c r="CU1629" s="30"/>
      <c r="CV1629" s="30"/>
      <c r="CW1629" s="30"/>
      <c r="CX1629" s="30"/>
      <c r="CY1629" s="30"/>
      <c r="CZ1629" s="30"/>
      <c r="DA1629" s="30"/>
      <c r="DB1629" s="30"/>
      <c r="DC1629" s="30"/>
      <c r="DD1629" s="30"/>
      <c r="DE1629" s="30"/>
      <c r="DF1629" s="30"/>
      <c r="DG1629" s="30"/>
      <c r="DH1629" s="30"/>
      <c r="DI1629" s="30"/>
      <c r="DJ1629" s="30"/>
      <c r="DK1629" s="30"/>
      <c r="DL1629" s="30"/>
      <c r="DM1629" s="30"/>
      <c r="DN1629" s="30"/>
      <c r="DO1629" s="30"/>
      <c r="DP1629" s="30"/>
      <c r="DQ1629" s="30"/>
      <c r="DR1629" s="30"/>
      <c r="DS1629" s="30"/>
      <c r="DT1629" s="30"/>
      <c r="DU1629" s="30"/>
      <c r="DV1629" s="30"/>
      <c r="DW1629" s="30"/>
      <c r="DX1629" s="30"/>
      <c r="DY1629" s="30"/>
      <c r="DZ1629" s="30"/>
    </row>
    <row r="1630">
      <c r="A1630" s="30"/>
      <c r="B1630" s="42"/>
      <c r="C1630" s="43"/>
      <c r="D1630" s="30"/>
      <c r="E1630" s="28"/>
      <c r="F1630" s="30"/>
      <c r="G1630" s="30"/>
      <c r="H1630" s="30"/>
      <c r="I1630" s="30"/>
      <c r="J1630" s="28"/>
      <c r="K1630" s="30"/>
      <c r="L1630" s="30"/>
      <c r="M1630" s="30"/>
      <c r="N1630" s="30"/>
      <c r="O1630" s="28"/>
      <c r="P1630" s="30"/>
      <c r="Q1630" s="30"/>
      <c r="R1630" s="30"/>
      <c r="S1630" s="36"/>
      <c r="T1630" s="30"/>
      <c r="U1630" s="36"/>
      <c r="V1630" s="30"/>
      <c r="W1630" s="28"/>
      <c r="X1630" s="30"/>
      <c r="Y1630" s="30"/>
      <c r="Z1630" s="30"/>
      <c r="AA1630" s="30"/>
      <c r="AB1630" s="30"/>
      <c r="AC1630" s="28"/>
      <c r="AD1630" s="30"/>
      <c r="AE1630" s="30"/>
      <c r="AF1630" s="30"/>
      <c r="AG1630" s="29"/>
      <c r="AH1630" s="30"/>
      <c r="AI1630" s="36"/>
      <c r="AJ1630" s="30"/>
      <c r="AK1630" s="29"/>
      <c r="AL1630" s="30"/>
      <c r="AM1630" s="30"/>
      <c r="AN1630" s="30"/>
      <c r="AO1630" s="30"/>
      <c r="AP1630" s="30"/>
      <c r="AQ1630" s="38"/>
      <c r="AR1630" s="30"/>
      <c r="AS1630" s="30"/>
      <c r="AT1630" s="29"/>
      <c r="AU1630" s="30"/>
      <c r="AV1630" s="30"/>
      <c r="AW1630" s="30"/>
      <c r="AX1630" s="29"/>
      <c r="AY1630" s="39"/>
      <c r="AZ1630" s="30"/>
      <c r="BA1630" s="30"/>
      <c r="BB1630" s="29"/>
      <c r="BC1630" s="52"/>
      <c r="BD1630" s="30"/>
      <c r="BE1630" s="29"/>
      <c r="BF1630" s="30"/>
      <c r="BG1630" s="30"/>
      <c r="BH1630" s="30"/>
      <c r="BI1630" s="30"/>
      <c r="BJ1630" s="30"/>
      <c r="BK1630" s="30"/>
      <c r="BL1630" s="30"/>
      <c r="BM1630" s="30"/>
      <c r="BN1630" s="30"/>
      <c r="BO1630" s="30"/>
      <c r="BP1630" s="30"/>
      <c r="BQ1630" s="30"/>
      <c r="BR1630" s="30"/>
      <c r="BS1630" s="30"/>
      <c r="BT1630" s="30"/>
      <c r="BU1630" s="30"/>
      <c r="BV1630" s="30"/>
      <c r="BW1630" s="30"/>
      <c r="BX1630" s="30"/>
      <c r="BY1630" s="30"/>
      <c r="BZ1630" s="30"/>
      <c r="CA1630" s="30"/>
      <c r="CB1630" s="30"/>
      <c r="CC1630" s="30"/>
      <c r="CD1630" s="30"/>
      <c r="CE1630" s="30"/>
      <c r="CF1630" s="30"/>
      <c r="CG1630" s="30"/>
      <c r="CH1630" s="30"/>
      <c r="CI1630" s="30"/>
      <c r="CJ1630" s="30"/>
      <c r="CK1630" s="30"/>
      <c r="CL1630" s="30"/>
      <c r="CM1630" s="30"/>
      <c r="CN1630" s="30"/>
      <c r="CO1630" s="30"/>
      <c r="CP1630" s="30"/>
      <c r="CQ1630" s="30"/>
      <c r="CR1630" s="30"/>
      <c r="CS1630" s="30"/>
      <c r="CT1630" s="30"/>
      <c r="CU1630" s="30"/>
      <c r="CV1630" s="30"/>
      <c r="CW1630" s="30"/>
      <c r="CX1630" s="30"/>
      <c r="CY1630" s="30"/>
      <c r="CZ1630" s="30"/>
      <c r="DA1630" s="30"/>
      <c r="DB1630" s="30"/>
      <c r="DC1630" s="30"/>
      <c r="DD1630" s="30"/>
      <c r="DE1630" s="30"/>
      <c r="DF1630" s="30"/>
      <c r="DG1630" s="30"/>
      <c r="DH1630" s="30"/>
      <c r="DI1630" s="30"/>
      <c r="DJ1630" s="30"/>
      <c r="DK1630" s="30"/>
      <c r="DL1630" s="30"/>
      <c r="DM1630" s="30"/>
      <c r="DN1630" s="30"/>
      <c r="DO1630" s="30"/>
      <c r="DP1630" s="30"/>
      <c r="DQ1630" s="30"/>
      <c r="DR1630" s="30"/>
      <c r="DS1630" s="30"/>
      <c r="DT1630" s="30"/>
      <c r="DU1630" s="30"/>
      <c r="DV1630" s="30"/>
      <c r="DW1630" s="30"/>
      <c r="DX1630" s="30"/>
      <c r="DY1630" s="30"/>
      <c r="DZ1630" s="30"/>
    </row>
    <row r="1631">
      <c r="A1631" s="30"/>
      <c r="B1631" s="42"/>
      <c r="C1631" s="43"/>
      <c r="D1631" s="30"/>
      <c r="E1631" s="28"/>
      <c r="F1631" s="30"/>
      <c r="G1631" s="30"/>
      <c r="H1631" s="30"/>
      <c r="I1631" s="30"/>
      <c r="J1631" s="28"/>
      <c r="K1631" s="30"/>
      <c r="L1631" s="30"/>
      <c r="M1631" s="30"/>
      <c r="N1631" s="30"/>
      <c r="O1631" s="28"/>
      <c r="P1631" s="30"/>
      <c r="Q1631" s="30"/>
      <c r="R1631" s="30"/>
      <c r="S1631" s="36"/>
      <c r="T1631" s="30"/>
      <c r="U1631" s="36"/>
      <c r="V1631" s="30"/>
      <c r="W1631" s="28"/>
      <c r="X1631" s="30"/>
      <c r="Y1631" s="30"/>
      <c r="Z1631" s="30"/>
      <c r="AA1631" s="30"/>
      <c r="AB1631" s="30"/>
      <c r="AC1631" s="28"/>
      <c r="AD1631" s="30"/>
      <c r="AE1631" s="30"/>
      <c r="AF1631" s="30"/>
      <c r="AG1631" s="29"/>
      <c r="AH1631" s="30"/>
      <c r="AI1631" s="36"/>
      <c r="AJ1631" s="30"/>
      <c r="AK1631" s="29"/>
      <c r="AL1631" s="30"/>
      <c r="AM1631" s="30"/>
      <c r="AN1631" s="30"/>
      <c r="AO1631" s="30"/>
      <c r="AP1631" s="30"/>
      <c r="AQ1631" s="38"/>
      <c r="AR1631" s="30"/>
      <c r="AS1631" s="30"/>
      <c r="AT1631" s="29"/>
      <c r="AU1631" s="30"/>
      <c r="AV1631" s="30"/>
      <c r="AW1631" s="30"/>
      <c r="AX1631" s="29"/>
      <c r="AY1631" s="39"/>
      <c r="AZ1631" s="30"/>
      <c r="BA1631" s="30"/>
      <c r="BB1631" s="29"/>
      <c r="BC1631" s="52"/>
      <c r="BD1631" s="30"/>
      <c r="BE1631" s="29"/>
      <c r="BF1631" s="30"/>
      <c r="BG1631" s="30"/>
      <c r="BH1631" s="30"/>
      <c r="BI1631" s="30"/>
      <c r="BJ1631" s="30"/>
      <c r="BK1631" s="30"/>
      <c r="BL1631" s="30"/>
      <c r="BM1631" s="30"/>
      <c r="BN1631" s="30"/>
      <c r="BO1631" s="30"/>
      <c r="BP1631" s="30"/>
      <c r="BQ1631" s="30"/>
      <c r="BR1631" s="30"/>
      <c r="BS1631" s="30"/>
      <c r="BT1631" s="30"/>
      <c r="BU1631" s="30"/>
      <c r="BV1631" s="30"/>
      <c r="BW1631" s="30"/>
      <c r="BX1631" s="30"/>
      <c r="BY1631" s="30"/>
      <c r="BZ1631" s="30"/>
      <c r="CA1631" s="30"/>
      <c r="CB1631" s="30"/>
      <c r="CC1631" s="30"/>
      <c r="CD1631" s="30"/>
      <c r="CE1631" s="30"/>
      <c r="CF1631" s="30"/>
      <c r="CG1631" s="30"/>
      <c r="CH1631" s="30"/>
      <c r="CI1631" s="30"/>
      <c r="CJ1631" s="30"/>
      <c r="CK1631" s="30"/>
      <c r="CL1631" s="30"/>
      <c r="CM1631" s="30"/>
      <c r="CN1631" s="30"/>
      <c r="CO1631" s="30"/>
      <c r="CP1631" s="30"/>
      <c r="CQ1631" s="30"/>
      <c r="CR1631" s="30"/>
      <c r="CS1631" s="30"/>
      <c r="CT1631" s="30"/>
      <c r="CU1631" s="30"/>
      <c r="CV1631" s="30"/>
      <c r="CW1631" s="30"/>
      <c r="CX1631" s="30"/>
      <c r="CY1631" s="30"/>
      <c r="CZ1631" s="30"/>
      <c r="DA1631" s="30"/>
      <c r="DB1631" s="30"/>
      <c r="DC1631" s="30"/>
      <c r="DD1631" s="30"/>
      <c r="DE1631" s="30"/>
      <c r="DF1631" s="30"/>
      <c r="DG1631" s="30"/>
      <c r="DH1631" s="30"/>
      <c r="DI1631" s="30"/>
      <c r="DJ1631" s="30"/>
      <c r="DK1631" s="30"/>
      <c r="DL1631" s="30"/>
      <c r="DM1631" s="30"/>
      <c r="DN1631" s="30"/>
      <c r="DO1631" s="30"/>
      <c r="DP1631" s="30"/>
      <c r="DQ1631" s="30"/>
      <c r="DR1631" s="30"/>
      <c r="DS1631" s="30"/>
      <c r="DT1631" s="30"/>
      <c r="DU1631" s="30"/>
      <c r="DV1631" s="30"/>
      <c r="DW1631" s="30"/>
      <c r="DX1631" s="30"/>
      <c r="DY1631" s="30"/>
      <c r="DZ1631" s="30"/>
    </row>
    <row r="1632">
      <c r="A1632" s="30"/>
      <c r="B1632" s="42"/>
      <c r="C1632" s="43"/>
      <c r="D1632" s="30"/>
      <c r="E1632" s="28"/>
      <c r="F1632" s="30"/>
      <c r="G1632" s="30"/>
      <c r="H1632" s="30"/>
      <c r="I1632" s="30"/>
      <c r="J1632" s="28"/>
      <c r="K1632" s="30"/>
      <c r="L1632" s="30"/>
      <c r="M1632" s="30"/>
      <c r="N1632" s="30"/>
      <c r="O1632" s="28"/>
      <c r="P1632" s="30"/>
      <c r="Q1632" s="30"/>
      <c r="R1632" s="30"/>
      <c r="S1632" s="36"/>
      <c r="T1632" s="30"/>
      <c r="U1632" s="36"/>
      <c r="V1632" s="30"/>
      <c r="W1632" s="28"/>
      <c r="X1632" s="30"/>
      <c r="Y1632" s="30"/>
      <c r="Z1632" s="30"/>
      <c r="AA1632" s="30"/>
      <c r="AB1632" s="30"/>
      <c r="AC1632" s="28"/>
      <c r="AD1632" s="30"/>
      <c r="AE1632" s="30"/>
      <c r="AF1632" s="30"/>
      <c r="AG1632" s="29"/>
      <c r="AH1632" s="30"/>
      <c r="AI1632" s="36"/>
      <c r="AJ1632" s="30"/>
      <c r="AK1632" s="29"/>
      <c r="AL1632" s="30"/>
      <c r="AM1632" s="30"/>
      <c r="AN1632" s="30"/>
      <c r="AO1632" s="30"/>
      <c r="AP1632" s="30"/>
      <c r="AQ1632" s="38"/>
      <c r="AR1632" s="30"/>
      <c r="AS1632" s="30"/>
      <c r="AT1632" s="29"/>
      <c r="AU1632" s="30"/>
      <c r="AV1632" s="30"/>
      <c r="AW1632" s="30"/>
      <c r="AX1632" s="29"/>
      <c r="AY1632" s="39"/>
      <c r="AZ1632" s="30"/>
      <c r="BA1632" s="30"/>
      <c r="BB1632" s="29"/>
      <c r="BC1632" s="52"/>
      <c r="BD1632" s="30"/>
      <c r="BE1632" s="29"/>
      <c r="BF1632" s="30"/>
      <c r="BG1632" s="30"/>
      <c r="BH1632" s="30"/>
      <c r="BI1632" s="30"/>
      <c r="BJ1632" s="30"/>
      <c r="BK1632" s="30"/>
      <c r="BL1632" s="30"/>
      <c r="BM1632" s="30"/>
      <c r="BN1632" s="30"/>
      <c r="BO1632" s="30"/>
      <c r="BP1632" s="30"/>
      <c r="BQ1632" s="30"/>
      <c r="BR1632" s="30"/>
      <c r="BS1632" s="30"/>
      <c r="BT1632" s="30"/>
      <c r="BU1632" s="30"/>
      <c r="BV1632" s="30"/>
      <c r="BW1632" s="30"/>
      <c r="BX1632" s="30"/>
      <c r="BY1632" s="30"/>
      <c r="BZ1632" s="30"/>
      <c r="CA1632" s="30"/>
      <c r="CB1632" s="30"/>
      <c r="CC1632" s="30"/>
      <c r="CD1632" s="30"/>
      <c r="CE1632" s="30"/>
      <c r="CF1632" s="30"/>
      <c r="CG1632" s="30"/>
      <c r="CH1632" s="30"/>
      <c r="CI1632" s="30"/>
      <c r="CJ1632" s="30"/>
      <c r="CK1632" s="30"/>
      <c r="CL1632" s="30"/>
      <c r="CM1632" s="30"/>
      <c r="CN1632" s="30"/>
      <c r="CO1632" s="30"/>
      <c r="CP1632" s="30"/>
      <c r="CQ1632" s="30"/>
      <c r="CR1632" s="30"/>
      <c r="CS1632" s="30"/>
      <c r="CT1632" s="30"/>
      <c r="CU1632" s="30"/>
      <c r="CV1632" s="30"/>
      <c r="CW1632" s="30"/>
      <c r="CX1632" s="30"/>
      <c r="CY1632" s="30"/>
      <c r="CZ1632" s="30"/>
      <c r="DA1632" s="30"/>
      <c r="DB1632" s="30"/>
      <c r="DC1632" s="30"/>
      <c r="DD1632" s="30"/>
      <c r="DE1632" s="30"/>
      <c r="DF1632" s="30"/>
      <c r="DG1632" s="30"/>
      <c r="DH1632" s="30"/>
      <c r="DI1632" s="30"/>
      <c r="DJ1632" s="30"/>
      <c r="DK1632" s="30"/>
      <c r="DL1632" s="30"/>
      <c r="DM1632" s="30"/>
      <c r="DN1632" s="30"/>
      <c r="DO1632" s="30"/>
      <c r="DP1632" s="30"/>
      <c r="DQ1632" s="30"/>
      <c r="DR1632" s="30"/>
      <c r="DS1632" s="30"/>
      <c r="DT1632" s="30"/>
      <c r="DU1632" s="30"/>
      <c r="DV1632" s="30"/>
      <c r="DW1632" s="30"/>
      <c r="DX1632" s="30"/>
      <c r="DY1632" s="30"/>
      <c r="DZ1632" s="30"/>
    </row>
    <row r="1633">
      <c r="A1633" s="30"/>
      <c r="B1633" s="42"/>
      <c r="C1633" s="43"/>
      <c r="D1633" s="30"/>
      <c r="E1633" s="28"/>
      <c r="F1633" s="30"/>
      <c r="G1633" s="30"/>
      <c r="H1633" s="30"/>
      <c r="I1633" s="30"/>
      <c r="J1633" s="28"/>
      <c r="K1633" s="30"/>
      <c r="L1633" s="30"/>
      <c r="M1633" s="30"/>
      <c r="N1633" s="30"/>
      <c r="O1633" s="28"/>
      <c r="P1633" s="30"/>
      <c r="Q1633" s="30"/>
      <c r="R1633" s="30"/>
      <c r="S1633" s="36"/>
      <c r="T1633" s="30"/>
      <c r="U1633" s="36"/>
      <c r="V1633" s="30"/>
      <c r="W1633" s="28"/>
      <c r="X1633" s="30"/>
      <c r="Y1633" s="30"/>
      <c r="Z1633" s="30"/>
      <c r="AA1633" s="30"/>
      <c r="AB1633" s="30"/>
      <c r="AC1633" s="28"/>
      <c r="AD1633" s="30"/>
      <c r="AE1633" s="30"/>
      <c r="AF1633" s="30"/>
      <c r="AG1633" s="29"/>
      <c r="AH1633" s="30"/>
      <c r="AI1633" s="36"/>
      <c r="AJ1633" s="30"/>
      <c r="AK1633" s="29"/>
      <c r="AL1633" s="30"/>
      <c r="AM1633" s="30"/>
      <c r="AN1633" s="30"/>
      <c r="AO1633" s="30"/>
      <c r="AP1633" s="30"/>
      <c r="AQ1633" s="38"/>
      <c r="AR1633" s="30"/>
      <c r="AS1633" s="30"/>
      <c r="AT1633" s="29"/>
      <c r="AU1633" s="30"/>
      <c r="AV1633" s="30"/>
      <c r="AW1633" s="30"/>
      <c r="AX1633" s="29"/>
      <c r="AY1633" s="39"/>
      <c r="AZ1633" s="30"/>
      <c r="BA1633" s="30"/>
      <c r="BB1633" s="29"/>
      <c r="BC1633" s="52"/>
      <c r="BD1633" s="30"/>
      <c r="BE1633" s="29"/>
      <c r="BF1633" s="30"/>
      <c r="BG1633" s="30"/>
      <c r="BH1633" s="30"/>
      <c r="BI1633" s="30"/>
      <c r="BJ1633" s="30"/>
      <c r="BK1633" s="30"/>
      <c r="BL1633" s="30"/>
      <c r="BM1633" s="30"/>
      <c r="BN1633" s="30"/>
      <c r="BO1633" s="30"/>
      <c r="BP1633" s="30"/>
      <c r="BQ1633" s="30"/>
      <c r="BR1633" s="30"/>
      <c r="BS1633" s="30"/>
      <c r="BT1633" s="30"/>
      <c r="BU1633" s="30"/>
      <c r="BV1633" s="30"/>
      <c r="BW1633" s="30"/>
      <c r="BX1633" s="30"/>
      <c r="BY1633" s="30"/>
      <c r="BZ1633" s="30"/>
      <c r="CA1633" s="30"/>
      <c r="CB1633" s="30"/>
      <c r="CC1633" s="30"/>
      <c r="CD1633" s="30"/>
      <c r="CE1633" s="30"/>
      <c r="CF1633" s="30"/>
      <c r="CG1633" s="30"/>
      <c r="CH1633" s="30"/>
      <c r="CI1633" s="30"/>
      <c r="CJ1633" s="30"/>
      <c r="CK1633" s="30"/>
      <c r="CL1633" s="30"/>
      <c r="CM1633" s="30"/>
      <c r="CN1633" s="30"/>
      <c r="CO1633" s="30"/>
      <c r="CP1633" s="30"/>
      <c r="CQ1633" s="30"/>
      <c r="CR1633" s="30"/>
      <c r="CS1633" s="30"/>
      <c r="CT1633" s="30"/>
      <c r="CU1633" s="30"/>
      <c r="CV1633" s="30"/>
      <c r="CW1633" s="30"/>
      <c r="CX1633" s="30"/>
      <c r="CY1633" s="30"/>
      <c r="CZ1633" s="30"/>
      <c r="DA1633" s="30"/>
      <c r="DB1633" s="30"/>
      <c r="DC1633" s="30"/>
      <c r="DD1633" s="30"/>
      <c r="DE1633" s="30"/>
      <c r="DF1633" s="30"/>
      <c r="DG1633" s="30"/>
      <c r="DH1633" s="30"/>
      <c r="DI1633" s="30"/>
      <c r="DJ1633" s="30"/>
      <c r="DK1633" s="30"/>
      <c r="DL1633" s="30"/>
      <c r="DM1633" s="30"/>
      <c r="DN1633" s="30"/>
      <c r="DO1633" s="30"/>
      <c r="DP1633" s="30"/>
      <c r="DQ1633" s="30"/>
      <c r="DR1633" s="30"/>
      <c r="DS1633" s="30"/>
      <c r="DT1633" s="30"/>
      <c r="DU1633" s="30"/>
      <c r="DV1633" s="30"/>
      <c r="DW1633" s="30"/>
      <c r="DX1633" s="30"/>
      <c r="DY1633" s="30"/>
      <c r="DZ1633" s="30"/>
    </row>
    <row r="1634">
      <c r="A1634" s="30"/>
      <c r="B1634" s="42"/>
      <c r="C1634" s="43"/>
      <c r="D1634" s="30"/>
      <c r="E1634" s="28"/>
      <c r="F1634" s="30"/>
      <c r="G1634" s="30"/>
      <c r="H1634" s="30"/>
      <c r="I1634" s="30"/>
      <c r="J1634" s="28"/>
      <c r="K1634" s="30"/>
      <c r="L1634" s="30"/>
      <c r="M1634" s="30"/>
      <c r="N1634" s="30"/>
      <c r="O1634" s="28"/>
      <c r="P1634" s="30"/>
      <c r="Q1634" s="30"/>
      <c r="R1634" s="30"/>
      <c r="S1634" s="36"/>
      <c r="T1634" s="30"/>
      <c r="U1634" s="36"/>
      <c r="V1634" s="30"/>
      <c r="W1634" s="28"/>
      <c r="X1634" s="30"/>
      <c r="Y1634" s="30"/>
      <c r="Z1634" s="30"/>
      <c r="AA1634" s="30"/>
      <c r="AB1634" s="30"/>
      <c r="AC1634" s="28"/>
      <c r="AD1634" s="30"/>
      <c r="AE1634" s="30"/>
      <c r="AF1634" s="30"/>
      <c r="AG1634" s="29"/>
      <c r="AH1634" s="30"/>
      <c r="AI1634" s="36"/>
      <c r="AJ1634" s="30"/>
      <c r="AK1634" s="29"/>
      <c r="AL1634" s="30"/>
      <c r="AM1634" s="30"/>
      <c r="AN1634" s="30"/>
      <c r="AO1634" s="30"/>
      <c r="AP1634" s="30"/>
      <c r="AQ1634" s="38"/>
      <c r="AR1634" s="30"/>
      <c r="AS1634" s="30"/>
      <c r="AT1634" s="29"/>
      <c r="AU1634" s="30"/>
      <c r="AV1634" s="30"/>
      <c r="AW1634" s="30"/>
      <c r="AX1634" s="29"/>
      <c r="AY1634" s="39"/>
      <c r="AZ1634" s="30"/>
      <c r="BA1634" s="30"/>
      <c r="BB1634" s="29"/>
      <c r="BC1634" s="52"/>
      <c r="BD1634" s="30"/>
      <c r="BE1634" s="29"/>
      <c r="BF1634" s="30"/>
      <c r="BG1634" s="30"/>
      <c r="BH1634" s="30"/>
      <c r="BI1634" s="30"/>
      <c r="BJ1634" s="30"/>
      <c r="BK1634" s="30"/>
      <c r="BL1634" s="30"/>
      <c r="BM1634" s="30"/>
      <c r="BN1634" s="30"/>
      <c r="BO1634" s="30"/>
      <c r="BP1634" s="30"/>
      <c r="BQ1634" s="30"/>
      <c r="BR1634" s="30"/>
      <c r="BS1634" s="30"/>
      <c r="BT1634" s="30"/>
      <c r="BU1634" s="30"/>
      <c r="BV1634" s="30"/>
      <c r="BW1634" s="30"/>
      <c r="BX1634" s="30"/>
      <c r="BY1634" s="30"/>
      <c r="BZ1634" s="30"/>
      <c r="CA1634" s="30"/>
      <c r="CB1634" s="30"/>
      <c r="CC1634" s="30"/>
      <c r="CD1634" s="30"/>
      <c r="CE1634" s="30"/>
      <c r="CF1634" s="30"/>
      <c r="CG1634" s="30"/>
      <c r="CH1634" s="30"/>
      <c r="CI1634" s="30"/>
      <c r="CJ1634" s="30"/>
      <c r="CK1634" s="30"/>
      <c r="CL1634" s="30"/>
      <c r="CM1634" s="30"/>
      <c r="CN1634" s="30"/>
      <c r="CO1634" s="30"/>
      <c r="CP1634" s="30"/>
      <c r="CQ1634" s="30"/>
      <c r="CR1634" s="30"/>
      <c r="CS1634" s="30"/>
      <c r="CT1634" s="30"/>
      <c r="CU1634" s="30"/>
      <c r="CV1634" s="30"/>
      <c r="CW1634" s="30"/>
      <c r="CX1634" s="30"/>
      <c r="CY1634" s="30"/>
      <c r="CZ1634" s="30"/>
      <c r="DA1634" s="30"/>
      <c r="DB1634" s="30"/>
      <c r="DC1634" s="30"/>
      <c r="DD1634" s="30"/>
      <c r="DE1634" s="30"/>
      <c r="DF1634" s="30"/>
      <c r="DG1634" s="30"/>
      <c r="DH1634" s="30"/>
      <c r="DI1634" s="30"/>
      <c r="DJ1634" s="30"/>
      <c r="DK1634" s="30"/>
      <c r="DL1634" s="30"/>
      <c r="DM1634" s="30"/>
      <c r="DN1634" s="30"/>
      <c r="DO1634" s="30"/>
      <c r="DP1634" s="30"/>
      <c r="DQ1634" s="30"/>
      <c r="DR1634" s="30"/>
      <c r="DS1634" s="30"/>
      <c r="DT1634" s="30"/>
      <c r="DU1634" s="30"/>
      <c r="DV1634" s="30"/>
      <c r="DW1634" s="30"/>
      <c r="DX1634" s="30"/>
      <c r="DY1634" s="30"/>
      <c r="DZ1634" s="30"/>
    </row>
    <row r="1635">
      <c r="A1635" s="30"/>
      <c r="B1635" s="42"/>
      <c r="C1635" s="43"/>
      <c r="D1635" s="30"/>
      <c r="E1635" s="28"/>
      <c r="F1635" s="30"/>
      <c r="G1635" s="30"/>
      <c r="H1635" s="30"/>
      <c r="I1635" s="30"/>
      <c r="J1635" s="28"/>
      <c r="K1635" s="30"/>
      <c r="L1635" s="30"/>
      <c r="M1635" s="30"/>
      <c r="N1635" s="30"/>
      <c r="O1635" s="28"/>
      <c r="P1635" s="30"/>
      <c r="Q1635" s="30"/>
      <c r="R1635" s="30"/>
      <c r="S1635" s="36"/>
      <c r="T1635" s="30"/>
      <c r="U1635" s="36"/>
      <c r="V1635" s="30"/>
      <c r="W1635" s="28"/>
      <c r="X1635" s="30"/>
      <c r="Y1635" s="30"/>
      <c r="Z1635" s="30"/>
      <c r="AA1635" s="30"/>
      <c r="AB1635" s="30"/>
      <c r="AC1635" s="28"/>
      <c r="AD1635" s="30"/>
      <c r="AE1635" s="30"/>
      <c r="AF1635" s="30"/>
      <c r="AG1635" s="29"/>
      <c r="AH1635" s="30"/>
      <c r="AI1635" s="36"/>
      <c r="AJ1635" s="30"/>
      <c r="AK1635" s="29"/>
      <c r="AL1635" s="30"/>
      <c r="AM1635" s="30"/>
      <c r="AN1635" s="30"/>
      <c r="AO1635" s="30"/>
      <c r="AP1635" s="30"/>
      <c r="AQ1635" s="38"/>
      <c r="AR1635" s="30"/>
      <c r="AS1635" s="30"/>
      <c r="AT1635" s="29"/>
      <c r="AU1635" s="30"/>
      <c r="AV1635" s="30"/>
      <c r="AW1635" s="30"/>
      <c r="AX1635" s="29"/>
      <c r="AY1635" s="39"/>
      <c r="AZ1635" s="30"/>
      <c r="BA1635" s="30"/>
      <c r="BB1635" s="29"/>
      <c r="BC1635" s="52"/>
      <c r="BD1635" s="30"/>
      <c r="BE1635" s="29"/>
      <c r="BF1635" s="30"/>
      <c r="BG1635" s="30"/>
      <c r="BH1635" s="30"/>
      <c r="BI1635" s="30"/>
      <c r="BJ1635" s="30"/>
      <c r="BK1635" s="30"/>
      <c r="BL1635" s="30"/>
      <c r="BM1635" s="30"/>
      <c r="BN1635" s="30"/>
      <c r="BO1635" s="30"/>
      <c r="BP1635" s="30"/>
      <c r="BQ1635" s="30"/>
      <c r="BR1635" s="30"/>
      <c r="BS1635" s="30"/>
      <c r="BT1635" s="30"/>
      <c r="BU1635" s="30"/>
      <c r="BV1635" s="30"/>
      <c r="BW1635" s="30"/>
      <c r="BX1635" s="30"/>
      <c r="BY1635" s="30"/>
      <c r="BZ1635" s="30"/>
      <c r="CA1635" s="30"/>
      <c r="CB1635" s="30"/>
      <c r="CC1635" s="30"/>
      <c r="CD1635" s="30"/>
      <c r="CE1635" s="30"/>
      <c r="CF1635" s="30"/>
      <c r="CG1635" s="30"/>
      <c r="CH1635" s="30"/>
      <c r="CI1635" s="30"/>
      <c r="CJ1635" s="30"/>
      <c r="CK1635" s="30"/>
      <c r="CL1635" s="30"/>
      <c r="CM1635" s="30"/>
      <c r="CN1635" s="30"/>
      <c r="CO1635" s="30"/>
      <c r="CP1635" s="30"/>
      <c r="CQ1635" s="30"/>
      <c r="CR1635" s="30"/>
      <c r="CS1635" s="30"/>
      <c r="CT1635" s="30"/>
      <c r="CU1635" s="30"/>
      <c r="CV1635" s="30"/>
      <c r="CW1635" s="30"/>
      <c r="CX1635" s="30"/>
      <c r="CY1635" s="30"/>
      <c r="CZ1635" s="30"/>
      <c r="DA1635" s="30"/>
      <c r="DB1635" s="30"/>
      <c r="DC1635" s="30"/>
      <c r="DD1635" s="30"/>
      <c r="DE1635" s="30"/>
      <c r="DF1635" s="30"/>
      <c r="DG1635" s="30"/>
      <c r="DH1635" s="30"/>
      <c r="DI1635" s="30"/>
      <c r="DJ1635" s="30"/>
      <c r="DK1635" s="30"/>
      <c r="DL1635" s="30"/>
      <c r="DM1635" s="30"/>
      <c r="DN1635" s="30"/>
      <c r="DO1635" s="30"/>
      <c r="DP1635" s="30"/>
      <c r="DQ1635" s="30"/>
      <c r="DR1635" s="30"/>
      <c r="DS1635" s="30"/>
      <c r="DT1635" s="30"/>
      <c r="DU1635" s="30"/>
      <c r="DV1635" s="30"/>
      <c r="DW1635" s="30"/>
      <c r="DX1635" s="30"/>
      <c r="DY1635" s="30"/>
      <c r="DZ1635" s="30"/>
    </row>
    <row r="1636">
      <c r="A1636" s="30"/>
      <c r="B1636" s="42"/>
      <c r="C1636" s="43"/>
      <c r="D1636" s="30"/>
      <c r="E1636" s="28"/>
      <c r="F1636" s="30"/>
      <c r="G1636" s="30"/>
      <c r="H1636" s="30"/>
      <c r="I1636" s="30"/>
      <c r="J1636" s="28"/>
      <c r="K1636" s="30"/>
      <c r="L1636" s="30"/>
      <c r="M1636" s="30"/>
      <c r="N1636" s="30"/>
      <c r="O1636" s="28"/>
      <c r="P1636" s="30"/>
      <c r="Q1636" s="30"/>
      <c r="R1636" s="30"/>
      <c r="S1636" s="36"/>
      <c r="T1636" s="30"/>
      <c r="U1636" s="36"/>
      <c r="V1636" s="30"/>
      <c r="W1636" s="28"/>
      <c r="X1636" s="30"/>
      <c r="Y1636" s="30"/>
      <c r="Z1636" s="30"/>
      <c r="AA1636" s="30"/>
      <c r="AB1636" s="30"/>
      <c r="AC1636" s="28"/>
      <c r="AD1636" s="30"/>
      <c r="AE1636" s="30"/>
      <c r="AF1636" s="30"/>
      <c r="AG1636" s="29"/>
      <c r="AH1636" s="30"/>
      <c r="AI1636" s="36"/>
      <c r="AJ1636" s="30"/>
      <c r="AK1636" s="29"/>
      <c r="AL1636" s="30"/>
      <c r="AM1636" s="30"/>
      <c r="AN1636" s="30"/>
      <c r="AO1636" s="30"/>
      <c r="AP1636" s="30"/>
      <c r="AQ1636" s="38"/>
      <c r="AR1636" s="30"/>
      <c r="AS1636" s="30"/>
      <c r="AT1636" s="29"/>
      <c r="AU1636" s="30"/>
      <c r="AV1636" s="30"/>
      <c r="AW1636" s="30"/>
      <c r="AX1636" s="29"/>
      <c r="AY1636" s="39"/>
      <c r="AZ1636" s="30"/>
      <c r="BA1636" s="30"/>
      <c r="BB1636" s="29"/>
      <c r="BC1636" s="52"/>
      <c r="BD1636" s="30"/>
      <c r="BE1636" s="29"/>
      <c r="BF1636" s="30"/>
      <c r="BG1636" s="30"/>
      <c r="BH1636" s="30"/>
      <c r="BI1636" s="30"/>
      <c r="BJ1636" s="30"/>
      <c r="BK1636" s="30"/>
      <c r="BL1636" s="30"/>
      <c r="BM1636" s="30"/>
      <c r="BN1636" s="30"/>
      <c r="BO1636" s="30"/>
      <c r="BP1636" s="30"/>
      <c r="BQ1636" s="30"/>
      <c r="BR1636" s="30"/>
      <c r="BS1636" s="30"/>
      <c r="BT1636" s="30"/>
      <c r="BU1636" s="30"/>
      <c r="BV1636" s="30"/>
      <c r="BW1636" s="30"/>
      <c r="BX1636" s="30"/>
      <c r="BY1636" s="30"/>
      <c r="BZ1636" s="30"/>
      <c r="CA1636" s="30"/>
      <c r="CB1636" s="30"/>
      <c r="CC1636" s="30"/>
      <c r="CD1636" s="30"/>
      <c r="CE1636" s="30"/>
      <c r="CF1636" s="30"/>
      <c r="CG1636" s="30"/>
      <c r="CH1636" s="30"/>
      <c r="CI1636" s="30"/>
      <c r="CJ1636" s="30"/>
      <c r="CK1636" s="30"/>
      <c r="CL1636" s="30"/>
      <c r="CM1636" s="30"/>
      <c r="CN1636" s="30"/>
      <c r="CO1636" s="30"/>
      <c r="CP1636" s="30"/>
      <c r="CQ1636" s="30"/>
      <c r="CR1636" s="30"/>
      <c r="CS1636" s="30"/>
      <c r="CT1636" s="30"/>
      <c r="CU1636" s="30"/>
      <c r="CV1636" s="30"/>
      <c r="CW1636" s="30"/>
      <c r="CX1636" s="30"/>
      <c r="CY1636" s="30"/>
      <c r="CZ1636" s="30"/>
      <c r="DA1636" s="30"/>
      <c r="DB1636" s="30"/>
      <c r="DC1636" s="30"/>
      <c r="DD1636" s="30"/>
      <c r="DE1636" s="30"/>
      <c r="DF1636" s="30"/>
      <c r="DG1636" s="30"/>
      <c r="DH1636" s="30"/>
      <c r="DI1636" s="30"/>
      <c r="DJ1636" s="30"/>
      <c r="DK1636" s="30"/>
      <c r="DL1636" s="30"/>
      <c r="DM1636" s="30"/>
      <c r="DN1636" s="30"/>
      <c r="DO1636" s="30"/>
      <c r="DP1636" s="30"/>
      <c r="DQ1636" s="30"/>
      <c r="DR1636" s="30"/>
      <c r="DS1636" s="30"/>
      <c r="DT1636" s="30"/>
      <c r="DU1636" s="30"/>
      <c r="DV1636" s="30"/>
      <c r="DW1636" s="30"/>
      <c r="DX1636" s="30"/>
      <c r="DY1636" s="30"/>
      <c r="DZ1636" s="30"/>
    </row>
    <row r="1637">
      <c r="A1637" s="30"/>
      <c r="B1637" s="42"/>
      <c r="C1637" s="43"/>
      <c r="D1637" s="30"/>
      <c r="E1637" s="28"/>
      <c r="F1637" s="30"/>
      <c r="G1637" s="30"/>
      <c r="H1637" s="30"/>
      <c r="I1637" s="30"/>
      <c r="J1637" s="28"/>
      <c r="K1637" s="30"/>
      <c r="L1637" s="30"/>
      <c r="M1637" s="30"/>
      <c r="N1637" s="30"/>
      <c r="O1637" s="28"/>
      <c r="P1637" s="30"/>
      <c r="Q1637" s="30"/>
      <c r="R1637" s="30"/>
      <c r="S1637" s="36"/>
      <c r="T1637" s="30"/>
      <c r="U1637" s="36"/>
      <c r="V1637" s="30"/>
      <c r="W1637" s="28"/>
      <c r="X1637" s="30"/>
      <c r="Y1637" s="30"/>
      <c r="Z1637" s="30"/>
      <c r="AA1637" s="30"/>
      <c r="AB1637" s="30"/>
      <c r="AC1637" s="28"/>
      <c r="AD1637" s="30"/>
      <c r="AE1637" s="30"/>
      <c r="AF1637" s="30"/>
      <c r="AG1637" s="29"/>
      <c r="AH1637" s="30"/>
      <c r="AI1637" s="36"/>
      <c r="AJ1637" s="30"/>
      <c r="AK1637" s="29"/>
      <c r="AL1637" s="30"/>
      <c r="AM1637" s="30"/>
      <c r="AN1637" s="30"/>
      <c r="AO1637" s="30"/>
      <c r="AP1637" s="30"/>
      <c r="AQ1637" s="38"/>
      <c r="AR1637" s="30"/>
      <c r="AS1637" s="30"/>
      <c r="AT1637" s="29"/>
      <c r="AU1637" s="30"/>
      <c r="AV1637" s="30"/>
      <c r="AW1637" s="30"/>
      <c r="AX1637" s="29"/>
      <c r="AY1637" s="39"/>
      <c r="AZ1637" s="30"/>
      <c r="BA1637" s="30"/>
      <c r="BB1637" s="29"/>
      <c r="BC1637" s="52"/>
      <c r="BD1637" s="30"/>
      <c r="BE1637" s="29"/>
      <c r="BF1637" s="30"/>
      <c r="BG1637" s="30"/>
      <c r="BH1637" s="30"/>
      <c r="BI1637" s="30"/>
      <c r="BJ1637" s="30"/>
      <c r="BK1637" s="30"/>
      <c r="BL1637" s="30"/>
      <c r="BM1637" s="30"/>
      <c r="BN1637" s="30"/>
      <c r="BO1637" s="30"/>
      <c r="BP1637" s="30"/>
      <c r="BQ1637" s="30"/>
      <c r="BR1637" s="30"/>
      <c r="BS1637" s="30"/>
      <c r="BT1637" s="30"/>
      <c r="BU1637" s="30"/>
      <c r="BV1637" s="30"/>
      <c r="BW1637" s="30"/>
      <c r="BX1637" s="30"/>
      <c r="BY1637" s="30"/>
      <c r="BZ1637" s="30"/>
      <c r="CA1637" s="30"/>
      <c r="CB1637" s="30"/>
      <c r="CC1637" s="30"/>
      <c r="CD1637" s="30"/>
      <c r="CE1637" s="30"/>
      <c r="CF1637" s="30"/>
      <c r="CG1637" s="30"/>
      <c r="CH1637" s="30"/>
      <c r="CI1637" s="30"/>
      <c r="CJ1637" s="30"/>
      <c r="CK1637" s="30"/>
      <c r="CL1637" s="30"/>
      <c r="CM1637" s="30"/>
      <c r="CN1637" s="30"/>
      <c r="CO1637" s="30"/>
      <c r="CP1637" s="30"/>
      <c r="CQ1637" s="30"/>
      <c r="CR1637" s="30"/>
      <c r="CS1637" s="30"/>
      <c r="CT1637" s="30"/>
      <c r="CU1637" s="30"/>
      <c r="CV1637" s="30"/>
      <c r="CW1637" s="30"/>
      <c r="CX1637" s="30"/>
      <c r="CY1637" s="30"/>
      <c r="CZ1637" s="30"/>
      <c r="DA1637" s="30"/>
      <c r="DB1637" s="30"/>
      <c r="DC1637" s="30"/>
      <c r="DD1637" s="30"/>
      <c r="DE1637" s="30"/>
      <c r="DF1637" s="30"/>
      <c r="DG1637" s="30"/>
      <c r="DH1637" s="30"/>
      <c r="DI1637" s="30"/>
      <c r="DJ1637" s="30"/>
      <c r="DK1637" s="30"/>
      <c r="DL1637" s="30"/>
      <c r="DM1637" s="30"/>
      <c r="DN1637" s="30"/>
      <c r="DO1637" s="30"/>
      <c r="DP1637" s="30"/>
      <c r="DQ1637" s="30"/>
      <c r="DR1637" s="30"/>
      <c r="DS1637" s="30"/>
      <c r="DT1637" s="30"/>
      <c r="DU1637" s="30"/>
      <c r="DV1637" s="30"/>
      <c r="DW1637" s="30"/>
      <c r="DX1637" s="30"/>
      <c r="DY1637" s="30"/>
      <c r="DZ1637" s="30"/>
    </row>
    <row r="1638">
      <c r="A1638" s="30"/>
      <c r="B1638" s="42"/>
      <c r="C1638" s="43"/>
      <c r="D1638" s="30"/>
      <c r="E1638" s="28"/>
      <c r="F1638" s="30"/>
      <c r="G1638" s="30"/>
      <c r="H1638" s="30"/>
      <c r="I1638" s="30"/>
      <c r="J1638" s="28"/>
      <c r="K1638" s="30"/>
      <c r="L1638" s="30"/>
      <c r="M1638" s="30"/>
      <c r="N1638" s="30"/>
      <c r="O1638" s="28"/>
      <c r="P1638" s="30"/>
      <c r="Q1638" s="30"/>
      <c r="R1638" s="30"/>
      <c r="S1638" s="36"/>
      <c r="T1638" s="30"/>
      <c r="U1638" s="36"/>
      <c r="V1638" s="30"/>
      <c r="W1638" s="28"/>
      <c r="X1638" s="30"/>
      <c r="Y1638" s="30"/>
      <c r="Z1638" s="30"/>
      <c r="AA1638" s="30"/>
      <c r="AB1638" s="30"/>
      <c r="AC1638" s="28"/>
      <c r="AD1638" s="30"/>
      <c r="AE1638" s="30"/>
      <c r="AF1638" s="30"/>
      <c r="AG1638" s="29"/>
      <c r="AH1638" s="30"/>
      <c r="AI1638" s="36"/>
      <c r="AJ1638" s="30"/>
      <c r="AK1638" s="29"/>
      <c r="AL1638" s="30"/>
      <c r="AM1638" s="30"/>
      <c r="AN1638" s="30"/>
      <c r="AO1638" s="30"/>
      <c r="AP1638" s="30"/>
      <c r="AQ1638" s="38"/>
      <c r="AR1638" s="30"/>
      <c r="AS1638" s="30"/>
      <c r="AT1638" s="29"/>
      <c r="AU1638" s="30"/>
      <c r="AV1638" s="30"/>
      <c r="AW1638" s="30"/>
      <c r="AX1638" s="29"/>
      <c r="AY1638" s="39"/>
      <c r="AZ1638" s="30"/>
      <c r="BA1638" s="30"/>
      <c r="BB1638" s="29"/>
      <c r="BC1638" s="52"/>
      <c r="BD1638" s="30"/>
      <c r="BE1638" s="29"/>
      <c r="BF1638" s="30"/>
      <c r="BG1638" s="30"/>
      <c r="BH1638" s="30"/>
      <c r="BI1638" s="30"/>
      <c r="BJ1638" s="30"/>
      <c r="BK1638" s="30"/>
      <c r="BL1638" s="30"/>
      <c r="BM1638" s="30"/>
      <c r="BN1638" s="30"/>
      <c r="BO1638" s="30"/>
      <c r="BP1638" s="30"/>
      <c r="BQ1638" s="30"/>
      <c r="BR1638" s="30"/>
      <c r="BS1638" s="30"/>
      <c r="BT1638" s="30"/>
      <c r="BU1638" s="30"/>
      <c r="BV1638" s="30"/>
      <c r="BW1638" s="30"/>
      <c r="BX1638" s="30"/>
      <c r="BY1638" s="30"/>
      <c r="BZ1638" s="30"/>
      <c r="CA1638" s="30"/>
      <c r="CB1638" s="30"/>
      <c r="CC1638" s="30"/>
      <c r="CD1638" s="30"/>
      <c r="CE1638" s="30"/>
      <c r="CF1638" s="30"/>
      <c r="CG1638" s="30"/>
      <c r="CH1638" s="30"/>
      <c r="CI1638" s="30"/>
      <c r="CJ1638" s="30"/>
      <c r="CK1638" s="30"/>
      <c r="CL1638" s="30"/>
      <c r="CM1638" s="30"/>
      <c r="CN1638" s="30"/>
      <c r="CO1638" s="30"/>
      <c r="CP1638" s="30"/>
      <c r="CQ1638" s="30"/>
      <c r="CR1638" s="30"/>
      <c r="CS1638" s="30"/>
      <c r="CT1638" s="30"/>
      <c r="CU1638" s="30"/>
      <c r="CV1638" s="30"/>
      <c r="CW1638" s="30"/>
      <c r="CX1638" s="30"/>
      <c r="CY1638" s="30"/>
      <c r="CZ1638" s="30"/>
      <c r="DA1638" s="30"/>
      <c r="DB1638" s="30"/>
      <c r="DC1638" s="30"/>
      <c r="DD1638" s="30"/>
      <c r="DE1638" s="30"/>
      <c r="DF1638" s="30"/>
      <c r="DG1638" s="30"/>
      <c r="DH1638" s="30"/>
      <c r="DI1638" s="30"/>
      <c r="DJ1638" s="30"/>
      <c r="DK1638" s="30"/>
      <c r="DL1638" s="30"/>
      <c r="DM1638" s="30"/>
      <c r="DN1638" s="30"/>
      <c r="DO1638" s="30"/>
      <c r="DP1638" s="30"/>
      <c r="DQ1638" s="30"/>
      <c r="DR1638" s="30"/>
      <c r="DS1638" s="30"/>
      <c r="DT1638" s="30"/>
      <c r="DU1638" s="30"/>
      <c r="DV1638" s="30"/>
      <c r="DW1638" s="30"/>
      <c r="DX1638" s="30"/>
      <c r="DY1638" s="30"/>
      <c r="DZ1638" s="30"/>
    </row>
    <row r="1639">
      <c r="A1639" s="30"/>
      <c r="B1639" s="42"/>
      <c r="C1639" s="43"/>
      <c r="D1639" s="30"/>
      <c r="E1639" s="28"/>
      <c r="F1639" s="30"/>
      <c r="G1639" s="30"/>
      <c r="H1639" s="30"/>
      <c r="I1639" s="30"/>
      <c r="J1639" s="28"/>
      <c r="K1639" s="30"/>
      <c r="L1639" s="30"/>
      <c r="M1639" s="30"/>
      <c r="N1639" s="30"/>
      <c r="O1639" s="28"/>
      <c r="P1639" s="30"/>
      <c r="Q1639" s="30"/>
      <c r="R1639" s="30"/>
      <c r="S1639" s="36"/>
      <c r="T1639" s="30"/>
      <c r="U1639" s="36"/>
      <c r="V1639" s="30"/>
      <c r="W1639" s="28"/>
      <c r="X1639" s="30"/>
      <c r="Y1639" s="30"/>
      <c r="Z1639" s="30"/>
      <c r="AA1639" s="30"/>
      <c r="AB1639" s="30"/>
      <c r="AC1639" s="28"/>
      <c r="AD1639" s="30"/>
      <c r="AE1639" s="30"/>
      <c r="AF1639" s="30"/>
      <c r="AG1639" s="29"/>
      <c r="AH1639" s="30"/>
      <c r="AI1639" s="36"/>
      <c r="AJ1639" s="30"/>
      <c r="AK1639" s="29"/>
      <c r="AL1639" s="30"/>
      <c r="AM1639" s="30"/>
      <c r="AN1639" s="30"/>
      <c r="AO1639" s="30"/>
      <c r="AP1639" s="30"/>
      <c r="AQ1639" s="38"/>
      <c r="AR1639" s="30"/>
      <c r="AS1639" s="30"/>
      <c r="AT1639" s="29"/>
      <c r="AU1639" s="30"/>
      <c r="AV1639" s="30"/>
      <c r="AW1639" s="30"/>
      <c r="AX1639" s="29"/>
      <c r="AY1639" s="39"/>
      <c r="AZ1639" s="30"/>
      <c r="BA1639" s="30"/>
      <c r="BB1639" s="29"/>
      <c r="BC1639" s="52"/>
      <c r="BD1639" s="30"/>
      <c r="BE1639" s="29"/>
      <c r="BF1639" s="30"/>
      <c r="BG1639" s="30"/>
      <c r="BH1639" s="30"/>
      <c r="BI1639" s="30"/>
      <c r="BJ1639" s="30"/>
      <c r="BK1639" s="30"/>
      <c r="BL1639" s="30"/>
      <c r="BM1639" s="30"/>
      <c r="BN1639" s="30"/>
      <c r="BO1639" s="30"/>
      <c r="BP1639" s="30"/>
      <c r="BQ1639" s="30"/>
      <c r="BR1639" s="30"/>
      <c r="BS1639" s="30"/>
      <c r="BT1639" s="30"/>
      <c r="BU1639" s="30"/>
      <c r="BV1639" s="30"/>
      <c r="BW1639" s="30"/>
      <c r="BX1639" s="30"/>
      <c r="BY1639" s="30"/>
      <c r="BZ1639" s="30"/>
      <c r="CA1639" s="30"/>
      <c r="CB1639" s="30"/>
      <c r="CC1639" s="30"/>
      <c r="CD1639" s="30"/>
      <c r="CE1639" s="30"/>
      <c r="CF1639" s="30"/>
      <c r="CG1639" s="30"/>
      <c r="CH1639" s="30"/>
      <c r="CI1639" s="30"/>
      <c r="CJ1639" s="30"/>
      <c r="CK1639" s="30"/>
      <c r="CL1639" s="30"/>
      <c r="CM1639" s="30"/>
      <c r="CN1639" s="30"/>
      <c r="CO1639" s="30"/>
      <c r="CP1639" s="30"/>
      <c r="CQ1639" s="30"/>
      <c r="CR1639" s="30"/>
      <c r="CS1639" s="30"/>
      <c r="CT1639" s="30"/>
      <c r="CU1639" s="30"/>
      <c r="CV1639" s="30"/>
      <c r="CW1639" s="30"/>
      <c r="CX1639" s="30"/>
      <c r="CY1639" s="30"/>
      <c r="CZ1639" s="30"/>
      <c r="DA1639" s="30"/>
      <c r="DB1639" s="30"/>
      <c r="DC1639" s="30"/>
      <c r="DD1639" s="30"/>
      <c r="DE1639" s="30"/>
      <c r="DF1639" s="30"/>
      <c r="DG1639" s="30"/>
      <c r="DH1639" s="30"/>
      <c r="DI1639" s="30"/>
      <c r="DJ1639" s="30"/>
      <c r="DK1639" s="30"/>
      <c r="DL1639" s="30"/>
      <c r="DM1639" s="30"/>
      <c r="DN1639" s="30"/>
      <c r="DO1639" s="30"/>
      <c r="DP1639" s="30"/>
      <c r="DQ1639" s="30"/>
      <c r="DR1639" s="30"/>
      <c r="DS1639" s="30"/>
      <c r="DT1639" s="30"/>
      <c r="DU1639" s="30"/>
      <c r="DV1639" s="30"/>
      <c r="DW1639" s="30"/>
      <c r="DX1639" s="30"/>
      <c r="DY1639" s="30"/>
      <c r="DZ1639" s="30"/>
    </row>
    <row r="1640">
      <c r="A1640" s="30"/>
      <c r="B1640" s="42"/>
      <c r="C1640" s="43"/>
      <c r="D1640" s="30"/>
      <c r="E1640" s="28"/>
      <c r="F1640" s="30"/>
      <c r="G1640" s="30"/>
      <c r="H1640" s="30"/>
      <c r="I1640" s="30"/>
      <c r="J1640" s="28"/>
      <c r="K1640" s="30"/>
      <c r="L1640" s="30"/>
      <c r="M1640" s="30"/>
      <c r="N1640" s="30"/>
      <c r="O1640" s="28"/>
      <c r="P1640" s="30"/>
      <c r="Q1640" s="30"/>
      <c r="R1640" s="30"/>
      <c r="S1640" s="36"/>
      <c r="T1640" s="30"/>
      <c r="U1640" s="36"/>
      <c r="V1640" s="30"/>
      <c r="W1640" s="28"/>
      <c r="X1640" s="30"/>
      <c r="Y1640" s="30"/>
      <c r="Z1640" s="30"/>
      <c r="AA1640" s="30"/>
      <c r="AB1640" s="30"/>
      <c r="AC1640" s="28"/>
      <c r="AD1640" s="30"/>
      <c r="AE1640" s="30"/>
      <c r="AF1640" s="30"/>
      <c r="AG1640" s="29"/>
      <c r="AH1640" s="30"/>
      <c r="AI1640" s="36"/>
      <c r="AJ1640" s="30"/>
      <c r="AK1640" s="29"/>
      <c r="AL1640" s="30"/>
      <c r="AM1640" s="30"/>
      <c r="AN1640" s="30"/>
      <c r="AO1640" s="30"/>
      <c r="AP1640" s="30"/>
      <c r="AQ1640" s="38"/>
      <c r="AR1640" s="30"/>
      <c r="AS1640" s="30"/>
      <c r="AT1640" s="29"/>
      <c r="AU1640" s="30"/>
      <c r="AV1640" s="30"/>
      <c r="AW1640" s="30"/>
      <c r="AX1640" s="29"/>
      <c r="AY1640" s="39"/>
      <c r="AZ1640" s="30"/>
      <c r="BA1640" s="30"/>
      <c r="BB1640" s="29"/>
      <c r="BC1640" s="52"/>
      <c r="BD1640" s="30"/>
      <c r="BE1640" s="29"/>
      <c r="BF1640" s="30"/>
      <c r="BG1640" s="30"/>
      <c r="BH1640" s="30"/>
      <c r="BI1640" s="30"/>
      <c r="BJ1640" s="30"/>
      <c r="BK1640" s="30"/>
      <c r="BL1640" s="30"/>
      <c r="BM1640" s="30"/>
      <c r="BN1640" s="30"/>
      <c r="BO1640" s="30"/>
      <c r="BP1640" s="30"/>
      <c r="BQ1640" s="30"/>
      <c r="BR1640" s="30"/>
      <c r="BS1640" s="30"/>
      <c r="BT1640" s="30"/>
      <c r="BU1640" s="30"/>
      <c r="BV1640" s="30"/>
      <c r="BW1640" s="30"/>
      <c r="BX1640" s="30"/>
      <c r="BY1640" s="30"/>
      <c r="BZ1640" s="30"/>
      <c r="CA1640" s="30"/>
      <c r="CB1640" s="30"/>
      <c r="CC1640" s="30"/>
      <c r="CD1640" s="30"/>
      <c r="CE1640" s="30"/>
      <c r="CF1640" s="30"/>
      <c r="CG1640" s="30"/>
      <c r="CH1640" s="30"/>
      <c r="CI1640" s="30"/>
      <c r="CJ1640" s="30"/>
      <c r="CK1640" s="30"/>
      <c r="CL1640" s="30"/>
      <c r="CM1640" s="30"/>
      <c r="CN1640" s="30"/>
      <c r="CO1640" s="30"/>
      <c r="CP1640" s="30"/>
      <c r="CQ1640" s="30"/>
      <c r="CR1640" s="30"/>
      <c r="CS1640" s="30"/>
      <c r="CT1640" s="30"/>
      <c r="CU1640" s="30"/>
      <c r="CV1640" s="30"/>
      <c r="CW1640" s="30"/>
      <c r="CX1640" s="30"/>
      <c r="CY1640" s="30"/>
      <c r="CZ1640" s="30"/>
      <c r="DA1640" s="30"/>
      <c r="DB1640" s="30"/>
      <c r="DC1640" s="30"/>
      <c r="DD1640" s="30"/>
      <c r="DE1640" s="30"/>
      <c r="DF1640" s="30"/>
      <c r="DG1640" s="30"/>
      <c r="DH1640" s="30"/>
      <c r="DI1640" s="30"/>
      <c r="DJ1640" s="30"/>
      <c r="DK1640" s="30"/>
      <c r="DL1640" s="30"/>
      <c r="DM1640" s="30"/>
      <c r="DN1640" s="30"/>
      <c r="DO1640" s="30"/>
      <c r="DP1640" s="30"/>
      <c r="DQ1640" s="30"/>
      <c r="DR1640" s="30"/>
      <c r="DS1640" s="30"/>
      <c r="DT1640" s="30"/>
      <c r="DU1640" s="30"/>
      <c r="DV1640" s="30"/>
      <c r="DW1640" s="30"/>
      <c r="DX1640" s="30"/>
      <c r="DY1640" s="30"/>
      <c r="DZ1640" s="30"/>
    </row>
    <row r="1641">
      <c r="A1641" s="30"/>
      <c r="B1641" s="42"/>
      <c r="C1641" s="43"/>
      <c r="D1641" s="30"/>
      <c r="E1641" s="28"/>
      <c r="F1641" s="30"/>
      <c r="G1641" s="30"/>
      <c r="H1641" s="30"/>
      <c r="I1641" s="30"/>
      <c r="J1641" s="28"/>
      <c r="K1641" s="30"/>
      <c r="L1641" s="30"/>
      <c r="M1641" s="30"/>
      <c r="N1641" s="30"/>
      <c r="O1641" s="28"/>
      <c r="P1641" s="30"/>
      <c r="Q1641" s="30"/>
      <c r="R1641" s="30"/>
      <c r="S1641" s="36"/>
      <c r="T1641" s="30"/>
      <c r="U1641" s="36"/>
      <c r="V1641" s="30"/>
      <c r="W1641" s="28"/>
      <c r="X1641" s="30"/>
      <c r="Y1641" s="30"/>
      <c r="Z1641" s="30"/>
      <c r="AA1641" s="30"/>
      <c r="AB1641" s="30"/>
      <c r="AC1641" s="28"/>
      <c r="AD1641" s="30"/>
      <c r="AE1641" s="30"/>
      <c r="AF1641" s="30"/>
      <c r="AG1641" s="29"/>
      <c r="AH1641" s="30"/>
      <c r="AI1641" s="36"/>
      <c r="AJ1641" s="30"/>
      <c r="AK1641" s="29"/>
      <c r="AL1641" s="30"/>
      <c r="AM1641" s="30"/>
      <c r="AN1641" s="30"/>
      <c r="AO1641" s="30"/>
      <c r="AP1641" s="30"/>
      <c r="AQ1641" s="38"/>
      <c r="AR1641" s="30"/>
      <c r="AS1641" s="30"/>
      <c r="AT1641" s="29"/>
      <c r="AU1641" s="30"/>
      <c r="AV1641" s="30"/>
      <c r="AW1641" s="30"/>
      <c r="AX1641" s="29"/>
      <c r="AY1641" s="39"/>
      <c r="AZ1641" s="30"/>
      <c r="BA1641" s="30"/>
      <c r="BB1641" s="29"/>
      <c r="BC1641" s="52"/>
      <c r="BD1641" s="30"/>
      <c r="BE1641" s="29"/>
      <c r="BF1641" s="30"/>
      <c r="BG1641" s="30"/>
      <c r="BH1641" s="30"/>
      <c r="BI1641" s="30"/>
      <c r="BJ1641" s="30"/>
      <c r="BK1641" s="30"/>
      <c r="BL1641" s="30"/>
      <c r="BM1641" s="30"/>
      <c r="BN1641" s="30"/>
      <c r="BO1641" s="30"/>
      <c r="BP1641" s="30"/>
      <c r="BQ1641" s="30"/>
      <c r="BR1641" s="30"/>
      <c r="BS1641" s="30"/>
      <c r="BT1641" s="30"/>
      <c r="BU1641" s="30"/>
      <c r="BV1641" s="30"/>
      <c r="BW1641" s="30"/>
      <c r="BX1641" s="30"/>
      <c r="BY1641" s="30"/>
      <c r="BZ1641" s="30"/>
      <c r="CA1641" s="30"/>
      <c r="CB1641" s="30"/>
      <c r="CC1641" s="30"/>
      <c r="CD1641" s="30"/>
      <c r="CE1641" s="30"/>
      <c r="CF1641" s="30"/>
      <c r="CG1641" s="30"/>
      <c r="CH1641" s="30"/>
      <c r="CI1641" s="30"/>
      <c r="CJ1641" s="30"/>
      <c r="CK1641" s="30"/>
      <c r="CL1641" s="30"/>
      <c r="CM1641" s="30"/>
      <c r="CN1641" s="30"/>
      <c r="CO1641" s="30"/>
      <c r="CP1641" s="30"/>
      <c r="CQ1641" s="30"/>
      <c r="CR1641" s="30"/>
      <c r="CS1641" s="30"/>
      <c r="CT1641" s="30"/>
      <c r="CU1641" s="30"/>
      <c r="CV1641" s="30"/>
      <c r="CW1641" s="30"/>
      <c r="CX1641" s="30"/>
      <c r="CY1641" s="30"/>
      <c r="CZ1641" s="30"/>
      <c r="DA1641" s="30"/>
      <c r="DB1641" s="30"/>
      <c r="DC1641" s="30"/>
      <c r="DD1641" s="30"/>
      <c r="DE1641" s="30"/>
      <c r="DF1641" s="30"/>
      <c r="DG1641" s="30"/>
      <c r="DH1641" s="30"/>
      <c r="DI1641" s="30"/>
      <c r="DJ1641" s="30"/>
      <c r="DK1641" s="30"/>
      <c r="DL1641" s="30"/>
      <c r="DM1641" s="30"/>
      <c r="DN1641" s="30"/>
      <c r="DO1641" s="30"/>
      <c r="DP1641" s="30"/>
      <c r="DQ1641" s="30"/>
      <c r="DR1641" s="30"/>
      <c r="DS1641" s="30"/>
      <c r="DT1641" s="30"/>
      <c r="DU1641" s="30"/>
      <c r="DV1641" s="30"/>
      <c r="DW1641" s="30"/>
      <c r="DX1641" s="30"/>
      <c r="DY1641" s="30"/>
      <c r="DZ1641" s="30"/>
    </row>
    <row r="1642">
      <c r="A1642" s="30"/>
      <c r="B1642" s="42"/>
      <c r="C1642" s="43"/>
      <c r="D1642" s="30"/>
      <c r="E1642" s="28"/>
      <c r="F1642" s="30"/>
      <c r="G1642" s="30"/>
      <c r="H1642" s="30"/>
      <c r="I1642" s="30"/>
      <c r="J1642" s="28"/>
      <c r="K1642" s="30"/>
      <c r="L1642" s="30"/>
      <c r="M1642" s="30"/>
      <c r="N1642" s="30"/>
      <c r="O1642" s="28"/>
      <c r="P1642" s="30"/>
      <c r="Q1642" s="30"/>
      <c r="R1642" s="30"/>
      <c r="S1642" s="36"/>
      <c r="T1642" s="30"/>
      <c r="U1642" s="36"/>
      <c r="V1642" s="30"/>
      <c r="W1642" s="28"/>
      <c r="X1642" s="30"/>
      <c r="Y1642" s="30"/>
      <c r="Z1642" s="30"/>
      <c r="AA1642" s="30"/>
      <c r="AB1642" s="30"/>
      <c r="AC1642" s="28"/>
      <c r="AD1642" s="30"/>
      <c r="AE1642" s="30"/>
      <c r="AF1642" s="30"/>
      <c r="AG1642" s="29"/>
      <c r="AH1642" s="30"/>
      <c r="AI1642" s="36"/>
      <c r="AJ1642" s="30"/>
      <c r="AK1642" s="29"/>
      <c r="AL1642" s="30"/>
      <c r="AM1642" s="30"/>
      <c r="AN1642" s="30"/>
      <c r="AO1642" s="30"/>
      <c r="AP1642" s="30"/>
      <c r="AQ1642" s="38"/>
      <c r="AR1642" s="30"/>
      <c r="AS1642" s="30"/>
      <c r="AT1642" s="29"/>
      <c r="AU1642" s="30"/>
      <c r="AV1642" s="30"/>
      <c r="AW1642" s="30"/>
      <c r="AX1642" s="29"/>
      <c r="AY1642" s="39"/>
      <c r="AZ1642" s="30"/>
      <c r="BA1642" s="30"/>
      <c r="BB1642" s="29"/>
      <c r="BC1642" s="52"/>
      <c r="BD1642" s="30"/>
      <c r="BE1642" s="29"/>
      <c r="BF1642" s="30"/>
      <c r="BG1642" s="30"/>
      <c r="BH1642" s="30"/>
      <c r="BI1642" s="30"/>
      <c r="BJ1642" s="30"/>
      <c r="BK1642" s="30"/>
      <c r="BL1642" s="30"/>
      <c r="BM1642" s="30"/>
      <c r="BN1642" s="30"/>
      <c r="BO1642" s="30"/>
      <c r="BP1642" s="30"/>
      <c r="BQ1642" s="30"/>
      <c r="BR1642" s="30"/>
      <c r="BS1642" s="30"/>
      <c r="BT1642" s="30"/>
      <c r="BU1642" s="30"/>
      <c r="BV1642" s="30"/>
      <c r="BW1642" s="30"/>
      <c r="BX1642" s="30"/>
      <c r="BY1642" s="30"/>
      <c r="BZ1642" s="30"/>
      <c r="CA1642" s="30"/>
      <c r="CB1642" s="30"/>
      <c r="CC1642" s="30"/>
      <c r="CD1642" s="30"/>
      <c r="CE1642" s="30"/>
      <c r="CF1642" s="30"/>
      <c r="CG1642" s="30"/>
      <c r="CH1642" s="30"/>
      <c r="CI1642" s="30"/>
      <c r="CJ1642" s="30"/>
      <c r="CK1642" s="30"/>
      <c r="CL1642" s="30"/>
      <c r="CM1642" s="30"/>
      <c r="CN1642" s="30"/>
      <c r="CO1642" s="30"/>
      <c r="CP1642" s="30"/>
      <c r="CQ1642" s="30"/>
      <c r="CR1642" s="30"/>
      <c r="CS1642" s="30"/>
      <c r="CT1642" s="30"/>
      <c r="CU1642" s="30"/>
      <c r="CV1642" s="30"/>
      <c r="CW1642" s="30"/>
      <c r="CX1642" s="30"/>
      <c r="CY1642" s="30"/>
      <c r="CZ1642" s="30"/>
      <c r="DA1642" s="30"/>
      <c r="DB1642" s="30"/>
      <c r="DC1642" s="30"/>
      <c r="DD1642" s="30"/>
      <c r="DE1642" s="30"/>
      <c r="DF1642" s="30"/>
      <c r="DG1642" s="30"/>
      <c r="DH1642" s="30"/>
      <c r="DI1642" s="30"/>
      <c r="DJ1642" s="30"/>
      <c r="DK1642" s="30"/>
      <c r="DL1642" s="30"/>
      <c r="DM1642" s="30"/>
      <c r="DN1642" s="30"/>
      <c r="DO1642" s="30"/>
      <c r="DP1642" s="30"/>
      <c r="DQ1642" s="30"/>
      <c r="DR1642" s="30"/>
      <c r="DS1642" s="30"/>
      <c r="DT1642" s="30"/>
      <c r="DU1642" s="30"/>
      <c r="DV1642" s="30"/>
      <c r="DW1642" s="30"/>
      <c r="DX1642" s="30"/>
      <c r="DY1642" s="30"/>
      <c r="DZ1642" s="30"/>
    </row>
    <row r="1643">
      <c r="A1643" s="30"/>
      <c r="B1643" s="42"/>
      <c r="C1643" s="43"/>
      <c r="D1643" s="30"/>
      <c r="E1643" s="28"/>
      <c r="F1643" s="30"/>
      <c r="G1643" s="30"/>
      <c r="H1643" s="30"/>
      <c r="I1643" s="30"/>
      <c r="J1643" s="28"/>
      <c r="K1643" s="30"/>
      <c r="L1643" s="30"/>
      <c r="M1643" s="30"/>
      <c r="N1643" s="30"/>
      <c r="O1643" s="28"/>
      <c r="P1643" s="30"/>
      <c r="Q1643" s="30"/>
      <c r="R1643" s="30"/>
      <c r="S1643" s="36"/>
      <c r="T1643" s="30"/>
      <c r="U1643" s="36"/>
      <c r="V1643" s="30"/>
      <c r="W1643" s="28"/>
      <c r="X1643" s="30"/>
      <c r="Y1643" s="30"/>
      <c r="Z1643" s="30"/>
      <c r="AA1643" s="30"/>
      <c r="AB1643" s="30"/>
      <c r="AC1643" s="28"/>
      <c r="AD1643" s="30"/>
      <c r="AE1643" s="30"/>
      <c r="AF1643" s="30"/>
      <c r="AG1643" s="29"/>
      <c r="AH1643" s="30"/>
      <c r="AI1643" s="36"/>
      <c r="AJ1643" s="30"/>
      <c r="AK1643" s="29"/>
      <c r="AL1643" s="30"/>
      <c r="AM1643" s="30"/>
      <c r="AN1643" s="30"/>
      <c r="AO1643" s="30"/>
      <c r="AP1643" s="30"/>
      <c r="AQ1643" s="38"/>
      <c r="AR1643" s="30"/>
      <c r="AS1643" s="30"/>
      <c r="AT1643" s="29"/>
      <c r="AU1643" s="30"/>
      <c r="AV1643" s="30"/>
      <c r="AW1643" s="30"/>
      <c r="AX1643" s="29"/>
      <c r="AY1643" s="39"/>
      <c r="AZ1643" s="30"/>
      <c r="BA1643" s="30"/>
      <c r="BB1643" s="29"/>
      <c r="BC1643" s="52"/>
      <c r="BD1643" s="30"/>
      <c r="BE1643" s="29"/>
      <c r="BF1643" s="30"/>
      <c r="BG1643" s="30"/>
      <c r="BH1643" s="30"/>
      <c r="BI1643" s="30"/>
      <c r="BJ1643" s="30"/>
      <c r="BK1643" s="30"/>
      <c r="BL1643" s="30"/>
      <c r="BM1643" s="30"/>
      <c r="BN1643" s="30"/>
      <c r="BO1643" s="30"/>
      <c r="BP1643" s="30"/>
      <c r="BQ1643" s="30"/>
      <c r="BR1643" s="30"/>
      <c r="BS1643" s="30"/>
      <c r="BT1643" s="30"/>
      <c r="BU1643" s="30"/>
      <c r="BV1643" s="30"/>
      <c r="BW1643" s="30"/>
      <c r="BX1643" s="30"/>
      <c r="BY1643" s="30"/>
      <c r="BZ1643" s="30"/>
      <c r="CA1643" s="30"/>
      <c r="CB1643" s="30"/>
      <c r="CC1643" s="30"/>
      <c r="CD1643" s="30"/>
      <c r="CE1643" s="30"/>
      <c r="CF1643" s="30"/>
      <c r="CG1643" s="30"/>
      <c r="CH1643" s="30"/>
      <c r="CI1643" s="30"/>
      <c r="CJ1643" s="30"/>
      <c r="CK1643" s="30"/>
      <c r="CL1643" s="30"/>
      <c r="CM1643" s="30"/>
      <c r="CN1643" s="30"/>
      <c r="CO1643" s="30"/>
      <c r="CP1643" s="30"/>
      <c r="CQ1643" s="30"/>
      <c r="CR1643" s="30"/>
      <c r="CS1643" s="30"/>
      <c r="CT1643" s="30"/>
      <c r="CU1643" s="30"/>
      <c r="CV1643" s="30"/>
      <c r="CW1643" s="30"/>
      <c r="CX1643" s="30"/>
      <c r="CY1643" s="30"/>
      <c r="CZ1643" s="30"/>
      <c r="DA1643" s="30"/>
      <c r="DB1643" s="30"/>
      <c r="DC1643" s="30"/>
      <c r="DD1643" s="30"/>
      <c r="DE1643" s="30"/>
      <c r="DF1643" s="30"/>
      <c r="DG1643" s="30"/>
      <c r="DH1643" s="30"/>
      <c r="DI1643" s="30"/>
      <c r="DJ1643" s="30"/>
      <c r="DK1643" s="30"/>
      <c r="DL1643" s="30"/>
      <c r="DM1643" s="30"/>
      <c r="DN1643" s="30"/>
      <c r="DO1643" s="30"/>
      <c r="DP1643" s="30"/>
      <c r="DQ1643" s="30"/>
      <c r="DR1643" s="30"/>
      <c r="DS1643" s="30"/>
      <c r="DT1643" s="30"/>
      <c r="DU1643" s="30"/>
      <c r="DV1643" s="30"/>
      <c r="DW1643" s="30"/>
      <c r="DX1643" s="30"/>
      <c r="DY1643" s="30"/>
      <c r="DZ1643" s="30"/>
    </row>
    <row r="1644">
      <c r="A1644" s="30"/>
      <c r="B1644" s="42"/>
      <c r="C1644" s="43"/>
      <c r="D1644" s="30"/>
      <c r="E1644" s="28"/>
      <c r="F1644" s="30"/>
      <c r="G1644" s="30"/>
      <c r="H1644" s="30"/>
      <c r="I1644" s="30"/>
      <c r="J1644" s="28"/>
      <c r="K1644" s="30"/>
      <c r="L1644" s="30"/>
      <c r="M1644" s="30"/>
      <c r="N1644" s="30"/>
      <c r="O1644" s="28"/>
      <c r="P1644" s="30"/>
      <c r="Q1644" s="30"/>
      <c r="R1644" s="30"/>
      <c r="S1644" s="36"/>
      <c r="T1644" s="30"/>
      <c r="U1644" s="36"/>
      <c r="V1644" s="30"/>
      <c r="W1644" s="28"/>
      <c r="X1644" s="30"/>
      <c r="Y1644" s="30"/>
      <c r="Z1644" s="30"/>
      <c r="AA1644" s="30"/>
      <c r="AB1644" s="30"/>
      <c r="AC1644" s="28"/>
      <c r="AD1644" s="30"/>
      <c r="AE1644" s="30"/>
      <c r="AF1644" s="30"/>
      <c r="AG1644" s="29"/>
      <c r="AH1644" s="30"/>
      <c r="AI1644" s="36"/>
      <c r="AJ1644" s="30"/>
      <c r="AK1644" s="29"/>
      <c r="AL1644" s="30"/>
      <c r="AM1644" s="30"/>
      <c r="AN1644" s="30"/>
      <c r="AO1644" s="30"/>
      <c r="AP1644" s="30"/>
      <c r="AQ1644" s="38"/>
      <c r="AR1644" s="30"/>
      <c r="AS1644" s="30"/>
      <c r="AT1644" s="29"/>
      <c r="AU1644" s="30"/>
      <c r="AV1644" s="30"/>
      <c r="AW1644" s="30"/>
      <c r="AX1644" s="29"/>
      <c r="AY1644" s="39"/>
      <c r="AZ1644" s="30"/>
      <c r="BA1644" s="30"/>
      <c r="BB1644" s="29"/>
      <c r="BC1644" s="52"/>
      <c r="BD1644" s="30"/>
      <c r="BE1644" s="29"/>
      <c r="BF1644" s="30"/>
      <c r="BG1644" s="30"/>
      <c r="BH1644" s="30"/>
      <c r="BI1644" s="30"/>
      <c r="BJ1644" s="30"/>
      <c r="BK1644" s="30"/>
      <c r="BL1644" s="30"/>
      <c r="BM1644" s="30"/>
      <c r="BN1644" s="30"/>
      <c r="BO1644" s="30"/>
      <c r="BP1644" s="30"/>
      <c r="BQ1644" s="30"/>
      <c r="BR1644" s="30"/>
      <c r="BS1644" s="30"/>
      <c r="BT1644" s="30"/>
      <c r="BU1644" s="30"/>
      <c r="BV1644" s="30"/>
      <c r="BW1644" s="30"/>
      <c r="BX1644" s="30"/>
      <c r="BY1644" s="30"/>
      <c r="BZ1644" s="30"/>
      <c r="CA1644" s="30"/>
      <c r="CB1644" s="30"/>
      <c r="CC1644" s="30"/>
      <c r="CD1644" s="30"/>
      <c r="CE1644" s="30"/>
      <c r="CF1644" s="30"/>
      <c r="CG1644" s="30"/>
      <c r="CH1644" s="30"/>
      <c r="CI1644" s="30"/>
      <c r="CJ1644" s="30"/>
      <c r="CK1644" s="30"/>
      <c r="CL1644" s="30"/>
      <c r="CM1644" s="30"/>
      <c r="CN1644" s="30"/>
      <c r="CO1644" s="30"/>
      <c r="CP1644" s="30"/>
      <c r="CQ1644" s="30"/>
      <c r="CR1644" s="30"/>
      <c r="CS1644" s="30"/>
      <c r="CT1644" s="30"/>
      <c r="CU1644" s="30"/>
      <c r="CV1644" s="30"/>
      <c r="CW1644" s="30"/>
      <c r="CX1644" s="30"/>
      <c r="CY1644" s="30"/>
      <c r="CZ1644" s="30"/>
      <c r="DA1644" s="30"/>
      <c r="DB1644" s="30"/>
      <c r="DC1644" s="30"/>
      <c r="DD1644" s="30"/>
      <c r="DE1644" s="30"/>
      <c r="DF1644" s="30"/>
      <c r="DG1644" s="30"/>
      <c r="DH1644" s="30"/>
      <c r="DI1644" s="30"/>
      <c r="DJ1644" s="30"/>
      <c r="DK1644" s="30"/>
      <c r="DL1644" s="30"/>
      <c r="DM1644" s="30"/>
      <c r="DN1644" s="30"/>
      <c r="DO1644" s="30"/>
      <c r="DP1644" s="30"/>
      <c r="DQ1644" s="30"/>
      <c r="DR1644" s="30"/>
      <c r="DS1644" s="30"/>
      <c r="DT1644" s="30"/>
      <c r="DU1644" s="30"/>
      <c r="DV1644" s="30"/>
      <c r="DW1644" s="30"/>
      <c r="DX1644" s="30"/>
      <c r="DY1644" s="30"/>
      <c r="DZ1644" s="30"/>
    </row>
    <row r="1645">
      <c r="A1645" s="30"/>
      <c r="B1645" s="42"/>
      <c r="C1645" s="43"/>
      <c r="D1645" s="30"/>
      <c r="E1645" s="28"/>
      <c r="F1645" s="30"/>
      <c r="G1645" s="30"/>
      <c r="H1645" s="30"/>
      <c r="I1645" s="30"/>
      <c r="J1645" s="28"/>
      <c r="K1645" s="30"/>
      <c r="L1645" s="30"/>
      <c r="M1645" s="30"/>
      <c r="N1645" s="30"/>
      <c r="O1645" s="28"/>
      <c r="P1645" s="30"/>
      <c r="Q1645" s="30"/>
      <c r="R1645" s="30"/>
      <c r="S1645" s="36"/>
      <c r="T1645" s="30"/>
      <c r="U1645" s="36"/>
      <c r="V1645" s="30"/>
      <c r="W1645" s="28"/>
      <c r="X1645" s="30"/>
      <c r="Y1645" s="30"/>
      <c r="Z1645" s="30"/>
      <c r="AA1645" s="30"/>
      <c r="AB1645" s="30"/>
      <c r="AC1645" s="28"/>
      <c r="AD1645" s="30"/>
      <c r="AE1645" s="30"/>
      <c r="AF1645" s="30"/>
      <c r="AG1645" s="29"/>
      <c r="AH1645" s="30"/>
      <c r="AI1645" s="36"/>
      <c r="AJ1645" s="30"/>
      <c r="AK1645" s="29"/>
      <c r="AL1645" s="30"/>
      <c r="AM1645" s="30"/>
      <c r="AN1645" s="30"/>
      <c r="AO1645" s="30"/>
      <c r="AP1645" s="30"/>
      <c r="AQ1645" s="38"/>
      <c r="AR1645" s="30"/>
      <c r="AS1645" s="30"/>
      <c r="AT1645" s="29"/>
      <c r="AU1645" s="30"/>
      <c r="AV1645" s="30"/>
      <c r="AW1645" s="30"/>
      <c r="AX1645" s="29"/>
      <c r="AY1645" s="39"/>
      <c r="AZ1645" s="30"/>
      <c r="BA1645" s="30"/>
      <c r="BB1645" s="29"/>
      <c r="BC1645" s="52"/>
      <c r="BD1645" s="30"/>
      <c r="BE1645" s="29"/>
      <c r="BF1645" s="30"/>
      <c r="BG1645" s="30"/>
      <c r="BH1645" s="30"/>
      <c r="BI1645" s="30"/>
      <c r="BJ1645" s="30"/>
      <c r="BK1645" s="30"/>
      <c r="BL1645" s="30"/>
      <c r="BM1645" s="30"/>
      <c r="BN1645" s="30"/>
      <c r="BO1645" s="30"/>
      <c r="BP1645" s="30"/>
      <c r="BQ1645" s="30"/>
      <c r="BR1645" s="30"/>
      <c r="BS1645" s="30"/>
      <c r="BT1645" s="30"/>
      <c r="BU1645" s="30"/>
      <c r="BV1645" s="30"/>
      <c r="BW1645" s="30"/>
      <c r="BX1645" s="30"/>
      <c r="BY1645" s="30"/>
      <c r="BZ1645" s="30"/>
      <c r="CA1645" s="30"/>
      <c r="CB1645" s="30"/>
      <c r="CC1645" s="30"/>
      <c r="CD1645" s="30"/>
      <c r="CE1645" s="30"/>
      <c r="CF1645" s="30"/>
      <c r="CG1645" s="30"/>
      <c r="CH1645" s="30"/>
      <c r="CI1645" s="30"/>
      <c r="CJ1645" s="30"/>
      <c r="CK1645" s="30"/>
      <c r="CL1645" s="30"/>
      <c r="CM1645" s="30"/>
      <c r="CN1645" s="30"/>
      <c r="CO1645" s="30"/>
      <c r="CP1645" s="30"/>
      <c r="CQ1645" s="30"/>
      <c r="CR1645" s="30"/>
      <c r="CS1645" s="30"/>
      <c r="CT1645" s="30"/>
      <c r="CU1645" s="30"/>
      <c r="CV1645" s="30"/>
      <c r="CW1645" s="30"/>
      <c r="CX1645" s="30"/>
      <c r="CY1645" s="30"/>
      <c r="CZ1645" s="30"/>
      <c r="DA1645" s="30"/>
      <c r="DB1645" s="30"/>
      <c r="DC1645" s="30"/>
      <c r="DD1645" s="30"/>
      <c r="DE1645" s="30"/>
      <c r="DF1645" s="30"/>
      <c r="DG1645" s="30"/>
      <c r="DH1645" s="30"/>
      <c r="DI1645" s="30"/>
      <c r="DJ1645" s="30"/>
      <c r="DK1645" s="30"/>
      <c r="DL1645" s="30"/>
      <c r="DM1645" s="30"/>
      <c r="DN1645" s="30"/>
      <c r="DO1645" s="30"/>
      <c r="DP1645" s="30"/>
      <c r="DQ1645" s="30"/>
      <c r="DR1645" s="30"/>
      <c r="DS1645" s="30"/>
      <c r="DT1645" s="30"/>
      <c r="DU1645" s="30"/>
      <c r="DV1645" s="30"/>
      <c r="DW1645" s="30"/>
      <c r="DX1645" s="30"/>
      <c r="DY1645" s="30"/>
      <c r="DZ1645" s="30"/>
    </row>
    <row r="1646">
      <c r="A1646" s="30"/>
      <c r="B1646" s="42"/>
      <c r="C1646" s="43"/>
      <c r="D1646" s="30"/>
      <c r="E1646" s="28"/>
      <c r="F1646" s="30"/>
      <c r="G1646" s="30"/>
      <c r="H1646" s="30"/>
      <c r="I1646" s="30"/>
      <c r="J1646" s="28"/>
      <c r="K1646" s="30"/>
      <c r="L1646" s="30"/>
      <c r="M1646" s="30"/>
      <c r="N1646" s="30"/>
      <c r="O1646" s="28"/>
      <c r="P1646" s="30"/>
      <c r="Q1646" s="30"/>
      <c r="R1646" s="30"/>
      <c r="S1646" s="36"/>
      <c r="T1646" s="30"/>
      <c r="U1646" s="36"/>
      <c r="V1646" s="30"/>
      <c r="W1646" s="28"/>
      <c r="X1646" s="30"/>
      <c r="Y1646" s="30"/>
      <c r="Z1646" s="30"/>
      <c r="AA1646" s="30"/>
      <c r="AB1646" s="30"/>
      <c r="AC1646" s="28"/>
      <c r="AD1646" s="30"/>
      <c r="AE1646" s="30"/>
      <c r="AF1646" s="30"/>
      <c r="AG1646" s="29"/>
      <c r="AH1646" s="30"/>
      <c r="AI1646" s="36"/>
      <c r="AJ1646" s="30"/>
      <c r="AK1646" s="29"/>
      <c r="AL1646" s="30"/>
      <c r="AM1646" s="30"/>
      <c r="AN1646" s="30"/>
      <c r="AO1646" s="30"/>
      <c r="AP1646" s="30"/>
      <c r="AQ1646" s="38"/>
      <c r="AR1646" s="30"/>
      <c r="AS1646" s="30"/>
      <c r="AT1646" s="29"/>
      <c r="AU1646" s="30"/>
      <c r="AV1646" s="30"/>
      <c r="AW1646" s="30"/>
      <c r="AX1646" s="29"/>
      <c r="AY1646" s="39"/>
      <c r="AZ1646" s="30"/>
      <c r="BA1646" s="30"/>
      <c r="BB1646" s="29"/>
      <c r="BC1646" s="52"/>
      <c r="BD1646" s="30"/>
      <c r="BE1646" s="29"/>
      <c r="BF1646" s="30"/>
      <c r="BG1646" s="30"/>
      <c r="BH1646" s="30"/>
      <c r="BI1646" s="30"/>
      <c r="BJ1646" s="30"/>
      <c r="BK1646" s="30"/>
      <c r="BL1646" s="30"/>
      <c r="BM1646" s="30"/>
      <c r="BN1646" s="30"/>
      <c r="BO1646" s="30"/>
      <c r="BP1646" s="30"/>
      <c r="BQ1646" s="30"/>
      <c r="BR1646" s="30"/>
      <c r="BS1646" s="30"/>
      <c r="BT1646" s="30"/>
      <c r="BU1646" s="30"/>
      <c r="BV1646" s="30"/>
      <c r="BW1646" s="30"/>
      <c r="BX1646" s="30"/>
      <c r="BY1646" s="30"/>
      <c r="BZ1646" s="30"/>
      <c r="CA1646" s="30"/>
      <c r="CB1646" s="30"/>
      <c r="CC1646" s="30"/>
      <c r="CD1646" s="30"/>
      <c r="CE1646" s="30"/>
      <c r="CF1646" s="30"/>
      <c r="CG1646" s="30"/>
      <c r="CH1646" s="30"/>
      <c r="CI1646" s="30"/>
      <c r="CJ1646" s="30"/>
      <c r="CK1646" s="30"/>
      <c r="CL1646" s="30"/>
      <c r="CM1646" s="30"/>
      <c r="CN1646" s="30"/>
      <c r="CO1646" s="30"/>
      <c r="CP1646" s="30"/>
      <c r="CQ1646" s="30"/>
      <c r="CR1646" s="30"/>
      <c r="CS1646" s="30"/>
      <c r="CT1646" s="30"/>
      <c r="CU1646" s="30"/>
      <c r="CV1646" s="30"/>
      <c r="CW1646" s="30"/>
      <c r="CX1646" s="30"/>
      <c r="CY1646" s="30"/>
      <c r="CZ1646" s="30"/>
      <c r="DA1646" s="30"/>
      <c r="DB1646" s="30"/>
      <c r="DC1646" s="30"/>
      <c r="DD1646" s="30"/>
      <c r="DE1646" s="30"/>
      <c r="DF1646" s="30"/>
      <c r="DG1646" s="30"/>
      <c r="DH1646" s="30"/>
      <c r="DI1646" s="30"/>
      <c r="DJ1646" s="30"/>
      <c r="DK1646" s="30"/>
      <c r="DL1646" s="30"/>
      <c r="DM1646" s="30"/>
      <c r="DN1646" s="30"/>
      <c r="DO1646" s="30"/>
      <c r="DP1646" s="30"/>
      <c r="DQ1646" s="30"/>
      <c r="DR1646" s="30"/>
      <c r="DS1646" s="30"/>
      <c r="DT1646" s="30"/>
      <c r="DU1646" s="30"/>
      <c r="DV1646" s="30"/>
      <c r="DW1646" s="30"/>
      <c r="DX1646" s="30"/>
      <c r="DY1646" s="30"/>
      <c r="DZ1646" s="30"/>
    </row>
    <row r="1647">
      <c r="A1647" s="30"/>
      <c r="B1647" s="42"/>
      <c r="C1647" s="43"/>
      <c r="D1647" s="30"/>
      <c r="E1647" s="28"/>
      <c r="F1647" s="30"/>
      <c r="G1647" s="30"/>
      <c r="H1647" s="30"/>
      <c r="I1647" s="30"/>
      <c r="J1647" s="28"/>
      <c r="K1647" s="30"/>
      <c r="L1647" s="30"/>
      <c r="M1647" s="30"/>
      <c r="N1647" s="30"/>
      <c r="O1647" s="28"/>
      <c r="P1647" s="30"/>
      <c r="Q1647" s="30"/>
      <c r="R1647" s="30"/>
      <c r="S1647" s="36"/>
      <c r="T1647" s="30"/>
      <c r="U1647" s="36"/>
      <c r="V1647" s="30"/>
      <c r="W1647" s="28"/>
      <c r="X1647" s="30"/>
      <c r="Y1647" s="30"/>
      <c r="Z1647" s="30"/>
      <c r="AA1647" s="30"/>
      <c r="AB1647" s="30"/>
      <c r="AC1647" s="28"/>
      <c r="AD1647" s="30"/>
      <c r="AE1647" s="30"/>
      <c r="AF1647" s="30"/>
      <c r="AG1647" s="29"/>
      <c r="AH1647" s="30"/>
      <c r="AI1647" s="36"/>
      <c r="AJ1647" s="30"/>
      <c r="AK1647" s="29"/>
      <c r="AL1647" s="30"/>
      <c r="AM1647" s="30"/>
      <c r="AN1647" s="30"/>
      <c r="AO1647" s="30"/>
      <c r="AP1647" s="30"/>
      <c r="AQ1647" s="38"/>
      <c r="AR1647" s="30"/>
      <c r="AS1647" s="30"/>
      <c r="AT1647" s="29"/>
      <c r="AU1647" s="30"/>
      <c r="AV1647" s="30"/>
      <c r="AW1647" s="30"/>
      <c r="AX1647" s="29"/>
      <c r="AY1647" s="39"/>
      <c r="AZ1647" s="30"/>
      <c r="BA1647" s="30"/>
      <c r="BB1647" s="29"/>
      <c r="BC1647" s="52"/>
      <c r="BD1647" s="30"/>
      <c r="BE1647" s="29"/>
      <c r="BF1647" s="30"/>
      <c r="BG1647" s="30"/>
      <c r="BH1647" s="30"/>
      <c r="BI1647" s="30"/>
      <c r="BJ1647" s="30"/>
      <c r="BK1647" s="30"/>
      <c r="BL1647" s="30"/>
      <c r="BM1647" s="30"/>
      <c r="BN1647" s="30"/>
      <c r="BO1647" s="30"/>
      <c r="BP1647" s="30"/>
      <c r="BQ1647" s="30"/>
      <c r="BR1647" s="30"/>
      <c r="BS1647" s="30"/>
      <c r="BT1647" s="30"/>
      <c r="BU1647" s="30"/>
      <c r="BV1647" s="30"/>
      <c r="BW1647" s="30"/>
      <c r="BX1647" s="30"/>
      <c r="BY1647" s="30"/>
      <c r="BZ1647" s="30"/>
      <c r="CA1647" s="30"/>
      <c r="CB1647" s="30"/>
      <c r="CC1647" s="30"/>
      <c r="CD1647" s="30"/>
      <c r="CE1647" s="30"/>
      <c r="CF1647" s="30"/>
      <c r="CG1647" s="30"/>
      <c r="CH1647" s="30"/>
      <c r="CI1647" s="30"/>
      <c r="CJ1647" s="30"/>
      <c r="CK1647" s="30"/>
      <c r="CL1647" s="30"/>
      <c r="CM1647" s="30"/>
      <c r="CN1647" s="30"/>
      <c r="CO1647" s="30"/>
      <c r="CP1647" s="30"/>
      <c r="CQ1647" s="30"/>
      <c r="CR1647" s="30"/>
      <c r="CS1647" s="30"/>
      <c r="CT1647" s="30"/>
      <c r="CU1647" s="30"/>
      <c r="CV1647" s="30"/>
      <c r="CW1647" s="30"/>
      <c r="CX1647" s="30"/>
      <c r="CY1647" s="30"/>
      <c r="CZ1647" s="30"/>
      <c r="DA1647" s="30"/>
      <c r="DB1647" s="30"/>
      <c r="DC1647" s="30"/>
      <c r="DD1647" s="30"/>
      <c r="DE1647" s="30"/>
      <c r="DF1647" s="30"/>
      <c r="DG1647" s="30"/>
      <c r="DH1647" s="30"/>
      <c r="DI1647" s="30"/>
      <c r="DJ1647" s="30"/>
      <c r="DK1647" s="30"/>
      <c r="DL1647" s="30"/>
      <c r="DM1647" s="30"/>
      <c r="DN1647" s="30"/>
      <c r="DO1647" s="30"/>
      <c r="DP1647" s="30"/>
      <c r="DQ1647" s="30"/>
      <c r="DR1647" s="30"/>
      <c r="DS1647" s="30"/>
      <c r="DT1647" s="30"/>
      <c r="DU1647" s="30"/>
      <c r="DV1647" s="30"/>
      <c r="DW1647" s="30"/>
      <c r="DX1647" s="30"/>
      <c r="DY1647" s="30"/>
      <c r="DZ1647" s="30"/>
    </row>
    <row r="1648">
      <c r="A1648" s="30"/>
      <c r="B1648" s="42"/>
      <c r="C1648" s="43"/>
      <c r="D1648" s="30"/>
      <c r="E1648" s="28"/>
      <c r="F1648" s="30"/>
      <c r="G1648" s="30"/>
      <c r="H1648" s="30"/>
      <c r="I1648" s="30"/>
      <c r="J1648" s="28"/>
      <c r="K1648" s="30"/>
      <c r="L1648" s="30"/>
      <c r="M1648" s="30"/>
      <c r="N1648" s="30"/>
      <c r="O1648" s="28"/>
      <c r="P1648" s="30"/>
      <c r="Q1648" s="30"/>
      <c r="R1648" s="30"/>
      <c r="S1648" s="36"/>
      <c r="T1648" s="30"/>
      <c r="U1648" s="36"/>
      <c r="V1648" s="30"/>
      <c r="W1648" s="28"/>
      <c r="X1648" s="30"/>
      <c r="Y1648" s="30"/>
      <c r="Z1648" s="30"/>
      <c r="AA1648" s="30"/>
      <c r="AB1648" s="30"/>
      <c r="AC1648" s="28"/>
      <c r="AD1648" s="30"/>
      <c r="AE1648" s="30"/>
      <c r="AF1648" s="30"/>
      <c r="AG1648" s="29"/>
      <c r="AH1648" s="30"/>
      <c r="AI1648" s="36"/>
      <c r="AJ1648" s="30"/>
      <c r="AK1648" s="29"/>
      <c r="AL1648" s="30"/>
      <c r="AM1648" s="30"/>
      <c r="AN1648" s="30"/>
      <c r="AO1648" s="30"/>
      <c r="AP1648" s="30"/>
      <c r="AQ1648" s="38"/>
      <c r="AR1648" s="30"/>
      <c r="AS1648" s="30"/>
      <c r="AT1648" s="29"/>
      <c r="AU1648" s="30"/>
      <c r="AV1648" s="30"/>
      <c r="AW1648" s="30"/>
      <c r="AX1648" s="29"/>
      <c r="AY1648" s="39"/>
      <c r="AZ1648" s="30"/>
      <c r="BA1648" s="30"/>
      <c r="BB1648" s="29"/>
      <c r="BC1648" s="52"/>
      <c r="BD1648" s="30"/>
      <c r="BE1648" s="29"/>
      <c r="BF1648" s="30"/>
      <c r="BG1648" s="30"/>
      <c r="BH1648" s="30"/>
      <c r="BI1648" s="30"/>
      <c r="BJ1648" s="30"/>
      <c r="BK1648" s="30"/>
      <c r="BL1648" s="30"/>
      <c r="BM1648" s="30"/>
      <c r="BN1648" s="30"/>
      <c r="BO1648" s="30"/>
      <c r="BP1648" s="30"/>
      <c r="BQ1648" s="30"/>
      <c r="BR1648" s="30"/>
      <c r="BS1648" s="30"/>
      <c r="BT1648" s="30"/>
      <c r="BU1648" s="30"/>
      <c r="BV1648" s="30"/>
      <c r="BW1648" s="30"/>
      <c r="BX1648" s="30"/>
      <c r="BY1648" s="30"/>
      <c r="BZ1648" s="30"/>
      <c r="CA1648" s="30"/>
      <c r="CB1648" s="30"/>
      <c r="CC1648" s="30"/>
      <c r="CD1648" s="30"/>
      <c r="CE1648" s="30"/>
      <c r="CF1648" s="30"/>
      <c r="CG1648" s="30"/>
      <c r="CH1648" s="30"/>
      <c r="CI1648" s="30"/>
      <c r="CJ1648" s="30"/>
      <c r="CK1648" s="30"/>
      <c r="CL1648" s="30"/>
      <c r="CM1648" s="30"/>
      <c r="CN1648" s="30"/>
      <c r="CO1648" s="30"/>
      <c r="CP1648" s="30"/>
      <c r="CQ1648" s="30"/>
      <c r="CR1648" s="30"/>
      <c r="CS1648" s="30"/>
      <c r="CT1648" s="30"/>
      <c r="CU1648" s="30"/>
      <c r="CV1648" s="30"/>
      <c r="CW1648" s="30"/>
      <c r="CX1648" s="30"/>
      <c r="CY1648" s="30"/>
      <c r="CZ1648" s="30"/>
      <c r="DA1648" s="30"/>
      <c r="DB1648" s="30"/>
      <c r="DC1648" s="30"/>
      <c r="DD1648" s="30"/>
      <c r="DE1648" s="30"/>
      <c r="DF1648" s="30"/>
      <c r="DG1648" s="30"/>
      <c r="DH1648" s="30"/>
      <c r="DI1648" s="30"/>
      <c r="DJ1648" s="30"/>
      <c r="DK1648" s="30"/>
      <c r="DL1648" s="30"/>
      <c r="DM1648" s="30"/>
      <c r="DN1648" s="30"/>
      <c r="DO1648" s="30"/>
      <c r="DP1648" s="30"/>
      <c r="DQ1648" s="30"/>
      <c r="DR1648" s="30"/>
      <c r="DS1648" s="30"/>
      <c r="DT1648" s="30"/>
      <c r="DU1648" s="30"/>
      <c r="DV1648" s="30"/>
      <c r="DW1648" s="30"/>
      <c r="DX1648" s="30"/>
      <c r="DY1648" s="30"/>
      <c r="DZ1648" s="30"/>
    </row>
    <row r="1649">
      <c r="A1649" s="30"/>
      <c r="B1649" s="42"/>
      <c r="C1649" s="43"/>
      <c r="D1649" s="30"/>
      <c r="E1649" s="28"/>
      <c r="F1649" s="30"/>
      <c r="G1649" s="30"/>
      <c r="H1649" s="30"/>
      <c r="I1649" s="30"/>
      <c r="J1649" s="28"/>
      <c r="K1649" s="30"/>
      <c r="L1649" s="30"/>
      <c r="M1649" s="30"/>
      <c r="N1649" s="30"/>
      <c r="O1649" s="28"/>
      <c r="P1649" s="30"/>
      <c r="Q1649" s="30"/>
      <c r="R1649" s="30"/>
      <c r="S1649" s="36"/>
      <c r="T1649" s="30"/>
      <c r="U1649" s="36"/>
      <c r="V1649" s="30"/>
      <c r="W1649" s="28"/>
      <c r="X1649" s="30"/>
      <c r="Y1649" s="30"/>
      <c r="Z1649" s="30"/>
      <c r="AA1649" s="30"/>
      <c r="AB1649" s="30"/>
      <c r="AC1649" s="28"/>
      <c r="AD1649" s="30"/>
      <c r="AE1649" s="30"/>
      <c r="AF1649" s="30"/>
      <c r="AG1649" s="29"/>
      <c r="AH1649" s="30"/>
      <c r="AI1649" s="36"/>
      <c r="AJ1649" s="30"/>
      <c r="AK1649" s="29"/>
      <c r="AL1649" s="30"/>
      <c r="AM1649" s="30"/>
      <c r="AN1649" s="30"/>
      <c r="AO1649" s="30"/>
      <c r="AP1649" s="30"/>
      <c r="AQ1649" s="38"/>
      <c r="AR1649" s="30"/>
      <c r="AS1649" s="30"/>
      <c r="AT1649" s="29"/>
      <c r="AU1649" s="30"/>
      <c r="AV1649" s="30"/>
      <c r="AW1649" s="30"/>
      <c r="AX1649" s="29"/>
      <c r="AY1649" s="39"/>
      <c r="AZ1649" s="30"/>
      <c r="BA1649" s="30"/>
      <c r="BB1649" s="29"/>
      <c r="BC1649" s="52"/>
      <c r="BD1649" s="30"/>
      <c r="BE1649" s="29"/>
      <c r="BF1649" s="30"/>
      <c r="BG1649" s="30"/>
      <c r="BH1649" s="30"/>
      <c r="BI1649" s="30"/>
      <c r="BJ1649" s="30"/>
      <c r="BK1649" s="30"/>
      <c r="BL1649" s="30"/>
      <c r="BM1649" s="30"/>
      <c r="BN1649" s="30"/>
      <c r="BO1649" s="30"/>
      <c r="BP1649" s="30"/>
      <c r="BQ1649" s="30"/>
      <c r="BR1649" s="30"/>
      <c r="BS1649" s="30"/>
      <c r="BT1649" s="30"/>
      <c r="BU1649" s="30"/>
      <c r="BV1649" s="30"/>
      <c r="BW1649" s="30"/>
      <c r="BX1649" s="30"/>
      <c r="BY1649" s="30"/>
      <c r="BZ1649" s="30"/>
      <c r="CA1649" s="30"/>
      <c r="CB1649" s="30"/>
      <c r="CC1649" s="30"/>
      <c r="CD1649" s="30"/>
      <c r="CE1649" s="30"/>
      <c r="CF1649" s="30"/>
      <c r="CG1649" s="30"/>
      <c r="CH1649" s="30"/>
      <c r="CI1649" s="30"/>
      <c r="CJ1649" s="30"/>
      <c r="CK1649" s="30"/>
      <c r="CL1649" s="30"/>
      <c r="CM1649" s="30"/>
      <c r="CN1649" s="30"/>
      <c r="CO1649" s="30"/>
      <c r="CP1649" s="30"/>
      <c r="CQ1649" s="30"/>
      <c r="CR1649" s="30"/>
      <c r="CS1649" s="30"/>
      <c r="CT1649" s="30"/>
      <c r="CU1649" s="30"/>
      <c r="CV1649" s="30"/>
      <c r="CW1649" s="30"/>
      <c r="CX1649" s="30"/>
      <c r="CY1649" s="30"/>
      <c r="CZ1649" s="30"/>
      <c r="DA1649" s="30"/>
      <c r="DB1649" s="30"/>
      <c r="DC1649" s="30"/>
      <c r="DD1649" s="30"/>
      <c r="DE1649" s="30"/>
      <c r="DF1649" s="30"/>
      <c r="DG1649" s="30"/>
      <c r="DH1649" s="30"/>
      <c r="DI1649" s="30"/>
      <c r="DJ1649" s="30"/>
      <c r="DK1649" s="30"/>
      <c r="DL1649" s="30"/>
      <c r="DM1649" s="30"/>
      <c r="DN1649" s="30"/>
      <c r="DO1649" s="30"/>
      <c r="DP1649" s="30"/>
      <c r="DQ1649" s="30"/>
      <c r="DR1649" s="30"/>
      <c r="DS1649" s="30"/>
      <c r="DT1649" s="30"/>
      <c r="DU1649" s="30"/>
      <c r="DV1649" s="30"/>
      <c r="DW1649" s="30"/>
      <c r="DX1649" s="30"/>
      <c r="DY1649" s="30"/>
      <c r="DZ1649" s="30"/>
    </row>
    <row r="1650">
      <c r="A1650" s="30"/>
      <c r="B1650" s="42"/>
      <c r="C1650" s="43"/>
      <c r="D1650" s="30"/>
      <c r="E1650" s="28"/>
      <c r="F1650" s="30"/>
      <c r="G1650" s="30"/>
      <c r="H1650" s="30"/>
      <c r="I1650" s="30"/>
      <c r="J1650" s="28"/>
      <c r="K1650" s="30"/>
      <c r="L1650" s="30"/>
      <c r="M1650" s="30"/>
      <c r="N1650" s="30"/>
      <c r="O1650" s="28"/>
      <c r="P1650" s="30"/>
      <c r="Q1650" s="30"/>
      <c r="R1650" s="30"/>
      <c r="S1650" s="36"/>
      <c r="T1650" s="30"/>
      <c r="U1650" s="36"/>
      <c r="V1650" s="30"/>
      <c r="W1650" s="28"/>
      <c r="X1650" s="30"/>
      <c r="Y1650" s="30"/>
      <c r="Z1650" s="30"/>
      <c r="AA1650" s="30"/>
      <c r="AB1650" s="30"/>
      <c r="AC1650" s="28"/>
      <c r="AD1650" s="30"/>
      <c r="AE1650" s="30"/>
      <c r="AF1650" s="30"/>
      <c r="AG1650" s="29"/>
      <c r="AH1650" s="30"/>
      <c r="AI1650" s="36"/>
      <c r="AJ1650" s="30"/>
      <c r="AK1650" s="29"/>
      <c r="AL1650" s="30"/>
      <c r="AM1650" s="30"/>
      <c r="AN1650" s="30"/>
      <c r="AO1650" s="30"/>
      <c r="AP1650" s="30"/>
      <c r="AQ1650" s="38"/>
      <c r="AR1650" s="30"/>
      <c r="AS1650" s="30"/>
      <c r="AT1650" s="29"/>
      <c r="AU1650" s="30"/>
      <c r="AV1650" s="30"/>
      <c r="AW1650" s="30"/>
      <c r="AX1650" s="29"/>
      <c r="AY1650" s="39"/>
      <c r="AZ1650" s="30"/>
      <c r="BA1650" s="30"/>
      <c r="BB1650" s="29"/>
      <c r="BC1650" s="52"/>
      <c r="BD1650" s="30"/>
      <c r="BE1650" s="29"/>
      <c r="BF1650" s="30"/>
      <c r="BG1650" s="30"/>
      <c r="BH1650" s="30"/>
      <c r="BI1650" s="30"/>
      <c r="BJ1650" s="30"/>
      <c r="BK1650" s="30"/>
      <c r="BL1650" s="30"/>
      <c r="BM1650" s="30"/>
      <c r="BN1650" s="30"/>
      <c r="BO1650" s="30"/>
      <c r="BP1650" s="30"/>
      <c r="BQ1650" s="30"/>
      <c r="BR1650" s="30"/>
      <c r="BS1650" s="30"/>
      <c r="BT1650" s="30"/>
      <c r="BU1650" s="30"/>
      <c r="BV1650" s="30"/>
      <c r="BW1650" s="30"/>
      <c r="BX1650" s="30"/>
      <c r="BY1650" s="30"/>
      <c r="BZ1650" s="30"/>
      <c r="CA1650" s="30"/>
      <c r="CB1650" s="30"/>
      <c r="CC1650" s="30"/>
      <c r="CD1650" s="30"/>
      <c r="CE1650" s="30"/>
      <c r="CF1650" s="30"/>
      <c r="CG1650" s="30"/>
      <c r="CH1650" s="30"/>
      <c r="CI1650" s="30"/>
      <c r="CJ1650" s="30"/>
      <c r="CK1650" s="30"/>
      <c r="CL1650" s="30"/>
      <c r="CM1650" s="30"/>
      <c r="CN1650" s="30"/>
      <c r="CO1650" s="30"/>
      <c r="CP1650" s="30"/>
      <c r="CQ1650" s="30"/>
      <c r="CR1650" s="30"/>
      <c r="CS1650" s="30"/>
      <c r="CT1650" s="30"/>
      <c r="CU1650" s="30"/>
      <c r="CV1650" s="30"/>
      <c r="CW1650" s="30"/>
      <c r="CX1650" s="30"/>
      <c r="CY1650" s="30"/>
      <c r="CZ1650" s="30"/>
      <c r="DA1650" s="30"/>
      <c r="DB1650" s="30"/>
      <c r="DC1650" s="30"/>
      <c r="DD1650" s="30"/>
      <c r="DE1650" s="30"/>
      <c r="DF1650" s="30"/>
      <c r="DG1650" s="30"/>
      <c r="DH1650" s="30"/>
      <c r="DI1650" s="30"/>
      <c r="DJ1650" s="30"/>
      <c r="DK1650" s="30"/>
      <c r="DL1650" s="30"/>
      <c r="DM1650" s="30"/>
      <c r="DN1650" s="30"/>
      <c r="DO1650" s="30"/>
      <c r="DP1650" s="30"/>
      <c r="DQ1650" s="30"/>
      <c r="DR1650" s="30"/>
      <c r="DS1650" s="30"/>
      <c r="DT1650" s="30"/>
      <c r="DU1650" s="30"/>
      <c r="DV1650" s="30"/>
      <c r="DW1650" s="30"/>
      <c r="DX1650" s="30"/>
      <c r="DY1650" s="30"/>
      <c r="DZ1650" s="30"/>
    </row>
    <row r="1651">
      <c r="A1651" s="30"/>
      <c r="B1651" s="42"/>
      <c r="C1651" s="43"/>
      <c r="D1651" s="30"/>
      <c r="E1651" s="28"/>
      <c r="F1651" s="30"/>
      <c r="G1651" s="30"/>
      <c r="H1651" s="30"/>
      <c r="I1651" s="30"/>
      <c r="J1651" s="28"/>
      <c r="K1651" s="30"/>
      <c r="L1651" s="30"/>
      <c r="M1651" s="30"/>
      <c r="N1651" s="30"/>
      <c r="O1651" s="28"/>
      <c r="P1651" s="30"/>
      <c r="Q1651" s="30"/>
      <c r="R1651" s="30"/>
      <c r="S1651" s="36"/>
      <c r="T1651" s="30"/>
      <c r="U1651" s="36"/>
      <c r="V1651" s="30"/>
      <c r="W1651" s="28"/>
      <c r="X1651" s="30"/>
      <c r="Y1651" s="30"/>
      <c r="Z1651" s="30"/>
      <c r="AA1651" s="30"/>
      <c r="AB1651" s="30"/>
      <c r="AC1651" s="28"/>
      <c r="AD1651" s="30"/>
      <c r="AE1651" s="30"/>
      <c r="AF1651" s="30"/>
      <c r="AG1651" s="29"/>
      <c r="AH1651" s="30"/>
      <c r="AI1651" s="36"/>
      <c r="AJ1651" s="30"/>
      <c r="AK1651" s="29"/>
      <c r="AL1651" s="30"/>
      <c r="AM1651" s="30"/>
      <c r="AN1651" s="30"/>
      <c r="AO1651" s="30"/>
      <c r="AP1651" s="30"/>
      <c r="AQ1651" s="38"/>
      <c r="AR1651" s="30"/>
      <c r="AS1651" s="30"/>
      <c r="AT1651" s="29"/>
      <c r="AU1651" s="30"/>
      <c r="AV1651" s="30"/>
      <c r="AW1651" s="30"/>
      <c r="AX1651" s="29"/>
      <c r="AY1651" s="39"/>
      <c r="AZ1651" s="30"/>
      <c r="BA1651" s="30"/>
      <c r="BB1651" s="29"/>
      <c r="BC1651" s="52"/>
      <c r="BD1651" s="30"/>
      <c r="BE1651" s="29"/>
      <c r="BF1651" s="30"/>
      <c r="BG1651" s="30"/>
      <c r="BH1651" s="30"/>
      <c r="BI1651" s="30"/>
      <c r="BJ1651" s="30"/>
      <c r="BK1651" s="30"/>
      <c r="BL1651" s="30"/>
      <c r="BM1651" s="30"/>
      <c r="BN1651" s="30"/>
      <c r="BO1651" s="30"/>
      <c r="BP1651" s="30"/>
      <c r="BQ1651" s="30"/>
      <c r="BR1651" s="30"/>
      <c r="BS1651" s="30"/>
      <c r="BT1651" s="30"/>
      <c r="BU1651" s="30"/>
      <c r="BV1651" s="30"/>
      <c r="BW1651" s="30"/>
      <c r="BX1651" s="30"/>
      <c r="BY1651" s="30"/>
      <c r="BZ1651" s="30"/>
      <c r="CA1651" s="30"/>
      <c r="CB1651" s="30"/>
      <c r="CC1651" s="30"/>
      <c r="CD1651" s="30"/>
      <c r="CE1651" s="30"/>
      <c r="CF1651" s="30"/>
      <c r="CG1651" s="30"/>
      <c r="CH1651" s="30"/>
      <c r="CI1651" s="30"/>
      <c r="CJ1651" s="30"/>
      <c r="CK1651" s="30"/>
      <c r="CL1651" s="30"/>
      <c r="CM1651" s="30"/>
      <c r="CN1651" s="30"/>
      <c r="CO1651" s="30"/>
      <c r="CP1651" s="30"/>
      <c r="CQ1651" s="30"/>
      <c r="CR1651" s="30"/>
      <c r="CS1651" s="30"/>
      <c r="CT1651" s="30"/>
      <c r="CU1651" s="30"/>
      <c r="CV1651" s="30"/>
      <c r="CW1651" s="30"/>
      <c r="CX1651" s="30"/>
      <c r="CY1651" s="30"/>
      <c r="CZ1651" s="30"/>
      <c r="DA1651" s="30"/>
      <c r="DB1651" s="30"/>
      <c r="DC1651" s="30"/>
      <c r="DD1651" s="30"/>
      <c r="DE1651" s="30"/>
      <c r="DF1651" s="30"/>
      <c r="DG1651" s="30"/>
      <c r="DH1651" s="30"/>
      <c r="DI1651" s="30"/>
      <c r="DJ1651" s="30"/>
      <c r="DK1651" s="30"/>
      <c r="DL1651" s="30"/>
      <c r="DM1651" s="30"/>
      <c r="DN1651" s="30"/>
      <c r="DO1651" s="30"/>
      <c r="DP1651" s="30"/>
      <c r="DQ1651" s="30"/>
      <c r="DR1651" s="30"/>
      <c r="DS1651" s="30"/>
      <c r="DT1651" s="30"/>
      <c r="DU1651" s="30"/>
      <c r="DV1651" s="30"/>
      <c r="DW1651" s="30"/>
      <c r="DX1651" s="30"/>
      <c r="DY1651" s="30"/>
      <c r="DZ1651" s="30"/>
    </row>
    <row r="1652">
      <c r="A1652" s="30"/>
      <c r="B1652" s="42"/>
      <c r="C1652" s="43"/>
      <c r="D1652" s="30"/>
      <c r="E1652" s="28"/>
      <c r="F1652" s="30"/>
      <c r="G1652" s="30"/>
      <c r="H1652" s="30"/>
      <c r="I1652" s="30"/>
      <c r="J1652" s="28"/>
      <c r="K1652" s="30"/>
      <c r="L1652" s="30"/>
      <c r="M1652" s="30"/>
      <c r="N1652" s="30"/>
      <c r="O1652" s="28"/>
      <c r="P1652" s="30"/>
      <c r="Q1652" s="30"/>
      <c r="R1652" s="30"/>
      <c r="S1652" s="36"/>
      <c r="T1652" s="30"/>
      <c r="U1652" s="36"/>
      <c r="V1652" s="30"/>
      <c r="W1652" s="28"/>
      <c r="X1652" s="30"/>
      <c r="Y1652" s="30"/>
      <c r="Z1652" s="30"/>
      <c r="AA1652" s="30"/>
      <c r="AB1652" s="30"/>
      <c r="AC1652" s="28"/>
      <c r="AD1652" s="30"/>
      <c r="AE1652" s="30"/>
      <c r="AF1652" s="30"/>
      <c r="AG1652" s="29"/>
      <c r="AH1652" s="30"/>
      <c r="AI1652" s="36"/>
      <c r="AJ1652" s="30"/>
      <c r="AK1652" s="29"/>
      <c r="AL1652" s="30"/>
      <c r="AM1652" s="30"/>
      <c r="AN1652" s="30"/>
      <c r="AO1652" s="30"/>
      <c r="AP1652" s="30"/>
      <c r="AQ1652" s="38"/>
      <c r="AR1652" s="30"/>
      <c r="AS1652" s="30"/>
      <c r="AT1652" s="29"/>
      <c r="AU1652" s="30"/>
      <c r="AV1652" s="30"/>
      <c r="AW1652" s="30"/>
      <c r="AX1652" s="29"/>
      <c r="AY1652" s="39"/>
      <c r="AZ1652" s="30"/>
      <c r="BA1652" s="30"/>
      <c r="BB1652" s="29"/>
      <c r="BC1652" s="52"/>
      <c r="BD1652" s="30"/>
      <c r="BE1652" s="29"/>
      <c r="BF1652" s="30"/>
      <c r="BG1652" s="30"/>
      <c r="BH1652" s="30"/>
      <c r="BI1652" s="30"/>
      <c r="BJ1652" s="30"/>
      <c r="BK1652" s="30"/>
      <c r="BL1652" s="30"/>
      <c r="BM1652" s="30"/>
      <c r="BN1652" s="30"/>
      <c r="BO1652" s="30"/>
      <c r="BP1652" s="30"/>
      <c r="BQ1652" s="30"/>
      <c r="BR1652" s="30"/>
      <c r="BS1652" s="30"/>
      <c r="BT1652" s="30"/>
      <c r="BU1652" s="30"/>
      <c r="BV1652" s="30"/>
      <c r="BW1652" s="30"/>
      <c r="BX1652" s="30"/>
      <c r="BY1652" s="30"/>
      <c r="BZ1652" s="30"/>
      <c r="CA1652" s="30"/>
      <c r="CB1652" s="30"/>
      <c r="CC1652" s="30"/>
      <c r="CD1652" s="30"/>
      <c r="CE1652" s="30"/>
      <c r="CF1652" s="30"/>
      <c r="CG1652" s="30"/>
      <c r="CH1652" s="30"/>
      <c r="CI1652" s="30"/>
      <c r="CJ1652" s="30"/>
      <c r="CK1652" s="30"/>
      <c r="CL1652" s="30"/>
      <c r="CM1652" s="30"/>
      <c r="CN1652" s="30"/>
      <c r="CO1652" s="30"/>
      <c r="CP1652" s="30"/>
      <c r="CQ1652" s="30"/>
      <c r="CR1652" s="30"/>
      <c r="CS1652" s="30"/>
      <c r="CT1652" s="30"/>
      <c r="CU1652" s="30"/>
      <c r="CV1652" s="30"/>
      <c r="CW1652" s="30"/>
      <c r="CX1652" s="30"/>
      <c r="CY1652" s="30"/>
      <c r="CZ1652" s="30"/>
      <c r="DA1652" s="30"/>
      <c r="DB1652" s="30"/>
      <c r="DC1652" s="30"/>
      <c r="DD1652" s="30"/>
      <c r="DE1652" s="30"/>
      <c r="DF1652" s="30"/>
      <c r="DG1652" s="30"/>
      <c r="DH1652" s="30"/>
      <c r="DI1652" s="30"/>
      <c r="DJ1652" s="30"/>
      <c r="DK1652" s="30"/>
      <c r="DL1652" s="30"/>
      <c r="DM1652" s="30"/>
      <c r="DN1652" s="30"/>
      <c r="DO1652" s="30"/>
      <c r="DP1652" s="30"/>
      <c r="DQ1652" s="30"/>
      <c r="DR1652" s="30"/>
      <c r="DS1652" s="30"/>
      <c r="DT1652" s="30"/>
      <c r="DU1652" s="30"/>
      <c r="DV1652" s="30"/>
      <c r="DW1652" s="30"/>
      <c r="DX1652" s="30"/>
      <c r="DY1652" s="30"/>
      <c r="DZ1652" s="30"/>
    </row>
    <row r="1653">
      <c r="A1653" s="30"/>
      <c r="B1653" s="42"/>
      <c r="C1653" s="43"/>
      <c r="D1653" s="30"/>
      <c r="E1653" s="28"/>
      <c r="F1653" s="30"/>
      <c r="G1653" s="30"/>
      <c r="H1653" s="30"/>
      <c r="I1653" s="30"/>
      <c r="J1653" s="28"/>
      <c r="K1653" s="30"/>
      <c r="L1653" s="30"/>
      <c r="M1653" s="30"/>
      <c r="N1653" s="30"/>
      <c r="O1653" s="28"/>
      <c r="P1653" s="30"/>
      <c r="Q1653" s="30"/>
      <c r="R1653" s="30"/>
      <c r="S1653" s="36"/>
      <c r="T1653" s="30"/>
      <c r="U1653" s="36"/>
      <c r="V1653" s="30"/>
      <c r="W1653" s="28"/>
      <c r="X1653" s="30"/>
      <c r="Y1653" s="30"/>
      <c r="Z1653" s="30"/>
      <c r="AA1653" s="30"/>
      <c r="AB1653" s="30"/>
      <c r="AC1653" s="28"/>
      <c r="AD1653" s="30"/>
      <c r="AE1653" s="30"/>
      <c r="AF1653" s="30"/>
      <c r="AG1653" s="29"/>
      <c r="AH1653" s="30"/>
      <c r="AI1653" s="36"/>
      <c r="AJ1653" s="30"/>
      <c r="AK1653" s="29"/>
      <c r="AL1653" s="30"/>
      <c r="AM1653" s="30"/>
      <c r="AN1653" s="30"/>
      <c r="AO1653" s="30"/>
      <c r="AP1653" s="30"/>
      <c r="AQ1653" s="38"/>
      <c r="AR1653" s="30"/>
      <c r="AS1653" s="30"/>
      <c r="AT1653" s="29"/>
      <c r="AU1653" s="30"/>
      <c r="AV1653" s="30"/>
      <c r="AW1653" s="30"/>
      <c r="AX1653" s="29"/>
      <c r="AY1653" s="39"/>
      <c r="AZ1653" s="30"/>
      <c r="BA1653" s="30"/>
      <c r="BB1653" s="29"/>
      <c r="BC1653" s="52"/>
      <c r="BD1653" s="30"/>
      <c r="BE1653" s="29"/>
      <c r="BF1653" s="30"/>
      <c r="BG1653" s="30"/>
      <c r="BH1653" s="30"/>
      <c r="BI1653" s="30"/>
      <c r="BJ1653" s="30"/>
      <c r="BK1653" s="30"/>
      <c r="BL1653" s="30"/>
      <c r="BM1653" s="30"/>
      <c r="BN1653" s="30"/>
      <c r="BO1653" s="30"/>
      <c r="BP1653" s="30"/>
      <c r="BQ1653" s="30"/>
      <c r="BR1653" s="30"/>
      <c r="BS1653" s="30"/>
      <c r="BT1653" s="30"/>
      <c r="BU1653" s="30"/>
      <c r="BV1653" s="30"/>
      <c r="BW1653" s="30"/>
      <c r="BX1653" s="30"/>
      <c r="BY1653" s="30"/>
      <c r="BZ1653" s="30"/>
      <c r="CA1653" s="30"/>
      <c r="CB1653" s="30"/>
      <c r="CC1653" s="30"/>
      <c r="CD1653" s="30"/>
      <c r="CE1653" s="30"/>
      <c r="CF1653" s="30"/>
      <c r="CG1653" s="30"/>
      <c r="CH1653" s="30"/>
      <c r="CI1653" s="30"/>
      <c r="CJ1653" s="30"/>
      <c r="CK1653" s="30"/>
      <c r="CL1653" s="30"/>
      <c r="CM1653" s="30"/>
      <c r="CN1653" s="30"/>
      <c r="CO1653" s="30"/>
      <c r="CP1653" s="30"/>
      <c r="CQ1653" s="30"/>
      <c r="CR1653" s="30"/>
      <c r="CS1653" s="30"/>
      <c r="CT1653" s="30"/>
      <c r="CU1653" s="30"/>
      <c r="CV1653" s="30"/>
      <c r="CW1653" s="30"/>
      <c r="CX1653" s="30"/>
      <c r="CY1653" s="30"/>
      <c r="CZ1653" s="30"/>
      <c r="DA1653" s="30"/>
      <c r="DB1653" s="30"/>
      <c r="DC1653" s="30"/>
      <c r="DD1653" s="30"/>
      <c r="DE1653" s="30"/>
      <c r="DF1653" s="30"/>
      <c r="DG1653" s="30"/>
      <c r="DH1653" s="30"/>
      <c r="DI1653" s="30"/>
      <c r="DJ1653" s="30"/>
      <c r="DK1653" s="30"/>
      <c r="DL1653" s="30"/>
      <c r="DM1653" s="30"/>
      <c r="DN1653" s="30"/>
      <c r="DO1653" s="30"/>
      <c r="DP1653" s="30"/>
      <c r="DQ1653" s="30"/>
      <c r="DR1653" s="30"/>
      <c r="DS1653" s="30"/>
      <c r="DT1653" s="30"/>
      <c r="DU1653" s="30"/>
      <c r="DV1653" s="30"/>
      <c r="DW1653" s="30"/>
      <c r="DX1653" s="30"/>
      <c r="DY1653" s="30"/>
      <c r="DZ1653" s="30"/>
    </row>
    <row r="1654">
      <c r="A1654" s="30"/>
      <c r="B1654" s="42"/>
      <c r="C1654" s="43"/>
      <c r="D1654" s="30"/>
      <c r="E1654" s="28"/>
      <c r="F1654" s="30"/>
      <c r="G1654" s="30"/>
      <c r="H1654" s="30"/>
      <c r="I1654" s="30"/>
      <c r="J1654" s="28"/>
      <c r="K1654" s="30"/>
      <c r="L1654" s="30"/>
      <c r="M1654" s="30"/>
      <c r="N1654" s="30"/>
      <c r="O1654" s="28"/>
      <c r="P1654" s="30"/>
      <c r="Q1654" s="30"/>
      <c r="R1654" s="30"/>
      <c r="S1654" s="36"/>
      <c r="T1654" s="30"/>
      <c r="U1654" s="36"/>
      <c r="V1654" s="30"/>
      <c r="W1654" s="28"/>
      <c r="X1654" s="30"/>
      <c r="Y1654" s="30"/>
      <c r="Z1654" s="30"/>
      <c r="AA1654" s="30"/>
      <c r="AB1654" s="30"/>
      <c r="AC1654" s="28"/>
      <c r="AD1654" s="30"/>
      <c r="AE1654" s="30"/>
      <c r="AF1654" s="30"/>
      <c r="AG1654" s="29"/>
      <c r="AH1654" s="30"/>
      <c r="AI1654" s="36"/>
      <c r="AJ1654" s="30"/>
      <c r="AK1654" s="29"/>
      <c r="AL1654" s="30"/>
      <c r="AM1654" s="30"/>
      <c r="AN1654" s="30"/>
      <c r="AO1654" s="30"/>
      <c r="AP1654" s="30"/>
      <c r="AQ1654" s="38"/>
      <c r="AR1654" s="30"/>
      <c r="AS1654" s="30"/>
      <c r="AT1654" s="29"/>
      <c r="AU1654" s="30"/>
      <c r="AV1654" s="30"/>
      <c r="AW1654" s="30"/>
      <c r="AX1654" s="29"/>
      <c r="AY1654" s="39"/>
      <c r="AZ1654" s="30"/>
      <c r="BA1654" s="30"/>
      <c r="BB1654" s="29"/>
      <c r="BC1654" s="52"/>
      <c r="BD1654" s="30"/>
      <c r="BE1654" s="29"/>
      <c r="BF1654" s="30"/>
      <c r="BG1654" s="30"/>
      <c r="BH1654" s="30"/>
      <c r="BI1654" s="30"/>
      <c r="BJ1654" s="30"/>
      <c r="BK1654" s="30"/>
      <c r="BL1654" s="30"/>
      <c r="BM1654" s="30"/>
      <c r="BN1654" s="30"/>
      <c r="BO1654" s="30"/>
      <c r="BP1654" s="30"/>
      <c r="BQ1654" s="30"/>
      <c r="BR1654" s="30"/>
      <c r="BS1654" s="30"/>
      <c r="BT1654" s="30"/>
      <c r="BU1654" s="30"/>
      <c r="BV1654" s="30"/>
      <c r="BW1654" s="30"/>
      <c r="BX1654" s="30"/>
      <c r="BY1654" s="30"/>
      <c r="BZ1654" s="30"/>
      <c r="CA1654" s="30"/>
      <c r="CB1654" s="30"/>
      <c r="CC1654" s="30"/>
      <c r="CD1654" s="30"/>
      <c r="CE1654" s="30"/>
      <c r="CF1654" s="30"/>
      <c r="CG1654" s="30"/>
      <c r="CH1654" s="30"/>
      <c r="CI1654" s="30"/>
      <c r="CJ1654" s="30"/>
      <c r="CK1654" s="30"/>
      <c r="CL1654" s="30"/>
      <c r="CM1654" s="30"/>
      <c r="CN1654" s="30"/>
      <c r="CO1654" s="30"/>
      <c r="CP1654" s="30"/>
      <c r="CQ1654" s="30"/>
      <c r="CR1654" s="30"/>
      <c r="CS1654" s="30"/>
      <c r="CT1654" s="30"/>
      <c r="CU1654" s="30"/>
      <c r="CV1654" s="30"/>
      <c r="CW1654" s="30"/>
      <c r="CX1654" s="30"/>
      <c r="CY1654" s="30"/>
      <c r="CZ1654" s="30"/>
      <c r="DA1654" s="30"/>
      <c r="DB1654" s="30"/>
      <c r="DC1654" s="30"/>
      <c r="DD1654" s="30"/>
      <c r="DE1654" s="30"/>
      <c r="DF1654" s="30"/>
      <c r="DG1654" s="30"/>
      <c r="DH1654" s="30"/>
      <c r="DI1654" s="30"/>
      <c r="DJ1654" s="30"/>
      <c r="DK1654" s="30"/>
      <c r="DL1654" s="30"/>
      <c r="DM1654" s="30"/>
      <c r="DN1654" s="30"/>
      <c r="DO1654" s="30"/>
      <c r="DP1654" s="30"/>
      <c r="DQ1654" s="30"/>
      <c r="DR1654" s="30"/>
      <c r="DS1654" s="30"/>
      <c r="DT1654" s="30"/>
      <c r="DU1654" s="30"/>
      <c r="DV1654" s="30"/>
      <c r="DW1654" s="30"/>
      <c r="DX1654" s="30"/>
      <c r="DY1654" s="30"/>
      <c r="DZ1654" s="30"/>
    </row>
    <row r="1655">
      <c r="A1655" s="30"/>
      <c r="B1655" s="42"/>
      <c r="C1655" s="43"/>
      <c r="D1655" s="30"/>
      <c r="E1655" s="28"/>
      <c r="F1655" s="30"/>
      <c r="G1655" s="30"/>
      <c r="H1655" s="30"/>
      <c r="I1655" s="30"/>
      <c r="J1655" s="28"/>
      <c r="K1655" s="30"/>
      <c r="L1655" s="30"/>
      <c r="M1655" s="30"/>
      <c r="N1655" s="30"/>
      <c r="O1655" s="28"/>
      <c r="P1655" s="30"/>
      <c r="Q1655" s="30"/>
      <c r="R1655" s="30"/>
      <c r="S1655" s="36"/>
      <c r="T1655" s="30"/>
      <c r="U1655" s="36"/>
      <c r="V1655" s="30"/>
      <c r="W1655" s="28"/>
      <c r="X1655" s="30"/>
      <c r="Y1655" s="30"/>
      <c r="Z1655" s="30"/>
      <c r="AA1655" s="30"/>
      <c r="AB1655" s="30"/>
      <c r="AC1655" s="28"/>
      <c r="AD1655" s="30"/>
      <c r="AE1655" s="30"/>
      <c r="AF1655" s="30"/>
      <c r="AG1655" s="29"/>
      <c r="AH1655" s="30"/>
      <c r="AI1655" s="36"/>
      <c r="AJ1655" s="30"/>
      <c r="AK1655" s="29"/>
      <c r="AL1655" s="30"/>
      <c r="AM1655" s="30"/>
      <c r="AN1655" s="30"/>
      <c r="AO1655" s="30"/>
      <c r="AP1655" s="30"/>
      <c r="AQ1655" s="38"/>
      <c r="AR1655" s="30"/>
      <c r="AS1655" s="30"/>
      <c r="AT1655" s="29"/>
      <c r="AU1655" s="30"/>
      <c r="AV1655" s="30"/>
      <c r="AW1655" s="30"/>
      <c r="AX1655" s="29"/>
      <c r="AY1655" s="39"/>
      <c r="AZ1655" s="30"/>
      <c r="BA1655" s="30"/>
      <c r="BB1655" s="29"/>
      <c r="BC1655" s="52"/>
      <c r="BD1655" s="30"/>
      <c r="BE1655" s="29"/>
      <c r="BF1655" s="30"/>
      <c r="BG1655" s="30"/>
      <c r="BH1655" s="30"/>
      <c r="BI1655" s="30"/>
      <c r="BJ1655" s="30"/>
      <c r="BK1655" s="30"/>
      <c r="BL1655" s="30"/>
      <c r="BM1655" s="30"/>
      <c r="BN1655" s="30"/>
      <c r="BO1655" s="30"/>
      <c r="BP1655" s="30"/>
      <c r="BQ1655" s="30"/>
      <c r="BR1655" s="30"/>
      <c r="BS1655" s="30"/>
      <c r="BT1655" s="30"/>
      <c r="BU1655" s="30"/>
      <c r="BV1655" s="30"/>
      <c r="BW1655" s="30"/>
      <c r="BX1655" s="30"/>
      <c r="BY1655" s="30"/>
      <c r="BZ1655" s="30"/>
      <c r="CA1655" s="30"/>
      <c r="CB1655" s="30"/>
      <c r="CC1655" s="30"/>
      <c r="CD1655" s="30"/>
      <c r="CE1655" s="30"/>
      <c r="CF1655" s="30"/>
      <c r="CG1655" s="30"/>
      <c r="CH1655" s="30"/>
      <c r="CI1655" s="30"/>
      <c r="CJ1655" s="30"/>
      <c r="CK1655" s="30"/>
      <c r="CL1655" s="30"/>
      <c r="CM1655" s="30"/>
      <c r="CN1655" s="30"/>
      <c r="CO1655" s="30"/>
      <c r="CP1655" s="30"/>
      <c r="CQ1655" s="30"/>
      <c r="CR1655" s="30"/>
      <c r="CS1655" s="30"/>
      <c r="CT1655" s="30"/>
      <c r="CU1655" s="30"/>
      <c r="CV1655" s="30"/>
      <c r="CW1655" s="30"/>
      <c r="CX1655" s="30"/>
      <c r="CY1655" s="30"/>
      <c r="CZ1655" s="30"/>
      <c r="DA1655" s="30"/>
      <c r="DB1655" s="30"/>
      <c r="DC1655" s="30"/>
      <c r="DD1655" s="30"/>
      <c r="DE1655" s="30"/>
      <c r="DF1655" s="30"/>
      <c r="DG1655" s="30"/>
      <c r="DH1655" s="30"/>
      <c r="DI1655" s="30"/>
      <c r="DJ1655" s="30"/>
      <c r="DK1655" s="30"/>
      <c r="DL1655" s="30"/>
      <c r="DM1655" s="30"/>
      <c r="DN1655" s="30"/>
      <c r="DO1655" s="30"/>
      <c r="DP1655" s="30"/>
      <c r="DQ1655" s="30"/>
      <c r="DR1655" s="30"/>
      <c r="DS1655" s="30"/>
      <c r="DT1655" s="30"/>
      <c r="DU1655" s="30"/>
      <c r="DV1655" s="30"/>
      <c r="DW1655" s="30"/>
      <c r="DX1655" s="30"/>
      <c r="DY1655" s="30"/>
      <c r="DZ1655" s="30"/>
    </row>
    <row r="1656">
      <c r="A1656" s="30"/>
      <c r="B1656" s="42"/>
      <c r="C1656" s="43"/>
      <c r="D1656" s="30"/>
      <c r="E1656" s="28"/>
      <c r="F1656" s="30"/>
      <c r="G1656" s="30"/>
      <c r="H1656" s="30"/>
      <c r="I1656" s="30"/>
      <c r="J1656" s="28"/>
      <c r="K1656" s="30"/>
      <c r="L1656" s="30"/>
      <c r="M1656" s="30"/>
      <c r="N1656" s="30"/>
      <c r="O1656" s="28"/>
      <c r="P1656" s="30"/>
      <c r="Q1656" s="30"/>
      <c r="R1656" s="30"/>
      <c r="S1656" s="36"/>
      <c r="T1656" s="30"/>
      <c r="U1656" s="36"/>
      <c r="V1656" s="30"/>
      <c r="W1656" s="28"/>
      <c r="X1656" s="30"/>
      <c r="Y1656" s="30"/>
      <c r="Z1656" s="30"/>
      <c r="AA1656" s="30"/>
      <c r="AB1656" s="30"/>
      <c r="AC1656" s="28"/>
      <c r="AD1656" s="30"/>
      <c r="AE1656" s="30"/>
      <c r="AF1656" s="30"/>
      <c r="AG1656" s="29"/>
      <c r="AH1656" s="30"/>
      <c r="AI1656" s="36"/>
      <c r="AJ1656" s="30"/>
      <c r="AK1656" s="29"/>
      <c r="AL1656" s="30"/>
      <c r="AM1656" s="30"/>
      <c r="AN1656" s="30"/>
      <c r="AO1656" s="30"/>
      <c r="AP1656" s="30"/>
      <c r="AQ1656" s="38"/>
      <c r="AR1656" s="30"/>
      <c r="AS1656" s="30"/>
      <c r="AT1656" s="29"/>
      <c r="AU1656" s="30"/>
      <c r="AV1656" s="30"/>
      <c r="AW1656" s="30"/>
      <c r="AX1656" s="29"/>
      <c r="AY1656" s="39"/>
      <c r="AZ1656" s="30"/>
      <c r="BA1656" s="30"/>
      <c r="BB1656" s="29"/>
      <c r="BC1656" s="52"/>
      <c r="BD1656" s="30"/>
      <c r="BE1656" s="29"/>
      <c r="BF1656" s="30"/>
      <c r="BG1656" s="30"/>
      <c r="BH1656" s="30"/>
      <c r="BI1656" s="30"/>
      <c r="BJ1656" s="30"/>
      <c r="BK1656" s="30"/>
      <c r="BL1656" s="30"/>
      <c r="BM1656" s="30"/>
      <c r="BN1656" s="30"/>
      <c r="BO1656" s="30"/>
      <c r="BP1656" s="30"/>
      <c r="BQ1656" s="30"/>
      <c r="BR1656" s="30"/>
      <c r="BS1656" s="30"/>
      <c r="BT1656" s="30"/>
      <c r="BU1656" s="30"/>
      <c r="BV1656" s="30"/>
      <c r="BW1656" s="30"/>
      <c r="BX1656" s="30"/>
      <c r="BY1656" s="30"/>
      <c r="BZ1656" s="30"/>
      <c r="CA1656" s="30"/>
      <c r="CB1656" s="30"/>
      <c r="CC1656" s="30"/>
      <c r="CD1656" s="30"/>
      <c r="CE1656" s="30"/>
      <c r="CF1656" s="30"/>
      <c r="CG1656" s="30"/>
      <c r="CH1656" s="30"/>
      <c r="CI1656" s="30"/>
      <c r="CJ1656" s="30"/>
      <c r="CK1656" s="30"/>
      <c r="CL1656" s="30"/>
      <c r="CM1656" s="30"/>
      <c r="CN1656" s="30"/>
      <c r="CO1656" s="30"/>
      <c r="CP1656" s="30"/>
      <c r="CQ1656" s="30"/>
      <c r="CR1656" s="30"/>
      <c r="CS1656" s="30"/>
      <c r="CT1656" s="30"/>
      <c r="CU1656" s="30"/>
      <c r="CV1656" s="30"/>
      <c r="CW1656" s="30"/>
      <c r="CX1656" s="30"/>
      <c r="CY1656" s="30"/>
      <c r="CZ1656" s="30"/>
      <c r="DA1656" s="30"/>
      <c r="DB1656" s="30"/>
      <c r="DC1656" s="30"/>
      <c r="DD1656" s="30"/>
      <c r="DE1656" s="30"/>
      <c r="DF1656" s="30"/>
      <c r="DG1656" s="30"/>
      <c r="DH1656" s="30"/>
      <c r="DI1656" s="30"/>
      <c r="DJ1656" s="30"/>
      <c r="DK1656" s="30"/>
      <c r="DL1656" s="30"/>
      <c r="DM1656" s="30"/>
      <c r="DN1656" s="30"/>
      <c r="DO1656" s="30"/>
      <c r="DP1656" s="30"/>
      <c r="DQ1656" s="30"/>
      <c r="DR1656" s="30"/>
      <c r="DS1656" s="30"/>
      <c r="DT1656" s="30"/>
      <c r="DU1656" s="30"/>
      <c r="DV1656" s="30"/>
      <c r="DW1656" s="30"/>
      <c r="DX1656" s="30"/>
      <c r="DY1656" s="30"/>
      <c r="DZ1656" s="30"/>
    </row>
    <row r="1657">
      <c r="A1657" s="30"/>
      <c r="B1657" s="42"/>
      <c r="C1657" s="43"/>
      <c r="D1657" s="30"/>
      <c r="E1657" s="28"/>
      <c r="F1657" s="30"/>
      <c r="G1657" s="30"/>
      <c r="H1657" s="30"/>
      <c r="I1657" s="30"/>
      <c r="J1657" s="28"/>
      <c r="K1657" s="30"/>
      <c r="L1657" s="30"/>
      <c r="M1657" s="30"/>
      <c r="N1657" s="30"/>
      <c r="O1657" s="28"/>
      <c r="P1657" s="30"/>
      <c r="Q1657" s="30"/>
      <c r="R1657" s="30"/>
      <c r="S1657" s="36"/>
      <c r="T1657" s="30"/>
      <c r="U1657" s="36"/>
      <c r="V1657" s="30"/>
      <c r="W1657" s="28"/>
      <c r="X1657" s="30"/>
      <c r="Y1657" s="30"/>
      <c r="Z1657" s="30"/>
      <c r="AA1657" s="30"/>
      <c r="AB1657" s="30"/>
      <c r="AC1657" s="28"/>
      <c r="AD1657" s="30"/>
      <c r="AE1657" s="30"/>
      <c r="AF1657" s="30"/>
      <c r="AG1657" s="29"/>
      <c r="AH1657" s="30"/>
      <c r="AI1657" s="36"/>
      <c r="AJ1657" s="30"/>
      <c r="AK1657" s="29"/>
      <c r="AL1657" s="30"/>
      <c r="AM1657" s="30"/>
      <c r="AN1657" s="30"/>
      <c r="AO1657" s="30"/>
      <c r="AP1657" s="30"/>
      <c r="AQ1657" s="38"/>
      <c r="AR1657" s="30"/>
      <c r="AS1657" s="30"/>
      <c r="AT1657" s="29"/>
      <c r="AU1657" s="30"/>
      <c r="AV1657" s="30"/>
      <c r="AW1657" s="30"/>
      <c r="AX1657" s="29"/>
      <c r="AY1657" s="39"/>
      <c r="AZ1657" s="30"/>
      <c r="BA1657" s="30"/>
      <c r="BB1657" s="29"/>
      <c r="BC1657" s="52"/>
      <c r="BD1657" s="30"/>
      <c r="BE1657" s="29"/>
      <c r="BF1657" s="30"/>
      <c r="BG1657" s="30"/>
      <c r="BH1657" s="30"/>
      <c r="BI1657" s="30"/>
      <c r="BJ1657" s="30"/>
      <c r="BK1657" s="30"/>
      <c r="BL1657" s="30"/>
      <c r="BM1657" s="30"/>
      <c r="BN1657" s="30"/>
      <c r="BO1657" s="30"/>
      <c r="BP1657" s="30"/>
      <c r="BQ1657" s="30"/>
      <c r="BR1657" s="30"/>
      <c r="BS1657" s="30"/>
      <c r="BT1657" s="30"/>
      <c r="BU1657" s="30"/>
      <c r="BV1657" s="30"/>
      <c r="BW1657" s="30"/>
      <c r="BX1657" s="30"/>
      <c r="BY1657" s="30"/>
      <c r="BZ1657" s="30"/>
      <c r="CA1657" s="30"/>
      <c r="CB1657" s="30"/>
      <c r="CC1657" s="30"/>
      <c r="CD1657" s="30"/>
      <c r="CE1657" s="30"/>
      <c r="CF1657" s="30"/>
      <c r="CG1657" s="30"/>
      <c r="CH1657" s="30"/>
      <c r="CI1657" s="30"/>
      <c r="CJ1657" s="30"/>
      <c r="CK1657" s="30"/>
      <c r="CL1657" s="30"/>
      <c r="CM1657" s="30"/>
      <c r="CN1657" s="30"/>
      <c r="CO1657" s="30"/>
      <c r="CP1657" s="30"/>
      <c r="CQ1657" s="30"/>
      <c r="CR1657" s="30"/>
      <c r="CS1657" s="30"/>
      <c r="CT1657" s="30"/>
      <c r="CU1657" s="30"/>
      <c r="CV1657" s="30"/>
      <c r="CW1657" s="30"/>
      <c r="CX1657" s="30"/>
      <c r="CY1657" s="30"/>
      <c r="CZ1657" s="30"/>
      <c r="DA1657" s="30"/>
      <c r="DB1657" s="30"/>
      <c r="DC1657" s="30"/>
      <c r="DD1657" s="30"/>
      <c r="DE1657" s="30"/>
      <c r="DF1657" s="30"/>
      <c r="DG1657" s="30"/>
      <c r="DH1657" s="30"/>
      <c r="DI1657" s="30"/>
      <c r="DJ1657" s="30"/>
      <c r="DK1657" s="30"/>
      <c r="DL1657" s="30"/>
      <c r="DM1657" s="30"/>
      <c r="DN1657" s="30"/>
      <c r="DO1657" s="30"/>
      <c r="DP1657" s="30"/>
      <c r="DQ1657" s="30"/>
      <c r="DR1657" s="30"/>
      <c r="DS1657" s="30"/>
      <c r="DT1657" s="30"/>
      <c r="DU1657" s="30"/>
      <c r="DV1657" s="30"/>
      <c r="DW1657" s="30"/>
      <c r="DX1657" s="30"/>
      <c r="DY1657" s="30"/>
      <c r="DZ1657" s="30"/>
    </row>
    <row r="1658">
      <c r="A1658" s="30"/>
      <c r="B1658" s="42"/>
      <c r="C1658" s="43"/>
      <c r="D1658" s="30"/>
      <c r="E1658" s="28"/>
      <c r="F1658" s="30"/>
      <c r="G1658" s="30"/>
      <c r="H1658" s="30"/>
      <c r="I1658" s="30"/>
      <c r="J1658" s="28"/>
      <c r="K1658" s="30"/>
      <c r="L1658" s="30"/>
      <c r="M1658" s="30"/>
      <c r="N1658" s="30"/>
      <c r="O1658" s="28"/>
      <c r="P1658" s="30"/>
      <c r="Q1658" s="30"/>
      <c r="R1658" s="30"/>
      <c r="S1658" s="36"/>
      <c r="T1658" s="30"/>
      <c r="U1658" s="36"/>
      <c r="V1658" s="30"/>
      <c r="W1658" s="28"/>
      <c r="X1658" s="30"/>
      <c r="Y1658" s="30"/>
      <c r="Z1658" s="30"/>
      <c r="AA1658" s="30"/>
      <c r="AB1658" s="30"/>
      <c r="AC1658" s="28"/>
      <c r="AD1658" s="30"/>
      <c r="AE1658" s="30"/>
      <c r="AF1658" s="30"/>
      <c r="AG1658" s="29"/>
      <c r="AH1658" s="30"/>
      <c r="AI1658" s="36"/>
      <c r="AJ1658" s="30"/>
      <c r="AK1658" s="29"/>
      <c r="AL1658" s="30"/>
      <c r="AM1658" s="30"/>
      <c r="AN1658" s="30"/>
      <c r="AO1658" s="30"/>
      <c r="AP1658" s="30"/>
      <c r="AQ1658" s="38"/>
      <c r="AR1658" s="30"/>
      <c r="AS1658" s="30"/>
      <c r="AT1658" s="29"/>
      <c r="AU1658" s="30"/>
      <c r="AV1658" s="30"/>
      <c r="AW1658" s="30"/>
      <c r="AX1658" s="29"/>
      <c r="AY1658" s="39"/>
      <c r="AZ1658" s="30"/>
      <c r="BA1658" s="30"/>
      <c r="BB1658" s="29"/>
      <c r="BC1658" s="52"/>
      <c r="BD1658" s="30"/>
      <c r="BE1658" s="29"/>
      <c r="BF1658" s="30"/>
      <c r="BG1658" s="30"/>
      <c r="BH1658" s="30"/>
      <c r="BI1658" s="30"/>
      <c r="BJ1658" s="30"/>
      <c r="BK1658" s="30"/>
      <c r="BL1658" s="30"/>
      <c r="BM1658" s="30"/>
      <c r="BN1658" s="30"/>
      <c r="BO1658" s="30"/>
      <c r="BP1658" s="30"/>
      <c r="BQ1658" s="30"/>
      <c r="BR1658" s="30"/>
      <c r="BS1658" s="30"/>
      <c r="BT1658" s="30"/>
      <c r="BU1658" s="30"/>
      <c r="BV1658" s="30"/>
      <c r="BW1658" s="30"/>
      <c r="BX1658" s="30"/>
      <c r="BY1658" s="30"/>
      <c r="BZ1658" s="30"/>
      <c r="CA1658" s="30"/>
      <c r="CB1658" s="30"/>
      <c r="CC1658" s="30"/>
      <c r="CD1658" s="30"/>
      <c r="CE1658" s="30"/>
      <c r="CF1658" s="30"/>
      <c r="CG1658" s="30"/>
      <c r="CH1658" s="30"/>
      <c r="CI1658" s="30"/>
      <c r="CJ1658" s="30"/>
      <c r="CK1658" s="30"/>
      <c r="CL1658" s="30"/>
      <c r="CM1658" s="30"/>
      <c r="CN1658" s="30"/>
      <c r="CO1658" s="30"/>
      <c r="CP1658" s="30"/>
      <c r="CQ1658" s="30"/>
      <c r="CR1658" s="30"/>
      <c r="CS1658" s="30"/>
      <c r="CT1658" s="30"/>
      <c r="CU1658" s="30"/>
      <c r="CV1658" s="30"/>
      <c r="CW1658" s="30"/>
      <c r="CX1658" s="30"/>
      <c r="CY1658" s="30"/>
      <c r="CZ1658" s="30"/>
      <c r="DA1658" s="30"/>
      <c r="DB1658" s="30"/>
      <c r="DC1658" s="30"/>
      <c r="DD1658" s="30"/>
      <c r="DE1658" s="30"/>
      <c r="DF1658" s="30"/>
      <c r="DG1658" s="30"/>
      <c r="DH1658" s="30"/>
      <c r="DI1658" s="30"/>
      <c r="DJ1658" s="30"/>
      <c r="DK1658" s="30"/>
      <c r="DL1658" s="30"/>
      <c r="DM1658" s="30"/>
      <c r="DN1658" s="30"/>
      <c r="DO1658" s="30"/>
      <c r="DP1658" s="30"/>
      <c r="DQ1658" s="30"/>
      <c r="DR1658" s="30"/>
      <c r="DS1658" s="30"/>
      <c r="DT1658" s="30"/>
      <c r="DU1658" s="30"/>
      <c r="DV1658" s="30"/>
      <c r="DW1658" s="30"/>
      <c r="DX1658" s="30"/>
      <c r="DY1658" s="30"/>
      <c r="DZ1658" s="30"/>
    </row>
    <row r="1659">
      <c r="A1659" s="30"/>
      <c r="B1659" s="42"/>
      <c r="C1659" s="43"/>
      <c r="D1659" s="30"/>
      <c r="E1659" s="28"/>
      <c r="F1659" s="30"/>
      <c r="G1659" s="30"/>
      <c r="H1659" s="30"/>
      <c r="I1659" s="30"/>
      <c r="J1659" s="28"/>
      <c r="K1659" s="30"/>
      <c r="L1659" s="30"/>
      <c r="M1659" s="30"/>
      <c r="N1659" s="30"/>
      <c r="O1659" s="28"/>
      <c r="P1659" s="30"/>
      <c r="Q1659" s="30"/>
      <c r="R1659" s="30"/>
      <c r="S1659" s="36"/>
      <c r="T1659" s="30"/>
      <c r="U1659" s="36"/>
      <c r="V1659" s="30"/>
      <c r="W1659" s="28"/>
      <c r="X1659" s="30"/>
      <c r="Y1659" s="30"/>
      <c r="Z1659" s="30"/>
      <c r="AA1659" s="30"/>
      <c r="AB1659" s="30"/>
      <c r="AC1659" s="28"/>
      <c r="AD1659" s="30"/>
      <c r="AE1659" s="30"/>
      <c r="AF1659" s="30"/>
      <c r="AG1659" s="29"/>
      <c r="AH1659" s="30"/>
      <c r="AI1659" s="36"/>
      <c r="AJ1659" s="30"/>
      <c r="AK1659" s="29"/>
      <c r="AL1659" s="30"/>
      <c r="AM1659" s="30"/>
      <c r="AN1659" s="30"/>
      <c r="AO1659" s="30"/>
      <c r="AP1659" s="30"/>
      <c r="AQ1659" s="38"/>
      <c r="AR1659" s="30"/>
      <c r="AS1659" s="30"/>
      <c r="AT1659" s="29"/>
      <c r="AU1659" s="30"/>
      <c r="AV1659" s="30"/>
      <c r="AW1659" s="30"/>
      <c r="AX1659" s="29"/>
      <c r="AY1659" s="39"/>
      <c r="AZ1659" s="30"/>
      <c r="BA1659" s="30"/>
      <c r="BB1659" s="29"/>
      <c r="BC1659" s="52"/>
      <c r="BD1659" s="30"/>
      <c r="BE1659" s="29"/>
      <c r="BF1659" s="30"/>
      <c r="BG1659" s="30"/>
      <c r="BH1659" s="30"/>
      <c r="BI1659" s="30"/>
      <c r="BJ1659" s="30"/>
      <c r="BK1659" s="30"/>
      <c r="BL1659" s="30"/>
      <c r="BM1659" s="30"/>
      <c r="BN1659" s="30"/>
      <c r="BO1659" s="30"/>
      <c r="BP1659" s="30"/>
      <c r="BQ1659" s="30"/>
      <c r="BR1659" s="30"/>
      <c r="BS1659" s="30"/>
      <c r="BT1659" s="30"/>
      <c r="BU1659" s="30"/>
      <c r="BV1659" s="30"/>
      <c r="BW1659" s="30"/>
      <c r="BX1659" s="30"/>
      <c r="BY1659" s="30"/>
      <c r="BZ1659" s="30"/>
      <c r="CA1659" s="30"/>
      <c r="CB1659" s="30"/>
      <c r="CC1659" s="30"/>
      <c r="CD1659" s="30"/>
      <c r="CE1659" s="30"/>
      <c r="CF1659" s="30"/>
      <c r="CG1659" s="30"/>
      <c r="CH1659" s="30"/>
      <c r="CI1659" s="30"/>
      <c r="CJ1659" s="30"/>
      <c r="CK1659" s="30"/>
      <c r="CL1659" s="30"/>
      <c r="CM1659" s="30"/>
      <c r="CN1659" s="30"/>
      <c r="CO1659" s="30"/>
      <c r="CP1659" s="30"/>
      <c r="CQ1659" s="30"/>
      <c r="CR1659" s="30"/>
      <c r="CS1659" s="30"/>
      <c r="CT1659" s="30"/>
      <c r="CU1659" s="30"/>
      <c r="CV1659" s="30"/>
      <c r="CW1659" s="30"/>
      <c r="CX1659" s="30"/>
      <c r="CY1659" s="30"/>
      <c r="CZ1659" s="30"/>
      <c r="DA1659" s="30"/>
      <c r="DB1659" s="30"/>
      <c r="DC1659" s="30"/>
      <c r="DD1659" s="30"/>
      <c r="DE1659" s="30"/>
      <c r="DF1659" s="30"/>
      <c r="DG1659" s="30"/>
      <c r="DH1659" s="30"/>
      <c r="DI1659" s="30"/>
      <c r="DJ1659" s="30"/>
      <c r="DK1659" s="30"/>
      <c r="DL1659" s="30"/>
      <c r="DM1659" s="30"/>
      <c r="DN1659" s="30"/>
      <c r="DO1659" s="30"/>
      <c r="DP1659" s="30"/>
      <c r="DQ1659" s="30"/>
      <c r="DR1659" s="30"/>
      <c r="DS1659" s="30"/>
      <c r="DT1659" s="30"/>
      <c r="DU1659" s="30"/>
      <c r="DV1659" s="30"/>
      <c r="DW1659" s="30"/>
      <c r="DX1659" s="30"/>
      <c r="DY1659" s="30"/>
      <c r="DZ1659" s="30"/>
    </row>
    <row r="1660">
      <c r="A1660" s="30"/>
      <c r="B1660" s="42"/>
      <c r="C1660" s="43"/>
      <c r="D1660" s="30"/>
      <c r="E1660" s="28"/>
      <c r="F1660" s="30"/>
      <c r="G1660" s="30"/>
      <c r="H1660" s="30"/>
      <c r="I1660" s="30"/>
      <c r="J1660" s="28"/>
      <c r="K1660" s="30"/>
      <c r="L1660" s="30"/>
      <c r="M1660" s="30"/>
      <c r="N1660" s="30"/>
      <c r="O1660" s="28"/>
      <c r="P1660" s="30"/>
      <c r="Q1660" s="30"/>
      <c r="R1660" s="30"/>
      <c r="S1660" s="36"/>
      <c r="T1660" s="30"/>
      <c r="U1660" s="36"/>
      <c r="V1660" s="30"/>
      <c r="W1660" s="28"/>
      <c r="X1660" s="30"/>
      <c r="Y1660" s="30"/>
      <c r="Z1660" s="30"/>
      <c r="AA1660" s="30"/>
      <c r="AB1660" s="30"/>
      <c r="AC1660" s="28"/>
      <c r="AD1660" s="30"/>
      <c r="AE1660" s="30"/>
      <c r="AF1660" s="30"/>
      <c r="AG1660" s="29"/>
      <c r="AH1660" s="30"/>
      <c r="AI1660" s="36"/>
      <c r="AJ1660" s="30"/>
      <c r="AK1660" s="29"/>
      <c r="AL1660" s="30"/>
      <c r="AM1660" s="30"/>
      <c r="AN1660" s="30"/>
      <c r="AO1660" s="30"/>
      <c r="AP1660" s="30"/>
      <c r="AQ1660" s="38"/>
      <c r="AR1660" s="30"/>
      <c r="AS1660" s="30"/>
      <c r="AT1660" s="29"/>
      <c r="AU1660" s="30"/>
      <c r="AV1660" s="30"/>
      <c r="AW1660" s="30"/>
      <c r="AX1660" s="29"/>
      <c r="AY1660" s="39"/>
      <c r="AZ1660" s="30"/>
      <c r="BA1660" s="30"/>
      <c r="BB1660" s="29"/>
      <c r="BC1660" s="52"/>
      <c r="BD1660" s="30"/>
      <c r="BE1660" s="29"/>
      <c r="BF1660" s="30"/>
      <c r="BG1660" s="30"/>
      <c r="BH1660" s="30"/>
      <c r="BI1660" s="30"/>
      <c r="BJ1660" s="30"/>
      <c r="BK1660" s="30"/>
      <c r="BL1660" s="30"/>
      <c r="BM1660" s="30"/>
      <c r="BN1660" s="30"/>
      <c r="BO1660" s="30"/>
      <c r="BP1660" s="30"/>
      <c r="BQ1660" s="30"/>
      <c r="BR1660" s="30"/>
      <c r="BS1660" s="30"/>
      <c r="BT1660" s="30"/>
      <c r="BU1660" s="30"/>
      <c r="BV1660" s="30"/>
      <c r="BW1660" s="30"/>
      <c r="BX1660" s="30"/>
      <c r="BY1660" s="30"/>
      <c r="BZ1660" s="30"/>
      <c r="CA1660" s="30"/>
      <c r="CB1660" s="30"/>
      <c r="CC1660" s="30"/>
      <c r="CD1660" s="30"/>
      <c r="CE1660" s="30"/>
      <c r="CF1660" s="30"/>
      <c r="CG1660" s="30"/>
      <c r="CH1660" s="30"/>
      <c r="CI1660" s="30"/>
      <c r="CJ1660" s="30"/>
      <c r="CK1660" s="30"/>
      <c r="CL1660" s="30"/>
      <c r="CM1660" s="30"/>
      <c r="CN1660" s="30"/>
      <c r="CO1660" s="30"/>
      <c r="CP1660" s="30"/>
      <c r="CQ1660" s="30"/>
      <c r="CR1660" s="30"/>
      <c r="CS1660" s="30"/>
      <c r="CT1660" s="30"/>
      <c r="CU1660" s="30"/>
      <c r="CV1660" s="30"/>
      <c r="CW1660" s="30"/>
      <c r="CX1660" s="30"/>
      <c r="CY1660" s="30"/>
      <c r="CZ1660" s="30"/>
      <c r="DA1660" s="30"/>
      <c r="DB1660" s="30"/>
      <c r="DC1660" s="30"/>
      <c r="DD1660" s="30"/>
      <c r="DE1660" s="30"/>
      <c r="DF1660" s="30"/>
      <c r="DG1660" s="30"/>
      <c r="DH1660" s="30"/>
      <c r="DI1660" s="30"/>
      <c r="DJ1660" s="30"/>
      <c r="DK1660" s="30"/>
      <c r="DL1660" s="30"/>
      <c r="DM1660" s="30"/>
      <c r="DN1660" s="30"/>
      <c r="DO1660" s="30"/>
      <c r="DP1660" s="30"/>
      <c r="DQ1660" s="30"/>
      <c r="DR1660" s="30"/>
      <c r="DS1660" s="30"/>
      <c r="DT1660" s="30"/>
      <c r="DU1660" s="30"/>
      <c r="DV1660" s="30"/>
      <c r="DW1660" s="30"/>
      <c r="DX1660" s="30"/>
      <c r="DY1660" s="30"/>
      <c r="DZ1660" s="30"/>
    </row>
    <row r="1661">
      <c r="A1661" s="30"/>
      <c r="B1661" s="42"/>
      <c r="C1661" s="43"/>
      <c r="D1661" s="30"/>
      <c r="E1661" s="28"/>
      <c r="F1661" s="30"/>
      <c r="G1661" s="30"/>
      <c r="H1661" s="30"/>
      <c r="I1661" s="30"/>
      <c r="J1661" s="28"/>
      <c r="K1661" s="30"/>
      <c r="L1661" s="30"/>
      <c r="M1661" s="30"/>
      <c r="N1661" s="30"/>
      <c r="O1661" s="28"/>
      <c r="P1661" s="30"/>
      <c r="Q1661" s="30"/>
      <c r="R1661" s="30"/>
      <c r="S1661" s="36"/>
      <c r="T1661" s="30"/>
      <c r="U1661" s="36"/>
      <c r="V1661" s="30"/>
      <c r="W1661" s="28"/>
      <c r="X1661" s="30"/>
      <c r="Y1661" s="30"/>
      <c r="Z1661" s="30"/>
      <c r="AA1661" s="30"/>
      <c r="AB1661" s="30"/>
      <c r="AC1661" s="28"/>
      <c r="AD1661" s="30"/>
      <c r="AE1661" s="30"/>
      <c r="AF1661" s="30"/>
      <c r="AG1661" s="29"/>
      <c r="AH1661" s="30"/>
      <c r="AI1661" s="36"/>
      <c r="AJ1661" s="30"/>
      <c r="AK1661" s="29"/>
      <c r="AL1661" s="30"/>
      <c r="AM1661" s="30"/>
      <c r="AN1661" s="30"/>
      <c r="AO1661" s="30"/>
      <c r="AP1661" s="30"/>
      <c r="AQ1661" s="38"/>
      <c r="AR1661" s="30"/>
      <c r="AS1661" s="30"/>
      <c r="AT1661" s="29"/>
      <c r="AU1661" s="30"/>
      <c r="AV1661" s="30"/>
      <c r="AW1661" s="30"/>
      <c r="AX1661" s="29"/>
      <c r="AY1661" s="39"/>
      <c r="AZ1661" s="30"/>
      <c r="BA1661" s="30"/>
      <c r="BB1661" s="29"/>
      <c r="BC1661" s="52"/>
      <c r="BD1661" s="30"/>
      <c r="BE1661" s="29"/>
      <c r="BF1661" s="30"/>
      <c r="BG1661" s="30"/>
      <c r="BH1661" s="30"/>
      <c r="BI1661" s="30"/>
      <c r="BJ1661" s="30"/>
      <c r="BK1661" s="30"/>
      <c r="BL1661" s="30"/>
      <c r="BM1661" s="30"/>
      <c r="BN1661" s="30"/>
      <c r="BO1661" s="30"/>
      <c r="BP1661" s="30"/>
      <c r="BQ1661" s="30"/>
      <c r="BR1661" s="30"/>
      <c r="BS1661" s="30"/>
      <c r="BT1661" s="30"/>
      <c r="BU1661" s="30"/>
      <c r="BV1661" s="30"/>
      <c r="BW1661" s="30"/>
      <c r="BX1661" s="30"/>
      <c r="BY1661" s="30"/>
      <c r="BZ1661" s="30"/>
      <c r="CA1661" s="30"/>
      <c r="CB1661" s="30"/>
      <c r="CC1661" s="30"/>
      <c r="CD1661" s="30"/>
      <c r="CE1661" s="30"/>
      <c r="CF1661" s="30"/>
      <c r="CG1661" s="30"/>
      <c r="CH1661" s="30"/>
      <c r="CI1661" s="30"/>
      <c r="CJ1661" s="30"/>
      <c r="CK1661" s="30"/>
      <c r="CL1661" s="30"/>
      <c r="CM1661" s="30"/>
      <c r="CN1661" s="30"/>
      <c r="CO1661" s="30"/>
      <c r="CP1661" s="30"/>
      <c r="CQ1661" s="30"/>
      <c r="CR1661" s="30"/>
      <c r="CS1661" s="30"/>
      <c r="CT1661" s="30"/>
      <c r="CU1661" s="30"/>
      <c r="CV1661" s="30"/>
      <c r="CW1661" s="30"/>
      <c r="CX1661" s="30"/>
      <c r="CY1661" s="30"/>
      <c r="CZ1661" s="30"/>
      <c r="DA1661" s="30"/>
      <c r="DB1661" s="30"/>
      <c r="DC1661" s="30"/>
      <c r="DD1661" s="30"/>
      <c r="DE1661" s="30"/>
      <c r="DF1661" s="30"/>
      <c r="DG1661" s="30"/>
      <c r="DH1661" s="30"/>
      <c r="DI1661" s="30"/>
      <c r="DJ1661" s="30"/>
      <c r="DK1661" s="30"/>
      <c r="DL1661" s="30"/>
      <c r="DM1661" s="30"/>
      <c r="DN1661" s="30"/>
      <c r="DO1661" s="30"/>
      <c r="DP1661" s="30"/>
      <c r="DQ1661" s="30"/>
      <c r="DR1661" s="30"/>
      <c r="DS1661" s="30"/>
      <c r="DT1661" s="30"/>
      <c r="DU1661" s="30"/>
      <c r="DV1661" s="30"/>
      <c r="DW1661" s="30"/>
      <c r="DX1661" s="30"/>
      <c r="DY1661" s="30"/>
      <c r="DZ1661" s="30"/>
    </row>
    <row r="1662">
      <c r="A1662" s="30"/>
      <c r="B1662" s="42"/>
      <c r="C1662" s="43"/>
      <c r="D1662" s="30"/>
      <c r="E1662" s="28"/>
      <c r="F1662" s="30"/>
      <c r="G1662" s="30"/>
      <c r="H1662" s="30"/>
      <c r="I1662" s="30"/>
      <c r="J1662" s="28"/>
      <c r="K1662" s="30"/>
      <c r="L1662" s="30"/>
      <c r="M1662" s="30"/>
      <c r="N1662" s="30"/>
      <c r="O1662" s="28"/>
      <c r="P1662" s="30"/>
      <c r="Q1662" s="30"/>
      <c r="R1662" s="30"/>
      <c r="S1662" s="36"/>
      <c r="T1662" s="30"/>
      <c r="U1662" s="36"/>
      <c r="V1662" s="30"/>
      <c r="W1662" s="28"/>
      <c r="X1662" s="30"/>
      <c r="Y1662" s="30"/>
      <c r="Z1662" s="30"/>
      <c r="AA1662" s="30"/>
      <c r="AB1662" s="30"/>
      <c r="AC1662" s="28"/>
      <c r="AD1662" s="30"/>
      <c r="AE1662" s="30"/>
      <c r="AF1662" s="30"/>
      <c r="AG1662" s="29"/>
      <c r="AH1662" s="30"/>
      <c r="AI1662" s="36"/>
      <c r="AJ1662" s="30"/>
      <c r="AK1662" s="29"/>
      <c r="AL1662" s="30"/>
      <c r="AM1662" s="30"/>
      <c r="AN1662" s="30"/>
      <c r="AO1662" s="30"/>
      <c r="AP1662" s="30"/>
      <c r="AQ1662" s="38"/>
      <c r="AR1662" s="30"/>
      <c r="AS1662" s="30"/>
      <c r="AT1662" s="29"/>
      <c r="AU1662" s="30"/>
      <c r="AV1662" s="30"/>
      <c r="AW1662" s="30"/>
      <c r="AX1662" s="29"/>
      <c r="AY1662" s="39"/>
      <c r="AZ1662" s="30"/>
      <c r="BA1662" s="30"/>
      <c r="BB1662" s="29"/>
      <c r="BC1662" s="52"/>
      <c r="BD1662" s="30"/>
      <c r="BE1662" s="29"/>
      <c r="BF1662" s="30"/>
      <c r="BG1662" s="30"/>
      <c r="BH1662" s="30"/>
      <c r="BI1662" s="30"/>
      <c r="BJ1662" s="30"/>
      <c r="BK1662" s="30"/>
      <c r="BL1662" s="30"/>
      <c r="BM1662" s="30"/>
      <c r="BN1662" s="30"/>
      <c r="BO1662" s="30"/>
      <c r="BP1662" s="30"/>
      <c r="BQ1662" s="30"/>
      <c r="BR1662" s="30"/>
      <c r="BS1662" s="30"/>
      <c r="BT1662" s="30"/>
      <c r="BU1662" s="30"/>
      <c r="BV1662" s="30"/>
      <c r="BW1662" s="30"/>
      <c r="BX1662" s="30"/>
      <c r="BY1662" s="30"/>
      <c r="BZ1662" s="30"/>
      <c r="CA1662" s="30"/>
      <c r="CB1662" s="30"/>
      <c r="CC1662" s="30"/>
      <c r="CD1662" s="30"/>
      <c r="CE1662" s="30"/>
      <c r="CF1662" s="30"/>
      <c r="CG1662" s="30"/>
      <c r="CH1662" s="30"/>
      <c r="CI1662" s="30"/>
      <c r="CJ1662" s="30"/>
      <c r="CK1662" s="30"/>
      <c r="CL1662" s="30"/>
      <c r="CM1662" s="30"/>
      <c r="CN1662" s="30"/>
      <c r="CO1662" s="30"/>
      <c r="CP1662" s="30"/>
      <c r="CQ1662" s="30"/>
      <c r="CR1662" s="30"/>
      <c r="CS1662" s="30"/>
      <c r="CT1662" s="30"/>
      <c r="CU1662" s="30"/>
      <c r="CV1662" s="30"/>
      <c r="CW1662" s="30"/>
      <c r="CX1662" s="30"/>
      <c r="CY1662" s="30"/>
      <c r="CZ1662" s="30"/>
      <c r="DA1662" s="30"/>
      <c r="DB1662" s="30"/>
      <c r="DC1662" s="30"/>
      <c r="DD1662" s="30"/>
      <c r="DE1662" s="30"/>
      <c r="DF1662" s="30"/>
      <c r="DG1662" s="30"/>
      <c r="DH1662" s="30"/>
      <c r="DI1662" s="30"/>
      <c r="DJ1662" s="30"/>
      <c r="DK1662" s="30"/>
      <c r="DL1662" s="30"/>
      <c r="DM1662" s="30"/>
      <c r="DN1662" s="30"/>
      <c r="DO1662" s="30"/>
      <c r="DP1662" s="30"/>
      <c r="DQ1662" s="30"/>
      <c r="DR1662" s="30"/>
      <c r="DS1662" s="30"/>
      <c r="DT1662" s="30"/>
      <c r="DU1662" s="30"/>
      <c r="DV1662" s="30"/>
      <c r="DW1662" s="30"/>
      <c r="DX1662" s="30"/>
      <c r="DY1662" s="30"/>
      <c r="DZ1662" s="30"/>
    </row>
    <row r="1663">
      <c r="A1663" s="30"/>
      <c r="B1663" s="42"/>
      <c r="C1663" s="43"/>
      <c r="D1663" s="30"/>
      <c r="E1663" s="28"/>
      <c r="F1663" s="30"/>
      <c r="G1663" s="30"/>
      <c r="H1663" s="30"/>
      <c r="I1663" s="30"/>
      <c r="J1663" s="28"/>
      <c r="K1663" s="30"/>
      <c r="L1663" s="30"/>
      <c r="M1663" s="30"/>
      <c r="N1663" s="30"/>
      <c r="O1663" s="28"/>
      <c r="P1663" s="30"/>
      <c r="Q1663" s="30"/>
      <c r="R1663" s="30"/>
      <c r="S1663" s="36"/>
      <c r="T1663" s="30"/>
      <c r="U1663" s="36"/>
      <c r="V1663" s="30"/>
      <c r="W1663" s="28"/>
      <c r="X1663" s="30"/>
      <c r="Y1663" s="30"/>
      <c r="Z1663" s="30"/>
      <c r="AA1663" s="30"/>
      <c r="AB1663" s="30"/>
      <c r="AC1663" s="28"/>
      <c r="AD1663" s="30"/>
      <c r="AE1663" s="30"/>
      <c r="AF1663" s="30"/>
      <c r="AG1663" s="29"/>
      <c r="AH1663" s="30"/>
      <c r="AI1663" s="36"/>
      <c r="AJ1663" s="30"/>
      <c r="AK1663" s="29"/>
      <c r="AL1663" s="30"/>
      <c r="AM1663" s="30"/>
      <c r="AN1663" s="30"/>
      <c r="AO1663" s="30"/>
      <c r="AP1663" s="30"/>
      <c r="AQ1663" s="38"/>
      <c r="AR1663" s="30"/>
      <c r="AS1663" s="30"/>
      <c r="AT1663" s="29"/>
      <c r="AU1663" s="30"/>
      <c r="AV1663" s="30"/>
      <c r="AW1663" s="30"/>
      <c r="AX1663" s="29"/>
      <c r="AY1663" s="39"/>
      <c r="AZ1663" s="30"/>
      <c r="BA1663" s="30"/>
      <c r="BB1663" s="29"/>
      <c r="BC1663" s="52"/>
      <c r="BD1663" s="30"/>
      <c r="BE1663" s="29"/>
      <c r="BF1663" s="30"/>
      <c r="BG1663" s="30"/>
      <c r="BH1663" s="30"/>
      <c r="BI1663" s="30"/>
      <c r="BJ1663" s="30"/>
      <c r="BK1663" s="30"/>
      <c r="BL1663" s="30"/>
      <c r="BM1663" s="30"/>
      <c r="BN1663" s="30"/>
      <c r="BO1663" s="30"/>
      <c r="BP1663" s="30"/>
      <c r="BQ1663" s="30"/>
      <c r="BR1663" s="30"/>
      <c r="BS1663" s="30"/>
      <c r="BT1663" s="30"/>
      <c r="BU1663" s="30"/>
      <c r="BV1663" s="30"/>
      <c r="BW1663" s="30"/>
      <c r="BX1663" s="30"/>
      <c r="BY1663" s="30"/>
      <c r="BZ1663" s="30"/>
      <c r="CA1663" s="30"/>
      <c r="CB1663" s="30"/>
      <c r="CC1663" s="30"/>
      <c r="CD1663" s="30"/>
      <c r="CE1663" s="30"/>
      <c r="CF1663" s="30"/>
      <c r="CG1663" s="30"/>
      <c r="CH1663" s="30"/>
      <c r="CI1663" s="30"/>
      <c r="CJ1663" s="30"/>
      <c r="CK1663" s="30"/>
      <c r="CL1663" s="30"/>
      <c r="CM1663" s="30"/>
      <c r="CN1663" s="30"/>
      <c r="CO1663" s="30"/>
      <c r="CP1663" s="30"/>
      <c r="CQ1663" s="30"/>
      <c r="CR1663" s="30"/>
      <c r="CS1663" s="30"/>
      <c r="CT1663" s="30"/>
      <c r="CU1663" s="30"/>
      <c r="CV1663" s="30"/>
      <c r="CW1663" s="30"/>
      <c r="CX1663" s="30"/>
      <c r="CY1663" s="30"/>
      <c r="CZ1663" s="30"/>
      <c r="DA1663" s="30"/>
      <c r="DB1663" s="30"/>
      <c r="DC1663" s="30"/>
      <c r="DD1663" s="30"/>
      <c r="DE1663" s="30"/>
      <c r="DF1663" s="30"/>
      <c r="DG1663" s="30"/>
      <c r="DH1663" s="30"/>
      <c r="DI1663" s="30"/>
      <c r="DJ1663" s="30"/>
      <c r="DK1663" s="30"/>
      <c r="DL1663" s="30"/>
      <c r="DM1663" s="30"/>
      <c r="DN1663" s="30"/>
      <c r="DO1663" s="30"/>
      <c r="DP1663" s="30"/>
      <c r="DQ1663" s="30"/>
      <c r="DR1663" s="30"/>
      <c r="DS1663" s="30"/>
      <c r="DT1663" s="30"/>
      <c r="DU1663" s="30"/>
      <c r="DV1663" s="30"/>
      <c r="DW1663" s="30"/>
      <c r="DX1663" s="30"/>
      <c r="DY1663" s="30"/>
      <c r="DZ1663" s="30"/>
    </row>
    <row r="1664">
      <c r="A1664" s="30"/>
      <c r="B1664" s="42"/>
      <c r="C1664" s="43"/>
      <c r="D1664" s="30"/>
      <c r="E1664" s="28"/>
      <c r="F1664" s="30"/>
      <c r="G1664" s="30"/>
      <c r="H1664" s="30"/>
      <c r="I1664" s="30"/>
      <c r="J1664" s="28"/>
      <c r="K1664" s="30"/>
      <c r="L1664" s="30"/>
      <c r="M1664" s="30"/>
      <c r="N1664" s="30"/>
      <c r="O1664" s="28"/>
      <c r="P1664" s="30"/>
      <c r="Q1664" s="30"/>
      <c r="R1664" s="30"/>
      <c r="S1664" s="36"/>
      <c r="T1664" s="30"/>
      <c r="U1664" s="36"/>
      <c r="V1664" s="30"/>
      <c r="W1664" s="28"/>
      <c r="X1664" s="30"/>
      <c r="Y1664" s="30"/>
      <c r="Z1664" s="30"/>
      <c r="AA1664" s="30"/>
      <c r="AB1664" s="30"/>
      <c r="AC1664" s="28"/>
      <c r="AD1664" s="30"/>
      <c r="AE1664" s="30"/>
      <c r="AF1664" s="30"/>
      <c r="AG1664" s="29"/>
      <c r="AH1664" s="30"/>
      <c r="AI1664" s="36"/>
      <c r="AJ1664" s="30"/>
      <c r="AK1664" s="29"/>
      <c r="AL1664" s="30"/>
      <c r="AM1664" s="30"/>
      <c r="AN1664" s="30"/>
      <c r="AO1664" s="30"/>
      <c r="AP1664" s="30"/>
      <c r="AQ1664" s="38"/>
      <c r="AR1664" s="30"/>
      <c r="AS1664" s="30"/>
      <c r="AT1664" s="29"/>
      <c r="AU1664" s="30"/>
      <c r="AV1664" s="30"/>
      <c r="AW1664" s="30"/>
      <c r="AX1664" s="29"/>
      <c r="AY1664" s="39"/>
      <c r="AZ1664" s="30"/>
      <c r="BA1664" s="30"/>
      <c r="BB1664" s="29"/>
      <c r="BC1664" s="52"/>
      <c r="BD1664" s="30"/>
      <c r="BE1664" s="29"/>
      <c r="BF1664" s="30"/>
      <c r="BG1664" s="30"/>
      <c r="BH1664" s="30"/>
      <c r="BI1664" s="30"/>
      <c r="BJ1664" s="30"/>
      <c r="BK1664" s="30"/>
      <c r="BL1664" s="30"/>
      <c r="BM1664" s="30"/>
      <c r="BN1664" s="30"/>
      <c r="BO1664" s="30"/>
      <c r="BP1664" s="30"/>
      <c r="BQ1664" s="30"/>
      <c r="BR1664" s="30"/>
      <c r="BS1664" s="30"/>
      <c r="BT1664" s="30"/>
      <c r="BU1664" s="30"/>
      <c r="BV1664" s="30"/>
      <c r="BW1664" s="30"/>
      <c r="BX1664" s="30"/>
      <c r="BY1664" s="30"/>
      <c r="BZ1664" s="30"/>
      <c r="CA1664" s="30"/>
      <c r="CB1664" s="30"/>
      <c r="CC1664" s="30"/>
      <c r="CD1664" s="30"/>
      <c r="CE1664" s="30"/>
      <c r="CF1664" s="30"/>
      <c r="CG1664" s="30"/>
      <c r="CH1664" s="30"/>
      <c r="CI1664" s="30"/>
      <c r="CJ1664" s="30"/>
      <c r="CK1664" s="30"/>
      <c r="CL1664" s="30"/>
      <c r="CM1664" s="30"/>
      <c r="CN1664" s="30"/>
      <c r="CO1664" s="30"/>
      <c r="CP1664" s="30"/>
      <c r="CQ1664" s="30"/>
      <c r="CR1664" s="30"/>
      <c r="CS1664" s="30"/>
      <c r="CT1664" s="30"/>
      <c r="CU1664" s="30"/>
      <c r="CV1664" s="30"/>
      <c r="CW1664" s="30"/>
      <c r="CX1664" s="30"/>
      <c r="CY1664" s="30"/>
      <c r="CZ1664" s="30"/>
      <c r="DA1664" s="30"/>
      <c r="DB1664" s="30"/>
      <c r="DC1664" s="30"/>
      <c r="DD1664" s="30"/>
      <c r="DE1664" s="30"/>
      <c r="DF1664" s="30"/>
      <c r="DG1664" s="30"/>
      <c r="DH1664" s="30"/>
      <c r="DI1664" s="30"/>
      <c r="DJ1664" s="30"/>
      <c r="DK1664" s="30"/>
      <c r="DL1664" s="30"/>
      <c r="DM1664" s="30"/>
      <c r="DN1664" s="30"/>
      <c r="DO1664" s="30"/>
      <c r="DP1664" s="30"/>
      <c r="DQ1664" s="30"/>
      <c r="DR1664" s="30"/>
      <c r="DS1664" s="30"/>
      <c r="DT1664" s="30"/>
      <c r="DU1664" s="30"/>
      <c r="DV1664" s="30"/>
      <c r="DW1664" s="30"/>
      <c r="DX1664" s="30"/>
      <c r="DY1664" s="30"/>
      <c r="DZ1664" s="30"/>
    </row>
    <row r="1665">
      <c r="A1665" s="30"/>
      <c r="B1665" s="42"/>
      <c r="C1665" s="43"/>
      <c r="D1665" s="30"/>
      <c r="E1665" s="28"/>
      <c r="F1665" s="30"/>
      <c r="G1665" s="30"/>
      <c r="H1665" s="30"/>
      <c r="I1665" s="30"/>
      <c r="J1665" s="28"/>
      <c r="K1665" s="30"/>
      <c r="L1665" s="30"/>
      <c r="M1665" s="30"/>
      <c r="N1665" s="30"/>
      <c r="O1665" s="28"/>
      <c r="P1665" s="30"/>
      <c r="Q1665" s="30"/>
      <c r="R1665" s="30"/>
      <c r="S1665" s="36"/>
      <c r="T1665" s="30"/>
      <c r="U1665" s="36"/>
      <c r="V1665" s="30"/>
      <c r="W1665" s="28"/>
      <c r="X1665" s="30"/>
      <c r="Y1665" s="30"/>
      <c r="Z1665" s="30"/>
      <c r="AA1665" s="30"/>
      <c r="AB1665" s="30"/>
      <c r="AC1665" s="28"/>
      <c r="AD1665" s="30"/>
      <c r="AE1665" s="30"/>
      <c r="AF1665" s="30"/>
      <c r="AG1665" s="29"/>
      <c r="AH1665" s="30"/>
      <c r="AI1665" s="36"/>
      <c r="AJ1665" s="30"/>
      <c r="AK1665" s="29"/>
      <c r="AL1665" s="30"/>
      <c r="AM1665" s="30"/>
      <c r="AN1665" s="30"/>
      <c r="AO1665" s="30"/>
      <c r="AP1665" s="30"/>
      <c r="AQ1665" s="38"/>
      <c r="AR1665" s="30"/>
      <c r="AS1665" s="30"/>
      <c r="AT1665" s="29"/>
      <c r="AU1665" s="30"/>
      <c r="AV1665" s="30"/>
      <c r="AW1665" s="30"/>
      <c r="AX1665" s="29"/>
      <c r="AY1665" s="39"/>
      <c r="AZ1665" s="30"/>
      <c r="BA1665" s="30"/>
      <c r="BB1665" s="29"/>
      <c r="BC1665" s="52"/>
      <c r="BD1665" s="30"/>
      <c r="BE1665" s="29"/>
      <c r="BF1665" s="30"/>
      <c r="BG1665" s="30"/>
      <c r="BH1665" s="30"/>
      <c r="BI1665" s="30"/>
      <c r="BJ1665" s="30"/>
      <c r="BK1665" s="30"/>
      <c r="BL1665" s="30"/>
      <c r="BM1665" s="30"/>
      <c r="BN1665" s="30"/>
      <c r="BO1665" s="30"/>
      <c r="BP1665" s="30"/>
      <c r="BQ1665" s="30"/>
      <c r="BR1665" s="30"/>
      <c r="BS1665" s="30"/>
      <c r="BT1665" s="30"/>
      <c r="BU1665" s="30"/>
      <c r="BV1665" s="30"/>
      <c r="BW1665" s="30"/>
      <c r="BX1665" s="30"/>
      <c r="BY1665" s="30"/>
      <c r="BZ1665" s="30"/>
      <c r="CA1665" s="30"/>
      <c r="CB1665" s="30"/>
      <c r="CC1665" s="30"/>
      <c r="CD1665" s="30"/>
      <c r="CE1665" s="30"/>
      <c r="CF1665" s="30"/>
      <c r="CG1665" s="30"/>
      <c r="CH1665" s="30"/>
      <c r="CI1665" s="30"/>
      <c r="CJ1665" s="30"/>
      <c r="CK1665" s="30"/>
      <c r="CL1665" s="30"/>
      <c r="CM1665" s="30"/>
      <c r="CN1665" s="30"/>
      <c r="CO1665" s="30"/>
      <c r="CP1665" s="30"/>
      <c r="CQ1665" s="30"/>
      <c r="CR1665" s="30"/>
      <c r="CS1665" s="30"/>
      <c r="CT1665" s="30"/>
      <c r="CU1665" s="30"/>
      <c r="CV1665" s="30"/>
      <c r="CW1665" s="30"/>
      <c r="CX1665" s="30"/>
      <c r="CY1665" s="30"/>
      <c r="CZ1665" s="30"/>
      <c r="DA1665" s="30"/>
      <c r="DB1665" s="30"/>
      <c r="DC1665" s="30"/>
      <c r="DD1665" s="30"/>
      <c r="DE1665" s="30"/>
      <c r="DF1665" s="30"/>
      <c r="DG1665" s="30"/>
      <c r="DH1665" s="30"/>
      <c r="DI1665" s="30"/>
      <c r="DJ1665" s="30"/>
      <c r="DK1665" s="30"/>
      <c r="DL1665" s="30"/>
      <c r="DM1665" s="30"/>
      <c r="DN1665" s="30"/>
      <c r="DO1665" s="30"/>
      <c r="DP1665" s="30"/>
      <c r="DQ1665" s="30"/>
      <c r="DR1665" s="30"/>
      <c r="DS1665" s="30"/>
      <c r="DT1665" s="30"/>
      <c r="DU1665" s="30"/>
      <c r="DV1665" s="30"/>
      <c r="DW1665" s="30"/>
      <c r="DX1665" s="30"/>
      <c r="DY1665" s="30"/>
      <c r="DZ1665" s="30"/>
    </row>
    <row r="1666">
      <c r="A1666" s="30"/>
      <c r="B1666" s="42"/>
      <c r="C1666" s="43"/>
      <c r="D1666" s="30"/>
      <c r="E1666" s="28"/>
      <c r="F1666" s="30"/>
      <c r="G1666" s="30"/>
      <c r="H1666" s="30"/>
      <c r="I1666" s="30"/>
      <c r="J1666" s="28"/>
      <c r="K1666" s="30"/>
      <c r="L1666" s="30"/>
      <c r="M1666" s="30"/>
      <c r="N1666" s="30"/>
      <c r="O1666" s="28"/>
      <c r="P1666" s="30"/>
      <c r="Q1666" s="30"/>
      <c r="R1666" s="30"/>
      <c r="S1666" s="36"/>
      <c r="T1666" s="30"/>
      <c r="U1666" s="36"/>
      <c r="V1666" s="30"/>
      <c r="W1666" s="28"/>
      <c r="X1666" s="30"/>
      <c r="Y1666" s="30"/>
      <c r="Z1666" s="30"/>
      <c r="AA1666" s="30"/>
      <c r="AB1666" s="30"/>
      <c r="AC1666" s="28"/>
      <c r="AD1666" s="30"/>
      <c r="AE1666" s="30"/>
      <c r="AF1666" s="30"/>
      <c r="AG1666" s="29"/>
      <c r="AH1666" s="30"/>
      <c r="AI1666" s="36"/>
      <c r="AJ1666" s="30"/>
      <c r="AK1666" s="29"/>
      <c r="AL1666" s="30"/>
      <c r="AM1666" s="30"/>
      <c r="AN1666" s="30"/>
      <c r="AO1666" s="30"/>
      <c r="AP1666" s="30"/>
      <c r="AQ1666" s="38"/>
      <c r="AR1666" s="30"/>
      <c r="AS1666" s="30"/>
      <c r="AT1666" s="29"/>
      <c r="AU1666" s="30"/>
      <c r="AV1666" s="30"/>
      <c r="AW1666" s="30"/>
      <c r="AX1666" s="29"/>
      <c r="AY1666" s="39"/>
      <c r="AZ1666" s="30"/>
      <c r="BA1666" s="30"/>
      <c r="BB1666" s="29"/>
      <c r="BC1666" s="52"/>
      <c r="BD1666" s="30"/>
      <c r="BE1666" s="29"/>
      <c r="BF1666" s="30"/>
      <c r="BG1666" s="30"/>
      <c r="BH1666" s="30"/>
      <c r="BI1666" s="30"/>
      <c r="BJ1666" s="30"/>
      <c r="BK1666" s="30"/>
      <c r="BL1666" s="30"/>
      <c r="BM1666" s="30"/>
      <c r="BN1666" s="30"/>
      <c r="BO1666" s="30"/>
      <c r="BP1666" s="30"/>
      <c r="BQ1666" s="30"/>
      <c r="BR1666" s="30"/>
      <c r="BS1666" s="30"/>
      <c r="BT1666" s="30"/>
      <c r="BU1666" s="30"/>
      <c r="BV1666" s="30"/>
      <c r="BW1666" s="30"/>
      <c r="BX1666" s="30"/>
      <c r="BY1666" s="30"/>
      <c r="BZ1666" s="30"/>
      <c r="CA1666" s="30"/>
      <c r="CB1666" s="30"/>
      <c r="CC1666" s="30"/>
      <c r="CD1666" s="30"/>
      <c r="CE1666" s="30"/>
      <c r="CF1666" s="30"/>
      <c r="CG1666" s="30"/>
      <c r="CH1666" s="30"/>
      <c r="CI1666" s="30"/>
      <c r="CJ1666" s="30"/>
      <c r="CK1666" s="30"/>
      <c r="CL1666" s="30"/>
      <c r="CM1666" s="30"/>
      <c r="CN1666" s="30"/>
      <c r="CO1666" s="30"/>
      <c r="CP1666" s="30"/>
      <c r="CQ1666" s="30"/>
      <c r="CR1666" s="30"/>
      <c r="CS1666" s="30"/>
      <c r="CT1666" s="30"/>
      <c r="CU1666" s="30"/>
      <c r="CV1666" s="30"/>
      <c r="CW1666" s="30"/>
      <c r="CX1666" s="30"/>
      <c r="CY1666" s="30"/>
      <c r="CZ1666" s="30"/>
      <c r="DA1666" s="30"/>
      <c r="DB1666" s="30"/>
      <c r="DC1666" s="30"/>
      <c r="DD1666" s="30"/>
      <c r="DE1666" s="30"/>
      <c r="DF1666" s="30"/>
      <c r="DG1666" s="30"/>
      <c r="DH1666" s="30"/>
      <c r="DI1666" s="30"/>
      <c r="DJ1666" s="30"/>
      <c r="DK1666" s="30"/>
      <c r="DL1666" s="30"/>
      <c r="DM1666" s="30"/>
      <c r="DN1666" s="30"/>
      <c r="DO1666" s="30"/>
      <c r="DP1666" s="30"/>
      <c r="DQ1666" s="30"/>
      <c r="DR1666" s="30"/>
      <c r="DS1666" s="30"/>
      <c r="DT1666" s="30"/>
      <c r="DU1666" s="30"/>
      <c r="DV1666" s="30"/>
      <c r="DW1666" s="30"/>
      <c r="DX1666" s="30"/>
      <c r="DY1666" s="30"/>
      <c r="DZ1666" s="30"/>
    </row>
    <row r="1667">
      <c r="A1667" s="30"/>
      <c r="B1667" s="42"/>
      <c r="C1667" s="43"/>
      <c r="D1667" s="30"/>
      <c r="E1667" s="28"/>
      <c r="F1667" s="30"/>
      <c r="G1667" s="30"/>
      <c r="H1667" s="30"/>
      <c r="I1667" s="30"/>
      <c r="J1667" s="28"/>
      <c r="K1667" s="30"/>
      <c r="L1667" s="30"/>
      <c r="M1667" s="30"/>
      <c r="N1667" s="30"/>
      <c r="O1667" s="28"/>
      <c r="P1667" s="30"/>
      <c r="Q1667" s="30"/>
      <c r="R1667" s="30"/>
      <c r="S1667" s="36"/>
      <c r="T1667" s="30"/>
      <c r="U1667" s="36"/>
      <c r="V1667" s="30"/>
      <c r="W1667" s="28"/>
      <c r="X1667" s="30"/>
      <c r="Y1667" s="30"/>
      <c r="Z1667" s="30"/>
      <c r="AA1667" s="30"/>
      <c r="AB1667" s="30"/>
      <c r="AC1667" s="28"/>
      <c r="AD1667" s="30"/>
      <c r="AE1667" s="30"/>
      <c r="AF1667" s="30"/>
      <c r="AG1667" s="29"/>
      <c r="AH1667" s="30"/>
      <c r="AI1667" s="36"/>
      <c r="AJ1667" s="30"/>
      <c r="AK1667" s="29"/>
      <c r="AL1667" s="30"/>
      <c r="AM1667" s="30"/>
      <c r="AN1667" s="30"/>
      <c r="AO1667" s="30"/>
      <c r="AP1667" s="30"/>
      <c r="AQ1667" s="38"/>
      <c r="AR1667" s="30"/>
      <c r="AS1667" s="30"/>
      <c r="AT1667" s="29"/>
      <c r="AU1667" s="30"/>
      <c r="AV1667" s="30"/>
      <c r="AW1667" s="30"/>
      <c r="AX1667" s="29"/>
      <c r="AY1667" s="39"/>
      <c r="AZ1667" s="30"/>
      <c r="BA1667" s="30"/>
      <c r="BB1667" s="29"/>
      <c r="BC1667" s="52"/>
      <c r="BD1667" s="30"/>
      <c r="BE1667" s="29"/>
      <c r="BF1667" s="30"/>
      <c r="BG1667" s="30"/>
      <c r="BH1667" s="30"/>
      <c r="BI1667" s="30"/>
      <c r="BJ1667" s="30"/>
      <c r="BK1667" s="30"/>
      <c r="BL1667" s="30"/>
      <c r="BM1667" s="30"/>
      <c r="BN1667" s="30"/>
      <c r="BO1667" s="30"/>
      <c r="BP1667" s="30"/>
      <c r="BQ1667" s="30"/>
      <c r="BR1667" s="30"/>
      <c r="BS1667" s="30"/>
      <c r="BT1667" s="30"/>
      <c r="BU1667" s="30"/>
      <c r="BV1667" s="30"/>
      <c r="BW1667" s="30"/>
      <c r="BX1667" s="30"/>
      <c r="BY1667" s="30"/>
      <c r="BZ1667" s="30"/>
      <c r="CA1667" s="30"/>
      <c r="CB1667" s="30"/>
      <c r="CC1667" s="30"/>
      <c r="CD1667" s="30"/>
      <c r="CE1667" s="30"/>
      <c r="CF1667" s="30"/>
      <c r="CG1667" s="30"/>
      <c r="CH1667" s="30"/>
      <c r="CI1667" s="30"/>
      <c r="CJ1667" s="30"/>
      <c r="CK1667" s="30"/>
      <c r="CL1667" s="30"/>
      <c r="CM1667" s="30"/>
      <c r="CN1667" s="30"/>
      <c r="CO1667" s="30"/>
      <c r="CP1667" s="30"/>
      <c r="CQ1667" s="30"/>
      <c r="CR1667" s="30"/>
      <c r="CS1667" s="30"/>
      <c r="CT1667" s="30"/>
      <c r="CU1667" s="30"/>
      <c r="CV1667" s="30"/>
      <c r="CW1667" s="30"/>
      <c r="CX1667" s="30"/>
      <c r="CY1667" s="30"/>
      <c r="CZ1667" s="30"/>
      <c r="DA1667" s="30"/>
      <c r="DB1667" s="30"/>
      <c r="DC1667" s="30"/>
      <c r="DD1667" s="30"/>
      <c r="DE1667" s="30"/>
      <c r="DF1667" s="30"/>
      <c r="DG1667" s="30"/>
      <c r="DH1667" s="30"/>
      <c r="DI1667" s="30"/>
      <c r="DJ1667" s="30"/>
      <c r="DK1667" s="30"/>
      <c r="DL1667" s="30"/>
      <c r="DM1667" s="30"/>
      <c r="DN1667" s="30"/>
      <c r="DO1667" s="30"/>
      <c r="DP1667" s="30"/>
      <c r="DQ1667" s="30"/>
      <c r="DR1667" s="30"/>
      <c r="DS1667" s="30"/>
      <c r="DT1667" s="30"/>
      <c r="DU1667" s="30"/>
      <c r="DV1667" s="30"/>
      <c r="DW1667" s="30"/>
      <c r="DX1667" s="30"/>
      <c r="DY1667" s="30"/>
      <c r="DZ1667" s="30"/>
    </row>
    <row r="1668">
      <c r="A1668" s="30"/>
      <c r="B1668" s="42"/>
      <c r="C1668" s="43"/>
      <c r="D1668" s="30"/>
      <c r="E1668" s="28"/>
      <c r="F1668" s="30"/>
      <c r="G1668" s="30"/>
      <c r="H1668" s="30"/>
      <c r="I1668" s="30"/>
      <c r="J1668" s="28"/>
      <c r="K1668" s="30"/>
      <c r="L1668" s="30"/>
      <c r="M1668" s="30"/>
      <c r="N1668" s="30"/>
      <c r="O1668" s="28"/>
      <c r="P1668" s="30"/>
      <c r="Q1668" s="30"/>
      <c r="R1668" s="30"/>
      <c r="S1668" s="36"/>
      <c r="T1668" s="30"/>
      <c r="U1668" s="36"/>
      <c r="V1668" s="30"/>
      <c r="W1668" s="28"/>
      <c r="X1668" s="30"/>
      <c r="Y1668" s="30"/>
      <c r="Z1668" s="30"/>
      <c r="AA1668" s="30"/>
      <c r="AB1668" s="30"/>
      <c r="AC1668" s="28"/>
      <c r="AD1668" s="30"/>
      <c r="AE1668" s="30"/>
      <c r="AF1668" s="30"/>
      <c r="AG1668" s="29"/>
      <c r="AH1668" s="30"/>
      <c r="AI1668" s="36"/>
      <c r="AJ1668" s="30"/>
      <c r="AK1668" s="29"/>
      <c r="AL1668" s="30"/>
      <c r="AM1668" s="30"/>
      <c r="AN1668" s="30"/>
      <c r="AO1668" s="30"/>
      <c r="AP1668" s="30"/>
      <c r="AQ1668" s="38"/>
      <c r="AR1668" s="30"/>
      <c r="AS1668" s="30"/>
      <c r="AT1668" s="29"/>
      <c r="AU1668" s="30"/>
      <c r="AV1668" s="30"/>
      <c r="AW1668" s="30"/>
      <c r="AX1668" s="29"/>
      <c r="AY1668" s="39"/>
      <c r="AZ1668" s="30"/>
      <c r="BA1668" s="30"/>
      <c r="BB1668" s="29"/>
      <c r="BC1668" s="52"/>
      <c r="BD1668" s="30"/>
      <c r="BE1668" s="29"/>
      <c r="BF1668" s="30"/>
      <c r="BG1668" s="30"/>
      <c r="BH1668" s="30"/>
      <c r="BI1668" s="30"/>
      <c r="BJ1668" s="30"/>
      <c r="BK1668" s="30"/>
      <c r="BL1668" s="30"/>
      <c r="BM1668" s="30"/>
      <c r="BN1668" s="30"/>
      <c r="BO1668" s="30"/>
      <c r="BP1668" s="30"/>
      <c r="BQ1668" s="30"/>
      <c r="BR1668" s="30"/>
      <c r="BS1668" s="30"/>
      <c r="BT1668" s="30"/>
      <c r="BU1668" s="30"/>
      <c r="BV1668" s="30"/>
      <c r="BW1668" s="30"/>
      <c r="BX1668" s="30"/>
      <c r="BY1668" s="30"/>
      <c r="BZ1668" s="30"/>
      <c r="CA1668" s="30"/>
      <c r="CB1668" s="30"/>
      <c r="CC1668" s="30"/>
      <c r="CD1668" s="30"/>
      <c r="CE1668" s="30"/>
      <c r="CF1668" s="30"/>
      <c r="CG1668" s="30"/>
      <c r="CH1668" s="30"/>
      <c r="CI1668" s="30"/>
      <c r="CJ1668" s="30"/>
      <c r="CK1668" s="30"/>
      <c r="CL1668" s="30"/>
      <c r="CM1668" s="30"/>
      <c r="CN1668" s="30"/>
      <c r="CO1668" s="30"/>
      <c r="CP1668" s="30"/>
      <c r="CQ1668" s="30"/>
      <c r="CR1668" s="30"/>
      <c r="CS1668" s="30"/>
      <c r="CT1668" s="30"/>
      <c r="CU1668" s="30"/>
      <c r="CV1668" s="30"/>
      <c r="CW1668" s="30"/>
      <c r="CX1668" s="30"/>
      <c r="CY1668" s="30"/>
      <c r="CZ1668" s="30"/>
      <c r="DA1668" s="30"/>
      <c r="DB1668" s="30"/>
      <c r="DC1668" s="30"/>
      <c r="DD1668" s="30"/>
      <c r="DE1668" s="30"/>
      <c r="DF1668" s="30"/>
      <c r="DG1668" s="30"/>
      <c r="DH1668" s="30"/>
      <c r="DI1668" s="30"/>
      <c r="DJ1668" s="30"/>
      <c r="DK1668" s="30"/>
      <c r="DL1668" s="30"/>
      <c r="DM1668" s="30"/>
      <c r="DN1668" s="30"/>
      <c r="DO1668" s="30"/>
      <c r="DP1668" s="30"/>
      <c r="DQ1668" s="30"/>
      <c r="DR1668" s="30"/>
      <c r="DS1668" s="30"/>
      <c r="DT1668" s="30"/>
      <c r="DU1668" s="30"/>
      <c r="DV1668" s="30"/>
      <c r="DW1668" s="30"/>
      <c r="DX1668" s="30"/>
      <c r="DY1668" s="30"/>
      <c r="DZ1668" s="30"/>
    </row>
    <row r="1669">
      <c r="A1669" s="30"/>
      <c r="B1669" s="42"/>
      <c r="C1669" s="43"/>
      <c r="D1669" s="30"/>
      <c r="E1669" s="28"/>
      <c r="F1669" s="30"/>
      <c r="G1669" s="30"/>
      <c r="H1669" s="30"/>
      <c r="I1669" s="30"/>
      <c r="J1669" s="28"/>
      <c r="K1669" s="30"/>
      <c r="L1669" s="30"/>
      <c r="M1669" s="30"/>
      <c r="N1669" s="30"/>
      <c r="O1669" s="28"/>
      <c r="P1669" s="30"/>
      <c r="Q1669" s="30"/>
      <c r="R1669" s="30"/>
      <c r="S1669" s="36"/>
      <c r="T1669" s="30"/>
      <c r="U1669" s="36"/>
      <c r="V1669" s="30"/>
      <c r="W1669" s="28"/>
      <c r="X1669" s="30"/>
      <c r="Y1669" s="30"/>
      <c r="Z1669" s="30"/>
      <c r="AA1669" s="30"/>
      <c r="AB1669" s="30"/>
      <c r="AC1669" s="28"/>
      <c r="AD1669" s="30"/>
      <c r="AE1669" s="30"/>
      <c r="AF1669" s="30"/>
      <c r="AG1669" s="29"/>
      <c r="AH1669" s="30"/>
      <c r="AI1669" s="36"/>
      <c r="AJ1669" s="30"/>
      <c r="AK1669" s="29"/>
      <c r="AL1669" s="30"/>
      <c r="AM1669" s="30"/>
      <c r="AN1669" s="30"/>
      <c r="AO1669" s="30"/>
      <c r="AP1669" s="30"/>
      <c r="AQ1669" s="38"/>
      <c r="AR1669" s="30"/>
      <c r="AS1669" s="30"/>
      <c r="AT1669" s="29"/>
      <c r="AU1669" s="30"/>
      <c r="AV1669" s="30"/>
      <c r="AW1669" s="30"/>
      <c r="AX1669" s="29"/>
      <c r="AY1669" s="39"/>
      <c r="AZ1669" s="30"/>
      <c r="BA1669" s="30"/>
      <c r="BB1669" s="29"/>
      <c r="BC1669" s="52"/>
      <c r="BD1669" s="30"/>
      <c r="BE1669" s="29"/>
      <c r="BF1669" s="30"/>
      <c r="BG1669" s="30"/>
      <c r="BH1669" s="30"/>
      <c r="BI1669" s="30"/>
      <c r="BJ1669" s="30"/>
      <c r="BK1669" s="30"/>
      <c r="BL1669" s="30"/>
      <c r="BM1669" s="30"/>
      <c r="BN1669" s="30"/>
      <c r="BO1669" s="30"/>
      <c r="BP1669" s="30"/>
      <c r="BQ1669" s="30"/>
      <c r="BR1669" s="30"/>
      <c r="BS1669" s="30"/>
      <c r="BT1669" s="30"/>
      <c r="BU1669" s="30"/>
      <c r="BV1669" s="30"/>
      <c r="BW1669" s="30"/>
      <c r="BX1669" s="30"/>
      <c r="BY1669" s="30"/>
      <c r="BZ1669" s="30"/>
      <c r="CA1669" s="30"/>
      <c r="CB1669" s="30"/>
      <c r="CC1669" s="30"/>
      <c r="CD1669" s="30"/>
      <c r="CE1669" s="30"/>
      <c r="CF1669" s="30"/>
      <c r="CG1669" s="30"/>
      <c r="CH1669" s="30"/>
      <c r="CI1669" s="30"/>
      <c r="CJ1669" s="30"/>
      <c r="CK1669" s="30"/>
      <c r="CL1669" s="30"/>
      <c r="CM1669" s="30"/>
      <c r="CN1669" s="30"/>
      <c r="CO1669" s="30"/>
      <c r="CP1669" s="30"/>
      <c r="CQ1669" s="30"/>
      <c r="CR1669" s="30"/>
      <c r="CS1669" s="30"/>
      <c r="CT1669" s="30"/>
      <c r="CU1669" s="30"/>
      <c r="CV1669" s="30"/>
      <c r="CW1669" s="30"/>
      <c r="CX1669" s="30"/>
      <c r="CY1669" s="30"/>
      <c r="CZ1669" s="30"/>
      <c r="DA1669" s="30"/>
      <c r="DB1669" s="30"/>
      <c r="DC1669" s="30"/>
      <c r="DD1669" s="30"/>
      <c r="DE1669" s="30"/>
      <c r="DF1669" s="30"/>
      <c r="DG1669" s="30"/>
      <c r="DH1669" s="30"/>
      <c r="DI1669" s="30"/>
      <c r="DJ1669" s="30"/>
      <c r="DK1669" s="30"/>
      <c r="DL1669" s="30"/>
      <c r="DM1669" s="30"/>
      <c r="DN1669" s="30"/>
      <c r="DO1669" s="30"/>
      <c r="DP1669" s="30"/>
      <c r="DQ1669" s="30"/>
      <c r="DR1669" s="30"/>
      <c r="DS1669" s="30"/>
      <c r="DT1669" s="30"/>
      <c r="DU1669" s="30"/>
      <c r="DV1669" s="30"/>
      <c r="DW1669" s="30"/>
      <c r="DX1669" s="30"/>
      <c r="DY1669" s="30"/>
      <c r="DZ1669" s="30"/>
    </row>
    <row r="1670">
      <c r="A1670" s="30"/>
      <c r="B1670" s="42"/>
      <c r="C1670" s="43"/>
      <c r="D1670" s="30"/>
      <c r="E1670" s="28"/>
      <c r="F1670" s="30"/>
      <c r="G1670" s="30"/>
      <c r="H1670" s="30"/>
      <c r="I1670" s="30"/>
      <c r="J1670" s="28"/>
      <c r="K1670" s="30"/>
      <c r="L1670" s="30"/>
      <c r="M1670" s="30"/>
      <c r="N1670" s="30"/>
      <c r="O1670" s="28"/>
      <c r="P1670" s="30"/>
      <c r="Q1670" s="30"/>
      <c r="R1670" s="30"/>
      <c r="S1670" s="36"/>
      <c r="T1670" s="30"/>
      <c r="U1670" s="36"/>
      <c r="V1670" s="30"/>
      <c r="W1670" s="28"/>
      <c r="X1670" s="30"/>
      <c r="Y1670" s="30"/>
      <c r="Z1670" s="30"/>
      <c r="AA1670" s="30"/>
      <c r="AB1670" s="30"/>
      <c r="AC1670" s="28"/>
      <c r="AD1670" s="30"/>
      <c r="AE1670" s="30"/>
      <c r="AF1670" s="30"/>
      <c r="AG1670" s="29"/>
      <c r="AH1670" s="30"/>
      <c r="AI1670" s="36"/>
      <c r="AJ1670" s="30"/>
      <c r="AK1670" s="29"/>
      <c r="AL1670" s="30"/>
      <c r="AM1670" s="30"/>
      <c r="AN1670" s="30"/>
      <c r="AO1670" s="30"/>
      <c r="AP1670" s="30"/>
      <c r="AQ1670" s="38"/>
      <c r="AR1670" s="30"/>
      <c r="AS1670" s="30"/>
      <c r="AT1670" s="29"/>
      <c r="AU1670" s="30"/>
      <c r="AV1670" s="30"/>
      <c r="AW1670" s="30"/>
      <c r="AX1670" s="29"/>
      <c r="AY1670" s="39"/>
      <c r="AZ1670" s="30"/>
      <c r="BA1670" s="30"/>
      <c r="BB1670" s="29"/>
      <c r="BC1670" s="52"/>
      <c r="BD1670" s="30"/>
      <c r="BE1670" s="29"/>
      <c r="BF1670" s="30"/>
      <c r="BG1670" s="30"/>
      <c r="BH1670" s="30"/>
      <c r="BI1670" s="30"/>
      <c r="BJ1670" s="30"/>
      <c r="BK1670" s="30"/>
      <c r="BL1670" s="30"/>
      <c r="BM1670" s="30"/>
      <c r="BN1670" s="30"/>
      <c r="BO1670" s="30"/>
      <c r="BP1670" s="30"/>
      <c r="BQ1670" s="30"/>
      <c r="BR1670" s="30"/>
      <c r="BS1670" s="30"/>
      <c r="BT1670" s="30"/>
      <c r="BU1670" s="30"/>
      <c r="BV1670" s="30"/>
      <c r="BW1670" s="30"/>
      <c r="BX1670" s="30"/>
      <c r="BY1670" s="30"/>
      <c r="BZ1670" s="30"/>
      <c r="CA1670" s="30"/>
      <c r="CB1670" s="30"/>
      <c r="CC1670" s="30"/>
      <c r="CD1670" s="30"/>
      <c r="CE1670" s="30"/>
      <c r="CF1670" s="30"/>
      <c r="CG1670" s="30"/>
      <c r="CH1670" s="30"/>
      <c r="CI1670" s="30"/>
      <c r="CJ1670" s="30"/>
      <c r="CK1670" s="30"/>
      <c r="CL1670" s="30"/>
      <c r="CM1670" s="30"/>
      <c r="CN1670" s="30"/>
      <c r="CO1670" s="30"/>
      <c r="CP1670" s="30"/>
      <c r="CQ1670" s="30"/>
      <c r="CR1670" s="30"/>
      <c r="CS1670" s="30"/>
      <c r="CT1670" s="30"/>
      <c r="CU1670" s="30"/>
      <c r="CV1670" s="30"/>
      <c r="CW1670" s="30"/>
      <c r="CX1670" s="30"/>
      <c r="CY1670" s="30"/>
      <c r="CZ1670" s="30"/>
      <c r="DA1670" s="30"/>
      <c r="DB1670" s="30"/>
      <c r="DC1670" s="30"/>
      <c r="DD1670" s="30"/>
      <c r="DE1670" s="30"/>
      <c r="DF1670" s="30"/>
      <c r="DG1670" s="30"/>
      <c r="DH1670" s="30"/>
      <c r="DI1670" s="30"/>
      <c r="DJ1670" s="30"/>
      <c r="DK1670" s="30"/>
      <c r="DL1670" s="30"/>
      <c r="DM1670" s="30"/>
      <c r="DN1670" s="30"/>
      <c r="DO1670" s="30"/>
      <c r="DP1670" s="30"/>
      <c r="DQ1670" s="30"/>
      <c r="DR1670" s="30"/>
      <c r="DS1670" s="30"/>
      <c r="DT1670" s="30"/>
      <c r="DU1670" s="30"/>
      <c r="DV1670" s="30"/>
      <c r="DW1670" s="30"/>
      <c r="DX1670" s="30"/>
      <c r="DY1670" s="30"/>
      <c r="DZ1670" s="30"/>
    </row>
    <row r="1671">
      <c r="A1671" s="30"/>
      <c r="B1671" s="42"/>
      <c r="C1671" s="43"/>
      <c r="D1671" s="30"/>
      <c r="E1671" s="28"/>
      <c r="F1671" s="30"/>
      <c r="G1671" s="30"/>
      <c r="H1671" s="30"/>
      <c r="I1671" s="30"/>
      <c r="J1671" s="28"/>
      <c r="K1671" s="30"/>
      <c r="L1671" s="30"/>
      <c r="M1671" s="30"/>
      <c r="N1671" s="30"/>
      <c r="O1671" s="28"/>
      <c r="P1671" s="30"/>
      <c r="Q1671" s="30"/>
      <c r="R1671" s="30"/>
      <c r="S1671" s="36"/>
      <c r="T1671" s="30"/>
      <c r="U1671" s="36"/>
      <c r="V1671" s="30"/>
      <c r="W1671" s="28"/>
      <c r="X1671" s="30"/>
      <c r="Y1671" s="30"/>
      <c r="Z1671" s="30"/>
      <c r="AA1671" s="30"/>
      <c r="AB1671" s="30"/>
      <c r="AC1671" s="28"/>
      <c r="AD1671" s="30"/>
      <c r="AE1671" s="30"/>
      <c r="AF1671" s="30"/>
      <c r="AG1671" s="29"/>
      <c r="AH1671" s="30"/>
      <c r="AI1671" s="36"/>
      <c r="AJ1671" s="30"/>
      <c r="AK1671" s="29"/>
      <c r="AL1671" s="30"/>
      <c r="AM1671" s="30"/>
      <c r="AN1671" s="30"/>
      <c r="AO1671" s="30"/>
      <c r="AP1671" s="30"/>
      <c r="AQ1671" s="38"/>
      <c r="AR1671" s="30"/>
      <c r="AS1671" s="30"/>
      <c r="AT1671" s="29"/>
      <c r="AU1671" s="30"/>
      <c r="AV1671" s="30"/>
      <c r="AW1671" s="30"/>
      <c r="AX1671" s="29"/>
      <c r="AY1671" s="39"/>
      <c r="AZ1671" s="30"/>
      <c r="BA1671" s="30"/>
      <c r="BB1671" s="29"/>
      <c r="BC1671" s="52"/>
      <c r="BD1671" s="30"/>
      <c r="BE1671" s="29"/>
      <c r="BF1671" s="30"/>
      <c r="BG1671" s="30"/>
      <c r="BH1671" s="30"/>
      <c r="BI1671" s="30"/>
      <c r="BJ1671" s="30"/>
      <c r="BK1671" s="30"/>
      <c r="BL1671" s="30"/>
      <c r="BM1671" s="30"/>
      <c r="BN1671" s="30"/>
      <c r="BO1671" s="30"/>
      <c r="BP1671" s="30"/>
      <c r="BQ1671" s="30"/>
      <c r="BR1671" s="30"/>
      <c r="BS1671" s="30"/>
      <c r="BT1671" s="30"/>
      <c r="BU1671" s="30"/>
      <c r="BV1671" s="30"/>
      <c r="BW1671" s="30"/>
      <c r="BX1671" s="30"/>
      <c r="BY1671" s="30"/>
      <c r="BZ1671" s="30"/>
      <c r="CA1671" s="30"/>
      <c r="CB1671" s="30"/>
      <c r="CC1671" s="30"/>
      <c r="CD1671" s="30"/>
      <c r="CE1671" s="30"/>
      <c r="CF1671" s="30"/>
      <c r="CG1671" s="30"/>
      <c r="CH1671" s="30"/>
      <c r="CI1671" s="30"/>
      <c r="CJ1671" s="30"/>
      <c r="CK1671" s="30"/>
      <c r="CL1671" s="30"/>
      <c r="CM1671" s="30"/>
      <c r="CN1671" s="30"/>
      <c r="CO1671" s="30"/>
      <c r="CP1671" s="30"/>
      <c r="CQ1671" s="30"/>
      <c r="CR1671" s="30"/>
      <c r="CS1671" s="30"/>
      <c r="CT1671" s="30"/>
      <c r="CU1671" s="30"/>
      <c r="CV1671" s="30"/>
      <c r="CW1671" s="30"/>
      <c r="CX1671" s="30"/>
      <c r="CY1671" s="30"/>
      <c r="CZ1671" s="30"/>
      <c r="DA1671" s="30"/>
      <c r="DB1671" s="30"/>
      <c r="DC1671" s="30"/>
      <c r="DD1671" s="30"/>
      <c r="DE1671" s="30"/>
      <c r="DF1671" s="30"/>
      <c r="DG1671" s="30"/>
      <c r="DH1671" s="30"/>
      <c r="DI1671" s="30"/>
      <c r="DJ1671" s="30"/>
      <c r="DK1671" s="30"/>
      <c r="DL1671" s="30"/>
      <c r="DM1671" s="30"/>
      <c r="DN1671" s="30"/>
      <c r="DO1671" s="30"/>
      <c r="DP1671" s="30"/>
      <c r="DQ1671" s="30"/>
      <c r="DR1671" s="30"/>
      <c r="DS1671" s="30"/>
      <c r="DT1671" s="30"/>
      <c r="DU1671" s="30"/>
      <c r="DV1671" s="30"/>
      <c r="DW1671" s="30"/>
      <c r="DX1671" s="30"/>
      <c r="DY1671" s="30"/>
      <c r="DZ1671" s="30"/>
    </row>
    <row r="1672">
      <c r="A1672" s="30"/>
      <c r="B1672" s="42"/>
      <c r="C1672" s="43"/>
      <c r="D1672" s="30"/>
      <c r="E1672" s="28"/>
      <c r="F1672" s="30"/>
      <c r="G1672" s="30"/>
      <c r="H1672" s="30"/>
      <c r="I1672" s="30"/>
      <c r="J1672" s="28"/>
      <c r="K1672" s="30"/>
      <c r="L1672" s="30"/>
      <c r="M1672" s="30"/>
      <c r="N1672" s="30"/>
      <c r="O1672" s="28"/>
      <c r="P1672" s="30"/>
      <c r="Q1672" s="30"/>
      <c r="R1672" s="30"/>
      <c r="S1672" s="36"/>
      <c r="T1672" s="30"/>
      <c r="U1672" s="36"/>
      <c r="V1672" s="30"/>
      <c r="W1672" s="28"/>
      <c r="X1672" s="30"/>
      <c r="Y1672" s="30"/>
      <c r="Z1672" s="30"/>
      <c r="AA1672" s="30"/>
      <c r="AB1672" s="30"/>
      <c r="AC1672" s="28"/>
      <c r="AD1672" s="30"/>
      <c r="AE1672" s="30"/>
      <c r="AF1672" s="30"/>
      <c r="AG1672" s="29"/>
      <c r="AH1672" s="30"/>
      <c r="AI1672" s="36"/>
      <c r="AJ1672" s="30"/>
      <c r="AK1672" s="29"/>
      <c r="AL1672" s="30"/>
      <c r="AM1672" s="30"/>
      <c r="AN1672" s="30"/>
      <c r="AO1672" s="30"/>
      <c r="AP1672" s="30"/>
      <c r="AQ1672" s="38"/>
      <c r="AR1672" s="30"/>
      <c r="AS1672" s="30"/>
      <c r="AT1672" s="29"/>
      <c r="AU1672" s="30"/>
      <c r="AV1672" s="30"/>
      <c r="AW1672" s="30"/>
      <c r="AX1672" s="29"/>
      <c r="AY1672" s="39"/>
      <c r="AZ1672" s="30"/>
      <c r="BA1672" s="30"/>
      <c r="BB1672" s="29"/>
      <c r="BC1672" s="52"/>
      <c r="BD1672" s="30"/>
      <c r="BE1672" s="29"/>
      <c r="BF1672" s="30"/>
      <c r="BG1672" s="30"/>
      <c r="BH1672" s="30"/>
      <c r="BI1672" s="30"/>
      <c r="BJ1672" s="30"/>
      <c r="BK1672" s="30"/>
      <c r="BL1672" s="30"/>
      <c r="BM1672" s="30"/>
      <c r="BN1672" s="30"/>
      <c r="BO1672" s="30"/>
      <c r="BP1672" s="30"/>
      <c r="BQ1672" s="30"/>
      <c r="BR1672" s="30"/>
      <c r="BS1672" s="30"/>
      <c r="BT1672" s="30"/>
      <c r="BU1672" s="30"/>
      <c r="BV1672" s="30"/>
      <c r="BW1672" s="30"/>
      <c r="BX1672" s="30"/>
      <c r="BY1672" s="30"/>
      <c r="BZ1672" s="30"/>
      <c r="CA1672" s="30"/>
      <c r="CB1672" s="30"/>
      <c r="CC1672" s="30"/>
      <c r="CD1672" s="30"/>
      <c r="CE1672" s="30"/>
      <c r="CF1672" s="30"/>
      <c r="CG1672" s="30"/>
      <c r="CH1672" s="30"/>
      <c r="CI1672" s="30"/>
      <c r="CJ1672" s="30"/>
      <c r="CK1672" s="30"/>
      <c r="CL1672" s="30"/>
      <c r="CM1672" s="30"/>
      <c r="CN1672" s="30"/>
      <c r="CO1672" s="30"/>
      <c r="CP1672" s="30"/>
      <c r="CQ1672" s="30"/>
      <c r="CR1672" s="30"/>
      <c r="CS1672" s="30"/>
      <c r="CT1672" s="30"/>
      <c r="CU1672" s="30"/>
      <c r="CV1672" s="30"/>
      <c r="CW1672" s="30"/>
      <c r="CX1672" s="30"/>
      <c r="CY1672" s="30"/>
      <c r="CZ1672" s="30"/>
      <c r="DA1672" s="30"/>
      <c r="DB1672" s="30"/>
      <c r="DC1672" s="30"/>
      <c r="DD1672" s="30"/>
      <c r="DE1672" s="30"/>
      <c r="DF1672" s="30"/>
      <c r="DG1672" s="30"/>
      <c r="DH1672" s="30"/>
      <c r="DI1672" s="30"/>
      <c r="DJ1672" s="30"/>
      <c r="DK1672" s="30"/>
      <c r="DL1672" s="30"/>
      <c r="DM1672" s="30"/>
      <c r="DN1672" s="30"/>
      <c r="DO1672" s="30"/>
      <c r="DP1672" s="30"/>
      <c r="DQ1672" s="30"/>
      <c r="DR1672" s="30"/>
      <c r="DS1672" s="30"/>
      <c r="DT1672" s="30"/>
      <c r="DU1672" s="30"/>
      <c r="DV1672" s="30"/>
      <c r="DW1672" s="30"/>
      <c r="DX1672" s="30"/>
      <c r="DY1672" s="30"/>
      <c r="DZ1672" s="30"/>
    </row>
    <row r="1673">
      <c r="A1673" s="30"/>
      <c r="B1673" s="42"/>
      <c r="C1673" s="43"/>
      <c r="D1673" s="30"/>
      <c r="E1673" s="28"/>
      <c r="F1673" s="30"/>
      <c r="G1673" s="30"/>
      <c r="H1673" s="30"/>
      <c r="I1673" s="30"/>
      <c r="J1673" s="28"/>
      <c r="K1673" s="30"/>
      <c r="L1673" s="30"/>
      <c r="M1673" s="30"/>
      <c r="N1673" s="30"/>
      <c r="O1673" s="28"/>
      <c r="P1673" s="30"/>
      <c r="Q1673" s="30"/>
      <c r="R1673" s="30"/>
      <c r="S1673" s="36"/>
      <c r="T1673" s="30"/>
      <c r="U1673" s="36"/>
      <c r="V1673" s="30"/>
      <c r="W1673" s="28"/>
      <c r="X1673" s="30"/>
      <c r="Y1673" s="30"/>
      <c r="Z1673" s="30"/>
      <c r="AA1673" s="30"/>
      <c r="AB1673" s="30"/>
      <c r="AC1673" s="28"/>
      <c r="AD1673" s="30"/>
      <c r="AE1673" s="30"/>
      <c r="AF1673" s="30"/>
      <c r="AG1673" s="29"/>
      <c r="AH1673" s="30"/>
      <c r="AI1673" s="36"/>
      <c r="AJ1673" s="30"/>
      <c r="AK1673" s="29"/>
      <c r="AL1673" s="30"/>
      <c r="AM1673" s="30"/>
      <c r="AN1673" s="30"/>
      <c r="AO1673" s="30"/>
      <c r="AP1673" s="30"/>
      <c r="AQ1673" s="38"/>
      <c r="AR1673" s="30"/>
      <c r="AS1673" s="30"/>
      <c r="AT1673" s="29"/>
      <c r="AU1673" s="30"/>
      <c r="AV1673" s="30"/>
      <c r="AW1673" s="30"/>
      <c r="AX1673" s="29"/>
      <c r="AY1673" s="39"/>
      <c r="AZ1673" s="30"/>
      <c r="BA1673" s="30"/>
      <c r="BB1673" s="29"/>
      <c r="BC1673" s="52"/>
      <c r="BD1673" s="30"/>
      <c r="BE1673" s="29"/>
      <c r="BF1673" s="30"/>
      <c r="BG1673" s="30"/>
      <c r="BH1673" s="30"/>
      <c r="BI1673" s="30"/>
      <c r="BJ1673" s="30"/>
      <c r="BK1673" s="30"/>
      <c r="BL1673" s="30"/>
      <c r="BM1673" s="30"/>
      <c r="BN1673" s="30"/>
      <c r="BO1673" s="30"/>
      <c r="BP1673" s="30"/>
      <c r="BQ1673" s="30"/>
      <c r="BR1673" s="30"/>
      <c r="BS1673" s="30"/>
      <c r="BT1673" s="30"/>
      <c r="BU1673" s="30"/>
      <c r="BV1673" s="30"/>
      <c r="BW1673" s="30"/>
      <c r="BX1673" s="30"/>
      <c r="BY1673" s="30"/>
      <c r="BZ1673" s="30"/>
      <c r="CA1673" s="30"/>
      <c r="CB1673" s="30"/>
      <c r="CC1673" s="30"/>
      <c r="CD1673" s="30"/>
      <c r="CE1673" s="30"/>
      <c r="CF1673" s="30"/>
      <c r="CG1673" s="30"/>
      <c r="CH1673" s="30"/>
      <c r="CI1673" s="30"/>
      <c r="CJ1673" s="30"/>
      <c r="CK1673" s="30"/>
      <c r="CL1673" s="30"/>
      <c r="CM1673" s="30"/>
      <c r="CN1673" s="30"/>
      <c r="CO1673" s="30"/>
      <c r="CP1673" s="30"/>
      <c r="CQ1673" s="30"/>
      <c r="CR1673" s="30"/>
      <c r="CS1673" s="30"/>
      <c r="CT1673" s="30"/>
      <c r="CU1673" s="30"/>
      <c r="CV1673" s="30"/>
      <c r="CW1673" s="30"/>
      <c r="CX1673" s="30"/>
      <c r="CY1673" s="30"/>
      <c r="CZ1673" s="30"/>
      <c r="DA1673" s="30"/>
      <c r="DB1673" s="30"/>
      <c r="DC1673" s="30"/>
      <c r="DD1673" s="30"/>
      <c r="DE1673" s="30"/>
      <c r="DF1673" s="30"/>
      <c r="DG1673" s="30"/>
      <c r="DH1673" s="30"/>
      <c r="DI1673" s="30"/>
      <c r="DJ1673" s="30"/>
      <c r="DK1673" s="30"/>
      <c r="DL1673" s="30"/>
      <c r="DM1673" s="30"/>
      <c r="DN1673" s="30"/>
      <c r="DO1673" s="30"/>
      <c r="DP1673" s="30"/>
      <c r="DQ1673" s="30"/>
      <c r="DR1673" s="30"/>
      <c r="DS1673" s="30"/>
      <c r="DT1673" s="30"/>
      <c r="DU1673" s="30"/>
      <c r="DV1673" s="30"/>
      <c r="DW1673" s="30"/>
      <c r="DX1673" s="30"/>
      <c r="DY1673" s="30"/>
      <c r="DZ1673" s="30"/>
    </row>
    <row r="1674">
      <c r="A1674" s="30"/>
      <c r="B1674" s="42"/>
      <c r="C1674" s="43"/>
      <c r="D1674" s="30"/>
      <c r="E1674" s="28"/>
      <c r="F1674" s="30"/>
      <c r="G1674" s="30"/>
      <c r="H1674" s="30"/>
      <c r="I1674" s="30"/>
      <c r="J1674" s="28"/>
      <c r="K1674" s="30"/>
      <c r="L1674" s="30"/>
      <c r="M1674" s="30"/>
      <c r="N1674" s="30"/>
      <c r="O1674" s="28"/>
      <c r="P1674" s="30"/>
      <c r="Q1674" s="30"/>
      <c r="R1674" s="30"/>
      <c r="S1674" s="36"/>
      <c r="T1674" s="30"/>
      <c r="U1674" s="36"/>
      <c r="V1674" s="30"/>
      <c r="W1674" s="28"/>
      <c r="X1674" s="30"/>
      <c r="Y1674" s="30"/>
      <c r="Z1674" s="30"/>
      <c r="AA1674" s="30"/>
      <c r="AB1674" s="30"/>
      <c r="AC1674" s="28"/>
      <c r="AD1674" s="30"/>
      <c r="AE1674" s="30"/>
      <c r="AF1674" s="30"/>
      <c r="AG1674" s="29"/>
      <c r="AH1674" s="30"/>
      <c r="AI1674" s="36"/>
      <c r="AJ1674" s="30"/>
      <c r="AK1674" s="29"/>
      <c r="AL1674" s="30"/>
      <c r="AM1674" s="30"/>
      <c r="AN1674" s="30"/>
      <c r="AO1674" s="30"/>
      <c r="AP1674" s="30"/>
      <c r="AQ1674" s="38"/>
      <c r="AR1674" s="30"/>
      <c r="AS1674" s="30"/>
      <c r="AT1674" s="29"/>
      <c r="AU1674" s="30"/>
      <c r="AV1674" s="30"/>
      <c r="AW1674" s="30"/>
      <c r="AX1674" s="29"/>
      <c r="AY1674" s="39"/>
      <c r="AZ1674" s="30"/>
      <c r="BA1674" s="30"/>
      <c r="BB1674" s="29"/>
      <c r="BC1674" s="52"/>
      <c r="BD1674" s="30"/>
      <c r="BE1674" s="29"/>
      <c r="BF1674" s="30"/>
      <c r="BG1674" s="30"/>
      <c r="BH1674" s="30"/>
      <c r="BI1674" s="30"/>
      <c r="BJ1674" s="30"/>
      <c r="BK1674" s="30"/>
      <c r="BL1674" s="30"/>
      <c r="BM1674" s="30"/>
      <c r="BN1674" s="30"/>
      <c r="BO1674" s="30"/>
      <c r="BP1674" s="30"/>
      <c r="BQ1674" s="30"/>
      <c r="BR1674" s="30"/>
      <c r="BS1674" s="30"/>
      <c r="BT1674" s="30"/>
      <c r="BU1674" s="30"/>
      <c r="BV1674" s="30"/>
      <c r="BW1674" s="30"/>
      <c r="BX1674" s="30"/>
      <c r="BY1674" s="30"/>
      <c r="BZ1674" s="30"/>
      <c r="CA1674" s="30"/>
      <c r="CB1674" s="30"/>
      <c r="CC1674" s="30"/>
      <c r="CD1674" s="30"/>
      <c r="CE1674" s="30"/>
      <c r="CF1674" s="30"/>
      <c r="CG1674" s="30"/>
      <c r="CH1674" s="30"/>
      <c r="CI1674" s="30"/>
      <c r="CJ1674" s="30"/>
      <c r="CK1674" s="30"/>
      <c r="CL1674" s="30"/>
      <c r="CM1674" s="30"/>
      <c r="CN1674" s="30"/>
      <c r="CO1674" s="30"/>
      <c r="CP1674" s="30"/>
      <c r="CQ1674" s="30"/>
      <c r="CR1674" s="30"/>
      <c r="CS1674" s="30"/>
      <c r="CT1674" s="30"/>
      <c r="CU1674" s="30"/>
      <c r="CV1674" s="30"/>
      <c r="CW1674" s="30"/>
      <c r="CX1674" s="30"/>
      <c r="CY1674" s="30"/>
      <c r="CZ1674" s="30"/>
      <c r="DA1674" s="30"/>
      <c r="DB1674" s="30"/>
      <c r="DC1674" s="30"/>
      <c r="DD1674" s="30"/>
      <c r="DE1674" s="30"/>
      <c r="DF1674" s="30"/>
      <c r="DG1674" s="30"/>
      <c r="DH1674" s="30"/>
      <c r="DI1674" s="30"/>
      <c r="DJ1674" s="30"/>
      <c r="DK1674" s="30"/>
      <c r="DL1674" s="30"/>
      <c r="DM1674" s="30"/>
      <c r="DN1674" s="30"/>
      <c r="DO1674" s="30"/>
      <c r="DP1674" s="30"/>
      <c r="DQ1674" s="30"/>
      <c r="DR1674" s="30"/>
      <c r="DS1674" s="30"/>
      <c r="DT1674" s="30"/>
      <c r="DU1674" s="30"/>
      <c r="DV1674" s="30"/>
      <c r="DW1674" s="30"/>
      <c r="DX1674" s="30"/>
      <c r="DY1674" s="30"/>
      <c r="DZ1674" s="30"/>
    </row>
    <row r="1675">
      <c r="A1675" s="30"/>
      <c r="B1675" s="42"/>
      <c r="C1675" s="43"/>
      <c r="D1675" s="30"/>
      <c r="E1675" s="28"/>
      <c r="F1675" s="30"/>
      <c r="G1675" s="30"/>
      <c r="H1675" s="30"/>
      <c r="I1675" s="30"/>
      <c r="J1675" s="28"/>
      <c r="K1675" s="30"/>
      <c r="L1675" s="30"/>
      <c r="M1675" s="30"/>
      <c r="N1675" s="30"/>
      <c r="O1675" s="28"/>
      <c r="P1675" s="30"/>
      <c r="Q1675" s="30"/>
      <c r="R1675" s="30"/>
      <c r="S1675" s="36"/>
      <c r="T1675" s="30"/>
      <c r="U1675" s="36"/>
      <c r="V1675" s="30"/>
      <c r="W1675" s="28"/>
      <c r="X1675" s="30"/>
      <c r="Y1675" s="30"/>
      <c r="Z1675" s="30"/>
      <c r="AA1675" s="30"/>
      <c r="AB1675" s="30"/>
      <c r="AC1675" s="28"/>
      <c r="AD1675" s="30"/>
      <c r="AE1675" s="30"/>
      <c r="AF1675" s="30"/>
      <c r="AG1675" s="29"/>
      <c r="AH1675" s="30"/>
      <c r="AI1675" s="36"/>
      <c r="AJ1675" s="30"/>
      <c r="AK1675" s="29"/>
      <c r="AL1675" s="30"/>
      <c r="AM1675" s="30"/>
      <c r="AN1675" s="30"/>
      <c r="AO1675" s="30"/>
      <c r="AP1675" s="30"/>
      <c r="AQ1675" s="38"/>
      <c r="AR1675" s="30"/>
      <c r="AS1675" s="30"/>
      <c r="AT1675" s="29"/>
      <c r="AU1675" s="30"/>
      <c r="AV1675" s="30"/>
      <c r="AW1675" s="30"/>
      <c r="AX1675" s="29"/>
      <c r="AY1675" s="39"/>
      <c r="AZ1675" s="30"/>
      <c r="BA1675" s="30"/>
      <c r="BB1675" s="29"/>
      <c r="BC1675" s="52"/>
      <c r="BD1675" s="30"/>
      <c r="BE1675" s="29"/>
      <c r="BF1675" s="30"/>
      <c r="BG1675" s="30"/>
      <c r="BH1675" s="30"/>
      <c r="BI1675" s="30"/>
      <c r="BJ1675" s="30"/>
      <c r="BK1675" s="30"/>
      <c r="BL1675" s="30"/>
      <c r="BM1675" s="30"/>
      <c r="BN1675" s="30"/>
      <c r="BO1675" s="30"/>
      <c r="BP1675" s="30"/>
      <c r="BQ1675" s="30"/>
      <c r="BR1675" s="30"/>
      <c r="BS1675" s="30"/>
      <c r="BT1675" s="30"/>
      <c r="BU1675" s="30"/>
      <c r="BV1675" s="30"/>
      <c r="BW1675" s="30"/>
      <c r="BX1675" s="30"/>
      <c r="BY1675" s="30"/>
      <c r="BZ1675" s="30"/>
      <c r="CA1675" s="30"/>
      <c r="CB1675" s="30"/>
      <c r="CC1675" s="30"/>
      <c r="CD1675" s="30"/>
      <c r="CE1675" s="30"/>
      <c r="CF1675" s="30"/>
      <c r="CG1675" s="30"/>
      <c r="CH1675" s="30"/>
      <c r="CI1675" s="30"/>
      <c r="CJ1675" s="30"/>
      <c r="CK1675" s="30"/>
      <c r="CL1675" s="30"/>
      <c r="CM1675" s="30"/>
      <c r="CN1675" s="30"/>
      <c r="CO1675" s="30"/>
      <c r="CP1675" s="30"/>
      <c r="CQ1675" s="30"/>
      <c r="CR1675" s="30"/>
      <c r="CS1675" s="30"/>
      <c r="CT1675" s="30"/>
      <c r="CU1675" s="30"/>
      <c r="CV1675" s="30"/>
      <c r="CW1675" s="30"/>
      <c r="CX1675" s="30"/>
      <c r="CY1675" s="30"/>
      <c r="CZ1675" s="30"/>
      <c r="DA1675" s="30"/>
      <c r="DB1675" s="30"/>
      <c r="DC1675" s="30"/>
      <c r="DD1675" s="30"/>
      <c r="DE1675" s="30"/>
      <c r="DF1675" s="30"/>
      <c r="DG1675" s="30"/>
      <c r="DH1675" s="30"/>
      <c r="DI1675" s="30"/>
      <c r="DJ1675" s="30"/>
      <c r="DK1675" s="30"/>
      <c r="DL1675" s="30"/>
      <c r="DM1675" s="30"/>
      <c r="DN1675" s="30"/>
      <c r="DO1675" s="30"/>
      <c r="DP1675" s="30"/>
      <c r="DQ1675" s="30"/>
      <c r="DR1675" s="30"/>
      <c r="DS1675" s="30"/>
      <c r="DT1675" s="30"/>
      <c r="DU1675" s="30"/>
      <c r="DV1675" s="30"/>
      <c r="DW1675" s="30"/>
      <c r="DX1675" s="30"/>
      <c r="DY1675" s="30"/>
      <c r="DZ1675" s="30"/>
    </row>
    <row r="1676">
      <c r="A1676" s="30"/>
      <c r="B1676" s="42"/>
      <c r="C1676" s="43"/>
      <c r="D1676" s="30"/>
      <c r="E1676" s="28"/>
      <c r="F1676" s="30"/>
      <c r="G1676" s="30"/>
      <c r="H1676" s="30"/>
      <c r="I1676" s="30"/>
      <c r="J1676" s="28"/>
      <c r="K1676" s="30"/>
      <c r="L1676" s="30"/>
      <c r="M1676" s="30"/>
      <c r="N1676" s="30"/>
      <c r="O1676" s="28"/>
      <c r="P1676" s="30"/>
      <c r="Q1676" s="30"/>
      <c r="R1676" s="30"/>
      <c r="S1676" s="36"/>
      <c r="T1676" s="30"/>
      <c r="U1676" s="36"/>
      <c r="V1676" s="30"/>
      <c r="W1676" s="28"/>
      <c r="X1676" s="30"/>
      <c r="Y1676" s="30"/>
      <c r="Z1676" s="30"/>
      <c r="AA1676" s="30"/>
      <c r="AB1676" s="30"/>
      <c r="AC1676" s="28"/>
      <c r="AD1676" s="30"/>
      <c r="AE1676" s="30"/>
      <c r="AF1676" s="30"/>
      <c r="AG1676" s="29"/>
      <c r="AH1676" s="30"/>
      <c r="AI1676" s="36"/>
      <c r="AJ1676" s="30"/>
      <c r="AK1676" s="29"/>
      <c r="AL1676" s="30"/>
      <c r="AM1676" s="30"/>
      <c r="AN1676" s="30"/>
      <c r="AO1676" s="30"/>
      <c r="AP1676" s="30"/>
      <c r="AQ1676" s="38"/>
      <c r="AR1676" s="30"/>
      <c r="AS1676" s="30"/>
      <c r="AT1676" s="29"/>
      <c r="AU1676" s="30"/>
      <c r="AV1676" s="30"/>
      <c r="AW1676" s="30"/>
      <c r="AX1676" s="29"/>
      <c r="AY1676" s="39"/>
      <c r="AZ1676" s="30"/>
      <c r="BA1676" s="30"/>
      <c r="BB1676" s="29"/>
      <c r="BC1676" s="52"/>
      <c r="BD1676" s="30"/>
      <c r="BE1676" s="29"/>
      <c r="BF1676" s="30"/>
      <c r="BG1676" s="30"/>
      <c r="BH1676" s="30"/>
      <c r="BI1676" s="30"/>
      <c r="BJ1676" s="30"/>
      <c r="BK1676" s="30"/>
      <c r="BL1676" s="30"/>
      <c r="BM1676" s="30"/>
      <c r="BN1676" s="30"/>
      <c r="BO1676" s="30"/>
      <c r="BP1676" s="30"/>
      <c r="BQ1676" s="30"/>
      <c r="BR1676" s="30"/>
      <c r="BS1676" s="30"/>
      <c r="BT1676" s="30"/>
      <c r="BU1676" s="30"/>
      <c r="BV1676" s="30"/>
      <c r="BW1676" s="30"/>
      <c r="BX1676" s="30"/>
      <c r="BY1676" s="30"/>
      <c r="BZ1676" s="30"/>
      <c r="CA1676" s="30"/>
      <c r="CB1676" s="30"/>
      <c r="CC1676" s="30"/>
      <c r="CD1676" s="30"/>
      <c r="CE1676" s="30"/>
      <c r="CF1676" s="30"/>
      <c r="CG1676" s="30"/>
      <c r="CH1676" s="30"/>
      <c r="CI1676" s="30"/>
      <c r="CJ1676" s="30"/>
      <c r="CK1676" s="30"/>
      <c r="CL1676" s="30"/>
      <c r="CM1676" s="30"/>
      <c r="CN1676" s="30"/>
      <c r="CO1676" s="30"/>
      <c r="CP1676" s="30"/>
      <c r="CQ1676" s="30"/>
      <c r="CR1676" s="30"/>
      <c r="CS1676" s="30"/>
      <c r="CT1676" s="30"/>
      <c r="CU1676" s="30"/>
      <c r="CV1676" s="30"/>
      <c r="CW1676" s="30"/>
      <c r="CX1676" s="30"/>
      <c r="CY1676" s="30"/>
      <c r="CZ1676" s="30"/>
      <c r="DA1676" s="30"/>
      <c r="DB1676" s="30"/>
      <c r="DC1676" s="30"/>
      <c r="DD1676" s="30"/>
      <c r="DE1676" s="30"/>
      <c r="DF1676" s="30"/>
      <c r="DG1676" s="30"/>
      <c r="DH1676" s="30"/>
      <c r="DI1676" s="30"/>
      <c r="DJ1676" s="30"/>
      <c r="DK1676" s="30"/>
      <c r="DL1676" s="30"/>
      <c r="DM1676" s="30"/>
      <c r="DN1676" s="30"/>
      <c r="DO1676" s="30"/>
      <c r="DP1676" s="30"/>
      <c r="DQ1676" s="30"/>
      <c r="DR1676" s="30"/>
      <c r="DS1676" s="30"/>
      <c r="DT1676" s="30"/>
      <c r="DU1676" s="30"/>
      <c r="DV1676" s="30"/>
      <c r="DW1676" s="30"/>
      <c r="DX1676" s="30"/>
      <c r="DY1676" s="30"/>
      <c r="DZ1676" s="30"/>
    </row>
    <row r="1677">
      <c r="A1677" s="30"/>
      <c r="B1677" s="42"/>
      <c r="C1677" s="43"/>
      <c r="D1677" s="30"/>
      <c r="E1677" s="28"/>
      <c r="F1677" s="30"/>
      <c r="G1677" s="30"/>
      <c r="H1677" s="30"/>
      <c r="I1677" s="30"/>
      <c r="J1677" s="28"/>
      <c r="K1677" s="30"/>
      <c r="L1677" s="30"/>
      <c r="M1677" s="30"/>
      <c r="N1677" s="30"/>
      <c r="O1677" s="28"/>
      <c r="P1677" s="30"/>
      <c r="Q1677" s="30"/>
      <c r="R1677" s="30"/>
      <c r="S1677" s="36"/>
      <c r="T1677" s="30"/>
      <c r="U1677" s="36"/>
      <c r="V1677" s="30"/>
      <c r="W1677" s="28"/>
      <c r="X1677" s="30"/>
      <c r="Y1677" s="30"/>
      <c r="Z1677" s="30"/>
      <c r="AA1677" s="30"/>
      <c r="AB1677" s="30"/>
      <c r="AC1677" s="28"/>
      <c r="AD1677" s="30"/>
      <c r="AE1677" s="30"/>
      <c r="AF1677" s="30"/>
      <c r="AG1677" s="29"/>
      <c r="AH1677" s="30"/>
      <c r="AI1677" s="36"/>
      <c r="AJ1677" s="30"/>
      <c r="AK1677" s="29"/>
      <c r="AL1677" s="30"/>
      <c r="AM1677" s="30"/>
      <c r="AN1677" s="30"/>
      <c r="AO1677" s="30"/>
      <c r="AP1677" s="30"/>
      <c r="AQ1677" s="38"/>
      <c r="AR1677" s="30"/>
      <c r="AS1677" s="30"/>
      <c r="AT1677" s="29"/>
      <c r="AU1677" s="30"/>
      <c r="AV1677" s="30"/>
      <c r="AW1677" s="30"/>
      <c r="AX1677" s="29"/>
      <c r="AY1677" s="39"/>
      <c r="AZ1677" s="30"/>
      <c r="BA1677" s="30"/>
      <c r="BB1677" s="29"/>
      <c r="BC1677" s="52"/>
      <c r="BD1677" s="30"/>
      <c r="BE1677" s="29"/>
      <c r="BF1677" s="30"/>
      <c r="BG1677" s="30"/>
      <c r="BH1677" s="30"/>
      <c r="BI1677" s="30"/>
      <c r="BJ1677" s="30"/>
      <c r="BK1677" s="30"/>
      <c r="BL1677" s="30"/>
      <c r="BM1677" s="30"/>
      <c r="BN1677" s="30"/>
      <c r="BO1677" s="30"/>
      <c r="BP1677" s="30"/>
      <c r="BQ1677" s="30"/>
      <c r="BR1677" s="30"/>
      <c r="BS1677" s="30"/>
      <c r="BT1677" s="30"/>
      <c r="BU1677" s="30"/>
      <c r="BV1677" s="30"/>
      <c r="BW1677" s="30"/>
      <c r="BX1677" s="30"/>
      <c r="BY1677" s="30"/>
      <c r="BZ1677" s="30"/>
      <c r="CA1677" s="30"/>
      <c r="CB1677" s="30"/>
      <c r="CC1677" s="30"/>
      <c r="CD1677" s="30"/>
      <c r="CE1677" s="30"/>
      <c r="CF1677" s="30"/>
      <c r="CG1677" s="30"/>
      <c r="CH1677" s="30"/>
      <c r="CI1677" s="30"/>
      <c r="CJ1677" s="30"/>
      <c r="CK1677" s="30"/>
      <c r="CL1677" s="30"/>
      <c r="CM1677" s="30"/>
      <c r="CN1677" s="30"/>
      <c r="CO1677" s="30"/>
      <c r="CP1677" s="30"/>
      <c r="CQ1677" s="30"/>
      <c r="CR1677" s="30"/>
      <c r="CS1677" s="30"/>
      <c r="CT1677" s="30"/>
      <c r="CU1677" s="30"/>
      <c r="CV1677" s="30"/>
      <c r="CW1677" s="30"/>
      <c r="CX1677" s="30"/>
      <c r="CY1677" s="30"/>
      <c r="CZ1677" s="30"/>
      <c r="DA1677" s="30"/>
      <c r="DB1677" s="30"/>
      <c r="DC1677" s="30"/>
      <c r="DD1677" s="30"/>
      <c r="DE1677" s="30"/>
      <c r="DF1677" s="30"/>
      <c r="DG1677" s="30"/>
      <c r="DH1677" s="30"/>
      <c r="DI1677" s="30"/>
      <c r="DJ1677" s="30"/>
      <c r="DK1677" s="30"/>
      <c r="DL1677" s="30"/>
      <c r="DM1677" s="30"/>
      <c r="DN1677" s="30"/>
      <c r="DO1677" s="30"/>
      <c r="DP1677" s="30"/>
      <c r="DQ1677" s="30"/>
      <c r="DR1677" s="30"/>
      <c r="DS1677" s="30"/>
      <c r="DT1677" s="30"/>
      <c r="DU1677" s="30"/>
      <c r="DV1677" s="30"/>
      <c r="DW1677" s="30"/>
      <c r="DX1677" s="30"/>
      <c r="DY1677" s="30"/>
      <c r="DZ1677" s="30"/>
    </row>
    <row r="1678">
      <c r="A1678" s="30"/>
      <c r="B1678" s="42"/>
      <c r="C1678" s="43"/>
      <c r="D1678" s="30"/>
      <c r="E1678" s="28"/>
      <c r="F1678" s="30"/>
      <c r="G1678" s="30"/>
      <c r="H1678" s="30"/>
      <c r="I1678" s="30"/>
      <c r="J1678" s="28"/>
      <c r="K1678" s="30"/>
      <c r="L1678" s="30"/>
      <c r="M1678" s="30"/>
      <c r="N1678" s="30"/>
      <c r="O1678" s="28"/>
      <c r="P1678" s="30"/>
      <c r="Q1678" s="30"/>
      <c r="R1678" s="30"/>
      <c r="S1678" s="36"/>
      <c r="T1678" s="30"/>
      <c r="U1678" s="36"/>
      <c r="V1678" s="30"/>
      <c r="W1678" s="28"/>
      <c r="X1678" s="30"/>
      <c r="Y1678" s="30"/>
      <c r="Z1678" s="30"/>
      <c r="AA1678" s="30"/>
      <c r="AB1678" s="30"/>
      <c r="AC1678" s="28"/>
      <c r="AD1678" s="30"/>
      <c r="AE1678" s="30"/>
      <c r="AF1678" s="30"/>
      <c r="AG1678" s="29"/>
      <c r="AH1678" s="30"/>
      <c r="AI1678" s="36"/>
      <c r="AJ1678" s="30"/>
      <c r="AK1678" s="29"/>
      <c r="AL1678" s="30"/>
      <c r="AM1678" s="30"/>
      <c r="AN1678" s="30"/>
      <c r="AO1678" s="30"/>
      <c r="AP1678" s="30"/>
      <c r="AQ1678" s="38"/>
      <c r="AR1678" s="30"/>
      <c r="AS1678" s="30"/>
      <c r="AT1678" s="29"/>
      <c r="AU1678" s="30"/>
      <c r="AV1678" s="30"/>
      <c r="AW1678" s="30"/>
      <c r="AX1678" s="29"/>
      <c r="AY1678" s="39"/>
      <c r="AZ1678" s="30"/>
      <c r="BA1678" s="30"/>
      <c r="BB1678" s="29"/>
      <c r="BC1678" s="52"/>
      <c r="BD1678" s="30"/>
      <c r="BE1678" s="29"/>
      <c r="BF1678" s="30"/>
      <c r="BG1678" s="30"/>
      <c r="BH1678" s="30"/>
      <c r="BI1678" s="30"/>
      <c r="BJ1678" s="30"/>
      <c r="BK1678" s="30"/>
      <c r="BL1678" s="30"/>
      <c r="BM1678" s="30"/>
      <c r="BN1678" s="30"/>
      <c r="BO1678" s="30"/>
      <c r="BP1678" s="30"/>
      <c r="BQ1678" s="30"/>
      <c r="BR1678" s="30"/>
      <c r="BS1678" s="30"/>
      <c r="BT1678" s="30"/>
      <c r="BU1678" s="30"/>
      <c r="BV1678" s="30"/>
      <c r="BW1678" s="30"/>
      <c r="BX1678" s="30"/>
      <c r="BY1678" s="30"/>
      <c r="BZ1678" s="30"/>
      <c r="CA1678" s="30"/>
      <c r="CB1678" s="30"/>
      <c r="CC1678" s="30"/>
      <c r="CD1678" s="30"/>
      <c r="CE1678" s="30"/>
      <c r="CF1678" s="30"/>
      <c r="CG1678" s="30"/>
      <c r="CH1678" s="30"/>
      <c r="CI1678" s="30"/>
      <c r="CJ1678" s="30"/>
      <c r="CK1678" s="30"/>
      <c r="CL1678" s="30"/>
      <c r="CM1678" s="30"/>
      <c r="CN1678" s="30"/>
      <c r="CO1678" s="30"/>
      <c r="CP1678" s="30"/>
      <c r="CQ1678" s="30"/>
      <c r="CR1678" s="30"/>
      <c r="CS1678" s="30"/>
      <c r="CT1678" s="30"/>
      <c r="CU1678" s="30"/>
      <c r="CV1678" s="30"/>
      <c r="CW1678" s="30"/>
      <c r="CX1678" s="30"/>
      <c r="CY1678" s="30"/>
      <c r="CZ1678" s="30"/>
      <c r="DA1678" s="30"/>
      <c r="DB1678" s="30"/>
      <c r="DC1678" s="30"/>
      <c r="DD1678" s="30"/>
      <c r="DE1678" s="30"/>
      <c r="DF1678" s="30"/>
      <c r="DG1678" s="30"/>
      <c r="DH1678" s="30"/>
      <c r="DI1678" s="30"/>
      <c r="DJ1678" s="30"/>
      <c r="DK1678" s="30"/>
      <c r="DL1678" s="30"/>
      <c r="DM1678" s="30"/>
      <c r="DN1678" s="30"/>
      <c r="DO1678" s="30"/>
      <c r="DP1678" s="30"/>
      <c r="DQ1678" s="30"/>
      <c r="DR1678" s="30"/>
      <c r="DS1678" s="30"/>
      <c r="DT1678" s="30"/>
      <c r="DU1678" s="30"/>
      <c r="DV1678" s="30"/>
      <c r="DW1678" s="30"/>
      <c r="DX1678" s="30"/>
      <c r="DY1678" s="30"/>
      <c r="DZ1678" s="30"/>
    </row>
    <row r="1679">
      <c r="A1679" s="30"/>
      <c r="B1679" s="42"/>
      <c r="C1679" s="43"/>
      <c r="D1679" s="30"/>
      <c r="E1679" s="28"/>
      <c r="F1679" s="30"/>
      <c r="G1679" s="30"/>
      <c r="H1679" s="30"/>
      <c r="I1679" s="30"/>
      <c r="J1679" s="28"/>
      <c r="K1679" s="30"/>
      <c r="L1679" s="30"/>
      <c r="M1679" s="30"/>
      <c r="N1679" s="30"/>
      <c r="O1679" s="28"/>
      <c r="P1679" s="30"/>
      <c r="Q1679" s="30"/>
      <c r="R1679" s="30"/>
      <c r="S1679" s="36"/>
      <c r="T1679" s="30"/>
      <c r="U1679" s="36"/>
      <c r="V1679" s="30"/>
      <c r="W1679" s="28"/>
      <c r="X1679" s="30"/>
      <c r="Y1679" s="30"/>
      <c r="Z1679" s="30"/>
      <c r="AA1679" s="30"/>
      <c r="AB1679" s="30"/>
      <c r="AC1679" s="28"/>
      <c r="AD1679" s="30"/>
      <c r="AE1679" s="30"/>
      <c r="AF1679" s="30"/>
      <c r="AG1679" s="29"/>
      <c r="AH1679" s="30"/>
      <c r="AI1679" s="36"/>
      <c r="AJ1679" s="30"/>
      <c r="AK1679" s="29"/>
      <c r="AL1679" s="30"/>
      <c r="AM1679" s="30"/>
      <c r="AN1679" s="30"/>
      <c r="AO1679" s="30"/>
      <c r="AP1679" s="30"/>
      <c r="AQ1679" s="38"/>
      <c r="AR1679" s="30"/>
      <c r="AS1679" s="30"/>
      <c r="AT1679" s="29"/>
      <c r="AU1679" s="30"/>
      <c r="AV1679" s="30"/>
      <c r="AW1679" s="30"/>
      <c r="AX1679" s="29"/>
      <c r="AY1679" s="39"/>
      <c r="AZ1679" s="30"/>
      <c r="BA1679" s="30"/>
      <c r="BB1679" s="29"/>
      <c r="BC1679" s="52"/>
      <c r="BD1679" s="30"/>
      <c r="BE1679" s="29"/>
      <c r="BF1679" s="30"/>
      <c r="BG1679" s="30"/>
      <c r="BH1679" s="30"/>
      <c r="BI1679" s="30"/>
      <c r="BJ1679" s="30"/>
      <c r="BK1679" s="30"/>
      <c r="BL1679" s="30"/>
      <c r="BM1679" s="30"/>
      <c r="BN1679" s="30"/>
      <c r="BO1679" s="30"/>
      <c r="BP1679" s="30"/>
      <c r="BQ1679" s="30"/>
      <c r="BR1679" s="30"/>
      <c r="BS1679" s="30"/>
      <c r="BT1679" s="30"/>
      <c r="BU1679" s="30"/>
      <c r="BV1679" s="30"/>
      <c r="BW1679" s="30"/>
      <c r="BX1679" s="30"/>
      <c r="BY1679" s="30"/>
      <c r="BZ1679" s="30"/>
      <c r="CA1679" s="30"/>
      <c r="CB1679" s="30"/>
      <c r="CC1679" s="30"/>
      <c r="CD1679" s="30"/>
      <c r="CE1679" s="30"/>
      <c r="CF1679" s="30"/>
      <c r="CG1679" s="30"/>
      <c r="CH1679" s="30"/>
      <c r="CI1679" s="30"/>
      <c r="CJ1679" s="30"/>
      <c r="CK1679" s="30"/>
      <c r="CL1679" s="30"/>
      <c r="CM1679" s="30"/>
      <c r="CN1679" s="30"/>
      <c r="CO1679" s="30"/>
      <c r="CP1679" s="30"/>
      <c r="CQ1679" s="30"/>
      <c r="CR1679" s="30"/>
      <c r="CS1679" s="30"/>
      <c r="CT1679" s="30"/>
      <c r="CU1679" s="30"/>
      <c r="CV1679" s="30"/>
      <c r="CW1679" s="30"/>
      <c r="CX1679" s="30"/>
      <c r="CY1679" s="30"/>
      <c r="CZ1679" s="30"/>
      <c r="DA1679" s="30"/>
      <c r="DB1679" s="30"/>
      <c r="DC1679" s="30"/>
      <c r="DD1679" s="30"/>
      <c r="DE1679" s="30"/>
      <c r="DF1679" s="30"/>
      <c r="DG1679" s="30"/>
      <c r="DH1679" s="30"/>
      <c r="DI1679" s="30"/>
      <c r="DJ1679" s="30"/>
      <c r="DK1679" s="30"/>
      <c r="DL1679" s="30"/>
      <c r="DM1679" s="30"/>
      <c r="DN1679" s="30"/>
      <c r="DO1679" s="30"/>
      <c r="DP1679" s="30"/>
      <c r="DQ1679" s="30"/>
      <c r="DR1679" s="30"/>
      <c r="DS1679" s="30"/>
      <c r="DT1679" s="30"/>
      <c r="DU1679" s="30"/>
      <c r="DV1679" s="30"/>
      <c r="DW1679" s="30"/>
      <c r="DX1679" s="30"/>
      <c r="DY1679" s="30"/>
      <c r="DZ1679" s="30"/>
    </row>
    <row r="1680">
      <c r="A1680" s="30"/>
      <c r="B1680" s="42"/>
      <c r="C1680" s="43"/>
      <c r="D1680" s="30"/>
      <c r="E1680" s="28"/>
      <c r="F1680" s="30"/>
      <c r="G1680" s="30"/>
      <c r="H1680" s="30"/>
      <c r="I1680" s="30"/>
      <c r="J1680" s="28"/>
      <c r="K1680" s="30"/>
      <c r="L1680" s="30"/>
      <c r="M1680" s="30"/>
      <c r="N1680" s="30"/>
      <c r="O1680" s="28"/>
      <c r="P1680" s="30"/>
      <c r="Q1680" s="30"/>
      <c r="R1680" s="30"/>
      <c r="S1680" s="36"/>
      <c r="T1680" s="30"/>
      <c r="U1680" s="36"/>
      <c r="V1680" s="30"/>
      <c r="W1680" s="28"/>
      <c r="X1680" s="30"/>
      <c r="Y1680" s="30"/>
      <c r="Z1680" s="30"/>
      <c r="AA1680" s="30"/>
      <c r="AB1680" s="30"/>
      <c r="AC1680" s="28"/>
      <c r="AD1680" s="30"/>
      <c r="AE1680" s="30"/>
      <c r="AF1680" s="30"/>
      <c r="AG1680" s="29"/>
      <c r="AH1680" s="30"/>
      <c r="AI1680" s="36"/>
      <c r="AJ1680" s="30"/>
      <c r="AK1680" s="29"/>
      <c r="AL1680" s="30"/>
      <c r="AM1680" s="30"/>
      <c r="AN1680" s="30"/>
      <c r="AO1680" s="30"/>
      <c r="AP1680" s="30"/>
      <c r="AQ1680" s="38"/>
      <c r="AR1680" s="30"/>
      <c r="AS1680" s="30"/>
      <c r="AT1680" s="29"/>
      <c r="AU1680" s="30"/>
      <c r="AV1680" s="30"/>
      <c r="AW1680" s="30"/>
      <c r="AX1680" s="29"/>
      <c r="AY1680" s="39"/>
      <c r="AZ1680" s="30"/>
      <c r="BA1680" s="30"/>
      <c r="BB1680" s="29"/>
      <c r="BC1680" s="52"/>
      <c r="BD1680" s="30"/>
      <c r="BE1680" s="29"/>
      <c r="BF1680" s="30"/>
      <c r="BG1680" s="30"/>
      <c r="BH1680" s="30"/>
      <c r="BI1680" s="30"/>
      <c r="BJ1680" s="30"/>
      <c r="BK1680" s="30"/>
      <c r="BL1680" s="30"/>
      <c r="BM1680" s="30"/>
      <c r="BN1680" s="30"/>
      <c r="BO1680" s="30"/>
      <c r="BP1680" s="30"/>
      <c r="BQ1680" s="30"/>
      <c r="BR1680" s="30"/>
      <c r="BS1680" s="30"/>
      <c r="BT1680" s="30"/>
      <c r="BU1680" s="30"/>
      <c r="BV1680" s="30"/>
      <c r="BW1680" s="30"/>
      <c r="BX1680" s="30"/>
      <c r="BY1680" s="30"/>
      <c r="BZ1680" s="30"/>
      <c r="CA1680" s="30"/>
      <c r="CB1680" s="30"/>
      <c r="CC1680" s="30"/>
      <c r="CD1680" s="30"/>
      <c r="CE1680" s="30"/>
      <c r="CF1680" s="30"/>
      <c r="CG1680" s="30"/>
      <c r="CH1680" s="30"/>
      <c r="CI1680" s="30"/>
      <c r="CJ1680" s="30"/>
      <c r="CK1680" s="30"/>
      <c r="CL1680" s="30"/>
      <c r="CM1680" s="30"/>
      <c r="CN1680" s="30"/>
      <c r="CO1680" s="30"/>
      <c r="CP1680" s="30"/>
      <c r="CQ1680" s="30"/>
      <c r="CR1680" s="30"/>
      <c r="CS1680" s="30"/>
      <c r="CT1680" s="30"/>
      <c r="CU1680" s="30"/>
      <c r="CV1680" s="30"/>
      <c r="CW1680" s="30"/>
      <c r="CX1680" s="30"/>
      <c r="CY1680" s="30"/>
      <c r="CZ1680" s="30"/>
      <c r="DA1680" s="30"/>
      <c r="DB1680" s="30"/>
      <c r="DC1680" s="30"/>
      <c r="DD1680" s="30"/>
      <c r="DE1680" s="30"/>
      <c r="DF1680" s="30"/>
      <c r="DG1680" s="30"/>
      <c r="DH1680" s="30"/>
      <c r="DI1680" s="30"/>
      <c r="DJ1680" s="30"/>
      <c r="DK1680" s="30"/>
      <c r="DL1680" s="30"/>
      <c r="DM1680" s="30"/>
      <c r="DN1680" s="30"/>
      <c r="DO1680" s="30"/>
      <c r="DP1680" s="30"/>
      <c r="DQ1680" s="30"/>
      <c r="DR1680" s="30"/>
      <c r="DS1680" s="30"/>
      <c r="DT1680" s="30"/>
      <c r="DU1680" s="30"/>
      <c r="DV1680" s="30"/>
      <c r="DW1680" s="30"/>
      <c r="DX1680" s="30"/>
      <c r="DY1680" s="30"/>
      <c r="DZ1680" s="30"/>
    </row>
    <row r="1681">
      <c r="A1681" s="30"/>
      <c r="B1681" s="42"/>
      <c r="C1681" s="43"/>
      <c r="D1681" s="30"/>
      <c r="E1681" s="28"/>
      <c r="F1681" s="30"/>
      <c r="G1681" s="30"/>
      <c r="H1681" s="30"/>
      <c r="I1681" s="30"/>
      <c r="J1681" s="28"/>
      <c r="K1681" s="30"/>
      <c r="L1681" s="30"/>
      <c r="M1681" s="30"/>
      <c r="N1681" s="30"/>
      <c r="O1681" s="28"/>
      <c r="P1681" s="30"/>
      <c r="Q1681" s="30"/>
      <c r="R1681" s="30"/>
      <c r="S1681" s="36"/>
      <c r="T1681" s="30"/>
      <c r="U1681" s="36"/>
      <c r="V1681" s="30"/>
      <c r="W1681" s="28"/>
      <c r="X1681" s="30"/>
      <c r="Y1681" s="30"/>
      <c r="Z1681" s="30"/>
      <c r="AA1681" s="30"/>
      <c r="AB1681" s="30"/>
      <c r="AC1681" s="28"/>
      <c r="AD1681" s="30"/>
      <c r="AE1681" s="30"/>
      <c r="AF1681" s="30"/>
      <c r="AG1681" s="29"/>
      <c r="AH1681" s="30"/>
      <c r="AI1681" s="36"/>
      <c r="AJ1681" s="30"/>
      <c r="AK1681" s="29"/>
      <c r="AL1681" s="30"/>
      <c r="AM1681" s="30"/>
      <c r="AN1681" s="30"/>
      <c r="AO1681" s="30"/>
      <c r="AP1681" s="30"/>
      <c r="AQ1681" s="38"/>
      <c r="AR1681" s="30"/>
      <c r="AS1681" s="30"/>
      <c r="AT1681" s="29"/>
      <c r="AU1681" s="30"/>
      <c r="AV1681" s="30"/>
      <c r="AW1681" s="30"/>
      <c r="AX1681" s="29"/>
      <c r="AY1681" s="39"/>
      <c r="AZ1681" s="30"/>
      <c r="BA1681" s="30"/>
      <c r="BB1681" s="29"/>
      <c r="BC1681" s="52"/>
      <c r="BD1681" s="30"/>
      <c r="BE1681" s="29"/>
      <c r="BF1681" s="30"/>
      <c r="BG1681" s="30"/>
      <c r="BH1681" s="30"/>
      <c r="BI1681" s="30"/>
      <c r="BJ1681" s="30"/>
      <c r="BK1681" s="30"/>
      <c r="BL1681" s="30"/>
      <c r="BM1681" s="30"/>
      <c r="BN1681" s="30"/>
      <c r="BO1681" s="30"/>
      <c r="BP1681" s="30"/>
      <c r="BQ1681" s="30"/>
      <c r="BR1681" s="30"/>
      <c r="BS1681" s="30"/>
      <c r="BT1681" s="30"/>
      <c r="BU1681" s="30"/>
      <c r="BV1681" s="30"/>
      <c r="BW1681" s="30"/>
      <c r="BX1681" s="30"/>
      <c r="BY1681" s="30"/>
      <c r="BZ1681" s="30"/>
      <c r="CA1681" s="30"/>
      <c r="CB1681" s="30"/>
      <c r="CC1681" s="30"/>
      <c r="CD1681" s="30"/>
      <c r="CE1681" s="30"/>
      <c r="CF1681" s="30"/>
      <c r="CG1681" s="30"/>
      <c r="CH1681" s="30"/>
      <c r="CI1681" s="30"/>
      <c r="CJ1681" s="30"/>
      <c r="CK1681" s="30"/>
      <c r="CL1681" s="30"/>
      <c r="CM1681" s="30"/>
      <c r="CN1681" s="30"/>
      <c r="CO1681" s="30"/>
      <c r="CP1681" s="30"/>
      <c r="CQ1681" s="30"/>
      <c r="CR1681" s="30"/>
      <c r="CS1681" s="30"/>
      <c r="CT1681" s="30"/>
      <c r="CU1681" s="30"/>
      <c r="CV1681" s="30"/>
      <c r="CW1681" s="30"/>
      <c r="CX1681" s="30"/>
      <c r="CY1681" s="30"/>
      <c r="CZ1681" s="30"/>
      <c r="DA1681" s="30"/>
      <c r="DB1681" s="30"/>
      <c r="DC1681" s="30"/>
      <c r="DD1681" s="30"/>
      <c r="DE1681" s="30"/>
      <c r="DF1681" s="30"/>
      <c r="DG1681" s="30"/>
      <c r="DH1681" s="30"/>
      <c r="DI1681" s="30"/>
      <c r="DJ1681" s="30"/>
      <c r="DK1681" s="30"/>
      <c r="DL1681" s="30"/>
      <c r="DM1681" s="30"/>
      <c r="DN1681" s="30"/>
      <c r="DO1681" s="30"/>
      <c r="DP1681" s="30"/>
      <c r="DQ1681" s="30"/>
      <c r="DR1681" s="30"/>
      <c r="DS1681" s="30"/>
      <c r="DT1681" s="30"/>
      <c r="DU1681" s="30"/>
      <c r="DV1681" s="30"/>
      <c r="DW1681" s="30"/>
      <c r="DX1681" s="30"/>
      <c r="DY1681" s="30"/>
      <c r="DZ1681" s="30"/>
    </row>
    <row r="1682">
      <c r="A1682" s="30"/>
      <c r="B1682" s="42"/>
      <c r="C1682" s="43"/>
      <c r="D1682" s="30"/>
      <c r="E1682" s="28"/>
      <c r="F1682" s="30"/>
      <c r="G1682" s="30"/>
      <c r="H1682" s="30"/>
      <c r="I1682" s="30"/>
      <c r="J1682" s="28"/>
      <c r="K1682" s="30"/>
      <c r="L1682" s="30"/>
      <c r="M1682" s="30"/>
      <c r="N1682" s="30"/>
      <c r="O1682" s="28"/>
      <c r="P1682" s="30"/>
      <c r="Q1682" s="30"/>
      <c r="R1682" s="30"/>
      <c r="S1682" s="36"/>
      <c r="T1682" s="30"/>
      <c r="U1682" s="36"/>
      <c r="V1682" s="30"/>
      <c r="W1682" s="28"/>
      <c r="X1682" s="30"/>
      <c r="Y1682" s="30"/>
      <c r="Z1682" s="30"/>
      <c r="AA1682" s="30"/>
      <c r="AB1682" s="30"/>
      <c r="AC1682" s="28"/>
      <c r="AD1682" s="30"/>
      <c r="AE1682" s="30"/>
      <c r="AF1682" s="30"/>
      <c r="AG1682" s="29"/>
      <c r="AH1682" s="30"/>
      <c r="AI1682" s="36"/>
      <c r="AJ1682" s="30"/>
      <c r="AK1682" s="29"/>
      <c r="AL1682" s="30"/>
      <c r="AM1682" s="30"/>
      <c r="AN1682" s="30"/>
      <c r="AO1682" s="30"/>
      <c r="AP1682" s="30"/>
      <c r="AQ1682" s="38"/>
      <c r="AR1682" s="30"/>
      <c r="AS1682" s="30"/>
      <c r="AT1682" s="29"/>
      <c r="AU1682" s="30"/>
      <c r="AV1682" s="30"/>
      <c r="AW1682" s="30"/>
      <c r="AX1682" s="29"/>
      <c r="AY1682" s="39"/>
      <c r="AZ1682" s="30"/>
      <c r="BA1682" s="30"/>
      <c r="BB1682" s="29"/>
      <c r="BC1682" s="52"/>
      <c r="BD1682" s="30"/>
      <c r="BE1682" s="29"/>
      <c r="BF1682" s="30"/>
      <c r="BG1682" s="30"/>
      <c r="BH1682" s="30"/>
      <c r="BI1682" s="30"/>
      <c r="BJ1682" s="30"/>
      <c r="BK1682" s="30"/>
      <c r="BL1682" s="30"/>
      <c r="BM1682" s="30"/>
      <c r="BN1682" s="30"/>
      <c r="BO1682" s="30"/>
      <c r="BP1682" s="30"/>
      <c r="BQ1682" s="30"/>
      <c r="BR1682" s="30"/>
      <c r="BS1682" s="30"/>
      <c r="BT1682" s="30"/>
      <c r="BU1682" s="30"/>
      <c r="BV1682" s="30"/>
      <c r="BW1682" s="30"/>
      <c r="BX1682" s="30"/>
      <c r="BY1682" s="30"/>
      <c r="BZ1682" s="30"/>
      <c r="CA1682" s="30"/>
      <c r="CB1682" s="30"/>
      <c r="CC1682" s="30"/>
      <c r="CD1682" s="30"/>
      <c r="CE1682" s="30"/>
      <c r="CF1682" s="30"/>
      <c r="CG1682" s="30"/>
      <c r="CH1682" s="30"/>
      <c r="CI1682" s="30"/>
      <c r="CJ1682" s="30"/>
      <c r="CK1682" s="30"/>
      <c r="CL1682" s="30"/>
      <c r="CM1682" s="30"/>
      <c r="CN1682" s="30"/>
      <c r="CO1682" s="30"/>
      <c r="CP1682" s="30"/>
      <c r="CQ1682" s="30"/>
      <c r="CR1682" s="30"/>
      <c r="CS1682" s="30"/>
      <c r="CT1682" s="30"/>
      <c r="CU1682" s="30"/>
      <c r="CV1682" s="30"/>
      <c r="CW1682" s="30"/>
      <c r="CX1682" s="30"/>
      <c r="CY1682" s="30"/>
      <c r="CZ1682" s="30"/>
      <c r="DA1682" s="30"/>
      <c r="DB1682" s="30"/>
      <c r="DC1682" s="30"/>
      <c r="DD1682" s="30"/>
      <c r="DE1682" s="30"/>
      <c r="DF1682" s="30"/>
      <c r="DG1682" s="30"/>
      <c r="DH1682" s="30"/>
      <c r="DI1682" s="30"/>
      <c r="DJ1682" s="30"/>
      <c r="DK1682" s="30"/>
      <c r="DL1682" s="30"/>
      <c r="DM1682" s="30"/>
      <c r="DN1682" s="30"/>
      <c r="DO1682" s="30"/>
      <c r="DP1682" s="30"/>
      <c r="DQ1682" s="30"/>
      <c r="DR1682" s="30"/>
      <c r="DS1682" s="30"/>
      <c r="DT1682" s="30"/>
      <c r="DU1682" s="30"/>
      <c r="DV1682" s="30"/>
      <c r="DW1682" s="30"/>
      <c r="DX1682" s="30"/>
      <c r="DY1682" s="30"/>
      <c r="DZ1682" s="30"/>
    </row>
    <row r="1683">
      <c r="A1683" s="30"/>
      <c r="B1683" s="42"/>
      <c r="C1683" s="43"/>
      <c r="D1683" s="30"/>
      <c r="E1683" s="28"/>
      <c r="F1683" s="30"/>
      <c r="G1683" s="30"/>
      <c r="H1683" s="30"/>
      <c r="I1683" s="30"/>
      <c r="J1683" s="28"/>
      <c r="K1683" s="30"/>
      <c r="L1683" s="30"/>
      <c r="M1683" s="30"/>
      <c r="N1683" s="30"/>
      <c r="O1683" s="28"/>
      <c r="P1683" s="30"/>
      <c r="Q1683" s="30"/>
      <c r="R1683" s="30"/>
      <c r="S1683" s="36"/>
      <c r="T1683" s="30"/>
      <c r="U1683" s="36"/>
      <c r="V1683" s="30"/>
      <c r="W1683" s="28"/>
      <c r="X1683" s="30"/>
      <c r="Y1683" s="30"/>
      <c r="Z1683" s="30"/>
      <c r="AA1683" s="30"/>
      <c r="AB1683" s="30"/>
      <c r="AC1683" s="28"/>
      <c r="AD1683" s="30"/>
      <c r="AE1683" s="30"/>
      <c r="AF1683" s="30"/>
      <c r="AG1683" s="29"/>
      <c r="AH1683" s="30"/>
      <c r="AI1683" s="36"/>
      <c r="AJ1683" s="30"/>
      <c r="AK1683" s="29"/>
      <c r="AL1683" s="30"/>
      <c r="AM1683" s="30"/>
      <c r="AN1683" s="30"/>
      <c r="AO1683" s="30"/>
      <c r="AP1683" s="30"/>
      <c r="AQ1683" s="38"/>
      <c r="AR1683" s="30"/>
      <c r="AS1683" s="30"/>
      <c r="AT1683" s="29"/>
      <c r="AU1683" s="30"/>
      <c r="AV1683" s="30"/>
      <c r="AW1683" s="30"/>
      <c r="AX1683" s="29"/>
      <c r="AY1683" s="39"/>
      <c r="AZ1683" s="30"/>
      <c r="BA1683" s="30"/>
      <c r="BB1683" s="29"/>
      <c r="BC1683" s="52"/>
      <c r="BD1683" s="30"/>
      <c r="BE1683" s="29"/>
      <c r="BF1683" s="30"/>
      <c r="BG1683" s="30"/>
      <c r="BH1683" s="30"/>
      <c r="BI1683" s="30"/>
      <c r="BJ1683" s="30"/>
      <c r="BK1683" s="30"/>
      <c r="BL1683" s="30"/>
      <c r="BM1683" s="30"/>
      <c r="BN1683" s="30"/>
      <c r="BO1683" s="30"/>
      <c r="BP1683" s="30"/>
      <c r="BQ1683" s="30"/>
      <c r="BR1683" s="30"/>
      <c r="BS1683" s="30"/>
      <c r="BT1683" s="30"/>
      <c r="BU1683" s="30"/>
      <c r="BV1683" s="30"/>
      <c r="BW1683" s="30"/>
      <c r="BX1683" s="30"/>
      <c r="BY1683" s="30"/>
      <c r="BZ1683" s="30"/>
      <c r="CA1683" s="30"/>
      <c r="CB1683" s="30"/>
      <c r="CC1683" s="30"/>
      <c r="CD1683" s="30"/>
      <c r="CE1683" s="30"/>
      <c r="CF1683" s="30"/>
      <c r="CG1683" s="30"/>
      <c r="CH1683" s="30"/>
      <c r="CI1683" s="30"/>
      <c r="CJ1683" s="30"/>
      <c r="CK1683" s="30"/>
      <c r="CL1683" s="30"/>
      <c r="CM1683" s="30"/>
      <c r="CN1683" s="30"/>
      <c r="CO1683" s="30"/>
      <c r="CP1683" s="30"/>
      <c r="CQ1683" s="30"/>
      <c r="CR1683" s="30"/>
      <c r="CS1683" s="30"/>
      <c r="CT1683" s="30"/>
      <c r="CU1683" s="30"/>
      <c r="CV1683" s="30"/>
      <c r="CW1683" s="30"/>
      <c r="CX1683" s="30"/>
      <c r="CY1683" s="30"/>
      <c r="CZ1683" s="30"/>
      <c r="DA1683" s="30"/>
      <c r="DB1683" s="30"/>
      <c r="DC1683" s="30"/>
      <c r="DD1683" s="30"/>
      <c r="DE1683" s="30"/>
      <c r="DF1683" s="30"/>
      <c r="DG1683" s="30"/>
      <c r="DH1683" s="30"/>
      <c r="DI1683" s="30"/>
      <c r="DJ1683" s="30"/>
      <c r="DK1683" s="30"/>
      <c r="DL1683" s="30"/>
      <c r="DM1683" s="30"/>
      <c r="DN1683" s="30"/>
      <c r="DO1683" s="30"/>
      <c r="DP1683" s="30"/>
      <c r="DQ1683" s="30"/>
      <c r="DR1683" s="30"/>
      <c r="DS1683" s="30"/>
      <c r="DT1683" s="30"/>
      <c r="DU1683" s="30"/>
      <c r="DV1683" s="30"/>
      <c r="DW1683" s="30"/>
      <c r="DX1683" s="30"/>
      <c r="DY1683" s="30"/>
      <c r="DZ1683" s="30"/>
    </row>
    <row r="1684">
      <c r="A1684" s="30"/>
      <c r="B1684" s="42"/>
      <c r="C1684" s="43"/>
      <c r="D1684" s="30"/>
      <c r="E1684" s="28"/>
      <c r="F1684" s="30"/>
      <c r="G1684" s="30"/>
      <c r="H1684" s="30"/>
      <c r="I1684" s="30"/>
      <c r="J1684" s="28"/>
      <c r="K1684" s="30"/>
      <c r="L1684" s="30"/>
      <c r="M1684" s="30"/>
      <c r="N1684" s="30"/>
      <c r="O1684" s="28"/>
      <c r="P1684" s="30"/>
      <c r="Q1684" s="30"/>
      <c r="R1684" s="30"/>
      <c r="S1684" s="36"/>
      <c r="T1684" s="30"/>
      <c r="U1684" s="36"/>
      <c r="V1684" s="30"/>
      <c r="W1684" s="28"/>
      <c r="X1684" s="30"/>
      <c r="Y1684" s="30"/>
      <c r="Z1684" s="30"/>
      <c r="AA1684" s="30"/>
      <c r="AB1684" s="30"/>
      <c r="AC1684" s="28"/>
      <c r="AD1684" s="30"/>
      <c r="AE1684" s="30"/>
      <c r="AF1684" s="30"/>
      <c r="AG1684" s="29"/>
      <c r="AH1684" s="30"/>
      <c r="AI1684" s="36"/>
      <c r="AJ1684" s="30"/>
      <c r="AK1684" s="29"/>
      <c r="AL1684" s="30"/>
      <c r="AM1684" s="30"/>
      <c r="AN1684" s="30"/>
      <c r="AO1684" s="30"/>
      <c r="AP1684" s="30"/>
      <c r="AQ1684" s="38"/>
      <c r="AR1684" s="30"/>
      <c r="AS1684" s="30"/>
      <c r="AT1684" s="29"/>
      <c r="AU1684" s="30"/>
      <c r="AV1684" s="30"/>
      <c r="AW1684" s="30"/>
      <c r="AX1684" s="29"/>
      <c r="AY1684" s="39"/>
      <c r="AZ1684" s="30"/>
      <c r="BA1684" s="30"/>
      <c r="BB1684" s="29"/>
      <c r="BC1684" s="52"/>
      <c r="BD1684" s="30"/>
      <c r="BE1684" s="29"/>
      <c r="BF1684" s="30"/>
      <c r="BG1684" s="30"/>
      <c r="BH1684" s="30"/>
      <c r="BI1684" s="30"/>
      <c r="BJ1684" s="30"/>
      <c r="BK1684" s="30"/>
      <c r="BL1684" s="30"/>
      <c r="BM1684" s="30"/>
      <c r="BN1684" s="30"/>
      <c r="BO1684" s="30"/>
      <c r="BP1684" s="30"/>
      <c r="BQ1684" s="30"/>
      <c r="BR1684" s="30"/>
      <c r="BS1684" s="30"/>
      <c r="BT1684" s="30"/>
      <c r="BU1684" s="30"/>
      <c r="BV1684" s="30"/>
      <c r="BW1684" s="30"/>
      <c r="BX1684" s="30"/>
      <c r="BY1684" s="30"/>
      <c r="BZ1684" s="30"/>
      <c r="CA1684" s="30"/>
      <c r="CB1684" s="30"/>
      <c r="CC1684" s="30"/>
      <c r="CD1684" s="30"/>
      <c r="CE1684" s="30"/>
      <c r="CF1684" s="30"/>
      <c r="CG1684" s="30"/>
      <c r="CH1684" s="30"/>
      <c r="CI1684" s="30"/>
      <c r="CJ1684" s="30"/>
      <c r="CK1684" s="30"/>
      <c r="CL1684" s="30"/>
      <c r="CM1684" s="30"/>
      <c r="CN1684" s="30"/>
      <c r="CO1684" s="30"/>
      <c r="CP1684" s="30"/>
      <c r="CQ1684" s="30"/>
      <c r="CR1684" s="30"/>
      <c r="CS1684" s="30"/>
      <c r="CT1684" s="30"/>
      <c r="CU1684" s="30"/>
      <c r="CV1684" s="30"/>
      <c r="CW1684" s="30"/>
      <c r="CX1684" s="30"/>
      <c r="CY1684" s="30"/>
      <c r="CZ1684" s="30"/>
      <c r="DA1684" s="30"/>
      <c r="DB1684" s="30"/>
      <c r="DC1684" s="30"/>
      <c r="DD1684" s="30"/>
      <c r="DE1684" s="30"/>
      <c r="DF1684" s="30"/>
      <c r="DG1684" s="30"/>
      <c r="DH1684" s="30"/>
      <c r="DI1684" s="30"/>
      <c r="DJ1684" s="30"/>
      <c r="DK1684" s="30"/>
      <c r="DL1684" s="30"/>
      <c r="DM1684" s="30"/>
      <c r="DN1684" s="30"/>
      <c r="DO1684" s="30"/>
      <c r="DP1684" s="30"/>
      <c r="DQ1684" s="30"/>
      <c r="DR1684" s="30"/>
      <c r="DS1684" s="30"/>
      <c r="DT1684" s="30"/>
      <c r="DU1684" s="30"/>
      <c r="DV1684" s="30"/>
      <c r="DW1684" s="30"/>
      <c r="DX1684" s="30"/>
      <c r="DY1684" s="30"/>
      <c r="DZ1684" s="30"/>
    </row>
    <row r="1685">
      <c r="A1685" s="30"/>
      <c r="B1685" s="42"/>
      <c r="C1685" s="43"/>
      <c r="D1685" s="30"/>
      <c r="E1685" s="28"/>
      <c r="F1685" s="30"/>
      <c r="G1685" s="30"/>
      <c r="H1685" s="30"/>
      <c r="I1685" s="30"/>
      <c r="J1685" s="28"/>
      <c r="K1685" s="30"/>
      <c r="L1685" s="30"/>
      <c r="M1685" s="30"/>
      <c r="N1685" s="30"/>
      <c r="O1685" s="28"/>
      <c r="P1685" s="30"/>
      <c r="Q1685" s="30"/>
      <c r="R1685" s="30"/>
      <c r="S1685" s="36"/>
      <c r="T1685" s="30"/>
      <c r="U1685" s="36"/>
      <c r="V1685" s="30"/>
      <c r="W1685" s="28"/>
      <c r="X1685" s="30"/>
      <c r="Y1685" s="30"/>
      <c r="Z1685" s="30"/>
      <c r="AA1685" s="30"/>
      <c r="AB1685" s="30"/>
      <c r="AC1685" s="28"/>
      <c r="AD1685" s="30"/>
      <c r="AE1685" s="30"/>
      <c r="AF1685" s="30"/>
      <c r="AG1685" s="29"/>
      <c r="AH1685" s="30"/>
      <c r="AI1685" s="36"/>
      <c r="AJ1685" s="30"/>
      <c r="AK1685" s="29"/>
      <c r="AL1685" s="30"/>
      <c r="AM1685" s="30"/>
      <c r="AN1685" s="30"/>
      <c r="AO1685" s="30"/>
      <c r="AP1685" s="30"/>
      <c r="AQ1685" s="38"/>
      <c r="AR1685" s="30"/>
      <c r="AS1685" s="30"/>
      <c r="AT1685" s="29"/>
      <c r="AU1685" s="30"/>
      <c r="AV1685" s="30"/>
      <c r="AW1685" s="30"/>
      <c r="AX1685" s="29"/>
      <c r="AY1685" s="39"/>
      <c r="AZ1685" s="30"/>
      <c r="BA1685" s="30"/>
      <c r="BB1685" s="29"/>
      <c r="BC1685" s="52"/>
      <c r="BD1685" s="30"/>
      <c r="BE1685" s="29"/>
      <c r="BF1685" s="30"/>
      <c r="BG1685" s="30"/>
      <c r="BH1685" s="30"/>
      <c r="BI1685" s="30"/>
      <c r="BJ1685" s="30"/>
      <c r="BK1685" s="30"/>
      <c r="BL1685" s="30"/>
      <c r="BM1685" s="30"/>
      <c r="BN1685" s="30"/>
      <c r="BO1685" s="30"/>
      <c r="BP1685" s="30"/>
      <c r="BQ1685" s="30"/>
      <c r="BR1685" s="30"/>
      <c r="BS1685" s="30"/>
      <c r="BT1685" s="30"/>
      <c r="BU1685" s="30"/>
      <c r="BV1685" s="30"/>
      <c r="BW1685" s="30"/>
      <c r="BX1685" s="30"/>
      <c r="BY1685" s="30"/>
      <c r="BZ1685" s="30"/>
      <c r="CA1685" s="30"/>
      <c r="CB1685" s="30"/>
      <c r="CC1685" s="30"/>
      <c r="CD1685" s="30"/>
      <c r="CE1685" s="30"/>
      <c r="CF1685" s="30"/>
      <c r="CG1685" s="30"/>
      <c r="CH1685" s="30"/>
      <c r="CI1685" s="30"/>
      <c r="CJ1685" s="30"/>
      <c r="CK1685" s="30"/>
      <c r="CL1685" s="30"/>
      <c r="CM1685" s="30"/>
      <c r="CN1685" s="30"/>
      <c r="CO1685" s="30"/>
      <c r="CP1685" s="30"/>
      <c r="CQ1685" s="30"/>
      <c r="CR1685" s="30"/>
      <c r="CS1685" s="30"/>
      <c r="CT1685" s="30"/>
      <c r="CU1685" s="30"/>
      <c r="CV1685" s="30"/>
      <c r="CW1685" s="30"/>
      <c r="CX1685" s="30"/>
      <c r="CY1685" s="30"/>
      <c r="CZ1685" s="30"/>
      <c r="DA1685" s="30"/>
      <c r="DB1685" s="30"/>
      <c r="DC1685" s="30"/>
      <c r="DD1685" s="30"/>
      <c r="DE1685" s="30"/>
      <c r="DF1685" s="30"/>
      <c r="DG1685" s="30"/>
      <c r="DH1685" s="30"/>
      <c r="DI1685" s="30"/>
      <c r="DJ1685" s="30"/>
      <c r="DK1685" s="30"/>
      <c r="DL1685" s="30"/>
      <c r="DM1685" s="30"/>
      <c r="DN1685" s="30"/>
      <c r="DO1685" s="30"/>
      <c r="DP1685" s="30"/>
      <c r="DQ1685" s="30"/>
      <c r="DR1685" s="30"/>
      <c r="DS1685" s="30"/>
      <c r="DT1685" s="30"/>
      <c r="DU1685" s="30"/>
      <c r="DV1685" s="30"/>
      <c r="DW1685" s="30"/>
      <c r="DX1685" s="30"/>
      <c r="DY1685" s="30"/>
      <c r="DZ1685" s="30"/>
    </row>
    <row r="1686">
      <c r="A1686" s="30"/>
      <c r="B1686" s="42"/>
      <c r="C1686" s="43"/>
      <c r="D1686" s="30"/>
      <c r="E1686" s="28"/>
      <c r="F1686" s="30"/>
      <c r="G1686" s="30"/>
      <c r="H1686" s="30"/>
      <c r="I1686" s="30"/>
      <c r="J1686" s="28"/>
      <c r="K1686" s="30"/>
      <c r="L1686" s="30"/>
      <c r="M1686" s="30"/>
      <c r="N1686" s="30"/>
      <c r="O1686" s="28"/>
      <c r="P1686" s="30"/>
      <c r="Q1686" s="30"/>
      <c r="R1686" s="30"/>
      <c r="S1686" s="36"/>
      <c r="T1686" s="30"/>
      <c r="U1686" s="36"/>
      <c r="V1686" s="30"/>
      <c r="W1686" s="28"/>
      <c r="X1686" s="30"/>
      <c r="Y1686" s="30"/>
      <c r="Z1686" s="30"/>
      <c r="AA1686" s="30"/>
      <c r="AB1686" s="30"/>
      <c r="AC1686" s="28"/>
      <c r="AD1686" s="30"/>
      <c r="AE1686" s="30"/>
      <c r="AF1686" s="30"/>
      <c r="AG1686" s="29"/>
      <c r="AH1686" s="30"/>
      <c r="AI1686" s="36"/>
      <c r="AJ1686" s="30"/>
      <c r="AK1686" s="29"/>
      <c r="AL1686" s="30"/>
      <c r="AM1686" s="30"/>
      <c r="AN1686" s="30"/>
      <c r="AO1686" s="30"/>
      <c r="AP1686" s="30"/>
      <c r="AQ1686" s="38"/>
      <c r="AR1686" s="30"/>
      <c r="AS1686" s="30"/>
      <c r="AT1686" s="29"/>
      <c r="AU1686" s="30"/>
      <c r="AV1686" s="30"/>
      <c r="AW1686" s="30"/>
      <c r="AX1686" s="29"/>
      <c r="AY1686" s="39"/>
      <c r="AZ1686" s="30"/>
      <c r="BA1686" s="30"/>
      <c r="BB1686" s="29"/>
      <c r="BC1686" s="52"/>
      <c r="BD1686" s="30"/>
      <c r="BE1686" s="29"/>
      <c r="BF1686" s="30"/>
      <c r="BG1686" s="30"/>
      <c r="BH1686" s="30"/>
      <c r="BI1686" s="30"/>
      <c r="BJ1686" s="30"/>
      <c r="BK1686" s="30"/>
      <c r="BL1686" s="30"/>
      <c r="BM1686" s="30"/>
      <c r="BN1686" s="30"/>
      <c r="BO1686" s="30"/>
      <c r="BP1686" s="30"/>
      <c r="BQ1686" s="30"/>
      <c r="BR1686" s="30"/>
      <c r="BS1686" s="30"/>
      <c r="BT1686" s="30"/>
      <c r="BU1686" s="30"/>
      <c r="BV1686" s="30"/>
      <c r="BW1686" s="30"/>
      <c r="BX1686" s="30"/>
      <c r="BY1686" s="30"/>
      <c r="BZ1686" s="30"/>
      <c r="CA1686" s="30"/>
      <c r="CB1686" s="30"/>
      <c r="CC1686" s="30"/>
      <c r="CD1686" s="30"/>
      <c r="CE1686" s="30"/>
      <c r="CF1686" s="30"/>
      <c r="CG1686" s="30"/>
      <c r="CH1686" s="30"/>
      <c r="CI1686" s="30"/>
      <c r="CJ1686" s="30"/>
      <c r="CK1686" s="30"/>
      <c r="CL1686" s="30"/>
      <c r="CM1686" s="30"/>
      <c r="CN1686" s="30"/>
      <c r="CO1686" s="30"/>
      <c r="CP1686" s="30"/>
      <c r="CQ1686" s="30"/>
      <c r="CR1686" s="30"/>
      <c r="CS1686" s="30"/>
      <c r="CT1686" s="30"/>
      <c r="CU1686" s="30"/>
      <c r="CV1686" s="30"/>
      <c r="CW1686" s="30"/>
      <c r="CX1686" s="30"/>
      <c r="CY1686" s="30"/>
      <c r="CZ1686" s="30"/>
      <c r="DA1686" s="30"/>
      <c r="DB1686" s="30"/>
      <c r="DC1686" s="30"/>
      <c r="DD1686" s="30"/>
      <c r="DE1686" s="30"/>
      <c r="DF1686" s="30"/>
      <c r="DG1686" s="30"/>
      <c r="DH1686" s="30"/>
      <c r="DI1686" s="30"/>
      <c r="DJ1686" s="30"/>
      <c r="DK1686" s="30"/>
      <c r="DL1686" s="30"/>
      <c r="DM1686" s="30"/>
      <c r="DN1686" s="30"/>
      <c r="DO1686" s="30"/>
      <c r="DP1686" s="30"/>
      <c r="DQ1686" s="30"/>
      <c r="DR1686" s="30"/>
      <c r="DS1686" s="30"/>
      <c r="DT1686" s="30"/>
      <c r="DU1686" s="30"/>
      <c r="DV1686" s="30"/>
      <c r="DW1686" s="30"/>
      <c r="DX1686" s="30"/>
      <c r="DY1686" s="30"/>
      <c r="DZ1686" s="30"/>
    </row>
    <row r="1687">
      <c r="A1687" s="30"/>
      <c r="B1687" s="42"/>
      <c r="C1687" s="43"/>
      <c r="D1687" s="30"/>
      <c r="E1687" s="28"/>
      <c r="F1687" s="30"/>
      <c r="G1687" s="30"/>
      <c r="H1687" s="30"/>
      <c r="I1687" s="30"/>
      <c r="J1687" s="28"/>
      <c r="K1687" s="30"/>
      <c r="L1687" s="30"/>
      <c r="M1687" s="30"/>
      <c r="N1687" s="30"/>
      <c r="O1687" s="28"/>
      <c r="P1687" s="30"/>
      <c r="Q1687" s="30"/>
      <c r="R1687" s="30"/>
      <c r="S1687" s="36"/>
      <c r="T1687" s="30"/>
      <c r="U1687" s="36"/>
      <c r="V1687" s="30"/>
      <c r="W1687" s="28"/>
      <c r="X1687" s="30"/>
      <c r="Y1687" s="30"/>
      <c r="Z1687" s="30"/>
      <c r="AA1687" s="30"/>
      <c r="AB1687" s="30"/>
      <c r="AC1687" s="28"/>
      <c r="AD1687" s="30"/>
      <c r="AE1687" s="30"/>
      <c r="AF1687" s="30"/>
      <c r="AG1687" s="29"/>
      <c r="AH1687" s="30"/>
      <c r="AI1687" s="36"/>
      <c r="AJ1687" s="30"/>
      <c r="AK1687" s="29"/>
      <c r="AL1687" s="30"/>
      <c r="AM1687" s="30"/>
      <c r="AN1687" s="30"/>
      <c r="AO1687" s="30"/>
      <c r="AP1687" s="30"/>
      <c r="AQ1687" s="38"/>
      <c r="AR1687" s="30"/>
      <c r="AS1687" s="30"/>
      <c r="AT1687" s="29"/>
      <c r="AU1687" s="30"/>
      <c r="AV1687" s="30"/>
      <c r="AW1687" s="30"/>
      <c r="AX1687" s="29"/>
      <c r="AY1687" s="39"/>
      <c r="AZ1687" s="30"/>
      <c r="BA1687" s="30"/>
      <c r="BB1687" s="29"/>
      <c r="BC1687" s="52"/>
      <c r="BD1687" s="30"/>
      <c r="BE1687" s="29"/>
      <c r="BF1687" s="30"/>
      <c r="BG1687" s="30"/>
      <c r="BH1687" s="30"/>
      <c r="BI1687" s="30"/>
      <c r="BJ1687" s="30"/>
      <c r="BK1687" s="30"/>
      <c r="BL1687" s="30"/>
      <c r="BM1687" s="30"/>
      <c r="BN1687" s="30"/>
      <c r="BO1687" s="30"/>
      <c r="BP1687" s="30"/>
      <c r="BQ1687" s="30"/>
      <c r="BR1687" s="30"/>
      <c r="BS1687" s="30"/>
      <c r="BT1687" s="30"/>
      <c r="BU1687" s="30"/>
      <c r="BV1687" s="30"/>
      <c r="BW1687" s="30"/>
      <c r="BX1687" s="30"/>
      <c r="BY1687" s="30"/>
      <c r="BZ1687" s="30"/>
      <c r="CA1687" s="30"/>
      <c r="CB1687" s="30"/>
      <c r="CC1687" s="30"/>
      <c r="CD1687" s="30"/>
      <c r="CE1687" s="30"/>
      <c r="CF1687" s="30"/>
      <c r="CG1687" s="30"/>
      <c r="CH1687" s="30"/>
      <c r="CI1687" s="30"/>
      <c r="CJ1687" s="30"/>
      <c r="CK1687" s="30"/>
      <c r="CL1687" s="30"/>
      <c r="CM1687" s="30"/>
      <c r="CN1687" s="30"/>
      <c r="CO1687" s="30"/>
      <c r="CP1687" s="30"/>
      <c r="CQ1687" s="30"/>
      <c r="CR1687" s="30"/>
      <c r="CS1687" s="30"/>
      <c r="CT1687" s="30"/>
      <c r="CU1687" s="30"/>
      <c r="CV1687" s="30"/>
      <c r="CW1687" s="30"/>
      <c r="CX1687" s="30"/>
      <c r="CY1687" s="30"/>
      <c r="CZ1687" s="30"/>
      <c r="DA1687" s="30"/>
      <c r="DB1687" s="30"/>
      <c r="DC1687" s="30"/>
      <c r="DD1687" s="30"/>
      <c r="DE1687" s="30"/>
      <c r="DF1687" s="30"/>
      <c r="DG1687" s="30"/>
      <c r="DH1687" s="30"/>
      <c r="DI1687" s="30"/>
      <c r="DJ1687" s="30"/>
      <c r="DK1687" s="30"/>
      <c r="DL1687" s="30"/>
      <c r="DM1687" s="30"/>
      <c r="DN1687" s="30"/>
      <c r="DO1687" s="30"/>
      <c r="DP1687" s="30"/>
      <c r="DQ1687" s="30"/>
      <c r="DR1687" s="30"/>
      <c r="DS1687" s="30"/>
      <c r="DT1687" s="30"/>
      <c r="DU1687" s="30"/>
      <c r="DV1687" s="30"/>
      <c r="DW1687" s="30"/>
      <c r="DX1687" s="30"/>
      <c r="DY1687" s="30"/>
      <c r="DZ1687" s="30"/>
    </row>
    <row r="1688">
      <c r="A1688" s="30"/>
      <c r="B1688" s="42"/>
      <c r="C1688" s="43"/>
      <c r="D1688" s="30"/>
      <c r="E1688" s="28"/>
      <c r="F1688" s="30"/>
      <c r="G1688" s="30"/>
      <c r="H1688" s="30"/>
      <c r="I1688" s="30"/>
      <c r="J1688" s="28"/>
      <c r="K1688" s="30"/>
      <c r="L1688" s="30"/>
      <c r="M1688" s="30"/>
      <c r="N1688" s="30"/>
      <c r="O1688" s="28"/>
      <c r="P1688" s="30"/>
      <c r="Q1688" s="30"/>
      <c r="R1688" s="30"/>
      <c r="S1688" s="36"/>
      <c r="T1688" s="30"/>
      <c r="U1688" s="36"/>
      <c r="V1688" s="30"/>
      <c r="W1688" s="28"/>
      <c r="X1688" s="30"/>
      <c r="Y1688" s="30"/>
      <c r="Z1688" s="30"/>
      <c r="AA1688" s="30"/>
      <c r="AB1688" s="30"/>
      <c r="AC1688" s="28"/>
      <c r="AD1688" s="30"/>
      <c r="AE1688" s="30"/>
      <c r="AF1688" s="30"/>
      <c r="AG1688" s="29"/>
      <c r="AH1688" s="30"/>
      <c r="AI1688" s="36"/>
      <c r="AJ1688" s="30"/>
      <c r="AK1688" s="29"/>
      <c r="AL1688" s="30"/>
      <c r="AM1688" s="30"/>
      <c r="AN1688" s="30"/>
      <c r="AO1688" s="30"/>
      <c r="AP1688" s="30"/>
      <c r="AQ1688" s="38"/>
      <c r="AR1688" s="30"/>
      <c r="AS1688" s="30"/>
      <c r="AT1688" s="29"/>
      <c r="AU1688" s="30"/>
      <c r="AV1688" s="30"/>
      <c r="AW1688" s="30"/>
      <c r="AX1688" s="29"/>
      <c r="AY1688" s="39"/>
      <c r="AZ1688" s="30"/>
      <c r="BA1688" s="30"/>
      <c r="BB1688" s="29"/>
      <c r="BC1688" s="52"/>
      <c r="BD1688" s="30"/>
      <c r="BE1688" s="29"/>
      <c r="BF1688" s="30"/>
      <c r="BG1688" s="30"/>
      <c r="BH1688" s="30"/>
      <c r="BI1688" s="30"/>
      <c r="BJ1688" s="30"/>
      <c r="BK1688" s="30"/>
      <c r="BL1688" s="30"/>
      <c r="BM1688" s="30"/>
      <c r="BN1688" s="30"/>
      <c r="BO1688" s="30"/>
      <c r="BP1688" s="30"/>
      <c r="BQ1688" s="30"/>
      <c r="BR1688" s="30"/>
      <c r="BS1688" s="30"/>
      <c r="BT1688" s="30"/>
      <c r="BU1688" s="30"/>
      <c r="BV1688" s="30"/>
      <c r="BW1688" s="30"/>
      <c r="BX1688" s="30"/>
      <c r="BY1688" s="30"/>
      <c r="BZ1688" s="30"/>
      <c r="CA1688" s="30"/>
      <c r="CB1688" s="30"/>
      <c r="CC1688" s="30"/>
      <c r="CD1688" s="30"/>
      <c r="CE1688" s="30"/>
      <c r="CF1688" s="30"/>
      <c r="CG1688" s="30"/>
      <c r="CH1688" s="30"/>
      <c r="CI1688" s="30"/>
      <c r="CJ1688" s="30"/>
      <c r="CK1688" s="30"/>
      <c r="CL1688" s="30"/>
      <c r="CM1688" s="30"/>
      <c r="CN1688" s="30"/>
      <c r="CO1688" s="30"/>
      <c r="CP1688" s="30"/>
      <c r="CQ1688" s="30"/>
      <c r="CR1688" s="30"/>
      <c r="CS1688" s="30"/>
      <c r="CT1688" s="30"/>
      <c r="CU1688" s="30"/>
      <c r="CV1688" s="30"/>
      <c r="CW1688" s="30"/>
      <c r="CX1688" s="30"/>
      <c r="CY1688" s="30"/>
      <c r="CZ1688" s="30"/>
      <c r="DA1688" s="30"/>
      <c r="DB1688" s="30"/>
      <c r="DC1688" s="30"/>
      <c r="DD1688" s="30"/>
      <c r="DE1688" s="30"/>
      <c r="DF1688" s="30"/>
      <c r="DG1688" s="30"/>
      <c r="DH1688" s="30"/>
      <c r="DI1688" s="30"/>
      <c r="DJ1688" s="30"/>
      <c r="DK1688" s="30"/>
      <c r="DL1688" s="30"/>
      <c r="DM1688" s="30"/>
      <c r="DN1688" s="30"/>
      <c r="DO1688" s="30"/>
      <c r="DP1688" s="30"/>
      <c r="DQ1688" s="30"/>
      <c r="DR1688" s="30"/>
      <c r="DS1688" s="30"/>
      <c r="DT1688" s="30"/>
      <c r="DU1688" s="30"/>
      <c r="DV1688" s="30"/>
      <c r="DW1688" s="30"/>
      <c r="DX1688" s="30"/>
      <c r="DY1688" s="30"/>
      <c r="DZ1688" s="30"/>
    </row>
    <row r="1689">
      <c r="A1689" s="30"/>
      <c r="B1689" s="42"/>
      <c r="C1689" s="43"/>
      <c r="D1689" s="30"/>
      <c r="E1689" s="28"/>
      <c r="F1689" s="30"/>
      <c r="G1689" s="30"/>
      <c r="H1689" s="30"/>
      <c r="I1689" s="30"/>
      <c r="J1689" s="28"/>
      <c r="K1689" s="30"/>
      <c r="L1689" s="30"/>
      <c r="M1689" s="30"/>
      <c r="N1689" s="30"/>
      <c r="O1689" s="28"/>
      <c r="P1689" s="30"/>
      <c r="Q1689" s="30"/>
      <c r="R1689" s="30"/>
      <c r="S1689" s="36"/>
      <c r="T1689" s="30"/>
      <c r="U1689" s="36"/>
      <c r="V1689" s="30"/>
      <c r="W1689" s="28"/>
      <c r="X1689" s="30"/>
      <c r="Y1689" s="30"/>
      <c r="Z1689" s="30"/>
      <c r="AA1689" s="30"/>
      <c r="AB1689" s="30"/>
      <c r="AC1689" s="28"/>
      <c r="AD1689" s="30"/>
      <c r="AE1689" s="30"/>
      <c r="AF1689" s="30"/>
      <c r="AG1689" s="29"/>
      <c r="AH1689" s="30"/>
      <c r="AI1689" s="36"/>
      <c r="AJ1689" s="30"/>
      <c r="AK1689" s="29"/>
      <c r="AL1689" s="30"/>
      <c r="AM1689" s="30"/>
      <c r="AN1689" s="30"/>
      <c r="AO1689" s="30"/>
      <c r="AP1689" s="30"/>
      <c r="AQ1689" s="38"/>
      <c r="AR1689" s="30"/>
      <c r="AS1689" s="30"/>
      <c r="AT1689" s="29"/>
      <c r="AU1689" s="30"/>
      <c r="AV1689" s="30"/>
      <c r="AW1689" s="30"/>
      <c r="AX1689" s="29"/>
      <c r="AY1689" s="39"/>
      <c r="AZ1689" s="30"/>
      <c r="BA1689" s="30"/>
      <c r="BB1689" s="29"/>
      <c r="BC1689" s="52"/>
      <c r="BD1689" s="30"/>
      <c r="BE1689" s="29"/>
      <c r="BF1689" s="30"/>
      <c r="BG1689" s="30"/>
      <c r="BH1689" s="30"/>
      <c r="BI1689" s="30"/>
      <c r="BJ1689" s="30"/>
      <c r="BK1689" s="30"/>
      <c r="BL1689" s="30"/>
      <c r="BM1689" s="30"/>
      <c r="BN1689" s="30"/>
      <c r="BO1689" s="30"/>
      <c r="BP1689" s="30"/>
      <c r="BQ1689" s="30"/>
      <c r="BR1689" s="30"/>
      <c r="BS1689" s="30"/>
      <c r="BT1689" s="30"/>
      <c r="BU1689" s="30"/>
      <c r="BV1689" s="30"/>
      <c r="BW1689" s="30"/>
      <c r="BX1689" s="30"/>
      <c r="BY1689" s="30"/>
      <c r="BZ1689" s="30"/>
      <c r="CA1689" s="30"/>
      <c r="CB1689" s="30"/>
      <c r="CC1689" s="30"/>
      <c r="CD1689" s="30"/>
      <c r="CE1689" s="30"/>
      <c r="CF1689" s="30"/>
      <c r="CG1689" s="30"/>
      <c r="CH1689" s="30"/>
      <c r="CI1689" s="30"/>
      <c r="CJ1689" s="30"/>
      <c r="CK1689" s="30"/>
      <c r="CL1689" s="30"/>
      <c r="CM1689" s="30"/>
      <c r="CN1689" s="30"/>
      <c r="CO1689" s="30"/>
      <c r="CP1689" s="30"/>
      <c r="CQ1689" s="30"/>
      <c r="CR1689" s="30"/>
      <c r="CS1689" s="30"/>
      <c r="CT1689" s="30"/>
      <c r="CU1689" s="30"/>
      <c r="CV1689" s="30"/>
      <c r="CW1689" s="30"/>
      <c r="CX1689" s="30"/>
      <c r="CY1689" s="30"/>
      <c r="CZ1689" s="30"/>
      <c r="DA1689" s="30"/>
      <c r="DB1689" s="30"/>
      <c r="DC1689" s="30"/>
      <c r="DD1689" s="30"/>
      <c r="DE1689" s="30"/>
      <c r="DF1689" s="30"/>
      <c r="DG1689" s="30"/>
      <c r="DH1689" s="30"/>
      <c r="DI1689" s="30"/>
      <c r="DJ1689" s="30"/>
      <c r="DK1689" s="30"/>
      <c r="DL1689" s="30"/>
      <c r="DM1689" s="30"/>
      <c r="DN1689" s="30"/>
      <c r="DO1689" s="30"/>
      <c r="DP1689" s="30"/>
      <c r="DQ1689" s="30"/>
      <c r="DR1689" s="30"/>
      <c r="DS1689" s="30"/>
      <c r="DT1689" s="30"/>
      <c r="DU1689" s="30"/>
      <c r="DV1689" s="30"/>
      <c r="DW1689" s="30"/>
      <c r="DX1689" s="30"/>
      <c r="DY1689" s="30"/>
      <c r="DZ1689" s="30"/>
    </row>
    <row r="1690">
      <c r="A1690" s="30"/>
      <c r="B1690" s="42"/>
      <c r="C1690" s="43"/>
      <c r="D1690" s="30"/>
      <c r="E1690" s="28"/>
      <c r="F1690" s="30"/>
      <c r="G1690" s="30"/>
      <c r="H1690" s="30"/>
      <c r="I1690" s="30"/>
      <c r="J1690" s="28"/>
      <c r="K1690" s="30"/>
      <c r="L1690" s="30"/>
      <c r="M1690" s="30"/>
      <c r="N1690" s="30"/>
      <c r="O1690" s="28"/>
      <c r="P1690" s="30"/>
      <c r="Q1690" s="30"/>
      <c r="R1690" s="30"/>
      <c r="S1690" s="36"/>
      <c r="T1690" s="30"/>
      <c r="U1690" s="36"/>
      <c r="V1690" s="30"/>
      <c r="W1690" s="28"/>
      <c r="X1690" s="30"/>
      <c r="Y1690" s="30"/>
      <c r="Z1690" s="30"/>
      <c r="AA1690" s="30"/>
      <c r="AB1690" s="30"/>
      <c r="AC1690" s="28"/>
      <c r="AD1690" s="30"/>
      <c r="AE1690" s="30"/>
      <c r="AF1690" s="30"/>
      <c r="AG1690" s="29"/>
      <c r="AH1690" s="30"/>
      <c r="AI1690" s="36"/>
      <c r="AJ1690" s="30"/>
      <c r="AK1690" s="29"/>
      <c r="AL1690" s="30"/>
      <c r="AM1690" s="30"/>
      <c r="AN1690" s="30"/>
      <c r="AO1690" s="30"/>
      <c r="AP1690" s="30"/>
      <c r="AQ1690" s="38"/>
      <c r="AR1690" s="30"/>
      <c r="AS1690" s="30"/>
      <c r="AT1690" s="29"/>
      <c r="AU1690" s="30"/>
      <c r="AV1690" s="30"/>
      <c r="AW1690" s="30"/>
      <c r="AX1690" s="29"/>
      <c r="AY1690" s="39"/>
      <c r="AZ1690" s="30"/>
      <c r="BA1690" s="30"/>
      <c r="BB1690" s="29"/>
      <c r="BC1690" s="52"/>
      <c r="BD1690" s="30"/>
      <c r="BE1690" s="29"/>
      <c r="BF1690" s="30"/>
      <c r="BG1690" s="30"/>
      <c r="BH1690" s="30"/>
      <c r="BI1690" s="30"/>
      <c r="BJ1690" s="30"/>
      <c r="BK1690" s="30"/>
      <c r="BL1690" s="30"/>
      <c r="BM1690" s="30"/>
      <c r="BN1690" s="30"/>
      <c r="BO1690" s="30"/>
      <c r="BP1690" s="30"/>
      <c r="BQ1690" s="30"/>
      <c r="BR1690" s="30"/>
      <c r="BS1690" s="30"/>
      <c r="BT1690" s="30"/>
      <c r="BU1690" s="30"/>
      <c r="BV1690" s="30"/>
      <c r="BW1690" s="30"/>
      <c r="BX1690" s="30"/>
      <c r="BY1690" s="30"/>
      <c r="BZ1690" s="30"/>
      <c r="CA1690" s="30"/>
      <c r="CB1690" s="30"/>
      <c r="CC1690" s="30"/>
      <c r="CD1690" s="30"/>
      <c r="CE1690" s="30"/>
      <c r="CF1690" s="30"/>
      <c r="CG1690" s="30"/>
      <c r="CH1690" s="30"/>
      <c r="CI1690" s="30"/>
      <c r="CJ1690" s="30"/>
      <c r="CK1690" s="30"/>
      <c r="CL1690" s="30"/>
      <c r="CM1690" s="30"/>
      <c r="CN1690" s="30"/>
      <c r="CO1690" s="30"/>
      <c r="CP1690" s="30"/>
      <c r="CQ1690" s="30"/>
      <c r="CR1690" s="30"/>
      <c r="CS1690" s="30"/>
      <c r="CT1690" s="30"/>
      <c r="CU1690" s="30"/>
      <c r="CV1690" s="30"/>
      <c r="CW1690" s="30"/>
      <c r="CX1690" s="30"/>
      <c r="CY1690" s="30"/>
      <c r="CZ1690" s="30"/>
      <c r="DA1690" s="30"/>
      <c r="DB1690" s="30"/>
      <c r="DC1690" s="30"/>
      <c r="DD1690" s="30"/>
      <c r="DE1690" s="30"/>
      <c r="DF1690" s="30"/>
      <c r="DG1690" s="30"/>
      <c r="DH1690" s="30"/>
      <c r="DI1690" s="30"/>
      <c r="DJ1690" s="30"/>
      <c r="DK1690" s="30"/>
      <c r="DL1690" s="30"/>
      <c r="DM1690" s="30"/>
      <c r="DN1690" s="30"/>
      <c r="DO1690" s="30"/>
      <c r="DP1690" s="30"/>
      <c r="DQ1690" s="30"/>
      <c r="DR1690" s="30"/>
      <c r="DS1690" s="30"/>
      <c r="DT1690" s="30"/>
      <c r="DU1690" s="30"/>
      <c r="DV1690" s="30"/>
      <c r="DW1690" s="30"/>
      <c r="DX1690" s="30"/>
      <c r="DY1690" s="30"/>
      <c r="DZ1690" s="30"/>
    </row>
    <row r="1691">
      <c r="A1691" s="30"/>
      <c r="B1691" s="42"/>
      <c r="C1691" s="43"/>
      <c r="D1691" s="30"/>
      <c r="E1691" s="28"/>
      <c r="F1691" s="30"/>
      <c r="G1691" s="30"/>
      <c r="H1691" s="30"/>
      <c r="I1691" s="30"/>
      <c r="J1691" s="28"/>
      <c r="K1691" s="30"/>
      <c r="L1691" s="30"/>
      <c r="M1691" s="30"/>
      <c r="N1691" s="30"/>
      <c r="O1691" s="28"/>
      <c r="P1691" s="30"/>
      <c r="Q1691" s="30"/>
      <c r="R1691" s="30"/>
      <c r="S1691" s="36"/>
      <c r="T1691" s="30"/>
      <c r="U1691" s="36"/>
      <c r="V1691" s="30"/>
      <c r="W1691" s="28"/>
      <c r="X1691" s="30"/>
      <c r="Y1691" s="30"/>
      <c r="Z1691" s="30"/>
      <c r="AA1691" s="30"/>
      <c r="AB1691" s="30"/>
      <c r="AC1691" s="28"/>
      <c r="AD1691" s="30"/>
      <c r="AE1691" s="30"/>
      <c r="AF1691" s="30"/>
      <c r="AG1691" s="29"/>
      <c r="AH1691" s="30"/>
      <c r="AI1691" s="36"/>
      <c r="AJ1691" s="30"/>
      <c r="AK1691" s="29"/>
      <c r="AL1691" s="30"/>
      <c r="AM1691" s="30"/>
      <c r="AN1691" s="30"/>
      <c r="AO1691" s="30"/>
      <c r="AP1691" s="30"/>
      <c r="AQ1691" s="38"/>
      <c r="AR1691" s="30"/>
      <c r="AS1691" s="30"/>
      <c r="AT1691" s="29"/>
      <c r="AU1691" s="30"/>
      <c r="AV1691" s="30"/>
      <c r="AW1691" s="30"/>
      <c r="AX1691" s="29"/>
      <c r="AY1691" s="39"/>
      <c r="AZ1691" s="30"/>
      <c r="BA1691" s="30"/>
      <c r="BB1691" s="29"/>
      <c r="BC1691" s="52"/>
      <c r="BD1691" s="30"/>
      <c r="BE1691" s="29"/>
      <c r="BF1691" s="30"/>
      <c r="BG1691" s="30"/>
      <c r="BH1691" s="30"/>
      <c r="BI1691" s="30"/>
      <c r="BJ1691" s="30"/>
      <c r="BK1691" s="30"/>
      <c r="BL1691" s="30"/>
      <c r="BM1691" s="30"/>
      <c r="BN1691" s="30"/>
      <c r="BO1691" s="30"/>
      <c r="BP1691" s="30"/>
      <c r="BQ1691" s="30"/>
      <c r="BR1691" s="30"/>
      <c r="BS1691" s="30"/>
      <c r="BT1691" s="30"/>
      <c r="BU1691" s="30"/>
      <c r="BV1691" s="30"/>
      <c r="BW1691" s="30"/>
      <c r="BX1691" s="30"/>
      <c r="BY1691" s="30"/>
      <c r="BZ1691" s="30"/>
      <c r="CA1691" s="30"/>
      <c r="CB1691" s="30"/>
      <c r="CC1691" s="30"/>
      <c r="CD1691" s="30"/>
      <c r="CE1691" s="30"/>
      <c r="CF1691" s="30"/>
      <c r="CG1691" s="30"/>
      <c r="CH1691" s="30"/>
      <c r="CI1691" s="30"/>
      <c r="CJ1691" s="30"/>
      <c r="CK1691" s="30"/>
      <c r="CL1691" s="30"/>
      <c r="CM1691" s="30"/>
      <c r="CN1691" s="30"/>
      <c r="CO1691" s="30"/>
      <c r="CP1691" s="30"/>
      <c r="CQ1691" s="30"/>
      <c r="CR1691" s="30"/>
      <c r="CS1691" s="30"/>
      <c r="CT1691" s="30"/>
      <c r="CU1691" s="30"/>
      <c r="CV1691" s="30"/>
      <c r="CW1691" s="30"/>
      <c r="CX1691" s="30"/>
      <c r="CY1691" s="30"/>
      <c r="CZ1691" s="30"/>
      <c r="DA1691" s="30"/>
      <c r="DB1691" s="30"/>
      <c r="DC1691" s="30"/>
      <c r="DD1691" s="30"/>
      <c r="DE1691" s="30"/>
      <c r="DF1691" s="30"/>
      <c r="DG1691" s="30"/>
      <c r="DH1691" s="30"/>
      <c r="DI1691" s="30"/>
      <c r="DJ1691" s="30"/>
      <c r="DK1691" s="30"/>
      <c r="DL1691" s="30"/>
      <c r="DM1691" s="30"/>
      <c r="DN1691" s="30"/>
      <c r="DO1691" s="30"/>
      <c r="DP1691" s="30"/>
      <c r="DQ1691" s="30"/>
      <c r="DR1691" s="30"/>
      <c r="DS1691" s="30"/>
      <c r="DT1691" s="30"/>
      <c r="DU1691" s="30"/>
      <c r="DV1691" s="30"/>
      <c r="DW1691" s="30"/>
      <c r="DX1691" s="30"/>
      <c r="DY1691" s="30"/>
      <c r="DZ1691" s="30"/>
    </row>
    <row r="1692">
      <c r="A1692" s="30"/>
      <c r="B1692" s="42"/>
      <c r="C1692" s="43"/>
      <c r="D1692" s="30"/>
      <c r="E1692" s="28"/>
      <c r="F1692" s="30"/>
      <c r="G1692" s="30"/>
      <c r="H1692" s="30"/>
      <c r="I1692" s="30"/>
      <c r="J1692" s="28"/>
      <c r="K1692" s="30"/>
      <c r="L1692" s="30"/>
      <c r="M1692" s="30"/>
      <c r="N1692" s="30"/>
      <c r="O1692" s="28"/>
      <c r="P1692" s="30"/>
      <c r="Q1692" s="30"/>
      <c r="R1692" s="30"/>
      <c r="S1692" s="36"/>
      <c r="T1692" s="30"/>
      <c r="U1692" s="36"/>
      <c r="V1692" s="30"/>
      <c r="W1692" s="28"/>
      <c r="X1692" s="30"/>
      <c r="Y1692" s="30"/>
      <c r="Z1692" s="30"/>
      <c r="AA1692" s="30"/>
      <c r="AB1692" s="30"/>
      <c r="AC1692" s="28"/>
      <c r="AD1692" s="30"/>
      <c r="AE1692" s="30"/>
      <c r="AF1692" s="30"/>
      <c r="AG1692" s="29"/>
      <c r="AH1692" s="30"/>
      <c r="AI1692" s="36"/>
      <c r="AJ1692" s="30"/>
      <c r="AK1692" s="29"/>
      <c r="AL1692" s="30"/>
      <c r="AM1692" s="30"/>
      <c r="AN1692" s="30"/>
      <c r="AO1692" s="30"/>
      <c r="AP1692" s="30"/>
      <c r="AQ1692" s="38"/>
      <c r="AR1692" s="30"/>
      <c r="AS1692" s="30"/>
      <c r="AT1692" s="29"/>
      <c r="AU1692" s="30"/>
      <c r="AV1692" s="30"/>
      <c r="AW1692" s="30"/>
      <c r="AX1692" s="29"/>
      <c r="AY1692" s="39"/>
      <c r="AZ1692" s="30"/>
      <c r="BA1692" s="30"/>
      <c r="BB1692" s="29"/>
      <c r="BC1692" s="52"/>
      <c r="BD1692" s="30"/>
      <c r="BE1692" s="29"/>
      <c r="BF1692" s="30"/>
      <c r="BG1692" s="30"/>
      <c r="BH1692" s="30"/>
      <c r="BI1692" s="30"/>
      <c r="BJ1692" s="30"/>
      <c r="BK1692" s="30"/>
      <c r="BL1692" s="30"/>
      <c r="BM1692" s="30"/>
      <c r="BN1692" s="30"/>
      <c r="BO1692" s="30"/>
      <c r="BP1692" s="30"/>
      <c r="BQ1692" s="30"/>
      <c r="BR1692" s="30"/>
      <c r="BS1692" s="30"/>
      <c r="BT1692" s="30"/>
      <c r="BU1692" s="30"/>
      <c r="BV1692" s="30"/>
      <c r="BW1692" s="30"/>
      <c r="BX1692" s="30"/>
      <c r="BY1692" s="30"/>
      <c r="BZ1692" s="30"/>
      <c r="CA1692" s="30"/>
      <c r="CB1692" s="30"/>
      <c r="CC1692" s="30"/>
      <c r="CD1692" s="30"/>
      <c r="CE1692" s="30"/>
      <c r="CF1692" s="30"/>
      <c r="CG1692" s="30"/>
      <c r="CH1692" s="30"/>
      <c r="CI1692" s="30"/>
      <c r="CJ1692" s="30"/>
      <c r="CK1692" s="30"/>
      <c r="CL1692" s="30"/>
      <c r="CM1692" s="30"/>
      <c r="CN1692" s="30"/>
      <c r="CO1692" s="30"/>
      <c r="CP1692" s="30"/>
      <c r="CQ1692" s="30"/>
      <c r="CR1692" s="30"/>
      <c r="CS1692" s="30"/>
      <c r="CT1692" s="30"/>
      <c r="CU1692" s="30"/>
      <c r="CV1692" s="30"/>
      <c r="CW1692" s="30"/>
      <c r="CX1692" s="30"/>
      <c r="CY1692" s="30"/>
      <c r="CZ1692" s="30"/>
      <c r="DA1692" s="30"/>
      <c r="DB1692" s="30"/>
      <c r="DC1692" s="30"/>
      <c r="DD1692" s="30"/>
      <c r="DE1692" s="30"/>
      <c r="DF1692" s="30"/>
      <c r="DG1692" s="30"/>
      <c r="DH1692" s="30"/>
      <c r="DI1692" s="30"/>
      <c r="DJ1692" s="30"/>
      <c r="DK1692" s="30"/>
      <c r="DL1692" s="30"/>
      <c r="DM1692" s="30"/>
      <c r="DN1692" s="30"/>
      <c r="DO1692" s="30"/>
      <c r="DP1692" s="30"/>
      <c r="DQ1692" s="30"/>
      <c r="DR1692" s="30"/>
      <c r="DS1692" s="30"/>
      <c r="DT1692" s="30"/>
      <c r="DU1692" s="30"/>
      <c r="DV1692" s="30"/>
      <c r="DW1692" s="30"/>
      <c r="DX1692" s="30"/>
      <c r="DY1692" s="30"/>
      <c r="DZ1692" s="30"/>
    </row>
    <row r="1693">
      <c r="A1693" s="30"/>
      <c r="B1693" s="42"/>
      <c r="C1693" s="43"/>
      <c r="D1693" s="30"/>
      <c r="E1693" s="28"/>
      <c r="F1693" s="30"/>
      <c r="G1693" s="30"/>
      <c r="H1693" s="30"/>
      <c r="I1693" s="30"/>
      <c r="J1693" s="28"/>
      <c r="K1693" s="30"/>
      <c r="L1693" s="30"/>
      <c r="M1693" s="30"/>
      <c r="N1693" s="30"/>
      <c r="O1693" s="28"/>
      <c r="P1693" s="30"/>
      <c r="Q1693" s="30"/>
      <c r="R1693" s="30"/>
      <c r="S1693" s="36"/>
      <c r="T1693" s="30"/>
      <c r="U1693" s="36"/>
      <c r="V1693" s="30"/>
      <c r="W1693" s="28"/>
      <c r="X1693" s="30"/>
      <c r="Y1693" s="30"/>
      <c r="Z1693" s="30"/>
      <c r="AA1693" s="30"/>
      <c r="AB1693" s="30"/>
      <c r="AC1693" s="28"/>
      <c r="AD1693" s="30"/>
      <c r="AE1693" s="30"/>
      <c r="AF1693" s="30"/>
      <c r="AG1693" s="29"/>
      <c r="AH1693" s="30"/>
      <c r="AI1693" s="36"/>
      <c r="AJ1693" s="30"/>
      <c r="AK1693" s="29"/>
      <c r="AL1693" s="30"/>
      <c r="AM1693" s="30"/>
      <c r="AN1693" s="30"/>
      <c r="AO1693" s="30"/>
      <c r="AP1693" s="30"/>
      <c r="AQ1693" s="38"/>
      <c r="AR1693" s="30"/>
      <c r="AS1693" s="30"/>
      <c r="AT1693" s="29"/>
      <c r="AU1693" s="30"/>
      <c r="AV1693" s="30"/>
      <c r="AW1693" s="30"/>
      <c r="AX1693" s="29"/>
      <c r="AY1693" s="39"/>
      <c r="AZ1693" s="30"/>
      <c r="BA1693" s="30"/>
      <c r="BB1693" s="29"/>
      <c r="BC1693" s="52"/>
      <c r="BD1693" s="30"/>
      <c r="BE1693" s="29"/>
      <c r="BF1693" s="30"/>
      <c r="BG1693" s="30"/>
      <c r="BH1693" s="30"/>
      <c r="BI1693" s="30"/>
      <c r="BJ1693" s="30"/>
      <c r="BK1693" s="30"/>
      <c r="BL1693" s="30"/>
      <c r="BM1693" s="30"/>
      <c r="BN1693" s="30"/>
      <c r="BO1693" s="30"/>
      <c r="BP1693" s="30"/>
      <c r="BQ1693" s="30"/>
      <c r="BR1693" s="30"/>
      <c r="BS1693" s="30"/>
      <c r="BT1693" s="30"/>
      <c r="BU1693" s="30"/>
      <c r="BV1693" s="30"/>
      <c r="BW1693" s="30"/>
      <c r="BX1693" s="30"/>
      <c r="BY1693" s="30"/>
      <c r="BZ1693" s="30"/>
      <c r="CA1693" s="30"/>
      <c r="CB1693" s="30"/>
      <c r="CC1693" s="30"/>
      <c r="CD1693" s="30"/>
      <c r="CE1693" s="30"/>
      <c r="CF1693" s="30"/>
      <c r="CG1693" s="30"/>
      <c r="CH1693" s="30"/>
      <c r="CI1693" s="30"/>
      <c r="CJ1693" s="30"/>
      <c r="CK1693" s="30"/>
      <c r="CL1693" s="30"/>
      <c r="CM1693" s="30"/>
      <c r="CN1693" s="30"/>
      <c r="CO1693" s="30"/>
      <c r="CP1693" s="30"/>
      <c r="CQ1693" s="30"/>
      <c r="CR1693" s="30"/>
      <c r="CS1693" s="30"/>
      <c r="CT1693" s="30"/>
      <c r="CU1693" s="30"/>
      <c r="CV1693" s="30"/>
      <c r="CW1693" s="30"/>
      <c r="CX1693" s="30"/>
      <c r="CY1693" s="30"/>
      <c r="CZ1693" s="30"/>
      <c r="DA1693" s="30"/>
      <c r="DB1693" s="30"/>
      <c r="DC1693" s="30"/>
      <c r="DD1693" s="30"/>
      <c r="DE1693" s="30"/>
      <c r="DF1693" s="30"/>
      <c r="DG1693" s="30"/>
      <c r="DH1693" s="30"/>
      <c r="DI1693" s="30"/>
      <c r="DJ1693" s="30"/>
      <c r="DK1693" s="30"/>
      <c r="DL1693" s="30"/>
      <c r="DM1693" s="30"/>
      <c r="DN1693" s="30"/>
      <c r="DO1693" s="30"/>
      <c r="DP1693" s="30"/>
      <c r="DQ1693" s="30"/>
      <c r="DR1693" s="30"/>
      <c r="DS1693" s="30"/>
      <c r="DT1693" s="30"/>
      <c r="DU1693" s="30"/>
      <c r="DV1693" s="30"/>
      <c r="DW1693" s="30"/>
      <c r="DX1693" s="30"/>
      <c r="DY1693" s="30"/>
      <c r="DZ1693" s="30"/>
    </row>
    <row r="1694">
      <c r="A1694" s="30"/>
      <c r="B1694" s="42"/>
      <c r="C1694" s="43"/>
      <c r="D1694" s="30"/>
      <c r="E1694" s="28"/>
      <c r="F1694" s="30"/>
      <c r="G1694" s="30"/>
      <c r="H1694" s="30"/>
      <c r="I1694" s="30"/>
      <c r="J1694" s="28"/>
      <c r="K1694" s="30"/>
      <c r="L1694" s="30"/>
      <c r="M1694" s="30"/>
      <c r="N1694" s="30"/>
      <c r="O1694" s="28"/>
      <c r="P1694" s="30"/>
      <c r="Q1694" s="30"/>
      <c r="R1694" s="30"/>
      <c r="S1694" s="36"/>
      <c r="T1694" s="30"/>
      <c r="U1694" s="36"/>
      <c r="V1694" s="30"/>
      <c r="W1694" s="28"/>
      <c r="X1694" s="30"/>
      <c r="Y1694" s="30"/>
      <c r="Z1694" s="30"/>
      <c r="AA1694" s="30"/>
      <c r="AB1694" s="30"/>
      <c r="AC1694" s="28"/>
      <c r="AD1694" s="30"/>
      <c r="AE1694" s="30"/>
      <c r="AF1694" s="30"/>
      <c r="AG1694" s="29"/>
      <c r="AH1694" s="30"/>
      <c r="AI1694" s="36"/>
      <c r="AJ1694" s="30"/>
      <c r="AK1694" s="29"/>
      <c r="AL1694" s="30"/>
      <c r="AM1694" s="30"/>
      <c r="AN1694" s="30"/>
      <c r="AO1694" s="30"/>
      <c r="AP1694" s="30"/>
      <c r="AQ1694" s="38"/>
      <c r="AR1694" s="30"/>
      <c r="AS1694" s="30"/>
      <c r="AT1694" s="29"/>
      <c r="AU1694" s="30"/>
      <c r="AV1694" s="30"/>
      <c r="AW1694" s="30"/>
      <c r="AX1694" s="29"/>
      <c r="AY1694" s="39"/>
      <c r="AZ1694" s="30"/>
      <c r="BA1694" s="30"/>
      <c r="BB1694" s="29"/>
      <c r="BC1694" s="52"/>
      <c r="BD1694" s="30"/>
      <c r="BE1694" s="29"/>
      <c r="BF1694" s="30"/>
      <c r="BG1694" s="30"/>
      <c r="BH1694" s="30"/>
      <c r="BI1694" s="30"/>
      <c r="BJ1694" s="30"/>
      <c r="BK1694" s="30"/>
      <c r="BL1694" s="30"/>
      <c r="BM1694" s="30"/>
      <c r="BN1694" s="30"/>
      <c r="BO1694" s="30"/>
      <c r="BP1694" s="30"/>
      <c r="BQ1694" s="30"/>
      <c r="BR1694" s="30"/>
      <c r="BS1694" s="30"/>
      <c r="BT1694" s="30"/>
      <c r="BU1694" s="30"/>
      <c r="BV1694" s="30"/>
      <c r="BW1694" s="30"/>
      <c r="BX1694" s="30"/>
      <c r="BY1694" s="30"/>
      <c r="BZ1694" s="30"/>
      <c r="CA1694" s="30"/>
      <c r="CB1694" s="30"/>
      <c r="CC1694" s="30"/>
      <c r="CD1694" s="30"/>
      <c r="CE1694" s="30"/>
      <c r="CF1694" s="30"/>
      <c r="CG1694" s="30"/>
      <c r="CH1694" s="30"/>
      <c r="CI1694" s="30"/>
      <c r="CJ1694" s="30"/>
      <c r="CK1694" s="30"/>
      <c r="CL1694" s="30"/>
      <c r="CM1694" s="30"/>
      <c r="CN1694" s="30"/>
      <c r="CO1694" s="30"/>
      <c r="CP1694" s="30"/>
      <c r="CQ1694" s="30"/>
      <c r="CR1694" s="30"/>
      <c r="CS1694" s="30"/>
      <c r="CT1694" s="30"/>
      <c r="CU1694" s="30"/>
      <c r="CV1694" s="30"/>
      <c r="CW1694" s="30"/>
      <c r="CX1694" s="30"/>
      <c r="CY1694" s="30"/>
      <c r="CZ1694" s="30"/>
      <c r="DA1694" s="30"/>
      <c r="DB1694" s="30"/>
      <c r="DC1694" s="30"/>
      <c r="DD1694" s="30"/>
      <c r="DE1694" s="30"/>
      <c r="DF1694" s="30"/>
      <c r="DG1694" s="30"/>
      <c r="DH1694" s="30"/>
      <c r="DI1694" s="30"/>
      <c r="DJ1694" s="30"/>
      <c r="DK1694" s="30"/>
      <c r="DL1694" s="30"/>
      <c r="DM1694" s="30"/>
      <c r="DN1694" s="30"/>
      <c r="DO1694" s="30"/>
      <c r="DP1694" s="30"/>
      <c r="DQ1694" s="30"/>
      <c r="DR1694" s="30"/>
      <c r="DS1694" s="30"/>
      <c r="DT1694" s="30"/>
      <c r="DU1694" s="30"/>
      <c r="DV1694" s="30"/>
      <c r="DW1694" s="30"/>
      <c r="DX1694" s="30"/>
      <c r="DY1694" s="30"/>
      <c r="DZ1694" s="30"/>
    </row>
    <row r="1695">
      <c r="A1695" s="30"/>
      <c r="B1695" s="42"/>
      <c r="C1695" s="43"/>
      <c r="D1695" s="30"/>
      <c r="E1695" s="28"/>
      <c r="F1695" s="30"/>
      <c r="G1695" s="30"/>
      <c r="H1695" s="30"/>
      <c r="I1695" s="30"/>
      <c r="J1695" s="28"/>
      <c r="K1695" s="30"/>
      <c r="L1695" s="30"/>
      <c r="M1695" s="30"/>
      <c r="N1695" s="30"/>
      <c r="O1695" s="28"/>
      <c r="P1695" s="30"/>
      <c r="Q1695" s="30"/>
      <c r="R1695" s="30"/>
      <c r="S1695" s="36"/>
      <c r="T1695" s="30"/>
      <c r="U1695" s="36"/>
      <c r="V1695" s="30"/>
      <c r="W1695" s="28"/>
      <c r="X1695" s="30"/>
      <c r="Y1695" s="30"/>
      <c r="Z1695" s="30"/>
      <c r="AA1695" s="30"/>
      <c r="AB1695" s="30"/>
      <c r="AC1695" s="28"/>
      <c r="AD1695" s="30"/>
      <c r="AE1695" s="30"/>
      <c r="AF1695" s="30"/>
      <c r="AG1695" s="29"/>
      <c r="AH1695" s="30"/>
      <c r="AI1695" s="36"/>
      <c r="AJ1695" s="30"/>
      <c r="AK1695" s="29"/>
      <c r="AL1695" s="30"/>
      <c r="AM1695" s="30"/>
      <c r="AN1695" s="30"/>
      <c r="AO1695" s="30"/>
      <c r="AP1695" s="30"/>
      <c r="AQ1695" s="38"/>
      <c r="AR1695" s="30"/>
      <c r="AS1695" s="30"/>
      <c r="AT1695" s="29"/>
      <c r="AU1695" s="30"/>
      <c r="AV1695" s="30"/>
      <c r="AW1695" s="30"/>
      <c r="AX1695" s="29"/>
      <c r="AY1695" s="39"/>
      <c r="AZ1695" s="30"/>
      <c r="BA1695" s="30"/>
      <c r="BB1695" s="29"/>
      <c r="BC1695" s="52"/>
      <c r="BD1695" s="30"/>
      <c r="BE1695" s="29"/>
      <c r="BF1695" s="30"/>
      <c r="BG1695" s="30"/>
      <c r="BH1695" s="30"/>
      <c r="BI1695" s="30"/>
      <c r="BJ1695" s="30"/>
      <c r="BK1695" s="30"/>
      <c r="BL1695" s="30"/>
      <c r="BM1695" s="30"/>
      <c r="BN1695" s="30"/>
      <c r="BO1695" s="30"/>
      <c r="BP1695" s="30"/>
      <c r="BQ1695" s="30"/>
      <c r="BR1695" s="30"/>
      <c r="BS1695" s="30"/>
      <c r="BT1695" s="30"/>
      <c r="BU1695" s="30"/>
      <c r="BV1695" s="30"/>
      <c r="BW1695" s="30"/>
      <c r="BX1695" s="30"/>
      <c r="BY1695" s="30"/>
      <c r="BZ1695" s="30"/>
      <c r="CA1695" s="30"/>
      <c r="CB1695" s="30"/>
      <c r="CC1695" s="30"/>
      <c r="CD1695" s="30"/>
      <c r="CE1695" s="30"/>
      <c r="CF1695" s="30"/>
      <c r="CG1695" s="30"/>
      <c r="CH1695" s="30"/>
      <c r="CI1695" s="30"/>
      <c r="CJ1695" s="30"/>
      <c r="CK1695" s="30"/>
      <c r="CL1695" s="30"/>
      <c r="CM1695" s="30"/>
      <c r="CN1695" s="30"/>
      <c r="CO1695" s="30"/>
      <c r="CP1695" s="30"/>
      <c r="CQ1695" s="30"/>
      <c r="CR1695" s="30"/>
      <c r="CS1695" s="30"/>
      <c r="CT1695" s="30"/>
      <c r="CU1695" s="30"/>
      <c r="CV1695" s="30"/>
      <c r="CW1695" s="30"/>
      <c r="CX1695" s="30"/>
      <c r="CY1695" s="30"/>
      <c r="CZ1695" s="30"/>
      <c r="DA1695" s="30"/>
      <c r="DB1695" s="30"/>
      <c r="DC1695" s="30"/>
      <c r="DD1695" s="30"/>
      <c r="DE1695" s="30"/>
      <c r="DF1695" s="30"/>
      <c r="DG1695" s="30"/>
      <c r="DH1695" s="30"/>
      <c r="DI1695" s="30"/>
      <c r="DJ1695" s="30"/>
      <c r="DK1695" s="30"/>
      <c r="DL1695" s="30"/>
      <c r="DM1695" s="30"/>
      <c r="DN1695" s="30"/>
      <c r="DO1695" s="30"/>
      <c r="DP1695" s="30"/>
      <c r="DQ1695" s="30"/>
      <c r="DR1695" s="30"/>
      <c r="DS1695" s="30"/>
      <c r="DT1695" s="30"/>
      <c r="DU1695" s="30"/>
      <c r="DV1695" s="30"/>
      <c r="DW1695" s="30"/>
      <c r="DX1695" s="30"/>
      <c r="DY1695" s="30"/>
      <c r="DZ1695" s="30"/>
    </row>
    <row r="1696">
      <c r="A1696" s="30"/>
      <c r="B1696" s="42"/>
      <c r="C1696" s="43"/>
      <c r="D1696" s="30"/>
      <c r="E1696" s="28"/>
      <c r="F1696" s="30"/>
      <c r="G1696" s="30"/>
      <c r="H1696" s="30"/>
      <c r="I1696" s="30"/>
      <c r="J1696" s="28"/>
      <c r="K1696" s="30"/>
      <c r="L1696" s="30"/>
      <c r="M1696" s="30"/>
      <c r="N1696" s="30"/>
      <c r="O1696" s="28"/>
      <c r="P1696" s="30"/>
      <c r="Q1696" s="30"/>
      <c r="R1696" s="30"/>
      <c r="S1696" s="36"/>
      <c r="T1696" s="30"/>
      <c r="U1696" s="36"/>
      <c r="V1696" s="30"/>
      <c r="W1696" s="28"/>
      <c r="X1696" s="30"/>
      <c r="Y1696" s="30"/>
      <c r="Z1696" s="30"/>
      <c r="AA1696" s="30"/>
      <c r="AB1696" s="30"/>
      <c r="AC1696" s="28"/>
      <c r="AD1696" s="30"/>
      <c r="AE1696" s="30"/>
      <c r="AF1696" s="30"/>
      <c r="AG1696" s="29"/>
      <c r="AH1696" s="30"/>
      <c r="AI1696" s="36"/>
      <c r="AJ1696" s="30"/>
      <c r="AK1696" s="29"/>
      <c r="AL1696" s="30"/>
      <c r="AM1696" s="30"/>
      <c r="AN1696" s="30"/>
      <c r="AO1696" s="30"/>
      <c r="AP1696" s="30"/>
      <c r="AQ1696" s="38"/>
      <c r="AR1696" s="30"/>
      <c r="AS1696" s="30"/>
      <c r="AT1696" s="29"/>
      <c r="AU1696" s="30"/>
      <c r="AV1696" s="30"/>
      <c r="AW1696" s="30"/>
      <c r="AX1696" s="29"/>
      <c r="AY1696" s="39"/>
      <c r="AZ1696" s="30"/>
      <c r="BA1696" s="30"/>
      <c r="BB1696" s="29"/>
      <c r="BC1696" s="52"/>
      <c r="BD1696" s="30"/>
      <c r="BE1696" s="29"/>
      <c r="BF1696" s="30"/>
      <c r="BG1696" s="30"/>
      <c r="BH1696" s="30"/>
      <c r="BI1696" s="30"/>
      <c r="BJ1696" s="30"/>
      <c r="BK1696" s="30"/>
      <c r="BL1696" s="30"/>
      <c r="BM1696" s="30"/>
      <c r="BN1696" s="30"/>
      <c r="BO1696" s="30"/>
      <c r="BP1696" s="30"/>
      <c r="BQ1696" s="30"/>
      <c r="BR1696" s="30"/>
      <c r="BS1696" s="30"/>
      <c r="BT1696" s="30"/>
      <c r="BU1696" s="30"/>
      <c r="BV1696" s="30"/>
      <c r="BW1696" s="30"/>
      <c r="BX1696" s="30"/>
      <c r="BY1696" s="30"/>
      <c r="BZ1696" s="30"/>
      <c r="CA1696" s="30"/>
      <c r="CB1696" s="30"/>
      <c r="CC1696" s="30"/>
      <c r="CD1696" s="30"/>
      <c r="CE1696" s="30"/>
      <c r="CF1696" s="30"/>
      <c r="CG1696" s="30"/>
      <c r="CH1696" s="30"/>
      <c r="CI1696" s="30"/>
      <c r="CJ1696" s="30"/>
      <c r="CK1696" s="30"/>
      <c r="CL1696" s="30"/>
      <c r="CM1696" s="30"/>
      <c r="CN1696" s="30"/>
      <c r="CO1696" s="30"/>
      <c r="CP1696" s="30"/>
      <c r="CQ1696" s="30"/>
      <c r="CR1696" s="30"/>
      <c r="CS1696" s="30"/>
      <c r="CT1696" s="30"/>
      <c r="CU1696" s="30"/>
      <c r="CV1696" s="30"/>
      <c r="CW1696" s="30"/>
      <c r="CX1696" s="30"/>
      <c r="CY1696" s="30"/>
      <c r="CZ1696" s="30"/>
      <c r="DA1696" s="30"/>
      <c r="DB1696" s="30"/>
      <c r="DC1696" s="30"/>
      <c r="DD1696" s="30"/>
      <c r="DE1696" s="30"/>
      <c r="DF1696" s="30"/>
      <c r="DG1696" s="30"/>
      <c r="DH1696" s="30"/>
      <c r="DI1696" s="30"/>
      <c r="DJ1696" s="30"/>
      <c r="DK1696" s="30"/>
      <c r="DL1696" s="30"/>
      <c r="DM1696" s="30"/>
      <c r="DN1696" s="30"/>
      <c r="DO1696" s="30"/>
      <c r="DP1696" s="30"/>
      <c r="DQ1696" s="30"/>
      <c r="DR1696" s="30"/>
      <c r="DS1696" s="30"/>
      <c r="DT1696" s="30"/>
      <c r="DU1696" s="30"/>
      <c r="DV1696" s="30"/>
      <c r="DW1696" s="30"/>
      <c r="DX1696" s="30"/>
      <c r="DY1696" s="30"/>
      <c r="DZ1696" s="30"/>
    </row>
    <row r="1697">
      <c r="A1697" s="30"/>
      <c r="B1697" s="42"/>
      <c r="C1697" s="43"/>
      <c r="D1697" s="30"/>
      <c r="E1697" s="28"/>
      <c r="F1697" s="30"/>
      <c r="G1697" s="30"/>
      <c r="H1697" s="30"/>
      <c r="I1697" s="30"/>
      <c r="J1697" s="28"/>
      <c r="K1697" s="30"/>
      <c r="L1697" s="30"/>
      <c r="M1697" s="30"/>
      <c r="N1697" s="30"/>
      <c r="O1697" s="28"/>
      <c r="P1697" s="30"/>
      <c r="Q1697" s="30"/>
      <c r="R1697" s="30"/>
      <c r="S1697" s="36"/>
      <c r="T1697" s="30"/>
      <c r="U1697" s="36"/>
      <c r="V1697" s="30"/>
      <c r="W1697" s="28"/>
      <c r="X1697" s="30"/>
      <c r="Y1697" s="30"/>
      <c r="Z1697" s="30"/>
      <c r="AA1697" s="30"/>
      <c r="AB1697" s="30"/>
      <c r="AC1697" s="28"/>
      <c r="AD1697" s="30"/>
      <c r="AE1697" s="30"/>
      <c r="AF1697" s="30"/>
      <c r="AG1697" s="29"/>
      <c r="AH1697" s="30"/>
      <c r="AI1697" s="36"/>
      <c r="AJ1697" s="30"/>
      <c r="AK1697" s="29"/>
      <c r="AL1697" s="30"/>
      <c r="AM1697" s="30"/>
      <c r="AN1697" s="30"/>
      <c r="AO1697" s="30"/>
      <c r="AP1697" s="30"/>
      <c r="AQ1697" s="38"/>
      <c r="AR1697" s="30"/>
      <c r="AS1697" s="30"/>
      <c r="AT1697" s="29"/>
      <c r="AU1697" s="30"/>
      <c r="AV1697" s="30"/>
      <c r="AW1697" s="30"/>
      <c r="AX1697" s="29"/>
      <c r="AY1697" s="39"/>
      <c r="AZ1697" s="30"/>
      <c r="BA1697" s="30"/>
      <c r="BB1697" s="29"/>
      <c r="BC1697" s="52"/>
      <c r="BD1697" s="30"/>
      <c r="BE1697" s="29"/>
      <c r="BF1697" s="30"/>
      <c r="BG1697" s="30"/>
      <c r="BH1697" s="30"/>
      <c r="BI1697" s="30"/>
      <c r="BJ1697" s="30"/>
      <c r="BK1697" s="30"/>
      <c r="BL1697" s="30"/>
      <c r="BM1697" s="30"/>
      <c r="BN1697" s="30"/>
      <c r="BO1697" s="30"/>
      <c r="BP1697" s="30"/>
      <c r="BQ1697" s="30"/>
      <c r="BR1697" s="30"/>
      <c r="BS1697" s="30"/>
      <c r="BT1697" s="30"/>
      <c r="BU1697" s="30"/>
      <c r="BV1697" s="30"/>
      <c r="BW1697" s="30"/>
      <c r="BX1697" s="30"/>
      <c r="BY1697" s="30"/>
      <c r="BZ1697" s="30"/>
      <c r="CA1697" s="30"/>
      <c r="CB1697" s="30"/>
      <c r="CC1697" s="30"/>
      <c r="CD1697" s="30"/>
      <c r="CE1697" s="30"/>
      <c r="CF1697" s="30"/>
      <c r="CG1697" s="30"/>
      <c r="CH1697" s="30"/>
      <c r="CI1697" s="30"/>
      <c r="CJ1697" s="30"/>
      <c r="CK1697" s="30"/>
      <c r="CL1697" s="30"/>
      <c r="CM1697" s="30"/>
      <c r="CN1697" s="30"/>
      <c r="CO1697" s="30"/>
      <c r="CP1697" s="30"/>
      <c r="CQ1697" s="30"/>
      <c r="CR1697" s="30"/>
      <c r="CS1697" s="30"/>
      <c r="CT1697" s="30"/>
      <c r="CU1697" s="30"/>
      <c r="CV1697" s="30"/>
      <c r="CW1697" s="30"/>
      <c r="CX1697" s="30"/>
      <c r="CY1697" s="30"/>
      <c r="CZ1697" s="30"/>
      <c r="DA1697" s="30"/>
      <c r="DB1697" s="30"/>
      <c r="DC1697" s="30"/>
      <c r="DD1697" s="30"/>
      <c r="DE1697" s="30"/>
      <c r="DF1697" s="30"/>
      <c r="DG1697" s="30"/>
      <c r="DH1697" s="30"/>
      <c r="DI1697" s="30"/>
      <c r="DJ1697" s="30"/>
      <c r="DK1697" s="30"/>
      <c r="DL1697" s="30"/>
      <c r="DM1697" s="30"/>
      <c r="DN1697" s="30"/>
      <c r="DO1697" s="30"/>
      <c r="DP1697" s="30"/>
      <c r="DQ1697" s="30"/>
      <c r="DR1697" s="30"/>
      <c r="DS1697" s="30"/>
      <c r="DT1697" s="30"/>
      <c r="DU1697" s="30"/>
      <c r="DV1697" s="30"/>
      <c r="DW1697" s="30"/>
      <c r="DX1697" s="30"/>
      <c r="DY1697" s="30"/>
      <c r="DZ1697" s="30"/>
    </row>
    <row r="1698">
      <c r="A1698" s="30"/>
      <c r="B1698" s="42"/>
      <c r="C1698" s="43"/>
      <c r="D1698" s="30"/>
      <c r="E1698" s="28"/>
      <c r="F1698" s="30"/>
      <c r="G1698" s="30"/>
      <c r="H1698" s="30"/>
      <c r="I1698" s="30"/>
      <c r="J1698" s="28"/>
      <c r="K1698" s="30"/>
      <c r="L1698" s="30"/>
      <c r="M1698" s="30"/>
      <c r="N1698" s="30"/>
      <c r="O1698" s="28"/>
      <c r="P1698" s="30"/>
      <c r="Q1698" s="30"/>
      <c r="R1698" s="30"/>
      <c r="S1698" s="36"/>
      <c r="T1698" s="30"/>
      <c r="U1698" s="36"/>
      <c r="V1698" s="30"/>
      <c r="W1698" s="28"/>
      <c r="X1698" s="30"/>
      <c r="Y1698" s="30"/>
      <c r="Z1698" s="30"/>
      <c r="AA1698" s="30"/>
      <c r="AB1698" s="30"/>
      <c r="AC1698" s="28"/>
      <c r="AD1698" s="30"/>
      <c r="AE1698" s="30"/>
      <c r="AF1698" s="30"/>
      <c r="AG1698" s="29"/>
      <c r="AH1698" s="30"/>
      <c r="AI1698" s="36"/>
      <c r="AJ1698" s="30"/>
      <c r="AK1698" s="29"/>
      <c r="AL1698" s="30"/>
      <c r="AM1698" s="30"/>
      <c r="AN1698" s="30"/>
      <c r="AO1698" s="30"/>
      <c r="AP1698" s="30"/>
      <c r="AQ1698" s="38"/>
      <c r="AR1698" s="30"/>
      <c r="AS1698" s="30"/>
      <c r="AT1698" s="29"/>
      <c r="AU1698" s="30"/>
      <c r="AV1698" s="30"/>
      <c r="AW1698" s="30"/>
      <c r="AX1698" s="29"/>
      <c r="AY1698" s="39"/>
      <c r="AZ1698" s="30"/>
      <c r="BA1698" s="30"/>
      <c r="BB1698" s="29"/>
      <c r="BC1698" s="52"/>
      <c r="BD1698" s="30"/>
      <c r="BE1698" s="29"/>
      <c r="BF1698" s="30"/>
      <c r="BG1698" s="30"/>
      <c r="BH1698" s="30"/>
      <c r="BI1698" s="30"/>
      <c r="BJ1698" s="30"/>
      <c r="BK1698" s="30"/>
      <c r="BL1698" s="30"/>
      <c r="BM1698" s="30"/>
      <c r="BN1698" s="30"/>
      <c r="BO1698" s="30"/>
      <c r="BP1698" s="30"/>
      <c r="BQ1698" s="30"/>
      <c r="BR1698" s="30"/>
      <c r="BS1698" s="30"/>
      <c r="BT1698" s="30"/>
      <c r="BU1698" s="30"/>
      <c r="BV1698" s="30"/>
      <c r="BW1698" s="30"/>
      <c r="BX1698" s="30"/>
      <c r="BY1698" s="30"/>
      <c r="BZ1698" s="30"/>
      <c r="CA1698" s="30"/>
      <c r="CB1698" s="30"/>
      <c r="CC1698" s="30"/>
      <c r="CD1698" s="30"/>
      <c r="CE1698" s="30"/>
      <c r="CF1698" s="30"/>
      <c r="CG1698" s="30"/>
      <c r="CH1698" s="30"/>
      <c r="CI1698" s="30"/>
      <c r="CJ1698" s="30"/>
      <c r="CK1698" s="30"/>
      <c r="CL1698" s="30"/>
      <c r="CM1698" s="30"/>
      <c r="CN1698" s="30"/>
      <c r="CO1698" s="30"/>
      <c r="CP1698" s="30"/>
      <c r="CQ1698" s="30"/>
      <c r="CR1698" s="30"/>
      <c r="CS1698" s="30"/>
      <c r="CT1698" s="30"/>
      <c r="CU1698" s="30"/>
      <c r="CV1698" s="30"/>
      <c r="CW1698" s="30"/>
      <c r="CX1698" s="30"/>
      <c r="CY1698" s="30"/>
      <c r="CZ1698" s="30"/>
      <c r="DA1698" s="30"/>
      <c r="DB1698" s="30"/>
      <c r="DC1698" s="30"/>
      <c r="DD1698" s="30"/>
      <c r="DE1698" s="30"/>
      <c r="DF1698" s="30"/>
      <c r="DG1698" s="30"/>
      <c r="DH1698" s="30"/>
      <c r="DI1698" s="30"/>
      <c r="DJ1698" s="30"/>
      <c r="DK1698" s="30"/>
      <c r="DL1698" s="30"/>
      <c r="DM1698" s="30"/>
      <c r="DN1698" s="30"/>
      <c r="DO1698" s="30"/>
      <c r="DP1698" s="30"/>
      <c r="DQ1698" s="30"/>
      <c r="DR1698" s="30"/>
      <c r="DS1698" s="30"/>
      <c r="DT1698" s="30"/>
      <c r="DU1698" s="30"/>
      <c r="DV1698" s="30"/>
      <c r="DW1698" s="30"/>
      <c r="DX1698" s="30"/>
      <c r="DY1698" s="30"/>
      <c r="DZ1698" s="30"/>
    </row>
    <row r="1699">
      <c r="A1699" s="30"/>
      <c r="B1699" s="42"/>
      <c r="C1699" s="43"/>
      <c r="D1699" s="30"/>
      <c r="E1699" s="28"/>
      <c r="F1699" s="30"/>
      <c r="G1699" s="30"/>
      <c r="H1699" s="30"/>
      <c r="I1699" s="30"/>
      <c r="J1699" s="28"/>
      <c r="K1699" s="30"/>
      <c r="L1699" s="30"/>
      <c r="M1699" s="30"/>
      <c r="N1699" s="30"/>
      <c r="O1699" s="28"/>
      <c r="P1699" s="30"/>
      <c r="Q1699" s="30"/>
      <c r="R1699" s="30"/>
      <c r="S1699" s="36"/>
      <c r="T1699" s="30"/>
      <c r="U1699" s="36"/>
      <c r="V1699" s="30"/>
      <c r="W1699" s="28"/>
      <c r="X1699" s="30"/>
      <c r="Y1699" s="30"/>
      <c r="Z1699" s="30"/>
      <c r="AA1699" s="30"/>
      <c r="AB1699" s="30"/>
      <c r="AC1699" s="28"/>
      <c r="AD1699" s="30"/>
      <c r="AE1699" s="30"/>
      <c r="AF1699" s="30"/>
      <c r="AG1699" s="29"/>
      <c r="AH1699" s="30"/>
      <c r="AI1699" s="36"/>
      <c r="AJ1699" s="30"/>
      <c r="AK1699" s="29"/>
      <c r="AL1699" s="30"/>
      <c r="AM1699" s="30"/>
      <c r="AN1699" s="30"/>
      <c r="AO1699" s="30"/>
      <c r="AP1699" s="30"/>
      <c r="AQ1699" s="38"/>
      <c r="AR1699" s="30"/>
      <c r="AS1699" s="30"/>
      <c r="AT1699" s="29"/>
      <c r="AU1699" s="30"/>
      <c r="AV1699" s="30"/>
      <c r="AW1699" s="30"/>
      <c r="AX1699" s="29"/>
      <c r="AY1699" s="39"/>
      <c r="AZ1699" s="30"/>
      <c r="BA1699" s="30"/>
      <c r="BB1699" s="29"/>
      <c r="BC1699" s="52"/>
      <c r="BD1699" s="30"/>
      <c r="BE1699" s="29"/>
      <c r="BF1699" s="30"/>
      <c r="BG1699" s="30"/>
      <c r="BH1699" s="30"/>
      <c r="BI1699" s="30"/>
      <c r="BJ1699" s="30"/>
      <c r="BK1699" s="30"/>
      <c r="BL1699" s="30"/>
      <c r="BM1699" s="30"/>
      <c r="BN1699" s="30"/>
      <c r="BO1699" s="30"/>
      <c r="BP1699" s="30"/>
      <c r="BQ1699" s="30"/>
      <c r="BR1699" s="30"/>
      <c r="BS1699" s="30"/>
      <c r="BT1699" s="30"/>
      <c r="BU1699" s="30"/>
      <c r="BV1699" s="30"/>
      <c r="BW1699" s="30"/>
      <c r="BX1699" s="30"/>
      <c r="BY1699" s="30"/>
      <c r="BZ1699" s="30"/>
      <c r="CA1699" s="30"/>
      <c r="CB1699" s="30"/>
      <c r="CC1699" s="30"/>
      <c r="CD1699" s="30"/>
      <c r="CE1699" s="30"/>
      <c r="CF1699" s="30"/>
      <c r="CG1699" s="30"/>
      <c r="CH1699" s="30"/>
      <c r="CI1699" s="30"/>
      <c r="CJ1699" s="30"/>
      <c r="CK1699" s="30"/>
      <c r="CL1699" s="30"/>
      <c r="CM1699" s="30"/>
      <c r="CN1699" s="30"/>
      <c r="CO1699" s="30"/>
      <c r="CP1699" s="30"/>
      <c r="CQ1699" s="30"/>
      <c r="CR1699" s="30"/>
      <c r="CS1699" s="30"/>
      <c r="CT1699" s="30"/>
      <c r="CU1699" s="30"/>
      <c r="CV1699" s="30"/>
      <c r="CW1699" s="30"/>
      <c r="CX1699" s="30"/>
      <c r="CY1699" s="30"/>
      <c r="CZ1699" s="30"/>
      <c r="DA1699" s="30"/>
      <c r="DB1699" s="30"/>
      <c r="DC1699" s="30"/>
      <c r="DD1699" s="30"/>
      <c r="DE1699" s="30"/>
      <c r="DF1699" s="30"/>
      <c r="DG1699" s="30"/>
      <c r="DH1699" s="30"/>
      <c r="DI1699" s="30"/>
      <c r="DJ1699" s="30"/>
      <c r="DK1699" s="30"/>
      <c r="DL1699" s="30"/>
      <c r="DM1699" s="30"/>
      <c r="DN1699" s="30"/>
      <c r="DO1699" s="30"/>
      <c r="DP1699" s="30"/>
      <c r="DQ1699" s="30"/>
      <c r="DR1699" s="30"/>
      <c r="DS1699" s="30"/>
      <c r="DT1699" s="30"/>
      <c r="DU1699" s="30"/>
      <c r="DV1699" s="30"/>
      <c r="DW1699" s="30"/>
      <c r="DX1699" s="30"/>
      <c r="DY1699" s="30"/>
      <c r="DZ1699" s="30"/>
    </row>
    <row r="1700">
      <c r="A1700" s="30"/>
      <c r="B1700" s="42"/>
      <c r="C1700" s="43"/>
      <c r="D1700" s="30"/>
      <c r="E1700" s="28"/>
      <c r="F1700" s="30"/>
      <c r="G1700" s="30"/>
      <c r="H1700" s="30"/>
      <c r="I1700" s="30"/>
      <c r="J1700" s="28"/>
      <c r="K1700" s="30"/>
      <c r="L1700" s="30"/>
      <c r="M1700" s="30"/>
      <c r="N1700" s="30"/>
      <c r="O1700" s="28"/>
      <c r="P1700" s="30"/>
      <c r="Q1700" s="30"/>
      <c r="R1700" s="30"/>
      <c r="S1700" s="36"/>
      <c r="T1700" s="30"/>
      <c r="U1700" s="36"/>
      <c r="V1700" s="30"/>
      <c r="W1700" s="28"/>
      <c r="X1700" s="30"/>
      <c r="Y1700" s="30"/>
      <c r="Z1700" s="30"/>
      <c r="AA1700" s="30"/>
      <c r="AB1700" s="30"/>
      <c r="AC1700" s="28"/>
      <c r="AD1700" s="30"/>
      <c r="AE1700" s="30"/>
      <c r="AF1700" s="30"/>
      <c r="AG1700" s="29"/>
      <c r="AH1700" s="30"/>
      <c r="AI1700" s="36"/>
      <c r="AJ1700" s="30"/>
      <c r="AK1700" s="29"/>
      <c r="AL1700" s="30"/>
      <c r="AM1700" s="30"/>
      <c r="AN1700" s="30"/>
      <c r="AO1700" s="30"/>
      <c r="AP1700" s="30"/>
      <c r="AQ1700" s="38"/>
      <c r="AR1700" s="30"/>
      <c r="AS1700" s="30"/>
      <c r="AT1700" s="29"/>
      <c r="AU1700" s="30"/>
      <c r="AV1700" s="30"/>
      <c r="AW1700" s="30"/>
      <c r="AX1700" s="29"/>
      <c r="AY1700" s="39"/>
      <c r="AZ1700" s="30"/>
      <c r="BA1700" s="30"/>
      <c r="BB1700" s="29"/>
      <c r="BC1700" s="52"/>
      <c r="BD1700" s="30"/>
      <c r="BE1700" s="29"/>
      <c r="BF1700" s="30"/>
      <c r="BG1700" s="30"/>
      <c r="BH1700" s="30"/>
      <c r="BI1700" s="30"/>
      <c r="BJ1700" s="30"/>
      <c r="BK1700" s="30"/>
      <c r="BL1700" s="30"/>
      <c r="BM1700" s="30"/>
      <c r="BN1700" s="30"/>
      <c r="BO1700" s="30"/>
      <c r="BP1700" s="30"/>
      <c r="BQ1700" s="30"/>
      <c r="BR1700" s="30"/>
      <c r="BS1700" s="30"/>
      <c r="BT1700" s="30"/>
      <c r="BU1700" s="30"/>
      <c r="BV1700" s="30"/>
      <c r="BW1700" s="30"/>
      <c r="BX1700" s="30"/>
      <c r="BY1700" s="30"/>
      <c r="BZ1700" s="30"/>
      <c r="CA1700" s="30"/>
      <c r="CB1700" s="30"/>
      <c r="CC1700" s="30"/>
      <c r="CD1700" s="30"/>
      <c r="CE1700" s="30"/>
      <c r="CF1700" s="30"/>
      <c r="CG1700" s="30"/>
      <c r="CH1700" s="30"/>
      <c r="CI1700" s="30"/>
      <c r="CJ1700" s="30"/>
      <c r="CK1700" s="30"/>
      <c r="CL1700" s="30"/>
      <c r="CM1700" s="30"/>
      <c r="CN1700" s="30"/>
      <c r="CO1700" s="30"/>
      <c r="CP1700" s="30"/>
      <c r="CQ1700" s="30"/>
      <c r="CR1700" s="30"/>
      <c r="CS1700" s="30"/>
      <c r="CT1700" s="30"/>
      <c r="CU1700" s="30"/>
      <c r="CV1700" s="30"/>
      <c r="CW1700" s="30"/>
      <c r="CX1700" s="30"/>
      <c r="CY1700" s="30"/>
      <c r="CZ1700" s="30"/>
      <c r="DA1700" s="30"/>
      <c r="DB1700" s="30"/>
      <c r="DC1700" s="30"/>
      <c r="DD1700" s="30"/>
      <c r="DE1700" s="30"/>
      <c r="DF1700" s="30"/>
      <c r="DG1700" s="30"/>
      <c r="DH1700" s="30"/>
      <c r="DI1700" s="30"/>
      <c r="DJ1700" s="30"/>
      <c r="DK1700" s="30"/>
      <c r="DL1700" s="30"/>
      <c r="DM1700" s="30"/>
      <c r="DN1700" s="30"/>
      <c r="DO1700" s="30"/>
      <c r="DP1700" s="30"/>
      <c r="DQ1700" s="30"/>
      <c r="DR1700" s="30"/>
      <c r="DS1700" s="30"/>
      <c r="DT1700" s="30"/>
      <c r="DU1700" s="30"/>
      <c r="DV1700" s="30"/>
      <c r="DW1700" s="30"/>
      <c r="DX1700" s="30"/>
      <c r="DY1700" s="30"/>
      <c r="DZ1700" s="30"/>
    </row>
    <row r="1701">
      <c r="A1701" s="30"/>
      <c r="B1701" s="42"/>
      <c r="C1701" s="43"/>
      <c r="D1701" s="30"/>
      <c r="E1701" s="28"/>
      <c r="F1701" s="30"/>
      <c r="G1701" s="30"/>
      <c r="H1701" s="30"/>
      <c r="I1701" s="30"/>
      <c r="J1701" s="28"/>
      <c r="K1701" s="30"/>
      <c r="L1701" s="30"/>
      <c r="M1701" s="30"/>
      <c r="N1701" s="30"/>
      <c r="O1701" s="28"/>
      <c r="P1701" s="30"/>
      <c r="Q1701" s="30"/>
      <c r="R1701" s="30"/>
      <c r="S1701" s="36"/>
      <c r="T1701" s="30"/>
      <c r="U1701" s="36"/>
      <c r="V1701" s="30"/>
      <c r="W1701" s="28"/>
      <c r="X1701" s="30"/>
      <c r="Y1701" s="30"/>
      <c r="Z1701" s="30"/>
      <c r="AA1701" s="30"/>
      <c r="AB1701" s="30"/>
      <c r="AC1701" s="28"/>
      <c r="AD1701" s="30"/>
      <c r="AE1701" s="30"/>
      <c r="AF1701" s="30"/>
      <c r="AG1701" s="29"/>
      <c r="AH1701" s="30"/>
      <c r="AI1701" s="36"/>
      <c r="AJ1701" s="30"/>
      <c r="AK1701" s="29"/>
      <c r="AL1701" s="30"/>
      <c r="AM1701" s="30"/>
      <c r="AN1701" s="30"/>
      <c r="AO1701" s="30"/>
      <c r="AP1701" s="30"/>
      <c r="AQ1701" s="38"/>
      <c r="AR1701" s="30"/>
      <c r="AS1701" s="30"/>
      <c r="AT1701" s="29"/>
      <c r="AU1701" s="30"/>
      <c r="AV1701" s="30"/>
      <c r="AW1701" s="30"/>
      <c r="AX1701" s="29"/>
      <c r="AY1701" s="39"/>
      <c r="AZ1701" s="30"/>
      <c r="BA1701" s="30"/>
      <c r="BB1701" s="29"/>
      <c r="BC1701" s="52"/>
      <c r="BD1701" s="30"/>
      <c r="BE1701" s="29"/>
      <c r="BF1701" s="30"/>
      <c r="BG1701" s="30"/>
      <c r="BH1701" s="30"/>
      <c r="BI1701" s="30"/>
      <c r="BJ1701" s="30"/>
      <c r="BK1701" s="30"/>
      <c r="BL1701" s="30"/>
      <c r="BM1701" s="30"/>
      <c r="BN1701" s="30"/>
      <c r="BO1701" s="30"/>
      <c r="BP1701" s="30"/>
      <c r="BQ1701" s="30"/>
      <c r="BR1701" s="30"/>
      <c r="BS1701" s="30"/>
      <c r="BT1701" s="30"/>
      <c r="BU1701" s="30"/>
      <c r="BV1701" s="30"/>
      <c r="BW1701" s="30"/>
      <c r="BX1701" s="30"/>
      <c r="BY1701" s="30"/>
      <c r="BZ1701" s="30"/>
      <c r="CA1701" s="30"/>
      <c r="CB1701" s="30"/>
      <c r="CC1701" s="30"/>
      <c r="CD1701" s="30"/>
      <c r="CE1701" s="30"/>
      <c r="CF1701" s="30"/>
      <c r="CG1701" s="30"/>
      <c r="CH1701" s="30"/>
      <c r="CI1701" s="30"/>
      <c r="CJ1701" s="30"/>
      <c r="CK1701" s="30"/>
      <c r="CL1701" s="30"/>
      <c r="CM1701" s="30"/>
      <c r="CN1701" s="30"/>
      <c r="CO1701" s="30"/>
      <c r="CP1701" s="30"/>
      <c r="CQ1701" s="30"/>
      <c r="CR1701" s="30"/>
      <c r="CS1701" s="30"/>
      <c r="CT1701" s="30"/>
      <c r="CU1701" s="30"/>
      <c r="CV1701" s="30"/>
      <c r="CW1701" s="30"/>
      <c r="CX1701" s="30"/>
      <c r="CY1701" s="30"/>
      <c r="CZ1701" s="30"/>
      <c r="DA1701" s="30"/>
      <c r="DB1701" s="30"/>
      <c r="DC1701" s="30"/>
      <c r="DD1701" s="30"/>
      <c r="DE1701" s="30"/>
      <c r="DF1701" s="30"/>
      <c r="DG1701" s="30"/>
      <c r="DH1701" s="30"/>
      <c r="DI1701" s="30"/>
      <c r="DJ1701" s="30"/>
      <c r="DK1701" s="30"/>
      <c r="DL1701" s="30"/>
      <c r="DM1701" s="30"/>
      <c r="DN1701" s="30"/>
      <c r="DO1701" s="30"/>
      <c r="DP1701" s="30"/>
      <c r="DQ1701" s="30"/>
      <c r="DR1701" s="30"/>
      <c r="DS1701" s="30"/>
      <c r="DT1701" s="30"/>
      <c r="DU1701" s="30"/>
      <c r="DV1701" s="30"/>
      <c r="DW1701" s="30"/>
      <c r="DX1701" s="30"/>
      <c r="DY1701" s="30"/>
      <c r="DZ1701" s="30"/>
    </row>
    <row r="1702">
      <c r="A1702" s="30"/>
      <c r="B1702" s="42"/>
      <c r="C1702" s="43"/>
      <c r="D1702" s="30"/>
      <c r="E1702" s="28"/>
      <c r="F1702" s="30"/>
      <c r="G1702" s="30"/>
      <c r="H1702" s="30"/>
      <c r="I1702" s="30"/>
      <c r="J1702" s="28"/>
      <c r="K1702" s="30"/>
      <c r="L1702" s="30"/>
      <c r="M1702" s="30"/>
      <c r="N1702" s="30"/>
      <c r="O1702" s="28"/>
      <c r="P1702" s="30"/>
      <c r="Q1702" s="30"/>
      <c r="R1702" s="30"/>
      <c r="S1702" s="36"/>
      <c r="T1702" s="30"/>
      <c r="U1702" s="36"/>
      <c r="V1702" s="30"/>
      <c r="W1702" s="28"/>
      <c r="X1702" s="30"/>
      <c r="Y1702" s="30"/>
      <c r="Z1702" s="30"/>
      <c r="AA1702" s="30"/>
      <c r="AB1702" s="30"/>
      <c r="AC1702" s="28"/>
      <c r="AD1702" s="30"/>
      <c r="AE1702" s="30"/>
      <c r="AF1702" s="30"/>
      <c r="AG1702" s="29"/>
      <c r="AH1702" s="30"/>
      <c r="AI1702" s="36"/>
      <c r="AJ1702" s="30"/>
      <c r="AK1702" s="29"/>
      <c r="AL1702" s="30"/>
      <c r="AM1702" s="30"/>
      <c r="AN1702" s="30"/>
      <c r="AO1702" s="30"/>
      <c r="AP1702" s="30"/>
      <c r="AQ1702" s="38"/>
      <c r="AR1702" s="30"/>
      <c r="AS1702" s="30"/>
      <c r="AT1702" s="29"/>
      <c r="AU1702" s="30"/>
      <c r="AV1702" s="30"/>
      <c r="AW1702" s="30"/>
      <c r="AX1702" s="29"/>
      <c r="AY1702" s="39"/>
      <c r="AZ1702" s="30"/>
      <c r="BA1702" s="30"/>
      <c r="BB1702" s="29"/>
      <c r="BC1702" s="52"/>
      <c r="BD1702" s="30"/>
      <c r="BE1702" s="29"/>
      <c r="BF1702" s="30"/>
      <c r="BG1702" s="30"/>
      <c r="BH1702" s="30"/>
      <c r="BI1702" s="30"/>
      <c r="BJ1702" s="30"/>
      <c r="BK1702" s="30"/>
      <c r="BL1702" s="30"/>
      <c r="BM1702" s="30"/>
      <c r="BN1702" s="30"/>
      <c r="BO1702" s="30"/>
      <c r="BP1702" s="30"/>
      <c r="BQ1702" s="30"/>
      <c r="BR1702" s="30"/>
      <c r="BS1702" s="30"/>
      <c r="BT1702" s="30"/>
      <c r="BU1702" s="30"/>
      <c r="BV1702" s="30"/>
      <c r="BW1702" s="30"/>
      <c r="BX1702" s="30"/>
      <c r="BY1702" s="30"/>
      <c r="BZ1702" s="30"/>
      <c r="CA1702" s="30"/>
      <c r="CB1702" s="30"/>
      <c r="CC1702" s="30"/>
      <c r="CD1702" s="30"/>
      <c r="CE1702" s="30"/>
      <c r="CF1702" s="30"/>
      <c r="CG1702" s="30"/>
      <c r="CH1702" s="30"/>
      <c r="CI1702" s="30"/>
      <c r="CJ1702" s="30"/>
      <c r="CK1702" s="30"/>
      <c r="CL1702" s="30"/>
      <c r="CM1702" s="30"/>
      <c r="CN1702" s="30"/>
      <c r="CO1702" s="30"/>
      <c r="CP1702" s="30"/>
      <c r="CQ1702" s="30"/>
      <c r="CR1702" s="30"/>
      <c r="CS1702" s="30"/>
      <c r="CT1702" s="30"/>
      <c r="CU1702" s="30"/>
      <c r="CV1702" s="30"/>
      <c r="CW1702" s="30"/>
      <c r="CX1702" s="30"/>
      <c r="CY1702" s="30"/>
      <c r="CZ1702" s="30"/>
      <c r="DA1702" s="30"/>
      <c r="DB1702" s="30"/>
      <c r="DC1702" s="30"/>
      <c r="DD1702" s="30"/>
      <c r="DE1702" s="30"/>
      <c r="DF1702" s="30"/>
      <c r="DG1702" s="30"/>
      <c r="DH1702" s="30"/>
      <c r="DI1702" s="30"/>
      <c r="DJ1702" s="30"/>
      <c r="DK1702" s="30"/>
      <c r="DL1702" s="30"/>
      <c r="DM1702" s="30"/>
      <c r="DN1702" s="30"/>
      <c r="DO1702" s="30"/>
      <c r="DP1702" s="30"/>
      <c r="DQ1702" s="30"/>
      <c r="DR1702" s="30"/>
      <c r="DS1702" s="30"/>
      <c r="DT1702" s="30"/>
      <c r="DU1702" s="30"/>
      <c r="DV1702" s="30"/>
      <c r="DW1702" s="30"/>
      <c r="DX1702" s="30"/>
      <c r="DY1702" s="30"/>
      <c r="DZ1702" s="30"/>
    </row>
    <row r="1703">
      <c r="A1703" s="30"/>
      <c r="B1703" s="42"/>
      <c r="C1703" s="43"/>
      <c r="D1703" s="30"/>
      <c r="E1703" s="28"/>
      <c r="F1703" s="30"/>
      <c r="G1703" s="30"/>
      <c r="H1703" s="30"/>
      <c r="I1703" s="30"/>
      <c r="J1703" s="28"/>
      <c r="K1703" s="30"/>
      <c r="L1703" s="30"/>
      <c r="M1703" s="30"/>
      <c r="N1703" s="30"/>
      <c r="O1703" s="28"/>
      <c r="P1703" s="30"/>
      <c r="Q1703" s="30"/>
      <c r="R1703" s="30"/>
      <c r="S1703" s="36"/>
      <c r="T1703" s="30"/>
      <c r="U1703" s="36"/>
      <c r="V1703" s="30"/>
      <c r="W1703" s="28"/>
      <c r="X1703" s="30"/>
      <c r="Y1703" s="30"/>
      <c r="Z1703" s="30"/>
      <c r="AA1703" s="30"/>
      <c r="AB1703" s="30"/>
      <c r="AC1703" s="28"/>
      <c r="AD1703" s="30"/>
      <c r="AE1703" s="30"/>
      <c r="AF1703" s="30"/>
      <c r="AG1703" s="29"/>
      <c r="AH1703" s="30"/>
      <c r="AI1703" s="36"/>
      <c r="AJ1703" s="30"/>
      <c r="AK1703" s="29"/>
      <c r="AL1703" s="30"/>
      <c r="AM1703" s="30"/>
      <c r="AN1703" s="30"/>
      <c r="AO1703" s="30"/>
      <c r="AP1703" s="30"/>
      <c r="AQ1703" s="38"/>
      <c r="AR1703" s="30"/>
      <c r="AS1703" s="30"/>
      <c r="AT1703" s="29"/>
      <c r="AU1703" s="30"/>
      <c r="AV1703" s="30"/>
      <c r="AW1703" s="30"/>
      <c r="AX1703" s="29"/>
      <c r="AY1703" s="39"/>
      <c r="AZ1703" s="30"/>
      <c r="BA1703" s="30"/>
      <c r="BB1703" s="29"/>
      <c r="BC1703" s="52"/>
      <c r="BD1703" s="30"/>
      <c r="BE1703" s="29"/>
      <c r="BF1703" s="30"/>
      <c r="BG1703" s="30"/>
      <c r="BH1703" s="30"/>
      <c r="BI1703" s="30"/>
      <c r="BJ1703" s="30"/>
      <c r="BK1703" s="30"/>
      <c r="BL1703" s="30"/>
      <c r="BM1703" s="30"/>
      <c r="BN1703" s="30"/>
      <c r="BO1703" s="30"/>
      <c r="BP1703" s="30"/>
      <c r="BQ1703" s="30"/>
      <c r="BR1703" s="30"/>
      <c r="BS1703" s="30"/>
      <c r="BT1703" s="30"/>
      <c r="BU1703" s="30"/>
      <c r="BV1703" s="30"/>
      <c r="BW1703" s="30"/>
      <c r="BX1703" s="30"/>
      <c r="BY1703" s="30"/>
      <c r="BZ1703" s="30"/>
      <c r="CA1703" s="30"/>
      <c r="CB1703" s="30"/>
      <c r="CC1703" s="30"/>
      <c r="CD1703" s="30"/>
      <c r="CE1703" s="30"/>
      <c r="CF1703" s="30"/>
      <c r="CG1703" s="30"/>
      <c r="CH1703" s="30"/>
      <c r="CI1703" s="30"/>
      <c r="CJ1703" s="30"/>
      <c r="CK1703" s="30"/>
      <c r="CL1703" s="30"/>
      <c r="CM1703" s="30"/>
      <c r="CN1703" s="30"/>
      <c r="CO1703" s="30"/>
      <c r="CP1703" s="30"/>
      <c r="CQ1703" s="30"/>
      <c r="CR1703" s="30"/>
      <c r="CS1703" s="30"/>
      <c r="CT1703" s="30"/>
      <c r="CU1703" s="30"/>
      <c r="CV1703" s="30"/>
      <c r="CW1703" s="30"/>
      <c r="CX1703" s="30"/>
      <c r="CY1703" s="30"/>
      <c r="CZ1703" s="30"/>
      <c r="DA1703" s="30"/>
      <c r="DB1703" s="30"/>
      <c r="DC1703" s="30"/>
      <c r="DD1703" s="30"/>
      <c r="DE1703" s="30"/>
      <c r="DF1703" s="30"/>
      <c r="DG1703" s="30"/>
      <c r="DH1703" s="30"/>
      <c r="DI1703" s="30"/>
      <c r="DJ1703" s="30"/>
      <c r="DK1703" s="30"/>
      <c r="DL1703" s="30"/>
      <c r="DM1703" s="30"/>
      <c r="DN1703" s="30"/>
      <c r="DO1703" s="30"/>
      <c r="DP1703" s="30"/>
      <c r="DQ1703" s="30"/>
      <c r="DR1703" s="30"/>
      <c r="DS1703" s="30"/>
      <c r="DT1703" s="30"/>
      <c r="DU1703" s="30"/>
      <c r="DV1703" s="30"/>
      <c r="DW1703" s="30"/>
      <c r="DX1703" s="30"/>
      <c r="DY1703" s="30"/>
      <c r="DZ1703" s="30"/>
    </row>
    <row r="1704">
      <c r="A1704" s="30"/>
      <c r="B1704" s="42"/>
      <c r="C1704" s="43"/>
      <c r="D1704" s="30"/>
      <c r="E1704" s="28"/>
      <c r="F1704" s="30"/>
      <c r="G1704" s="30"/>
      <c r="H1704" s="30"/>
      <c r="I1704" s="30"/>
      <c r="J1704" s="28"/>
      <c r="K1704" s="30"/>
      <c r="L1704" s="30"/>
      <c r="M1704" s="30"/>
      <c r="N1704" s="30"/>
      <c r="O1704" s="28"/>
      <c r="P1704" s="30"/>
      <c r="Q1704" s="30"/>
      <c r="R1704" s="30"/>
      <c r="S1704" s="36"/>
      <c r="T1704" s="30"/>
      <c r="U1704" s="36"/>
      <c r="V1704" s="30"/>
      <c r="W1704" s="28"/>
      <c r="X1704" s="30"/>
      <c r="Y1704" s="30"/>
      <c r="Z1704" s="30"/>
      <c r="AA1704" s="30"/>
      <c r="AB1704" s="30"/>
      <c r="AC1704" s="28"/>
      <c r="AD1704" s="30"/>
      <c r="AE1704" s="30"/>
      <c r="AF1704" s="30"/>
      <c r="AG1704" s="29"/>
      <c r="AH1704" s="30"/>
      <c r="AI1704" s="36"/>
      <c r="AJ1704" s="30"/>
      <c r="AK1704" s="29"/>
      <c r="AL1704" s="30"/>
      <c r="AM1704" s="30"/>
      <c r="AN1704" s="30"/>
      <c r="AO1704" s="30"/>
      <c r="AP1704" s="30"/>
      <c r="AQ1704" s="38"/>
      <c r="AR1704" s="30"/>
      <c r="AS1704" s="30"/>
      <c r="AT1704" s="29"/>
      <c r="AU1704" s="30"/>
      <c r="AV1704" s="30"/>
      <c r="AW1704" s="30"/>
      <c r="AX1704" s="29"/>
      <c r="AY1704" s="39"/>
      <c r="AZ1704" s="30"/>
      <c r="BA1704" s="30"/>
      <c r="BB1704" s="29"/>
      <c r="BC1704" s="52"/>
      <c r="BD1704" s="30"/>
      <c r="BE1704" s="29"/>
      <c r="BF1704" s="30"/>
      <c r="BG1704" s="30"/>
      <c r="BH1704" s="30"/>
      <c r="BI1704" s="30"/>
      <c r="BJ1704" s="30"/>
      <c r="BK1704" s="30"/>
      <c r="BL1704" s="30"/>
      <c r="BM1704" s="30"/>
      <c r="BN1704" s="30"/>
      <c r="BO1704" s="30"/>
      <c r="BP1704" s="30"/>
      <c r="BQ1704" s="30"/>
      <c r="BR1704" s="30"/>
      <c r="BS1704" s="30"/>
      <c r="BT1704" s="30"/>
      <c r="BU1704" s="30"/>
      <c r="BV1704" s="30"/>
      <c r="BW1704" s="30"/>
      <c r="BX1704" s="30"/>
      <c r="BY1704" s="30"/>
      <c r="BZ1704" s="30"/>
      <c r="CA1704" s="30"/>
      <c r="CB1704" s="30"/>
      <c r="CC1704" s="30"/>
      <c r="CD1704" s="30"/>
      <c r="CE1704" s="30"/>
      <c r="CF1704" s="30"/>
      <c r="CG1704" s="30"/>
      <c r="CH1704" s="30"/>
      <c r="CI1704" s="30"/>
      <c r="CJ1704" s="30"/>
      <c r="CK1704" s="30"/>
      <c r="CL1704" s="30"/>
      <c r="CM1704" s="30"/>
      <c r="CN1704" s="30"/>
      <c r="CO1704" s="30"/>
      <c r="CP1704" s="30"/>
      <c r="CQ1704" s="30"/>
      <c r="CR1704" s="30"/>
      <c r="CS1704" s="30"/>
      <c r="CT1704" s="30"/>
      <c r="CU1704" s="30"/>
      <c r="CV1704" s="30"/>
      <c r="CW1704" s="30"/>
      <c r="CX1704" s="30"/>
      <c r="CY1704" s="30"/>
      <c r="CZ1704" s="30"/>
      <c r="DA1704" s="30"/>
      <c r="DB1704" s="30"/>
      <c r="DC1704" s="30"/>
      <c r="DD1704" s="30"/>
      <c r="DE1704" s="30"/>
      <c r="DF1704" s="30"/>
      <c r="DG1704" s="30"/>
      <c r="DH1704" s="30"/>
      <c r="DI1704" s="30"/>
      <c r="DJ1704" s="30"/>
      <c r="DK1704" s="30"/>
      <c r="DL1704" s="30"/>
      <c r="DM1704" s="30"/>
      <c r="DN1704" s="30"/>
      <c r="DO1704" s="30"/>
      <c r="DP1704" s="30"/>
      <c r="DQ1704" s="30"/>
      <c r="DR1704" s="30"/>
      <c r="DS1704" s="30"/>
      <c r="DT1704" s="30"/>
      <c r="DU1704" s="30"/>
      <c r="DV1704" s="30"/>
      <c r="DW1704" s="30"/>
      <c r="DX1704" s="30"/>
      <c r="DY1704" s="30"/>
      <c r="DZ1704" s="30"/>
    </row>
    <row r="1705">
      <c r="A1705" s="30"/>
      <c r="B1705" s="42"/>
      <c r="C1705" s="43"/>
      <c r="D1705" s="30"/>
      <c r="E1705" s="28"/>
      <c r="F1705" s="30"/>
      <c r="G1705" s="30"/>
      <c r="H1705" s="30"/>
      <c r="I1705" s="30"/>
      <c r="J1705" s="28"/>
      <c r="K1705" s="30"/>
      <c r="L1705" s="30"/>
      <c r="M1705" s="30"/>
      <c r="N1705" s="30"/>
      <c r="O1705" s="28"/>
      <c r="P1705" s="30"/>
      <c r="Q1705" s="30"/>
      <c r="R1705" s="30"/>
      <c r="S1705" s="36"/>
      <c r="T1705" s="30"/>
      <c r="U1705" s="36"/>
      <c r="V1705" s="30"/>
      <c r="W1705" s="28"/>
      <c r="X1705" s="30"/>
      <c r="Y1705" s="30"/>
      <c r="Z1705" s="30"/>
      <c r="AA1705" s="30"/>
      <c r="AB1705" s="30"/>
      <c r="AC1705" s="28"/>
      <c r="AD1705" s="30"/>
      <c r="AE1705" s="30"/>
      <c r="AF1705" s="30"/>
      <c r="AG1705" s="29"/>
      <c r="AH1705" s="30"/>
      <c r="AI1705" s="36"/>
      <c r="AJ1705" s="30"/>
      <c r="AK1705" s="29"/>
      <c r="AL1705" s="30"/>
      <c r="AM1705" s="30"/>
      <c r="AN1705" s="30"/>
      <c r="AO1705" s="30"/>
      <c r="AP1705" s="30"/>
      <c r="AQ1705" s="38"/>
      <c r="AR1705" s="30"/>
      <c r="AS1705" s="30"/>
      <c r="AT1705" s="29"/>
      <c r="AU1705" s="30"/>
      <c r="AV1705" s="30"/>
      <c r="AW1705" s="30"/>
      <c r="AX1705" s="29"/>
      <c r="AY1705" s="39"/>
      <c r="AZ1705" s="30"/>
      <c r="BA1705" s="30"/>
      <c r="BB1705" s="29"/>
      <c r="BC1705" s="52"/>
      <c r="BD1705" s="30"/>
      <c r="BE1705" s="29"/>
      <c r="BF1705" s="30"/>
      <c r="BG1705" s="30"/>
      <c r="BH1705" s="30"/>
      <c r="BI1705" s="30"/>
      <c r="BJ1705" s="30"/>
      <c r="BK1705" s="30"/>
      <c r="BL1705" s="30"/>
      <c r="BM1705" s="30"/>
      <c r="BN1705" s="30"/>
      <c r="BO1705" s="30"/>
      <c r="BP1705" s="30"/>
      <c r="BQ1705" s="30"/>
      <c r="BR1705" s="30"/>
      <c r="BS1705" s="30"/>
      <c r="BT1705" s="30"/>
      <c r="BU1705" s="30"/>
      <c r="BV1705" s="30"/>
      <c r="BW1705" s="30"/>
      <c r="BX1705" s="30"/>
      <c r="BY1705" s="30"/>
      <c r="BZ1705" s="30"/>
      <c r="CA1705" s="30"/>
      <c r="CB1705" s="30"/>
      <c r="CC1705" s="30"/>
      <c r="CD1705" s="30"/>
      <c r="CE1705" s="30"/>
      <c r="CF1705" s="30"/>
      <c r="CG1705" s="30"/>
      <c r="CH1705" s="30"/>
      <c r="CI1705" s="30"/>
      <c r="CJ1705" s="30"/>
      <c r="CK1705" s="30"/>
      <c r="CL1705" s="30"/>
      <c r="CM1705" s="30"/>
      <c r="CN1705" s="30"/>
      <c r="CO1705" s="30"/>
      <c r="CP1705" s="30"/>
      <c r="CQ1705" s="30"/>
      <c r="CR1705" s="30"/>
      <c r="CS1705" s="30"/>
      <c r="CT1705" s="30"/>
      <c r="CU1705" s="30"/>
      <c r="CV1705" s="30"/>
      <c r="CW1705" s="30"/>
      <c r="CX1705" s="30"/>
      <c r="CY1705" s="30"/>
      <c r="CZ1705" s="30"/>
      <c r="DA1705" s="30"/>
      <c r="DB1705" s="30"/>
      <c r="DC1705" s="30"/>
      <c r="DD1705" s="30"/>
      <c r="DE1705" s="30"/>
      <c r="DF1705" s="30"/>
      <c r="DG1705" s="30"/>
      <c r="DH1705" s="30"/>
      <c r="DI1705" s="30"/>
      <c r="DJ1705" s="30"/>
      <c r="DK1705" s="30"/>
      <c r="DL1705" s="30"/>
      <c r="DM1705" s="30"/>
      <c r="DN1705" s="30"/>
      <c r="DO1705" s="30"/>
      <c r="DP1705" s="30"/>
      <c r="DQ1705" s="30"/>
      <c r="DR1705" s="30"/>
      <c r="DS1705" s="30"/>
      <c r="DT1705" s="30"/>
      <c r="DU1705" s="30"/>
      <c r="DV1705" s="30"/>
      <c r="DW1705" s="30"/>
      <c r="DX1705" s="30"/>
      <c r="DY1705" s="30"/>
      <c r="DZ1705" s="30"/>
    </row>
    <row r="1706">
      <c r="A1706" s="30"/>
      <c r="B1706" s="42"/>
      <c r="C1706" s="43"/>
      <c r="D1706" s="30"/>
      <c r="E1706" s="28"/>
      <c r="F1706" s="30"/>
      <c r="G1706" s="30"/>
      <c r="H1706" s="30"/>
      <c r="I1706" s="30"/>
      <c r="J1706" s="28"/>
      <c r="K1706" s="30"/>
      <c r="L1706" s="30"/>
      <c r="M1706" s="30"/>
      <c r="N1706" s="30"/>
      <c r="O1706" s="28"/>
      <c r="P1706" s="30"/>
      <c r="Q1706" s="30"/>
      <c r="R1706" s="30"/>
      <c r="S1706" s="36"/>
      <c r="T1706" s="30"/>
      <c r="U1706" s="36"/>
      <c r="V1706" s="30"/>
      <c r="W1706" s="28"/>
      <c r="X1706" s="30"/>
      <c r="Y1706" s="30"/>
      <c r="Z1706" s="30"/>
      <c r="AA1706" s="30"/>
      <c r="AB1706" s="30"/>
      <c r="AC1706" s="28"/>
      <c r="AD1706" s="30"/>
      <c r="AE1706" s="30"/>
      <c r="AF1706" s="30"/>
      <c r="AG1706" s="29"/>
      <c r="AH1706" s="30"/>
      <c r="AI1706" s="36"/>
      <c r="AJ1706" s="30"/>
      <c r="AK1706" s="29"/>
      <c r="AL1706" s="30"/>
      <c r="AM1706" s="30"/>
      <c r="AN1706" s="30"/>
      <c r="AO1706" s="30"/>
      <c r="AP1706" s="30"/>
      <c r="AQ1706" s="38"/>
      <c r="AR1706" s="30"/>
      <c r="AS1706" s="30"/>
      <c r="AT1706" s="29"/>
      <c r="AU1706" s="30"/>
      <c r="AV1706" s="30"/>
      <c r="AW1706" s="30"/>
      <c r="AX1706" s="29"/>
      <c r="AY1706" s="39"/>
      <c r="AZ1706" s="30"/>
      <c r="BA1706" s="30"/>
      <c r="BB1706" s="29"/>
      <c r="BC1706" s="52"/>
      <c r="BD1706" s="30"/>
      <c r="BE1706" s="29"/>
      <c r="BF1706" s="30"/>
      <c r="BG1706" s="30"/>
      <c r="BH1706" s="30"/>
      <c r="BI1706" s="30"/>
      <c r="BJ1706" s="30"/>
      <c r="BK1706" s="30"/>
      <c r="BL1706" s="30"/>
      <c r="BM1706" s="30"/>
      <c r="BN1706" s="30"/>
      <c r="BO1706" s="30"/>
      <c r="BP1706" s="30"/>
      <c r="BQ1706" s="30"/>
      <c r="BR1706" s="30"/>
      <c r="BS1706" s="30"/>
      <c r="BT1706" s="30"/>
      <c r="BU1706" s="30"/>
      <c r="BV1706" s="30"/>
      <c r="BW1706" s="30"/>
      <c r="BX1706" s="30"/>
      <c r="BY1706" s="30"/>
      <c r="BZ1706" s="30"/>
      <c r="CA1706" s="30"/>
      <c r="CB1706" s="30"/>
      <c r="CC1706" s="30"/>
      <c r="CD1706" s="30"/>
      <c r="CE1706" s="30"/>
      <c r="CF1706" s="30"/>
      <c r="CG1706" s="30"/>
      <c r="CH1706" s="30"/>
      <c r="CI1706" s="30"/>
      <c r="CJ1706" s="30"/>
      <c r="CK1706" s="30"/>
      <c r="CL1706" s="30"/>
      <c r="CM1706" s="30"/>
      <c r="CN1706" s="30"/>
      <c r="CO1706" s="30"/>
      <c r="CP1706" s="30"/>
      <c r="CQ1706" s="30"/>
      <c r="CR1706" s="30"/>
      <c r="CS1706" s="30"/>
      <c r="CT1706" s="30"/>
      <c r="CU1706" s="30"/>
      <c r="CV1706" s="30"/>
      <c r="CW1706" s="30"/>
      <c r="CX1706" s="30"/>
      <c r="CY1706" s="30"/>
      <c r="CZ1706" s="30"/>
      <c r="DA1706" s="30"/>
      <c r="DB1706" s="30"/>
      <c r="DC1706" s="30"/>
      <c r="DD1706" s="30"/>
      <c r="DE1706" s="30"/>
      <c r="DF1706" s="30"/>
      <c r="DG1706" s="30"/>
      <c r="DH1706" s="30"/>
      <c r="DI1706" s="30"/>
      <c r="DJ1706" s="30"/>
      <c r="DK1706" s="30"/>
      <c r="DL1706" s="30"/>
      <c r="DM1706" s="30"/>
      <c r="DN1706" s="30"/>
      <c r="DO1706" s="30"/>
      <c r="DP1706" s="30"/>
      <c r="DQ1706" s="30"/>
      <c r="DR1706" s="30"/>
      <c r="DS1706" s="30"/>
      <c r="DT1706" s="30"/>
      <c r="DU1706" s="30"/>
      <c r="DV1706" s="30"/>
      <c r="DW1706" s="30"/>
      <c r="DX1706" s="30"/>
      <c r="DY1706" s="30"/>
      <c r="DZ1706" s="30"/>
    </row>
    <row r="1707">
      <c r="A1707" s="30"/>
      <c r="B1707" s="42"/>
      <c r="C1707" s="43"/>
      <c r="D1707" s="30"/>
      <c r="E1707" s="28"/>
      <c r="F1707" s="30"/>
      <c r="G1707" s="30"/>
      <c r="H1707" s="30"/>
      <c r="I1707" s="30"/>
      <c r="J1707" s="28"/>
      <c r="K1707" s="30"/>
      <c r="L1707" s="30"/>
      <c r="M1707" s="30"/>
      <c r="N1707" s="30"/>
      <c r="O1707" s="28"/>
      <c r="P1707" s="30"/>
      <c r="Q1707" s="30"/>
      <c r="R1707" s="30"/>
      <c r="S1707" s="36"/>
      <c r="T1707" s="30"/>
      <c r="U1707" s="36"/>
      <c r="V1707" s="30"/>
      <c r="W1707" s="28"/>
      <c r="X1707" s="30"/>
      <c r="Y1707" s="30"/>
      <c r="Z1707" s="30"/>
      <c r="AA1707" s="30"/>
      <c r="AB1707" s="30"/>
      <c r="AC1707" s="28"/>
      <c r="AD1707" s="30"/>
      <c r="AE1707" s="30"/>
      <c r="AF1707" s="30"/>
      <c r="AG1707" s="29"/>
      <c r="AH1707" s="30"/>
      <c r="AI1707" s="36"/>
      <c r="AJ1707" s="30"/>
      <c r="AK1707" s="29"/>
      <c r="AL1707" s="30"/>
      <c r="AM1707" s="30"/>
      <c r="AN1707" s="30"/>
      <c r="AO1707" s="30"/>
      <c r="AP1707" s="30"/>
      <c r="AQ1707" s="38"/>
      <c r="AR1707" s="30"/>
      <c r="AS1707" s="30"/>
      <c r="AT1707" s="29"/>
      <c r="AU1707" s="30"/>
      <c r="AV1707" s="30"/>
      <c r="AW1707" s="30"/>
      <c r="AX1707" s="29"/>
      <c r="AY1707" s="39"/>
      <c r="AZ1707" s="30"/>
      <c r="BA1707" s="30"/>
      <c r="BB1707" s="29"/>
      <c r="BC1707" s="52"/>
      <c r="BD1707" s="30"/>
      <c r="BE1707" s="29"/>
      <c r="BF1707" s="30"/>
      <c r="BG1707" s="30"/>
      <c r="BH1707" s="30"/>
      <c r="BI1707" s="30"/>
      <c r="BJ1707" s="30"/>
      <c r="BK1707" s="30"/>
      <c r="BL1707" s="30"/>
      <c r="BM1707" s="30"/>
      <c r="BN1707" s="30"/>
      <c r="BO1707" s="30"/>
      <c r="BP1707" s="30"/>
      <c r="BQ1707" s="30"/>
      <c r="BR1707" s="30"/>
      <c r="BS1707" s="30"/>
      <c r="BT1707" s="30"/>
      <c r="BU1707" s="30"/>
      <c r="BV1707" s="30"/>
      <c r="BW1707" s="30"/>
      <c r="BX1707" s="30"/>
      <c r="BY1707" s="30"/>
      <c r="BZ1707" s="30"/>
      <c r="CA1707" s="30"/>
      <c r="CB1707" s="30"/>
      <c r="CC1707" s="30"/>
      <c r="CD1707" s="30"/>
      <c r="CE1707" s="30"/>
      <c r="CF1707" s="30"/>
      <c r="CG1707" s="30"/>
      <c r="CH1707" s="30"/>
      <c r="CI1707" s="30"/>
      <c r="CJ1707" s="30"/>
      <c r="CK1707" s="30"/>
      <c r="CL1707" s="30"/>
      <c r="CM1707" s="30"/>
      <c r="CN1707" s="30"/>
      <c r="CO1707" s="30"/>
      <c r="CP1707" s="30"/>
      <c r="CQ1707" s="30"/>
      <c r="CR1707" s="30"/>
      <c r="CS1707" s="30"/>
      <c r="CT1707" s="30"/>
      <c r="CU1707" s="30"/>
      <c r="CV1707" s="30"/>
      <c r="CW1707" s="30"/>
      <c r="CX1707" s="30"/>
      <c r="CY1707" s="30"/>
      <c r="CZ1707" s="30"/>
      <c r="DA1707" s="30"/>
      <c r="DB1707" s="30"/>
      <c r="DC1707" s="30"/>
      <c r="DD1707" s="30"/>
      <c r="DE1707" s="30"/>
      <c r="DF1707" s="30"/>
      <c r="DG1707" s="30"/>
      <c r="DH1707" s="30"/>
      <c r="DI1707" s="30"/>
      <c r="DJ1707" s="30"/>
      <c r="DK1707" s="30"/>
      <c r="DL1707" s="30"/>
      <c r="DM1707" s="30"/>
      <c r="DN1707" s="30"/>
      <c r="DO1707" s="30"/>
      <c r="DP1707" s="30"/>
      <c r="DQ1707" s="30"/>
      <c r="DR1707" s="30"/>
      <c r="DS1707" s="30"/>
      <c r="DT1707" s="30"/>
      <c r="DU1707" s="30"/>
      <c r="DV1707" s="30"/>
      <c r="DW1707" s="30"/>
      <c r="DX1707" s="30"/>
      <c r="DY1707" s="30"/>
      <c r="DZ1707" s="30"/>
    </row>
    <row r="1708">
      <c r="A1708" s="30"/>
      <c r="B1708" s="42"/>
      <c r="C1708" s="43"/>
      <c r="D1708" s="30"/>
      <c r="E1708" s="28"/>
      <c r="F1708" s="30"/>
      <c r="G1708" s="30"/>
      <c r="H1708" s="30"/>
      <c r="I1708" s="30"/>
      <c r="J1708" s="28"/>
      <c r="K1708" s="30"/>
      <c r="L1708" s="30"/>
      <c r="M1708" s="30"/>
      <c r="N1708" s="30"/>
      <c r="O1708" s="28"/>
      <c r="P1708" s="30"/>
      <c r="Q1708" s="30"/>
      <c r="R1708" s="30"/>
      <c r="S1708" s="36"/>
      <c r="T1708" s="30"/>
      <c r="U1708" s="36"/>
      <c r="V1708" s="30"/>
      <c r="W1708" s="28"/>
      <c r="X1708" s="30"/>
      <c r="Y1708" s="30"/>
      <c r="Z1708" s="30"/>
      <c r="AA1708" s="30"/>
      <c r="AB1708" s="30"/>
      <c r="AC1708" s="28"/>
      <c r="AD1708" s="30"/>
      <c r="AE1708" s="30"/>
      <c r="AF1708" s="30"/>
      <c r="AG1708" s="29"/>
      <c r="AH1708" s="30"/>
      <c r="AI1708" s="36"/>
      <c r="AJ1708" s="30"/>
      <c r="AK1708" s="29"/>
      <c r="AL1708" s="30"/>
      <c r="AM1708" s="30"/>
      <c r="AN1708" s="30"/>
      <c r="AO1708" s="30"/>
      <c r="AP1708" s="30"/>
      <c r="AQ1708" s="38"/>
      <c r="AR1708" s="30"/>
      <c r="AS1708" s="30"/>
      <c r="AT1708" s="29"/>
      <c r="AU1708" s="30"/>
      <c r="AV1708" s="30"/>
      <c r="AW1708" s="30"/>
      <c r="AX1708" s="29"/>
      <c r="AY1708" s="39"/>
      <c r="AZ1708" s="30"/>
      <c r="BA1708" s="30"/>
      <c r="BB1708" s="29"/>
      <c r="BC1708" s="52"/>
      <c r="BD1708" s="30"/>
      <c r="BE1708" s="29"/>
      <c r="BF1708" s="30"/>
      <c r="BG1708" s="30"/>
      <c r="BH1708" s="30"/>
      <c r="BI1708" s="30"/>
      <c r="BJ1708" s="30"/>
      <c r="BK1708" s="30"/>
      <c r="BL1708" s="30"/>
      <c r="BM1708" s="30"/>
      <c r="BN1708" s="30"/>
      <c r="BO1708" s="30"/>
      <c r="BP1708" s="30"/>
      <c r="BQ1708" s="30"/>
      <c r="BR1708" s="30"/>
      <c r="BS1708" s="30"/>
      <c r="BT1708" s="30"/>
      <c r="BU1708" s="30"/>
      <c r="BV1708" s="30"/>
      <c r="BW1708" s="30"/>
      <c r="BX1708" s="30"/>
      <c r="BY1708" s="30"/>
      <c r="BZ1708" s="30"/>
      <c r="CA1708" s="30"/>
      <c r="CB1708" s="30"/>
      <c r="CC1708" s="30"/>
      <c r="CD1708" s="30"/>
      <c r="CE1708" s="30"/>
      <c r="CF1708" s="30"/>
      <c r="CG1708" s="30"/>
      <c r="CH1708" s="30"/>
      <c r="CI1708" s="30"/>
      <c r="CJ1708" s="30"/>
      <c r="CK1708" s="30"/>
      <c r="CL1708" s="30"/>
      <c r="CM1708" s="30"/>
      <c r="CN1708" s="30"/>
      <c r="CO1708" s="30"/>
      <c r="CP1708" s="30"/>
      <c r="CQ1708" s="30"/>
      <c r="CR1708" s="30"/>
      <c r="CS1708" s="30"/>
      <c r="CT1708" s="30"/>
      <c r="CU1708" s="30"/>
      <c r="CV1708" s="30"/>
      <c r="CW1708" s="30"/>
      <c r="CX1708" s="30"/>
      <c r="CY1708" s="30"/>
      <c r="CZ1708" s="30"/>
      <c r="DA1708" s="30"/>
      <c r="DB1708" s="30"/>
      <c r="DC1708" s="30"/>
      <c r="DD1708" s="30"/>
      <c r="DE1708" s="30"/>
      <c r="DF1708" s="30"/>
      <c r="DG1708" s="30"/>
      <c r="DH1708" s="30"/>
      <c r="DI1708" s="30"/>
      <c r="DJ1708" s="30"/>
      <c r="DK1708" s="30"/>
      <c r="DL1708" s="30"/>
      <c r="DM1708" s="30"/>
      <c r="DN1708" s="30"/>
      <c r="DO1708" s="30"/>
      <c r="DP1708" s="30"/>
      <c r="DQ1708" s="30"/>
      <c r="DR1708" s="30"/>
      <c r="DS1708" s="30"/>
      <c r="DT1708" s="30"/>
      <c r="DU1708" s="30"/>
      <c r="DV1708" s="30"/>
      <c r="DW1708" s="30"/>
      <c r="DX1708" s="30"/>
      <c r="DY1708" s="30"/>
      <c r="DZ1708" s="30"/>
    </row>
    <row r="1709">
      <c r="A1709" s="30"/>
      <c r="B1709" s="42"/>
      <c r="C1709" s="43"/>
      <c r="D1709" s="30"/>
      <c r="E1709" s="28"/>
      <c r="F1709" s="30"/>
      <c r="G1709" s="30"/>
      <c r="H1709" s="30"/>
      <c r="I1709" s="30"/>
      <c r="J1709" s="28"/>
      <c r="K1709" s="30"/>
      <c r="L1709" s="30"/>
      <c r="M1709" s="30"/>
      <c r="N1709" s="30"/>
      <c r="O1709" s="28"/>
      <c r="P1709" s="30"/>
      <c r="Q1709" s="30"/>
      <c r="R1709" s="30"/>
      <c r="S1709" s="36"/>
      <c r="T1709" s="30"/>
      <c r="U1709" s="36"/>
      <c r="V1709" s="30"/>
      <c r="W1709" s="28"/>
      <c r="X1709" s="30"/>
      <c r="Y1709" s="30"/>
      <c r="Z1709" s="30"/>
      <c r="AA1709" s="30"/>
      <c r="AB1709" s="30"/>
      <c r="AC1709" s="28"/>
      <c r="AD1709" s="30"/>
      <c r="AE1709" s="30"/>
      <c r="AF1709" s="30"/>
      <c r="AG1709" s="29"/>
      <c r="AH1709" s="30"/>
      <c r="AI1709" s="36"/>
      <c r="AJ1709" s="30"/>
      <c r="AK1709" s="29"/>
      <c r="AL1709" s="30"/>
      <c r="AM1709" s="30"/>
      <c r="AN1709" s="30"/>
      <c r="AO1709" s="30"/>
      <c r="AP1709" s="30"/>
      <c r="AQ1709" s="38"/>
      <c r="AR1709" s="30"/>
      <c r="AS1709" s="30"/>
      <c r="AT1709" s="29"/>
      <c r="AU1709" s="30"/>
      <c r="AV1709" s="30"/>
      <c r="AW1709" s="30"/>
      <c r="AX1709" s="29"/>
      <c r="AY1709" s="39"/>
      <c r="AZ1709" s="30"/>
      <c r="BA1709" s="30"/>
      <c r="BB1709" s="29"/>
      <c r="BC1709" s="52"/>
      <c r="BD1709" s="30"/>
      <c r="BE1709" s="29"/>
      <c r="BF1709" s="30"/>
      <c r="BG1709" s="30"/>
      <c r="BH1709" s="30"/>
      <c r="BI1709" s="30"/>
      <c r="BJ1709" s="30"/>
      <c r="BK1709" s="30"/>
      <c r="BL1709" s="30"/>
      <c r="BM1709" s="30"/>
      <c r="BN1709" s="30"/>
      <c r="BO1709" s="30"/>
      <c r="BP1709" s="30"/>
      <c r="BQ1709" s="30"/>
      <c r="BR1709" s="30"/>
      <c r="BS1709" s="30"/>
      <c r="BT1709" s="30"/>
      <c r="BU1709" s="30"/>
      <c r="BV1709" s="30"/>
      <c r="BW1709" s="30"/>
      <c r="BX1709" s="30"/>
      <c r="BY1709" s="30"/>
      <c r="BZ1709" s="30"/>
      <c r="CA1709" s="30"/>
      <c r="CB1709" s="30"/>
      <c r="CC1709" s="30"/>
      <c r="CD1709" s="30"/>
      <c r="CE1709" s="30"/>
      <c r="CF1709" s="30"/>
      <c r="CG1709" s="30"/>
      <c r="CH1709" s="30"/>
      <c r="CI1709" s="30"/>
      <c r="CJ1709" s="30"/>
      <c r="CK1709" s="30"/>
      <c r="CL1709" s="30"/>
      <c r="CM1709" s="30"/>
      <c r="CN1709" s="30"/>
      <c r="CO1709" s="30"/>
      <c r="CP1709" s="30"/>
      <c r="CQ1709" s="30"/>
      <c r="CR1709" s="30"/>
      <c r="CS1709" s="30"/>
      <c r="CT1709" s="30"/>
      <c r="CU1709" s="30"/>
      <c r="CV1709" s="30"/>
      <c r="CW1709" s="30"/>
      <c r="CX1709" s="30"/>
      <c r="CY1709" s="30"/>
      <c r="CZ1709" s="30"/>
      <c r="DA1709" s="30"/>
      <c r="DB1709" s="30"/>
      <c r="DC1709" s="30"/>
      <c r="DD1709" s="30"/>
      <c r="DE1709" s="30"/>
      <c r="DF1709" s="30"/>
      <c r="DG1709" s="30"/>
      <c r="DH1709" s="30"/>
      <c r="DI1709" s="30"/>
      <c r="DJ1709" s="30"/>
      <c r="DK1709" s="30"/>
      <c r="DL1709" s="30"/>
      <c r="DM1709" s="30"/>
      <c r="DN1709" s="30"/>
      <c r="DO1709" s="30"/>
      <c r="DP1709" s="30"/>
      <c r="DQ1709" s="30"/>
      <c r="DR1709" s="30"/>
      <c r="DS1709" s="30"/>
      <c r="DT1709" s="30"/>
      <c r="DU1709" s="30"/>
      <c r="DV1709" s="30"/>
      <c r="DW1709" s="30"/>
      <c r="DX1709" s="30"/>
      <c r="DY1709" s="30"/>
      <c r="DZ1709" s="30"/>
    </row>
    <row r="1710">
      <c r="A1710" s="30"/>
      <c r="B1710" s="42"/>
      <c r="C1710" s="43"/>
      <c r="D1710" s="30"/>
      <c r="E1710" s="28"/>
      <c r="F1710" s="30"/>
      <c r="G1710" s="30"/>
      <c r="H1710" s="30"/>
      <c r="I1710" s="30"/>
      <c r="J1710" s="28"/>
      <c r="K1710" s="30"/>
      <c r="L1710" s="30"/>
      <c r="M1710" s="30"/>
      <c r="N1710" s="30"/>
      <c r="O1710" s="28"/>
      <c r="P1710" s="30"/>
      <c r="Q1710" s="30"/>
      <c r="R1710" s="30"/>
      <c r="S1710" s="36"/>
      <c r="T1710" s="30"/>
      <c r="U1710" s="36"/>
      <c r="V1710" s="30"/>
      <c r="W1710" s="28"/>
      <c r="X1710" s="30"/>
      <c r="Y1710" s="30"/>
      <c r="Z1710" s="30"/>
      <c r="AA1710" s="30"/>
      <c r="AB1710" s="30"/>
      <c r="AC1710" s="28"/>
      <c r="AD1710" s="30"/>
      <c r="AE1710" s="30"/>
      <c r="AF1710" s="30"/>
      <c r="AG1710" s="29"/>
      <c r="AH1710" s="30"/>
      <c r="AI1710" s="36"/>
      <c r="AJ1710" s="30"/>
      <c r="AK1710" s="29"/>
      <c r="AL1710" s="30"/>
      <c r="AM1710" s="30"/>
      <c r="AN1710" s="30"/>
      <c r="AO1710" s="30"/>
      <c r="AP1710" s="30"/>
      <c r="AQ1710" s="38"/>
      <c r="AR1710" s="30"/>
      <c r="AS1710" s="30"/>
      <c r="AT1710" s="29"/>
      <c r="AU1710" s="30"/>
      <c r="AV1710" s="30"/>
      <c r="AW1710" s="30"/>
      <c r="AX1710" s="29"/>
      <c r="AY1710" s="39"/>
      <c r="AZ1710" s="30"/>
      <c r="BA1710" s="30"/>
      <c r="BB1710" s="29"/>
      <c r="BC1710" s="52"/>
      <c r="BD1710" s="30"/>
      <c r="BE1710" s="29"/>
      <c r="BF1710" s="30"/>
      <c r="BG1710" s="30"/>
      <c r="BH1710" s="30"/>
      <c r="BI1710" s="30"/>
      <c r="BJ1710" s="30"/>
      <c r="BK1710" s="30"/>
      <c r="BL1710" s="30"/>
      <c r="BM1710" s="30"/>
      <c r="BN1710" s="30"/>
      <c r="BO1710" s="30"/>
      <c r="BP1710" s="30"/>
      <c r="BQ1710" s="30"/>
      <c r="BR1710" s="30"/>
      <c r="BS1710" s="30"/>
      <c r="BT1710" s="30"/>
      <c r="BU1710" s="30"/>
      <c r="BV1710" s="30"/>
      <c r="BW1710" s="30"/>
      <c r="BX1710" s="30"/>
      <c r="BY1710" s="30"/>
      <c r="BZ1710" s="30"/>
      <c r="CA1710" s="30"/>
      <c r="CB1710" s="30"/>
      <c r="CC1710" s="30"/>
      <c r="CD1710" s="30"/>
      <c r="CE1710" s="30"/>
      <c r="CF1710" s="30"/>
      <c r="CG1710" s="30"/>
      <c r="CH1710" s="30"/>
      <c r="CI1710" s="30"/>
      <c r="CJ1710" s="30"/>
      <c r="CK1710" s="30"/>
      <c r="CL1710" s="30"/>
      <c r="CM1710" s="30"/>
      <c r="CN1710" s="30"/>
      <c r="CO1710" s="30"/>
      <c r="CP1710" s="30"/>
      <c r="CQ1710" s="30"/>
      <c r="CR1710" s="30"/>
      <c r="CS1710" s="30"/>
      <c r="CT1710" s="30"/>
      <c r="CU1710" s="30"/>
      <c r="CV1710" s="30"/>
      <c r="CW1710" s="30"/>
      <c r="CX1710" s="30"/>
      <c r="CY1710" s="30"/>
      <c r="CZ1710" s="30"/>
      <c r="DA1710" s="30"/>
      <c r="DB1710" s="30"/>
      <c r="DC1710" s="30"/>
      <c r="DD1710" s="30"/>
      <c r="DE1710" s="30"/>
      <c r="DF1710" s="30"/>
      <c r="DG1710" s="30"/>
      <c r="DH1710" s="30"/>
      <c r="DI1710" s="30"/>
      <c r="DJ1710" s="30"/>
      <c r="DK1710" s="30"/>
      <c r="DL1710" s="30"/>
      <c r="DM1710" s="30"/>
      <c r="DN1710" s="30"/>
      <c r="DO1710" s="30"/>
      <c r="DP1710" s="30"/>
      <c r="DQ1710" s="30"/>
      <c r="DR1710" s="30"/>
      <c r="DS1710" s="30"/>
      <c r="DT1710" s="30"/>
      <c r="DU1710" s="30"/>
      <c r="DV1710" s="30"/>
      <c r="DW1710" s="30"/>
      <c r="DX1710" s="30"/>
      <c r="DY1710" s="30"/>
      <c r="DZ1710" s="30"/>
    </row>
    <row r="1711">
      <c r="A1711" s="30"/>
      <c r="B1711" s="42"/>
      <c r="C1711" s="43"/>
      <c r="D1711" s="30"/>
      <c r="E1711" s="28"/>
      <c r="F1711" s="30"/>
      <c r="G1711" s="30"/>
      <c r="H1711" s="30"/>
      <c r="I1711" s="30"/>
      <c r="J1711" s="28"/>
      <c r="K1711" s="30"/>
      <c r="L1711" s="30"/>
      <c r="M1711" s="30"/>
      <c r="N1711" s="30"/>
      <c r="O1711" s="28"/>
      <c r="P1711" s="30"/>
      <c r="Q1711" s="30"/>
      <c r="R1711" s="30"/>
      <c r="S1711" s="36"/>
      <c r="T1711" s="30"/>
      <c r="U1711" s="36"/>
      <c r="V1711" s="30"/>
      <c r="W1711" s="28"/>
      <c r="X1711" s="30"/>
      <c r="Y1711" s="30"/>
      <c r="Z1711" s="30"/>
      <c r="AA1711" s="30"/>
      <c r="AB1711" s="30"/>
      <c r="AC1711" s="28"/>
      <c r="AD1711" s="30"/>
      <c r="AE1711" s="30"/>
      <c r="AF1711" s="30"/>
      <c r="AG1711" s="29"/>
      <c r="AH1711" s="30"/>
      <c r="AI1711" s="36"/>
      <c r="AJ1711" s="30"/>
      <c r="AK1711" s="29"/>
      <c r="AL1711" s="30"/>
      <c r="AM1711" s="30"/>
      <c r="AN1711" s="30"/>
      <c r="AO1711" s="30"/>
      <c r="AP1711" s="30"/>
      <c r="AQ1711" s="38"/>
      <c r="AR1711" s="30"/>
      <c r="AS1711" s="30"/>
      <c r="AT1711" s="29"/>
      <c r="AU1711" s="30"/>
      <c r="AV1711" s="30"/>
      <c r="AW1711" s="30"/>
      <c r="AX1711" s="29"/>
      <c r="AY1711" s="39"/>
      <c r="AZ1711" s="30"/>
      <c r="BA1711" s="30"/>
      <c r="BB1711" s="29"/>
      <c r="BC1711" s="52"/>
      <c r="BD1711" s="30"/>
      <c r="BE1711" s="29"/>
      <c r="BF1711" s="30"/>
      <c r="BG1711" s="30"/>
      <c r="BH1711" s="30"/>
      <c r="BI1711" s="30"/>
      <c r="BJ1711" s="30"/>
      <c r="BK1711" s="30"/>
      <c r="BL1711" s="30"/>
      <c r="BM1711" s="30"/>
      <c r="BN1711" s="30"/>
      <c r="BO1711" s="30"/>
      <c r="BP1711" s="30"/>
      <c r="BQ1711" s="30"/>
      <c r="BR1711" s="30"/>
      <c r="BS1711" s="30"/>
      <c r="BT1711" s="30"/>
      <c r="BU1711" s="30"/>
      <c r="BV1711" s="30"/>
      <c r="BW1711" s="30"/>
      <c r="BX1711" s="30"/>
      <c r="BY1711" s="30"/>
      <c r="BZ1711" s="30"/>
      <c r="CA1711" s="30"/>
      <c r="CB1711" s="30"/>
      <c r="CC1711" s="30"/>
      <c r="CD1711" s="30"/>
      <c r="CE1711" s="30"/>
      <c r="CF1711" s="30"/>
      <c r="CG1711" s="30"/>
      <c r="CH1711" s="30"/>
      <c r="CI1711" s="30"/>
      <c r="CJ1711" s="30"/>
      <c r="CK1711" s="30"/>
      <c r="CL1711" s="30"/>
      <c r="CM1711" s="30"/>
      <c r="CN1711" s="30"/>
      <c r="CO1711" s="30"/>
      <c r="CP1711" s="30"/>
      <c r="CQ1711" s="30"/>
      <c r="CR1711" s="30"/>
      <c r="CS1711" s="30"/>
      <c r="CT1711" s="30"/>
      <c r="CU1711" s="30"/>
      <c r="CV1711" s="30"/>
      <c r="CW1711" s="30"/>
      <c r="CX1711" s="30"/>
      <c r="CY1711" s="30"/>
      <c r="CZ1711" s="30"/>
      <c r="DA1711" s="30"/>
      <c r="DB1711" s="30"/>
      <c r="DC1711" s="30"/>
      <c r="DD1711" s="30"/>
      <c r="DE1711" s="30"/>
      <c r="DF1711" s="30"/>
      <c r="DG1711" s="30"/>
      <c r="DH1711" s="30"/>
      <c r="DI1711" s="30"/>
      <c r="DJ1711" s="30"/>
      <c r="DK1711" s="30"/>
      <c r="DL1711" s="30"/>
      <c r="DM1711" s="30"/>
      <c r="DN1711" s="30"/>
      <c r="DO1711" s="30"/>
      <c r="DP1711" s="30"/>
      <c r="DQ1711" s="30"/>
      <c r="DR1711" s="30"/>
      <c r="DS1711" s="30"/>
      <c r="DT1711" s="30"/>
      <c r="DU1711" s="30"/>
      <c r="DV1711" s="30"/>
      <c r="DW1711" s="30"/>
      <c r="DX1711" s="30"/>
      <c r="DY1711" s="30"/>
      <c r="DZ1711" s="30"/>
    </row>
    <row r="1712">
      <c r="A1712" s="30"/>
      <c r="B1712" s="42"/>
      <c r="C1712" s="43"/>
      <c r="D1712" s="30"/>
      <c r="E1712" s="28"/>
      <c r="F1712" s="30"/>
      <c r="G1712" s="30"/>
      <c r="H1712" s="30"/>
      <c r="I1712" s="30"/>
      <c r="J1712" s="28"/>
      <c r="K1712" s="30"/>
      <c r="L1712" s="30"/>
      <c r="M1712" s="30"/>
      <c r="N1712" s="30"/>
      <c r="O1712" s="28"/>
      <c r="P1712" s="30"/>
      <c r="Q1712" s="30"/>
      <c r="R1712" s="30"/>
      <c r="S1712" s="36"/>
      <c r="T1712" s="30"/>
      <c r="U1712" s="36"/>
      <c r="V1712" s="30"/>
      <c r="W1712" s="28"/>
      <c r="X1712" s="30"/>
      <c r="Y1712" s="30"/>
      <c r="Z1712" s="30"/>
      <c r="AA1712" s="30"/>
      <c r="AB1712" s="30"/>
      <c r="AC1712" s="28"/>
      <c r="AD1712" s="30"/>
      <c r="AE1712" s="30"/>
      <c r="AF1712" s="30"/>
      <c r="AG1712" s="29"/>
      <c r="AH1712" s="30"/>
      <c r="AI1712" s="36"/>
      <c r="AJ1712" s="30"/>
      <c r="AK1712" s="29"/>
      <c r="AL1712" s="30"/>
      <c r="AM1712" s="30"/>
      <c r="AN1712" s="30"/>
      <c r="AO1712" s="30"/>
      <c r="AP1712" s="30"/>
      <c r="AQ1712" s="38"/>
      <c r="AR1712" s="30"/>
      <c r="AS1712" s="30"/>
      <c r="AT1712" s="29"/>
      <c r="AU1712" s="30"/>
      <c r="AV1712" s="30"/>
      <c r="AW1712" s="30"/>
      <c r="AX1712" s="29"/>
      <c r="AY1712" s="39"/>
      <c r="AZ1712" s="30"/>
      <c r="BA1712" s="30"/>
      <c r="BB1712" s="29"/>
      <c r="BC1712" s="52"/>
      <c r="BD1712" s="30"/>
      <c r="BE1712" s="29"/>
      <c r="BF1712" s="30"/>
      <c r="BG1712" s="30"/>
      <c r="BH1712" s="30"/>
      <c r="BI1712" s="30"/>
      <c r="BJ1712" s="30"/>
      <c r="BK1712" s="30"/>
      <c r="BL1712" s="30"/>
      <c r="BM1712" s="30"/>
      <c r="BN1712" s="30"/>
      <c r="BO1712" s="30"/>
      <c r="BP1712" s="30"/>
      <c r="BQ1712" s="30"/>
      <c r="BR1712" s="30"/>
      <c r="BS1712" s="30"/>
      <c r="BT1712" s="30"/>
      <c r="BU1712" s="30"/>
      <c r="BV1712" s="30"/>
      <c r="BW1712" s="30"/>
      <c r="BX1712" s="30"/>
      <c r="BY1712" s="30"/>
      <c r="BZ1712" s="30"/>
      <c r="CA1712" s="30"/>
      <c r="CB1712" s="30"/>
      <c r="CC1712" s="30"/>
      <c r="CD1712" s="30"/>
      <c r="CE1712" s="30"/>
      <c r="CF1712" s="30"/>
      <c r="CG1712" s="30"/>
      <c r="CH1712" s="30"/>
      <c r="CI1712" s="30"/>
      <c r="CJ1712" s="30"/>
      <c r="CK1712" s="30"/>
      <c r="CL1712" s="30"/>
      <c r="CM1712" s="30"/>
      <c r="CN1712" s="30"/>
      <c r="CO1712" s="30"/>
      <c r="CP1712" s="30"/>
      <c r="CQ1712" s="30"/>
      <c r="CR1712" s="30"/>
      <c r="CS1712" s="30"/>
      <c r="CT1712" s="30"/>
      <c r="CU1712" s="30"/>
      <c r="CV1712" s="30"/>
      <c r="CW1712" s="30"/>
      <c r="CX1712" s="30"/>
      <c r="CY1712" s="30"/>
      <c r="CZ1712" s="30"/>
      <c r="DA1712" s="30"/>
      <c r="DB1712" s="30"/>
      <c r="DC1712" s="30"/>
      <c r="DD1712" s="30"/>
      <c r="DE1712" s="30"/>
      <c r="DF1712" s="30"/>
      <c r="DG1712" s="30"/>
      <c r="DH1712" s="30"/>
      <c r="DI1712" s="30"/>
      <c r="DJ1712" s="30"/>
      <c r="DK1712" s="30"/>
      <c r="DL1712" s="30"/>
      <c r="DM1712" s="30"/>
      <c r="DN1712" s="30"/>
      <c r="DO1712" s="30"/>
      <c r="DP1712" s="30"/>
      <c r="DQ1712" s="30"/>
      <c r="DR1712" s="30"/>
      <c r="DS1712" s="30"/>
      <c r="DT1712" s="30"/>
      <c r="DU1712" s="30"/>
      <c r="DV1712" s="30"/>
      <c r="DW1712" s="30"/>
      <c r="DX1712" s="30"/>
      <c r="DY1712" s="30"/>
      <c r="DZ1712" s="30"/>
    </row>
    <row r="1713">
      <c r="A1713" s="30"/>
      <c r="B1713" s="42"/>
      <c r="C1713" s="43"/>
      <c r="D1713" s="30"/>
      <c r="E1713" s="28"/>
      <c r="F1713" s="30"/>
      <c r="G1713" s="30"/>
      <c r="H1713" s="30"/>
      <c r="I1713" s="30"/>
      <c r="J1713" s="28"/>
      <c r="K1713" s="30"/>
      <c r="L1713" s="30"/>
      <c r="M1713" s="30"/>
      <c r="N1713" s="30"/>
      <c r="O1713" s="28"/>
      <c r="P1713" s="30"/>
      <c r="Q1713" s="30"/>
      <c r="R1713" s="30"/>
      <c r="S1713" s="36"/>
      <c r="T1713" s="30"/>
      <c r="U1713" s="36"/>
      <c r="V1713" s="30"/>
      <c r="W1713" s="28"/>
      <c r="X1713" s="30"/>
      <c r="Y1713" s="30"/>
      <c r="Z1713" s="30"/>
      <c r="AA1713" s="30"/>
      <c r="AB1713" s="30"/>
      <c r="AC1713" s="28"/>
      <c r="AD1713" s="30"/>
      <c r="AE1713" s="30"/>
      <c r="AF1713" s="30"/>
      <c r="AG1713" s="29"/>
      <c r="AH1713" s="30"/>
      <c r="AI1713" s="36"/>
      <c r="AJ1713" s="30"/>
      <c r="AK1713" s="29"/>
      <c r="AL1713" s="30"/>
      <c r="AM1713" s="30"/>
      <c r="AN1713" s="30"/>
      <c r="AO1713" s="30"/>
      <c r="AP1713" s="30"/>
      <c r="AQ1713" s="38"/>
      <c r="AR1713" s="30"/>
      <c r="AS1713" s="30"/>
      <c r="AT1713" s="29"/>
      <c r="AU1713" s="30"/>
      <c r="AV1713" s="30"/>
      <c r="AW1713" s="30"/>
      <c r="AX1713" s="29"/>
      <c r="AY1713" s="39"/>
      <c r="AZ1713" s="30"/>
      <c r="BA1713" s="30"/>
      <c r="BB1713" s="29"/>
      <c r="BC1713" s="52"/>
      <c r="BD1713" s="30"/>
      <c r="BE1713" s="29"/>
      <c r="BF1713" s="30"/>
      <c r="BG1713" s="30"/>
      <c r="BH1713" s="30"/>
      <c r="BI1713" s="30"/>
      <c r="BJ1713" s="30"/>
      <c r="BK1713" s="30"/>
      <c r="BL1713" s="30"/>
      <c r="BM1713" s="30"/>
      <c r="BN1713" s="30"/>
      <c r="BO1713" s="30"/>
      <c r="BP1713" s="30"/>
      <c r="BQ1713" s="30"/>
      <c r="BR1713" s="30"/>
      <c r="BS1713" s="30"/>
      <c r="BT1713" s="30"/>
      <c r="BU1713" s="30"/>
      <c r="BV1713" s="30"/>
      <c r="BW1713" s="30"/>
      <c r="BX1713" s="30"/>
      <c r="BY1713" s="30"/>
      <c r="BZ1713" s="30"/>
      <c r="CA1713" s="30"/>
      <c r="CB1713" s="30"/>
      <c r="CC1713" s="30"/>
      <c r="CD1713" s="30"/>
      <c r="CE1713" s="30"/>
      <c r="CF1713" s="30"/>
      <c r="CG1713" s="30"/>
      <c r="CH1713" s="30"/>
      <c r="CI1713" s="30"/>
      <c r="CJ1713" s="30"/>
      <c r="CK1713" s="30"/>
      <c r="CL1713" s="30"/>
      <c r="CM1713" s="30"/>
      <c r="CN1713" s="30"/>
      <c r="CO1713" s="30"/>
      <c r="CP1713" s="30"/>
      <c r="CQ1713" s="30"/>
      <c r="CR1713" s="30"/>
      <c r="CS1713" s="30"/>
      <c r="CT1713" s="30"/>
      <c r="CU1713" s="30"/>
      <c r="CV1713" s="30"/>
      <c r="CW1713" s="30"/>
      <c r="CX1713" s="30"/>
      <c r="CY1713" s="30"/>
      <c r="CZ1713" s="30"/>
      <c r="DA1713" s="30"/>
      <c r="DB1713" s="30"/>
      <c r="DC1713" s="30"/>
      <c r="DD1713" s="30"/>
      <c r="DE1713" s="30"/>
      <c r="DF1713" s="30"/>
      <c r="DG1713" s="30"/>
      <c r="DH1713" s="30"/>
      <c r="DI1713" s="30"/>
      <c r="DJ1713" s="30"/>
      <c r="DK1713" s="30"/>
      <c r="DL1713" s="30"/>
      <c r="DM1713" s="30"/>
      <c r="DN1713" s="30"/>
      <c r="DO1713" s="30"/>
      <c r="DP1713" s="30"/>
      <c r="DQ1713" s="30"/>
      <c r="DR1713" s="30"/>
      <c r="DS1713" s="30"/>
      <c r="DT1713" s="30"/>
      <c r="DU1713" s="30"/>
      <c r="DV1713" s="30"/>
      <c r="DW1713" s="30"/>
      <c r="DX1713" s="30"/>
      <c r="DY1713" s="30"/>
      <c r="DZ1713" s="30"/>
    </row>
    <row r="1714">
      <c r="A1714" s="30"/>
      <c r="B1714" s="42"/>
      <c r="C1714" s="43"/>
      <c r="D1714" s="30"/>
      <c r="E1714" s="28"/>
      <c r="F1714" s="30"/>
      <c r="G1714" s="30"/>
      <c r="H1714" s="30"/>
      <c r="I1714" s="30"/>
      <c r="J1714" s="28"/>
      <c r="K1714" s="30"/>
      <c r="L1714" s="30"/>
      <c r="M1714" s="30"/>
      <c r="N1714" s="30"/>
      <c r="O1714" s="28"/>
      <c r="P1714" s="30"/>
      <c r="Q1714" s="30"/>
      <c r="R1714" s="30"/>
      <c r="S1714" s="36"/>
      <c r="T1714" s="30"/>
      <c r="U1714" s="36"/>
      <c r="V1714" s="30"/>
      <c r="W1714" s="28"/>
      <c r="X1714" s="30"/>
      <c r="Y1714" s="30"/>
      <c r="Z1714" s="30"/>
      <c r="AA1714" s="30"/>
      <c r="AB1714" s="30"/>
      <c r="AC1714" s="28"/>
      <c r="AD1714" s="30"/>
      <c r="AE1714" s="30"/>
      <c r="AF1714" s="30"/>
      <c r="AG1714" s="29"/>
      <c r="AH1714" s="30"/>
      <c r="AI1714" s="36"/>
      <c r="AJ1714" s="30"/>
      <c r="AK1714" s="29"/>
      <c r="AL1714" s="30"/>
      <c r="AM1714" s="30"/>
      <c r="AN1714" s="30"/>
      <c r="AO1714" s="30"/>
      <c r="AP1714" s="30"/>
      <c r="AQ1714" s="38"/>
      <c r="AR1714" s="30"/>
      <c r="AS1714" s="30"/>
      <c r="AT1714" s="29"/>
      <c r="AU1714" s="30"/>
      <c r="AV1714" s="30"/>
      <c r="AW1714" s="30"/>
      <c r="AX1714" s="29"/>
      <c r="AY1714" s="39"/>
      <c r="AZ1714" s="30"/>
      <c r="BA1714" s="30"/>
      <c r="BB1714" s="29"/>
      <c r="BC1714" s="52"/>
      <c r="BD1714" s="30"/>
      <c r="BE1714" s="29"/>
      <c r="BF1714" s="30"/>
      <c r="BG1714" s="30"/>
      <c r="BH1714" s="30"/>
      <c r="BI1714" s="30"/>
      <c r="BJ1714" s="30"/>
      <c r="BK1714" s="30"/>
      <c r="BL1714" s="30"/>
      <c r="BM1714" s="30"/>
      <c r="BN1714" s="30"/>
      <c r="BO1714" s="30"/>
      <c r="BP1714" s="30"/>
      <c r="BQ1714" s="30"/>
      <c r="BR1714" s="30"/>
      <c r="BS1714" s="30"/>
      <c r="BT1714" s="30"/>
      <c r="BU1714" s="30"/>
      <c r="BV1714" s="30"/>
      <c r="BW1714" s="30"/>
      <c r="BX1714" s="30"/>
      <c r="BY1714" s="30"/>
      <c r="BZ1714" s="30"/>
      <c r="CA1714" s="30"/>
      <c r="CB1714" s="30"/>
      <c r="CC1714" s="30"/>
      <c r="CD1714" s="30"/>
      <c r="CE1714" s="30"/>
      <c r="CF1714" s="30"/>
      <c r="CG1714" s="30"/>
      <c r="CH1714" s="30"/>
      <c r="CI1714" s="30"/>
      <c r="CJ1714" s="30"/>
      <c r="CK1714" s="30"/>
      <c r="CL1714" s="30"/>
      <c r="CM1714" s="30"/>
      <c r="CN1714" s="30"/>
      <c r="CO1714" s="30"/>
      <c r="CP1714" s="30"/>
      <c r="CQ1714" s="30"/>
      <c r="CR1714" s="30"/>
      <c r="CS1714" s="30"/>
      <c r="CT1714" s="30"/>
      <c r="CU1714" s="30"/>
      <c r="CV1714" s="30"/>
      <c r="CW1714" s="30"/>
      <c r="CX1714" s="30"/>
      <c r="CY1714" s="30"/>
      <c r="CZ1714" s="30"/>
      <c r="DA1714" s="30"/>
      <c r="DB1714" s="30"/>
      <c r="DC1714" s="30"/>
      <c r="DD1714" s="30"/>
      <c r="DE1714" s="30"/>
      <c r="DF1714" s="30"/>
      <c r="DG1714" s="30"/>
      <c r="DH1714" s="30"/>
      <c r="DI1714" s="30"/>
      <c r="DJ1714" s="30"/>
      <c r="DK1714" s="30"/>
      <c r="DL1714" s="30"/>
      <c r="DM1714" s="30"/>
      <c r="DN1714" s="30"/>
      <c r="DO1714" s="30"/>
      <c r="DP1714" s="30"/>
      <c r="DQ1714" s="30"/>
      <c r="DR1714" s="30"/>
      <c r="DS1714" s="30"/>
      <c r="DT1714" s="30"/>
      <c r="DU1714" s="30"/>
      <c r="DV1714" s="30"/>
      <c r="DW1714" s="30"/>
      <c r="DX1714" s="30"/>
      <c r="DY1714" s="30"/>
      <c r="DZ1714" s="30"/>
    </row>
    <row r="1715">
      <c r="A1715" s="30"/>
      <c r="B1715" s="42"/>
      <c r="C1715" s="43"/>
      <c r="D1715" s="30"/>
      <c r="E1715" s="28"/>
      <c r="F1715" s="30"/>
      <c r="G1715" s="30"/>
      <c r="H1715" s="30"/>
      <c r="I1715" s="30"/>
      <c r="J1715" s="28"/>
      <c r="K1715" s="30"/>
      <c r="L1715" s="30"/>
      <c r="M1715" s="30"/>
      <c r="N1715" s="30"/>
      <c r="O1715" s="28"/>
      <c r="P1715" s="30"/>
      <c r="Q1715" s="30"/>
      <c r="R1715" s="30"/>
      <c r="S1715" s="36"/>
      <c r="T1715" s="30"/>
      <c r="U1715" s="36"/>
      <c r="V1715" s="30"/>
      <c r="W1715" s="28"/>
      <c r="X1715" s="30"/>
      <c r="Y1715" s="30"/>
      <c r="Z1715" s="30"/>
      <c r="AA1715" s="30"/>
      <c r="AB1715" s="30"/>
      <c r="AC1715" s="28"/>
      <c r="AD1715" s="30"/>
      <c r="AE1715" s="30"/>
      <c r="AF1715" s="30"/>
      <c r="AG1715" s="29"/>
      <c r="AH1715" s="30"/>
      <c r="AI1715" s="36"/>
      <c r="AJ1715" s="30"/>
      <c r="AK1715" s="29"/>
      <c r="AL1715" s="30"/>
      <c r="AM1715" s="30"/>
      <c r="AN1715" s="30"/>
      <c r="AO1715" s="30"/>
      <c r="AP1715" s="30"/>
      <c r="AQ1715" s="38"/>
      <c r="AR1715" s="30"/>
      <c r="AS1715" s="30"/>
      <c r="AT1715" s="29"/>
      <c r="AU1715" s="30"/>
      <c r="AV1715" s="30"/>
      <c r="AW1715" s="30"/>
      <c r="AX1715" s="29"/>
      <c r="AY1715" s="39"/>
      <c r="AZ1715" s="30"/>
      <c r="BA1715" s="30"/>
      <c r="BB1715" s="29"/>
      <c r="BC1715" s="52"/>
      <c r="BD1715" s="30"/>
      <c r="BE1715" s="29"/>
      <c r="BF1715" s="30"/>
      <c r="BG1715" s="30"/>
      <c r="BH1715" s="30"/>
      <c r="BI1715" s="30"/>
      <c r="BJ1715" s="30"/>
      <c r="BK1715" s="30"/>
      <c r="BL1715" s="30"/>
      <c r="BM1715" s="30"/>
      <c r="BN1715" s="30"/>
      <c r="BO1715" s="30"/>
      <c r="BP1715" s="30"/>
      <c r="BQ1715" s="30"/>
      <c r="BR1715" s="30"/>
      <c r="BS1715" s="30"/>
      <c r="BT1715" s="30"/>
      <c r="BU1715" s="30"/>
      <c r="BV1715" s="30"/>
      <c r="BW1715" s="30"/>
      <c r="BX1715" s="30"/>
      <c r="BY1715" s="30"/>
      <c r="BZ1715" s="30"/>
      <c r="CA1715" s="30"/>
      <c r="CB1715" s="30"/>
      <c r="CC1715" s="30"/>
      <c r="CD1715" s="30"/>
      <c r="CE1715" s="30"/>
      <c r="CF1715" s="30"/>
      <c r="CG1715" s="30"/>
      <c r="CH1715" s="30"/>
      <c r="CI1715" s="30"/>
      <c r="CJ1715" s="30"/>
      <c r="CK1715" s="30"/>
      <c r="CL1715" s="30"/>
      <c r="CM1715" s="30"/>
      <c r="CN1715" s="30"/>
      <c r="CO1715" s="30"/>
      <c r="CP1715" s="30"/>
      <c r="CQ1715" s="30"/>
      <c r="CR1715" s="30"/>
      <c r="CS1715" s="30"/>
      <c r="CT1715" s="30"/>
      <c r="CU1715" s="30"/>
      <c r="CV1715" s="30"/>
      <c r="CW1715" s="30"/>
      <c r="CX1715" s="30"/>
      <c r="CY1715" s="30"/>
      <c r="CZ1715" s="30"/>
      <c r="DA1715" s="30"/>
      <c r="DB1715" s="30"/>
      <c r="DC1715" s="30"/>
      <c r="DD1715" s="30"/>
      <c r="DE1715" s="30"/>
      <c r="DF1715" s="30"/>
      <c r="DG1715" s="30"/>
      <c r="DH1715" s="30"/>
      <c r="DI1715" s="30"/>
      <c r="DJ1715" s="30"/>
      <c r="DK1715" s="30"/>
      <c r="DL1715" s="30"/>
      <c r="DM1715" s="30"/>
      <c r="DN1715" s="30"/>
      <c r="DO1715" s="30"/>
      <c r="DP1715" s="30"/>
      <c r="DQ1715" s="30"/>
      <c r="DR1715" s="30"/>
      <c r="DS1715" s="30"/>
      <c r="DT1715" s="30"/>
      <c r="DU1715" s="30"/>
      <c r="DV1715" s="30"/>
      <c r="DW1715" s="30"/>
      <c r="DX1715" s="30"/>
      <c r="DY1715" s="30"/>
      <c r="DZ1715" s="30"/>
    </row>
    <row r="1716">
      <c r="A1716" s="30"/>
      <c r="B1716" s="42"/>
      <c r="C1716" s="43"/>
      <c r="D1716" s="30"/>
      <c r="E1716" s="28"/>
      <c r="F1716" s="30"/>
      <c r="G1716" s="30"/>
      <c r="H1716" s="30"/>
      <c r="I1716" s="30"/>
      <c r="J1716" s="28"/>
      <c r="K1716" s="30"/>
      <c r="L1716" s="30"/>
      <c r="M1716" s="30"/>
      <c r="N1716" s="30"/>
      <c r="O1716" s="28"/>
      <c r="P1716" s="30"/>
      <c r="Q1716" s="30"/>
      <c r="R1716" s="30"/>
      <c r="S1716" s="36"/>
      <c r="T1716" s="30"/>
      <c r="U1716" s="36"/>
      <c r="V1716" s="30"/>
      <c r="W1716" s="28"/>
      <c r="X1716" s="30"/>
      <c r="Y1716" s="30"/>
      <c r="Z1716" s="30"/>
      <c r="AA1716" s="30"/>
      <c r="AB1716" s="30"/>
      <c r="AC1716" s="28"/>
      <c r="AD1716" s="30"/>
      <c r="AE1716" s="30"/>
      <c r="AF1716" s="30"/>
      <c r="AG1716" s="29"/>
      <c r="AH1716" s="30"/>
      <c r="AI1716" s="36"/>
      <c r="AJ1716" s="30"/>
      <c r="AK1716" s="29"/>
      <c r="AL1716" s="30"/>
      <c r="AM1716" s="30"/>
      <c r="AN1716" s="30"/>
      <c r="AO1716" s="30"/>
      <c r="AP1716" s="30"/>
      <c r="AQ1716" s="38"/>
      <c r="AR1716" s="30"/>
      <c r="AS1716" s="30"/>
      <c r="AT1716" s="29"/>
      <c r="AU1716" s="30"/>
      <c r="AV1716" s="30"/>
      <c r="AW1716" s="30"/>
      <c r="AX1716" s="29"/>
      <c r="AY1716" s="39"/>
      <c r="AZ1716" s="30"/>
      <c r="BA1716" s="30"/>
      <c r="BB1716" s="29"/>
      <c r="BC1716" s="52"/>
      <c r="BD1716" s="30"/>
      <c r="BE1716" s="29"/>
      <c r="BF1716" s="30"/>
      <c r="BG1716" s="30"/>
      <c r="BH1716" s="30"/>
      <c r="BI1716" s="30"/>
      <c r="BJ1716" s="30"/>
      <c r="BK1716" s="30"/>
      <c r="BL1716" s="30"/>
      <c r="BM1716" s="30"/>
      <c r="BN1716" s="30"/>
      <c r="BO1716" s="30"/>
      <c r="BP1716" s="30"/>
      <c r="BQ1716" s="30"/>
      <c r="BR1716" s="30"/>
      <c r="BS1716" s="30"/>
      <c r="BT1716" s="30"/>
      <c r="BU1716" s="30"/>
      <c r="BV1716" s="30"/>
      <c r="BW1716" s="30"/>
      <c r="BX1716" s="30"/>
      <c r="BY1716" s="30"/>
      <c r="BZ1716" s="30"/>
      <c r="CA1716" s="30"/>
      <c r="CB1716" s="30"/>
      <c r="CC1716" s="30"/>
      <c r="CD1716" s="30"/>
      <c r="CE1716" s="30"/>
      <c r="CF1716" s="30"/>
      <c r="CG1716" s="30"/>
      <c r="CH1716" s="30"/>
      <c r="CI1716" s="30"/>
      <c r="CJ1716" s="30"/>
      <c r="CK1716" s="30"/>
      <c r="CL1716" s="30"/>
      <c r="CM1716" s="30"/>
      <c r="CN1716" s="30"/>
      <c r="CO1716" s="30"/>
      <c r="CP1716" s="30"/>
      <c r="CQ1716" s="30"/>
      <c r="CR1716" s="30"/>
      <c r="CS1716" s="30"/>
      <c r="CT1716" s="30"/>
      <c r="CU1716" s="30"/>
      <c r="CV1716" s="30"/>
      <c r="CW1716" s="30"/>
      <c r="CX1716" s="30"/>
      <c r="CY1716" s="30"/>
      <c r="CZ1716" s="30"/>
      <c r="DA1716" s="30"/>
      <c r="DB1716" s="30"/>
      <c r="DC1716" s="30"/>
      <c r="DD1716" s="30"/>
      <c r="DE1716" s="30"/>
      <c r="DF1716" s="30"/>
      <c r="DG1716" s="30"/>
      <c r="DH1716" s="30"/>
      <c r="DI1716" s="30"/>
      <c r="DJ1716" s="30"/>
      <c r="DK1716" s="30"/>
      <c r="DL1716" s="30"/>
      <c r="DM1716" s="30"/>
      <c r="DN1716" s="30"/>
      <c r="DO1716" s="30"/>
      <c r="DP1716" s="30"/>
      <c r="DQ1716" s="30"/>
      <c r="DR1716" s="30"/>
      <c r="DS1716" s="30"/>
      <c r="DT1716" s="30"/>
      <c r="DU1716" s="30"/>
      <c r="DV1716" s="30"/>
      <c r="DW1716" s="30"/>
      <c r="DX1716" s="30"/>
      <c r="DY1716" s="30"/>
      <c r="DZ1716" s="30"/>
    </row>
    <row r="1717">
      <c r="A1717" s="30"/>
      <c r="B1717" s="42"/>
      <c r="C1717" s="43"/>
      <c r="D1717" s="30"/>
      <c r="E1717" s="28"/>
      <c r="F1717" s="30"/>
      <c r="G1717" s="30"/>
      <c r="H1717" s="30"/>
      <c r="I1717" s="30"/>
      <c r="J1717" s="28"/>
      <c r="K1717" s="30"/>
      <c r="L1717" s="30"/>
      <c r="M1717" s="30"/>
      <c r="N1717" s="30"/>
      <c r="O1717" s="28"/>
      <c r="P1717" s="30"/>
      <c r="Q1717" s="30"/>
      <c r="R1717" s="30"/>
      <c r="S1717" s="36"/>
      <c r="T1717" s="30"/>
      <c r="U1717" s="36"/>
      <c r="V1717" s="30"/>
      <c r="W1717" s="28"/>
      <c r="X1717" s="30"/>
      <c r="Y1717" s="30"/>
      <c r="Z1717" s="30"/>
      <c r="AA1717" s="30"/>
      <c r="AB1717" s="30"/>
      <c r="AC1717" s="28"/>
      <c r="AD1717" s="30"/>
      <c r="AE1717" s="30"/>
      <c r="AF1717" s="30"/>
      <c r="AG1717" s="29"/>
      <c r="AH1717" s="30"/>
      <c r="AI1717" s="36"/>
      <c r="AJ1717" s="30"/>
      <c r="AK1717" s="29"/>
      <c r="AL1717" s="30"/>
      <c r="AM1717" s="30"/>
      <c r="AN1717" s="30"/>
      <c r="AO1717" s="30"/>
      <c r="AP1717" s="30"/>
      <c r="AQ1717" s="38"/>
      <c r="AR1717" s="30"/>
      <c r="AS1717" s="30"/>
      <c r="AT1717" s="29"/>
      <c r="AU1717" s="30"/>
      <c r="AV1717" s="30"/>
      <c r="AW1717" s="30"/>
      <c r="AX1717" s="29"/>
      <c r="AY1717" s="39"/>
      <c r="AZ1717" s="30"/>
      <c r="BA1717" s="30"/>
      <c r="BB1717" s="29"/>
      <c r="BC1717" s="52"/>
      <c r="BD1717" s="30"/>
      <c r="BE1717" s="29"/>
      <c r="BF1717" s="30"/>
      <c r="BG1717" s="30"/>
      <c r="BH1717" s="30"/>
      <c r="BI1717" s="30"/>
      <c r="BJ1717" s="30"/>
      <c r="BK1717" s="30"/>
      <c r="BL1717" s="30"/>
      <c r="BM1717" s="30"/>
      <c r="BN1717" s="30"/>
      <c r="BO1717" s="30"/>
      <c r="BP1717" s="30"/>
      <c r="BQ1717" s="30"/>
      <c r="BR1717" s="30"/>
      <c r="BS1717" s="30"/>
      <c r="BT1717" s="30"/>
      <c r="BU1717" s="30"/>
      <c r="BV1717" s="30"/>
      <c r="BW1717" s="30"/>
      <c r="BX1717" s="30"/>
      <c r="BY1717" s="30"/>
      <c r="BZ1717" s="30"/>
      <c r="CA1717" s="30"/>
      <c r="CB1717" s="30"/>
      <c r="CC1717" s="30"/>
      <c r="CD1717" s="30"/>
      <c r="CE1717" s="30"/>
      <c r="CF1717" s="30"/>
      <c r="CG1717" s="30"/>
      <c r="CH1717" s="30"/>
      <c r="CI1717" s="30"/>
      <c r="CJ1717" s="30"/>
      <c r="CK1717" s="30"/>
      <c r="CL1717" s="30"/>
      <c r="CM1717" s="30"/>
      <c r="CN1717" s="30"/>
      <c r="CO1717" s="30"/>
      <c r="CP1717" s="30"/>
      <c r="CQ1717" s="30"/>
      <c r="CR1717" s="30"/>
      <c r="CS1717" s="30"/>
      <c r="CT1717" s="30"/>
      <c r="CU1717" s="30"/>
      <c r="CV1717" s="30"/>
      <c r="CW1717" s="30"/>
      <c r="CX1717" s="30"/>
      <c r="CY1717" s="30"/>
      <c r="CZ1717" s="30"/>
      <c r="DA1717" s="30"/>
      <c r="DB1717" s="30"/>
      <c r="DC1717" s="30"/>
      <c r="DD1717" s="30"/>
      <c r="DE1717" s="30"/>
      <c r="DF1717" s="30"/>
      <c r="DG1717" s="30"/>
      <c r="DH1717" s="30"/>
      <c r="DI1717" s="30"/>
      <c r="DJ1717" s="30"/>
      <c r="DK1717" s="30"/>
      <c r="DL1717" s="30"/>
      <c r="DM1717" s="30"/>
      <c r="DN1717" s="30"/>
      <c r="DO1717" s="30"/>
      <c r="DP1717" s="30"/>
      <c r="DQ1717" s="30"/>
      <c r="DR1717" s="30"/>
      <c r="DS1717" s="30"/>
      <c r="DT1717" s="30"/>
      <c r="DU1717" s="30"/>
      <c r="DV1717" s="30"/>
      <c r="DW1717" s="30"/>
      <c r="DX1717" s="30"/>
      <c r="DY1717" s="30"/>
      <c r="DZ1717" s="30"/>
    </row>
    <row r="1718">
      <c r="A1718" s="30"/>
      <c r="B1718" s="42"/>
      <c r="C1718" s="43"/>
      <c r="D1718" s="30"/>
      <c r="E1718" s="28"/>
      <c r="F1718" s="30"/>
      <c r="G1718" s="30"/>
      <c r="H1718" s="30"/>
      <c r="I1718" s="30"/>
      <c r="J1718" s="28"/>
      <c r="K1718" s="30"/>
      <c r="L1718" s="30"/>
      <c r="M1718" s="30"/>
      <c r="N1718" s="30"/>
      <c r="O1718" s="28"/>
      <c r="P1718" s="30"/>
      <c r="Q1718" s="30"/>
      <c r="R1718" s="30"/>
      <c r="S1718" s="36"/>
      <c r="T1718" s="30"/>
      <c r="U1718" s="36"/>
      <c r="V1718" s="30"/>
      <c r="W1718" s="28"/>
      <c r="X1718" s="30"/>
      <c r="Y1718" s="30"/>
      <c r="Z1718" s="30"/>
      <c r="AA1718" s="30"/>
      <c r="AB1718" s="30"/>
      <c r="AC1718" s="28"/>
      <c r="AD1718" s="30"/>
      <c r="AE1718" s="30"/>
      <c r="AF1718" s="30"/>
      <c r="AG1718" s="29"/>
      <c r="AH1718" s="30"/>
      <c r="AI1718" s="36"/>
      <c r="AJ1718" s="30"/>
      <c r="AK1718" s="29"/>
      <c r="AL1718" s="30"/>
      <c r="AM1718" s="30"/>
      <c r="AN1718" s="30"/>
      <c r="AO1718" s="30"/>
      <c r="AP1718" s="30"/>
      <c r="AQ1718" s="38"/>
      <c r="AR1718" s="30"/>
      <c r="AS1718" s="30"/>
      <c r="AT1718" s="29"/>
      <c r="AU1718" s="30"/>
      <c r="AV1718" s="30"/>
      <c r="AW1718" s="30"/>
      <c r="AX1718" s="29"/>
      <c r="AY1718" s="39"/>
      <c r="AZ1718" s="30"/>
      <c r="BA1718" s="30"/>
      <c r="BB1718" s="29"/>
      <c r="BC1718" s="52"/>
      <c r="BD1718" s="30"/>
      <c r="BE1718" s="29"/>
      <c r="BF1718" s="30"/>
      <c r="BG1718" s="30"/>
      <c r="BH1718" s="30"/>
      <c r="BI1718" s="30"/>
      <c r="BJ1718" s="30"/>
      <c r="BK1718" s="30"/>
      <c r="BL1718" s="30"/>
      <c r="BM1718" s="30"/>
      <c r="BN1718" s="30"/>
      <c r="BO1718" s="30"/>
      <c r="BP1718" s="30"/>
      <c r="BQ1718" s="30"/>
      <c r="BR1718" s="30"/>
      <c r="BS1718" s="30"/>
      <c r="BT1718" s="30"/>
      <c r="BU1718" s="30"/>
      <c r="BV1718" s="30"/>
      <c r="BW1718" s="30"/>
      <c r="BX1718" s="30"/>
      <c r="BY1718" s="30"/>
      <c r="BZ1718" s="30"/>
      <c r="CA1718" s="30"/>
      <c r="CB1718" s="30"/>
      <c r="CC1718" s="30"/>
      <c r="CD1718" s="30"/>
      <c r="CE1718" s="30"/>
      <c r="CF1718" s="30"/>
      <c r="CG1718" s="30"/>
      <c r="CH1718" s="30"/>
      <c r="CI1718" s="30"/>
      <c r="CJ1718" s="30"/>
      <c r="CK1718" s="30"/>
      <c r="CL1718" s="30"/>
      <c r="CM1718" s="30"/>
      <c r="CN1718" s="30"/>
      <c r="CO1718" s="30"/>
      <c r="CP1718" s="30"/>
      <c r="CQ1718" s="30"/>
      <c r="CR1718" s="30"/>
      <c r="CS1718" s="30"/>
      <c r="CT1718" s="30"/>
      <c r="CU1718" s="30"/>
      <c r="CV1718" s="30"/>
      <c r="CW1718" s="30"/>
      <c r="CX1718" s="30"/>
      <c r="CY1718" s="30"/>
      <c r="CZ1718" s="30"/>
      <c r="DA1718" s="30"/>
      <c r="DB1718" s="30"/>
      <c r="DC1718" s="30"/>
      <c r="DD1718" s="30"/>
      <c r="DE1718" s="30"/>
      <c r="DF1718" s="30"/>
      <c r="DG1718" s="30"/>
      <c r="DH1718" s="30"/>
      <c r="DI1718" s="30"/>
      <c r="DJ1718" s="30"/>
      <c r="DK1718" s="30"/>
      <c r="DL1718" s="30"/>
      <c r="DM1718" s="30"/>
      <c r="DN1718" s="30"/>
      <c r="DO1718" s="30"/>
      <c r="DP1718" s="30"/>
      <c r="DQ1718" s="30"/>
      <c r="DR1718" s="30"/>
      <c r="DS1718" s="30"/>
      <c r="DT1718" s="30"/>
      <c r="DU1718" s="30"/>
      <c r="DV1718" s="30"/>
      <c r="DW1718" s="30"/>
      <c r="DX1718" s="30"/>
      <c r="DY1718" s="30"/>
      <c r="DZ1718" s="30"/>
    </row>
    <row r="1719">
      <c r="A1719" s="30"/>
      <c r="B1719" s="42"/>
      <c r="C1719" s="43"/>
      <c r="D1719" s="30"/>
      <c r="E1719" s="28"/>
      <c r="F1719" s="30"/>
      <c r="G1719" s="30"/>
      <c r="H1719" s="30"/>
      <c r="I1719" s="30"/>
      <c r="J1719" s="28"/>
      <c r="K1719" s="30"/>
      <c r="L1719" s="30"/>
      <c r="M1719" s="30"/>
      <c r="N1719" s="30"/>
      <c r="O1719" s="28"/>
      <c r="P1719" s="30"/>
      <c r="Q1719" s="30"/>
      <c r="R1719" s="30"/>
      <c r="S1719" s="36"/>
      <c r="T1719" s="30"/>
      <c r="U1719" s="36"/>
      <c r="V1719" s="30"/>
      <c r="W1719" s="28"/>
      <c r="X1719" s="30"/>
      <c r="Y1719" s="30"/>
      <c r="Z1719" s="30"/>
      <c r="AA1719" s="30"/>
      <c r="AB1719" s="30"/>
      <c r="AC1719" s="28"/>
      <c r="AD1719" s="30"/>
      <c r="AE1719" s="30"/>
      <c r="AF1719" s="30"/>
      <c r="AG1719" s="29"/>
      <c r="AH1719" s="30"/>
      <c r="AI1719" s="36"/>
      <c r="AJ1719" s="30"/>
      <c r="AK1719" s="29"/>
      <c r="AL1719" s="30"/>
      <c r="AM1719" s="30"/>
      <c r="AN1719" s="30"/>
      <c r="AO1719" s="30"/>
      <c r="AP1719" s="30"/>
      <c r="AQ1719" s="38"/>
      <c r="AR1719" s="30"/>
      <c r="AS1719" s="30"/>
      <c r="AT1719" s="29"/>
      <c r="AU1719" s="30"/>
      <c r="AV1719" s="30"/>
      <c r="AW1719" s="30"/>
      <c r="AX1719" s="29"/>
      <c r="AY1719" s="39"/>
      <c r="AZ1719" s="30"/>
      <c r="BA1719" s="30"/>
      <c r="BB1719" s="29"/>
      <c r="BC1719" s="52"/>
      <c r="BD1719" s="30"/>
      <c r="BE1719" s="29"/>
      <c r="BF1719" s="30"/>
      <c r="BG1719" s="30"/>
      <c r="BH1719" s="30"/>
      <c r="BI1719" s="30"/>
      <c r="BJ1719" s="30"/>
      <c r="BK1719" s="30"/>
      <c r="BL1719" s="30"/>
      <c r="BM1719" s="30"/>
      <c r="BN1719" s="30"/>
      <c r="BO1719" s="30"/>
      <c r="BP1719" s="30"/>
      <c r="BQ1719" s="30"/>
      <c r="BR1719" s="30"/>
      <c r="BS1719" s="30"/>
      <c r="BT1719" s="30"/>
      <c r="BU1719" s="30"/>
      <c r="BV1719" s="30"/>
      <c r="BW1719" s="30"/>
      <c r="BX1719" s="30"/>
      <c r="BY1719" s="30"/>
      <c r="BZ1719" s="30"/>
      <c r="CA1719" s="30"/>
      <c r="CB1719" s="30"/>
      <c r="CC1719" s="30"/>
      <c r="CD1719" s="30"/>
      <c r="CE1719" s="30"/>
      <c r="CF1719" s="30"/>
      <c r="CG1719" s="30"/>
      <c r="CH1719" s="30"/>
      <c r="CI1719" s="30"/>
      <c r="CJ1719" s="30"/>
      <c r="CK1719" s="30"/>
      <c r="CL1719" s="30"/>
      <c r="CM1719" s="30"/>
      <c r="CN1719" s="30"/>
      <c r="CO1719" s="30"/>
      <c r="CP1719" s="30"/>
      <c r="CQ1719" s="30"/>
      <c r="CR1719" s="30"/>
      <c r="CS1719" s="30"/>
      <c r="CT1719" s="30"/>
      <c r="CU1719" s="30"/>
      <c r="CV1719" s="30"/>
      <c r="CW1719" s="30"/>
      <c r="CX1719" s="30"/>
      <c r="CY1719" s="30"/>
      <c r="CZ1719" s="30"/>
      <c r="DA1719" s="30"/>
      <c r="DB1719" s="30"/>
      <c r="DC1719" s="30"/>
      <c r="DD1719" s="30"/>
      <c r="DE1719" s="30"/>
      <c r="DF1719" s="30"/>
      <c r="DG1719" s="30"/>
      <c r="DH1719" s="30"/>
      <c r="DI1719" s="30"/>
      <c r="DJ1719" s="30"/>
      <c r="DK1719" s="30"/>
      <c r="DL1719" s="30"/>
      <c r="DM1719" s="30"/>
      <c r="DN1719" s="30"/>
      <c r="DO1719" s="30"/>
      <c r="DP1719" s="30"/>
      <c r="DQ1719" s="30"/>
      <c r="DR1719" s="30"/>
      <c r="DS1719" s="30"/>
      <c r="DT1719" s="30"/>
      <c r="DU1719" s="30"/>
      <c r="DV1719" s="30"/>
      <c r="DW1719" s="30"/>
      <c r="DX1719" s="30"/>
      <c r="DY1719" s="30"/>
      <c r="DZ1719" s="30"/>
    </row>
    <row r="1720">
      <c r="A1720" s="30"/>
      <c r="B1720" s="42"/>
      <c r="C1720" s="43"/>
      <c r="D1720" s="30"/>
      <c r="E1720" s="28"/>
      <c r="F1720" s="30"/>
      <c r="G1720" s="30"/>
      <c r="H1720" s="30"/>
      <c r="I1720" s="30"/>
      <c r="J1720" s="28"/>
      <c r="K1720" s="30"/>
      <c r="L1720" s="30"/>
      <c r="M1720" s="30"/>
      <c r="N1720" s="30"/>
      <c r="O1720" s="28"/>
      <c r="P1720" s="30"/>
      <c r="Q1720" s="30"/>
      <c r="R1720" s="30"/>
      <c r="S1720" s="36"/>
      <c r="T1720" s="30"/>
      <c r="U1720" s="36"/>
      <c r="V1720" s="30"/>
      <c r="W1720" s="28"/>
      <c r="X1720" s="30"/>
      <c r="Y1720" s="30"/>
      <c r="Z1720" s="30"/>
      <c r="AA1720" s="30"/>
      <c r="AB1720" s="30"/>
      <c r="AC1720" s="28"/>
      <c r="AD1720" s="30"/>
      <c r="AE1720" s="30"/>
      <c r="AF1720" s="30"/>
      <c r="AG1720" s="29"/>
      <c r="AH1720" s="30"/>
      <c r="AI1720" s="36"/>
      <c r="AJ1720" s="30"/>
      <c r="AK1720" s="29"/>
      <c r="AL1720" s="30"/>
      <c r="AM1720" s="30"/>
      <c r="AN1720" s="30"/>
      <c r="AO1720" s="30"/>
      <c r="AP1720" s="30"/>
      <c r="AQ1720" s="38"/>
      <c r="AR1720" s="30"/>
      <c r="AS1720" s="30"/>
      <c r="AT1720" s="29"/>
      <c r="AU1720" s="30"/>
      <c r="AV1720" s="30"/>
      <c r="AW1720" s="30"/>
      <c r="AX1720" s="29"/>
      <c r="AY1720" s="39"/>
      <c r="AZ1720" s="30"/>
      <c r="BA1720" s="30"/>
      <c r="BB1720" s="29"/>
      <c r="BC1720" s="52"/>
      <c r="BD1720" s="30"/>
      <c r="BE1720" s="29"/>
      <c r="BF1720" s="30"/>
      <c r="BG1720" s="30"/>
      <c r="BH1720" s="30"/>
      <c r="BI1720" s="30"/>
      <c r="BJ1720" s="30"/>
      <c r="BK1720" s="30"/>
      <c r="BL1720" s="30"/>
      <c r="BM1720" s="30"/>
      <c r="BN1720" s="30"/>
      <c r="BO1720" s="30"/>
      <c r="BP1720" s="30"/>
      <c r="BQ1720" s="30"/>
      <c r="BR1720" s="30"/>
      <c r="BS1720" s="30"/>
      <c r="BT1720" s="30"/>
      <c r="BU1720" s="30"/>
      <c r="BV1720" s="30"/>
      <c r="BW1720" s="30"/>
      <c r="BX1720" s="30"/>
      <c r="BY1720" s="30"/>
      <c r="BZ1720" s="30"/>
      <c r="CA1720" s="30"/>
      <c r="CB1720" s="30"/>
      <c r="CC1720" s="30"/>
      <c r="CD1720" s="30"/>
      <c r="CE1720" s="30"/>
      <c r="CF1720" s="30"/>
      <c r="CG1720" s="30"/>
      <c r="CH1720" s="30"/>
      <c r="CI1720" s="30"/>
      <c r="CJ1720" s="30"/>
      <c r="CK1720" s="30"/>
      <c r="CL1720" s="30"/>
      <c r="CM1720" s="30"/>
      <c r="CN1720" s="30"/>
      <c r="CO1720" s="30"/>
      <c r="CP1720" s="30"/>
      <c r="CQ1720" s="30"/>
      <c r="CR1720" s="30"/>
      <c r="CS1720" s="30"/>
      <c r="CT1720" s="30"/>
      <c r="CU1720" s="30"/>
      <c r="CV1720" s="30"/>
      <c r="CW1720" s="30"/>
      <c r="CX1720" s="30"/>
      <c r="CY1720" s="30"/>
      <c r="CZ1720" s="30"/>
      <c r="DA1720" s="30"/>
      <c r="DB1720" s="30"/>
      <c r="DC1720" s="30"/>
      <c r="DD1720" s="30"/>
      <c r="DE1720" s="30"/>
      <c r="DF1720" s="30"/>
      <c r="DG1720" s="30"/>
      <c r="DH1720" s="30"/>
      <c r="DI1720" s="30"/>
      <c r="DJ1720" s="30"/>
      <c r="DK1720" s="30"/>
      <c r="DL1720" s="30"/>
      <c r="DM1720" s="30"/>
      <c r="DN1720" s="30"/>
      <c r="DO1720" s="30"/>
      <c r="DP1720" s="30"/>
      <c r="DQ1720" s="30"/>
      <c r="DR1720" s="30"/>
      <c r="DS1720" s="30"/>
      <c r="DT1720" s="30"/>
      <c r="DU1720" s="30"/>
      <c r="DV1720" s="30"/>
      <c r="DW1720" s="30"/>
      <c r="DX1720" s="30"/>
      <c r="DY1720" s="30"/>
      <c r="DZ1720" s="30"/>
    </row>
    <row r="1721">
      <c r="A1721" s="30"/>
      <c r="B1721" s="42"/>
      <c r="C1721" s="43"/>
      <c r="D1721" s="30"/>
      <c r="E1721" s="28"/>
      <c r="F1721" s="30"/>
      <c r="G1721" s="30"/>
      <c r="H1721" s="30"/>
      <c r="I1721" s="30"/>
      <c r="J1721" s="28"/>
      <c r="K1721" s="30"/>
      <c r="L1721" s="30"/>
      <c r="M1721" s="30"/>
      <c r="N1721" s="30"/>
      <c r="O1721" s="28"/>
      <c r="P1721" s="30"/>
      <c r="Q1721" s="30"/>
      <c r="R1721" s="30"/>
      <c r="S1721" s="36"/>
      <c r="T1721" s="30"/>
      <c r="U1721" s="36"/>
      <c r="V1721" s="30"/>
      <c r="W1721" s="28"/>
      <c r="X1721" s="30"/>
      <c r="Y1721" s="30"/>
      <c r="Z1721" s="30"/>
      <c r="AA1721" s="30"/>
      <c r="AB1721" s="30"/>
      <c r="AC1721" s="28"/>
      <c r="AD1721" s="30"/>
      <c r="AE1721" s="30"/>
      <c r="AF1721" s="30"/>
      <c r="AG1721" s="29"/>
      <c r="AH1721" s="30"/>
      <c r="AI1721" s="36"/>
      <c r="AJ1721" s="30"/>
      <c r="AK1721" s="29"/>
      <c r="AL1721" s="30"/>
      <c r="AM1721" s="30"/>
      <c r="AN1721" s="30"/>
      <c r="AO1721" s="30"/>
      <c r="AP1721" s="30"/>
      <c r="AQ1721" s="38"/>
      <c r="AR1721" s="30"/>
      <c r="AS1721" s="30"/>
      <c r="AT1721" s="29"/>
      <c r="AU1721" s="30"/>
      <c r="AV1721" s="30"/>
      <c r="AW1721" s="30"/>
      <c r="AX1721" s="29"/>
      <c r="AY1721" s="39"/>
      <c r="AZ1721" s="30"/>
      <c r="BA1721" s="30"/>
      <c r="BB1721" s="29"/>
      <c r="BC1721" s="52"/>
      <c r="BD1721" s="30"/>
      <c r="BE1721" s="29"/>
      <c r="BF1721" s="30"/>
      <c r="BG1721" s="30"/>
      <c r="BH1721" s="30"/>
      <c r="BI1721" s="30"/>
      <c r="BJ1721" s="30"/>
      <c r="BK1721" s="30"/>
      <c r="BL1721" s="30"/>
      <c r="BM1721" s="30"/>
      <c r="BN1721" s="30"/>
      <c r="BO1721" s="30"/>
      <c r="BP1721" s="30"/>
      <c r="BQ1721" s="30"/>
      <c r="BR1721" s="30"/>
      <c r="BS1721" s="30"/>
      <c r="BT1721" s="30"/>
      <c r="BU1721" s="30"/>
      <c r="BV1721" s="30"/>
      <c r="BW1721" s="30"/>
      <c r="BX1721" s="30"/>
      <c r="BY1721" s="30"/>
      <c r="BZ1721" s="30"/>
      <c r="CA1721" s="30"/>
      <c r="CB1721" s="30"/>
      <c r="CC1721" s="30"/>
      <c r="CD1721" s="30"/>
      <c r="CE1721" s="30"/>
      <c r="CF1721" s="30"/>
      <c r="CG1721" s="30"/>
      <c r="CH1721" s="30"/>
      <c r="CI1721" s="30"/>
      <c r="CJ1721" s="30"/>
      <c r="CK1721" s="30"/>
      <c r="CL1721" s="30"/>
      <c r="CM1721" s="30"/>
      <c r="CN1721" s="30"/>
      <c r="CO1721" s="30"/>
      <c r="CP1721" s="30"/>
      <c r="CQ1721" s="30"/>
      <c r="CR1721" s="30"/>
      <c r="CS1721" s="30"/>
      <c r="CT1721" s="30"/>
      <c r="CU1721" s="30"/>
      <c r="CV1721" s="30"/>
      <c r="CW1721" s="30"/>
      <c r="CX1721" s="30"/>
      <c r="CY1721" s="30"/>
      <c r="CZ1721" s="30"/>
      <c r="DA1721" s="30"/>
      <c r="DB1721" s="30"/>
      <c r="DC1721" s="30"/>
      <c r="DD1721" s="30"/>
      <c r="DE1721" s="30"/>
      <c r="DF1721" s="30"/>
      <c r="DG1721" s="30"/>
      <c r="DH1721" s="30"/>
      <c r="DI1721" s="30"/>
      <c r="DJ1721" s="30"/>
      <c r="DK1721" s="30"/>
      <c r="DL1721" s="30"/>
      <c r="DM1721" s="30"/>
      <c r="DN1721" s="30"/>
      <c r="DO1721" s="30"/>
      <c r="DP1721" s="30"/>
      <c r="DQ1721" s="30"/>
      <c r="DR1721" s="30"/>
      <c r="DS1721" s="30"/>
      <c r="DT1721" s="30"/>
      <c r="DU1721" s="30"/>
      <c r="DV1721" s="30"/>
      <c r="DW1721" s="30"/>
      <c r="DX1721" s="30"/>
      <c r="DY1721" s="30"/>
      <c r="DZ1721" s="30"/>
    </row>
    <row r="1722">
      <c r="A1722" s="30"/>
      <c r="B1722" s="42"/>
      <c r="C1722" s="43"/>
      <c r="D1722" s="30"/>
      <c r="E1722" s="28"/>
      <c r="F1722" s="30"/>
      <c r="G1722" s="30"/>
      <c r="H1722" s="30"/>
      <c r="I1722" s="30"/>
      <c r="J1722" s="28"/>
      <c r="K1722" s="30"/>
      <c r="L1722" s="30"/>
      <c r="M1722" s="30"/>
      <c r="N1722" s="30"/>
      <c r="O1722" s="28"/>
      <c r="P1722" s="30"/>
      <c r="Q1722" s="30"/>
      <c r="R1722" s="30"/>
      <c r="S1722" s="36"/>
      <c r="T1722" s="30"/>
      <c r="U1722" s="36"/>
      <c r="V1722" s="30"/>
      <c r="W1722" s="28"/>
      <c r="X1722" s="30"/>
      <c r="Y1722" s="30"/>
      <c r="Z1722" s="30"/>
      <c r="AA1722" s="30"/>
      <c r="AB1722" s="30"/>
      <c r="AC1722" s="28"/>
      <c r="AD1722" s="30"/>
      <c r="AE1722" s="30"/>
      <c r="AF1722" s="30"/>
      <c r="AG1722" s="29"/>
      <c r="AH1722" s="30"/>
      <c r="AI1722" s="36"/>
      <c r="AJ1722" s="30"/>
      <c r="AK1722" s="29"/>
      <c r="AL1722" s="30"/>
      <c r="AM1722" s="30"/>
      <c r="AN1722" s="30"/>
      <c r="AO1722" s="30"/>
      <c r="AP1722" s="30"/>
      <c r="AQ1722" s="38"/>
      <c r="AR1722" s="30"/>
      <c r="AS1722" s="30"/>
      <c r="AT1722" s="29"/>
      <c r="AU1722" s="30"/>
      <c r="AV1722" s="30"/>
      <c r="AW1722" s="30"/>
      <c r="AX1722" s="29"/>
      <c r="AY1722" s="39"/>
      <c r="AZ1722" s="30"/>
      <c r="BA1722" s="30"/>
      <c r="BB1722" s="29"/>
      <c r="BC1722" s="52"/>
      <c r="BD1722" s="30"/>
      <c r="BE1722" s="29"/>
      <c r="BF1722" s="30"/>
      <c r="BG1722" s="30"/>
      <c r="BH1722" s="30"/>
      <c r="BI1722" s="30"/>
      <c r="BJ1722" s="30"/>
      <c r="BK1722" s="30"/>
      <c r="BL1722" s="30"/>
      <c r="BM1722" s="30"/>
      <c r="BN1722" s="30"/>
      <c r="BO1722" s="30"/>
      <c r="BP1722" s="30"/>
      <c r="BQ1722" s="30"/>
      <c r="BR1722" s="30"/>
      <c r="BS1722" s="30"/>
      <c r="BT1722" s="30"/>
      <c r="BU1722" s="30"/>
      <c r="BV1722" s="30"/>
      <c r="BW1722" s="30"/>
      <c r="BX1722" s="30"/>
      <c r="BY1722" s="30"/>
      <c r="BZ1722" s="30"/>
      <c r="CA1722" s="30"/>
      <c r="CB1722" s="30"/>
      <c r="CC1722" s="30"/>
      <c r="CD1722" s="30"/>
      <c r="CE1722" s="30"/>
      <c r="CF1722" s="30"/>
      <c r="CG1722" s="30"/>
      <c r="CH1722" s="30"/>
      <c r="CI1722" s="30"/>
      <c r="CJ1722" s="30"/>
      <c r="CK1722" s="30"/>
      <c r="CL1722" s="30"/>
      <c r="CM1722" s="30"/>
      <c r="CN1722" s="30"/>
      <c r="CO1722" s="30"/>
      <c r="CP1722" s="30"/>
      <c r="CQ1722" s="30"/>
      <c r="CR1722" s="30"/>
      <c r="CS1722" s="30"/>
      <c r="CT1722" s="30"/>
      <c r="CU1722" s="30"/>
      <c r="CV1722" s="30"/>
      <c r="CW1722" s="30"/>
      <c r="CX1722" s="30"/>
      <c r="CY1722" s="30"/>
      <c r="CZ1722" s="30"/>
      <c r="DA1722" s="30"/>
      <c r="DB1722" s="30"/>
      <c r="DC1722" s="30"/>
      <c r="DD1722" s="30"/>
      <c r="DE1722" s="30"/>
      <c r="DF1722" s="30"/>
      <c r="DG1722" s="30"/>
      <c r="DH1722" s="30"/>
      <c r="DI1722" s="30"/>
      <c r="DJ1722" s="30"/>
      <c r="DK1722" s="30"/>
      <c r="DL1722" s="30"/>
      <c r="DM1722" s="30"/>
      <c r="DN1722" s="30"/>
      <c r="DO1722" s="30"/>
      <c r="DP1722" s="30"/>
      <c r="DQ1722" s="30"/>
      <c r="DR1722" s="30"/>
      <c r="DS1722" s="30"/>
      <c r="DT1722" s="30"/>
      <c r="DU1722" s="30"/>
      <c r="DV1722" s="30"/>
      <c r="DW1722" s="30"/>
      <c r="DX1722" s="30"/>
      <c r="DY1722" s="30"/>
      <c r="DZ1722" s="30"/>
    </row>
    <row r="1723">
      <c r="A1723" s="30"/>
      <c r="B1723" s="42"/>
      <c r="C1723" s="43"/>
      <c r="D1723" s="30"/>
      <c r="E1723" s="28"/>
      <c r="F1723" s="30"/>
      <c r="G1723" s="30"/>
      <c r="H1723" s="30"/>
      <c r="I1723" s="30"/>
      <c r="J1723" s="28"/>
      <c r="K1723" s="30"/>
      <c r="L1723" s="30"/>
      <c r="M1723" s="30"/>
      <c r="N1723" s="30"/>
      <c r="O1723" s="28"/>
      <c r="P1723" s="30"/>
      <c r="Q1723" s="30"/>
      <c r="R1723" s="30"/>
      <c r="S1723" s="36"/>
      <c r="T1723" s="30"/>
      <c r="U1723" s="36"/>
      <c r="V1723" s="30"/>
      <c r="W1723" s="28"/>
      <c r="X1723" s="30"/>
      <c r="Y1723" s="30"/>
      <c r="Z1723" s="30"/>
      <c r="AA1723" s="30"/>
      <c r="AB1723" s="30"/>
      <c r="AC1723" s="28"/>
      <c r="AD1723" s="30"/>
      <c r="AE1723" s="30"/>
      <c r="AF1723" s="30"/>
      <c r="AG1723" s="29"/>
      <c r="AH1723" s="30"/>
      <c r="AI1723" s="36"/>
      <c r="AJ1723" s="30"/>
      <c r="AK1723" s="29"/>
      <c r="AL1723" s="30"/>
      <c r="AM1723" s="30"/>
      <c r="AN1723" s="30"/>
      <c r="AO1723" s="30"/>
      <c r="AP1723" s="30"/>
      <c r="AQ1723" s="38"/>
      <c r="AR1723" s="30"/>
      <c r="AS1723" s="30"/>
      <c r="AT1723" s="29"/>
      <c r="AU1723" s="30"/>
      <c r="AV1723" s="30"/>
      <c r="AW1723" s="30"/>
      <c r="AX1723" s="29"/>
      <c r="AY1723" s="39"/>
      <c r="AZ1723" s="30"/>
      <c r="BA1723" s="30"/>
      <c r="BB1723" s="29"/>
      <c r="BC1723" s="52"/>
      <c r="BD1723" s="30"/>
      <c r="BE1723" s="29"/>
      <c r="BF1723" s="30"/>
      <c r="BG1723" s="30"/>
      <c r="BH1723" s="30"/>
      <c r="BI1723" s="30"/>
      <c r="BJ1723" s="30"/>
      <c r="BK1723" s="30"/>
      <c r="BL1723" s="30"/>
      <c r="BM1723" s="30"/>
      <c r="BN1723" s="30"/>
      <c r="BO1723" s="30"/>
      <c r="BP1723" s="30"/>
      <c r="BQ1723" s="30"/>
      <c r="BR1723" s="30"/>
      <c r="BS1723" s="30"/>
      <c r="BT1723" s="30"/>
      <c r="BU1723" s="30"/>
      <c r="BV1723" s="30"/>
      <c r="BW1723" s="30"/>
      <c r="BX1723" s="30"/>
      <c r="BY1723" s="30"/>
      <c r="BZ1723" s="30"/>
      <c r="CA1723" s="30"/>
      <c r="CB1723" s="30"/>
      <c r="CC1723" s="30"/>
      <c r="CD1723" s="30"/>
      <c r="CE1723" s="30"/>
      <c r="CF1723" s="30"/>
      <c r="CG1723" s="30"/>
      <c r="CH1723" s="30"/>
      <c r="CI1723" s="30"/>
      <c r="CJ1723" s="30"/>
      <c r="CK1723" s="30"/>
      <c r="CL1723" s="30"/>
      <c r="CM1723" s="30"/>
      <c r="CN1723" s="30"/>
      <c r="CO1723" s="30"/>
      <c r="CP1723" s="30"/>
      <c r="CQ1723" s="30"/>
      <c r="CR1723" s="30"/>
      <c r="CS1723" s="30"/>
      <c r="CT1723" s="30"/>
      <c r="CU1723" s="30"/>
      <c r="CV1723" s="30"/>
      <c r="CW1723" s="30"/>
      <c r="CX1723" s="30"/>
      <c r="CY1723" s="30"/>
      <c r="CZ1723" s="30"/>
      <c r="DA1723" s="30"/>
      <c r="DB1723" s="30"/>
      <c r="DC1723" s="30"/>
      <c r="DD1723" s="30"/>
      <c r="DE1723" s="30"/>
      <c r="DF1723" s="30"/>
      <c r="DG1723" s="30"/>
      <c r="DH1723" s="30"/>
      <c r="DI1723" s="30"/>
      <c r="DJ1723" s="30"/>
      <c r="DK1723" s="30"/>
      <c r="DL1723" s="30"/>
      <c r="DM1723" s="30"/>
      <c r="DN1723" s="30"/>
      <c r="DO1723" s="30"/>
      <c r="DP1723" s="30"/>
      <c r="DQ1723" s="30"/>
      <c r="DR1723" s="30"/>
      <c r="DS1723" s="30"/>
      <c r="DT1723" s="30"/>
      <c r="DU1723" s="30"/>
      <c r="DV1723" s="30"/>
      <c r="DW1723" s="30"/>
      <c r="DX1723" s="30"/>
      <c r="DY1723" s="30"/>
      <c r="DZ1723" s="30"/>
    </row>
    <row r="1724">
      <c r="A1724" s="30"/>
      <c r="B1724" s="42"/>
      <c r="C1724" s="43"/>
      <c r="D1724" s="30"/>
      <c r="E1724" s="28"/>
      <c r="F1724" s="30"/>
      <c r="G1724" s="30"/>
      <c r="H1724" s="30"/>
      <c r="I1724" s="30"/>
      <c r="J1724" s="28"/>
      <c r="K1724" s="30"/>
      <c r="L1724" s="30"/>
      <c r="M1724" s="30"/>
      <c r="N1724" s="30"/>
      <c r="O1724" s="28"/>
      <c r="P1724" s="30"/>
      <c r="Q1724" s="30"/>
      <c r="R1724" s="30"/>
      <c r="S1724" s="36"/>
      <c r="T1724" s="30"/>
      <c r="U1724" s="36"/>
      <c r="V1724" s="30"/>
      <c r="W1724" s="28"/>
      <c r="X1724" s="30"/>
      <c r="Y1724" s="30"/>
      <c r="Z1724" s="30"/>
      <c r="AA1724" s="30"/>
      <c r="AB1724" s="30"/>
      <c r="AC1724" s="28"/>
      <c r="AD1724" s="30"/>
      <c r="AE1724" s="30"/>
      <c r="AF1724" s="30"/>
      <c r="AG1724" s="29"/>
      <c r="AH1724" s="30"/>
      <c r="AI1724" s="36"/>
      <c r="AJ1724" s="30"/>
      <c r="AK1724" s="29"/>
      <c r="AL1724" s="30"/>
      <c r="AM1724" s="30"/>
      <c r="AN1724" s="30"/>
      <c r="AO1724" s="30"/>
      <c r="AP1724" s="30"/>
      <c r="AQ1724" s="38"/>
      <c r="AR1724" s="30"/>
      <c r="AS1724" s="30"/>
      <c r="AT1724" s="29"/>
      <c r="AU1724" s="30"/>
      <c r="AV1724" s="30"/>
      <c r="AW1724" s="30"/>
      <c r="AX1724" s="29"/>
      <c r="AY1724" s="39"/>
      <c r="AZ1724" s="30"/>
      <c r="BA1724" s="30"/>
      <c r="BB1724" s="29"/>
      <c r="BC1724" s="52"/>
      <c r="BD1724" s="30"/>
      <c r="BE1724" s="29"/>
      <c r="BF1724" s="30"/>
      <c r="BG1724" s="30"/>
      <c r="BH1724" s="30"/>
      <c r="BI1724" s="30"/>
      <c r="BJ1724" s="30"/>
      <c r="BK1724" s="30"/>
      <c r="BL1724" s="30"/>
      <c r="BM1724" s="30"/>
      <c r="BN1724" s="30"/>
      <c r="BO1724" s="30"/>
      <c r="BP1724" s="30"/>
      <c r="BQ1724" s="30"/>
      <c r="BR1724" s="30"/>
      <c r="BS1724" s="30"/>
      <c r="BT1724" s="30"/>
      <c r="BU1724" s="30"/>
      <c r="BV1724" s="30"/>
      <c r="BW1724" s="30"/>
      <c r="BX1724" s="30"/>
      <c r="BY1724" s="30"/>
      <c r="BZ1724" s="30"/>
      <c r="CA1724" s="30"/>
      <c r="CB1724" s="30"/>
      <c r="CC1724" s="30"/>
      <c r="CD1724" s="30"/>
      <c r="CE1724" s="30"/>
      <c r="CF1724" s="30"/>
      <c r="CG1724" s="30"/>
      <c r="CH1724" s="30"/>
      <c r="CI1724" s="30"/>
      <c r="CJ1724" s="30"/>
      <c r="CK1724" s="30"/>
      <c r="CL1724" s="30"/>
      <c r="CM1724" s="30"/>
      <c r="CN1724" s="30"/>
      <c r="CO1724" s="30"/>
      <c r="CP1724" s="30"/>
      <c r="CQ1724" s="30"/>
      <c r="CR1724" s="30"/>
      <c r="CS1724" s="30"/>
      <c r="CT1724" s="30"/>
      <c r="CU1724" s="30"/>
      <c r="CV1724" s="30"/>
      <c r="CW1724" s="30"/>
      <c r="CX1724" s="30"/>
      <c r="CY1724" s="30"/>
      <c r="CZ1724" s="30"/>
      <c r="DA1724" s="30"/>
      <c r="DB1724" s="30"/>
      <c r="DC1724" s="30"/>
      <c r="DD1724" s="30"/>
      <c r="DE1724" s="30"/>
      <c r="DF1724" s="30"/>
      <c r="DG1724" s="30"/>
      <c r="DH1724" s="30"/>
      <c r="DI1724" s="30"/>
      <c r="DJ1724" s="30"/>
      <c r="DK1724" s="30"/>
      <c r="DL1724" s="30"/>
      <c r="DM1724" s="30"/>
      <c r="DN1724" s="30"/>
      <c r="DO1724" s="30"/>
      <c r="DP1724" s="30"/>
      <c r="DQ1724" s="30"/>
      <c r="DR1724" s="30"/>
      <c r="DS1724" s="30"/>
      <c r="DT1724" s="30"/>
      <c r="DU1724" s="30"/>
      <c r="DV1724" s="30"/>
      <c r="DW1724" s="30"/>
      <c r="DX1724" s="30"/>
      <c r="DY1724" s="30"/>
      <c r="DZ1724" s="30"/>
    </row>
    <row r="1725">
      <c r="A1725" s="30"/>
      <c r="B1725" s="42"/>
      <c r="C1725" s="43"/>
      <c r="D1725" s="30"/>
      <c r="E1725" s="28"/>
      <c r="F1725" s="30"/>
      <c r="G1725" s="30"/>
      <c r="H1725" s="30"/>
      <c r="I1725" s="30"/>
      <c r="J1725" s="28"/>
      <c r="K1725" s="30"/>
      <c r="L1725" s="30"/>
      <c r="M1725" s="30"/>
      <c r="N1725" s="30"/>
      <c r="O1725" s="28"/>
      <c r="P1725" s="30"/>
      <c r="Q1725" s="30"/>
      <c r="R1725" s="30"/>
      <c r="S1725" s="36"/>
      <c r="T1725" s="30"/>
      <c r="U1725" s="36"/>
      <c r="V1725" s="30"/>
      <c r="W1725" s="28"/>
      <c r="X1725" s="30"/>
      <c r="Y1725" s="30"/>
      <c r="Z1725" s="30"/>
      <c r="AA1725" s="30"/>
      <c r="AB1725" s="30"/>
      <c r="AC1725" s="28"/>
      <c r="AD1725" s="30"/>
      <c r="AE1725" s="30"/>
      <c r="AF1725" s="30"/>
      <c r="AG1725" s="29"/>
      <c r="AH1725" s="30"/>
      <c r="AI1725" s="36"/>
      <c r="AJ1725" s="30"/>
      <c r="AK1725" s="29"/>
      <c r="AL1725" s="30"/>
      <c r="AM1725" s="30"/>
      <c r="AN1725" s="30"/>
      <c r="AO1725" s="30"/>
      <c r="AP1725" s="30"/>
      <c r="AQ1725" s="38"/>
      <c r="AR1725" s="30"/>
      <c r="AS1725" s="30"/>
      <c r="AT1725" s="29"/>
      <c r="AU1725" s="30"/>
      <c r="AV1725" s="30"/>
      <c r="AW1725" s="30"/>
      <c r="AX1725" s="29"/>
      <c r="AY1725" s="39"/>
      <c r="AZ1725" s="30"/>
      <c r="BA1725" s="30"/>
      <c r="BB1725" s="29"/>
      <c r="BC1725" s="52"/>
      <c r="BD1725" s="30"/>
      <c r="BE1725" s="29"/>
      <c r="BF1725" s="30"/>
      <c r="BG1725" s="30"/>
      <c r="BH1725" s="30"/>
      <c r="BI1725" s="30"/>
      <c r="BJ1725" s="30"/>
      <c r="BK1725" s="30"/>
      <c r="BL1725" s="30"/>
      <c r="BM1725" s="30"/>
      <c r="BN1725" s="30"/>
      <c r="BO1725" s="30"/>
      <c r="BP1725" s="30"/>
      <c r="BQ1725" s="30"/>
      <c r="BR1725" s="30"/>
      <c r="BS1725" s="30"/>
      <c r="BT1725" s="30"/>
      <c r="BU1725" s="30"/>
      <c r="BV1725" s="30"/>
      <c r="BW1725" s="30"/>
      <c r="BX1725" s="30"/>
      <c r="BY1725" s="30"/>
      <c r="BZ1725" s="30"/>
      <c r="CA1725" s="30"/>
      <c r="CB1725" s="30"/>
      <c r="CC1725" s="30"/>
      <c r="CD1725" s="30"/>
      <c r="CE1725" s="30"/>
      <c r="CF1725" s="30"/>
      <c r="CG1725" s="30"/>
      <c r="CH1725" s="30"/>
      <c r="CI1725" s="30"/>
      <c r="CJ1725" s="30"/>
      <c r="CK1725" s="30"/>
      <c r="CL1725" s="30"/>
      <c r="CM1725" s="30"/>
      <c r="CN1725" s="30"/>
      <c r="CO1725" s="30"/>
      <c r="CP1725" s="30"/>
      <c r="CQ1725" s="30"/>
      <c r="CR1725" s="30"/>
      <c r="CS1725" s="30"/>
      <c r="CT1725" s="30"/>
      <c r="CU1725" s="30"/>
      <c r="CV1725" s="30"/>
      <c r="CW1725" s="30"/>
      <c r="CX1725" s="30"/>
      <c r="CY1725" s="30"/>
      <c r="CZ1725" s="30"/>
      <c r="DA1725" s="30"/>
      <c r="DB1725" s="30"/>
      <c r="DC1725" s="30"/>
      <c r="DD1725" s="30"/>
      <c r="DE1725" s="30"/>
      <c r="DF1725" s="30"/>
      <c r="DG1725" s="30"/>
      <c r="DH1725" s="30"/>
      <c r="DI1725" s="30"/>
      <c r="DJ1725" s="30"/>
      <c r="DK1725" s="30"/>
      <c r="DL1725" s="30"/>
      <c r="DM1725" s="30"/>
      <c r="DN1725" s="30"/>
      <c r="DO1725" s="30"/>
      <c r="DP1725" s="30"/>
      <c r="DQ1725" s="30"/>
      <c r="DR1725" s="30"/>
      <c r="DS1725" s="30"/>
      <c r="DT1725" s="30"/>
      <c r="DU1725" s="30"/>
      <c r="DV1725" s="30"/>
      <c r="DW1725" s="30"/>
      <c r="DX1725" s="30"/>
      <c r="DY1725" s="30"/>
      <c r="DZ1725" s="30"/>
    </row>
    <row r="1726">
      <c r="A1726" s="30"/>
      <c r="B1726" s="42"/>
      <c r="C1726" s="43"/>
      <c r="D1726" s="30"/>
      <c r="E1726" s="28"/>
      <c r="F1726" s="30"/>
      <c r="G1726" s="30"/>
      <c r="H1726" s="30"/>
      <c r="I1726" s="30"/>
      <c r="J1726" s="28"/>
      <c r="K1726" s="30"/>
      <c r="L1726" s="30"/>
      <c r="M1726" s="30"/>
      <c r="N1726" s="30"/>
      <c r="O1726" s="28"/>
      <c r="P1726" s="30"/>
      <c r="Q1726" s="30"/>
      <c r="R1726" s="30"/>
      <c r="S1726" s="36"/>
      <c r="T1726" s="30"/>
      <c r="U1726" s="36"/>
      <c r="V1726" s="30"/>
      <c r="W1726" s="28"/>
      <c r="X1726" s="30"/>
      <c r="Y1726" s="30"/>
      <c r="Z1726" s="30"/>
      <c r="AA1726" s="30"/>
      <c r="AB1726" s="30"/>
      <c r="AC1726" s="28"/>
      <c r="AD1726" s="30"/>
      <c r="AE1726" s="30"/>
      <c r="AF1726" s="30"/>
      <c r="AG1726" s="29"/>
      <c r="AH1726" s="30"/>
      <c r="AI1726" s="36"/>
      <c r="AJ1726" s="30"/>
      <c r="AK1726" s="29"/>
      <c r="AL1726" s="30"/>
      <c r="AM1726" s="30"/>
      <c r="AN1726" s="30"/>
      <c r="AO1726" s="30"/>
      <c r="AP1726" s="30"/>
      <c r="AQ1726" s="38"/>
      <c r="AR1726" s="30"/>
      <c r="AS1726" s="30"/>
      <c r="AT1726" s="29"/>
      <c r="AU1726" s="30"/>
      <c r="AV1726" s="30"/>
      <c r="AW1726" s="30"/>
      <c r="AX1726" s="29"/>
      <c r="AY1726" s="39"/>
      <c r="AZ1726" s="30"/>
      <c r="BA1726" s="30"/>
      <c r="BB1726" s="29"/>
      <c r="BC1726" s="52"/>
      <c r="BD1726" s="30"/>
      <c r="BE1726" s="29"/>
      <c r="BF1726" s="30"/>
      <c r="BG1726" s="30"/>
      <c r="BH1726" s="30"/>
      <c r="BI1726" s="30"/>
      <c r="BJ1726" s="30"/>
      <c r="BK1726" s="30"/>
      <c r="BL1726" s="30"/>
      <c r="BM1726" s="30"/>
      <c r="BN1726" s="30"/>
      <c r="BO1726" s="30"/>
      <c r="BP1726" s="30"/>
      <c r="BQ1726" s="30"/>
      <c r="BR1726" s="30"/>
      <c r="BS1726" s="30"/>
      <c r="BT1726" s="30"/>
      <c r="BU1726" s="30"/>
      <c r="BV1726" s="30"/>
      <c r="BW1726" s="30"/>
      <c r="BX1726" s="30"/>
      <c r="BY1726" s="30"/>
      <c r="BZ1726" s="30"/>
      <c r="CA1726" s="30"/>
      <c r="CB1726" s="30"/>
      <c r="CC1726" s="30"/>
      <c r="CD1726" s="30"/>
      <c r="CE1726" s="30"/>
      <c r="CF1726" s="30"/>
      <c r="CG1726" s="30"/>
      <c r="CH1726" s="30"/>
      <c r="CI1726" s="30"/>
      <c r="CJ1726" s="30"/>
      <c r="CK1726" s="30"/>
      <c r="CL1726" s="30"/>
      <c r="CM1726" s="30"/>
      <c r="CN1726" s="30"/>
      <c r="CO1726" s="30"/>
      <c r="CP1726" s="30"/>
      <c r="CQ1726" s="30"/>
      <c r="CR1726" s="30"/>
      <c r="CS1726" s="30"/>
      <c r="CT1726" s="30"/>
      <c r="CU1726" s="30"/>
      <c r="CV1726" s="30"/>
      <c r="CW1726" s="30"/>
      <c r="CX1726" s="30"/>
      <c r="CY1726" s="30"/>
      <c r="CZ1726" s="30"/>
      <c r="DA1726" s="30"/>
      <c r="DB1726" s="30"/>
      <c r="DC1726" s="30"/>
      <c r="DD1726" s="30"/>
      <c r="DE1726" s="30"/>
      <c r="DF1726" s="30"/>
      <c r="DG1726" s="30"/>
      <c r="DH1726" s="30"/>
      <c r="DI1726" s="30"/>
      <c r="DJ1726" s="30"/>
      <c r="DK1726" s="30"/>
      <c r="DL1726" s="30"/>
      <c r="DM1726" s="30"/>
      <c r="DN1726" s="30"/>
      <c r="DO1726" s="30"/>
      <c r="DP1726" s="30"/>
      <c r="DQ1726" s="30"/>
      <c r="DR1726" s="30"/>
      <c r="DS1726" s="30"/>
      <c r="DT1726" s="30"/>
      <c r="DU1726" s="30"/>
      <c r="DV1726" s="30"/>
      <c r="DW1726" s="30"/>
      <c r="DX1726" s="30"/>
      <c r="DY1726" s="30"/>
      <c r="DZ1726" s="30"/>
    </row>
    <row r="1727">
      <c r="A1727" s="30"/>
      <c r="B1727" s="42"/>
      <c r="C1727" s="43"/>
      <c r="D1727" s="30"/>
      <c r="E1727" s="28"/>
      <c r="F1727" s="30"/>
      <c r="G1727" s="30"/>
      <c r="H1727" s="30"/>
      <c r="I1727" s="30"/>
      <c r="J1727" s="28"/>
      <c r="K1727" s="30"/>
      <c r="L1727" s="30"/>
      <c r="M1727" s="30"/>
      <c r="N1727" s="30"/>
      <c r="O1727" s="28"/>
      <c r="P1727" s="30"/>
      <c r="Q1727" s="30"/>
      <c r="R1727" s="30"/>
      <c r="S1727" s="36"/>
      <c r="T1727" s="30"/>
      <c r="U1727" s="36"/>
      <c r="V1727" s="30"/>
      <c r="W1727" s="28"/>
      <c r="X1727" s="30"/>
      <c r="Y1727" s="30"/>
      <c r="Z1727" s="30"/>
      <c r="AA1727" s="30"/>
      <c r="AB1727" s="30"/>
      <c r="AC1727" s="28"/>
      <c r="AD1727" s="30"/>
      <c r="AE1727" s="30"/>
      <c r="AF1727" s="30"/>
      <c r="AG1727" s="29"/>
      <c r="AH1727" s="30"/>
      <c r="AI1727" s="36"/>
      <c r="AJ1727" s="30"/>
      <c r="AK1727" s="29"/>
      <c r="AL1727" s="30"/>
      <c r="AM1727" s="30"/>
      <c r="AN1727" s="30"/>
      <c r="AO1727" s="30"/>
      <c r="AP1727" s="30"/>
      <c r="AQ1727" s="38"/>
      <c r="AR1727" s="30"/>
      <c r="AS1727" s="30"/>
      <c r="AT1727" s="29"/>
      <c r="AU1727" s="30"/>
      <c r="AV1727" s="30"/>
      <c r="AW1727" s="30"/>
      <c r="AX1727" s="29"/>
      <c r="AY1727" s="39"/>
      <c r="AZ1727" s="30"/>
      <c r="BA1727" s="30"/>
      <c r="BB1727" s="29"/>
      <c r="BC1727" s="52"/>
      <c r="BD1727" s="30"/>
      <c r="BE1727" s="29"/>
      <c r="BF1727" s="30"/>
      <c r="BG1727" s="30"/>
      <c r="BH1727" s="30"/>
      <c r="BI1727" s="30"/>
      <c r="BJ1727" s="30"/>
      <c r="BK1727" s="30"/>
      <c r="BL1727" s="30"/>
      <c r="BM1727" s="30"/>
      <c r="BN1727" s="30"/>
      <c r="BO1727" s="30"/>
      <c r="BP1727" s="30"/>
      <c r="BQ1727" s="30"/>
      <c r="BR1727" s="30"/>
      <c r="BS1727" s="30"/>
      <c r="BT1727" s="30"/>
      <c r="BU1727" s="30"/>
      <c r="BV1727" s="30"/>
      <c r="BW1727" s="30"/>
      <c r="BX1727" s="30"/>
      <c r="BY1727" s="30"/>
      <c r="BZ1727" s="30"/>
      <c r="CA1727" s="30"/>
      <c r="CB1727" s="30"/>
      <c r="CC1727" s="30"/>
      <c r="CD1727" s="30"/>
      <c r="CE1727" s="30"/>
      <c r="CF1727" s="30"/>
      <c r="CG1727" s="30"/>
      <c r="CH1727" s="30"/>
      <c r="CI1727" s="30"/>
      <c r="CJ1727" s="30"/>
      <c r="CK1727" s="30"/>
      <c r="CL1727" s="30"/>
      <c r="CM1727" s="30"/>
      <c r="CN1727" s="30"/>
      <c r="CO1727" s="30"/>
      <c r="CP1727" s="30"/>
      <c r="CQ1727" s="30"/>
      <c r="CR1727" s="30"/>
      <c r="CS1727" s="30"/>
      <c r="CT1727" s="30"/>
      <c r="CU1727" s="30"/>
      <c r="CV1727" s="30"/>
      <c r="CW1727" s="30"/>
      <c r="CX1727" s="30"/>
      <c r="CY1727" s="30"/>
      <c r="CZ1727" s="30"/>
      <c r="DA1727" s="30"/>
      <c r="DB1727" s="30"/>
      <c r="DC1727" s="30"/>
      <c r="DD1727" s="30"/>
      <c r="DE1727" s="30"/>
      <c r="DF1727" s="30"/>
      <c r="DG1727" s="30"/>
      <c r="DH1727" s="30"/>
      <c r="DI1727" s="30"/>
      <c r="DJ1727" s="30"/>
      <c r="DK1727" s="30"/>
      <c r="DL1727" s="30"/>
      <c r="DM1727" s="30"/>
      <c r="DN1727" s="30"/>
      <c r="DO1727" s="30"/>
      <c r="DP1727" s="30"/>
      <c r="DQ1727" s="30"/>
      <c r="DR1727" s="30"/>
      <c r="DS1727" s="30"/>
      <c r="DT1727" s="30"/>
      <c r="DU1727" s="30"/>
      <c r="DV1727" s="30"/>
      <c r="DW1727" s="30"/>
      <c r="DX1727" s="30"/>
      <c r="DY1727" s="30"/>
      <c r="DZ1727" s="30"/>
    </row>
    <row r="1728">
      <c r="A1728" s="30"/>
      <c r="B1728" s="42"/>
      <c r="C1728" s="43"/>
      <c r="D1728" s="30"/>
      <c r="E1728" s="28"/>
      <c r="F1728" s="30"/>
      <c r="G1728" s="30"/>
      <c r="H1728" s="30"/>
      <c r="I1728" s="30"/>
      <c r="J1728" s="28"/>
      <c r="K1728" s="30"/>
      <c r="L1728" s="30"/>
      <c r="M1728" s="30"/>
      <c r="N1728" s="30"/>
      <c r="O1728" s="28"/>
      <c r="P1728" s="30"/>
      <c r="Q1728" s="30"/>
      <c r="R1728" s="30"/>
      <c r="S1728" s="36"/>
      <c r="T1728" s="30"/>
      <c r="U1728" s="36"/>
      <c r="V1728" s="30"/>
      <c r="W1728" s="28"/>
      <c r="X1728" s="30"/>
      <c r="Y1728" s="30"/>
      <c r="Z1728" s="30"/>
      <c r="AA1728" s="30"/>
      <c r="AB1728" s="30"/>
      <c r="AC1728" s="28"/>
      <c r="AD1728" s="30"/>
      <c r="AE1728" s="30"/>
      <c r="AF1728" s="30"/>
      <c r="AG1728" s="29"/>
      <c r="AH1728" s="30"/>
      <c r="AI1728" s="36"/>
      <c r="AJ1728" s="30"/>
      <c r="AK1728" s="29"/>
      <c r="AL1728" s="30"/>
      <c r="AM1728" s="30"/>
      <c r="AN1728" s="30"/>
      <c r="AO1728" s="30"/>
      <c r="AP1728" s="30"/>
      <c r="AQ1728" s="38"/>
      <c r="AR1728" s="30"/>
      <c r="AS1728" s="30"/>
      <c r="AT1728" s="29"/>
      <c r="AU1728" s="30"/>
      <c r="AV1728" s="30"/>
      <c r="AW1728" s="30"/>
      <c r="AX1728" s="29"/>
      <c r="AY1728" s="39"/>
      <c r="AZ1728" s="30"/>
      <c r="BA1728" s="30"/>
      <c r="BB1728" s="29"/>
      <c r="BC1728" s="52"/>
      <c r="BD1728" s="30"/>
      <c r="BE1728" s="29"/>
      <c r="BF1728" s="30"/>
      <c r="BG1728" s="30"/>
      <c r="BH1728" s="30"/>
      <c r="BI1728" s="30"/>
      <c r="BJ1728" s="30"/>
      <c r="BK1728" s="30"/>
      <c r="BL1728" s="30"/>
      <c r="BM1728" s="30"/>
      <c r="BN1728" s="30"/>
      <c r="BO1728" s="30"/>
      <c r="BP1728" s="30"/>
      <c r="BQ1728" s="30"/>
      <c r="BR1728" s="30"/>
      <c r="BS1728" s="30"/>
      <c r="BT1728" s="30"/>
      <c r="BU1728" s="30"/>
      <c r="BV1728" s="30"/>
      <c r="BW1728" s="30"/>
      <c r="BX1728" s="30"/>
      <c r="BY1728" s="30"/>
      <c r="BZ1728" s="30"/>
      <c r="CA1728" s="30"/>
      <c r="CB1728" s="30"/>
      <c r="CC1728" s="30"/>
      <c r="CD1728" s="30"/>
      <c r="CE1728" s="30"/>
      <c r="CF1728" s="30"/>
      <c r="CG1728" s="30"/>
      <c r="CH1728" s="30"/>
      <c r="CI1728" s="30"/>
      <c r="CJ1728" s="30"/>
      <c r="CK1728" s="30"/>
      <c r="CL1728" s="30"/>
      <c r="CM1728" s="30"/>
      <c r="CN1728" s="30"/>
      <c r="CO1728" s="30"/>
      <c r="CP1728" s="30"/>
      <c r="CQ1728" s="30"/>
      <c r="CR1728" s="30"/>
      <c r="CS1728" s="30"/>
      <c r="CT1728" s="30"/>
      <c r="CU1728" s="30"/>
      <c r="CV1728" s="30"/>
      <c r="CW1728" s="30"/>
      <c r="CX1728" s="30"/>
      <c r="CY1728" s="30"/>
      <c r="CZ1728" s="30"/>
      <c r="DA1728" s="30"/>
      <c r="DB1728" s="30"/>
      <c r="DC1728" s="30"/>
      <c r="DD1728" s="30"/>
      <c r="DE1728" s="30"/>
      <c r="DF1728" s="30"/>
      <c r="DG1728" s="30"/>
      <c r="DH1728" s="30"/>
      <c r="DI1728" s="30"/>
      <c r="DJ1728" s="30"/>
      <c r="DK1728" s="30"/>
      <c r="DL1728" s="30"/>
      <c r="DM1728" s="30"/>
      <c r="DN1728" s="30"/>
      <c r="DO1728" s="30"/>
      <c r="DP1728" s="30"/>
      <c r="DQ1728" s="30"/>
      <c r="DR1728" s="30"/>
      <c r="DS1728" s="30"/>
      <c r="DT1728" s="30"/>
      <c r="DU1728" s="30"/>
      <c r="DV1728" s="30"/>
      <c r="DW1728" s="30"/>
      <c r="DX1728" s="30"/>
      <c r="DY1728" s="30"/>
      <c r="DZ1728" s="30"/>
    </row>
    <row r="1729">
      <c r="A1729" s="30"/>
      <c r="B1729" s="42"/>
      <c r="C1729" s="43"/>
      <c r="D1729" s="30"/>
      <c r="E1729" s="28"/>
      <c r="F1729" s="30"/>
      <c r="G1729" s="30"/>
      <c r="H1729" s="30"/>
      <c r="I1729" s="30"/>
      <c r="J1729" s="28"/>
      <c r="K1729" s="30"/>
      <c r="L1729" s="30"/>
      <c r="M1729" s="30"/>
      <c r="N1729" s="30"/>
      <c r="O1729" s="28"/>
      <c r="P1729" s="30"/>
      <c r="Q1729" s="30"/>
      <c r="R1729" s="30"/>
      <c r="S1729" s="36"/>
      <c r="T1729" s="30"/>
      <c r="U1729" s="36"/>
      <c r="V1729" s="30"/>
      <c r="W1729" s="28"/>
      <c r="X1729" s="30"/>
      <c r="Y1729" s="30"/>
      <c r="Z1729" s="30"/>
      <c r="AA1729" s="30"/>
      <c r="AB1729" s="30"/>
      <c r="AC1729" s="28"/>
      <c r="AD1729" s="30"/>
      <c r="AE1729" s="30"/>
      <c r="AF1729" s="30"/>
      <c r="AG1729" s="29"/>
      <c r="AH1729" s="30"/>
      <c r="AI1729" s="36"/>
      <c r="AJ1729" s="30"/>
      <c r="AK1729" s="29"/>
      <c r="AL1729" s="30"/>
      <c r="AM1729" s="30"/>
      <c r="AN1729" s="30"/>
      <c r="AO1729" s="30"/>
      <c r="AP1729" s="30"/>
      <c r="AQ1729" s="38"/>
      <c r="AR1729" s="30"/>
      <c r="AS1729" s="30"/>
      <c r="AT1729" s="29"/>
      <c r="AU1729" s="30"/>
      <c r="AV1729" s="30"/>
      <c r="AW1729" s="30"/>
      <c r="AX1729" s="29"/>
      <c r="AY1729" s="39"/>
      <c r="AZ1729" s="30"/>
      <c r="BA1729" s="30"/>
      <c r="BB1729" s="29"/>
      <c r="BC1729" s="52"/>
      <c r="BD1729" s="30"/>
      <c r="BE1729" s="29"/>
      <c r="BF1729" s="30"/>
      <c r="BG1729" s="30"/>
      <c r="BH1729" s="30"/>
      <c r="BI1729" s="30"/>
      <c r="BJ1729" s="30"/>
      <c r="BK1729" s="30"/>
      <c r="BL1729" s="30"/>
      <c r="BM1729" s="30"/>
      <c r="BN1729" s="30"/>
      <c r="BO1729" s="30"/>
      <c r="BP1729" s="30"/>
      <c r="BQ1729" s="30"/>
      <c r="BR1729" s="30"/>
      <c r="BS1729" s="30"/>
      <c r="BT1729" s="30"/>
      <c r="BU1729" s="30"/>
      <c r="BV1729" s="30"/>
      <c r="BW1729" s="30"/>
      <c r="BX1729" s="30"/>
      <c r="BY1729" s="30"/>
      <c r="BZ1729" s="30"/>
      <c r="CA1729" s="30"/>
      <c r="CB1729" s="30"/>
      <c r="CC1729" s="30"/>
      <c r="CD1729" s="30"/>
      <c r="CE1729" s="30"/>
      <c r="CF1729" s="30"/>
      <c r="CG1729" s="30"/>
      <c r="CH1729" s="30"/>
      <c r="CI1729" s="30"/>
      <c r="CJ1729" s="30"/>
      <c r="CK1729" s="30"/>
      <c r="CL1729" s="30"/>
      <c r="CM1729" s="30"/>
      <c r="CN1729" s="30"/>
      <c r="CO1729" s="30"/>
      <c r="CP1729" s="30"/>
      <c r="CQ1729" s="30"/>
      <c r="CR1729" s="30"/>
      <c r="CS1729" s="30"/>
      <c r="CT1729" s="30"/>
      <c r="CU1729" s="30"/>
      <c r="CV1729" s="30"/>
      <c r="CW1729" s="30"/>
      <c r="CX1729" s="30"/>
      <c r="CY1729" s="30"/>
      <c r="CZ1729" s="30"/>
      <c r="DA1729" s="30"/>
      <c r="DB1729" s="30"/>
      <c r="DC1729" s="30"/>
      <c r="DD1729" s="30"/>
      <c r="DE1729" s="30"/>
      <c r="DF1729" s="30"/>
      <c r="DG1729" s="30"/>
      <c r="DH1729" s="30"/>
      <c r="DI1729" s="30"/>
      <c r="DJ1729" s="30"/>
      <c r="DK1729" s="30"/>
      <c r="DL1729" s="30"/>
      <c r="DM1729" s="30"/>
      <c r="DN1729" s="30"/>
      <c r="DO1729" s="30"/>
      <c r="DP1729" s="30"/>
      <c r="DQ1729" s="30"/>
      <c r="DR1729" s="30"/>
      <c r="DS1729" s="30"/>
      <c r="DT1729" s="30"/>
      <c r="DU1729" s="30"/>
      <c r="DV1729" s="30"/>
      <c r="DW1729" s="30"/>
      <c r="DX1729" s="30"/>
      <c r="DY1729" s="30"/>
      <c r="DZ1729" s="30"/>
    </row>
    <row r="1730">
      <c r="A1730" s="30"/>
      <c r="B1730" s="42"/>
      <c r="C1730" s="43"/>
      <c r="D1730" s="30"/>
      <c r="E1730" s="28"/>
      <c r="F1730" s="30"/>
      <c r="G1730" s="30"/>
      <c r="H1730" s="30"/>
      <c r="I1730" s="30"/>
      <c r="J1730" s="28"/>
      <c r="K1730" s="30"/>
      <c r="L1730" s="30"/>
      <c r="M1730" s="30"/>
      <c r="N1730" s="30"/>
      <c r="O1730" s="28"/>
      <c r="P1730" s="30"/>
      <c r="Q1730" s="30"/>
      <c r="R1730" s="30"/>
      <c r="S1730" s="36"/>
      <c r="T1730" s="30"/>
      <c r="U1730" s="36"/>
      <c r="V1730" s="30"/>
      <c r="W1730" s="28"/>
      <c r="X1730" s="30"/>
      <c r="Y1730" s="30"/>
      <c r="Z1730" s="30"/>
      <c r="AA1730" s="30"/>
      <c r="AB1730" s="30"/>
      <c r="AC1730" s="28"/>
      <c r="AD1730" s="30"/>
      <c r="AE1730" s="30"/>
      <c r="AF1730" s="30"/>
      <c r="AG1730" s="29"/>
      <c r="AH1730" s="30"/>
      <c r="AI1730" s="36"/>
      <c r="AJ1730" s="30"/>
      <c r="AK1730" s="29"/>
      <c r="AL1730" s="30"/>
      <c r="AM1730" s="30"/>
      <c r="AN1730" s="30"/>
      <c r="AO1730" s="30"/>
      <c r="AP1730" s="30"/>
      <c r="AQ1730" s="38"/>
      <c r="AR1730" s="30"/>
      <c r="AS1730" s="30"/>
      <c r="AT1730" s="29"/>
      <c r="AU1730" s="30"/>
      <c r="AV1730" s="30"/>
      <c r="AW1730" s="30"/>
      <c r="AX1730" s="29"/>
      <c r="AY1730" s="39"/>
      <c r="AZ1730" s="30"/>
      <c r="BA1730" s="30"/>
      <c r="BB1730" s="29"/>
      <c r="BC1730" s="52"/>
      <c r="BD1730" s="30"/>
      <c r="BE1730" s="29"/>
      <c r="BF1730" s="30"/>
      <c r="BG1730" s="30"/>
      <c r="BH1730" s="30"/>
      <c r="BI1730" s="30"/>
      <c r="BJ1730" s="30"/>
      <c r="BK1730" s="30"/>
      <c r="BL1730" s="30"/>
      <c r="BM1730" s="30"/>
      <c r="BN1730" s="30"/>
      <c r="BO1730" s="30"/>
      <c r="BP1730" s="30"/>
      <c r="BQ1730" s="30"/>
      <c r="BR1730" s="30"/>
      <c r="BS1730" s="30"/>
      <c r="BT1730" s="30"/>
      <c r="BU1730" s="30"/>
      <c r="BV1730" s="30"/>
      <c r="BW1730" s="30"/>
      <c r="BX1730" s="30"/>
      <c r="BY1730" s="30"/>
      <c r="BZ1730" s="30"/>
      <c r="CA1730" s="30"/>
      <c r="CB1730" s="30"/>
      <c r="CC1730" s="30"/>
      <c r="CD1730" s="30"/>
      <c r="CE1730" s="30"/>
      <c r="CF1730" s="30"/>
      <c r="CG1730" s="30"/>
      <c r="CH1730" s="30"/>
      <c r="CI1730" s="30"/>
      <c r="CJ1730" s="30"/>
      <c r="CK1730" s="30"/>
      <c r="CL1730" s="30"/>
      <c r="CM1730" s="30"/>
      <c r="CN1730" s="30"/>
      <c r="CO1730" s="30"/>
      <c r="CP1730" s="30"/>
      <c r="CQ1730" s="30"/>
      <c r="CR1730" s="30"/>
      <c r="CS1730" s="30"/>
      <c r="CT1730" s="30"/>
      <c r="CU1730" s="30"/>
      <c r="CV1730" s="30"/>
      <c r="CW1730" s="30"/>
      <c r="CX1730" s="30"/>
      <c r="CY1730" s="30"/>
      <c r="CZ1730" s="30"/>
      <c r="DA1730" s="30"/>
      <c r="DB1730" s="30"/>
      <c r="DC1730" s="30"/>
      <c r="DD1730" s="30"/>
      <c r="DE1730" s="30"/>
      <c r="DF1730" s="30"/>
      <c r="DG1730" s="30"/>
      <c r="DH1730" s="30"/>
      <c r="DI1730" s="30"/>
      <c r="DJ1730" s="30"/>
      <c r="DK1730" s="30"/>
      <c r="DL1730" s="30"/>
      <c r="DM1730" s="30"/>
      <c r="DN1730" s="30"/>
      <c r="DO1730" s="30"/>
      <c r="DP1730" s="30"/>
      <c r="DQ1730" s="30"/>
      <c r="DR1730" s="30"/>
      <c r="DS1730" s="30"/>
      <c r="DT1730" s="30"/>
      <c r="DU1730" s="30"/>
      <c r="DV1730" s="30"/>
      <c r="DW1730" s="30"/>
      <c r="DX1730" s="30"/>
      <c r="DY1730" s="30"/>
      <c r="DZ1730" s="30"/>
    </row>
    <row r="1731">
      <c r="A1731" s="30"/>
      <c r="B1731" s="42"/>
      <c r="C1731" s="43"/>
      <c r="D1731" s="30"/>
      <c r="E1731" s="28"/>
      <c r="F1731" s="30"/>
      <c r="G1731" s="30"/>
      <c r="H1731" s="30"/>
      <c r="I1731" s="30"/>
      <c r="J1731" s="28"/>
      <c r="K1731" s="30"/>
      <c r="L1731" s="30"/>
      <c r="M1731" s="30"/>
      <c r="N1731" s="30"/>
      <c r="O1731" s="28"/>
      <c r="P1731" s="30"/>
      <c r="Q1731" s="30"/>
      <c r="R1731" s="30"/>
      <c r="S1731" s="36"/>
      <c r="T1731" s="30"/>
      <c r="U1731" s="36"/>
      <c r="V1731" s="30"/>
      <c r="W1731" s="28"/>
      <c r="X1731" s="30"/>
      <c r="Y1731" s="30"/>
      <c r="Z1731" s="30"/>
      <c r="AA1731" s="30"/>
      <c r="AB1731" s="30"/>
      <c r="AC1731" s="28"/>
      <c r="AD1731" s="30"/>
      <c r="AE1731" s="30"/>
      <c r="AF1731" s="30"/>
      <c r="AG1731" s="29"/>
      <c r="AH1731" s="30"/>
      <c r="AI1731" s="36"/>
      <c r="AJ1731" s="30"/>
      <c r="AK1731" s="29"/>
      <c r="AL1731" s="30"/>
      <c r="AM1731" s="30"/>
      <c r="AN1731" s="30"/>
      <c r="AO1731" s="30"/>
      <c r="AP1731" s="30"/>
      <c r="AQ1731" s="38"/>
      <c r="AR1731" s="30"/>
      <c r="AS1731" s="30"/>
      <c r="AT1731" s="29"/>
      <c r="AU1731" s="30"/>
      <c r="AV1731" s="30"/>
      <c r="AW1731" s="30"/>
      <c r="AX1731" s="29"/>
      <c r="AY1731" s="39"/>
      <c r="AZ1731" s="30"/>
      <c r="BA1731" s="30"/>
      <c r="BB1731" s="29"/>
      <c r="BC1731" s="52"/>
      <c r="BD1731" s="30"/>
      <c r="BE1731" s="29"/>
      <c r="BF1731" s="30"/>
      <c r="BG1731" s="30"/>
      <c r="BH1731" s="30"/>
      <c r="BI1731" s="30"/>
      <c r="BJ1731" s="30"/>
      <c r="BK1731" s="30"/>
      <c r="BL1731" s="30"/>
      <c r="BM1731" s="30"/>
      <c r="BN1731" s="30"/>
      <c r="BO1731" s="30"/>
      <c r="BP1731" s="30"/>
      <c r="BQ1731" s="30"/>
      <c r="BR1731" s="30"/>
      <c r="BS1731" s="30"/>
      <c r="BT1731" s="30"/>
      <c r="BU1731" s="30"/>
      <c r="BV1731" s="30"/>
      <c r="BW1731" s="30"/>
      <c r="BX1731" s="30"/>
      <c r="BY1731" s="30"/>
      <c r="BZ1731" s="30"/>
      <c r="CA1731" s="30"/>
      <c r="CB1731" s="30"/>
      <c r="CC1731" s="30"/>
      <c r="CD1731" s="30"/>
      <c r="CE1731" s="30"/>
      <c r="CF1731" s="30"/>
      <c r="CG1731" s="30"/>
      <c r="CH1731" s="30"/>
      <c r="CI1731" s="30"/>
      <c r="CJ1731" s="30"/>
      <c r="CK1731" s="30"/>
      <c r="CL1731" s="30"/>
      <c r="CM1731" s="30"/>
      <c r="CN1731" s="30"/>
      <c r="CO1731" s="30"/>
      <c r="CP1731" s="30"/>
      <c r="CQ1731" s="30"/>
      <c r="CR1731" s="30"/>
      <c r="CS1731" s="30"/>
      <c r="CT1731" s="30"/>
      <c r="CU1731" s="30"/>
      <c r="CV1731" s="30"/>
      <c r="CW1731" s="30"/>
      <c r="CX1731" s="30"/>
      <c r="CY1731" s="30"/>
      <c r="CZ1731" s="30"/>
      <c r="DA1731" s="30"/>
      <c r="DB1731" s="30"/>
      <c r="DC1731" s="30"/>
      <c r="DD1731" s="30"/>
      <c r="DE1731" s="30"/>
      <c r="DF1731" s="30"/>
      <c r="DG1731" s="30"/>
      <c r="DH1731" s="30"/>
      <c r="DI1731" s="30"/>
      <c r="DJ1731" s="30"/>
      <c r="DK1731" s="30"/>
      <c r="DL1731" s="30"/>
      <c r="DM1731" s="30"/>
      <c r="DN1731" s="30"/>
      <c r="DO1731" s="30"/>
      <c r="DP1731" s="30"/>
      <c r="DQ1731" s="30"/>
      <c r="DR1731" s="30"/>
      <c r="DS1731" s="30"/>
      <c r="DT1731" s="30"/>
      <c r="DU1731" s="30"/>
      <c r="DV1731" s="30"/>
      <c r="DW1731" s="30"/>
      <c r="DX1731" s="30"/>
      <c r="DY1731" s="30"/>
      <c r="DZ1731" s="30"/>
    </row>
    <row r="1732">
      <c r="A1732" s="30"/>
      <c r="B1732" s="42"/>
      <c r="C1732" s="43"/>
      <c r="D1732" s="30"/>
      <c r="E1732" s="28"/>
      <c r="F1732" s="30"/>
      <c r="G1732" s="30"/>
      <c r="H1732" s="30"/>
      <c r="I1732" s="30"/>
      <c r="J1732" s="28"/>
      <c r="K1732" s="30"/>
      <c r="L1732" s="30"/>
      <c r="M1732" s="30"/>
      <c r="N1732" s="30"/>
      <c r="O1732" s="28"/>
      <c r="P1732" s="30"/>
      <c r="Q1732" s="30"/>
      <c r="R1732" s="30"/>
      <c r="S1732" s="36"/>
      <c r="T1732" s="30"/>
      <c r="U1732" s="36"/>
      <c r="V1732" s="30"/>
      <c r="W1732" s="28"/>
      <c r="X1732" s="30"/>
      <c r="Y1732" s="30"/>
      <c r="Z1732" s="30"/>
      <c r="AA1732" s="30"/>
      <c r="AB1732" s="30"/>
      <c r="AC1732" s="28"/>
      <c r="AD1732" s="30"/>
      <c r="AE1732" s="30"/>
      <c r="AF1732" s="30"/>
      <c r="AG1732" s="29"/>
      <c r="AH1732" s="30"/>
      <c r="AI1732" s="36"/>
      <c r="AJ1732" s="30"/>
      <c r="AK1732" s="29"/>
      <c r="AL1732" s="30"/>
      <c r="AM1732" s="30"/>
      <c r="AN1732" s="30"/>
      <c r="AO1732" s="30"/>
      <c r="AP1732" s="30"/>
      <c r="AQ1732" s="38"/>
      <c r="AR1732" s="30"/>
      <c r="AS1732" s="30"/>
      <c r="AT1732" s="29"/>
      <c r="AU1732" s="30"/>
      <c r="AV1732" s="30"/>
      <c r="AW1732" s="30"/>
      <c r="AX1732" s="29"/>
      <c r="AY1732" s="39"/>
      <c r="AZ1732" s="30"/>
      <c r="BA1732" s="30"/>
      <c r="BB1732" s="29"/>
      <c r="BC1732" s="52"/>
      <c r="BD1732" s="30"/>
      <c r="BE1732" s="29"/>
      <c r="BF1732" s="30"/>
      <c r="BG1732" s="30"/>
      <c r="BH1732" s="30"/>
      <c r="BI1732" s="30"/>
      <c r="BJ1732" s="30"/>
      <c r="BK1732" s="30"/>
      <c r="BL1732" s="30"/>
      <c r="BM1732" s="30"/>
      <c r="BN1732" s="30"/>
      <c r="BO1732" s="30"/>
      <c r="BP1732" s="30"/>
      <c r="BQ1732" s="30"/>
      <c r="BR1732" s="30"/>
      <c r="BS1732" s="30"/>
      <c r="BT1732" s="30"/>
      <c r="BU1732" s="30"/>
      <c r="BV1732" s="30"/>
      <c r="BW1732" s="30"/>
      <c r="BX1732" s="30"/>
      <c r="BY1732" s="30"/>
      <c r="BZ1732" s="30"/>
      <c r="CA1732" s="30"/>
      <c r="CB1732" s="30"/>
      <c r="CC1732" s="30"/>
      <c r="CD1732" s="30"/>
      <c r="CE1732" s="30"/>
      <c r="CF1732" s="30"/>
      <c r="CG1732" s="30"/>
      <c r="CH1732" s="30"/>
      <c r="CI1732" s="30"/>
      <c r="CJ1732" s="30"/>
      <c r="CK1732" s="30"/>
      <c r="CL1732" s="30"/>
      <c r="CM1732" s="30"/>
      <c r="CN1732" s="30"/>
      <c r="CO1732" s="30"/>
      <c r="CP1732" s="30"/>
      <c r="CQ1732" s="30"/>
      <c r="CR1732" s="30"/>
      <c r="CS1732" s="30"/>
      <c r="CT1732" s="30"/>
      <c r="CU1732" s="30"/>
      <c r="CV1732" s="30"/>
      <c r="CW1732" s="30"/>
      <c r="CX1732" s="30"/>
      <c r="CY1732" s="30"/>
      <c r="CZ1732" s="30"/>
      <c r="DA1732" s="30"/>
      <c r="DB1732" s="30"/>
      <c r="DC1732" s="30"/>
      <c r="DD1732" s="30"/>
      <c r="DE1732" s="30"/>
      <c r="DF1732" s="30"/>
      <c r="DG1732" s="30"/>
      <c r="DH1732" s="30"/>
      <c r="DI1732" s="30"/>
      <c r="DJ1732" s="30"/>
      <c r="DK1732" s="30"/>
      <c r="DL1732" s="30"/>
      <c r="DM1732" s="30"/>
      <c r="DN1732" s="30"/>
      <c r="DO1732" s="30"/>
      <c r="DP1732" s="30"/>
      <c r="DQ1732" s="30"/>
      <c r="DR1732" s="30"/>
      <c r="DS1732" s="30"/>
      <c r="DT1732" s="30"/>
      <c r="DU1732" s="30"/>
      <c r="DV1732" s="30"/>
      <c r="DW1732" s="30"/>
      <c r="DX1732" s="30"/>
      <c r="DY1732" s="30"/>
      <c r="DZ1732" s="30"/>
    </row>
    <row r="1733">
      <c r="A1733" s="30"/>
      <c r="B1733" s="42"/>
      <c r="C1733" s="43"/>
      <c r="D1733" s="30"/>
      <c r="E1733" s="28"/>
      <c r="F1733" s="30"/>
      <c r="G1733" s="30"/>
      <c r="H1733" s="30"/>
      <c r="I1733" s="30"/>
      <c r="J1733" s="28"/>
      <c r="K1733" s="30"/>
      <c r="L1733" s="30"/>
      <c r="M1733" s="30"/>
      <c r="N1733" s="30"/>
      <c r="O1733" s="28"/>
      <c r="P1733" s="30"/>
      <c r="Q1733" s="30"/>
      <c r="R1733" s="30"/>
      <c r="S1733" s="36"/>
      <c r="T1733" s="30"/>
      <c r="U1733" s="36"/>
      <c r="V1733" s="30"/>
      <c r="W1733" s="28"/>
      <c r="X1733" s="30"/>
      <c r="Y1733" s="30"/>
      <c r="Z1733" s="30"/>
      <c r="AA1733" s="30"/>
      <c r="AB1733" s="30"/>
      <c r="AC1733" s="28"/>
      <c r="AD1733" s="30"/>
      <c r="AE1733" s="30"/>
      <c r="AF1733" s="30"/>
      <c r="AG1733" s="29"/>
      <c r="AH1733" s="30"/>
      <c r="AI1733" s="36"/>
      <c r="AJ1733" s="30"/>
      <c r="AK1733" s="29"/>
      <c r="AL1733" s="30"/>
      <c r="AM1733" s="30"/>
      <c r="AN1733" s="30"/>
      <c r="AO1733" s="30"/>
      <c r="AP1733" s="30"/>
      <c r="AQ1733" s="38"/>
      <c r="AR1733" s="30"/>
      <c r="AS1733" s="30"/>
      <c r="AT1733" s="29"/>
      <c r="AU1733" s="30"/>
      <c r="AV1733" s="30"/>
      <c r="AW1733" s="30"/>
      <c r="AX1733" s="29"/>
      <c r="AY1733" s="39"/>
      <c r="AZ1733" s="30"/>
      <c r="BA1733" s="30"/>
      <c r="BB1733" s="29"/>
      <c r="BC1733" s="52"/>
      <c r="BD1733" s="30"/>
      <c r="BE1733" s="29"/>
      <c r="BF1733" s="30"/>
      <c r="BG1733" s="30"/>
      <c r="BH1733" s="30"/>
      <c r="BI1733" s="30"/>
      <c r="BJ1733" s="30"/>
      <c r="BK1733" s="30"/>
      <c r="BL1733" s="30"/>
      <c r="BM1733" s="30"/>
      <c r="BN1733" s="30"/>
      <c r="BO1733" s="30"/>
      <c r="BP1733" s="30"/>
      <c r="BQ1733" s="30"/>
      <c r="BR1733" s="30"/>
      <c r="BS1733" s="30"/>
      <c r="BT1733" s="30"/>
      <c r="BU1733" s="30"/>
      <c r="BV1733" s="30"/>
      <c r="BW1733" s="30"/>
      <c r="BX1733" s="30"/>
      <c r="BY1733" s="30"/>
      <c r="BZ1733" s="30"/>
      <c r="CA1733" s="30"/>
      <c r="CB1733" s="30"/>
      <c r="CC1733" s="30"/>
      <c r="CD1733" s="30"/>
      <c r="CE1733" s="30"/>
      <c r="CF1733" s="30"/>
      <c r="CG1733" s="30"/>
      <c r="CH1733" s="30"/>
      <c r="CI1733" s="30"/>
      <c r="CJ1733" s="30"/>
      <c r="CK1733" s="30"/>
      <c r="CL1733" s="30"/>
      <c r="CM1733" s="30"/>
      <c r="CN1733" s="30"/>
      <c r="CO1733" s="30"/>
      <c r="CP1733" s="30"/>
      <c r="CQ1733" s="30"/>
      <c r="CR1733" s="30"/>
      <c r="CS1733" s="30"/>
      <c r="CT1733" s="30"/>
      <c r="CU1733" s="30"/>
      <c r="CV1733" s="30"/>
      <c r="CW1733" s="30"/>
      <c r="CX1733" s="30"/>
      <c r="CY1733" s="30"/>
      <c r="CZ1733" s="30"/>
      <c r="DA1733" s="30"/>
      <c r="DB1733" s="30"/>
      <c r="DC1733" s="30"/>
      <c r="DD1733" s="30"/>
      <c r="DE1733" s="30"/>
      <c r="DF1733" s="30"/>
      <c r="DG1733" s="30"/>
      <c r="DH1733" s="30"/>
      <c r="DI1733" s="30"/>
      <c r="DJ1733" s="30"/>
      <c r="DK1733" s="30"/>
      <c r="DL1733" s="30"/>
      <c r="DM1733" s="30"/>
      <c r="DN1733" s="30"/>
      <c r="DO1733" s="30"/>
      <c r="DP1733" s="30"/>
      <c r="DQ1733" s="30"/>
      <c r="DR1733" s="30"/>
      <c r="DS1733" s="30"/>
      <c r="DT1733" s="30"/>
      <c r="DU1733" s="30"/>
      <c r="DV1733" s="30"/>
      <c r="DW1733" s="30"/>
      <c r="DX1733" s="30"/>
      <c r="DY1733" s="30"/>
      <c r="DZ1733" s="30"/>
    </row>
    <row r="1734">
      <c r="A1734" s="30"/>
      <c r="B1734" s="42"/>
      <c r="C1734" s="43"/>
      <c r="D1734" s="30"/>
      <c r="E1734" s="28"/>
      <c r="F1734" s="30"/>
      <c r="G1734" s="30"/>
      <c r="H1734" s="30"/>
      <c r="I1734" s="30"/>
      <c r="J1734" s="28"/>
      <c r="K1734" s="30"/>
      <c r="L1734" s="30"/>
      <c r="M1734" s="30"/>
      <c r="N1734" s="30"/>
      <c r="O1734" s="28"/>
      <c r="P1734" s="30"/>
      <c r="Q1734" s="30"/>
      <c r="R1734" s="30"/>
      <c r="S1734" s="36"/>
      <c r="T1734" s="30"/>
      <c r="U1734" s="36"/>
      <c r="V1734" s="30"/>
      <c r="W1734" s="28"/>
      <c r="X1734" s="30"/>
      <c r="Y1734" s="30"/>
      <c r="Z1734" s="30"/>
      <c r="AA1734" s="30"/>
      <c r="AB1734" s="30"/>
      <c r="AC1734" s="28"/>
      <c r="AD1734" s="30"/>
      <c r="AE1734" s="30"/>
      <c r="AF1734" s="30"/>
      <c r="AG1734" s="29"/>
      <c r="AH1734" s="30"/>
      <c r="AI1734" s="36"/>
      <c r="AJ1734" s="30"/>
      <c r="AK1734" s="29"/>
      <c r="AL1734" s="30"/>
      <c r="AM1734" s="30"/>
      <c r="AN1734" s="30"/>
      <c r="AO1734" s="30"/>
      <c r="AP1734" s="30"/>
      <c r="AQ1734" s="38"/>
      <c r="AR1734" s="30"/>
      <c r="AS1734" s="30"/>
      <c r="AT1734" s="29"/>
      <c r="AU1734" s="30"/>
      <c r="AV1734" s="30"/>
      <c r="AW1734" s="30"/>
      <c r="AX1734" s="29"/>
      <c r="AY1734" s="39"/>
      <c r="AZ1734" s="30"/>
      <c r="BA1734" s="30"/>
      <c r="BB1734" s="29"/>
      <c r="BC1734" s="52"/>
      <c r="BD1734" s="30"/>
      <c r="BE1734" s="29"/>
      <c r="BF1734" s="30"/>
      <c r="BG1734" s="30"/>
      <c r="BH1734" s="30"/>
      <c r="BI1734" s="30"/>
      <c r="BJ1734" s="30"/>
      <c r="BK1734" s="30"/>
      <c r="BL1734" s="30"/>
      <c r="BM1734" s="30"/>
      <c r="BN1734" s="30"/>
      <c r="BO1734" s="30"/>
      <c r="BP1734" s="30"/>
      <c r="BQ1734" s="30"/>
      <c r="BR1734" s="30"/>
      <c r="BS1734" s="30"/>
      <c r="BT1734" s="30"/>
      <c r="BU1734" s="30"/>
      <c r="BV1734" s="30"/>
      <c r="BW1734" s="30"/>
      <c r="BX1734" s="30"/>
      <c r="BY1734" s="30"/>
      <c r="BZ1734" s="30"/>
      <c r="CA1734" s="30"/>
      <c r="CB1734" s="30"/>
      <c r="CC1734" s="30"/>
      <c r="CD1734" s="30"/>
      <c r="CE1734" s="30"/>
      <c r="CF1734" s="30"/>
      <c r="CG1734" s="30"/>
      <c r="CH1734" s="30"/>
      <c r="CI1734" s="30"/>
      <c r="CJ1734" s="30"/>
      <c r="CK1734" s="30"/>
      <c r="CL1734" s="30"/>
      <c r="CM1734" s="30"/>
      <c r="CN1734" s="30"/>
      <c r="CO1734" s="30"/>
      <c r="CP1734" s="30"/>
      <c r="CQ1734" s="30"/>
      <c r="CR1734" s="30"/>
      <c r="CS1734" s="30"/>
      <c r="CT1734" s="30"/>
      <c r="CU1734" s="30"/>
      <c r="CV1734" s="30"/>
      <c r="CW1734" s="30"/>
      <c r="CX1734" s="30"/>
      <c r="CY1734" s="30"/>
      <c r="CZ1734" s="30"/>
      <c r="DA1734" s="30"/>
      <c r="DB1734" s="30"/>
      <c r="DC1734" s="30"/>
      <c r="DD1734" s="30"/>
      <c r="DE1734" s="30"/>
      <c r="DF1734" s="30"/>
      <c r="DG1734" s="30"/>
      <c r="DH1734" s="30"/>
      <c r="DI1734" s="30"/>
      <c r="DJ1734" s="30"/>
      <c r="DK1734" s="30"/>
      <c r="DL1734" s="30"/>
      <c r="DM1734" s="30"/>
      <c r="DN1734" s="30"/>
      <c r="DO1734" s="30"/>
      <c r="DP1734" s="30"/>
      <c r="DQ1734" s="30"/>
      <c r="DR1734" s="30"/>
      <c r="DS1734" s="30"/>
      <c r="DT1734" s="30"/>
      <c r="DU1734" s="30"/>
      <c r="DV1734" s="30"/>
      <c r="DW1734" s="30"/>
      <c r="DX1734" s="30"/>
      <c r="DY1734" s="30"/>
      <c r="DZ1734" s="30"/>
    </row>
    <row r="1735">
      <c r="A1735" s="30"/>
      <c r="B1735" s="42"/>
      <c r="C1735" s="43"/>
      <c r="D1735" s="30"/>
      <c r="E1735" s="28"/>
      <c r="F1735" s="30"/>
      <c r="G1735" s="30"/>
      <c r="H1735" s="30"/>
      <c r="I1735" s="30"/>
      <c r="J1735" s="28"/>
      <c r="K1735" s="30"/>
      <c r="L1735" s="30"/>
      <c r="M1735" s="30"/>
      <c r="N1735" s="30"/>
      <c r="O1735" s="28"/>
      <c r="P1735" s="30"/>
      <c r="Q1735" s="30"/>
      <c r="R1735" s="30"/>
      <c r="S1735" s="36"/>
      <c r="T1735" s="30"/>
      <c r="U1735" s="36"/>
      <c r="V1735" s="30"/>
      <c r="W1735" s="28"/>
      <c r="X1735" s="30"/>
      <c r="Y1735" s="30"/>
      <c r="Z1735" s="30"/>
      <c r="AA1735" s="30"/>
      <c r="AB1735" s="30"/>
      <c r="AC1735" s="28"/>
      <c r="AD1735" s="30"/>
      <c r="AE1735" s="30"/>
      <c r="AF1735" s="30"/>
      <c r="AG1735" s="29"/>
      <c r="AH1735" s="30"/>
      <c r="AI1735" s="36"/>
      <c r="AJ1735" s="30"/>
      <c r="AK1735" s="29"/>
      <c r="AL1735" s="30"/>
      <c r="AM1735" s="30"/>
      <c r="AN1735" s="30"/>
      <c r="AO1735" s="30"/>
      <c r="AP1735" s="30"/>
      <c r="AQ1735" s="38"/>
      <c r="AR1735" s="30"/>
      <c r="AS1735" s="30"/>
      <c r="AT1735" s="29"/>
      <c r="AU1735" s="30"/>
      <c r="AV1735" s="30"/>
      <c r="AW1735" s="30"/>
      <c r="AX1735" s="29"/>
      <c r="AY1735" s="39"/>
      <c r="AZ1735" s="30"/>
      <c r="BA1735" s="30"/>
      <c r="BB1735" s="29"/>
      <c r="BC1735" s="52"/>
      <c r="BD1735" s="30"/>
      <c r="BE1735" s="29"/>
      <c r="BF1735" s="30"/>
      <c r="BG1735" s="30"/>
      <c r="BH1735" s="30"/>
      <c r="BI1735" s="30"/>
      <c r="BJ1735" s="30"/>
      <c r="BK1735" s="30"/>
      <c r="BL1735" s="30"/>
      <c r="BM1735" s="30"/>
      <c r="BN1735" s="30"/>
      <c r="BO1735" s="30"/>
      <c r="BP1735" s="30"/>
      <c r="BQ1735" s="30"/>
      <c r="BR1735" s="30"/>
      <c r="BS1735" s="30"/>
      <c r="BT1735" s="30"/>
      <c r="BU1735" s="30"/>
      <c r="BV1735" s="30"/>
      <c r="BW1735" s="30"/>
      <c r="BX1735" s="30"/>
      <c r="BY1735" s="30"/>
      <c r="BZ1735" s="30"/>
      <c r="CA1735" s="30"/>
      <c r="CB1735" s="30"/>
      <c r="CC1735" s="30"/>
      <c r="CD1735" s="30"/>
      <c r="CE1735" s="30"/>
      <c r="CF1735" s="30"/>
      <c r="CG1735" s="30"/>
      <c r="CH1735" s="30"/>
      <c r="CI1735" s="30"/>
      <c r="CJ1735" s="30"/>
      <c r="CK1735" s="30"/>
      <c r="CL1735" s="30"/>
      <c r="CM1735" s="30"/>
      <c r="CN1735" s="30"/>
      <c r="CO1735" s="30"/>
      <c r="CP1735" s="30"/>
      <c r="CQ1735" s="30"/>
      <c r="CR1735" s="30"/>
      <c r="CS1735" s="30"/>
      <c r="CT1735" s="30"/>
      <c r="CU1735" s="30"/>
      <c r="CV1735" s="30"/>
      <c r="CW1735" s="30"/>
      <c r="CX1735" s="30"/>
      <c r="CY1735" s="30"/>
      <c r="CZ1735" s="30"/>
      <c r="DA1735" s="30"/>
      <c r="DB1735" s="30"/>
      <c r="DC1735" s="30"/>
      <c r="DD1735" s="30"/>
      <c r="DE1735" s="30"/>
      <c r="DF1735" s="30"/>
      <c r="DG1735" s="30"/>
      <c r="DH1735" s="30"/>
      <c r="DI1735" s="30"/>
      <c r="DJ1735" s="30"/>
      <c r="DK1735" s="30"/>
      <c r="DL1735" s="30"/>
      <c r="DM1735" s="30"/>
      <c r="DN1735" s="30"/>
      <c r="DO1735" s="30"/>
      <c r="DP1735" s="30"/>
      <c r="DQ1735" s="30"/>
      <c r="DR1735" s="30"/>
      <c r="DS1735" s="30"/>
      <c r="DT1735" s="30"/>
      <c r="DU1735" s="30"/>
      <c r="DV1735" s="30"/>
      <c r="DW1735" s="30"/>
      <c r="DX1735" s="30"/>
      <c r="DY1735" s="30"/>
      <c r="DZ1735" s="30"/>
    </row>
    <row r="1736">
      <c r="A1736" s="30"/>
      <c r="B1736" s="42"/>
      <c r="C1736" s="43"/>
      <c r="D1736" s="30"/>
      <c r="E1736" s="28"/>
      <c r="F1736" s="30"/>
      <c r="G1736" s="30"/>
      <c r="H1736" s="30"/>
      <c r="I1736" s="30"/>
      <c r="J1736" s="28"/>
      <c r="K1736" s="30"/>
      <c r="L1736" s="30"/>
      <c r="M1736" s="30"/>
      <c r="N1736" s="30"/>
      <c r="O1736" s="28"/>
      <c r="P1736" s="30"/>
      <c r="Q1736" s="30"/>
      <c r="R1736" s="30"/>
      <c r="S1736" s="36"/>
      <c r="T1736" s="30"/>
      <c r="U1736" s="36"/>
      <c r="V1736" s="30"/>
      <c r="W1736" s="28"/>
      <c r="X1736" s="30"/>
      <c r="Y1736" s="30"/>
      <c r="Z1736" s="30"/>
      <c r="AA1736" s="30"/>
      <c r="AB1736" s="30"/>
      <c r="AC1736" s="28"/>
      <c r="AD1736" s="30"/>
      <c r="AE1736" s="30"/>
      <c r="AF1736" s="30"/>
      <c r="AG1736" s="29"/>
      <c r="AH1736" s="30"/>
      <c r="AI1736" s="36"/>
      <c r="AJ1736" s="30"/>
      <c r="AK1736" s="29"/>
      <c r="AL1736" s="30"/>
      <c r="AM1736" s="30"/>
      <c r="AN1736" s="30"/>
      <c r="AO1736" s="30"/>
      <c r="AP1736" s="30"/>
      <c r="AQ1736" s="38"/>
      <c r="AR1736" s="30"/>
      <c r="AS1736" s="30"/>
      <c r="AT1736" s="29"/>
      <c r="AU1736" s="30"/>
      <c r="AV1736" s="30"/>
      <c r="AW1736" s="30"/>
      <c r="AX1736" s="29"/>
      <c r="AY1736" s="39"/>
      <c r="AZ1736" s="30"/>
      <c r="BA1736" s="30"/>
      <c r="BB1736" s="29"/>
      <c r="BC1736" s="52"/>
      <c r="BD1736" s="30"/>
      <c r="BE1736" s="29"/>
      <c r="BF1736" s="30"/>
      <c r="BG1736" s="30"/>
      <c r="BH1736" s="30"/>
      <c r="BI1736" s="30"/>
      <c r="BJ1736" s="30"/>
      <c r="BK1736" s="30"/>
      <c r="BL1736" s="30"/>
      <c r="BM1736" s="30"/>
      <c r="BN1736" s="30"/>
      <c r="BO1736" s="30"/>
      <c r="BP1736" s="30"/>
      <c r="BQ1736" s="30"/>
      <c r="BR1736" s="30"/>
      <c r="BS1736" s="30"/>
      <c r="BT1736" s="30"/>
      <c r="BU1736" s="30"/>
      <c r="BV1736" s="30"/>
      <c r="BW1736" s="30"/>
      <c r="BX1736" s="30"/>
      <c r="BY1736" s="30"/>
      <c r="BZ1736" s="30"/>
      <c r="CA1736" s="30"/>
      <c r="CB1736" s="30"/>
      <c r="CC1736" s="30"/>
      <c r="CD1736" s="30"/>
      <c r="CE1736" s="30"/>
      <c r="CF1736" s="30"/>
      <c r="CG1736" s="30"/>
      <c r="CH1736" s="30"/>
      <c r="CI1736" s="30"/>
      <c r="CJ1736" s="30"/>
      <c r="CK1736" s="30"/>
      <c r="CL1736" s="30"/>
      <c r="CM1736" s="30"/>
      <c r="CN1736" s="30"/>
      <c r="CO1736" s="30"/>
      <c r="CP1736" s="30"/>
      <c r="CQ1736" s="30"/>
      <c r="CR1736" s="30"/>
      <c r="CS1736" s="30"/>
      <c r="CT1736" s="30"/>
      <c r="CU1736" s="30"/>
      <c r="CV1736" s="30"/>
      <c r="CW1736" s="30"/>
      <c r="CX1736" s="30"/>
      <c r="CY1736" s="30"/>
      <c r="CZ1736" s="30"/>
      <c r="DA1736" s="30"/>
      <c r="DB1736" s="30"/>
      <c r="DC1736" s="30"/>
      <c r="DD1736" s="30"/>
      <c r="DE1736" s="30"/>
      <c r="DF1736" s="30"/>
      <c r="DG1736" s="30"/>
      <c r="DH1736" s="30"/>
      <c r="DI1736" s="30"/>
      <c r="DJ1736" s="30"/>
      <c r="DK1736" s="30"/>
      <c r="DL1736" s="30"/>
      <c r="DM1736" s="30"/>
      <c r="DN1736" s="30"/>
      <c r="DO1736" s="30"/>
      <c r="DP1736" s="30"/>
      <c r="DQ1736" s="30"/>
      <c r="DR1736" s="30"/>
      <c r="DS1736" s="30"/>
      <c r="DT1736" s="30"/>
      <c r="DU1736" s="30"/>
      <c r="DV1736" s="30"/>
      <c r="DW1736" s="30"/>
      <c r="DX1736" s="30"/>
      <c r="DY1736" s="30"/>
      <c r="DZ1736" s="30"/>
    </row>
    <row r="1737">
      <c r="A1737" s="30"/>
      <c r="B1737" s="42"/>
      <c r="C1737" s="43"/>
      <c r="D1737" s="30"/>
      <c r="E1737" s="28"/>
      <c r="F1737" s="30"/>
      <c r="G1737" s="30"/>
      <c r="H1737" s="30"/>
      <c r="I1737" s="30"/>
      <c r="J1737" s="28"/>
      <c r="K1737" s="30"/>
      <c r="L1737" s="30"/>
      <c r="M1737" s="30"/>
      <c r="N1737" s="30"/>
      <c r="O1737" s="28"/>
      <c r="P1737" s="30"/>
      <c r="Q1737" s="30"/>
      <c r="R1737" s="30"/>
      <c r="S1737" s="36"/>
      <c r="T1737" s="30"/>
      <c r="U1737" s="36"/>
      <c r="V1737" s="30"/>
      <c r="W1737" s="28"/>
      <c r="X1737" s="30"/>
      <c r="Y1737" s="30"/>
      <c r="Z1737" s="30"/>
      <c r="AA1737" s="30"/>
      <c r="AB1737" s="30"/>
      <c r="AC1737" s="28"/>
      <c r="AD1737" s="30"/>
      <c r="AE1737" s="30"/>
      <c r="AF1737" s="30"/>
      <c r="AG1737" s="29"/>
      <c r="AH1737" s="30"/>
      <c r="AI1737" s="36"/>
      <c r="AJ1737" s="30"/>
      <c r="AK1737" s="29"/>
      <c r="AL1737" s="30"/>
      <c r="AM1737" s="30"/>
      <c r="AN1737" s="30"/>
      <c r="AO1737" s="30"/>
      <c r="AP1737" s="30"/>
      <c r="AQ1737" s="38"/>
      <c r="AR1737" s="30"/>
      <c r="AS1737" s="30"/>
      <c r="AT1737" s="29"/>
      <c r="AU1737" s="30"/>
      <c r="AV1737" s="30"/>
      <c r="AW1737" s="30"/>
      <c r="AX1737" s="29"/>
      <c r="AY1737" s="39"/>
      <c r="AZ1737" s="30"/>
      <c r="BA1737" s="30"/>
      <c r="BB1737" s="29"/>
      <c r="BC1737" s="52"/>
      <c r="BD1737" s="30"/>
      <c r="BE1737" s="29"/>
      <c r="BF1737" s="30"/>
      <c r="BG1737" s="30"/>
      <c r="BH1737" s="30"/>
      <c r="BI1737" s="30"/>
      <c r="BJ1737" s="30"/>
      <c r="BK1737" s="30"/>
      <c r="BL1737" s="30"/>
      <c r="BM1737" s="30"/>
      <c r="BN1737" s="30"/>
      <c r="BO1737" s="30"/>
      <c r="BP1737" s="30"/>
      <c r="BQ1737" s="30"/>
      <c r="BR1737" s="30"/>
      <c r="BS1737" s="30"/>
      <c r="BT1737" s="30"/>
      <c r="BU1737" s="30"/>
      <c r="BV1737" s="30"/>
      <c r="BW1737" s="30"/>
      <c r="BX1737" s="30"/>
      <c r="BY1737" s="30"/>
      <c r="BZ1737" s="30"/>
      <c r="CA1737" s="30"/>
      <c r="CB1737" s="30"/>
      <c r="CC1737" s="30"/>
      <c r="CD1737" s="30"/>
      <c r="CE1737" s="30"/>
      <c r="CF1737" s="30"/>
      <c r="CG1737" s="30"/>
      <c r="CH1737" s="30"/>
      <c r="CI1737" s="30"/>
      <c r="CJ1737" s="30"/>
      <c r="CK1737" s="30"/>
      <c r="CL1737" s="30"/>
      <c r="CM1737" s="30"/>
      <c r="CN1737" s="30"/>
      <c r="CO1737" s="30"/>
      <c r="CP1737" s="30"/>
      <c r="CQ1737" s="30"/>
      <c r="CR1737" s="30"/>
      <c r="CS1737" s="30"/>
      <c r="CT1737" s="30"/>
      <c r="CU1737" s="30"/>
      <c r="CV1737" s="30"/>
      <c r="CW1737" s="30"/>
      <c r="CX1737" s="30"/>
      <c r="CY1737" s="30"/>
      <c r="CZ1737" s="30"/>
      <c r="DA1737" s="30"/>
      <c r="DB1737" s="30"/>
      <c r="DC1737" s="30"/>
      <c r="DD1737" s="30"/>
      <c r="DE1737" s="30"/>
      <c r="DF1737" s="30"/>
      <c r="DG1737" s="30"/>
      <c r="DH1737" s="30"/>
      <c r="DI1737" s="30"/>
      <c r="DJ1737" s="30"/>
      <c r="DK1737" s="30"/>
      <c r="DL1737" s="30"/>
      <c r="DM1737" s="30"/>
      <c r="DN1737" s="30"/>
      <c r="DO1737" s="30"/>
      <c r="DP1737" s="30"/>
      <c r="DQ1737" s="30"/>
      <c r="DR1737" s="30"/>
      <c r="DS1737" s="30"/>
      <c r="DT1737" s="30"/>
      <c r="DU1737" s="30"/>
      <c r="DV1737" s="30"/>
      <c r="DW1737" s="30"/>
      <c r="DX1737" s="30"/>
      <c r="DY1737" s="30"/>
      <c r="DZ1737" s="30"/>
    </row>
    <row r="1738">
      <c r="A1738" s="30"/>
      <c r="B1738" s="42"/>
      <c r="C1738" s="43"/>
      <c r="D1738" s="30"/>
      <c r="E1738" s="28"/>
      <c r="F1738" s="30"/>
      <c r="G1738" s="30"/>
      <c r="H1738" s="30"/>
      <c r="I1738" s="30"/>
      <c r="J1738" s="28"/>
      <c r="K1738" s="30"/>
      <c r="L1738" s="30"/>
      <c r="M1738" s="30"/>
      <c r="N1738" s="30"/>
      <c r="O1738" s="28"/>
      <c r="P1738" s="30"/>
      <c r="Q1738" s="30"/>
      <c r="R1738" s="30"/>
      <c r="S1738" s="36"/>
      <c r="T1738" s="30"/>
      <c r="U1738" s="36"/>
      <c r="V1738" s="30"/>
      <c r="W1738" s="28"/>
      <c r="X1738" s="30"/>
      <c r="Y1738" s="30"/>
      <c r="Z1738" s="30"/>
      <c r="AA1738" s="30"/>
      <c r="AB1738" s="30"/>
      <c r="AC1738" s="28"/>
      <c r="AD1738" s="30"/>
      <c r="AE1738" s="30"/>
      <c r="AF1738" s="30"/>
      <c r="AG1738" s="29"/>
      <c r="AH1738" s="30"/>
      <c r="AI1738" s="36"/>
      <c r="AJ1738" s="30"/>
      <c r="AK1738" s="29"/>
      <c r="AL1738" s="30"/>
      <c r="AM1738" s="30"/>
      <c r="AN1738" s="30"/>
      <c r="AO1738" s="30"/>
      <c r="AP1738" s="30"/>
      <c r="AQ1738" s="38"/>
      <c r="AR1738" s="30"/>
      <c r="AS1738" s="30"/>
      <c r="AT1738" s="29"/>
      <c r="AU1738" s="30"/>
      <c r="AV1738" s="30"/>
      <c r="AW1738" s="30"/>
      <c r="AX1738" s="29"/>
      <c r="AY1738" s="39"/>
      <c r="AZ1738" s="30"/>
      <c r="BA1738" s="30"/>
      <c r="BB1738" s="29"/>
      <c r="BC1738" s="52"/>
      <c r="BD1738" s="30"/>
      <c r="BE1738" s="29"/>
      <c r="BF1738" s="30"/>
      <c r="BG1738" s="30"/>
      <c r="BH1738" s="30"/>
      <c r="BI1738" s="30"/>
      <c r="BJ1738" s="30"/>
      <c r="BK1738" s="30"/>
      <c r="BL1738" s="30"/>
      <c r="BM1738" s="30"/>
      <c r="BN1738" s="30"/>
      <c r="BO1738" s="30"/>
      <c r="BP1738" s="30"/>
      <c r="BQ1738" s="30"/>
      <c r="BR1738" s="30"/>
      <c r="BS1738" s="30"/>
      <c r="BT1738" s="30"/>
      <c r="BU1738" s="30"/>
      <c r="BV1738" s="30"/>
      <c r="BW1738" s="30"/>
      <c r="BX1738" s="30"/>
      <c r="BY1738" s="30"/>
      <c r="BZ1738" s="30"/>
      <c r="CA1738" s="30"/>
      <c r="CB1738" s="30"/>
      <c r="CC1738" s="30"/>
      <c r="CD1738" s="30"/>
      <c r="CE1738" s="30"/>
      <c r="CF1738" s="30"/>
      <c r="CG1738" s="30"/>
      <c r="CH1738" s="30"/>
      <c r="CI1738" s="30"/>
      <c r="CJ1738" s="30"/>
      <c r="CK1738" s="30"/>
      <c r="CL1738" s="30"/>
      <c r="CM1738" s="30"/>
      <c r="CN1738" s="30"/>
      <c r="CO1738" s="30"/>
      <c r="CP1738" s="30"/>
      <c r="CQ1738" s="30"/>
      <c r="CR1738" s="30"/>
      <c r="CS1738" s="30"/>
      <c r="CT1738" s="30"/>
      <c r="CU1738" s="30"/>
      <c r="CV1738" s="30"/>
      <c r="CW1738" s="30"/>
      <c r="CX1738" s="30"/>
      <c r="CY1738" s="30"/>
      <c r="CZ1738" s="30"/>
      <c r="DA1738" s="30"/>
      <c r="DB1738" s="30"/>
      <c r="DC1738" s="30"/>
      <c r="DD1738" s="30"/>
      <c r="DE1738" s="30"/>
      <c r="DF1738" s="30"/>
      <c r="DG1738" s="30"/>
      <c r="DH1738" s="30"/>
      <c r="DI1738" s="30"/>
      <c r="DJ1738" s="30"/>
      <c r="DK1738" s="30"/>
      <c r="DL1738" s="30"/>
      <c r="DM1738" s="30"/>
      <c r="DN1738" s="30"/>
      <c r="DO1738" s="30"/>
      <c r="DP1738" s="30"/>
      <c r="DQ1738" s="30"/>
      <c r="DR1738" s="30"/>
      <c r="DS1738" s="30"/>
      <c r="DT1738" s="30"/>
      <c r="DU1738" s="30"/>
      <c r="DV1738" s="30"/>
      <c r="DW1738" s="30"/>
      <c r="DX1738" s="30"/>
      <c r="DY1738" s="30"/>
      <c r="DZ1738" s="30"/>
    </row>
    <row r="1739">
      <c r="A1739" s="30"/>
      <c r="B1739" s="42"/>
      <c r="C1739" s="43"/>
      <c r="D1739" s="30"/>
      <c r="E1739" s="28"/>
      <c r="F1739" s="30"/>
      <c r="G1739" s="30"/>
      <c r="H1739" s="30"/>
      <c r="I1739" s="30"/>
      <c r="J1739" s="28"/>
      <c r="K1739" s="30"/>
      <c r="L1739" s="30"/>
      <c r="M1739" s="30"/>
      <c r="N1739" s="30"/>
      <c r="O1739" s="28"/>
      <c r="P1739" s="30"/>
      <c r="Q1739" s="30"/>
      <c r="R1739" s="30"/>
      <c r="S1739" s="36"/>
      <c r="T1739" s="30"/>
      <c r="U1739" s="36"/>
      <c r="V1739" s="30"/>
      <c r="W1739" s="28"/>
      <c r="X1739" s="30"/>
      <c r="Y1739" s="30"/>
      <c r="Z1739" s="30"/>
      <c r="AA1739" s="30"/>
      <c r="AB1739" s="30"/>
      <c r="AC1739" s="28"/>
      <c r="AD1739" s="30"/>
      <c r="AE1739" s="30"/>
      <c r="AF1739" s="30"/>
      <c r="AG1739" s="29"/>
      <c r="AH1739" s="30"/>
      <c r="AI1739" s="36"/>
      <c r="AJ1739" s="30"/>
      <c r="AK1739" s="29"/>
      <c r="AL1739" s="30"/>
      <c r="AM1739" s="30"/>
      <c r="AN1739" s="30"/>
      <c r="AO1739" s="30"/>
      <c r="AP1739" s="30"/>
      <c r="AQ1739" s="38"/>
      <c r="AR1739" s="30"/>
      <c r="AS1739" s="30"/>
      <c r="AT1739" s="29"/>
      <c r="AU1739" s="30"/>
      <c r="AV1739" s="30"/>
      <c r="AW1739" s="30"/>
      <c r="AX1739" s="29"/>
      <c r="AY1739" s="39"/>
      <c r="AZ1739" s="30"/>
      <c r="BA1739" s="30"/>
      <c r="BB1739" s="29"/>
      <c r="BC1739" s="52"/>
      <c r="BD1739" s="30"/>
      <c r="BE1739" s="29"/>
      <c r="BF1739" s="30"/>
      <c r="BG1739" s="30"/>
      <c r="BH1739" s="30"/>
      <c r="BI1739" s="30"/>
      <c r="BJ1739" s="30"/>
      <c r="BK1739" s="30"/>
      <c r="BL1739" s="30"/>
      <c r="BM1739" s="30"/>
      <c r="BN1739" s="30"/>
      <c r="BO1739" s="30"/>
      <c r="BP1739" s="30"/>
      <c r="BQ1739" s="30"/>
      <c r="BR1739" s="30"/>
      <c r="BS1739" s="30"/>
      <c r="BT1739" s="30"/>
      <c r="BU1739" s="30"/>
      <c r="BV1739" s="30"/>
      <c r="BW1739" s="30"/>
      <c r="BX1739" s="30"/>
      <c r="BY1739" s="30"/>
      <c r="BZ1739" s="30"/>
      <c r="CA1739" s="30"/>
      <c r="CB1739" s="30"/>
      <c r="CC1739" s="30"/>
      <c r="CD1739" s="30"/>
      <c r="CE1739" s="30"/>
      <c r="CF1739" s="30"/>
      <c r="CG1739" s="30"/>
      <c r="CH1739" s="30"/>
      <c r="CI1739" s="30"/>
      <c r="CJ1739" s="30"/>
      <c r="CK1739" s="30"/>
      <c r="CL1739" s="30"/>
      <c r="CM1739" s="30"/>
      <c r="CN1739" s="30"/>
      <c r="CO1739" s="30"/>
      <c r="CP1739" s="30"/>
      <c r="CQ1739" s="30"/>
      <c r="CR1739" s="30"/>
      <c r="CS1739" s="30"/>
      <c r="CT1739" s="30"/>
      <c r="CU1739" s="30"/>
      <c r="CV1739" s="30"/>
      <c r="CW1739" s="30"/>
      <c r="CX1739" s="30"/>
      <c r="CY1739" s="30"/>
      <c r="CZ1739" s="30"/>
      <c r="DA1739" s="30"/>
      <c r="DB1739" s="30"/>
      <c r="DC1739" s="30"/>
      <c r="DD1739" s="30"/>
      <c r="DE1739" s="30"/>
      <c r="DF1739" s="30"/>
      <c r="DG1739" s="30"/>
      <c r="DH1739" s="30"/>
      <c r="DI1739" s="30"/>
      <c r="DJ1739" s="30"/>
      <c r="DK1739" s="30"/>
      <c r="DL1739" s="30"/>
      <c r="DM1739" s="30"/>
      <c r="DN1739" s="30"/>
      <c r="DO1739" s="30"/>
      <c r="DP1739" s="30"/>
      <c r="DQ1739" s="30"/>
      <c r="DR1739" s="30"/>
      <c r="DS1739" s="30"/>
      <c r="DT1739" s="30"/>
      <c r="DU1739" s="30"/>
      <c r="DV1739" s="30"/>
      <c r="DW1739" s="30"/>
      <c r="DX1739" s="30"/>
      <c r="DY1739" s="30"/>
      <c r="DZ1739" s="30"/>
    </row>
    <row r="1740">
      <c r="A1740" s="30"/>
      <c r="B1740" s="42"/>
      <c r="C1740" s="43"/>
      <c r="D1740" s="30"/>
      <c r="E1740" s="28"/>
      <c r="F1740" s="30"/>
      <c r="G1740" s="30"/>
      <c r="H1740" s="30"/>
      <c r="I1740" s="30"/>
      <c r="J1740" s="28"/>
      <c r="K1740" s="30"/>
      <c r="L1740" s="30"/>
      <c r="M1740" s="30"/>
      <c r="N1740" s="30"/>
      <c r="O1740" s="28"/>
      <c r="P1740" s="30"/>
      <c r="Q1740" s="30"/>
      <c r="R1740" s="30"/>
      <c r="S1740" s="36"/>
      <c r="T1740" s="30"/>
      <c r="U1740" s="36"/>
      <c r="V1740" s="30"/>
      <c r="W1740" s="28"/>
      <c r="X1740" s="30"/>
      <c r="Y1740" s="30"/>
      <c r="Z1740" s="30"/>
      <c r="AA1740" s="30"/>
      <c r="AB1740" s="30"/>
      <c r="AC1740" s="28"/>
      <c r="AD1740" s="30"/>
      <c r="AE1740" s="30"/>
      <c r="AF1740" s="30"/>
      <c r="AG1740" s="29"/>
      <c r="AH1740" s="30"/>
      <c r="AI1740" s="36"/>
      <c r="AJ1740" s="30"/>
      <c r="AK1740" s="29"/>
      <c r="AL1740" s="30"/>
      <c r="AM1740" s="30"/>
      <c r="AN1740" s="30"/>
      <c r="AO1740" s="30"/>
      <c r="AP1740" s="30"/>
      <c r="AQ1740" s="38"/>
      <c r="AR1740" s="30"/>
      <c r="AS1740" s="30"/>
      <c r="AT1740" s="29"/>
      <c r="AU1740" s="30"/>
      <c r="AV1740" s="30"/>
      <c r="AW1740" s="30"/>
      <c r="AX1740" s="29"/>
      <c r="AY1740" s="39"/>
      <c r="AZ1740" s="30"/>
      <c r="BA1740" s="30"/>
      <c r="BB1740" s="29"/>
      <c r="BC1740" s="52"/>
      <c r="BD1740" s="30"/>
      <c r="BE1740" s="29"/>
      <c r="BF1740" s="30"/>
      <c r="BG1740" s="30"/>
      <c r="BH1740" s="30"/>
      <c r="BI1740" s="30"/>
      <c r="BJ1740" s="30"/>
      <c r="BK1740" s="30"/>
      <c r="BL1740" s="30"/>
      <c r="BM1740" s="30"/>
      <c r="BN1740" s="30"/>
      <c r="BO1740" s="30"/>
      <c r="BP1740" s="30"/>
      <c r="BQ1740" s="30"/>
      <c r="BR1740" s="30"/>
      <c r="BS1740" s="30"/>
      <c r="BT1740" s="30"/>
      <c r="BU1740" s="30"/>
      <c r="BV1740" s="30"/>
      <c r="BW1740" s="30"/>
      <c r="BX1740" s="30"/>
      <c r="BY1740" s="30"/>
      <c r="BZ1740" s="30"/>
      <c r="CA1740" s="30"/>
      <c r="CB1740" s="30"/>
      <c r="CC1740" s="30"/>
      <c r="CD1740" s="30"/>
      <c r="CE1740" s="30"/>
      <c r="CF1740" s="30"/>
      <c r="CG1740" s="30"/>
      <c r="CH1740" s="30"/>
      <c r="CI1740" s="30"/>
      <c r="CJ1740" s="30"/>
      <c r="CK1740" s="30"/>
      <c r="CL1740" s="30"/>
      <c r="CM1740" s="30"/>
      <c r="CN1740" s="30"/>
      <c r="CO1740" s="30"/>
      <c r="CP1740" s="30"/>
      <c r="CQ1740" s="30"/>
      <c r="CR1740" s="30"/>
      <c r="CS1740" s="30"/>
      <c r="CT1740" s="30"/>
      <c r="CU1740" s="30"/>
      <c r="CV1740" s="30"/>
      <c r="CW1740" s="30"/>
      <c r="CX1740" s="30"/>
      <c r="CY1740" s="30"/>
      <c r="CZ1740" s="30"/>
      <c r="DA1740" s="30"/>
      <c r="DB1740" s="30"/>
      <c r="DC1740" s="30"/>
      <c r="DD1740" s="30"/>
      <c r="DE1740" s="30"/>
      <c r="DF1740" s="30"/>
      <c r="DG1740" s="30"/>
      <c r="DH1740" s="30"/>
      <c r="DI1740" s="30"/>
      <c r="DJ1740" s="30"/>
      <c r="DK1740" s="30"/>
      <c r="DL1740" s="30"/>
      <c r="DM1740" s="30"/>
      <c r="DN1740" s="30"/>
      <c r="DO1740" s="30"/>
      <c r="DP1740" s="30"/>
      <c r="DQ1740" s="30"/>
      <c r="DR1740" s="30"/>
      <c r="DS1740" s="30"/>
      <c r="DT1740" s="30"/>
      <c r="DU1740" s="30"/>
      <c r="DV1740" s="30"/>
      <c r="DW1740" s="30"/>
      <c r="DX1740" s="30"/>
      <c r="DY1740" s="30"/>
      <c r="DZ1740" s="30"/>
    </row>
    <row r="1741">
      <c r="A1741" s="30"/>
      <c r="B1741" s="42"/>
      <c r="C1741" s="43"/>
      <c r="D1741" s="30"/>
      <c r="E1741" s="28"/>
      <c r="F1741" s="30"/>
      <c r="G1741" s="30"/>
      <c r="H1741" s="30"/>
      <c r="I1741" s="30"/>
      <c r="J1741" s="28"/>
      <c r="K1741" s="30"/>
      <c r="L1741" s="30"/>
      <c r="M1741" s="30"/>
      <c r="N1741" s="30"/>
      <c r="O1741" s="28"/>
      <c r="P1741" s="30"/>
      <c r="Q1741" s="30"/>
      <c r="R1741" s="30"/>
      <c r="S1741" s="36"/>
      <c r="T1741" s="30"/>
      <c r="U1741" s="36"/>
      <c r="V1741" s="30"/>
      <c r="W1741" s="28"/>
      <c r="X1741" s="30"/>
      <c r="Y1741" s="30"/>
      <c r="Z1741" s="30"/>
      <c r="AA1741" s="30"/>
      <c r="AB1741" s="30"/>
      <c r="AC1741" s="28"/>
      <c r="AD1741" s="30"/>
      <c r="AE1741" s="30"/>
      <c r="AF1741" s="30"/>
      <c r="AG1741" s="29"/>
      <c r="AH1741" s="30"/>
      <c r="AI1741" s="36"/>
      <c r="AJ1741" s="30"/>
      <c r="AK1741" s="29"/>
      <c r="AL1741" s="30"/>
      <c r="AM1741" s="30"/>
      <c r="AN1741" s="30"/>
      <c r="AO1741" s="30"/>
      <c r="AP1741" s="30"/>
      <c r="AQ1741" s="38"/>
      <c r="AR1741" s="30"/>
      <c r="AS1741" s="30"/>
      <c r="AT1741" s="29"/>
      <c r="AU1741" s="30"/>
      <c r="AV1741" s="30"/>
      <c r="AW1741" s="30"/>
      <c r="AX1741" s="29"/>
      <c r="AY1741" s="39"/>
      <c r="AZ1741" s="30"/>
      <c r="BA1741" s="30"/>
      <c r="BB1741" s="29"/>
      <c r="BC1741" s="52"/>
      <c r="BD1741" s="30"/>
      <c r="BE1741" s="29"/>
      <c r="BF1741" s="30"/>
      <c r="BG1741" s="30"/>
      <c r="BH1741" s="30"/>
      <c r="BI1741" s="30"/>
      <c r="BJ1741" s="30"/>
      <c r="BK1741" s="30"/>
      <c r="BL1741" s="30"/>
      <c r="BM1741" s="30"/>
      <c r="BN1741" s="30"/>
      <c r="BO1741" s="30"/>
      <c r="BP1741" s="30"/>
      <c r="BQ1741" s="30"/>
      <c r="BR1741" s="30"/>
      <c r="BS1741" s="30"/>
      <c r="BT1741" s="30"/>
      <c r="BU1741" s="30"/>
      <c r="BV1741" s="30"/>
      <c r="BW1741" s="30"/>
      <c r="BX1741" s="30"/>
      <c r="BY1741" s="30"/>
      <c r="BZ1741" s="30"/>
      <c r="CA1741" s="30"/>
      <c r="CB1741" s="30"/>
      <c r="CC1741" s="30"/>
      <c r="CD1741" s="30"/>
      <c r="CE1741" s="30"/>
      <c r="CF1741" s="30"/>
      <c r="CG1741" s="30"/>
      <c r="CH1741" s="30"/>
      <c r="CI1741" s="30"/>
      <c r="CJ1741" s="30"/>
      <c r="CK1741" s="30"/>
      <c r="CL1741" s="30"/>
      <c r="CM1741" s="30"/>
      <c r="CN1741" s="30"/>
      <c r="CO1741" s="30"/>
      <c r="CP1741" s="30"/>
      <c r="CQ1741" s="30"/>
      <c r="CR1741" s="30"/>
      <c r="CS1741" s="30"/>
      <c r="CT1741" s="30"/>
      <c r="CU1741" s="30"/>
      <c r="CV1741" s="30"/>
      <c r="CW1741" s="30"/>
      <c r="CX1741" s="30"/>
      <c r="CY1741" s="30"/>
      <c r="CZ1741" s="30"/>
      <c r="DA1741" s="30"/>
      <c r="DB1741" s="30"/>
      <c r="DC1741" s="30"/>
      <c r="DD1741" s="30"/>
      <c r="DE1741" s="30"/>
      <c r="DF1741" s="30"/>
      <c r="DG1741" s="30"/>
      <c r="DH1741" s="30"/>
      <c r="DI1741" s="30"/>
      <c r="DJ1741" s="30"/>
      <c r="DK1741" s="30"/>
      <c r="DL1741" s="30"/>
      <c r="DM1741" s="30"/>
      <c r="DN1741" s="30"/>
      <c r="DO1741" s="30"/>
      <c r="DP1741" s="30"/>
      <c r="DQ1741" s="30"/>
      <c r="DR1741" s="30"/>
      <c r="DS1741" s="30"/>
      <c r="DT1741" s="30"/>
      <c r="DU1741" s="30"/>
      <c r="DV1741" s="30"/>
      <c r="DW1741" s="30"/>
      <c r="DX1741" s="30"/>
      <c r="DY1741" s="30"/>
      <c r="DZ1741" s="30"/>
    </row>
    <row r="1742">
      <c r="A1742" s="30"/>
      <c r="B1742" s="42"/>
      <c r="C1742" s="43"/>
      <c r="D1742" s="30"/>
      <c r="E1742" s="28"/>
      <c r="F1742" s="30"/>
      <c r="G1742" s="30"/>
      <c r="H1742" s="30"/>
      <c r="I1742" s="30"/>
      <c r="J1742" s="28"/>
      <c r="K1742" s="30"/>
      <c r="L1742" s="30"/>
      <c r="M1742" s="30"/>
      <c r="N1742" s="30"/>
      <c r="O1742" s="28"/>
      <c r="P1742" s="30"/>
      <c r="Q1742" s="30"/>
      <c r="R1742" s="30"/>
      <c r="S1742" s="36"/>
      <c r="T1742" s="30"/>
      <c r="U1742" s="36"/>
      <c r="V1742" s="30"/>
      <c r="W1742" s="28"/>
      <c r="X1742" s="30"/>
      <c r="Y1742" s="30"/>
      <c r="Z1742" s="30"/>
      <c r="AA1742" s="30"/>
      <c r="AB1742" s="30"/>
      <c r="AC1742" s="28"/>
      <c r="AD1742" s="30"/>
      <c r="AE1742" s="30"/>
      <c r="AF1742" s="30"/>
      <c r="AG1742" s="29"/>
      <c r="AH1742" s="30"/>
      <c r="AI1742" s="36"/>
      <c r="AJ1742" s="30"/>
      <c r="AK1742" s="29"/>
      <c r="AL1742" s="30"/>
      <c r="AM1742" s="30"/>
      <c r="AN1742" s="30"/>
      <c r="AO1742" s="30"/>
      <c r="AP1742" s="30"/>
      <c r="AQ1742" s="38"/>
      <c r="AR1742" s="30"/>
      <c r="AS1742" s="30"/>
      <c r="AT1742" s="29"/>
      <c r="AU1742" s="30"/>
      <c r="AV1742" s="30"/>
      <c r="AW1742" s="30"/>
      <c r="AX1742" s="29"/>
      <c r="AY1742" s="39"/>
      <c r="AZ1742" s="30"/>
      <c r="BA1742" s="30"/>
      <c r="BB1742" s="29"/>
      <c r="BC1742" s="52"/>
      <c r="BD1742" s="30"/>
      <c r="BE1742" s="29"/>
      <c r="BF1742" s="30"/>
      <c r="BG1742" s="30"/>
      <c r="BH1742" s="30"/>
      <c r="BI1742" s="30"/>
      <c r="BJ1742" s="30"/>
      <c r="BK1742" s="30"/>
      <c r="BL1742" s="30"/>
      <c r="BM1742" s="30"/>
      <c r="BN1742" s="30"/>
      <c r="BO1742" s="30"/>
      <c r="BP1742" s="30"/>
      <c r="BQ1742" s="30"/>
      <c r="BR1742" s="30"/>
      <c r="BS1742" s="30"/>
      <c r="BT1742" s="30"/>
      <c r="BU1742" s="30"/>
      <c r="BV1742" s="30"/>
      <c r="BW1742" s="30"/>
      <c r="BX1742" s="30"/>
      <c r="BY1742" s="30"/>
      <c r="BZ1742" s="30"/>
      <c r="CA1742" s="30"/>
      <c r="CB1742" s="30"/>
      <c r="CC1742" s="30"/>
      <c r="CD1742" s="30"/>
      <c r="CE1742" s="30"/>
      <c r="CF1742" s="30"/>
      <c r="CG1742" s="30"/>
      <c r="CH1742" s="30"/>
      <c r="CI1742" s="30"/>
      <c r="CJ1742" s="30"/>
      <c r="CK1742" s="30"/>
      <c r="CL1742" s="30"/>
      <c r="CM1742" s="30"/>
      <c r="CN1742" s="30"/>
      <c r="CO1742" s="30"/>
      <c r="CP1742" s="30"/>
      <c r="CQ1742" s="30"/>
      <c r="CR1742" s="30"/>
      <c r="CS1742" s="30"/>
      <c r="CT1742" s="30"/>
      <c r="CU1742" s="30"/>
      <c r="CV1742" s="30"/>
      <c r="CW1742" s="30"/>
      <c r="CX1742" s="30"/>
      <c r="CY1742" s="30"/>
      <c r="CZ1742" s="30"/>
      <c r="DA1742" s="30"/>
      <c r="DB1742" s="30"/>
      <c r="DC1742" s="30"/>
      <c r="DD1742" s="30"/>
      <c r="DE1742" s="30"/>
      <c r="DF1742" s="30"/>
      <c r="DG1742" s="30"/>
      <c r="DH1742" s="30"/>
      <c r="DI1742" s="30"/>
      <c r="DJ1742" s="30"/>
      <c r="DK1742" s="30"/>
      <c r="DL1742" s="30"/>
      <c r="DM1742" s="30"/>
      <c r="DN1742" s="30"/>
      <c r="DO1742" s="30"/>
      <c r="DP1742" s="30"/>
      <c r="DQ1742" s="30"/>
      <c r="DR1742" s="30"/>
      <c r="DS1742" s="30"/>
      <c r="DT1742" s="30"/>
      <c r="DU1742" s="30"/>
      <c r="DV1742" s="30"/>
      <c r="DW1742" s="30"/>
      <c r="DX1742" s="30"/>
      <c r="DY1742" s="30"/>
      <c r="DZ1742" s="30"/>
    </row>
    <row r="1743">
      <c r="A1743" s="30"/>
      <c r="B1743" s="42"/>
      <c r="C1743" s="43"/>
      <c r="D1743" s="30"/>
      <c r="E1743" s="28"/>
      <c r="F1743" s="30"/>
      <c r="G1743" s="30"/>
      <c r="H1743" s="30"/>
      <c r="I1743" s="30"/>
      <c r="J1743" s="28"/>
      <c r="K1743" s="30"/>
      <c r="L1743" s="30"/>
      <c r="M1743" s="30"/>
      <c r="N1743" s="30"/>
      <c r="O1743" s="28"/>
      <c r="P1743" s="30"/>
      <c r="Q1743" s="30"/>
      <c r="R1743" s="30"/>
      <c r="S1743" s="36"/>
      <c r="T1743" s="30"/>
      <c r="U1743" s="36"/>
      <c r="V1743" s="30"/>
      <c r="W1743" s="28"/>
      <c r="X1743" s="30"/>
      <c r="Y1743" s="30"/>
      <c r="Z1743" s="30"/>
      <c r="AA1743" s="30"/>
      <c r="AB1743" s="30"/>
      <c r="AC1743" s="28"/>
      <c r="AD1743" s="30"/>
      <c r="AE1743" s="30"/>
      <c r="AF1743" s="30"/>
      <c r="AG1743" s="29"/>
      <c r="AH1743" s="30"/>
      <c r="AI1743" s="36"/>
      <c r="AJ1743" s="30"/>
      <c r="AK1743" s="29"/>
      <c r="AL1743" s="30"/>
      <c r="AM1743" s="30"/>
      <c r="AN1743" s="30"/>
      <c r="AO1743" s="30"/>
      <c r="AP1743" s="30"/>
      <c r="AQ1743" s="38"/>
      <c r="AR1743" s="30"/>
      <c r="AS1743" s="30"/>
      <c r="AT1743" s="29"/>
      <c r="AU1743" s="30"/>
      <c r="AV1743" s="30"/>
      <c r="AW1743" s="30"/>
      <c r="AX1743" s="29"/>
      <c r="AY1743" s="39"/>
      <c r="AZ1743" s="30"/>
      <c r="BA1743" s="30"/>
      <c r="BB1743" s="29"/>
      <c r="BC1743" s="52"/>
      <c r="BD1743" s="30"/>
      <c r="BE1743" s="29"/>
      <c r="BF1743" s="30"/>
      <c r="BG1743" s="30"/>
      <c r="BH1743" s="30"/>
      <c r="BI1743" s="30"/>
      <c r="BJ1743" s="30"/>
      <c r="BK1743" s="30"/>
      <c r="BL1743" s="30"/>
      <c r="BM1743" s="30"/>
      <c r="BN1743" s="30"/>
      <c r="BO1743" s="30"/>
      <c r="BP1743" s="30"/>
      <c r="BQ1743" s="30"/>
      <c r="BR1743" s="30"/>
      <c r="BS1743" s="30"/>
      <c r="BT1743" s="30"/>
      <c r="BU1743" s="30"/>
      <c r="BV1743" s="30"/>
      <c r="BW1743" s="30"/>
      <c r="BX1743" s="30"/>
      <c r="BY1743" s="30"/>
      <c r="BZ1743" s="30"/>
      <c r="CA1743" s="30"/>
      <c r="CB1743" s="30"/>
      <c r="CC1743" s="30"/>
      <c r="CD1743" s="30"/>
      <c r="CE1743" s="30"/>
      <c r="CF1743" s="30"/>
      <c r="CG1743" s="30"/>
      <c r="CH1743" s="30"/>
      <c r="CI1743" s="30"/>
      <c r="CJ1743" s="30"/>
      <c r="CK1743" s="30"/>
      <c r="CL1743" s="30"/>
      <c r="CM1743" s="30"/>
      <c r="CN1743" s="30"/>
      <c r="CO1743" s="30"/>
      <c r="CP1743" s="30"/>
      <c r="CQ1743" s="30"/>
      <c r="CR1743" s="30"/>
      <c r="CS1743" s="30"/>
      <c r="CT1743" s="30"/>
      <c r="CU1743" s="30"/>
      <c r="CV1743" s="30"/>
      <c r="CW1743" s="30"/>
      <c r="CX1743" s="30"/>
      <c r="CY1743" s="30"/>
      <c r="CZ1743" s="30"/>
      <c r="DA1743" s="30"/>
      <c r="DB1743" s="30"/>
      <c r="DC1743" s="30"/>
      <c r="DD1743" s="30"/>
      <c r="DE1743" s="30"/>
      <c r="DF1743" s="30"/>
      <c r="DG1743" s="30"/>
      <c r="DH1743" s="30"/>
      <c r="DI1743" s="30"/>
      <c r="DJ1743" s="30"/>
      <c r="DK1743" s="30"/>
      <c r="DL1743" s="30"/>
      <c r="DM1743" s="30"/>
      <c r="DN1743" s="30"/>
      <c r="DO1743" s="30"/>
      <c r="DP1743" s="30"/>
      <c r="DQ1743" s="30"/>
      <c r="DR1743" s="30"/>
      <c r="DS1743" s="30"/>
      <c r="DT1743" s="30"/>
      <c r="DU1743" s="30"/>
      <c r="DV1743" s="30"/>
      <c r="DW1743" s="30"/>
      <c r="DX1743" s="30"/>
      <c r="DY1743" s="30"/>
      <c r="DZ1743" s="30"/>
    </row>
    <row r="1744">
      <c r="A1744" s="30"/>
      <c r="B1744" s="42"/>
      <c r="C1744" s="43"/>
      <c r="D1744" s="30"/>
      <c r="E1744" s="28"/>
      <c r="F1744" s="30"/>
      <c r="G1744" s="30"/>
      <c r="H1744" s="30"/>
      <c r="I1744" s="30"/>
      <c r="J1744" s="28"/>
      <c r="K1744" s="30"/>
      <c r="L1744" s="30"/>
      <c r="M1744" s="30"/>
      <c r="N1744" s="30"/>
      <c r="O1744" s="28"/>
      <c r="P1744" s="30"/>
      <c r="Q1744" s="30"/>
      <c r="R1744" s="30"/>
      <c r="S1744" s="36"/>
      <c r="T1744" s="30"/>
      <c r="U1744" s="36"/>
      <c r="V1744" s="30"/>
      <c r="W1744" s="28"/>
      <c r="X1744" s="30"/>
      <c r="Y1744" s="30"/>
      <c r="Z1744" s="30"/>
      <c r="AA1744" s="30"/>
      <c r="AB1744" s="30"/>
      <c r="AC1744" s="28"/>
      <c r="AD1744" s="30"/>
      <c r="AE1744" s="30"/>
      <c r="AF1744" s="30"/>
      <c r="AG1744" s="29"/>
      <c r="AH1744" s="30"/>
      <c r="AI1744" s="36"/>
      <c r="AJ1744" s="30"/>
      <c r="AK1744" s="29"/>
      <c r="AL1744" s="30"/>
      <c r="AM1744" s="30"/>
      <c r="AN1744" s="30"/>
      <c r="AO1744" s="30"/>
      <c r="AP1744" s="30"/>
      <c r="AQ1744" s="38"/>
      <c r="AR1744" s="30"/>
      <c r="AS1744" s="30"/>
      <c r="AT1744" s="29"/>
      <c r="AU1744" s="30"/>
      <c r="AV1744" s="30"/>
      <c r="AW1744" s="30"/>
      <c r="AX1744" s="29"/>
      <c r="AY1744" s="39"/>
      <c r="AZ1744" s="30"/>
      <c r="BA1744" s="30"/>
      <c r="BB1744" s="29"/>
      <c r="BC1744" s="52"/>
      <c r="BD1744" s="30"/>
      <c r="BE1744" s="29"/>
      <c r="BF1744" s="30"/>
      <c r="BG1744" s="30"/>
      <c r="BH1744" s="30"/>
      <c r="BI1744" s="30"/>
      <c r="BJ1744" s="30"/>
      <c r="BK1744" s="30"/>
      <c r="BL1744" s="30"/>
      <c r="BM1744" s="30"/>
      <c r="BN1744" s="30"/>
      <c r="BO1744" s="30"/>
      <c r="BP1744" s="30"/>
      <c r="BQ1744" s="30"/>
      <c r="BR1744" s="30"/>
      <c r="BS1744" s="30"/>
      <c r="BT1744" s="30"/>
      <c r="BU1744" s="30"/>
      <c r="BV1744" s="30"/>
      <c r="BW1744" s="30"/>
      <c r="BX1744" s="30"/>
      <c r="BY1744" s="30"/>
      <c r="BZ1744" s="30"/>
      <c r="CA1744" s="30"/>
      <c r="CB1744" s="30"/>
      <c r="CC1744" s="30"/>
      <c r="CD1744" s="30"/>
      <c r="CE1744" s="30"/>
      <c r="CF1744" s="30"/>
      <c r="CG1744" s="30"/>
      <c r="CH1744" s="30"/>
      <c r="CI1744" s="30"/>
      <c r="CJ1744" s="30"/>
      <c r="CK1744" s="30"/>
      <c r="CL1744" s="30"/>
      <c r="CM1744" s="30"/>
      <c r="CN1744" s="30"/>
      <c r="CO1744" s="30"/>
      <c r="CP1744" s="30"/>
      <c r="CQ1744" s="30"/>
      <c r="CR1744" s="30"/>
      <c r="CS1744" s="30"/>
      <c r="CT1744" s="30"/>
      <c r="CU1744" s="30"/>
      <c r="CV1744" s="30"/>
      <c r="CW1744" s="30"/>
      <c r="CX1744" s="30"/>
      <c r="CY1744" s="30"/>
      <c r="CZ1744" s="30"/>
      <c r="DA1744" s="30"/>
      <c r="DB1744" s="30"/>
      <c r="DC1744" s="30"/>
      <c r="DD1744" s="30"/>
      <c r="DE1744" s="30"/>
      <c r="DF1744" s="30"/>
      <c r="DG1744" s="30"/>
      <c r="DH1744" s="30"/>
      <c r="DI1744" s="30"/>
      <c r="DJ1744" s="30"/>
      <c r="DK1744" s="30"/>
      <c r="DL1744" s="30"/>
      <c r="DM1744" s="30"/>
      <c r="DN1744" s="30"/>
      <c r="DO1744" s="30"/>
      <c r="DP1744" s="30"/>
      <c r="DQ1744" s="30"/>
      <c r="DR1744" s="30"/>
      <c r="DS1744" s="30"/>
      <c r="DT1744" s="30"/>
      <c r="DU1744" s="30"/>
      <c r="DV1744" s="30"/>
      <c r="DW1744" s="30"/>
      <c r="DX1744" s="30"/>
      <c r="DY1744" s="30"/>
      <c r="DZ1744" s="30"/>
    </row>
    <row r="1745">
      <c r="A1745" s="30"/>
      <c r="B1745" s="42"/>
      <c r="C1745" s="43"/>
      <c r="D1745" s="30"/>
      <c r="E1745" s="28"/>
      <c r="F1745" s="30"/>
      <c r="G1745" s="30"/>
      <c r="H1745" s="30"/>
      <c r="I1745" s="30"/>
      <c r="J1745" s="28"/>
      <c r="K1745" s="30"/>
      <c r="L1745" s="30"/>
      <c r="M1745" s="30"/>
      <c r="N1745" s="30"/>
      <c r="O1745" s="28"/>
      <c r="P1745" s="30"/>
      <c r="Q1745" s="30"/>
      <c r="R1745" s="30"/>
      <c r="S1745" s="36"/>
      <c r="T1745" s="30"/>
      <c r="U1745" s="36"/>
      <c r="V1745" s="30"/>
      <c r="W1745" s="28"/>
      <c r="X1745" s="30"/>
      <c r="Y1745" s="30"/>
      <c r="Z1745" s="30"/>
      <c r="AA1745" s="30"/>
      <c r="AB1745" s="30"/>
      <c r="AC1745" s="28"/>
      <c r="AD1745" s="30"/>
      <c r="AE1745" s="30"/>
      <c r="AF1745" s="30"/>
      <c r="AG1745" s="29"/>
      <c r="AH1745" s="30"/>
      <c r="AI1745" s="36"/>
      <c r="AJ1745" s="30"/>
      <c r="AK1745" s="29"/>
      <c r="AL1745" s="30"/>
      <c r="AM1745" s="30"/>
      <c r="AN1745" s="30"/>
      <c r="AO1745" s="30"/>
      <c r="AP1745" s="30"/>
      <c r="AQ1745" s="38"/>
      <c r="AR1745" s="30"/>
      <c r="AS1745" s="30"/>
      <c r="AT1745" s="29"/>
      <c r="AU1745" s="30"/>
      <c r="AV1745" s="30"/>
      <c r="AW1745" s="30"/>
      <c r="AX1745" s="29"/>
      <c r="AY1745" s="39"/>
      <c r="AZ1745" s="30"/>
      <c r="BA1745" s="30"/>
      <c r="BB1745" s="29"/>
      <c r="BC1745" s="52"/>
      <c r="BD1745" s="30"/>
      <c r="BE1745" s="29"/>
      <c r="BF1745" s="30"/>
      <c r="BG1745" s="30"/>
      <c r="BH1745" s="30"/>
      <c r="BI1745" s="30"/>
      <c r="BJ1745" s="30"/>
      <c r="BK1745" s="30"/>
      <c r="BL1745" s="30"/>
      <c r="BM1745" s="30"/>
      <c r="BN1745" s="30"/>
      <c r="BO1745" s="30"/>
      <c r="BP1745" s="30"/>
      <c r="BQ1745" s="30"/>
      <c r="BR1745" s="30"/>
      <c r="BS1745" s="30"/>
      <c r="BT1745" s="30"/>
      <c r="BU1745" s="30"/>
      <c r="BV1745" s="30"/>
      <c r="BW1745" s="30"/>
      <c r="BX1745" s="30"/>
      <c r="BY1745" s="30"/>
      <c r="BZ1745" s="30"/>
      <c r="CA1745" s="30"/>
      <c r="CB1745" s="30"/>
      <c r="CC1745" s="30"/>
      <c r="CD1745" s="30"/>
      <c r="CE1745" s="30"/>
      <c r="CF1745" s="30"/>
      <c r="CG1745" s="30"/>
      <c r="CH1745" s="30"/>
      <c r="CI1745" s="30"/>
      <c r="CJ1745" s="30"/>
      <c r="CK1745" s="30"/>
      <c r="CL1745" s="30"/>
      <c r="CM1745" s="30"/>
      <c r="CN1745" s="30"/>
      <c r="CO1745" s="30"/>
      <c r="CP1745" s="30"/>
      <c r="CQ1745" s="30"/>
      <c r="CR1745" s="30"/>
      <c r="CS1745" s="30"/>
      <c r="CT1745" s="30"/>
      <c r="CU1745" s="30"/>
      <c r="CV1745" s="30"/>
      <c r="CW1745" s="30"/>
      <c r="CX1745" s="30"/>
      <c r="CY1745" s="30"/>
      <c r="CZ1745" s="30"/>
      <c r="DA1745" s="30"/>
      <c r="DB1745" s="30"/>
      <c r="DC1745" s="30"/>
      <c r="DD1745" s="30"/>
      <c r="DE1745" s="30"/>
      <c r="DF1745" s="30"/>
      <c r="DG1745" s="30"/>
      <c r="DH1745" s="30"/>
      <c r="DI1745" s="30"/>
      <c r="DJ1745" s="30"/>
      <c r="DK1745" s="30"/>
      <c r="DL1745" s="30"/>
      <c r="DM1745" s="30"/>
      <c r="DN1745" s="30"/>
      <c r="DO1745" s="30"/>
      <c r="DP1745" s="30"/>
      <c r="DQ1745" s="30"/>
      <c r="DR1745" s="30"/>
      <c r="DS1745" s="30"/>
      <c r="DT1745" s="30"/>
      <c r="DU1745" s="30"/>
      <c r="DV1745" s="30"/>
      <c r="DW1745" s="30"/>
      <c r="DX1745" s="30"/>
      <c r="DY1745" s="30"/>
      <c r="DZ1745" s="30"/>
    </row>
    <row r="1746">
      <c r="A1746" s="30"/>
      <c r="B1746" s="42"/>
      <c r="C1746" s="43"/>
      <c r="D1746" s="30"/>
      <c r="E1746" s="28"/>
      <c r="F1746" s="30"/>
      <c r="G1746" s="30"/>
      <c r="H1746" s="30"/>
      <c r="I1746" s="30"/>
      <c r="J1746" s="28"/>
      <c r="K1746" s="30"/>
      <c r="L1746" s="30"/>
      <c r="M1746" s="30"/>
      <c r="N1746" s="30"/>
      <c r="O1746" s="28"/>
      <c r="P1746" s="30"/>
      <c r="Q1746" s="30"/>
      <c r="R1746" s="30"/>
      <c r="S1746" s="36"/>
      <c r="T1746" s="30"/>
      <c r="U1746" s="36"/>
      <c r="V1746" s="30"/>
      <c r="W1746" s="28"/>
      <c r="X1746" s="30"/>
      <c r="Y1746" s="30"/>
      <c r="Z1746" s="30"/>
      <c r="AA1746" s="30"/>
      <c r="AB1746" s="30"/>
      <c r="AC1746" s="28"/>
      <c r="AD1746" s="30"/>
      <c r="AE1746" s="30"/>
      <c r="AF1746" s="30"/>
      <c r="AG1746" s="29"/>
      <c r="AH1746" s="30"/>
      <c r="AI1746" s="36"/>
      <c r="AJ1746" s="30"/>
      <c r="AK1746" s="29"/>
      <c r="AL1746" s="30"/>
      <c r="AM1746" s="30"/>
      <c r="AN1746" s="30"/>
      <c r="AO1746" s="30"/>
      <c r="AP1746" s="30"/>
      <c r="AQ1746" s="38"/>
      <c r="AR1746" s="30"/>
      <c r="AS1746" s="30"/>
      <c r="AT1746" s="29"/>
      <c r="AU1746" s="30"/>
      <c r="AV1746" s="30"/>
      <c r="AW1746" s="30"/>
      <c r="AX1746" s="29"/>
      <c r="AY1746" s="39"/>
      <c r="AZ1746" s="30"/>
      <c r="BA1746" s="30"/>
      <c r="BB1746" s="29"/>
      <c r="BC1746" s="52"/>
      <c r="BD1746" s="30"/>
      <c r="BE1746" s="29"/>
      <c r="BF1746" s="30"/>
      <c r="BG1746" s="30"/>
      <c r="BH1746" s="30"/>
      <c r="BI1746" s="30"/>
      <c r="BJ1746" s="30"/>
      <c r="BK1746" s="30"/>
      <c r="BL1746" s="30"/>
      <c r="BM1746" s="30"/>
      <c r="BN1746" s="30"/>
      <c r="BO1746" s="30"/>
      <c r="BP1746" s="30"/>
      <c r="BQ1746" s="30"/>
      <c r="BR1746" s="30"/>
      <c r="BS1746" s="30"/>
      <c r="BT1746" s="30"/>
      <c r="BU1746" s="30"/>
      <c r="BV1746" s="30"/>
      <c r="BW1746" s="30"/>
      <c r="BX1746" s="30"/>
      <c r="BY1746" s="30"/>
      <c r="BZ1746" s="30"/>
      <c r="CA1746" s="30"/>
      <c r="CB1746" s="30"/>
      <c r="CC1746" s="30"/>
      <c r="CD1746" s="30"/>
      <c r="CE1746" s="30"/>
      <c r="CF1746" s="30"/>
      <c r="CG1746" s="30"/>
      <c r="CH1746" s="30"/>
      <c r="CI1746" s="30"/>
      <c r="CJ1746" s="30"/>
      <c r="CK1746" s="30"/>
      <c r="CL1746" s="30"/>
      <c r="CM1746" s="30"/>
      <c r="CN1746" s="30"/>
      <c r="CO1746" s="30"/>
      <c r="CP1746" s="30"/>
      <c r="CQ1746" s="30"/>
      <c r="CR1746" s="30"/>
      <c r="CS1746" s="30"/>
      <c r="CT1746" s="30"/>
      <c r="CU1746" s="30"/>
      <c r="CV1746" s="30"/>
      <c r="CW1746" s="30"/>
      <c r="CX1746" s="30"/>
      <c r="CY1746" s="30"/>
      <c r="CZ1746" s="30"/>
      <c r="DA1746" s="30"/>
      <c r="DB1746" s="30"/>
      <c r="DC1746" s="30"/>
      <c r="DD1746" s="30"/>
      <c r="DE1746" s="30"/>
      <c r="DF1746" s="30"/>
      <c r="DG1746" s="30"/>
      <c r="DH1746" s="30"/>
      <c r="DI1746" s="30"/>
      <c r="DJ1746" s="30"/>
      <c r="DK1746" s="30"/>
      <c r="DL1746" s="30"/>
      <c r="DM1746" s="30"/>
      <c r="DN1746" s="30"/>
      <c r="DO1746" s="30"/>
      <c r="DP1746" s="30"/>
      <c r="DQ1746" s="30"/>
      <c r="DR1746" s="30"/>
      <c r="DS1746" s="30"/>
      <c r="DT1746" s="30"/>
      <c r="DU1746" s="30"/>
      <c r="DV1746" s="30"/>
      <c r="DW1746" s="30"/>
      <c r="DX1746" s="30"/>
      <c r="DY1746" s="30"/>
      <c r="DZ1746" s="30"/>
    </row>
    <row r="1747">
      <c r="A1747" s="30"/>
      <c r="B1747" s="42"/>
      <c r="C1747" s="43"/>
      <c r="D1747" s="30"/>
      <c r="E1747" s="28"/>
      <c r="F1747" s="30"/>
      <c r="G1747" s="30"/>
      <c r="H1747" s="30"/>
      <c r="I1747" s="30"/>
      <c r="J1747" s="28"/>
      <c r="K1747" s="30"/>
      <c r="L1747" s="30"/>
      <c r="M1747" s="30"/>
      <c r="N1747" s="30"/>
      <c r="O1747" s="28"/>
      <c r="P1747" s="30"/>
      <c r="Q1747" s="30"/>
      <c r="R1747" s="30"/>
      <c r="S1747" s="36"/>
      <c r="T1747" s="30"/>
      <c r="U1747" s="36"/>
      <c r="V1747" s="30"/>
      <c r="W1747" s="28"/>
      <c r="X1747" s="30"/>
      <c r="Y1747" s="30"/>
      <c r="Z1747" s="30"/>
      <c r="AA1747" s="30"/>
      <c r="AB1747" s="30"/>
      <c r="AC1747" s="28"/>
      <c r="AD1747" s="30"/>
      <c r="AE1747" s="30"/>
      <c r="AF1747" s="30"/>
      <c r="AG1747" s="29"/>
      <c r="AH1747" s="30"/>
      <c r="AI1747" s="36"/>
      <c r="AJ1747" s="30"/>
      <c r="AK1747" s="29"/>
      <c r="AL1747" s="30"/>
      <c r="AM1747" s="30"/>
      <c r="AN1747" s="30"/>
      <c r="AO1747" s="30"/>
      <c r="AP1747" s="30"/>
      <c r="AQ1747" s="38"/>
      <c r="AR1747" s="30"/>
      <c r="AS1747" s="30"/>
      <c r="AT1747" s="29"/>
      <c r="AU1747" s="30"/>
      <c r="AV1747" s="30"/>
      <c r="AW1747" s="30"/>
      <c r="AX1747" s="29"/>
      <c r="AY1747" s="39"/>
      <c r="AZ1747" s="30"/>
      <c r="BA1747" s="30"/>
      <c r="BB1747" s="29"/>
      <c r="BC1747" s="52"/>
      <c r="BD1747" s="30"/>
      <c r="BE1747" s="29"/>
      <c r="BF1747" s="30"/>
      <c r="BG1747" s="30"/>
      <c r="BH1747" s="30"/>
      <c r="BI1747" s="30"/>
      <c r="BJ1747" s="30"/>
      <c r="BK1747" s="30"/>
      <c r="BL1747" s="30"/>
      <c r="BM1747" s="30"/>
      <c r="BN1747" s="30"/>
      <c r="BO1747" s="30"/>
      <c r="BP1747" s="30"/>
      <c r="BQ1747" s="30"/>
      <c r="BR1747" s="30"/>
      <c r="BS1747" s="30"/>
      <c r="BT1747" s="30"/>
      <c r="BU1747" s="30"/>
      <c r="BV1747" s="30"/>
      <c r="BW1747" s="30"/>
      <c r="BX1747" s="30"/>
      <c r="BY1747" s="30"/>
      <c r="BZ1747" s="30"/>
      <c r="CA1747" s="30"/>
      <c r="CB1747" s="30"/>
      <c r="CC1747" s="30"/>
      <c r="CD1747" s="30"/>
      <c r="CE1747" s="30"/>
      <c r="CF1747" s="30"/>
      <c r="CG1747" s="30"/>
      <c r="CH1747" s="30"/>
      <c r="CI1747" s="30"/>
      <c r="CJ1747" s="30"/>
      <c r="CK1747" s="30"/>
      <c r="CL1747" s="30"/>
      <c r="CM1747" s="30"/>
      <c r="CN1747" s="30"/>
      <c r="CO1747" s="30"/>
      <c r="CP1747" s="30"/>
      <c r="CQ1747" s="30"/>
      <c r="CR1747" s="30"/>
      <c r="CS1747" s="30"/>
      <c r="CT1747" s="30"/>
      <c r="CU1747" s="30"/>
      <c r="CV1747" s="30"/>
      <c r="CW1747" s="30"/>
      <c r="CX1747" s="30"/>
      <c r="CY1747" s="30"/>
      <c r="CZ1747" s="30"/>
      <c r="DA1747" s="30"/>
      <c r="DB1747" s="30"/>
      <c r="DC1747" s="30"/>
      <c r="DD1747" s="30"/>
      <c r="DE1747" s="30"/>
      <c r="DF1747" s="30"/>
      <c r="DG1747" s="30"/>
      <c r="DH1747" s="30"/>
      <c r="DI1747" s="30"/>
      <c r="DJ1747" s="30"/>
      <c r="DK1747" s="30"/>
      <c r="DL1747" s="30"/>
      <c r="DM1747" s="30"/>
      <c r="DN1747" s="30"/>
      <c r="DO1747" s="30"/>
      <c r="DP1747" s="30"/>
      <c r="DQ1747" s="30"/>
      <c r="DR1747" s="30"/>
      <c r="DS1747" s="30"/>
      <c r="DT1747" s="30"/>
      <c r="DU1747" s="30"/>
      <c r="DV1747" s="30"/>
      <c r="DW1747" s="30"/>
      <c r="DX1747" s="30"/>
      <c r="DY1747" s="30"/>
      <c r="DZ1747" s="30"/>
    </row>
    <row r="1748">
      <c r="A1748" s="30"/>
      <c r="B1748" s="42"/>
      <c r="C1748" s="43"/>
      <c r="D1748" s="30"/>
      <c r="E1748" s="28"/>
      <c r="F1748" s="30"/>
      <c r="G1748" s="30"/>
      <c r="H1748" s="30"/>
      <c r="I1748" s="30"/>
      <c r="J1748" s="28"/>
      <c r="K1748" s="30"/>
      <c r="L1748" s="30"/>
      <c r="M1748" s="30"/>
      <c r="N1748" s="30"/>
      <c r="O1748" s="28"/>
      <c r="P1748" s="30"/>
      <c r="Q1748" s="30"/>
      <c r="R1748" s="30"/>
      <c r="S1748" s="36"/>
      <c r="T1748" s="30"/>
      <c r="U1748" s="36"/>
      <c r="V1748" s="30"/>
      <c r="W1748" s="28"/>
      <c r="X1748" s="30"/>
      <c r="Y1748" s="30"/>
      <c r="Z1748" s="30"/>
      <c r="AA1748" s="30"/>
      <c r="AB1748" s="30"/>
      <c r="AC1748" s="28"/>
      <c r="AD1748" s="30"/>
      <c r="AE1748" s="30"/>
      <c r="AF1748" s="30"/>
      <c r="AG1748" s="29"/>
      <c r="AH1748" s="30"/>
      <c r="AI1748" s="36"/>
      <c r="AJ1748" s="30"/>
      <c r="AK1748" s="29"/>
      <c r="AL1748" s="30"/>
      <c r="AM1748" s="30"/>
      <c r="AN1748" s="30"/>
      <c r="AO1748" s="30"/>
      <c r="AP1748" s="30"/>
      <c r="AQ1748" s="38"/>
      <c r="AR1748" s="30"/>
      <c r="AS1748" s="30"/>
      <c r="AT1748" s="29"/>
      <c r="AU1748" s="30"/>
      <c r="AV1748" s="30"/>
      <c r="AW1748" s="30"/>
      <c r="AX1748" s="29"/>
      <c r="AY1748" s="39"/>
      <c r="AZ1748" s="30"/>
      <c r="BA1748" s="30"/>
      <c r="BB1748" s="29"/>
      <c r="BC1748" s="52"/>
      <c r="BD1748" s="30"/>
      <c r="BE1748" s="29"/>
      <c r="BF1748" s="30"/>
      <c r="BG1748" s="30"/>
      <c r="BH1748" s="30"/>
      <c r="BI1748" s="30"/>
      <c r="BJ1748" s="30"/>
      <c r="BK1748" s="30"/>
      <c r="BL1748" s="30"/>
      <c r="BM1748" s="30"/>
      <c r="BN1748" s="30"/>
      <c r="BO1748" s="30"/>
      <c r="BP1748" s="30"/>
      <c r="BQ1748" s="30"/>
      <c r="BR1748" s="30"/>
      <c r="BS1748" s="30"/>
      <c r="BT1748" s="30"/>
      <c r="BU1748" s="30"/>
      <c r="BV1748" s="30"/>
      <c r="BW1748" s="30"/>
      <c r="BX1748" s="30"/>
      <c r="BY1748" s="30"/>
      <c r="BZ1748" s="30"/>
      <c r="CA1748" s="30"/>
      <c r="CB1748" s="30"/>
      <c r="CC1748" s="30"/>
      <c r="CD1748" s="30"/>
      <c r="CE1748" s="30"/>
      <c r="CF1748" s="30"/>
      <c r="CG1748" s="30"/>
      <c r="CH1748" s="30"/>
      <c r="CI1748" s="30"/>
      <c r="CJ1748" s="30"/>
      <c r="CK1748" s="30"/>
      <c r="CL1748" s="30"/>
      <c r="CM1748" s="30"/>
      <c r="CN1748" s="30"/>
      <c r="CO1748" s="30"/>
      <c r="CP1748" s="30"/>
      <c r="CQ1748" s="30"/>
      <c r="CR1748" s="30"/>
      <c r="CS1748" s="30"/>
      <c r="CT1748" s="30"/>
      <c r="CU1748" s="30"/>
      <c r="CV1748" s="30"/>
      <c r="CW1748" s="30"/>
      <c r="CX1748" s="30"/>
      <c r="CY1748" s="30"/>
      <c r="CZ1748" s="30"/>
      <c r="DA1748" s="30"/>
      <c r="DB1748" s="30"/>
      <c r="DC1748" s="30"/>
      <c r="DD1748" s="30"/>
      <c r="DE1748" s="30"/>
      <c r="DF1748" s="30"/>
      <c r="DG1748" s="30"/>
      <c r="DH1748" s="30"/>
      <c r="DI1748" s="30"/>
      <c r="DJ1748" s="30"/>
      <c r="DK1748" s="30"/>
      <c r="DL1748" s="30"/>
      <c r="DM1748" s="30"/>
      <c r="DN1748" s="30"/>
      <c r="DO1748" s="30"/>
      <c r="DP1748" s="30"/>
      <c r="DQ1748" s="30"/>
      <c r="DR1748" s="30"/>
      <c r="DS1748" s="30"/>
      <c r="DT1748" s="30"/>
      <c r="DU1748" s="30"/>
      <c r="DV1748" s="30"/>
      <c r="DW1748" s="30"/>
      <c r="DX1748" s="30"/>
      <c r="DY1748" s="30"/>
      <c r="DZ1748" s="30"/>
    </row>
    <row r="1749">
      <c r="A1749" s="30"/>
      <c r="B1749" s="42"/>
      <c r="C1749" s="43"/>
      <c r="D1749" s="30"/>
      <c r="E1749" s="28"/>
      <c r="F1749" s="30"/>
      <c r="G1749" s="30"/>
      <c r="H1749" s="30"/>
      <c r="I1749" s="30"/>
      <c r="J1749" s="28"/>
      <c r="K1749" s="30"/>
      <c r="L1749" s="30"/>
      <c r="M1749" s="30"/>
      <c r="N1749" s="30"/>
      <c r="O1749" s="28"/>
      <c r="P1749" s="30"/>
      <c r="Q1749" s="30"/>
      <c r="R1749" s="30"/>
      <c r="S1749" s="36"/>
      <c r="T1749" s="30"/>
      <c r="U1749" s="36"/>
      <c r="V1749" s="30"/>
      <c r="W1749" s="28"/>
      <c r="X1749" s="30"/>
      <c r="Y1749" s="30"/>
      <c r="Z1749" s="30"/>
      <c r="AA1749" s="30"/>
      <c r="AB1749" s="30"/>
      <c r="AC1749" s="28"/>
      <c r="AD1749" s="30"/>
      <c r="AE1749" s="30"/>
      <c r="AF1749" s="30"/>
      <c r="AG1749" s="29"/>
      <c r="AH1749" s="30"/>
      <c r="AI1749" s="36"/>
      <c r="AJ1749" s="30"/>
      <c r="AK1749" s="29"/>
      <c r="AL1749" s="30"/>
      <c r="AM1749" s="30"/>
      <c r="AN1749" s="30"/>
      <c r="AO1749" s="30"/>
      <c r="AP1749" s="30"/>
      <c r="AQ1749" s="38"/>
      <c r="AR1749" s="30"/>
      <c r="AS1749" s="30"/>
      <c r="AT1749" s="29"/>
      <c r="AU1749" s="30"/>
      <c r="AV1749" s="30"/>
      <c r="AW1749" s="30"/>
      <c r="AX1749" s="29"/>
      <c r="AY1749" s="39"/>
      <c r="AZ1749" s="30"/>
      <c r="BA1749" s="30"/>
      <c r="BB1749" s="29"/>
      <c r="BC1749" s="52"/>
      <c r="BD1749" s="30"/>
      <c r="BE1749" s="29"/>
      <c r="BF1749" s="30"/>
      <c r="BG1749" s="30"/>
      <c r="BH1749" s="30"/>
      <c r="BI1749" s="30"/>
      <c r="BJ1749" s="30"/>
      <c r="BK1749" s="30"/>
      <c r="BL1749" s="30"/>
      <c r="BM1749" s="30"/>
      <c r="BN1749" s="30"/>
      <c r="BO1749" s="30"/>
      <c r="BP1749" s="30"/>
      <c r="BQ1749" s="30"/>
      <c r="BR1749" s="30"/>
      <c r="BS1749" s="30"/>
      <c r="BT1749" s="30"/>
      <c r="BU1749" s="30"/>
      <c r="BV1749" s="30"/>
      <c r="BW1749" s="30"/>
      <c r="BX1749" s="30"/>
      <c r="BY1749" s="30"/>
      <c r="BZ1749" s="30"/>
      <c r="CA1749" s="30"/>
      <c r="CB1749" s="30"/>
      <c r="CC1749" s="30"/>
      <c r="CD1749" s="30"/>
      <c r="CE1749" s="30"/>
      <c r="CF1749" s="30"/>
      <c r="CG1749" s="30"/>
      <c r="CH1749" s="30"/>
      <c r="CI1749" s="30"/>
      <c r="CJ1749" s="30"/>
      <c r="CK1749" s="30"/>
      <c r="CL1749" s="30"/>
      <c r="CM1749" s="30"/>
      <c r="CN1749" s="30"/>
      <c r="CO1749" s="30"/>
      <c r="CP1749" s="30"/>
      <c r="CQ1749" s="30"/>
      <c r="CR1749" s="30"/>
      <c r="CS1749" s="30"/>
      <c r="CT1749" s="30"/>
      <c r="CU1749" s="30"/>
      <c r="CV1749" s="30"/>
      <c r="CW1749" s="30"/>
      <c r="CX1749" s="30"/>
      <c r="CY1749" s="30"/>
      <c r="CZ1749" s="30"/>
      <c r="DA1749" s="30"/>
      <c r="DB1749" s="30"/>
      <c r="DC1749" s="30"/>
      <c r="DD1749" s="30"/>
      <c r="DE1749" s="30"/>
      <c r="DF1749" s="30"/>
      <c r="DG1749" s="30"/>
      <c r="DH1749" s="30"/>
      <c r="DI1749" s="30"/>
      <c r="DJ1749" s="30"/>
      <c r="DK1749" s="30"/>
      <c r="DL1749" s="30"/>
      <c r="DM1749" s="30"/>
      <c r="DN1749" s="30"/>
      <c r="DO1749" s="30"/>
      <c r="DP1749" s="30"/>
      <c r="DQ1749" s="30"/>
      <c r="DR1749" s="30"/>
      <c r="DS1749" s="30"/>
      <c r="DT1749" s="30"/>
      <c r="DU1749" s="30"/>
      <c r="DV1749" s="30"/>
      <c r="DW1749" s="30"/>
      <c r="DX1749" s="30"/>
      <c r="DY1749" s="30"/>
      <c r="DZ1749" s="30"/>
    </row>
    <row r="1750">
      <c r="A1750" s="30"/>
      <c r="B1750" s="42"/>
      <c r="C1750" s="43"/>
      <c r="D1750" s="30"/>
      <c r="E1750" s="28"/>
      <c r="F1750" s="30"/>
      <c r="G1750" s="30"/>
      <c r="H1750" s="30"/>
      <c r="I1750" s="30"/>
      <c r="J1750" s="28"/>
      <c r="K1750" s="30"/>
      <c r="L1750" s="30"/>
      <c r="M1750" s="30"/>
      <c r="N1750" s="30"/>
      <c r="O1750" s="28"/>
      <c r="P1750" s="30"/>
      <c r="Q1750" s="30"/>
      <c r="R1750" s="30"/>
      <c r="S1750" s="36"/>
      <c r="T1750" s="30"/>
      <c r="U1750" s="36"/>
      <c r="V1750" s="30"/>
      <c r="W1750" s="28"/>
      <c r="X1750" s="30"/>
      <c r="Y1750" s="30"/>
      <c r="Z1750" s="30"/>
      <c r="AA1750" s="30"/>
      <c r="AB1750" s="30"/>
      <c r="AC1750" s="28"/>
      <c r="AD1750" s="30"/>
      <c r="AE1750" s="30"/>
      <c r="AF1750" s="30"/>
      <c r="AG1750" s="29"/>
      <c r="AH1750" s="30"/>
      <c r="AI1750" s="36"/>
      <c r="AJ1750" s="30"/>
      <c r="AK1750" s="29"/>
      <c r="AL1750" s="30"/>
      <c r="AM1750" s="30"/>
      <c r="AN1750" s="30"/>
      <c r="AO1750" s="30"/>
      <c r="AP1750" s="30"/>
      <c r="AQ1750" s="38"/>
      <c r="AR1750" s="30"/>
      <c r="AS1750" s="30"/>
      <c r="AT1750" s="29"/>
      <c r="AU1750" s="30"/>
      <c r="AV1750" s="30"/>
      <c r="AW1750" s="30"/>
      <c r="AX1750" s="29"/>
      <c r="AY1750" s="39"/>
      <c r="AZ1750" s="30"/>
      <c r="BA1750" s="30"/>
      <c r="BB1750" s="29"/>
      <c r="BC1750" s="52"/>
      <c r="BD1750" s="30"/>
      <c r="BE1750" s="29"/>
      <c r="BF1750" s="30"/>
      <c r="BG1750" s="30"/>
      <c r="BH1750" s="30"/>
      <c r="BI1750" s="30"/>
      <c r="BJ1750" s="30"/>
      <c r="BK1750" s="30"/>
      <c r="BL1750" s="30"/>
      <c r="BM1750" s="30"/>
      <c r="BN1750" s="30"/>
      <c r="BO1750" s="30"/>
      <c r="BP1750" s="30"/>
      <c r="BQ1750" s="30"/>
      <c r="BR1750" s="30"/>
      <c r="BS1750" s="30"/>
      <c r="BT1750" s="30"/>
      <c r="BU1750" s="30"/>
      <c r="BV1750" s="30"/>
      <c r="BW1750" s="30"/>
      <c r="BX1750" s="30"/>
      <c r="BY1750" s="30"/>
      <c r="BZ1750" s="30"/>
      <c r="CA1750" s="30"/>
      <c r="CB1750" s="30"/>
      <c r="CC1750" s="30"/>
      <c r="CD1750" s="30"/>
      <c r="CE1750" s="30"/>
      <c r="CF1750" s="30"/>
      <c r="CG1750" s="30"/>
      <c r="CH1750" s="30"/>
      <c r="CI1750" s="30"/>
      <c r="CJ1750" s="30"/>
      <c r="CK1750" s="30"/>
      <c r="CL1750" s="30"/>
      <c r="CM1750" s="30"/>
      <c r="CN1750" s="30"/>
      <c r="CO1750" s="30"/>
      <c r="CP1750" s="30"/>
      <c r="CQ1750" s="30"/>
      <c r="CR1750" s="30"/>
      <c r="CS1750" s="30"/>
      <c r="CT1750" s="30"/>
      <c r="CU1750" s="30"/>
      <c r="CV1750" s="30"/>
      <c r="CW1750" s="30"/>
      <c r="CX1750" s="30"/>
      <c r="CY1750" s="30"/>
      <c r="CZ1750" s="30"/>
      <c r="DA1750" s="30"/>
      <c r="DB1750" s="30"/>
      <c r="DC1750" s="30"/>
      <c r="DD1750" s="30"/>
      <c r="DE1750" s="30"/>
      <c r="DF1750" s="30"/>
      <c r="DG1750" s="30"/>
      <c r="DH1750" s="30"/>
      <c r="DI1750" s="30"/>
      <c r="DJ1750" s="30"/>
      <c r="DK1750" s="30"/>
      <c r="DL1750" s="30"/>
      <c r="DM1750" s="30"/>
      <c r="DN1750" s="30"/>
      <c r="DO1750" s="30"/>
      <c r="DP1750" s="30"/>
      <c r="DQ1750" s="30"/>
      <c r="DR1750" s="30"/>
      <c r="DS1750" s="30"/>
      <c r="DT1750" s="30"/>
      <c r="DU1750" s="30"/>
      <c r="DV1750" s="30"/>
      <c r="DW1750" s="30"/>
      <c r="DX1750" s="30"/>
      <c r="DY1750" s="30"/>
      <c r="DZ1750" s="30"/>
    </row>
    <row r="1751">
      <c r="A1751" s="30"/>
      <c r="B1751" s="42"/>
      <c r="C1751" s="43"/>
      <c r="D1751" s="30"/>
      <c r="E1751" s="28"/>
      <c r="F1751" s="30"/>
      <c r="G1751" s="30"/>
      <c r="H1751" s="30"/>
      <c r="I1751" s="30"/>
      <c r="J1751" s="28"/>
      <c r="K1751" s="30"/>
      <c r="L1751" s="30"/>
      <c r="M1751" s="30"/>
      <c r="N1751" s="30"/>
      <c r="O1751" s="28"/>
      <c r="P1751" s="30"/>
      <c r="Q1751" s="30"/>
      <c r="R1751" s="30"/>
      <c r="S1751" s="36"/>
      <c r="T1751" s="30"/>
      <c r="U1751" s="36"/>
      <c r="V1751" s="30"/>
      <c r="W1751" s="28"/>
      <c r="X1751" s="30"/>
      <c r="Y1751" s="30"/>
      <c r="Z1751" s="30"/>
      <c r="AA1751" s="30"/>
      <c r="AB1751" s="30"/>
      <c r="AC1751" s="28"/>
      <c r="AD1751" s="30"/>
      <c r="AE1751" s="30"/>
      <c r="AF1751" s="30"/>
      <c r="AG1751" s="29"/>
      <c r="AH1751" s="30"/>
      <c r="AI1751" s="36"/>
      <c r="AJ1751" s="30"/>
      <c r="AK1751" s="29"/>
      <c r="AL1751" s="30"/>
      <c r="AM1751" s="30"/>
      <c r="AN1751" s="30"/>
      <c r="AO1751" s="30"/>
      <c r="AP1751" s="30"/>
      <c r="AQ1751" s="38"/>
      <c r="AR1751" s="30"/>
      <c r="AS1751" s="30"/>
      <c r="AT1751" s="29"/>
      <c r="AU1751" s="30"/>
      <c r="AV1751" s="30"/>
      <c r="AW1751" s="30"/>
      <c r="AX1751" s="29"/>
      <c r="AY1751" s="39"/>
      <c r="AZ1751" s="30"/>
      <c r="BA1751" s="30"/>
      <c r="BB1751" s="29"/>
      <c r="BC1751" s="52"/>
      <c r="BD1751" s="30"/>
      <c r="BE1751" s="29"/>
      <c r="BF1751" s="30"/>
      <c r="BG1751" s="30"/>
      <c r="BH1751" s="30"/>
      <c r="BI1751" s="30"/>
      <c r="BJ1751" s="30"/>
      <c r="BK1751" s="30"/>
      <c r="BL1751" s="30"/>
      <c r="BM1751" s="30"/>
      <c r="BN1751" s="30"/>
      <c r="BO1751" s="30"/>
      <c r="BP1751" s="30"/>
      <c r="BQ1751" s="30"/>
      <c r="BR1751" s="30"/>
      <c r="BS1751" s="30"/>
      <c r="BT1751" s="30"/>
      <c r="BU1751" s="30"/>
      <c r="BV1751" s="30"/>
      <c r="BW1751" s="30"/>
      <c r="BX1751" s="30"/>
      <c r="BY1751" s="30"/>
      <c r="BZ1751" s="30"/>
      <c r="CA1751" s="30"/>
      <c r="CB1751" s="30"/>
      <c r="CC1751" s="30"/>
      <c r="CD1751" s="30"/>
      <c r="CE1751" s="30"/>
      <c r="CF1751" s="30"/>
      <c r="CG1751" s="30"/>
      <c r="CH1751" s="30"/>
      <c r="CI1751" s="30"/>
      <c r="CJ1751" s="30"/>
      <c r="CK1751" s="30"/>
      <c r="CL1751" s="30"/>
      <c r="CM1751" s="30"/>
      <c r="CN1751" s="30"/>
      <c r="CO1751" s="30"/>
      <c r="CP1751" s="30"/>
      <c r="CQ1751" s="30"/>
      <c r="CR1751" s="30"/>
      <c r="CS1751" s="30"/>
      <c r="CT1751" s="30"/>
      <c r="CU1751" s="30"/>
      <c r="CV1751" s="30"/>
      <c r="CW1751" s="30"/>
      <c r="CX1751" s="30"/>
      <c r="CY1751" s="30"/>
      <c r="CZ1751" s="30"/>
      <c r="DA1751" s="30"/>
      <c r="DB1751" s="30"/>
      <c r="DC1751" s="30"/>
      <c r="DD1751" s="30"/>
      <c r="DE1751" s="30"/>
      <c r="DF1751" s="30"/>
      <c r="DG1751" s="30"/>
      <c r="DH1751" s="30"/>
      <c r="DI1751" s="30"/>
      <c r="DJ1751" s="30"/>
      <c r="DK1751" s="30"/>
      <c r="DL1751" s="30"/>
      <c r="DM1751" s="30"/>
      <c r="DN1751" s="30"/>
      <c r="DO1751" s="30"/>
      <c r="DP1751" s="30"/>
      <c r="DQ1751" s="30"/>
      <c r="DR1751" s="30"/>
      <c r="DS1751" s="30"/>
      <c r="DT1751" s="30"/>
      <c r="DU1751" s="30"/>
      <c r="DV1751" s="30"/>
      <c r="DW1751" s="30"/>
      <c r="DX1751" s="30"/>
      <c r="DY1751" s="30"/>
      <c r="DZ1751" s="30"/>
    </row>
    <row r="1752">
      <c r="A1752" s="30"/>
      <c r="B1752" s="42"/>
      <c r="C1752" s="43"/>
      <c r="D1752" s="30"/>
      <c r="E1752" s="28"/>
      <c r="F1752" s="30"/>
      <c r="G1752" s="30"/>
      <c r="H1752" s="30"/>
      <c r="I1752" s="30"/>
      <c r="J1752" s="28"/>
      <c r="K1752" s="30"/>
      <c r="L1752" s="30"/>
      <c r="M1752" s="30"/>
      <c r="N1752" s="30"/>
      <c r="O1752" s="28"/>
      <c r="P1752" s="30"/>
      <c r="Q1752" s="30"/>
      <c r="R1752" s="30"/>
      <c r="S1752" s="36"/>
      <c r="T1752" s="30"/>
      <c r="U1752" s="36"/>
      <c r="V1752" s="30"/>
      <c r="W1752" s="28"/>
      <c r="X1752" s="30"/>
      <c r="Y1752" s="30"/>
      <c r="Z1752" s="30"/>
      <c r="AA1752" s="30"/>
      <c r="AB1752" s="30"/>
      <c r="AC1752" s="28"/>
      <c r="AD1752" s="30"/>
      <c r="AE1752" s="30"/>
      <c r="AF1752" s="30"/>
      <c r="AG1752" s="29"/>
      <c r="AH1752" s="30"/>
      <c r="AI1752" s="36"/>
      <c r="AJ1752" s="30"/>
      <c r="AK1752" s="29"/>
      <c r="AL1752" s="30"/>
      <c r="AM1752" s="30"/>
      <c r="AN1752" s="30"/>
      <c r="AO1752" s="30"/>
      <c r="AP1752" s="30"/>
      <c r="AQ1752" s="38"/>
      <c r="AR1752" s="30"/>
      <c r="AS1752" s="30"/>
      <c r="AT1752" s="29"/>
      <c r="AU1752" s="30"/>
      <c r="AV1752" s="30"/>
      <c r="AW1752" s="30"/>
      <c r="AX1752" s="29"/>
      <c r="AY1752" s="39"/>
      <c r="AZ1752" s="30"/>
      <c r="BA1752" s="30"/>
      <c r="BB1752" s="29"/>
      <c r="BC1752" s="52"/>
      <c r="BD1752" s="30"/>
      <c r="BE1752" s="29"/>
      <c r="BF1752" s="30"/>
      <c r="BG1752" s="30"/>
      <c r="BH1752" s="30"/>
      <c r="BI1752" s="30"/>
      <c r="BJ1752" s="30"/>
      <c r="BK1752" s="30"/>
      <c r="BL1752" s="30"/>
      <c r="BM1752" s="30"/>
      <c r="BN1752" s="30"/>
      <c r="BO1752" s="30"/>
      <c r="BP1752" s="30"/>
      <c r="BQ1752" s="30"/>
      <c r="BR1752" s="30"/>
      <c r="BS1752" s="30"/>
      <c r="BT1752" s="30"/>
      <c r="BU1752" s="30"/>
      <c r="BV1752" s="30"/>
      <c r="BW1752" s="30"/>
      <c r="BX1752" s="30"/>
      <c r="BY1752" s="30"/>
      <c r="BZ1752" s="30"/>
      <c r="CA1752" s="30"/>
      <c r="CB1752" s="30"/>
      <c r="CC1752" s="30"/>
      <c r="CD1752" s="30"/>
      <c r="CE1752" s="30"/>
      <c r="CF1752" s="30"/>
      <c r="CG1752" s="30"/>
      <c r="CH1752" s="30"/>
      <c r="CI1752" s="30"/>
      <c r="CJ1752" s="30"/>
      <c r="CK1752" s="30"/>
      <c r="CL1752" s="30"/>
      <c r="CM1752" s="30"/>
      <c r="CN1752" s="30"/>
      <c r="CO1752" s="30"/>
      <c r="CP1752" s="30"/>
      <c r="CQ1752" s="30"/>
      <c r="CR1752" s="30"/>
      <c r="CS1752" s="30"/>
      <c r="CT1752" s="30"/>
      <c r="CU1752" s="30"/>
      <c r="CV1752" s="30"/>
      <c r="CW1752" s="30"/>
      <c r="CX1752" s="30"/>
      <c r="CY1752" s="30"/>
      <c r="CZ1752" s="30"/>
      <c r="DA1752" s="30"/>
      <c r="DB1752" s="30"/>
      <c r="DC1752" s="30"/>
      <c r="DD1752" s="30"/>
      <c r="DE1752" s="30"/>
      <c r="DF1752" s="30"/>
      <c r="DG1752" s="30"/>
      <c r="DH1752" s="30"/>
      <c r="DI1752" s="30"/>
      <c r="DJ1752" s="30"/>
      <c r="DK1752" s="30"/>
      <c r="DL1752" s="30"/>
      <c r="DM1752" s="30"/>
      <c r="DN1752" s="30"/>
      <c r="DO1752" s="30"/>
      <c r="DP1752" s="30"/>
      <c r="DQ1752" s="30"/>
      <c r="DR1752" s="30"/>
      <c r="DS1752" s="30"/>
      <c r="DT1752" s="30"/>
      <c r="DU1752" s="30"/>
      <c r="DV1752" s="30"/>
      <c r="DW1752" s="30"/>
      <c r="DX1752" s="30"/>
      <c r="DY1752" s="30"/>
      <c r="DZ1752" s="30"/>
    </row>
    <row r="1753">
      <c r="A1753" s="30"/>
      <c r="B1753" s="42"/>
      <c r="C1753" s="43"/>
      <c r="D1753" s="30"/>
      <c r="E1753" s="28"/>
      <c r="F1753" s="30"/>
      <c r="G1753" s="30"/>
      <c r="H1753" s="30"/>
      <c r="I1753" s="30"/>
      <c r="J1753" s="28"/>
      <c r="K1753" s="30"/>
      <c r="L1753" s="30"/>
      <c r="M1753" s="30"/>
      <c r="N1753" s="30"/>
      <c r="O1753" s="28"/>
      <c r="P1753" s="30"/>
      <c r="Q1753" s="30"/>
      <c r="R1753" s="30"/>
      <c r="S1753" s="36"/>
      <c r="T1753" s="30"/>
      <c r="U1753" s="36"/>
      <c r="V1753" s="30"/>
      <c r="W1753" s="28"/>
      <c r="X1753" s="30"/>
      <c r="Y1753" s="30"/>
      <c r="Z1753" s="30"/>
      <c r="AA1753" s="30"/>
      <c r="AB1753" s="30"/>
      <c r="AC1753" s="28"/>
      <c r="AD1753" s="30"/>
      <c r="AE1753" s="30"/>
      <c r="AF1753" s="30"/>
      <c r="AG1753" s="29"/>
      <c r="AH1753" s="30"/>
      <c r="AI1753" s="36"/>
      <c r="AJ1753" s="30"/>
      <c r="AK1753" s="29"/>
      <c r="AL1753" s="30"/>
      <c r="AM1753" s="30"/>
      <c r="AN1753" s="30"/>
      <c r="AO1753" s="30"/>
      <c r="AP1753" s="30"/>
      <c r="AQ1753" s="38"/>
      <c r="AR1753" s="30"/>
      <c r="AS1753" s="30"/>
      <c r="AT1753" s="29"/>
      <c r="AU1753" s="30"/>
      <c r="AV1753" s="30"/>
      <c r="AW1753" s="30"/>
      <c r="AX1753" s="29"/>
      <c r="AY1753" s="39"/>
      <c r="AZ1753" s="30"/>
      <c r="BA1753" s="30"/>
      <c r="BB1753" s="29"/>
      <c r="BC1753" s="52"/>
      <c r="BD1753" s="30"/>
      <c r="BE1753" s="29"/>
      <c r="BF1753" s="30"/>
      <c r="BG1753" s="30"/>
      <c r="BH1753" s="30"/>
      <c r="BI1753" s="30"/>
      <c r="BJ1753" s="30"/>
      <c r="BK1753" s="30"/>
      <c r="BL1753" s="30"/>
      <c r="BM1753" s="30"/>
      <c r="BN1753" s="30"/>
      <c r="BO1753" s="30"/>
      <c r="BP1753" s="30"/>
      <c r="BQ1753" s="30"/>
      <c r="BR1753" s="30"/>
      <c r="BS1753" s="30"/>
      <c r="BT1753" s="30"/>
      <c r="BU1753" s="30"/>
      <c r="BV1753" s="30"/>
      <c r="BW1753" s="30"/>
      <c r="BX1753" s="30"/>
      <c r="BY1753" s="30"/>
      <c r="BZ1753" s="30"/>
      <c r="CA1753" s="30"/>
      <c r="CB1753" s="30"/>
      <c r="CC1753" s="30"/>
      <c r="CD1753" s="30"/>
      <c r="CE1753" s="30"/>
      <c r="CF1753" s="30"/>
      <c r="CG1753" s="30"/>
      <c r="CH1753" s="30"/>
      <c r="CI1753" s="30"/>
      <c r="CJ1753" s="30"/>
      <c r="CK1753" s="30"/>
      <c r="CL1753" s="30"/>
      <c r="CM1753" s="30"/>
      <c r="CN1753" s="30"/>
      <c r="CO1753" s="30"/>
      <c r="CP1753" s="30"/>
      <c r="CQ1753" s="30"/>
      <c r="CR1753" s="30"/>
      <c r="CS1753" s="30"/>
      <c r="CT1753" s="30"/>
      <c r="CU1753" s="30"/>
      <c r="CV1753" s="30"/>
      <c r="CW1753" s="30"/>
      <c r="CX1753" s="30"/>
      <c r="CY1753" s="30"/>
      <c r="CZ1753" s="30"/>
      <c r="DA1753" s="30"/>
      <c r="DB1753" s="30"/>
      <c r="DC1753" s="30"/>
      <c r="DD1753" s="30"/>
      <c r="DE1753" s="30"/>
      <c r="DF1753" s="30"/>
      <c r="DG1753" s="30"/>
      <c r="DH1753" s="30"/>
      <c r="DI1753" s="30"/>
      <c r="DJ1753" s="30"/>
      <c r="DK1753" s="30"/>
      <c r="DL1753" s="30"/>
      <c r="DM1753" s="30"/>
      <c r="DN1753" s="30"/>
      <c r="DO1753" s="30"/>
      <c r="DP1753" s="30"/>
      <c r="DQ1753" s="30"/>
      <c r="DR1753" s="30"/>
      <c r="DS1753" s="30"/>
      <c r="DT1753" s="30"/>
      <c r="DU1753" s="30"/>
      <c r="DV1753" s="30"/>
      <c r="DW1753" s="30"/>
      <c r="DX1753" s="30"/>
      <c r="DY1753" s="30"/>
      <c r="DZ1753" s="30"/>
    </row>
    <row r="1754">
      <c r="A1754" s="30"/>
      <c r="B1754" s="42"/>
      <c r="C1754" s="43"/>
      <c r="D1754" s="30"/>
      <c r="E1754" s="28"/>
      <c r="F1754" s="30"/>
      <c r="G1754" s="30"/>
      <c r="H1754" s="30"/>
      <c r="I1754" s="30"/>
      <c r="J1754" s="28"/>
      <c r="K1754" s="30"/>
      <c r="L1754" s="30"/>
      <c r="M1754" s="30"/>
      <c r="N1754" s="30"/>
      <c r="O1754" s="28"/>
      <c r="P1754" s="30"/>
      <c r="Q1754" s="30"/>
      <c r="R1754" s="30"/>
      <c r="S1754" s="36"/>
      <c r="T1754" s="30"/>
      <c r="U1754" s="36"/>
      <c r="V1754" s="30"/>
      <c r="W1754" s="28"/>
      <c r="X1754" s="30"/>
      <c r="Y1754" s="30"/>
      <c r="Z1754" s="30"/>
      <c r="AA1754" s="30"/>
      <c r="AB1754" s="30"/>
      <c r="AC1754" s="28"/>
      <c r="AD1754" s="30"/>
      <c r="AE1754" s="30"/>
      <c r="AF1754" s="30"/>
      <c r="AG1754" s="29"/>
      <c r="AH1754" s="30"/>
      <c r="AI1754" s="36"/>
      <c r="AJ1754" s="30"/>
      <c r="AK1754" s="29"/>
      <c r="AL1754" s="30"/>
      <c r="AM1754" s="30"/>
      <c r="AN1754" s="30"/>
      <c r="AO1754" s="30"/>
      <c r="AP1754" s="30"/>
      <c r="AQ1754" s="38"/>
      <c r="AR1754" s="30"/>
      <c r="AS1754" s="30"/>
      <c r="AT1754" s="29"/>
      <c r="AU1754" s="30"/>
      <c r="AV1754" s="30"/>
      <c r="AW1754" s="30"/>
      <c r="AX1754" s="29"/>
      <c r="AY1754" s="39"/>
      <c r="AZ1754" s="30"/>
      <c r="BA1754" s="30"/>
      <c r="BB1754" s="29"/>
      <c r="BC1754" s="52"/>
      <c r="BD1754" s="30"/>
      <c r="BE1754" s="29"/>
      <c r="BF1754" s="30"/>
      <c r="BG1754" s="30"/>
      <c r="BH1754" s="30"/>
      <c r="BI1754" s="30"/>
      <c r="BJ1754" s="30"/>
      <c r="BK1754" s="30"/>
      <c r="BL1754" s="30"/>
      <c r="BM1754" s="30"/>
      <c r="BN1754" s="30"/>
      <c r="BO1754" s="30"/>
      <c r="BP1754" s="30"/>
      <c r="BQ1754" s="30"/>
      <c r="BR1754" s="30"/>
      <c r="BS1754" s="30"/>
      <c r="BT1754" s="30"/>
      <c r="BU1754" s="30"/>
      <c r="BV1754" s="30"/>
      <c r="BW1754" s="30"/>
      <c r="BX1754" s="30"/>
      <c r="BY1754" s="30"/>
      <c r="BZ1754" s="30"/>
      <c r="CA1754" s="30"/>
      <c r="CB1754" s="30"/>
      <c r="CC1754" s="30"/>
      <c r="CD1754" s="30"/>
      <c r="CE1754" s="30"/>
      <c r="CF1754" s="30"/>
      <c r="CG1754" s="30"/>
      <c r="CH1754" s="30"/>
      <c r="CI1754" s="30"/>
      <c r="CJ1754" s="30"/>
      <c r="CK1754" s="30"/>
      <c r="CL1754" s="30"/>
      <c r="CM1754" s="30"/>
      <c r="CN1754" s="30"/>
      <c r="CO1754" s="30"/>
      <c r="CP1754" s="30"/>
      <c r="CQ1754" s="30"/>
      <c r="CR1754" s="30"/>
      <c r="CS1754" s="30"/>
      <c r="CT1754" s="30"/>
      <c r="CU1754" s="30"/>
      <c r="CV1754" s="30"/>
      <c r="CW1754" s="30"/>
      <c r="CX1754" s="30"/>
      <c r="CY1754" s="30"/>
      <c r="CZ1754" s="30"/>
      <c r="DA1754" s="30"/>
      <c r="DB1754" s="30"/>
      <c r="DC1754" s="30"/>
      <c r="DD1754" s="30"/>
      <c r="DE1754" s="30"/>
      <c r="DF1754" s="30"/>
      <c r="DG1754" s="30"/>
      <c r="DH1754" s="30"/>
      <c r="DI1754" s="30"/>
      <c r="DJ1754" s="30"/>
      <c r="DK1754" s="30"/>
      <c r="DL1754" s="30"/>
      <c r="DM1754" s="30"/>
      <c r="DN1754" s="30"/>
      <c r="DO1754" s="30"/>
      <c r="DP1754" s="30"/>
      <c r="DQ1754" s="30"/>
      <c r="DR1754" s="30"/>
      <c r="DS1754" s="30"/>
      <c r="DT1754" s="30"/>
      <c r="DU1754" s="30"/>
      <c r="DV1754" s="30"/>
      <c r="DW1754" s="30"/>
      <c r="DX1754" s="30"/>
      <c r="DY1754" s="30"/>
      <c r="DZ1754" s="30"/>
    </row>
    <row r="1755">
      <c r="A1755" s="30"/>
      <c r="B1755" s="42"/>
      <c r="C1755" s="43"/>
      <c r="D1755" s="30"/>
      <c r="E1755" s="28"/>
      <c r="F1755" s="30"/>
      <c r="G1755" s="30"/>
      <c r="H1755" s="30"/>
      <c r="I1755" s="30"/>
      <c r="J1755" s="28"/>
      <c r="K1755" s="30"/>
      <c r="L1755" s="30"/>
      <c r="M1755" s="30"/>
      <c r="N1755" s="30"/>
      <c r="O1755" s="28"/>
      <c r="P1755" s="30"/>
      <c r="Q1755" s="30"/>
      <c r="R1755" s="30"/>
      <c r="S1755" s="36"/>
      <c r="T1755" s="30"/>
      <c r="U1755" s="36"/>
      <c r="V1755" s="30"/>
      <c r="W1755" s="28"/>
      <c r="X1755" s="30"/>
      <c r="Y1755" s="30"/>
      <c r="Z1755" s="30"/>
      <c r="AA1755" s="30"/>
      <c r="AB1755" s="30"/>
      <c r="AC1755" s="28"/>
      <c r="AD1755" s="30"/>
      <c r="AE1755" s="30"/>
      <c r="AF1755" s="30"/>
      <c r="AG1755" s="29"/>
      <c r="AH1755" s="30"/>
      <c r="AI1755" s="36"/>
      <c r="AJ1755" s="30"/>
      <c r="AK1755" s="29"/>
      <c r="AL1755" s="30"/>
      <c r="AM1755" s="30"/>
      <c r="AN1755" s="30"/>
      <c r="AO1755" s="30"/>
      <c r="AP1755" s="30"/>
      <c r="AQ1755" s="38"/>
      <c r="AR1755" s="30"/>
      <c r="AS1755" s="30"/>
      <c r="AT1755" s="29"/>
      <c r="AU1755" s="30"/>
      <c r="AV1755" s="30"/>
      <c r="AW1755" s="30"/>
      <c r="AX1755" s="29"/>
      <c r="AY1755" s="39"/>
      <c r="AZ1755" s="30"/>
      <c r="BA1755" s="30"/>
      <c r="BB1755" s="29"/>
      <c r="BC1755" s="52"/>
      <c r="BD1755" s="30"/>
      <c r="BE1755" s="29"/>
      <c r="BF1755" s="30"/>
      <c r="BG1755" s="30"/>
      <c r="BH1755" s="30"/>
      <c r="BI1755" s="30"/>
      <c r="BJ1755" s="30"/>
      <c r="BK1755" s="30"/>
      <c r="BL1755" s="30"/>
      <c r="BM1755" s="30"/>
      <c r="BN1755" s="30"/>
      <c r="BO1755" s="30"/>
      <c r="BP1755" s="30"/>
      <c r="BQ1755" s="30"/>
      <c r="BR1755" s="30"/>
      <c r="BS1755" s="30"/>
      <c r="BT1755" s="30"/>
      <c r="BU1755" s="30"/>
      <c r="BV1755" s="30"/>
      <c r="BW1755" s="30"/>
      <c r="BX1755" s="30"/>
      <c r="BY1755" s="30"/>
      <c r="BZ1755" s="30"/>
      <c r="CA1755" s="30"/>
      <c r="CB1755" s="30"/>
      <c r="CC1755" s="30"/>
      <c r="CD1755" s="30"/>
      <c r="CE1755" s="30"/>
      <c r="CF1755" s="30"/>
      <c r="CG1755" s="30"/>
      <c r="CH1755" s="30"/>
      <c r="CI1755" s="30"/>
      <c r="CJ1755" s="30"/>
      <c r="CK1755" s="30"/>
      <c r="CL1755" s="30"/>
      <c r="CM1755" s="30"/>
      <c r="CN1755" s="30"/>
      <c r="CO1755" s="30"/>
      <c r="CP1755" s="30"/>
      <c r="CQ1755" s="30"/>
      <c r="CR1755" s="30"/>
      <c r="CS1755" s="30"/>
      <c r="CT1755" s="30"/>
      <c r="CU1755" s="30"/>
      <c r="CV1755" s="30"/>
      <c r="CW1755" s="30"/>
      <c r="CX1755" s="30"/>
      <c r="CY1755" s="30"/>
      <c r="CZ1755" s="30"/>
      <c r="DA1755" s="30"/>
      <c r="DB1755" s="30"/>
      <c r="DC1755" s="30"/>
      <c r="DD1755" s="30"/>
      <c r="DE1755" s="30"/>
      <c r="DF1755" s="30"/>
      <c r="DG1755" s="30"/>
      <c r="DH1755" s="30"/>
      <c r="DI1755" s="30"/>
      <c r="DJ1755" s="30"/>
      <c r="DK1755" s="30"/>
      <c r="DL1755" s="30"/>
      <c r="DM1755" s="30"/>
      <c r="DN1755" s="30"/>
      <c r="DO1755" s="30"/>
      <c r="DP1755" s="30"/>
      <c r="DQ1755" s="30"/>
      <c r="DR1755" s="30"/>
      <c r="DS1755" s="30"/>
      <c r="DT1755" s="30"/>
      <c r="DU1755" s="30"/>
      <c r="DV1755" s="30"/>
      <c r="DW1755" s="30"/>
      <c r="DX1755" s="30"/>
      <c r="DY1755" s="30"/>
      <c r="DZ1755" s="30"/>
    </row>
    <row r="1756">
      <c r="A1756" s="30"/>
      <c r="B1756" s="42"/>
      <c r="C1756" s="43"/>
      <c r="D1756" s="30"/>
      <c r="E1756" s="28"/>
      <c r="F1756" s="30"/>
      <c r="G1756" s="30"/>
      <c r="H1756" s="30"/>
      <c r="I1756" s="30"/>
      <c r="J1756" s="28"/>
      <c r="K1756" s="30"/>
      <c r="L1756" s="30"/>
      <c r="M1756" s="30"/>
      <c r="N1756" s="30"/>
      <c r="O1756" s="28"/>
      <c r="P1756" s="30"/>
      <c r="Q1756" s="30"/>
      <c r="R1756" s="30"/>
      <c r="S1756" s="36"/>
      <c r="T1756" s="30"/>
      <c r="U1756" s="36"/>
      <c r="V1756" s="30"/>
      <c r="W1756" s="28"/>
      <c r="X1756" s="30"/>
      <c r="Y1756" s="30"/>
      <c r="Z1756" s="30"/>
      <c r="AA1756" s="30"/>
      <c r="AB1756" s="30"/>
      <c r="AC1756" s="28"/>
      <c r="AD1756" s="30"/>
      <c r="AE1756" s="30"/>
      <c r="AF1756" s="30"/>
      <c r="AG1756" s="29"/>
      <c r="AH1756" s="30"/>
      <c r="AI1756" s="36"/>
      <c r="AJ1756" s="30"/>
      <c r="AK1756" s="29"/>
      <c r="AL1756" s="30"/>
      <c r="AM1756" s="30"/>
      <c r="AN1756" s="30"/>
      <c r="AO1756" s="30"/>
      <c r="AP1756" s="30"/>
      <c r="AQ1756" s="38"/>
      <c r="AR1756" s="30"/>
      <c r="AS1756" s="30"/>
      <c r="AT1756" s="29"/>
      <c r="AU1756" s="30"/>
      <c r="AV1756" s="30"/>
      <c r="AW1756" s="30"/>
      <c r="AX1756" s="29"/>
      <c r="AY1756" s="39"/>
      <c r="AZ1756" s="30"/>
      <c r="BA1756" s="30"/>
      <c r="BB1756" s="29"/>
      <c r="BC1756" s="52"/>
      <c r="BD1756" s="30"/>
      <c r="BE1756" s="29"/>
      <c r="BF1756" s="30"/>
      <c r="BG1756" s="30"/>
      <c r="BH1756" s="30"/>
      <c r="BI1756" s="30"/>
      <c r="BJ1756" s="30"/>
      <c r="BK1756" s="30"/>
      <c r="BL1756" s="30"/>
      <c r="BM1756" s="30"/>
      <c r="BN1756" s="30"/>
      <c r="BO1756" s="30"/>
      <c r="BP1756" s="30"/>
      <c r="BQ1756" s="30"/>
      <c r="BR1756" s="30"/>
      <c r="BS1756" s="30"/>
      <c r="BT1756" s="30"/>
      <c r="BU1756" s="30"/>
      <c r="BV1756" s="30"/>
      <c r="BW1756" s="30"/>
      <c r="BX1756" s="30"/>
      <c r="BY1756" s="30"/>
      <c r="BZ1756" s="30"/>
      <c r="CA1756" s="30"/>
      <c r="CB1756" s="30"/>
      <c r="CC1756" s="30"/>
      <c r="CD1756" s="30"/>
      <c r="CE1756" s="30"/>
      <c r="CF1756" s="30"/>
      <c r="CG1756" s="30"/>
      <c r="CH1756" s="30"/>
      <c r="CI1756" s="30"/>
      <c r="CJ1756" s="30"/>
      <c r="CK1756" s="30"/>
      <c r="CL1756" s="30"/>
      <c r="CM1756" s="30"/>
      <c r="CN1756" s="30"/>
      <c r="CO1756" s="30"/>
      <c r="CP1756" s="30"/>
      <c r="CQ1756" s="30"/>
      <c r="CR1756" s="30"/>
      <c r="CS1756" s="30"/>
      <c r="CT1756" s="30"/>
      <c r="CU1756" s="30"/>
      <c r="CV1756" s="30"/>
      <c r="CW1756" s="30"/>
      <c r="CX1756" s="30"/>
      <c r="CY1756" s="30"/>
      <c r="CZ1756" s="30"/>
      <c r="DA1756" s="30"/>
      <c r="DB1756" s="30"/>
      <c r="DC1756" s="30"/>
      <c r="DD1756" s="30"/>
      <c r="DE1756" s="30"/>
      <c r="DF1756" s="30"/>
      <c r="DG1756" s="30"/>
      <c r="DH1756" s="30"/>
      <c r="DI1756" s="30"/>
      <c r="DJ1756" s="30"/>
      <c r="DK1756" s="30"/>
      <c r="DL1756" s="30"/>
      <c r="DM1756" s="30"/>
      <c r="DN1756" s="30"/>
      <c r="DO1756" s="30"/>
      <c r="DP1756" s="30"/>
      <c r="DQ1756" s="30"/>
      <c r="DR1756" s="30"/>
      <c r="DS1756" s="30"/>
      <c r="DT1756" s="30"/>
      <c r="DU1756" s="30"/>
      <c r="DV1756" s="30"/>
      <c r="DW1756" s="30"/>
      <c r="DX1756" s="30"/>
      <c r="DY1756" s="30"/>
      <c r="DZ1756" s="30"/>
    </row>
    <row r="1757">
      <c r="A1757" s="30"/>
      <c r="B1757" s="42"/>
      <c r="C1757" s="43"/>
      <c r="D1757" s="30"/>
      <c r="E1757" s="28"/>
      <c r="F1757" s="30"/>
      <c r="G1757" s="30"/>
      <c r="H1757" s="30"/>
      <c r="I1757" s="30"/>
      <c r="J1757" s="28"/>
      <c r="K1757" s="30"/>
      <c r="L1757" s="30"/>
      <c r="M1757" s="30"/>
      <c r="N1757" s="30"/>
      <c r="O1757" s="28"/>
      <c r="P1757" s="30"/>
      <c r="Q1757" s="30"/>
      <c r="R1757" s="30"/>
      <c r="S1757" s="36"/>
      <c r="T1757" s="30"/>
      <c r="U1757" s="36"/>
      <c r="V1757" s="30"/>
      <c r="W1757" s="28"/>
      <c r="X1757" s="30"/>
      <c r="Y1757" s="30"/>
      <c r="Z1757" s="30"/>
      <c r="AA1757" s="30"/>
      <c r="AB1757" s="30"/>
      <c r="AC1757" s="28"/>
      <c r="AD1757" s="30"/>
      <c r="AE1757" s="30"/>
      <c r="AF1757" s="30"/>
      <c r="AG1757" s="29"/>
      <c r="AH1757" s="30"/>
      <c r="AI1757" s="36"/>
      <c r="AJ1757" s="30"/>
      <c r="AK1757" s="29"/>
      <c r="AL1757" s="30"/>
      <c r="AM1757" s="30"/>
      <c r="AN1757" s="30"/>
      <c r="AO1757" s="30"/>
      <c r="AP1757" s="30"/>
      <c r="AQ1757" s="38"/>
      <c r="AR1757" s="30"/>
      <c r="AS1757" s="30"/>
      <c r="AT1757" s="29"/>
      <c r="AU1757" s="30"/>
      <c r="AV1757" s="30"/>
      <c r="AW1757" s="30"/>
      <c r="AX1757" s="29"/>
      <c r="AY1757" s="39"/>
      <c r="AZ1757" s="30"/>
      <c r="BA1757" s="30"/>
      <c r="BB1757" s="29"/>
      <c r="BC1757" s="52"/>
      <c r="BD1757" s="30"/>
      <c r="BE1757" s="29"/>
      <c r="BF1757" s="30"/>
      <c r="BG1757" s="30"/>
      <c r="BH1757" s="30"/>
      <c r="BI1757" s="30"/>
      <c r="BJ1757" s="30"/>
      <c r="BK1757" s="30"/>
      <c r="BL1757" s="30"/>
      <c r="BM1757" s="30"/>
      <c r="BN1757" s="30"/>
      <c r="BO1757" s="30"/>
      <c r="BP1757" s="30"/>
      <c r="BQ1757" s="30"/>
      <c r="BR1757" s="30"/>
      <c r="BS1757" s="30"/>
      <c r="BT1757" s="30"/>
      <c r="BU1757" s="30"/>
      <c r="BV1757" s="30"/>
      <c r="BW1757" s="30"/>
      <c r="BX1757" s="30"/>
      <c r="BY1757" s="30"/>
      <c r="BZ1757" s="30"/>
      <c r="CA1757" s="30"/>
      <c r="CB1757" s="30"/>
      <c r="CC1757" s="30"/>
      <c r="CD1757" s="30"/>
      <c r="CE1757" s="30"/>
      <c r="CF1757" s="30"/>
      <c r="CG1757" s="30"/>
      <c r="CH1757" s="30"/>
      <c r="CI1757" s="30"/>
      <c r="CJ1757" s="30"/>
      <c r="CK1757" s="30"/>
      <c r="CL1757" s="30"/>
      <c r="CM1757" s="30"/>
      <c r="CN1757" s="30"/>
      <c r="CO1757" s="30"/>
      <c r="CP1757" s="30"/>
      <c r="CQ1757" s="30"/>
      <c r="CR1757" s="30"/>
      <c r="CS1757" s="30"/>
      <c r="CT1757" s="30"/>
      <c r="CU1757" s="30"/>
      <c r="CV1757" s="30"/>
      <c r="CW1757" s="30"/>
      <c r="CX1757" s="30"/>
      <c r="CY1757" s="30"/>
      <c r="CZ1757" s="30"/>
      <c r="DA1757" s="30"/>
      <c r="DB1757" s="30"/>
      <c r="DC1757" s="30"/>
      <c r="DD1757" s="30"/>
      <c r="DE1757" s="30"/>
      <c r="DF1757" s="30"/>
      <c r="DG1757" s="30"/>
      <c r="DH1757" s="30"/>
      <c r="DI1757" s="30"/>
      <c r="DJ1757" s="30"/>
      <c r="DK1757" s="30"/>
      <c r="DL1757" s="30"/>
      <c r="DM1757" s="30"/>
      <c r="DN1757" s="30"/>
      <c r="DO1757" s="30"/>
      <c r="DP1757" s="30"/>
      <c r="DQ1757" s="30"/>
      <c r="DR1757" s="30"/>
      <c r="DS1757" s="30"/>
      <c r="DT1757" s="30"/>
      <c r="DU1757" s="30"/>
      <c r="DV1757" s="30"/>
      <c r="DW1757" s="30"/>
      <c r="DX1757" s="30"/>
      <c r="DY1757" s="30"/>
      <c r="DZ1757" s="30"/>
    </row>
    <row r="1758">
      <c r="A1758" s="30"/>
      <c r="B1758" s="42"/>
      <c r="C1758" s="43"/>
      <c r="D1758" s="30"/>
      <c r="E1758" s="28"/>
      <c r="F1758" s="30"/>
      <c r="G1758" s="30"/>
      <c r="H1758" s="30"/>
      <c r="I1758" s="30"/>
      <c r="J1758" s="28"/>
      <c r="K1758" s="30"/>
      <c r="L1758" s="30"/>
      <c r="M1758" s="30"/>
      <c r="N1758" s="30"/>
      <c r="O1758" s="28"/>
      <c r="P1758" s="30"/>
      <c r="Q1758" s="30"/>
      <c r="R1758" s="30"/>
      <c r="S1758" s="36"/>
      <c r="T1758" s="30"/>
      <c r="U1758" s="36"/>
      <c r="V1758" s="30"/>
      <c r="W1758" s="28"/>
      <c r="X1758" s="30"/>
      <c r="Y1758" s="30"/>
      <c r="Z1758" s="30"/>
      <c r="AA1758" s="30"/>
      <c r="AB1758" s="30"/>
      <c r="AC1758" s="28"/>
      <c r="AD1758" s="30"/>
      <c r="AE1758" s="30"/>
      <c r="AF1758" s="30"/>
      <c r="AG1758" s="29"/>
      <c r="AH1758" s="30"/>
      <c r="AI1758" s="36"/>
      <c r="AJ1758" s="30"/>
      <c r="AK1758" s="29"/>
      <c r="AL1758" s="30"/>
      <c r="AM1758" s="30"/>
      <c r="AN1758" s="30"/>
      <c r="AO1758" s="30"/>
      <c r="AP1758" s="30"/>
      <c r="AQ1758" s="38"/>
      <c r="AR1758" s="30"/>
      <c r="AS1758" s="30"/>
      <c r="AT1758" s="29"/>
      <c r="AU1758" s="30"/>
      <c r="AV1758" s="30"/>
      <c r="AW1758" s="30"/>
      <c r="AX1758" s="29"/>
      <c r="AY1758" s="39"/>
      <c r="AZ1758" s="30"/>
      <c r="BA1758" s="30"/>
      <c r="BB1758" s="29"/>
      <c r="BC1758" s="52"/>
      <c r="BD1758" s="30"/>
      <c r="BE1758" s="29"/>
      <c r="BF1758" s="30"/>
      <c r="BG1758" s="30"/>
      <c r="BH1758" s="30"/>
      <c r="BI1758" s="30"/>
      <c r="BJ1758" s="30"/>
      <c r="BK1758" s="30"/>
      <c r="BL1758" s="30"/>
      <c r="BM1758" s="30"/>
      <c r="BN1758" s="30"/>
      <c r="BO1758" s="30"/>
      <c r="BP1758" s="30"/>
      <c r="BQ1758" s="30"/>
      <c r="BR1758" s="30"/>
      <c r="BS1758" s="30"/>
      <c r="BT1758" s="30"/>
      <c r="BU1758" s="30"/>
      <c r="BV1758" s="30"/>
      <c r="BW1758" s="30"/>
      <c r="BX1758" s="30"/>
      <c r="BY1758" s="30"/>
      <c r="BZ1758" s="30"/>
      <c r="CA1758" s="30"/>
      <c r="CB1758" s="30"/>
      <c r="CC1758" s="30"/>
      <c r="CD1758" s="30"/>
      <c r="CE1758" s="30"/>
      <c r="CF1758" s="30"/>
      <c r="CG1758" s="30"/>
      <c r="CH1758" s="30"/>
      <c r="CI1758" s="30"/>
      <c r="CJ1758" s="30"/>
      <c r="CK1758" s="30"/>
      <c r="CL1758" s="30"/>
      <c r="CM1758" s="30"/>
      <c r="CN1758" s="30"/>
      <c r="CO1758" s="30"/>
      <c r="CP1758" s="30"/>
      <c r="CQ1758" s="30"/>
      <c r="CR1758" s="30"/>
      <c r="CS1758" s="30"/>
      <c r="CT1758" s="30"/>
      <c r="CU1758" s="30"/>
      <c r="CV1758" s="30"/>
      <c r="CW1758" s="30"/>
      <c r="CX1758" s="30"/>
      <c r="CY1758" s="30"/>
      <c r="CZ1758" s="30"/>
      <c r="DA1758" s="30"/>
      <c r="DB1758" s="30"/>
      <c r="DC1758" s="30"/>
      <c r="DD1758" s="30"/>
      <c r="DE1758" s="30"/>
      <c r="DF1758" s="30"/>
      <c r="DG1758" s="30"/>
      <c r="DH1758" s="30"/>
      <c r="DI1758" s="30"/>
      <c r="DJ1758" s="30"/>
      <c r="DK1758" s="30"/>
      <c r="DL1758" s="30"/>
      <c r="DM1758" s="30"/>
      <c r="DN1758" s="30"/>
      <c r="DO1758" s="30"/>
      <c r="DP1758" s="30"/>
      <c r="DQ1758" s="30"/>
      <c r="DR1758" s="30"/>
      <c r="DS1758" s="30"/>
      <c r="DT1758" s="30"/>
      <c r="DU1758" s="30"/>
      <c r="DV1758" s="30"/>
      <c r="DW1758" s="30"/>
      <c r="DX1758" s="30"/>
      <c r="DY1758" s="30"/>
      <c r="DZ1758" s="30"/>
    </row>
    <row r="1759">
      <c r="A1759" s="30"/>
      <c r="B1759" s="42"/>
      <c r="C1759" s="43"/>
      <c r="D1759" s="30"/>
      <c r="E1759" s="28"/>
      <c r="F1759" s="30"/>
      <c r="G1759" s="30"/>
      <c r="H1759" s="30"/>
      <c r="I1759" s="30"/>
      <c r="J1759" s="28"/>
      <c r="K1759" s="30"/>
      <c r="L1759" s="30"/>
      <c r="M1759" s="30"/>
      <c r="N1759" s="30"/>
      <c r="O1759" s="28"/>
      <c r="P1759" s="30"/>
      <c r="Q1759" s="30"/>
      <c r="R1759" s="30"/>
      <c r="S1759" s="36"/>
      <c r="T1759" s="30"/>
      <c r="U1759" s="36"/>
      <c r="V1759" s="30"/>
      <c r="W1759" s="28"/>
      <c r="X1759" s="30"/>
      <c r="Y1759" s="30"/>
      <c r="Z1759" s="30"/>
      <c r="AA1759" s="30"/>
      <c r="AB1759" s="30"/>
      <c r="AC1759" s="28"/>
      <c r="AD1759" s="30"/>
      <c r="AE1759" s="30"/>
      <c r="AF1759" s="30"/>
      <c r="AG1759" s="29"/>
      <c r="AH1759" s="30"/>
      <c r="AI1759" s="36"/>
      <c r="AJ1759" s="30"/>
      <c r="AK1759" s="29"/>
      <c r="AL1759" s="30"/>
      <c r="AM1759" s="30"/>
      <c r="AN1759" s="30"/>
      <c r="AO1759" s="30"/>
      <c r="AP1759" s="30"/>
      <c r="AQ1759" s="38"/>
      <c r="AR1759" s="30"/>
      <c r="AS1759" s="30"/>
      <c r="AT1759" s="29"/>
      <c r="AU1759" s="30"/>
      <c r="AV1759" s="30"/>
      <c r="AW1759" s="30"/>
      <c r="AX1759" s="29"/>
      <c r="AY1759" s="39"/>
      <c r="AZ1759" s="30"/>
      <c r="BA1759" s="30"/>
      <c r="BB1759" s="29"/>
      <c r="BC1759" s="52"/>
      <c r="BD1759" s="30"/>
      <c r="BE1759" s="29"/>
      <c r="BF1759" s="30"/>
      <c r="BG1759" s="30"/>
      <c r="BH1759" s="30"/>
      <c r="BI1759" s="30"/>
      <c r="BJ1759" s="30"/>
      <c r="BK1759" s="30"/>
      <c r="BL1759" s="30"/>
      <c r="BM1759" s="30"/>
      <c r="BN1759" s="30"/>
      <c r="BO1759" s="30"/>
      <c r="BP1759" s="30"/>
      <c r="BQ1759" s="30"/>
      <c r="BR1759" s="30"/>
      <c r="BS1759" s="30"/>
      <c r="BT1759" s="30"/>
      <c r="BU1759" s="30"/>
      <c r="BV1759" s="30"/>
      <c r="BW1759" s="30"/>
      <c r="BX1759" s="30"/>
      <c r="BY1759" s="30"/>
      <c r="BZ1759" s="30"/>
      <c r="CA1759" s="30"/>
      <c r="CB1759" s="30"/>
      <c r="CC1759" s="30"/>
      <c r="CD1759" s="30"/>
      <c r="CE1759" s="30"/>
      <c r="CF1759" s="30"/>
      <c r="CG1759" s="30"/>
      <c r="CH1759" s="30"/>
      <c r="CI1759" s="30"/>
      <c r="CJ1759" s="30"/>
      <c r="CK1759" s="30"/>
      <c r="CL1759" s="30"/>
      <c r="CM1759" s="30"/>
      <c r="CN1759" s="30"/>
      <c r="CO1759" s="30"/>
      <c r="CP1759" s="30"/>
      <c r="CQ1759" s="30"/>
      <c r="CR1759" s="30"/>
      <c r="CS1759" s="30"/>
      <c r="CT1759" s="30"/>
      <c r="CU1759" s="30"/>
      <c r="CV1759" s="30"/>
      <c r="CW1759" s="30"/>
      <c r="CX1759" s="30"/>
      <c r="CY1759" s="30"/>
      <c r="CZ1759" s="30"/>
      <c r="DA1759" s="30"/>
      <c r="DB1759" s="30"/>
      <c r="DC1759" s="30"/>
      <c r="DD1759" s="30"/>
      <c r="DE1759" s="30"/>
      <c r="DF1759" s="30"/>
      <c r="DG1759" s="30"/>
      <c r="DH1759" s="30"/>
      <c r="DI1759" s="30"/>
      <c r="DJ1759" s="30"/>
      <c r="DK1759" s="30"/>
      <c r="DL1759" s="30"/>
      <c r="DM1759" s="30"/>
      <c r="DN1759" s="30"/>
      <c r="DO1759" s="30"/>
      <c r="DP1759" s="30"/>
      <c r="DQ1759" s="30"/>
      <c r="DR1759" s="30"/>
      <c r="DS1759" s="30"/>
      <c r="DT1759" s="30"/>
      <c r="DU1759" s="30"/>
      <c r="DV1759" s="30"/>
      <c r="DW1759" s="30"/>
      <c r="DX1759" s="30"/>
      <c r="DY1759" s="30"/>
      <c r="DZ1759" s="30"/>
    </row>
    <row r="1760">
      <c r="A1760" s="30"/>
      <c r="B1760" s="42"/>
      <c r="C1760" s="43"/>
      <c r="D1760" s="30"/>
      <c r="E1760" s="28"/>
      <c r="F1760" s="30"/>
      <c r="G1760" s="30"/>
      <c r="H1760" s="30"/>
      <c r="I1760" s="30"/>
      <c r="J1760" s="28"/>
      <c r="K1760" s="30"/>
      <c r="L1760" s="30"/>
      <c r="M1760" s="30"/>
      <c r="N1760" s="30"/>
      <c r="O1760" s="28"/>
      <c r="P1760" s="30"/>
      <c r="Q1760" s="30"/>
      <c r="R1760" s="30"/>
      <c r="S1760" s="36"/>
      <c r="T1760" s="30"/>
      <c r="U1760" s="36"/>
      <c r="V1760" s="30"/>
      <c r="W1760" s="28"/>
      <c r="X1760" s="30"/>
      <c r="Y1760" s="30"/>
      <c r="Z1760" s="30"/>
      <c r="AA1760" s="30"/>
      <c r="AB1760" s="30"/>
      <c r="AC1760" s="28"/>
      <c r="AD1760" s="30"/>
      <c r="AE1760" s="30"/>
      <c r="AF1760" s="30"/>
      <c r="AG1760" s="29"/>
      <c r="AH1760" s="30"/>
      <c r="AI1760" s="36"/>
      <c r="AJ1760" s="30"/>
      <c r="AK1760" s="29"/>
      <c r="AL1760" s="30"/>
      <c r="AM1760" s="30"/>
      <c r="AN1760" s="30"/>
      <c r="AO1760" s="30"/>
      <c r="AP1760" s="30"/>
      <c r="AQ1760" s="38"/>
      <c r="AR1760" s="30"/>
      <c r="AS1760" s="30"/>
      <c r="AT1760" s="29"/>
      <c r="AU1760" s="30"/>
      <c r="AV1760" s="30"/>
      <c r="AW1760" s="30"/>
      <c r="AX1760" s="29"/>
      <c r="AY1760" s="39"/>
      <c r="AZ1760" s="30"/>
      <c r="BA1760" s="30"/>
      <c r="BB1760" s="29"/>
      <c r="BC1760" s="52"/>
      <c r="BD1760" s="30"/>
      <c r="BE1760" s="29"/>
      <c r="BF1760" s="30"/>
      <c r="BG1760" s="30"/>
      <c r="BH1760" s="30"/>
      <c r="BI1760" s="30"/>
      <c r="BJ1760" s="30"/>
      <c r="BK1760" s="30"/>
      <c r="BL1760" s="30"/>
      <c r="BM1760" s="30"/>
      <c r="BN1760" s="30"/>
      <c r="BO1760" s="30"/>
      <c r="BP1760" s="30"/>
      <c r="BQ1760" s="30"/>
      <c r="BR1760" s="30"/>
      <c r="BS1760" s="30"/>
      <c r="BT1760" s="30"/>
      <c r="BU1760" s="30"/>
      <c r="BV1760" s="30"/>
      <c r="BW1760" s="30"/>
      <c r="BX1760" s="30"/>
      <c r="BY1760" s="30"/>
      <c r="BZ1760" s="30"/>
      <c r="CA1760" s="30"/>
      <c r="CB1760" s="30"/>
      <c r="CC1760" s="30"/>
      <c r="CD1760" s="30"/>
      <c r="CE1760" s="30"/>
      <c r="CF1760" s="30"/>
      <c r="CG1760" s="30"/>
      <c r="CH1760" s="30"/>
      <c r="CI1760" s="30"/>
      <c r="CJ1760" s="30"/>
      <c r="CK1760" s="30"/>
      <c r="CL1760" s="30"/>
      <c r="CM1760" s="30"/>
      <c r="CN1760" s="30"/>
      <c r="CO1760" s="30"/>
      <c r="CP1760" s="30"/>
      <c r="CQ1760" s="30"/>
      <c r="CR1760" s="30"/>
      <c r="CS1760" s="30"/>
      <c r="CT1760" s="30"/>
      <c r="CU1760" s="30"/>
      <c r="CV1760" s="30"/>
      <c r="CW1760" s="30"/>
      <c r="CX1760" s="30"/>
      <c r="CY1760" s="30"/>
      <c r="CZ1760" s="30"/>
      <c r="DA1760" s="30"/>
      <c r="DB1760" s="30"/>
      <c r="DC1760" s="30"/>
      <c r="DD1760" s="30"/>
      <c r="DE1760" s="30"/>
      <c r="DF1760" s="30"/>
      <c r="DG1760" s="30"/>
      <c r="DH1760" s="30"/>
      <c r="DI1760" s="30"/>
      <c r="DJ1760" s="30"/>
      <c r="DK1760" s="30"/>
      <c r="DL1760" s="30"/>
      <c r="DM1760" s="30"/>
      <c r="DN1760" s="30"/>
      <c r="DO1760" s="30"/>
      <c r="DP1760" s="30"/>
      <c r="DQ1760" s="30"/>
      <c r="DR1760" s="30"/>
      <c r="DS1760" s="30"/>
      <c r="DT1760" s="30"/>
      <c r="DU1760" s="30"/>
      <c r="DV1760" s="30"/>
      <c r="DW1760" s="30"/>
      <c r="DX1760" s="30"/>
      <c r="DY1760" s="30"/>
      <c r="DZ1760" s="30"/>
    </row>
    <row r="1761">
      <c r="A1761" s="30"/>
      <c r="B1761" s="42"/>
      <c r="C1761" s="43"/>
      <c r="D1761" s="30"/>
      <c r="E1761" s="28"/>
      <c r="F1761" s="30"/>
      <c r="G1761" s="30"/>
      <c r="H1761" s="30"/>
      <c r="I1761" s="30"/>
      <c r="J1761" s="28"/>
      <c r="K1761" s="30"/>
      <c r="L1761" s="30"/>
      <c r="M1761" s="30"/>
      <c r="N1761" s="30"/>
      <c r="O1761" s="28"/>
      <c r="P1761" s="30"/>
      <c r="Q1761" s="30"/>
      <c r="R1761" s="30"/>
      <c r="S1761" s="36"/>
      <c r="T1761" s="30"/>
      <c r="U1761" s="36"/>
      <c r="V1761" s="30"/>
      <c r="W1761" s="28"/>
      <c r="X1761" s="30"/>
      <c r="Y1761" s="30"/>
      <c r="Z1761" s="30"/>
      <c r="AA1761" s="30"/>
      <c r="AB1761" s="30"/>
      <c r="AC1761" s="28"/>
      <c r="AD1761" s="30"/>
      <c r="AE1761" s="30"/>
      <c r="AF1761" s="30"/>
      <c r="AG1761" s="29"/>
      <c r="AH1761" s="30"/>
      <c r="AI1761" s="36"/>
      <c r="AJ1761" s="30"/>
      <c r="AK1761" s="29"/>
      <c r="AL1761" s="30"/>
      <c r="AM1761" s="30"/>
      <c r="AN1761" s="30"/>
      <c r="AO1761" s="30"/>
      <c r="AP1761" s="30"/>
      <c r="AQ1761" s="38"/>
      <c r="AR1761" s="30"/>
      <c r="AS1761" s="30"/>
      <c r="AT1761" s="29"/>
      <c r="AU1761" s="30"/>
      <c r="AV1761" s="30"/>
      <c r="AW1761" s="30"/>
      <c r="AX1761" s="29"/>
      <c r="AY1761" s="39"/>
      <c r="AZ1761" s="30"/>
      <c r="BA1761" s="30"/>
      <c r="BB1761" s="29"/>
      <c r="BC1761" s="52"/>
      <c r="BD1761" s="30"/>
      <c r="BE1761" s="29"/>
      <c r="BF1761" s="30"/>
      <c r="BG1761" s="30"/>
      <c r="BH1761" s="30"/>
      <c r="BI1761" s="30"/>
      <c r="BJ1761" s="30"/>
      <c r="BK1761" s="30"/>
      <c r="BL1761" s="30"/>
      <c r="BM1761" s="30"/>
      <c r="BN1761" s="30"/>
      <c r="BO1761" s="30"/>
      <c r="BP1761" s="30"/>
      <c r="BQ1761" s="30"/>
      <c r="BR1761" s="30"/>
      <c r="BS1761" s="30"/>
      <c r="BT1761" s="30"/>
      <c r="BU1761" s="30"/>
      <c r="BV1761" s="30"/>
      <c r="BW1761" s="30"/>
      <c r="BX1761" s="30"/>
      <c r="BY1761" s="30"/>
      <c r="BZ1761" s="30"/>
      <c r="CA1761" s="30"/>
      <c r="CB1761" s="30"/>
      <c r="CC1761" s="30"/>
      <c r="CD1761" s="30"/>
      <c r="CE1761" s="30"/>
      <c r="CF1761" s="30"/>
      <c r="CG1761" s="30"/>
      <c r="CH1761" s="30"/>
      <c r="CI1761" s="30"/>
      <c r="CJ1761" s="30"/>
      <c r="CK1761" s="30"/>
      <c r="CL1761" s="30"/>
      <c r="CM1761" s="30"/>
      <c r="CN1761" s="30"/>
      <c r="CO1761" s="30"/>
      <c r="CP1761" s="30"/>
      <c r="CQ1761" s="30"/>
      <c r="CR1761" s="30"/>
      <c r="CS1761" s="30"/>
      <c r="CT1761" s="30"/>
      <c r="CU1761" s="30"/>
      <c r="CV1761" s="30"/>
      <c r="CW1761" s="30"/>
      <c r="CX1761" s="30"/>
      <c r="CY1761" s="30"/>
      <c r="CZ1761" s="30"/>
      <c r="DA1761" s="30"/>
      <c r="DB1761" s="30"/>
      <c r="DC1761" s="30"/>
      <c r="DD1761" s="30"/>
      <c r="DE1761" s="30"/>
      <c r="DF1761" s="30"/>
      <c r="DG1761" s="30"/>
      <c r="DH1761" s="30"/>
      <c r="DI1761" s="30"/>
      <c r="DJ1761" s="30"/>
      <c r="DK1761" s="30"/>
      <c r="DL1761" s="30"/>
      <c r="DM1761" s="30"/>
      <c r="DN1761" s="30"/>
      <c r="DO1761" s="30"/>
      <c r="DP1761" s="30"/>
      <c r="DQ1761" s="30"/>
      <c r="DR1761" s="30"/>
      <c r="DS1761" s="30"/>
      <c r="DT1761" s="30"/>
      <c r="DU1761" s="30"/>
      <c r="DV1761" s="30"/>
      <c r="DW1761" s="30"/>
      <c r="DX1761" s="30"/>
      <c r="DY1761" s="30"/>
      <c r="DZ1761" s="30"/>
    </row>
    <row r="1762">
      <c r="A1762" s="30"/>
      <c r="B1762" s="42"/>
      <c r="C1762" s="43"/>
      <c r="D1762" s="30"/>
      <c r="E1762" s="28"/>
      <c r="F1762" s="30"/>
      <c r="G1762" s="30"/>
      <c r="H1762" s="30"/>
      <c r="I1762" s="30"/>
      <c r="J1762" s="28"/>
      <c r="K1762" s="30"/>
      <c r="L1762" s="30"/>
      <c r="M1762" s="30"/>
      <c r="N1762" s="30"/>
      <c r="O1762" s="28"/>
      <c r="P1762" s="30"/>
      <c r="Q1762" s="30"/>
      <c r="R1762" s="30"/>
      <c r="S1762" s="36"/>
      <c r="T1762" s="30"/>
      <c r="U1762" s="36"/>
      <c r="V1762" s="30"/>
      <c r="W1762" s="28"/>
      <c r="X1762" s="30"/>
      <c r="Y1762" s="30"/>
      <c r="Z1762" s="30"/>
      <c r="AA1762" s="30"/>
      <c r="AB1762" s="30"/>
      <c r="AC1762" s="28"/>
      <c r="AD1762" s="30"/>
      <c r="AE1762" s="30"/>
      <c r="AF1762" s="30"/>
      <c r="AG1762" s="29"/>
      <c r="AH1762" s="30"/>
      <c r="AI1762" s="36"/>
      <c r="AJ1762" s="30"/>
      <c r="AK1762" s="29"/>
      <c r="AL1762" s="30"/>
      <c r="AM1762" s="30"/>
      <c r="AN1762" s="30"/>
      <c r="AO1762" s="30"/>
      <c r="AP1762" s="30"/>
      <c r="AQ1762" s="38"/>
      <c r="AR1762" s="30"/>
      <c r="AS1762" s="30"/>
      <c r="AT1762" s="29"/>
      <c r="AU1762" s="30"/>
      <c r="AV1762" s="30"/>
      <c r="AW1762" s="30"/>
      <c r="AX1762" s="29"/>
      <c r="AY1762" s="39"/>
      <c r="AZ1762" s="30"/>
      <c r="BA1762" s="30"/>
      <c r="BB1762" s="29"/>
      <c r="BC1762" s="52"/>
      <c r="BD1762" s="30"/>
      <c r="BE1762" s="29"/>
      <c r="BF1762" s="30"/>
      <c r="BG1762" s="30"/>
      <c r="BH1762" s="30"/>
      <c r="BI1762" s="30"/>
      <c r="BJ1762" s="30"/>
      <c r="BK1762" s="30"/>
      <c r="BL1762" s="30"/>
      <c r="BM1762" s="30"/>
      <c r="BN1762" s="30"/>
      <c r="BO1762" s="30"/>
      <c r="BP1762" s="30"/>
      <c r="BQ1762" s="30"/>
      <c r="BR1762" s="30"/>
      <c r="BS1762" s="30"/>
      <c r="BT1762" s="30"/>
      <c r="BU1762" s="30"/>
      <c r="BV1762" s="30"/>
      <c r="BW1762" s="30"/>
      <c r="BX1762" s="30"/>
      <c r="BY1762" s="30"/>
      <c r="BZ1762" s="30"/>
      <c r="CA1762" s="30"/>
      <c r="CB1762" s="30"/>
      <c r="CC1762" s="30"/>
      <c r="CD1762" s="30"/>
      <c r="CE1762" s="30"/>
      <c r="CF1762" s="30"/>
      <c r="CG1762" s="30"/>
      <c r="CH1762" s="30"/>
      <c r="CI1762" s="30"/>
      <c r="CJ1762" s="30"/>
      <c r="CK1762" s="30"/>
      <c r="CL1762" s="30"/>
      <c r="CM1762" s="30"/>
      <c r="CN1762" s="30"/>
      <c r="CO1762" s="30"/>
      <c r="CP1762" s="30"/>
      <c r="CQ1762" s="30"/>
      <c r="CR1762" s="30"/>
      <c r="CS1762" s="30"/>
      <c r="CT1762" s="30"/>
      <c r="CU1762" s="30"/>
      <c r="CV1762" s="30"/>
      <c r="CW1762" s="30"/>
      <c r="CX1762" s="30"/>
      <c r="CY1762" s="30"/>
      <c r="CZ1762" s="30"/>
      <c r="DA1762" s="30"/>
      <c r="DB1762" s="30"/>
      <c r="DC1762" s="30"/>
      <c r="DD1762" s="30"/>
      <c r="DE1762" s="30"/>
      <c r="DF1762" s="30"/>
      <c r="DG1762" s="30"/>
      <c r="DH1762" s="30"/>
      <c r="DI1762" s="30"/>
      <c r="DJ1762" s="30"/>
      <c r="DK1762" s="30"/>
      <c r="DL1762" s="30"/>
      <c r="DM1762" s="30"/>
      <c r="DN1762" s="30"/>
      <c r="DO1762" s="30"/>
      <c r="DP1762" s="30"/>
      <c r="DQ1762" s="30"/>
      <c r="DR1762" s="30"/>
      <c r="DS1762" s="30"/>
      <c r="DT1762" s="30"/>
      <c r="DU1762" s="30"/>
      <c r="DV1762" s="30"/>
      <c r="DW1762" s="30"/>
      <c r="DX1762" s="30"/>
      <c r="DY1762" s="30"/>
      <c r="DZ1762" s="30"/>
    </row>
    <row r="1763">
      <c r="A1763" s="30"/>
      <c r="B1763" s="42"/>
      <c r="C1763" s="43"/>
      <c r="D1763" s="30"/>
      <c r="E1763" s="28"/>
      <c r="F1763" s="30"/>
      <c r="G1763" s="30"/>
      <c r="H1763" s="30"/>
      <c r="I1763" s="30"/>
      <c r="J1763" s="28"/>
      <c r="K1763" s="30"/>
      <c r="L1763" s="30"/>
      <c r="M1763" s="30"/>
      <c r="N1763" s="30"/>
      <c r="O1763" s="28"/>
      <c r="P1763" s="30"/>
      <c r="Q1763" s="30"/>
      <c r="R1763" s="30"/>
      <c r="S1763" s="36"/>
      <c r="T1763" s="30"/>
      <c r="U1763" s="36"/>
      <c r="V1763" s="30"/>
      <c r="W1763" s="28"/>
      <c r="X1763" s="30"/>
      <c r="Y1763" s="30"/>
      <c r="Z1763" s="30"/>
      <c r="AA1763" s="30"/>
      <c r="AB1763" s="30"/>
      <c r="AC1763" s="28"/>
      <c r="AD1763" s="30"/>
      <c r="AE1763" s="30"/>
      <c r="AF1763" s="30"/>
      <c r="AG1763" s="29"/>
      <c r="AH1763" s="30"/>
      <c r="AI1763" s="36"/>
      <c r="AJ1763" s="30"/>
      <c r="AK1763" s="29"/>
      <c r="AL1763" s="30"/>
      <c r="AM1763" s="30"/>
      <c r="AN1763" s="30"/>
      <c r="AO1763" s="30"/>
      <c r="AP1763" s="30"/>
      <c r="AQ1763" s="38"/>
      <c r="AR1763" s="30"/>
      <c r="AS1763" s="30"/>
      <c r="AT1763" s="29"/>
      <c r="AU1763" s="30"/>
      <c r="AV1763" s="30"/>
      <c r="AW1763" s="30"/>
      <c r="AX1763" s="29"/>
      <c r="AY1763" s="39"/>
      <c r="AZ1763" s="30"/>
      <c r="BA1763" s="30"/>
      <c r="BB1763" s="29"/>
      <c r="BC1763" s="52"/>
      <c r="BD1763" s="30"/>
      <c r="BE1763" s="29"/>
      <c r="BF1763" s="30"/>
      <c r="BG1763" s="30"/>
      <c r="BH1763" s="30"/>
      <c r="BI1763" s="30"/>
      <c r="BJ1763" s="30"/>
      <c r="BK1763" s="30"/>
      <c r="BL1763" s="30"/>
      <c r="BM1763" s="30"/>
      <c r="BN1763" s="30"/>
      <c r="BO1763" s="30"/>
      <c r="BP1763" s="30"/>
      <c r="BQ1763" s="30"/>
      <c r="BR1763" s="30"/>
      <c r="BS1763" s="30"/>
      <c r="BT1763" s="30"/>
      <c r="BU1763" s="30"/>
      <c r="BV1763" s="30"/>
      <c r="BW1763" s="30"/>
      <c r="BX1763" s="30"/>
      <c r="BY1763" s="30"/>
      <c r="BZ1763" s="30"/>
      <c r="CA1763" s="30"/>
      <c r="CB1763" s="30"/>
      <c r="CC1763" s="30"/>
      <c r="CD1763" s="30"/>
      <c r="CE1763" s="30"/>
      <c r="CF1763" s="30"/>
      <c r="CG1763" s="30"/>
      <c r="CH1763" s="30"/>
      <c r="CI1763" s="30"/>
      <c r="CJ1763" s="30"/>
      <c r="CK1763" s="30"/>
      <c r="CL1763" s="30"/>
      <c r="CM1763" s="30"/>
      <c r="CN1763" s="30"/>
      <c r="CO1763" s="30"/>
      <c r="CP1763" s="30"/>
      <c r="CQ1763" s="30"/>
      <c r="CR1763" s="30"/>
      <c r="CS1763" s="30"/>
      <c r="CT1763" s="30"/>
      <c r="CU1763" s="30"/>
      <c r="CV1763" s="30"/>
      <c r="CW1763" s="30"/>
      <c r="CX1763" s="30"/>
      <c r="CY1763" s="30"/>
      <c r="CZ1763" s="30"/>
      <c r="DA1763" s="30"/>
      <c r="DB1763" s="30"/>
      <c r="DC1763" s="30"/>
      <c r="DD1763" s="30"/>
      <c r="DE1763" s="30"/>
      <c r="DF1763" s="30"/>
      <c r="DG1763" s="30"/>
      <c r="DH1763" s="30"/>
      <c r="DI1763" s="30"/>
      <c r="DJ1763" s="30"/>
      <c r="DK1763" s="30"/>
      <c r="DL1763" s="30"/>
      <c r="DM1763" s="30"/>
      <c r="DN1763" s="30"/>
      <c r="DO1763" s="30"/>
      <c r="DP1763" s="30"/>
      <c r="DQ1763" s="30"/>
      <c r="DR1763" s="30"/>
      <c r="DS1763" s="30"/>
      <c r="DT1763" s="30"/>
      <c r="DU1763" s="30"/>
      <c r="DV1763" s="30"/>
      <c r="DW1763" s="30"/>
      <c r="DX1763" s="30"/>
      <c r="DY1763" s="30"/>
      <c r="DZ1763" s="30"/>
    </row>
    <row r="1764">
      <c r="A1764" s="30"/>
      <c r="B1764" s="42"/>
      <c r="C1764" s="43"/>
      <c r="D1764" s="30"/>
      <c r="E1764" s="28"/>
      <c r="F1764" s="30"/>
      <c r="G1764" s="30"/>
      <c r="H1764" s="30"/>
      <c r="I1764" s="30"/>
      <c r="J1764" s="28"/>
      <c r="K1764" s="30"/>
      <c r="L1764" s="30"/>
      <c r="M1764" s="30"/>
      <c r="N1764" s="30"/>
      <c r="O1764" s="28"/>
      <c r="P1764" s="30"/>
      <c r="Q1764" s="30"/>
      <c r="R1764" s="30"/>
      <c r="S1764" s="36"/>
      <c r="T1764" s="30"/>
      <c r="U1764" s="36"/>
      <c r="V1764" s="30"/>
      <c r="W1764" s="28"/>
      <c r="X1764" s="30"/>
      <c r="Y1764" s="30"/>
      <c r="Z1764" s="30"/>
      <c r="AA1764" s="30"/>
      <c r="AB1764" s="30"/>
      <c r="AC1764" s="28"/>
      <c r="AD1764" s="30"/>
      <c r="AE1764" s="30"/>
      <c r="AF1764" s="30"/>
      <c r="AG1764" s="29"/>
      <c r="AH1764" s="30"/>
      <c r="AI1764" s="36"/>
      <c r="AJ1764" s="30"/>
      <c r="AK1764" s="29"/>
      <c r="AL1764" s="30"/>
      <c r="AM1764" s="30"/>
      <c r="AN1764" s="30"/>
      <c r="AO1764" s="30"/>
      <c r="AP1764" s="30"/>
      <c r="AQ1764" s="38"/>
      <c r="AR1764" s="30"/>
      <c r="AS1764" s="30"/>
      <c r="AT1764" s="29"/>
      <c r="AU1764" s="30"/>
      <c r="AV1764" s="30"/>
      <c r="AW1764" s="30"/>
      <c r="AX1764" s="29"/>
      <c r="AY1764" s="39"/>
      <c r="AZ1764" s="30"/>
      <c r="BA1764" s="30"/>
      <c r="BB1764" s="29"/>
      <c r="BC1764" s="52"/>
      <c r="BD1764" s="30"/>
      <c r="BE1764" s="29"/>
      <c r="BF1764" s="30"/>
      <c r="BG1764" s="30"/>
      <c r="BH1764" s="30"/>
      <c r="BI1764" s="30"/>
      <c r="BJ1764" s="30"/>
      <c r="BK1764" s="30"/>
      <c r="BL1764" s="30"/>
      <c r="BM1764" s="30"/>
      <c r="BN1764" s="30"/>
      <c r="BO1764" s="30"/>
      <c r="BP1764" s="30"/>
      <c r="BQ1764" s="30"/>
      <c r="BR1764" s="30"/>
      <c r="BS1764" s="30"/>
      <c r="BT1764" s="30"/>
      <c r="BU1764" s="30"/>
      <c r="BV1764" s="30"/>
      <c r="BW1764" s="30"/>
      <c r="BX1764" s="30"/>
      <c r="BY1764" s="30"/>
      <c r="BZ1764" s="30"/>
      <c r="CA1764" s="30"/>
      <c r="CB1764" s="30"/>
      <c r="CC1764" s="30"/>
      <c r="CD1764" s="30"/>
      <c r="CE1764" s="30"/>
      <c r="CF1764" s="30"/>
      <c r="CG1764" s="30"/>
      <c r="CH1764" s="30"/>
      <c r="CI1764" s="30"/>
      <c r="CJ1764" s="30"/>
      <c r="CK1764" s="30"/>
      <c r="CL1764" s="30"/>
      <c r="CM1764" s="30"/>
      <c r="CN1764" s="30"/>
      <c r="CO1764" s="30"/>
      <c r="CP1764" s="30"/>
      <c r="CQ1764" s="30"/>
      <c r="CR1764" s="30"/>
      <c r="CS1764" s="30"/>
      <c r="CT1764" s="30"/>
      <c r="CU1764" s="30"/>
      <c r="CV1764" s="30"/>
      <c r="CW1764" s="30"/>
      <c r="CX1764" s="30"/>
      <c r="CY1764" s="30"/>
      <c r="CZ1764" s="30"/>
      <c r="DA1764" s="30"/>
      <c r="DB1764" s="30"/>
      <c r="DC1764" s="30"/>
      <c r="DD1764" s="30"/>
      <c r="DE1764" s="30"/>
      <c r="DF1764" s="30"/>
      <c r="DG1764" s="30"/>
      <c r="DH1764" s="30"/>
      <c r="DI1764" s="30"/>
      <c r="DJ1764" s="30"/>
      <c r="DK1764" s="30"/>
      <c r="DL1764" s="30"/>
      <c r="DM1764" s="30"/>
      <c r="DN1764" s="30"/>
      <c r="DO1764" s="30"/>
      <c r="DP1764" s="30"/>
      <c r="DQ1764" s="30"/>
      <c r="DR1764" s="30"/>
      <c r="DS1764" s="30"/>
      <c r="DT1764" s="30"/>
      <c r="DU1764" s="30"/>
      <c r="DV1764" s="30"/>
      <c r="DW1764" s="30"/>
      <c r="DX1764" s="30"/>
      <c r="DY1764" s="30"/>
      <c r="DZ1764" s="30"/>
    </row>
    <row r="1765">
      <c r="A1765" s="30"/>
      <c r="B1765" s="42"/>
      <c r="C1765" s="43"/>
      <c r="D1765" s="30"/>
      <c r="E1765" s="28"/>
      <c r="F1765" s="30"/>
      <c r="G1765" s="30"/>
      <c r="H1765" s="30"/>
      <c r="I1765" s="30"/>
      <c r="J1765" s="28"/>
      <c r="K1765" s="30"/>
      <c r="L1765" s="30"/>
      <c r="M1765" s="30"/>
      <c r="N1765" s="30"/>
      <c r="O1765" s="28"/>
      <c r="P1765" s="30"/>
      <c r="Q1765" s="30"/>
      <c r="R1765" s="30"/>
      <c r="S1765" s="36"/>
      <c r="T1765" s="30"/>
      <c r="U1765" s="36"/>
      <c r="V1765" s="30"/>
      <c r="W1765" s="28"/>
      <c r="X1765" s="30"/>
      <c r="Y1765" s="30"/>
      <c r="Z1765" s="30"/>
      <c r="AA1765" s="30"/>
      <c r="AB1765" s="30"/>
      <c r="AC1765" s="28"/>
      <c r="AD1765" s="30"/>
      <c r="AE1765" s="30"/>
      <c r="AF1765" s="30"/>
      <c r="AG1765" s="29"/>
      <c r="AH1765" s="30"/>
      <c r="AI1765" s="36"/>
      <c r="AJ1765" s="30"/>
      <c r="AK1765" s="29"/>
      <c r="AL1765" s="30"/>
      <c r="AM1765" s="30"/>
      <c r="AN1765" s="30"/>
      <c r="AO1765" s="30"/>
      <c r="AP1765" s="30"/>
      <c r="AQ1765" s="38"/>
      <c r="AR1765" s="30"/>
      <c r="AS1765" s="30"/>
      <c r="AT1765" s="29"/>
      <c r="AU1765" s="30"/>
      <c r="AV1765" s="30"/>
      <c r="AW1765" s="30"/>
      <c r="AX1765" s="29"/>
      <c r="AY1765" s="39"/>
      <c r="AZ1765" s="30"/>
      <c r="BA1765" s="30"/>
      <c r="BB1765" s="29"/>
      <c r="BC1765" s="52"/>
      <c r="BD1765" s="30"/>
      <c r="BE1765" s="29"/>
      <c r="BF1765" s="30"/>
      <c r="BG1765" s="30"/>
      <c r="BH1765" s="30"/>
      <c r="BI1765" s="30"/>
      <c r="BJ1765" s="30"/>
      <c r="BK1765" s="30"/>
      <c r="BL1765" s="30"/>
      <c r="BM1765" s="30"/>
      <c r="BN1765" s="30"/>
      <c r="BO1765" s="30"/>
      <c r="BP1765" s="30"/>
      <c r="BQ1765" s="30"/>
      <c r="BR1765" s="30"/>
      <c r="BS1765" s="30"/>
      <c r="BT1765" s="30"/>
      <c r="BU1765" s="30"/>
      <c r="BV1765" s="30"/>
      <c r="BW1765" s="30"/>
      <c r="BX1765" s="30"/>
      <c r="BY1765" s="30"/>
      <c r="BZ1765" s="30"/>
      <c r="CA1765" s="30"/>
      <c r="CB1765" s="30"/>
      <c r="CC1765" s="30"/>
      <c r="CD1765" s="30"/>
      <c r="CE1765" s="30"/>
      <c r="CF1765" s="30"/>
      <c r="CG1765" s="30"/>
      <c r="CH1765" s="30"/>
      <c r="CI1765" s="30"/>
      <c r="CJ1765" s="30"/>
      <c r="CK1765" s="30"/>
      <c r="CL1765" s="30"/>
      <c r="CM1765" s="30"/>
      <c r="CN1765" s="30"/>
      <c r="CO1765" s="30"/>
      <c r="CP1765" s="30"/>
      <c r="CQ1765" s="30"/>
      <c r="CR1765" s="30"/>
      <c r="CS1765" s="30"/>
      <c r="CT1765" s="30"/>
      <c r="CU1765" s="30"/>
      <c r="CV1765" s="30"/>
      <c r="CW1765" s="30"/>
      <c r="CX1765" s="30"/>
      <c r="CY1765" s="30"/>
      <c r="CZ1765" s="30"/>
      <c r="DA1765" s="30"/>
      <c r="DB1765" s="30"/>
      <c r="DC1765" s="30"/>
      <c r="DD1765" s="30"/>
      <c r="DE1765" s="30"/>
      <c r="DF1765" s="30"/>
      <c r="DG1765" s="30"/>
      <c r="DH1765" s="30"/>
      <c r="DI1765" s="30"/>
      <c r="DJ1765" s="30"/>
      <c r="DK1765" s="30"/>
      <c r="DL1765" s="30"/>
      <c r="DM1765" s="30"/>
      <c r="DN1765" s="30"/>
      <c r="DO1765" s="30"/>
      <c r="DP1765" s="30"/>
      <c r="DQ1765" s="30"/>
      <c r="DR1765" s="30"/>
      <c r="DS1765" s="30"/>
      <c r="DT1765" s="30"/>
      <c r="DU1765" s="30"/>
      <c r="DV1765" s="30"/>
      <c r="DW1765" s="30"/>
      <c r="DX1765" s="30"/>
      <c r="DY1765" s="30"/>
      <c r="DZ1765" s="30"/>
    </row>
    <row r="1766">
      <c r="A1766" s="30"/>
      <c r="B1766" s="42"/>
      <c r="C1766" s="43"/>
      <c r="D1766" s="30"/>
      <c r="E1766" s="28"/>
      <c r="F1766" s="30"/>
      <c r="G1766" s="30"/>
      <c r="H1766" s="30"/>
      <c r="I1766" s="30"/>
      <c r="J1766" s="28"/>
      <c r="K1766" s="30"/>
      <c r="L1766" s="30"/>
      <c r="M1766" s="30"/>
      <c r="N1766" s="30"/>
      <c r="O1766" s="28"/>
      <c r="P1766" s="30"/>
      <c r="Q1766" s="30"/>
      <c r="R1766" s="30"/>
      <c r="S1766" s="36"/>
      <c r="T1766" s="30"/>
      <c r="U1766" s="36"/>
      <c r="V1766" s="30"/>
      <c r="W1766" s="28"/>
      <c r="X1766" s="30"/>
      <c r="Y1766" s="30"/>
      <c r="Z1766" s="30"/>
      <c r="AA1766" s="30"/>
      <c r="AB1766" s="30"/>
      <c r="AC1766" s="28"/>
      <c r="AD1766" s="30"/>
      <c r="AE1766" s="30"/>
      <c r="AF1766" s="30"/>
      <c r="AG1766" s="29"/>
      <c r="AH1766" s="30"/>
      <c r="AI1766" s="36"/>
      <c r="AJ1766" s="30"/>
      <c r="AK1766" s="29"/>
      <c r="AL1766" s="30"/>
      <c r="AM1766" s="30"/>
      <c r="AN1766" s="30"/>
      <c r="AO1766" s="30"/>
      <c r="AP1766" s="30"/>
      <c r="AQ1766" s="38"/>
      <c r="AR1766" s="30"/>
      <c r="AS1766" s="30"/>
      <c r="AT1766" s="29"/>
      <c r="AU1766" s="30"/>
      <c r="AV1766" s="30"/>
      <c r="AW1766" s="30"/>
      <c r="AX1766" s="29"/>
      <c r="AY1766" s="39"/>
      <c r="AZ1766" s="30"/>
      <c r="BA1766" s="30"/>
      <c r="BB1766" s="29"/>
      <c r="BC1766" s="52"/>
      <c r="BD1766" s="30"/>
      <c r="BE1766" s="29"/>
      <c r="BF1766" s="30"/>
      <c r="BG1766" s="30"/>
      <c r="BH1766" s="30"/>
      <c r="BI1766" s="30"/>
      <c r="BJ1766" s="30"/>
      <c r="BK1766" s="30"/>
      <c r="BL1766" s="30"/>
      <c r="BM1766" s="30"/>
      <c r="BN1766" s="30"/>
      <c r="BO1766" s="30"/>
      <c r="BP1766" s="30"/>
      <c r="BQ1766" s="30"/>
      <c r="BR1766" s="30"/>
      <c r="BS1766" s="30"/>
      <c r="BT1766" s="30"/>
      <c r="BU1766" s="30"/>
      <c r="BV1766" s="30"/>
      <c r="BW1766" s="30"/>
      <c r="BX1766" s="30"/>
      <c r="BY1766" s="30"/>
      <c r="BZ1766" s="30"/>
      <c r="CA1766" s="30"/>
      <c r="CB1766" s="30"/>
      <c r="CC1766" s="30"/>
      <c r="CD1766" s="30"/>
      <c r="CE1766" s="30"/>
      <c r="CF1766" s="30"/>
      <c r="CG1766" s="30"/>
      <c r="CH1766" s="30"/>
      <c r="CI1766" s="30"/>
      <c r="CJ1766" s="30"/>
      <c r="CK1766" s="30"/>
      <c r="CL1766" s="30"/>
      <c r="CM1766" s="30"/>
      <c r="CN1766" s="30"/>
      <c r="CO1766" s="30"/>
      <c r="CP1766" s="30"/>
      <c r="CQ1766" s="30"/>
      <c r="CR1766" s="30"/>
      <c r="CS1766" s="30"/>
      <c r="CT1766" s="30"/>
      <c r="CU1766" s="30"/>
      <c r="CV1766" s="30"/>
      <c r="CW1766" s="30"/>
      <c r="CX1766" s="30"/>
      <c r="CY1766" s="30"/>
      <c r="CZ1766" s="30"/>
      <c r="DA1766" s="30"/>
      <c r="DB1766" s="30"/>
      <c r="DC1766" s="30"/>
      <c r="DD1766" s="30"/>
      <c r="DE1766" s="30"/>
      <c r="DF1766" s="30"/>
      <c r="DG1766" s="30"/>
      <c r="DH1766" s="30"/>
      <c r="DI1766" s="30"/>
      <c r="DJ1766" s="30"/>
      <c r="DK1766" s="30"/>
      <c r="DL1766" s="30"/>
      <c r="DM1766" s="30"/>
      <c r="DN1766" s="30"/>
      <c r="DO1766" s="30"/>
      <c r="DP1766" s="30"/>
      <c r="DQ1766" s="30"/>
      <c r="DR1766" s="30"/>
      <c r="DS1766" s="30"/>
      <c r="DT1766" s="30"/>
      <c r="DU1766" s="30"/>
      <c r="DV1766" s="30"/>
      <c r="DW1766" s="30"/>
      <c r="DX1766" s="30"/>
      <c r="DY1766" s="30"/>
      <c r="DZ1766" s="30"/>
    </row>
    <row r="1767">
      <c r="A1767" s="30"/>
      <c r="B1767" s="42"/>
      <c r="C1767" s="43"/>
      <c r="D1767" s="30"/>
      <c r="E1767" s="28"/>
      <c r="F1767" s="30"/>
      <c r="G1767" s="30"/>
      <c r="H1767" s="30"/>
      <c r="I1767" s="30"/>
      <c r="J1767" s="28"/>
      <c r="K1767" s="30"/>
      <c r="L1767" s="30"/>
      <c r="M1767" s="30"/>
      <c r="N1767" s="30"/>
      <c r="O1767" s="28"/>
      <c r="P1767" s="30"/>
      <c r="Q1767" s="30"/>
      <c r="R1767" s="30"/>
      <c r="S1767" s="36"/>
      <c r="T1767" s="30"/>
      <c r="U1767" s="36"/>
      <c r="V1767" s="30"/>
      <c r="W1767" s="28"/>
      <c r="X1767" s="30"/>
      <c r="Y1767" s="30"/>
      <c r="Z1767" s="30"/>
      <c r="AA1767" s="30"/>
      <c r="AB1767" s="30"/>
      <c r="AC1767" s="28"/>
      <c r="AD1767" s="30"/>
      <c r="AE1767" s="30"/>
      <c r="AF1767" s="30"/>
      <c r="AG1767" s="29"/>
      <c r="AH1767" s="30"/>
      <c r="AI1767" s="36"/>
      <c r="AJ1767" s="30"/>
      <c r="AK1767" s="29"/>
      <c r="AL1767" s="30"/>
      <c r="AM1767" s="30"/>
      <c r="AN1767" s="30"/>
      <c r="AO1767" s="30"/>
      <c r="AP1767" s="30"/>
      <c r="AQ1767" s="38"/>
      <c r="AR1767" s="30"/>
      <c r="AS1767" s="30"/>
      <c r="AT1767" s="29"/>
      <c r="AU1767" s="30"/>
      <c r="AV1767" s="30"/>
      <c r="AW1767" s="30"/>
      <c r="AX1767" s="29"/>
      <c r="AY1767" s="39"/>
      <c r="AZ1767" s="30"/>
      <c r="BA1767" s="30"/>
      <c r="BB1767" s="29"/>
      <c r="BC1767" s="52"/>
      <c r="BD1767" s="30"/>
      <c r="BE1767" s="29"/>
      <c r="BF1767" s="30"/>
      <c r="BG1767" s="30"/>
      <c r="BH1767" s="30"/>
      <c r="BI1767" s="30"/>
      <c r="BJ1767" s="30"/>
      <c r="BK1767" s="30"/>
      <c r="BL1767" s="30"/>
      <c r="BM1767" s="30"/>
      <c r="BN1767" s="30"/>
      <c r="BO1767" s="30"/>
      <c r="BP1767" s="30"/>
      <c r="BQ1767" s="30"/>
      <c r="BR1767" s="30"/>
      <c r="BS1767" s="30"/>
      <c r="BT1767" s="30"/>
      <c r="BU1767" s="30"/>
      <c r="BV1767" s="30"/>
      <c r="BW1767" s="30"/>
      <c r="BX1767" s="30"/>
      <c r="BY1767" s="30"/>
      <c r="BZ1767" s="30"/>
      <c r="CA1767" s="30"/>
      <c r="CB1767" s="30"/>
      <c r="CC1767" s="30"/>
      <c r="CD1767" s="30"/>
      <c r="CE1767" s="30"/>
      <c r="CF1767" s="30"/>
      <c r="CG1767" s="30"/>
      <c r="CH1767" s="30"/>
      <c r="CI1767" s="30"/>
      <c r="CJ1767" s="30"/>
      <c r="CK1767" s="30"/>
      <c r="CL1767" s="30"/>
      <c r="CM1767" s="30"/>
      <c r="CN1767" s="30"/>
      <c r="CO1767" s="30"/>
      <c r="CP1767" s="30"/>
      <c r="CQ1767" s="30"/>
      <c r="CR1767" s="30"/>
      <c r="CS1767" s="30"/>
      <c r="CT1767" s="30"/>
      <c r="CU1767" s="30"/>
      <c r="CV1767" s="30"/>
      <c r="CW1767" s="30"/>
      <c r="CX1767" s="30"/>
      <c r="CY1767" s="30"/>
      <c r="CZ1767" s="30"/>
      <c r="DA1767" s="30"/>
      <c r="DB1767" s="30"/>
      <c r="DC1767" s="30"/>
      <c r="DD1767" s="30"/>
      <c r="DE1767" s="30"/>
      <c r="DF1767" s="30"/>
      <c r="DG1767" s="30"/>
      <c r="DH1767" s="30"/>
      <c r="DI1767" s="30"/>
      <c r="DJ1767" s="30"/>
      <c r="DK1767" s="30"/>
      <c r="DL1767" s="30"/>
      <c r="DM1767" s="30"/>
      <c r="DN1767" s="30"/>
      <c r="DO1767" s="30"/>
      <c r="DP1767" s="30"/>
      <c r="DQ1767" s="30"/>
      <c r="DR1767" s="30"/>
      <c r="DS1767" s="30"/>
      <c r="DT1767" s="30"/>
      <c r="DU1767" s="30"/>
      <c r="DV1767" s="30"/>
      <c r="DW1767" s="30"/>
      <c r="DX1767" s="30"/>
      <c r="DY1767" s="30"/>
      <c r="DZ1767" s="30"/>
    </row>
    <row r="1768">
      <c r="A1768" s="30"/>
      <c r="B1768" s="42"/>
      <c r="C1768" s="43"/>
      <c r="D1768" s="30"/>
      <c r="E1768" s="28"/>
      <c r="F1768" s="30"/>
      <c r="G1768" s="30"/>
      <c r="H1768" s="30"/>
      <c r="I1768" s="30"/>
      <c r="J1768" s="28"/>
      <c r="K1768" s="30"/>
      <c r="L1768" s="30"/>
      <c r="M1768" s="30"/>
      <c r="N1768" s="30"/>
      <c r="O1768" s="28"/>
      <c r="P1768" s="30"/>
      <c r="Q1768" s="30"/>
      <c r="R1768" s="30"/>
      <c r="S1768" s="36"/>
      <c r="T1768" s="30"/>
      <c r="U1768" s="36"/>
      <c r="V1768" s="30"/>
      <c r="W1768" s="28"/>
      <c r="X1768" s="30"/>
      <c r="Y1768" s="30"/>
      <c r="Z1768" s="30"/>
      <c r="AA1768" s="30"/>
      <c r="AB1768" s="30"/>
      <c r="AC1768" s="28"/>
      <c r="AD1768" s="30"/>
      <c r="AE1768" s="30"/>
      <c r="AF1768" s="30"/>
      <c r="AG1768" s="29"/>
      <c r="AH1768" s="30"/>
      <c r="AI1768" s="36"/>
      <c r="AJ1768" s="30"/>
      <c r="AK1768" s="29"/>
      <c r="AL1768" s="30"/>
      <c r="AM1768" s="30"/>
      <c r="AN1768" s="30"/>
      <c r="AO1768" s="30"/>
      <c r="AP1768" s="30"/>
      <c r="AQ1768" s="38"/>
      <c r="AR1768" s="30"/>
      <c r="AS1768" s="30"/>
      <c r="AT1768" s="29"/>
      <c r="AU1768" s="30"/>
      <c r="AV1768" s="30"/>
      <c r="AW1768" s="30"/>
      <c r="AX1768" s="29"/>
      <c r="AY1768" s="39"/>
      <c r="AZ1768" s="30"/>
      <c r="BA1768" s="30"/>
      <c r="BB1768" s="29"/>
      <c r="BC1768" s="52"/>
      <c r="BD1768" s="30"/>
      <c r="BE1768" s="29"/>
      <c r="BF1768" s="30"/>
      <c r="BG1768" s="30"/>
      <c r="BH1768" s="30"/>
      <c r="BI1768" s="30"/>
      <c r="BJ1768" s="30"/>
      <c r="BK1768" s="30"/>
      <c r="BL1768" s="30"/>
      <c r="BM1768" s="30"/>
      <c r="BN1768" s="30"/>
      <c r="BO1768" s="30"/>
      <c r="BP1768" s="30"/>
      <c r="BQ1768" s="30"/>
      <c r="BR1768" s="30"/>
      <c r="BS1768" s="30"/>
      <c r="BT1768" s="30"/>
      <c r="BU1768" s="30"/>
      <c r="BV1768" s="30"/>
      <c r="BW1768" s="30"/>
      <c r="BX1768" s="30"/>
      <c r="BY1768" s="30"/>
      <c r="BZ1768" s="30"/>
      <c r="CA1768" s="30"/>
      <c r="CB1768" s="30"/>
      <c r="CC1768" s="30"/>
      <c r="CD1768" s="30"/>
      <c r="CE1768" s="30"/>
      <c r="CF1768" s="30"/>
      <c r="CG1768" s="30"/>
      <c r="CH1768" s="30"/>
      <c r="CI1768" s="30"/>
      <c r="CJ1768" s="30"/>
      <c r="CK1768" s="30"/>
      <c r="CL1768" s="30"/>
      <c r="CM1768" s="30"/>
      <c r="CN1768" s="30"/>
      <c r="CO1768" s="30"/>
      <c r="CP1768" s="30"/>
      <c r="CQ1768" s="30"/>
      <c r="CR1768" s="30"/>
      <c r="CS1768" s="30"/>
      <c r="CT1768" s="30"/>
      <c r="CU1768" s="30"/>
      <c r="CV1768" s="30"/>
      <c r="CW1768" s="30"/>
      <c r="CX1768" s="30"/>
      <c r="CY1768" s="30"/>
      <c r="CZ1768" s="30"/>
      <c r="DA1768" s="30"/>
      <c r="DB1768" s="30"/>
      <c r="DC1768" s="30"/>
      <c r="DD1768" s="30"/>
      <c r="DE1768" s="30"/>
      <c r="DF1768" s="30"/>
      <c r="DG1768" s="30"/>
      <c r="DH1768" s="30"/>
      <c r="DI1768" s="30"/>
      <c r="DJ1768" s="30"/>
      <c r="DK1768" s="30"/>
      <c r="DL1768" s="30"/>
      <c r="DM1768" s="30"/>
      <c r="DN1768" s="30"/>
      <c r="DO1768" s="30"/>
      <c r="DP1768" s="30"/>
      <c r="DQ1768" s="30"/>
      <c r="DR1768" s="30"/>
      <c r="DS1768" s="30"/>
      <c r="DT1768" s="30"/>
      <c r="DU1768" s="30"/>
      <c r="DV1768" s="30"/>
      <c r="DW1768" s="30"/>
      <c r="DX1768" s="30"/>
      <c r="DY1768" s="30"/>
      <c r="DZ1768" s="30"/>
    </row>
    <row r="1769">
      <c r="A1769" s="30"/>
      <c r="B1769" s="42"/>
      <c r="C1769" s="43"/>
      <c r="D1769" s="30"/>
      <c r="E1769" s="28"/>
      <c r="F1769" s="30"/>
      <c r="G1769" s="30"/>
      <c r="H1769" s="30"/>
      <c r="I1769" s="30"/>
      <c r="J1769" s="28"/>
      <c r="K1769" s="30"/>
      <c r="L1769" s="30"/>
      <c r="M1769" s="30"/>
      <c r="N1769" s="30"/>
      <c r="O1769" s="28"/>
      <c r="P1769" s="30"/>
      <c r="Q1769" s="30"/>
      <c r="R1769" s="30"/>
      <c r="S1769" s="36"/>
      <c r="T1769" s="30"/>
      <c r="U1769" s="36"/>
      <c r="V1769" s="30"/>
      <c r="W1769" s="28"/>
      <c r="X1769" s="30"/>
      <c r="Y1769" s="30"/>
      <c r="Z1769" s="30"/>
      <c r="AA1769" s="30"/>
      <c r="AB1769" s="30"/>
      <c r="AC1769" s="28"/>
      <c r="AD1769" s="30"/>
      <c r="AE1769" s="30"/>
      <c r="AF1769" s="30"/>
      <c r="AG1769" s="29"/>
      <c r="AH1769" s="30"/>
      <c r="AI1769" s="36"/>
      <c r="AJ1769" s="30"/>
      <c r="AK1769" s="29"/>
      <c r="AL1769" s="30"/>
      <c r="AM1769" s="30"/>
      <c r="AN1769" s="30"/>
      <c r="AO1769" s="30"/>
      <c r="AP1769" s="30"/>
      <c r="AQ1769" s="38"/>
      <c r="AR1769" s="30"/>
      <c r="AS1769" s="30"/>
      <c r="AT1769" s="29"/>
      <c r="AU1769" s="30"/>
      <c r="AV1769" s="30"/>
      <c r="AW1769" s="30"/>
      <c r="AX1769" s="29"/>
      <c r="AY1769" s="39"/>
      <c r="AZ1769" s="30"/>
      <c r="BA1769" s="30"/>
      <c r="BB1769" s="29"/>
      <c r="BC1769" s="52"/>
      <c r="BD1769" s="30"/>
      <c r="BE1769" s="29"/>
      <c r="BF1769" s="30"/>
      <c r="BG1769" s="30"/>
      <c r="BH1769" s="30"/>
      <c r="BI1769" s="30"/>
      <c r="BJ1769" s="30"/>
      <c r="BK1769" s="30"/>
      <c r="BL1769" s="30"/>
      <c r="BM1769" s="30"/>
      <c r="BN1769" s="30"/>
      <c r="BO1769" s="30"/>
      <c r="BP1769" s="30"/>
      <c r="BQ1769" s="30"/>
      <c r="BR1769" s="30"/>
      <c r="BS1769" s="30"/>
      <c r="BT1769" s="30"/>
      <c r="BU1769" s="30"/>
      <c r="BV1769" s="30"/>
      <c r="BW1769" s="30"/>
      <c r="BX1769" s="30"/>
      <c r="BY1769" s="30"/>
      <c r="BZ1769" s="30"/>
      <c r="CA1769" s="30"/>
      <c r="CB1769" s="30"/>
      <c r="CC1769" s="30"/>
      <c r="CD1769" s="30"/>
      <c r="CE1769" s="30"/>
      <c r="CF1769" s="30"/>
      <c r="CG1769" s="30"/>
      <c r="CH1769" s="30"/>
      <c r="CI1769" s="30"/>
      <c r="CJ1769" s="30"/>
      <c r="CK1769" s="30"/>
      <c r="CL1769" s="30"/>
      <c r="CM1769" s="30"/>
      <c r="CN1769" s="30"/>
      <c r="CO1769" s="30"/>
      <c r="CP1769" s="30"/>
      <c r="CQ1769" s="30"/>
      <c r="CR1769" s="30"/>
      <c r="CS1769" s="30"/>
      <c r="CT1769" s="30"/>
      <c r="CU1769" s="30"/>
      <c r="CV1769" s="30"/>
      <c r="CW1769" s="30"/>
      <c r="CX1769" s="30"/>
      <c r="CY1769" s="30"/>
      <c r="CZ1769" s="30"/>
      <c r="DA1769" s="30"/>
      <c r="DB1769" s="30"/>
      <c r="DC1769" s="30"/>
      <c r="DD1769" s="30"/>
      <c r="DE1769" s="30"/>
      <c r="DF1769" s="30"/>
      <c r="DG1769" s="30"/>
      <c r="DH1769" s="30"/>
      <c r="DI1769" s="30"/>
      <c r="DJ1769" s="30"/>
      <c r="DK1769" s="30"/>
      <c r="DL1769" s="30"/>
      <c r="DM1769" s="30"/>
      <c r="DN1769" s="30"/>
      <c r="DO1769" s="30"/>
      <c r="DP1769" s="30"/>
      <c r="DQ1769" s="30"/>
      <c r="DR1769" s="30"/>
      <c r="DS1769" s="30"/>
      <c r="DT1769" s="30"/>
      <c r="DU1769" s="30"/>
      <c r="DV1769" s="30"/>
      <c r="DW1769" s="30"/>
      <c r="DX1769" s="30"/>
      <c r="DY1769" s="30"/>
      <c r="DZ1769" s="30"/>
    </row>
    <row r="1770">
      <c r="A1770" s="30"/>
      <c r="B1770" s="42"/>
      <c r="C1770" s="43"/>
      <c r="D1770" s="30"/>
      <c r="E1770" s="28"/>
      <c r="F1770" s="30"/>
      <c r="G1770" s="30"/>
      <c r="H1770" s="30"/>
      <c r="I1770" s="30"/>
      <c r="J1770" s="28"/>
      <c r="K1770" s="30"/>
      <c r="L1770" s="30"/>
      <c r="M1770" s="30"/>
      <c r="N1770" s="30"/>
      <c r="O1770" s="28"/>
      <c r="P1770" s="30"/>
      <c r="Q1770" s="30"/>
      <c r="R1770" s="30"/>
      <c r="S1770" s="36"/>
      <c r="T1770" s="30"/>
      <c r="U1770" s="36"/>
      <c r="V1770" s="30"/>
      <c r="W1770" s="28"/>
      <c r="X1770" s="30"/>
      <c r="Y1770" s="30"/>
      <c r="Z1770" s="30"/>
      <c r="AA1770" s="30"/>
      <c r="AB1770" s="30"/>
      <c r="AC1770" s="28"/>
      <c r="AD1770" s="30"/>
      <c r="AE1770" s="30"/>
      <c r="AF1770" s="30"/>
      <c r="AG1770" s="29"/>
      <c r="AH1770" s="30"/>
      <c r="AI1770" s="36"/>
      <c r="AJ1770" s="30"/>
      <c r="AK1770" s="29"/>
      <c r="AL1770" s="30"/>
      <c r="AM1770" s="30"/>
      <c r="AN1770" s="30"/>
      <c r="AO1770" s="30"/>
      <c r="AP1770" s="30"/>
      <c r="AQ1770" s="38"/>
      <c r="AR1770" s="30"/>
      <c r="AS1770" s="30"/>
      <c r="AT1770" s="29"/>
      <c r="AU1770" s="30"/>
      <c r="AV1770" s="30"/>
      <c r="AW1770" s="30"/>
      <c r="AX1770" s="29"/>
      <c r="AY1770" s="39"/>
      <c r="AZ1770" s="30"/>
      <c r="BA1770" s="30"/>
      <c r="BB1770" s="29"/>
      <c r="BC1770" s="52"/>
      <c r="BD1770" s="30"/>
      <c r="BE1770" s="29"/>
      <c r="BF1770" s="30"/>
      <c r="BG1770" s="30"/>
      <c r="BH1770" s="30"/>
      <c r="BI1770" s="30"/>
      <c r="BJ1770" s="30"/>
      <c r="BK1770" s="30"/>
      <c r="BL1770" s="30"/>
      <c r="BM1770" s="30"/>
      <c r="BN1770" s="30"/>
      <c r="BO1770" s="30"/>
      <c r="BP1770" s="30"/>
      <c r="BQ1770" s="30"/>
      <c r="BR1770" s="30"/>
      <c r="BS1770" s="30"/>
      <c r="BT1770" s="30"/>
      <c r="BU1770" s="30"/>
      <c r="BV1770" s="30"/>
      <c r="BW1770" s="30"/>
      <c r="BX1770" s="30"/>
      <c r="BY1770" s="30"/>
      <c r="BZ1770" s="30"/>
      <c r="CA1770" s="30"/>
      <c r="CB1770" s="30"/>
      <c r="CC1770" s="30"/>
      <c r="CD1770" s="30"/>
      <c r="CE1770" s="30"/>
      <c r="CF1770" s="30"/>
      <c r="CG1770" s="30"/>
      <c r="CH1770" s="30"/>
      <c r="CI1770" s="30"/>
      <c r="CJ1770" s="30"/>
      <c r="CK1770" s="30"/>
      <c r="CL1770" s="30"/>
      <c r="CM1770" s="30"/>
      <c r="CN1770" s="30"/>
      <c r="CO1770" s="30"/>
      <c r="CP1770" s="30"/>
      <c r="CQ1770" s="30"/>
      <c r="CR1770" s="30"/>
      <c r="CS1770" s="30"/>
      <c r="CT1770" s="30"/>
      <c r="CU1770" s="30"/>
      <c r="CV1770" s="30"/>
      <c r="CW1770" s="30"/>
      <c r="CX1770" s="30"/>
      <c r="CY1770" s="30"/>
      <c r="CZ1770" s="30"/>
      <c r="DA1770" s="30"/>
      <c r="DB1770" s="30"/>
      <c r="DC1770" s="30"/>
      <c r="DD1770" s="30"/>
      <c r="DE1770" s="30"/>
      <c r="DF1770" s="30"/>
      <c r="DG1770" s="30"/>
      <c r="DH1770" s="30"/>
      <c r="DI1770" s="30"/>
      <c r="DJ1770" s="30"/>
      <c r="DK1770" s="30"/>
      <c r="DL1770" s="30"/>
      <c r="DM1770" s="30"/>
      <c r="DN1770" s="30"/>
      <c r="DO1770" s="30"/>
      <c r="DP1770" s="30"/>
      <c r="DQ1770" s="30"/>
      <c r="DR1770" s="30"/>
      <c r="DS1770" s="30"/>
      <c r="DT1770" s="30"/>
      <c r="DU1770" s="30"/>
      <c r="DV1770" s="30"/>
      <c r="DW1770" s="30"/>
      <c r="DX1770" s="30"/>
      <c r="DY1770" s="30"/>
      <c r="DZ1770" s="30"/>
    </row>
    <row r="1771">
      <c r="A1771" s="30"/>
      <c r="B1771" s="42"/>
      <c r="C1771" s="43"/>
      <c r="D1771" s="30"/>
      <c r="E1771" s="28"/>
      <c r="F1771" s="30"/>
      <c r="G1771" s="30"/>
      <c r="H1771" s="30"/>
      <c r="I1771" s="30"/>
      <c r="J1771" s="28"/>
      <c r="K1771" s="30"/>
      <c r="L1771" s="30"/>
      <c r="M1771" s="30"/>
      <c r="N1771" s="30"/>
      <c r="O1771" s="28"/>
      <c r="P1771" s="30"/>
      <c r="Q1771" s="30"/>
      <c r="R1771" s="30"/>
      <c r="S1771" s="36"/>
      <c r="T1771" s="30"/>
      <c r="U1771" s="36"/>
      <c r="V1771" s="30"/>
      <c r="W1771" s="28"/>
      <c r="X1771" s="30"/>
      <c r="Y1771" s="30"/>
      <c r="Z1771" s="30"/>
      <c r="AA1771" s="30"/>
      <c r="AB1771" s="30"/>
      <c r="AC1771" s="28"/>
      <c r="AD1771" s="30"/>
      <c r="AE1771" s="30"/>
      <c r="AF1771" s="30"/>
      <c r="AG1771" s="29"/>
      <c r="AH1771" s="30"/>
      <c r="AI1771" s="36"/>
      <c r="AJ1771" s="30"/>
      <c r="AK1771" s="29"/>
      <c r="AL1771" s="30"/>
      <c r="AM1771" s="30"/>
      <c r="AN1771" s="30"/>
      <c r="AO1771" s="30"/>
      <c r="AP1771" s="30"/>
      <c r="AQ1771" s="38"/>
      <c r="AR1771" s="30"/>
      <c r="AS1771" s="30"/>
      <c r="AT1771" s="29"/>
      <c r="AU1771" s="30"/>
      <c r="AV1771" s="30"/>
      <c r="AW1771" s="30"/>
      <c r="AX1771" s="29"/>
      <c r="AY1771" s="39"/>
      <c r="AZ1771" s="30"/>
      <c r="BA1771" s="30"/>
      <c r="BB1771" s="29"/>
      <c r="BC1771" s="52"/>
      <c r="BD1771" s="30"/>
      <c r="BE1771" s="29"/>
      <c r="BF1771" s="30"/>
      <c r="BG1771" s="30"/>
      <c r="BH1771" s="30"/>
      <c r="BI1771" s="30"/>
      <c r="BJ1771" s="30"/>
      <c r="BK1771" s="30"/>
      <c r="BL1771" s="30"/>
      <c r="BM1771" s="30"/>
      <c r="BN1771" s="30"/>
      <c r="BO1771" s="30"/>
      <c r="BP1771" s="30"/>
      <c r="BQ1771" s="30"/>
      <c r="BR1771" s="30"/>
      <c r="BS1771" s="30"/>
      <c r="BT1771" s="30"/>
      <c r="BU1771" s="30"/>
      <c r="BV1771" s="30"/>
      <c r="BW1771" s="30"/>
      <c r="BX1771" s="30"/>
      <c r="BY1771" s="30"/>
      <c r="BZ1771" s="30"/>
      <c r="CA1771" s="30"/>
      <c r="CB1771" s="30"/>
      <c r="CC1771" s="30"/>
      <c r="CD1771" s="30"/>
      <c r="CE1771" s="30"/>
      <c r="CF1771" s="30"/>
      <c r="CG1771" s="30"/>
      <c r="CH1771" s="30"/>
      <c r="CI1771" s="30"/>
      <c r="CJ1771" s="30"/>
      <c r="CK1771" s="30"/>
      <c r="CL1771" s="30"/>
      <c r="CM1771" s="30"/>
      <c r="CN1771" s="30"/>
      <c r="CO1771" s="30"/>
      <c r="CP1771" s="30"/>
      <c r="CQ1771" s="30"/>
      <c r="CR1771" s="30"/>
      <c r="CS1771" s="30"/>
      <c r="CT1771" s="30"/>
      <c r="CU1771" s="30"/>
      <c r="CV1771" s="30"/>
      <c r="CW1771" s="30"/>
      <c r="CX1771" s="30"/>
      <c r="CY1771" s="30"/>
      <c r="CZ1771" s="30"/>
      <c r="DA1771" s="30"/>
      <c r="DB1771" s="30"/>
      <c r="DC1771" s="30"/>
      <c r="DD1771" s="30"/>
      <c r="DE1771" s="30"/>
      <c r="DF1771" s="30"/>
      <c r="DG1771" s="30"/>
      <c r="DH1771" s="30"/>
      <c r="DI1771" s="30"/>
      <c r="DJ1771" s="30"/>
      <c r="DK1771" s="30"/>
      <c r="DL1771" s="30"/>
      <c r="DM1771" s="30"/>
      <c r="DN1771" s="30"/>
      <c r="DO1771" s="30"/>
      <c r="DP1771" s="30"/>
      <c r="DQ1771" s="30"/>
      <c r="DR1771" s="30"/>
      <c r="DS1771" s="30"/>
      <c r="DT1771" s="30"/>
      <c r="DU1771" s="30"/>
      <c r="DV1771" s="30"/>
      <c r="DW1771" s="30"/>
      <c r="DX1771" s="30"/>
      <c r="DY1771" s="30"/>
      <c r="DZ1771" s="30"/>
    </row>
    <row r="1772">
      <c r="A1772" s="30"/>
      <c r="B1772" s="42"/>
      <c r="C1772" s="43"/>
      <c r="D1772" s="30"/>
      <c r="E1772" s="28"/>
      <c r="F1772" s="30"/>
      <c r="G1772" s="30"/>
      <c r="H1772" s="30"/>
      <c r="I1772" s="30"/>
      <c r="J1772" s="28"/>
      <c r="K1772" s="30"/>
      <c r="L1772" s="30"/>
      <c r="M1772" s="30"/>
      <c r="N1772" s="30"/>
      <c r="O1772" s="28"/>
      <c r="P1772" s="30"/>
      <c r="Q1772" s="30"/>
      <c r="R1772" s="30"/>
      <c r="S1772" s="36"/>
      <c r="T1772" s="30"/>
      <c r="U1772" s="36"/>
      <c r="V1772" s="30"/>
      <c r="W1772" s="28"/>
      <c r="X1772" s="30"/>
      <c r="Y1772" s="30"/>
      <c r="Z1772" s="30"/>
      <c r="AA1772" s="30"/>
      <c r="AB1772" s="30"/>
      <c r="AC1772" s="28"/>
      <c r="AD1772" s="30"/>
      <c r="AE1772" s="30"/>
      <c r="AF1772" s="30"/>
      <c r="AG1772" s="29"/>
      <c r="AH1772" s="30"/>
      <c r="AI1772" s="36"/>
      <c r="AJ1772" s="30"/>
      <c r="AK1772" s="29"/>
      <c r="AL1772" s="30"/>
      <c r="AM1772" s="30"/>
      <c r="AN1772" s="30"/>
      <c r="AO1772" s="30"/>
      <c r="AP1772" s="30"/>
      <c r="AQ1772" s="38"/>
      <c r="AR1772" s="30"/>
      <c r="AS1772" s="30"/>
      <c r="AT1772" s="29"/>
      <c r="AU1772" s="30"/>
      <c r="AV1772" s="30"/>
      <c r="AW1772" s="30"/>
      <c r="AX1772" s="29"/>
      <c r="AY1772" s="39"/>
      <c r="AZ1772" s="30"/>
      <c r="BA1772" s="30"/>
      <c r="BB1772" s="29"/>
      <c r="BC1772" s="52"/>
      <c r="BD1772" s="30"/>
      <c r="BE1772" s="29"/>
      <c r="BF1772" s="30"/>
      <c r="BG1772" s="30"/>
      <c r="BH1772" s="30"/>
      <c r="BI1772" s="30"/>
      <c r="BJ1772" s="30"/>
      <c r="BK1772" s="30"/>
      <c r="BL1772" s="30"/>
      <c r="BM1772" s="30"/>
      <c r="BN1772" s="30"/>
      <c r="BO1772" s="30"/>
      <c r="BP1772" s="30"/>
      <c r="BQ1772" s="30"/>
      <c r="BR1772" s="30"/>
      <c r="BS1772" s="30"/>
      <c r="BT1772" s="30"/>
      <c r="BU1772" s="30"/>
      <c r="BV1772" s="30"/>
      <c r="BW1772" s="30"/>
      <c r="BX1772" s="30"/>
      <c r="BY1772" s="30"/>
      <c r="BZ1772" s="30"/>
      <c r="CA1772" s="30"/>
      <c r="CB1772" s="30"/>
      <c r="CC1772" s="30"/>
      <c r="CD1772" s="30"/>
      <c r="CE1772" s="30"/>
      <c r="CF1772" s="30"/>
      <c r="CG1772" s="30"/>
      <c r="CH1772" s="30"/>
      <c r="CI1772" s="30"/>
      <c r="CJ1772" s="30"/>
      <c r="CK1772" s="30"/>
      <c r="CL1772" s="30"/>
      <c r="CM1772" s="30"/>
      <c r="CN1772" s="30"/>
      <c r="CO1772" s="30"/>
      <c r="CP1772" s="30"/>
      <c r="CQ1772" s="30"/>
      <c r="CR1772" s="30"/>
      <c r="CS1772" s="30"/>
      <c r="CT1772" s="30"/>
      <c r="CU1772" s="30"/>
      <c r="CV1772" s="30"/>
      <c r="CW1772" s="30"/>
      <c r="CX1772" s="30"/>
      <c r="CY1772" s="30"/>
      <c r="CZ1772" s="30"/>
      <c r="DA1772" s="30"/>
      <c r="DB1772" s="30"/>
      <c r="DC1772" s="30"/>
      <c r="DD1772" s="30"/>
      <c r="DE1772" s="30"/>
      <c r="DF1772" s="30"/>
      <c r="DG1772" s="30"/>
      <c r="DH1772" s="30"/>
      <c r="DI1772" s="30"/>
      <c r="DJ1772" s="30"/>
      <c r="DK1772" s="30"/>
      <c r="DL1772" s="30"/>
      <c r="DM1772" s="30"/>
      <c r="DN1772" s="30"/>
      <c r="DO1772" s="30"/>
      <c r="DP1772" s="30"/>
      <c r="DQ1772" s="30"/>
      <c r="DR1772" s="30"/>
      <c r="DS1772" s="30"/>
      <c r="DT1772" s="30"/>
      <c r="DU1772" s="30"/>
      <c r="DV1772" s="30"/>
      <c r="DW1772" s="30"/>
      <c r="DX1772" s="30"/>
      <c r="DY1772" s="30"/>
      <c r="DZ1772" s="30"/>
    </row>
    <row r="1773">
      <c r="A1773" s="30"/>
      <c r="B1773" s="42"/>
      <c r="C1773" s="43"/>
      <c r="D1773" s="30"/>
      <c r="E1773" s="28"/>
      <c r="F1773" s="30"/>
      <c r="G1773" s="30"/>
      <c r="H1773" s="30"/>
      <c r="I1773" s="30"/>
      <c r="J1773" s="28"/>
      <c r="K1773" s="30"/>
      <c r="L1773" s="30"/>
      <c r="M1773" s="30"/>
      <c r="N1773" s="30"/>
      <c r="O1773" s="28"/>
      <c r="P1773" s="30"/>
      <c r="Q1773" s="30"/>
      <c r="R1773" s="30"/>
      <c r="S1773" s="36"/>
      <c r="T1773" s="30"/>
      <c r="U1773" s="36"/>
      <c r="V1773" s="30"/>
      <c r="W1773" s="28"/>
      <c r="X1773" s="30"/>
      <c r="Y1773" s="30"/>
      <c r="Z1773" s="30"/>
      <c r="AA1773" s="30"/>
      <c r="AB1773" s="30"/>
      <c r="AC1773" s="28"/>
      <c r="AD1773" s="30"/>
      <c r="AE1773" s="30"/>
      <c r="AF1773" s="30"/>
      <c r="AG1773" s="29"/>
      <c r="AH1773" s="30"/>
      <c r="AI1773" s="36"/>
      <c r="AJ1773" s="30"/>
      <c r="AK1773" s="29"/>
      <c r="AL1773" s="30"/>
      <c r="AM1773" s="30"/>
      <c r="AN1773" s="30"/>
      <c r="AO1773" s="30"/>
      <c r="AP1773" s="30"/>
      <c r="AQ1773" s="38"/>
      <c r="AR1773" s="30"/>
      <c r="AS1773" s="30"/>
      <c r="AT1773" s="29"/>
      <c r="AU1773" s="30"/>
      <c r="AV1773" s="30"/>
      <c r="AW1773" s="30"/>
      <c r="AX1773" s="29"/>
      <c r="AY1773" s="39"/>
      <c r="AZ1773" s="30"/>
      <c r="BA1773" s="30"/>
      <c r="BB1773" s="29"/>
      <c r="BC1773" s="52"/>
      <c r="BD1773" s="30"/>
      <c r="BE1773" s="29"/>
      <c r="BF1773" s="30"/>
      <c r="BG1773" s="30"/>
      <c r="BH1773" s="30"/>
      <c r="BI1773" s="30"/>
      <c r="BJ1773" s="30"/>
      <c r="BK1773" s="30"/>
      <c r="BL1773" s="30"/>
      <c r="BM1773" s="30"/>
      <c r="BN1773" s="30"/>
      <c r="BO1773" s="30"/>
      <c r="BP1773" s="30"/>
      <c r="BQ1773" s="30"/>
      <c r="BR1773" s="30"/>
      <c r="BS1773" s="30"/>
      <c r="BT1773" s="30"/>
      <c r="BU1773" s="30"/>
      <c r="BV1773" s="30"/>
      <c r="BW1773" s="30"/>
      <c r="BX1773" s="30"/>
      <c r="BY1773" s="30"/>
      <c r="BZ1773" s="30"/>
      <c r="CA1773" s="30"/>
      <c r="CB1773" s="30"/>
      <c r="CC1773" s="30"/>
      <c r="CD1773" s="30"/>
      <c r="CE1773" s="30"/>
      <c r="CF1773" s="30"/>
      <c r="CG1773" s="30"/>
      <c r="CH1773" s="30"/>
      <c r="CI1773" s="30"/>
      <c r="CJ1773" s="30"/>
      <c r="CK1773" s="30"/>
      <c r="CL1773" s="30"/>
      <c r="CM1773" s="30"/>
      <c r="CN1773" s="30"/>
      <c r="CO1773" s="30"/>
      <c r="CP1773" s="30"/>
      <c r="CQ1773" s="30"/>
      <c r="CR1773" s="30"/>
      <c r="CS1773" s="30"/>
      <c r="CT1773" s="30"/>
      <c r="CU1773" s="30"/>
      <c r="CV1773" s="30"/>
      <c r="CW1773" s="30"/>
      <c r="CX1773" s="30"/>
      <c r="CY1773" s="30"/>
      <c r="CZ1773" s="30"/>
      <c r="DA1773" s="30"/>
      <c r="DB1773" s="30"/>
      <c r="DC1773" s="30"/>
      <c r="DD1773" s="30"/>
      <c r="DE1773" s="30"/>
      <c r="DF1773" s="30"/>
      <c r="DG1773" s="30"/>
      <c r="DH1773" s="30"/>
      <c r="DI1773" s="30"/>
      <c r="DJ1773" s="30"/>
      <c r="DK1773" s="30"/>
      <c r="DL1773" s="30"/>
      <c r="DM1773" s="30"/>
      <c r="DN1773" s="30"/>
      <c r="DO1773" s="30"/>
      <c r="DP1773" s="30"/>
      <c r="DQ1773" s="30"/>
      <c r="DR1773" s="30"/>
      <c r="DS1773" s="30"/>
      <c r="DT1773" s="30"/>
      <c r="DU1773" s="30"/>
      <c r="DV1773" s="30"/>
      <c r="DW1773" s="30"/>
      <c r="DX1773" s="30"/>
      <c r="DY1773" s="30"/>
      <c r="DZ1773" s="30"/>
    </row>
    <row r="1774">
      <c r="A1774" s="30"/>
      <c r="B1774" s="42"/>
      <c r="C1774" s="43"/>
      <c r="D1774" s="30"/>
      <c r="E1774" s="28"/>
      <c r="F1774" s="30"/>
      <c r="G1774" s="30"/>
      <c r="H1774" s="30"/>
      <c r="I1774" s="30"/>
      <c r="J1774" s="28"/>
      <c r="K1774" s="30"/>
      <c r="L1774" s="30"/>
      <c r="M1774" s="30"/>
      <c r="N1774" s="30"/>
      <c r="O1774" s="28"/>
      <c r="P1774" s="30"/>
      <c r="Q1774" s="30"/>
      <c r="R1774" s="30"/>
      <c r="S1774" s="36"/>
      <c r="T1774" s="30"/>
      <c r="U1774" s="36"/>
      <c r="V1774" s="30"/>
      <c r="W1774" s="28"/>
      <c r="X1774" s="30"/>
      <c r="Y1774" s="30"/>
      <c r="Z1774" s="30"/>
      <c r="AA1774" s="30"/>
      <c r="AB1774" s="30"/>
      <c r="AC1774" s="28"/>
      <c r="AD1774" s="30"/>
      <c r="AE1774" s="30"/>
      <c r="AF1774" s="30"/>
      <c r="AG1774" s="29"/>
      <c r="AH1774" s="30"/>
      <c r="AI1774" s="36"/>
      <c r="AJ1774" s="30"/>
      <c r="AK1774" s="29"/>
      <c r="AL1774" s="30"/>
      <c r="AM1774" s="30"/>
      <c r="AN1774" s="30"/>
      <c r="AO1774" s="30"/>
      <c r="AP1774" s="30"/>
      <c r="AQ1774" s="38"/>
      <c r="AR1774" s="30"/>
      <c r="AS1774" s="30"/>
      <c r="AT1774" s="29"/>
      <c r="AU1774" s="30"/>
      <c r="AV1774" s="30"/>
      <c r="AW1774" s="30"/>
      <c r="AX1774" s="29"/>
      <c r="AY1774" s="39"/>
      <c r="AZ1774" s="30"/>
      <c r="BA1774" s="30"/>
      <c r="BB1774" s="29"/>
      <c r="BC1774" s="52"/>
      <c r="BD1774" s="30"/>
      <c r="BE1774" s="29"/>
      <c r="BF1774" s="30"/>
      <c r="BG1774" s="30"/>
      <c r="BH1774" s="30"/>
      <c r="BI1774" s="30"/>
      <c r="BJ1774" s="30"/>
      <c r="BK1774" s="30"/>
      <c r="BL1774" s="30"/>
      <c r="BM1774" s="30"/>
      <c r="BN1774" s="30"/>
      <c r="BO1774" s="30"/>
      <c r="BP1774" s="30"/>
      <c r="BQ1774" s="30"/>
      <c r="BR1774" s="30"/>
      <c r="BS1774" s="30"/>
      <c r="BT1774" s="30"/>
      <c r="BU1774" s="30"/>
      <c r="BV1774" s="30"/>
      <c r="BW1774" s="30"/>
      <c r="BX1774" s="30"/>
      <c r="BY1774" s="30"/>
      <c r="BZ1774" s="30"/>
      <c r="CA1774" s="30"/>
      <c r="CB1774" s="30"/>
      <c r="CC1774" s="30"/>
      <c r="CD1774" s="30"/>
      <c r="CE1774" s="30"/>
      <c r="CF1774" s="30"/>
      <c r="CG1774" s="30"/>
      <c r="CH1774" s="30"/>
      <c r="CI1774" s="30"/>
      <c r="CJ1774" s="30"/>
      <c r="CK1774" s="30"/>
      <c r="CL1774" s="30"/>
      <c r="CM1774" s="30"/>
      <c r="CN1774" s="30"/>
      <c r="CO1774" s="30"/>
      <c r="CP1774" s="30"/>
      <c r="CQ1774" s="30"/>
      <c r="CR1774" s="30"/>
      <c r="CS1774" s="30"/>
      <c r="CT1774" s="30"/>
      <c r="CU1774" s="30"/>
      <c r="CV1774" s="30"/>
      <c r="CW1774" s="30"/>
      <c r="CX1774" s="30"/>
      <c r="CY1774" s="30"/>
      <c r="CZ1774" s="30"/>
      <c r="DA1774" s="30"/>
      <c r="DB1774" s="30"/>
      <c r="DC1774" s="30"/>
      <c r="DD1774" s="30"/>
      <c r="DE1774" s="30"/>
      <c r="DF1774" s="30"/>
      <c r="DG1774" s="30"/>
      <c r="DH1774" s="30"/>
      <c r="DI1774" s="30"/>
      <c r="DJ1774" s="30"/>
      <c r="DK1774" s="30"/>
      <c r="DL1774" s="30"/>
      <c r="DM1774" s="30"/>
      <c r="DN1774" s="30"/>
      <c r="DO1774" s="30"/>
      <c r="DP1774" s="30"/>
      <c r="DQ1774" s="30"/>
      <c r="DR1774" s="30"/>
      <c r="DS1774" s="30"/>
      <c r="DT1774" s="30"/>
      <c r="DU1774" s="30"/>
      <c r="DV1774" s="30"/>
      <c r="DW1774" s="30"/>
      <c r="DX1774" s="30"/>
      <c r="DY1774" s="30"/>
      <c r="DZ1774" s="30"/>
    </row>
    <row r="1775">
      <c r="A1775" s="30"/>
      <c r="B1775" s="42"/>
      <c r="C1775" s="43"/>
      <c r="D1775" s="30"/>
      <c r="E1775" s="28"/>
      <c r="F1775" s="30"/>
      <c r="G1775" s="30"/>
      <c r="H1775" s="30"/>
      <c r="I1775" s="30"/>
      <c r="J1775" s="28"/>
      <c r="K1775" s="30"/>
      <c r="L1775" s="30"/>
      <c r="M1775" s="30"/>
      <c r="N1775" s="30"/>
      <c r="O1775" s="28"/>
      <c r="P1775" s="30"/>
      <c r="Q1775" s="30"/>
      <c r="R1775" s="30"/>
      <c r="S1775" s="36"/>
      <c r="T1775" s="30"/>
      <c r="U1775" s="36"/>
      <c r="V1775" s="30"/>
      <c r="W1775" s="28"/>
      <c r="X1775" s="30"/>
      <c r="Y1775" s="30"/>
      <c r="Z1775" s="30"/>
      <c r="AA1775" s="30"/>
      <c r="AB1775" s="30"/>
      <c r="AC1775" s="28"/>
      <c r="AD1775" s="30"/>
      <c r="AE1775" s="30"/>
      <c r="AF1775" s="30"/>
      <c r="AG1775" s="29"/>
      <c r="AH1775" s="30"/>
      <c r="AI1775" s="36"/>
      <c r="AJ1775" s="30"/>
      <c r="AK1775" s="29"/>
      <c r="AL1775" s="30"/>
      <c r="AM1775" s="30"/>
      <c r="AN1775" s="30"/>
      <c r="AO1775" s="30"/>
      <c r="AP1775" s="30"/>
      <c r="AQ1775" s="38"/>
      <c r="AR1775" s="30"/>
      <c r="AS1775" s="30"/>
      <c r="AT1775" s="29"/>
      <c r="AU1775" s="30"/>
      <c r="AV1775" s="30"/>
      <c r="AW1775" s="30"/>
      <c r="AX1775" s="29"/>
      <c r="AY1775" s="39"/>
      <c r="AZ1775" s="30"/>
      <c r="BA1775" s="30"/>
      <c r="BB1775" s="29"/>
      <c r="BC1775" s="52"/>
      <c r="BD1775" s="30"/>
      <c r="BE1775" s="29"/>
      <c r="BF1775" s="30"/>
      <c r="BG1775" s="30"/>
      <c r="BH1775" s="30"/>
      <c r="BI1775" s="30"/>
      <c r="BJ1775" s="30"/>
      <c r="BK1775" s="30"/>
      <c r="BL1775" s="30"/>
      <c r="BM1775" s="30"/>
      <c r="BN1775" s="30"/>
      <c r="BO1775" s="30"/>
      <c r="BP1775" s="30"/>
      <c r="BQ1775" s="30"/>
      <c r="BR1775" s="30"/>
      <c r="BS1775" s="30"/>
      <c r="BT1775" s="30"/>
      <c r="BU1775" s="30"/>
      <c r="BV1775" s="30"/>
      <c r="BW1775" s="30"/>
      <c r="BX1775" s="30"/>
      <c r="BY1775" s="30"/>
      <c r="BZ1775" s="30"/>
      <c r="CA1775" s="30"/>
      <c r="CB1775" s="30"/>
      <c r="CC1775" s="30"/>
      <c r="CD1775" s="30"/>
      <c r="CE1775" s="30"/>
      <c r="CF1775" s="30"/>
      <c r="CG1775" s="30"/>
      <c r="CH1775" s="30"/>
      <c r="CI1775" s="30"/>
      <c r="CJ1775" s="30"/>
      <c r="CK1775" s="30"/>
      <c r="CL1775" s="30"/>
      <c r="CM1775" s="30"/>
      <c r="CN1775" s="30"/>
      <c r="CO1775" s="30"/>
      <c r="CP1775" s="30"/>
      <c r="CQ1775" s="30"/>
      <c r="CR1775" s="30"/>
      <c r="CS1775" s="30"/>
      <c r="CT1775" s="30"/>
      <c r="CU1775" s="30"/>
      <c r="CV1775" s="30"/>
      <c r="CW1775" s="30"/>
      <c r="CX1775" s="30"/>
      <c r="CY1775" s="30"/>
      <c r="CZ1775" s="30"/>
      <c r="DA1775" s="30"/>
      <c r="DB1775" s="30"/>
      <c r="DC1775" s="30"/>
      <c r="DD1775" s="30"/>
      <c r="DE1775" s="30"/>
      <c r="DF1775" s="30"/>
      <c r="DG1775" s="30"/>
      <c r="DH1775" s="30"/>
      <c r="DI1775" s="30"/>
      <c r="DJ1775" s="30"/>
      <c r="DK1775" s="30"/>
      <c r="DL1775" s="30"/>
      <c r="DM1775" s="30"/>
      <c r="DN1775" s="30"/>
      <c r="DO1775" s="30"/>
      <c r="DP1775" s="30"/>
      <c r="DQ1775" s="30"/>
      <c r="DR1775" s="30"/>
      <c r="DS1775" s="30"/>
      <c r="DT1775" s="30"/>
      <c r="DU1775" s="30"/>
      <c r="DV1775" s="30"/>
      <c r="DW1775" s="30"/>
      <c r="DX1775" s="30"/>
      <c r="DY1775" s="30"/>
      <c r="DZ1775" s="30"/>
    </row>
    <row r="1776">
      <c r="A1776" s="30"/>
      <c r="B1776" s="42"/>
      <c r="C1776" s="43"/>
      <c r="D1776" s="30"/>
      <c r="E1776" s="28"/>
      <c r="F1776" s="30"/>
      <c r="G1776" s="30"/>
      <c r="H1776" s="30"/>
      <c r="I1776" s="30"/>
      <c r="J1776" s="28"/>
      <c r="K1776" s="30"/>
      <c r="L1776" s="30"/>
      <c r="M1776" s="30"/>
      <c r="N1776" s="30"/>
      <c r="O1776" s="28"/>
      <c r="P1776" s="30"/>
      <c r="Q1776" s="30"/>
      <c r="R1776" s="30"/>
      <c r="S1776" s="36"/>
      <c r="T1776" s="30"/>
      <c r="U1776" s="36"/>
      <c r="V1776" s="30"/>
      <c r="W1776" s="28"/>
      <c r="X1776" s="30"/>
      <c r="Y1776" s="30"/>
      <c r="Z1776" s="30"/>
      <c r="AA1776" s="30"/>
      <c r="AB1776" s="30"/>
      <c r="AC1776" s="28"/>
      <c r="AD1776" s="30"/>
      <c r="AE1776" s="30"/>
      <c r="AF1776" s="30"/>
      <c r="AG1776" s="29"/>
      <c r="AH1776" s="30"/>
      <c r="AI1776" s="36"/>
      <c r="AJ1776" s="30"/>
      <c r="AK1776" s="29"/>
      <c r="AL1776" s="30"/>
      <c r="AM1776" s="30"/>
      <c r="AN1776" s="30"/>
      <c r="AO1776" s="30"/>
      <c r="AP1776" s="30"/>
      <c r="AQ1776" s="38"/>
      <c r="AR1776" s="30"/>
      <c r="AS1776" s="30"/>
      <c r="AT1776" s="29"/>
      <c r="AU1776" s="30"/>
      <c r="AV1776" s="30"/>
      <c r="AW1776" s="30"/>
      <c r="AX1776" s="29"/>
      <c r="AY1776" s="39"/>
      <c r="AZ1776" s="30"/>
      <c r="BA1776" s="30"/>
      <c r="BB1776" s="29"/>
      <c r="BC1776" s="52"/>
      <c r="BD1776" s="30"/>
      <c r="BE1776" s="29"/>
      <c r="BF1776" s="30"/>
      <c r="BG1776" s="30"/>
      <c r="BH1776" s="30"/>
      <c r="BI1776" s="30"/>
      <c r="BJ1776" s="30"/>
      <c r="BK1776" s="30"/>
      <c r="BL1776" s="30"/>
      <c r="BM1776" s="30"/>
      <c r="BN1776" s="30"/>
      <c r="BO1776" s="30"/>
      <c r="BP1776" s="30"/>
      <c r="BQ1776" s="30"/>
      <c r="BR1776" s="30"/>
      <c r="BS1776" s="30"/>
      <c r="BT1776" s="30"/>
      <c r="BU1776" s="30"/>
      <c r="BV1776" s="30"/>
      <c r="BW1776" s="30"/>
      <c r="BX1776" s="30"/>
      <c r="BY1776" s="30"/>
      <c r="BZ1776" s="30"/>
      <c r="CA1776" s="30"/>
      <c r="CB1776" s="30"/>
      <c r="CC1776" s="30"/>
      <c r="CD1776" s="30"/>
      <c r="CE1776" s="30"/>
      <c r="CF1776" s="30"/>
      <c r="CG1776" s="30"/>
      <c r="CH1776" s="30"/>
      <c r="CI1776" s="30"/>
      <c r="CJ1776" s="30"/>
      <c r="CK1776" s="30"/>
      <c r="CL1776" s="30"/>
      <c r="CM1776" s="30"/>
      <c r="CN1776" s="30"/>
      <c r="CO1776" s="30"/>
      <c r="CP1776" s="30"/>
      <c r="CQ1776" s="30"/>
      <c r="CR1776" s="30"/>
      <c r="CS1776" s="30"/>
      <c r="CT1776" s="30"/>
      <c r="CU1776" s="30"/>
      <c r="CV1776" s="30"/>
      <c r="CW1776" s="30"/>
      <c r="CX1776" s="30"/>
      <c r="CY1776" s="30"/>
      <c r="CZ1776" s="30"/>
      <c r="DA1776" s="30"/>
      <c r="DB1776" s="30"/>
      <c r="DC1776" s="30"/>
      <c r="DD1776" s="30"/>
      <c r="DE1776" s="30"/>
      <c r="DF1776" s="30"/>
      <c r="DG1776" s="30"/>
      <c r="DH1776" s="30"/>
      <c r="DI1776" s="30"/>
      <c r="DJ1776" s="30"/>
      <c r="DK1776" s="30"/>
      <c r="DL1776" s="30"/>
      <c r="DM1776" s="30"/>
      <c r="DN1776" s="30"/>
      <c r="DO1776" s="30"/>
      <c r="DP1776" s="30"/>
      <c r="DQ1776" s="30"/>
      <c r="DR1776" s="30"/>
      <c r="DS1776" s="30"/>
      <c r="DT1776" s="30"/>
      <c r="DU1776" s="30"/>
      <c r="DV1776" s="30"/>
      <c r="DW1776" s="30"/>
      <c r="DX1776" s="30"/>
      <c r="DY1776" s="30"/>
      <c r="DZ1776" s="30"/>
    </row>
    <row r="1777">
      <c r="A1777" s="30"/>
      <c r="B1777" s="42"/>
      <c r="C1777" s="43"/>
      <c r="D1777" s="30"/>
      <c r="E1777" s="28"/>
      <c r="F1777" s="30"/>
      <c r="G1777" s="30"/>
      <c r="H1777" s="30"/>
      <c r="I1777" s="30"/>
      <c r="J1777" s="28"/>
      <c r="K1777" s="30"/>
      <c r="L1777" s="30"/>
      <c r="M1777" s="30"/>
      <c r="N1777" s="30"/>
      <c r="O1777" s="28"/>
      <c r="P1777" s="30"/>
      <c r="Q1777" s="30"/>
      <c r="R1777" s="30"/>
      <c r="S1777" s="36"/>
      <c r="T1777" s="30"/>
      <c r="U1777" s="36"/>
      <c r="V1777" s="30"/>
      <c r="W1777" s="28"/>
      <c r="X1777" s="30"/>
      <c r="Y1777" s="30"/>
      <c r="Z1777" s="30"/>
      <c r="AA1777" s="30"/>
      <c r="AB1777" s="30"/>
      <c r="AC1777" s="28"/>
      <c r="AD1777" s="30"/>
      <c r="AE1777" s="30"/>
      <c r="AF1777" s="30"/>
      <c r="AG1777" s="29"/>
      <c r="AH1777" s="30"/>
      <c r="AI1777" s="36"/>
      <c r="AJ1777" s="30"/>
      <c r="AK1777" s="29"/>
      <c r="AL1777" s="30"/>
      <c r="AM1777" s="30"/>
      <c r="AN1777" s="30"/>
      <c r="AO1777" s="30"/>
      <c r="AP1777" s="30"/>
      <c r="AQ1777" s="38"/>
      <c r="AR1777" s="30"/>
      <c r="AS1777" s="30"/>
      <c r="AT1777" s="29"/>
      <c r="AU1777" s="30"/>
      <c r="AV1777" s="30"/>
      <c r="AW1777" s="30"/>
      <c r="AX1777" s="29"/>
      <c r="AY1777" s="39"/>
      <c r="AZ1777" s="30"/>
      <c r="BA1777" s="30"/>
      <c r="BB1777" s="29"/>
      <c r="BC1777" s="52"/>
      <c r="BD1777" s="30"/>
      <c r="BE1777" s="29"/>
      <c r="BF1777" s="30"/>
      <c r="BG1777" s="30"/>
      <c r="BH1777" s="30"/>
      <c r="BI1777" s="30"/>
      <c r="BJ1777" s="30"/>
      <c r="BK1777" s="30"/>
      <c r="BL1777" s="30"/>
      <c r="BM1777" s="30"/>
      <c r="BN1777" s="30"/>
      <c r="BO1777" s="30"/>
      <c r="BP1777" s="30"/>
      <c r="BQ1777" s="30"/>
      <c r="BR1777" s="30"/>
      <c r="BS1777" s="30"/>
      <c r="BT1777" s="30"/>
      <c r="BU1777" s="30"/>
      <c r="BV1777" s="30"/>
      <c r="BW1777" s="30"/>
      <c r="BX1777" s="30"/>
      <c r="BY1777" s="30"/>
      <c r="BZ1777" s="30"/>
      <c r="CA1777" s="30"/>
      <c r="CB1777" s="30"/>
      <c r="CC1777" s="30"/>
      <c r="CD1777" s="30"/>
      <c r="CE1777" s="30"/>
      <c r="CF1777" s="30"/>
      <c r="CG1777" s="30"/>
      <c r="CH1777" s="30"/>
      <c r="CI1777" s="30"/>
      <c r="CJ1777" s="30"/>
      <c r="CK1777" s="30"/>
      <c r="CL1777" s="30"/>
      <c r="CM1777" s="30"/>
      <c r="CN1777" s="30"/>
      <c r="CO1777" s="30"/>
      <c r="CP1777" s="30"/>
      <c r="CQ1777" s="30"/>
      <c r="CR1777" s="30"/>
      <c r="CS1777" s="30"/>
      <c r="CT1777" s="30"/>
      <c r="CU1777" s="30"/>
      <c r="CV1777" s="30"/>
      <c r="CW1777" s="30"/>
      <c r="CX1777" s="30"/>
      <c r="CY1777" s="30"/>
      <c r="CZ1777" s="30"/>
      <c r="DA1777" s="30"/>
      <c r="DB1777" s="30"/>
      <c r="DC1777" s="30"/>
      <c r="DD1777" s="30"/>
      <c r="DE1777" s="30"/>
      <c r="DF1777" s="30"/>
      <c r="DG1777" s="30"/>
      <c r="DH1777" s="30"/>
      <c r="DI1777" s="30"/>
      <c r="DJ1777" s="30"/>
      <c r="DK1777" s="30"/>
      <c r="DL1777" s="30"/>
      <c r="DM1777" s="30"/>
      <c r="DN1777" s="30"/>
      <c r="DO1777" s="30"/>
      <c r="DP1777" s="30"/>
      <c r="DQ1777" s="30"/>
      <c r="DR1777" s="30"/>
      <c r="DS1777" s="30"/>
      <c r="DT1777" s="30"/>
      <c r="DU1777" s="30"/>
      <c r="DV1777" s="30"/>
      <c r="DW1777" s="30"/>
      <c r="DX1777" s="30"/>
      <c r="DY1777" s="30"/>
      <c r="DZ1777" s="30"/>
    </row>
    <row r="1778">
      <c r="A1778" s="30"/>
      <c r="B1778" s="42"/>
      <c r="C1778" s="43"/>
      <c r="D1778" s="30"/>
      <c r="E1778" s="28"/>
      <c r="F1778" s="30"/>
      <c r="G1778" s="30"/>
      <c r="H1778" s="30"/>
      <c r="I1778" s="30"/>
      <c r="J1778" s="28"/>
      <c r="K1778" s="30"/>
      <c r="L1778" s="30"/>
      <c r="M1778" s="30"/>
      <c r="N1778" s="30"/>
      <c r="O1778" s="28"/>
      <c r="P1778" s="30"/>
      <c r="Q1778" s="30"/>
      <c r="R1778" s="30"/>
      <c r="S1778" s="36"/>
      <c r="T1778" s="30"/>
      <c r="U1778" s="36"/>
      <c r="V1778" s="30"/>
      <c r="W1778" s="28"/>
      <c r="X1778" s="30"/>
      <c r="Y1778" s="30"/>
      <c r="Z1778" s="30"/>
      <c r="AA1778" s="30"/>
      <c r="AB1778" s="30"/>
      <c r="AC1778" s="28"/>
      <c r="AD1778" s="30"/>
      <c r="AE1778" s="30"/>
      <c r="AF1778" s="30"/>
      <c r="AG1778" s="29"/>
      <c r="AH1778" s="30"/>
      <c r="AI1778" s="36"/>
      <c r="AJ1778" s="30"/>
      <c r="AK1778" s="29"/>
      <c r="AL1778" s="30"/>
      <c r="AM1778" s="30"/>
      <c r="AN1778" s="30"/>
      <c r="AO1778" s="30"/>
      <c r="AP1778" s="30"/>
      <c r="AQ1778" s="38"/>
      <c r="AR1778" s="30"/>
      <c r="AS1778" s="30"/>
      <c r="AT1778" s="29"/>
      <c r="AU1778" s="30"/>
      <c r="AV1778" s="30"/>
      <c r="AW1778" s="30"/>
      <c r="AX1778" s="29"/>
      <c r="AY1778" s="39"/>
      <c r="AZ1778" s="30"/>
      <c r="BA1778" s="30"/>
      <c r="BB1778" s="29"/>
      <c r="BC1778" s="52"/>
      <c r="BD1778" s="30"/>
      <c r="BE1778" s="29"/>
      <c r="BF1778" s="30"/>
      <c r="BG1778" s="30"/>
      <c r="BH1778" s="30"/>
      <c r="BI1778" s="30"/>
      <c r="BJ1778" s="30"/>
      <c r="BK1778" s="30"/>
      <c r="BL1778" s="30"/>
      <c r="BM1778" s="30"/>
      <c r="BN1778" s="30"/>
      <c r="BO1778" s="30"/>
      <c r="BP1778" s="30"/>
      <c r="BQ1778" s="30"/>
      <c r="BR1778" s="30"/>
      <c r="BS1778" s="30"/>
      <c r="BT1778" s="30"/>
      <c r="BU1778" s="30"/>
      <c r="BV1778" s="30"/>
      <c r="BW1778" s="30"/>
      <c r="BX1778" s="30"/>
      <c r="BY1778" s="30"/>
      <c r="BZ1778" s="30"/>
      <c r="CA1778" s="30"/>
      <c r="CB1778" s="30"/>
      <c r="CC1778" s="30"/>
      <c r="CD1778" s="30"/>
      <c r="CE1778" s="30"/>
      <c r="CF1778" s="30"/>
      <c r="CG1778" s="30"/>
      <c r="CH1778" s="30"/>
      <c r="CI1778" s="30"/>
      <c r="CJ1778" s="30"/>
      <c r="CK1778" s="30"/>
      <c r="CL1778" s="30"/>
      <c r="CM1778" s="30"/>
      <c r="CN1778" s="30"/>
      <c r="CO1778" s="30"/>
      <c r="CP1778" s="30"/>
      <c r="CQ1778" s="30"/>
      <c r="CR1778" s="30"/>
      <c r="CS1778" s="30"/>
      <c r="CT1778" s="30"/>
      <c r="CU1778" s="30"/>
      <c r="CV1778" s="30"/>
      <c r="CW1778" s="30"/>
      <c r="CX1778" s="30"/>
      <c r="CY1778" s="30"/>
      <c r="CZ1778" s="30"/>
      <c r="DA1778" s="30"/>
      <c r="DB1778" s="30"/>
      <c r="DC1778" s="30"/>
      <c r="DD1778" s="30"/>
      <c r="DE1778" s="30"/>
      <c r="DF1778" s="30"/>
      <c r="DG1778" s="30"/>
      <c r="DH1778" s="30"/>
      <c r="DI1778" s="30"/>
      <c r="DJ1778" s="30"/>
      <c r="DK1778" s="30"/>
      <c r="DL1778" s="30"/>
      <c r="DM1778" s="30"/>
      <c r="DN1778" s="30"/>
      <c r="DO1778" s="30"/>
      <c r="DP1778" s="30"/>
      <c r="DQ1778" s="30"/>
      <c r="DR1778" s="30"/>
      <c r="DS1778" s="30"/>
      <c r="DT1778" s="30"/>
      <c r="DU1778" s="30"/>
      <c r="DV1778" s="30"/>
      <c r="DW1778" s="30"/>
      <c r="DX1778" s="30"/>
      <c r="DY1778" s="30"/>
      <c r="DZ1778" s="30"/>
    </row>
    <row r="1779">
      <c r="A1779" s="30"/>
      <c r="B1779" s="42"/>
      <c r="C1779" s="43"/>
      <c r="D1779" s="30"/>
      <c r="E1779" s="28"/>
      <c r="F1779" s="30"/>
      <c r="G1779" s="30"/>
      <c r="H1779" s="30"/>
      <c r="I1779" s="30"/>
      <c r="J1779" s="28"/>
      <c r="K1779" s="30"/>
      <c r="L1779" s="30"/>
      <c r="M1779" s="30"/>
      <c r="N1779" s="30"/>
      <c r="O1779" s="28"/>
      <c r="P1779" s="30"/>
      <c r="Q1779" s="30"/>
      <c r="R1779" s="30"/>
      <c r="S1779" s="36"/>
      <c r="T1779" s="30"/>
      <c r="U1779" s="36"/>
      <c r="V1779" s="30"/>
      <c r="W1779" s="28"/>
      <c r="X1779" s="30"/>
      <c r="Y1779" s="30"/>
      <c r="Z1779" s="30"/>
      <c r="AA1779" s="30"/>
      <c r="AB1779" s="30"/>
      <c r="AC1779" s="28"/>
      <c r="AD1779" s="30"/>
      <c r="AE1779" s="30"/>
      <c r="AF1779" s="30"/>
      <c r="AG1779" s="29"/>
      <c r="AH1779" s="30"/>
      <c r="AI1779" s="36"/>
      <c r="AJ1779" s="30"/>
      <c r="AK1779" s="29"/>
      <c r="AL1779" s="30"/>
      <c r="AM1779" s="30"/>
      <c r="AN1779" s="30"/>
      <c r="AO1779" s="30"/>
      <c r="AP1779" s="30"/>
      <c r="AQ1779" s="38"/>
      <c r="AR1779" s="30"/>
      <c r="AS1779" s="30"/>
      <c r="AT1779" s="29"/>
      <c r="AU1779" s="30"/>
      <c r="AV1779" s="30"/>
      <c r="AW1779" s="30"/>
      <c r="AX1779" s="29"/>
      <c r="AY1779" s="39"/>
      <c r="AZ1779" s="30"/>
      <c r="BA1779" s="30"/>
      <c r="BB1779" s="29"/>
      <c r="BC1779" s="52"/>
      <c r="BD1779" s="30"/>
      <c r="BE1779" s="29"/>
      <c r="BF1779" s="30"/>
      <c r="BG1779" s="30"/>
      <c r="BH1779" s="30"/>
      <c r="BI1779" s="30"/>
      <c r="BJ1779" s="30"/>
      <c r="BK1779" s="30"/>
      <c r="BL1779" s="30"/>
      <c r="BM1779" s="30"/>
      <c r="BN1779" s="30"/>
      <c r="BO1779" s="30"/>
      <c r="BP1779" s="30"/>
      <c r="BQ1779" s="30"/>
      <c r="BR1779" s="30"/>
      <c r="BS1779" s="30"/>
      <c r="BT1779" s="30"/>
      <c r="BU1779" s="30"/>
      <c r="BV1779" s="30"/>
      <c r="BW1779" s="30"/>
      <c r="BX1779" s="30"/>
      <c r="BY1779" s="30"/>
      <c r="BZ1779" s="30"/>
      <c r="CA1779" s="30"/>
      <c r="CB1779" s="30"/>
      <c r="CC1779" s="30"/>
      <c r="CD1779" s="30"/>
      <c r="CE1779" s="30"/>
      <c r="CF1779" s="30"/>
      <c r="CG1779" s="30"/>
      <c r="CH1779" s="30"/>
      <c r="CI1779" s="30"/>
      <c r="CJ1779" s="30"/>
      <c r="CK1779" s="30"/>
      <c r="CL1779" s="30"/>
      <c r="CM1779" s="30"/>
      <c r="CN1779" s="30"/>
      <c r="CO1779" s="30"/>
      <c r="CP1779" s="30"/>
      <c r="CQ1779" s="30"/>
      <c r="CR1779" s="30"/>
      <c r="CS1779" s="30"/>
      <c r="CT1779" s="30"/>
      <c r="CU1779" s="30"/>
      <c r="CV1779" s="30"/>
      <c r="CW1779" s="30"/>
      <c r="CX1779" s="30"/>
      <c r="CY1779" s="30"/>
      <c r="CZ1779" s="30"/>
      <c r="DA1779" s="30"/>
      <c r="DB1779" s="30"/>
      <c r="DC1779" s="30"/>
      <c r="DD1779" s="30"/>
      <c r="DE1779" s="30"/>
      <c r="DF1779" s="30"/>
      <c r="DG1779" s="30"/>
      <c r="DH1779" s="30"/>
      <c r="DI1779" s="30"/>
      <c r="DJ1779" s="30"/>
      <c r="DK1779" s="30"/>
      <c r="DL1779" s="30"/>
      <c r="DM1779" s="30"/>
      <c r="DN1779" s="30"/>
      <c r="DO1779" s="30"/>
      <c r="DP1779" s="30"/>
      <c r="DQ1779" s="30"/>
      <c r="DR1779" s="30"/>
      <c r="DS1779" s="30"/>
      <c r="DT1779" s="30"/>
      <c r="DU1779" s="30"/>
      <c r="DV1779" s="30"/>
      <c r="DW1779" s="30"/>
      <c r="DX1779" s="30"/>
      <c r="DY1779" s="30"/>
      <c r="DZ1779" s="30"/>
    </row>
    <row r="1780">
      <c r="A1780" s="30"/>
      <c r="B1780" s="42"/>
      <c r="C1780" s="43"/>
      <c r="D1780" s="30"/>
      <c r="E1780" s="28"/>
      <c r="F1780" s="30"/>
      <c r="G1780" s="30"/>
      <c r="H1780" s="30"/>
      <c r="I1780" s="30"/>
      <c r="J1780" s="28"/>
      <c r="K1780" s="30"/>
      <c r="L1780" s="30"/>
      <c r="M1780" s="30"/>
      <c r="N1780" s="30"/>
      <c r="O1780" s="28"/>
      <c r="P1780" s="30"/>
      <c r="Q1780" s="30"/>
      <c r="R1780" s="30"/>
      <c r="S1780" s="36"/>
      <c r="T1780" s="30"/>
      <c r="U1780" s="36"/>
      <c r="V1780" s="30"/>
      <c r="W1780" s="28"/>
      <c r="X1780" s="30"/>
      <c r="Y1780" s="30"/>
      <c r="Z1780" s="30"/>
      <c r="AA1780" s="30"/>
      <c r="AB1780" s="30"/>
      <c r="AC1780" s="28"/>
      <c r="AD1780" s="30"/>
      <c r="AE1780" s="30"/>
      <c r="AF1780" s="30"/>
      <c r="AG1780" s="29"/>
      <c r="AH1780" s="30"/>
      <c r="AI1780" s="36"/>
      <c r="AJ1780" s="30"/>
      <c r="AK1780" s="29"/>
      <c r="AL1780" s="30"/>
      <c r="AM1780" s="30"/>
      <c r="AN1780" s="30"/>
      <c r="AO1780" s="30"/>
      <c r="AP1780" s="30"/>
      <c r="AQ1780" s="38"/>
      <c r="AR1780" s="30"/>
      <c r="AS1780" s="30"/>
      <c r="AT1780" s="29"/>
      <c r="AU1780" s="30"/>
      <c r="AV1780" s="30"/>
      <c r="AW1780" s="30"/>
      <c r="AX1780" s="29"/>
      <c r="AY1780" s="39"/>
      <c r="AZ1780" s="30"/>
      <c r="BA1780" s="30"/>
      <c r="BB1780" s="29"/>
      <c r="BC1780" s="52"/>
      <c r="BD1780" s="30"/>
      <c r="BE1780" s="29"/>
      <c r="BF1780" s="30"/>
      <c r="BG1780" s="30"/>
      <c r="BH1780" s="30"/>
      <c r="BI1780" s="30"/>
      <c r="BJ1780" s="30"/>
      <c r="BK1780" s="30"/>
      <c r="BL1780" s="30"/>
      <c r="BM1780" s="30"/>
      <c r="BN1780" s="30"/>
      <c r="BO1780" s="30"/>
      <c r="BP1780" s="30"/>
      <c r="BQ1780" s="30"/>
      <c r="BR1780" s="30"/>
      <c r="BS1780" s="30"/>
      <c r="BT1780" s="30"/>
      <c r="BU1780" s="30"/>
      <c r="BV1780" s="30"/>
      <c r="BW1780" s="30"/>
      <c r="BX1780" s="30"/>
      <c r="BY1780" s="30"/>
      <c r="BZ1780" s="30"/>
      <c r="CA1780" s="30"/>
      <c r="CB1780" s="30"/>
      <c r="CC1780" s="30"/>
      <c r="CD1780" s="30"/>
      <c r="CE1780" s="30"/>
      <c r="CF1780" s="30"/>
      <c r="CG1780" s="30"/>
      <c r="CH1780" s="30"/>
      <c r="CI1780" s="30"/>
      <c r="CJ1780" s="30"/>
      <c r="CK1780" s="30"/>
      <c r="CL1780" s="30"/>
      <c r="CM1780" s="30"/>
      <c r="CN1780" s="30"/>
      <c r="CO1780" s="30"/>
      <c r="CP1780" s="30"/>
      <c r="CQ1780" s="30"/>
      <c r="CR1780" s="30"/>
      <c r="CS1780" s="30"/>
      <c r="CT1780" s="30"/>
      <c r="CU1780" s="30"/>
      <c r="CV1780" s="30"/>
      <c r="CW1780" s="30"/>
      <c r="CX1780" s="30"/>
      <c r="CY1780" s="30"/>
      <c r="CZ1780" s="30"/>
      <c r="DA1780" s="30"/>
      <c r="DB1780" s="30"/>
      <c r="DC1780" s="30"/>
      <c r="DD1780" s="30"/>
      <c r="DE1780" s="30"/>
      <c r="DF1780" s="30"/>
      <c r="DG1780" s="30"/>
      <c r="DH1780" s="30"/>
      <c r="DI1780" s="30"/>
      <c r="DJ1780" s="30"/>
      <c r="DK1780" s="30"/>
      <c r="DL1780" s="30"/>
      <c r="DM1780" s="30"/>
      <c r="DN1780" s="30"/>
      <c r="DO1780" s="30"/>
      <c r="DP1780" s="30"/>
      <c r="DQ1780" s="30"/>
      <c r="DR1780" s="30"/>
      <c r="DS1780" s="30"/>
      <c r="DT1780" s="30"/>
      <c r="DU1780" s="30"/>
      <c r="DV1780" s="30"/>
      <c r="DW1780" s="30"/>
      <c r="DX1780" s="30"/>
      <c r="DY1780" s="30"/>
      <c r="DZ1780" s="30"/>
    </row>
    <row r="1781">
      <c r="A1781" s="30"/>
      <c r="B1781" s="42"/>
      <c r="C1781" s="43"/>
      <c r="D1781" s="30"/>
      <c r="E1781" s="28"/>
      <c r="F1781" s="30"/>
      <c r="G1781" s="30"/>
      <c r="H1781" s="30"/>
      <c r="I1781" s="30"/>
      <c r="J1781" s="28"/>
      <c r="K1781" s="30"/>
      <c r="L1781" s="30"/>
      <c r="M1781" s="30"/>
      <c r="N1781" s="30"/>
      <c r="O1781" s="28"/>
      <c r="P1781" s="30"/>
      <c r="Q1781" s="30"/>
      <c r="R1781" s="30"/>
      <c r="S1781" s="36"/>
      <c r="T1781" s="30"/>
      <c r="U1781" s="36"/>
      <c r="V1781" s="30"/>
      <c r="W1781" s="28"/>
      <c r="X1781" s="30"/>
      <c r="Y1781" s="30"/>
      <c r="Z1781" s="30"/>
      <c r="AA1781" s="30"/>
      <c r="AB1781" s="30"/>
      <c r="AC1781" s="28"/>
      <c r="AD1781" s="30"/>
      <c r="AE1781" s="30"/>
      <c r="AF1781" s="30"/>
      <c r="AG1781" s="29"/>
      <c r="AH1781" s="30"/>
      <c r="AI1781" s="36"/>
      <c r="AJ1781" s="30"/>
      <c r="AK1781" s="29"/>
      <c r="AL1781" s="30"/>
      <c r="AM1781" s="30"/>
      <c r="AN1781" s="30"/>
      <c r="AO1781" s="30"/>
      <c r="AP1781" s="30"/>
      <c r="AQ1781" s="38"/>
      <c r="AR1781" s="30"/>
      <c r="AS1781" s="30"/>
      <c r="AT1781" s="29"/>
      <c r="AU1781" s="30"/>
      <c r="AV1781" s="30"/>
      <c r="AW1781" s="30"/>
      <c r="AX1781" s="29"/>
      <c r="AY1781" s="39"/>
      <c r="AZ1781" s="30"/>
      <c r="BA1781" s="30"/>
      <c r="BB1781" s="29"/>
      <c r="BC1781" s="52"/>
      <c r="BD1781" s="30"/>
      <c r="BE1781" s="29"/>
      <c r="BF1781" s="30"/>
      <c r="BG1781" s="30"/>
      <c r="BH1781" s="30"/>
      <c r="BI1781" s="30"/>
      <c r="BJ1781" s="30"/>
      <c r="BK1781" s="30"/>
      <c r="BL1781" s="30"/>
      <c r="BM1781" s="30"/>
      <c r="BN1781" s="30"/>
      <c r="BO1781" s="30"/>
      <c r="BP1781" s="30"/>
      <c r="BQ1781" s="30"/>
      <c r="BR1781" s="30"/>
      <c r="BS1781" s="30"/>
      <c r="BT1781" s="30"/>
      <c r="BU1781" s="30"/>
      <c r="BV1781" s="30"/>
      <c r="BW1781" s="30"/>
      <c r="BX1781" s="30"/>
      <c r="BY1781" s="30"/>
      <c r="BZ1781" s="30"/>
      <c r="CA1781" s="30"/>
      <c r="CB1781" s="30"/>
      <c r="CC1781" s="30"/>
      <c r="CD1781" s="30"/>
      <c r="CE1781" s="30"/>
      <c r="CF1781" s="30"/>
      <c r="CG1781" s="30"/>
      <c r="CH1781" s="30"/>
      <c r="CI1781" s="30"/>
      <c r="CJ1781" s="30"/>
      <c r="CK1781" s="30"/>
      <c r="CL1781" s="30"/>
      <c r="CM1781" s="30"/>
      <c r="CN1781" s="30"/>
      <c r="CO1781" s="30"/>
      <c r="CP1781" s="30"/>
      <c r="CQ1781" s="30"/>
      <c r="CR1781" s="30"/>
      <c r="CS1781" s="30"/>
      <c r="CT1781" s="30"/>
      <c r="CU1781" s="30"/>
      <c r="CV1781" s="30"/>
      <c r="CW1781" s="30"/>
      <c r="CX1781" s="30"/>
      <c r="CY1781" s="30"/>
      <c r="CZ1781" s="30"/>
      <c r="DA1781" s="30"/>
      <c r="DB1781" s="30"/>
      <c r="DC1781" s="30"/>
      <c r="DD1781" s="30"/>
      <c r="DE1781" s="30"/>
      <c r="DF1781" s="30"/>
      <c r="DG1781" s="30"/>
      <c r="DH1781" s="30"/>
      <c r="DI1781" s="30"/>
      <c r="DJ1781" s="30"/>
      <c r="DK1781" s="30"/>
      <c r="DL1781" s="30"/>
      <c r="DM1781" s="30"/>
      <c r="DN1781" s="30"/>
      <c r="DO1781" s="30"/>
      <c r="DP1781" s="30"/>
      <c r="DQ1781" s="30"/>
      <c r="DR1781" s="30"/>
      <c r="DS1781" s="30"/>
      <c r="DT1781" s="30"/>
      <c r="DU1781" s="30"/>
      <c r="DV1781" s="30"/>
      <c r="DW1781" s="30"/>
      <c r="DX1781" s="30"/>
      <c r="DY1781" s="30"/>
      <c r="DZ1781" s="30"/>
    </row>
    <row r="1782">
      <c r="A1782" s="30"/>
      <c r="B1782" s="42"/>
      <c r="C1782" s="43"/>
      <c r="D1782" s="30"/>
      <c r="E1782" s="28"/>
      <c r="F1782" s="30"/>
      <c r="G1782" s="30"/>
      <c r="H1782" s="30"/>
      <c r="I1782" s="30"/>
      <c r="J1782" s="28"/>
      <c r="K1782" s="30"/>
      <c r="L1782" s="30"/>
      <c r="M1782" s="30"/>
      <c r="N1782" s="30"/>
      <c r="O1782" s="28"/>
      <c r="P1782" s="30"/>
      <c r="Q1782" s="30"/>
      <c r="R1782" s="30"/>
      <c r="S1782" s="36"/>
      <c r="T1782" s="30"/>
      <c r="U1782" s="36"/>
      <c r="V1782" s="30"/>
      <c r="W1782" s="28"/>
      <c r="X1782" s="30"/>
      <c r="Y1782" s="30"/>
      <c r="Z1782" s="30"/>
      <c r="AA1782" s="30"/>
      <c r="AB1782" s="30"/>
      <c r="AC1782" s="28"/>
      <c r="AD1782" s="30"/>
      <c r="AE1782" s="30"/>
      <c r="AF1782" s="30"/>
      <c r="AG1782" s="29"/>
      <c r="AH1782" s="30"/>
      <c r="AI1782" s="36"/>
      <c r="AJ1782" s="30"/>
      <c r="AK1782" s="29"/>
      <c r="AL1782" s="30"/>
      <c r="AM1782" s="30"/>
      <c r="AN1782" s="30"/>
      <c r="AO1782" s="30"/>
      <c r="AP1782" s="30"/>
      <c r="AQ1782" s="38"/>
      <c r="AR1782" s="30"/>
      <c r="AS1782" s="30"/>
      <c r="AT1782" s="29"/>
      <c r="AU1782" s="30"/>
      <c r="AV1782" s="30"/>
      <c r="AW1782" s="30"/>
      <c r="AX1782" s="29"/>
      <c r="AY1782" s="39"/>
      <c r="AZ1782" s="30"/>
      <c r="BA1782" s="30"/>
      <c r="BB1782" s="29"/>
      <c r="BC1782" s="52"/>
      <c r="BD1782" s="30"/>
      <c r="BE1782" s="29"/>
      <c r="BF1782" s="30"/>
      <c r="BG1782" s="30"/>
      <c r="BH1782" s="30"/>
      <c r="BI1782" s="30"/>
      <c r="BJ1782" s="30"/>
      <c r="BK1782" s="30"/>
      <c r="BL1782" s="30"/>
      <c r="BM1782" s="30"/>
      <c r="BN1782" s="30"/>
      <c r="BO1782" s="30"/>
      <c r="BP1782" s="30"/>
      <c r="BQ1782" s="30"/>
      <c r="BR1782" s="30"/>
      <c r="BS1782" s="30"/>
      <c r="BT1782" s="30"/>
      <c r="BU1782" s="30"/>
      <c r="BV1782" s="30"/>
      <c r="BW1782" s="30"/>
      <c r="BX1782" s="30"/>
      <c r="BY1782" s="30"/>
      <c r="BZ1782" s="30"/>
      <c r="CA1782" s="30"/>
      <c r="CB1782" s="30"/>
      <c r="CC1782" s="30"/>
      <c r="CD1782" s="30"/>
      <c r="CE1782" s="30"/>
      <c r="CF1782" s="30"/>
      <c r="CG1782" s="30"/>
      <c r="CH1782" s="30"/>
      <c r="CI1782" s="30"/>
      <c r="CJ1782" s="30"/>
      <c r="CK1782" s="30"/>
      <c r="CL1782" s="30"/>
      <c r="CM1782" s="30"/>
      <c r="CN1782" s="30"/>
      <c r="CO1782" s="30"/>
      <c r="CP1782" s="30"/>
      <c r="CQ1782" s="30"/>
      <c r="CR1782" s="30"/>
      <c r="CS1782" s="30"/>
      <c r="CT1782" s="30"/>
      <c r="CU1782" s="30"/>
      <c r="CV1782" s="30"/>
      <c r="CW1782" s="30"/>
      <c r="CX1782" s="30"/>
      <c r="CY1782" s="30"/>
      <c r="CZ1782" s="30"/>
      <c r="DA1782" s="30"/>
      <c r="DB1782" s="30"/>
      <c r="DC1782" s="30"/>
      <c r="DD1782" s="30"/>
      <c r="DE1782" s="30"/>
      <c r="DF1782" s="30"/>
      <c r="DG1782" s="30"/>
      <c r="DH1782" s="30"/>
      <c r="DI1782" s="30"/>
      <c r="DJ1782" s="30"/>
      <c r="DK1782" s="30"/>
      <c r="DL1782" s="30"/>
      <c r="DM1782" s="30"/>
      <c r="DN1782" s="30"/>
      <c r="DO1782" s="30"/>
      <c r="DP1782" s="30"/>
      <c r="DQ1782" s="30"/>
      <c r="DR1782" s="30"/>
      <c r="DS1782" s="30"/>
      <c r="DT1782" s="30"/>
      <c r="DU1782" s="30"/>
      <c r="DV1782" s="30"/>
      <c r="DW1782" s="30"/>
      <c r="DX1782" s="30"/>
      <c r="DY1782" s="30"/>
      <c r="DZ1782" s="30"/>
    </row>
    <row r="1783">
      <c r="A1783" s="30"/>
      <c r="B1783" s="42"/>
      <c r="C1783" s="43"/>
      <c r="D1783" s="30"/>
      <c r="E1783" s="28"/>
      <c r="F1783" s="30"/>
      <c r="G1783" s="30"/>
      <c r="H1783" s="30"/>
      <c r="I1783" s="30"/>
      <c r="J1783" s="28"/>
      <c r="K1783" s="30"/>
      <c r="L1783" s="30"/>
      <c r="M1783" s="30"/>
      <c r="N1783" s="30"/>
      <c r="O1783" s="28"/>
      <c r="P1783" s="30"/>
      <c r="Q1783" s="30"/>
      <c r="R1783" s="30"/>
      <c r="S1783" s="36"/>
      <c r="T1783" s="30"/>
      <c r="U1783" s="36"/>
      <c r="V1783" s="30"/>
      <c r="W1783" s="28"/>
      <c r="X1783" s="30"/>
      <c r="Y1783" s="30"/>
      <c r="Z1783" s="30"/>
      <c r="AA1783" s="30"/>
      <c r="AB1783" s="30"/>
      <c r="AC1783" s="28"/>
      <c r="AD1783" s="30"/>
      <c r="AE1783" s="30"/>
      <c r="AF1783" s="30"/>
      <c r="AG1783" s="29"/>
      <c r="AH1783" s="30"/>
      <c r="AI1783" s="36"/>
      <c r="AJ1783" s="30"/>
      <c r="AK1783" s="29"/>
      <c r="AL1783" s="30"/>
      <c r="AM1783" s="30"/>
      <c r="AN1783" s="30"/>
      <c r="AO1783" s="30"/>
      <c r="AP1783" s="30"/>
      <c r="AQ1783" s="38"/>
      <c r="AR1783" s="30"/>
      <c r="AS1783" s="30"/>
      <c r="AT1783" s="29"/>
      <c r="AU1783" s="30"/>
      <c r="AV1783" s="30"/>
      <c r="AW1783" s="30"/>
      <c r="AX1783" s="29"/>
      <c r="AY1783" s="39"/>
      <c r="AZ1783" s="30"/>
      <c r="BA1783" s="30"/>
      <c r="BB1783" s="29"/>
      <c r="BC1783" s="52"/>
      <c r="BD1783" s="30"/>
      <c r="BE1783" s="29"/>
      <c r="BF1783" s="30"/>
      <c r="BG1783" s="30"/>
      <c r="BH1783" s="30"/>
      <c r="BI1783" s="30"/>
      <c r="BJ1783" s="30"/>
      <c r="BK1783" s="30"/>
      <c r="BL1783" s="30"/>
      <c r="BM1783" s="30"/>
      <c r="BN1783" s="30"/>
      <c r="BO1783" s="30"/>
      <c r="BP1783" s="30"/>
      <c r="BQ1783" s="30"/>
      <c r="BR1783" s="30"/>
      <c r="BS1783" s="30"/>
      <c r="BT1783" s="30"/>
      <c r="BU1783" s="30"/>
      <c r="BV1783" s="30"/>
      <c r="BW1783" s="30"/>
      <c r="BX1783" s="30"/>
      <c r="BY1783" s="30"/>
      <c r="BZ1783" s="30"/>
      <c r="CA1783" s="30"/>
      <c r="CB1783" s="30"/>
      <c r="CC1783" s="30"/>
      <c r="CD1783" s="30"/>
      <c r="CE1783" s="30"/>
      <c r="CF1783" s="30"/>
      <c r="CG1783" s="30"/>
      <c r="CH1783" s="30"/>
      <c r="CI1783" s="30"/>
      <c r="CJ1783" s="30"/>
      <c r="CK1783" s="30"/>
      <c r="CL1783" s="30"/>
      <c r="CM1783" s="30"/>
      <c r="CN1783" s="30"/>
      <c r="CO1783" s="30"/>
      <c r="CP1783" s="30"/>
      <c r="CQ1783" s="30"/>
      <c r="CR1783" s="30"/>
      <c r="CS1783" s="30"/>
      <c r="CT1783" s="30"/>
      <c r="CU1783" s="30"/>
      <c r="CV1783" s="30"/>
      <c r="CW1783" s="30"/>
      <c r="CX1783" s="30"/>
      <c r="CY1783" s="30"/>
      <c r="CZ1783" s="30"/>
      <c r="DA1783" s="30"/>
      <c r="DB1783" s="30"/>
      <c r="DC1783" s="30"/>
      <c r="DD1783" s="30"/>
      <c r="DE1783" s="30"/>
      <c r="DF1783" s="30"/>
      <c r="DG1783" s="30"/>
      <c r="DH1783" s="30"/>
      <c r="DI1783" s="30"/>
      <c r="DJ1783" s="30"/>
      <c r="DK1783" s="30"/>
      <c r="DL1783" s="30"/>
      <c r="DM1783" s="30"/>
      <c r="DN1783" s="30"/>
      <c r="DO1783" s="30"/>
      <c r="DP1783" s="30"/>
      <c r="DQ1783" s="30"/>
      <c r="DR1783" s="30"/>
      <c r="DS1783" s="30"/>
      <c r="DT1783" s="30"/>
      <c r="DU1783" s="30"/>
      <c r="DV1783" s="30"/>
      <c r="DW1783" s="30"/>
      <c r="DX1783" s="30"/>
      <c r="DY1783" s="30"/>
      <c r="DZ1783" s="30"/>
    </row>
    <row r="1784">
      <c r="A1784" s="30"/>
      <c r="B1784" s="42"/>
      <c r="C1784" s="43"/>
      <c r="D1784" s="30"/>
      <c r="E1784" s="28"/>
      <c r="F1784" s="30"/>
      <c r="G1784" s="30"/>
      <c r="H1784" s="30"/>
      <c r="I1784" s="30"/>
      <c r="J1784" s="28"/>
      <c r="K1784" s="30"/>
      <c r="L1784" s="30"/>
      <c r="M1784" s="30"/>
      <c r="N1784" s="30"/>
      <c r="O1784" s="28"/>
      <c r="P1784" s="30"/>
      <c r="Q1784" s="30"/>
      <c r="R1784" s="30"/>
      <c r="S1784" s="36"/>
      <c r="T1784" s="30"/>
      <c r="U1784" s="36"/>
      <c r="V1784" s="30"/>
      <c r="W1784" s="28"/>
      <c r="X1784" s="30"/>
      <c r="Y1784" s="30"/>
      <c r="Z1784" s="30"/>
      <c r="AA1784" s="30"/>
      <c r="AB1784" s="30"/>
      <c r="AC1784" s="28"/>
      <c r="AD1784" s="30"/>
      <c r="AE1784" s="30"/>
      <c r="AF1784" s="30"/>
      <c r="AG1784" s="29"/>
      <c r="AH1784" s="30"/>
      <c r="AI1784" s="36"/>
      <c r="AJ1784" s="30"/>
      <c r="AK1784" s="29"/>
      <c r="AL1784" s="30"/>
      <c r="AM1784" s="30"/>
      <c r="AN1784" s="30"/>
      <c r="AO1784" s="30"/>
      <c r="AP1784" s="30"/>
      <c r="AQ1784" s="38"/>
      <c r="AR1784" s="30"/>
      <c r="AS1784" s="30"/>
      <c r="AT1784" s="29"/>
      <c r="AU1784" s="30"/>
      <c r="AV1784" s="30"/>
      <c r="AW1784" s="30"/>
      <c r="AX1784" s="29"/>
      <c r="AY1784" s="39"/>
      <c r="AZ1784" s="30"/>
      <c r="BA1784" s="30"/>
      <c r="BB1784" s="29"/>
      <c r="BC1784" s="52"/>
      <c r="BD1784" s="30"/>
      <c r="BE1784" s="29"/>
      <c r="BF1784" s="30"/>
      <c r="BG1784" s="30"/>
      <c r="BH1784" s="30"/>
      <c r="BI1784" s="30"/>
      <c r="BJ1784" s="30"/>
      <c r="BK1784" s="30"/>
      <c r="BL1784" s="30"/>
      <c r="BM1784" s="30"/>
      <c r="BN1784" s="30"/>
      <c r="BO1784" s="30"/>
      <c r="BP1784" s="30"/>
      <c r="BQ1784" s="30"/>
      <c r="BR1784" s="30"/>
      <c r="BS1784" s="30"/>
      <c r="BT1784" s="30"/>
      <c r="BU1784" s="30"/>
      <c r="BV1784" s="30"/>
      <c r="BW1784" s="30"/>
      <c r="BX1784" s="30"/>
      <c r="BY1784" s="30"/>
      <c r="BZ1784" s="30"/>
      <c r="CA1784" s="30"/>
      <c r="CB1784" s="30"/>
      <c r="CC1784" s="30"/>
      <c r="CD1784" s="30"/>
      <c r="CE1784" s="30"/>
      <c r="CF1784" s="30"/>
      <c r="CG1784" s="30"/>
      <c r="CH1784" s="30"/>
      <c r="CI1784" s="30"/>
      <c r="CJ1784" s="30"/>
      <c r="CK1784" s="30"/>
      <c r="CL1784" s="30"/>
      <c r="CM1784" s="30"/>
      <c r="CN1784" s="30"/>
      <c r="CO1784" s="30"/>
      <c r="CP1784" s="30"/>
      <c r="CQ1784" s="30"/>
      <c r="CR1784" s="30"/>
      <c r="CS1784" s="30"/>
      <c r="CT1784" s="30"/>
      <c r="CU1784" s="30"/>
      <c r="CV1784" s="30"/>
      <c r="CW1784" s="30"/>
      <c r="CX1784" s="30"/>
      <c r="CY1784" s="30"/>
      <c r="CZ1784" s="30"/>
      <c r="DA1784" s="30"/>
      <c r="DB1784" s="30"/>
      <c r="DC1784" s="30"/>
      <c r="DD1784" s="30"/>
      <c r="DE1784" s="30"/>
      <c r="DF1784" s="30"/>
      <c r="DG1784" s="30"/>
      <c r="DH1784" s="30"/>
      <c r="DI1784" s="30"/>
      <c r="DJ1784" s="30"/>
      <c r="DK1784" s="30"/>
      <c r="DL1784" s="30"/>
      <c r="DM1784" s="30"/>
      <c r="DN1784" s="30"/>
      <c r="DO1784" s="30"/>
      <c r="DP1784" s="30"/>
      <c r="DQ1784" s="30"/>
      <c r="DR1784" s="30"/>
      <c r="DS1784" s="30"/>
      <c r="DT1784" s="30"/>
      <c r="DU1784" s="30"/>
      <c r="DV1784" s="30"/>
      <c r="DW1784" s="30"/>
      <c r="DX1784" s="30"/>
      <c r="DY1784" s="30"/>
      <c r="DZ1784" s="30"/>
    </row>
    <row r="1785">
      <c r="A1785" s="30"/>
      <c r="B1785" s="42"/>
      <c r="C1785" s="43"/>
      <c r="D1785" s="30"/>
      <c r="E1785" s="28"/>
      <c r="F1785" s="30"/>
      <c r="G1785" s="30"/>
      <c r="H1785" s="30"/>
      <c r="I1785" s="30"/>
      <c r="J1785" s="28"/>
      <c r="K1785" s="30"/>
      <c r="L1785" s="30"/>
      <c r="M1785" s="30"/>
      <c r="N1785" s="30"/>
      <c r="O1785" s="28"/>
      <c r="P1785" s="30"/>
      <c r="Q1785" s="30"/>
      <c r="R1785" s="30"/>
      <c r="S1785" s="36"/>
      <c r="T1785" s="30"/>
      <c r="U1785" s="36"/>
      <c r="V1785" s="30"/>
      <c r="W1785" s="28"/>
      <c r="X1785" s="30"/>
      <c r="Y1785" s="30"/>
      <c r="Z1785" s="30"/>
      <c r="AA1785" s="30"/>
      <c r="AB1785" s="30"/>
      <c r="AC1785" s="28"/>
      <c r="AD1785" s="30"/>
      <c r="AE1785" s="30"/>
      <c r="AF1785" s="30"/>
      <c r="AG1785" s="29"/>
      <c r="AH1785" s="30"/>
      <c r="AI1785" s="36"/>
      <c r="AJ1785" s="30"/>
      <c r="AK1785" s="29"/>
      <c r="AL1785" s="30"/>
      <c r="AM1785" s="30"/>
      <c r="AN1785" s="30"/>
      <c r="AO1785" s="30"/>
      <c r="AP1785" s="30"/>
      <c r="AQ1785" s="38"/>
      <c r="AR1785" s="30"/>
      <c r="AS1785" s="30"/>
      <c r="AT1785" s="29"/>
      <c r="AU1785" s="30"/>
      <c r="AV1785" s="30"/>
      <c r="AW1785" s="30"/>
      <c r="AX1785" s="29"/>
      <c r="AY1785" s="39"/>
      <c r="AZ1785" s="30"/>
      <c r="BA1785" s="30"/>
      <c r="BB1785" s="29"/>
      <c r="BC1785" s="52"/>
      <c r="BD1785" s="30"/>
      <c r="BE1785" s="29"/>
      <c r="BF1785" s="30"/>
      <c r="BG1785" s="30"/>
      <c r="BH1785" s="30"/>
      <c r="BI1785" s="30"/>
      <c r="BJ1785" s="30"/>
      <c r="BK1785" s="30"/>
      <c r="BL1785" s="30"/>
      <c r="BM1785" s="30"/>
      <c r="BN1785" s="30"/>
      <c r="BO1785" s="30"/>
      <c r="BP1785" s="30"/>
      <c r="BQ1785" s="30"/>
      <c r="BR1785" s="30"/>
      <c r="BS1785" s="30"/>
      <c r="BT1785" s="30"/>
      <c r="BU1785" s="30"/>
      <c r="BV1785" s="30"/>
      <c r="BW1785" s="30"/>
      <c r="BX1785" s="30"/>
      <c r="BY1785" s="30"/>
      <c r="BZ1785" s="30"/>
      <c r="CA1785" s="30"/>
      <c r="CB1785" s="30"/>
      <c r="CC1785" s="30"/>
      <c r="CD1785" s="30"/>
      <c r="CE1785" s="30"/>
      <c r="CF1785" s="30"/>
      <c r="CG1785" s="30"/>
      <c r="CH1785" s="30"/>
      <c r="CI1785" s="30"/>
      <c r="CJ1785" s="30"/>
      <c r="CK1785" s="30"/>
      <c r="CL1785" s="30"/>
      <c r="CM1785" s="30"/>
      <c r="CN1785" s="30"/>
      <c r="CO1785" s="30"/>
      <c r="CP1785" s="30"/>
      <c r="CQ1785" s="30"/>
      <c r="CR1785" s="30"/>
      <c r="CS1785" s="30"/>
      <c r="CT1785" s="30"/>
      <c r="CU1785" s="30"/>
      <c r="CV1785" s="30"/>
      <c r="CW1785" s="30"/>
      <c r="CX1785" s="30"/>
      <c r="CY1785" s="30"/>
      <c r="CZ1785" s="30"/>
      <c r="DA1785" s="30"/>
      <c r="DB1785" s="30"/>
      <c r="DC1785" s="30"/>
      <c r="DD1785" s="30"/>
      <c r="DE1785" s="30"/>
      <c r="DF1785" s="30"/>
      <c r="DG1785" s="30"/>
      <c r="DH1785" s="30"/>
      <c r="DI1785" s="30"/>
      <c r="DJ1785" s="30"/>
      <c r="DK1785" s="30"/>
      <c r="DL1785" s="30"/>
      <c r="DM1785" s="30"/>
      <c r="DN1785" s="30"/>
      <c r="DO1785" s="30"/>
      <c r="DP1785" s="30"/>
      <c r="DQ1785" s="30"/>
      <c r="DR1785" s="30"/>
      <c r="DS1785" s="30"/>
      <c r="DT1785" s="30"/>
      <c r="DU1785" s="30"/>
      <c r="DV1785" s="30"/>
      <c r="DW1785" s="30"/>
      <c r="DX1785" s="30"/>
      <c r="DY1785" s="30"/>
      <c r="DZ1785" s="30"/>
    </row>
    <row r="1786">
      <c r="A1786" s="30"/>
      <c r="B1786" s="42"/>
      <c r="C1786" s="43"/>
      <c r="D1786" s="30"/>
      <c r="E1786" s="28"/>
      <c r="F1786" s="30"/>
      <c r="G1786" s="30"/>
      <c r="H1786" s="30"/>
      <c r="I1786" s="30"/>
      <c r="J1786" s="28"/>
      <c r="K1786" s="30"/>
      <c r="L1786" s="30"/>
      <c r="M1786" s="30"/>
      <c r="N1786" s="30"/>
      <c r="O1786" s="28"/>
      <c r="P1786" s="30"/>
      <c r="Q1786" s="30"/>
      <c r="R1786" s="30"/>
      <c r="S1786" s="36"/>
      <c r="T1786" s="30"/>
      <c r="U1786" s="36"/>
      <c r="V1786" s="30"/>
      <c r="W1786" s="28"/>
      <c r="X1786" s="30"/>
      <c r="Y1786" s="30"/>
      <c r="Z1786" s="30"/>
      <c r="AA1786" s="30"/>
      <c r="AB1786" s="30"/>
      <c r="AC1786" s="28"/>
      <c r="AD1786" s="30"/>
      <c r="AE1786" s="30"/>
      <c r="AF1786" s="30"/>
      <c r="AG1786" s="29"/>
      <c r="AH1786" s="30"/>
      <c r="AI1786" s="36"/>
      <c r="AJ1786" s="30"/>
      <c r="AK1786" s="29"/>
      <c r="AL1786" s="30"/>
      <c r="AM1786" s="30"/>
      <c r="AN1786" s="30"/>
      <c r="AO1786" s="30"/>
      <c r="AP1786" s="30"/>
      <c r="AQ1786" s="38"/>
      <c r="AR1786" s="30"/>
      <c r="AS1786" s="30"/>
      <c r="AT1786" s="29"/>
      <c r="AU1786" s="30"/>
      <c r="AV1786" s="30"/>
      <c r="AW1786" s="30"/>
      <c r="AX1786" s="29"/>
      <c r="AY1786" s="39"/>
      <c r="AZ1786" s="30"/>
      <c r="BA1786" s="30"/>
      <c r="BB1786" s="29"/>
      <c r="BC1786" s="52"/>
      <c r="BD1786" s="30"/>
      <c r="BE1786" s="29"/>
      <c r="BF1786" s="30"/>
      <c r="BG1786" s="30"/>
      <c r="BH1786" s="30"/>
      <c r="BI1786" s="30"/>
      <c r="BJ1786" s="30"/>
      <c r="BK1786" s="30"/>
      <c r="BL1786" s="30"/>
      <c r="BM1786" s="30"/>
      <c r="BN1786" s="30"/>
      <c r="BO1786" s="30"/>
      <c r="BP1786" s="30"/>
      <c r="BQ1786" s="30"/>
      <c r="BR1786" s="30"/>
      <c r="BS1786" s="30"/>
      <c r="BT1786" s="30"/>
      <c r="BU1786" s="30"/>
      <c r="BV1786" s="30"/>
      <c r="BW1786" s="30"/>
      <c r="BX1786" s="30"/>
      <c r="BY1786" s="30"/>
      <c r="BZ1786" s="30"/>
      <c r="CA1786" s="30"/>
      <c r="CB1786" s="30"/>
      <c r="CC1786" s="30"/>
      <c r="CD1786" s="30"/>
      <c r="CE1786" s="30"/>
      <c r="CF1786" s="30"/>
      <c r="CG1786" s="30"/>
      <c r="CH1786" s="30"/>
      <c r="CI1786" s="30"/>
      <c r="CJ1786" s="30"/>
      <c r="CK1786" s="30"/>
      <c r="CL1786" s="30"/>
      <c r="CM1786" s="30"/>
      <c r="CN1786" s="30"/>
      <c r="CO1786" s="30"/>
      <c r="CP1786" s="30"/>
      <c r="CQ1786" s="30"/>
      <c r="CR1786" s="30"/>
      <c r="CS1786" s="30"/>
      <c r="CT1786" s="30"/>
      <c r="CU1786" s="30"/>
      <c r="CV1786" s="30"/>
      <c r="CW1786" s="30"/>
      <c r="CX1786" s="30"/>
      <c r="CY1786" s="30"/>
      <c r="CZ1786" s="30"/>
      <c r="DA1786" s="30"/>
      <c r="DB1786" s="30"/>
      <c r="DC1786" s="30"/>
      <c r="DD1786" s="30"/>
      <c r="DE1786" s="30"/>
      <c r="DF1786" s="30"/>
      <c r="DG1786" s="30"/>
      <c r="DH1786" s="30"/>
      <c r="DI1786" s="30"/>
      <c r="DJ1786" s="30"/>
      <c r="DK1786" s="30"/>
      <c r="DL1786" s="30"/>
      <c r="DM1786" s="30"/>
      <c r="DN1786" s="30"/>
      <c r="DO1786" s="30"/>
      <c r="DP1786" s="30"/>
      <c r="DQ1786" s="30"/>
      <c r="DR1786" s="30"/>
      <c r="DS1786" s="30"/>
      <c r="DT1786" s="30"/>
      <c r="DU1786" s="30"/>
      <c r="DV1786" s="30"/>
      <c r="DW1786" s="30"/>
      <c r="DX1786" s="30"/>
      <c r="DY1786" s="30"/>
      <c r="DZ1786" s="30"/>
    </row>
    <row r="1787">
      <c r="A1787" s="30"/>
      <c r="B1787" s="42"/>
      <c r="C1787" s="43"/>
      <c r="D1787" s="30"/>
      <c r="E1787" s="28"/>
      <c r="F1787" s="30"/>
      <c r="G1787" s="30"/>
      <c r="H1787" s="30"/>
      <c r="I1787" s="30"/>
      <c r="J1787" s="28"/>
      <c r="K1787" s="30"/>
      <c r="L1787" s="30"/>
      <c r="M1787" s="30"/>
      <c r="N1787" s="30"/>
      <c r="O1787" s="28"/>
      <c r="P1787" s="30"/>
      <c r="Q1787" s="30"/>
      <c r="R1787" s="30"/>
      <c r="S1787" s="36"/>
      <c r="T1787" s="30"/>
      <c r="U1787" s="36"/>
      <c r="V1787" s="30"/>
      <c r="W1787" s="28"/>
      <c r="X1787" s="30"/>
      <c r="Y1787" s="30"/>
      <c r="Z1787" s="30"/>
      <c r="AA1787" s="30"/>
      <c r="AB1787" s="30"/>
      <c r="AC1787" s="28"/>
      <c r="AD1787" s="30"/>
      <c r="AE1787" s="30"/>
      <c r="AF1787" s="30"/>
      <c r="AG1787" s="29"/>
      <c r="AH1787" s="30"/>
      <c r="AI1787" s="36"/>
      <c r="AJ1787" s="30"/>
      <c r="AK1787" s="29"/>
      <c r="AL1787" s="30"/>
      <c r="AM1787" s="30"/>
      <c r="AN1787" s="30"/>
      <c r="AO1787" s="30"/>
      <c r="AP1787" s="30"/>
      <c r="AQ1787" s="38"/>
      <c r="AR1787" s="30"/>
      <c r="AS1787" s="30"/>
      <c r="AT1787" s="29"/>
      <c r="AU1787" s="30"/>
      <c r="AV1787" s="30"/>
      <c r="AW1787" s="30"/>
      <c r="AX1787" s="29"/>
      <c r="AY1787" s="39"/>
      <c r="AZ1787" s="30"/>
      <c r="BA1787" s="30"/>
      <c r="BB1787" s="29"/>
      <c r="BC1787" s="52"/>
      <c r="BD1787" s="30"/>
      <c r="BE1787" s="29"/>
      <c r="BF1787" s="30"/>
      <c r="BG1787" s="30"/>
      <c r="BH1787" s="30"/>
      <c r="BI1787" s="30"/>
      <c r="BJ1787" s="30"/>
      <c r="BK1787" s="30"/>
      <c r="BL1787" s="30"/>
      <c r="BM1787" s="30"/>
      <c r="BN1787" s="30"/>
      <c r="BO1787" s="30"/>
      <c r="BP1787" s="30"/>
      <c r="BQ1787" s="30"/>
      <c r="BR1787" s="30"/>
      <c r="BS1787" s="30"/>
      <c r="BT1787" s="30"/>
      <c r="BU1787" s="30"/>
      <c r="BV1787" s="30"/>
      <c r="BW1787" s="30"/>
      <c r="BX1787" s="30"/>
      <c r="BY1787" s="30"/>
      <c r="BZ1787" s="30"/>
      <c r="CA1787" s="30"/>
      <c r="CB1787" s="30"/>
      <c r="CC1787" s="30"/>
      <c r="CD1787" s="30"/>
      <c r="CE1787" s="30"/>
      <c r="CF1787" s="30"/>
      <c r="CG1787" s="30"/>
      <c r="CH1787" s="30"/>
      <c r="CI1787" s="30"/>
      <c r="CJ1787" s="30"/>
      <c r="CK1787" s="30"/>
      <c r="CL1787" s="30"/>
      <c r="CM1787" s="30"/>
      <c r="CN1787" s="30"/>
      <c r="CO1787" s="30"/>
      <c r="CP1787" s="30"/>
      <c r="CQ1787" s="30"/>
      <c r="CR1787" s="30"/>
      <c r="CS1787" s="30"/>
      <c r="CT1787" s="30"/>
      <c r="CU1787" s="30"/>
      <c r="CV1787" s="30"/>
      <c r="CW1787" s="30"/>
      <c r="CX1787" s="30"/>
      <c r="CY1787" s="30"/>
      <c r="CZ1787" s="30"/>
      <c r="DA1787" s="30"/>
      <c r="DB1787" s="30"/>
      <c r="DC1787" s="30"/>
      <c r="DD1787" s="30"/>
      <c r="DE1787" s="30"/>
      <c r="DF1787" s="30"/>
      <c r="DG1787" s="30"/>
      <c r="DH1787" s="30"/>
      <c r="DI1787" s="30"/>
      <c r="DJ1787" s="30"/>
      <c r="DK1787" s="30"/>
      <c r="DL1787" s="30"/>
      <c r="DM1787" s="30"/>
      <c r="DN1787" s="30"/>
      <c r="DO1787" s="30"/>
      <c r="DP1787" s="30"/>
      <c r="DQ1787" s="30"/>
      <c r="DR1787" s="30"/>
      <c r="DS1787" s="30"/>
      <c r="DT1787" s="30"/>
      <c r="DU1787" s="30"/>
      <c r="DV1787" s="30"/>
      <c r="DW1787" s="30"/>
      <c r="DX1787" s="30"/>
      <c r="DY1787" s="30"/>
      <c r="DZ1787" s="30"/>
    </row>
    <row r="1788">
      <c r="A1788" s="30"/>
      <c r="B1788" s="42"/>
      <c r="C1788" s="43"/>
      <c r="D1788" s="30"/>
      <c r="E1788" s="28"/>
      <c r="F1788" s="30"/>
      <c r="G1788" s="30"/>
      <c r="H1788" s="30"/>
      <c r="I1788" s="30"/>
      <c r="J1788" s="28"/>
      <c r="K1788" s="30"/>
      <c r="L1788" s="30"/>
      <c r="M1788" s="30"/>
      <c r="N1788" s="30"/>
      <c r="O1788" s="28"/>
      <c r="P1788" s="30"/>
      <c r="Q1788" s="30"/>
      <c r="R1788" s="30"/>
      <c r="S1788" s="36"/>
      <c r="T1788" s="30"/>
      <c r="U1788" s="36"/>
      <c r="V1788" s="30"/>
      <c r="W1788" s="28"/>
      <c r="X1788" s="30"/>
      <c r="Y1788" s="30"/>
      <c r="Z1788" s="30"/>
      <c r="AA1788" s="30"/>
      <c r="AB1788" s="30"/>
      <c r="AC1788" s="28"/>
      <c r="AD1788" s="30"/>
      <c r="AE1788" s="30"/>
      <c r="AF1788" s="30"/>
      <c r="AG1788" s="29"/>
      <c r="AH1788" s="30"/>
      <c r="AI1788" s="36"/>
      <c r="AJ1788" s="30"/>
      <c r="AK1788" s="29"/>
      <c r="AL1788" s="30"/>
      <c r="AM1788" s="30"/>
      <c r="AN1788" s="30"/>
      <c r="AO1788" s="30"/>
      <c r="AP1788" s="30"/>
      <c r="AQ1788" s="38"/>
      <c r="AR1788" s="30"/>
      <c r="AS1788" s="30"/>
      <c r="AT1788" s="29"/>
      <c r="AU1788" s="30"/>
      <c r="AV1788" s="30"/>
      <c r="AW1788" s="30"/>
      <c r="AX1788" s="29"/>
      <c r="AY1788" s="39"/>
      <c r="AZ1788" s="30"/>
      <c r="BA1788" s="30"/>
      <c r="BB1788" s="29"/>
      <c r="BC1788" s="52"/>
      <c r="BD1788" s="30"/>
      <c r="BE1788" s="29"/>
      <c r="BF1788" s="30"/>
      <c r="BG1788" s="30"/>
      <c r="BH1788" s="30"/>
      <c r="BI1788" s="30"/>
      <c r="BJ1788" s="30"/>
      <c r="BK1788" s="30"/>
      <c r="BL1788" s="30"/>
      <c r="BM1788" s="30"/>
      <c r="BN1788" s="30"/>
      <c r="BO1788" s="30"/>
      <c r="BP1788" s="30"/>
      <c r="BQ1788" s="30"/>
      <c r="BR1788" s="30"/>
      <c r="BS1788" s="30"/>
      <c r="BT1788" s="30"/>
      <c r="BU1788" s="30"/>
      <c r="BV1788" s="30"/>
      <c r="BW1788" s="30"/>
      <c r="BX1788" s="30"/>
      <c r="BY1788" s="30"/>
      <c r="BZ1788" s="30"/>
      <c r="CA1788" s="30"/>
      <c r="CB1788" s="30"/>
      <c r="CC1788" s="30"/>
      <c r="CD1788" s="30"/>
      <c r="CE1788" s="30"/>
      <c r="CF1788" s="30"/>
      <c r="CG1788" s="30"/>
      <c r="CH1788" s="30"/>
      <c r="CI1788" s="30"/>
      <c r="CJ1788" s="30"/>
      <c r="CK1788" s="30"/>
      <c r="CL1788" s="30"/>
      <c r="CM1788" s="30"/>
      <c r="CN1788" s="30"/>
      <c r="CO1788" s="30"/>
      <c r="CP1788" s="30"/>
      <c r="CQ1788" s="30"/>
      <c r="CR1788" s="30"/>
      <c r="CS1788" s="30"/>
      <c r="CT1788" s="30"/>
      <c r="CU1788" s="30"/>
      <c r="CV1788" s="30"/>
      <c r="CW1788" s="30"/>
      <c r="CX1788" s="30"/>
      <c r="CY1788" s="30"/>
      <c r="CZ1788" s="30"/>
      <c r="DA1788" s="30"/>
      <c r="DB1788" s="30"/>
      <c r="DC1788" s="30"/>
      <c r="DD1788" s="30"/>
      <c r="DE1788" s="30"/>
      <c r="DF1788" s="30"/>
      <c r="DG1788" s="30"/>
      <c r="DH1788" s="30"/>
      <c r="DI1788" s="30"/>
      <c r="DJ1788" s="30"/>
      <c r="DK1788" s="30"/>
      <c r="DL1788" s="30"/>
      <c r="DM1788" s="30"/>
      <c r="DN1788" s="30"/>
      <c r="DO1788" s="30"/>
      <c r="DP1788" s="30"/>
      <c r="DQ1788" s="30"/>
      <c r="DR1788" s="30"/>
      <c r="DS1788" s="30"/>
      <c r="DT1788" s="30"/>
      <c r="DU1788" s="30"/>
      <c r="DV1788" s="30"/>
      <c r="DW1788" s="30"/>
      <c r="DX1788" s="30"/>
      <c r="DY1788" s="30"/>
      <c r="DZ1788" s="30"/>
    </row>
    <row r="1789">
      <c r="A1789" s="30"/>
      <c r="B1789" s="42"/>
      <c r="C1789" s="43"/>
      <c r="D1789" s="30"/>
      <c r="E1789" s="28"/>
      <c r="F1789" s="30"/>
      <c r="G1789" s="30"/>
      <c r="H1789" s="30"/>
      <c r="I1789" s="30"/>
      <c r="J1789" s="28"/>
      <c r="K1789" s="30"/>
      <c r="L1789" s="30"/>
      <c r="M1789" s="30"/>
      <c r="N1789" s="30"/>
      <c r="O1789" s="28"/>
      <c r="P1789" s="30"/>
      <c r="Q1789" s="30"/>
      <c r="R1789" s="30"/>
      <c r="S1789" s="36"/>
      <c r="T1789" s="30"/>
      <c r="U1789" s="36"/>
      <c r="V1789" s="30"/>
      <c r="W1789" s="28"/>
      <c r="X1789" s="30"/>
      <c r="Y1789" s="30"/>
      <c r="Z1789" s="30"/>
      <c r="AA1789" s="30"/>
      <c r="AB1789" s="30"/>
      <c r="AC1789" s="28"/>
      <c r="AD1789" s="30"/>
      <c r="AE1789" s="30"/>
      <c r="AF1789" s="30"/>
      <c r="AG1789" s="29"/>
      <c r="AH1789" s="30"/>
      <c r="AI1789" s="36"/>
      <c r="AJ1789" s="30"/>
      <c r="AK1789" s="29"/>
      <c r="AL1789" s="30"/>
      <c r="AM1789" s="30"/>
      <c r="AN1789" s="30"/>
      <c r="AO1789" s="30"/>
      <c r="AP1789" s="30"/>
      <c r="AQ1789" s="38"/>
      <c r="AR1789" s="30"/>
      <c r="AS1789" s="30"/>
      <c r="AT1789" s="29"/>
      <c r="AU1789" s="30"/>
      <c r="AV1789" s="30"/>
      <c r="AW1789" s="30"/>
      <c r="AX1789" s="29"/>
      <c r="AY1789" s="39"/>
      <c r="AZ1789" s="30"/>
      <c r="BA1789" s="30"/>
      <c r="BB1789" s="29"/>
      <c r="BC1789" s="52"/>
      <c r="BD1789" s="30"/>
      <c r="BE1789" s="29"/>
      <c r="BF1789" s="30"/>
      <c r="BG1789" s="30"/>
      <c r="BH1789" s="30"/>
      <c r="BI1789" s="30"/>
      <c r="BJ1789" s="30"/>
      <c r="BK1789" s="30"/>
      <c r="BL1789" s="30"/>
      <c r="BM1789" s="30"/>
      <c r="BN1789" s="30"/>
      <c r="BO1789" s="30"/>
      <c r="BP1789" s="30"/>
      <c r="BQ1789" s="30"/>
      <c r="BR1789" s="30"/>
      <c r="BS1789" s="30"/>
      <c r="BT1789" s="30"/>
      <c r="BU1789" s="30"/>
      <c r="BV1789" s="30"/>
      <c r="BW1789" s="30"/>
      <c r="BX1789" s="30"/>
      <c r="BY1789" s="30"/>
      <c r="BZ1789" s="30"/>
      <c r="CA1789" s="30"/>
      <c r="CB1789" s="30"/>
      <c r="CC1789" s="30"/>
      <c r="CD1789" s="30"/>
      <c r="CE1789" s="30"/>
      <c r="CF1789" s="30"/>
      <c r="CG1789" s="30"/>
      <c r="CH1789" s="30"/>
      <c r="CI1789" s="30"/>
      <c r="CJ1789" s="30"/>
      <c r="CK1789" s="30"/>
      <c r="CL1789" s="30"/>
      <c r="CM1789" s="30"/>
      <c r="CN1789" s="30"/>
      <c r="CO1789" s="30"/>
      <c r="CP1789" s="30"/>
      <c r="CQ1789" s="30"/>
      <c r="CR1789" s="30"/>
      <c r="CS1789" s="30"/>
      <c r="CT1789" s="30"/>
      <c r="CU1789" s="30"/>
      <c r="CV1789" s="30"/>
      <c r="CW1789" s="30"/>
      <c r="CX1789" s="30"/>
      <c r="CY1789" s="30"/>
      <c r="CZ1789" s="30"/>
      <c r="DA1789" s="30"/>
      <c r="DB1789" s="30"/>
      <c r="DC1789" s="30"/>
      <c r="DD1789" s="30"/>
      <c r="DE1789" s="30"/>
      <c r="DF1789" s="30"/>
      <c r="DG1789" s="30"/>
      <c r="DH1789" s="30"/>
      <c r="DI1789" s="30"/>
      <c r="DJ1789" s="30"/>
      <c r="DK1789" s="30"/>
      <c r="DL1789" s="30"/>
      <c r="DM1789" s="30"/>
      <c r="DN1789" s="30"/>
      <c r="DO1789" s="30"/>
      <c r="DP1789" s="30"/>
      <c r="DQ1789" s="30"/>
      <c r="DR1789" s="30"/>
      <c r="DS1789" s="30"/>
      <c r="DT1789" s="30"/>
      <c r="DU1789" s="30"/>
      <c r="DV1789" s="30"/>
      <c r="DW1789" s="30"/>
      <c r="DX1789" s="30"/>
      <c r="DY1789" s="30"/>
      <c r="DZ1789" s="30"/>
    </row>
    <row r="1790">
      <c r="A1790" s="30"/>
      <c r="B1790" s="42"/>
      <c r="C1790" s="43"/>
      <c r="D1790" s="30"/>
      <c r="E1790" s="28"/>
      <c r="F1790" s="30"/>
      <c r="G1790" s="30"/>
      <c r="H1790" s="30"/>
      <c r="I1790" s="30"/>
      <c r="J1790" s="28"/>
      <c r="K1790" s="30"/>
      <c r="L1790" s="30"/>
      <c r="M1790" s="30"/>
      <c r="N1790" s="30"/>
      <c r="O1790" s="28"/>
      <c r="P1790" s="30"/>
      <c r="Q1790" s="30"/>
      <c r="R1790" s="30"/>
      <c r="S1790" s="36"/>
      <c r="T1790" s="30"/>
      <c r="U1790" s="36"/>
      <c r="V1790" s="30"/>
      <c r="W1790" s="28"/>
      <c r="X1790" s="30"/>
      <c r="Y1790" s="30"/>
      <c r="Z1790" s="30"/>
      <c r="AA1790" s="30"/>
      <c r="AB1790" s="30"/>
      <c r="AC1790" s="28"/>
      <c r="AD1790" s="30"/>
      <c r="AE1790" s="30"/>
      <c r="AF1790" s="30"/>
      <c r="AG1790" s="29"/>
      <c r="AH1790" s="30"/>
      <c r="AI1790" s="36"/>
      <c r="AJ1790" s="30"/>
      <c r="AK1790" s="29"/>
      <c r="AL1790" s="30"/>
      <c r="AM1790" s="30"/>
      <c r="AN1790" s="30"/>
      <c r="AO1790" s="30"/>
      <c r="AP1790" s="30"/>
      <c r="AQ1790" s="38"/>
      <c r="AR1790" s="30"/>
      <c r="AS1790" s="30"/>
      <c r="AT1790" s="29"/>
      <c r="AU1790" s="30"/>
      <c r="AV1790" s="30"/>
      <c r="AW1790" s="30"/>
      <c r="AX1790" s="29"/>
      <c r="AY1790" s="39"/>
      <c r="AZ1790" s="30"/>
      <c r="BA1790" s="30"/>
      <c r="BB1790" s="29"/>
      <c r="BC1790" s="52"/>
      <c r="BD1790" s="30"/>
      <c r="BE1790" s="29"/>
      <c r="BF1790" s="30"/>
      <c r="BG1790" s="30"/>
      <c r="BH1790" s="30"/>
      <c r="BI1790" s="30"/>
      <c r="BJ1790" s="30"/>
      <c r="BK1790" s="30"/>
      <c r="BL1790" s="30"/>
      <c r="BM1790" s="30"/>
      <c r="BN1790" s="30"/>
      <c r="BO1790" s="30"/>
      <c r="BP1790" s="30"/>
      <c r="BQ1790" s="30"/>
      <c r="BR1790" s="30"/>
      <c r="BS1790" s="30"/>
      <c r="BT1790" s="30"/>
      <c r="BU1790" s="30"/>
      <c r="BV1790" s="30"/>
      <c r="BW1790" s="30"/>
      <c r="BX1790" s="30"/>
      <c r="BY1790" s="30"/>
      <c r="BZ1790" s="30"/>
      <c r="CA1790" s="30"/>
      <c r="CB1790" s="30"/>
      <c r="CC1790" s="30"/>
      <c r="CD1790" s="30"/>
      <c r="CE1790" s="30"/>
      <c r="CF1790" s="30"/>
      <c r="CG1790" s="30"/>
      <c r="CH1790" s="30"/>
      <c r="CI1790" s="30"/>
      <c r="CJ1790" s="30"/>
      <c r="CK1790" s="30"/>
      <c r="CL1790" s="30"/>
      <c r="CM1790" s="30"/>
      <c r="CN1790" s="30"/>
      <c r="CO1790" s="30"/>
      <c r="CP1790" s="30"/>
      <c r="CQ1790" s="30"/>
      <c r="CR1790" s="30"/>
      <c r="CS1790" s="30"/>
      <c r="CT1790" s="30"/>
      <c r="CU1790" s="30"/>
      <c r="CV1790" s="30"/>
      <c r="CW1790" s="30"/>
      <c r="CX1790" s="30"/>
      <c r="CY1790" s="30"/>
      <c r="CZ1790" s="30"/>
      <c r="DA1790" s="30"/>
      <c r="DB1790" s="30"/>
      <c r="DC1790" s="30"/>
      <c r="DD1790" s="30"/>
      <c r="DE1790" s="30"/>
      <c r="DF1790" s="30"/>
      <c r="DG1790" s="30"/>
      <c r="DH1790" s="30"/>
      <c r="DI1790" s="30"/>
      <c r="DJ1790" s="30"/>
      <c r="DK1790" s="30"/>
      <c r="DL1790" s="30"/>
      <c r="DM1790" s="30"/>
      <c r="DN1790" s="30"/>
      <c r="DO1790" s="30"/>
      <c r="DP1790" s="30"/>
      <c r="DQ1790" s="30"/>
      <c r="DR1790" s="30"/>
      <c r="DS1790" s="30"/>
      <c r="DT1790" s="30"/>
      <c r="DU1790" s="30"/>
      <c r="DV1790" s="30"/>
      <c r="DW1790" s="30"/>
      <c r="DX1790" s="30"/>
      <c r="DY1790" s="30"/>
      <c r="DZ1790" s="30"/>
    </row>
    <row r="1791">
      <c r="A1791" s="30"/>
      <c r="B1791" s="42"/>
      <c r="C1791" s="43"/>
      <c r="D1791" s="30"/>
      <c r="E1791" s="28"/>
      <c r="F1791" s="30"/>
      <c r="G1791" s="30"/>
      <c r="H1791" s="30"/>
      <c r="I1791" s="30"/>
      <c r="J1791" s="28"/>
      <c r="K1791" s="30"/>
      <c r="L1791" s="30"/>
      <c r="M1791" s="30"/>
      <c r="N1791" s="30"/>
      <c r="O1791" s="28"/>
      <c r="P1791" s="30"/>
      <c r="Q1791" s="30"/>
      <c r="R1791" s="30"/>
      <c r="S1791" s="36"/>
      <c r="T1791" s="30"/>
      <c r="U1791" s="36"/>
      <c r="V1791" s="30"/>
      <c r="W1791" s="28"/>
      <c r="X1791" s="30"/>
      <c r="Y1791" s="30"/>
      <c r="Z1791" s="30"/>
      <c r="AA1791" s="30"/>
      <c r="AB1791" s="30"/>
      <c r="AC1791" s="28"/>
      <c r="AD1791" s="30"/>
      <c r="AE1791" s="30"/>
      <c r="AF1791" s="30"/>
      <c r="AG1791" s="29"/>
      <c r="AH1791" s="30"/>
      <c r="AI1791" s="36"/>
      <c r="AJ1791" s="30"/>
      <c r="AK1791" s="29"/>
      <c r="AL1791" s="30"/>
      <c r="AM1791" s="30"/>
      <c r="AN1791" s="30"/>
      <c r="AO1791" s="30"/>
      <c r="AP1791" s="30"/>
      <c r="AQ1791" s="38"/>
      <c r="AR1791" s="30"/>
      <c r="AS1791" s="30"/>
      <c r="AT1791" s="29"/>
      <c r="AU1791" s="30"/>
      <c r="AV1791" s="30"/>
      <c r="AW1791" s="30"/>
      <c r="AX1791" s="29"/>
      <c r="AY1791" s="39"/>
      <c r="AZ1791" s="30"/>
      <c r="BA1791" s="30"/>
      <c r="BB1791" s="29"/>
      <c r="BC1791" s="52"/>
      <c r="BD1791" s="30"/>
      <c r="BE1791" s="29"/>
      <c r="BF1791" s="30"/>
      <c r="BG1791" s="30"/>
      <c r="BH1791" s="30"/>
      <c r="BI1791" s="30"/>
      <c r="BJ1791" s="30"/>
      <c r="BK1791" s="30"/>
      <c r="BL1791" s="30"/>
      <c r="BM1791" s="30"/>
      <c r="BN1791" s="30"/>
      <c r="BO1791" s="30"/>
      <c r="BP1791" s="30"/>
      <c r="BQ1791" s="30"/>
      <c r="BR1791" s="30"/>
      <c r="BS1791" s="30"/>
      <c r="BT1791" s="30"/>
      <c r="BU1791" s="30"/>
      <c r="BV1791" s="30"/>
      <c r="BW1791" s="30"/>
      <c r="BX1791" s="30"/>
      <c r="BY1791" s="30"/>
      <c r="BZ1791" s="30"/>
      <c r="CA1791" s="30"/>
      <c r="CB1791" s="30"/>
      <c r="CC1791" s="30"/>
      <c r="CD1791" s="30"/>
      <c r="CE1791" s="30"/>
      <c r="CF1791" s="30"/>
      <c r="CG1791" s="30"/>
      <c r="CH1791" s="30"/>
      <c r="CI1791" s="30"/>
      <c r="CJ1791" s="30"/>
      <c r="CK1791" s="30"/>
      <c r="CL1791" s="30"/>
      <c r="CM1791" s="30"/>
      <c r="CN1791" s="30"/>
      <c r="CO1791" s="30"/>
      <c r="CP1791" s="30"/>
      <c r="CQ1791" s="30"/>
      <c r="CR1791" s="30"/>
      <c r="CS1791" s="30"/>
      <c r="CT1791" s="30"/>
      <c r="CU1791" s="30"/>
      <c r="CV1791" s="30"/>
      <c r="CW1791" s="30"/>
      <c r="CX1791" s="30"/>
      <c r="CY1791" s="30"/>
      <c r="CZ1791" s="30"/>
      <c r="DA1791" s="30"/>
      <c r="DB1791" s="30"/>
      <c r="DC1791" s="30"/>
      <c r="DD1791" s="30"/>
      <c r="DE1791" s="30"/>
      <c r="DF1791" s="30"/>
      <c r="DG1791" s="30"/>
      <c r="DH1791" s="30"/>
      <c r="DI1791" s="30"/>
      <c r="DJ1791" s="30"/>
      <c r="DK1791" s="30"/>
      <c r="DL1791" s="30"/>
      <c r="DM1791" s="30"/>
      <c r="DN1791" s="30"/>
      <c r="DO1791" s="30"/>
      <c r="DP1791" s="30"/>
      <c r="DQ1791" s="30"/>
      <c r="DR1791" s="30"/>
      <c r="DS1791" s="30"/>
      <c r="DT1791" s="30"/>
      <c r="DU1791" s="30"/>
      <c r="DV1791" s="30"/>
      <c r="DW1791" s="30"/>
      <c r="DX1791" s="30"/>
      <c r="DY1791" s="30"/>
      <c r="DZ1791" s="30"/>
    </row>
    <row r="1792">
      <c r="A1792" s="30"/>
      <c r="B1792" s="42"/>
      <c r="C1792" s="43"/>
      <c r="D1792" s="30"/>
      <c r="E1792" s="28"/>
      <c r="F1792" s="30"/>
      <c r="G1792" s="30"/>
      <c r="H1792" s="30"/>
      <c r="I1792" s="30"/>
      <c r="J1792" s="28"/>
      <c r="K1792" s="30"/>
      <c r="L1792" s="30"/>
      <c r="M1792" s="30"/>
      <c r="N1792" s="30"/>
      <c r="O1792" s="28"/>
      <c r="P1792" s="30"/>
      <c r="Q1792" s="30"/>
      <c r="R1792" s="30"/>
      <c r="S1792" s="36"/>
      <c r="T1792" s="30"/>
      <c r="U1792" s="36"/>
      <c r="V1792" s="30"/>
      <c r="W1792" s="28"/>
      <c r="X1792" s="30"/>
      <c r="Y1792" s="30"/>
      <c r="Z1792" s="30"/>
      <c r="AA1792" s="30"/>
      <c r="AB1792" s="30"/>
      <c r="AC1792" s="28"/>
      <c r="AD1792" s="30"/>
      <c r="AE1792" s="30"/>
      <c r="AF1792" s="30"/>
      <c r="AG1792" s="29"/>
      <c r="AH1792" s="30"/>
      <c r="AI1792" s="36"/>
      <c r="AJ1792" s="30"/>
      <c r="AK1792" s="29"/>
      <c r="AL1792" s="30"/>
      <c r="AM1792" s="30"/>
      <c r="AN1792" s="30"/>
      <c r="AO1792" s="30"/>
      <c r="AP1792" s="30"/>
      <c r="AQ1792" s="38"/>
      <c r="AR1792" s="30"/>
      <c r="AS1792" s="30"/>
      <c r="AT1792" s="29"/>
      <c r="AU1792" s="30"/>
      <c r="AV1792" s="30"/>
      <c r="AW1792" s="30"/>
      <c r="AX1792" s="29"/>
      <c r="AY1792" s="39"/>
      <c r="AZ1792" s="30"/>
      <c r="BA1792" s="30"/>
      <c r="BB1792" s="29"/>
      <c r="BC1792" s="52"/>
      <c r="BD1792" s="30"/>
      <c r="BE1792" s="29"/>
      <c r="BF1792" s="30"/>
      <c r="BG1792" s="30"/>
      <c r="BH1792" s="30"/>
      <c r="BI1792" s="30"/>
      <c r="BJ1792" s="30"/>
      <c r="BK1792" s="30"/>
      <c r="BL1792" s="30"/>
      <c r="BM1792" s="30"/>
      <c r="BN1792" s="30"/>
      <c r="BO1792" s="30"/>
      <c r="BP1792" s="30"/>
      <c r="BQ1792" s="30"/>
      <c r="BR1792" s="30"/>
      <c r="BS1792" s="30"/>
      <c r="BT1792" s="30"/>
      <c r="BU1792" s="30"/>
      <c r="BV1792" s="30"/>
      <c r="BW1792" s="30"/>
      <c r="BX1792" s="30"/>
      <c r="BY1792" s="30"/>
      <c r="BZ1792" s="30"/>
      <c r="CA1792" s="30"/>
      <c r="CB1792" s="30"/>
      <c r="CC1792" s="30"/>
      <c r="CD1792" s="30"/>
      <c r="CE1792" s="30"/>
      <c r="CF1792" s="30"/>
      <c r="CG1792" s="30"/>
      <c r="CH1792" s="30"/>
      <c r="CI1792" s="30"/>
      <c r="CJ1792" s="30"/>
      <c r="CK1792" s="30"/>
      <c r="CL1792" s="30"/>
      <c r="CM1792" s="30"/>
      <c r="CN1792" s="30"/>
      <c r="CO1792" s="30"/>
      <c r="CP1792" s="30"/>
      <c r="CQ1792" s="30"/>
      <c r="CR1792" s="30"/>
      <c r="CS1792" s="30"/>
      <c r="CT1792" s="30"/>
      <c r="CU1792" s="30"/>
      <c r="CV1792" s="30"/>
      <c r="CW1792" s="30"/>
      <c r="CX1792" s="30"/>
      <c r="CY1792" s="30"/>
      <c r="CZ1792" s="30"/>
      <c r="DA1792" s="30"/>
      <c r="DB1792" s="30"/>
      <c r="DC1792" s="30"/>
      <c r="DD1792" s="30"/>
      <c r="DE1792" s="30"/>
      <c r="DF1792" s="30"/>
      <c r="DG1792" s="30"/>
      <c r="DH1792" s="30"/>
      <c r="DI1792" s="30"/>
      <c r="DJ1792" s="30"/>
      <c r="DK1792" s="30"/>
      <c r="DL1792" s="30"/>
      <c r="DM1792" s="30"/>
      <c r="DN1792" s="30"/>
      <c r="DO1792" s="30"/>
      <c r="DP1792" s="30"/>
      <c r="DQ1792" s="30"/>
      <c r="DR1792" s="30"/>
      <c r="DS1792" s="30"/>
      <c r="DT1792" s="30"/>
      <c r="DU1792" s="30"/>
      <c r="DV1792" s="30"/>
      <c r="DW1792" s="30"/>
      <c r="DX1792" s="30"/>
      <c r="DY1792" s="30"/>
      <c r="DZ1792" s="30"/>
    </row>
    <row r="1793">
      <c r="A1793" s="30"/>
      <c r="B1793" s="42"/>
      <c r="C1793" s="43"/>
      <c r="D1793" s="30"/>
      <c r="E1793" s="28"/>
      <c r="F1793" s="30"/>
      <c r="G1793" s="30"/>
      <c r="H1793" s="30"/>
      <c r="I1793" s="30"/>
      <c r="J1793" s="28"/>
      <c r="K1793" s="30"/>
      <c r="L1793" s="30"/>
      <c r="M1793" s="30"/>
      <c r="N1793" s="30"/>
      <c r="O1793" s="28"/>
      <c r="P1793" s="30"/>
      <c r="Q1793" s="30"/>
      <c r="R1793" s="30"/>
      <c r="S1793" s="36"/>
      <c r="T1793" s="30"/>
      <c r="U1793" s="36"/>
      <c r="V1793" s="30"/>
      <c r="W1793" s="28"/>
      <c r="X1793" s="30"/>
      <c r="Y1793" s="30"/>
      <c r="Z1793" s="30"/>
      <c r="AA1793" s="30"/>
      <c r="AB1793" s="30"/>
      <c r="AC1793" s="28"/>
      <c r="AD1793" s="30"/>
      <c r="AE1793" s="30"/>
      <c r="AF1793" s="30"/>
      <c r="AG1793" s="29"/>
      <c r="AH1793" s="30"/>
      <c r="AI1793" s="36"/>
      <c r="AJ1793" s="30"/>
      <c r="AK1793" s="29"/>
      <c r="AL1793" s="30"/>
      <c r="AM1793" s="30"/>
      <c r="AN1793" s="30"/>
      <c r="AO1793" s="30"/>
      <c r="AP1793" s="30"/>
      <c r="AQ1793" s="38"/>
      <c r="AR1793" s="30"/>
      <c r="AS1793" s="30"/>
      <c r="AT1793" s="29"/>
      <c r="AU1793" s="30"/>
      <c r="AV1793" s="30"/>
      <c r="AW1793" s="30"/>
      <c r="AX1793" s="29"/>
      <c r="AY1793" s="39"/>
      <c r="AZ1793" s="30"/>
      <c r="BA1793" s="30"/>
      <c r="BB1793" s="29"/>
      <c r="BC1793" s="52"/>
      <c r="BD1793" s="30"/>
      <c r="BE1793" s="29"/>
      <c r="BF1793" s="30"/>
      <c r="BG1793" s="30"/>
      <c r="BH1793" s="30"/>
      <c r="BI1793" s="30"/>
      <c r="BJ1793" s="30"/>
      <c r="BK1793" s="30"/>
      <c r="BL1793" s="30"/>
      <c r="BM1793" s="30"/>
      <c r="BN1793" s="30"/>
      <c r="BO1793" s="30"/>
      <c r="BP1793" s="30"/>
      <c r="BQ1793" s="30"/>
      <c r="BR1793" s="30"/>
      <c r="BS1793" s="30"/>
      <c r="BT1793" s="30"/>
      <c r="BU1793" s="30"/>
      <c r="BV1793" s="30"/>
      <c r="BW1793" s="30"/>
      <c r="BX1793" s="30"/>
      <c r="BY1793" s="30"/>
      <c r="BZ1793" s="30"/>
      <c r="CA1793" s="30"/>
      <c r="CB1793" s="30"/>
      <c r="CC1793" s="30"/>
      <c r="CD1793" s="30"/>
      <c r="CE1793" s="30"/>
      <c r="CF1793" s="30"/>
      <c r="CG1793" s="30"/>
      <c r="CH1793" s="30"/>
      <c r="CI1793" s="30"/>
      <c r="CJ1793" s="30"/>
      <c r="CK1793" s="30"/>
      <c r="CL1793" s="30"/>
      <c r="CM1793" s="30"/>
      <c r="CN1793" s="30"/>
      <c r="CO1793" s="30"/>
      <c r="CP1793" s="30"/>
      <c r="CQ1793" s="30"/>
      <c r="CR1793" s="30"/>
      <c r="CS1793" s="30"/>
      <c r="CT1793" s="30"/>
      <c r="CU1793" s="30"/>
      <c r="CV1793" s="30"/>
      <c r="CW1793" s="30"/>
      <c r="CX1793" s="30"/>
      <c r="CY1793" s="30"/>
      <c r="CZ1793" s="30"/>
      <c r="DA1793" s="30"/>
      <c r="DB1793" s="30"/>
      <c r="DC1793" s="30"/>
      <c r="DD1793" s="30"/>
      <c r="DE1793" s="30"/>
      <c r="DF1793" s="30"/>
      <c r="DG1793" s="30"/>
      <c r="DH1793" s="30"/>
      <c r="DI1793" s="30"/>
      <c r="DJ1793" s="30"/>
      <c r="DK1793" s="30"/>
      <c r="DL1793" s="30"/>
      <c r="DM1793" s="30"/>
      <c r="DN1793" s="30"/>
      <c r="DO1793" s="30"/>
      <c r="DP1793" s="30"/>
      <c r="DQ1793" s="30"/>
      <c r="DR1793" s="30"/>
      <c r="DS1793" s="30"/>
      <c r="DT1793" s="30"/>
      <c r="DU1793" s="30"/>
      <c r="DV1793" s="30"/>
      <c r="DW1793" s="30"/>
      <c r="DX1793" s="30"/>
      <c r="DY1793" s="30"/>
      <c r="DZ1793" s="30"/>
    </row>
    <row r="1794">
      <c r="A1794" s="30"/>
      <c r="B1794" s="42"/>
      <c r="C1794" s="43"/>
      <c r="D1794" s="30"/>
      <c r="E1794" s="28"/>
      <c r="F1794" s="30"/>
      <c r="G1794" s="30"/>
      <c r="H1794" s="30"/>
      <c r="I1794" s="30"/>
      <c r="J1794" s="28"/>
      <c r="K1794" s="30"/>
      <c r="L1794" s="30"/>
      <c r="M1794" s="30"/>
      <c r="N1794" s="30"/>
      <c r="O1794" s="28"/>
      <c r="P1794" s="30"/>
      <c r="Q1794" s="30"/>
      <c r="R1794" s="30"/>
      <c r="S1794" s="36"/>
      <c r="T1794" s="30"/>
      <c r="U1794" s="36"/>
      <c r="V1794" s="30"/>
      <c r="W1794" s="28"/>
      <c r="X1794" s="30"/>
      <c r="Y1794" s="30"/>
      <c r="Z1794" s="30"/>
      <c r="AA1794" s="30"/>
      <c r="AB1794" s="30"/>
      <c r="AC1794" s="28"/>
      <c r="AD1794" s="30"/>
      <c r="AE1794" s="30"/>
      <c r="AF1794" s="30"/>
      <c r="AG1794" s="29"/>
      <c r="AH1794" s="30"/>
      <c r="AI1794" s="36"/>
      <c r="AJ1794" s="30"/>
      <c r="AK1794" s="29"/>
      <c r="AL1794" s="30"/>
      <c r="AM1794" s="30"/>
      <c r="AN1794" s="30"/>
      <c r="AO1794" s="30"/>
      <c r="AP1794" s="30"/>
      <c r="AQ1794" s="38"/>
      <c r="AR1794" s="30"/>
      <c r="AS1794" s="30"/>
      <c r="AT1794" s="29"/>
      <c r="AU1794" s="30"/>
      <c r="AV1794" s="30"/>
      <c r="AW1794" s="30"/>
      <c r="AX1794" s="29"/>
      <c r="AY1794" s="39"/>
      <c r="AZ1794" s="30"/>
      <c r="BA1794" s="30"/>
      <c r="BB1794" s="29"/>
      <c r="BC1794" s="52"/>
      <c r="BD1794" s="30"/>
      <c r="BE1794" s="29"/>
      <c r="BF1794" s="30"/>
      <c r="BG1794" s="30"/>
      <c r="BH1794" s="30"/>
      <c r="BI1794" s="30"/>
      <c r="BJ1794" s="30"/>
      <c r="BK1794" s="30"/>
      <c r="BL1794" s="30"/>
      <c r="BM1794" s="30"/>
      <c r="BN1794" s="30"/>
      <c r="BO1794" s="30"/>
      <c r="BP1794" s="30"/>
      <c r="BQ1794" s="30"/>
      <c r="BR1794" s="30"/>
      <c r="BS1794" s="30"/>
      <c r="BT1794" s="30"/>
      <c r="BU1794" s="30"/>
      <c r="BV1794" s="30"/>
      <c r="BW1794" s="30"/>
      <c r="BX1794" s="30"/>
      <c r="BY1794" s="30"/>
      <c r="BZ1794" s="30"/>
      <c r="CA1794" s="30"/>
      <c r="CB1794" s="30"/>
      <c r="CC1794" s="30"/>
      <c r="CD1794" s="30"/>
      <c r="CE1794" s="30"/>
      <c r="CF1794" s="30"/>
      <c r="CG1794" s="30"/>
      <c r="CH1794" s="30"/>
      <c r="CI1794" s="30"/>
      <c r="CJ1794" s="30"/>
      <c r="CK1794" s="30"/>
      <c r="CL1794" s="30"/>
      <c r="CM1794" s="30"/>
      <c r="CN1794" s="30"/>
      <c r="CO1794" s="30"/>
      <c r="CP1794" s="30"/>
      <c r="CQ1794" s="30"/>
      <c r="CR1794" s="30"/>
      <c r="CS1794" s="30"/>
      <c r="CT1794" s="30"/>
      <c r="CU1794" s="30"/>
      <c r="CV1794" s="30"/>
      <c r="CW1794" s="30"/>
      <c r="CX1794" s="30"/>
      <c r="CY1794" s="30"/>
      <c r="CZ1794" s="30"/>
      <c r="DA1794" s="30"/>
      <c r="DB1794" s="30"/>
      <c r="DC1794" s="30"/>
      <c r="DD1794" s="30"/>
      <c r="DE1794" s="30"/>
      <c r="DF1794" s="30"/>
      <c r="DG1794" s="30"/>
      <c r="DH1794" s="30"/>
      <c r="DI1794" s="30"/>
      <c r="DJ1794" s="30"/>
      <c r="DK1794" s="30"/>
      <c r="DL1794" s="30"/>
      <c r="DM1794" s="30"/>
      <c r="DN1794" s="30"/>
      <c r="DO1794" s="30"/>
      <c r="DP1794" s="30"/>
      <c r="DQ1794" s="30"/>
      <c r="DR1794" s="30"/>
      <c r="DS1794" s="30"/>
      <c r="DT1794" s="30"/>
      <c r="DU1794" s="30"/>
      <c r="DV1794" s="30"/>
      <c r="DW1794" s="30"/>
      <c r="DX1794" s="30"/>
      <c r="DY1794" s="30"/>
      <c r="DZ1794" s="30"/>
    </row>
    <row r="1795">
      <c r="A1795" s="30"/>
      <c r="B1795" s="42"/>
      <c r="C1795" s="43"/>
      <c r="D1795" s="30"/>
      <c r="E1795" s="28"/>
      <c r="F1795" s="30"/>
      <c r="G1795" s="30"/>
      <c r="H1795" s="30"/>
      <c r="I1795" s="30"/>
      <c r="J1795" s="28"/>
      <c r="K1795" s="30"/>
      <c r="L1795" s="30"/>
      <c r="M1795" s="30"/>
      <c r="N1795" s="30"/>
      <c r="O1795" s="28"/>
      <c r="P1795" s="30"/>
      <c r="Q1795" s="30"/>
      <c r="R1795" s="30"/>
      <c r="S1795" s="36"/>
      <c r="T1795" s="30"/>
      <c r="U1795" s="36"/>
      <c r="V1795" s="30"/>
      <c r="W1795" s="28"/>
      <c r="X1795" s="30"/>
      <c r="Y1795" s="30"/>
      <c r="Z1795" s="30"/>
      <c r="AA1795" s="30"/>
      <c r="AB1795" s="30"/>
      <c r="AC1795" s="28"/>
      <c r="AD1795" s="30"/>
      <c r="AE1795" s="30"/>
      <c r="AF1795" s="30"/>
      <c r="AG1795" s="29"/>
      <c r="AH1795" s="30"/>
      <c r="AI1795" s="36"/>
      <c r="AJ1795" s="30"/>
      <c r="AK1795" s="29"/>
      <c r="AL1795" s="30"/>
      <c r="AM1795" s="30"/>
      <c r="AN1795" s="30"/>
      <c r="AO1795" s="30"/>
      <c r="AP1795" s="30"/>
      <c r="AQ1795" s="38"/>
      <c r="AR1795" s="30"/>
      <c r="AS1795" s="30"/>
      <c r="AT1795" s="29"/>
      <c r="AU1795" s="30"/>
      <c r="AV1795" s="30"/>
      <c r="AW1795" s="30"/>
      <c r="AX1795" s="29"/>
      <c r="AY1795" s="39"/>
      <c r="AZ1795" s="30"/>
      <c r="BA1795" s="30"/>
      <c r="BB1795" s="29"/>
      <c r="BC1795" s="52"/>
      <c r="BD1795" s="30"/>
      <c r="BE1795" s="29"/>
      <c r="BF1795" s="30"/>
      <c r="BG1795" s="30"/>
      <c r="BH1795" s="30"/>
      <c r="BI1795" s="30"/>
      <c r="BJ1795" s="30"/>
      <c r="BK1795" s="30"/>
      <c r="BL1795" s="30"/>
      <c r="BM1795" s="30"/>
      <c r="BN1795" s="30"/>
      <c r="BO1795" s="30"/>
      <c r="BP1795" s="30"/>
      <c r="BQ1795" s="30"/>
      <c r="BR1795" s="30"/>
      <c r="BS1795" s="30"/>
      <c r="BT1795" s="30"/>
      <c r="BU1795" s="30"/>
      <c r="BV1795" s="30"/>
      <c r="BW1795" s="30"/>
      <c r="BX1795" s="30"/>
      <c r="BY1795" s="30"/>
      <c r="BZ1795" s="30"/>
      <c r="CA1795" s="30"/>
      <c r="CB1795" s="30"/>
      <c r="CC1795" s="30"/>
      <c r="CD1795" s="30"/>
      <c r="CE1795" s="30"/>
      <c r="CF1795" s="30"/>
      <c r="CG1795" s="30"/>
      <c r="CH1795" s="30"/>
      <c r="CI1795" s="30"/>
      <c r="CJ1795" s="30"/>
      <c r="CK1795" s="30"/>
      <c r="CL1795" s="30"/>
      <c r="CM1795" s="30"/>
      <c r="CN1795" s="30"/>
      <c r="CO1795" s="30"/>
      <c r="CP1795" s="30"/>
      <c r="CQ1795" s="30"/>
      <c r="CR1795" s="30"/>
      <c r="CS1795" s="30"/>
      <c r="CT1795" s="30"/>
      <c r="CU1795" s="30"/>
      <c r="CV1795" s="30"/>
      <c r="CW1795" s="30"/>
      <c r="CX1795" s="30"/>
      <c r="CY1795" s="30"/>
      <c r="CZ1795" s="30"/>
      <c r="DA1795" s="30"/>
      <c r="DB1795" s="30"/>
      <c r="DC1795" s="30"/>
      <c r="DD1795" s="30"/>
      <c r="DE1795" s="30"/>
      <c r="DF1795" s="30"/>
      <c r="DG1795" s="30"/>
      <c r="DH1795" s="30"/>
      <c r="DI1795" s="30"/>
      <c r="DJ1795" s="30"/>
      <c r="DK1795" s="30"/>
      <c r="DL1795" s="30"/>
      <c r="DM1795" s="30"/>
      <c r="DN1795" s="30"/>
      <c r="DO1795" s="30"/>
      <c r="DP1795" s="30"/>
      <c r="DQ1795" s="30"/>
      <c r="DR1795" s="30"/>
      <c r="DS1795" s="30"/>
      <c r="DT1795" s="30"/>
      <c r="DU1795" s="30"/>
      <c r="DV1795" s="30"/>
      <c r="DW1795" s="30"/>
      <c r="DX1795" s="30"/>
      <c r="DY1795" s="30"/>
      <c r="DZ1795" s="30"/>
    </row>
    <row r="1796">
      <c r="A1796" s="30"/>
      <c r="B1796" s="42"/>
      <c r="C1796" s="43"/>
      <c r="D1796" s="30"/>
      <c r="E1796" s="28"/>
      <c r="F1796" s="30"/>
      <c r="G1796" s="30"/>
      <c r="H1796" s="30"/>
      <c r="I1796" s="30"/>
      <c r="J1796" s="28"/>
      <c r="K1796" s="30"/>
      <c r="L1796" s="30"/>
      <c r="M1796" s="30"/>
      <c r="N1796" s="30"/>
      <c r="O1796" s="28"/>
      <c r="P1796" s="30"/>
      <c r="Q1796" s="30"/>
      <c r="R1796" s="30"/>
      <c r="S1796" s="36"/>
      <c r="T1796" s="30"/>
      <c r="U1796" s="36"/>
      <c r="V1796" s="30"/>
      <c r="W1796" s="28"/>
      <c r="X1796" s="30"/>
      <c r="Y1796" s="30"/>
      <c r="Z1796" s="30"/>
      <c r="AA1796" s="30"/>
      <c r="AB1796" s="30"/>
      <c r="AC1796" s="28"/>
      <c r="AD1796" s="30"/>
      <c r="AE1796" s="30"/>
      <c r="AF1796" s="30"/>
      <c r="AG1796" s="29"/>
      <c r="AH1796" s="30"/>
      <c r="AI1796" s="36"/>
      <c r="AJ1796" s="30"/>
      <c r="AK1796" s="29"/>
      <c r="AL1796" s="30"/>
      <c r="AM1796" s="30"/>
      <c r="AN1796" s="30"/>
      <c r="AO1796" s="30"/>
      <c r="AP1796" s="30"/>
      <c r="AQ1796" s="38"/>
      <c r="AR1796" s="30"/>
      <c r="AS1796" s="30"/>
      <c r="AT1796" s="29"/>
      <c r="AU1796" s="30"/>
      <c r="AV1796" s="30"/>
      <c r="AW1796" s="30"/>
      <c r="AX1796" s="29"/>
      <c r="AY1796" s="39"/>
      <c r="AZ1796" s="30"/>
      <c r="BA1796" s="30"/>
      <c r="BB1796" s="29"/>
      <c r="BC1796" s="52"/>
      <c r="BD1796" s="30"/>
      <c r="BE1796" s="29"/>
      <c r="BF1796" s="30"/>
      <c r="BG1796" s="30"/>
      <c r="BH1796" s="30"/>
      <c r="BI1796" s="30"/>
      <c r="BJ1796" s="30"/>
      <c r="BK1796" s="30"/>
      <c r="BL1796" s="30"/>
      <c r="BM1796" s="30"/>
      <c r="BN1796" s="30"/>
      <c r="BO1796" s="30"/>
      <c r="BP1796" s="30"/>
      <c r="BQ1796" s="30"/>
      <c r="BR1796" s="30"/>
      <c r="BS1796" s="30"/>
      <c r="BT1796" s="30"/>
      <c r="BU1796" s="30"/>
      <c r="BV1796" s="30"/>
      <c r="BW1796" s="30"/>
      <c r="BX1796" s="30"/>
      <c r="BY1796" s="30"/>
      <c r="BZ1796" s="30"/>
      <c r="CA1796" s="30"/>
      <c r="CB1796" s="30"/>
      <c r="CC1796" s="30"/>
      <c r="CD1796" s="30"/>
      <c r="CE1796" s="30"/>
      <c r="CF1796" s="30"/>
      <c r="CG1796" s="30"/>
      <c r="CH1796" s="30"/>
      <c r="CI1796" s="30"/>
      <c r="CJ1796" s="30"/>
      <c r="CK1796" s="30"/>
      <c r="CL1796" s="30"/>
      <c r="CM1796" s="30"/>
      <c r="CN1796" s="30"/>
      <c r="CO1796" s="30"/>
      <c r="CP1796" s="30"/>
      <c r="CQ1796" s="30"/>
      <c r="CR1796" s="30"/>
      <c r="CS1796" s="30"/>
      <c r="CT1796" s="30"/>
      <c r="CU1796" s="30"/>
      <c r="CV1796" s="30"/>
      <c r="CW1796" s="30"/>
      <c r="CX1796" s="30"/>
      <c r="CY1796" s="30"/>
      <c r="CZ1796" s="30"/>
      <c r="DA1796" s="30"/>
      <c r="DB1796" s="30"/>
      <c r="DC1796" s="30"/>
      <c r="DD1796" s="30"/>
      <c r="DE1796" s="30"/>
      <c r="DF1796" s="30"/>
      <c r="DG1796" s="30"/>
      <c r="DH1796" s="30"/>
      <c r="DI1796" s="30"/>
      <c r="DJ1796" s="30"/>
      <c r="DK1796" s="30"/>
      <c r="DL1796" s="30"/>
      <c r="DM1796" s="30"/>
      <c r="DN1796" s="30"/>
      <c r="DO1796" s="30"/>
      <c r="DP1796" s="30"/>
      <c r="DQ1796" s="30"/>
      <c r="DR1796" s="30"/>
      <c r="DS1796" s="30"/>
      <c r="DT1796" s="30"/>
      <c r="DU1796" s="30"/>
      <c r="DV1796" s="30"/>
      <c r="DW1796" s="30"/>
      <c r="DX1796" s="30"/>
      <c r="DY1796" s="30"/>
      <c r="DZ1796" s="30"/>
    </row>
    <row r="1797">
      <c r="A1797" s="30"/>
      <c r="B1797" s="42"/>
      <c r="C1797" s="43"/>
      <c r="D1797" s="30"/>
      <c r="E1797" s="28"/>
      <c r="F1797" s="30"/>
      <c r="G1797" s="30"/>
      <c r="H1797" s="30"/>
      <c r="I1797" s="30"/>
      <c r="J1797" s="28"/>
      <c r="K1797" s="30"/>
      <c r="L1797" s="30"/>
      <c r="M1797" s="30"/>
      <c r="N1797" s="30"/>
      <c r="O1797" s="28"/>
      <c r="P1797" s="30"/>
      <c r="Q1797" s="30"/>
      <c r="R1797" s="30"/>
      <c r="S1797" s="36"/>
      <c r="T1797" s="30"/>
      <c r="U1797" s="36"/>
      <c r="V1797" s="30"/>
      <c r="W1797" s="28"/>
      <c r="X1797" s="30"/>
      <c r="Y1797" s="30"/>
      <c r="Z1797" s="30"/>
      <c r="AA1797" s="30"/>
      <c r="AB1797" s="30"/>
      <c r="AC1797" s="28"/>
      <c r="AD1797" s="30"/>
      <c r="AE1797" s="30"/>
      <c r="AF1797" s="30"/>
      <c r="AG1797" s="29"/>
      <c r="AH1797" s="30"/>
      <c r="AI1797" s="36"/>
      <c r="AJ1797" s="30"/>
      <c r="AK1797" s="29"/>
      <c r="AL1797" s="30"/>
      <c r="AM1797" s="30"/>
      <c r="AN1797" s="30"/>
      <c r="AO1797" s="30"/>
      <c r="AP1797" s="30"/>
      <c r="AQ1797" s="38"/>
      <c r="AR1797" s="30"/>
      <c r="AS1797" s="30"/>
      <c r="AT1797" s="29"/>
      <c r="AU1797" s="30"/>
      <c r="AV1797" s="30"/>
      <c r="AW1797" s="30"/>
      <c r="AX1797" s="29"/>
      <c r="AY1797" s="39"/>
      <c r="AZ1797" s="30"/>
      <c r="BA1797" s="30"/>
      <c r="BB1797" s="29"/>
      <c r="BC1797" s="52"/>
      <c r="BD1797" s="30"/>
      <c r="BE1797" s="29"/>
      <c r="BF1797" s="30"/>
      <c r="BG1797" s="30"/>
      <c r="BH1797" s="30"/>
      <c r="BI1797" s="30"/>
      <c r="BJ1797" s="30"/>
      <c r="BK1797" s="30"/>
      <c r="BL1797" s="30"/>
      <c r="BM1797" s="30"/>
      <c r="BN1797" s="30"/>
      <c r="BO1797" s="30"/>
      <c r="BP1797" s="30"/>
      <c r="BQ1797" s="30"/>
      <c r="BR1797" s="30"/>
      <c r="BS1797" s="30"/>
      <c r="BT1797" s="30"/>
      <c r="BU1797" s="30"/>
      <c r="BV1797" s="30"/>
      <c r="BW1797" s="30"/>
      <c r="BX1797" s="30"/>
      <c r="BY1797" s="30"/>
      <c r="BZ1797" s="30"/>
      <c r="CA1797" s="30"/>
      <c r="CB1797" s="30"/>
      <c r="CC1797" s="30"/>
      <c r="CD1797" s="30"/>
      <c r="CE1797" s="30"/>
      <c r="CF1797" s="30"/>
      <c r="CG1797" s="30"/>
      <c r="CH1797" s="30"/>
      <c r="CI1797" s="30"/>
      <c r="CJ1797" s="30"/>
      <c r="CK1797" s="30"/>
      <c r="CL1797" s="30"/>
      <c r="CM1797" s="30"/>
      <c r="CN1797" s="30"/>
      <c r="CO1797" s="30"/>
      <c r="CP1797" s="30"/>
      <c r="CQ1797" s="30"/>
      <c r="CR1797" s="30"/>
      <c r="CS1797" s="30"/>
      <c r="CT1797" s="30"/>
      <c r="CU1797" s="30"/>
      <c r="CV1797" s="30"/>
      <c r="CW1797" s="30"/>
      <c r="CX1797" s="30"/>
      <c r="CY1797" s="30"/>
      <c r="CZ1797" s="30"/>
      <c r="DA1797" s="30"/>
      <c r="DB1797" s="30"/>
      <c r="DC1797" s="30"/>
      <c r="DD1797" s="30"/>
      <c r="DE1797" s="30"/>
      <c r="DF1797" s="30"/>
      <c r="DG1797" s="30"/>
      <c r="DH1797" s="30"/>
      <c r="DI1797" s="30"/>
      <c r="DJ1797" s="30"/>
      <c r="DK1797" s="30"/>
      <c r="DL1797" s="30"/>
      <c r="DM1797" s="30"/>
      <c r="DN1797" s="30"/>
      <c r="DO1797" s="30"/>
      <c r="DP1797" s="30"/>
      <c r="DQ1797" s="30"/>
      <c r="DR1797" s="30"/>
      <c r="DS1797" s="30"/>
      <c r="DT1797" s="30"/>
      <c r="DU1797" s="30"/>
      <c r="DV1797" s="30"/>
      <c r="DW1797" s="30"/>
      <c r="DX1797" s="30"/>
      <c r="DY1797" s="30"/>
      <c r="DZ1797" s="30"/>
    </row>
    <row r="1798">
      <c r="A1798" s="30"/>
      <c r="B1798" s="42"/>
      <c r="C1798" s="43"/>
      <c r="D1798" s="30"/>
      <c r="E1798" s="28"/>
      <c r="F1798" s="30"/>
      <c r="G1798" s="30"/>
      <c r="H1798" s="30"/>
      <c r="I1798" s="30"/>
      <c r="J1798" s="28"/>
      <c r="K1798" s="30"/>
      <c r="L1798" s="30"/>
      <c r="M1798" s="30"/>
      <c r="N1798" s="30"/>
      <c r="O1798" s="28"/>
      <c r="P1798" s="30"/>
      <c r="Q1798" s="30"/>
      <c r="R1798" s="30"/>
      <c r="S1798" s="36"/>
      <c r="T1798" s="30"/>
      <c r="U1798" s="36"/>
      <c r="V1798" s="30"/>
      <c r="W1798" s="28"/>
      <c r="X1798" s="30"/>
      <c r="Y1798" s="30"/>
      <c r="Z1798" s="30"/>
      <c r="AA1798" s="30"/>
      <c r="AB1798" s="30"/>
      <c r="AC1798" s="28"/>
      <c r="AD1798" s="30"/>
      <c r="AE1798" s="30"/>
      <c r="AF1798" s="30"/>
      <c r="AG1798" s="29"/>
      <c r="AH1798" s="30"/>
      <c r="AI1798" s="36"/>
      <c r="AJ1798" s="30"/>
      <c r="AK1798" s="29"/>
      <c r="AL1798" s="30"/>
      <c r="AM1798" s="30"/>
      <c r="AN1798" s="30"/>
      <c r="AO1798" s="30"/>
      <c r="AP1798" s="30"/>
      <c r="AQ1798" s="38"/>
      <c r="AR1798" s="30"/>
      <c r="AS1798" s="30"/>
      <c r="AT1798" s="29"/>
      <c r="AU1798" s="30"/>
      <c r="AV1798" s="30"/>
      <c r="AW1798" s="30"/>
      <c r="AX1798" s="29"/>
      <c r="AY1798" s="39"/>
      <c r="AZ1798" s="30"/>
      <c r="BA1798" s="30"/>
      <c r="BB1798" s="29"/>
      <c r="BC1798" s="52"/>
      <c r="BD1798" s="30"/>
      <c r="BE1798" s="29"/>
      <c r="BF1798" s="30"/>
      <c r="BG1798" s="30"/>
      <c r="BH1798" s="30"/>
      <c r="BI1798" s="30"/>
      <c r="BJ1798" s="30"/>
      <c r="BK1798" s="30"/>
      <c r="BL1798" s="30"/>
      <c r="BM1798" s="30"/>
      <c r="BN1798" s="30"/>
      <c r="BO1798" s="30"/>
      <c r="BP1798" s="30"/>
      <c r="BQ1798" s="30"/>
      <c r="BR1798" s="30"/>
      <c r="BS1798" s="30"/>
      <c r="BT1798" s="30"/>
      <c r="BU1798" s="30"/>
      <c r="BV1798" s="30"/>
      <c r="BW1798" s="30"/>
      <c r="BX1798" s="30"/>
      <c r="BY1798" s="30"/>
      <c r="BZ1798" s="30"/>
      <c r="CA1798" s="30"/>
      <c r="CB1798" s="30"/>
      <c r="CC1798" s="30"/>
      <c r="CD1798" s="30"/>
      <c r="CE1798" s="30"/>
      <c r="CF1798" s="30"/>
      <c r="CG1798" s="30"/>
      <c r="CH1798" s="30"/>
      <c r="CI1798" s="30"/>
      <c r="CJ1798" s="30"/>
      <c r="CK1798" s="30"/>
      <c r="CL1798" s="30"/>
      <c r="CM1798" s="30"/>
      <c r="CN1798" s="30"/>
      <c r="CO1798" s="30"/>
      <c r="CP1798" s="30"/>
      <c r="CQ1798" s="30"/>
      <c r="CR1798" s="30"/>
      <c r="CS1798" s="30"/>
      <c r="CT1798" s="30"/>
      <c r="CU1798" s="30"/>
      <c r="CV1798" s="30"/>
      <c r="CW1798" s="30"/>
      <c r="CX1798" s="30"/>
      <c r="CY1798" s="30"/>
      <c r="CZ1798" s="30"/>
      <c r="DA1798" s="30"/>
      <c r="DB1798" s="30"/>
      <c r="DC1798" s="30"/>
      <c r="DD1798" s="30"/>
      <c r="DE1798" s="30"/>
      <c r="DF1798" s="30"/>
      <c r="DG1798" s="30"/>
      <c r="DH1798" s="30"/>
      <c r="DI1798" s="30"/>
      <c r="DJ1798" s="30"/>
      <c r="DK1798" s="30"/>
      <c r="DL1798" s="30"/>
      <c r="DM1798" s="30"/>
      <c r="DN1798" s="30"/>
      <c r="DO1798" s="30"/>
      <c r="DP1798" s="30"/>
      <c r="DQ1798" s="30"/>
      <c r="DR1798" s="30"/>
      <c r="DS1798" s="30"/>
      <c r="DT1798" s="30"/>
      <c r="DU1798" s="30"/>
      <c r="DV1798" s="30"/>
      <c r="DW1798" s="30"/>
      <c r="DX1798" s="30"/>
      <c r="DY1798" s="30"/>
      <c r="DZ1798" s="30"/>
    </row>
    <row r="1799">
      <c r="A1799" s="30"/>
      <c r="B1799" s="42"/>
      <c r="C1799" s="43"/>
      <c r="D1799" s="30"/>
      <c r="E1799" s="28"/>
      <c r="F1799" s="30"/>
      <c r="G1799" s="30"/>
      <c r="H1799" s="30"/>
      <c r="I1799" s="30"/>
      <c r="J1799" s="28"/>
      <c r="K1799" s="30"/>
      <c r="L1799" s="30"/>
      <c r="M1799" s="30"/>
      <c r="N1799" s="30"/>
      <c r="O1799" s="28"/>
      <c r="P1799" s="30"/>
      <c r="Q1799" s="30"/>
      <c r="R1799" s="30"/>
      <c r="S1799" s="36"/>
      <c r="T1799" s="30"/>
      <c r="U1799" s="36"/>
      <c r="V1799" s="30"/>
      <c r="W1799" s="28"/>
      <c r="X1799" s="30"/>
      <c r="Y1799" s="30"/>
      <c r="Z1799" s="30"/>
      <c r="AA1799" s="30"/>
      <c r="AB1799" s="30"/>
      <c r="AC1799" s="28"/>
      <c r="AD1799" s="30"/>
      <c r="AE1799" s="30"/>
      <c r="AF1799" s="30"/>
      <c r="AG1799" s="29"/>
      <c r="AH1799" s="30"/>
      <c r="AI1799" s="36"/>
      <c r="AJ1799" s="30"/>
      <c r="AK1799" s="29"/>
      <c r="AL1799" s="30"/>
      <c r="AM1799" s="30"/>
      <c r="AN1799" s="30"/>
      <c r="AO1799" s="30"/>
      <c r="AP1799" s="30"/>
      <c r="AQ1799" s="38"/>
      <c r="AR1799" s="30"/>
      <c r="AS1799" s="30"/>
      <c r="AT1799" s="29"/>
      <c r="AU1799" s="30"/>
      <c r="AV1799" s="30"/>
      <c r="AW1799" s="30"/>
      <c r="AX1799" s="29"/>
      <c r="AY1799" s="39"/>
      <c r="AZ1799" s="30"/>
      <c r="BA1799" s="30"/>
      <c r="BB1799" s="29"/>
      <c r="BC1799" s="52"/>
      <c r="BD1799" s="30"/>
      <c r="BE1799" s="29"/>
      <c r="BF1799" s="30"/>
      <c r="BG1799" s="30"/>
      <c r="BH1799" s="30"/>
      <c r="BI1799" s="30"/>
      <c r="BJ1799" s="30"/>
      <c r="BK1799" s="30"/>
      <c r="BL1799" s="30"/>
      <c r="BM1799" s="30"/>
      <c r="BN1799" s="30"/>
      <c r="BO1799" s="30"/>
      <c r="BP1799" s="30"/>
      <c r="BQ1799" s="30"/>
      <c r="BR1799" s="30"/>
      <c r="BS1799" s="30"/>
      <c r="BT1799" s="30"/>
      <c r="BU1799" s="30"/>
      <c r="BV1799" s="30"/>
      <c r="BW1799" s="30"/>
      <c r="BX1799" s="30"/>
      <c r="BY1799" s="30"/>
      <c r="BZ1799" s="30"/>
      <c r="CA1799" s="30"/>
      <c r="CB1799" s="30"/>
      <c r="CC1799" s="30"/>
      <c r="CD1799" s="30"/>
      <c r="CE1799" s="30"/>
      <c r="CF1799" s="30"/>
      <c r="CG1799" s="30"/>
      <c r="CH1799" s="30"/>
      <c r="CI1799" s="30"/>
      <c r="CJ1799" s="30"/>
      <c r="CK1799" s="30"/>
      <c r="CL1799" s="30"/>
      <c r="CM1799" s="30"/>
      <c r="CN1799" s="30"/>
      <c r="CO1799" s="30"/>
      <c r="CP1799" s="30"/>
      <c r="CQ1799" s="30"/>
      <c r="CR1799" s="30"/>
      <c r="CS1799" s="30"/>
      <c r="CT1799" s="30"/>
      <c r="CU1799" s="30"/>
      <c r="CV1799" s="30"/>
      <c r="CW1799" s="30"/>
      <c r="CX1799" s="30"/>
      <c r="CY1799" s="30"/>
      <c r="CZ1799" s="30"/>
      <c r="DA1799" s="30"/>
      <c r="DB1799" s="30"/>
      <c r="DC1799" s="30"/>
      <c r="DD1799" s="30"/>
      <c r="DE1799" s="30"/>
      <c r="DF1799" s="30"/>
      <c r="DG1799" s="30"/>
      <c r="DH1799" s="30"/>
      <c r="DI1799" s="30"/>
      <c r="DJ1799" s="30"/>
      <c r="DK1799" s="30"/>
      <c r="DL1799" s="30"/>
      <c r="DM1799" s="30"/>
      <c r="DN1799" s="30"/>
      <c r="DO1799" s="30"/>
      <c r="DP1799" s="30"/>
      <c r="DQ1799" s="30"/>
      <c r="DR1799" s="30"/>
      <c r="DS1799" s="30"/>
      <c r="DT1799" s="30"/>
      <c r="DU1799" s="30"/>
      <c r="DV1799" s="30"/>
      <c r="DW1799" s="30"/>
      <c r="DX1799" s="30"/>
      <c r="DY1799" s="30"/>
      <c r="DZ1799" s="30"/>
    </row>
    <row r="1800">
      <c r="A1800" s="30"/>
      <c r="B1800" s="42"/>
      <c r="C1800" s="43"/>
      <c r="D1800" s="30"/>
      <c r="E1800" s="28"/>
      <c r="F1800" s="30"/>
      <c r="G1800" s="30"/>
      <c r="H1800" s="30"/>
      <c r="I1800" s="30"/>
      <c r="J1800" s="28"/>
      <c r="K1800" s="30"/>
      <c r="L1800" s="30"/>
      <c r="M1800" s="30"/>
      <c r="N1800" s="30"/>
      <c r="O1800" s="28"/>
      <c r="P1800" s="30"/>
      <c r="Q1800" s="30"/>
      <c r="R1800" s="30"/>
      <c r="S1800" s="36"/>
      <c r="T1800" s="30"/>
      <c r="U1800" s="36"/>
      <c r="V1800" s="30"/>
      <c r="W1800" s="28"/>
      <c r="X1800" s="30"/>
      <c r="Y1800" s="30"/>
      <c r="Z1800" s="30"/>
      <c r="AA1800" s="30"/>
      <c r="AB1800" s="30"/>
      <c r="AC1800" s="28"/>
      <c r="AD1800" s="30"/>
      <c r="AE1800" s="30"/>
      <c r="AF1800" s="30"/>
      <c r="AG1800" s="29"/>
      <c r="AH1800" s="30"/>
      <c r="AI1800" s="36"/>
      <c r="AJ1800" s="30"/>
      <c r="AK1800" s="29"/>
      <c r="AL1800" s="30"/>
      <c r="AM1800" s="30"/>
      <c r="AN1800" s="30"/>
      <c r="AO1800" s="30"/>
      <c r="AP1800" s="30"/>
      <c r="AQ1800" s="38"/>
      <c r="AR1800" s="30"/>
      <c r="AS1800" s="30"/>
      <c r="AT1800" s="29"/>
      <c r="AU1800" s="30"/>
      <c r="AV1800" s="30"/>
      <c r="AW1800" s="30"/>
      <c r="AX1800" s="29"/>
      <c r="AY1800" s="39"/>
      <c r="AZ1800" s="30"/>
      <c r="BA1800" s="30"/>
      <c r="BB1800" s="29"/>
      <c r="BC1800" s="52"/>
      <c r="BD1800" s="30"/>
      <c r="BE1800" s="29"/>
      <c r="BF1800" s="30"/>
      <c r="BG1800" s="30"/>
      <c r="BH1800" s="30"/>
      <c r="BI1800" s="30"/>
      <c r="BJ1800" s="30"/>
      <c r="BK1800" s="30"/>
      <c r="BL1800" s="30"/>
      <c r="BM1800" s="30"/>
      <c r="BN1800" s="30"/>
      <c r="BO1800" s="30"/>
      <c r="BP1800" s="30"/>
      <c r="BQ1800" s="30"/>
      <c r="BR1800" s="30"/>
      <c r="BS1800" s="30"/>
      <c r="BT1800" s="30"/>
      <c r="BU1800" s="30"/>
      <c r="BV1800" s="30"/>
      <c r="BW1800" s="30"/>
      <c r="BX1800" s="30"/>
      <c r="BY1800" s="30"/>
      <c r="BZ1800" s="30"/>
      <c r="CA1800" s="30"/>
      <c r="CB1800" s="30"/>
      <c r="CC1800" s="30"/>
      <c r="CD1800" s="30"/>
      <c r="CE1800" s="30"/>
      <c r="CF1800" s="30"/>
      <c r="CG1800" s="30"/>
      <c r="CH1800" s="30"/>
      <c r="CI1800" s="30"/>
      <c r="CJ1800" s="30"/>
      <c r="CK1800" s="30"/>
      <c r="CL1800" s="30"/>
      <c r="CM1800" s="30"/>
      <c r="CN1800" s="30"/>
      <c r="CO1800" s="30"/>
      <c r="CP1800" s="30"/>
      <c r="CQ1800" s="30"/>
      <c r="CR1800" s="30"/>
      <c r="CS1800" s="30"/>
      <c r="CT1800" s="30"/>
      <c r="CU1800" s="30"/>
      <c r="CV1800" s="30"/>
      <c r="CW1800" s="30"/>
      <c r="CX1800" s="30"/>
      <c r="CY1800" s="30"/>
      <c r="CZ1800" s="30"/>
      <c r="DA1800" s="30"/>
      <c r="DB1800" s="30"/>
      <c r="DC1800" s="30"/>
      <c r="DD1800" s="30"/>
      <c r="DE1800" s="30"/>
      <c r="DF1800" s="30"/>
      <c r="DG1800" s="30"/>
      <c r="DH1800" s="30"/>
      <c r="DI1800" s="30"/>
      <c r="DJ1800" s="30"/>
      <c r="DK1800" s="30"/>
      <c r="DL1800" s="30"/>
      <c r="DM1800" s="30"/>
      <c r="DN1800" s="30"/>
      <c r="DO1800" s="30"/>
      <c r="DP1800" s="30"/>
      <c r="DQ1800" s="30"/>
      <c r="DR1800" s="30"/>
      <c r="DS1800" s="30"/>
      <c r="DT1800" s="30"/>
      <c r="DU1800" s="30"/>
      <c r="DV1800" s="30"/>
      <c r="DW1800" s="30"/>
      <c r="DX1800" s="30"/>
      <c r="DY1800" s="30"/>
      <c r="DZ1800" s="30"/>
    </row>
    <row r="1801">
      <c r="A1801" s="30"/>
      <c r="B1801" s="42"/>
      <c r="C1801" s="43"/>
      <c r="D1801" s="30"/>
      <c r="E1801" s="28"/>
      <c r="F1801" s="30"/>
      <c r="G1801" s="30"/>
      <c r="H1801" s="30"/>
      <c r="I1801" s="30"/>
      <c r="J1801" s="28"/>
      <c r="K1801" s="30"/>
      <c r="L1801" s="30"/>
      <c r="M1801" s="30"/>
      <c r="N1801" s="30"/>
      <c r="O1801" s="28"/>
      <c r="P1801" s="30"/>
      <c r="Q1801" s="30"/>
      <c r="R1801" s="30"/>
      <c r="S1801" s="36"/>
      <c r="T1801" s="30"/>
      <c r="U1801" s="36"/>
      <c r="V1801" s="30"/>
      <c r="W1801" s="28"/>
      <c r="X1801" s="30"/>
      <c r="Y1801" s="30"/>
      <c r="Z1801" s="30"/>
      <c r="AA1801" s="30"/>
      <c r="AB1801" s="30"/>
      <c r="AC1801" s="28"/>
      <c r="AD1801" s="30"/>
      <c r="AE1801" s="30"/>
      <c r="AF1801" s="30"/>
      <c r="AG1801" s="29"/>
      <c r="AH1801" s="30"/>
      <c r="AI1801" s="36"/>
      <c r="AJ1801" s="30"/>
      <c r="AK1801" s="29"/>
      <c r="AL1801" s="30"/>
      <c r="AM1801" s="30"/>
      <c r="AN1801" s="30"/>
      <c r="AO1801" s="30"/>
      <c r="AP1801" s="30"/>
      <c r="AQ1801" s="38"/>
      <c r="AR1801" s="30"/>
      <c r="AS1801" s="30"/>
      <c r="AT1801" s="29"/>
      <c r="AU1801" s="30"/>
      <c r="AV1801" s="30"/>
      <c r="AW1801" s="30"/>
      <c r="AX1801" s="29"/>
      <c r="AY1801" s="39"/>
      <c r="AZ1801" s="30"/>
      <c r="BA1801" s="30"/>
      <c r="BB1801" s="29"/>
      <c r="BC1801" s="52"/>
      <c r="BD1801" s="30"/>
      <c r="BE1801" s="29"/>
      <c r="BF1801" s="30"/>
      <c r="BG1801" s="30"/>
      <c r="BH1801" s="30"/>
      <c r="BI1801" s="30"/>
      <c r="BJ1801" s="30"/>
      <c r="BK1801" s="30"/>
      <c r="BL1801" s="30"/>
      <c r="BM1801" s="30"/>
      <c r="BN1801" s="30"/>
      <c r="BO1801" s="30"/>
      <c r="BP1801" s="30"/>
      <c r="BQ1801" s="30"/>
      <c r="BR1801" s="30"/>
      <c r="BS1801" s="30"/>
      <c r="BT1801" s="30"/>
      <c r="BU1801" s="30"/>
      <c r="BV1801" s="30"/>
      <c r="BW1801" s="30"/>
      <c r="BX1801" s="30"/>
      <c r="BY1801" s="30"/>
      <c r="BZ1801" s="30"/>
      <c r="CA1801" s="30"/>
      <c r="CB1801" s="30"/>
      <c r="CC1801" s="30"/>
      <c r="CD1801" s="30"/>
      <c r="CE1801" s="30"/>
      <c r="CF1801" s="30"/>
      <c r="CG1801" s="30"/>
      <c r="CH1801" s="30"/>
      <c r="CI1801" s="30"/>
      <c r="CJ1801" s="30"/>
      <c r="CK1801" s="30"/>
      <c r="CL1801" s="30"/>
      <c r="CM1801" s="30"/>
      <c r="CN1801" s="30"/>
      <c r="CO1801" s="30"/>
      <c r="CP1801" s="30"/>
      <c r="CQ1801" s="30"/>
      <c r="CR1801" s="30"/>
      <c r="CS1801" s="30"/>
      <c r="CT1801" s="30"/>
      <c r="CU1801" s="30"/>
      <c r="CV1801" s="30"/>
      <c r="CW1801" s="30"/>
      <c r="CX1801" s="30"/>
      <c r="CY1801" s="30"/>
      <c r="CZ1801" s="30"/>
      <c r="DA1801" s="30"/>
      <c r="DB1801" s="30"/>
      <c r="DC1801" s="30"/>
      <c r="DD1801" s="30"/>
      <c r="DE1801" s="30"/>
      <c r="DF1801" s="30"/>
      <c r="DG1801" s="30"/>
      <c r="DH1801" s="30"/>
      <c r="DI1801" s="30"/>
      <c r="DJ1801" s="30"/>
      <c r="DK1801" s="30"/>
      <c r="DL1801" s="30"/>
      <c r="DM1801" s="30"/>
      <c r="DN1801" s="30"/>
      <c r="DO1801" s="30"/>
      <c r="DP1801" s="30"/>
      <c r="DQ1801" s="30"/>
      <c r="DR1801" s="30"/>
      <c r="DS1801" s="30"/>
      <c r="DT1801" s="30"/>
      <c r="DU1801" s="30"/>
      <c r="DV1801" s="30"/>
      <c r="DW1801" s="30"/>
      <c r="DX1801" s="30"/>
      <c r="DY1801" s="30"/>
      <c r="DZ1801" s="30"/>
    </row>
    <row r="1802">
      <c r="A1802" s="30"/>
      <c r="B1802" s="42"/>
      <c r="C1802" s="43"/>
      <c r="D1802" s="30"/>
      <c r="E1802" s="28"/>
      <c r="F1802" s="30"/>
      <c r="G1802" s="30"/>
      <c r="H1802" s="30"/>
      <c r="I1802" s="30"/>
      <c r="J1802" s="28"/>
      <c r="K1802" s="30"/>
      <c r="L1802" s="30"/>
      <c r="M1802" s="30"/>
      <c r="N1802" s="30"/>
      <c r="O1802" s="28"/>
      <c r="P1802" s="30"/>
      <c r="Q1802" s="30"/>
      <c r="R1802" s="30"/>
      <c r="S1802" s="36"/>
      <c r="T1802" s="30"/>
      <c r="U1802" s="36"/>
      <c r="V1802" s="30"/>
      <c r="W1802" s="28"/>
      <c r="X1802" s="30"/>
      <c r="Y1802" s="30"/>
      <c r="Z1802" s="30"/>
      <c r="AA1802" s="30"/>
      <c r="AB1802" s="30"/>
      <c r="AC1802" s="28"/>
      <c r="AD1802" s="30"/>
      <c r="AE1802" s="30"/>
      <c r="AF1802" s="30"/>
      <c r="AG1802" s="29"/>
      <c r="AH1802" s="30"/>
      <c r="AI1802" s="36"/>
      <c r="AJ1802" s="30"/>
      <c r="AK1802" s="29"/>
      <c r="AL1802" s="30"/>
      <c r="AM1802" s="30"/>
      <c r="AN1802" s="30"/>
      <c r="AO1802" s="30"/>
      <c r="AP1802" s="30"/>
      <c r="AQ1802" s="38"/>
      <c r="AR1802" s="30"/>
      <c r="AS1802" s="30"/>
      <c r="AT1802" s="29"/>
      <c r="AU1802" s="30"/>
      <c r="AV1802" s="30"/>
      <c r="AW1802" s="30"/>
      <c r="AX1802" s="29"/>
      <c r="AY1802" s="39"/>
      <c r="AZ1802" s="30"/>
      <c r="BA1802" s="30"/>
      <c r="BB1802" s="29"/>
      <c r="BC1802" s="52"/>
      <c r="BD1802" s="30"/>
      <c r="BE1802" s="29"/>
      <c r="BF1802" s="30"/>
      <c r="BG1802" s="30"/>
      <c r="BH1802" s="30"/>
      <c r="BI1802" s="30"/>
      <c r="BJ1802" s="30"/>
      <c r="BK1802" s="30"/>
      <c r="BL1802" s="30"/>
      <c r="BM1802" s="30"/>
      <c r="BN1802" s="30"/>
      <c r="BO1802" s="30"/>
      <c r="BP1802" s="30"/>
      <c r="BQ1802" s="30"/>
      <c r="BR1802" s="30"/>
      <c r="BS1802" s="30"/>
      <c r="BT1802" s="30"/>
      <c r="BU1802" s="30"/>
      <c r="BV1802" s="30"/>
      <c r="BW1802" s="30"/>
      <c r="BX1802" s="30"/>
      <c r="BY1802" s="30"/>
      <c r="BZ1802" s="30"/>
      <c r="CA1802" s="30"/>
      <c r="CB1802" s="30"/>
      <c r="CC1802" s="30"/>
      <c r="CD1802" s="30"/>
      <c r="CE1802" s="30"/>
      <c r="CF1802" s="30"/>
      <c r="CG1802" s="30"/>
      <c r="CH1802" s="30"/>
      <c r="CI1802" s="30"/>
      <c r="CJ1802" s="30"/>
      <c r="CK1802" s="30"/>
      <c r="CL1802" s="30"/>
      <c r="CM1802" s="30"/>
      <c r="CN1802" s="30"/>
      <c r="CO1802" s="30"/>
      <c r="CP1802" s="30"/>
      <c r="CQ1802" s="30"/>
      <c r="CR1802" s="30"/>
      <c r="CS1802" s="30"/>
      <c r="CT1802" s="30"/>
      <c r="CU1802" s="30"/>
      <c r="CV1802" s="30"/>
      <c r="CW1802" s="30"/>
      <c r="CX1802" s="30"/>
      <c r="CY1802" s="30"/>
      <c r="CZ1802" s="30"/>
      <c r="DA1802" s="30"/>
      <c r="DB1802" s="30"/>
      <c r="DC1802" s="30"/>
      <c r="DD1802" s="30"/>
      <c r="DE1802" s="30"/>
      <c r="DF1802" s="30"/>
      <c r="DG1802" s="30"/>
      <c r="DH1802" s="30"/>
      <c r="DI1802" s="30"/>
      <c r="DJ1802" s="30"/>
      <c r="DK1802" s="30"/>
      <c r="DL1802" s="30"/>
      <c r="DM1802" s="30"/>
      <c r="DN1802" s="30"/>
      <c r="DO1802" s="30"/>
      <c r="DP1802" s="30"/>
      <c r="DQ1802" s="30"/>
      <c r="DR1802" s="30"/>
      <c r="DS1802" s="30"/>
      <c r="DT1802" s="30"/>
      <c r="DU1802" s="30"/>
      <c r="DV1802" s="30"/>
      <c r="DW1802" s="30"/>
      <c r="DX1802" s="30"/>
      <c r="DY1802" s="30"/>
      <c r="DZ1802" s="30"/>
    </row>
    <row r="1803">
      <c r="A1803" s="30"/>
      <c r="B1803" s="42"/>
      <c r="C1803" s="43"/>
      <c r="D1803" s="30"/>
      <c r="E1803" s="28"/>
      <c r="F1803" s="30"/>
      <c r="G1803" s="30"/>
      <c r="H1803" s="30"/>
      <c r="I1803" s="30"/>
      <c r="J1803" s="28"/>
      <c r="K1803" s="30"/>
      <c r="L1803" s="30"/>
      <c r="M1803" s="30"/>
      <c r="N1803" s="30"/>
      <c r="O1803" s="28"/>
      <c r="P1803" s="30"/>
      <c r="Q1803" s="30"/>
      <c r="R1803" s="30"/>
      <c r="S1803" s="36"/>
      <c r="T1803" s="30"/>
      <c r="U1803" s="36"/>
      <c r="V1803" s="30"/>
      <c r="W1803" s="28"/>
      <c r="X1803" s="30"/>
      <c r="Y1803" s="30"/>
      <c r="Z1803" s="30"/>
      <c r="AA1803" s="30"/>
      <c r="AB1803" s="30"/>
      <c r="AC1803" s="28"/>
      <c r="AD1803" s="30"/>
      <c r="AE1803" s="30"/>
      <c r="AF1803" s="30"/>
      <c r="AG1803" s="29"/>
      <c r="AH1803" s="30"/>
      <c r="AI1803" s="36"/>
      <c r="AJ1803" s="30"/>
      <c r="AK1803" s="29"/>
      <c r="AL1803" s="30"/>
      <c r="AM1803" s="30"/>
      <c r="AN1803" s="30"/>
      <c r="AO1803" s="30"/>
      <c r="AP1803" s="30"/>
      <c r="AQ1803" s="38"/>
      <c r="AR1803" s="30"/>
      <c r="AS1803" s="30"/>
      <c r="AT1803" s="29"/>
      <c r="AU1803" s="30"/>
      <c r="AV1803" s="30"/>
      <c r="AW1803" s="30"/>
      <c r="AX1803" s="29"/>
      <c r="AY1803" s="39"/>
      <c r="AZ1803" s="30"/>
      <c r="BA1803" s="30"/>
      <c r="BB1803" s="29"/>
      <c r="BC1803" s="52"/>
      <c r="BD1803" s="30"/>
      <c r="BE1803" s="29"/>
      <c r="BF1803" s="30"/>
      <c r="BG1803" s="30"/>
      <c r="BH1803" s="30"/>
      <c r="BI1803" s="30"/>
      <c r="BJ1803" s="30"/>
      <c r="BK1803" s="30"/>
      <c r="BL1803" s="30"/>
      <c r="BM1803" s="30"/>
      <c r="BN1803" s="30"/>
      <c r="BO1803" s="30"/>
      <c r="BP1803" s="30"/>
      <c r="BQ1803" s="30"/>
      <c r="BR1803" s="30"/>
      <c r="BS1803" s="30"/>
      <c r="BT1803" s="30"/>
      <c r="BU1803" s="30"/>
      <c r="BV1803" s="30"/>
      <c r="BW1803" s="30"/>
      <c r="BX1803" s="30"/>
      <c r="BY1803" s="30"/>
      <c r="BZ1803" s="30"/>
      <c r="CA1803" s="30"/>
      <c r="CB1803" s="30"/>
      <c r="CC1803" s="30"/>
      <c r="CD1803" s="30"/>
      <c r="CE1803" s="30"/>
      <c r="CF1803" s="30"/>
      <c r="CG1803" s="30"/>
      <c r="CH1803" s="30"/>
      <c r="CI1803" s="30"/>
      <c r="CJ1803" s="30"/>
      <c r="CK1803" s="30"/>
      <c r="CL1803" s="30"/>
      <c r="CM1803" s="30"/>
      <c r="CN1803" s="30"/>
      <c r="CO1803" s="30"/>
      <c r="CP1803" s="30"/>
      <c r="CQ1803" s="30"/>
      <c r="CR1803" s="30"/>
      <c r="CS1803" s="30"/>
      <c r="CT1803" s="30"/>
      <c r="CU1803" s="30"/>
      <c r="CV1803" s="30"/>
      <c r="CW1803" s="30"/>
      <c r="CX1803" s="30"/>
      <c r="CY1803" s="30"/>
      <c r="CZ1803" s="30"/>
      <c r="DA1803" s="30"/>
      <c r="DB1803" s="30"/>
      <c r="DC1803" s="30"/>
      <c r="DD1803" s="30"/>
      <c r="DE1803" s="30"/>
      <c r="DF1803" s="30"/>
      <c r="DG1803" s="30"/>
      <c r="DH1803" s="30"/>
      <c r="DI1803" s="30"/>
      <c r="DJ1803" s="30"/>
      <c r="DK1803" s="30"/>
      <c r="DL1803" s="30"/>
      <c r="DM1803" s="30"/>
      <c r="DN1803" s="30"/>
      <c r="DO1803" s="30"/>
      <c r="DP1803" s="30"/>
      <c r="DQ1803" s="30"/>
      <c r="DR1803" s="30"/>
      <c r="DS1803" s="30"/>
      <c r="DT1803" s="30"/>
      <c r="DU1803" s="30"/>
      <c r="DV1803" s="30"/>
      <c r="DW1803" s="30"/>
      <c r="DX1803" s="30"/>
      <c r="DY1803" s="30"/>
      <c r="DZ1803" s="30"/>
    </row>
    <row r="1804">
      <c r="A1804" s="30"/>
      <c r="B1804" s="42"/>
      <c r="C1804" s="43"/>
      <c r="D1804" s="30"/>
      <c r="E1804" s="28"/>
      <c r="F1804" s="30"/>
      <c r="G1804" s="30"/>
      <c r="H1804" s="30"/>
      <c r="I1804" s="30"/>
      <c r="J1804" s="28"/>
      <c r="K1804" s="30"/>
      <c r="L1804" s="30"/>
      <c r="M1804" s="30"/>
      <c r="N1804" s="30"/>
      <c r="O1804" s="28"/>
      <c r="P1804" s="30"/>
      <c r="Q1804" s="30"/>
      <c r="R1804" s="30"/>
      <c r="S1804" s="36"/>
      <c r="T1804" s="30"/>
      <c r="U1804" s="36"/>
      <c r="V1804" s="30"/>
      <c r="W1804" s="28"/>
      <c r="X1804" s="30"/>
      <c r="Y1804" s="30"/>
      <c r="Z1804" s="30"/>
      <c r="AA1804" s="30"/>
      <c r="AB1804" s="30"/>
      <c r="AC1804" s="28"/>
      <c r="AD1804" s="30"/>
      <c r="AE1804" s="30"/>
      <c r="AF1804" s="30"/>
      <c r="AG1804" s="29"/>
      <c r="AH1804" s="30"/>
      <c r="AI1804" s="36"/>
      <c r="AJ1804" s="30"/>
      <c r="AK1804" s="29"/>
      <c r="AL1804" s="30"/>
      <c r="AM1804" s="30"/>
      <c r="AN1804" s="30"/>
      <c r="AO1804" s="30"/>
      <c r="AP1804" s="30"/>
      <c r="AQ1804" s="38"/>
      <c r="AR1804" s="30"/>
      <c r="AS1804" s="30"/>
      <c r="AT1804" s="29"/>
      <c r="AU1804" s="30"/>
      <c r="AV1804" s="30"/>
      <c r="AW1804" s="30"/>
      <c r="AX1804" s="29"/>
      <c r="AY1804" s="39"/>
      <c r="AZ1804" s="30"/>
      <c r="BA1804" s="30"/>
      <c r="BB1804" s="29"/>
      <c r="BC1804" s="52"/>
      <c r="BD1804" s="30"/>
      <c r="BE1804" s="29"/>
      <c r="BF1804" s="30"/>
      <c r="BG1804" s="30"/>
      <c r="BH1804" s="30"/>
      <c r="BI1804" s="30"/>
      <c r="BJ1804" s="30"/>
      <c r="BK1804" s="30"/>
      <c r="BL1804" s="30"/>
      <c r="BM1804" s="30"/>
      <c r="BN1804" s="30"/>
      <c r="BO1804" s="30"/>
      <c r="BP1804" s="30"/>
      <c r="BQ1804" s="30"/>
      <c r="BR1804" s="30"/>
      <c r="BS1804" s="30"/>
      <c r="BT1804" s="30"/>
      <c r="BU1804" s="30"/>
      <c r="BV1804" s="30"/>
      <c r="BW1804" s="30"/>
      <c r="BX1804" s="30"/>
      <c r="BY1804" s="30"/>
      <c r="BZ1804" s="30"/>
      <c r="CA1804" s="30"/>
      <c r="CB1804" s="30"/>
      <c r="CC1804" s="30"/>
      <c r="CD1804" s="30"/>
      <c r="CE1804" s="30"/>
      <c r="CF1804" s="30"/>
      <c r="CG1804" s="30"/>
      <c r="CH1804" s="30"/>
      <c r="CI1804" s="30"/>
      <c r="CJ1804" s="30"/>
      <c r="CK1804" s="30"/>
      <c r="CL1804" s="30"/>
      <c r="CM1804" s="30"/>
      <c r="CN1804" s="30"/>
      <c r="CO1804" s="30"/>
      <c r="CP1804" s="30"/>
      <c r="CQ1804" s="30"/>
      <c r="CR1804" s="30"/>
      <c r="CS1804" s="30"/>
      <c r="CT1804" s="30"/>
      <c r="CU1804" s="30"/>
      <c r="CV1804" s="30"/>
      <c r="CW1804" s="30"/>
      <c r="CX1804" s="30"/>
      <c r="CY1804" s="30"/>
      <c r="CZ1804" s="30"/>
      <c r="DA1804" s="30"/>
      <c r="DB1804" s="30"/>
      <c r="DC1804" s="30"/>
      <c r="DD1804" s="30"/>
      <c r="DE1804" s="30"/>
      <c r="DF1804" s="30"/>
      <c r="DG1804" s="30"/>
      <c r="DH1804" s="30"/>
      <c r="DI1804" s="30"/>
      <c r="DJ1804" s="30"/>
      <c r="DK1804" s="30"/>
      <c r="DL1804" s="30"/>
      <c r="DM1804" s="30"/>
      <c r="DN1804" s="30"/>
      <c r="DO1804" s="30"/>
      <c r="DP1804" s="30"/>
      <c r="DQ1804" s="30"/>
      <c r="DR1804" s="30"/>
      <c r="DS1804" s="30"/>
      <c r="DT1804" s="30"/>
      <c r="DU1804" s="30"/>
      <c r="DV1804" s="30"/>
      <c r="DW1804" s="30"/>
      <c r="DX1804" s="30"/>
      <c r="DY1804" s="30"/>
      <c r="DZ1804" s="30"/>
    </row>
    <row r="1805">
      <c r="A1805" s="30"/>
      <c r="B1805" s="42"/>
      <c r="C1805" s="43"/>
      <c r="D1805" s="30"/>
      <c r="E1805" s="28"/>
      <c r="F1805" s="30"/>
      <c r="G1805" s="30"/>
      <c r="H1805" s="30"/>
      <c r="I1805" s="30"/>
      <c r="J1805" s="28"/>
      <c r="K1805" s="30"/>
      <c r="L1805" s="30"/>
      <c r="M1805" s="30"/>
      <c r="N1805" s="30"/>
      <c r="O1805" s="28"/>
      <c r="P1805" s="30"/>
      <c r="Q1805" s="30"/>
      <c r="R1805" s="30"/>
      <c r="S1805" s="36"/>
      <c r="T1805" s="30"/>
      <c r="U1805" s="36"/>
      <c r="V1805" s="30"/>
      <c r="W1805" s="28"/>
      <c r="X1805" s="30"/>
      <c r="Y1805" s="30"/>
      <c r="Z1805" s="30"/>
      <c r="AA1805" s="30"/>
      <c r="AB1805" s="30"/>
      <c r="AC1805" s="28"/>
      <c r="AD1805" s="30"/>
      <c r="AE1805" s="30"/>
      <c r="AF1805" s="30"/>
      <c r="AG1805" s="29"/>
      <c r="AH1805" s="30"/>
      <c r="AI1805" s="36"/>
      <c r="AJ1805" s="30"/>
      <c r="AK1805" s="29"/>
      <c r="AL1805" s="30"/>
      <c r="AM1805" s="30"/>
      <c r="AN1805" s="30"/>
      <c r="AO1805" s="30"/>
      <c r="AP1805" s="30"/>
      <c r="AQ1805" s="38"/>
      <c r="AR1805" s="30"/>
      <c r="AS1805" s="30"/>
      <c r="AT1805" s="29"/>
      <c r="AU1805" s="30"/>
      <c r="AV1805" s="30"/>
      <c r="AW1805" s="30"/>
      <c r="AX1805" s="29"/>
      <c r="AY1805" s="39"/>
      <c r="AZ1805" s="30"/>
      <c r="BA1805" s="30"/>
      <c r="BB1805" s="29"/>
      <c r="BC1805" s="52"/>
      <c r="BD1805" s="30"/>
      <c r="BE1805" s="29"/>
      <c r="BF1805" s="30"/>
      <c r="BG1805" s="30"/>
      <c r="BH1805" s="30"/>
      <c r="BI1805" s="30"/>
      <c r="BJ1805" s="30"/>
      <c r="BK1805" s="30"/>
      <c r="BL1805" s="30"/>
      <c r="BM1805" s="30"/>
      <c r="BN1805" s="30"/>
      <c r="BO1805" s="30"/>
      <c r="BP1805" s="30"/>
      <c r="BQ1805" s="30"/>
      <c r="BR1805" s="30"/>
      <c r="BS1805" s="30"/>
      <c r="BT1805" s="30"/>
      <c r="BU1805" s="30"/>
      <c r="BV1805" s="30"/>
      <c r="BW1805" s="30"/>
      <c r="BX1805" s="30"/>
      <c r="BY1805" s="30"/>
      <c r="BZ1805" s="30"/>
      <c r="CA1805" s="30"/>
      <c r="CB1805" s="30"/>
      <c r="CC1805" s="30"/>
      <c r="CD1805" s="30"/>
      <c r="CE1805" s="30"/>
      <c r="CF1805" s="30"/>
      <c r="CG1805" s="30"/>
      <c r="CH1805" s="30"/>
      <c r="CI1805" s="30"/>
      <c r="CJ1805" s="30"/>
      <c r="CK1805" s="30"/>
      <c r="CL1805" s="30"/>
      <c r="CM1805" s="30"/>
      <c r="CN1805" s="30"/>
      <c r="CO1805" s="30"/>
      <c r="CP1805" s="30"/>
      <c r="CQ1805" s="30"/>
      <c r="CR1805" s="30"/>
      <c r="CS1805" s="30"/>
      <c r="CT1805" s="30"/>
      <c r="CU1805" s="30"/>
      <c r="CV1805" s="30"/>
      <c r="CW1805" s="30"/>
      <c r="CX1805" s="30"/>
      <c r="CY1805" s="30"/>
      <c r="CZ1805" s="30"/>
      <c r="DA1805" s="30"/>
      <c r="DB1805" s="30"/>
      <c r="DC1805" s="30"/>
      <c r="DD1805" s="30"/>
      <c r="DE1805" s="30"/>
      <c r="DF1805" s="30"/>
      <c r="DG1805" s="30"/>
      <c r="DH1805" s="30"/>
      <c r="DI1805" s="30"/>
      <c r="DJ1805" s="30"/>
      <c r="DK1805" s="30"/>
      <c r="DL1805" s="30"/>
      <c r="DM1805" s="30"/>
      <c r="DN1805" s="30"/>
      <c r="DO1805" s="30"/>
      <c r="DP1805" s="30"/>
      <c r="DQ1805" s="30"/>
      <c r="DR1805" s="30"/>
      <c r="DS1805" s="30"/>
      <c r="DT1805" s="30"/>
      <c r="DU1805" s="30"/>
      <c r="DV1805" s="30"/>
      <c r="DW1805" s="30"/>
      <c r="DX1805" s="30"/>
      <c r="DY1805" s="30"/>
      <c r="DZ1805" s="30"/>
    </row>
    <row r="1806">
      <c r="A1806" s="30"/>
      <c r="B1806" s="42"/>
      <c r="C1806" s="43"/>
      <c r="D1806" s="30"/>
      <c r="E1806" s="28"/>
      <c r="F1806" s="30"/>
      <c r="G1806" s="30"/>
      <c r="H1806" s="30"/>
      <c r="I1806" s="30"/>
      <c r="J1806" s="28"/>
      <c r="K1806" s="30"/>
      <c r="L1806" s="30"/>
      <c r="M1806" s="30"/>
      <c r="N1806" s="30"/>
      <c r="O1806" s="28"/>
      <c r="P1806" s="30"/>
      <c r="Q1806" s="30"/>
      <c r="R1806" s="30"/>
      <c r="S1806" s="36"/>
      <c r="T1806" s="30"/>
      <c r="U1806" s="36"/>
      <c r="V1806" s="30"/>
      <c r="W1806" s="28"/>
      <c r="X1806" s="30"/>
      <c r="Y1806" s="30"/>
      <c r="Z1806" s="30"/>
      <c r="AA1806" s="30"/>
      <c r="AB1806" s="30"/>
      <c r="AC1806" s="28"/>
      <c r="AD1806" s="30"/>
      <c r="AE1806" s="30"/>
      <c r="AF1806" s="30"/>
      <c r="AG1806" s="29"/>
      <c r="AH1806" s="30"/>
      <c r="AI1806" s="36"/>
      <c r="AJ1806" s="30"/>
      <c r="AK1806" s="29"/>
      <c r="AL1806" s="30"/>
      <c r="AM1806" s="30"/>
      <c r="AN1806" s="30"/>
      <c r="AO1806" s="30"/>
      <c r="AP1806" s="30"/>
      <c r="AQ1806" s="38"/>
      <c r="AR1806" s="30"/>
      <c r="AS1806" s="30"/>
      <c r="AT1806" s="29"/>
      <c r="AU1806" s="30"/>
      <c r="AV1806" s="30"/>
      <c r="AW1806" s="30"/>
      <c r="AX1806" s="29"/>
      <c r="AY1806" s="39"/>
      <c r="AZ1806" s="30"/>
      <c r="BA1806" s="30"/>
      <c r="BB1806" s="29"/>
      <c r="BC1806" s="52"/>
      <c r="BD1806" s="30"/>
      <c r="BE1806" s="29"/>
      <c r="BF1806" s="30"/>
      <c r="BG1806" s="30"/>
      <c r="BH1806" s="30"/>
      <c r="BI1806" s="30"/>
      <c r="BJ1806" s="30"/>
      <c r="BK1806" s="30"/>
      <c r="BL1806" s="30"/>
      <c r="BM1806" s="30"/>
      <c r="BN1806" s="30"/>
      <c r="BO1806" s="30"/>
      <c r="BP1806" s="30"/>
      <c r="BQ1806" s="30"/>
      <c r="BR1806" s="30"/>
      <c r="BS1806" s="30"/>
      <c r="BT1806" s="30"/>
      <c r="BU1806" s="30"/>
      <c r="BV1806" s="30"/>
      <c r="BW1806" s="30"/>
      <c r="BX1806" s="30"/>
      <c r="BY1806" s="30"/>
      <c r="BZ1806" s="30"/>
      <c r="CA1806" s="30"/>
      <c r="CB1806" s="30"/>
      <c r="CC1806" s="30"/>
      <c r="CD1806" s="30"/>
      <c r="CE1806" s="30"/>
      <c r="CF1806" s="30"/>
      <c r="CG1806" s="30"/>
      <c r="CH1806" s="30"/>
      <c r="CI1806" s="30"/>
      <c r="CJ1806" s="30"/>
      <c r="CK1806" s="30"/>
      <c r="CL1806" s="30"/>
      <c r="CM1806" s="30"/>
      <c r="CN1806" s="30"/>
      <c r="CO1806" s="30"/>
      <c r="CP1806" s="30"/>
      <c r="CQ1806" s="30"/>
      <c r="CR1806" s="30"/>
      <c r="CS1806" s="30"/>
      <c r="CT1806" s="30"/>
      <c r="CU1806" s="30"/>
      <c r="CV1806" s="30"/>
      <c r="CW1806" s="30"/>
      <c r="CX1806" s="30"/>
      <c r="CY1806" s="30"/>
      <c r="CZ1806" s="30"/>
      <c r="DA1806" s="30"/>
      <c r="DB1806" s="30"/>
      <c r="DC1806" s="30"/>
      <c r="DD1806" s="30"/>
      <c r="DE1806" s="30"/>
      <c r="DF1806" s="30"/>
      <c r="DG1806" s="30"/>
      <c r="DH1806" s="30"/>
      <c r="DI1806" s="30"/>
      <c r="DJ1806" s="30"/>
      <c r="DK1806" s="30"/>
      <c r="DL1806" s="30"/>
      <c r="DM1806" s="30"/>
      <c r="DN1806" s="30"/>
      <c r="DO1806" s="30"/>
      <c r="DP1806" s="30"/>
      <c r="DQ1806" s="30"/>
      <c r="DR1806" s="30"/>
      <c r="DS1806" s="30"/>
      <c r="DT1806" s="30"/>
      <c r="DU1806" s="30"/>
      <c r="DV1806" s="30"/>
      <c r="DW1806" s="30"/>
      <c r="DX1806" s="30"/>
      <c r="DY1806" s="30"/>
      <c r="DZ1806" s="30"/>
    </row>
    <row r="1807">
      <c r="A1807" s="30"/>
      <c r="B1807" s="42"/>
      <c r="C1807" s="43"/>
      <c r="D1807" s="30"/>
      <c r="E1807" s="28"/>
      <c r="F1807" s="30"/>
      <c r="G1807" s="30"/>
      <c r="H1807" s="30"/>
      <c r="I1807" s="30"/>
      <c r="J1807" s="28"/>
      <c r="K1807" s="30"/>
      <c r="L1807" s="30"/>
      <c r="M1807" s="30"/>
      <c r="N1807" s="30"/>
      <c r="O1807" s="28"/>
      <c r="P1807" s="30"/>
      <c r="Q1807" s="30"/>
      <c r="R1807" s="30"/>
      <c r="S1807" s="36"/>
      <c r="T1807" s="30"/>
      <c r="U1807" s="36"/>
      <c r="V1807" s="30"/>
      <c r="W1807" s="28"/>
      <c r="X1807" s="30"/>
      <c r="Y1807" s="30"/>
      <c r="Z1807" s="30"/>
      <c r="AA1807" s="30"/>
      <c r="AB1807" s="30"/>
      <c r="AC1807" s="28"/>
      <c r="AD1807" s="30"/>
      <c r="AE1807" s="30"/>
      <c r="AF1807" s="30"/>
      <c r="AG1807" s="29"/>
      <c r="AH1807" s="30"/>
      <c r="AI1807" s="36"/>
      <c r="AJ1807" s="30"/>
      <c r="AK1807" s="29"/>
      <c r="AL1807" s="30"/>
      <c r="AM1807" s="30"/>
      <c r="AN1807" s="30"/>
      <c r="AO1807" s="30"/>
      <c r="AP1807" s="30"/>
      <c r="AQ1807" s="38"/>
      <c r="AR1807" s="30"/>
      <c r="AS1807" s="30"/>
      <c r="AT1807" s="29"/>
      <c r="AU1807" s="30"/>
      <c r="AV1807" s="30"/>
      <c r="AW1807" s="30"/>
      <c r="AX1807" s="29"/>
      <c r="AY1807" s="39"/>
      <c r="AZ1807" s="30"/>
      <c r="BA1807" s="30"/>
      <c r="BB1807" s="29"/>
      <c r="BC1807" s="52"/>
      <c r="BD1807" s="30"/>
      <c r="BE1807" s="29"/>
      <c r="BF1807" s="30"/>
      <c r="BG1807" s="30"/>
      <c r="BH1807" s="30"/>
      <c r="BI1807" s="30"/>
      <c r="BJ1807" s="30"/>
      <c r="BK1807" s="30"/>
      <c r="BL1807" s="30"/>
      <c r="BM1807" s="30"/>
      <c r="BN1807" s="30"/>
      <c r="BO1807" s="30"/>
      <c r="BP1807" s="30"/>
      <c r="BQ1807" s="30"/>
      <c r="BR1807" s="30"/>
      <c r="BS1807" s="30"/>
      <c r="BT1807" s="30"/>
      <c r="BU1807" s="30"/>
      <c r="BV1807" s="30"/>
      <c r="BW1807" s="30"/>
      <c r="BX1807" s="30"/>
      <c r="BY1807" s="30"/>
      <c r="BZ1807" s="30"/>
      <c r="CA1807" s="30"/>
      <c r="CB1807" s="30"/>
      <c r="CC1807" s="30"/>
      <c r="CD1807" s="30"/>
      <c r="CE1807" s="30"/>
      <c r="CF1807" s="30"/>
      <c r="CG1807" s="30"/>
      <c r="CH1807" s="30"/>
      <c r="CI1807" s="30"/>
      <c r="CJ1807" s="30"/>
      <c r="CK1807" s="30"/>
      <c r="CL1807" s="30"/>
      <c r="CM1807" s="30"/>
      <c r="CN1807" s="30"/>
      <c r="CO1807" s="30"/>
      <c r="CP1807" s="30"/>
      <c r="CQ1807" s="30"/>
      <c r="CR1807" s="30"/>
      <c r="CS1807" s="30"/>
      <c r="CT1807" s="30"/>
      <c r="CU1807" s="30"/>
      <c r="CV1807" s="30"/>
      <c r="CW1807" s="30"/>
      <c r="CX1807" s="30"/>
      <c r="CY1807" s="30"/>
      <c r="CZ1807" s="30"/>
      <c r="DA1807" s="30"/>
      <c r="DB1807" s="30"/>
      <c r="DC1807" s="30"/>
      <c r="DD1807" s="30"/>
      <c r="DE1807" s="30"/>
      <c r="DF1807" s="30"/>
      <c r="DG1807" s="30"/>
      <c r="DH1807" s="30"/>
      <c r="DI1807" s="30"/>
      <c r="DJ1807" s="30"/>
      <c r="DK1807" s="30"/>
      <c r="DL1807" s="30"/>
      <c r="DM1807" s="30"/>
      <c r="DN1807" s="30"/>
      <c r="DO1807" s="30"/>
      <c r="DP1807" s="30"/>
      <c r="DQ1807" s="30"/>
      <c r="DR1807" s="30"/>
      <c r="DS1807" s="30"/>
      <c r="DT1807" s="30"/>
      <c r="DU1807" s="30"/>
      <c r="DV1807" s="30"/>
      <c r="DW1807" s="30"/>
      <c r="DX1807" s="30"/>
      <c r="DY1807" s="30"/>
      <c r="DZ1807" s="30"/>
    </row>
    <row r="1808">
      <c r="A1808" s="30"/>
      <c r="B1808" s="42"/>
      <c r="C1808" s="43"/>
      <c r="D1808" s="30"/>
      <c r="E1808" s="28"/>
      <c r="F1808" s="30"/>
      <c r="G1808" s="30"/>
      <c r="H1808" s="30"/>
      <c r="I1808" s="30"/>
      <c r="J1808" s="28"/>
      <c r="K1808" s="30"/>
      <c r="L1808" s="30"/>
      <c r="M1808" s="30"/>
      <c r="N1808" s="30"/>
      <c r="O1808" s="28"/>
      <c r="P1808" s="30"/>
      <c r="Q1808" s="30"/>
      <c r="R1808" s="30"/>
      <c r="S1808" s="36"/>
      <c r="T1808" s="30"/>
      <c r="U1808" s="36"/>
      <c r="V1808" s="30"/>
      <c r="W1808" s="28"/>
      <c r="X1808" s="30"/>
      <c r="Y1808" s="30"/>
      <c r="Z1808" s="30"/>
      <c r="AA1808" s="30"/>
      <c r="AB1808" s="30"/>
      <c r="AC1808" s="28"/>
      <c r="AD1808" s="30"/>
      <c r="AE1808" s="30"/>
      <c r="AF1808" s="30"/>
      <c r="AG1808" s="29"/>
      <c r="AH1808" s="30"/>
      <c r="AI1808" s="36"/>
      <c r="AJ1808" s="30"/>
      <c r="AK1808" s="29"/>
      <c r="AL1808" s="30"/>
      <c r="AM1808" s="30"/>
      <c r="AN1808" s="30"/>
      <c r="AO1808" s="30"/>
      <c r="AP1808" s="30"/>
      <c r="AQ1808" s="38"/>
      <c r="AR1808" s="30"/>
      <c r="AS1808" s="30"/>
      <c r="AT1808" s="29"/>
      <c r="AU1808" s="30"/>
      <c r="AV1808" s="30"/>
      <c r="AW1808" s="30"/>
      <c r="AX1808" s="29"/>
      <c r="AY1808" s="39"/>
      <c r="AZ1808" s="30"/>
      <c r="BA1808" s="30"/>
      <c r="BB1808" s="29"/>
      <c r="BC1808" s="52"/>
      <c r="BD1808" s="30"/>
      <c r="BE1808" s="29"/>
      <c r="BF1808" s="30"/>
      <c r="BG1808" s="30"/>
      <c r="BH1808" s="30"/>
      <c r="BI1808" s="30"/>
      <c r="BJ1808" s="30"/>
      <c r="BK1808" s="30"/>
      <c r="BL1808" s="30"/>
      <c r="BM1808" s="30"/>
      <c r="BN1808" s="30"/>
      <c r="BO1808" s="30"/>
      <c r="BP1808" s="30"/>
      <c r="BQ1808" s="30"/>
      <c r="BR1808" s="30"/>
      <c r="BS1808" s="30"/>
      <c r="BT1808" s="30"/>
      <c r="BU1808" s="30"/>
      <c r="BV1808" s="30"/>
      <c r="BW1808" s="30"/>
      <c r="BX1808" s="30"/>
      <c r="BY1808" s="30"/>
      <c r="BZ1808" s="30"/>
      <c r="CA1808" s="30"/>
      <c r="CB1808" s="30"/>
      <c r="CC1808" s="30"/>
      <c r="CD1808" s="30"/>
      <c r="CE1808" s="30"/>
      <c r="CF1808" s="30"/>
      <c r="CG1808" s="30"/>
      <c r="CH1808" s="30"/>
      <c r="CI1808" s="30"/>
      <c r="CJ1808" s="30"/>
      <c r="CK1808" s="30"/>
      <c r="CL1808" s="30"/>
      <c r="CM1808" s="30"/>
      <c r="CN1808" s="30"/>
      <c r="CO1808" s="30"/>
      <c r="CP1808" s="30"/>
      <c r="CQ1808" s="30"/>
      <c r="CR1808" s="30"/>
      <c r="CS1808" s="30"/>
      <c r="CT1808" s="30"/>
      <c r="CU1808" s="30"/>
      <c r="CV1808" s="30"/>
      <c r="CW1808" s="30"/>
      <c r="CX1808" s="30"/>
      <c r="CY1808" s="30"/>
      <c r="CZ1808" s="30"/>
      <c r="DA1808" s="30"/>
      <c r="DB1808" s="30"/>
      <c r="DC1808" s="30"/>
      <c r="DD1808" s="30"/>
      <c r="DE1808" s="30"/>
      <c r="DF1808" s="30"/>
      <c r="DG1808" s="30"/>
      <c r="DH1808" s="30"/>
      <c r="DI1808" s="30"/>
      <c r="DJ1808" s="30"/>
      <c r="DK1808" s="30"/>
      <c r="DL1808" s="30"/>
      <c r="DM1808" s="30"/>
      <c r="DN1808" s="30"/>
      <c r="DO1808" s="30"/>
      <c r="DP1808" s="30"/>
      <c r="DQ1808" s="30"/>
      <c r="DR1808" s="30"/>
      <c r="DS1808" s="30"/>
      <c r="DT1808" s="30"/>
      <c r="DU1808" s="30"/>
      <c r="DV1808" s="30"/>
      <c r="DW1808" s="30"/>
      <c r="DX1808" s="30"/>
      <c r="DY1808" s="30"/>
      <c r="DZ1808" s="30"/>
    </row>
    <row r="1809">
      <c r="A1809" s="30"/>
      <c r="B1809" s="42"/>
      <c r="C1809" s="43"/>
      <c r="D1809" s="30"/>
      <c r="E1809" s="28"/>
      <c r="F1809" s="30"/>
      <c r="G1809" s="30"/>
      <c r="H1809" s="30"/>
      <c r="I1809" s="30"/>
      <c r="J1809" s="28"/>
      <c r="K1809" s="30"/>
      <c r="L1809" s="30"/>
      <c r="M1809" s="30"/>
      <c r="N1809" s="30"/>
      <c r="O1809" s="28"/>
      <c r="P1809" s="30"/>
      <c r="Q1809" s="30"/>
      <c r="R1809" s="30"/>
      <c r="S1809" s="36"/>
      <c r="T1809" s="30"/>
      <c r="U1809" s="36"/>
      <c r="V1809" s="30"/>
      <c r="W1809" s="28"/>
      <c r="X1809" s="30"/>
      <c r="Y1809" s="30"/>
      <c r="Z1809" s="30"/>
      <c r="AA1809" s="30"/>
      <c r="AB1809" s="30"/>
      <c r="AC1809" s="28"/>
      <c r="AD1809" s="30"/>
      <c r="AE1809" s="30"/>
      <c r="AF1809" s="30"/>
      <c r="AG1809" s="29"/>
      <c r="AH1809" s="30"/>
      <c r="AI1809" s="36"/>
      <c r="AJ1809" s="30"/>
      <c r="AK1809" s="29"/>
      <c r="AL1809" s="30"/>
      <c r="AM1809" s="30"/>
      <c r="AN1809" s="30"/>
      <c r="AO1809" s="30"/>
      <c r="AP1809" s="30"/>
      <c r="AQ1809" s="38"/>
      <c r="AR1809" s="30"/>
      <c r="AS1809" s="30"/>
      <c r="AT1809" s="29"/>
      <c r="AU1809" s="30"/>
      <c r="AV1809" s="30"/>
      <c r="AW1809" s="30"/>
      <c r="AX1809" s="29"/>
      <c r="AY1809" s="39"/>
      <c r="AZ1809" s="30"/>
      <c r="BA1809" s="30"/>
      <c r="BB1809" s="29"/>
      <c r="BC1809" s="52"/>
      <c r="BD1809" s="30"/>
      <c r="BE1809" s="29"/>
      <c r="BF1809" s="30"/>
      <c r="BG1809" s="30"/>
      <c r="BH1809" s="30"/>
      <c r="BI1809" s="30"/>
      <c r="BJ1809" s="30"/>
      <c r="BK1809" s="30"/>
      <c r="BL1809" s="30"/>
      <c r="BM1809" s="30"/>
      <c r="BN1809" s="30"/>
      <c r="BO1809" s="30"/>
      <c r="BP1809" s="30"/>
      <c r="BQ1809" s="30"/>
      <c r="BR1809" s="30"/>
      <c r="BS1809" s="30"/>
      <c r="BT1809" s="30"/>
      <c r="BU1809" s="30"/>
      <c r="BV1809" s="30"/>
      <c r="BW1809" s="30"/>
      <c r="BX1809" s="30"/>
      <c r="BY1809" s="30"/>
      <c r="BZ1809" s="30"/>
      <c r="CA1809" s="30"/>
      <c r="CB1809" s="30"/>
      <c r="CC1809" s="30"/>
      <c r="CD1809" s="30"/>
      <c r="CE1809" s="30"/>
      <c r="CF1809" s="30"/>
      <c r="CG1809" s="30"/>
      <c r="CH1809" s="30"/>
      <c r="CI1809" s="30"/>
      <c r="CJ1809" s="30"/>
      <c r="CK1809" s="30"/>
      <c r="CL1809" s="30"/>
      <c r="CM1809" s="30"/>
      <c r="CN1809" s="30"/>
      <c r="CO1809" s="30"/>
      <c r="CP1809" s="30"/>
      <c r="CQ1809" s="30"/>
      <c r="CR1809" s="30"/>
      <c r="CS1809" s="30"/>
      <c r="CT1809" s="30"/>
      <c r="CU1809" s="30"/>
      <c r="CV1809" s="30"/>
      <c r="CW1809" s="30"/>
      <c r="CX1809" s="30"/>
      <c r="CY1809" s="30"/>
      <c r="CZ1809" s="30"/>
      <c r="DA1809" s="30"/>
      <c r="DB1809" s="30"/>
      <c r="DC1809" s="30"/>
      <c r="DD1809" s="30"/>
      <c r="DE1809" s="30"/>
      <c r="DF1809" s="30"/>
      <c r="DG1809" s="30"/>
      <c r="DH1809" s="30"/>
      <c r="DI1809" s="30"/>
      <c r="DJ1809" s="30"/>
      <c r="DK1809" s="30"/>
      <c r="DL1809" s="30"/>
      <c r="DM1809" s="30"/>
      <c r="DN1809" s="30"/>
      <c r="DO1809" s="30"/>
      <c r="DP1809" s="30"/>
      <c r="DQ1809" s="30"/>
      <c r="DR1809" s="30"/>
      <c r="DS1809" s="30"/>
      <c r="DT1809" s="30"/>
      <c r="DU1809" s="30"/>
      <c r="DV1809" s="30"/>
      <c r="DW1809" s="30"/>
      <c r="DX1809" s="30"/>
      <c r="DY1809" s="30"/>
      <c r="DZ1809" s="30"/>
    </row>
    <row r="1810">
      <c r="A1810" s="30"/>
      <c r="B1810" s="42"/>
      <c r="C1810" s="43"/>
      <c r="D1810" s="30"/>
      <c r="E1810" s="28"/>
      <c r="F1810" s="30"/>
      <c r="G1810" s="30"/>
      <c r="H1810" s="30"/>
      <c r="I1810" s="30"/>
      <c r="J1810" s="28"/>
      <c r="K1810" s="30"/>
      <c r="L1810" s="30"/>
      <c r="M1810" s="30"/>
      <c r="N1810" s="30"/>
      <c r="O1810" s="28"/>
      <c r="P1810" s="30"/>
      <c r="Q1810" s="30"/>
      <c r="R1810" s="30"/>
      <c r="S1810" s="36"/>
      <c r="T1810" s="30"/>
      <c r="U1810" s="36"/>
      <c r="V1810" s="30"/>
      <c r="W1810" s="28"/>
      <c r="X1810" s="30"/>
      <c r="Y1810" s="30"/>
      <c r="Z1810" s="30"/>
      <c r="AA1810" s="30"/>
      <c r="AB1810" s="30"/>
      <c r="AC1810" s="28"/>
      <c r="AD1810" s="30"/>
      <c r="AE1810" s="30"/>
      <c r="AF1810" s="30"/>
      <c r="AG1810" s="29"/>
      <c r="AH1810" s="30"/>
      <c r="AI1810" s="36"/>
      <c r="AJ1810" s="30"/>
      <c r="AK1810" s="29"/>
      <c r="AL1810" s="30"/>
      <c r="AM1810" s="30"/>
      <c r="AN1810" s="30"/>
      <c r="AO1810" s="30"/>
      <c r="AP1810" s="30"/>
      <c r="AQ1810" s="38"/>
      <c r="AR1810" s="30"/>
      <c r="AS1810" s="30"/>
      <c r="AT1810" s="29"/>
      <c r="AU1810" s="30"/>
      <c r="AV1810" s="30"/>
      <c r="AW1810" s="30"/>
      <c r="AX1810" s="29"/>
      <c r="AY1810" s="39"/>
      <c r="AZ1810" s="30"/>
      <c r="BA1810" s="30"/>
      <c r="BB1810" s="29"/>
      <c r="BC1810" s="52"/>
      <c r="BD1810" s="30"/>
      <c r="BE1810" s="29"/>
      <c r="BF1810" s="30"/>
      <c r="BG1810" s="30"/>
      <c r="BH1810" s="30"/>
      <c r="BI1810" s="30"/>
      <c r="BJ1810" s="30"/>
      <c r="BK1810" s="30"/>
      <c r="BL1810" s="30"/>
      <c r="BM1810" s="30"/>
      <c r="BN1810" s="30"/>
      <c r="BO1810" s="30"/>
      <c r="BP1810" s="30"/>
      <c r="BQ1810" s="30"/>
      <c r="BR1810" s="30"/>
      <c r="BS1810" s="30"/>
      <c r="BT1810" s="30"/>
      <c r="BU1810" s="30"/>
      <c r="BV1810" s="30"/>
      <c r="BW1810" s="30"/>
      <c r="BX1810" s="30"/>
      <c r="BY1810" s="30"/>
      <c r="BZ1810" s="30"/>
      <c r="CA1810" s="30"/>
      <c r="CB1810" s="30"/>
      <c r="CC1810" s="30"/>
      <c r="CD1810" s="30"/>
      <c r="CE1810" s="30"/>
      <c r="CF1810" s="30"/>
      <c r="CG1810" s="30"/>
      <c r="CH1810" s="30"/>
      <c r="CI1810" s="30"/>
      <c r="CJ1810" s="30"/>
      <c r="CK1810" s="30"/>
      <c r="CL1810" s="30"/>
      <c r="CM1810" s="30"/>
      <c r="CN1810" s="30"/>
      <c r="CO1810" s="30"/>
      <c r="CP1810" s="30"/>
      <c r="CQ1810" s="30"/>
      <c r="CR1810" s="30"/>
      <c r="CS1810" s="30"/>
      <c r="CT1810" s="30"/>
      <c r="CU1810" s="30"/>
      <c r="CV1810" s="30"/>
      <c r="CW1810" s="30"/>
      <c r="CX1810" s="30"/>
      <c r="CY1810" s="30"/>
      <c r="CZ1810" s="30"/>
      <c r="DA1810" s="30"/>
      <c r="DB1810" s="30"/>
      <c r="DC1810" s="30"/>
      <c r="DD1810" s="30"/>
      <c r="DE1810" s="30"/>
      <c r="DF1810" s="30"/>
      <c r="DG1810" s="30"/>
      <c r="DH1810" s="30"/>
      <c r="DI1810" s="30"/>
      <c r="DJ1810" s="30"/>
      <c r="DK1810" s="30"/>
      <c r="DL1810" s="30"/>
      <c r="DM1810" s="30"/>
      <c r="DN1810" s="30"/>
      <c r="DO1810" s="30"/>
      <c r="DP1810" s="30"/>
      <c r="DQ1810" s="30"/>
      <c r="DR1810" s="30"/>
      <c r="DS1810" s="30"/>
      <c r="DT1810" s="30"/>
      <c r="DU1810" s="30"/>
      <c r="DV1810" s="30"/>
      <c r="DW1810" s="30"/>
      <c r="DX1810" s="30"/>
      <c r="DY1810" s="30"/>
      <c r="DZ1810" s="30"/>
    </row>
    <row r="1811">
      <c r="A1811" s="30"/>
      <c r="B1811" s="42"/>
      <c r="C1811" s="43"/>
      <c r="D1811" s="30"/>
      <c r="E1811" s="28"/>
      <c r="F1811" s="30"/>
      <c r="G1811" s="30"/>
      <c r="H1811" s="30"/>
      <c r="I1811" s="30"/>
      <c r="J1811" s="28"/>
      <c r="K1811" s="30"/>
      <c r="L1811" s="30"/>
      <c r="M1811" s="30"/>
      <c r="N1811" s="30"/>
      <c r="O1811" s="28"/>
      <c r="P1811" s="30"/>
      <c r="Q1811" s="30"/>
      <c r="R1811" s="30"/>
      <c r="S1811" s="36"/>
      <c r="T1811" s="30"/>
      <c r="U1811" s="36"/>
      <c r="V1811" s="30"/>
      <c r="W1811" s="28"/>
      <c r="X1811" s="30"/>
      <c r="Y1811" s="30"/>
      <c r="Z1811" s="30"/>
      <c r="AA1811" s="30"/>
      <c r="AB1811" s="30"/>
      <c r="AC1811" s="28"/>
      <c r="AD1811" s="30"/>
      <c r="AE1811" s="30"/>
      <c r="AF1811" s="30"/>
      <c r="AG1811" s="29"/>
      <c r="AH1811" s="30"/>
      <c r="AI1811" s="36"/>
      <c r="AJ1811" s="30"/>
      <c r="AK1811" s="29"/>
      <c r="AL1811" s="30"/>
      <c r="AM1811" s="30"/>
      <c r="AN1811" s="30"/>
      <c r="AO1811" s="30"/>
      <c r="AP1811" s="30"/>
      <c r="AQ1811" s="38"/>
      <c r="AR1811" s="30"/>
      <c r="AS1811" s="30"/>
      <c r="AT1811" s="29"/>
      <c r="AU1811" s="30"/>
      <c r="AV1811" s="30"/>
      <c r="AW1811" s="30"/>
      <c r="AX1811" s="29"/>
      <c r="AY1811" s="39"/>
      <c r="AZ1811" s="30"/>
      <c r="BA1811" s="30"/>
      <c r="BB1811" s="29"/>
      <c r="BC1811" s="52"/>
      <c r="BD1811" s="30"/>
      <c r="BE1811" s="29"/>
      <c r="BF1811" s="30"/>
      <c r="BG1811" s="30"/>
      <c r="BH1811" s="30"/>
      <c r="BI1811" s="30"/>
      <c r="BJ1811" s="30"/>
      <c r="BK1811" s="30"/>
      <c r="BL1811" s="30"/>
      <c r="BM1811" s="30"/>
      <c r="BN1811" s="30"/>
      <c r="BO1811" s="30"/>
      <c r="BP1811" s="30"/>
      <c r="BQ1811" s="30"/>
      <c r="BR1811" s="30"/>
      <c r="BS1811" s="30"/>
      <c r="BT1811" s="30"/>
      <c r="BU1811" s="30"/>
      <c r="BV1811" s="30"/>
      <c r="BW1811" s="30"/>
      <c r="BX1811" s="30"/>
      <c r="BY1811" s="30"/>
      <c r="BZ1811" s="30"/>
      <c r="CA1811" s="30"/>
      <c r="CB1811" s="30"/>
      <c r="CC1811" s="30"/>
      <c r="CD1811" s="30"/>
      <c r="CE1811" s="30"/>
      <c r="CF1811" s="30"/>
      <c r="CG1811" s="30"/>
      <c r="CH1811" s="30"/>
      <c r="CI1811" s="30"/>
      <c r="CJ1811" s="30"/>
      <c r="CK1811" s="30"/>
      <c r="CL1811" s="30"/>
      <c r="CM1811" s="30"/>
      <c r="CN1811" s="30"/>
      <c r="CO1811" s="30"/>
      <c r="CP1811" s="30"/>
      <c r="CQ1811" s="30"/>
      <c r="CR1811" s="30"/>
      <c r="CS1811" s="30"/>
      <c r="CT1811" s="30"/>
      <c r="CU1811" s="30"/>
      <c r="CV1811" s="30"/>
      <c r="CW1811" s="30"/>
      <c r="CX1811" s="30"/>
      <c r="CY1811" s="30"/>
      <c r="CZ1811" s="30"/>
      <c r="DA1811" s="30"/>
      <c r="DB1811" s="30"/>
      <c r="DC1811" s="30"/>
      <c r="DD1811" s="30"/>
      <c r="DE1811" s="30"/>
      <c r="DF1811" s="30"/>
      <c r="DG1811" s="30"/>
      <c r="DH1811" s="30"/>
      <c r="DI1811" s="30"/>
      <c r="DJ1811" s="30"/>
      <c r="DK1811" s="30"/>
      <c r="DL1811" s="30"/>
      <c r="DM1811" s="30"/>
      <c r="DN1811" s="30"/>
      <c r="DO1811" s="30"/>
      <c r="DP1811" s="30"/>
      <c r="DQ1811" s="30"/>
      <c r="DR1811" s="30"/>
      <c r="DS1811" s="30"/>
      <c r="DT1811" s="30"/>
      <c r="DU1811" s="30"/>
      <c r="DV1811" s="30"/>
      <c r="DW1811" s="30"/>
      <c r="DX1811" s="30"/>
      <c r="DY1811" s="30"/>
      <c r="DZ1811" s="30"/>
    </row>
    <row r="1812">
      <c r="A1812" s="30"/>
      <c r="B1812" s="42"/>
      <c r="C1812" s="43"/>
      <c r="D1812" s="30"/>
      <c r="E1812" s="28"/>
      <c r="F1812" s="30"/>
      <c r="G1812" s="30"/>
      <c r="H1812" s="30"/>
      <c r="I1812" s="30"/>
      <c r="J1812" s="28"/>
      <c r="K1812" s="30"/>
      <c r="L1812" s="30"/>
      <c r="M1812" s="30"/>
      <c r="N1812" s="30"/>
      <c r="O1812" s="28"/>
      <c r="P1812" s="30"/>
      <c r="Q1812" s="30"/>
      <c r="R1812" s="30"/>
      <c r="S1812" s="36"/>
      <c r="T1812" s="30"/>
      <c r="U1812" s="36"/>
      <c r="V1812" s="30"/>
      <c r="W1812" s="28"/>
      <c r="X1812" s="30"/>
      <c r="Y1812" s="30"/>
      <c r="Z1812" s="30"/>
      <c r="AA1812" s="30"/>
      <c r="AB1812" s="30"/>
      <c r="AC1812" s="28"/>
      <c r="AD1812" s="30"/>
      <c r="AE1812" s="30"/>
      <c r="AF1812" s="30"/>
      <c r="AG1812" s="29"/>
      <c r="AH1812" s="30"/>
      <c r="AI1812" s="36"/>
      <c r="AJ1812" s="30"/>
      <c r="AK1812" s="29"/>
      <c r="AL1812" s="30"/>
      <c r="AM1812" s="30"/>
      <c r="AN1812" s="30"/>
      <c r="AO1812" s="30"/>
      <c r="AP1812" s="30"/>
      <c r="AQ1812" s="38"/>
      <c r="AR1812" s="30"/>
      <c r="AS1812" s="30"/>
      <c r="AT1812" s="29"/>
      <c r="AU1812" s="30"/>
      <c r="AV1812" s="30"/>
      <c r="AW1812" s="30"/>
      <c r="AX1812" s="29"/>
      <c r="AY1812" s="39"/>
      <c r="AZ1812" s="30"/>
      <c r="BA1812" s="30"/>
      <c r="BB1812" s="29"/>
      <c r="BC1812" s="52"/>
      <c r="BD1812" s="30"/>
      <c r="BE1812" s="29"/>
      <c r="BF1812" s="30"/>
      <c r="BG1812" s="30"/>
      <c r="BH1812" s="30"/>
      <c r="BI1812" s="30"/>
      <c r="BJ1812" s="30"/>
      <c r="BK1812" s="30"/>
      <c r="BL1812" s="30"/>
      <c r="BM1812" s="30"/>
      <c r="BN1812" s="30"/>
      <c r="BO1812" s="30"/>
      <c r="BP1812" s="30"/>
      <c r="BQ1812" s="30"/>
      <c r="BR1812" s="30"/>
      <c r="BS1812" s="30"/>
      <c r="BT1812" s="30"/>
      <c r="BU1812" s="30"/>
      <c r="BV1812" s="30"/>
      <c r="BW1812" s="30"/>
      <c r="BX1812" s="30"/>
      <c r="BY1812" s="30"/>
      <c r="BZ1812" s="30"/>
      <c r="CA1812" s="30"/>
      <c r="CB1812" s="30"/>
      <c r="CC1812" s="30"/>
      <c r="CD1812" s="30"/>
      <c r="CE1812" s="30"/>
      <c r="CF1812" s="30"/>
      <c r="CG1812" s="30"/>
      <c r="CH1812" s="30"/>
      <c r="CI1812" s="30"/>
      <c r="CJ1812" s="30"/>
      <c r="CK1812" s="30"/>
      <c r="CL1812" s="30"/>
      <c r="CM1812" s="30"/>
      <c r="CN1812" s="30"/>
      <c r="CO1812" s="30"/>
      <c r="CP1812" s="30"/>
      <c r="CQ1812" s="30"/>
      <c r="CR1812" s="30"/>
      <c r="CS1812" s="30"/>
      <c r="CT1812" s="30"/>
      <c r="CU1812" s="30"/>
      <c r="CV1812" s="30"/>
      <c r="CW1812" s="30"/>
      <c r="CX1812" s="30"/>
      <c r="CY1812" s="30"/>
      <c r="CZ1812" s="30"/>
      <c r="DA1812" s="30"/>
      <c r="DB1812" s="30"/>
      <c r="DC1812" s="30"/>
      <c r="DD1812" s="30"/>
      <c r="DE1812" s="30"/>
      <c r="DF1812" s="30"/>
      <c r="DG1812" s="30"/>
      <c r="DH1812" s="30"/>
      <c r="DI1812" s="30"/>
      <c r="DJ1812" s="30"/>
      <c r="DK1812" s="30"/>
      <c r="DL1812" s="30"/>
      <c r="DM1812" s="30"/>
      <c r="DN1812" s="30"/>
      <c r="DO1812" s="30"/>
      <c r="DP1812" s="30"/>
      <c r="DQ1812" s="30"/>
      <c r="DR1812" s="30"/>
      <c r="DS1812" s="30"/>
      <c r="DT1812" s="30"/>
      <c r="DU1812" s="30"/>
      <c r="DV1812" s="30"/>
      <c r="DW1812" s="30"/>
      <c r="DX1812" s="30"/>
      <c r="DY1812" s="30"/>
      <c r="DZ1812" s="30"/>
    </row>
    <row r="1813">
      <c r="A1813" s="30"/>
      <c r="B1813" s="42"/>
      <c r="C1813" s="43"/>
      <c r="D1813" s="30"/>
      <c r="E1813" s="28"/>
      <c r="F1813" s="30"/>
      <c r="G1813" s="30"/>
      <c r="H1813" s="30"/>
      <c r="I1813" s="30"/>
      <c r="J1813" s="28"/>
      <c r="K1813" s="30"/>
      <c r="L1813" s="30"/>
      <c r="M1813" s="30"/>
      <c r="N1813" s="30"/>
      <c r="O1813" s="28"/>
      <c r="P1813" s="30"/>
      <c r="Q1813" s="30"/>
      <c r="R1813" s="30"/>
      <c r="S1813" s="36"/>
      <c r="T1813" s="30"/>
      <c r="U1813" s="36"/>
      <c r="V1813" s="30"/>
      <c r="W1813" s="28"/>
      <c r="X1813" s="30"/>
      <c r="Y1813" s="30"/>
      <c r="Z1813" s="30"/>
      <c r="AA1813" s="30"/>
      <c r="AB1813" s="30"/>
      <c r="AC1813" s="28"/>
      <c r="AD1813" s="30"/>
      <c r="AE1813" s="30"/>
      <c r="AF1813" s="30"/>
      <c r="AG1813" s="29"/>
      <c r="AH1813" s="30"/>
      <c r="AI1813" s="36"/>
      <c r="AJ1813" s="30"/>
      <c r="AK1813" s="29"/>
      <c r="AL1813" s="30"/>
      <c r="AM1813" s="30"/>
      <c r="AN1813" s="30"/>
      <c r="AO1813" s="30"/>
      <c r="AP1813" s="30"/>
      <c r="AQ1813" s="38"/>
      <c r="AR1813" s="30"/>
      <c r="AS1813" s="30"/>
      <c r="AT1813" s="29"/>
      <c r="AU1813" s="30"/>
      <c r="AV1813" s="30"/>
      <c r="AW1813" s="30"/>
      <c r="AX1813" s="29"/>
      <c r="AY1813" s="39"/>
      <c r="AZ1813" s="30"/>
      <c r="BA1813" s="30"/>
      <c r="BB1813" s="29"/>
      <c r="BC1813" s="52"/>
      <c r="BD1813" s="30"/>
      <c r="BE1813" s="29"/>
      <c r="BF1813" s="30"/>
      <c r="BG1813" s="30"/>
      <c r="BH1813" s="30"/>
      <c r="BI1813" s="30"/>
      <c r="BJ1813" s="30"/>
      <c r="BK1813" s="30"/>
      <c r="BL1813" s="30"/>
      <c r="BM1813" s="30"/>
      <c r="BN1813" s="30"/>
      <c r="BO1813" s="30"/>
      <c r="BP1813" s="30"/>
      <c r="BQ1813" s="30"/>
      <c r="BR1813" s="30"/>
      <c r="BS1813" s="30"/>
      <c r="BT1813" s="30"/>
      <c r="BU1813" s="30"/>
      <c r="BV1813" s="30"/>
      <c r="BW1813" s="30"/>
      <c r="BX1813" s="30"/>
      <c r="BY1813" s="30"/>
      <c r="BZ1813" s="30"/>
      <c r="CA1813" s="30"/>
      <c r="CB1813" s="30"/>
      <c r="CC1813" s="30"/>
      <c r="CD1813" s="30"/>
      <c r="CE1813" s="30"/>
      <c r="CF1813" s="30"/>
      <c r="CG1813" s="30"/>
      <c r="CH1813" s="30"/>
      <c r="CI1813" s="30"/>
      <c r="CJ1813" s="30"/>
      <c r="CK1813" s="30"/>
      <c r="CL1813" s="30"/>
      <c r="CM1813" s="30"/>
      <c r="CN1813" s="30"/>
      <c r="CO1813" s="30"/>
      <c r="CP1813" s="30"/>
      <c r="CQ1813" s="30"/>
      <c r="CR1813" s="30"/>
      <c r="CS1813" s="30"/>
      <c r="CT1813" s="30"/>
      <c r="CU1813" s="30"/>
      <c r="CV1813" s="30"/>
      <c r="CW1813" s="30"/>
      <c r="CX1813" s="30"/>
      <c r="CY1813" s="30"/>
      <c r="CZ1813" s="30"/>
      <c r="DA1813" s="30"/>
      <c r="DB1813" s="30"/>
      <c r="DC1813" s="30"/>
      <c r="DD1813" s="30"/>
      <c r="DE1813" s="30"/>
      <c r="DF1813" s="30"/>
      <c r="DG1813" s="30"/>
      <c r="DH1813" s="30"/>
      <c r="DI1813" s="30"/>
      <c r="DJ1813" s="30"/>
      <c r="DK1813" s="30"/>
      <c r="DL1813" s="30"/>
      <c r="DM1813" s="30"/>
      <c r="DN1813" s="30"/>
      <c r="DO1813" s="30"/>
      <c r="DP1813" s="30"/>
      <c r="DQ1813" s="30"/>
      <c r="DR1813" s="30"/>
      <c r="DS1813" s="30"/>
      <c r="DT1813" s="30"/>
      <c r="DU1813" s="30"/>
      <c r="DV1813" s="30"/>
      <c r="DW1813" s="30"/>
      <c r="DX1813" s="30"/>
      <c r="DY1813" s="30"/>
      <c r="DZ1813" s="30"/>
    </row>
    <row r="1814">
      <c r="A1814" s="30"/>
      <c r="B1814" s="42"/>
      <c r="C1814" s="43"/>
      <c r="D1814" s="30"/>
      <c r="E1814" s="28"/>
      <c r="F1814" s="30"/>
      <c r="G1814" s="30"/>
      <c r="H1814" s="30"/>
      <c r="I1814" s="30"/>
      <c r="J1814" s="28"/>
      <c r="K1814" s="30"/>
      <c r="L1814" s="30"/>
      <c r="M1814" s="30"/>
      <c r="N1814" s="30"/>
      <c r="O1814" s="28"/>
      <c r="P1814" s="30"/>
      <c r="Q1814" s="30"/>
      <c r="R1814" s="30"/>
      <c r="S1814" s="36"/>
      <c r="T1814" s="30"/>
      <c r="U1814" s="36"/>
      <c r="V1814" s="30"/>
      <c r="W1814" s="28"/>
      <c r="X1814" s="30"/>
      <c r="Y1814" s="30"/>
      <c r="Z1814" s="30"/>
      <c r="AA1814" s="30"/>
      <c r="AB1814" s="30"/>
      <c r="AC1814" s="28"/>
      <c r="AD1814" s="30"/>
      <c r="AE1814" s="30"/>
      <c r="AF1814" s="30"/>
      <c r="AG1814" s="29"/>
      <c r="AH1814" s="30"/>
      <c r="AI1814" s="36"/>
      <c r="AJ1814" s="30"/>
      <c r="AK1814" s="29"/>
      <c r="AL1814" s="30"/>
      <c r="AM1814" s="30"/>
      <c r="AN1814" s="30"/>
      <c r="AO1814" s="30"/>
      <c r="AP1814" s="30"/>
      <c r="AQ1814" s="38"/>
      <c r="AR1814" s="30"/>
      <c r="AS1814" s="30"/>
      <c r="AT1814" s="29"/>
      <c r="AU1814" s="30"/>
      <c r="AV1814" s="30"/>
      <c r="AW1814" s="30"/>
      <c r="AX1814" s="29"/>
      <c r="AY1814" s="39"/>
      <c r="AZ1814" s="30"/>
      <c r="BA1814" s="30"/>
      <c r="BB1814" s="29"/>
      <c r="BC1814" s="52"/>
      <c r="BD1814" s="30"/>
      <c r="BE1814" s="29"/>
      <c r="BF1814" s="30"/>
      <c r="BG1814" s="30"/>
      <c r="BH1814" s="30"/>
      <c r="BI1814" s="30"/>
      <c r="BJ1814" s="30"/>
      <c r="BK1814" s="30"/>
      <c r="BL1814" s="30"/>
      <c r="BM1814" s="30"/>
      <c r="BN1814" s="30"/>
      <c r="BO1814" s="30"/>
      <c r="BP1814" s="30"/>
      <c r="BQ1814" s="30"/>
      <c r="BR1814" s="30"/>
      <c r="BS1814" s="30"/>
      <c r="BT1814" s="30"/>
      <c r="BU1814" s="30"/>
      <c r="BV1814" s="30"/>
      <c r="BW1814" s="30"/>
      <c r="BX1814" s="30"/>
      <c r="BY1814" s="30"/>
      <c r="BZ1814" s="30"/>
      <c r="CA1814" s="30"/>
      <c r="CB1814" s="30"/>
      <c r="CC1814" s="30"/>
      <c r="CD1814" s="30"/>
      <c r="CE1814" s="30"/>
      <c r="CF1814" s="30"/>
      <c r="CG1814" s="30"/>
      <c r="CH1814" s="30"/>
      <c r="CI1814" s="30"/>
      <c r="CJ1814" s="30"/>
      <c r="CK1814" s="30"/>
      <c r="CL1814" s="30"/>
      <c r="CM1814" s="30"/>
      <c r="CN1814" s="30"/>
      <c r="CO1814" s="30"/>
      <c r="CP1814" s="30"/>
      <c r="CQ1814" s="30"/>
      <c r="CR1814" s="30"/>
      <c r="CS1814" s="30"/>
      <c r="CT1814" s="30"/>
      <c r="CU1814" s="30"/>
      <c r="CV1814" s="30"/>
      <c r="CW1814" s="30"/>
      <c r="CX1814" s="30"/>
      <c r="CY1814" s="30"/>
      <c r="CZ1814" s="30"/>
      <c r="DA1814" s="30"/>
      <c r="DB1814" s="30"/>
      <c r="DC1814" s="30"/>
      <c r="DD1814" s="30"/>
      <c r="DE1814" s="30"/>
      <c r="DF1814" s="30"/>
      <c r="DG1814" s="30"/>
      <c r="DH1814" s="30"/>
      <c r="DI1814" s="30"/>
      <c r="DJ1814" s="30"/>
      <c r="DK1814" s="30"/>
      <c r="DL1814" s="30"/>
      <c r="DM1814" s="30"/>
      <c r="DN1814" s="30"/>
      <c r="DO1814" s="30"/>
      <c r="DP1814" s="30"/>
      <c r="DQ1814" s="30"/>
      <c r="DR1814" s="30"/>
      <c r="DS1814" s="30"/>
      <c r="DT1814" s="30"/>
      <c r="DU1814" s="30"/>
      <c r="DV1814" s="30"/>
      <c r="DW1814" s="30"/>
      <c r="DX1814" s="30"/>
      <c r="DY1814" s="30"/>
      <c r="DZ1814" s="30"/>
    </row>
  </sheetData>
  <autoFilter ref="$AN$2:$AS$82"/>
  <mergeCells count="19">
    <mergeCell ref="AL1:AS1"/>
    <mergeCell ref="AU1:AW1"/>
    <mergeCell ref="AY1:BA1"/>
    <mergeCell ref="BC1:BD1"/>
    <mergeCell ref="BF1:BG1"/>
    <mergeCell ref="AD1:AF1"/>
    <mergeCell ref="AD26:AF26"/>
    <mergeCell ref="AU31:AW31"/>
    <mergeCell ref="AY31:AZ31"/>
    <mergeCell ref="K46:N46"/>
    <mergeCell ref="AD51:AF51"/>
    <mergeCell ref="AD75:AF75"/>
    <mergeCell ref="A1:D1"/>
    <mergeCell ref="F1:I1"/>
    <mergeCell ref="K1:N1"/>
    <mergeCell ref="P1:V1"/>
    <mergeCell ref="X1:AB1"/>
    <mergeCell ref="AH1:AJ1"/>
    <mergeCell ref="K17:N17"/>
  </mergeCells>
  <drawing r:id="rId14"/>
  <legacy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56"/>
    <col customWidth="1" min="2" max="2" width="17.0"/>
    <col customWidth="1" min="3" max="3" width="30.22"/>
    <col customWidth="1" min="4" max="6" width="15.67"/>
    <col customWidth="1" min="7" max="7" width="15.56"/>
    <col customWidth="1" min="8" max="8" width="35.33"/>
    <col customWidth="1" min="9" max="9" width="18.33"/>
    <col customWidth="1" min="10" max="11" width="14.89"/>
    <col customWidth="1" min="12" max="12" width="19.44"/>
    <col customWidth="1" min="13" max="13" width="14.56"/>
    <col customWidth="1" min="14" max="14" width="20.22"/>
    <col customWidth="1" min="15" max="15" width="13.11"/>
    <col customWidth="1" min="16" max="16" width="13.67"/>
    <col customWidth="1" min="17" max="17" width="10.22"/>
    <col customWidth="1" min="18" max="19" width="17.67"/>
  </cols>
  <sheetData>
    <row r="1" ht="22.5" customHeight="1">
      <c r="A1" s="23" t="s">
        <v>0</v>
      </c>
      <c r="B1" s="2" t="s">
        <v>1</v>
      </c>
      <c r="C1" s="4" t="s">
        <v>921</v>
      </c>
      <c r="D1" s="4" t="s">
        <v>1029</v>
      </c>
      <c r="E1" s="4" t="s">
        <v>1028</v>
      </c>
      <c r="F1" s="3" t="s">
        <v>2</v>
      </c>
      <c r="G1" s="2" t="s">
        <v>6</v>
      </c>
      <c r="H1" s="4" t="s">
        <v>104</v>
      </c>
      <c r="I1" s="4" t="s">
        <v>925</v>
      </c>
      <c r="J1" s="4" t="s">
        <v>927</v>
      </c>
      <c r="K1" s="5" t="s">
        <v>7</v>
      </c>
      <c r="L1" s="4" t="s">
        <v>928</v>
      </c>
      <c r="M1" s="2" t="s">
        <v>8</v>
      </c>
      <c r="N1" s="2" t="s">
        <v>9</v>
      </c>
      <c r="O1" s="2" t="s">
        <v>929</v>
      </c>
      <c r="P1" s="4" t="s">
        <v>930</v>
      </c>
      <c r="Q1" s="2" t="s">
        <v>931</v>
      </c>
      <c r="R1" s="2" t="s">
        <v>932</v>
      </c>
      <c r="S1" s="2" t="s">
        <v>1040</v>
      </c>
    </row>
    <row r="2" ht="22.5" customHeight="1">
      <c r="A2" s="6">
        <v>10248.0</v>
      </c>
      <c r="B2" s="7" t="s">
        <v>12</v>
      </c>
      <c r="C2" s="24" t="str">
        <f>VLOOKUP(revenue[customerID],customers[],2,FALSE)</f>
        <v>Vins et alcools Chevalier</v>
      </c>
      <c r="D2" s="24" t="str">
        <f>VLOOKUP(revenue[customerID],customers[],6,FALSE)</f>
        <v>Reims</v>
      </c>
      <c r="E2" s="24" t="str">
        <f>VLOOKUP(revenue[customerID],customers[],9,FALSE)</f>
        <v>France</v>
      </c>
      <c r="F2" s="24">
        <v>44746.0</v>
      </c>
      <c r="G2" s="6">
        <v>11.0</v>
      </c>
      <c r="H2" s="9" t="str">
        <f>VLOOKUP(revenue[productID],products[],2,FALSE)</f>
        <v>Queso Cabrales</v>
      </c>
      <c r="I2" s="9" t="str">
        <f>VLOOKUP(revenue[productID],products[],12,FALSE)</f>
        <v>Dairy Products</v>
      </c>
      <c r="J2" s="9">
        <f>VLOOKUP(revenue[productID],products[],IF(YEAR(revenue[orderDate])=2022,8,IF(YEAR(revenue[orderDate])=2023,9,IF(YEAR(revenue[orderDate])=2024,10,NA))),FALSE)</f>
        <v>10.58231097</v>
      </c>
      <c r="K2" s="9">
        <v>14.0</v>
      </c>
      <c r="L2" s="25">
        <f>(revenue[orderPrice]-revenue[productCost])/revenue[productCost]</f>
        <v>0.3229624453</v>
      </c>
      <c r="M2" s="10">
        <v>12.0</v>
      </c>
      <c r="N2" s="25">
        <v>0.0</v>
      </c>
      <c r="O2" s="9">
        <f>revenue[orderPrice]*revenue[orderQuantity]</f>
        <v>168</v>
      </c>
      <c r="P2" s="9">
        <f>revenue[orderTotal]*(1-revenue[discountApllied])</f>
        <v>168</v>
      </c>
      <c r="Q2" s="9">
        <f>revenue[revenue]-(revenue[productCost]*revenue[orderQuantity])</f>
        <v>41.01226834</v>
      </c>
      <c r="R2" s="25">
        <f>IFERROR(revenue[profit]/revenue[revenue], 0)</f>
        <v>0.2441206449</v>
      </c>
      <c r="S2" s="9">
        <f>revenue[productCost]*revenue[orderQuantity]</f>
        <v>126.9877317</v>
      </c>
    </row>
    <row r="3" ht="22.5" customHeight="1">
      <c r="A3" s="6">
        <v>10248.0</v>
      </c>
      <c r="B3" s="7" t="s">
        <v>12</v>
      </c>
      <c r="C3" s="24" t="str">
        <f>VLOOKUP(revenue[customerID],customers[],2,FALSE)</f>
        <v>Vins et alcools Chevalier</v>
      </c>
      <c r="D3" s="24" t="str">
        <f>VLOOKUP(revenue[customerID],customers[],6,FALSE)</f>
        <v>Reims</v>
      </c>
      <c r="E3" s="24" t="str">
        <f>VLOOKUP(revenue[customerID],customers[],9,FALSE)</f>
        <v>France</v>
      </c>
      <c r="F3" s="24">
        <v>44746.0</v>
      </c>
      <c r="G3" s="6">
        <v>42.0</v>
      </c>
      <c r="H3" s="9" t="str">
        <f>VLOOKUP(revenue[productID],products[],2,FALSE)</f>
        <v>Singaporean Hokkien Fried Mee</v>
      </c>
      <c r="I3" s="9" t="str">
        <f>VLOOKUP(revenue[productID],products[],12,FALSE)</f>
        <v>Grains/Cereals</v>
      </c>
      <c r="J3" s="9">
        <f>VLOOKUP(revenue[productID],products[],IF(YEAR(revenue[orderDate])=2022,8,IF(YEAR(revenue[orderDate])=2023,9,IF(YEAR(revenue[orderDate])=2024,10,NA))),FALSE)</f>
        <v>7.818425885</v>
      </c>
      <c r="K3" s="9">
        <v>9.8</v>
      </c>
      <c r="L3" s="25">
        <f>(revenue[orderPrice]-revenue[productCost])/revenue[productCost]</f>
        <v>0.2534492421</v>
      </c>
      <c r="M3" s="10">
        <v>10.0</v>
      </c>
      <c r="N3" s="25">
        <v>0.0</v>
      </c>
      <c r="O3" s="9">
        <f>revenue[orderPrice]*revenue[orderQuantity]</f>
        <v>98</v>
      </c>
      <c r="P3" s="9">
        <f>revenue[orderTotal]*(1-revenue[discountApllied])</f>
        <v>98</v>
      </c>
      <c r="Q3" s="9">
        <f>revenue[revenue]-(revenue[productCost]*revenue[orderQuantity])</f>
        <v>19.81574115</v>
      </c>
      <c r="R3" s="25">
        <f>IFERROR(revenue[profit]/revenue[revenue], 0)</f>
        <v>0.2022014403</v>
      </c>
      <c r="S3" s="9">
        <f>revenue[productCost]*revenue[orderQuantity]</f>
        <v>78.18425885</v>
      </c>
    </row>
    <row r="4" ht="22.5" customHeight="1">
      <c r="A4" s="6">
        <v>10248.0</v>
      </c>
      <c r="B4" s="7" t="s">
        <v>12</v>
      </c>
      <c r="C4" s="24" t="str">
        <f>VLOOKUP(revenue[customerID],customers[],2,FALSE)</f>
        <v>Vins et alcools Chevalier</v>
      </c>
      <c r="D4" s="24" t="str">
        <f>VLOOKUP(revenue[customerID],customers[],6,FALSE)</f>
        <v>Reims</v>
      </c>
      <c r="E4" s="24" t="str">
        <f>VLOOKUP(revenue[customerID],customers[],9,FALSE)</f>
        <v>France</v>
      </c>
      <c r="F4" s="24">
        <v>44746.0</v>
      </c>
      <c r="G4" s="6">
        <v>72.0</v>
      </c>
      <c r="H4" s="9" t="str">
        <f>VLOOKUP(revenue[productID],products[],2,FALSE)</f>
        <v>Mozzarella di Giovanni</v>
      </c>
      <c r="I4" s="9" t="str">
        <f>VLOOKUP(revenue[productID],products[],12,FALSE)</f>
        <v>Dairy Products</v>
      </c>
      <c r="J4" s="9">
        <f>VLOOKUP(revenue[productID],products[],IF(YEAR(revenue[orderDate])=2022,8,IF(YEAR(revenue[orderDate])=2023,9,IF(YEAR(revenue[orderDate])=2024,10,NA))),FALSE)</f>
        <v>19.20829334</v>
      </c>
      <c r="K4" s="9">
        <v>34.8</v>
      </c>
      <c r="L4" s="25">
        <f>(revenue[orderPrice]-revenue[productCost])/revenue[productCost]</f>
        <v>0.8117174382</v>
      </c>
      <c r="M4" s="10">
        <v>5.0</v>
      </c>
      <c r="N4" s="25">
        <v>0.0</v>
      </c>
      <c r="O4" s="9">
        <f>revenue[orderPrice]*revenue[orderQuantity]</f>
        <v>174</v>
      </c>
      <c r="P4" s="9">
        <f>revenue[orderTotal]*(1-revenue[discountApllied])</f>
        <v>174</v>
      </c>
      <c r="Q4" s="9">
        <f>revenue[revenue]-(revenue[productCost]*revenue[orderQuantity])</f>
        <v>77.95853331</v>
      </c>
      <c r="R4" s="25">
        <f>IFERROR(revenue[profit]/revenue[revenue], 0)</f>
        <v>0.4480375477</v>
      </c>
      <c r="S4" s="9">
        <f>revenue[productCost]*revenue[orderQuantity]</f>
        <v>96.04146669</v>
      </c>
    </row>
    <row r="5" ht="22.5" customHeight="1">
      <c r="A5" s="6">
        <v>10249.0</v>
      </c>
      <c r="B5" s="7" t="s">
        <v>14</v>
      </c>
      <c r="C5" s="24" t="str">
        <f>VLOOKUP(revenue[customerID],customers[],2,FALSE)</f>
        <v>Toms Spezialitäten</v>
      </c>
      <c r="D5" s="24" t="str">
        <f>VLOOKUP(revenue[customerID],customers[],6,FALSE)</f>
        <v>Münster</v>
      </c>
      <c r="E5" s="24" t="str">
        <f>VLOOKUP(revenue[customerID],customers[],9,FALSE)</f>
        <v>Germany</v>
      </c>
      <c r="F5" s="24">
        <v>44747.0</v>
      </c>
      <c r="G5" s="6">
        <v>14.0</v>
      </c>
      <c r="H5" s="9" t="str">
        <f>VLOOKUP(revenue[productID],products[],2,FALSE)</f>
        <v>Tofu</v>
      </c>
      <c r="I5" s="9" t="str">
        <f>VLOOKUP(revenue[productID],products[],12,FALSE)</f>
        <v>Produce</v>
      </c>
      <c r="J5" s="9">
        <f>VLOOKUP(revenue[productID],products[],IF(YEAR(revenue[orderDate])=2022,8,IF(YEAR(revenue[orderDate])=2023,9,IF(YEAR(revenue[orderDate])=2024,10,NA))),FALSE)</f>
        <v>13.95254082</v>
      </c>
      <c r="K5" s="9">
        <v>18.6</v>
      </c>
      <c r="L5" s="25">
        <f>(revenue[orderPrice]-revenue[productCost])/revenue[productCost]</f>
        <v>0.333090527</v>
      </c>
      <c r="M5" s="10">
        <v>9.0</v>
      </c>
      <c r="N5" s="25">
        <v>0.0</v>
      </c>
      <c r="O5" s="9">
        <f>revenue[orderPrice]*revenue[orderQuantity]</f>
        <v>167.4</v>
      </c>
      <c r="P5" s="9">
        <f>revenue[orderTotal]*(1-revenue[discountApllied])</f>
        <v>167.4</v>
      </c>
      <c r="Q5" s="9">
        <f>revenue[revenue]-(revenue[productCost]*revenue[orderQuantity])</f>
        <v>41.82713259</v>
      </c>
      <c r="R5" s="25">
        <f>IFERROR(revenue[profit]/revenue[revenue], 0)</f>
        <v>0.2498633966</v>
      </c>
      <c r="S5" s="9">
        <f>revenue[productCost]*revenue[orderQuantity]</f>
        <v>125.5728674</v>
      </c>
    </row>
    <row r="6" ht="22.5" customHeight="1">
      <c r="A6" s="6">
        <v>10249.0</v>
      </c>
      <c r="B6" s="7" t="s">
        <v>14</v>
      </c>
      <c r="C6" s="24" t="str">
        <f>VLOOKUP(revenue[customerID],customers[],2,FALSE)</f>
        <v>Toms Spezialitäten</v>
      </c>
      <c r="D6" s="24" t="str">
        <f>VLOOKUP(revenue[customerID],customers[],6,FALSE)</f>
        <v>Münster</v>
      </c>
      <c r="E6" s="24" t="str">
        <f>VLOOKUP(revenue[customerID],customers[],9,FALSE)</f>
        <v>Germany</v>
      </c>
      <c r="F6" s="24">
        <v>44747.0</v>
      </c>
      <c r="G6" s="6">
        <v>51.0</v>
      </c>
      <c r="H6" s="9" t="str">
        <f>VLOOKUP(revenue[productID],products[],2,FALSE)</f>
        <v>Manjimup Dried Apples</v>
      </c>
      <c r="I6" s="9" t="str">
        <f>VLOOKUP(revenue[productID],products[],12,FALSE)</f>
        <v>Produce</v>
      </c>
      <c r="J6" s="9">
        <f>VLOOKUP(revenue[productID],products[],IF(YEAR(revenue[orderDate])=2022,8,IF(YEAR(revenue[orderDate])=2023,9,IF(YEAR(revenue[orderDate])=2024,10,NA))),FALSE)</f>
        <v>28.87532154</v>
      </c>
      <c r="K6" s="9">
        <v>42.4</v>
      </c>
      <c r="L6" s="25">
        <f>(revenue[orderPrice]-revenue[productCost])/revenue[productCost]</f>
        <v>0.4683819172</v>
      </c>
      <c r="M6" s="10">
        <v>40.0</v>
      </c>
      <c r="N6" s="25">
        <v>0.0</v>
      </c>
      <c r="O6" s="9">
        <f>revenue[orderPrice]*revenue[orderQuantity]</f>
        <v>1696</v>
      </c>
      <c r="P6" s="9">
        <f>revenue[orderTotal]*(1-revenue[discountApllied])</f>
        <v>1696</v>
      </c>
      <c r="Q6" s="9">
        <f>revenue[revenue]-(revenue[productCost]*revenue[orderQuantity])</f>
        <v>540.9871385</v>
      </c>
      <c r="R6" s="25">
        <f>IFERROR(revenue[profit]/revenue[revenue], 0)</f>
        <v>0.3189782656</v>
      </c>
      <c r="S6" s="9">
        <f>revenue[productCost]*revenue[orderQuantity]</f>
        <v>1155.012861</v>
      </c>
    </row>
    <row r="7" ht="22.5" customHeight="1">
      <c r="A7" s="6">
        <v>10250.0</v>
      </c>
      <c r="B7" s="7" t="s">
        <v>16</v>
      </c>
      <c r="C7" s="24" t="str">
        <f>VLOOKUP(revenue[customerID],customers[],2,FALSE)</f>
        <v>Hanari Carnes</v>
      </c>
      <c r="D7" s="24" t="str">
        <f>VLOOKUP(revenue[customerID],customers[],6,FALSE)</f>
        <v>Rio de Janeiro</v>
      </c>
      <c r="E7" s="24" t="str">
        <f>VLOOKUP(revenue[customerID],customers[],9,FALSE)</f>
        <v>Brazil</v>
      </c>
      <c r="F7" s="24">
        <v>44750.0</v>
      </c>
      <c r="G7" s="6">
        <v>41.0</v>
      </c>
      <c r="H7" s="9" t="str">
        <f>VLOOKUP(revenue[productID],products[],2,FALSE)</f>
        <v>Jack's New England Clam Chowder</v>
      </c>
      <c r="I7" s="9" t="str">
        <f>VLOOKUP(revenue[productID],products[],12,FALSE)</f>
        <v>Seafood</v>
      </c>
      <c r="J7" s="9">
        <f>VLOOKUP(revenue[productID],products[],IF(YEAR(revenue[orderDate])=2022,8,IF(YEAR(revenue[orderDate])=2023,9,IF(YEAR(revenue[orderDate])=2024,10,NA))),FALSE)</f>
        <v>5.170198742</v>
      </c>
      <c r="K7" s="9">
        <v>7.7</v>
      </c>
      <c r="L7" s="25">
        <f>(revenue[orderPrice]-revenue[productCost])/revenue[productCost]</f>
        <v>0.4893044511</v>
      </c>
      <c r="M7" s="10">
        <v>10.0</v>
      </c>
      <c r="N7" s="25">
        <v>0.0</v>
      </c>
      <c r="O7" s="9">
        <f>revenue[orderPrice]*revenue[orderQuantity]</f>
        <v>77</v>
      </c>
      <c r="P7" s="9">
        <f>revenue[orderTotal]*(1-revenue[discountApllied])</f>
        <v>77</v>
      </c>
      <c r="Q7" s="9">
        <f>revenue[revenue]-(revenue[productCost]*revenue[orderQuantity])</f>
        <v>25.29801258</v>
      </c>
      <c r="R7" s="25">
        <f>IFERROR(revenue[profit]/revenue[revenue], 0)</f>
        <v>0.3285456179</v>
      </c>
      <c r="S7" s="9">
        <f>revenue[productCost]*revenue[orderQuantity]</f>
        <v>51.70198742</v>
      </c>
    </row>
    <row r="8" ht="22.5" customHeight="1">
      <c r="A8" s="6">
        <v>10250.0</v>
      </c>
      <c r="B8" s="7" t="s">
        <v>16</v>
      </c>
      <c r="C8" s="24" t="str">
        <f>VLOOKUP(revenue[customerID],customers[],2,FALSE)</f>
        <v>Hanari Carnes</v>
      </c>
      <c r="D8" s="24" t="str">
        <f>VLOOKUP(revenue[customerID],customers[],6,FALSE)</f>
        <v>Rio de Janeiro</v>
      </c>
      <c r="E8" s="24" t="str">
        <f>VLOOKUP(revenue[customerID],customers[],9,FALSE)</f>
        <v>Brazil</v>
      </c>
      <c r="F8" s="24">
        <v>44750.0</v>
      </c>
      <c r="G8" s="6">
        <v>51.0</v>
      </c>
      <c r="H8" s="9" t="str">
        <f>VLOOKUP(revenue[productID],products[],2,FALSE)</f>
        <v>Manjimup Dried Apples</v>
      </c>
      <c r="I8" s="9" t="str">
        <f>VLOOKUP(revenue[productID],products[],12,FALSE)</f>
        <v>Produce</v>
      </c>
      <c r="J8" s="9">
        <f>VLOOKUP(revenue[productID],products[],IF(YEAR(revenue[orderDate])=2022,8,IF(YEAR(revenue[orderDate])=2023,9,IF(YEAR(revenue[orderDate])=2024,10,NA))),FALSE)</f>
        <v>28.87532154</v>
      </c>
      <c r="K8" s="9">
        <v>42.4</v>
      </c>
      <c r="L8" s="25">
        <f>(revenue[orderPrice]-revenue[productCost])/revenue[productCost]</f>
        <v>0.4683819172</v>
      </c>
      <c r="M8" s="10">
        <v>35.0</v>
      </c>
      <c r="N8" s="25">
        <v>0.15</v>
      </c>
      <c r="O8" s="9">
        <f>revenue[orderPrice]*revenue[orderQuantity]</f>
        <v>1484</v>
      </c>
      <c r="P8" s="9">
        <f>revenue[orderTotal]*(1-revenue[discountApllied])</f>
        <v>1261.4</v>
      </c>
      <c r="Q8" s="9">
        <f>revenue[revenue]-(revenue[productCost]*revenue[orderQuantity])</f>
        <v>250.7637462</v>
      </c>
      <c r="R8" s="25">
        <f>IFERROR(revenue[profit]/revenue[revenue], 0)</f>
        <v>0.1987979596</v>
      </c>
      <c r="S8" s="9">
        <f>revenue[productCost]*revenue[orderQuantity]</f>
        <v>1010.636254</v>
      </c>
    </row>
    <row r="9" ht="22.5" customHeight="1">
      <c r="A9" s="6">
        <v>10250.0</v>
      </c>
      <c r="B9" s="7" t="s">
        <v>16</v>
      </c>
      <c r="C9" s="24" t="str">
        <f>VLOOKUP(revenue[customerID],customers[],2,FALSE)</f>
        <v>Hanari Carnes</v>
      </c>
      <c r="D9" s="24" t="str">
        <f>VLOOKUP(revenue[customerID],customers[],6,FALSE)</f>
        <v>Rio de Janeiro</v>
      </c>
      <c r="E9" s="24" t="str">
        <f>VLOOKUP(revenue[customerID],customers[],9,FALSE)</f>
        <v>Brazil</v>
      </c>
      <c r="F9" s="24">
        <v>44750.0</v>
      </c>
      <c r="G9" s="6">
        <v>65.0</v>
      </c>
      <c r="H9" s="9" t="str">
        <f>VLOOKUP(revenue[productID],products[],2,FALSE)</f>
        <v>Louisiana Fiery Hot Pepper Sauce</v>
      </c>
      <c r="I9" s="9" t="str">
        <f>VLOOKUP(revenue[productID],products[],12,FALSE)</f>
        <v>Condiments</v>
      </c>
      <c r="J9" s="9">
        <f>VLOOKUP(revenue[productID],products[],IF(YEAR(revenue[orderDate])=2022,8,IF(YEAR(revenue[orderDate])=2023,9,IF(YEAR(revenue[orderDate])=2024,10,NA))),FALSE)</f>
        <v>11.17410204</v>
      </c>
      <c r="K9" s="9">
        <v>16.8</v>
      </c>
      <c r="L9" s="25">
        <f>(revenue[orderPrice]-revenue[productCost])/revenue[productCost]</f>
        <v>0.503476515</v>
      </c>
      <c r="M9" s="10">
        <v>15.0</v>
      </c>
      <c r="N9" s="25">
        <v>0.15</v>
      </c>
      <c r="O9" s="9">
        <f>revenue[orderPrice]*revenue[orderQuantity]</f>
        <v>252</v>
      </c>
      <c r="P9" s="9">
        <f>revenue[orderTotal]*(1-revenue[discountApllied])</f>
        <v>214.2</v>
      </c>
      <c r="Q9" s="9">
        <f>revenue[revenue]-(revenue[productCost]*revenue[orderQuantity])</f>
        <v>46.58846934</v>
      </c>
      <c r="R9" s="25">
        <f>IFERROR(revenue[profit]/revenue[revenue], 0)</f>
        <v>0.2174998568</v>
      </c>
      <c r="S9" s="9">
        <f>revenue[productCost]*revenue[orderQuantity]</f>
        <v>167.6115307</v>
      </c>
    </row>
    <row r="10" ht="22.5" customHeight="1">
      <c r="A10" s="6">
        <v>10251.0</v>
      </c>
      <c r="B10" s="7" t="s">
        <v>18</v>
      </c>
      <c r="C10" s="24" t="str">
        <f>VLOOKUP(revenue[customerID],customers[],2,FALSE)</f>
        <v>Victuailles en stock</v>
      </c>
      <c r="D10" s="24" t="str">
        <f>VLOOKUP(revenue[customerID],customers[],6,FALSE)</f>
        <v>Lyon</v>
      </c>
      <c r="E10" s="24" t="str">
        <f>VLOOKUP(revenue[customerID],customers[],9,FALSE)</f>
        <v>France</v>
      </c>
      <c r="F10" s="24">
        <v>44750.0</v>
      </c>
      <c r="G10" s="6">
        <v>22.0</v>
      </c>
      <c r="H10" s="9" t="str">
        <f>VLOOKUP(revenue[productID],products[],2,FALSE)</f>
        <v>Gustaf's Knäckebröd</v>
      </c>
      <c r="I10" s="9" t="str">
        <f>VLOOKUP(revenue[productID],products[],12,FALSE)</f>
        <v>Grains/Cereals</v>
      </c>
      <c r="J10" s="9">
        <f>VLOOKUP(revenue[productID],products[],IF(YEAR(revenue[orderDate])=2022,8,IF(YEAR(revenue[orderDate])=2023,9,IF(YEAR(revenue[orderDate])=2024,10,NA))),FALSE)</f>
        <v>11.70049217</v>
      </c>
      <c r="K10" s="9">
        <v>16.8</v>
      </c>
      <c r="L10" s="25">
        <f>(revenue[orderPrice]-revenue[productCost])/revenue[productCost]</f>
        <v>0.4358370357</v>
      </c>
      <c r="M10" s="10">
        <v>6.0</v>
      </c>
      <c r="N10" s="25">
        <v>0.05</v>
      </c>
      <c r="O10" s="9">
        <f>revenue[orderPrice]*revenue[orderQuantity]</f>
        <v>100.8</v>
      </c>
      <c r="P10" s="9">
        <f>revenue[orderTotal]*(1-revenue[discountApllied])</f>
        <v>95.76</v>
      </c>
      <c r="Q10" s="9">
        <f>revenue[revenue]-(revenue[productCost]*revenue[orderQuantity])</f>
        <v>25.55704695</v>
      </c>
      <c r="R10" s="25">
        <f>IFERROR(revenue[profit]/revenue[revenue], 0)</f>
        <v>0.2668864552</v>
      </c>
      <c r="S10" s="9">
        <f>revenue[productCost]*revenue[orderQuantity]</f>
        <v>70.20295305</v>
      </c>
    </row>
    <row r="11" ht="22.5" customHeight="1">
      <c r="A11" s="6">
        <v>10251.0</v>
      </c>
      <c r="B11" s="7" t="s">
        <v>18</v>
      </c>
      <c r="C11" s="24" t="str">
        <f>VLOOKUP(revenue[customerID],customers[],2,FALSE)</f>
        <v>Victuailles en stock</v>
      </c>
      <c r="D11" s="24" t="str">
        <f>VLOOKUP(revenue[customerID],customers[],6,FALSE)</f>
        <v>Lyon</v>
      </c>
      <c r="E11" s="24" t="str">
        <f>VLOOKUP(revenue[customerID],customers[],9,FALSE)</f>
        <v>France</v>
      </c>
      <c r="F11" s="24">
        <v>44750.0</v>
      </c>
      <c r="G11" s="6">
        <v>57.0</v>
      </c>
      <c r="H11" s="9" t="str">
        <f>VLOOKUP(revenue[productID],products[],2,FALSE)</f>
        <v>Ravioli Angelo</v>
      </c>
      <c r="I11" s="9" t="str">
        <f>VLOOKUP(revenue[productID],products[],12,FALSE)</f>
        <v>Grains/Cereals</v>
      </c>
      <c r="J11" s="9">
        <f>VLOOKUP(revenue[productID],products[],IF(YEAR(revenue[orderDate])=2022,8,IF(YEAR(revenue[orderDate])=2023,9,IF(YEAR(revenue[orderDate])=2024,10,NA))),FALSE)</f>
        <v>11.22950766</v>
      </c>
      <c r="K11" s="9">
        <v>15.6</v>
      </c>
      <c r="L11" s="25">
        <f>(revenue[orderPrice]-revenue[productCost])/revenue[productCost]</f>
        <v>0.3891971469</v>
      </c>
      <c r="M11" s="10">
        <v>15.0</v>
      </c>
      <c r="N11" s="25">
        <v>0.05</v>
      </c>
      <c r="O11" s="9">
        <f>revenue[orderPrice]*revenue[orderQuantity]</f>
        <v>234</v>
      </c>
      <c r="P11" s="9">
        <f>revenue[orderTotal]*(1-revenue[discountApllied])</f>
        <v>222.3</v>
      </c>
      <c r="Q11" s="9">
        <f>revenue[revenue]-(revenue[productCost]*revenue[orderQuantity])</f>
        <v>53.85738512</v>
      </c>
      <c r="R11" s="25">
        <f>IFERROR(revenue[profit]/revenue[revenue], 0)</f>
        <v>0.2422734373</v>
      </c>
      <c r="S11" s="9">
        <f>revenue[productCost]*revenue[orderQuantity]</f>
        <v>168.4426149</v>
      </c>
    </row>
    <row r="12" ht="22.5" customHeight="1">
      <c r="A12" s="6">
        <v>10251.0</v>
      </c>
      <c r="B12" s="7" t="s">
        <v>18</v>
      </c>
      <c r="C12" s="24" t="str">
        <f>VLOOKUP(revenue[customerID],customers[],2,FALSE)</f>
        <v>Victuailles en stock</v>
      </c>
      <c r="D12" s="24" t="str">
        <f>VLOOKUP(revenue[customerID],customers[],6,FALSE)</f>
        <v>Lyon</v>
      </c>
      <c r="E12" s="24" t="str">
        <f>VLOOKUP(revenue[customerID],customers[],9,FALSE)</f>
        <v>France</v>
      </c>
      <c r="F12" s="24">
        <v>44750.0</v>
      </c>
      <c r="G12" s="6">
        <v>65.0</v>
      </c>
      <c r="H12" s="9" t="str">
        <f>VLOOKUP(revenue[productID],products[],2,FALSE)</f>
        <v>Louisiana Fiery Hot Pepper Sauce</v>
      </c>
      <c r="I12" s="9" t="str">
        <f>VLOOKUP(revenue[productID],products[],12,FALSE)</f>
        <v>Condiments</v>
      </c>
      <c r="J12" s="9">
        <f>VLOOKUP(revenue[productID],products[],IF(YEAR(revenue[orderDate])=2022,8,IF(YEAR(revenue[orderDate])=2023,9,IF(YEAR(revenue[orderDate])=2024,10,NA))),FALSE)</f>
        <v>11.17410204</v>
      </c>
      <c r="K12" s="9">
        <v>16.8</v>
      </c>
      <c r="L12" s="25">
        <f>(revenue[orderPrice]-revenue[productCost])/revenue[productCost]</f>
        <v>0.503476515</v>
      </c>
      <c r="M12" s="10">
        <v>20.0</v>
      </c>
      <c r="N12" s="25">
        <v>0.0</v>
      </c>
      <c r="O12" s="9">
        <f>revenue[orderPrice]*revenue[orderQuantity]</f>
        <v>336</v>
      </c>
      <c r="P12" s="9">
        <f>revenue[orderTotal]*(1-revenue[discountApllied])</f>
        <v>336</v>
      </c>
      <c r="Q12" s="9">
        <f>revenue[revenue]-(revenue[productCost]*revenue[orderQuantity])</f>
        <v>112.5179591</v>
      </c>
      <c r="R12" s="25">
        <f>IFERROR(revenue[profit]/revenue[revenue], 0)</f>
        <v>0.3348748783</v>
      </c>
      <c r="S12" s="9">
        <f>revenue[productCost]*revenue[orderQuantity]</f>
        <v>223.4820409</v>
      </c>
    </row>
    <row r="13" ht="22.5" customHeight="1">
      <c r="A13" s="6">
        <v>10252.0</v>
      </c>
      <c r="B13" s="7" t="s">
        <v>19</v>
      </c>
      <c r="C13" s="24" t="str">
        <f>VLOOKUP(revenue[customerID],customers[],2,FALSE)</f>
        <v>Suprêmes délices</v>
      </c>
      <c r="D13" s="24" t="str">
        <f>VLOOKUP(revenue[customerID],customers[],6,FALSE)</f>
        <v>Charleroi</v>
      </c>
      <c r="E13" s="24" t="str">
        <f>VLOOKUP(revenue[customerID],customers[],9,FALSE)</f>
        <v>Belgium</v>
      </c>
      <c r="F13" s="24">
        <v>44751.0</v>
      </c>
      <c r="G13" s="6">
        <v>20.0</v>
      </c>
      <c r="H13" s="9" t="str">
        <f>VLOOKUP(revenue[productID],products[],2,FALSE)</f>
        <v>Sir Rodney's Marmalade</v>
      </c>
      <c r="I13" s="9" t="str">
        <f>VLOOKUP(revenue[productID],products[],12,FALSE)</f>
        <v>Confections</v>
      </c>
      <c r="J13" s="9">
        <f>VLOOKUP(revenue[productID],products[],IF(YEAR(revenue[orderDate])=2022,8,IF(YEAR(revenue[orderDate])=2023,9,IF(YEAR(revenue[orderDate])=2024,10,NA))),FALSE)</f>
        <v>45.94247438</v>
      </c>
      <c r="K13" s="9">
        <v>64.8</v>
      </c>
      <c r="L13" s="25">
        <f>(revenue[orderPrice]-revenue[productCost])/revenue[productCost]</f>
        <v>0.4104595121</v>
      </c>
      <c r="M13" s="10">
        <v>40.0</v>
      </c>
      <c r="N13" s="25">
        <v>0.05</v>
      </c>
      <c r="O13" s="9">
        <f>revenue[orderPrice]*revenue[orderQuantity]</f>
        <v>2592</v>
      </c>
      <c r="P13" s="9">
        <f>revenue[orderTotal]*(1-revenue[discountApllied])</f>
        <v>2462.4</v>
      </c>
      <c r="Q13" s="9">
        <f>revenue[revenue]-(revenue[productCost]*revenue[orderQuantity])</f>
        <v>624.7010247</v>
      </c>
      <c r="R13" s="25">
        <f>IFERROR(revenue[profit]/revenue[revenue], 0)</f>
        <v>0.2536959977</v>
      </c>
      <c r="S13" s="9">
        <f>revenue[productCost]*revenue[orderQuantity]</f>
        <v>1837.698975</v>
      </c>
    </row>
    <row r="14" ht="22.5" customHeight="1">
      <c r="A14" s="6">
        <v>10252.0</v>
      </c>
      <c r="B14" s="7" t="s">
        <v>19</v>
      </c>
      <c r="C14" s="24" t="str">
        <f>VLOOKUP(revenue[customerID],customers[],2,FALSE)</f>
        <v>Suprêmes délices</v>
      </c>
      <c r="D14" s="24" t="str">
        <f>VLOOKUP(revenue[customerID],customers[],6,FALSE)</f>
        <v>Charleroi</v>
      </c>
      <c r="E14" s="24" t="str">
        <f>VLOOKUP(revenue[customerID],customers[],9,FALSE)</f>
        <v>Belgium</v>
      </c>
      <c r="F14" s="24">
        <v>44751.0</v>
      </c>
      <c r="G14" s="6">
        <v>33.0</v>
      </c>
      <c r="H14" s="9" t="str">
        <f>VLOOKUP(revenue[productID],products[],2,FALSE)</f>
        <v>Geitost</v>
      </c>
      <c r="I14" s="9" t="str">
        <f>VLOOKUP(revenue[productID],products[],12,FALSE)</f>
        <v>Dairy Products</v>
      </c>
      <c r="J14" s="9">
        <f>VLOOKUP(revenue[productID],products[],IF(YEAR(revenue[orderDate])=2022,8,IF(YEAR(revenue[orderDate])=2023,9,IF(YEAR(revenue[orderDate])=2024,10,NA))),FALSE)</f>
        <v>1.393847434</v>
      </c>
      <c r="K14" s="9">
        <v>2.0</v>
      </c>
      <c r="L14" s="25">
        <f>(revenue[orderPrice]-revenue[productCost])/revenue[productCost]</f>
        <v>0.4348772692</v>
      </c>
      <c r="M14" s="10">
        <v>25.0</v>
      </c>
      <c r="N14" s="25">
        <v>0.05</v>
      </c>
      <c r="O14" s="9">
        <f>revenue[orderPrice]*revenue[orderQuantity]</f>
        <v>50</v>
      </c>
      <c r="P14" s="9">
        <f>revenue[orderTotal]*(1-revenue[discountApllied])</f>
        <v>47.5</v>
      </c>
      <c r="Q14" s="9">
        <f>revenue[revenue]-(revenue[productCost]*revenue[orderQuantity])</f>
        <v>12.65381415</v>
      </c>
      <c r="R14" s="25">
        <f>IFERROR(revenue[profit]/revenue[revenue], 0)</f>
        <v>0.2663960873</v>
      </c>
      <c r="S14" s="9">
        <f>revenue[productCost]*revenue[orderQuantity]</f>
        <v>34.84618585</v>
      </c>
    </row>
    <row r="15" ht="22.5" customHeight="1">
      <c r="A15" s="6">
        <v>10252.0</v>
      </c>
      <c r="B15" s="7" t="s">
        <v>19</v>
      </c>
      <c r="C15" s="24" t="str">
        <f>VLOOKUP(revenue[customerID],customers[],2,FALSE)</f>
        <v>Suprêmes délices</v>
      </c>
      <c r="D15" s="24" t="str">
        <f>VLOOKUP(revenue[customerID],customers[],6,FALSE)</f>
        <v>Charleroi</v>
      </c>
      <c r="E15" s="24" t="str">
        <f>VLOOKUP(revenue[customerID],customers[],9,FALSE)</f>
        <v>Belgium</v>
      </c>
      <c r="F15" s="24">
        <v>44751.0</v>
      </c>
      <c r="G15" s="6">
        <v>60.0</v>
      </c>
      <c r="H15" s="9" t="str">
        <f>VLOOKUP(revenue[productID],products[],2,FALSE)</f>
        <v>Camembert Pierrot</v>
      </c>
      <c r="I15" s="9" t="str">
        <f>VLOOKUP(revenue[productID],products[],12,FALSE)</f>
        <v>Dairy Products</v>
      </c>
      <c r="J15" s="9">
        <f>VLOOKUP(revenue[productID],products[],IF(YEAR(revenue[orderDate])=2022,8,IF(YEAR(revenue[orderDate])=2023,9,IF(YEAR(revenue[orderDate])=2024,10,NA))),FALSE)</f>
        <v>17.66563493</v>
      </c>
      <c r="K15" s="9">
        <v>27.2</v>
      </c>
      <c r="L15" s="25">
        <f>(revenue[orderPrice]-revenue[productCost])/revenue[productCost]</f>
        <v>0.5397125612</v>
      </c>
      <c r="M15" s="10">
        <v>40.0</v>
      </c>
      <c r="N15" s="25">
        <v>0.0</v>
      </c>
      <c r="O15" s="9">
        <f>revenue[orderPrice]*revenue[orderQuantity]</f>
        <v>1088</v>
      </c>
      <c r="P15" s="9">
        <f>revenue[orderTotal]*(1-revenue[discountApllied])</f>
        <v>1088</v>
      </c>
      <c r="Q15" s="9">
        <f>revenue[revenue]-(revenue[productCost]*revenue[orderQuantity])</f>
        <v>381.3746029</v>
      </c>
      <c r="R15" s="25">
        <f>IFERROR(revenue[profit]/revenue[revenue], 0)</f>
        <v>0.3505281276</v>
      </c>
      <c r="S15" s="9">
        <f>revenue[productCost]*revenue[orderQuantity]</f>
        <v>706.6253971</v>
      </c>
    </row>
    <row r="16" ht="22.5" customHeight="1">
      <c r="A16" s="6">
        <v>10253.0</v>
      </c>
      <c r="B16" s="7" t="s">
        <v>16</v>
      </c>
      <c r="C16" s="24" t="str">
        <f>VLOOKUP(revenue[customerID],customers[],2,FALSE)</f>
        <v>Hanari Carnes</v>
      </c>
      <c r="D16" s="24" t="str">
        <f>VLOOKUP(revenue[customerID],customers[],6,FALSE)</f>
        <v>Rio de Janeiro</v>
      </c>
      <c r="E16" s="24" t="str">
        <f>VLOOKUP(revenue[customerID],customers[],9,FALSE)</f>
        <v>Brazil</v>
      </c>
      <c r="F16" s="24">
        <v>44752.0</v>
      </c>
      <c r="G16" s="6">
        <v>31.0</v>
      </c>
      <c r="H16" s="9" t="str">
        <f>VLOOKUP(revenue[productID],products[],2,FALSE)</f>
        <v>Gorgonzola Telino</v>
      </c>
      <c r="I16" s="9" t="str">
        <f>VLOOKUP(revenue[productID],products[],12,FALSE)</f>
        <v>Dairy Products</v>
      </c>
      <c r="J16" s="9">
        <f>VLOOKUP(revenue[productID],products[],IF(YEAR(revenue[orderDate])=2022,8,IF(YEAR(revenue[orderDate])=2023,9,IF(YEAR(revenue[orderDate])=2024,10,NA))),FALSE)</f>
        <v>6.44031973</v>
      </c>
      <c r="K16" s="9">
        <v>10.0</v>
      </c>
      <c r="L16" s="25">
        <f>(revenue[orderPrice]-revenue[productCost])/revenue[productCost]</f>
        <v>0.5527179425</v>
      </c>
      <c r="M16" s="10">
        <v>20.0</v>
      </c>
      <c r="N16" s="25">
        <v>0.0</v>
      </c>
      <c r="O16" s="9">
        <f>revenue[orderPrice]*revenue[orderQuantity]</f>
        <v>200</v>
      </c>
      <c r="P16" s="9">
        <f>revenue[orderTotal]*(1-revenue[discountApllied])</f>
        <v>200</v>
      </c>
      <c r="Q16" s="9">
        <f>revenue[revenue]-(revenue[productCost]*revenue[orderQuantity])</f>
        <v>71.1936054</v>
      </c>
      <c r="R16" s="25">
        <f>IFERROR(revenue[profit]/revenue[revenue], 0)</f>
        <v>0.355968027</v>
      </c>
      <c r="S16" s="9">
        <f>revenue[productCost]*revenue[orderQuantity]</f>
        <v>128.8063946</v>
      </c>
    </row>
    <row r="17" ht="22.5" customHeight="1">
      <c r="A17" s="6">
        <v>10253.0</v>
      </c>
      <c r="B17" s="7" t="s">
        <v>16</v>
      </c>
      <c r="C17" s="24" t="str">
        <f>VLOOKUP(revenue[customerID],customers[],2,FALSE)</f>
        <v>Hanari Carnes</v>
      </c>
      <c r="D17" s="24" t="str">
        <f>VLOOKUP(revenue[customerID],customers[],6,FALSE)</f>
        <v>Rio de Janeiro</v>
      </c>
      <c r="E17" s="24" t="str">
        <f>VLOOKUP(revenue[customerID],customers[],9,FALSE)</f>
        <v>Brazil</v>
      </c>
      <c r="F17" s="24">
        <v>44752.0</v>
      </c>
      <c r="G17" s="6">
        <v>39.0</v>
      </c>
      <c r="H17" s="9" t="str">
        <f>VLOOKUP(revenue[productID],products[],2,FALSE)</f>
        <v>Chartreuse verte</v>
      </c>
      <c r="I17" s="9" t="str">
        <f>VLOOKUP(revenue[productID],products[],12,FALSE)</f>
        <v>Beverages</v>
      </c>
      <c r="J17" s="9">
        <f>VLOOKUP(revenue[productID],products[],IF(YEAR(revenue[orderDate])=2022,8,IF(YEAR(revenue[orderDate])=2023,9,IF(YEAR(revenue[orderDate])=2024,10,NA))),FALSE)</f>
        <v>9.743517226</v>
      </c>
      <c r="K17" s="9">
        <v>14.4</v>
      </c>
      <c r="L17" s="25">
        <f>(revenue[orderPrice]-revenue[productCost])/revenue[productCost]</f>
        <v>0.4779057362</v>
      </c>
      <c r="M17" s="10">
        <v>42.0</v>
      </c>
      <c r="N17" s="25">
        <v>0.0</v>
      </c>
      <c r="O17" s="9">
        <f>revenue[orderPrice]*revenue[orderQuantity]</f>
        <v>604.8</v>
      </c>
      <c r="P17" s="9">
        <f>revenue[orderTotal]*(1-revenue[discountApllied])</f>
        <v>604.8</v>
      </c>
      <c r="Q17" s="9">
        <f>revenue[revenue]-(revenue[productCost]*revenue[orderQuantity])</f>
        <v>195.5722765</v>
      </c>
      <c r="R17" s="25">
        <f>IFERROR(revenue[profit]/revenue[revenue], 0)</f>
        <v>0.3233668593</v>
      </c>
      <c r="S17" s="9">
        <f>revenue[productCost]*revenue[orderQuantity]</f>
        <v>409.2277235</v>
      </c>
    </row>
    <row r="18" ht="22.5" customHeight="1">
      <c r="A18" s="6">
        <v>10253.0</v>
      </c>
      <c r="B18" s="7" t="s">
        <v>16</v>
      </c>
      <c r="C18" s="24" t="str">
        <f>VLOOKUP(revenue[customerID],customers[],2,FALSE)</f>
        <v>Hanari Carnes</v>
      </c>
      <c r="D18" s="24" t="str">
        <f>VLOOKUP(revenue[customerID],customers[],6,FALSE)</f>
        <v>Rio de Janeiro</v>
      </c>
      <c r="E18" s="24" t="str">
        <f>VLOOKUP(revenue[customerID],customers[],9,FALSE)</f>
        <v>Brazil</v>
      </c>
      <c r="F18" s="24">
        <v>44752.0</v>
      </c>
      <c r="G18" s="6">
        <v>49.0</v>
      </c>
      <c r="H18" s="9" t="str">
        <f>VLOOKUP(revenue[productID],products[],2,FALSE)</f>
        <v>Maxilaku</v>
      </c>
      <c r="I18" s="9" t="str">
        <f>VLOOKUP(revenue[productID],products[],12,FALSE)</f>
        <v>Confections</v>
      </c>
      <c r="J18" s="9">
        <f>VLOOKUP(revenue[productID],products[],IF(YEAR(revenue[orderDate])=2022,8,IF(YEAR(revenue[orderDate])=2023,9,IF(YEAR(revenue[orderDate])=2024,10,NA))),FALSE)</f>
        <v>12.56663579</v>
      </c>
      <c r="K18" s="9">
        <v>16.0</v>
      </c>
      <c r="L18" s="25">
        <f>(revenue[orderPrice]-revenue[productCost])/revenue[productCost]</f>
        <v>0.2732126779</v>
      </c>
      <c r="M18" s="10">
        <v>40.0</v>
      </c>
      <c r="N18" s="25">
        <v>0.0</v>
      </c>
      <c r="O18" s="9">
        <f>revenue[orderPrice]*revenue[orderQuantity]</f>
        <v>640</v>
      </c>
      <c r="P18" s="9">
        <f>revenue[orderTotal]*(1-revenue[discountApllied])</f>
        <v>640</v>
      </c>
      <c r="Q18" s="9">
        <f>revenue[revenue]-(revenue[productCost]*revenue[orderQuantity])</f>
        <v>137.3345686</v>
      </c>
      <c r="R18" s="25">
        <f>IFERROR(revenue[profit]/revenue[revenue], 0)</f>
        <v>0.2145852634</v>
      </c>
      <c r="S18" s="9">
        <f>revenue[productCost]*revenue[orderQuantity]</f>
        <v>502.6654314</v>
      </c>
    </row>
    <row r="19" ht="22.5" customHeight="1">
      <c r="A19" s="6">
        <v>10254.0</v>
      </c>
      <c r="B19" s="7" t="s">
        <v>20</v>
      </c>
      <c r="C19" s="24" t="str">
        <f>VLOOKUP(revenue[customerID],customers[],2,FALSE)</f>
        <v>Chop-suey Chinese</v>
      </c>
      <c r="D19" s="24" t="str">
        <f>VLOOKUP(revenue[customerID],customers[],6,FALSE)</f>
        <v>Bern</v>
      </c>
      <c r="E19" s="24" t="str">
        <f>VLOOKUP(revenue[customerID],customers[],9,FALSE)</f>
        <v>Switzerland</v>
      </c>
      <c r="F19" s="24">
        <v>44753.0</v>
      </c>
      <c r="G19" s="6">
        <v>24.0</v>
      </c>
      <c r="H19" s="9" t="str">
        <f>VLOOKUP(revenue[productID],products[],2,FALSE)</f>
        <v>Brigadeiros Maravilhosos da Lilian</v>
      </c>
      <c r="I19" s="9" t="str">
        <f>VLOOKUP(revenue[productID],products[],12,FALSE)</f>
        <v>Confections</v>
      </c>
      <c r="J19" s="9">
        <f>VLOOKUP(revenue[productID],products[],IF(YEAR(revenue[orderDate])=2022,8,IF(YEAR(revenue[orderDate])=2023,9,IF(YEAR(revenue[orderDate])=2024,10,NA))),FALSE)</f>
        <v>2.68117246</v>
      </c>
      <c r="K19" s="9">
        <v>3.6</v>
      </c>
      <c r="L19" s="25">
        <f>(revenue[orderPrice]-revenue[productCost])/revenue[productCost]</f>
        <v>0.3426961727</v>
      </c>
      <c r="M19" s="10">
        <v>15.0</v>
      </c>
      <c r="N19" s="25">
        <v>0.15</v>
      </c>
      <c r="O19" s="9">
        <f>revenue[orderPrice]*revenue[orderQuantity]</f>
        <v>54</v>
      </c>
      <c r="P19" s="9">
        <f>revenue[orderTotal]*(1-revenue[discountApllied])</f>
        <v>45.9</v>
      </c>
      <c r="Q19" s="9">
        <f>revenue[revenue]-(revenue[productCost]*revenue[orderQuantity])</f>
        <v>5.682413104</v>
      </c>
      <c r="R19" s="25">
        <f>IFERROR(revenue[profit]/revenue[revenue], 0)</f>
        <v>0.1237998498</v>
      </c>
      <c r="S19" s="9">
        <f>revenue[productCost]*revenue[orderQuantity]</f>
        <v>40.2175869</v>
      </c>
    </row>
    <row r="20" ht="22.5" customHeight="1">
      <c r="A20" s="6">
        <v>10254.0</v>
      </c>
      <c r="B20" s="7" t="s">
        <v>20</v>
      </c>
      <c r="C20" s="24" t="str">
        <f>VLOOKUP(revenue[customerID],customers[],2,FALSE)</f>
        <v>Chop-suey Chinese</v>
      </c>
      <c r="D20" s="24" t="str">
        <f>VLOOKUP(revenue[customerID],customers[],6,FALSE)</f>
        <v>Bern</v>
      </c>
      <c r="E20" s="24" t="str">
        <f>VLOOKUP(revenue[customerID],customers[],9,FALSE)</f>
        <v>Switzerland</v>
      </c>
      <c r="F20" s="24">
        <v>44753.0</v>
      </c>
      <c r="G20" s="6">
        <v>55.0</v>
      </c>
      <c r="H20" s="9" t="str">
        <f>VLOOKUP(revenue[productID],products[],2,FALSE)</f>
        <v>Pâté chinois</v>
      </c>
      <c r="I20" s="9" t="str">
        <f>VLOOKUP(revenue[productID],products[],12,FALSE)</f>
        <v>Meat/Poultry</v>
      </c>
      <c r="J20" s="9">
        <f>VLOOKUP(revenue[productID],products[],IF(YEAR(revenue[orderDate])=2022,8,IF(YEAR(revenue[orderDate])=2023,9,IF(YEAR(revenue[orderDate])=2024,10,NA))),FALSE)</f>
        <v>12.97496052</v>
      </c>
      <c r="K20" s="9">
        <v>19.2</v>
      </c>
      <c r="L20" s="25">
        <f>(revenue[orderPrice]-revenue[productCost])/revenue[productCost]</f>
        <v>0.4797732884</v>
      </c>
      <c r="M20" s="10">
        <v>21.0</v>
      </c>
      <c r="N20" s="25">
        <v>0.15</v>
      </c>
      <c r="O20" s="9">
        <f>revenue[orderPrice]*revenue[orderQuantity]</f>
        <v>403.2</v>
      </c>
      <c r="P20" s="9">
        <f>revenue[orderTotal]*(1-revenue[discountApllied])</f>
        <v>342.72</v>
      </c>
      <c r="Q20" s="9">
        <f>revenue[revenue]-(revenue[productCost]*revenue[orderQuantity])</f>
        <v>70.24582901</v>
      </c>
      <c r="R20" s="25">
        <f>IFERROR(revenue[profit]/revenue[revenue], 0)</f>
        <v>0.2049656542</v>
      </c>
      <c r="S20" s="9">
        <f>revenue[productCost]*revenue[orderQuantity]</f>
        <v>272.474171</v>
      </c>
    </row>
    <row r="21" ht="15.75" customHeight="1">
      <c r="A21" s="6">
        <v>10254.0</v>
      </c>
      <c r="B21" s="7" t="s">
        <v>20</v>
      </c>
      <c r="C21" s="24" t="str">
        <f>VLOOKUP(revenue[customerID],customers[],2,FALSE)</f>
        <v>Chop-suey Chinese</v>
      </c>
      <c r="D21" s="24" t="str">
        <f>VLOOKUP(revenue[customerID],customers[],6,FALSE)</f>
        <v>Bern</v>
      </c>
      <c r="E21" s="24" t="str">
        <f>VLOOKUP(revenue[customerID],customers[],9,FALSE)</f>
        <v>Switzerland</v>
      </c>
      <c r="F21" s="24">
        <v>44753.0</v>
      </c>
      <c r="G21" s="6">
        <v>74.0</v>
      </c>
      <c r="H21" s="9" t="str">
        <f>VLOOKUP(revenue[productID],products[],2,FALSE)</f>
        <v>Longlife Tofu</v>
      </c>
      <c r="I21" s="9" t="str">
        <f>VLOOKUP(revenue[productID],products[],12,FALSE)</f>
        <v>Produce</v>
      </c>
      <c r="J21" s="9">
        <f>VLOOKUP(revenue[productID],products[],IF(YEAR(revenue[orderDate])=2022,8,IF(YEAR(revenue[orderDate])=2023,9,IF(YEAR(revenue[orderDate])=2024,10,NA))),FALSE)</f>
        <v>5.667130124</v>
      </c>
      <c r="K21" s="9">
        <v>8.0</v>
      </c>
      <c r="L21" s="25">
        <f>(revenue[orderPrice]-revenue[productCost])/revenue[productCost]</f>
        <v>0.4116492519</v>
      </c>
      <c r="M21" s="10">
        <v>21.0</v>
      </c>
      <c r="N21" s="25">
        <v>0.0</v>
      </c>
      <c r="O21" s="9">
        <f>revenue[orderPrice]*revenue[orderQuantity]</f>
        <v>168</v>
      </c>
      <c r="P21" s="9">
        <f>revenue[orderTotal]*(1-revenue[discountApllied])</f>
        <v>168</v>
      </c>
      <c r="Q21" s="9">
        <f>revenue[revenue]-(revenue[productCost]*revenue[orderQuantity])</f>
        <v>48.9902674</v>
      </c>
      <c r="R21" s="25">
        <f>IFERROR(revenue[profit]/revenue[revenue], 0)</f>
        <v>0.2916087345</v>
      </c>
      <c r="S21" s="9">
        <f>revenue[productCost]*revenue[orderQuantity]</f>
        <v>119.0097326</v>
      </c>
    </row>
    <row r="22" ht="15.75" customHeight="1">
      <c r="A22" s="6">
        <v>10255.0</v>
      </c>
      <c r="B22" s="7" t="s">
        <v>21</v>
      </c>
      <c r="C22" s="24" t="str">
        <f>VLOOKUP(revenue[customerID],customers[],2,FALSE)</f>
        <v>Richter Supermarkt</v>
      </c>
      <c r="D22" s="24" t="str">
        <f>VLOOKUP(revenue[customerID],customers[],6,FALSE)</f>
        <v>Genève</v>
      </c>
      <c r="E22" s="24" t="str">
        <f>VLOOKUP(revenue[customerID],customers[],9,FALSE)</f>
        <v>Switzerland</v>
      </c>
      <c r="F22" s="24">
        <v>44754.0</v>
      </c>
      <c r="G22" s="6">
        <v>2.0</v>
      </c>
      <c r="H22" s="9" t="str">
        <f>VLOOKUP(revenue[productID],products[],2,FALSE)</f>
        <v>Chang</v>
      </c>
      <c r="I22" s="9" t="str">
        <f>VLOOKUP(revenue[productID],products[],12,FALSE)</f>
        <v>Beverages</v>
      </c>
      <c r="J22" s="9">
        <f>VLOOKUP(revenue[productID],products[],IF(YEAR(revenue[orderDate])=2022,8,IF(YEAR(revenue[orderDate])=2023,9,IF(YEAR(revenue[orderDate])=2024,10,NA))),FALSE)</f>
        <v>9.768746876</v>
      </c>
      <c r="K22" s="9">
        <v>15.2</v>
      </c>
      <c r="L22" s="25">
        <f>(revenue[orderPrice]-revenue[productCost])/revenue[productCost]</f>
        <v>0.5559825833</v>
      </c>
      <c r="M22" s="10">
        <v>20.0</v>
      </c>
      <c r="N22" s="25">
        <v>0.0</v>
      </c>
      <c r="O22" s="9">
        <f>revenue[orderPrice]*revenue[orderQuantity]</f>
        <v>304</v>
      </c>
      <c r="P22" s="9">
        <f>revenue[orderTotal]*(1-revenue[discountApllied])</f>
        <v>304</v>
      </c>
      <c r="Q22" s="9">
        <f>revenue[revenue]-(revenue[productCost]*revenue[orderQuantity])</f>
        <v>108.6250625</v>
      </c>
      <c r="R22" s="25">
        <f>IFERROR(revenue[profit]/revenue[revenue], 0)</f>
        <v>0.3573192844</v>
      </c>
      <c r="S22" s="9">
        <f>revenue[productCost]*revenue[orderQuantity]</f>
        <v>195.3749375</v>
      </c>
    </row>
    <row r="23" ht="15.75" customHeight="1">
      <c r="A23" s="6">
        <v>10255.0</v>
      </c>
      <c r="B23" s="7" t="s">
        <v>21</v>
      </c>
      <c r="C23" s="24" t="str">
        <f>VLOOKUP(revenue[customerID],customers[],2,FALSE)</f>
        <v>Richter Supermarkt</v>
      </c>
      <c r="D23" s="24" t="str">
        <f>VLOOKUP(revenue[customerID],customers[],6,FALSE)</f>
        <v>Genève</v>
      </c>
      <c r="E23" s="24" t="str">
        <f>VLOOKUP(revenue[customerID],customers[],9,FALSE)</f>
        <v>Switzerland</v>
      </c>
      <c r="F23" s="24">
        <v>44754.0</v>
      </c>
      <c r="G23" s="6">
        <v>16.0</v>
      </c>
      <c r="H23" s="9" t="str">
        <f>VLOOKUP(revenue[productID],products[],2,FALSE)</f>
        <v>Pavlova</v>
      </c>
      <c r="I23" s="9" t="str">
        <f>VLOOKUP(revenue[productID],products[],12,FALSE)</f>
        <v>Confections</v>
      </c>
      <c r="J23" s="9">
        <f>VLOOKUP(revenue[productID],products[],IF(YEAR(revenue[orderDate])=2022,8,IF(YEAR(revenue[orderDate])=2023,9,IF(YEAR(revenue[orderDate])=2024,10,NA))),FALSE)</f>
        <v>9.80658008</v>
      </c>
      <c r="K23" s="9">
        <v>13.9</v>
      </c>
      <c r="L23" s="25">
        <f>(revenue[orderPrice]-revenue[productCost])/revenue[productCost]</f>
        <v>0.417415642</v>
      </c>
      <c r="M23" s="10">
        <v>35.0</v>
      </c>
      <c r="N23" s="25">
        <v>0.0</v>
      </c>
      <c r="O23" s="9">
        <f>revenue[orderPrice]*revenue[orderQuantity]</f>
        <v>486.5</v>
      </c>
      <c r="P23" s="9">
        <f>revenue[orderTotal]*(1-revenue[discountApllied])</f>
        <v>486.5</v>
      </c>
      <c r="Q23" s="9">
        <f>revenue[revenue]-(revenue[productCost]*revenue[orderQuantity])</f>
        <v>143.2696972</v>
      </c>
      <c r="R23" s="25">
        <f>IFERROR(revenue[profit]/revenue[revenue], 0)</f>
        <v>0.2944906417</v>
      </c>
      <c r="S23" s="9">
        <f>revenue[productCost]*revenue[orderQuantity]</f>
        <v>343.2303028</v>
      </c>
    </row>
    <row r="24" ht="15.75" customHeight="1">
      <c r="A24" s="6">
        <v>10255.0</v>
      </c>
      <c r="B24" s="7" t="s">
        <v>21</v>
      </c>
      <c r="C24" s="24" t="str">
        <f>VLOOKUP(revenue[customerID],customers[],2,FALSE)</f>
        <v>Richter Supermarkt</v>
      </c>
      <c r="D24" s="24" t="str">
        <f>VLOOKUP(revenue[customerID],customers[],6,FALSE)</f>
        <v>Genève</v>
      </c>
      <c r="E24" s="24" t="str">
        <f>VLOOKUP(revenue[customerID],customers[],9,FALSE)</f>
        <v>Switzerland</v>
      </c>
      <c r="F24" s="24">
        <v>44754.0</v>
      </c>
      <c r="G24" s="6">
        <v>36.0</v>
      </c>
      <c r="H24" s="9" t="str">
        <f>VLOOKUP(revenue[productID],products[],2,FALSE)</f>
        <v>Inlagd Sill</v>
      </c>
      <c r="I24" s="9" t="str">
        <f>VLOOKUP(revenue[productID],products[],12,FALSE)</f>
        <v>Seafood</v>
      </c>
      <c r="J24" s="9">
        <f>VLOOKUP(revenue[productID],products[],IF(YEAR(revenue[orderDate])=2022,8,IF(YEAR(revenue[orderDate])=2023,9,IF(YEAR(revenue[orderDate])=2024,10,NA))),FALSE)</f>
        <v>9.768238429</v>
      </c>
      <c r="K24" s="9">
        <v>15.2</v>
      </c>
      <c r="L24" s="25">
        <f>(revenue[orderPrice]-revenue[productCost])/revenue[productCost]</f>
        <v>0.5560635738</v>
      </c>
      <c r="M24" s="10">
        <v>25.0</v>
      </c>
      <c r="N24" s="25">
        <v>0.0</v>
      </c>
      <c r="O24" s="9">
        <f>revenue[orderPrice]*revenue[orderQuantity]</f>
        <v>380</v>
      </c>
      <c r="P24" s="9">
        <f>revenue[orderTotal]*(1-revenue[discountApllied])</f>
        <v>380</v>
      </c>
      <c r="Q24" s="9">
        <f>revenue[revenue]-(revenue[productCost]*revenue[orderQuantity])</f>
        <v>135.7940393</v>
      </c>
      <c r="R24" s="25">
        <f>IFERROR(revenue[profit]/revenue[revenue], 0)</f>
        <v>0.3573527349</v>
      </c>
      <c r="S24" s="9">
        <f>revenue[productCost]*revenue[orderQuantity]</f>
        <v>244.2059607</v>
      </c>
    </row>
    <row r="25" ht="15.75" customHeight="1">
      <c r="A25" s="6">
        <v>10255.0</v>
      </c>
      <c r="B25" s="7" t="s">
        <v>21</v>
      </c>
      <c r="C25" s="24" t="str">
        <f>VLOOKUP(revenue[customerID],customers[],2,FALSE)</f>
        <v>Richter Supermarkt</v>
      </c>
      <c r="D25" s="24" t="str">
        <f>VLOOKUP(revenue[customerID],customers[],6,FALSE)</f>
        <v>Genève</v>
      </c>
      <c r="E25" s="24" t="str">
        <f>VLOOKUP(revenue[customerID],customers[],9,FALSE)</f>
        <v>Switzerland</v>
      </c>
      <c r="F25" s="24">
        <v>44754.0</v>
      </c>
      <c r="G25" s="6">
        <v>59.0</v>
      </c>
      <c r="H25" s="9" t="str">
        <f>VLOOKUP(revenue[productID],products[],2,FALSE)</f>
        <v>Raclette Courdavault</v>
      </c>
      <c r="I25" s="9" t="str">
        <f>VLOOKUP(revenue[productID],products[],12,FALSE)</f>
        <v>Dairy Products</v>
      </c>
      <c r="J25" s="9">
        <f>VLOOKUP(revenue[productID],products[],IF(YEAR(revenue[orderDate])=2022,8,IF(YEAR(revenue[orderDate])=2023,9,IF(YEAR(revenue[orderDate])=2024,10,NA))),FALSE)</f>
        <v>29.20351951</v>
      </c>
      <c r="K25" s="9">
        <v>44.0</v>
      </c>
      <c r="L25" s="25">
        <f>(revenue[orderPrice]-revenue[productCost])/revenue[productCost]</f>
        <v>0.5066677147</v>
      </c>
      <c r="M25" s="10">
        <v>30.0</v>
      </c>
      <c r="N25" s="25">
        <v>0.0</v>
      </c>
      <c r="O25" s="9">
        <f>revenue[orderPrice]*revenue[orderQuantity]</f>
        <v>1320</v>
      </c>
      <c r="P25" s="9">
        <f>revenue[orderTotal]*(1-revenue[discountApllied])</f>
        <v>1320</v>
      </c>
      <c r="Q25" s="9">
        <f>revenue[revenue]-(revenue[productCost]*revenue[orderQuantity])</f>
        <v>443.8944147</v>
      </c>
      <c r="R25" s="25">
        <f>IFERROR(revenue[profit]/revenue[revenue], 0)</f>
        <v>0.3362836475</v>
      </c>
      <c r="S25" s="9">
        <f>revenue[productCost]*revenue[orderQuantity]</f>
        <v>876.1055853</v>
      </c>
    </row>
    <row r="26" ht="15.75" customHeight="1">
      <c r="A26" s="6">
        <v>10256.0</v>
      </c>
      <c r="B26" s="7" t="s">
        <v>22</v>
      </c>
      <c r="C26" s="24" t="str">
        <f>VLOOKUP(revenue[customerID],customers[],2,FALSE)</f>
        <v>Wellington Importadora</v>
      </c>
      <c r="D26" s="24" t="str">
        <f>VLOOKUP(revenue[customerID],customers[],6,FALSE)</f>
        <v>Resende</v>
      </c>
      <c r="E26" s="24" t="str">
        <f>VLOOKUP(revenue[customerID],customers[],9,FALSE)</f>
        <v>Brazil</v>
      </c>
      <c r="F26" s="24">
        <v>44757.0</v>
      </c>
      <c r="G26" s="6">
        <v>53.0</v>
      </c>
      <c r="H26" s="9" t="str">
        <f>VLOOKUP(revenue[productID],products[],2,FALSE)</f>
        <v>Perth Pasties</v>
      </c>
      <c r="I26" s="9" t="str">
        <f>VLOOKUP(revenue[productID],products[],12,FALSE)</f>
        <v>Meat/Poultry</v>
      </c>
      <c r="J26" s="9">
        <f>VLOOKUP(revenue[productID],products[],IF(YEAR(revenue[orderDate])=2022,8,IF(YEAR(revenue[orderDate])=2023,9,IF(YEAR(revenue[orderDate])=2024,10,NA))),FALSE)</f>
        <v>18.33322006</v>
      </c>
      <c r="K26" s="9">
        <v>26.2</v>
      </c>
      <c r="L26" s="25">
        <f>(revenue[orderPrice]-revenue[productCost])/revenue[productCost]</f>
        <v>0.4290997391</v>
      </c>
      <c r="M26" s="10">
        <v>15.0</v>
      </c>
      <c r="N26" s="25">
        <v>0.0</v>
      </c>
      <c r="O26" s="9">
        <f>revenue[orderPrice]*revenue[orderQuantity]</f>
        <v>393</v>
      </c>
      <c r="P26" s="9">
        <f>revenue[orderTotal]*(1-revenue[discountApllied])</f>
        <v>393</v>
      </c>
      <c r="Q26" s="9">
        <f>revenue[revenue]-(revenue[productCost]*revenue[orderQuantity])</f>
        <v>118.0016992</v>
      </c>
      <c r="R26" s="25">
        <f>IFERROR(revenue[profit]/revenue[revenue], 0)</f>
        <v>0.3002587765</v>
      </c>
      <c r="S26" s="9">
        <f>revenue[productCost]*revenue[orderQuantity]</f>
        <v>274.9983008</v>
      </c>
    </row>
    <row r="27" ht="15.75" customHeight="1">
      <c r="A27" s="6">
        <v>10256.0</v>
      </c>
      <c r="B27" s="7" t="s">
        <v>22</v>
      </c>
      <c r="C27" s="24" t="str">
        <f>VLOOKUP(revenue[customerID],customers[],2,FALSE)</f>
        <v>Wellington Importadora</v>
      </c>
      <c r="D27" s="24" t="str">
        <f>VLOOKUP(revenue[customerID],customers[],6,FALSE)</f>
        <v>Resende</v>
      </c>
      <c r="E27" s="24" t="str">
        <f>VLOOKUP(revenue[customerID],customers[],9,FALSE)</f>
        <v>Brazil</v>
      </c>
      <c r="F27" s="24">
        <v>44757.0</v>
      </c>
      <c r="G27" s="6">
        <v>77.0</v>
      </c>
      <c r="H27" s="9" t="str">
        <f>VLOOKUP(revenue[productID],products[],2,FALSE)</f>
        <v>Original Frankfurter grüne Soße</v>
      </c>
      <c r="I27" s="9" t="str">
        <f>VLOOKUP(revenue[productID],products[],12,FALSE)</f>
        <v>Condiments</v>
      </c>
      <c r="J27" s="9">
        <f>VLOOKUP(revenue[productID],products[],IF(YEAR(revenue[orderDate])=2022,8,IF(YEAR(revenue[orderDate])=2023,9,IF(YEAR(revenue[orderDate])=2024,10,NA))),FALSE)</f>
        <v>7.430272842</v>
      </c>
      <c r="K27" s="9">
        <v>10.4</v>
      </c>
      <c r="L27" s="25">
        <f>(revenue[orderPrice]-revenue[productCost])/revenue[productCost]</f>
        <v>0.3996794225</v>
      </c>
      <c r="M27" s="10">
        <v>12.0</v>
      </c>
      <c r="N27" s="25">
        <v>0.0</v>
      </c>
      <c r="O27" s="9">
        <f>revenue[orderPrice]*revenue[orderQuantity]</f>
        <v>124.8</v>
      </c>
      <c r="P27" s="9">
        <f>revenue[orderTotal]*(1-revenue[discountApllied])</f>
        <v>124.8</v>
      </c>
      <c r="Q27" s="9">
        <f>revenue[revenue]-(revenue[productCost]*revenue[orderQuantity])</f>
        <v>35.6367259</v>
      </c>
      <c r="R27" s="25">
        <f>IFERROR(revenue[profit]/revenue[revenue], 0)</f>
        <v>0.2855506883</v>
      </c>
      <c r="S27" s="9">
        <f>revenue[productCost]*revenue[orderQuantity]</f>
        <v>89.1632741</v>
      </c>
    </row>
    <row r="28" ht="15.75" customHeight="1">
      <c r="A28" s="6">
        <v>10257.0</v>
      </c>
      <c r="B28" s="7" t="s">
        <v>23</v>
      </c>
      <c r="C28" s="24" t="str">
        <f>VLOOKUP(revenue[customerID],customers[],2,FALSE)</f>
        <v>HILARION-Abastos</v>
      </c>
      <c r="D28" s="24" t="str">
        <f>VLOOKUP(revenue[customerID],customers[],6,FALSE)</f>
        <v>San Cristóbal</v>
      </c>
      <c r="E28" s="24" t="str">
        <f>VLOOKUP(revenue[customerID],customers[],9,FALSE)</f>
        <v>Venezuela</v>
      </c>
      <c r="F28" s="24">
        <v>44758.0</v>
      </c>
      <c r="G28" s="6">
        <v>27.0</v>
      </c>
      <c r="H28" s="9" t="str">
        <f>VLOOKUP(revenue[productID],products[],2,FALSE)</f>
        <v>Schoggi Schokolade</v>
      </c>
      <c r="I28" s="9" t="str">
        <f>VLOOKUP(revenue[productID],products[],12,FALSE)</f>
        <v>Confections</v>
      </c>
      <c r="J28" s="9">
        <f>VLOOKUP(revenue[productID],products[],IF(YEAR(revenue[orderDate])=2022,8,IF(YEAR(revenue[orderDate])=2023,9,IF(YEAR(revenue[orderDate])=2024,10,NA))),FALSE)</f>
        <v>23.20562839</v>
      </c>
      <c r="K28" s="9">
        <v>35.1</v>
      </c>
      <c r="L28" s="25">
        <f>(revenue[orderPrice]-revenue[productCost])/revenue[productCost]</f>
        <v>0.5125640821</v>
      </c>
      <c r="M28" s="10">
        <v>25.0</v>
      </c>
      <c r="N28" s="25">
        <v>0.0</v>
      </c>
      <c r="O28" s="9">
        <f>revenue[orderPrice]*revenue[orderQuantity]</f>
        <v>877.5</v>
      </c>
      <c r="P28" s="9">
        <f>revenue[orderTotal]*(1-revenue[discountApllied])</f>
        <v>877.5</v>
      </c>
      <c r="Q28" s="9">
        <f>revenue[revenue]-(revenue[productCost]*revenue[orderQuantity])</f>
        <v>297.3592903</v>
      </c>
      <c r="R28" s="25">
        <f>IFERROR(revenue[profit]/revenue[revenue], 0)</f>
        <v>0.3388709861</v>
      </c>
      <c r="S28" s="9">
        <f>revenue[productCost]*revenue[orderQuantity]</f>
        <v>580.1407097</v>
      </c>
    </row>
    <row r="29" ht="15.75" customHeight="1">
      <c r="A29" s="6">
        <v>10257.0</v>
      </c>
      <c r="B29" s="7" t="s">
        <v>23</v>
      </c>
      <c r="C29" s="24" t="str">
        <f>VLOOKUP(revenue[customerID],customers[],2,FALSE)</f>
        <v>HILARION-Abastos</v>
      </c>
      <c r="D29" s="24" t="str">
        <f>VLOOKUP(revenue[customerID],customers[],6,FALSE)</f>
        <v>San Cristóbal</v>
      </c>
      <c r="E29" s="24" t="str">
        <f>VLOOKUP(revenue[customerID],customers[],9,FALSE)</f>
        <v>Venezuela</v>
      </c>
      <c r="F29" s="24">
        <v>44758.0</v>
      </c>
      <c r="G29" s="6">
        <v>39.0</v>
      </c>
      <c r="H29" s="9" t="str">
        <f>VLOOKUP(revenue[productID],products[],2,FALSE)</f>
        <v>Chartreuse verte</v>
      </c>
      <c r="I29" s="9" t="str">
        <f>VLOOKUP(revenue[productID],products[],12,FALSE)</f>
        <v>Beverages</v>
      </c>
      <c r="J29" s="9">
        <f>VLOOKUP(revenue[productID],products[],IF(YEAR(revenue[orderDate])=2022,8,IF(YEAR(revenue[orderDate])=2023,9,IF(YEAR(revenue[orderDate])=2024,10,NA))),FALSE)</f>
        <v>9.743517226</v>
      </c>
      <c r="K29" s="9">
        <v>14.4</v>
      </c>
      <c r="L29" s="25">
        <f>(revenue[orderPrice]-revenue[productCost])/revenue[productCost]</f>
        <v>0.4779057362</v>
      </c>
      <c r="M29" s="10">
        <v>6.0</v>
      </c>
      <c r="N29" s="25">
        <v>0.0</v>
      </c>
      <c r="O29" s="9">
        <f>revenue[orderPrice]*revenue[orderQuantity]</f>
        <v>86.4</v>
      </c>
      <c r="P29" s="9">
        <f>revenue[orderTotal]*(1-revenue[discountApllied])</f>
        <v>86.4</v>
      </c>
      <c r="Q29" s="9">
        <f>revenue[revenue]-(revenue[productCost]*revenue[orderQuantity])</f>
        <v>27.93889664</v>
      </c>
      <c r="R29" s="25">
        <f>IFERROR(revenue[profit]/revenue[revenue], 0)</f>
        <v>0.3233668593</v>
      </c>
      <c r="S29" s="9">
        <f>revenue[productCost]*revenue[orderQuantity]</f>
        <v>58.46110336</v>
      </c>
    </row>
    <row r="30" ht="15.75" customHeight="1">
      <c r="A30" s="6">
        <v>10257.0</v>
      </c>
      <c r="B30" s="7" t="s">
        <v>23</v>
      </c>
      <c r="C30" s="24" t="str">
        <f>VLOOKUP(revenue[customerID],customers[],2,FALSE)</f>
        <v>HILARION-Abastos</v>
      </c>
      <c r="D30" s="24" t="str">
        <f>VLOOKUP(revenue[customerID],customers[],6,FALSE)</f>
        <v>San Cristóbal</v>
      </c>
      <c r="E30" s="24" t="str">
        <f>VLOOKUP(revenue[customerID],customers[],9,FALSE)</f>
        <v>Venezuela</v>
      </c>
      <c r="F30" s="24">
        <v>44758.0</v>
      </c>
      <c r="G30" s="6">
        <v>77.0</v>
      </c>
      <c r="H30" s="9" t="str">
        <f>VLOOKUP(revenue[productID],products[],2,FALSE)</f>
        <v>Original Frankfurter grüne Soße</v>
      </c>
      <c r="I30" s="9" t="str">
        <f>VLOOKUP(revenue[productID],products[],12,FALSE)</f>
        <v>Condiments</v>
      </c>
      <c r="J30" s="9">
        <f>VLOOKUP(revenue[productID],products[],IF(YEAR(revenue[orderDate])=2022,8,IF(YEAR(revenue[orderDate])=2023,9,IF(YEAR(revenue[orderDate])=2024,10,NA))),FALSE)</f>
        <v>7.430272842</v>
      </c>
      <c r="K30" s="9">
        <v>10.4</v>
      </c>
      <c r="L30" s="25">
        <f>(revenue[orderPrice]-revenue[productCost])/revenue[productCost]</f>
        <v>0.3996794225</v>
      </c>
      <c r="M30" s="10">
        <v>15.0</v>
      </c>
      <c r="N30" s="25">
        <v>0.0</v>
      </c>
      <c r="O30" s="9">
        <f>revenue[orderPrice]*revenue[orderQuantity]</f>
        <v>156</v>
      </c>
      <c r="P30" s="9">
        <f>revenue[orderTotal]*(1-revenue[discountApllied])</f>
        <v>156</v>
      </c>
      <c r="Q30" s="9">
        <f>revenue[revenue]-(revenue[productCost]*revenue[orderQuantity])</f>
        <v>44.54590738</v>
      </c>
      <c r="R30" s="25">
        <f>IFERROR(revenue[profit]/revenue[revenue], 0)</f>
        <v>0.2855506883</v>
      </c>
      <c r="S30" s="9">
        <f>revenue[productCost]*revenue[orderQuantity]</f>
        <v>111.4540926</v>
      </c>
    </row>
    <row r="31" ht="15.75" customHeight="1">
      <c r="A31" s="6">
        <v>10258.0</v>
      </c>
      <c r="B31" s="7" t="s">
        <v>24</v>
      </c>
      <c r="C31" s="24" t="str">
        <f>VLOOKUP(revenue[customerID],customers[],2,FALSE)</f>
        <v>Ernst Handel</v>
      </c>
      <c r="D31" s="24" t="str">
        <f>VLOOKUP(revenue[customerID],customers[],6,FALSE)</f>
        <v>Graz</v>
      </c>
      <c r="E31" s="24" t="str">
        <f>VLOOKUP(revenue[customerID],customers[],9,FALSE)</f>
        <v>Austria</v>
      </c>
      <c r="F31" s="24">
        <v>44759.0</v>
      </c>
      <c r="G31" s="6">
        <v>2.0</v>
      </c>
      <c r="H31" s="9" t="str">
        <f>VLOOKUP(revenue[productID],products[],2,FALSE)</f>
        <v>Chang</v>
      </c>
      <c r="I31" s="9" t="str">
        <f>VLOOKUP(revenue[productID],products[],12,FALSE)</f>
        <v>Beverages</v>
      </c>
      <c r="J31" s="9">
        <f>VLOOKUP(revenue[productID],products[],IF(YEAR(revenue[orderDate])=2022,8,IF(YEAR(revenue[orderDate])=2023,9,IF(YEAR(revenue[orderDate])=2024,10,NA))),FALSE)</f>
        <v>9.768746876</v>
      </c>
      <c r="K31" s="9">
        <v>15.2</v>
      </c>
      <c r="L31" s="25">
        <f>(revenue[orderPrice]-revenue[productCost])/revenue[productCost]</f>
        <v>0.5559825833</v>
      </c>
      <c r="M31" s="10">
        <v>50.0</v>
      </c>
      <c r="N31" s="25">
        <v>0.2</v>
      </c>
      <c r="O31" s="9">
        <f>revenue[orderPrice]*revenue[orderQuantity]</f>
        <v>760</v>
      </c>
      <c r="P31" s="9">
        <f>revenue[orderTotal]*(1-revenue[discountApllied])</f>
        <v>608</v>
      </c>
      <c r="Q31" s="9">
        <f>revenue[revenue]-(revenue[productCost]*revenue[orderQuantity])</f>
        <v>119.5626562</v>
      </c>
      <c r="R31" s="25">
        <f>IFERROR(revenue[profit]/revenue[revenue], 0)</f>
        <v>0.1966491056</v>
      </c>
      <c r="S31" s="9">
        <f>revenue[productCost]*revenue[orderQuantity]</f>
        <v>488.4373438</v>
      </c>
    </row>
    <row r="32" ht="15.75" customHeight="1">
      <c r="A32" s="6">
        <v>10258.0</v>
      </c>
      <c r="B32" s="7" t="s">
        <v>24</v>
      </c>
      <c r="C32" s="24" t="str">
        <f>VLOOKUP(revenue[customerID],customers[],2,FALSE)</f>
        <v>Ernst Handel</v>
      </c>
      <c r="D32" s="24" t="str">
        <f>VLOOKUP(revenue[customerID],customers[],6,FALSE)</f>
        <v>Graz</v>
      </c>
      <c r="E32" s="24" t="str">
        <f>VLOOKUP(revenue[customerID],customers[],9,FALSE)</f>
        <v>Austria</v>
      </c>
      <c r="F32" s="24">
        <v>44759.0</v>
      </c>
      <c r="G32" s="6">
        <v>5.0</v>
      </c>
      <c r="H32" s="9" t="str">
        <f>VLOOKUP(revenue[productID],products[],2,FALSE)</f>
        <v>Chef Anton's Gumbo Mix</v>
      </c>
      <c r="I32" s="9" t="str">
        <f>VLOOKUP(revenue[productID],products[],12,FALSE)</f>
        <v>Condiments</v>
      </c>
      <c r="J32" s="9">
        <f>VLOOKUP(revenue[productID],products[],IF(YEAR(revenue[orderDate])=2022,8,IF(YEAR(revenue[orderDate])=2023,9,IF(YEAR(revenue[orderDate])=2024,10,NA))),FALSE)</f>
        <v>10.9059059</v>
      </c>
      <c r="K32" s="9">
        <v>17.0</v>
      </c>
      <c r="L32" s="25">
        <f>(revenue[orderPrice]-revenue[productCost])/revenue[productCost]</f>
        <v>0.5587884354</v>
      </c>
      <c r="M32" s="10">
        <v>65.0</v>
      </c>
      <c r="N32" s="25">
        <v>0.2</v>
      </c>
      <c r="O32" s="9">
        <f>revenue[orderPrice]*revenue[orderQuantity]</f>
        <v>1105</v>
      </c>
      <c r="P32" s="9">
        <f>revenue[orderTotal]*(1-revenue[discountApllied])</f>
        <v>884</v>
      </c>
      <c r="Q32" s="9">
        <f>revenue[revenue]-(revenue[productCost]*revenue[orderQuantity])</f>
        <v>175.1161163</v>
      </c>
      <c r="R32" s="25">
        <f>IFERROR(revenue[profit]/revenue[revenue], 0)</f>
        <v>0.1980951542</v>
      </c>
      <c r="S32" s="9">
        <f>revenue[productCost]*revenue[orderQuantity]</f>
        <v>708.8838837</v>
      </c>
    </row>
    <row r="33" ht="15.75" customHeight="1">
      <c r="A33" s="6">
        <v>10258.0</v>
      </c>
      <c r="B33" s="7" t="s">
        <v>24</v>
      </c>
      <c r="C33" s="24" t="str">
        <f>VLOOKUP(revenue[customerID],customers[],2,FALSE)</f>
        <v>Ernst Handel</v>
      </c>
      <c r="D33" s="24" t="str">
        <f>VLOOKUP(revenue[customerID],customers[],6,FALSE)</f>
        <v>Graz</v>
      </c>
      <c r="E33" s="24" t="str">
        <f>VLOOKUP(revenue[customerID],customers[],9,FALSE)</f>
        <v>Austria</v>
      </c>
      <c r="F33" s="24">
        <v>44759.0</v>
      </c>
      <c r="G33" s="6">
        <v>32.0</v>
      </c>
      <c r="H33" s="9" t="str">
        <f>VLOOKUP(revenue[productID],products[],2,FALSE)</f>
        <v>Mascarpone Fabioli</v>
      </c>
      <c r="I33" s="9" t="str">
        <f>VLOOKUP(revenue[productID],products[],12,FALSE)</f>
        <v>Dairy Products</v>
      </c>
      <c r="J33" s="9">
        <f>VLOOKUP(revenue[productID],products[],IF(YEAR(revenue[orderDate])=2022,8,IF(YEAR(revenue[orderDate])=2023,9,IF(YEAR(revenue[orderDate])=2024,10,NA))),FALSE)</f>
        <v>14.65492467</v>
      </c>
      <c r="K33" s="9">
        <v>25.6</v>
      </c>
      <c r="L33" s="25">
        <f>(revenue[orderPrice]-revenue[productCost])/revenue[productCost]</f>
        <v>0.7468530603</v>
      </c>
      <c r="M33" s="10">
        <v>6.0</v>
      </c>
      <c r="N33" s="25">
        <v>0.2</v>
      </c>
      <c r="O33" s="9">
        <f>revenue[orderPrice]*revenue[orderQuantity]</f>
        <v>153.6</v>
      </c>
      <c r="P33" s="9">
        <f>revenue[orderTotal]*(1-revenue[discountApllied])</f>
        <v>122.88</v>
      </c>
      <c r="Q33" s="9">
        <f>revenue[revenue]-(revenue[productCost]*revenue[orderQuantity])</f>
        <v>34.95045201</v>
      </c>
      <c r="R33" s="25">
        <f>IFERROR(revenue[profit]/revenue[revenue], 0)</f>
        <v>0.2844275066</v>
      </c>
      <c r="S33" s="9">
        <f>revenue[productCost]*revenue[orderQuantity]</f>
        <v>87.92954799</v>
      </c>
    </row>
    <row r="34" ht="15.75" customHeight="1">
      <c r="A34" s="6">
        <v>10259.0</v>
      </c>
      <c r="B34" s="7" t="s">
        <v>25</v>
      </c>
      <c r="C34" s="24" t="str">
        <f>VLOOKUP(revenue[customerID],customers[],2,FALSE)</f>
        <v>Centro comercial Moctezuma</v>
      </c>
      <c r="D34" s="24" t="str">
        <f>VLOOKUP(revenue[customerID],customers[],6,FALSE)</f>
        <v>México D.F.</v>
      </c>
      <c r="E34" s="24" t="str">
        <f>VLOOKUP(revenue[customerID],customers[],9,FALSE)</f>
        <v>Mexico</v>
      </c>
      <c r="F34" s="24">
        <v>44760.0</v>
      </c>
      <c r="G34" s="6">
        <v>21.0</v>
      </c>
      <c r="H34" s="9" t="str">
        <f>VLOOKUP(revenue[productID],products[],2,FALSE)</f>
        <v>Sir Rodney's Scones</v>
      </c>
      <c r="I34" s="9" t="str">
        <f>VLOOKUP(revenue[productID],products[],12,FALSE)</f>
        <v>Confections</v>
      </c>
      <c r="J34" s="9">
        <f>VLOOKUP(revenue[productID],products[],IF(YEAR(revenue[orderDate])=2022,8,IF(YEAR(revenue[orderDate])=2023,9,IF(YEAR(revenue[orderDate])=2024,10,NA))),FALSE)</f>
        <v>5.773836452</v>
      </c>
      <c r="K34" s="9">
        <v>8.0</v>
      </c>
      <c r="L34" s="25">
        <f>(revenue[orderPrice]-revenue[productCost])/revenue[productCost]</f>
        <v>0.3855605483</v>
      </c>
      <c r="M34" s="10">
        <v>10.0</v>
      </c>
      <c r="N34" s="25">
        <v>0.0</v>
      </c>
      <c r="O34" s="9">
        <f>revenue[orderPrice]*revenue[orderQuantity]</f>
        <v>80</v>
      </c>
      <c r="P34" s="9">
        <f>revenue[orderTotal]*(1-revenue[discountApllied])</f>
        <v>80</v>
      </c>
      <c r="Q34" s="9">
        <f>revenue[revenue]-(revenue[productCost]*revenue[orderQuantity])</f>
        <v>22.26163548</v>
      </c>
      <c r="R34" s="25">
        <f>IFERROR(revenue[profit]/revenue[revenue], 0)</f>
        <v>0.2782704435</v>
      </c>
      <c r="S34" s="9">
        <f>revenue[productCost]*revenue[orderQuantity]</f>
        <v>57.73836452</v>
      </c>
    </row>
    <row r="35" ht="15.75" customHeight="1">
      <c r="A35" s="6">
        <v>10259.0</v>
      </c>
      <c r="B35" s="7" t="s">
        <v>25</v>
      </c>
      <c r="C35" s="24" t="str">
        <f>VLOOKUP(revenue[customerID],customers[],2,FALSE)</f>
        <v>Centro comercial Moctezuma</v>
      </c>
      <c r="D35" s="24" t="str">
        <f>VLOOKUP(revenue[customerID],customers[],6,FALSE)</f>
        <v>México D.F.</v>
      </c>
      <c r="E35" s="24" t="str">
        <f>VLOOKUP(revenue[customerID],customers[],9,FALSE)</f>
        <v>Mexico</v>
      </c>
      <c r="F35" s="24">
        <v>44760.0</v>
      </c>
      <c r="G35" s="6">
        <v>37.0</v>
      </c>
      <c r="H35" s="9" t="str">
        <f>VLOOKUP(revenue[productID],products[],2,FALSE)</f>
        <v>Gravad lax</v>
      </c>
      <c r="I35" s="9" t="str">
        <f>VLOOKUP(revenue[productID],products[],12,FALSE)</f>
        <v>Seafood</v>
      </c>
      <c r="J35" s="9">
        <f>VLOOKUP(revenue[productID],products[],IF(YEAR(revenue[orderDate])=2022,8,IF(YEAR(revenue[orderDate])=2023,9,IF(YEAR(revenue[orderDate])=2024,10,NA))),FALSE)</f>
        <v>14.59372954</v>
      </c>
      <c r="K35" s="9">
        <v>20.8</v>
      </c>
      <c r="L35" s="25">
        <f>(revenue[orderPrice]-revenue[productCost])/revenue[productCost]</f>
        <v>0.4252696644</v>
      </c>
      <c r="M35" s="10">
        <v>1.0</v>
      </c>
      <c r="N35" s="25">
        <v>0.0</v>
      </c>
      <c r="O35" s="9">
        <f>revenue[orderPrice]*revenue[orderQuantity]</f>
        <v>20.8</v>
      </c>
      <c r="P35" s="9">
        <f>revenue[orderTotal]*(1-revenue[discountApllied])</f>
        <v>20.8</v>
      </c>
      <c r="Q35" s="9">
        <f>revenue[revenue]-(revenue[productCost]*revenue[orderQuantity])</f>
        <v>6.206270462</v>
      </c>
      <c r="R35" s="25">
        <f>IFERROR(revenue[profit]/revenue[revenue], 0)</f>
        <v>0.2983783876</v>
      </c>
      <c r="S35" s="9">
        <f>revenue[productCost]*revenue[orderQuantity]</f>
        <v>14.59372954</v>
      </c>
    </row>
    <row r="36" ht="15.75" customHeight="1">
      <c r="A36" s="6">
        <v>10260.0</v>
      </c>
      <c r="B36" s="7" t="s">
        <v>26</v>
      </c>
      <c r="C36" s="24" t="str">
        <f>VLOOKUP(revenue[customerID],customers[],2,FALSE)</f>
        <v>Ottilies Käseladen</v>
      </c>
      <c r="D36" s="24" t="str">
        <f>VLOOKUP(revenue[customerID],customers[],6,FALSE)</f>
        <v>Köln</v>
      </c>
      <c r="E36" s="24" t="str">
        <f>VLOOKUP(revenue[customerID],customers[],9,FALSE)</f>
        <v>Germany</v>
      </c>
      <c r="F36" s="24">
        <v>44761.0</v>
      </c>
      <c r="G36" s="6">
        <v>41.0</v>
      </c>
      <c r="H36" s="9" t="str">
        <f>VLOOKUP(revenue[productID],products[],2,FALSE)</f>
        <v>Jack's New England Clam Chowder</v>
      </c>
      <c r="I36" s="9" t="str">
        <f>VLOOKUP(revenue[productID],products[],12,FALSE)</f>
        <v>Seafood</v>
      </c>
      <c r="J36" s="9">
        <f>VLOOKUP(revenue[productID],products[],IF(YEAR(revenue[orderDate])=2022,8,IF(YEAR(revenue[orderDate])=2023,9,IF(YEAR(revenue[orderDate])=2024,10,NA))),FALSE)</f>
        <v>5.170198742</v>
      </c>
      <c r="K36" s="9">
        <v>7.7</v>
      </c>
      <c r="L36" s="25">
        <f>(revenue[orderPrice]-revenue[productCost])/revenue[productCost]</f>
        <v>0.4893044511</v>
      </c>
      <c r="M36" s="10">
        <v>16.0</v>
      </c>
      <c r="N36" s="25">
        <v>0.25</v>
      </c>
      <c r="O36" s="9">
        <f>revenue[orderPrice]*revenue[orderQuantity]</f>
        <v>123.2</v>
      </c>
      <c r="P36" s="9">
        <f>revenue[orderTotal]*(1-revenue[discountApllied])</f>
        <v>92.4</v>
      </c>
      <c r="Q36" s="9">
        <f>revenue[revenue]-(revenue[productCost]*revenue[orderQuantity])</f>
        <v>9.676820124</v>
      </c>
      <c r="R36" s="25">
        <f>IFERROR(revenue[profit]/revenue[revenue], 0)</f>
        <v>0.1047274905</v>
      </c>
      <c r="S36" s="9">
        <f>revenue[productCost]*revenue[orderQuantity]</f>
        <v>82.72317988</v>
      </c>
    </row>
    <row r="37" ht="15.75" customHeight="1">
      <c r="A37" s="6">
        <v>10260.0</v>
      </c>
      <c r="B37" s="7" t="s">
        <v>26</v>
      </c>
      <c r="C37" s="24" t="str">
        <f>VLOOKUP(revenue[customerID],customers[],2,FALSE)</f>
        <v>Ottilies Käseladen</v>
      </c>
      <c r="D37" s="24" t="str">
        <f>VLOOKUP(revenue[customerID],customers[],6,FALSE)</f>
        <v>Köln</v>
      </c>
      <c r="E37" s="24" t="str">
        <f>VLOOKUP(revenue[customerID],customers[],9,FALSE)</f>
        <v>Germany</v>
      </c>
      <c r="F37" s="24">
        <v>44761.0</v>
      </c>
      <c r="G37" s="6">
        <v>57.0</v>
      </c>
      <c r="H37" s="9" t="str">
        <f>VLOOKUP(revenue[productID],products[],2,FALSE)</f>
        <v>Ravioli Angelo</v>
      </c>
      <c r="I37" s="9" t="str">
        <f>VLOOKUP(revenue[productID],products[],12,FALSE)</f>
        <v>Grains/Cereals</v>
      </c>
      <c r="J37" s="9">
        <f>VLOOKUP(revenue[productID],products[],IF(YEAR(revenue[orderDate])=2022,8,IF(YEAR(revenue[orderDate])=2023,9,IF(YEAR(revenue[orderDate])=2024,10,NA))),FALSE)</f>
        <v>11.22950766</v>
      </c>
      <c r="K37" s="9">
        <v>15.6</v>
      </c>
      <c r="L37" s="25">
        <f>(revenue[orderPrice]-revenue[productCost])/revenue[productCost]</f>
        <v>0.3891971469</v>
      </c>
      <c r="M37" s="10">
        <v>50.0</v>
      </c>
      <c r="N37" s="25">
        <v>0.0</v>
      </c>
      <c r="O37" s="9">
        <f>revenue[orderPrice]*revenue[orderQuantity]</f>
        <v>780</v>
      </c>
      <c r="P37" s="9">
        <f>revenue[orderTotal]*(1-revenue[discountApllied])</f>
        <v>780</v>
      </c>
      <c r="Q37" s="9">
        <f>revenue[revenue]-(revenue[productCost]*revenue[orderQuantity])</f>
        <v>218.5246171</v>
      </c>
      <c r="R37" s="25">
        <f>IFERROR(revenue[profit]/revenue[revenue], 0)</f>
        <v>0.2801597655</v>
      </c>
      <c r="S37" s="9">
        <f>revenue[productCost]*revenue[orderQuantity]</f>
        <v>561.4753829</v>
      </c>
    </row>
    <row r="38" ht="15.75" customHeight="1">
      <c r="A38" s="6">
        <v>10260.0</v>
      </c>
      <c r="B38" s="7" t="s">
        <v>26</v>
      </c>
      <c r="C38" s="24" t="str">
        <f>VLOOKUP(revenue[customerID],customers[],2,FALSE)</f>
        <v>Ottilies Käseladen</v>
      </c>
      <c r="D38" s="24" t="str">
        <f>VLOOKUP(revenue[customerID],customers[],6,FALSE)</f>
        <v>Köln</v>
      </c>
      <c r="E38" s="24" t="str">
        <f>VLOOKUP(revenue[customerID],customers[],9,FALSE)</f>
        <v>Germany</v>
      </c>
      <c r="F38" s="24">
        <v>44761.0</v>
      </c>
      <c r="G38" s="6">
        <v>62.0</v>
      </c>
      <c r="H38" s="9" t="str">
        <f>VLOOKUP(revenue[productID],products[],2,FALSE)</f>
        <v>Tarte au sucre</v>
      </c>
      <c r="I38" s="9" t="str">
        <f>VLOOKUP(revenue[productID],products[],12,FALSE)</f>
        <v>Confections</v>
      </c>
      <c r="J38" s="9">
        <f>VLOOKUP(revenue[productID],products[],IF(YEAR(revenue[orderDate])=2022,8,IF(YEAR(revenue[orderDate])=2023,9,IF(YEAR(revenue[orderDate])=2024,10,NA))),FALSE)</f>
        <v>29.35963319</v>
      </c>
      <c r="K38" s="9">
        <v>39.4</v>
      </c>
      <c r="L38" s="25">
        <f>(revenue[orderPrice]-revenue[productCost])/revenue[productCost]</f>
        <v>0.3419786189</v>
      </c>
      <c r="M38" s="10">
        <v>15.0</v>
      </c>
      <c r="N38" s="25">
        <v>0.25</v>
      </c>
      <c r="O38" s="9">
        <f>revenue[orderPrice]*revenue[orderQuantity]</f>
        <v>591</v>
      </c>
      <c r="P38" s="9">
        <f>revenue[orderTotal]*(1-revenue[discountApllied])</f>
        <v>443.25</v>
      </c>
      <c r="Q38" s="9">
        <f>revenue[revenue]-(revenue[productCost]*revenue[orderQuantity])</f>
        <v>2.855502143</v>
      </c>
      <c r="R38" s="25">
        <f>IFERROR(revenue[profit]/revenue[revenue], 0)</f>
        <v>0.006442193215</v>
      </c>
      <c r="S38" s="9">
        <f>revenue[productCost]*revenue[orderQuantity]</f>
        <v>440.3944979</v>
      </c>
    </row>
    <row r="39" ht="15.75" customHeight="1">
      <c r="A39" s="6">
        <v>10260.0</v>
      </c>
      <c r="B39" s="7" t="s">
        <v>26</v>
      </c>
      <c r="C39" s="24" t="str">
        <f>VLOOKUP(revenue[customerID],customers[],2,FALSE)</f>
        <v>Ottilies Käseladen</v>
      </c>
      <c r="D39" s="24" t="str">
        <f>VLOOKUP(revenue[customerID],customers[],6,FALSE)</f>
        <v>Köln</v>
      </c>
      <c r="E39" s="24" t="str">
        <f>VLOOKUP(revenue[customerID],customers[],9,FALSE)</f>
        <v>Germany</v>
      </c>
      <c r="F39" s="24">
        <v>44761.0</v>
      </c>
      <c r="G39" s="6">
        <v>70.0</v>
      </c>
      <c r="H39" s="9" t="str">
        <f>VLOOKUP(revenue[productID],products[],2,FALSE)</f>
        <v>Outback Lager</v>
      </c>
      <c r="I39" s="9" t="str">
        <f>VLOOKUP(revenue[productID],products[],12,FALSE)</f>
        <v>Beverages</v>
      </c>
      <c r="J39" s="9">
        <f>VLOOKUP(revenue[productID],products[],IF(YEAR(revenue[orderDate])=2022,8,IF(YEAR(revenue[orderDate])=2023,9,IF(YEAR(revenue[orderDate])=2024,10,NA))),FALSE)</f>
        <v>8.037520944</v>
      </c>
      <c r="K39" s="9">
        <v>12.0</v>
      </c>
      <c r="L39" s="25">
        <f>(revenue[orderPrice]-revenue[productCost])/revenue[productCost]</f>
        <v>0.4929976648</v>
      </c>
      <c r="M39" s="10">
        <v>21.0</v>
      </c>
      <c r="N39" s="25">
        <v>0.25</v>
      </c>
      <c r="O39" s="9">
        <f>revenue[orderPrice]*revenue[orderQuantity]</f>
        <v>252</v>
      </c>
      <c r="P39" s="9">
        <f>revenue[orderTotal]*(1-revenue[discountApllied])</f>
        <v>189</v>
      </c>
      <c r="Q39" s="9">
        <f>revenue[revenue]-(revenue[productCost]*revenue[orderQuantity])</f>
        <v>20.21206018</v>
      </c>
      <c r="R39" s="25">
        <f>IFERROR(revenue[profit]/revenue[revenue], 0)</f>
        <v>0.1069421173</v>
      </c>
      <c r="S39" s="9">
        <f>revenue[productCost]*revenue[orderQuantity]</f>
        <v>168.7879398</v>
      </c>
    </row>
    <row r="40" ht="15.75" customHeight="1">
      <c r="A40" s="6">
        <v>10261.0</v>
      </c>
      <c r="B40" s="7" t="s">
        <v>27</v>
      </c>
      <c r="C40" s="24" t="str">
        <f>VLOOKUP(revenue[customerID],customers[],2,FALSE)</f>
        <v>Que Delícia</v>
      </c>
      <c r="D40" s="24" t="str">
        <f>VLOOKUP(revenue[customerID],customers[],6,FALSE)</f>
        <v>Rio de Janeiro</v>
      </c>
      <c r="E40" s="24" t="str">
        <f>VLOOKUP(revenue[customerID],customers[],9,FALSE)</f>
        <v>Brazil</v>
      </c>
      <c r="F40" s="24">
        <v>44761.0</v>
      </c>
      <c r="G40" s="6">
        <v>21.0</v>
      </c>
      <c r="H40" s="9" t="str">
        <f>VLOOKUP(revenue[productID],products[],2,FALSE)</f>
        <v>Sir Rodney's Scones</v>
      </c>
      <c r="I40" s="9" t="str">
        <f>VLOOKUP(revenue[productID],products[],12,FALSE)</f>
        <v>Confections</v>
      </c>
      <c r="J40" s="9">
        <f>VLOOKUP(revenue[productID],products[],IF(YEAR(revenue[orderDate])=2022,8,IF(YEAR(revenue[orderDate])=2023,9,IF(YEAR(revenue[orderDate])=2024,10,NA))),FALSE)</f>
        <v>5.773836452</v>
      </c>
      <c r="K40" s="9">
        <v>8.0</v>
      </c>
      <c r="L40" s="25">
        <f>(revenue[orderPrice]-revenue[productCost])/revenue[productCost]</f>
        <v>0.3855605483</v>
      </c>
      <c r="M40" s="10">
        <v>20.0</v>
      </c>
      <c r="N40" s="25">
        <v>0.0</v>
      </c>
      <c r="O40" s="9">
        <f>revenue[orderPrice]*revenue[orderQuantity]</f>
        <v>160</v>
      </c>
      <c r="P40" s="9">
        <f>revenue[orderTotal]*(1-revenue[discountApllied])</f>
        <v>160</v>
      </c>
      <c r="Q40" s="9">
        <f>revenue[revenue]-(revenue[productCost]*revenue[orderQuantity])</f>
        <v>44.52327096</v>
      </c>
      <c r="R40" s="25">
        <f>IFERROR(revenue[profit]/revenue[revenue], 0)</f>
        <v>0.2782704435</v>
      </c>
      <c r="S40" s="9">
        <f>revenue[productCost]*revenue[orderQuantity]</f>
        <v>115.476729</v>
      </c>
    </row>
    <row r="41" ht="15.75" customHeight="1">
      <c r="A41" s="6">
        <v>10261.0</v>
      </c>
      <c r="B41" s="7" t="s">
        <v>27</v>
      </c>
      <c r="C41" s="24" t="str">
        <f>VLOOKUP(revenue[customerID],customers[],2,FALSE)</f>
        <v>Que Delícia</v>
      </c>
      <c r="D41" s="24" t="str">
        <f>VLOOKUP(revenue[customerID],customers[],6,FALSE)</f>
        <v>Rio de Janeiro</v>
      </c>
      <c r="E41" s="24" t="str">
        <f>VLOOKUP(revenue[customerID],customers[],9,FALSE)</f>
        <v>Brazil</v>
      </c>
      <c r="F41" s="24">
        <v>44761.0</v>
      </c>
      <c r="G41" s="6">
        <v>35.0</v>
      </c>
      <c r="H41" s="9" t="str">
        <f>VLOOKUP(revenue[productID],products[],2,FALSE)</f>
        <v>Cold Brew Nitro</v>
      </c>
      <c r="I41" s="9" t="str">
        <f>VLOOKUP(revenue[productID],products[],12,FALSE)</f>
        <v>Beverages</v>
      </c>
      <c r="J41" s="9">
        <f>VLOOKUP(revenue[productID],products[],IF(YEAR(revenue[orderDate])=2022,8,IF(YEAR(revenue[orderDate])=2023,9,IF(YEAR(revenue[orderDate])=2024,10,NA))),FALSE)</f>
        <v>10.19869089</v>
      </c>
      <c r="K41" s="9">
        <v>14.4</v>
      </c>
      <c r="L41" s="25">
        <f>(revenue[orderPrice]-revenue[productCost])/revenue[productCost]</f>
        <v>0.4119459208</v>
      </c>
      <c r="M41" s="10">
        <v>20.0</v>
      </c>
      <c r="N41" s="25">
        <v>0.0</v>
      </c>
      <c r="O41" s="9">
        <f>revenue[orderPrice]*revenue[orderQuantity]</f>
        <v>288</v>
      </c>
      <c r="P41" s="9">
        <f>revenue[orderTotal]*(1-revenue[discountApllied])</f>
        <v>288</v>
      </c>
      <c r="Q41" s="9">
        <f>revenue[revenue]-(revenue[productCost]*revenue[orderQuantity])</f>
        <v>84.0261822</v>
      </c>
      <c r="R41" s="25">
        <f>IFERROR(revenue[profit]/revenue[revenue], 0)</f>
        <v>0.2917575771</v>
      </c>
      <c r="S41" s="9">
        <f>revenue[productCost]*revenue[orderQuantity]</f>
        <v>203.9738178</v>
      </c>
    </row>
    <row r="42" ht="15.75" customHeight="1">
      <c r="A42" s="6">
        <v>10262.0</v>
      </c>
      <c r="B42" s="7" t="s">
        <v>28</v>
      </c>
      <c r="C42" s="24" t="str">
        <f>VLOOKUP(revenue[customerID],customers[],2,FALSE)</f>
        <v>Rattlesnake Canyon Grocery</v>
      </c>
      <c r="D42" s="24" t="str">
        <f>VLOOKUP(revenue[customerID],customers[],6,FALSE)</f>
        <v>Albuquerque</v>
      </c>
      <c r="E42" s="24" t="str">
        <f>VLOOKUP(revenue[customerID],customers[],9,FALSE)</f>
        <v>USA</v>
      </c>
      <c r="F42" s="24">
        <v>44764.0</v>
      </c>
      <c r="G42" s="6">
        <v>5.0</v>
      </c>
      <c r="H42" s="9" t="str">
        <f>VLOOKUP(revenue[productID],products[],2,FALSE)</f>
        <v>Chef Anton's Gumbo Mix</v>
      </c>
      <c r="I42" s="9" t="str">
        <f>VLOOKUP(revenue[productID],products[],12,FALSE)</f>
        <v>Condiments</v>
      </c>
      <c r="J42" s="9">
        <f>VLOOKUP(revenue[productID],products[],IF(YEAR(revenue[orderDate])=2022,8,IF(YEAR(revenue[orderDate])=2023,9,IF(YEAR(revenue[orderDate])=2024,10,NA))),FALSE)</f>
        <v>10.9059059</v>
      </c>
      <c r="K42" s="9">
        <v>17.0</v>
      </c>
      <c r="L42" s="25">
        <f>(revenue[orderPrice]-revenue[productCost])/revenue[productCost]</f>
        <v>0.5587884354</v>
      </c>
      <c r="M42" s="10">
        <v>12.0</v>
      </c>
      <c r="N42" s="25">
        <v>0.2</v>
      </c>
      <c r="O42" s="9">
        <f>revenue[orderPrice]*revenue[orderQuantity]</f>
        <v>204</v>
      </c>
      <c r="P42" s="9">
        <f>revenue[orderTotal]*(1-revenue[discountApllied])</f>
        <v>163.2</v>
      </c>
      <c r="Q42" s="9">
        <f>revenue[revenue]-(revenue[productCost]*revenue[orderQuantity])</f>
        <v>32.32912916</v>
      </c>
      <c r="R42" s="25">
        <f>IFERROR(revenue[profit]/revenue[revenue], 0)</f>
        <v>0.1980951542</v>
      </c>
      <c r="S42" s="9">
        <f>revenue[productCost]*revenue[orderQuantity]</f>
        <v>130.8708708</v>
      </c>
    </row>
    <row r="43" ht="15.75" customHeight="1">
      <c r="A43" s="6">
        <v>10262.0</v>
      </c>
      <c r="B43" s="7" t="s">
        <v>28</v>
      </c>
      <c r="C43" s="24" t="str">
        <f>VLOOKUP(revenue[customerID],customers[],2,FALSE)</f>
        <v>Rattlesnake Canyon Grocery</v>
      </c>
      <c r="D43" s="24" t="str">
        <f>VLOOKUP(revenue[customerID],customers[],6,FALSE)</f>
        <v>Albuquerque</v>
      </c>
      <c r="E43" s="24" t="str">
        <f>VLOOKUP(revenue[customerID],customers[],9,FALSE)</f>
        <v>USA</v>
      </c>
      <c r="F43" s="24">
        <v>44764.0</v>
      </c>
      <c r="G43" s="6">
        <v>7.0</v>
      </c>
      <c r="H43" s="9" t="str">
        <f>VLOOKUP(revenue[productID],products[],2,FALSE)</f>
        <v>Uncle Bob's Organic Dried Pears</v>
      </c>
      <c r="I43" s="9" t="str">
        <f>VLOOKUP(revenue[productID],products[],12,FALSE)</f>
        <v>Produce</v>
      </c>
      <c r="J43" s="9">
        <f>VLOOKUP(revenue[productID],products[],IF(YEAR(revenue[orderDate])=2022,8,IF(YEAR(revenue[orderDate])=2023,9,IF(YEAR(revenue[orderDate])=2024,10,NA))),FALSE)</f>
        <v>16.42997431</v>
      </c>
      <c r="K43" s="9">
        <v>24.0</v>
      </c>
      <c r="L43" s="25">
        <f>(revenue[orderPrice]-revenue[productCost])/revenue[productCost]</f>
        <v>0.4607448283</v>
      </c>
      <c r="M43" s="10">
        <v>15.0</v>
      </c>
      <c r="N43" s="25">
        <v>0.0</v>
      </c>
      <c r="O43" s="9">
        <f>revenue[orderPrice]*revenue[orderQuantity]</f>
        <v>360</v>
      </c>
      <c r="P43" s="9">
        <f>revenue[orderTotal]*(1-revenue[discountApllied])</f>
        <v>360</v>
      </c>
      <c r="Q43" s="9">
        <f>revenue[revenue]-(revenue[productCost]*revenue[orderQuantity])</f>
        <v>113.5503854</v>
      </c>
      <c r="R43" s="25">
        <f>IFERROR(revenue[profit]/revenue[revenue], 0)</f>
        <v>0.3154177371</v>
      </c>
      <c r="S43" s="9">
        <f>revenue[productCost]*revenue[orderQuantity]</f>
        <v>246.4496146</v>
      </c>
    </row>
    <row r="44" ht="15.75" customHeight="1">
      <c r="A44" s="6">
        <v>10262.0</v>
      </c>
      <c r="B44" s="7" t="s">
        <v>28</v>
      </c>
      <c r="C44" s="24" t="str">
        <f>VLOOKUP(revenue[customerID],customers[],2,FALSE)</f>
        <v>Rattlesnake Canyon Grocery</v>
      </c>
      <c r="D44" s="24" t="str">
        <f>VLOOKUP(revenue[customerID],customers[],6,FALSE)</f>
        <v>Albuquerque</v>
      </c>
      <c r="E44" s="24" t="str">
        <f>VLOOKUP(revenue[customerID],customers[],9,FALSE)</f>
        <v>USA</v>
      </c>
      <c r="F44" s="24">
        <v>44764.0</v>
      </c>
      <c r="G44" s="6">
        <v>56.0</v>
      </c>
      <c r="H44" s="9" t="str">
        <f>VLOOKUP(revenue[productID],products[],2,FALSE)</f>
        <v>Gnocchi di nonna Alice</v>
      </c>
      <c r="I44" s="9" t="str">
        <f>VLOOKUP(revenue[productID],products[],12,FALSE)</f>
        <v>Grains/Cereals</v>
      </c>
      <c r="J44" s="9">
        <f>VLOOKUP(revenue[productID],products[],IF(YEAR(revenue[orderDate])=2022,8,IF(YEAR(revenue[orderDate])=2023,9,IF(YEAR(revenue[orderDate])=2024,10,NA))),FALSE)</f>
        <v>21.5040056</v>
      </c>
      <c r="K44" s="9">
        <v>30.4</v>
      </c>
      <c r="L44" s="25">
        <f>(revenue[orderPrice]-revenue[productCost])/revenue[productCost]</f>
        <v>0.4136901081</v>
      </c>
      <c r="M44" s="10">
        <v>2.0</v>
      </c>
      <c r="N44" s="25">
        <v>0.0</v>
      </c>
      <c r="O44" s="9">
        <f>revenue[orderPrice]*revenue[orderQuantity]</f>
        <v>60.8</v>
      </c>
      <c r="P44" s="9">
        <f>revenue[orderTotal]*(1-revenue[discountApllied])</f>
        <v>60.8</v>
      </c>
      <c r="Q44" s="9">
        <f>revenue[revenue]-(revenue[productCost]*revenue[orderQuantity])</f>
        <v>17.7919888</v>
      </c>
      <c r="R44" s="25">
        <f>IFERROR(revenue[profit]/revenue[revenue], 0)</f>
        <v>0.2926313948</v>
      </c>
      <c r="S44" s="9">
        <f>revenue[productCost]*revenue[orderQuantity]</f>
        <v>43.0080112</v>
      </c>
    </row>
    <row r="45" ht="15.75" customHeight="1">
      <c r="A45" s="6">
        <v>10263.0</v>
      </c>
      <c r="B45" s="7" t="s">
        <v>24</v>
      </c>
      <c r="C45" s="24" t="str">
        <f>VLOOKUP(revenue[customerID],customers[],2,FALSE)</f>
        <v>Ernst Handel</v>
      </c>
      <c r="D45" s="24" t="str">
        <f>VLOOKUP(revenue[customerID],customers[],6,FALSE)</f>
        <v>Graz</v>
      </c>
      <c r="E45" s="24" t="str">
        <f>VLOOKUP(revenue[customerID],customers[],9,FALSE)</f>
        <v>Austria</v>
      </c>
      <c r="F45" s="24">
        <v>44765.0</v>
      </c>
      <c r="G45" s="6">
        <v>16.0</v>
      </c>
      <c r="H45" s="9" t="str">
        <f>VLOOKUP(revenue[productID],products[],2,FALSE)</f>
        <v>Pavlova</v>
      </c>
      <c r="I45" s="9" t="str">
        <f>VLOOKUP(revenue[productID],products[],12,FALSE)</f>
        <v>Confections</v>
      </c>
      <c r="J45" s="9">
        <f>VLOOKUP(revenue[productID],products[],IF(YEAR(revenue[orderDate])=2022,8,IF(YEAR(revenue[orderDate])=2023,9,IF(YEAR(revenue[orderDate])=2024,10,NA))),FALSE)</f>
        <v>9.80658008</v>
      </c>
      <c r="K45" s="9">
        <v>13.9</v>
      </c>
      <c r="L45" s="25">
        <f>(revenue[orderPrice]-revenue[productCost])/revenue[productCost]</f>
        <v>0.417415642</v>
      </c>
      <c r="M45" s="10">
        <v>60.0</v>
      </c>
      <c r="N45" s="25">
        <v>0.25</v>
      </c>
      <c r="O45" s="9">
        <f>revenue[orderPrice]*revenue[orderQuantity]</f>
        <v>834</v>
      </c>
      <c r="P45" s="9">
        <f>revenue[orderTotal]*(1-revenue[discountApllied])</f>
        <v>625.5</v>
      </c>
      <c r="Q45" s="9">
        <f>revenue[revenue]-(revenue[productCost]*revenue[orderQuantity])</f>
        <v>37.10519519</v>
      </c>
      <c r="R45" s="25">
        <f>IFERROR(revenue[profit]/revenue[revenue], 0)</f>
        <v>0.05932085562</v>
      </c>
      <c r="S45" s="9">
        <f>revenue[productCost]*revenue[orderQuantity]</f>
        <v>588.3948048</v>
      </c>
    </row>
    <row r="46" ht="15.75" customHeight="1">
      <c r="A46" s="6">
        <v>10263.0</v>
      </c>
      <c r="B46" s="7" t="s">
        <v>24</v>
      </c>
      <c r="C46" s="24" t="str">
        <f>VLOOKUP(revenue[customerID],customers[],2,FALSE)</f>
        <v>Ernst Handel</v>
      </c>
      <c r="D46" s="24" t="str">
        <f>VLOOKUP(revenue[customerID],customers[],6,FALSE)</f>
        <v>Graz</v>
      </c>
      <c r="E46" s="24" t="str">
        <f>VLOOKUP(revenue[customerID],customers[],9,FALSE)</f>
        <v>Austria</v>
      </c>
      <c r="F46" s="24">
        <v>44765.0</v>
      </c>
      <c r="G46" s="6">
        <v>24.0</v>
      </c>
      <c r="H46" s="9" t="str">
        <f>VLOOKUP(revenue[productID],products[],2,FALSE)</f>
        <v>Brigadeiros Maravilhosos da Lilian</v>
      </c>
      <c r="I46" s="9" t="str">
        <f>VLOOKUP(revenue[productID],products[],12,FALSE)</f>
        <v>Confections</v>
      </c>
      <c r="J46" s="9">
        <f>VLOOKUP(revenue[productID],products[],IF(YEAR(revenue[orderDate])=2022,8,IF(YEAR(revenue[orderDate])=2023,9,IF(YEAR(revenue[orderDate])=2024,10,NA))),FALSE)</f>
        <v>2.68117246</v>
      </c>
      <c r="K46" s="9">
        <v>3.6</v>
      </c>
      <c r="L46" s="25">
        <f>(revenue[orderPrice]-revenue[productCost])/revenue[productCost]</f>
        <v>0.3426961727</v>
      </c>
      <c r="M46" s="10">
        <v>28.0</v>
      </c>
      <c r="N46" s="25">
        <v>0.0</v>
      </c>
      <c r="O46" s="9">
        <f>revenue[orderPrice]*revenue[orderQuantity]</f>
        <v>100.8</v>
      </c>
      <c r="P46" s="9">
        <f>revenue[orderTotal]*(1-revenue[discountApllied])</f>
        <v>100.8</v>
      </c>
      <c r="Q46" s="9">
        <f>revenue[revenue]-(revenue[productCost]*revenue[orderQuantity])</f>
        <v>25.72717113</v>
      </c>
      <c r="R46" s="25">
        <f>IFERROR(revenue[profit]/revenue[revenue], 0)</f>
        <v>0.2552298723</v>
      </c>
      <c r="S46" s="9">
        <f>revenue[productCost]*revenue[orderQuantity]</f>
        <v>75.07282887</v>
      </c>
    </row>
    <row r="47" ht="15.75" customHeight="1">
      <c r="A47" s="6">
        <v>10263.0</v>
      </c>
      <c r="B47" s="7" t="s">
        <v>24</v>
      </c>
      <c r="C47" s="24" t="str">
        <f>VLOOKUP(revenue[customerID],customers[],2,FALSE)</f>
        <v>Ernst Handel</v>
      </c>
      <c r="D47" s="24" t="str">
        <f>VLOOKUP(revenue[customerID],customers[],6,FALSE)</f>
        <v>Graz</v>
      </c>
      <c r="E47" s="24" t="str">
        <f>VLOOKUP(revenue[customerID],customers[],9,FALSE)</f>
        <v>Austria</v>
      </c>
      <c r="F47" s="24">
        <v>44765.0</v>
      </c>
      <c r="G47" s="6">
        <v>30.0</v>
      </c>
      <c r="H47" s="9" t="str">
        <f>VLOOKUP(revenue[productID],products[],2,FALSE)</f>
        <v>Nord-Ost Matjeshering</v>
      </c>
      <c r="I47" s="9" t="str">
        <f>VLOOKUP(revenue[productID],products[],12,FALSE)</f>
        <v>Seafood</v>
      </c>
      <c r="J47" s="9">
        <f>VLOOKUP(revenue[productID],products[],IF(YEAR(revenue[orderDate])=2022,8,IF(YEAR(revenue[orderDate])=2023,9,IF(YEAR(revenue[orderDate])=2024,10,NA))),FALSE)</f>
        <v>13.41656868</v>
      </c>
      <c r="K47" s="9">
        <v>20.7</v>
      </c>
      <c r="L47" s="25">
        <f>(revenue[orderPrice]-revenue[productCost])/revenue[productCost]</f>
        <v>0.5428684114</v>
      </c>
      <c r="M47" s="10">
        <v>60.0</v>
      </c>
      <c r="N47" s="25">
        <v>0.25</v>
      </c>
      <c r="O47" s="9">
        <f>revenue[orderPrice]*revenue[orderQuantity]</f>
        <v>1242</v>
      </c>
      <c r="P47" s="9">
        <f>revenue[orderTotal]*(1-revenue[discountApllied])</f>
        <v>931.5</v>
      </c>
      <c r="Q47" s="9">
        <f>revenue[revenue]-(revenue[productCost]*revenue[orderQuantity])</f>
        <v>126.5058794</v>
      </c>
      <c r="R47" s="25">
        <f>IFERROR(revenue[profit]/revenue[revenue], 0)</f>
        <v>0.1358087809</v>
      </c>
      <c r="S47" s="9">
        <f>revenue[productCost]*revenue[orderQuantity]</f>
        <v>804.9941206</v>
      </c>
    </row>
    <row r="48" ht="15.75" customHeight="1">
      <c r="A48" s="6">
        <v>10263.0</v>
      </c>
      <c r="B48" s="7" t="s">
        <v>24</v>
      </c>
      <c r="C48" s="24" t="str">
        <f>VLOOKUP(revenue[customerID],customers[],2,FALSE)</f>
        <v>Ernst Handel</v>
      </c>
      <c r="D48" s="24" t="str">
        <f>VLOOKUP(revenue[customerID],customers[],6,FALSE)</f>
        <v>Graz</v>
      </c>
      <c r="E48" s="24" t="str">
        <f>VLOOKUP(revenue[customerID],customers[],9,FALSE)</f>
        <v>Austria</v>
      </c>
      <c r="F48" s="24">
        <v>44765.0</v>
      </c>
      <c r="G48" s="6">
        <v>74.0</v>
      </c>
      <c r="H48" s="9" t="str">
        <f>VLOOKUP(revenue[productID],products[],2,FALSE)</f>
        <v>Longlife Tofu</v>
      </c>
      <c r="I48" s="9" t="str">
        <f>VLOOKUP(revenue[productID],products[],12,FALSE)</f>
        <v>Produce</v>
      </c>
      <c r="J48" s="9">
        <f>VLOOKUP(revenue[productID],products[],IF(YEAR(revenue[orderDate])=2022,8,IF(YEAR(revenue[orderDate])=2023,9,IF(YEAR(revenue[orderDate])=2024,10,NA))),FALSE)</f>
        <v>5.667130124</v>
      </c>
      <c r="K48" s="9">
        <v>8.0</v>
      </c>
      <c r="L48" s="25">
        <f>(revenue[orderPrice]-revenue[productCost])/revenue[productCost]</f>
        <v>0.4116492519</v>
      </c>
      <c r="M48" s="10">
        <v>36.0</v>
      </c>
      <c r="N48" s="25">
        <v>0.25</v>
      </c>
      <c r="O48" s="9">
        <f>revenue[orderPrice]*revenue[orderQuantity]</f>
        <v>288</v>
      </c>
      <c r="P48" s="9">
        <f>revenue[orderTotal]*(1-revenue[discountApllied])</f>
        <v>216</v>
      </c>
      <c r="Q48" s="9">
        <f>revenue[revenue]-(revenue[productCost]*revenue[orderQuantity])</f>
        <v>11.98331554</v>
      </c>
      <c r="R48" s="25">
        <f>IFERROR(revenue[profit]/revenue[revenue], 0)</f>
        <v>0.05547831268</v>
      </c>
      <c r="S48" s="9">
        <f>revenue[productCost]*revenue[orderQuantity]</f>
        <v>204.0166845</v>
      </c>
    </row>
    <row r="49" ht="15.75" customHeight="1">
      <c r="A49" s="6">
        <v>10264.0</v>
      </c>
      <c r="B49" s="7" t="s">
        <v>29</v>
      </c>
      <c r="C49" s="24" t="str">
        <f>VLOOKUP(revenue[customerID],customers[],2,FALSE)</f>
        <v>Folk och fä HB</v>
      </c>
      <c r="D49" s="24" t="str">
        <f>VLOOKUP(revenue[customerID],customers[],6,FALSE)</f>
        <v>Bräcke</v>
      </c>
      <c r="E49" s="24" t="str">
        <f>VLOOKUP(revenue[customerID],customers[],9,FALSE)</f>
        <v>Sweden</v>
      </c>
      <c r="F49" s="24">
        <v>44766.0</v>
      </c>
      <c r="G49" s="6">
        <v>2.0</v>
      </c>
      <c r="H49" s="9" t="str">
        <f>VLOOKUP(revenue[productID],products[],2,FALSE)</f>
        <v>Chang</v>
      </c>
      <c r="I49" s="9" t="str">
        <f>VLOOKUP(revenue[productID],products[],12,FALSE)</f>
        <v>Beverages</v>
      </c>
      <c r="J49" s="9">
        <f>VLOOKUP(revenue[productID],products[],IF(YEAR(revenue[orderDate])=2022,8,IF(YEAR(revenue[orderDate])=2023,9,IF(YEAR(revenue[orderDate])=2024,10,NA))),FALSE)</f>
        <v>9.768746876</v>
      </c>
      <c r="K49" s="9">
        <v>15.2</v>
      </c>
      <c r="L49" s="25">
        <f>(revenue[orderPrice]-revenue[productCost])/revenue[productCost]</f>
        <v>0.5559825833</v>
      </c>
      <c r="M49" s="10">
        <v>35.0</v>
      </c>
      <c r="N49" s="25">
        <v>0.0</v>
      </c>
      <c r="O49" s="9">
        <f>revenue[orderPrice]*revenue[orderQuantity]</f>
        <v>532</v>
      </c>
      <c r="P49" s="9">
        <f>revenue[orderTotal]*(1-revenue[discountApllied])</f>
        <v>532</v>
      </c>
      <c r="Q49" s="9">
        <f>revenue[revenue]-(revenue[productCost]*revenue[orderQuantity])</f>
        <v>190.0938593</v>
      </c>
      <c r="R49" s="25">
        <f>IFERROR(revenue[profit]/revenue[revenue], 0)</f>
        <v>0.3573192844</v>
      </c>
      <c r="S49" s="9">
        <f>revenue[productCost]*revenue[orderQuantity]</f>
        <v>341.9061407</v>
      </c>
    </row>
    <row r="50" ht="15.75" customHeight="1">
      <c r="A50" s="6">
        <v>10264.0</v>
      </c>
      <c r="B50" s="7" t="s">
        <v>29</v>
      </c>
      <c r="C50" s="24" t="str">
        <f>VLOOKUP(revenue[customerID],customers[],2,FALSE)</f>
        <v>Folk och fä HB</v>
      </c>
      <c r="D50" s="24" t="str">
        <f>VLOOKUP(revenue[customerID],customers[],6,FALSE)</f>
        <v>Bräcke</v>
      </c>
      <c r="E50" s="24" t="str">
        <f>VLOOKUP(revenue[customerID],customers[],9,FALSE)</f>
        <v>Sweden</v>
      </c>
      <c r="F50" s="24">
        <v>44766.0</v>
      </c>
      <c r="G50" s="6">
        <v>41.0</v>
      </c>
      <c r="H50" s="9" t="str">
        <f>VLOOKUP(revenue[productID],products[],2,FALSE)</f>
        <v>Jack's New England Clam Chowder</v>
      </c>
      <c r="I50" s="9" t="str">
        <f>VLOOKUP(revenue[productID],products[],12,FALSE)</f>
        <v>Seafood</v>
      </c>
      <c r="J50" s="9">
        <f>VLOOKUP(revenue[productID],products[],IF(YEAR(revenue[orderDate])=2022,8,IF(YEAR(revenue[orderDate])=2023,9,IF(YEAR(revenue[orderDate])=2024,10,NA))),FALSE)</f>
        <v>5.170198742</v>
      </c>
      <c r="K50" s="9">
        <v>7.7</v>
      </c>
      <c r="L50" s="25">
        <f>(revenue[orderPrice]-revenue[productCost])/revenue[productCost]</f>
        <v>0.4893044511</v>
      </c>
      <c r="M50" s="10">
        <v>25.0</v>
      </c>
      <c r="N50" s="25">
        <v>0.15</v>
      </c>
      <c r="O50" s="9">
        <f>revenue[orderPrice]*revenue[orderQuantity]</f>
        <v>192.5</v>
      </c>
      <c r="P50" s="9">
        <f>revenue[orderTotal]*(1-revenue[discountApllied])</f>
        <v>163.625</v>
      </c>
      <c r="Q50" s="9">
        <f>revenue[revenue]-(revenue[productCost]*revenue[orderQuantity])</f>
        <v>34.37003144</v>
      </c>
      <c r="R50" s="25">
        <f>IFERROR(revenue[profit]/revenue[revenue], 0)</f>
        <v>0.2100536681</v>
      </c>
      <c r="S50" s="9">
        <f>revenue[productCost]*revenue[orderQuantity]</f>
        <v>129.2549686</v>
      </c>
    </row>
    <row r="51" ht="15.75" customHeight="1">
      <c r="A51" s="6">
        <v>10265.0</v>
      </c>
      <c r="B51" s="7" t="s">
        <v>30</v>
      </c>
      <c r="C51" s="24" t="str">
        <f>VLOOKUP(revenue[customerID],customers[],2,FALSE)</f>
        <v>Blondesddsl père et fils</v>
      </c>
      <c r="D51" s="24" t="str">
        <f>VLOOKUP(revenue[customerID],customers[],6,FALSE)</f>
        <v>Strasbourg</v>
      </c>
      <c r="E51" s="24" t="str">
        <f>VLOOKUP(revenue[customerID],customers[],9,FALSE)</f>
        <v>France</v>
      </c>
      <c r="F51" s="24">
        <v>44767.0</v>
      </c>
      <c r="G51" s="6">
        <v>17.0</v>
      </c>
      <c r="H51" s="9" t="str">
        <f>VLOOKUP(revenue[productID],products[],2,FALSE)</f>
        <v>Alice Mutton</v>
      </c>
      <c r="I51" s="9" t="str">
        <f>VLOOKUP(revenue[productID],products[],12,FALSE)</f>
        <v>Meat/Poultry</v>
      </c>
      <c r="J51" s="9">
        <f>VLOOKUP(revenue[productID],products[],IF(YEAR(revenue[orderDate])=2022,8,IF(YEAR(revenue[orderDate])=2023,9,IF(YEAR(revenue[orderDate])=2024,10,NA))),FALSE)</f>
        <v>21.25377406</v>
      </c>
      <c r="K51" s="9">
        <v>31.2</v>
      </c>
      <c r="L51" s="25">
        <f>(revenue[orderPrice]-revenue[productCost])/revenue[productCost]</f>
        <v>0.4679745775</v>
      </c>
      <c r="M51" s="10">
        <v>30.0</v>
      </c>
      <c r="N51" s="25">
        <v>0.0</v>
      </c>
      <c r="O51" s="9">
        <f>revenue[orderPrice]*revenue[orderQuantity]</f>
        <v>936</v>
      </c>
      <c r="P51" s="9">
        <f>revenue[orderTotal]*(1-revenue[discountApllied])</f>
        <v>936</v>
      </c>
      <c r="Q51" s="9">
        <f>revenue[revenue]-(revenue[productCost]*revenue[orderQuantity])</f>
        <v>298.3867781</v>
      </c>
      <c r="R51" s="25">
        <f>IFERROR(revenue[profit]/revenue[revenue], 0)</f>
        <v>0.3187892928</v>
      </c>
      <c r="S51" s="9">
        <f>revenue[productCost]*revenue[orderQuantity]</f>
        <v>637.6132219</v>
      </c>
    </row>
    <row r="52" ht="15.75" customHeight="1">
      <c r="A52" s="6">
        <v>10265.0</v>
      </c>
      <c r="B52" s="7" t="s">
        <v>30</v>
      </c>
      <c r="C52" s="24" t="str">
        <f>VLOOKUP(revenue[customerID],customers[],2,FALSE)</f>
        <v>Blondesddsl père et fils</v>
      </c>
      <c r="D52" s="24" t="str">
        <f>VLOOKUP(revenue[customerID],customers[],6,FALSE)</f>
        <v>Strasbourg</v>
      </c>
      <c r="E52" s="24" t="str">
        <f>VLOOKUP(revenue[customerID],customers[],9,FALSE)</f>
        <v>France</v>
      </c>
      <c r="F52" s="24">
        <v>44767.0</v>
      </c>
      <c r="G52" s="6">
        <v>70.0</v>
      </c>
      <c r="H52" s="9" t="str">
        <f>VLOOKUP(revenue[productID],products[],2,FALSE)</f>
        <v>Outback Lager</v>
      </c>
      <c r="I52" s="9" t="str">
        <f>VLOOKUP(revenue[productID],products[],12,FALSE)</f>
        <v>Beverages</v>
      </c>
      <c r="J52" s="9">
        <f>VLOOKUP(revenue[productID],products[],IF(YEAR(revenue[orderDate])=2022,8,IF(YEAR(revenue[orderDate])=2023,9,IF(YEAR(revenue[orderDate])=2024,10,NA))),FALSE)</f>
        <v>8.037520944</v>
      </c>
      <c r="K52" s="9">
        <v>12.0</v>
      </c>
      <c r="L52" s="25">
        <f>(revenue[orderPrice]-revenue[productCost])/revenue[productCost]</f>
        <v>0.4929976648</v>
      </c>
      <c r="M52" s="10">
        <v>20.0</v>
      </c>
      <c r="N52" s="25">
        <v>0.0</v>
      </c>
      <c r="O52" s="9">
        <f>revenue[orderPrice]*revenue[orderQuantity]</f>
        <v>240</v>
      </c>
      <c r="P52" s="9">
        <f>revenue[orderTotal]*(1-revenue[discountApllied])</f>
        <v>240</v>
      </c>
      <c r="Q52" s="9">
        <f>revenue[revenue]-(revenue[productCost]*revenue[orderQuantity])</f>
        <v>79.24958112</v>
      </c>
      <c r="R52" s="25">
        <f>IFERROR(revenue[profit]/revenue[revenue], 0)</f>
        <v>0.330206588</v>
      </c>
      <c r="S52" s="9">
        <f>revenue[productCost]*revenue[orderQuantity]</f>
        <v>160.7504189</v>
      </c>
    </row>
    <row r="53" ht="15.75" customHeight="1">
      <c r="A53" s="6">
        <v>10266.0</v>
      </c>
      <c r="B53" s="7" t="s">
        <v>31</v>
      </c>
      <c r="C53" s="24" t="str">
        <f>VLOOKUP(revenue[customerID],customers[],2,FALSE)</f>
        <v>Wartian Herkku</v>
      </c>
      <c r="D53" s="24" t="str">
        <f>VLOOKUP(revenue[customerID],customers[],6,FALSE)</f>
        <v>Oulu</v>
      </c>
      <c r="E53" s="24" t="str">
        <f>VLOOKUP(revenue[customerID],customers[],9,FALSE)</f>
        <v>Finland</v>
      </c>
      <c r="F53" s="24">
        <v>44768.0</v>
      </c>
      <c r="G53" s="6">
        <v>12.0</v>
      </c>
      <c r="H53" s="9" t="str">
        <f>VLOOKUP(revenue[productID],products[],2,FALSE)</f>
        <v>Queso Manchego La Pastora</v>
      </c>
      <c r="I53" s="9" t="str">
        <f>VLOOKUP(revenue[productID],products[],12,FALSE)</f>
        <v>Dairy Products</v>
      </c>
      <c r="J53" s="9">
        <f>VLOOKUP(revenue[productID],products[],IF(YEAR(revenue[orderDate])=2022,8,IF(YEAR(revenue[orderDate])=2023,9,IF(YEAR(revenue[orderDate])=2024,10,NA))),FALSE)</f>
        <v>20.01245109</v>
      </c>
      <c r="K53" s="9">
        <v>30.4</v>
      </c>
      <c r="L53" s="25">
        <f>(revenue[orderPrice]-revenue[productCost])/revenue[productCost]</f>
        <v>0.5190543058</v>
      </c>
      <c r="M53" s="10">
        <v>12.0</v>
      </c>
      <c r="N53" s="25">
        <v>0.05</v>
      </c>
      <c r="O53" s="9">
        <f>revenue[orderPrice]*revenue[orderQuantity]</f>
        <v>364.8</v>
      </c>
      <c r="P53" s="9">
        <f>revenue[orderTotal]*(1-revenue[discountApllied])</f>
        <v>346.56</v>
      </c>
      <c r="Q53" s="9">
        <f>revenue[revenue]-(revenue[productCost]*revenue[orderQuantity])</f>
        <v>106.4105869</v>
      </c>
      <c r="R53" s="25">
        <f>IFERROR(revenue[profit]/revenue[revenue], 0)</f>
        <v>0.3070480924</v>
      </c>
      <c r="S53" s="9">
        <f>revenue[productCost]*revenue[orderQuantity]</f>
        <v>240.1494131</v>
      </c>
    </row>
    <row r="54" ht="15.75" customHeight="1">
      <c r="A54" s="6">
        <v>10267.0</v>
      </c>
      <c r="B54" s="7" t="s">
        <v>32</v>
      </c>
      <c r="C54" s="24" t="str">
        <f>VLOOKUP(revenue[customerID],customers[],2,FALSE)</f>
        <v>Frankenversand</v>
      </c>
      <c r="D54" s="24" t="str">
        <f>VLOOKUP(revenue[customerID],customers[],6,FALSE)</f>
        <v>München</v>
      </c>
      <c r="E54" s="24" t="str">
        <f>VLOOKUP(revenue[customerID],customers[],9,FALSE)</f>
        <v>Germany</v>
      </c>
      <c r="F54" s="24">
        <v>44771.0</v>
      </c>
      <c r="G54" s="6">
        <v>40.0</v>
      </c>
      <c r="H54" s="9" t="str">
        <f>VLOOKUP(revenue[productID],products[],2,FALSE)</f>
        <v>Boston Crab Meat</v>
      </c>
      <c r="I54" s="9" t="str">
        <f>VLOOKUP(revenue[productID],products[],12,FALSE)</f>
        <v>Seafood</v>
      </c>
      <c r="J54" s="9">
        <f>VLOOKUP(revenue[productID],products[],IF(YEAR(revenue[orderDate])=2022,8,IF(YEAR(revenue[orderDate])=2023,9,IF(YEAR(revenue[orderDate])=2024,10,NA))),FALSE)</f>
        <v>9.680649108</v>
      </c>
      <c r="K54" s="9">
        <v>14.7</v>
      </c>
      <c r="L54" s="25">
        <f>(revenue[orderPrice]-revenue[productCost])/revenue[productCost]</f>
        <v>0.5184932162</v>
      </c>
      <c r="M54" s="10">
        <v>50.0</v>
      </c>
      <c r="N54" s="25">
        <v>0.0</v>
      </c>
      <c r="O54" s="9">
        <f>revenue[orderPrice]*revenue[orderQuantity]</f>
        <v>735</v>
      </c>
      <c r="P54" s="9">
        <f>revenue[orderTotal]*(1-revenue[discountApllied])</f>
        <v>735</v>
      </c>
      <c r="Q54" s="9">
        <f>revenue[revenue]-(revenue[productCost]*revenue[orderQuantity])</f>
        <v>250.9675446</v>
      </c>
      <c r="R54" s="25">
        <f>IFERROR(revenue[profit]/revenue[revenue], 0)</f>
        <v>0.3414524416</v>
      </c>
      <c r="S54" s="9">
        <f>revenue[productCost]*revenue[orderQuantity]</f>
        <v>484.0324554</v>
      </c>
    </row>
    <row r="55" ht="15.75" customHeight="1">
      <c r="A55" s="6">
        <v>10267.0</v>
      </c>
      <c r="B55" s="7" t="s">
        <v>32</v>
      </c>
      <c r="C55" s="24" t="str">
        <f>VLOOKUP(revenue[customerID],customers[],2,FALSE)</f>
        <v>Frankenversand</v>
      </c>
      <c r="D55" s="24" t="str">
        <f>VLOOKUP(revenue[customerID],customers[],6,FALSE)</f>
        <v>München</v>
      </c>
      <c r="E55" s="24" t="str">
        <f>VLOOKUP(revenue[customerID],customers[],9,FALSE)</f>
        <v>Germany</v>
      </c>
      <c r="F55" s="24">
        <v>44771.0</v>
      </c>
      <c r="G55" s="6">
        <v>59.0</v>
      </c>
      <c r="H55" s="9" t="str">
        <f>VLOOKUP(revenue[productID],products[],2,FALSE)</f>
        <v>Raclette Courdavault</v>
      </c>
      <c r="I55" s="9" t="str">
        <f>VLOOKUP(revenue[productID],products[],12,FALSE)</f>
        <v>Dairy Products</v>
      </c>
      <c r="J55" s="9">
        <f>VLOOKUP(revenue[productID],products[],IF(YEAR(revenue[orderDate])=2022,8,IF(YEAR(revenue[orderDate])=2023,9,IF(YEAR(revenue[orderDate])=2024,10,NA))),FALSE)</f>
        <v>29.20351951</v>
      </c>
      <c r="K55" s="9">
        <v>44.0</v>
      </c>
      <c r="L55" s="25">
        <f>(revenue[orderPrice]-revenue[productCost])/revenue[productCost]</f>
        <v>0.5066677147</v>
      </c>
      <c r="M55" s="10">
        <v>70.0</v>
      </c>
      <c r="N55" s="25">
        <v>0.15</v>
      </c>
      <c r="O55" s="9">
        <f>revenue[orderPrice]*revenue[orderQuantity]</f>
        <v>3080</v>
      </c>
      <c r="P55" s="9">
        <f>revenue[orderTotal]*(1-revenue[discountApllied])</f>
        <v>2618</v>
      </c>
      <c r="Q55" s="9">
        <f>revenue[revenue]-(revenue[productCost]*revenue[orderQuantity])</f>
        <v>573.7536344</v>
      </c>
      <c r="R55" s="25">
        <f>IFERROR(revenue[profit]/revenue[revenue], 0)</f>
        <v>0.2191572324</v>
      </c>
      <c r="S55" s="9">
        <f>revenue[productCost]*revenue[orderQuantity]</f>
        <v>2044.246366</v>
      </c>
    </row>
    <row r="56" ht="15.75" customHeight="1">
      <c r="A56" s="6">
        <v>10267.0</v>
      </c>
      <c r="B56" s="7" t="s">
        <v>32</v>
      </c>
      <c r="C56" s="24" t="str">
        <f>VLOOKUP(revenue[customerID],customers[],2,FALSE)</f>
        <v>Frankenversand</v>
      </c>
      <c r="D56" s="24" t="str">
        <f>VLOOKUP(revenue[customerID],customers[],6,FALSE)</f>
        <v>München</v>
      </c>
      <c r="E56" s="24" t="str">
        <f>VLOOKUP(revenue[customerID],customers[],9,FALSE)</f>
        <v>Germany</v>
      </c>
      <c r="F56" s="24">
        <v>44771.0</v>
      </c>
      <c r="G56" s="6">
        <v>76.0</v>
      </c>
      <c r="H56" s="9" t="str">
        <f>VLOOKUP(revenue[productID],products[],2,FALSE)</f>
        <v>Lakkalikööri</v>
      </c>
      <c r="I56" s="9" t="str">
        <f>VLOOKUP(revenue[productID],products[],12,FALSE)</f>
        <v>Beverages</v>
      </c>
      <c r="J56" s="9">
        <f>VLOOKUP(revenue[productID],products[],IF(YEAR(revenue[orderDate])=2022,8,IF(YEAR(revenue[orderDate])=2023,9,IF(YEAR(revenue[orderDate])=2024,10,NA))),FALSE)</f>
        <v>10.19609256</v>
      </c>
      <c r="K56" s="9">
        <v>14.4</v>
      </c>
      <c r="L56" s="25">
        <f>(revenue[orderPrice]-revenue[productCost])/revenue[productCost]</f>
        <v>0.4123057356</v>
      </c>
      <c r="M56" s="10">
        <v>15.0</v>
      </c>
      <c r="N56" s="25">
        <v>0.15</v>
      </c>
      <c r="O56" s="9">
        <f>revenue[orderPrice]*revenue[orderQuantity]</f>
        <v>216</v>
      </c>
      <c r="P56" s="9">
        <f>revenue[orderTotal]*(1-revenue[discountApllied])</f>
        <v>183.6</v>
      </c>
      <c r="Q56" s="9">
        <f>revenue[revenue]-(revenue[productCost]*revenue[orderQuantity])</f>
        <v>30.65861163</v>
      </c>
      <c r="R56" s="25">
        <f>IFERROR(revenue[profit]/revenue[revenue], 0)</f>
        <v>0.1669859021</v>
      </c>
      <c r="S56" s="9">
        <f>revenue[productCost]*revenue[orderQuantity]</f>
        <v>152.9413884</v>
      </c>
    </row>
    <row r="57" ht="15.75" customHeight="1">
      <c r="A57" s="6">
        <v>10268.0</v>
      </c>
      <c r="B57" s="7" t="s">
        <v>33</v>
      </c>
      <c r="C57" s="24" t="str">
        <f>VLOOKUP(revenue[customerID],customers[],2,FALSE)</f>
        <v>GROSELLA-Restaurante</v>
      </c>
      <c r="D57" s="24" t="str">
        <f>VLOOKUP(revenue[customerID],customers[],6,FALSE)</f>
        <v>Caracas</v>
      </c>
      <c r="E57" s="24" t="str">
        <f>VLOOKUP(revenue[customerID],customers[],9,FALSE)</f>
        <v>Venezuela</v>
      </c>
      <c r="F57" s="24">
        <v>44772.0</v>
      </c>
      <c r="G57" s="6">
        <v>29.0</v>
      </c>
      <c r="H57" s="9" t="str">
        <f>VLOOKUP(revenue[productID],products[],2,FALSE)</f>
        <v>Thüringer Rostbratwurst</v>
      </c>
      <c r="I57" s="9" t="str">
        <f>VLOOKUP(revenue[productID],products[],12,FALSE)</f>
        <v>Meat/Poultry</v>
      </c>
      <c r="J57" s="9">
        <f>VLOOKUP(revenue[productID],products[],IF(YEAR(revenue[orderDate])=2022,8,IF(YEAR(revenue[orderDate])=2023,9,IF(YEAR(revenue[orderDate])=2024,10,NA))),FALSE)</f>
        <v>70.25945266</v>
      </c>
      <c r="K57" s="9">
        <v>99.0</v>
      </c>
      <c r="L57" s="25">
        <f>(revenue[orderPrice]-revenue[productCost])/revenue[productCost]</f>
        <v>0.4090630691</v>
      </c>
      <c r="M57" s="10">
        <v>10.0</v>
      </c>
      <c r="N57" s="25">
        <v>0.0</v>
      </c>
      <c r="O57" s="9">
        <f>revenue[orderPrice]*revenue[orderQuantity]</f>
        <v>990</v>
      </c>
      <c r="P57" s="9">
        <f>revenue[orderTotal]*(1-revenue[discountApllied])</f>
        <v>990</v>
      </c>
      <c r="Q57" s="9">
        <f>revenue[revenue]-(revenue[productCost]*revenue[orderQuantity])</f>
        <v>287.4054734</v>
      </c>
      <c r="R57" s="25">
        <f>IFERROR(revenue[profit]/revenue[revenue], 0)</f>
        <v>0.290308559</v>
      </c>
      <c r="S57" s="9">
        <f>revenue[productCost]*revenue[orderQuantity]</f>
        <v>702.5945266</v>
      </c>
    </row>
    <row r="58" ht="15.75" customHeight="1">
      <c r="A58" s="6">
        <v>10268.0</v>
      </c>
      <c r="B58" s="7" t="s">
        <v>33</v>
      </c>
      <c r="C58" s="24" t="str">
        <f>VLOOKUP(revenue[customerID],customers[],2,FALSE)</f>
        <v>GROSELLA-Restaurante</v>
      </c>
      <c r="D58" s="24" t="str">
        <f>VLOOKUP(revenue[customerID],customers[],6,FALSE)</f>
        <v>Caracas</v>
      </c>
      <c r="E58" s="24" t="str">
        <f>VLOOKUP(revenue[customerID],customers[],9,FALSE)</f>
        <v>Venezuela</v>
      </c>
      <c r="F58" s="24">
        <v>44772.0</v>
      </c>
      <c r="G58" s="6">
        <v>72.0</v>
      </c>
      <c r="H58" s="9" t="str">
        <f>VLOOKUP(revenue[productID],products[],2,FALSE)</f>
        <v>Mozzarella di Giovanni</v>
      </c>
      <c r="I58" s="9" t="str">
        <f>VLOOKUP(revenue[productID],products[],12,FALSE)</f>
        <v>Dairy Products</v>
      </c>
      <c r="J58" s="9">
        <f>VLOOKUP(revenue[productID],products[],IF(YEAR(revenue[orderDate])=2022,8,IF(YEAR(revenue[orderDate])=2023,9,IF(YEAR(revenue[orderDate])=2024,10,NA))),FALSE)</f>
        <v>19.20829334</v>
      </c>
      <c r="K58" s="9">
        <v>27.8</v>
      </c>
      <c r="L58" s="25">
        <f>(revenue[orderPrice]-revenue[productCost])/revenue[productCost]</f>
        <v>0.4472915167</v>
      </c>
      <c r="M58" s="10">
        <v>4.0</v>
      </c>
      <c r="N58" s="25">
        <v>0.0</v>
      </c>
      <c r="O58" s="9">
        <f>revenue[orderPrice]*revenue[orderQuantity]</f>
        <v>111.2</v>
      </c>
      <c r="P58" s="9">
        <f>revenue[orderTotal]*(1-revenue[discountApllied])</f>
        <v>111.2</v>
      </c>
      <c r="Q58" s="9">
        <f>revenue[revenue]-(revenue[productCost]*revenue[orderQuantity])</f>
        <v>34.36682665</v>
      </c>
      <c r="R58" s="25">
        <f>IFERROR(revenue[profit]/revenue[revenue], 0)</f>
        <v>0.3090541965</v>
      </c>
      <c r="S58" s="9">
        <f>revenue[productCost]*revenue[orderQuantity]</f>
        <v>76.83317335</v>
      </c>
    </row>
    <row r="59" ht="15.75" customHeight="1">
      <c r="A59" s="6">
        <v>10269.0</v>
      </c>
      <c r="B59" s="7" t="s">
        <v>34</v>
      </c>
      <c r="C59" s="24" t="str">
        <f>VLOOKUP(revenue[customerID],customers[],2,FALSE)</f>
        <v>White Clover Markets</v>
      </c>
      <c r="D59" s="24" t="str">
        <f>VLOOKUP(revenue[customerID],customers[],6,FALSE)</f>
        <v>Seattle</v>
      </c>
      <c r="E59" s="24" t="str">
        <f>VLOOKUP(revenue[customerID],customers[],9,FALSE)</f>
        <v>USA</v>
      </c>
      <c r="F59" s="24">
        <v>44773.0</v>
      </c>
      <c r="G59" s="6">
        <v>33.0</v>
      </c>
      <c r="H59" s="9" t="str">
        <f>VLOOKUP(revenue[productID],products[],2,FALSE)</f>
        <v>Geitost</v>
      </c>
      <c r="I59" s="9" t="str">
        <f>VLOOKUP(revenue[productID],products[],12,FALSE)</f>
        <v>Dairy Products</v>
      </c>
      <c r="J59" s="9">
        <f>VLOOKUP(revenue[productID],products[],IF(YEAR(revenue[orderDate])=2022,8,IF(YEAR(revenue[orderDate])=2023,9,IF(YEAR(revenue[orderDate])=2024,10,NA))),FALSE)</f>
        <v>1.393847434</v>
      </c>
      <c r="K59" s="9">
        <v>2.0</v>
      </c>
      <c r="L59" s="25">
        <f>(revenue[orderPrice]-revenue[productCost])/revenue[productCost]</f>
        <v>0.4348772692</v>
      </c>
      <c r="M59" s="10">
        <v>60.0</v>
      </c>
      <c r="N59" s="25">
        <v>0.05</v>
      </c>
      <c r="O59" s="9">
        <f>revenue[orderPrice]*revenue[orderQuantity]</f>
        <v>120</v>
      </c>
      <c r="P59" s="9">
        <f>revenue[orderTotal]*(1-revenue[discountApllied])</f>
        <v>114</v>
      </c>
      <c r="Q59" s="9">
        <f>revenue[revenue]-(revenue[productCost]*revenue[orderQuantity])</f>
        <v>30.36915395</v>
      </c>
      <c r="R59" s="25">
        <f>IFERROR(revenue[profit]/revenue[revenue], 0)</f>
        <v>0.2663960873</v>
      </c>
      <c r="S59" s="9">
        <f>revenue[productCost]*revenue[orderQuantity]</f>
        <v>83.63084605</v>
      </c>
    </row>
    <row r="60" ht="15.75" customHeight="1">
      <c r="A60" s="6">
        <v>10269.0</v>
      </c>
      <c r="B60" s="7" t="s">
        <v>34</v>
      </c>
      <c r="C60" s="24" t="str">
        <f>VLOOKUP(revenue[customerID],customers[],2,FALSE)</f>
        <v>White Clover Markets</v>
      </c>
      <c r="D60" s="24" t="str">
        <f>VLOOKUP(revenue[customerID],customers[],6,FALSE)</f>
        <v>Seattle</v>
      </c>
      <c r="E60" s="24" t="str">
        <f>VLOOKUP(revenue[customerID],customers[],9,FALSE)</f>
        <v>USA</v>
      </c>
      <c r="F60" s="24">
        <v>44773.0</v>
      </c>
      <c r="G60" s="6">
        <v>72.0</v>
      </c>
      <c r="H60" s="9" t="str">
        <f>VLOOKUP(revenue[productID],products[],2,FALSE)</f>
        <v>Mozzarella di Giovanni</v>
      </c>
      <c r="I60" s="9" t="str">
        <f>VLOOKUP(revenue[productID],products[],12,FALSE)</f>
        <v>Dairy Products</v>
      </c>
      <c r="J60" s="9">
        <f>VLOOKUP(revenue[productID],products[],IF(YEAR(revenue[orderDate])=2022,8,IF(YEAR(revenue[orderDate])=2023,9,IF(YEAR(revenue[orderDate])=2024,10,NA))),FALSE)</f>
        <v>19.20829334</v>
      </c>
      <c r="K60" s="9">
        <v>27.8</v>
      </c>
      <c r="L60" s="25">
        <f>(revenue[orderPrice]-revenue[productCost])/revenue[productCost]</f>
        <v>0.4472915167</v>
      </c>
      <c r="M60" s="10">
        <v>20.0</v>
      </c>
      <c r="N60" s="25">
        <v>0.05</v>
      </c>
      <c r="O60" s="9">
        <f>revenue[orderPrice]*revenue[orderQuantity]</f>
        <v>556</v>
      </c>
      <c r="P60" s="9">
        <f>revenue[orderTotal]*(1-revenue[discountApllied])</f>
        <v>528.2</v>
      </c>
      <c r="Q60" s="9">
        <f>revenue[revenue]-(revenue[productCost]*revenue[orderQuantity])</f>
        <v>144.0341332</v>
      </c>
      <c r="R60" s="25">
        <f>IFERROR(revenue[profit]/revenue[revenue], 0)</f>
        <v>0.2726886278</v>
      </c>
      <c r="S60" s="9">
        <f>revenue[productCost]*revenue[orderQuantity]</f>
        <v>384.1658668</v>
      </c>
    </row>
    <row r="61" ht="15.75" customHeight="1">
      <c r="A61" s="6">
        <v>10270.0</v>
      </c>
      <c r="B61" s="7" t="s">
        <v>31</v>
      </c>
      <c r="C61" s="24" t="str">
        <f>VLOOKUP(revenue[customerID],customers[],2,FALSE)</f>
        <v>Wartian Herkku</v>
      </c>
      <c r="D61" s="24" t="str">
        <f>VLOOKUP(revenue[customerID],customers[],6,FALSE)</f>
        <v>Oulu</v>
      </c>
      <c r="E61" s="24" t="str">
        <f>VLOOKUP(revenue[customerID],customers[],9,FALSE)</f>
        <v>Finland</v>
      </c>
      <c r="F61" s="24">
        <v>44774.0</v>
      </c>
      <c r="G61" s="6">
        <v>36.0</v>
      </c>
      <c r="H61" s="9" t="str">
        <f>VLOOKUP(revenue[productID],products[],2,FALSE)</f>
        <v>Inlagd Sill</v>
      </c>
      <c r="I61" s="9" t="str">
        <f>VLOOKUP(revenue[productID],products[],12,FALSE)</f>
        <v>Seafood</v>
      </c>
      <c r="J61" s="9">
        <f>VLOOKUP(revenue[productID],products[],IF(YEAR(revenue[orderDate])=2022,8,IF(YEAR(revenue[orderDate])=2023,9,IF(YEAR(revenue[orderDate])=2024,10,NA))),FALSE)</f>
        <v>9.768238429</v>
      </c>
      <c r="K61" s="9">
        <v>15.2</v>
      </c>
      <c r="L61" s="25">
        <f>(revenue[orderPrice]-revenue[productCost])/revenue[productCost]</f>
        <v>0.5560635738</v>
      </c>
      <c r="M61" s="10">
        <v>30.0</v>
      </c>
      <c r="N61" s="25">
        <v>0.0</v>
      </c>
      <c r="O61" s="9">
        <f>revenue[orderPrice]*revenue[orderQuantity]</f>
        <v>456</v>
      </c>
      <c r="P61" s="9">
        <f>revenue[orderTotal]*(1-revenue[discountApllied])</f>
        <v>456</v>
      </c>
      <c r="Q61" s="9">
        <f>revenue[revenue]-(revenue[productCost]*revenue[orderQuantity])</f>
        <v>162.9528471</v>
      </c>
      <c r="R61" s="25">
        <f>IFERROR(revenue[profit]/revenue[revenue], 0)</f>
        <v>0.3573527349</v>
      </c>
      <c r="S61" s="9">
        <f>revenue[productCost]*revenue[orderQuantity]</f>
        <v>293.0471529</v>
      </c>
    </row>
    <row r="62" ht="15.75" customHeight="1">
      <c r="A62" s="6">
        <v>10270.0</v>
      </c>
      <c r="B62" s="7" t="s">
        <v>31</v>
      </c>
      <c r="C62" s="24" t="str">
        <f>VLOOKUP(revenue[customerID],customers[],2,FALSE)</f>
        <v>Wartian Herkku</v>
      </c>
      <c r="D62" s="24" t="str">
        <f>VLOOKUP(revenue[customerID],customers[],6,FALSE)</f>
        <v>Oulu</v>
      </c>
      <c r="E62" s="24" t="str">
        <f>VLOOKUP(revenue[customerID],customers[],9,FALSE)</f>
        <v>Finland</v>
      </c>
      <c r="F62" s="24">
        <v>44774.0</v>
      </c>
      <c r="G62" s="6">
        <v>43.0</v>
      </c>
      <c r="H62" s="9" t="str">
        <f>VLOOKUP(revenue[productID],products[],2,FALSE)</f>
        <v>Ipoh Coffee</v>
      </c>
      <c r="I62" s="9" t="str">
        <f>VLOOKUP(revenue[productID],products[],12,FALSE)</f>
        <v>Beverages</v>
      </c>
      <c r="J62" s="9">
        <f>VLOOKUP(revenue[productID],products[],IF(YEAR(revenue[orderDate])=2022,8,IF(YEAR(revenue[orderDate])=2023,9,IF(YEAR(revenue[orderDate])=2024,10,NA))),FALSE)</f>
        <v>25.79491918</v>
      </c>
      <c r="K62" s="9">
        <v>36.8</v>
      </c>
      <c r="L62" s="25">
        <f>(revenue[orderPrice]-revenue[productCost])/revenue[productCost]</f>
        <v>0.4266375384</v>
      </c>
      <c r="M62" s="10">
        <v>25.0</v>
      </c>
      <c r="N62" s="25">
        <v>0.0</v>
      </c>
      <c r="O62" s="9">
        <f>revenue[orderPrice]*revenue[orderQuantity]</f>
        <v>920</v>
      </c>
      <c r="P62" s="9">
        <f>revenue[orderTotal]*(1-revenue[discountApllied])</f>
        <v>920</v>
      </c>
      <c r="Q62" s="9">
        <f>revenue[revenue]-(revenue[productCost]*revenue[orderQuantity])</f>
        <v>275.1270205</v>
      </c>
      <c r="R62" s="25">
        <f>IFERROR(revenue[profit]/revenue[revenue], 0)</f>
        <v>0.2990511093</v>
      </c>
      <c r="S62" s="9">
        <f>revenue[productCost]*revenue[orderQuantity]</f>
        <v>644.8729795</v>
      </c>
    </row>
    <row r="63" ht="15.75" customHeight="1">
      <c r="A63" s="6">
        <v>10271.0</v>
      </c>
      <c r="B63" s="7" t="s">
        <v>35</v>
      </c>
      <c r="C63" s="24" t="str">
        <f>VLOOKUP(revenue[customerID],customers[],2,FALSE)</f>
        <v>Split Rail Beer &amp; Ale</v>
      </c>
      <c r="D63" s="24" t="str">
        <f>VLOOKUP(revenue[customerID],customers[],6,FALSE)</f>
        <v>Lander</v>
      </c>
      <c r="E63" s="24" t="str">
        <f>VLOOKUP(revenue[customerID],customers[],9,FALSE)</f>
        <v>USA</v>
      </c>
      <c r="F63" s="24">
        <v>44774.0</v>
      </c>
      <c r="G63" s="6">
        <v>33.0</v>
      </c>
      <c r="H63" s="9" t="str">
        <f>VLOOKUP(revenue[productID],products[],2,FALSE)</f>
        <v>Geitost</v>
      </c>
      <c r="I63" s="9" t="str">
        <f>VLOOKUP(revenue[productID],products[],12,FALSE)</f>
        <v>Dairy Products</v>
      </c>
      <c r="J63" s="9">
        <f>VLOOKUP(revenue[productID],products[],IF(YEAR(revenue[orderDate])=2022,8,IF(YEAR(revenue[orderDate])=2023,9,IF(YEAR(revenue[orderDate])=2024,10,NA))),FALSE)</f>
        <v>1.393847434</v>
      </c>
      <c r="K63" s="9">
        <v>2.0</v>
      </c>
      <c r="L63" s="25">
        <f>(revenue[orderPrice]-revenue[productCost])/revenue[productCost]</f>
        <v>0.4348772692</v>
      </c>
      <c r="M63" s="10">
        <v>24.0</v>
      </c>
      <c r="N63" s="25">
        <v>0.0</v>
      </c>
      <c r="O63" s="9">
        <f>revenue[orderPrice]*revenue[orderQuantity]</f>
        <v>48</v>
      </c>
      <c r="P63" s="9">
        <f>revenue[orderTotal]*(1-revenue[discountApllied])</f>
        <v>48</v>
      </c>
      <c r="Q63" s="9">
        <f>revenue[revenue]-(revenue[productCost]*revenue[orderQuantity])</f>
        <v>14.54766158</v>
      </c>
      <c r="R63" s="25">
        <f>IFERROR(revenue[profit]/revenue[revenue], 0)</f>
        <v>0.3030762829</v>
      </c>
      <c r="S63" s="9">
        <f>revenue[productCost]*revenue[orderQuantity]</f>
        <v>33.45233842</v>
      </c>
    </row>
    <row r="64" ht="15.75" customHeight="1">
      <c r="A64" s="6">
        <v>10272.0</v>
      </c>
      <c r="B64" s="7" t="s">
        <v>28</v>
      </c>
      <c r="C64" s="24" t="str">
        <f>VLOOKUP(revenue[customerID],customers[],2,FALSE)</f>
        <v>Rattlesnake Canyon Grocery</v>
      </c>
      <c r="D64" s="24" t="str">
        <f>VLOOKUP(revenue[customerID],customers[],6,FALSE)</f>
        <v>Albuquerque</v>
      </c>
      <c r="E64" s="24" t="str">
        <f>VLOOKUP(revenue[customerID],customers[],9,FALSE)</f>
        <v>USA</v>
      </c>
      <c r="F64" s="24">
        <v>44775.0</v>
      </c>
      <c r="G64" s="6">
        <v>20.0</v>
      </c>
      <c r="H64" s="9" t="str">
        <f>VLOOKUP(revenue[productID],products[],2,FALSE)</f>
        <v>Sir Rodney's Marmalade</v>
      </c>
      <c r="I64" s="9" t="str">
        <f>VLOOKUP(revenue[productID],products[],12,FALSE)</f>
        <v>Confections</v>
      </c>
      <c r="J64" s="9">
        <f>VLOOKUP(revenue[productID],products[],IF(YEAR(revenue[orderDate])=2022,8,IF(YEAR(revenue[orderDate])=2023,9,IF(YEAR(revenue[orderDate])=2024,10,NA))),FALSE)</f>
        <v>45.94247438</v>
      </c>
      <c r="K64" s="9">
        <v>64.8</v>
      </c>
      <c r="L64" s="25">
        <f>(revenue[orderPrice]-revenue[productCost])/revenue[productCost]</f>
        <v>0.4104595121</v>
      </c>
      <c r="M64" s="10">
        <v>6.0</v>
      </c>
      <c r="N64" s="25">
        <v>0.0</v>
      </c>
      <c r="O64" s="9">
        <f>revenue[orderPrice]*revenue[orderQuantity]</f>
        <v>388.8</v>
      </c>
      <c r="P64" s="9">
        <f>revenue[orderTotal]*(1-revenue[discountApllied])</f>
        <v>388.8</v>
      </c>
      <c r="Q64" s="9">
        <f>revenue[revenue]-(revenue[productCost]*revenue[orderQuantity])</f>
        <v>113.1451537</v>
      </c>
      <c r="R64" s="25">
        <f>IFERROR(revenue[profit]/revenue[revenue], 0)</f>
        <v>0.2910111978</v>
      </c>
      <c r="S64" s="9">
        <f>revenue[productCost]*revenue[orderQuantity]</f>
        <v>275.6548463</v>
      </c>
    </row>
    <row r="65" ht="15.75" customHeight="1">
      <c r="A65" s="6">
        <v>10272.0</v>
      </c>
      <c r="B65" s="7" t="s">
        <v>28</v>
      </c>
      <c r="C65" s="24" t="str">
        <f>VLOOKUP(revenue[customerID],customers[],2,FALSE)</f>
        <v>Rattlesnake Canyon Grocery</v>
      </c>
      <c r="D65" s="24" t="str">
        <f>VLOOKUP(revenue[customerID],customers[],6,FALSE)</f>
        <v>Albuquerque</v>
      </c>
      <c r="E65" s="24" t="str">
        <f>VLOOKUP(revenue[customerID],customers[],9,FALSE)</f>
        <v>USA</v>
      </c>
      <c r="F65" s="24">
        <v>44775.0</v>
      </c>
      <c r="G65" s="6">
        <v>31.0</v>
      </c>
      <c r="H65" s="9" t="str">
        <f>VLOOKUP(revenue[productID],products[],2,FALSE)</f>
        <v>Gorgonzola Telino</v>
      </c>
      <c r="I65" s="9" t="str">
        <f>VLOOKUP(revenue[productID],products[],12,FALSE)</f>
        <v>Dairy Products</v>
      </c>
      <c r="J65" s="9">
        <f>VLOOKUP(revenue[productID],products[],IF(YEAR(revenue[orderDate])=2022,8,IF(YEAR(revenue[orderDate])=2023,9,IF(YEAR(revenue[orderDate])=2024,10,NA))),FALSE)</f>
        <v>6.44031973</v>
      </c>
      <c r="K65" s="9">
        <v>10.0</v>
      </c>
      <c r="L65" s="25">
        <f>(revenue[orderPrice]-revenue[productCost])/revenue[productCost]</f>
        <v>0.5527179425</v>
      </c>
      <c r="M65" s="10">
        <v>40.0</v>
      </c>
      <c r="N65" s="25">
        <v>0.0</v>
      </c>
      <c r="O65" s="9">
        <f>revenue[orderPrice]*revenue[orderQuantity]</f>
        <v>400</v>
      </c>
      <c r="P65" s="9">
        <f>revenue[orderTotal]*(1-revenue[discountApllied])</f>
        <v>400</v>
      </c>
      <c r="Q65" s="9">
        <f>revenue[revenue]-(revenue[productCost]*revenue[orderQuantity])</f>
        <v>142.3872108</v>
      </c>
      <c r="R65" s="25">
        <f>IFERROR(revenue[profit]/revenue[revenue], 0)</f>
        <v>0.355968027</v>
      </c>
      <c r="S65" s="9">
        <f>revenue[productCost]*revenue[orderQuantity]</f>
        <v>257.6127892</v>
      </c>
    </row>
    <row r="66" ht="15.75" customHeight="1">
      <c r="A66" s="6">
        <v>10272.0</v>
      </c>
      <c r="B66" s="7" t="s">
        <v>28</v>
      </c>
      <c r="C66" s="24" t="str">
        <f>VLOOKUP(revenue[customerID],customers[],2,FALSE)</f>
        <v>Rattlesnake Canyon Grocery</v>
      </c>
      <c r="D66" s="24" t="str">
        <f>VLOOKUP(revenue[customerID],customers[],6,FALSE)</f>
        <v>Albuquerque</v>
      </c>
      <c r="E66" s="24" t="str">
        <f>VLOOKUP(revenue[customerID],customers[],9,FALSE)</f>
        <v>USA</v>
      </c>
      <c r="F66" s="24">
        <v>44775.0</v>
      </c>
      <c r="G66" s="6">
        <v>72.0</v>
      </c>
      <c r="H66" s="9" t="str">
        <f>VLOOKUP(revenue[productID],products[],2,FALSE)</f>
        <v>Mozzarella di Giovanni</v>
      </c>
      <c r="I66" s="9" t="str">
        <f>VLOOKUP(revenue[productID],products[],12,FALSE)</f>
        <v>Dairy Products</v>
      </c>
      <c r="J66" s="9">
        <f>VLOOKUP(revenue[productID],products[],IF(YEAR(revenue[orderDate])=2022,8,IF(YEAR(revenue[orderDate])=2023,9,IF(YEAR(revenue[orderDate])=2024,10,NA))),FALSE)</f>
        <v>19.20829334</v>
      </c>
      <c r="K66" s="9">
        <v>27.8</v>
      </c>
      <c r="L66" s="25">
        <f>(revenue[orderPrice]-revenue[productCost])/revenue[productCost]</f>
        <v>0.4472915167</v>
      </c>
      <c r="M66" s="10">
        <v>24.0</v>
      </c>
      <c r="N66" s="25">
        <v>0.0</v>
      </c>
      <c r="O66" s="9">
        <f>revenue[orderPrice]*revenue[orderQuantity]</f>
        <v>667.2</v>
      </c>
      <c r="P66" s="9">
        <f>revenue[orderTotal]*(1-revenue[discountApllied])</f>
        <v>667.2</v>
      </c>
      <c r="Q66" s="9">
        <f>revenue[revenue]-(revenue[productCost]*revenue[orderQuantity])</f>
        <v>206.2009599</v>
      </c>
      <c r="R66" s="25">
        <f>IFERROR(revenue[profit]/revenue[revenue], 0)</f>
        <v>0.3090541965</v>
      </c>
      <c r="S66" s="9">
        <f>revenue[productCost]*revenue[orderQuantity]</f>
        <v>460.9990401</v>
      </c>
    </row>
    <row r="67" ht="15.75" customHeight="1">
      <c r="A67" s="6">
        <v>10273.0</v>
      </c>
      <c r="B67" s="7" t="s">
        <v>36</v>
      </c>
      <c r="C67" s="24" t="str">
        <f>VLOOKUP(revenue[customerID],customers[],2,FALSE)</f>
        <v>QUICK-Stop</v>
      </c>
      <c r="D67" s="24" t="str">
        <f>VLOOKUP(revenue[customerID],customers[],6,FALSE)</f>
        <v>Cunewalde</v>
      </c>
      <c r="E67" s="24" t="str">
        <f>VLOOKUP(revenue[customerID],customers[],9,FALSE)</f>
        <v>Germany</v>
      </c>
      <c r="F67" s="24">
        <v>44778.0</v>
      </c>
      <c r="G67" s="6">
        <v>10.0</v>
      </c>
      <c r="H67" s="9" t="str">
        <f>VLOOKUP(revenue[productID],products[],2,FALSE)</f>
        <v>Ikura</v>
      </c>
      <c r="I67" s="9" t="str">
        <f>VLOOKUP(revenue[productID],products[],12,FALSE)</f>
        <v>Seafood</v>
      </c>
      <c r="J67" s="9">
        <f>VLOOKUP(revenue[productID],products[],IF(YEAR(revenue[orderDate])=2022,8,IF(YEAR(revenue[orderDate])=2023,9,IF(YEAR(revenue[orderDate])=2024,10,NA))),FALSE)</f>
        <v>16.07630731</v>
      </c>
      <c r="K67" s="9">
        <v>24.8</v>
      </c>
      <c r="L67" s="25">
        <f>(revenue[orderPrice]-revenue[productCost])/revenue[productCost]</f>
        <v>0.5426428175</v>
      </c>
      <c r="M67" s="10">
        <v>24.0</v>
      </c>
      <c r="N67" s="25">
        <v>0.05</v>
      </c>
      <c r="O67" s="9">
        <f>revenue[orderPrice]*revenue[orderQuantity]</f>
        <v>595.2</v>
      </c>
      <c r="P67" s="9">
        <f>revenue[orderTotal]*(1-revenue[discountApllied])</f>
        <v>565.44</v>
      </c>
      <c r="Q67" s="9">
        <f>revenue[revenue]-(revenue[productCost]*revenue[orderQuantity])</f>
        <v>179.6086246</v>
      </c>
      <c r="R67" s="25">
        <f>IFERROR(revenue[profit]/revenue[revenue], 0)</f>
        <v>0.3176440022</v>
      </c>
      <c r="S67" s="9">
        <f>revenue[productCost]*revenue[orderQuantity]</f>
        <v>385.8313754</v>
      </c>
    </row>
    <row r="68" ht="15.75" customHeight="1">
      <c r="A68" s="6">
        <v>10273.0</v>
      </c>
      <c r="B68" s="7" t="s">
        <v>36</v>
      </c>
      <c r="C68" s="24" t="str">
        <f>VLOOKUP(revenue[customerID],customers[],2,FALSE)</f>
        <v>QUICK-Stop</v>
      </c>
      <c r="D68" s="24" t="str">
        <f>VLOOKUP(revenue[customerID],customers[],6,FALSE)</f>
        <v>Cunewalde</v>
      </c>
      <c r="E68" s="24" t="str">
        <f>VLOOKUP(revenue[customerID],customers[],9,FALSE)</f>
        <v>Germany</v>
      </c>
      <c r="F68" s="24">
        <v>44778.0</v>
      </c>
      <c r="G68" s="6">
        <v>31.0</v>
      </c>
      <c r="H68" s="9" t="str">
        <f>VLOOKUP(revenue[productID],products[],2,FALSE)</f>
        <v>Gorgonzola Telino</v>
      </c>
      <c r="I68" s="9" t="str">
        <f>VLOOKUP(revenue[productID],products[],12,FALSE)</f>
        <v>Dairy Products</v>
      </c>
      <c r="J68" s="9">
        <f>VLOOKUP(revenue[productID],products[],IF(YEAR(revenue[orderDate])=2022,8,IF(YEAR(revenue[orderDate])=2023,9,IF(YEAR(revenue[orderDate])=2024,10,NA))),FALSE)</f>
        <v>6.44031973</v>
      </c>
      <c r="K68" s="9">
        <v>10.0</v>
      </c>
      <c r="L68" s="25">
        <f>(revenue[orderPrice]-revenue[productCost])/revenue[productCost]</f>
        <v>0.5527179425</v>
      </c>
      <c r="M68" s="10">
        <v>15.0</v>
      </c>
      <c r="N68" s="25">
        <v>0.05</v>
      </c>
      <c r="O68" s="9">
        <f>revenue[orderPrice]*revenue[orderQuantity]</f>
        <v>150</v>
      </c>
      <c r="P68" s="9">
        <f>revenue[orderTotal]*(1-revenue[discountApllied])</f>
        <v>142.5</v>
      </c>
      <c r="Q68" s="9">
        <f>revenue[revenue]-(revenue[productCost]*revenue[orderQuantity])</f>
        <v>45.89520405</v>
      </c>
      <c r="R68" s="25">
        <f>IFERROR(revenue[profit]/revenue[revenue], 0)</f>
        <v>0.3220716074</v>
      </c>
      <c r="S68" s="9">
        <f>revenue[productCost]*revenue[orderQuantity]</f>
        <v>96.60479595</v>
      </c>
    </row>
    <row r="69" ht="15.75" customHeight="1">
      <c r="A69" s="6">
        <v>10273.0</v>
      </c>
      <c r="B69" s="7" t="s">
        <v>36</v>
      </c>
      <c r="C69" s="24" t="str">
        <f>VLOOKUP(revenue[customerID],customers[],2,FALSE)</f>
        <v>QUICK-Stop</v>
      </c>
      <c r="D69" s="24" t="str">
        <f>VLOOKUP(revenue[customerID],customers[],6,FALSE)</f>
        <v>Cunewalde</v>
      </c>
      <c r="E69" s="24" t="str">
        <f>VLOOKUP(revenue[customerID],customers[],9,FALSE)</f>
        <v>Germany</v>
      </c>
      <c r="F69" s="24">
        <v>44778.0</v>
      </c>
      <c r="G69" s="6">
        <v>33.0</v>
      </c>
      <c r="H69" s="9" t="str">
        <f>VLOOKUP(revenue[productID],products[],2,FALSE)</f>
        <v>Geitost</v>
      </c>
      <c r="I69" s="9" t="str">
        <f>VLOOKUP(revenue[productID],products[],12,FALSE)</f>
        <v>Dairy Products</v>
      </c>
      <c r="J69" s="9">
        <f>VLOOKUP(revenue[productID],products[],IF(YEAR(revenue[orderDate])=2022,8,IF(YEAR(revenue[orderDate])=2023,9,IF(YEAR(revenue[orderDate])=2024,10,NA))),FALSE)</f>
        <v>1.393847434</v>
      </c>
      <c r="K69" s="9">
        <v>2.0</v>
      </c>
      <c r="L69" s="25">
        <f>(revenue[orderPrice]-revenue[productCost])/revenue[productCost]</f>
        <v>0.4348772692</v>
      </c>
      <c r="M69" s="10">
        <v>20.0</v>
      </c>
      <c r="N69" s="25">
        <v>0.0</v>
      </c>
      <c r="O69" s="9">
        <f>revenue[orderPrice]*revenue[orderQuantity]</f>
        <v>40</v>
      </c>
      <c r="P69" s="9">
        <f>revenue[orderTotal]*(1-revenue[discountApllied])</f>
        <v>40</v>
      </c>
      <c r="Q69" s="9">
        <f>revenue[revenue]-(revenue[productCost]*revenue[orderQuantity])</f>
        <v>12.12305132</v>
      </c>
      <c r="R69" s="25">
        <f>IFERROR(revenue[profit]/revenue[revenue], 0)</f>
        <v>0.3030762829</v>
      </c>
      <c r="S69" s="9">
        <f>revenue[productCost]*revenue[orderQuantity]</f>
        <v>27.87694868</v>
      </c>
    </row>
    <row r="70" ht="15.75" customHeight="1">
      <c r="A70" s="6">
        <v>10273.0</v>
      </c>
      <c r="B70" s="7" t="s">
        <v>36</v>
      </c>
      <c r="C70" s="24" t="str">
        <f>VLOOKUP(revenue[customerID],customers[],2,FALSE)</f>
        <v>QUICK-Stop</v>
      </c>
      <c r="D70" s="24" t="str">
        <f>VLOOKUP(revenue[customerID],customers[],6,FALSE)</f>
        <v>Cunewalde</v>
      </c>
      <c r="E70" s="24" t="str">
        <f>VLOOKUP(revenue[customerID],customers[],9,FALSE)</f>
        <v>Germany</v>
      </c>
      <c r="F70" s="24">
        <v>44778.0</v>
      </c>
      <c r="G70" s="6">
        <v>40.0</v>
      </c>
      <c r="H70" s="9" t="str">
        <f>VLOOKUP(revenue[productID],products[],2,FALSE)</f>
        <v>Boston Crab Meat</v>
      </c>
      <c r="I70" s="9" t="str">
        <f>VLOOKUP(revenue[productID],products[],12,FALSE)</f>
        <v>Seafood</v>
      </c>
      <c r="J70" s="9">
        <f>VLOOKUP(revenue[productID],products[],IF(YEAR(revenue[orderDate])=2022,8,IF(YEAR(revenue[orderDate])=2023,9,IF(YEAR(revenue[orderDate])=2024,10,NA))),FALSE)</f>
        <v>9.680649108</v>
      </c>
      <c r="K70" s="9">
        <v>14.7</v>
      </c>
      <c r="L70" s="25">
        <f>(revenue[orderPrice]-revenue[productCost])/revenue[productCost]</f>
        <v>0.5184932162</v>
      </c>
      <c r="M70" s="10">
        <v>60.0</v>
      </c>
      <c r="N70" s="25">
        <v>0.05</v>
      </c>
      <c r="O70" s="9">
        <f>revenue[orderPrice]*revenue[orderQuantity]</f>
        <v>882</v>
      </c>
      <c r="P70" s="9">
        <f>revenue[orderTotal]*(1-revenue[discountApllied])</f>
        <v>837.9</v>
      </c>
      <c r="Q70" s="9">
        <f>revenue[revenue]-(revenue[productCost]*revenue[orderQuantity])</f>
        <v>257.0610535</v>
      </c>
      <c r="R70" s="25">
        <f>IFERROR(revenue[profit]/revenue[revenue], 0)</f>
        <v>0.3067920438</v>
      </c>
      <c r="S70" s="9">
        <f>revenue[productCost]*revenue[orderQuantity]</f>
        <v>580.8389465</v>
      </c>
    </row>
    <row r="71" ht="15.75" customHeight="1">
      <c r="A71" s="6">
        <v>10273.0</v>
      </c>
      <c r="B71" s="7" t="s">
        <v>36</v>
      </c>
      <c r="C71" s="24" t="str">
        <f>VLOOKUP(revenue[customerID],customers[],2,FALSE)</f>
        <v>QUICK-Stop</v>
      </c>
      <c r="D71" s="24" t="str">
        <f>VLOOKUP(revenue[customerID],customers[],6,FALSE)</f>
        <v>Cunewalde</v>
      </c>
      <c r="E71" s="24" t="str">
        <f>VLOOKUP(revenue[customerID],customers[],9,FALSE)</f>
        <v>Germany</v>
      </c>
      <c r="F71" s="24">
        <v>44778.0</v>
      </c>
      <c r="G71" s="6">
        <v>76.0</v>
      </c>
      <c r="H71" s="9" t="str">
        <f>VLOOKUP(revenue[productID],products[],2,FALSE)</f>
        <v>Lakkalikööri</v>
      </c>
      <c r="I71" s="9" t="str">
        <f>VLOOKUP(revenue[productID],products[],12,FALSE)</f>
        <v>Beverages</v>
      </c>
      <c r="J71" s="9">
        <f>VLOOKUP(revenue[productID],products[],IF(YEAR(revenue[orderDate])=2022,8,IF(YEAR(revenue[orderDate])=2023,9,IF(YEAR(revenue[orderDate])=2024,10,NA))),FALSE)</f>
        <v>10.19609256</v>
      </c>
      <c r="K71" s="9">
        <v>14.4</v>
      </c>
      <c r="L71" s="25">
        <f>(revenue[orderPrice]-revenue[productCost])/revenue[productCost]</f>
        <v>0.4123057356</v>
      </c>
      <c r="M71" s="10">
        <v>33.0</v>
      </c>
      <c r="N71" s="25">
        <v>0.05</v>
      </c>
      <c r="O71" s="9">
        <f>revenue[orderPrice]*revenue[orderQuantity]</f>
        <v>475.2</v>
      </c>
      <c r="P71" s="9">
        <f>revenue[orderTotal]*(1-revenue[discountApllied])</f>
        <v>451.44</v>
      </c>
      <c r="Q71" s="9">
        <f>revenue[revenue]-(revenue[productCost]*revenue[orderQuantity])</f>
        <v>114.9689456</v>
      </c>
      <c r="R71" s="25">
        <f>IFERROR(revenue[profit]/revenue[revenue], 0)</f>
        <v>0.2546715966</v>
      </c>
      <c r="S71" s="9">
        <f>revenue[productCost]*revenue[orderQuantity]</f>
        <v>336.4710544</v>
      </c>
    </row>
    <row r="72" ht="15.75" customHeight="1">
      <c r="A72" s="6">
        <v>10274.0</v>
      </c>
      <c r="B72" s="7" t="s">
        <v>12</v>
      </c>
      <c r="C72" s="24" t="str">
        <f>VLOOKUP(revenue[customerID],customers[],2,FALSE)</f>
        <v>Vins et alcools Chevalier</v>
      </c>
      <c r="D72" s="24" t="str">
        <f>VLOOKUP(revenue[customerID],customers[],6,FALSE)</f>
        <v>Reims</v>
      </c>
      <c r="E72" s="24" t="str">
        <f>VLOOKUP(revenue[customerID],customers[],9,FALSE)</f>
        <v>France</v>
      </c>
      <c r="F72" s="24">
        <v>44779.0</v>
      </c>
      <c r="G72" s="6">
        <v>71.0</v>
      </c>
      <c r="H72" s="9" t="str">
        <f>VLOOKUP(revenue[productID],products[],2,FALSE)</f>
        <v>Flotemysost</v>
      </c>
      <c r="I72" s="9" t="str">
        <f>VLOOKUP(revenue[productID],products[],12,FALSE)</f>
        <v>Dairy Products</v>
      </c>
      <c r="J72" s="9">
        <f>VLOOKUP(revenue[productID],products[],IF(YEAR(revenue[orderDate])=2022,8,IF(YEAR(revenue[orderDate])=2023,9,IF(YEAR(revenue[orderDate])=2024,10,NA))),FALSE)</f>
        <v>12.00719029</v>
      </c>
      <c r="K72" s="9">
        <v>17.2</v>
      </c>
      <c r="L72" s="25">
        <f>(revenue[orderPrice]-revenue[productCost])/revenue[productCost]</f>
        <v>0.4324750075</v>
      </c>
      <c r="M72" s="10">
        <v>20.0</v>
      </c>
      <c r="N72" s="25">
        <v>0.0</v>
      </c>
      <c r="O72" s="9">
        <f>revenue[orderPrice]*revenue[orderQuantity]</f>
        <v>344</v>
      </c>
      <c r="P72" s="9">
        <f>revenue[orderTotal]*(1-revenue[discountApllied])</f>
        <v>344</v>
      </c>
      <c r="Q72" s="9">
        <f>revenue[revenue]-(revenue[productCost]*revenue[orderQuantity])</f>
        <v>103.8561942</v>
      </c>
      <c r="R72" s="25">
        <f>IFERROR(revenue[profit]/revenue[revenue], 0)</f>
        <v>0.3019075413</v>
      </c>
      <c r="S72" s="9">
        <f>revenue[productCost]*revenue[orderQuantity]</f>
        <v>240.1438058</v>
      </c>
    </row>
    <row r="73" ht="15.75" customHeight="1">
      <c r="A73" s="6">
        <v>10274.0</v>
      </c>
      <c r="B73" s="7" t="s">
        <v>12</v>
      </c>
      <c r="C73" s="24" t="str">
        <f>VLOOKUP(revenue[customerID],customers[],2,FALSE)</f>
        <v>Vins et alcools Chevalier</v>
      </c>
      <c r="D73" s="24" t="str">
        <f>VLOOKUP(revenue[customerID],customers[],6,FALSE)</f>
        <v>Reims</v>
      </c>
      <c r="E73" s="24" t="str">
        <f>VLOOKUP(revenue[customerID],customers[],9,FALSE)</f>
        <v>France</v>
      </c>
      <c r="F73" s="24">
        <v>44779.0</v>
      </c>
      <c r="G73" s="6">
        <v>72.0</v>
      </c>
      <c r="H73" s="9" t="str">
        <f>VLOOKUP(revenue[productID],products[],2,FALSE)</f>
        <v>Mozzarella di Giovanni</v>
      </c>
      <c r="I73" s="9" t="str">
        <f>VLOOKUP(revenue[productID],products[],12,FALSE)</f>
        <v>Dairy Products</v>
      </c>
      <c r="J73" s="9">
        <f>VLOOKUP(revenue[productID],products[],IF(YEAR(revenue[orderDate])=2022,8,IF(YEAR(revenue[orderDate])=2023,9,IF(YEAR(revenue[orderDate])=2024,10,NA))),FALSE)</f>
        <v>19.20829334</v>
      </c>
      <c r="K73" s="9">
        <v>27.8</v>
      </c>
      <c r="L73" s="25">
        <f>(revenue[orderPrice]-revenue[productCost])/revenue[productCost]</f>
        <v>0.4472915167</v>
      </c>
      <c r="M73" s="10">
        <v>7.0</v>
      </c>
      <c r="N73" s="25">
        <v>0.0</v>
      </c>
      <c r="O73" s="9">
        <f>revenue[orderPrice]*revenue[orderQuantity]</f>
        <v>194.6</v>
      </c>
      <c r="P73" s="9">
        <f>revenue[orderTotal]*(1-revenue[discountApllied])</f>
        <v>194.6</v>
      </c>
      <c r="Q73" s="9">
        <f>revenue[revenue]-(revenue[productCost]*revenue[orderQuantity])</f>
        <v>60.14194663</v>
      </c>
      <c r="R73" s="25">
        <f>IFERROR(revenue[profit]/revenue[revenue], 0)</f>
        <v>0.3090541965</v>
      </c>
      <c r="S73" s="9">
        <f>revenue[productCost]*revenue[orderQuantity]</f>
        <v>134.4580534</v>
      </c>
    </row>
    <row r="74" ht="15.75" customHeight="1">
      <c r="A74" s="6">
        <v>10275.0</v>
      </c>
      <c r="B74" s="7" t="s">
        <v>37</v>
      </c>
      <c r="C74" s="24" t="str">
        <f>VLOOKUP(revenue[customerID],customers[],2,FALSE)</f>
        <v>Magazzini Alimentari Riuniti</v>
      </c>
      <c r="D74" s="24" t="str">
        <f>VLOOKUP(revenue[customerID],customers[],6,FALSE)</f>
        <v>Bergamo</v>
      </c>
      <c r="E74" s="24" t="str">
        <f>VLOOKUP(revenue[customerID],customers[],9,FALSE)</f>
        <v>Italy</v>
      </c>
      <c r="F74" s="24">
        <v>44780.0</v>
      </c>
      <c r="G74" s="6">
        <v>24.0</v>
      </c>
      <c r="H74" s="9" t="str">
        <f>VLOOKUP(revenue[productID],products[],2,FALSE)</f>
        <v>Brigadeiros Maravilhosos da Lilian</v>
      </c>
      <c r="I74" s="9" t="str">
        <f>VLOOKUP(revenue[productID],products[],12,FALSE)</f>
        <v>Confections</v>
      </c>
      <c r="J74" s="9">
        <f>VLOOKUP(revenue[productID],products[],IF(YEAR(revenue[orderDate])=2022,8,IF(YEAR(revenue[orderDate])=2023,9,IF(YEAR(revenue[orderDate])=2024,10,NA))),FALSE)</f>
        <v>2.68117246</v>
      </c>
      <c r="K74" s="9">
        <v>3.6</v>
      </c>
      <c r="L74" s="25">
        <f>(revenue[orderPrice]-revenue[productCost])/revenue[productCost]</f>
        <v>0.3426961727</v>
      </c>
      <c r="M74" s="10">
        <v>12.0</v>
      </c>
      <c r="N74" s="25">
        <v>0.05</v>
      </c>
      <c r="O74" s="9">
        <f>revenue[orderPrice]*revenue[orderQuantity]</f>
        <v>43.2</v>
      </c>
      <c r="P74" s="9">
        <f>revenue[orderTotal]*(1-revenue[discountApllied])</f>
        <v>41.04</v>
      </c>
      <c r="Q74" s="9">
        <f>revenue[revenue]-(revenue[productCost]*revenue[orderQuantity])</f>
        <v>8.865930483</v>
      </c>
      <c r="R74" s="25">
        <f>IFERROR(revenue[profit]/revenue[revenue], 0)</f>
        <v>0.2160314445</v>
      </c>
      <c r="S74" s="9">
        <f>revenue[productCost]*revenue[orderQuantity]</f>
        <v>32.17406952</v>
      </c>
    </row>
    <row r="75" ht="15.75" customHeight="1">
      <c r="A75" s="6">
        <v>10275.0</v>
      </c>
      <c r="B75" s="7" t="s">
        <v>37</v>
      </c>
      <c r="C75" s="24" t="str">
        <f>VLOOKUP(revenue[customerID],customers[],2,FALSE)</f>
        <v>Magazzini Alimentari Riuniti</v>
      </c>
      <c r="D75" s="24" t="str">
        <f>VLOOKUP(revenue[customerID],customers[],6,FALSE)</f>
        <v>Bergamo</v>
      </c>
      <c r="E75" s="24" t="str">
        <f>VLOOKUP(revenue[customerID],customers[],9,FALSE)</f>
        <v>Italy</v>
      </c>
      <c r="F75" s="24">
        <v>44780.0</v>
      </c>
      <c r="G75" s="6">
        <v>59.0</v>
      </c>
      <c r="H75" s="9" t="str">
        <f>VLOOKUP(revenue[productID],products[],2,FALSE)</f>
        <v>Raclette Courdavault</v>
      </c>
      <c r="I75" s="9" t="str">
        <f>VLOOKUP(revenue[productID],products[],12,FALSE)</f>
        <v>Dairy Products</v>
      </c>
      <c r="J75" s="9">
        <f>VLOOKUP(revenue[productID],products[],IF(YEAR(revenue[orderDate])=2022,8,IF(YEAR(revenue[orderDate])=2023,9,IF(YEAR(revenue[orderDate])=2024,10,NA))),FALSE)</f>
        <v>29.20351951</v>
      </c>
      <c r="K75" s="9">
        <v>44.0</v>
      </c>
      <c r="L75" s="25">
        <f>(revenue[orderPrice]-revenue[productCost])/revenue[productCost]</f>
        <v>0.5066677147</v>
      </c>
      <c r="M75" s="10">
        <v>6.0</v>
      </c>
      <c r="N75" s="25">
        <v>0.05</v>
      </c>
      <c r="O75" s="9">
        <f>revenue[orderPrice]*revenue[orderQuantity]</f>
        <v>264</v>
      </c>
      <c r="P75" s="9">
        <f>revenue[orderTotal]*(1-revenue[discountApllied])</f>
        <v>250.8</v>
      </c>
      <c r="Q75" s="9">
        <f>revenue[revenue]-(revenue[productCost]*revenue[orderQuantity])</f>
        <v>75.57888295</v>
      </c>
      <c r="R75" s="25">
        <f>IFERROR(revenue[profit]/revenue[revenue], 0)</f>
        <v>0.3013512079</v>
      </c>
      <c r="S75" s="9">
        <f>revenue[productCost]*revenue[orderQuantity]</f>
        <v>175.2211171</v>
      </c>
    </row>
    <row r="76" ht="15.75" customHeight="1">
      <c r="A76" s="6">
        <v>10276.0</v>
      </c>
      <c r="B76" s="7" t="s">
        <v>38</v>
      </c>
      <c r="C76" s="24" t="str">
        <f>VLOOKUP(revenue[customerID],customers[],2,FALSE)</f>
        <v>Tortuga Restaurante</v>
      </c>
      <c r="D76" s="24" t="str">
        <f>VLOOKUP(revenue[customerID],customers[],6,FALSE)</f>
        <v>México D.F.</v>
      </c>
      <c r="E76" s="24" t="str">
        <f>VLOOKUP(revenue[customerID],customers[],9,FALSE)</f>
        <v>Mexico</v>
      </c>
      <c r="F76" s="24">
        <v>44781.0</v>
      </c>
      <c r="G76" s="6">
        <v>10.0</v>
      </c>
      <c r="H76" s="9" t="str">
        <f>VLOOKUP(revenue[productID],products[],2,FALSE)</f>
        <v>Ikura</v>
      </c>
      <c r="I76" s="9" t="str">
        <f>VLOOKUP(revenue[productID],products[],12,FALSE)</f>
        <v>Seafood</v>
      </c>
      <c r="J76" s="9">
        <f>VLOOKUP(revenue[productID],products[],IF(YEAR(revenue[orderDate])=2022,8,IF(YEAR(revenue[orderDate])=2023,9,IF(YEAR(revenue[orderDate])=2024,10,NA))),FALSE)</f>
        <v>16.07630731</v>
      </c>
      <c r="K76" s="9">
        <v>24.8</v>
      </c>
      <c r="L76" s="25">
        <f>(revenue[orderPrice]-revenue[productCost])/revenue[productCost]</f>
        <v>0.5426428175</v>
      </c>
      <c r="M76" s="10">
        <v>15.0</v>
      </c>
      <c r="N76" s="25">
        <v>0.0</v>
      </c>
      <c r="O76" s="9">
        <f>revenue[orderPrice]*revenue[orderQuantity]</f>
        <v>372</v>
      </c>
      <c r="P76" s="9">
        <f>revenue[orderTotal]*(1-revenue[discountApllied])</f>
        <v>372</v>
      </c>
      <c r="Q76" s="9">
        <f>revenue[revenue]-(revenue[productCost]*revenue[orderQuantity])</f>
        <v>130.8553904</v>
      </c>
      <c r="R76" s="25">
        <f>IFERROR(revenue[profit]/revenue[revenue], 0)</f>
        <v>0.3517618021</v>
      </c>
      <c r="S76" s="9">
        <f>revenue[productCost]*revenue[orderQuantity]</f>
        <v>241.1446096</v>
      </c>
    </row>
    <row r="77" ht="15.75" customHeight="1">
      <c r="A77" s="6">
        <v>10276.0</v>
      </c>
      <c r="B77" s="7" t="s">
        <v>38</v>
      </c>
      <c r="C77" s="24" t="str">
        <f>VLOOKUP(revenue[customerID],customers[],2,FALSE)</f>
        <v>Tortuga Restaurante</v>
      </c>
      <c r="D77" s="24" t="str">
        <f>VLOOKUP(revenue[customerID],customers[],6,FALSE)</f>
        <v>México D.F.</v>
      </c>
      <c r="E77" s="24" t="str">
        <f>VLOOKUP(revenue[customerID],customers[],9,FALSE)</f>
        <v>Mexico</v>
      </c>
      <c r="F77" s="24">
        <v>44781.0</v>
      </c>
      <c r="G77" s="6">
        <v>13.0</v>
      </c>
      <c r="H77" s="9" t="str">
        <f>VLOOKUP(revenue[productID],products[],2,FALSE)</f>
        <v>Konbu</v>
      </c>
      <c r="I77" s="9" t="str">
        <f>VLOOKUP(revenue[productID],products[],12,FALSE)</f>
        <v>Seafood</v>
      </c>
      <c r="J77" s="9">
        <f>VLOOKUP(revenue[productID],products[],IF(YEAR(revenue[orderDate])=2022,8,IF(YEAR(revenue[orderDate])=2023,9,IF(YEAR(revenue[orderDate])=2024,10,NA))),FALSE)</f>
        <v>3.236727382</v>
      </c>
      <c r="K77" s="9">
        <v>4.8</v>
      </c>
      <c r="L77" s="25">
        <f>(revenue[orderPrice]-revenue[productCost])/revenue[productCost]</f>
        <v>0.4829793907</v>
      </c>
      <c r="M77" s="10">
        <v>10.0</v>
      </c>
      <c r="N77" s="25">
        <v>0.0</v>
      </c>
      <c r="O77" s="9">
        <f>revenue[orderPrice]*revenue[orderQuantity]</f>
        <v>48</v>
      </c>
      <c r="P77" s="9">
        <f>revenue[orderTotal]*(1-revenue[discountApllied])</f>
        <v>48</v>
      </c>
      <c r="Q77" s="9">
        <f>revenue[revenue]-(revenue[productCost]*revenue[orderQuantity])</f>
        <v>15.63272618</v>
      </c>
      <c r="R77" s="25">
        <f>IFERROR(revenue[profit]/revenue[revenue], 0)</f>
        <v>0.3256817955</v>
      </c>
      <c r="S77" s="9">
        <f>revenue[productCost]*revenue[orderQuantity]</f>
        <v>32.36727382</v>
      </c>
    </row>
    <row r="78" ht="15.75" customHeight="1">
      <c r="A78" s="6">
        <v>10277.0</v>
      </c>
      <c r="B78" s="7" t="s">
        <v>39</v>
      </c>
      <c r="C78" s="24" t="str">
        <f>VLOOKUP(revenue[customerID],customers[],2,FALSE)</f>
        <v>Morgenstern Gesundkost</v>
      </c>
      <c r="D78" s="24" t="str">
        <f>VLOOKUP(revenue[customerID],customers[],6,FALSE)</f>
        <v>Leipzig</v>
      </c>
      <c r="E78" s="24" t="str">
        <f>VLOOKUP(revenue[customerID],customers[],9,FALSE)</f>
        <v>Germany</v>
      </c>
      <c r="F78" s="24">
        <v>44782.0</v>
      </c>
      <c r="G78" s="6">
        <v>28.0</v>
      </c>
      <c r="H78" s="9" t="str">
        <f>VLOOKUP(revenue[productID],products[],2,FALSE)</f>
        <v>Rössle Sauerkraut</v>
      </c>
      <c r="I78" s="9" t="str">
        <f>VLOOKUP(revenue[productID],products[],12,FALSE)</f>
        <v>Produce</v>
      </c>
      <c r="J78" s="9">
        <f>VLOOKUP(revenue[productID],products[],IF(YEAR(revenue[orderDate])=2022,8,IF(YEAR(revenue[orderDate])=2023,9,IF(YEAR(revenue[orderDate])=2024,10,NA))),FALSE)</f>
        <v>27.51992272</v>
      </c>
      <c r="K78" s="9">
        <v>36.4</v>
      </c>
      <c r="L78" s="25">
        <f>(revenue[orderPrice]-revenue[productCost])/revenue[productCost]</f>
        <v>0.3226781326</v>
      </c>
      <c r="M78" s="10">
        <v>20.0</v>
      </c>
      <c r="N78" s="25">
        <v>0.0</v>
      </c>
      <c r="O78" s="9">
        <f>revenue[orderPrice]*revenue[orderQuantity]</f>
        <v>728</v>
      </c>
      <c r="P78" s="9">
        <f>revenue[orderTotal]*(1-revenue[discountApllied])</f>
        <v>728</v>
      </c>
      <c r="Q78" s="9">
        <f>revenue[revenue]-(revenue[productCost]*revenue[orderQuantity])</f>
        <v>177.6015455</v>
      </c>
      <c r="R78" s="25">
        <f>IFERROR(revenue[profit]/revenue[revenue], 0)</f>
        <v>0.2439581669</v>
      </c>
      <c r="S78" s="9">
        <f>revenue[productCost]*revenue[orderQuantity]</f>
        <v>550.3984545</v>
      </c>
    </row>
    <row r="79" ht="15.75" customHeight="1">
      <c r="A79" s="6">
        <v>10277.0</v>
      </c>
      <c r="B79" s="7" t="s">
        <v>39</v>
      </c>
      <c r="C79" s="24" t="str">
        <f>VLOOKUP(revenue[customerID],customers[],2,FALSE)</f>
        <v>Morgenstern Gesundkost</v>
      </c>
      <c r="D79" s="24" t="str">
        <f>VLOOKUP(revenue[customerID],customers[],6,FALSE)</f>
        <v>Leipzig</v>
      </c>
      <c r="E79" s="24" t="str">
        <f>VLOOKUP(revenue[customerID],customers[],9,FALSE)</f>
        <v>Germany</v>
      </c>
      <c r="F79" s="24">
        <v>44782.0</v>
      </c>
      <c r="G79" s="6">
        <v>62.0</v>
      </c>
      <c r="H79" s="9" t="str">
        <f>VLOOKUP(revenue[productID],products[],2,FALSE)</f>
        <v>Tarte au sucre</v>
      </c>
      <c r="I79" s="9" t="str">
        <f>VLOOKUP(revenue[productID],products[],12,FALSE)</f>
        <v>Confections</v>
      </c>
      <c r="J79" s="9">
        <f>VLOOKUP(revenue[productID],products[],IF(YEAR(revenue[orderDate])=2022,8,IF(YEAR(revenue[orderDate])=2023,9,IF(YEAR(revenue[orderDate])=2024,10,NA))),FALSE)</f>
        <v>29.35963319</v>
      </c>
      <c r="K79" s="9">
        <v>39.4</v>
      </c>
      <c r="L79" s="25">
        <f>(revenue[orderPrice]-revenue[productCost])/revenue[productCost]</f>
        <v>0.3419786189</v>
      </c>
      <c r="M79" s="10">
        <v>12.0</v>
      </c>
      <c r="N79" s="25">
        <v>0.0</v>
      </c>
      <c r="O79" s="9">
        <f>revenue[orderPrice]*revenue[orderQuantity]</f>
        <v>472.8</v>
      </c>
      <c r="P79" s="9">
        <f>revenue[orderTotal]*(1-revenue[discountApllied])</f>
        <v>472.8</v>
      </c>
      <c r="Q79" s="9">
        <f>revenue[revenue]-(revenue[productCost]*revenue[orderQuantity])</f>
        <v>120.4844017</v>
      </c>
      <c r="R79" s="25">
        <f>IFERROR(revenue[profit]/revenue[revenue], 0)</f>
        <v>0.2548316449</v>
      </c>
      <c r="S79" s="9">
        <f>revenue[productCost]*revenue[orderQuantity]</f>
        <v>352.3155983</v>
      </c>
    </row>
    <row r="80" ht="15.75" customHeight="1">
      <c r="A80" s="6">
        <v>10278.0</v>
      </c>
      <c r="B80" s="7" t="s">
        <v>40</v>
      </c>
      <c r="C80" s="24" t="str">
        <f>VLOOKUP(revenue[customerID],customers[],2,FALSE)</f>
        <v>Berglunds snabbköp</v>
      </c>
      <c r="D80" s="24" t="str">
        <f>VLOOKUP(revenue[customerID],customers[],6,FALSE)</f>
        <v>Luleå</v>
      </c>
      <c r="E80" s="24" t="str">
        <f>VLOOKUP(revenue[customerID],customers[],9,FALSE)</f>
        <v>Sweden</v>
      </c>
      <c r="F80" s="24">
        <v>44785.0</v>
      </c>
      <c r="G80" s="6">
        <v>44.0</v>
      </c>
      <c r="H80" s="9" t="str">
        <f>VLOOKUP(revenue[productID],products[],2,FALSE)</f>
        <v>Gula Malacca</v>
      </c>
      <c r="I80" s="9" t="str">
        <f>VLOOKUP(revenue[productID],products[],12,FALSE)</f>
        <v>Condiments</v>
      </c>
      <c r="J80" s="9">
        <f>VLOOKUP(revenue[productID],products[],IF(YEAR(revenue[orderDate])=2022,8,IF(YEAR(revenue[orderDate])=2023,9,IF(YEAR(revenue[orderDate])=2024,10,NA))),FALSE)</f>
        <v>10.65165145</v>
      </c>
      <c r="K80" s="9">
        <v>15.5</v>
      </c>
      <c r="L80" s="25">
        <f>(revenue[orderPrice]-revenue[productCost])/revenue[productCost]</f>
        <v>0.4551734138</v>
      </c>
      <c r="M80" s="10">
        <v>16.0</v>
      </c>
      <c r="N80" s="25">
        <v>0.0</v>
      </c>
      <c r="O80" s="9">
        <f>revenue[orderPrice]*revenue[orderQuantity]</f>
        <v>248</v>
      </c>
      <c r="P80" s="9">
        <f>revenue[orderTotal]*(1-revenue[discountApllied])</f>
        <v>248</v>
      </c>
      <c r="Q80" s="9">
        <f>revenue[revenue]-(revenue[productCost]*revenue[orderQuantity])</f>
        <v>77.57357683</v>
      </c>
      <c r="R80" s="25">
        <f>IFERROR(revenue[profit]/revenue[revenue], 0)</f>
        <v>0.3127966808</v>
      </c>
      <c r="S80" s="9">
        <f>revenue[productCost]*revenue[orderQuantity]</f>
        <v>170.4264232</v>
      </c>
    </row>
    <row r="81" ht="15.75" customHeight="1">
      <c r="A81" s="6">
        <v>10278.0</v>
      </c>
      <c r="B81" s="7" t="s">
        <v>40</v>
      </c>
      <c r="C81" s="24" t="str">
        <f>VLOOKUP(revenue[customerID],customers[],2,FALSE)</f>
        <v>Berglunds snabbköp</v>
      </c>
      <c r="D81" s="24" t="str">
        <f>VLOOKUP(revenue[customerID],customers[],6,FALSE)</f>
        <v>Luleå</v>
      </c>
      <c r="E81" s="24" t="str">
        <f>VLOOKUP(revenue[customerID],customers[],9,FALSE)</f>
        <v>Sweden</v>
      </c>
      <c r="F81" s="24">
        <v>44785.0</v>
      </c>
      <c r="G81" s="6">
        <v>59.0</v>
      </c>
      <c r="H81" s="9" t="str">
        <f>VLOOKUP(revenue[productID],products[],2,FALSE)</f>
        <v>Raclette Courdavault</v>
      </c>
      <c r="I81" s="9" t="str">
        <f>VLOOKUP(revenue[productID],products[],12,FALSE)</f>
        <v>Dairy Products</v>
      </c>
      <c r="J81" s="9">
        <f>VLOOKUP(revenue[productID],products[],IF(YEAR(revenue[orderDate])=2022,8,IF(YEAR(revenue[orderDate])=2023,9,IF(YEAR(revenue[orderDate])=2024,10,NA))),FALSE)</f>
        <v>29.20351951</v>
      </c>
      <c r="K81" s="9">
        <v>44.0</v>
      </c>
      <c r="L81" s="25">
        <f>(revenue[orderPrice]-revenue[productCost])/revenue[productCost]</f>
        <v>0.5066677147</v>
      </c>
      <c r="M81" s="10">
        <v>15.0</v>
      </c>
      <c r="N81" s="25">
        <v>0.0</v>
      </c>
      <c r="O81" s="9">
        <f>revenue[orderPrice]*revenue[orderQuantity]</f>
        <v>660</v>
      </c>
      <c r="P81" s="9">
        <f>revenue[orderTotal]*(1-revenue[discountApllied])</f>
        <v>660</v>
      </c>
      <c r="Q81" s="9">
        <f>revenue[revenue]-(revenue[productCost]*revenue[orderQuantity])</f>
        <v>221.9472074</v>
      </c>
      <c r="R81" s="25">
        <f>IFERROR(revenue[profit]/revenue[revenue], 0)</f>
        <v>0.3362836475</v>
      </c>
      <c r="S81" s="9">
        <f>revenue[productCost]*revenue[orderQuantity]</f>
        <v>438.0527926</v>
      </c>
    </row>
    <row r="82" ht="15.75" customHeight="1">
      <c r="A82" s="6">
        <v>10278.0</v>
      </c>
      <c r="B82" s="7" t="s">
        <v>40</v>
      </c>
      <c r="C82" s="24" t="str">
        <f>VLOOKUP(revenue[customerID],customers[],2,FALSE)</f>
        <v>Berglunds snabbköp</v>
      </c>
      <c r="D82" s="24" t="str">
        <f>VLOOKUP(revenue[customerID],customers[],6,FALSE)</f>
        <v>Luleå</v>
      </c>
      <c r="E82" s="24" t="str">
        <f>VLOOKUP(revenue[customerID],customers[],9,FALSE)</f>
        <v>Sweden</v>
      </c>
      <c r="F82" s="24">
        <v>44785.0</v>
      </c>
      <c r="G82" s="6">
        <v>63.0</v>
      </c>
      <c r="H82" s="9" t="str">
        <f>VLOOKUP(revenue[productID],products[],2,FALSE)</f>
        <v>Vegie-spread</v>
      </c>
      <c r="I82" s="9" t="str">
        <f>VLOOKUP(revenue[productID],products[],12,FALSE)</f>
        <v>Condiments</v>
      </c>
      <c r="J82" s="9">
        <f>VLOOKUP(revenue[productID],products[],IF(YEAR(revenue[orderDate])=2022,8,IF(YEAR(revenue[orderDate])=2023,9,IF(YEAR(revenue[orderDate])=2024,10,NA))),FALSE)</f>
        <v>23.81372293</v>
      </c>
      <c r="K82" s="9">
        <v>35.1</v>
      </c>
      <c r="L82" s="25">
        <f>(revenue[orderPrice]-revenue[productCost])/revenue[productCost]</f>
        <v>0.4739400513</v>
      </c>
      <c r="M82" s="10">
        <v>8.0</v>
      </c>
      <c r="N82" s="25">
        <v>0.0</v>
      </c>
      <c r="O82" s="9">
        <f>revenue[orderPrice]*revenue[orderQuantity]</f>
        <v>280.8</v>
      </c>
      <c r="P82" s="9">
        <f>revenue[orderTotal]*(1-revenue[discountApllied])</f>
        <v>280.8</v>
      </c>
      <c r="Q82" s="9">
        <f>revenue[revenue]-(revenue[productCost]*revenue[orderQuantity])</f>
        <v>90.29021654</v>
      </c>
      <c r="R82" s="25">
        <f>IFERROR(revenue[profit]/revenue[revenue], 0)</f>
        <v>0.3215463552</v>
      </c>
      <c r="S82" s="9">
        <f>revenue[productCost]*revenue[orderQuantity]</f>
        <v>190.5097835</v>
      </c>
    </row>
    <row r="83" ht="15.75" customHeight="1">
      <c r="A83" s="6">
        <v>10278.0</v>
      </c>
      <c r="B83" s="7" t="s">
        <v>40</v>
      </c>
      <c r="C83" s="24" t="str">
        <f>VLOOKUP(revenue[customerID],customers[],2,FALSE)</f>
        <v>Berglunds snabbköp</v>
      </c>
      <c r="D83" s="24" t="str">
        <f>VLOOKUP(revenue[customerID],customers[],6,FALSE)</f>
        <v>Luleå</v>
      </c>
      <c r="E83" s="24" t="str">
        <f>VLOOKUP(revenue[customerID],customers[],9,FALSE)</f>
        <v>Sweden</v>
      </c>
      <c r="F83" s="24">
        <v>44785.0</v>
      </c>
      <c r="G83" s="6">
        <v>73.0</v>
      </c>
      <c r="H83" s="9" t="str">
        <f>VLOOKUP(revenue[productID],products[],2,FALSE)</f>
        <v>Röd Kaviar</v>
      </c>
      <c r="I83" s="9" t="str">
        <f>VLOOKUP(revenue[productID],products[],12,FALSE)</f>
        <v>Seafood</v>
      </c>
      <c r="J83" s="9">
        <f>VLOOKUP(revenue[productID],products[],IF(YEAR(revenue[orderDate])=2022,8,IF(YEAR(revenue[orderDate])=2023,9,IF(YEAR(revenue[orderDate])=2024,10,NA))),FALSE)</f>
        <v>8.419818722</v>
      </c>
      <c r="K83" s="9">
        <v>12.0</v>
      </c>
      <c r="L83" s="25">
        <f>(revenue[orderPrice]-revenue[productCost])/revenue[productCost]</f>
        <v>0.4252088312</v>
      </c>
      <c r="M83" s="10">
        <v>25.0</v>
      </c>
      <c r="N83" s="25">
        <v>0.0</v>
      </c>
      <c r="O83" s="9">
        <f>revenue[orderPrice]*revenue[orderQuantity]</f>
        <v>300</v>
      </c>
      <c r="P83" s="9">
        <f>revenue[orderTotal]*(1-revenue[discountApllied])</f>
        <v>300</v>
      </c>
      <c r="Q83" s="9">
        <f>revenue[revenue]-(revenue[productCost]*revenue[orderQuantity])</f>
        <v>89.50453195</v>
      </c>
      <c r="R83" s="25">
        <f>IFERROR(revenue[profit]/revenue[revenue], 0)</f>
        <v>0.2983484398</v>
      </c>
      <c r="S83" s="9">
        <f>revenue[productCost]*revenue[orderQuantity]</f>
        <v>210.4954681</v>
      </c>
    </row>
    <row r="84" ht="15.75" customHeight="1">
      <c r="A84" s="6">
        <v>10279.0</v>
      </c>
      <c r="B84" s="7" t="s">
        <v>41</v>
      </c>
      <c r="C84" s="24" t="str">
        <f>VLOOKUP(revenue[customerID],customers[],2,FALSE)</f>
        <v>Lehmanns Marktstand</v>
      </c>
      <c r="D84" s="24" t="str">
        <f>VLOOKUP(revenue[customerID],customers[],6,FALSE)</f>
        <v>Frankfurt a.M.</v>
      </c>
      <c r="E84" s="24" t="str">
        <f>VLOOKUP(revenue[customerID],customers[],9,FALSE)</f>
        <v>Germany</v>
      </c>
      <c r="F84" s="24">
        <v>44786.0</v>
      </c>
      <c r="G84" s="6">
        <v>17.0</v>
      </c>
      <c r="H84" s="9" t="str">
        <f>VLOOKUP(revenue[productID],products[],2,FALSE)</f>
        <v>Alice Mutton</v>
      </c>
      <c r="I84" s="9" t="str">
        <f>VLOOKUP(revenue[productID],products[],12,FALSE)</f>
        <v>Meat/Poultry</v>
      </c>
      <c r="J84" s="9">
        <f>VLOOKUP(revenue[productID],products[],IF(YEAR(revenue[orderDate])=2022,8,IF(YEAR(revenue[orderDate])=2023,9,IF(YEAR(revenue[orderDate])=2024,10,NA))),FALSE)</f>
        <v>21.25377406</v>
      </c>
      <c r="K84" s="9">
        <v>31.2</v>
      </c>
      <c r="L84" s="25">
        <f>(revenue[orderPrice]-revenue[productCost])/revenue[productCost]</f>
        <v>0.4679745775</v>
      </c>
      <c r="M84" s="10">
        <v>15.0</v>
      </c>
      <c r="N84" s="25">
        <v>0.25</v>
      </c>
      <c r="O84" s="9">
        <f>revenue[orderPrice]*revenue[orderQuantity]</f>
        <v>468</v>
      </c>
      <c r="P84" s="9">
        <f>revenue[orderTotal]*(1-revenue[discountApllied])</f>
        <v>351</v>
      </c>
      <c r="Q84" s="9">
        <f>revenue[revenue]-(revenue[productCost]*revenue[orderQuantity])</f>
        <v>32.19338905</v>
      </c>
      <c r="R84" s="25">
        <f>IFERROR(revenue[profit]/revenue[revenue], 0)</f>
        <v>0.09171905712</v>
      </c>
      <c r="S84" s="9">
        <f>revenue[productCost]*revenue[orderQuantity]</f>
        <v>318.806611</v>
      </c>
    </row>
    <row r="85" ht="15.75" customHeight="1">
      <c r="A85" s="6">
        <v>10280.0</v>
      </c>
      <c r="B85" s="7" t="s">
        <v>40</v>
      </c>
      <c r="C85" s="24" t="str">
        <f>VLOOKUP(revenue[customerID],customers[],2,FALSE)</f>
        <v>Berglunds snabbköp</v>
      </c>
      <c r="D85" s="24" t="str">
        <f>VLOOKUP(revenue[customerID],customers[],6,FALSE)</f>
        <v>Luleå</v>
      </c>
      <c r="E85" s="24" t="str">
        <f>VLOOKUP(revenue[customerID],customers[],9,FALSE)</f>
        <v>Sweden</v>
      </c>
      <c r="F85" s="24">
        <v>44787.0</v>
      </c>
      <c r="G85" s="6">
        <v>24.0</v>
      </c>
      <c r="H85" s="9" t="str">
        <f>VLOOKUP(revenue[productID],products[],2,FALSE)</f>
        <v>Brigadeiros Maravilhosos da Lilian</v>
      </c>
      <c r="I85" s="9" t="str">
        <f>VLOOKUP(revenue[productID],products[],12,FALSE)</f>
        <v>Confections</v>
      </c>
      <c r="J85" s="9">
        <f>VLOOKUP(revenue[productID],products[],IF(YEAR(revenue[orderDate])=2022,8,IF(YEAR(revenue[orderDate])=2023,9,IF(YEAR(revenue[orderDate])=2024,10,NA))),FALSE)</f>
        <v>2.68117246</v>
      </c>
      <c r="K85" s="9">
        <v>3.6</v>
      </c>
      <c r="L85" s="25">
        <f>(revenue[orderPrice]-revenue[productCost])/revenue[productCost]</f>
        <v>0.3426961727</v>
      </c>
      <c r="M85" s="10">
        <v>12.0</v>
      </c>
      <c r="N85" s="25">
        <v>0.0</v>
      </c>
      <c r="O85" s="9">
        <f>revenue[orderPrice]*revenue[orderQuantity]</f>
        <v>43.2</v>
      </c>
      <c r="P85" s="9">
        <f>revenue[orderTotal]*(1-revenue[discountApllied])</f>
        <v>43.2</v>
      </c>
      <c r="Q85" s="9">
        <f>revenue[revenue]-(revenue[productCost]*revenue[orderQuantity])</f>
        <v>11.02593048</v>
      </c>
      <c r="R85" s="25">
        <f>IFERROR(revenue[profit]/revenue[revenue], 0)</f>
        <v>0.2552298723</v>
      </c>
      <c r="S85" s="9">
        <f>revenue[productCost]*revenue[orderQuantity]</f>
        <v>32.17406952</v>
      </c>
    </row>
    <row r="86" ht="15.75" customHeight="1">
      <c r="A86" s="6">
        <v>10280.0</v>
      </c>
      <c r="B86" s="7" t="s">
        <v>40</v>
      </c>
      <c r="C86" s="24" t="str">
        <f>VLOOKUP(revenue[customerID],customers[],2,FALSE)</f>
        <v>Berglunds snabbköp</v>
      </c>
      <c r="D86" s="24" t="str">
        <f>VLOOKUP(revenue[customerID],customers[],6,FALSE)</f>
        <v>Luleå</v>
      </c>
      <c r="E86" s="24" t="str">
        <f>VLOOKUP(revenue[customerID],customers[],9,FALSE)</f>
        <v>Sweden</v>
      </c>
      <c r="F86" s="24">
        <v>44787.0</v>
      </c>
      <c r="G86" s="6">
        <v>55.0</v>
      </c>
      <c r="H86" s="9" t="str">
        <f>VLOOKUP(revenue[productID],products[],2,FALSE)</f>
        <v>Pâté chinois</v>
      </c>
      <c r="I86" s="9" t="str">
        <f>VLOOKUP(revenue[productID],products[],12,FALSE)</f>
        <v>Meat/Poultry</v>
      </c>
      <c r="J86" s="9">
        <f>VLOOKUP(revenue[productID],products[],IF(YEAR(revenue[orderDate])=2022,8,IF(YEAR(revenue[orderDate])=2023,9,IF(YEAR(revenue[orderDate])=2024,10,NA))),FALSE)</f>
        <v>12.97496052</v>
      </c>
      <c r="K86" s="9">
        <v>19.2</v>
      </c>
      <c r="L86" s="25">
        <f>(revenue[orderPrice]-revenue[productCost])/revenue[productCost]</f>
        <v>0.4797732884</v>
      </c>
      <c r="M86" s="10">
        <v>20.0</v>
      </c>
      <c r="N86" s="25">
        <v>0.0</v>
      </c>
      <c r="O86" s="9">
        <f>revenue[orderPrice]*revenue[orderQuantity]</f>
        <v>384</v>
      </c>
      <c r="P86" s="9">
        <f>revenue[orderTotal]*(1-revenue[discountApllied])</f>
        <v>384</v>
      </c>
      <c r="Q86" s="9">
        <f>revenue[revenue]-(revenue[productCost]*revenue[orderQuantity])</f>
        <v>124.5007895</v>
      </c>
      <c r="R86" s="25">
        <f>IFERROR(revenue[profit]/revenue[revenue], 0)</f>
        <v>0.3242208061</v>
      </c>
      <c r="S86" s="9">
        <f>revenue[productCost]*revenue[orderQuantity]</f>
        <v>259.4992105</v>
      </c>
    </row>
    <row r="87" ht="15.75" customHeight="1">
      <c r="A87" s="6">
        <v>10280.0</v>
      </c>
      <c r="B87" s="7" t="s">
        <v>40</v>
      </c>
      <c r="C87" s="24" t="str">
        <f>VLOOKUP(revenue[customerID],customers[],2,FALSE)</f>
        <v>Berglunds snabbköp</v>
      </c>
      <c r="D87" s="24" t="str">
        <f>VLOOKUP(revenue[customerID],customers[],6,FALSE)</f>
        <v>Luleå</v>
      </c>
      <c r="E87" s="24" t="str">
        <f>VLOOKUP(revenue[customerID],customers[],9,FALSE)</f>
        <v>Sweden</v>
      </c>
      <c r="F87" s="24">
        <v>44787.0</v>
      </c>
      <c r="G87" s="6">
        <v>75.0</v>
      </c>
      <c r="H87" s="9" t="str">
        <f>VLOOKUP(revenue[productID],products[],2,FALSE)</f>
        <v>Rhönbräu Klosterbier</v>
      </c>
      <c r="I87" s="9" t="str">
        <f>VLOOKUP(revenue[productID],products[],12,FALSE)</f>
        <v>Beverages</v>
      </c>
      <c r="J87" s="9">
        <f>VLOOKUP(revenue[productID],products[],IF(YEAR(revenue[orderDate])=2022,8,IF(YEAR(revenue[orderDate])=2023,9,IF(YEAR(revenue[orderDate])=2024,10,NA))),FALSE)</f>
        <v>4.269033823</v>
      </c>
      <c r="K87" s="9">
        <v>6.2</v>
      </c>
      <c r="L87" s="25">
        <f>(revenue[orderPrice]-revenue[productCost])/revenue[productCost]</f>
        <v>0.4523192499</v>
      </c>
      <c r="M87" s="10">
        <v>30.0</v>
      </c>
      <c r="N87" s="25">
        <v>0.0</v>
      </c>
      <c r="O87" s="9">
        <f>revenue[orderPrice]*revenue[orderQuantity]</f>
        <v>186</v>
      </c>
      <c r="P87" s="9">
        <f>revenue[orderTotal]*(1-revenue[discountApllied])</f>
        <v>186</v>
      </c>
      <c r="Q87" s="9">
        <f>revenue[revenue]-(revenue[productCost]*revenue[orderQuantity])</f>
        <v>57.9289853</v>
      </c>
      <c r="R87" s="25">
        <f>IFERROR(revenue[profit]/revenue[revenue], 0)</f>
        <v>0.3114461575</v>
      </c>
      <c r="S87" s="9">
        <f>revenue[productCost]*revenue[orderQuantity]</f>
        <v>128.0710147</v>
      </c>
    </row>
    <row r="88" ht="15.75" customHeight="1">
      <c r="A88" s="6">
        <v>10281.0</v>
      </c>
      <c r="B88" s="7" t="s">
        <v>42</v>
      </c>
      <c r="C88" s="24" t="str">
        <f>VLOOKUP(revenue[customerID],customers[],2,FALSE)</f>
        <v>Romero y tomillo</v>
      </c>
      <c r="D88" s="24" t="str">
        <f>VLOOKUP(revenue[customerID],customers[],6,FALSE)</f>
        <v>Madrid</v>
      </c>
      <c r="E88" s="24" t="str">
        <f>VLOOKUP(revenue[customerID],customers[],9,FALSE)</f>
        <v>Spain</v>
      </c>
      <c r="F88" s="24">
        <v>44787.0</v>
      </c>
      <c r="G88" s="6">
        <v>19.0</v>
      </c>
      <c r="H88" s="9" t="str">
        <f>VLOOKUP(revenue[productID],products[],2,FALSE)</f>
        <v>Teatime Chocolate Biscuits</v>
      </c>
      <c r="I88" s="9" t="str">
        <f>VLOOKUP(revenue[productID],products[],12,FALSE)</f>
        <v>Confections</v>
      </c>
      <c r="J88" s="9">
        <f>VLOOKUP(revenue[productID],products[],IF(YEAR(revenue[orderDate])=2022,8,IF(YEAR(revenue[orderDate])=2023,9,IF(YEAR(revenue[orderDate])=2024,10,NA))),FALSE)</f>
        <v>5.58120093</v>
      </c>
      <c r="K88" s="9">
        <v>7.3</v>
      </c>
      <c r="L88" s="25">
        <f>(revenue[orderPrice]-revenue[productCost])/revenue[productCost]</f>
        <v>0.3079622274</v>
      </c>
      <c r="M88" s="10">
        <v>1.0</v>
      </c>
      <c r="N88" s="25">
        <v>0.0</v>
      </c>
      <c r="O88" s="9">
        <f>revenue[orderPrice]*revenue[orderQuantity]</f>
        <v>7.3</v>
      </c>
      <c r="P88" s="9">
        <f>revenue[orderTotal]*(1-revenue[discountApllied])</f>
        <v>7.3</v>
      </c>
      <c r="Q88" s="9">
        <f>revenue[revenue]-(revenue[productCost]*revenue[orderQuantity])</f>
        <v>1.71879907</v>
      </c>
      <c r="R88" s="25">
        <f>IFERROR(revenue[profit]/revenue[revenue], 0)</f>
        <v>0.2354519274</v>
      </c>
      <c r="S88" s="9">
        <f>revenue[productCost]*revenue[orderQuantity]</f>
        <v>5.58120093</v>
      </c>
    </row>
    <row r="89" ht="15.75" customHeight="1">
      <c r="A89" s="6">
        <v>10281.0</v>
      </c>
      <c r="B89" s="7" t="s">
        <v>42</v>
      </c>
      <c r="C89" s="24" t="str">
        <f>VLOOKUP(revenue[customerID],customers[],2,FALSE)</f>
        <v>Romero y tomillo</v>
      </c>
      <c r="D89" s="24" t="str">
        <f>VLOOKUP(revenue[customerID],customers[],6,FALSE)</f>
        <v>Madrid</v>
      </c>
      <c r="E89" s="24" t="str">
        <f>VLOOKUP(revenue[customerID],customers[],9,FALSE)</f>
        <v>Spain</v>
      </c>
      <c r="F89" s="24">
        <v>44787.0</v>
      </c>
      <c r="G89" s="6">
        <v>24.0</v>
      </c>
      <c r="H89" s="9" t="str">
        <f>VLOOKUP(revenue[productID],products[],2,FALSE)</f>
        <v>Brigadeiros Maravilhosos da Lilian</v>
      </c>
      <c r="I89" s="9" t="str">
        <f>VLOOKUP(revenue[productID],products[],12,FALSE)</f>
        <v>Confections</v>
      </c>
      <c r="J89" s="9">
        <f>VLOOKUP(revenue[productID],products[],IF(YEAR(revenue[orderDate])=2022,8,IF(YEAR(revenue[orderDate])=2023,9,IF(YEAR(revenue[orderDate])=2024,10,NA))),FALSE)</f>
        <v>2.68117246</v>
      </c>
      <c r="K89" s="9">
        <v>3.6</v>
      </c>
      <c r="L89" s="25">
        <f>(revenue[orderPrice]-revenue[productCost])/revenue[productCost]</f>
        <v>0.3426961727</v>
      </c>
      <c r="M89" s="10">
        <v>6.0</v>
      </c>
      <c r="N89" s="25">
        <v>0.0</v>
      </c>
      <c r="O89" s="9">
        <f>revenue[orderPrice]*revenue[orderQuantity]</f>
        <v>21.6</v>
      </c>
      <c r="P89" s="9">
        <f>revenue[orderTotal]*(1-revenue[discountApllied])</f>
        <v>21.6</v>
      </c>
      <c r="Q89" s="9">
        <f>revenue[revenue]-(revenue[productCost]*revenue[orderQuantity])</f>
        <v>5.512965242</v>
      </c>
      <c r="R89" s="25">
        <f>IFERROR(revenue[profit]/revenue[revenue], 0)</f>
        <v>0.2552298723</v>
      </c>
      <c r="S89" s="9">
        <f>revenue[productCost]*revenue[orderQuantity]</f>
        <v>16.08703476</v>
      </c>
    </row>
    <row r="90" ht="15.75" customHeight="1">
      <c r="A90" s="6">
        <v>10281.0</v>
      </c>
      <c r="B90" s="7" t="s">
        <v>42</v>
      </c>
      <c r="C90" s="24" t="str">
        <f>VLOOKUP(revenue[customerID],customers[],2,FALSE)</f>
        <v>Romero y tomillo</v>
      </c>
      <c r="D90" s="24" t="str">
        <f>VLOOKUP(revenue[customerID],customers[],6,FALSE)</f>
        <v>Madrid</v>
      </c>
      <c r="E90" s="24" t="str">
        <f>VLOOKUP(revenue[customerID],customers[],9,FALSE)</f>
        <v>Spain</v>
      </c>
      <c r="F90" s="24">
        <v>44787.0</v>
      </c>
      <c r="G90" s="6">
        <v>35.0</v>
      </c>
      <c r="H90" s="9" t="str">
        <f>VLOOKUP(revenue[productID],products[],2,FALSE)</f>
        <v>Cold Brew Nitro</v>
      </c>
      <c r="I90" s="9" t="str">
        <f>VLOOKUP(revenue[productID],products[],12,FALSE)</f>
        <v>Beverages</v>
      </c>
      <c r="J90" s="9">
        <f>VLOOKUP(revenue[productID],products[],IF(YEAR(revenue[orderDate])=2022,8,IF(YEAR(revenue[orderDate])=2023,9,IF(YEAR(revenue[orderDate])=2024,10,NA))),FALSE)</f>
        <v>10.19869089</v>
      </c>
      <c r="K90" s="9">
        <v>14.4</v>
      </c>
      <c r="L90" s="25">
        <f>(revenue[orderPrice]-revenue[productCost])/revenue[productCost]</f>
        <v>0.4119459208</v>
      </c>
      <c r="M90" s="10">
        <v>4.0</v>
      </c>
      <c r="N90" s="25">
        <v>0.0</v>
      </c>
      <c r="O90" s="9">
        <f>revenue[orderPrice]*revenue[orderQuantity]</f>
        <v>57.6</v>
      </c>
      <c r="P90" s="9">
        <f>revenue[orderTotal]*(1-revenue[discountApllied])</f>
        <v>57.6</v>
      </c>
      <c r="Q90" s="9">
        <f>revenue[revenue]-(revenue[productCost]*revenue[orderQuantity])</f>
        <v>16.80523644</v>
      </c>
      <c r="R90" s="25">
        <f>IFERROR(revenue[profit]/revenue[revenue], 0)</f>
        <v>0.2917575771</v>
      </c>
      <c r="S90" s="9">
        <f>revenue[productCost]*revenue[orderQuantity]</f>
        <v>40.79476356</v>
      </c>
    </row>
    <row r="91" ht="15.75" customHeight="1">
      <c r="A91" s="6">
        <v>10282.0</v>
      </c>
      <c r="B91" s="7" t="s">
        <v>42</v>
      </c>
      <c r="C91" s="24" t="str">
        <f>VLOOKUP(revenue[customerID],customers[],2,FALSE)</f>
        <v>Romero y tomillo</v>
      </c>
      <c r="D91" s="24" t="str">
        <f>VLOOKUP(revenue[customerID],customers[],6,FALSE)</f>
        <v>Madrid</v>
      </c>
      <c r="E91" s="24" t="str">
        <f>VLOOKUP(revenue[customerID],customers[],9,FALSE)</f>
        <v>Spain</v>
      </c>
      <c r="F91" s="24">
        <v>44788.0</v>
      </c>
      <c r="G91" s="6">
        <v>30.0</v>
      </c>
      <c r="H91" s="9" t="str">
        <f>VLOOKUP(revenue[productID],products[],2,FALSE)</f>
        <v>Nord-Ost Matjeshering</v>
      </c>
      <c r="I91" s="9" t="str">
        <f>VLOOKUP(revenue[productID],products[],12,FALSE)</f>
        <v>Seafood</v>
      </c>
      <c r="J91" s="9">
        <f>VLOOKUP(revenue[productID],products[],IF(YEAR(revenue[orderDate])=2022,8,IF(YEAR(revenue[orderDate])=2023,9,IF(YEAR(revenue[orderDate])=2024,10,NA))),FALSE)</f>
        <v>13.41656868</v>
      </c>
      <c r="K91" s="9">
        <v>20.7</v>
      </c>
      <c r="L91" s="25">
        <f>(revenue[orderPrice]-revenue[productCost])/revenue[productCost]</f>
        <v>0.5428684114</v>
      </c>
      <c r="M91" s="10">
        <v>6.0</v>
      </c>
      <c r="N91" s="25">
        <v>0.0</v>
      </c>
      <c r="O91" s="9">
        <f>revenue[orderPrice]*revenue[orderQuantity]</f>
        <v>124.2</v>
      </c>
      <c r="P91" s="9">
        <f>revenue[orderTotal]*(1-revenue[discountApllied])</f>
        <v>124.2</v>
      </c>
      <c r="Q91" s="9">
        <f>revenue[revenue]-(revenue[productCost]*revenue[orderQuantity])</f>
        <v>43.70058794</v>
      </c>
      <c r="R91" s="25">
        <f>IFERROR(revenue[profit]/revenue[revenue], 0)</f>
        <v>0.3518565857</v>
      </c>
      <c r="S91" s="9">
        <f>revenue[productCost]*revenue[orderQuantity]</f>
        <v>80.49941206</v>
      </c>
    </row>
    <row r="92" ht="15.75" customHeight="1">
      <c r="A92" s="6">
        <v>10282.0</v>
      </c>
      <c r="B92" s="7" t="s">
        <v>42</v>
      </c>
      <c r="C92" s="24" t="str">
        <f>VLOOKUP(revenue[customerID],customers[],2,FALSE)</f>
        <v>Romero y tomillo</v>
      </c>
      <c r="D92" s="24" t="str">
        <f>VLOOKUP(revenue[customerID],customers[],6,FALSE)</f>
        <v>Madrid</v>
      </c>
      <c r="E92" s="24" t="str">
        <f>VLOOKUP(revenue[customerID],customers[],9,FALSE)</f>
        <v>Spain</v>
      </c>
      <c r="F92" s="24">
        <v>44788.0</v>
      </c>
      <c r="G92" s="6">
        <v>57.0</v>
      </c>
      <c r="H92" s="9" t="str">
        <f>VLOOKUP(revenue[productID],products[],2,FALSE)</f>
        <v>Ravioli Angelo</v>
      </c>
      <c r="I92" s="9" t="str">
        <f>VLOOKUP(revenue[productID],products[],12,FALSE)</f>
        <v>Grains/Cereals</v>
      </c>
      <c r="J92" s="9">
        <f>VLOOKUP(revenue[productID],products[],IF(YEAR(revenue[orderDate])=2022,8,IF(YEAR(revenue[orderDate])=2023,9,IF(YEAR(revenue[orderDate])=2024,10,NA))),FALSE)</f>
        <v>11.22950766</v>
      </c>
      <c r="K92" s="9">
        <v>15.6</v>
      </c>
      <c r="L92" s="25">
        <f>(revenue[orderPrice]-revenue[productCost])/revenue[productCost]</f>
        <v>0.3891971469</v>
      </c>
      <c r="M92" s="10">
        <v>2.0</v>
      </c>
      <c r="N92" s="25">
        <v>0.0</v>
      </c>
      <c r="O92" s="9">
        <f>revenue[orderPrice]*revenue[orderQuantity]</f>
        <v>31.2</v>
      </c>
      <c r="P92" s="9">
        <f>revenue[orderTotal]*(1-revenue[discountApllied])</f>
        <v>31.2</v>
      </c>
      <c r="Q92" s="9">
        <f>revenue[revenue]-(revenue[productCost]*revenue[orderQuantity])</f>
        <v>8.740984683</v>
      </c>
      <c r="R92" s="25">
        <f>IFERROR(revenue[profit]/revenue[revenue], 0)</f>
        <v>0.2801597655</v>
      </c>
      <c r="S92" s="9">
        <f>revenue[productCost]*revenue[orderQuantity]</f>
        <v>22.45901532</v>
      </c>
    </row>
    <row r="93" ht="15.75" customHeight="1">
      <c r="A93" s="6">
        <v>10283.0</v>
      </c>
      <c r="B93" s="7" t="s">
        <v>43</v>
      </c>
      <c r="C93" s="24" t="str">
        <f>VLOOKUP(revenue[customerID],customers[],2,FALSE)</f>
        <v>LILA-Supermercado</v>
      </c>
      <c r="D93" s="24" t="str">
        <f>VLOOKUP(revenue[customerID],customers[],6,FALSE)</f>
        <v>Barquisimeto</v>
      </c>
      <c r="E93" s="24" t="str">
        <f>VLOOKUP(revenue[customerID],customers[],9,FALSE)</f>
        <v>Venezuela</v>
      </c>
      <c r="F93" s="24">
        <v>44789.0</v>
      </c>
      <c r="G93" s="6">
        <v>15.0</v>
      </c>
      <c r="H93" s="9" t="str">
        <f>VLOOKUP(revenue[productID],products[],2,FALSE)</f>
        <v>Genen Shouyu</v>
      </c>
      <c r="I93" s="9" t="str">
        <f>VLOOKUP(revenue[productID],products[],12,FALSE)</f>
        <v>Condiments</v>
      </c>
      <c r="J93" s="9">
        <f>VLOOKUP(revenue[productID],products[],IF(YEAR(revenue[orderDate])=2022,8,IF(YEAR(revenue[orderDate])=2023,9,IF(YEAR(revenue[orderDate])=2024,10,NA))),FALSE)</f>
        <v>8.755916865</v>
      </c>
      <c r="K93" s="9">
        <v>12.4</v>
      </c>
      <c r="L93" s="25">
        <f>(revenue[orderPrice]-revenue[productCost])/revenue[productCost]</f>
        <v>0.4161852141</v>
      </c>
      <c r="M93" s="10">
        <v>20.0</v>
      </c>
      <c r="N93" s="25">
        <v>0.0</v>
      </c>
      <c r="O93" s="9">
        <f>revenue[orderPrice]*revenue[orderQuantity]</f>
        <v>248</v>
      </c>
      <c r="P93" s="9">
        <f>revenue[orderTotal]*(1-revenue[discountApllied])</f>
        <v>248</v>
      </c>
      <c r="Q93" s="9">
        <f>revenue[revenue]-(revenue[productCost]*revenue[orderQuantity])</f>
        <v>72.8816627</v>
      </c>
      <c r="R93" s="25">
        <f>IFERROR(revenue[profit]/revenue[revenue], 0)</f>
        <v>0.2938776722</v>
      </c>
      <c r="S93" s="9">
        <f>revenue[productCost]*revenue[orderQuantity]</f>
        <v>175.1183373</v>
      </c>
    </row>
    <row r="94" ht="15.75" customHeight="1">
      <c r="A94" s="6">
        <v>10283.0</v>
      </c>
      <c r="B94" s="7" t="s">
        <v>43</v>
      </c>
      <c r="C94" s="24" t="str">
        <f>VLOOKUP(revenue[customerID],customers[],2,FALSE)</f>
        <v>LILA-Supermercado</v>
      </c>
      <c r="D94" s="24" t="str">
        <f>VLOOKUP(revenue[customerID],customers[],6,FALSE)</f>
        <v>Barquisimeto</v>
      </c>
      <c r="E94" s="24" t="str">
        <f>VLOOKUP(revenue[customerID],customers[],9,FALSE)</f>
        <v>Venezuela</v>
      </c>
      <c r="F94" s="24">
        <v>44789.0</v>
      </c>
      <c r="G94" s="6">
        <v>19.0</v>
      </c>
      <c r="H94" s="9" t="str">
        <f>VLOOKUP(revenue[productID],products[],2,FALSE)</f>
        <v>Teatime Chocolate Biscuits</v>
      </c>
      <c r="I94" s="9" t="str">
        <f>VLOOKUP(revenue[productID],products[],12,FALSE)</f>
        <v>Confections</v>
      </c>
      <c r="J94" s="9">
        <f>VLOOKUP(revenue[productID],products[],IF(YEAR(revenue[orderDate])=2022,8,IF(YEAR(revenue[orderDate])=2023,9,IF(YEAR(revenue[orderDate])=2024,10,NA))),FALSE)</f>
        <v>5.58120093</v>
      </c>
      <c r="K94" s="9">
        <v>7.3</v>
      </c>
      <c r="L94" s="25">
        <f>(revenue[orderPrice]-revenue[productCost])/revenue[productCost]</f>
        <v>0.3079622274</v>
      </c>
      <c r="M94" s="10">
        <v>18.0</v>
      </c>
      <c r="N94" s="25">
        <v>0.0</v>
      </c>
      <c r="O94" s="9">
        <f>revenue[orderPrice]*revenue[orderQuantity]</f>
        <v>131.4</v>
      </c>
      <c r="P94" s="9">
        <f>revenue[orderTotal]*(1-revenue[discountApllied])</f>
        <v>131.4</v>
      </c>
      <c r="Q94" s="9">
        <f>revenue[revenue]-(revenue[productCost]*revenue[orderQuantity])</f>
        <v>30.93838326</v>
      </c>
      <c r="R94" s="25">
        <f>IFERROR(revenue[profit]/revenue[revenue], 0)</f>
        <v>0.2354519274</v>
      </c>
      <c r="S94" s="9">
        <f>revenue[productCost]*revenue[orderQuantity]</f>
        <v>100.4616167</v>
      </c>
    </row>
    <row r="95" ht="15.75" customHeight="1">
      <c r="A95" s="6">
        <v>10283.0</v>
      </c>
      <c r="B95" s="7" t="s">
        <v>43</v>
      </c>
      <c r="C95" s="24" t="str">
        <f>VLOOKUP(revenue[customerID],customers[],2,FALSE)</f>
        <v>LILA-Supermercado</v>
      </c>
      <c r="D95" s="24" t="str">
        <f>VLOOKUP(revenue[customerID],customers[],6,FALSE)</f>
        <v>Barquisimeto</v>
      </c>
      <c r="E95" s="24" t="str">
        <f>VLOOKUP(revenue[customerID],customers[],9,FALSE)</f>
        <v>Venezuela</v>
      </c>
      <c r="F95" s="24">
        <v>44789.0</v>
      </c>
      <c r="G95" s="6">
        <v>60.0</v>
      </c>
      <c r="H95" s="9" t="str">
        <f>VLOOKUP(revenue[productID],products[],2,FALSE)</f>
        <v>Camembert Pierrot</v>
      </c>
      <c r="I95" s="9" t="str">
        <f>VLOOKUP(revenue[productID],products[],12,FALSE)</f>
        <v>Dairy Products</v>
      </c>
      <c r="J95" s="9">
        <f>VLOOKUP(revenue[productID],products[],IF(YEAR(revenue[orderDate])=2022,8,IF(YEAR(revenue[orderDate])=2023,9,IF(YEAR(revenue[orderDate])=2024,10,NA))),FALSE)</f>
        <v>17.66563493</v>
      </c>
      <c r="K95" s="9">
        <v>27.2</v>
      </c>
      <c r="L95" s="25">
        <f>(revenue[orderPrice]-revenue[productCost])/revenue[productCost]</f>
        <v>0.5397125612</v>
      </c>
      <c r="M95" s="10">
        <v>35.0</v>
      </c>
      <c r="N95" s="25">
        <v>0.0</v>
      </c>
      <c r="O95" s="9">
        <f>revenue[orderPrice]*revenue[orderQuantity]</f>
        <v>952</v>
      </c>
      <c r="P95" s="9">
        <f>revenue[orderTotal]*(1-revenue[discountApllied])</f>
        <v>952</v>
      </c>
      <c r="Q95" s="9">
        <f>revenue[revenue]-(revenue[productCost]*revenue[orderQuantity])</f>
        <v>333.7027775</v>
      </c>
      <c r="R95" s="25">
        <f>IFERROR(revenue[profit]/revenue[revenue], 0)</f>
        <v>0.3505281276</v>
      </c>
      <c r="S95" s="9">
        <f>revenue[productCost]*revenue[orderQuantity]</f>
        <v>618.2972225</v>
      </c>
    </row>
    <row r="96" ht="15.75" customHeight="1">
      <c r="A96" s="6">
        <v>10283.0</v>
      </c>
      <c r="B96" s="7" t="s">
        <v>43</v>
      </c>
      <c r="C96" s="24" t="str">
        <f>VLOOKUP(revenue[customerID],customers[],2,FALSE)</f>
        <v>LILA-Supermercado</v>
      </c>
      <c r="D96" s="24" t="str">
        <f>VLOOKUP(revenue[customerID],customers[],6,FALSE)</f>
        <v>Barquisimeto</v>
      </c>
      <c r="E96" s="24" t="str">
        <f>VLOOKUP(revenue[customerID],customers[],9,FALSE)</f>
        <v>Venezuela</v>
      </c>
      <c r="F96" s="24">
        <v>44789.0</v>
      </c>
      <c r="G96" s="6">
        <v>72.0</v>
      </c>
      <c r="H96" s="9" t="str">
        <f>VLOOKUP(revenue[productID],products[],2,FALSE)</f>
        <v>Mozzarella di Giovanni</v>
      </c>
      <c r="I96" s="9" t="str">
        <f>VLOOKUP(revenue[productID],products[],12,FALSE)</f>
        <v>Dairy Products</v>
      </c>
      <c r="J96" s="9">
        <f>VLOOKUP(revenue[productID],products[],IF(YEAR(revenue[orderDate])=2022,8,IF(YEAR(revenue[orderDate])=2023,9,IF(YEAR(revenue[orderDate])=2024,10,NA))),FALSE)</f>
        <v>19.20829334</v>
      </c>
      <c r="K96" s="9">
        <v>27.8</v>
      </c>
      <c r="L96" s="25">
        <f>(revenue[orderPrice]-revenue[productCost])/revenue[productCost]</f>
        <v>0.4472915167</v>
      </c>
      <c r="M96" s="10">
        <v>3.0</v>
      </c>
      <c r="N96" s="25">
        <v>0.0</v>
      </c>
      <c r="O96" s="9">
        <f>revenue[orderPrice]*revenue[orderQuantity]</f>
        <v>83.4</v>
      </c>
      <c r="P96" s="9">
        <f>revenue[orderTotal]*(1-revenue[discountApllied])</f>
        <v>83.4</v>
      </c>
      <c r="Q96" s="9">
        <f>revenue[revenue]-(revenue[productCost]*revenue[orderQuantity])</f>
        <v>25.77511998</v>
      </c>
      <c r="R96" s="25">
        <f>IFERROR(revenue[profit]/revenue[revenue], 0)</f>
        <v>0.3090541965</v>
      </c>
      <c r="S96" s="9">
        <f>revenue[productCost]*revenue[orderQuantity]</f>
        <v>57.62488002</v>
      </c>
    </row>
    <row r="97" ht="15.75" customHeight="1">
      <c r="A97" s="6">
        <v>10284.0</v>
      </c>
      <c r="B97" s="7" t="s">
        <v>41</v>
      </c>
      <c r="C97" s="24" t="str">
        <f>VLOOKUP(revenue[customerID],customers[],2,FALSE)</f>
        <v>Lehmanns Marktstand</v>
      </c>
      <c r="D97" s="24" t="str">
        <f>VLOOKUP(revenue[customerID],customers[],6,FALSE)</f>
        <v>Frankfurt a.M.</v>
      </c>
      <c r="E97" s="24" t="str">
        <f>VLOOKUP(revenue[customerID],customers[],9,FALSE)</f>
        <v>Germany</v>
      </c>
      <c r="F97" s="24">
        <v>44792.0</v>
      </c>
      <c r="G97" s="6">
        <v>27.0</v>
      </c>
      <c r="H97" s="9" t="str">
        <f>VLOOKUP(revenue[productID],products[],2,FALSE)</f>
        <v>Schoggi Schokolade</v>
      </c>
      <c r="I97" s="9" t="str">
        <f>VLOOKUP(revenue[productID],products[],12,FALSE)</f>
        <v>Confections</v>
      </c>
      <c r="J97" s="9">
        <f>VLOOKUP(revenue[productID],products[],IF(YEAR(revenue[orderDate])=2022,8,IF(YEAR(revenue[orderDate])=2023,9,IF(YEAR(revenue[orderDate])=2024,10,NA))),FALSE)</f>
        <v>23.20562839</v>
      </c>
      <c r="K97" s="9">
        <v>35.1</v>
      </c>
      <c r="L97" s="25">
        <f>(revenue[orderPrice]-revenue[productCost])/revenue[productCost]</f>
        <v>0.5125640821</v>
      </c>
      <c r="M97" s="10">
        <v>15.0</v>
      </c>
      <c r="N97" s="25">
        <v>0.25</v>
      </c>
      <c r="O97" s="9">
        <f>revenue[orderPrice]*revenue[orderQuantity]</f>
        <v>526.5</v>
      </c>
      <c r="P97" s="9">
        <f>revenue[orderTotal]*(1-revenue[discountApllied])</f>
        <v>394.875</v>
      </c>
      <c r="Q97" s="9">
        <f>revenue[revenue]-(revenue[productCost]*revenue[orderQuantity])</f>
        <v>46.7905742</v>
      </c>
      <c r="R97" s="25">
        <f>IFERROR(revenue[profit]/revenue[revenue], 0)</f>
        <v>0.1184946482</v>
      </c>
      <c r="S97" s="9">
        <f>revenue[productCost]*revenue[orderQuantity]</f>
        <v>348.0844258</v>
      </c>
    </row>
    <row r="98" ht="15.75" customHeight="1">
      <c r="A98" s="6">
        <v>10284.0</v>
      </c>
      <c r="B98" s="7" t="s">
        <v>41</v>
      </c>
      <c r="C98" s="24" t="str">
        <f>VLOOKUP(revenue[customerID],customers[],2,FALSE)</f>
        <v>Lehmanns Marktstand</v>
      </c>
      <c r="D98" s="24" t="str">
        <f>VLOOKUP(revenue[customerID],customers[],6,FALSE)</f>
        <v>Frankfurt a.M.</v>
      </c>
      <c r="E98" s="24" t="str">
        <f>VLOOKUP(revenue[customerID],customers[],9,FALSE)</f>
        <v>Germany</v>
      </c>
      <c r="F98" s="24">
        <v>44792.0</v>
      </c>
      <c r="G98" s="6">
        <v>44.0</v>
      </c>
      <c r="H98" s="9" t="str">
        <f>VLOOKUP(revenue[productID],products[],2,FALSE)</f>
        <v>Gula Malacca</v>
      </c>
      <c r="I98" s="9" t="str">
        <f>VLOOKUP(revenue[productID],products[],12,FALSE)</f>
        <v>Condiments</v>
      </c>
      <c r="J98" s="9">
        <f>VLOOKUP(revenue[productID],products[],IF(YEAR(revenue[orderDate])=2022,8,IF(YEAR(revenue[orderDate])=2023,9,IF(YEAR(revenue[orderDate])=2024,10,NA))),FALSE)</f>
        <v>10.65165145</v>
      </c>
      <c r="K98" s="9">
        <v>15.5</v>
      </c>
      <c r="L98" s="25">
        <f>(revenue[orderPrice]-revenue[productCost])/revenue[productCost]</f>
        <v>0.4551734138</v>
      </c>
      <c r="M98" s="10">
        <v>21.0</v>
      </c>
      <c r="N98" s="25">
        <v>0.0</v>
      </c>
      <c r="O98" s="9">
        <f>revenue[orderPrice]*revenue[orderQuantity]</f>
        <v>325.5</v>
      </c>
      <c r="P98" s="9">
        <f>revenue[orderTotal]*(1-revenue[discountApllied])</f>
        <v>325.5</v>
      </c>
      <c r="Q98" s="9">
        <f>revenue[revenue]-(revenue[productCost]*revenue[orderQuantity])</f>
        <v>101.8153196</v>
      </c>
      <c r="R98" s="25">
        <f>IFERROR(revenue[profit]/revenue[revenue], 0)</f>
        <v>0.3127966808</v>
      </c>
      <c r="S98" s="9">
        <f>revenue[productCost]*revenue[orderQuantity]</f>
        <v>223.6846804</v>
      </c>
    </row>
    <row r="99" ht="15.75" customHeight="1">
      <c r="A99" s="6">
        <v>10284.0</v>
      </c>
      <c r="B99" s="7" t="s">
        <v>41</v>
      </c>
      <c r="C99" s="24" t="str">
        <f>VLOOKUP(revenue[customerID],customers[],2,FALSE)</f>
        <v>Lehmanns Marktstand</v>
      </c>
      <c r="D99" s="24" t="str">
        <f>VLOOKUP(revenue[customerID],customers[],6,FALSE)</f>
        <v>Frankfurt a.M.</v>
      </c>
      <c r="E99" s="24" t="str">
        <f>VLOOKUP(revenue[customerID],customers[],9,FALSE)</f>
        <v>Germany</v>
      </c>
      <c r="F99" s="24">
        <v>44792.0</v>
      </c>
      <c r="G99" s="6">
        <v>60.0</v>
      </c>
      <c r="H99" s="9" t="str">
        <f>VLOOKUP(revenue[productID],products[],2,FALSE)</f>
        <v>Camembert Pierrot</v>
      </c>
      <c r="I99" s="9" t="str">
        <f>VLOOKUP(revenue[productID],products[],12,FALSE)</f>
        <v>Dairy Products</v>
      </c>
      <c r="J99" s="9">
        <f>VLOOKUP(revenue[productID],products[],IF(YEAR(revenue[orderDate])=2022,8,IF(YEAR(revenue[orderDate])=2023,9,IF(YEAR(revenue[orderDate])=2024,10,NA))),FALSE)</f>
        <v>17.66563493</v>
      </c>
      <c r="K99" s="9">
        <v>27.2</v>
      </c>
      <c r="L99" s="25">
        <f>(revenue[orderPrice]-revenue[productCost])/revenue[productCost]</f>
        <v>0.5397125612</v>
      </c>
      <c r="M99" s="10">
        <v>20.0</v>
      </c>
      <c r="N99" s="25">
        <v>0.25</v>
      </c>
      <c r="O99" s="9">
        <f>revenue[orderPrice]*revenue[orderQuantity]</f>
        <v>544</v>
      </c>
      <c r="P99" s="9">
        <f>revenue[orderTotal]*(1-revenue[discountApllied])</f>
        <v>408</v>
      </c>
      <c r="Q99" s="9">
        <f>revenue[revenue]-(revenue[productCost]*revenue[orderQuantity])</f>
        <v>54.68730144</v>
      </c>
      <c r="R99" s="25">
        <f>IFERROR(revenue[profit]/revenue[revenue], 0)</f>
        <v>0.1340375035</v>
      </c>
      <c r="S99" s="9">
        <f>revenue[productCost]*revenue[orderQuantity]</f>
        <v>353.3126986</v>
      </c>
    </row>
    <row r="100" ht="15.75" customHeight="1">
      <c r="A100" s="6">
        <v>10284.0</v>
      </c>
      <c r="B100" s="7" t="s">
        <v>41</v>
      </c>
      <c r="C100" s="24" t="str">
        <f>VLOOKUP(revenue[customerID],customers[],2,FALSE)</f>
        <v>Lehmanns Marktstand</v>
      </c>
      <c r="D100" s="24" t="str">
        <f>VLOOKUP(revenue[customerID],customers[],6,FALSE)</f>
        <v>Frankfurt a.M.</v>
      </c>
      <c r="E100" s="24" t="str">
        <f>VLOOKUP(revenue[customerID],customers[],9,FALSE)</f>
        <v>Germany</v>
      </c>
      <c r="F100" s="24">
        <v>44792.0</v>
      </c>
      <c r="G100" s="6">
        <v>67.0</v>
      </c>
      <c r="H100" s="9" t="str">
        <f>VLOOKUP(revenue[productID],products[],2,FALSE)</f>
        <v>Laughing Lumberjack Lager</v>
      </c>
      <c r="I100" s="9" t="str">
        <f>VLOOKUP(revenue[productID],products[],12,FALSE)</f>
        <v>Beverages</v>
      </c>
      <c r="J100" s="9">
        <f>VLOOKUP(revenue[productID],products[],IF(YEAR(revenue[orderDate])=2022,8,IF(YEAR(revenue[orderDate])=2023,9,IF(YEAR(revenue[orderDate])=2024,10,NA))),FALSE)</f>
        <v>6.333578634</v>
      </c>
      <c r="K100" s="9">
        <v>11.2</v>
      </c>
      <c r="L100" s="25">
        <f>(revenue[orderPrice]-revenue[productCost])/revenue[productCost]</f>
        <v>0.7683525614</v>
      </c>
      <c r="M100" s="10">
        <v>5.0</v>
      </c>
      <c r="N100" s="25">
        <v>0.25</v>
      </c>
      <c r="O100" s="9">
        <f>revenue[orderPrice]*revenue[orderQuantity]</f>
        <v>56</v>
      </c>
      <c r="P100" s="9">
        <f>revenue[orderTotal]*(1-revenue[discountApllied])</f>
        <v>42</v>
      </c>
      <c r="Q100" s="9">
        <f>revenue[revenue]-(revenue[productCost]*revenue[orderQuantity])</f>
        <v>10.33210683</v>
      </c>
      <c r="R100" s="25">
        <f>IFERROR(revenue[profit]/revenue[revenue], 0)</f>
        <v>0.2460025436</v>
      </c>
      <c r="S100" s="9">
        <f>revenue[productCost]*revenue[orderQuantity]</f>
        <v>31.66789317</v>
      </c>
    </row>
    <row r="101" ht="15.75" customHeight="1">
      <c r="A101" s="6">
        <v>10285.0</v>
      </c>
      <c r="B101" s="7" t="s">
        <v>36</v>
      </c>
      <c r="C101" s="24" t="str">
        <f>VLOOKUP(revenue[customerID],customers[],2,FALSE)</f>
        <v>QUICK-Stop</v>
      </c>
      <c r="D101" s="24" t="str">
        <f>VLOOKUP(revenue[customerID],customers[],6,FALSE)</f>
        <v>Cunewalde</v>
      </c>
      <c r="E101" s="24" t="str">
        <f>VLOOKUP(revenue[customerID],customers[],9,FALSE)</f>
        <v>Germany</v>
      </c>
      <c r="F101" s="24">
        <v>44793.0</v>
      </c>
      <c r="G101" s="6">
        <v>1.0</v>
      </c>
      <c r="H101" s="9" t="str">
        <f>VLOOKUP(revenue[productID],products[],2,FALSE)</f>
        <v>Chai</v>
      </c>
      <c r="I101" s="9" t="str">
        <f>VLOOKUP(revenue[productID],products[],12,FALSE)</f>
        <v>Beverages</v>
      </c>
      <c r="J101" s="9">
        <f>VLOOKUP(revenue[productID],products[],IF(YEAR(revenue[orderDate])=2022,8,IF(YEAR(revenue[orderDate])=2023,9,IF(YEAR(revenue[orderDate])=2024,10,NA))),FALSE)</f>
        <v>9.574207217</v>
      </c>
      <c r="K101" s="9">
        <v>14.4</v>
      </c>
      <c r="L101" s="25">
        <f>(revenue[orderPrice]-revenue[productCost])/revenue[productCost]</f>
        <v>0.5040409795</v>
      </c>
      <c r="M101" s="10">
        <v>45.0</v>
      </c>
      <c r="N101" s="25">
        <v>0.2</v>
      </c>
      <c r="O101" s="9">
        <f>revenue[orderPrice]*revenue[orderQuantity]</f>
        <v>648</v>
      </c>
      <c r="P101" s="9">
        <f>revenue[orderTotal]*(1-revenue[discountApllied])</f>
        <v>518.4</v>
      </c>
      <c r="Q101" s="9">
        <f>revenue[revenue]-(revenue[productCost]*revenue[orderQuantity])</f>
        <v>87.56067526</v>
      </c>
      <c r="R101" s="25">
        <f>IFERROR(revenue[profit]/revenue[revenue], 0)</f>
        <v>0.1689056236</v>
      </c>
      <c r="S101" s="9">
        <f>revenue[productCost]*revenue[orderQuantity]</f>
        <v>430.8393247</v>
      </c>
    </row>
    <row r="102" ht="15.75" customHeight="1">
      <c r="A102" s="6">
        <v>10285.0</v>
      </c>
      <c r="B102" s="7" t="s">
        <v>36</v>
      </c>
      <c r="C102" s="24" t="str">
        <f>VLOOKUP(revenue[customerID],customers[],2,FALSE)</f>
        <v>QUICK-Stop</v>
      </c>
      <c r="D102" s="24" t="str">
        <f>VLOOKUP(revenue[customerID],customers[],6,FALSE)</f>
        <v>Cunewalde</v>
      </c>
      <c r="E102" s="24" t="str">
        <f>VLOOKUP(revenue[customerID],customers[],9,FALSE)</f>
        <v>Germany</v>
      </c>
      <c r="F102" s="24">
        <v>44793.0</v>
      </c>
      <c r="G102" s="6">
        <v>40.0</v>
      </c>
      <c r="H102" s="9" t="str">
        <f>VLOOKUP(revenue[productID],products[],2,FALSE)</f>
        <v>Boston Crab Meat</v>
      </c>
      <c r="I102" s="9" t="str">
        <f>VLOOKUP(revenue[productID],products[],12,FALSE)</f>
        <v>Seafood</v>
      </c>
      <c r="J102" s="9">
        <f>VLOOKUP(revenue[productID],products[],IF(YEAR(revenue[orderDate])=2022,8,IF(YEAR(revenue[orderDate])=2023,9,IF(YEAR(revenue[orderDate])=2024,10,NA))),FALSE)</f>
        <v>9.680649108</v>
      </c>
      <c r="K102" s="9">
        <v>14.7</v>
      </c>
      <c r="L102" s="25">
        <f>(revenue[orderPrice]-revenue[productCost])/revenue[productCost]</f>
        <v>0.5184932162</v>
      </c>
      <c r="M102" s="10">
        <v>40.0</v>
      </c>
      <c r="N102" s="25">
        <v>0.2</v>
      </c>
      <c r="O102" s="9">
        <f>revenue[orderPrice]*revenue[orderQuantity]</f>
        <v>588</v>
      </c>
      <c r="P102" s="9">
        <f>revenue[orderTotal]*(1-revenue[discountApllied])</f>
        <v>470.4</v>
      </c>
      <c r="Q102" s="9">
        <f>revenue[revenue]-(revenue[productCost]*revenue[orderQuantity])</f>
        <v>83.17403566</v>
      </c>
      <c r="R102" s="25">
        <f>IFERROR(revenue[profit]/revenue[revenue], 0)</f>
        <v>0.176815552</v>
      </c>
      <c r="S102" s="9">
        <f>revenue[productCost]*revenue[orderQuantity]</f>
        <v>387.2259643</v>
      </c>
    </row>
    <row r="103" ht="15.75" customHeight="1">
      <c r="A103" s="6">
        <v>10285.0</v>
      </c>
      <c r="B103" s="7" t="s">
        <v>36</v>
      </c>
      <c r="C103" s="24" t="str">
        <f>VLOOKUP(revenue[customerID],customers[],2,FALSE)</f>
        <v>QUICK-Stop</v>
      </c>
      <c r="D103" s="24" t="str">
        <f>VLOOKUP(revenue[customerID],customers[],6,FALSE)</f>
        <v>Cunewalde</v>
      </c>
      <c r="E103" s="24" t="str">
        <f>VLOOKUP(revenue[customerID],customers[],9,FALSE)</f>
        <v>Germany</v>
      </c>
      <c r="F103" s="24">
        <v>44793.0</v>
      </c>
      <c r="G103" s="6">
        <v>53.0</v>
      </c>
      <c r="H103" s="9" t="str">
        <f>VLOOKUP(revenue[productID],products[],2,FALSE)</f>
        <v>Perth Pasties</v>
      </c>
      <c r="I103" s="9" t="str">
        <f>VLOOKUP(revenue[productID],products[],12,FALSE)</f>
        <v>Meat/Poultry</v>
      </c>
      <c r="J103" s="9">
        <f>VLOOKUP(revenue[productID],products[],IF(YEAR(revenue[orderDate])=2022,8,IF(YEAR(revenue[orderDate])=2023,9,IF(YEAR(revenue[orderDate])=2024,10,NA))),FALSE)</f>
        <v>18.33322006</v>
      </c>
      <c r="K103" s="9">
        <v>26.2</v>
      </c>
      <c r="L103" s="25">
        <f>(revenue[orderPrice]-revenue[productCost])/revenue[productCost]</f>
        <v>0.4290997391</v>
      </c>
      <c r="M103" s="10">
        <v>36.0</v>
      </c>
      <c r="N103" s="25">
        <v>0.2</v>
      </c>
      <c r="O103" s="9">
        <f>revenue[orderPrice]*revenue[orderQuantity]</f>
        <v>943.2</v>
      </c>
      <c r="P103" s="9">
        <f>revenue[orderTotal]*(1-revenue[discountApllied])</f>
        <v>754.56</v>
      </c>
      <c r="Q103" s="9">
        <f>revenue[revenue]-(revenue[productCost]*revenue[orderQuantity])</f>
        <v>94.56407797</v>
      </c>
      <c r="R103" s="25">
        <f>IFERROR(revenue[profit]/revenue[revenue], 0)</f>
        <v>0.1253234706</v>
      </c>
      <c r="S103" s="9">
        <f>revenue[productCost]*revenue[orderQuantity]</f>
        <v>659.995922</v>
      </c>
    </row>
    <row r="104" ht="15.75" customHeight="1">
      <c r="A104" s="6">
        <v>10286.0</v>
      </c>
      <c r="B104" s="7" t="s">
        <v>36</v>
      </c>
      <c r="C104" s="24" t="str">
        <f>VLOOKUP(revenue[customerID],customers[],2,FALSE)</f>
        <v>QUICK-Stop</v>
      </c>
      <c r="D104" s="24" t="str">
        <f>VLOOKUP(revenue[customerID],customers[],6,FALSE)</f>
        <v>Cunewalde</v>
      </c>
      <c r="E104" s="24" t="str">
        <f>VLOOKUP(revenue[customerID],customers[],9,FALSE)</f>
        <v>Germany</v>
      </c>
      <c r="F104" s="24">
        <v>44794.0</v>
      </c>
      <c r="G104" s="6">
        <v>35.0</v>
      </c>
      <c r="H104" s="9" t="str">
        <f>VLOOKUP(revenue[productID],products[],2,FALSE)</f>
        <v>Cold Brew Nitro</v>
      </c>
      <c r="I104" s="9" t="str">
        <f>VLOOKUP(revenue[productID],products[],12,FALSE)</f>
        <v>Beverages</v>
      </c>
      <c r="J104" s="9">
        <f>VLOOKUP(revenue[productID],products[],IF(YEAR(revenue[orderDate])=2022,8,IF(YEAR(revenue[orderDate])=2023,9,IF(YEAR(revenue[orderDate])=2024,10,NA))),FALSE)</f>
        <v>10.19869089</v>
      </c>
      <c r="K104" s="9">
        <v>14.4</v>
      </c>
      <c r="L104" s="25">
        <f>(revenue[orderPrice]-revenue[productCost])/revenue[productCost]</f>
        <v>0.4119459208</v>
      </c>
      <c r="M104" s="10">
        <v>100.0</v>
      </c>
      <c r="N104" s="25">
        <v>0.0</v>
      </c>
      <c r="O104" s="9">
        <f>revenue[orderPrice]*revenue[orderQuantity]</f>
        <v>1440</v>
      </c>
      <c r="P104" s="9">
        <f>revenue[orderTotal]*(1-revenue[discountApllied])</f>
        <v>1440</v>
      </c>
      <c r="Q104" s="9">
        <f>revenue[revenue]-(revenue[productCost]*revenue[orderQuantity])</f>
        <v>420.130911</v>
      </c>
      <c r="R104" s="25">
        <f>IFERROR(revenue[profit]/revenue[revenue], 0)</f>
        <v>0.2917575771</v>
      </c>
      <c r="S104" s="9">
        <f>revenue[productCost]*revenue[orderQuantity]</f>
        <v>1019.869089</v>
      </c>
    </row>
    <row r="105" ht="15.75" customHeight="1">
      <c r="A105" s="6">
        <v>10286.0</v>
      </c>
      <c r="B105" s="7" t="s">
        <v>36</v>
      </c>
      <c r="C105" s="24" t="str">
        <f>VLOOKUP(revenue[customerID],customers[],2,FALSE)</f>
        <v>QUICK-Stop</v>
      </c>
      <c r="D105" s="24" t="str">
        <f>VLOOKUP(revenue[customerID],customers[],6,FALSE)</f>
        <v>Cunewalde</v>
      </c>
      <c r="E105" s="24" t="str">
        <f>VLOOKUP(revenue[customerID],customers[],9,FALSE)</f>
        <v>Germany</v>
      </c>
      <c r="F105" s="24">
        <v>44794.0</v>
      </c>
      <c r="G105" s="6">
        <v>62.0</v>
      </c>
      <c r="H105" s="9" t="str">
        <f>VLOOKUP(revenue[productID],products[],2,FALSE)</f>
        <v>Tarte au sucre</v>
      </c>
      <c r="I105" s="9" t="str">
        <f>VLOOKUP(revenue[productID],products[],12,FALSE)</f>
        <v>Confections</v>
      </c>
      <c r="J105" s="9">
        <f>VLOOKUP(revenue[productID],products[],IF(YEAR(revenue[orderDate])=2022,8,IF(YEAR(revenue[orderDate])=2023,9,IF(YEAR(revenue[orderDate])=2024,10,NA))),FALSE)</f>
        <v>29.35963319</v>
      </c>
      <c r="K105" s="9">
        <v>39.4</v>
      </c>
      <c r="L105" s="25">
        <f>(revenue[orderPrice]-revenue[productCost])/revenue[productCost]</f>
        <v>0.3419786189</v>
      </c>
      <c r="M105" s="10">
        <v>40.0</v>
      </c>
      <c r="N105" s="25">
        <v>0.0</v>
      </c>
      <c r="O105" s="9">
        <f>revenue[orderPrice]*revenue[orderQuantity]</f>
        <v>1576</v>
      </c>
      <c r="P105" s="9">
        <f>revenue[orderTotal]*(1-revenue[discountApllied])</f>
        <v>1576</v>
      </c>
      <c r="Q105" s="9">
        <f>revenue[revenue]-(revenue[productCost]*revenue[orderQuantity])</f>
        <v>401.6146724</v>
      </c>
      <c r="R105" s="25">
        <f>IFERROR(revenue[profit]/revenue[revenue], 0)</f>
        <v>0.2548316449</v>
      </c>
      <c r="S105" s="9">
        <f>revenue[productCost]*revenue[orderQuantity]</f>
        <v>1174.385328</v>
      </c>
    </row>
    <row r="106" ht="15.75" customHeight="1">
      <c r="A106" s="6">
        <v>10287.0</v>
      </c>
      <c r="B106" s="7" t="s">
        <v>44</v>
      </c>
      <c r="C106" s="24" t="str">
        <f>VLOOKUP(revenue[customerID],customers[],2,FALSE)</f>
        <v>Ricardo Adocicados</v>
      </c>
      <c r="D106" s="24" t="str">
        <f>VLOOKUP(revenue[customerID],customers[],6,FALSE)</f>
        <v>Rio de Janeiro</v>
      </c>
      <c r="E106" s="24" t="str">
        <f>VLOOKUP(revenue[customerID],customers[],9,FALSE)</f>
        <v>Brazil</v>
      </c>
      <c r="F106" s="24">
        <v>44795.0</v>
      </c>
      <c r="G106" s="6">
        <v>16.0</v>
      </c>
      <c r="H106" s="9" t="str">
        <f>VLOOKUP(revenue[productID],products[],2,FALSE)</f>
        <v>Pavlova</v>
      </c>
      <c r="I106" s="9" t="str">
        <f>VLOOKUP(revenue[productID],products[],12,FALSE)</f>
        <v>Confections</v>
      </c>
      <c r="J106" s="9">
        <f>VLOOKUP(revenue[productID],products[],IF(YEAR(revenue[orderDate])=2022,8,IF(YEAR(revenue[orderDate])=2023,9,IF(YEAR(revenue[orderDate])=2024,10,NA))),FALSE)</f>
        <v>9.80658008</v>
      </c>
      <c r="K106" s="9">
        <v>13.9</v>
      </c>
      <c r="L106" s="25">
        <f>(revenue[orderPrice]-revenue[productCost])/revenue[productCost]</f>
        <v>0.417415642</v>
      </c>
      <c r="M106" s="10">
        <v>40.0</v>
      </c>
      <c r="N106" s="25">
        <v>0.15</v>
      </c>
      <c r="O106" s="9">
        <f>revenue[orderPrice]*revenue[orderQuantity]</f>
        <v>556</v>
      </c>
      <c r="P106" s="9">
        <f>revenue[orderTotal]*(1-revenue[discountApllied])</f>
        <v>472.6</v>
      </c>
      <c r="Q106" s="9">
        <f>revenue[revenue]-(revenue[productCost]*revenue[orderQuantity])</f>
        <v>80.3367968</v>
      </c>
      <c r="R106" s="25">
        <f>IFERROR(revenue[profit]/revenue[revenue], 0)</f>
        <v>0.1699889903</v>
      </c>
      <c r="S106" s="9">
        <f>revenue[productCost]*revenue[orderQuantity]</f>
        <v>392.2632032</v>
      </c>
    </row>
    <row r="107" ht="15.75" customHeight="1">
      <c r="A107" s="6">
        <v>10287.0</v>
      </c>
      <c r="B107" s="7" t="s">
        <v>44</v>
      </c>
      <c r="C107" s="24" t="str">
        <f>VLOOKUP(revenue[customerID],customers[],2,FALSE)</f>
        <v>Ricardo Adocicados</v>
      </c>
      <c r="D107" s="24" t="str">
        <f>VLOOKUP(revenue[customerID],customers[],6,FALSE)</f>
        <v>Rio de Janeiro</v>
      </c>
      <c r="E107" s="24" t="str">
        <f>VLOOKUP(revenue[customerID],customers[],9,FALSE)</f>
        <v>Brazil</v>
      </c>
      <c r="F107" s="24">
        <v>44795.0</v>
      </c>
      <c r="G107" s="6">
        <v>34.0</v>
      </c>
      <c r="H107" s="9" t="str">
        <f>VLOOKUP(revenue[productID],products[],2,FALSE)</f>
        <v>Sasquatch Ale</v>
      </c>
      <c r="I107" s="9" t="str">
        <f>VLOOKUP(revenue[productID],products[],12,FALSE)</f>
        <v>Beverages</v>
      </c>
      <c r="J107" s="9">
        <f>VLOOKUP(revenue[productID],products[],IF(YEAR(revenue[orderDate])=2022,8,IF(YEAR(revenue[orderDate])=2023,9,IF(YEAR(revenue[orderDate])=2024,10,NA))),FALSE)</f>
        <v>8.233671911</v>
      </c>
      <c r="K107" s="9">
        <v>11.2</v>
      </c>
      <c r="L107" s="25">
        <f>(revenue[orderPrice]-revenue[productCost])/revenue[productCost]</f>
        <v>0.3602679486</v>
      </c>
      <c r="M107" s="10">
        <v>20.0</v>
      </c>
      <c r="N107" s="25">
        <v>0.0</v>
      </c>
      <c r="O107" s="9">
        <f>revenue[orderPrice]*revenue[orderQuantity]</f>
        <v>224</v>
      </c>
      <c r="P107" s="9">
        <f>revenue[orderTotal]*(1-revenue[discountApllied])</f>
        <v>224</v>
      </c>
      <c r="Q107" s="9">
        <f>revenue[revenue]-(revenue[productCost]*revenue[orderQuantity])</f>
        <v>59.32656178</v>
      </c>
      <c r="R107" s="25">
        <f>IFERROR(revenue[profit]/revenue[revenue], 0)</f>
        <v>0.2648507222</v>
      </c>
      <c r="S107" s="9">
        <f>revenue[productCost]*revenue[orderQuantity]</f>
        <v>164.6734382</v>
      </c>
    </row>
    <row r="108" ht="15.75" customHeight="1">
      <c r="A108" s="6">
        <v>10287.0</v>
      </c>
      <c r="B108" s="7" t="s">
        <v>44</v>
      </c>
      <c r="C108" s="24" t="str">
        <f>VLOOKUP(revenue[customerID],customers[],2,FALSE)</f>
        <v>Ricardo Adocicados</v>
      </c>
      <c r="D108" s="24" t="str">
        <f>VLOOKUP(revenue[customerID],customers[],6,FALSE)</f>
        <v>Rio de Janeiro</v>
      </c>
      <c r="E108" s="24" t="str">
        <f>VLOOKUP(revenue[customerID],customers[],9,FALSE)</f>
        <v>Brazil</v>
      </c>
      <c r="F108" s="24">
        <v>44795.0</v>
      </c>
      <c r="G108" s="6">
        <v>46.0</v>
      </c>
      <c r="H108" s="9" t="str">
        <f>VLOOKUP(revenue[productID],products[],2,FALSE)</f>
        <v>Spegesild</v>
      </c>
      <c r="I108" s="9" t="str">
        <f>VLOOKUP(revenue[productID],products[],12,FALSE)</f>
        <v>Seafood</v>
      </c>
      <c r="J108" s="9">
        <f>VLOOKUP(revenue[productID],products[],IF(YEAR(revenue[orderDate])=2022,8,IF(YEAR(revenue[orderDate])=2023,9,IF(YEAR(revenue[orderDate])=2024,10,NA))),FALSE)</f>
        <v>6.266275015</v>
      </c>
      <c r="K108" s="9">
        <v>9.6</v>
      </c>
      <c r="L108" s="25">
        <f>(revenue[orderPrice]-revenue[productCost])/revenue[productCost]</f>
        <v>0.5320106406</v>
      </c>
      <c r="M108" s="10">
        <v>15.0</v>
      </c>
      <c r="N108" s="25">
        <v>0.15</v>
      </c>
      <c r="O108" s="9">
        <f>revenue[orderPrice]*revenue[orderQuantity]</f>
        <v>144</v>
      </c>
      <c r="P108" s="9">
        <f>revenue[orderTotal]*(1-revenue[discountApllied])</f>
        <v>122.4</v>
      </c>
      <c r="Q108" s="9">
        <f>revenue[revenue]-(revenue[productCost]*revenue[orderQuantity])</f>
        <v>28.40587477</v>
      </c>
      <c r="R108" s="25">
        <f>IFERROR(revenue[profit]/revenue[revenue], 0)</f>
        <v>0.2320741403</v>
      </c>
      <c r="S108" s="9">
        <f>revenue[productCost]*revenue[orderQuantity]</f>
        <v>93.99412523</v>
      </c>
    </row>
    <row r="109" ht="15.75" customHeight="1">
      <c r="A109" s="6">
        <v>10288.0</v>
      </c>
      <c r="B109" s="7" t="s">
        <v>45</v>
      </c>
      <c r="C109" s="24" t="str">
        <f>VLOOKUP(revenue[customerID],customers[],2,FALSE)</f>
        <v>Reggiani Caseifici</v>
      </c>
      <c r="D109" s="24" t="str">
        <f>VLOOKUP(revenue[customerID],customers[],6,FALSE)</f>
        <v>Reggio Emilia</v>
      </c>
      <c r="E109" s="24" t="str">
        <f>VLOOKUP(revenue[customerID],customers[],9,FALSE)</f>
        <v>Italy</v>
      </c>
      <c r="F109" s="24">
        <v>44796.0</v>
      </c>
      <c r="G109" s="6">
        <v>54.0</v>
      </c>
      <c r="H109" s="9" t="str">
        <f>VLOOKUP(revenue[productID],products[],2,FALSE)</f>
        <v>Tourtière</v>
      </c>
      <c r="I109" s="9" t="str">
        <f>VLOOKUP(revenue[productID],products[],12,FALSE)</f>
        <v>Meat/Poultry</v>
      </c>
      <c r="J109" s="9">
        <f>VLOOKUP(revenue[productID],products[],IF(YEAR(revenue[orderDate])=2022,8,IF(YEAR(revenue[orderDate])=2023,9,IF(YEAR(revenue[orderDate])=2024,10,NA))),FALSE)</f>
        <v>4.309848919</v>
      </c>
      <c r="K109" s="9">
        <v>5.9</v>
      </c>
      <c r="L109" s="25">
        <f>(revenue[orderPrice]-revenue[productCost])/revenue[productCost]</f>
        <v>0.3689574996</v>
      </c>
      <c r="M109" s="10">
        <v>10.0</v>
      </c>
      <c r="N109" s="25">
        <v>0.1</v>
      </c>
      <c r="O109" s="9">
        <f>revenue[orderPrice]*revenue[orderQuantity]</f>
        <v>59</v>
      </c>
      <c r="P109" s="9">
        <f>revenue[orderTotal]*(1-revenue[discountApllied])</f>
        <v>53.1</v>
      </c>
      <c r="Q109" s="9">
        <f>revenue[revenue]-(revenue[productCost]*revenue[orderQuantity])</f>
        <v>10.00151081</v>
      </c>
      <c r="R109" s="25">
        <f>IFERROR(revenue[profit]/revenue[revenue], 0)</f>
        <v>0.1883523693</v>
      </c>
      <c r="S109" s="9">
        <f>revenue[productCost]*revenue[orderQuantity]</f>
        <v>43.09848919</v>
      </c>
    </row>
    <row r="110" ht="15.75" customHeight="1">
      <c r="A110" s="6">
        <v>10288.0</v>
      </c>
      <c r="B110" s="7" t="s">
        <v>45</v>
      </c>
      <c r="C110" s="24" t="str">
        <f>VLOOKUP(revenue[customerID],customers[],2,FALSE)</f>
        <v>Reggiani Caseifici</v>
      </c>
      <c r="D110" s="24" t="str">
        <f>VLOOKUP(revenue[customerID],customers[],6,FALSE)</f>
        <v>Reggio Emilia</v>
      </c>
      <c r="E110" s="24" t="str">
        <f>VLOOKUP(revenue[customerID],customers[],9,FALSE)</f>
        <v>Italy</v>
      </c>
      <c r="F110" s="24">
        <v>44796.0</v>
      </c>
      <c r="G110" s="6">
        <v>68.0</v>
      </c>
      <c r="H110" s="9" t="str">
        <f>VLOOKUP(revenue[productID],products[],2,FALSE)</f>
        <v>Scottish Longbreads</v>
      </c>
      <c r="I110" s="9" t="str">
        <f>VLOOKUP(revenue[productID],products[],12,FALSE)</f>
        <v>Confections</v>
      </c>
      <c r="J110" s="9">
        <f>VLOOKUP(revenue[productID],products[],IF(YEAR(revenue[orderDate])=2022,8,IF(YEAR(revenue[orderDate])=2023,9,IF(YEAR(revenue[orderDate])=2024,10,NA))),FALSE)</f>
        <v>7.316656529</v>
      </c>
      <c r="K110" s="9">
        <v>10.0</v>
      </c>
      <c r="L110" s="25">
        <f>(revenue[orderPrice]-revenue[productCost])/revenue[productCost]</f>
        <v>0.3667444906</v>
      </c>
      <c r="M110" s="10">
        <v>3.0</v>
      </c>
      <c r="N110" s="25">
        <v>0.1</v>
      </c>
      <c r="O110" s="9">
        <f>revenue[orderPrice]*revenue[orderQuantity]</f>
        <v>30</v>
      </c>
      <c r="P110" s="9">
        <f>revenue[orderTotal]*(1-revenue[discountApllied])</f>
        <v>27</v>
      </c>
      <c r="Q110" s="9">
        <f>revenue[revenue]-(revenue[productCost]*revenue[orderQuantity])</f>
        <v>5.050030414</v>
      </c>
      <c r="R110" s="25">
        <f>IFERROR(revenue[profit]/revenue[revenue], 0)</f>
        <v>0.1870381635</v>
      </c>
      <c r="S110" s="9">
        <f>revenue[productCost]*revenue[orderQuantity]</f>
        <v>21.94996959</v>
      </c>
    </row>
    <row r="111" ht="15.75" customHeight="1">
      <c r="A111" s="6">
        <v>10289.0</v>
      </c>
      <c r="B111" s="7" t="s">
        <v>46</v>
      </c>
      <c r="C111" s="24" t="str">
        <f>VLOOKUP(revenue[customerID],customers[],2,FALSE)</f>
        <v>B's Beverages</v>
      </c>
      <c r="D111" s="24" t="str">
        <f>VLOOKUP(revenue[customerID],customers[],6,FALSE)</f>
        <v>London</v>
      </c>
      <c r="E111" s="24" t="str">
        <f>VLOOKUP(revenue[customerID],customers[],9,FALSE)</f>
        <v>UK</v>
      </c>
      <c r="F111" s="24">
        <v>44799.0</v>
      </c>
      <c r="G111" s="6">
        <v>3.0</v>
      </c>
      <c r="H111" s="9" t="str">
        <f>VLOOKUP(revenue[productID],products[],2,FALSE)</f>
        <v>Aniseed Syrup</v>
      </c>
      <c r="I111" s="9" t="str">
        <f>VLOOKUP(revenue[productID],products[],12,FALSE)</f>
        <v>Condiments</v>
      </c>
      <c r="J111" s="9">
        <f>VLOOKUP(revenue[productID],products[],IF(YEAR(revenue[orderDate])=2022,8,IF(YEAR(revenue[orderDate])=2023,9,IF(YEAR(revenue[orderDate])=2024,10,NA))),FALSE)</f>
        <v>5.621819606</v>
      </c>
      <c r="K111" s="9">
        <v>8.0</v>
      </c>
      <c r="L111" s="25">
        <f>(revenue[orderPrice]-revenue[productCost])/revenue[productCost]</f>
        <v>0.4230268063</v>
      </c>
      <c r="M111" s="10">
        <v>30.0</v>
      </c>
      <c r="N111" s="25">
        <v>0.0</v>
      </c>
      <c r="O111" s="9">
        <f>revenue[orderPrice]*revenue[orderQuantity]</f>
        <v>240</v>
      </c>
      <c r="P111" s="9">
        <f>revenue[orderTotal]*(1-revenue[discountApllied])</f>
        <v>240</v>
      </c>
      <c r="Q111" s="9">
        <f>revenue[revenue]-(revenue[productCost]*revenue[orderQuantity])</f>
        <v>71.34541181</v>
      </c>
      <c r="R111" s="25">
        <f>IFERROR(revenue[profit]/revenue[revenue], 0)</f>
        <v>0.2972725492</v>
      </c>
      <c r="S111" s="9">
        <f>revenue[productCost]*revenue[orderQuantity]</f>
        <v>168.6545882</v>
      </c>
    </row>
    <row r="112" ht="15.75" customHeight="1">
      <c r="A112" s="6">
        <v>10289.0</v>
      </c>
      <c r="B112" s="7" t="s">
        <v>46</v>
      </c>
      <c r="C112" s="24" t="str">
        <f>VLOOKUP(revenue[customerID],customers[],2,FALSE)</f>
        <v>B's Beverages</v>
      </c>
      <c r="D112" s="24" t="str">
        <f>VLOOKUP(revenue[customerID],customers[],6,FALSE)</f>
        <v>London</v>
      </c>
      <c r="E112" s="24" t="str">
        <f>VLOOKUP(revenue[customerID],customers[],9,FALSE)</f>
        <v>UK</v>
      </c>
      <c r="F112" s="24">
        <v>44799.0</v>
      </c>
      <c r="G112" s="6">
        <v>64.0</v>
      </c>
      <c r="H112" s="9" t="str">
        <f>VLOOKUP(revenue[productID],products[],2,FALSE)</f>
        <v>Lukas' leckere Sauerteigweggla</v>
      </c>
      <c r="I112" s="9" t="str">
        <f>VLOOKUP(revenue[productID],products[],12,FALSE)</f>
        <v>Grains/Cereals</v>
      </c>
      <c r="J112" s="9">
        <f>VLOOKUP(revenue[productID],products[],IF(YEAR(revenue[orderDate])=2022,8,IF(YEAR(revenue[orderDate])=2023,9,IF(YEAR(revenue[orderDate])=2024,10,NA))),FALSE)</f>
        <v>19.36982257</v>
      </c>
      <c r="K112" s="9">
        <v>26.6</v>
      </c>
      <c r="L112" s="25">
        <f>(revenue[orderPrice]-revenue[productCost])/revenue[productCost]</f>
        <v>0.3732701944</v>
      </c>
      <c r="M112" s="10">
        <v>9.0</v>
      </c>
      <c r="N112" s="25">
        <v>0.0</v>
      </c>
      <c r="O112" s="9">
        <f>revenue[orderPrice]*revenue[orderQuantity]</f>
        <v>239.4</v>
      </c>
      <c r="P112" s="9">
        <f>revenue[orderTotal]*(1-revenue[discountApllied])</f>
        <v>239.4</v>
      </c>
      <c r="Q112" s="9">
        <f>revenue[revenue]-(revenue[productCost]*revenue[orderQuantity])</f>
        <v>65.07159691</v>
      </c>
      <c r="R112" s="25">
        <f>IFERROR(revenue[profit]/revenue[revenue], 0)</f>
        <v>0.2718111818</v>
      </c>
      <c r="S112" s="9">
        <f>revenue[productCost]*revenue[orderQuantity]</f>
        <v>174.3284031</v>
      </c>
    </row>
    <row r="113" ht="15.75" customHeight="1">
      <c r="A113" s="6">
        <v>10290.0</v>
      </c>
      <c r="B113" s="7" t="s">
        <v>47</v>
      </c>
      <c r="C113" s="24" t="str">
        <f>VLOOKUP(revenue[customerID],customers[],2,FALSE)</f>
        <v>Comércio Mineiro</v>
      </c>
      <c r="D113" s="24" t="str">
        <f>VLOOKUP(revenue[customerID],customers[],6,FALSE)</f>
        <v>Sao Paulo</v>
      </c>
      <c r="E113" s="24" t="str">
        <f>VLOOKUP(revenue[customerID],customers[],9,FALSE)</f>
        <v>Brazil</v>
      </c>
      <c r="F113" s="24">
        <v>44800.0</v>
      </c>
      <c r="G113" s="6">
        <v>5.0</v>
      </c>
      <c r="H113" s="9" t="str">
        <f>VLOOKUP(revenue[productID],products[],2,FALSE)</f>
        <v>Chef Anton's Gumbo Mix</v>
      </c>
      <c r="I113" s="9" t="str">
        <f>VLOOKUP(revenue[productID],products[],12,FALSE)</f>
        <v>Condiments</v>
      </c>
      <c r="J113" s="9">
        <f>VLOOKUP(revenue[productID],products[],IF(YEAR(revenue[orderDate])=2022,8,IF(YEAR(revenue[orderDate])=2023,9,IF(YEAR(revenue[orderDate])=2024,10,NA))),FALSE)</f>
        <v>10.9059059</v>
      </c>
      <c r="K113" s="9">
        <v>17.0</v>
      </c>
      <c r="L113" s="25">
        <f>(revenue[orderPrice]-revenue[productCost])/revenue[productCost]</f>
        <v>0.5587884354</v>
      </c>
      <c r="M113" s="10">
        <v>20.0</v>
      </c>
      <c r="N113" s="25">
        <v>0.0</v>
      </c>
      <c r="O113" s="9">
        <f>revenue[orderPrice]*revenue[orderQuantity]</f>
        <v>340</v>
      </c>
      <c r="P113" s="9">
        <f>revenue[orderTotal]*(1-revenue[discountApllied])</f>
        <v>340</v>
      </c>
      <c r="Q113" s="9">
        <f>revenue[revenue]-(revenue[productCost]*revenue[orderQuantity])</f>
        <v>121.8818819</v>
      </c>
      <c r="R113" s="25">
        <f>IFERROR(revenue[profit]/revenue[revenue], 0)</f>
        <v>0.3584761233</v>
      </c>
      <c r="S113" s="9">
        <f>revenue[productCost]*revenue[orderQuantity]</f>
        <v>218.1181181</v>
      </c>
    </row>
    <row r="114" ht="15.75" customHeight="1">
      <c r="A114" s="6">
        <v>10290.0</v>
      </c>
      <c r="B114" s="7" t="s">
        <v>47</v>
      </c>
      <c r="C114" s="24" t="str">
        <f>VLOOKUP(revenue[customerID],customers[],2,FALSE)</f>
        <v>Comércio Mineiro</v>
      </c>
      <c r="D114" s="24" t="str">
        <f>VLOOKUP(revenue[customerID],customers[],6,FALSE)</f>
        <v>Sao Paulo</v>
      </c>
      <c r="E114" s="24" t="str">
        <f>VLOOKUP(revenue[customerID],customers[],9,FALSE)</f>
        <v>Brazil</v>
      </c>
      <c r="F114" s="24">
        <v>44800.0</v>
      </c>
      <c r="G114" s="6">
        <v>29.0</v>
      </c>
      <c r="H114" s="9" t="str">
        <f>VLOOKUP(revenue[productID],products[],2,FALSE)</f>
        <v>Thüringer Rostbratwurst</v>
      </c>
      <c r="I114" s="9" t="str">
        <f>VLOOKUP(revenue[productID],products[],12,FALSE)</f>
        <v>Meat/Poultry</v>
      </c>
      <c r="J114" s="9">
        <f>VLOOKUP(revenue[productID],products[],IF(YEAR(revenue[orderDate])=2022,8,IF(YEAR(revenue[orderDate])=2023,9,IF(YEAR(revenue[orderDate])=2024,10,NA))),FALSE)</f>
        <v>70.25945266</v>
      </c>
      <c r="K114" s="9">
        <v>99.0</v>
      </c>
      <c r="L114" s="25">
        <f>(revenue[orderPrice]-revenue[productCost])/revenue[productCost]</f>
        <v>0.4090630691</v>
      </c>
      <c r="M114" s="10">
        <v>15.0</v>
      </c>
      <c r="N114" s="25">
        <v>0.0</v>
      </c>
      <c r="O114" s="9">
        <f>revenue[orderPrice]*revenue[orderQuantity]</f>
        <v>1485</v>
      </c>
      <c r="P114" s="9">
        <f>revenue[orderTotal]*(1-revenue[discountApllied])</f>
        <v>1485</v>
      </c>
      <c r="Q114" s="9">
        <f>revenue[revenue]-(revenue[productCost]*revenue[orderQuantity])</f>
        <v>431.1082101</v>
      </c>
      <c r="R114" s="25">
        <f>IFERROR(revenue[profit]/revenue[revenue], 0)</f>
        <v>0.290308559</v>
      </c>
      <c r="S114" s="9">
        <f>revenue[productCost]*revenue[orderQuantity]</f>
        <v>1053.89179</v>
      </c>
    </row>
    <row r="115" ht="15.75" customHeight="1">
      <c r="A115" s="6">
        <v>10290.0</v>
      </c>
      <c r="B115" s="7" t="s">
        <v>47</v>
      </c>
      <c r="C115" s="24" t="str">
        <f>VLOOKUP(revenue[customerID],customers[],2,FALSE)</f>
        <v>Comércio Mineiro</v>
      </c>
      <c r="D115" s="24" t="str">
        <f>VLOOKUP(revenue[customerID],customers[],6,FALSE)</f>
        <v>Sao Paulo</v>
      </c>
      <c r="E115" s="24" t="str">
        <f>VLOOKUP(revenue[customerID],customers[],9,FALSE)</f>
        <v>Brazil</v>
      </c>
      <c r="F115" s="24">
        <v>44800.0</v>
      </c>
      <c r="G115" s="6">
        <v>49.0</v>
      </c>
      <c r="H115" s="9" t="str">
        <f>VLOOKUP(revenue[productID],products[],2,FALSE)</f>
        <v>Maxilaku</v>
      </c>
      <c r="I115" s="9" t="str">
        <f>VLOOKUP(revenue[productID],products[],12,FALSE)</f>
        <v>Confections</v>
      </c>
      <c r="J115" s="9">
        <f>VLOOKUP(revenue[productID],products[],IF(YEAR(revenue[orderDate])=2022,8,IF(YEAR(revenue[orderDate])=2023,9,IF(YEAR(revenue[orderDate])=2024,10,NA))),FALSE)</f>
        <v>12.56663579</v>
      </c>
      <c r="K115" s="9">
        <v>16.0</v>
      </c>
      <c r="L115" s="25">
        <f>(revenue[orderPrice]-revenue[productCost])/revenue[productCost]</f>
        <v>0.2732126779</v>
      </c>
      <c r="M115" s="10">
        <v>15.0</v>
      </c>
      <c r="N115" s="25">
        <v>0.0</v>
      </c>
      <c r="O115" s="9">
        <f>revenue[orderPrice]*revenue[orderQuantity]</f>
        <v>240</v>
      </c>
      <c r="P115" s="9">
        <f>revenue[orderTotal]*(1-revenue[discountApllied])</f>
        <v>240</v>
      </c>
      <c r="Q115" s="9">
        <f>revenue[revenue]-(revenue[productCost]*revenue[orderQuantity])</f>
        <v>51.50046322</v>
      </c>
      <c r="R115" s="25">
        <f>IFERROR(revenue[profit]/revenue[revenue], 0)</f>
        <v>0.2145852634</v>
      </c>
      <c r="S115" s="9">
        <f>revenue[productCost]*revenue[orderQuantity]</f>
        <v>188.4995368</v>
      </c>
    </row>
    <row r="116" ht="15.75" customHeight="1">
      <c r="A116" s="6">
        <v>10290.0</v>
      </c>
      <c r="B116" s="7" t="s">
        <v>47</v>
      </c>
      <c r="C116" s="24" t="str">
        <f>VLOOKUP(revenue[customerID],customers[],2,FALSE)</f>
        <v>Comércio Mineiro</v>
      </c>
      <c r="D116" s="24" t="str">
        <f>VLOOKUP(revenue[customerID],customers[],6,FALSE)</f>
        <v>Sao Paulo</v>
      </c>
      <c r="E116" s="24" t="str">
        <f>VLOOKUP(revenue[customerID],customers[],9,FALSE)</f>
        <v>Brazil</v>
      </c>
      <c r="F116" s="24">
        <v>44800.0</v>
      </c>
      <c r="G116" s="6">
        <v>77.0</v>
      </c>
      <c r="H116" s="9" t="str">
        <f>VLOOKUP(revenue[productID],products[],2,FALSE)</f>
        <v>Original Frankfurter grüne Soße</v>
      </c>
      <c r="I116" s="9" t="str">
        <f>VLOOKUP(revenue[productID],products[],12,FALSE)</f>
        <v>Condiments</v>
      </c>
      <c r="J116" s="9">
        <f>VLOOKUP(revenue[productID],products[],IF(YEAR(revenue[orderDate])=2022,8,IF(YEAR(revenue[orderDate])=2023,9,IF(YEAR(revenue[orderDate])=2024,10,NA))),FALSE)</f>
        <v>7.430272842</v>
      </c>
      <c r="K116" s="9">
        <v>10.4</v>
      </c>
      <c r="L116" s="25">
        <f>(revenue[orderPrice]-revenue[productCost])/revenue[productCost]</f>
        <v>0.3996794225</v>
      </c>
      <c r="M116" s="10">
        <v>10.0</v>
      </c>
      <c r="N116" s="25">
        <v>0.0</v>
      </c>
      <c r="O116" s="9">
        <f>revenue[orderPrice]*revenue[orderQuantity]</f>
        <v>104</v>
      </c>
      <c r="P116" s="9">
        <f>revenue[orderTotal]*(1-revenue[discountApllied])</f>
        <v>104</v>
      </c>
      <c r="Q116" s="9">
        <f>revenue[revenue]-(revenue[productCost]*revenue[orderQuantity])</f>
        <v>29.69727158</v>
      </c>
      <c r="R116" s="25">
        <f>IFERROR(revenue[profit]/revenue[revenue], 0)</f>
        <v>0.2855506883</v>
      </c>
      <c r="S116" s="9">
        <f>revenue[productCost]*revenue[orderQuantity]</f>
        <v>74.30272842</v>
      </c>
    </row>
    <row r="117" ht="15.75" customHeight="1">
      <c r="A117" s="6">
        <v>10291.0</v>
      </c>
      <c r="B117" s="7" t="s">
        <v>27</v>
      </c>
      <c r="C117" s="24" t="str">
        <f>VLOOKUP(revenue[customerID],customers[],2,FALSE)</f>
        <v>Que Delícia</v>
      </c>
      <c r="D117" s="24" t="str">
        <f>VLOOKUP(revenue[customerID],customers[],6,FALSE)</f>
        <v>Rio de Janeiro</v>
      </c>
      <c r="E117" s="24" t="str">
        <f>VLOOKUP(revenue[customerID],customers[],9,FALSE)</f>
        <v>Brazil</v>
      </c>
      <c r="F117" s="24">
        <v>44800.0</v>
      </c>
      <c r="G117" s="6">
        <v>13.0</v>
      </c>
      <c r="H117" s="9" t="str">
        <f>VLOOKUP(revenue[productID],products[],2,FALSE)</f>
        <v>Konbu</v>
      </c>
      <c r="I117" s="9" t="str">
        <f>VLOOKUP(revenue[productID],products[],12,FALSE)</f>
        <v>Seafood</v>
      </c>
      <c r="J117" s="9">
        <f>VLOOKUP(revenue[productID],products[],IF(YEAR(revenue[orderDate])=2022,8,IF(YEAR(revenue[orderDate])=2023,9,IF(YEAR(revenue[orderDate])=2024,10,NA))),FALSE)</f>
        <v>3.236727382</v>
      </c>
      <c r="K117" s="9">
        <v>4.8</v>
      </c>
      <c r="L117" s="25">
        <f>(revenue[orderPrice]-revenue[productCost])/revenue[productCost]</f>
        <v>0.4829793907</v>
      </c>
      <c r="M117" s="10">
        <v>20.0</v>
      </c>
      <c r="N117" s="25">
        <v>0.1</v>
      </c>
      <c r="O117" s="9">
        <f>revenue[orderPrice]*revenue[orderQuantity]</f>
        <v>96</v>
      </c>
      <c r="P117" s="9">
        <f>revenue[orderTotal]*(1-revenue[discountApllied])</f>
        <v>86.4</v>
      </c>
      <c r="Q117" s="9">
        <f>revenue[revenue]-(revenue[productCost]*revenue[orderQuantity])</f>
        <v>21.66545237</v>
      </c>
      <c r="R117" s="25">
        <f>IFERROR(revenue[profit]/revenue[revenue], 0)</f>
        <v>0.2507575506</v>
      </c>
      <c r="S117" s="9">
        <f>revenue[productCost]*revenue[orderQuantity]</f>
        <v>64.73454763</v>
      </c>
    </row>
    <row r="118" ht="15.75" customHeight="1">
      <c r="A118" s="6">
        <v>10291.0</v>
      </c>
      <c r="B118" s="7" t="s">
        <v>27</v>
      </c>
      <c r="C118" s="24" t="str">
        <f>VLOOKUP(revenue[customerID],customers[],2,FALSE)</f>
        <v>Que Delícia</v>
      </c>
      <c r="D118" s="24" t="str">
        <f>VLOOKUP(revenue[customerID],customers[],6,FALSE)</f>
        <v>Rio de Janeiro</v>
      </c>
      <c r="E118" s="24" t="str">
        <f>VLOOKUP(revenue[customerID],customers[],9,FALSE)</f>
        <v>Brazil</v>
      </c>
      <c r="F118" s="24">
        <v>44800.0</v>
      </c>
      <c r="G118" s="6">
        <v>44.0</v>
      </c>
      <c r="H118" s="9" t="str">
        <f>VLOOKUP(revenue[productID],products[],2,FALSE)</f>
        <v>Gula Malacca</v>
      </c>
      <c r="I118" s="9" t="str">
        <f>VLOOKUP(revenue[productID],products[],12,FALSE)</f>
        <v>Condiments</v>
      </c>
      <c r="J118" s="9">
        <f>VLOOKUP(revenue[productID],products[],IF(YEAR(revenue[orderDate])=2022,8,IF(YEAR(revenue[orderDate])=2023,9,IF(YEAR(revenue[orderDate])=2024,10,NA))),FALSE)</f>
        <v>10.65165145</v>
      </c>
      <c r="K118" s="9">
        <v>15.5</v>
      </c>
      <c r="L118" s="25">
        <f>(revenue[orderPrice]-revenue[productCost])/revenue[productCost]</f>
        <v>0.4551734138</v>
      </c>
      <c r="M118" s="10">
        <v>24.0</v>
      </c>
      <c r="N118" s="25">
        <v>0.1</v>
      </c>
      <c r="O118" s="9">
        <f>revenue[orderPrice]*revenue[orderQuantity]</f>
        <v>372</v>
      </c>
      <c r="P118" s="9">
        <f>revenue[orderTotal]*(1-revenue[discountApllied])</f>
        <v>334.8</v>
      </c>
      <c r="Q118" s="9">
        <f>revenue[revenue]-(revenue[productCost]*revenue[orderQuantity])</f>
        <v>79.16036525</v>
      </c>
      <c r="R118" s="25">
        <f>IFERROR(revenue[profit]/revenue[revenue], 0)</f>
        <v>0.2364407564</v>
      </c>
      <c r="S118" s="9">
        <f>revenue[productCost]*revenue[orderQuantity]</f>
        <v>255.6396348</v>
      </c>
    </row>
    <row r="119" ht="15.75" customHeight="1">
      <c r="A119" s="6">
        <v>10291.0</v>
      </c>
      <c r="B119" s="7" t="s">
        <v>27</v>
      </c>
      <c r="C119" s="24" t="str">
        <f>VLOOKUP(revenue[customerID],customers[],2,FALSE)</f>
        <v>Que Delícia</v>
      </c>
      <c r="D119" s="24" t="str">
        <f>VLOOKUP(revenue[customerID],customers[],6,FALSE)</f>
        <v>Rio de Janeiro</v>
      </c>
      <c r="E119" s="24" t="str">
        <f>VLOOKUP(revenue[customerID],customers[],9,FALSE)</f>
        <v>Brazil</v>
      </c>
      <c r="F119" s="24">
        <v>44800.0</v>
      </c>
      <c r="G119" s="6">
        <v>51.0</v>
      </c>
      <c r="H119" s="9" t="str">
        <f>VLOOKUP(revenue[productID],products[],2,FALSE)</f>
        <v>Manjimup Dried Apples</v>
      </c>
      <c r="I119" s="9" t="str">
        <f>VLOOKUP(revenue[productID],products[],12,FALSE)</f>
        <v>Produce</v>
      </c>
      <c r="J119" s="9">
        <f>VLOOKUP(revenue[productID],products[],IF(YEAR(revenue[orderDate])=2022,8,IF(YEAR(revenue[orderDate])=2023,9,IF(YEAR(revenue[orderDate])=2024,10,NA))),FALSE)</f>
        <v>28.87532154</v>
      </c>
      <c r="K119" s="9">
        <v>42.4</v>
      </c>
      <c r="L119" s="25">
        <f>(revenue[orderPrice]-revenue[productCost])/revenue[productCost]</f>
        <v>0.4683819172</v>
      </c>
      <c r="M119" s="10">
        <v>2.0</v>
      </c>
      <c r="N119" s="25">
        <v>0.1</v>
      </c>
      <c r="O119" s="9">
        <f>revenue[orderPrice]*revenue[orderQuantity]</f>
        <v>84.8</v>
      </c>
      <c r="P119" s="9">
        <f>revenue[orderTotal]*(1-revenue[discountApllied])</f>
        <v>76.32</v>
      </c>
      <c r="Q119" s="9">
        <f>revenue[revenue]-(revenue[productCost]*revenue[orderQuantity])</f>
        <v>18.56935693</v>
      </c>
      <c r="R119" s="25">
        <f>IFERROR(revenue[profit]/revenue[revenue], 0)</f>
        <v>0.243309184</v>
      </c>
      <c r="S119" s="9">
        <f>revenue[productCost]*revenue[orderQuantity]</f>
        <v>57.75064307</v>
      </c>
    </row>
    <row r="120" ht="15.75" customHeight="1">
      <c r="A120" s="6">
        <v>10292.0</v>
      </c>
      <c r="B120" s="7" t="s">
        <v>48</v>
      </c>
      <c r="C120" s="24" t="str">
        <f>VLOOKUP(revenue[customerID],customers[],2,FALSE)</f>
        <v>Tradição Hipermercados</v>
      </c>
      <c r="D120" s="24" t="str">
        <f>VLOOKUP(revenue[customerID],customers[],6,FALSE)</f>
        <v>Sao Paulo</v>
      </c>
      <c r="E120" s="24" t="str">
        <f>VLOOKUP(revenue[customerID],customers[],9,FALSE)</f>
        <v>Brazil</v>
      </c>
      <c r="F120" s="24">
        <v>44801.0</v>
      </c>
      <c r="G120" s="6">
        <v>20.0</v>
      </c>
      <c r="H120" s="9" t="str">
        <f>VLOOKUP(revenue[productID],products[],2,FALSE)</f>
        <v>Sir Rodney's Marmalade</v>
      </c>
      <c r="I120" s="9" t="str">
        <f>VLOOKUP(revenue[productID],products[],12,FALSE)</f>
        <v>Confections</v>
      </c>
      <c r="J120" s="9">
        <f>VLOOKUP(revenue[productID],products[],IF(YEAR(revenue[orderDate])=2022,8,IF(YEAR(revenue[orderDate])=2023,9,IF(YEAR(revenue[orderDate])=2024,10,NA))),FALSE)</f>
        <v>45.94247438</v>
      </c>
      <c r="K120" s="9">
        <v>64.8</v>
      </c>
      <c r="L120" s="25">
        <f>(revenue[orderPrice]-revenue[productCost])/revenue[productCost]</f>
        <v>0.4104595121</v>
      </c>
      <c r="M120" s="10">
        <v>20.0</v>
      </c>
      <c r="N120" s="25">
        <v>0.0</v>
      </c>
      <c r="O120" s="9">
        <f>revenue[orderPrice]*revenue[orderQuantity]</f>
        <v>1296</v>
      </c>
      <c r="P120" s="9">
        <f>revenue[orderTotal]*(1-revenue[discountApllied])</f>
        <v>1296</v>
      </c>
      <c r="Q120" s="9">
        <f>revenue[revenue]-(revenue[productCost]*revenue[orderQuantity])</f>
        <v>377.1505124</v>
      </c>
      <c r="R120" s="25">
        <f>IFERROR(revenue[profit]/revenue[revenue], 0)</f>
        <v>0.2910111978</v>
      </c>
      <c r="S120" s="9">
        <f>revenue[productCost]*revenue[orderQuantity]</f>
        <v>918.8494876</v>
      </c>
    </row>
    <row r="121" ht="15.75" customHeight="1">
      <c r="A121" s="6">
        <v>10293.0</v>
      </c>
      <c r="B121" s="7" t="s">
        <v>38</v>
      </c>
      <c r="C121" s="24" t="str">
        <f>VLOOKUP(revenue[customerID],customers[],2,FALSE)</f>
        <v>Tortuga Restaurante</v>
      </c>
      <c r="D121" s="24" t="str">
        <f>VLOOKUP(revenue[customerID],customers[],6,FALSE)</f>
        <v>México D.F.</v>
      </c>
      <c r="E121" s="24" t="str">
        <f>VLOOKUP(revenue[customerID],customers[],9,FALSE)</f>
        <v>Mexico</v>
      </c>
      <c r="F121" s="24">
        <v>44802.0</v>
      </c>
      <c r="G121" s="6">
        <v>18.0</v>
      </c>
      <c r="H121" s="9" t="str">
        <f>VLOOKUP(revenue[productID],products[],2,FALSE)</f>
        <v>Carnarvon Tigers</v>
      </c>
      <c r="I121" s="9" t="str">
        <f>VLOOKUP(revenue[productID],products[],12,FALSE)</f>
        <v>Seafood</v>
      </c>
      <c r="J121" s="9">
        <f>VLOOKUP(revenue[productID],products[],IF(YEAR(revenue[orderDate])=2022,8,IF(YEAR(revenue[orderDate])=2023,9,IF(YEAR(revenue[orderDate])=2024,10,NA))),FALSE)</f>
        <v>32.46379819</v>
      </c>
      <c r="K121" s="9">
        <v>50.0</v>
      </c>
      <c r="L121" s="25">
        <f>(revenue[orderPrice]-revenue[productCost])/revenue[productCost]</f>
        <v>0.5401771445</v>
      </c>
      <c r="M121" s="10">
        <v>12.0</v>
      </c>
      <c r="N121" s="25">
        <v>0.0</v>
      </c>
      <c r="O121" s="9">
        <f>revenue[orderPrice]*revenue[orderQuantity]</f>
        <v>600</v>
      </c>
      <c r="P121" s="9">
        <f>revenue[orderTotal]*(1-revenue[discountApllied])</f>
        <v>600</v>
      </c>
      <c r="Q121" s="9">
        <f>revenue[revenue]-(revenue[productCost]*revenue[orderQuantity])</f>
        <v>210.4344217</v>
      </c>
      <c r="R121" s="25">
        <f>IFERROR(revenue[profit]/revenue[revenue], 0)</f>
        <v>0.3507240361</v>
      </c>
      <c r="S121" s="9">
        <f>revenue[productCost]*revenue[orderQuantity]</f>
        <v>389.5655783</v>
      </c>
    </row>
    <row r="122" ht="15.75" customHeight="1">
      <c r="A122" s="6">
        <v>10293.0</v>
      </c>
      <c r="B122" s="7" t="s">
        <v>38</v>
      </c>
      <c r="C122" s="24" t="str">
        <f>VLOOKUP(revenue[customerID],customers[],2,FALSE)</f>
        <v>Tortuga Restaurante</v>
      </c>
      <c r="D122" s="24" t="str">
        <f>VLOOKUP(revenue[customerID],customers[],6,FALSE)</f>
        <v>México D.F.</v>
      </c>
      <c r="E122" s="24" t="str">
        <f>VLOOKUP(revenue[customerID],customers[],9,FALSE)</f>
        <v>Mexico</v>
      </c>
      <c r="F122" s="24">
        <v>44802.0</v>
      </c>
      <c r="G122" s="6">
        <v>24.0</v>
      </c>
      <c r="H122" s="9" t="str">
        <f>VLOOKUP(revenue[productID],products[],2,FALSE)</f>
        <v>Brigadeiros Maravilhosos da Lilian</v>
      </c>
      <c r="I122" s="9" t="str">
        <f>VLOOKUP(revenue[productID],products[],12,FALSE)</f>
        <v>Confections</v>
      </c>
      <c r="J122" s="9">
        <f>VLOOKUP(revenue[productID],products[],IF(YEAR(revenue[orderDate])=2022,8,IF(YEAR(revenue[orderDate])=2023,9,IF(YEAR(revenue[orderDate])=2024,10,NA))),FALSE)</f>
        <v>2.68117246</v>
      </c>
      <c r="K122" s="9">
        <v>3.6</v>
      </c>
      <c r="L122" s="25">
        <f>(revenue[orderPrice]-revenue[productCost])/revenue[productCost]</f>
        <v>0.3426961727</v>
      </c>
      <c r="M122" s="10">
        <v>10.0</v>
      </c>
      <c r="N122" s="25">
        <v>0.0</v>
      </c>
      <c r="O122" s="9">
        <f>revenue[orderPrice]*revenue[orderQuantity]</f>
        <v>36</v>
      </c>
      <c r="P122" s="9">
        <f>revenue[orderTotal]*(1-revenue[discountApllied])</f>
        <v>36</v>
      </c>
      <c r="Q122" s="9">
        <f>revenue[revenue]-(revenue[productCost]*revenue[orderQuantity])</f>
        <v>9.188275403</v>
      </c>
      <c r="R122" s="25">
        <f>IFERROR(revenue[profit]/revenue[revenue], 0)</f>
        <v>0.2552298723</v>
      </c>
      <c r="S122" s="9">
        <f>revenue[productCost]*revenue[orderQuantity]</f>
        <v>26.8117246</v>
      </c>
    </row>
    <row r="123" ht="15.75" customHeight="1">
      <c r="A123" s="6">
        <v>10293.0</v>
      </c>
      <c r="B123" s="7" t="s">
        <v>38</v>
      </c>
      <c r="C123" s="24" t="str">
        <f>VLOOKUP(revenue[customerID],customers[],2,FALSE)</f>
        <v>Tortuga Restaurante</v>
      </c>
      <c r="D123" s="24" t="str">
        <f>VLOOKUP(revenue[customerID],customers[],6,FALSE)</f>
        <v>México D.F.</v>
      </c>
      <c r="E123" s="24" t="str">
        <f>VLOOKUP(revenue[customerID],customers[],9,FALSE)</f>
        <v>Mexico</v>
      </c>
      <c r="F123" s="24">
        <v>44802.0</v>
      </c>
      <c r="G123" s="6">
        <v>63.0</v>
      </c>
      <c r="H123" s="9" t="str">
        <f>VLOOKUP(revenue[productID],products[],2,FALSE)</f>
        <v>Vegie-spread</v>
      </c>
      <c r="I123" s="9" t="str">
        <f>VLOOKUP(revenue[productID],products[],12,FALSE)</f>
        <v>Condiments</v>
      </c>
      <c r="J123" s="9">
        <f>VLOOKUP(revenue[productID],products[],IF(YEAR(revenue[orderDate])=2022,8,IF(YEAR(revenue[orderDate])=2023,9,IF(YEAR(revenue[orderDate])=2024,10,NA))),FALSE)</f>
        <v>23.81372293</v>
      </c>
      <c r="K123" s="9">
        <v>35.1</v>
      </c>
      <c r="L123" s="25">
        <f>(revenue[orderPrice]-revenue[productCost])/revenue[productCost]</f>
        <v>0.4739400513</v>
      </c>
      <c r="M123" s="10">
        <v>5.0</v>
      </c>
      <c r="N123" s="25">
        <v>0.0</v>
      </c>
      <c r="O123" s="9">
        <f>revenue[orderPrice]*revenue[orderQuantity]</f>
        <v>175.5</v>
      </c>
      <c r="P123" s="9">
        <f>revenue[orderTotal]*(1-revenue[discountApllied])</f>
        <v>175.5</v>
      </c>
      <c r="Q123" s="9">
        <f>revenue[revenue]-(revenue[productCost]*revenue[orderQuantity])</f>
        <v>56.43138534</v>
      </c>
      <c r="R123" s="25">
        <f>IFERROR(revenue[profit]/revenue[revenue], 0)</f>
        <v>0.3215463552</v>
      </c>
      <c r="S123" s="9">
        <f>revenue[productCost]*revenue[orderQuantity]</f>
        <v>119.0686147</v>
      </c>
    </row>
    <row r="124" ht="15.75" customHeight="1">
      <c r="A124" s="6">
        <v>10293.0</v>
      </c>
      <c r="B124" s="7" t="s">
        <v>38</v>
      </c>
      <c r="C124" s="24" t="str">
        <f>VLOOKUP(revenue[customerID],customers[],2,FALSE)</f>
        <v>Tortuga Restaurante</v>
      </c>
      <c r="D124" s="24" t="str">
        <f>VLOOKUP(revenue[customerID],customers[],6,FALSE)</f>
        <v>México D.F.</v>
      </c>
      <c r="E124" s="24" t="str">
        <f>VLOOKUP(revenue[customerID],customers[],9,FALSE)</f>
        <v>Mexico</v>
      </c>
      <c r="F124" s="24">
        <v>44802.0</v>
      </c>
      <c r="G124" s="6">
        <v>75.0</v>
      </c>
      <c r="H124" s="9" t="str">
        <f>VLOOKUP(revenue[productID],products[],2,FALSE)</f>
        <v>Rhönbräu Klosterbier</v>
      </c>
      <c r="I124" s="9" t="str">
        <f>VLOOKUP(revenue[productID],products[],12,FALSE)</f>
        <v>Beverages</v>
      </c>
      <c r="J124" s="9">
        <f>VLOOKUP(revenue[productID],products[],IF(YEAR(revenue[orderDate])=2022,8,IF(YEAR(revenue[orderDate])=2023,9,IF(YEAR(revenue[orderDate])=2024,10,NA))),FALSE)</f>
        <v>4.269033823</v>
      </c>
      <c r="K124" s="9">
        <v>6.2</v>
      </c>
      <c r="L124" s="25">
        <f>(revenue[orderPrice]-revenue[productCost])/revenue[productCost]</f>
        <v>0.4523192499</v>
      </c>
      <c r="M124" s="10">
        <v>6.0</v>
      </c>
      <c r="N124" s="25">
        <v>0.0</v>
      </c>
      <c r="O124" s="9">
        <f>revenue[orderPrice]*revenue[orderQuantity]</f>
        <v>37.2</v>
      </c>
      <c r="P124" s="9">
        <f>revenue[orderTotal]*(1-revenue[discountApllied])</f>
        <v>37.2</v>
      </c>
      <c r="Q124" s="9">
        <f>revenue[revenue]-(revenue[productCost]*revenue[orderQuantity])</f>
        <v>11.58579706</v>
      </c>
      <c r="R124" s="25">
        <f>IFERROR(revenue[profit]/revenue[revenue], 0)</f>
        <v>0.3114461575</v>
      </c>
      <c r="S124" s="9">
        <f>revenue[productCost]*revenue[orderQuantity]</f>
        <v>25.61420294</v>
      </c>
    </row>
    <row r="125" ht="15.75" customHeight="1">
      <c r="A125" s="6">
        <v>10294.0</v>
      </c>
      <c r="B125" s="7" t="s">
        <v>28</v>
      </c>
      <c r="C125" s="24" t="str">
        <f>VLOOKUP(revenue[customerID],customers[],2,FALSE)</f>
        <v>Rattlesnake Canyon Grocery</v>
      </c>
      <c r="D125" s="24" t="str">
        <f>VLOOKUP(revenue[customerID],customers[],6,FALSE)</f>
        <v>Albuquerque</v>
      </c>
      <c r="E125" s="24" t="str">
        <f>VLOOKUP(revenue[customerID],customers[],9,FALSE)</f>
        <v>USA</v>
      </c>
      <c r="F125" s="24">
        <v>44803.0</v>
      </c>
      <c r="G125" s="6">
        <v>1.0</v>
      </c>
      <c r="H125" s="9" t="str">
        <f>VLOOKUP(revenue[productID],products[],2,FALSE)</f>
        <v>Chai</v>
      </c>
      <c r="I125" s="9" t="str">
        <f>VLOOKUP(revenue[productID],products[],12,FALSE)</f>
        <v>Beverages</v>
      </c>
      <c r="J125" s="9">
        <f>VLOOKUP(revenue[productID],products[],IF(YEAR(revenue[orderDate])=2022,8,IF(YEAR(revenue[orderDate])=2023,9,IF(YEAR(revenue[orderDate])=2024,10,NA))),FALSE)</f>
        <v>9.574207217</v>
      </c>
      <c r="K125" s="9">
        <v>14.4</v>
      </c>
      <c r="L125" s="25">
        <f>(revenue[orderPrice]-revenue[productCost])/revenue[productCost]</f>
        <v>0.5040409795</v>
      </c>
      <c r="M125" s="10">
        <v>18.0</v>
      </c>
      <c r="N125" s="25">
        <v>0.0</v>
      </c>
      <c r="O125" s="9">
        <f>revenue[orderPrice]*revenue[orderQuantity]</f>
        <v>259.2</v>
      </c>
      <c r="P125" s="9">
        <f>revenue[orderTotal]*(1-revenue[discountApllied])</f>
        <v>259.2</v>
      </c>
      <c r="Q125" s="9">
        <f>revenue[revenue]-(revenue[productCost]*revenue[orderQuantity])</f>
        <v>86.8642701</v>
      </c>
      <c r="R125" s="25">
        <f>IFERROR(revenue[profit]/revenue[revenue], 0)</f>
        <v>0.3351244989</v>
      </c>
      <c r="S125" s="9">
        <f>revenue[productCost]*revenue[orderQuantity]</f>
        <v>172.3357299</v>
      </c>
    </row>
    <row r="126" ht="15.75" customHeight="1">
      <c r="A126" s="6">
        <v>10294.0</v>
      </c>
      <c r="B126" s="7" t="s">
        <v>28</v>
      </c>
      <c r="C126" s="24" t="str">
        <f>VLOOKUP(revenue[customerID],customers[],2,FALSE)</f>
        <v>Rattlesnake Canyon Grocery</v>
      </c>
      <c r="D126" s="24" t="str">
        <f>VLOOKUP(revenue[customerID],customers[],6,FALSE)</f>
        <v>Albuquerque</v>
      </c>
      <c r="E126" s="24" t="str">
        <f>VLOOKUP(revenue[customerID],customers[],9,FALSE)</f>
        <v>USA</v>
      </c>
      <c r="F126" s="24">
        <v>44803.0</v>
      </c>
      <c r="G126" s="6">
        <v>17.0</v>
      </c>
      <c r="H126" s="9" t="str">
        <f>VLOOKUP(revenue[productID],products[],2,FALSE)</f>
        <v>Alice Mutton</v>
      </c>
      <c r="I126" s="9" t="str">
        <f>VLOOKUP(revenue[productID],products[],12,FALSE)</f>
        <v>Meat/Poultry</v>
      </c>
      <c r="J126" s="9">
        <f>VLOOKUP(revenue[productID],products[],IF(YEAR(revenue[orderDate])=2022,8,IF(YEAR(revenue[orderDate])=2023,9,IF(YEAR(revenue[orderDate])=2024,10,NA))),FALSE)</f>
        <v>21.25377406</v>
      </c>
      <c r="K126" s="9">
        <v>31.2</v>
      </c>
      <c r="L126" s="25">
        <f>(revenue[orderPrice]-revenue[productCost])/revenue[productCost]</f>
        <v>0.4679745775</v>
      </c>
      <c r="M126" s="10">
        <v>15.0</v>
      </c>
      <c r="N126" s="25">
        <v>0.0</v>
      </c>
      <c r="O126" s="9">
        <f>revenue[orderPrice]*revenue[orderQuantity]</f>
        <v>468</v>
      </c>
      <c r="P126" s="9">
        <f>revenue[orderTotal]*(1-revenue[discountApllied])</f>
        <v>468</v>
      </c>
      <c r="Q126" s="9">
        <f>revenue[revenue]-(revenue[productCost]*revenue[orderQuantity])</f>
        <v>149.193389</v>
      </c>
      <c r="R126" s="25">
        <f>IFERROR(revenue[profit]/revenue[revenue], 0)</f>
        <v>0.3187892928</v>
      </c>
      <c r="S126" s="9">
        <f>revenue[productCost]*revenue[orderQuantity]</f>
        <v>318.806611</v>
      </c>
    </row>
    <row r="127" ht="15.75" customHeight="1">
      <c r="A127" s="6">
        <v>10294.0</v>
      </c>
      <c r="B127" s="7" t="s">
        <v>28</v>
      </c>
      <c r="C127" s="24" t="str">
        <f>VLOOKUP(revenue[customerID],customers[],2,FALSE)</f>
        <v>Rattlesnake Canyon Grocery</v>
      </c>
      <c r="D127" s="24" t="str">
        <f>VLOOKUP(revenue[customerID],customers[],6,FALSE)</f>
        <v>Albuquerque</v>
      </c>
      <c r="E127" s="24" t="str">
        <f>VLOOKUP(revenue[customerID],customers[],9,FALSE)</f>
        <v>USA</v>
      </c>
      <c r="F127" s="24">
        <v>44803.0</v>
      </c>
      <c r="G127" s="6">
        <v>43.0</v>
      </c>
      <c r="H127" s="9" t="str">
        <f>VLOOKUP(revenue[productID],products[],2,FALSE)</f>
        <v>Ipoh Coffee</v>
      </c>
      <c r="I127" s="9" t="str">
        <f>VLOOKUP(revenue[productID],products[],12,FALSE)</f>
        <v>Beverages</v>
      </c>
      <c r="J127" s="9">
        <f>VLOOKUP(revenue[productID],products[],IF(YEAR(revenue[orderDate])=2022,8,IF(YEAR(revenue[orderDate])=2023,9,IF(YEAR(revenue[orderDate])=2024,10,NA))),FALSE)</f>
        <v>25.79491918</v>
      </c>
      <c r="K127" s="9">
        <v>36.8</v>
      </c>
      <c r="L127" s="25">
        <f>(revenue[orderPrice]-revenue[productCost])/revenue[productCost]</f>
        <v>0.4266375384</v>
      </c>
      <c r="M127" s="10">
        <v>15.0</v>
      </c>
      <c r="N127" s="25">
        <v>0.0</v>
      </c>
      <c r="O127" s="9">
        <f>revenue[orderPrice]*revenue[orderQuantity]</f>
        <v>552</v>
      </c>
      <c r="P127" s="9">
        <f>revenue[orderTotal]*(1-revenue[discountApllied])</f>
        <v>552</v>
      </c>
      <c r="Q127" s="9">
        <f>revenue[revenue]-(revenue[productCost]*revenue[orderQuantity])</f>
        <v>165.0762123</v>
      </c>
      <c r="R127" s="25">
        <f>IFERROR(revenue[profit]/revenue[revenue], 0)</f>
        <v>0.2990511093</v>
      </c>
      <c r="S127" s="9">
        <f>revenue[productCost]*revenue[orderQuantity]</f>
        <v>386.9237877</v>
      </c>
    </row>
    <row r="128" ht="15.75" customHeight="1">
      <c r="A128" s="6">
        <v>10294.0</v>
      </c>
      <c r="B128" s="7" t="s">
        <v>28</v>
      </c>
      <c r="C128" s="24" t="str">
        <f>VLOOKUP(revenue[customerID],customers[],2,FALSE)</f>
        <v>Rattlesnake Canyon Grocery</v>
      </c>
      <c r="D128" s="24" t="str">
        <f>VLOOKUP(revenue[customerID],customers[],6,FALSE)</f>
        <v>Albuquerque</v>
      </c>
      <c r="E128" s="24" t="str">
        <f>VLOOKUP(revenue[customerID],customers[],9,FALSE)</f>
        <v>USA</v>
      </c>
      <c r="F128" s="24">
        <v>44803.0</v>
      </c>
      <c r="G128" s="6">
        <v>60.0</v>
      </c>
      <c r="H128" s="9" t="str">
        <f>VLOOKUP(revenue[productID],products[],2,FALSE)</f>
        <v>Camembert Pierrot</v>
      </c>
      <c r="I128" s="9" t="str">
        <f>VLOOKUP(revenue[productID],products[],12,FALSE)</f>
        <v>Dairy Products</v>
      </c>
      <c r="J128" s="9">
        <f>VLOOKUP(revenue[productID],products[],IF(YEAR(revenue[orderDate])=2022,8,IF(YEAR(revenue[orderDate])=2023,9,IF(YEAR(revenue[orderDate])=2024,10,NA))),FALSE)</f>
        <v>17.66563493</v>
      </c>
      <c r="K128" s="9">
        <v>27.2</v>
      </c>
      <c r="L128" s="25">
        <f>(revenue[orderPrice]-revenue[productCost])/revenue[productCost]</f>
        <v>0.5397125612</v>
      </c>
      <c r="M128" s="10">
        <v>21.0</v>
      </c>
      <c r="N128" s="25">
        <v>0.0</v>
      </c>
      <c r="O128" s="9">
        <f>revenue[orderPrice]*revenue[orderQuantity]</f>
        <v>571.2</v>
      </c>
      <c r="P128" s="9">
        <f>revenue[orderTotal]*(1-revenue[discountApllied])</f>
        <v>571.2</v>
      </c>
      <c r="Q128" s="9">
        <f>revenue[revenue]-(revenue[productCost]*revenue[orderQuantity])</f>
        <v>200.2216665</v>
      </c>
      <c r="R128" s="25">
        <f>IFERROR(revenue[profit]/revenue[revenue], 0)</f>
        <v>0.3505281276</v>
      </c>
      <c r="S128" s="9">
        <f>revenue[productCost]*revenue[orderQuantity]</f>
        <v>370.9783335</v>
      </c>
    </row>
    <row r="129" ht="15.75" customHeight="1">
      <c r="A129" s="6">
        <v>10294.0</v>
      </c>
      <c r="B129" s="7" t="s">
        <v>28</v>
      </c>
      <c r="C129" s="24" t="str">
        <f>VLOOKUP(revenue[customerID],customers[],2,FALSE)</f>
        <v>Rattlesnake Canyon Grocery</v>
      </c>
      <c r="D129" s="24" t="str">
        <f>VLOOKUP(revenue[customerID],customers[],6,FALSE)</f>
        <v>Albuquerque</v>
      </c>
      <c r="E129" s="24" t="str">
        <f>VLOOKUP(revenue[customerID],customers[],9,FALSE)</f>
        <v>USA</v>
      </c>
      <c r="F129" s="24">
        <v>44803.0</v>
      </c>
      <c r="G129" s="6">
        <v>75.0</v>
      </c>
      <c r="H129" s="9" t="str">
        <f>VLOOKUP(revenue[productID],products[],2,FALSE)</f>
        <v>Rhönbräu Klosterbier</v>
      </c>
      <c r="I129" s="9" t="str">
        <f>VLOOKUP(revenue[productID],products[],12,FALSE)</f>
        <v>Beverages</v>
      </c>
      <c r="J129" s="9">
        <f>VLOOKUP(revenue[productID],products[],IF(YEAR(revenue[orderDate])=2022,8,IF(YEAR(revenue[orderDate])=2023,9,IF(YEAR(revenue[orderDate])=2024,10,NA))),FALSE)</f>
        <v>4.269033823</v>
      </c>
      <c r="K129" s="9">
        <v>6.2</v>
      </c>
      <c r="L129" s="25">
        <f>(revenue[orderPrice]-revenue[productCost])/revenue[productCost]</f>
        <v>0.4523192499</v>
      </c>
      <c r="M129" s="10">
        <v>6.0</v>
      </c>
      <c r="N129" s="25">
        <v>0.0</v>
      </c>
      <c r="O129" s="9">
        <f>revenue[orderPrice]*revenue[orderQuantity]</f>
        <v>37.2</v>
      </c>
      <c r="P129" s="9">
        <f>revenue[orderTotal]*(1-revenue[discountApllied])</f>
        <v>37.2</v>
      </c>
      <c r="Q129" s="9">
        <f>revenue[revenue]-(revenue[productCost]*revenue[orderQuantity])</f>
        <v>11.58579706</v>
      </c>
      <c r="R129" s="25">
        <f>IFERROR(revenue[profit]/revenue[revenue], 0)</f>
        <v>0.3114461575</v>
      </c>
      <c r="S129" s="9">
        <f>revenue[productCost]*revenue[orderQuantity]</f>
        <v>25.61420294</v>
      </c>
    </row>
    <row r="130" ht="15.75" customHeight="1">
      <c r="A130" s="6">
        <v>10295.0</v>
      </c>
      <c r="B130" s="7" t="s">
        <v>12</v>
      </c>
      <c r="C130" s="24" t="str">
        <f>VLOOKUP(revenue[customerID],customers[],2,FALSE)</f>
        <v>Vins et alcools Chevalier</v>
      </c>
      <c r="D130" s="24" t="str">
        <f>VLOOKUP(revenue[customerID],customers[],6,FALSE)</f>
        <v>Reims</v>
      </c>
      <c r="E130" s="24" t="str">
        <f>VLOOKUP(revenue[customerID],customers[],9,FALSE)</f>
        <v>France</v>
      </c>
      <c r="F130" s="24">
        <v>44806.0</v>
      </c>
      <c r="G130" s="6">
        <v>56.0</v>
      </c>
      <c r="H130" s="9" t="str">
        <f>VLOOKUP(revenue[productID],products[],2,FALSE)</f>
        <v>Gnocchi di nonna Alice</v>
      </c>
      <c r="I130" s="9" t="str">
        <f>VLOOKUP(revenue[productID],products[],12,FALSE)</f>
        <v>Grains/Cereals</v>
      </c>
      <c r="J130" s="9">
        <f>VLOOKUP(revenue[productID],products[],IF(YEAR(revenue[orderDate])=2022,8,IF(YEAR(revenue[orderDate])=2023,9,IF(YEAR(revenue[orderDate])=2024,10,NA))),FALSE)</f>
        <v>21.5040056</v>
      </c>
      <c r="K130" s="9">
        <v>30.4</v>
      </c>
      <c r="L130" s="25">
        <f>(revenue[orderPrice]-revenue[productCost])/revenue[productCost]</f>
        <v>0.4136901081</v>
      </c>
      <c r="M130" s="10">
        <v>4.0</v>
      </c>
      <c r="N130" s="25">
        <v>0.0</v>
      </c>
      <c r="O130" s="9">
        <f>revenue[orderPrice]*revenue[orderQuantity]</f>
        <v>121.6</v>
      </c>
      <c r="P130" s="9">
        <f>revenue[orderTotal]*(1-revenue[discountApllied])</f>
        <v>121.6</v>
      </c>
      <c r="Q130" s="9">
        <f>revenue[revenue]-(revenue[productCost]*revenue[orderQuantity])</f>
        <v>35.5839776</v>
      </c>
      <c r="R130" s="25">
        <f>IFERROR(revenue[profit]/revenue[revenue], 0)</f>
        <v>0.2926313948</v>
      </c>
      <c r="S130" s="9">
        <f>revenue[productCost]*revenue[orderQuantity]</f>
        <v>86.0160224</v>
      </c>
    </row>
    <row r="131" ht="15.75" customHeight="1">
      <c r="A131" s="6">
        <v>10296.0</v>
      </c>
      <c r="B131" s="7" t="s">
        <v>43</v>
      </c>
      <c r="C131" s="24" t="str">
        <f>VLOOKUP(revenue[customerID],customers[],2,FALSE)</f>
        <v>LILA-Supermercado</v>
      </c>
      <c r="D131" s="24" t="str">
        <f>VLOOKUP(revenue[customerID],customers[],6,FALSE)</f>
        <v>Barquisimeto</v>
      </c>
      <c r="E131" s="24" t="str">
        <f>VLOOKUP(revenue[customerID],customers[],9,FALSE)</f>
        <v>Venezuela</v>
      </c>
      <c r="F131" s="24">
        <v>44807.0</v>
      </c>
      <c r="G131" s="6">
        <v>11.0</v>
      </c>
      <c r="H131" s="9" t="str">
        <f>VLOOKUP(revenue[productID],products[],2,FALSE)</f>
        <v>Queso Cabrales</v>
      </c>
      <c r="I131" s="9" t="str">
        <f>VLOOKUP(revenue[productID],products[],12,FALSE)</f>
        <v>Dairy Products</v>
      </c>
      <c r="J131" s="9">
        <f>VLOOKUP(revenue[productID],products[],IF(YEAR(revenue[orderDate])=2022,8,IF(YEAR(revenue[orderDate])=2023,9,IF(YEAR(revenue[orderDate])=2024,10,NA))),FALSE)</f>
        <v>10.58231097</v>
      </c>
      <c r="K131" s="9">
        <v>16.8</v>
      </c>
      <c r="L131" s="25">
        <f>(revenue[orderPrice]-revenue[productCost])/revenue[productCost]</f>
        <v>0.5875549344</v>
      </c>
      <c r="M131" s="10">
        <v>12.0</v>
      </c>
      <c r="N131" s="25">
        <v>0.0</v>
      </c>
      <c r="O131" s="9">
        <f>revenue[orderPrice]*revenue[orderQuantity]</f>
        <v>201.6</v>
      </c>
      <c r="P131" s="9">
        <f>revenue[orderTotal]*(1-revenue[discountApllied])</f>
        <v>201.6</v>
      </c>
      <c r="Q131" s="9">
        <f>revenue[revenue]-(revenue[productCost]*revenue[orderQuantity])</f>
        <v>74.61226834</v>
      </c>
      <c r="R131" s="25">
        <f>IFERROR(revenue[profit]/revenue[revenue], 0)</f>
        <v>0.3701005374</v>
      </c>
      <c r="S131" s="9">
        <f>revenue[productCost]*revenue[orderQuantity]</f>
        <v>126.9877317</v>
      </c>
    </row>
    <row r="132" ht="15.75" customHeight="1">
      <c r="A132" s="6">
        <v>10296.0</v>
      </c>
      <c r="B132" s="7" t="s">
        <v>43</v>
      </c>
      <c r="C132" s="24" t="str">
        <f>VLOOKUP(revenue[customerID],customers[],2,FALSE)</f>
        <v>LILA-Supermercado</v>
      </c>
      <c r="D132" s="24" t="str">
        <f>VLOOKUP(revenue[customerID],customers[],6,FALSE)</f>
        <v>Barquisimeto</v>
      </c>
      <c r="E132" s="24" t="str">
        <f>VLOOKUP(revenue[customerID],customers[],9,FALSE)</f>
        <v>Venezuela</v>
      </c>
      <c r="F132" s="24">
        <v>44807.0</v>
      </c>
      <c r="G132" s="6">
        <v>16.0</v>
      </c>
      <c r="H132" s="9" t="str">
        <f>VLOOKUP(revenue[productID],products[],2,FALSE)</f>
        <v>Pavlova</v>
      </c>
      <c r="I132" s="9" t="str">
        <f>VLOOKUP(revenue[productID],products[],12,FALSE)</f>
        <v>Confections</v>
      </c>
      <c r="J132" s="9">
        <f>VLOOKUP(revenue[productID],products[],IF(YEAR(revenue[orderDate])=2022,8,IF(YEAR(revenue[orderDate])=2023,9,IF(YEAR(revenue[orderDate])=2024,10,NA))),FALSE)</f>
        <v>9.80658008</v>
      </c>
      <c r="K132" s="9">
        <v>13.9</v>
      </c>
      <c r="L132" s="25">
        <f>(revenue[orderPrice]-revenue[productCost])/revenue[productCost]</f>
        <v>0.417415642</v>
      </c>
      <c r="M132" s="10">
        <v>30.0</v>
      </c>
      <c r="N132" s="25">
        <v>0.0</v>
      </c>
      <c r="O132" s="9">
        <f>revenue[orderPrice]*revenue[orderQuantity]</f>
        <v>417</v>
      </c>
      <c r="P132" s="9">
        <f>revenue[orderTotal]*(1-revenue[discountApllied])</f>
        <v>417</v>
      </c>
      <c r="Q132" s="9">
        <f>revenue[revenue]-(revenue[productCost]*revenue[orderQuantity])</f>
        <v>122.8025976</v>
      </c>
      <c r="R132" s="25">
        <f>IFERROR(revenue[profit]/revenue[revenue], 0)</f>
        <v>0.2944906417</v>
      </c>
      <c r="S132" s="9">
        <f>revenue[productCost]*revenue[orderQuantity]</f>
        <v>294.1974024</v>
      </c>
    </row>
    <row r="133" ht="15.75" customHeight="1">
      <c r="A133" s="6">
        <v>10296.0</v>
      </c>
      <c r="B133" s="7" t="s">
        <v>43</v>
      </c>
      <c r="C133" s="24" t="str">
        <f>VLOOKUP(revenue[customerID],customers[],2,FALSE)</f>
        <v>LILA-Supermercado</v>
      </c>
      <c r="D133" s="24" t="str">
        <f>VLOOKUP(revenue[customerID],customers[],6,FALSE)</f>
        <v>Barquisimeto</v>
      </c>
      <c r="E133" s="24" t="str">
        <f>VLOOKUP(revenue[customerID],customers[],9,FALSE)</f>
        <v>Venezuela</v>
      </c>
      <c r="F133" s="24">
        <v>44807.0</v>
      </c>
      <c r="G133" s="6">
        <v>69.0</v>
      </c>
      <c r="H133" s="9" t="str">
        <f>VLOOKUP(revenue[productID],products[],2,FALSE)</f>
        <v>Gudbrandsdalsost</v>
      </c>
      <c r="I133" s="9" t="str">
        <f>VLOOKUP(revenue[productID],products[],12,FALSE)</f>
        <v>Dairy Products</v>
      </c>
      <c r="J133" s="9">
        <f>VLOOKUP(revenue[productID],products[],IF(YEAR(revenue[orderDate])=2022,8,IF(YEAR(revenue[orderDate])=2023,9,IF(YEAR(revenue[orderDate])=2024,10,NA))),FALSE)</f>
        <v>20.71216183</v>
      </c>
      <c r="K133" s="9">
        <v>28.8</v>
      </c>
      <c r="L133" s="25">
        <f>(revenue[orderPrice]-revenue[productCost])/revenue[productCost]</f>
        <v>0.3904873977</v>
      </c>
      <c r="M133" s="10">
        <v>15.0</v>
      </c>
      <c r="N133" s="25">
        <v>0.0</v>
      </c>
      <c r="O133" s="9">
        <f>revenue[orderPrice]*revenue[orderQuantity]</f>
        <v>432</v>
      </c>
      <c r="P133" s="9">
        <f>revenue[orderTotal]*(1-revenue[discountApllied])</f>
        <v>432</v>
      </c>
      <c r="Q133" s="9">
        <f>revenue[revenue]-(revenue[productCost]*revenue[orderQuantity])</f>
        <v>121.3175726</v>
      </c>
      <c r="R133" s="25">
        <f>IFERROR(revenue[profit]/revenue[revenue], 0)</f>
        <v>0.2808277143</v>
      </c>
      <c r="S133" s="9">
        <f>revenue[productCost]*revenue[orderQuantity]</f>
        <v>310.6824274</v>
      </c>
    </row>
    <row r="134" ht="15.75" customHeight="1">
      <c r="A134" s="6">
        <v>10297.0</v>
      </c>
      <c r="B134" s="7" t="s">
        <v>30</v>
      </c>
      <c r="C134" s="24" t="str">
        <f>VLOOKUP(revenue[customerID],customers[],2,FALSE)</f>
        <v>Blondesddsl père et fils</v>
      </c>
      <c r="D134" s="24" t="str">
        <f>VLOOKUP(revenue[customerID],customers[],6,FALSE)</f>
        <v>Strasbourg</v>
      </c>
      <c r="E134" s="24" t="str">
        <f>VLOOKUP(revenue[customerID],customers[],9,FALSE)</f>
        <v>France</v>
      </c>
      <c r="F134" s="24">
        <v>44808.0</v>
      </c>
      <c r="G134" s="6">
        <v>39.0</v>
      </c>
      <c r="H134" s="9" t="str">
        <f>VLOOKUP(revenue[productID],products[],2,FALSE)</f>
        <v>Chartreuse verte</v>
      </c>
      <c r="I134" s="9" t="str">
        <f>VLOOKUP(revenue[productID],products[],12,FALSE)</f>
        <v>Beverages</v>
      </c>
      <c r="J134" s="9">
        <f>VLOOKUP(revenue[productID],products[],IF(YEAR(revenue[orderDate])=2022,8,IF(YEAR(revenue[orderDate])=2023,9,IF(YEAR(revenue[orderDate])=2024,10,NA))),FALSE)</f>
        <v>9.743517226</v>
      </c>
      <c r="K134" s="9">
        <v>14.4</v>
      </c>
      <c r="L134" s="25">
        <f>(revenue[orderPrice]-revenue[productCost])/revenue[productCost]</f>
        <v>0.4779057362</v>
      </c>
      <c r="M134" s="10">
        <v>60.0</v>
      </c>
      <c r="N134" s="25">
        <v>0.0</v>
      </c>
      <c r="O134" s="9">
        <f>revenue[orderPrice]*revenue[orderQuantity]</f>
        <v>864</v>
      </c>
      <c r="P134" s="9">
        <f>revenue[orderTotal]*(1-revenue[discountApllied])</f>
        <v>864</v>
      </c>
      <c r="Q134" s="9">
        <f>revenue[revenue]-(revenue[productCost]*revenue[orderQuantity])</f>
        <v>279.3889664</v>
      </c>
      <c r="R134" s="25">
        <f>IFERROR(revenue[profit]/revenue[revenue], 0)</f>
        <v>0.3233668593</v>
      </c>
      <c r="S134" s="9">
        <f>revenue[productCost]*revenue[orderQuantity]</f>
        <v>584.6110336</v>
      </c>
    </row>
    <row r="135" ht="15.75" customHeight="1">
      <c r="A135" s="6">
        <v>10297.0</v>
      </c>
      <c r="B135" s="7" t="s">
        <v>30</v>
      </c>
      <c r="C135" s="24" t="str">
        <f>VLOOKUP(revenue[customerID],customers[],2,FALSE)</f>
        <v>Blondesddsl père et fils</v>
      </c>
      <c r="D135" s="24" t="str">
        <f>VLOOKUP(revenue[customerID],customers[],6,FALSE)</f>
        <v>Strasbourg</v>
      </c>
      <c r="E135" s="24" t="str">
        <f>VLOOKUP(revenue[customerID],customers[],9,FALSE)</f>
        <v>France</v>
      </c>
      <c r="F135" s="24">
        <v>44808.0</v>
      </c>
      <c r="G135" s="6">
        <v>72.0</v>
      </c>
      <c r="H135" s="9" t="str">
        <f>VLOOKUP(revenue[productID],products[],2,FALSE)</f>
        <v>Mozzarella di Giovanni</v>
      </c>
      <c r="I135" s="9" t="str">
        <f>VLOOKUP(revenue[productID],products[],12,FALSE)</f>
        <v>Dairy Products</v>
      </c>
      <c r="J135" s="9">
        <f>VLOOKUP(revenue[productID],products[],IF(YEAR(revenue[orderDate])=2022,8,IF(YEAR(revenue[orderDate])=2023,9,IF(YEAR(revenue[orderDate])=2024,10,NA))),FALSE)</f>
        <v>19.20829334</v>
      </c>
      <c r="K135" s="9">
        <v>27.8</v>
      </c>
      <c r="L135" s="25">
        <f>(revenue[orderPrice]-revenue[productCost])/revenue[productCost]</f>
        <v>0.4472915167</v>
      </c>
      <c r="M135" s="10">
        <v>20.0</v>
      </c>
      <c r="N135" s="25">
        <v>0.0</v>
      </c>
      <c r="O135" s="9">
        <f>revenue[orderPrice]*revenue[orderQuantity]</f>
        <v>556</v>
      </c>
      <c r="P135" s="9">
        <f>revenue[orderTotal]*(1-revenue[discountApllied])</f>
        <v>556</v>
      </c>
      <c r="Q135" s="9">
        <f>revenue[revenue]-(revenue[productCost]*revenue[orderQuantity])</f>
        <v>171.8341332</v>
      </c>
      <c r="R135" s="25">
        <f>IFERROR(revenue[profit]/revenue[revenue], 0)</f>
        <v>0.3090541965</v>
      </c>
      <c r="S135" s="9">
        <f>revenue[productCost]*revenue[orderQuantity]</f>
        <v>384.1658668</v>
      </c>
    </row>
    <row r="136" ht="15.75" customHeight="1">
      <c r="A136" s="6">
        <v>10298.0</v>
      </c>
      <c r="B136" s="7" t="s">
        <v>49</v>
      </c>
      <c r="C136" s="24" t="str">
        <f>VLOOKUP(revenue[customerID],customers[],2,FALSE)</f>
        <v>Hungry Owl All-Night Grocers</v>
      </c>
      <c r="D136" s="24" t="str">
        <f>VLOOKUP(revenue[customerID],customers[],6,FALSE)</f>
        <v>Cork</v>
      </c>
      <c r="E136" s="24" t="str">
        <f>VLOOKUP(revenue[customerID],customers[],9,FALSE)</f>
        <v>Ireland</v>
      </c>
      <c r="F136" s="24">
        <v>44809.0</v>
      </c>
      <c r="G136" s="6">
        <v>2.0</v>
      </c>
      <c r="H136" s="9" t="str">
        <f>VLOOKUP(revenue[productID],products[],2,FALSE)</f>
        <v>Chang</v>
      </c>
      <c r="I136" s="9" t="str">
        <f>VLOOKUP(revenue[productID],products[],12,FALSE)</f>
        <v>Beverages</v>
      </c>
      <c r="J136" s="9">
        <f>VLOOKUP(revenue[productID],products[],IF(YEAR(revenue[orderDate])=2022,8,IF(YEAR(revenue[orderDate])=2023,9,IF(YEAR(revenue[orderDate])=2024,10,NA))),FALSE)</f>
        <v>9.768746876</v>
      </c>
      <c r="K136" s="9">
        <v>15.2</v>
      </c>
      <c r="L136" s="25">
        <f>(revenue[orderPrice]-revenue[productCost])/revenue[productCost]</f>
        <v>0.5559825833</v>
      </c>
      <c r="M136" s="10">
        <v>40.0</v>
      </c>
      <c r="N136" s="25">
        <v>0.0</v>
      </c>
      <c r="O136" s="9">
        <f>revenue[orderPrice]*revenue[orderQuantity]</f>
        <v>608</v>
      </c>
      <c r="P136" s="9">
        <f>revenue[orderTotal]*(1-revenue[discountApllied])</f>
        <v>608</v>
      </c>
      <c r="Q136" s="9">
        <f>revenue[revenue]-(revenue[productCost]*revenue[orderQuantity])</f>
        <v>217.2501249</v>
      </c>
      <c r="R136" s="25">
        <f>IFERROR(revenue[profit]/revenue[revenue], 0)</f>
        <v>0.3573192844</v>
      </c>
      <c r="S136" s="9">
        <f>revenue[productCost]*revenue[orderQuantity]</f>
        <v>390.7498751</v>
      </c>
    </row>
    <row r="137" ht="15.75" customHeight="1">
      <c r="A137" s="6">
        <v>10298.0</v>
      </c>
      <c r="B137" s="7" t="s">
        <v>49</v>
      </c>
      <c r="C137" s="24" t="str">
        <f>VLOOKUP(revenue[customerID],customers[],2,FALSE)</f>
        <v>Hungry Owl All-Night Grocers</v>
      </c>
      <c r="D137" s="24" t="str">
        <f>VLOOKUP(revenue[customerID],customers[],6,FALSE)</f>
        <v>Cork</v>
      </c>
      <c r="E137" s="24" t="str">
        <f>VLOOKUP(revenue[customerID],customers[],9,FALSE)</f>
        <v>Ireland</v>
      </c>
      <c r="F137" s="24">
        <v>44809.0</v>
      </c>
      <c r="G137" s="6">
        <v>36.0</v>
      </c>
      <c r="H137" s="9" t="str">
        <f>VLOOKUP(revenue[productID],products[],2,FALSE)</f>
        <v>Inlagd Sill</v>
      </c>
      <c r="I137" s="9" t="str">
        <f>VLOOKUP(revenue[productID],products[],12,FALSE)</f>
        <v>Seafood</v>
      </c>
      <c r="J137" s="9">
        <f>VLOOKUP(revenue[productID],products[],IF(YEAR(revenue[orderDate])=2022,8,IF(YEAR(revenue[orderDate])=2023,9,IF(YEAR(revenue[orderDate])=2024,10,NA))),FALSE)</f>
        <v>9.768238429</v>
      </c>
      <c r="K137" s="9">
        <v>15.2</v>
      </c>
      <c r="L137" s="25">
        <f>(revenue[orderPrice]-revenue[productCost])/revenue[productCost]</f>
        <v>0.5560635738</v>
      </c>
      <c r="M137" s="10">
        <v>40.0</v>
      </c>
      <c r="N137" s="25">
        <v>0.25</v>
      </c>
      <c r="O137" s="9">
        <f>revenue[orderPrice]*revenue[orderQuantity]</f>
        <v>608</v>
      </c>
      <c r="P137" s="9">
        <f>revenue[orderTotal]*(1-revenue[discountApllied])</f>
        <v>456</v>
      </c>
      <c r="Q137" s="9">
        <f>revenue[revenue]-(revenue[productCost]*revenue[orderQuantity])</f>
        <v>65.27046283</v>
      </c>
      <c r="R137" s="25">
        <f>IFERROR(revenue[profit]/revenue[revenue], 0)</f>
        <v>0.1431369799</v>
      </c>
      <c r="S137" s="9">
        <f>revenue[productCost]*revenue[orderQuantity]</f>
        <v>390.7295372</v>
      </c>
    </row>
    <row r="138" ht="15.75" customHeight="1">
      <c r="A138" s="6">
        <v>10298.0</v>
      </c>
      <c r="B138" s="7" t="s">
        <v>49</v>
      </c>
      <c r="C138" s="24" t="str">
        <f>VLOOKUP(revenue[customerID],customers[],2,FALSE)</f>
        <v>Hungry Owl All-Night Grocers</v>
      </c>
      <c r="D138" s="24" t="str">
        <f>VLOOKUP(revenue[customerID],customers[],6,FALSE)</f>
        <v>Cork</v>
      </c>
      <c r="E138" s="24" t="str">
        <f>VLOOKUP(revenue[customerID],customers[],9,FALSE)</f>
        <v>Ireland</v>
      </c>
      <c r="F138" s="24">
        <v>44809.0</v>
      </c>
      <c r="G138" s="6">
        <v>59.0</v>
      </c>
      <c r="H138" s="9" t="str">
        <f>VLOOKUP(revenue[productID],products[],2,FALSE)</f>
        <v>Raclette Courdavault</v>
      </c>
      <c r="I138" s="9" t="str">
        <f>VLOOKUP(revenue[productID],products[],12,FALSE)</f>
        <v>Dairy Products</v>
      </c>
      <c r="J138" s="9">
        <f>VLOOKUP(revenue[productID],products[],IF(YEAR(revenue[orderDate])=2022,8,IF(YEAR(revenue[orderDate])=2023,9,IF(YEAR(revenue[orderDate])=2024,10,NA))),FALSE)</f>
        <v>29.20351951</v>
      </c>
      <c r="K138" s="9">
        <v>44.0</v>
      </c>
      <c r="L138" s="25">
        <f>(revenue[orderPrice]-revenue[productCost])/revenue[productCost]</f>
        <v>0.5066677147</v>
      </c>
      <c r="M138" s="10">
        <v>30.0</v>
      </c>
      <c r="N138" s="25">
        <v>0.25</v>
      </c>
      <c r="O138" s="9">
        <f>revenue[orderPrice]*revenue[orderQuantity]</f>
        <v>1320</v>
      </c>
      <c r="P138" s="9">
        <f>revenue[orderTotal]*(1-revenue[discountApllied])</f>
        <v>990</v>
      </c>
      <c r="Q138" s="9">
        <f>revenue[revenue]-(revenue[productCost]*revenue[orderQuantity])</f>
        <v>113.8944147</v>
      </c>
      <c r="R138" s="25">
        <f>IFERROR(revenue[profit]/revenue[revenue], 0)</f>
        <v>0.1150448634</v>
      </c>
      <c r="S138" s="9">
        <f>revenue[productCost]*revenue[orderQuantity]</f>
        <v>876.1055853</v>
      </c>
    </row>
    <row r="139" ht="15.75" customHeight="1">
      <c r="A139" s="6">
        <v>10298.0</v>
      </c>
      <c r="B139" s="7" t="s">
        <v>49</v>
      </c>
      <c r="C139" s="24" t="str">
        <f>VLOOKUP(revenue[customerID],customers[],2,FALSE)</f>
        <v>Hungry Owl All-Night Grocers</v>
      </c>
      <c r="D139" s="24" t="str">
        <f>VLOOKUP(revenue[customerID],customers[],6,FALSE)</f>
        <v>Cork</v>
      </c>
      <c r="E139" s="24" t="str">
        <f>VLOOKUP(revenue[customerID],customers[],9,FALSE)</f>
        <v>Ireland</v>
      </c>
      <c r="F139" s="24">
        <v>44809.0</v>
      </c>
      <c r="G139" s="6">
        <v>62.0</v>
      </c>
      <c r="H139" s="9" t="str">
        <f>VLOOKUP(revenue[productID],products[],2,FALSE)</f>
        <v>Tarte au sucre</v>
      </c>
      <c r="I139" s="9" t="str">
        <f>VLOOKUP(revenue[productID],products[],12,FALSE)</f>
        <v>Confections</v>
      </c>
      <c r="J139" s="9">
        <f>VLOOKUP(revenue[productID],products[],IF(YEAR(revenue[orderDate])=2022,8,IF(YEAR(revenue[orderDate])=2023,9,IF(YEAR(revenue[orderDate])=2024,10,NA))),FALSE)</f>
        <v>29.35963319</v>
      </c>
      <c r="K139" s="9">
        <v>39.4</v>
      </c>
      <c r="L139" s="25">
        <f>(revenue[orderPrice]-revenue[productCost])/revenue[productCost]</f>
        <v>0.3419786189</v>
      </c>
      <c r="M139" s="10">
        <v>15.0</v>
      </c>
      <c r="N139" s="25">
        <v>0.0</v>
      </c>
      <c r="O139" s="9">
        <f>revenue[orderPrice]*revenue[orderQuantity]</f>
        <v>591</v>
      </c>
      <c r="P139" s="9">
        <f>revenue[orderTotal]*(1-revenue[discountApllied])</f>
        <v>591</v>
      </c>
      <c r="Q139" s="9">
        <f>revenue[revenue]-(revenue[productCost]*revenue[orderQuantity])</f>
        <v>150.6055021</v>
      </c>
      <c r="R139" s="25">
        <f>IFERROR(revenue[profit]/revenue[revenue], 0)</f>
        <v>0.2548316449</v>
      </c>
      <c r="S139" s="9">
        <f>revenue[productCost]*revenue[orderQuantity]</f>
        <v>440.3944979</v>
      </c>
    </row>
    <row r="140" ht="15.75" customHeight="1">
      <c r="A140" s="6">
        <v>10299.0</v>
      </c>
      <c r="B140" s="7" t="s">
        <v>44</v>
      </c>
      <c r="C140" s="24" t="str">
        <f>VLOOKUP(revenue[customerID],customers[],2,FALSE)</f>
        <v>Ricardo Adocicados</v>
      </c>
      <c r="D140" s="24" t="str">
        <f>VLOOKUP(revenue[customerID],customers[],6,FALSE)</f>
        <v>Rio de Janeiro</v>
      </c>
      <c r="E140" s="24" t="str">
        <f>VLOOKUP(revenue[customerID],customers[],9,FALSE)</f>
        <v>Brazil</v>
      </c>
      <c r="F140" s="24">
        <v>44810.0</v>
      </c>
      <c r="G140" s="6">
        <v>19.0</v>
      </c>
      <c r="H140" s="9" t="str">
        <f>VLOOKUP(revenue[productID],products[],2,FALSE)</f>
        <v>Teatime Chocolate Biscuits</v>
      </c>
      <c r="I140" s="9" t="str">
        <f>VLOOKUP(revenue[productID],products[],12,FALSE)</f>
        <v>Confections</v>
      </c>
      <c r="J140" s="9">
        <f>VLOOKUP(revenue[productID],products[],IF(YEAR(revenue[orderDate])=2022,8,IF(YEAR(revenue[orderDate])=2023,9,IF(YEAR(revenue[orderDate])=2024,10,NA))),FALSE)</f>
        <v>5.58120093</v>
      </c>
      <c r="K140" s="9">
        <v>7.3</v>
      </c>
      <c r="L140" s="25">
        <f>(revenue[orderPrice]-revenue[productCost])/revenue[productCost]</f>
        <v>0.3079622274</v>
      </c>
      <c r="M140" s="10">
        <v>15.0</v>
      </c>
      <c r="N140" s="25">
        <v>0.0</v>
      </c>
      <c r="O140" s="9">
        <f>revenue[orderPrice]*revenue[orderQuantity]</f>
        <v>109.5</v>
      </c>
      <c r="P140" s="9">
        <f>revenue[orderTotal]*(1-revenue[discountApllied])</f>
        <v>109.5</v>
      </c>
      <c r="Q140" s="9">
        <f>revenue[revenue]-(revenue[productCost]*revenue[orderQuantity])</f>
        <v>25.78198605</v>
      </c>
      <c r="R140" s="25">
        <f>IFERROR(revenue[profit]/revenue[revenue], 0)</f>
        <v>0.2354519274</v>
      </c>
      <c r="S140" s="9">
        <f>revenue[productCost]*revenue[orderQuantity]</f>
        <v>83.71801395</v>
      </c>
    </row>
    <row r="141" ht="15.75" customHeight="1">
      <c r="A141" s="6">
        <v>10299.0</v>
      </c>
      <c r="B141" s="7" t="s">
        <v>44</v>
      </c>
      <c r="C141" s="24" t="str">
        <f>VLOOKUP(revenue[customerID],customers[],2,FALSE)</f>
        <v>Ricardo Adocicados</v>
      </c>
      <c r="D141" s="24" t="str">
        <f>VLOOKUP(revenue[customerID],customers[],6,FALSE)</f>
        <v>Rio de Janeiro</v>
      </c>
      <c r="E141" s="24" t="str">
        <f>VLOOKUP(revenue[customerID],customers[],9,FALSE)</f>
        <v>Brazil</v>
      </c>
      <c r="F141" s="24">
        <v>44810.0</v>
      </c>
      <c r="G141" s="6">
        <v>70.0</v>
      </c>
      <c r="H141" s="9" t="str">
        <f>VLOOKUP(revenue[productID],products[],2,FALSE)</f>
        <v>Outback Lager</v>
      </c>
      <c r="I141" s="9" t="str">
        <f>VLOOKUP(revenue[productID],products[],12,FALSE)</f>
        <v>Beverages</v>
      </c>
      <c r="J141" s="9">
        <f>VLOOKUP(revenue[productID],products[],IF(YEAR(revenue[orderDate])=2022,8,IF(YEAR(revenue[orderDate])=2023,9,IF(YEAR(revenue[orderDate])=2024,10,NA))),FALSE)</f>
        <v>8.037520944</v>
      </c>
      <c r="K141" s="9">
        <v>12.0</v>
      </c>
      <c r="L141" s="25">
        <f>(revenue[orderPrice]-revenue[productCost])/revenue[productCost]</f>
        <v>0.4929976648</v>
      </c>
      <c r="M141" s="10">
        <v>20.0</v>
      </c>
      <c r="N141" s="25">
        <v>0.0</v>
      </c>
      <c r="O141" s="9">
        <f>revenue[orderPrice]*revenue[orderQuantity]</f>
        <v>240</v>
      </c>
      <c r="P141" s="9">
        <f>revenue[orderTotal]*(1-revenue[discountApllied])</f>
        <v>240</v>
      </c>
      <c r="Q141" s="9">
        <f>revenue[revenue]-(revenue[productCost]*revenue[orderQuantity])</f>
        <v>79.24958112</v>
      </c>
      <c r="R141" s="25">
        <f>IFERROR(revenue[profit]/revenue[revenue], 0)</f>
        <v>0.330206588</v>
      </c>
      <c r="S141" s="9">
        <f>revenue[productCost]*revenue[orderQuantity]</f>
        <v>160.7504189</v>
      </c>
    </row>
    <row r="142" ht="15.75" customHeight="1">
      <c r="A142" s="6">
        <v>10300.0</v>
      </c>
      <c r="B142" s="7" t="s">
        <v>37</v>
      </c>
      <c r="C142" s="24" t="str">
        <f>VLOOKUP(revenue[customerID],customers[],2,FALSE)</f>
        <v>Magazzini Alimentari Riuniti</v>
      </c>
      <c r="D142" s="24" t="str">
        <f>VLOOKUP(revenue[customerID],customers[],6,FALSE)</f>
        <v>Bergamo</v>
      </c>
      <c r="E142" s="24" t="str">
        <f>VLOOKUP(revenue[customerID],customers[],9,FALSE)</f>
        <v>Italy</v>
      </c>
      <c r="F142" s="24">
        <v>44813.0</v>
      </c>
      <c r="G142" s="6">
        <v>66.0</v>
      </c>
      <c r="H142" s="9" t="str">
        <f>VLOOKUP(revenue[productID],products[],2,FALSE)</f>
        <v>Louisiana Hot Spiced Okra</v>
      </c>
      <c r="I142" s="9" t="str">
        <f>VLOOKUP(revenue[productID],products[],12,FALSE)</f>
        <v>Condiments</v>
      </c>
      <c r="J142" s="9">
        <f>VLOOKUP(revenue[productID],products[],IF(YEAR(revenue[orderDate])=2022,8,IF(YEAR(revenue[orderDate])=2023,9,IF(YEAR(revenue[orderDate])=2024,10,NA))),FALSE)</f>
        <v>9.717342771</v>
      </c>
      <c r="K142" s="9">
        <v>13.6</v>
      </c>
      <c r="L142" s="25">
        <f>(revenue[orderPrice]-revenue[productCost])/revenue[productCost]</f>
        <v>0.3995595627</v>
      </c>
      <c r="M142" s="10">
        <v>30.0</v>
      </c>
      <c r="N142" s="25">
        <v>0.0</v>
      </c>
      <c r="O142" s="9">
        <f>revenue[orderPrice]*revenue[orderQuantity]</f>
        <v>408</v>
      </c>
      <c r="P142" s="9">
        <f>revenue[orderTotal]*(1-revenue[discountApllied])</f>
        <v>408</v>
      </c>
      <c r="Q142" s="9">
        <f>revenue[revenue]-(revenue[productCost]*revenue[orderQuantity])</f>
        <v>116.4797169</v>
      </c>
      <c r="R142" s="25">
        <f>IFERROR(revenue[profit]/revenue[revenue], 0)</f>
        <v>0.2854895021</v>
      </c>
      <c r="S142" s="9">
        <f>revenue[productCost]*revenue[orderQuantity]</f>
        <v>291.5202831</v>
      </c>
    </row>
    <row r="143" ht="15.75" customHeight="1">
      <c r="A143" s="6">
        <v>10300.0</v>
      </c>
      <c r="B143" s="7" t="s">
        <v>37</v>
      </c>
      <c r="C143" s="24" t="str">
        <f>VLOOKUP(revenue[customerID],customers[],2,FALSE)</f>
        <v>Magazzini Alimentari Riuniti</v>
      </c>
      <c r="D143" s="24" t="str">
        <f>VLOOKUP(revenue[customerID],customers[],6,FALSE)</f>
        <v>Bergamo</v>
      </c>
      <c r="E143" s="24" t="str">
        <f>VLOOKUP(revenue[customerID],customers[],9,FALSE)</f>
        <v>Italy</v>
      </c>
      <c r="F143" s="24">
        <v>44813.0</v>
      </c>
      <c r="G143" s="6">
        <v>68.0</v>
      </c>
      <c r="H143" s="9" t="str">
        <f>VLOOKUP(revenue[productID],products[],2,FALSE)</f>
        <v>Scottish Longbreads</v>
      </c>
      <c r="I143" s="9" t="str">
        <f>VLOOKUP(revenue[productID],products[],12,FALSE)</f>
        <v>Confections</v>
      </c>
      <c r="J143" s="9">
        <f>VLOOKUP(revenue[productID],products[],IF(YEAR(revenue[orderDate])=2022,8,IF(YEAR(revenue[orderDate])=2023,9,IF(YEAR(revenue[orderDate])=2024,10,NA))),FALSE)</f>
        <v>7.316656529</v>
      </c>
      <c r="K143" s="9">
        <v>10.0</v>
      </c>
      <c r="L143" s="25">
        <f>(revenue[orderPrice]-revenue[productCost])/revenue[productCost]</f>
        <v>0.3667444906</v>
      </c>
      <c r="M143" s="10">
        <v>20.0</v>
      </c>
      <c r="N143" s="25">
        <v>0.0</v>
      </c>
      <c r="O143" s="9">
        <f>revenue[orderPrice]*revenue[orderQuantity]</f>
        <v>200</v>
      </c>
      <c r="P143" s="9">
        <f>revenue[orderTotal]*(1-revenue[discountApllied])</f>
        <v>200</v>
      </c>
      <c r="Q143" s="9">
        <f>revenue[revenue]-(revenue[productCost]*revenue[orderQuantity])</f>
        <v>53.66686943</v>
      </c>
      <c r="R143" s="25">
        <f>IFERROR(revenue[profit]/revenue[revenue], 0)</f>
        <v>0.2683343471</v>
      </c>
      <c r="S143" s="9">
        <f>revenue[productCost]*revenue[orderQuantity]</f>
        <v>146.3331306</v>
      </c>
    </row>
    <row r="144" ht="15.75" customHeight="1">
      <c r="A144" s="6">
        <v>10301.0</v>
      </c>
      <c r="B144" s="7" t="s">
        <v>50</v>
      </c>
      <c r="C144" s="24" t="str">
        <f>VLOOKUP(revenue[customerID],customers[],2,FALSE)</f>
        <v>Die Wandernde Kuh</v>
      </c>
      <c r="D144" s="24" t="str">
        <f>VLOOKUP(revenue[customerID],customers[],6,FALSE)</f>
        <v>Stuttgart</v>
      </c>
      <c r="E144" s="24" t="str">
        <f>VLOOKUP(revenue[customerID],customers[],9,FALSE)</f>
        <v>Germany</v>
      </c>
      <c r="F144" s="24">
        <v>44813.0</v>
      </c>
      <c r="G144" s="6">
        <v>40.0</v>
      </c>
      <c r="H144" s="9" t="str">
        <f>VLOOKUP(revenue[productID],products[],2,FALSE)</f>
        <v>Boston Crab Meat</v>
      </c>
      <c r="I144" s="9" t="str">
        <f>VLOOKUP(revenue[productID],products[],12,FALSE)</f>
        <v>Seafood</v>
      </c>
      <c r="J144" s="9">
        <f>VLOOKUP(revenue[productID],products[],IF(YEAR(revenue[orderDate])=2022,8,IF(YEAR(revenue[orderDate])=2023,9,IF(YEAR(revenue[orderDate])=2024,10,NA))),FALSE)</f>
        <v>9.680649108</v>
      </c>
      <c r="K144" s="9">
        <v>14.7</v>
      </c>
      <c r="L144" s="25">
        <f>(revenue[orderPrice]-revenue[productCost])/revenue[productCost]</f>
        <v>0.5184932162</v>
      </c>
      <c r="M144" s="10">
        <v>10.0</v>
      </c>
      <c r="N144" s="25">
        <v>0.0</v>
      </c>
      <c r="O144" s="9">
        <f>revenue[orderPrice]*revenue[orderQuantity]</f>
        <v>147</v>
      </c>
      <c r="P144" s="9">
        <f>revenue[orderTotal]*(1-revenue[discountApllied])</f>
        <v>147</v>
      </c>
      <c r="Q144" s="9">
        <f>revenue[revenue]-(revenue[productCost]*revenue[orderQuantity])</f>
        <v>50.19350892</v>
      </c>
      <c r="R144" s="25">
        <f>IFERROR(revenue[profit]/revenue[revenue], 0)</f>
        <v>0.3414524416</v>
      </c>
      <c r="S144" s="9">
        <f>revenue[productCost]*revenue[orderQuantity]</f>
        <v>96.80649108</v>
      </c>
    </row>
    <row r="145" ht="15.75" customHeight="1">
      <c r="A145" s="6">
        <v>10301.0</v>
      </c>
      <c r="B145" s="7" t="s">
        <v>50</v>
      </c>
      <c r="C145" s="24" t="str">
        <f>VLOOKUP(revenue[customerID],customers[],2,FALSE)</f>
        <v>Die Wandernde Kuh</v>
      </c>
      <c r="D145" s="24" t="str">
        <f>VLOOKUP(revenue[customerID],customers[],6,FALSE)</f>
        <v>Stuttgart</v>
      </c>
      <c r="E145" s="24" t="str">
        <f>VLOOKUP(revenue[customerID],customers[],9,FALSE)</f>
        <v>Germany</v>
      </c>
      <c r="F145" s="24">
        <v>44813.0</v>
      </c>
      <c r="G145" s="6">
        <v>56.0</v>
      </c>
      <c r="H145" s="9" t="str">
        <f>VLOOKUP(revenue[productID],products[],2,FALSE)</f>
        <v>Gnocchi di nonna Alice</v>
      </c>
      <c r="I145" s="9" t="str">
        <f>VLOOKUP(revenue[productID],products[],12,FALSE)</f>
        <v>Grains/Cereals</v>
      </c>
      <c r="J145" s="9">
        <f>VLOOKUP(revenue[productID],products[],IF(YEAR(revenue[orderDate])=2022,8,IF(YEAR(revenue[orderDate])=2023,9,IF(YEAR(revenue[orderDate])=2024,10,NA))),FALSE)</f>
        <v>21.5040056</v>
      </c>
      <c r="K145" s="9">
        <v>30.4</v>
      </c>
      <c r="L145" s="25">
        <f>(revenue[orderPrice]-revenue[productCost])/revenue[productCost]</f>
        <v>0.4136901081</v>
      </c>
      <c r="M145" s="10">
        <v>20.0</v>
      </c>
      <c r="N145" s="25">
        <v>0.0</v>
      </c>
      <c r="O145" s="9">
        <f>revenue[orderPrice]*revenue[orderQuantity]</f>
        <v>608</v>
      </c>
      <c r="P145" s="9">
        <f>revenue[orderTotal]*(1-revenue[discountApllied])</f>
        <v>608</v>
      </c>
      <c r="Q145" s="9">
        <f>revenue[revenue]-(revenue[productCost]*revenue[orderQuantity])</f>
        <v>177.919888</v>
      </c>
      <c r="R145" s="25">
        <f>IFERROR(revenue[profit]/revenue[revenue], 0)</f>
        <v>0.2926313948</v>
      </c>
      <c r="S145" s="9">
        <f>revenue[productCost]*revenue[orderQuantity]</f>
        <v>430.080112</v>
      </c>
    </row>
    <row r="146" ht="15.75" customHeight="1">
      <c r="A146" s="6">
        <v>10302.0</v>
      </c>
      <c r="B146" s="7" t="s">
        <v>19</v>
      </c>
      <c r="C146" s="24" t="str">
        <f>VLOOKUP(revenue[customerID],customers[],2,FALSE)</f>
        <v>Suprêmes délices</v>
      </c>
      <c r="D146" s="24" t="str">
        <f>VLOOKUP(revenue[customerID],customers[],6,FALSE)</f>
        <v>Charleroi</v>
      </c>
      <c r="E146" s="24" t="str">
        <f>VLOOKUP(revenue[customerID],customers[],9,FALSE)</f>
        <v>Belgium</v>
      </c>
      <c r="F146" s="24">
        <v>44814.0</v>
      </c>
      <c r="G146" s="6">
        <v>17.0</v>
      </c>
      <c r="H146" s="9" t="str">
        <f>VLOOKUP(revenue[productID],products[],2,FALSE)</f>
        <v>Alice Mutton</v>
      </c>
      <c r="I146" s="9" t="str">
        <f>VLOOKUP(revenue[productID],products[],12,FALSE)</f>
        <v>Meat/Poultry</v>
      </c>
      <c r="J146" s="9">
        <f>VLOOKUP(revenue[productID],products[],IF(YEAR(revenue[orderDate])=2022,8,IF(YEAR(revenue[orderDate])=2023,9,IF(YEAR(revenue[orderDate])=2024,10,NA))),FALSE)</f>
        <v>21.25377406</v>
      </c>
      <c r="K146" s="9">
        <v>31.2</v>
      </c>
      <c r="L146" s="25">
        <f>(revenue[orderPrice]-revenue[productCost])/revenue[productCost]</f>
        <v>0.4679745775</v>
      </c>
      <c r="M146" s="10">
        <v>40.0</v>
      </c>
      <c r="N146" s="25">
        <v>0.0</v>
      </c>
      <c r="O146" s="9">
        <f>revenue[orderPrice]*revenue[orderQuantity]</f>
        <v>1248</v>
      </c>
      <c r="P146" s="9">
        <f>revenue[orderTotal]*(1-revenue[discountApllied])</f>
        <v>1248</v>
      </c>
      <c r="Q146" s="9">
        <f>revenue[revenue]-(revenue[productCost]*revenue[orderQuantity])</f>
        <v>397.8490375</v>
      </c>
      <c r="R146" s="25">
        <f>IFERROR(revenue[profit]/revenue[revenue], 0)</f>
        <v>0.3187892928</v>
      </c>
      <c r="S146" s="9">
        <f>revenue[productCost]*revenue[orderQuantity]</f>
        <v>850.1509625</v>
      </c>
    </row>
    <row r="147" ht="15.75" customHeight="1">
      <c r="A147" s="6">
        <v>10302.0</v>
      </c>
      <c r="B147" s="7" t="s">
        <v>19</v>
      </c>
      <c r="C147" s="24" t="str">
        <f>VLOOKUP(revenue[customerID],customers[],2,FALSE)</f>
        <v>Suprêmes délices</v>
      </c>
      <c r="D147" s="24" t="str">
        <f>VLOOKUP(revenue[customerID],customers[],6,FALSE)</f>
        <v>Charleroi</v>
      </c>
      <c r="E147" s="24" t="str">
        <f>VLOOKUP(revenue[customerID],customers[],9,FALSE)</f>
        <v>Belgium</v>
      </c>
      <c r="F147" s="24">
        <v>44814.0</v>
      </c>
      <c r="G147" s="6">
        <v>28.0</v>
      </c>
      <c r="H147" s="9" t="str">
        <f>VLOOKUP(revenue[productID],products[],2,FALSE)</f>
        <v>Rössle Sauerkraut</v>
      </c>
      <c r="I147" s="9" t="str">
        <f>VLOOKUP(revenue[productID],products[],12,FALSE)</f>
        <v>Produce</v>
      </c>
      <c r="J147" s="9">
        <f>VLOOKUP(revenue[productID],products[],IF(YEAR(revenue[orderDate])=2022,8,IF(YEAR(revenue[orderDate])=2023,9,IF(YEAR(revenue[orderDate])=2024,10,NA))),FALSE)</f>
        <v>27.51992272</v>
      </c>
      <c r="K147" s="9">
        <v>36.4</v>
      </c>
      <c r="L147" s="25">
        <f>(revenue[orderPrice]-revenue[productCost])/revenue[productCost]</f>
        <v>0.3226781326</v>
      </c>
      <c r="M147" s="10">
        <v>28.0</v>
      </c>
      <c r="N147" s="25">
        <v>0.0</v>
      </c>
      <c r="O147" s="9">
        <f>revenue[orderPrice]*revenue[orderQuantity]</f>
        <v>1019.2</v>
      </c>
      <c r="P147" s="9">
        <f>revenue[orderTotal]*(1-revenue[discountApllied])</f>
        <v>1019.2</v>
      </c>
      <c r="Q147" s="9">
        <f>revenue[revenue]-(revenue[productCost]*revenue[orderQuantity])</f>
        <v>248.6421637</v>
      </c>
      <c r="R147" s="25">
        <f>IFERROR(revenue[profit]/revenue[revenue], 0)</f>
        <v>0.2439581669</v>
      </c>
      <c r="S147" s="9">
        <f>revenue[productCost]*revenue[orderQuantity]</f>
        <v>770.5578363</v>
      </c>
    </row>
    <row r="148" ht="15.75" customHeight="1">
      <c r="A148" s="6">
        <v>10302.0</v>
      </c>
      <c r="B148" s="7" t="s">
        <v>19</v>
      </c>
      <c r="C148" s="24" t="str">
        <f>VLOOKUP(revenue[customerID],customers[],2,FALSE)</f>
        <v>Suprêmes délices</v>
      </c>
      <c r="D148" s="24" t="str">
        <f>VLOOKUP(revenue[customerID],customers[],6,FALSE)</f>
        <v>Charleroi</v>
      </c>
      <c r="E148" s="24" t="str">
        <f>VLOOKUP(revenue[customerID],customers[],9,FALSE)</f>
        <v>Belgium</v>
      </c>
      <c r="F148" s="24">
        <v>44814.0</v>
      </c>
      <c r="G148" s="6">
        <v>43.0</v>
      </c>
      <c r="H148" s="9" t="str">
        <f>VLOOKUP(revenue[productID],products[],2,FALSE)</f>
        <v>Ipoh Coffee</v>
      </c>
      <c r="I148" s="9" t="str">
        <f>VLOOKUP(revenue[productID],products[],12,FALSE)</f>
        <v>Beverages</v>
      </c>
      <c r="J148" s="9">
        <f>VLOOKUP(revenue[productID],products[],IF(YEAR(revenue[orderDate])=2022,8,IF(YEAR(revenue[orderDate])=2023,9,IF(YEAR(revenue[orderDate])=2024,10,NA))),FALSE)</f>
        <v>25.79491918</v>
      </c>
      <c r="K148" s="9">
        <v>36.8</v>
      </c>
      <c r="L148" s="25">
        <f>(revenue[orderPrice]-revenue[productCost])/revenue[productCost]</f>
        <v>0.4266375384</v>
      </c>
      <c r="M148" s="10">
        <v>12.0</v>
      </c>
      <c r="N148" s="25">
        <v>0.0</v>
      </c>
      <c r="O148" s="9">
        <f>revenue[orderPrice]*revenue[orderQuantity]</f>
        <v>441.6</v>
      </c>
      <c r="P148" s="9">
        <f>revenue[orderTotal]*(1-revenue[discountApllied])</f>
        <v>441.6</v>
      </c>
      <c r="Q148" s="9">
        <f>revenue[revenue]-(revenue[productCost]*revenue[orderQuantity])</f>
        <v>132.0609699</v>
      </c>
      <c r="R148" s="25">
        <f>IFERROR(revenue[profit]/revenue[revenue], 0)</f>
        <v>0.2990511093</v>
      </c>
      <c r="S148" s="9">
        <f>revenue[productCost]*revenue[orderQuantity]</f>
        <v>309.5390301</v>
      </c>
    </row>
    <row r="149" ht="15.75" customHeight="1">
      <c r="A149" s="6">
        <v>10303.0</v>
      </c>
      <c r="B149" s="7" t="s">
        <v>51</v>
      </c>
      <c r="C149" s="24" t="str">
        <f>VLOOKUP(revenue[customerID],customers[],2,FALSE)</f>
        <v>Godos Cocina Típica</v>
      </c>
      <c r="D149" s="24" t="str">
        <f>VLOOKUP(revenue[customerID],customers[],6,FALSE)</f>
        <v>Sevilla</v>
      </c>
      <c r="E149" s="24" t="str">
        <f>VLOOKUP(revenue[customerID],customers[],9,FALSE)</f>
        <v>Spain</v>
      </c>
      <c r="F149" s="24">
        <v>44815.0</v>
      </c>
      <c r="G149" s="6">
        <v>40.0</v>
      </c>
      <c r="H149" s="9" t="str">
        <f>VLOOKUP(revenue[productID],products[],2,FALSE)</f>
        <v>Boston Crab Meat</v>
      </c>
      <c r="I149" s="9" t="str">
        <f>VLOOKUP(revenue[productID],products[],12,FALSE)</f>
        <v>Seafood</v>
      </c>
      <c r="J149" s="9">
        <f>VLOOKUP(revenue[productID],products[],IF(YEAR(revenue[orderDate])=2022,8,IF(YEAR(revenue[orderDate])=2023,9,IF(YEAR(revenue[orderDate])=2024,10,NA))),FALSE)</f>
        <v>9.680649108</v>
      </c>
      <c r="K149" s="9">
        <v>14.7</v>
      </c>
      <c r="L149" s="25">
        <f>(revenue[orderPrice]-revenue[productCost])/revenue[productCost]</f>
        <v>0.5184932162</v>
      </c>
      <c r="M149" s="10">
        <v>40.0</v>
      </c>
      <c r="N149" s="25">
        <v>0.1</v>
      </c>
      <c r="O149" s="9">
        <f>revenue[orderPrice]*revenue[orderQuantity]</f>
        <v>588</v>
      </c>
      <c r="P149" s="9">
        <f>revenue[orderTotal]*(1-revenue[discountApllied])</f>
        <v>529.2</v>
      </c>
      <c r="Q149" s="9">
        <f>revenue[revenue]-(revenue[productCost]*revenue[orderQuantity])</f>
        <v>141.9740357</v>
      </c>
      <c r="R149" s="25">
        <f>IFERROR(revenue[profit]/revenue[revenue], 0)</f>
        <v>0.2682804907</v>
      </c>
      <c r="S149" s="9">
        <f>revenue[productCost]*revenue[orderQuantity]</f>
        <v>387.2259643</v>
      </c>
    </row>
    <row r="150" ht="15.75" customHeight="1">
      <c r="A150" s="6">
        <v>10303.0</v>
      </c>
      <c r="B150" s="7" t="s">
        <v>51</v>
      </c>
      <c r="C150" s="24" t="str">
        <f>VLOOKUP(revenue[customerID],customers[],2,FALSE)</f>
        <v>Godos Cocina Típica</v>
      </c>
      <c r="D150" s="24" t="str">
        <f>VLOOKUP(revenue[customerID],customers[],6,FALSE)</f>
        <v>Sevilla</v>
      </c>
      <c r="E150" s="24" t="str">
        <f>VLOOKUP(revenue[customerID],customers[],9,FALSE)</f>
        <v>Spain</v>
      </c>
      <c r="F150" s="24">
        <v>44815.0</v>
      </c>
      <c r="G150" s="6">
        <v>65.0</v>
      </c>
      <c r="H150" s="9" t="str">
        <f>VLOOKUP(revenue[productID],products[],2,FALSE)</f>
        <v>Louisiana Fiery Hot Pepper Sauce</v>
      </c>
      <c r="I150" s="9" t="str">
        <f>VLOOKUP(revenue[productID],products[],12,FALSE)</f>
        <v>Condiments</v>
      </c>
      <c r="J150" s="9">
        <f>VLOOKUP(revenue[productID],products[],IF(YEAR(revenue[orderDate])=2022,8,IF(YEAR(revenue[orderDate])=2023,9,IF(YEAR(revenue[orderDate])=2024,10,NA))),FALSE)</f>
        <v>11.17410204</v>
      </c>
      <c r="K150" s="9">
        <v>16.8</v>
      </c>
      <c r="L150" s="25">
        <f>(revenue[orderPrice]-revenue[productCost])/revenue[productCost]</f>
        <v>0.503476515</v>
      </c>
      <c r="M150" s="10">
        <v>30.0</v>
      </c>
      <c r="N150" s="25">
        <v>0.1</v>
      </c>
      <c r="O150" s="9">
        <f>revenue[orderPrice]*revenue[orderQuantity]</f>
        <v>504</v>
      </c>
      <c r="P150" s="9">
        <f>revenue[orderTotal]*(1-revenue[discountApllied])</f>
        <v>453.6</v>
      </c>
      <c r="Q150" s="9">
        <f>revenue[revenue]-(revenue[productCost]*revenue[orderQuantity])</f>
        <v>118.3769387</v>
      </c>
      <c r="R150" s="25">
        <f>IFERROR(revenue[profit]/revenue[revenue], 0)</f>
        <v>0.260972087</v>
      </c>
      <c r="S150" s="9">
        <f>revenue[productCost]*revenue[orderQuantity]</f>
        <v>335.2230613</v>
      </c>
    </row>
    <row r="151" ht="15.75" customHeight="1">
      <c r="A151" s="6">
        <v>10303.0</v>
      </c>
      <c r="B151" s="7" t="s">
        <v>51</v>
      </c>
      <c r="C151" s="24" t="str">
        <f>VLOOKUP(revenue[customerID],customers[],2,FALSE)</f>
        <v>Godos Cocina Típica</v>
      </c>
      <c r="D151" s="24" t="str">
        <f>VLOOKUP(revenue[customerID],customers[],6,FALSE)</f>
        <v>Sevilla</v>
      </c>
      <c r="E151" s="24" t="str">
        <f>VLOOKUP(revenue[customerID],customers[],9,FALSE)</f>
        <v>Spain</v>
      </c>
      <c r="F151" s="24">
        <v>44815.0</v>
      </c>
      <c r="G151" s="6">
        <v>68.0</v>
      </c>
      <c r="H151" s="9" t="str">
        <f>VLOOKUP(revenue[productID],products[],2,FALSE)</f>
        <v>Scottish Longbreads</v>
      </c>
      <c r="I151" s="9" t="str">
        <f>VLOOKUP(revenue[productID],products[],12,FALSE)</f>
        <v>Confections</v>
      </c>
      <c r="J151" s="9">
        <f>VLOOKUP(revenue[productID],products[],IF(YEAR(revenue[orderDate])=2022,8,IF(YEAR(revenue[orderDate])=2023,9,IF(YEAR(revenue[orderDate])=2024,10,NA))),FALSE)</f>
        <v>7.316656529</v>
      </c>
      <c r="K151" s="9">
        <v>10.0</v>
      </c>
      <c r="L151" s="25">
        <f>(revenue[orderPrice]-revenue[productCost])/revenue[productCost]</f>
        <v>0.3667444906</v>
      </c>
      <c r="M151" s="10">
        <v>15.0</v>
      </c>
      <c r="N151" s="25">
        <v>0.1</v>
      </c>
      <c r="O151" s="9">
        <f>revenue[orderPrice]*revenue[orderQuantity]</f>
        <v>150</v>
      </c>
      <c r="P151" s="9">
        <f>revenue[orderTotal]*(1-revenue[discountApllied])</f>
        <v>135</v>
      </c>
      <c r="Q151" s="9">
        <f>revenue[revenue]-(revenue[productCost]*revenue[orderQuantity])</f>
        <v>25.25015207</v>
      </c>
      <c r="R151" s="25">
        <f>IFERROR(revenue[profit]/revenue[revenue], 0)</f>
        <v>0.1870381635</v>
      </c>
      <c r="S151" s="9">
        <f>revenue[productCost]*revenue[orderQuantity]</f>
        <v>109.7498479</v>
      </c>
    </row>
    <row r="152" ht="15.75" customHeight="1">
      <c r="A152" s="6">
        <v>10304.0</v>
      </c>
      <c r="B152" s="7" t="s">
        <v>38</v>
      </c>
      <c r="C152" s="24" t="str">
        <f>VLOOKUP(revenue[customerID],customers[],2,FALSE)</f>
        <v>Tortuga Restaurante</v>
      </c>
      <c r="D152" s="24" t="str">
        <f>VLOOKUP(revenue[customerID],customers[],6,FALSE)</f>
        <v>México D.F.</v>
      </c>
      <c r="E152" s="24" t="str">
        <f>VLOOKUP(revenue[customerID],customers[],9,FALSE)</f>
        <v>Mexico</v>
      </c>
      <c r="F152" s="24">
        <v>44816.0</v>
      </c>
      <c r="G152" s="6">
        <v>49.0</v>
      </c>
      <c r="H152" s="9" t="str">
        <f>VLOOKUP(revenue[productID],products[],2,FALSE)</f>
        <v>Maxilaku</v>
      </c>
      <c r="I152" s="9" t="str">
        <f>VLOOKUP(revenue[productID],products[],12,FALSE)</f>
        <v>Confections</v>
      </c>
      <c r="J152" s="9">
        <f>VLOOKUP(revenue[productID],products[],IF(YEAR(revenue[orderDate])=2022,8,IF(YEAR(revenue[orderDate])=2023,9,IF(YEAR(revenue[orderDate])=2024,10,NA))),FALSE)</f>
        <v>12.56663579</v>
      </c>
      <c r="K152" s="9">
        <v>16.0</v>
      </c>
      <c r="L152" s="25">
        <f>(revenue[orderPrice]-revenue[productCost])/revenue[productCost]</f>
        <v>0.2732126779</v>
      </c>
      <c r="M152" s="10">
        <v>30.0</v>
      </c>
      <c r="N152" s="25">
        <v>0.0</v>
      </c>
      <c r="O152" s="9">
        <f>revenue[orderPrice]*revenue[orderQuantity]</f>
        <v>480</v>
      </c>
      <c r="P152" s="9">
        <f>revenue[orderTotal]*(1-revenue[discountApllied])</f>
        <v>480</v>
      </c>
      <c r="Q152" s="9">
        <f>revenue[revenue]-(revenue[productCost]*revenue[orderQuantity])</f>
        <v>103.0009264</v>
      </c>
      <c r="R152" s="25">
        <f>IFERROR(revenue[profit]/revenue[revenue], 0)</f>
        <v>0.2145852634</v>
      </c>
      <c r="S152" s="9">
        <f>revenue[productCost]*revenue[orderQuantity]</f>
        <v>376.9990736</v>
      </c>
    </row>
    <row r="153" ht="15.75" customHeight="1">
      <c r="A153" s="6">
        <v>10304.0</v>
      </c>
      <c r="B153" s="7" t="s">
        <v>38</v>
      </c>
      <c r="C153" s="24" t="str">
        <f>VLOOKUP(revenue[customerID],customers[],2,FALSE)</f>
        <v>Tortuga Restaurante</v>
      </c>
      <c r="D153" s="24" t="str">
        <f>VLOOKUP(revenue[customerID],customers[],6,FALSE)</f>
        <v>México D.F.</v>
      </c>
      <c r="E153" s="24" t="str">
        <f>VLOOKUP(revenue[customerID],customers[],9,FALSE)</f>
        <v>Mexico</v>
      </c>
      <c r="F153" s="24">
        <v>44816.0</v>
      </c>
      <c r="G153" s="6">
        <v>59.0</v>
      </c>
      <c r="H153" s="9" t="str">
        <f>VLOOKUP(revenue[productID],products[],2,FALSE)</f>
        <v>Raclette Courdavault</v>
      </c>
      <c r="I153" s="9" t="str">
        <f>VLOOKUP(revenue[productID],products[],12,FALSE)</f>
        <v>Dairy Products</v>
      </c>
      <c r="J153" s="9">
        <f>VLOOKUP(revenue[productID],products[],IF(YEAR(revenue[orderDate])=2022,8,IF(YEAR(revenue[orderDate])=2023,9,IF(YEAR(revenue[orderDate])=2024,10,NA))),FALSE)</f>
        <v>29.20351951</v>
      </c>
      <c r="K153" s="9">
        <v>44.0</v>
      </c>
      <c r="L153" s="25">
        <f>(revenue[orderPrice]-revenue[productCost])/revenue[productCost]</f>
        <v>0.5066677147</v>
      </c>
      <c r="M153" s="10">
        <v>10.0</v>
      </c>
      <c r="N153" s="25">
        <v>0.0</v>
      </c>
      <c r="O153" s="9">
        <f>revenue[orderPrice]*revenue[orderQuantity]</f>
        <v>440</v>
      </c>
      <c r="P153" s="9">
        <f>revenue[orderTotal]*(1-revenue[discountApllied])</f>
        <v>440</v>
      </c>
      <c r="Q153" s="9">
        <f>revenue[revenue]-(revenue[productCost]*revenue[orderQuantity])</f>
        <v>147.9648049</v>
      </c>
      <c r="R153" s="25">
        <f>IFERROR(revenue[profit]/revenue[revenue], 0)</f>
        <v>0.3362836475</v>
      </c>
      <c r="S153" s="9">
        <f>revenue[productCost]*revenue[orderQuantity]</f>
        <v>292.0351951</v>
      </c>
    </row>
    <row r="154" ht="15.75" customHeight="1">
      <c r="A154" s="6">
        <v>10304.0</v>
      </c>
      <c r="B154" s="7" t="s">
        <v>38</v>
      </c>
      <c r="C154" s="24" t="str">
        <f>VLOOKUP(revenue[customerID],customers[],2,FALSE)</f>
        <v>Tortuga Restaurante</v>
      </c>
      <c r="D154" s="24" t="str">
        <f>VLOOKUP(revenue[customerID],customers[],6,FALSE)</f>
        <v>México D.F.</v>
      </c>
      <c r="E154" s="24" t="str">
        <f>VLOOKUP(revenue[customerID],customers[],9,FALSE)</f>
        <v>Mexico</v>
      </c>
      <c r="F154" s="24">
        <v>44816.0</v>
      </c>
      <c r="G154" s="6">
        <v>71.0</v>
      </c>
      <c r="H154" s="9" t="str">
        <f>VLOOKUP(revenue[productID],products[],2,FALSE)</f>
        <v>Flotemysost</v>
      </c>
      <c r="I154" s="9" t="str">
        <f>VLOOKUP(revenue[productID],products[],12,FALSE)</f>
        <v>Dairy Products</v>
      </c>
      <c r="J154" s="9">
        <f>VLOOKUP(revenue[productID],products[],IF(YEAR(revenue[orderDate])=2022,8,IF(YEAR(revenue[orderDate])=2023,9,IF(YEAR(revenue[orderDate])=2024,10,NA))),FALSE)</f>
        <v>12.00719029</v>
      </c>
      <c r="K154" s="9">
        <v>17.2</v>
      </c>
      <c r="L154" s="25">
        <f>(revenue[orderPrice]-revenue[productCost])/revenue[productCost]</f>
        <v>0.4324750075</v>
      </c>
      <c r="M154" s="10">
        <v>2.0</v>
      </c>
      <c r="N154" s="25">
        <v>0.0</v>
      </c>
      <c r="O154" s="9">
        <f>revenue[orderPrice]*revenue[orderQuantity]</f>
        <v>34.4</v>
      </c>
      <c r="P154" s="9">
        <f>revenue[orderTotal]*(1-revenue[discountApllied])</f>
        <v>34.4</v>
      </c>
      <c r="Q154" s="9">
        <f>revenue[revenue]-(revenue[productCost]*revenue[orderQuantity])</f>
        <v>10.38561942</v>
      </c>
      <c r="R154" s="25">
        <f>IFERROR(revenue[profit]/revenue[revenue], 0)</f>
        <v>0.3019075413</v>
      </c>
      <c r="S154" s="9">
        <f>revenue[productCost]*revenue[orderQuantity]</f>
        <v>24.01438058</v>
      </c>
    </row>
    <row r="155" ht="15.75" customHeight="1">
      <c r="A155" s="6">
        <v>10305.0</v>
      </c>
      <c r="B155" s="7" t="s">
        <v>52</v>
      </c>
      <c r="C155" s="24" t="str">
        <f>VLOOKUP(revenue[customerID],customers[],2,FALSE)</f>
        <v>Old World Delicatessen</v>
      </c>
      <c r="D155" s="24" t="str">
        <f>VLOOKUP(revenue[customerID],customers[],6,FALSE)</f>
        <v>Anchorage</v>
      </c>
      <c r="E155" s="24" t="str">
        <f>VLOOKUP(revenue[customerID],customers[],9,FALSE)</f>
        <v>USA</v>
      </c>
      <c r="F155" s="24">
        <v>44817.0</v>
      </c>
      <c r="G155" s="6">
        <v>18.0</v>
      </c>
      <c r="H155" s="9" t="str">
        <f>VLOOKUP(revenue[productID],products[],2,FALSE)</f>
        <v>Carnarvon Tigers</v>
      </c>
      <c r="I155" s="9" t="str">
        <f>VLOOKUP(revenue[productID],products[],12,FALSE)</f>
        <v>Seafood</v>
      </c>
      <c r="J155" s="9">
        <f>VLOOKUP(revenue[productID],products[],IF(YEAR(revenue[orderDate])=2022,8,IF(YEAR(revenue[orderDate])=2023,9,IF(YEAR(revenue[orderDate])=2024,10,NA))),FALSE)</f>
        <v>32.46379819</v>
      </c>
      <c r="K155" s="9">
        <v>50.0</v>
      </c>
      <c r="L155" s="25">
        <f>(revenue[orderPrice]-revenue[productCost])/revenue[productCost]</f>
        <v>0.5401771445</v>
      </c>
      <c r="M155" s="10">
        <v>25.0</v>
      </c>
      <c r="N155" s="25">
        <v>0.1</v>
      </c>
      <c r="O155" s="9">
        <f>revenue[orderPrice]*revenue[orderQuantity]</f>
        <v>1250</v>
      </c>
      <c r="P155" s="9">
        <f>revenue[orderTotal]*(1-revenue[discountApllied])</f>
        <v>1125</v>
      </c>
      <c r="Q155" s="9">
        <f>revenue[revenue]-(revenue[productCost]*revenue[orderQuantity])</f>
        <v>313.4050452</v>
      </c>
      <c r="R155" s="25">
        <f>IFERROR(revenue[profit]/revenue[revenue], 0)</f>
        <v>0.2785822624</v>
      </c>
      <c r="S155" s="9">
        <f>revenue[productCost]*revenue[orderQuantity]</f>
        <v>811.5949548</v>
      </c>
    </row>
    <row r="156" ht="15.75" customHeight="1">
      <c r="A156" s="6">
        <v>10305.0</v>
      </c>
      <c r="B156" s="7" t="s">
        <v>52</v>
      </c>
      <c r="C156" s="24" t="str">
        <f>VLOOKUP(revenue[customerID],customers[],2,FALSE)</f>
        <v>Old World Delicatessen</v>
      </c>
      <c r="D156" s="24" t="str">
        <f>VLOOKUP(revenue[customerID],customers[],6,FALSE)</f>
        <v>Anchorage</v>
      </c>
      <c r="E156" s="24" t="str">
        <f>VLOOKUP(revenue[customerID],customers[],9,FALSE)</f>
        <v>USA</v>
      </c>
      <c r="F156" s="24">
        <v>44817.0</v>
      </c>
      <c r="G156" s="6">
        <v>29.0</v>
      </c>
      <c r="H156" s="9" t="str">
        <f>VLOOKUP(revenue[productID],products[],2,FALSE)</f>
        <v>Thüringer Rostbratwurst</v>
      </c>
      <c r="I156" s="9" t="str">
        <f>VLOOKUP(revenue[productID],products[],12,FALSE)</f>
        <v>Meat/Poultry</v>
      </c>
      <c r="J156" s="9">
        <f>VLOOKUP(revenue[productID],products[],IF(YEAR(revenue[orderDate])=2022,8,IF(YEAR(revenue[orderDate])=2023,9,IF(YEAR(revenue[orderDate])=2024,10,NA))),FALSE)</f>
        <v>70.25945266</v>
      </c>
      <c r="K156" s="9">
        <v>99.0</v>
      </c>
      <c r="L156" s="25">
        <f>(revenue[orderPrice]-revenue[productCost])/revenue[productCost]</f>
        <v>0.4090630691</v>
      </c>
      <c r="M156" s="10">
        <v>25.0</v>
      </c>
      <c r="N156" s="25">
        <v>0.1</v>
      </c>
      <c r="O156" s="9">
        <f>revenue[orderPrice]*revenue[orderQuantity]</f>
        <v>2475</v>
      </c>
      <c r="P156" s="9">
        <f>revenue[orderTotal]*(1-revenue[discountApllied])</f>
        <v>2227.5</v>
      </c>
      <c r="Q156" s="9">
        <f>revenue[revenue]-(revenue[productCost]*revenue[orderQuantity])</f>
        <v>471.0136835</v>
      </c>
      <c r="R156" s="25">
        <f>IFERROR(revenue[profit]/revenue[revenue], 0)</f>
        <v>0.2114539544</v>
      </c>
      <c r="S156" s="9">
        <f>revenue[productCost]*revenue[orderQuantity]</f>
        <v>1756.486317</v>
      </c>
    </row>
    <row r="157" ht="15.75" customHeight="1">
      <c r="A157" s="6">
        <v>10305.0</v>
      </c>
      <c r="B157" s="7" t="s">
        <v>52</v>
      </c>
      <c r="C157" s="24" t="str">
        <f>VLOOKUP(revenue[customerID],customers[],2,FALSE)</f>
        <v>Old World Delicatessen</v>
      </c>
      <c r="D157" s="24" t="str">
        <f>VLOOKUP(revenue[customerID],customers[],6,FALSE)</f>
        <v>Anchorage</v>
      </c>
      <c r="E157" s="24" t="str">
        <f>VLOOKUP(revenue[customerID],customers[],9,FALSE)</f>
        <v>USA</v>
      </c>
      <c r="F157" s="24">
        <v>44817.0</v>
      </c>
      <c r="G157" s="6">
        <v>39.0</v>
      </c>
      <c r="H157" s="9" t="str">
        <f>VLOOKUP(revenue[productID],products[],2,FALSE)</f>
        <v>Chartreuse verte</v>
      </c>
      <c r="I157" s="9" t="str">
        <f>VLOOKUP(revenue[productID],products[],12,FALSE)</f>
        <v>Beverages</v>
      </c>
      <c r="J157" s="9">
        <f>VLOOKUP(revenue[productID],products[],IF(YEAR(revenue[orderDate])=2022,8,IF(YEAR(revenue[orderDate])=2023,9,IF(YEAR(revenue[orderDate])=2024,10,NA))),FALSE)</f>
        <v>9.743517226</v>
      </c>
      <c r="K157" s="9">
        <v>14.4</v>
      </c>
      <c r="L157" s="25">
        <f>(revenue[orderPrice]-revenue[productCost])/revenue[productCost]</f>
        <v>0.4779057362</v>
      </c>
      <c r="M157" s="10">
        <v>30.0</v>
      </c>
      <c r="N157" s="25">
        <v>0.1</v>
      </c>
      <c r="O157" s="9">
        <f>revenue[orderPrice]*revenue[orderQuantity]</f>
        <v>432</v>
      </c>
      <c r="P157" s="9">
        <f>revenue[orderTotal]*(1-revenue[discountApllied])</f>
        <v>388.8</v>
      </c>
      <c r="Q157" s="9">
        <f>revenue[revenue]-(revenue[productCost]*revenue[orderQuantity])</f>
        <v>96.49448321</v>
      </c>
      <c r="R157" s="25">
        <f>IFERROR(revenue[profit]/revenue[revenue], 0)</f>
        <v>0.2481853992</v>
      </c>
      <c r="S157" s="9">
        <f>revenue[productCost]*revenue[orderQuantity]</f>
        <v>292.3055168</v>
      </c>
    </row>
    <row r="158" ht="15.75" customHeight="1">
      <c r="A158" s="6">
        <v>10306.0</v>
      </c>
      <c r="B158" s="7" t="s">
        <v>42</v>
      </c>
      <c r="C158" s="24" t="str">
        <f>VLOOKUP(revenue[customerID],customers[],2,FALSE)</f>
        <v>Romero y tomillo</v>
      </c>
      <c r="D158" s="24" t="str">
        <f>VLOOKUP(revenue[customerID],customers[],6,FALSE)</f>
        <v>Madrid</v>
      </c>
      <c r="E158" s="24" t="str">
        <f>VLOOKUP(revenue[customerID],customers[],9,FALSE)</f>
        <v>Spain</v>
      </c>
      <c r="F158" s="24">
        <v>44820.0</v>
      </c>
      <c r="G158" s="6">
        <v>30.0</v>
      </c>
      <c r="H158" s="9" t="str">
        <f>VLOOKUP(revenue[productID],products[],2,FALSE)</f>
        <v>Nord-Ost Matjeshering</v>
      </c>
      <c r="I158" s="9" t="str">
        <f>VLOOKUP(revenue[productID],products[],12,FALSE)</f>
        <v>Seafood</v>
      </c>
      <c r="J158" s="9">
        <f>VLOOKUP(revenue[productID],products[],IF(YEAR(revenue[orderDate])=2022,8,IF(YEAR(revenue[orderDate])=2023,9,IF(YEAR(revenue[orderDate])=2024,10,NA))),FALSE)</f>
        <v>13.41656868</v>
      </c>
      <c r="K158" s="9">
        <v>20.7</v>
      </c>
      <c r="L158" s="25">
        <f>(revenue[orderPrice]-revenue[productCost])/revenue[productCost]</f>
        <v>0.5428684114</v>
      </c>
      <c r="M158" s="10">
        <v>10.0</v>
      </c>
      <c r="N158" s="25">
        <v>0.0</v>
      </c>
      <c r="O158" s="9">
        <f>revenue[orderPrice]*revenue[orderQuantity]</f>
        <v>207</v>
      </c>
      <c r="P158" s="9">
        <f>revenue[orderTotal]*(1-revenue[discountApllied])</f>
        <v>207</v>
      </c>
      <c r="Q158" s="9">
        <f>revenue[revenue]-(revenue[productCost]*revenue[orderQuantity])</f>
        <v>72.83431324</v>
      </c>
      <c r="R158" s="25">
        <f>IFERROR(revenue[profit]/revenue[revenue], 0)</f>
        <v>0.3518565857</v>
      </c>
      <c r="S158" s="9">
        <f>revenue[productCost]*revenue[orderQuantity]</f>
        <v>134.1656868</v>
      </c>
    </row>
    <row r="159" ht="15.75" customHeight="1">
      <c r="A159" s="6">
        <v>10306.0</v>
      </c>
      <c r="B159" s="7" t="s">
        <v>42</v>
      </c>
      <c r="C159" s="24" t="str">
        <f>VLOOKUP(revenue[customerID],customers[],2,FALSE)</f>
        <v>Romero y tomillo</v>
      </c>
      <c r="D159" s="24" t="str">
        <f>VLOOKUP(revenue[customerID],customers[],6,FALSE)</f>
        <v>Madrid</v>
      </c>
      <c r="E159" s="24" t="str">
        <f>VLOOKUP(revenue[customerID],customers[],9,FALSE)</f>
        <v>Spain</v>
      </c>
      <c r="F159" s="24">
        <v>44820.0</v>
      </c>
      <c r="G159" s="6">
        <v>53.0</v>
      </c>
      <c r="H159" s="9" t="str">
        <f>VLOOKUP(revenue[productID],products[],2,FALSE)</f>
        <v>Perth Pasties</v>
      </c>
      <c r="I159" s="9" t="str">
        <f>VLOOKUP(revenue[productID],products[],12,FALSE)</f>
        <v>Meat/Poultry</v>
      </c>
      <c r="J159" s="9">
        <f>VLOOKUP(revenue[productID],products[],IF(YEAR(revenue[orderDate])=2022,8,IF(YEAR(revenue[orderDate])=2023,9,IF(YEAR(revenue[orderDate])=2024,10,NA))),FALSE)</f>
        <v>18.33322006</v>
      </c>
      <c r="K159" s="9">
        <v>26.2</v>
      </c>
      <c r="L159" s="25">
        <f>(revenue[orderPrice]-revenue[productCost])/revenue[productCost]</f>
        <v>0.4290997391</v>
      </c>
      <c r="M159" s="10">
        <v>10.0</v>
      </c>
      <c r="N159" s="25">
        <v>0.0</v>
      </c>
      <c r="O159" s="9">
        <f>revenue[orderPrice]*revenue[orderQuantity]</f>
        <v>262</v>
      </c>
      <c r="P159" s="9">
        <f>revenue[orderTotal]*(1-revenue[discountApllied])</f>
        <v>262</v>
      </c>
      <c r="Q159" s="9">
        <f>revenue[revenue]-(revenue[productCost]*revenue[orderQuantity])</f>
        <v>78.66779944</v>
      </c>
      <c r="R159" s="25">
        <f>IFERROR(revenue[profit]/revenue[revenue], 0)</f>
        <v>0.3002587765</v>
      </c>
      <c r="S159" s="9">
        <f>revenue[productCost]*revenue[orderQuantity]</f>
        <v>183.3322006</v>
      </c>
    </row>
    <row r="160" ht="15.75" customHeight="1">
      <c r="A160" s="6">
        <v>10306.0</v>
      </c>
      <c r="B160" s="7" t="s">
        <v>42</v>
      </c>
      <c r="C160" s="24" t="str">
        <f>VLOOKUP(revenue[customerID],customers[],2,FALSE)</f>
        <v>Romero y tomillo</v>
      </c>
      <c r="D160" s="24" t="str">
        <f>VLOOKUP(revenue[customerID],customers[],6,FALSE)</f>
        <v>Madrid</v>
      </c>
      <c r="E160" s="24" t="str">
        <f>VLOOKUP(revenue[customerID],customers[],9,FALSE)</f>
        <v>Spain</v>
      </c>
      <c r="F160" s="24">
        <v>44820.0</v>
      </c>
      <c r="G160" s="6">
        <v>54.0</v>
      </c>
      <c r="H160" s="9" t="str">
        <f>VLOOKUP(revenue[productID],products[],2,FALSE)</f>
        <v>Tourtière</v>
      </c>
      <c r="I160" s="9" t="str">
        <f>VLOOKUP(revenue[productID],products[],12,FALSE)</f>
        <v>Meat/Poultry</v>
      </c>
      <c r="J160" s="9">
        <f>VLOOKUP(revenue[productID],products[],IF(YEAR(revenue[orderDate])=2022,8,IF(YEAR(revenue[orderDate])=2023,9,IF(YEAR(revenue[orderDate])=2024,10,NA))),FALSE)</f>
        <v>4.309848919</v>
      </c>
      <c r="K160" s="9">
        <v>5.9</v>
      </c>
      <c r="L160" s="25">
        <f>(revenue[orderPrice]-revenue[productCost])/revenue[productCost]</f>
        <v>0.3689574996</v>
      </c>
      <c r="M160" s="10">
        <v>5.0</v>
      </c>
      <c r="N160" s="25">
        <v>0.0</v>
      </c>
      <c r="O160" s="9">
        <f>revenue[orderPrice]*revenue[orderQuantity]</f>
        <v>29.5</v>
      </c>
      <c r="P160" s="9">
        <f>revenue[orderTotal]*(1-revenue[discountApllied])</f>
        <v>29.5</v>
      </c>
      <c r="Q160" s="9">
        <f>revenue[revenue]-(revenue[productCost]*revenue[orderQuantity])</f>
        <v>7.950755404</v>
      </c>
      <c r="R160" s="25">
        <f>IFERROR(revenue[profit]/revenue[revenue], 0)</f>
        <v>0.2695171323</v>
      </c>
      <c r="S160" s="9">
        <f>revenue[productCost]*revenue[orderQuantity]</f>
        <v>21.5492446</v>
      </c>
    </row>
    <row r="161" ht="15.75" customHeight="1">
      <c r="A161" s="6">
        <v>10307.0</v>
      </c>
      <c r="B161" s="7" t="s">
        <v>53</v>
      </c>
      <c r="C161" s="24" t="str">
        <f>VLOOKUP(revenue[customerID],customers[],2,FALSE)</f>
        <v>Lonesome Pine Restaurant</v>
      </c>
      <c r="D161" s="24" t="str">
        <f>VLOOKUP(revenue[customerID],customers[],6,FALSE)</f>
        <v>Portland</v>
      </c>
      <c r="E161" s="24" t="str">
        <f>VLOOKUP(revenue[customerID],customers[],9,FALSE)</f>
        <v>USA</v>
      </c>
      <c r="F161" s="24">
        <v>44821.0</v>
      </c>
      <c r="G161" s="6">
        <v>62.0</v>
      </c>
      <c r="H161" s="9" t="str">
        <f>VLOOKUP(revenue[productID],products[],2,FALSE)</f>
        <v>Tarte au sucre</v>
      </c>
      <c r="I161" s="9" t="str">
        <f>VLOOKUP(revenue[productID],products[],12,FALSE)</f>
        <v>Confections</v>
      </c>
      <c r="J161" s="9">
        <f>VLOOKUP(revenue[productID],products[],IF(YEAR(revenue[orderDate])=2022,8,IF(YEAR(revenue[orderDate])=2023,9,IF(YEAR(revenue[orderDate])=2024,10,NA))),FALSE)</f>
        <v>29.35963319</v>
      </c>
      <c r="K161" s="9">
        <v>39.4</v>
      </c>
      <c r="L161" s="25">
        <f>(revenue[orderPrice]-revenue[productCost])/revenue[productCost]</f>
        <v>0.3419786189</v>
      </c>
      <c r="M161" s="10">
        <v>10.0</v>
      </c>
      <c r="N161" s="25">
        <v>0.0</v>
      </c>
      <c r="O161" s="9">
        <f>revenue[orderPrice]*revenue[orderQuantity]</f>
        <v>394</v>
      </c>
      <c r="P161" s="9">
        <f>revenue[orderTotal]*(1-revenue[discountApllied])</f>
        <v>394</v>
      </c>
      <c r="Q161" s="9">
        <f>revenue[revenue]-(revenue[productCost]*revenue[orderQuantity])</f>
        <v>100.4036681</v>
      </c>
      <c r="R161" s="25">
        <f>IFERROR(revenue[profit]/revenue[revenue], 0)</f>
        <v>0.2548316449</v>
      </c>
      <c r="S161" s="9">
        <f>revenue[productCost]*revenue[orderQuantity]</f>
        <v>293.5963319</v>
      </c>
    </row>
    <row r="162" ht="15.75" customHeight="1">
      <c r="A162" s="6">
        <v>10307.0</v>
      </c>
      <c r="B162" s="7" t="s">
        <v>53</v>
      </c>
      <c r="C162" s="24" t="str">
        <f>VLOOKUP(revenue[customerID],customers[],2,FALSE)</f>
        <v>Lonesome Pine Restaurant</v>
      </c>
      <c r="D162" s="24" t="str">
        <f>VLOOKUP(revenue[customerID],customers[],6,FALSE)</f>
        <v>Portland</v>
      </c>
      <c r="E162" s="24" t="str">
        <f>VLOOKUP(revenue[customerID],customers[],9,FALSE)</f>
        <v>USA</v>
      </c>
      <c r="F162" s="24">
        <v>44821.0</v>
      </c>
      <c r="G162" s="6">
        <v>68.0</v>
      </c>
      <c r="H162" s="9" t="str">
        <f>VLOOKUP(revenue[productID],products[],2,FALSE)</f>
        <v>Scottish Longbreads</v>
      </c>
      <c r="I162" s="9" t="str">
        <f>VLOOKUP(revenue[productID],products[],12,FALSE)</f>
        <v>Confections</v>
      </c>
      <c r="J162" s="9">
        <f>VLOOKUP(revenue[productID],products[],IF(YEAR(revenue[orderDate])=2022,8,IF(YEAR(revenue[orderDate])=2023,9,IF(YEAR(revenue[orderDate])=2024,10,NA))),FALSE)</f>
        <v>7.316656529</v>
      </c>
      <c r="K162" s="9">
        <v>10.0</v>
      </c>
      <c r="L162" s="25">
        <f>(revenue[orderPrice]-revenue[productCost])/revenue[productCost]</f>
        <v>0.3667444906</v>
      </c>
      <c r="M162" s="10">
        <v>3.0</v>
      </c>
      <c r="N162" s="25">
        <v>0.0</v>
      </c>
      <c r="O162" s="9">
        <f>revenue[orderPrice]*revenue[orderQuantity]</f>
        <v>30</v>
      </c>
      <c r="P162" s="9">
        <f>revenue[orderTotal]*(1-revenue[discountApllied])</f>
        <v>30</v>
      </c>
      <c r="Q162" s="9">
        <f>revenue[revenue]-(revenue[productCost]*revenue[orderQuantity])</f>
        <v>8.050030414</v>
      </c>
      <c r="R162" s="25">
        <f>IFERROR(revenue[profit]/revenue[revenue], 0)</f>
        <v>0.2683343471</v>
      </c>
      <c r="S162" s="9">
        <f>revenue[productCost]*revenue[orderQuantity]</f>
        <v>21.94996959</v>
      </c>
    </row>
    <row r="163" ht="15.75" customHeight="1">
      <c r="A163" s="6">
        <v>10308.0</v>
      </c>
      <c r="B163" s="7" t="s">
        <v>54</v>
      </c>
      <c r="C163" s="24" t="str">
        <f>VLOOKUP(revenue[customerID],customers[],2,FALSE)</f>
        <v>Ana Trujillo Emparedados y helados</v>
      </c>
      <c r="D163" s="24" t="str">
        <f>VLOOKUP(revenue[customerID],customers[],6,FALSE)</f>
        <v>México D.F.</v>
      </c>
      <c r="E163" s="24" t="str">
        <f>VLOOKUP(revenue[customerID],customers[],9,FALSE)</f>
        <v>Mexico</v>
      </c>
      <c r="F163" s="24">
        <v>44822.0</v>
      </c>
      <c r="G163" s="6">
        <v>69.0</v>
      </c>
      <c r="H163" s="9" t="str">
        <f>VLOOKUP(revenue[productID],products[],2,FALSE)</f>
        <v>Gudbrandsdalsost</v>
      </c>
      <c r="I163" s="9" t="str">
        <f>VLOOKUP(revenue[productID],products[],12,FALSE)</f>
        <v>Dairy Products</v>
      </c>
      <c r="J163" s="9">
        <f>VLOOKUP(revenue[productID],products[],IF(YEAR(revenue[orderDate])=2022,8,IF(YEAR(revenue[orderDate])=2023,9,IF(YEAR(revenue[orderDate])=2024,10,NA))),FALSE)</f>
        <v>20.71216183</v>
      </c>
      <c r="K163" s="9">
        <v>28.8</v>
      </c>
      <c r="L163" s="25">
        <f>(revenue[orderPrice]-revenue[productCost])/revenue[productCost]</f>
        <v>0.3904873977</v>
      </c>
      <c r="M163" s="10">
        <v>1.0</v>
      </c>
      <c r="N163" s="25">
        <v>0.0</v>
      </c>
      <c r="O163" s="9">
        <f>revenue[orderPrice]*revenue[orderQuantity]</f>
        <v>28.8</v>
      </c>
      <c r="P163" s="9">
        <f>revenue[orderTotal]*(1-revenue[discountApllied])</f>
        <v>28.8</v>
      </c>
      <c r="Q163" s="9">
        <f>revenue[revenue]-(revenue[productCost]*revenue[orderQuantity])</f>
        <v>8.087838172</v>
      </c>
      <c r="R163" s="25">
        <f>IFERROR(revenue[profit]/revenue[revenue], 0)</f>
        <v>0.2808277143</v>
      </c>
      <c r="S163" s="9">
        <f>revenue[productCost]*revenue[orderQuantity]</f>
        <v>20.71216183</v>
      </c>
    </row>
    <row r="164" ht="15.75" customHeight="1">
      <c r="A164" s="6">
        <v>10308.0</v>
      </c>
      <c r="B164" s="7" t="s">
        <v>54</v>
      </c>
      <c r="C164" s="24" t="str">
        <f>VLOOKUP(revenue[customerID],customers[],2,FALSE)</f>
        <v>Ana Trujillo Emparedados y helados</v>
      </c>
      <c r="D164" s="24" t="str">
        <f>VLOOKUP(revenue[customerID],customers[],6,FALSE)</f>
        <v>México D.F.</v>
      </c>
      <c r="E164" s="24" t="str">
        <f>VLOOKUP(revenue[customerID],customers[],9,FALSE)</f>
        <v>Mexico</v>
      </c>
      <c r="F164" s="24">
        <v>44822.0</v>
      </c>
      <c r="G164" s="6">
        <v>70.0</v>
      </c>
      <c r="H164" s="9" t="str">
        <f>VLOOKUP(revenue[productID],products[],2,FALSE)</f>
        <v>Outback Lager</v>
      </c>
      <c r="I164" s="9" t="str">
        <f>VLOOKUP(revenue[productID],products[],12,FALSE)</f>
        <v>Beverages</v>
      </c>
      <c r="J164" s="9">
        <f>VLOOKUP(revenue[productID],products[],IF(YEAR(revenue[orderDate])=2022,8,IF(YEAR(revenue[orderDate])=2023,9,IF(YEAR(revenue[orderDate])=2024,10,NA))),FALSE)</f>
        <v>8.037520944</v>
      </c>
      <c r="K164" s="9">
        <v>12.0</v>
      </c>
      <c r="L164" s="25">
        <f>(revenue[orderPrice]-revenue[productCost])/revenue[productCost]</f>
        <v>0.4929976648</v>
      </c>
      <c r="M164" s="10">
        <v>5.0</v>
      </c>
      <c r="N164" s="25">
        <v>0.0</v>
      </c>
      <c r="O164" s="9">
        <f>revenue[orderPrice]*revenue[orderQuantity]</f>
        <v>60</v>
      </c>
      <c r="P164" s="9">
        <f>revenue[orderTotal]*(1-revenue[discountApllied])</f>
        <v>60</v>
      </c>
      <c r="Q164" s="9">
        <f>revenue[revenue]-(revenue[productCost]*revenue[orderQuantity])</f>
        <v>19.81239528</v>
      </c>
      <c r="R164" s="25">
        <f>IFERROR(revenue[profit]/revenue[revenue], 0)</f>
        <v>0.330206588</v>
      </c>
      <c r="S164" s="9">
        <f>revenue[productCost]*revenue[orderQuantity]</f>
        <v>40.18760472</v>
      </c>
    </row>
    <row r="165" ht="15.75" customHeight="1">
      <c r="A165" s="6">
        <v>10309.0</v>
      </c>
      <c r="B165" s="7" t="s">
        <v>49</v>
      </c>
      <c r="C165" s="24" t="str">
        <f>VLOOKUP(revenue[customerID],customers[],2,FALSE)</f>
        <v>Hungry Owl All-Night Grocers</v>
      </c>
      <c r="D165" s="24" t="str">
        <f>VLOOKUP(revenue[customerID],customers[],6,FALSE)</f>
        <v>Cork</v>
      </c>
      <c r="E165" s="24" t="str">
        <f>VLOOKUP(revenue[customerID],customers[],9,FALSE)</f>
        <v>Ireland</v>
      </c>
      <c r="F165" s="24">
        <v>44823.0</v>
      </c>
      <c r="G165" s="6">
        <v>4.0</v>
      </c>
      <c r="H165" s="9" t="str">
        <f>VLOOKUP(revenue[productID],products[],2,FALSE)</f>
        <v>Chef Anton's Cajun Seasoning</v>
      </c>
      <c r="I165" s="9" t="str">
        <f>VLOOKUP(revenue[productID],products[],12,FALSE)</f>
        <v>Condiments</v>
      </c>
      <c r="J165" s="9">
        <f>VLOOKUP(revenue[productID],products[],IF(YEAR(revenue[orderDate])=2022,8,IF(YEAR(revenue[orderDate])=2023,9,IF(YEAR(revenue[orderDate])=2024,10,NA))),FALSE)</f>
        <v>12.12007338</v>
      </c>
      <c r="K165" s="9">
        <v>17.6</v>
      </c>
      <c r="L165" s="25">
        <f>(revenue[orderPrice]-revenue[productCost])/revenue[productCost]</f>
        <v>0.4521364227</v>
      </c>
      <c r="M165" s="10">
        <v>20.0</v>
      </c>
      <c r="N165" s="25">
        <v>0.0</v>
      </c>
      <c r="O165" s="9">
        <f>revenue[orderPrice]*revenue[orderQuantity]</f>
        <v>352</v>
      </c>
      <c r="P165" s="9">
        <f>revenue[orderTotal]*(1-revenue[discountApllied])</f>
        <v>352</v>
      </c>
      <c r="Q165" s="9">
        <f>revenue[revenue]-(revenue[productCost]*revenue[orderQuantity])</f>
        <v>109.5985324</v>
      </c>
      <c r="R165" s="25">
        <f>IFERROR(revenue[profit]/revenue[revenue], 0)</f>
        <v>0.3113594671</v>
      </c>
      <c r="S165" s="9">
        <f>revenue[productCost]*revenue[orderQuantity]</f>
        <v>242.4014676</v>
      </c>
    </row>
    <row r="166" ht="15.75" customHeight="1">
      <c r="A166" s="6">
        <v>10309.0</v>
      </c>
      <c r="B166" s="7" t="s">
        <v>49</v>
      </c>
      <c r="C166" s="24" t="str">
        <f>VLOOKUP(revenue[customerID],customers[],2,FALSE)</f>
        <v>Hungry Owl All-Night Grocers</v>
      </c>
      <c r="D166" s="24" t="str">
        <f>VLOOKUP(revenue[customerID],customers[],6,FALSE)</f>
        <v>Cork</v>
      </c>
      <c r="E166" s="24" t="str">
        <f>VLOOKUP(revenue[customerID],customers[],9,FALSE)</f>
        <v>Ireland</v>
      </c>
      <c r="F166" s="24">
        <v>44823.0</v>
      </c>
      <c r="G166" s="6">
        <v>6.0</v>
      </c>
      <c r="H166" s="9" t="str">
        <f>VLOOKUP(revenue[productID],products[],2,FALSE)</f>
        <v>Grandma's Boysenberry Spread</v>
      </c>
      <c r="I166" s="9" t="str">
        <f>VLOOKUP(revenue[productID],products[],12,FALSE)</f>
        <v>Condiments</v>
      </c>
      <c r="J166" s="9">
        <f>VLOOKUP(revenue[productID],products[],IF(YEAR(revenue[orderDate])=2022,8,IF(YEAR(revenue[orderDate])=2023,9,IF(YEAR(revenue[orderDate])=2024,10,NA))),FALSE)</f>
        <v>13.64030257</v>
      </c>
      <c r="K166" s="9">
        <v>20.0</v>
      </c>
      <c r="L166" s="25">
        <f>(revenue[orderPrice]-revenue[productCost])/revenue[productCost]</f>
        <v>0.4662431346</v>
      </c>
      <c r="M166" s="10">
        <v>30.0</v>
      </c>
      <c r="N166" s="25">
        <v>0.0</v>
      </c>
      <c r="O166" s="9">
        <f>revenue[orderPrice]*revenue[orderQuantity]</f>
        <v>600</v>
      </c>
      <c r="P166" s="9">
        <f>revenue[orderTotal]*(1-revenue[discountApllied])</f>
        <v>600</v>
      </c>
      <c r="Q166" s="9">
        <f>revenue[revenue]-(revenue[productCost]*revenue[orderQuantity])</f>
        <v>190.7909228</v>
      </c>
      <c r="R166" s="25">
        <f>IFERROR(revenue[profit]/revenue[revenue], 0)</f>
        <v>0.3179848714</v>
      </c>
      <c r="S166" s="9">
        <f>revenue[productCost]*revenue[orderQuantity]</f>
        <v>409.2090772</v>
      </c>
    </row>
    <row r="167" ht="15.75" customHeight="1">
      <c r="A167" s="6">
        <v>10309.0</v>
      </c>
      <c r="B167" s="7" t="s">
        <v>49</v>
      </c>
      <c r="C167" s="24" t="str">
        <f>VLOOKUP(revenue[customerID],customers[],2,FALSE)</f>
        <v>Hungry Owl All-Night Grocers</v>
      </c>
      <c r="D167" s="24" t="str">
        <f>VLOOKUP(revenue[customerID],customers[],6,FALSE)</f>
        <v>Cork</v>
      </c>
      <c r="E167" s="24" t="str">
        <f>VLOOKUP(revenue[customerID],customers[],9,FALSE)</f>
        <v>Ireland</v>
      </c>
      <c r="F167" s="24">
        <v>44823.0</v>
      </c>
      <c r="G167" s="6">
        <v>42.0</v>
      </c>
      <c r="H167" s="9" t="str">
        <f>VLOOKUP(revenue[productID],products[],2,FALSE)</f>
        <v>Singaporean Hokkien Fried Mee</v>
      </c>
      <c r="I167" s="9" t="str">
        <f>VLOOKUP(revenue[productID],products[],12,FALSE)</f>
        <v>Grains/Cereals</v>
      </c>
      <c r="J167" s="9">
        <f>VLOOKUP(revenue[productID],products[],IF(YEAR(revenue[orderDate])=2022,8,IF(YEAR(revenue[orderDate])=2023,9,IF(YEAR(revenue[orderDate])=2024,10,NA))),FALSE)</f>
        <v>7.818425885</v>
      </c>
      <c r="K167" s="9">
        <v>11.2</v>
      </c>
      <c r="L167" s="25">
        <f>(revenue[orderPrice]-revenue[productCost])/revenue[productCost]</f>
        <v>0.4325134196</v>
      </c>
      <c r="M167" s="10">
        <v>2.0</v>
      </c>
      <c r="N167" s="25">
        <v>0.0</v>
      </c>
      <c r="O167" s="9">
        <f>revenue[orderPrice]*revenue[orderQuantity]</f>
        <v>22.4</v>
      </c>
      <c r="P167" s="9">
        <f>revenue[orderTotal]*(1-revenue[discountApllied])</f>
        <v>22.4</v>
      </c>
      <c r="Q167" s="9">
        <f>revenue[revenue]-(revenue[productCost]*revenue[orderQuantity])</f>
        <v>6.76314823</v>
      </c>
      <c r="R167" s="25">
        <f>IFERROR(revenue[profit]/revenue[revenue], 0)</f>
        <v>0.3019262603</v>
      </c>
      <c r="S167" s="9">
        <f>revenue[productCost]*revenue[orderQuantity]</f>
        <v>15.63685177</v>
      </c>
    </row>
    <row r="168" ht="15.75" customHeight="1">
      <c r="A168" s="6">
        <v>10309.0</v>
      </c>
      <c r="B168" s="7" t="s">
        <v>49</v>
      </c>
      <c r="C168" s="24" t="str">
        <f>VLOOKUP(revenue[customerID],customers[],2,FALSE)</f>
        <v>Hungry Owl All-Night Grocers</v>
      </c>
      <c r="D168" s="24" t="str">
        <f>VLOOKUP(revenue[customerID],customers[],6,FALSE)</f>
        <v>Cork</v>
      </c>
      <c r="E168" s="24" t="str">
        <f>VLOOKUP(revenue[customerID],customers[],9,FALSE)</f>
        <v>Ireland</v>
      </c>
      <c r="F168" s="24">
        <v>44823.0</v>
      </c>
      <c r="G168" s="6">
        <v>43.0</v>
      </c>
      <c r="H168" s="9" t="str">
        <f>VLOOKUP(revenue[productID],products[],2,FALSE)</f>
        <v>Ipoh Coffee</v>
      </c>
      <c r="I168" s="9" t="str">
        <f>VLOOKUP(revenue[productID],products[],12,FALSE)</f>
        <v>Beverages</v>
      </c>
      <c r="J168" s="9">
        <f>VLOOKUP(revenue[productID],products[],IF(YEAR(revenue[orderDate])=2022,8,IF(YEAR(revenue[orderDate])=2023,9,IF(YEAR(revenue[orderDate])=2024,10,NA))),FALSE)</f>
        <v>25.79491918</v>
      </c>
      <c r="K168" s="9">
        <v>36.8</v>
      </c>
      <c r="L168" s="25">
        <f>(revenue[orderPrice]-revenue[productCost])/revenue[productCost]</f>
        <v>0.4266375384</v>
      </c>
      <c r="M168" s="10">
        <v>20.0</v>
      </c>
      <c r="N168" s="25">
        <v>0.0</v>
      </c>
      <c r="O168" s="9">
        <f>revenue[orderPrice]*revenue[orderQuantity]</f>
        <v>736</v>
      </c>
      <c r="P168" s="9">
        <f>revenue[orderTotal]*(1-revenue[discountApllied])</f>
        <v>736</v>
      </c>
      <c r="Q168" s="9">
        <f>revenue[revenue]-(revenue[productCost]*revenue[orderQuantity])</f>
        <v>220.1016164</v>
      </c>
      <c r="R168" s="25">
        <f>IFERROR(revenue[profit]/revenue[revenue], 0)</f>
        <v>0.2990511093</v>
      </c>
      <c r="S168" s="9">
        <f>revenue[productCost]*revenue[orderQuantity]</f>
        <v>515.8983836</v>
      </c>
    </row>
    <row r="169" ht="15.75" customHeight="1">
      <c r="A169" s="6">
        <v>10309.0</v>
      </c>
      <c r="B169" s="7" t="s">
        <v>49</v>
      </c>
      <c r="C169" s="24" t="str">
        <f>VLOOKUP(revenue[customerID],customers[],2,FALSE)</f>
        <v>Hungry Owl All-Night Grocers</v>
      </c>
      <c r="D169" s="24" t="str">
        <f>VLOOKUP(revenue[customerID],customers[],6,FALSE)</f>
        <v>Cork</v>
      </c>
      <c r="E169" s="24" t="str">
        <f>VLOOKUP(revenue[customerID],customers[],9,FALSE)</f>
        <v>Ireland</v>
      </c>
      <c r="F169" s="24">
        <v>44823.0</v>
      </c>
      <c r="G169" s="6">
        <v>71.0</v>
      </c>
      <c r="H169" s="9" t="str">
        <f>VLOOKUP(revenue[productID],products[],2,FALSE)</f>
        <v>Flotemysost</v>
      </c>
      <c r="I169" s="9" t="str">
        <f>VLOOKUP(revenue[productID],products[],12,FALSE)</f>
        <v>Dairy Products</v>
      </c>
      <c r="J169" s="9">
        <f>VLOOKUP(revenue[productID],products[],IF(YEAR(revenue[orderDate])=2022,8,IF(YEAR(revenue[orderDate])=2023,9,IF(YEAR(revenue[orderDate])=2024,10,NA))),FALSE)</f>
        <v>12.00719029</v>
      </c>
      <c r="K169" s="9">
        <v>17.2</v>
      </c>
      <c r="L169" s="25">
        <f>(revenue[orderPrice]-revenue[productCost])/revenue[productCost]</f>
        <v>0.4324750075</v>
      </c>
      <c r="M169" s="10">
        <v>3.0</v>
      </c>
      <c r="N169" s="25">
        <v>0.0</v>
      </c>
      <c r="O169" s="9">
        <f>revenue[orderPrice]*revenue[orderQuantity]</f>
        <v>51.6</v>
      </c>
      <c r="P169" s="9">
        <f>revenue[orderTotal]*(1-revenue[discountApllied])</f>
        <v>51.6</v>
      </c>
      <c r="Q169" s="9">
        <f>revenue[revenue]-(revenue[productCost]*revenue[orderQuantity])</f>
        <v>15.57842913</v>
      </c>
      <c r="R169" s="25">
        <f>IFERROR(revenue[profit]/revenue[revenue], 0)</f>
        <v>0.3019075413</v>
      </c>
      <c r="S169" s="9">
        <f>revenue[productCost]*revenue[orderQuantity]</f>
        <v>36.02157087</v>
      </c>
    </row>
    <row r="170" ht="15.75" customHeight="1">
      <c r="A170" s="6">
        <v>10310.0</v>
      </c>
      <c r="B170" s="7" t="s">
        <v>55</v>
      </c>
      <c r="C170" s="24" t="str">
        <f>VLOOKUP(revenue[customerID],customers[],2,FALSE)</f>
        <v>The Big Cheese</v>
      </c>
      <c r="D170" s="24" t="str">
        <f>VLOOKUP(revenue[customerID],customers[],6,FALSE)</f>
        <v>Portland</v>
      </c>
      <c r="E170" s="24" t="str">
        <f>VLOOKUP(revenue[customerID],customers[],9,FALSE)</f>
        <v>USA</v>
      </c>
      <c r="F170" s="24">
        <v>44824.0</v>
      </c>
      <c r="G170" s="6">
        <v>16.0</v>
      </c>
      <c r="H170" s="9" t="str">
        <f>VLOOKUP(revenue[productID],products[],2,FALSE)</f>
        <v>Pavlova</v>
      </c>
      <c r="I170" s="9" t="str">
        <f>VLOOKUP(revenue[productID],products[],12,FALSE)</f>
        <v>Confections</v>
      </c>
      <c r="J170" s="9">
        <f>VLOOKUP(revenue[productID],products[],IF(YEAR(revenue[orderDate])=2022,8,IF(YEAR(revenue[orderDate])=2023,9,IF(YEAR(revenue[orderDate])=2024,10,NA))),FALSE)</f>
        <v>9.80658008</v>
      </c>
      <c r="K170" s="9">
        <v>13.9</v>
      </c>
      <c r="L170" s="25">
        <f>(revenue[orderPrice]-revenue[productCost])/revenue[productCost]</f>
        <v>0.417415642</v>
      </c>
      <c r="M170" s="10">
        <v>10.0</v>
      </c>
      <c r="N170" s="25">
        <v>0.0</v>
      </c>
      <c r="O170" s="9">
        <f>revenue[orderPrice]*revenue[orderQuantity]</f>
        <v>139</v>
      </c>
      <c r="P170" s="9">
        <f>revenue[orderTotal]*(1-revenue[discountApllied])</f>
        <v>139</v>
      </c>
      <c r="Q170" s="9">
        <f>revenue[revenue]-(revenue[productCost]*revenue[orderQuantity])</f>
        <v>40.9341992</v>
      </c>
      <c r="R170" s="25">
        <f>IFERROR(revenue[profit]/revenue[revenue], 0)</f>
        <v>0.2944906417</v>
      </c>
      <c r="S170" s="9">
        <f>revenue[productCost]*revenue[orderQuantity]</f>
        <v>98.0658008</v>
      </c>
    </row>
    <row r="171" ht="15.75" customHeight="1">
      <c r="A171" s="6">
        <v>10310.0</v>
      </c>
      <c r="B171" s="7" t="s">
        <v>55</v>
      </c>
      <c r="C171" s="24" t="str">
        <f>VLOOKUP(revenue[customerID],customers[],2,FALSE)</f>
        <v>The Big Cheese</v>
      </c>
      <c r="D171" s="24" t="str">
        <f>VLOOKUP(revenue[customerID],customers[],6,FALSE)</f>
        <v>Portland</v>
      </c>
      <c r="E171" s="24" t="str">
        <f>VLOOKUP(revenue[customerID],customers[],9,FALSE)</f>
        <v>USA</v>
      </c>
      <c r="F171" s="24">
        <v>44824.0</v>
      </c>
      <c r="G171" s="6">
        <v>62.0</v>
      </c>
      <c r="H171" s="9" t="str">
        <f>VLOOKUP(revenue[productID],products[],2,FALSE)</f>
        <v>Tarte au sucre</v>
      </c>
      <c r="I171" s="9" t="str">
        <f>VLOOKUP(revenue[productID],products[],12,FALSE)</f>
        <v>Confections</v>
      </c>
      <c r="J171" s="9">
        <f>VLOOKUP(revenue[productID],products[],IF(YEAR(revenue[orderDate])=2022,8,IF(YEAR(revenue[orderDate])=2023,9,IF(YEAR(revenue[orderDate])=2024,10,NA))),FALSE)</f>
        <v>29.35963319</v>
      </c>
      <c r="K171" s="9">
        <v>39.4</v>
      </c>
      <c r="L171" s="25">
        <f>(revenue[orderPrice]-revenue[productCost])/revenue[productCost]</f>
        <v>0.3419786189</v>
      </c>
      <c r="M171" s="10">
        <v>5.0</v>
      </c>
      <c r="N171" s="25">
        <v>0.0</v>
      </c>
      <c r="O171" s="9">
        <f>revenue[orderPrice]*revenue[orderQuantity]</f>
        <v>197</v>
      </c>
      <c r="P171" s="9">
        <f>revenue[orderTotal]*(1-revenue[discountApllied])</f>
        <v>197</v>
      </c>
      <c r="Q171" s="9">
        <f>revenue[revenue]-(revenue[productCost]*revenue[orderQuantity])</f>
        <v>50.20183405</v>
      </c>
      <c r="R171" s="25">
        <f>IFERROR(revenue[profit]/revenue[revenue], 0)</f>
        <v>0.2548316449</v>
      </c>
      <c r="S171" s="9">
        <f>revenue[productCost]*revenue[orderQuantity]</f>
        <v>146.798166</v>
      </c>
    </row>
    <row r="172" ht="15.75" customHeight="1">
      <c r="A172" s="6">
        <v>10311.0</v>
      </c>
      <c r="B172" s="7" t="s">
        <v>56</v>
      </c>
      <c r="C172" s="24" t="str">
        <f>VLOOKUP(revenue[customerID],customers[],2,FALSE)</f>
        <v>Du monde entier</v>
      </c>
      <c r="D172" s="24" t="str">
        <f>VLOOKUP(revenue[customerID],customers[],6,FALSE)</f>
        <v>Nantes</v>
      </c>
      <c r="E172" s="24" t="str">
        <f>VLOOKUP(revenue[customerID],customers[],9,FALSE)</f>
        <v>France</v>
      </c>
      <c r="F172" s="24">
        <v>44824.0</v>
      </c>
      <c r="G172" s="6">
        <v>42.0</v>
      </c>
      <c r="H172" s="9" t="str">
        <f>VLOOKUP(revenue[productID],products[],2,FALSE)</f>
        <v>Singaporean Hokkien Fried Mee</v>
      </c>
      <c r="I172" s="9" t="str">
        <f>VLOOKUP(revenue[productID],products[],12,FALSE)</f>
        <v>Grains/Cereals</v>
      </c>
      <c r="J172" s="9">
        <f>VLOOKUP(revenue[productID],products[],IF(YEAR(revenue[orderDate])=2022,8,IF(YEAR(revenue[orderDate])=2023,9,IF(YEAR(revenue[orderDate])=2024,10,NA))),FALSE)</f>
        <v>7.818425885</v>
      </c>
      <c r="K172" s="9">
        <v>11.2</v>
      </c>
      <c r="L172" s="25">
        <f>(revenue[orderPrice]-revenue[productCost])/revenue[productCost]</f>
        <v>0.4325134196</v>
      </c>
      <c r="M172" s="10">
        <v>6.0</v>
      </c>
      <c r="N172" s="25">
        <v>0.0</v>
      </c>
      <c r="O172" s="9">
        <f>revenue[orderPrice]*revenue[orderQuantity]</f>
        <v>67.2</v>
      </c>
      <c r="P172" s="9">
        <f>revenue[orderTotal]*(1-revenue[discountApllied])</f>
        <v>67.2</v>
      </c>
      <c r="Q172" s="9">
        <f>revenue[revenue]-(revenue[productCost]*revenue[orderQuantity])</f>
        <v>20.28944469</v>
      </c>
      <c r="R172" s="25">
        <f>IFERROR(revenue[profit]/revenue[revenue], 0)</f>
        <v>0.3019262603</v>
      </c>
      <c r="S172" s="9">
        <f>revenue[productCost]*revenue[orderQuantity]</f>
        <v>46.91055531</v>
      </c>
    </row>
    <row r="173" ht="15.75" customHeight="1">
      <c r="A173" s="6">
        <v>10311.0</v>
      </c>
      <c r="B173" s="7" t="s">
        <v>56</v>
      </c>
      <c r="C173" s="24" t="str">
        <f>VLOOKUP(revenue[customerID],customers[],2,FALSE)</f>
        <v>Du monde entier</v>
      </c>
      <c r="D173" s="24" t="str">
        <f>VLOOKUP(revenue[customerID],customers[],6,FALSE)</f>
        <v>Nantes</v>
      </c>
      <c r="E173" s="24" t="str">
        <f>VLOOKUP(revenue[customerID],customers[],9,FALSE)</f>
        <v>France</v>
      </c>
      <c r="F173" s="24">
        <v>44824.0</v>
      </c>
      <c r="G173" s="6">
        <v>69.0</v>
      </c>
      <c r="H173" s="9" t="str">
        <f>VLOOKUP(revenue[productID],products[],2,FALSE)</f>
        <v>Gudbrandsdalsost</v>
      </c>
      <c r="I173" s="9" t="str">
        <f>VLOOKUP(revenue[productID],products[],12,FALSE)</f>
        <v>Dairy Products</v>
      </c>
      <c r="J173" s="9">
        <f>VLOOKUP(revenue[productID],products[],IF(YEAR(revenue[orderDate])=2022,8,IF(YEAR(revenue[orderDate])=2023,9,IF(YEAR(revenue[orderDate])=2024,10,NA))),FALSE)</f>
        <v>20.71216183</v>
      </c>
      <c r="K173" s="9">
        <v>28.8</v>
      </c>
      <c r="L173" s="25">
        <f>(revenue[orderPrice]-revenue[productCost])/revenue[productCost]</f>
        <v>0.3904873977</v>
      </c>
      <c r="M173" s="10">
        <v>7.0</v>
      </c>
      <c r="N173" s="25">
        <v>0.0</v>
      </c>
      <c r="O173" s="9">
        <f>revenue[orderPrice]*revenue[orderQuantity]</f>
        <v>201.6</v>
      </c>
      <c r="P173" s="9">
        <f>revenue[orderTotal]*(1-revenue[discountApllied])</f>
        <v>201.6</v>
      </c>
      <c r="Q173" s="9">
        <f>revenue[revenue]-(revenue[productCost]*revenue[orderQuantity])</f>
        <v>56.61486721</v>
      </c>
      <c r="R173" s="25">
        <f>IFERROR(revenue[profit]/revenue[revenue], 0)</f>
        <v>0.2808277143</v>
      </c>
      <c r="S173" s="9">
        <f>revenue[productCost]*revenue[orderQuantity]</f>
        <v>144.9851328</v>
      </c>
    </row>
    <row r="174" ht="15.75" customHeight="1">
      <c r="A174" s="6">
        <v>10312.0</v>
      </c>
      <c r="B174" s="7" t="s">
        <v>50</v>
      </c>
      <c r="C174" s="24" t="str">
        <f>VLOOKUP(revenue[customerID],customers[],2,FALSE)</f>
        <v>Die Wandernde Kuh</v>
      </c>
      <c r="D174" s="24" t="str">
        <f>VLOOKUP(revenue[customerID],customers[],6,FALSE)</f>
        <v>Stuttgart</v>
      </c>
      <c r="E174" s="24" t="str">
        <f>VLOOKUP(revenue[customerID],customers[],9,FALSE)</f>
        <v>Germany</v>
      </c>
      <c r="F174" s="24">
        <v>44827.0</v>
      </c>
      <c r="G174" s="6">
        <v>28.0</v>
      </c>
      <c r="H174" s="9" t="str">
        <f>VLOOKUP(revenue[productID],products[],2,FALSE)</f>
        <v>Rössle Sauerkraut</v>
      </c>
      <c r="I174" s="9" t="str">
        <f>VLOOKUP(revenue[productID],products[],12,FALSE)</f>
        <v>Produce</v>
      </c>
      <c r="J174" s="9">
        <f>VLOOKUP(revenue[productID],products[],IF(YEAR(revenue[orderDate])=2022,8,IF(YEAR(revenue[orderDate])=2023,9,IF(YEAR(revenue[orderDate])=2024,10,NA))),FALSE)</f>
        <v>27.51992272</v>
      </c>
      <c r="K174" s="9">
        <v>36.4</v>
      </c>
      <c r="L174" s="25">
        <f>(revenue[orderPrice]-revenue[productCost])/revenue[productCost]</f>
        <v>0.3226781326</v>
      </c>
      <c r="M174" s="10">
        <v>4.0</v>
      </c>
      <c r="N174" s="25">
        <v>0.0</v>
      </c>
      <c r="O174" s="9">
        <f>revenue[orderPrice]*revenue[orderQuantity]</f>
        <v>145.6</v>
      </c>
      <c r="P174" s="9">
        <f>revenue[orderTotal]*(1-revenue[discountApllied])</f>
        <v>145.6</v>
      </c>
      <c r="Q174" s="9">
        <f>revenue[revenue]-(revenue[productCost]*revenue[orderQuantity])</f>
        <v>35.5203091</v>
      </c>
      <c r="R174" s="25">
        <f>IFERROR(revenue[profit]/revenue[revenue], 0)</f>
        <v>0.2439581669</v>
      </c>
      <c r="S174" s="9">
        <f>revenue[productCost]*revenue[orderQuantity]</f>
        <v>110.0796909</v>
      </c>
    </row>
    <row r="175" ht="15.75" customHeight="1">
      <c r="A175" s="6">
        <v>10312.0</v>
      </c>
      <c r="B175" s="7" t="s">
        <v>50</v>
      </c>
      <c r="C175" s="24" t="str">
        <f>VLOOKUP(revenue[customerID],customers[],2,FALSE)</f>
        <v>Die Wandernde Kuh</v>
      </c>
      <c r="D175" s="24" t="str">
        <f>VLOOKUP(revenue[customerID],customers[],6,FALSE)</f>
        <v>Stuttgart</v>
      </c>
      <c r="E175" s="24" t="str">
        <f>VLOOKUP(revenue[customerID],customers[],9,FALSE)</f>
        <v>Germany</v>
      </c>
      <c r="F175" s="24">
        <v>44827.0</v>
      </c>
      <c r="G175" s="6">
        <v>43.0</v>
      </c>
      <c r="H175" s="9" t="str">
        <f>VLOOKUP(revenue[productID],products[],2,FALSE)</f>
        <v>Ipoh Coffee</v>
      </c>
      <c r="I175" s="9" t="str">
        <f>VLOOKUP(revenue[productID],products[],12,FALSE)</f>
        <v>Beverages</v>
      </c>
      <c r="J175" s="9">
        <f>VLOOKUP(revenue[productID],products[],IF(YEAR(revenue[orderDate])=2022,8,IF(YEAR(revenue[orderDate])=2023,9,IF(YEAR(revenue[orderDate])=2024,10,NA))),FALSE)</f>
        <v>25.79491918</v>
      </c>
      <c r="K175" s="9">
        <v>36.8</v>
      </c>
      <c r="L175" s="25">
        <f>(revenue[orderPrice]-revenue[productCost])/revenue[productCost]</f>
        <v>0.4266375384</v>
      </c>
      <c r="M175" s="10">
        <v>24.0</v>
      </c>
      <c r="N175" s="25">
        <v>0.0</v>
      </c>
      <c r="O175" s="9">
        <f>revenue[orderPrice]*revenue[orderQuantity]</f>
        <v>883.2</v>
      </c>
      <c r="P175" s="9">
        <f>revenue[orderTotal]*(1-revenue[discountApllied])</f>
        <v>883.2</v>
      </c>
      <c r="Q175" s="9">
        <f>revenue[revenue]-(revenue[productCost]*revenue[orderQuantity])</f>
        <v>264.1219397</v>
      </c>
      <c r="R175" s="25">
        <f>IFERROR(revenue[profit]/revenue[revenue], 0)</f>
        <v>0.2990511093</v>
      </c>
      <c r="S175" s="9">
        <f>revenue[productCost]*revenue[orderQuantity]</f>
        <v>619.0780603</v>
      </c>
    </row>
    <row r="176" ht="15.75" customHeight="1">
      <c r="A176" s="6">
        <v>10312.0</v>
      </c>
      <c r="B176" s="7" t="s">
        <v>50</v>
      </c>
      <c r="C176" s="24" t="str">
        <f>VLOOKUP(revenue[customerID],customers[],2,FALSE)</f>
        <v>Die Wandernde Kuh</v>
      </c>
      <c r="D176" s="24" t="str">
        <f>VLOOKUP(revenue[customerID],customers[],6,FALSE)</f>
        <v>Stuttgart</v>
      </c>
      <c r="E176" s="24" t="str">
        <f>VLOOKUP(revenue[customerID],customers[],9,FALSE)</f>
        <v>Germany</v>
      </c>
      <c r="F176" s="24">
        <v>44827.0</v>
      </c>
      <c r="G176" s="6">
        <v>53.0</v>
      </c>
      <c r="H176" s="9" t="str">
        <f>VLOOKUP(revenue[productID],products[],2,FALSE)</f>
        <v>Perth Pasties</v>
      </c>
      <c r="I176" s="9" t="str">
        <f>VLOOKUP(revenue[productID],products[],12,FALSE)</f>
        <v>Meat/Poultry</v>
      </c>
      <c r="J176" s="9">
        <f>VLOOKUP(revenue[productID],products[],IF(YEAR(revenue[orderDate])=2022,8,IF(YEAR(revenue[orderDate])=2023,9,IF(YEAR(revenue[orderDate])=2024,10,NA))),FALSE)</f>
        <v>18.33322006</v>
      </c>
      <c r="K176" s="9">
        <v>26.2</v>
      </c>
      <c r="L176" s="25">
        <f>(revenue[orderPrice]-revenue[productCost])/revenue[productCost]</f>
        <v>0.4290997391</v>
      </c>
      <c r="M176" s="10">
        <v>20.0</v>
      </c>
      <c r="N176" s="25">
        <v>0.0</v>
      </c>
      <c r="O176" s="9">
        <f>revenue[orderPrice]*revenue[orderQuantity]</f>
        <v>524</v>
      </c>
      <c r="P176" s="9">
        <f>revenue[orderTotal]*(1-revenue[discountApllied])</f>
        <v>524</v>
      </c>
      <c r="Q176" s="9">
        <f>revenue[revenue]-(revenue[productCost]*revenue[orderQuantity])</f>
        <v>157.3355989</v>
      </c>
      <c r="R176" s="25">
        <f>IFERROR(revenue[profit]/revenue[revenue], 0)</f>
        <v>0.3002587765</v>
      </c>
      <c r="S176" s="9">
        <f>revenue[productCost]*revenue[orderQuantity]</f>
        <v>366.6644011</v>
      </c>
    </row>
    <row r="177" ht="15.75" customHeight="1">
      <c r="A177" s="6">
        <v>10312.0</v>
      </c>
      <c r="B177" s="7" t="s">
        <v>50</v>
      </c>
      <c r="C177" s="24" t="str">
        <f>VLOOKUP(revenue[customerID],customers[],2,FALSE)</f>
        <v>Die Wandernde Kuh</v>
      </c>
      <c r="D177" s="24" t="str">
        <f>VLOOKUP(revenue[customerID],customers[],6,FALSE)</f>
        <v>Stuttgart</v>
      </c>
      <c r="E177" s="24" t="str">
        <f>VLOOKUP(revenue[customerID],customers[],9,FALSE)</f>
        <v>Germany</v>
      </c>
      <c r="F177" s="24">
        <v>44827.0</v>
      </c>
      <c r="G177" s="6">
        <v>75.0</v>
      </c>
      <c r="H177" s="9" t="str">
        <f>VLOOKUP(revenue[productID],products[],2,FALSE)</f>
        <v>Rhönbräu Klosterbier</v>
      </c>
      <c r="I177" s="9" t="str">
        <f>VLOOKUP(revenue[productID],products[],12,FALSE)</f>
        <v>Beverages</v>
      </c>
      <c r="J177" s="9">
        <f>VLOOKUP(revenue[productID],products[],IF(YEAR(revenue[orderDate])=2022,8,IF(YEAR(revenue[orderDate])=2023,9,IF(YEAR(revenue[orderDate])=2024,10,NA))),FALSE)</f>
        <v>4.269033823</v>
      </c>
      <c r="K177" s="9">
        <v>6.2</v>
      </c>
      <c r="L177" s="25">
        <f>(revenue[orderPrice]-revenue[productCost])/revenue[productCost]</f>
        <v>0.4523192499</v>
      </c>
      <c r="M177" s="10">
        <v>10.0</v>
      </c>
      <c r="N177" s="25">
        <v>0.0</v>
      </c>
      <c r="O177" s="9">
        <f>revenue[orderPrice]*revenue[orderQuantity]</f>
        <v>62</v>
      </c>
      <c r="P177" s="9">
        <f>revenue[orderTotal]*(1-revenue[discountApllied])</f>
        <v>62</v>
      </c>
      <c r="Q177" s="9">
        <f>revenue[revenue]-(revenue[productCost]*revenue[orderQuantity])</f>
        <v>19.30966177</v>
      </c>
      <c r="R177" s="25">
        <f>IFERROR(revenue[profit]/revenue[revenue], 0)</f>
        <v>0.3114461575</v>
      </c>
      <c r="S177" s="9">
        <f>revenue[productCost]*revenue[orderQuantity]</f>
        <v>42.69033823</v>
      </c>
    </row>
    <row r="178" ht="15.75" customHeight="1">
      <c r="A178" s="6">
        <v>10313.0</v>
      </c>
      <c r="B178" s="7" t="s">
        <v>36</v>
      </c>
      <c r="C178" s="24" t="str">
        <f>VLOOKUP(revenue[customerID],customers[],2,FALSE)</f>
        <v>QUICK-Stop</v>
      </c>
      <c r="D178" s="24" t="str">
        <f>VLOOKUP(revenue[customerID],customers[],6,FALSE)</f>
        <v>Cunewalde</v>
      </c>
      <c r="E178" s="24" t="str">
        <f>VLOOKUP(revenue[customerID],customers[],9,FALSE)</f>
        <v>Germany</v>
      </c>
      <c r="F178" s="24">
        <v>44828.0</v>
      </c>
      <c r="G178" s="6">
        <v>36.0</v>
      </c>
      <c r="H178" s="9" t="str">
        <f>VLOOKUP(revenue[productID],products[],2,FALSE)</f>
        <v>Inlagd Sill</v>
      </c>
      <c r="I178" s="9" t="str">
        <f>VLOOKUP(revenue[productID],products[],12,FALSE)</f>
        <v>Seafood</v>
      </c>
      <c r="J178" s="9">
        <f>VLOOKUP(revenue[productID],products[],IF(YEAR(revenue[orderDate])=2022,8,IF(YEAR(revenue[orderDate])=2023,9,IF(YEAR(revenue[orderDate])=2024,10,NA))),FALSE)</f>
        <v>9.768238429</v>
      </c>
      <c r="K178" s="9">
        <v>15.2</v>
      </c>
      <c r="L178" s="25">
        <f>(revenue[orderPrice]-revenue[productCost])/revenue[productCost]</f>
        <v>0.5560635738</v>
      </c>
      <c r="M178" s="10">
        <v>12.0</v>
      </c>
      <c r="N178" s="25">
        <v>0.0</v>
      </c>
      <c r="O178" s="9">
        <f>revenue[orderPrice]*revenue[orderQuantity]</f>
        <v>182.4</v>
      </c>
      <c r="P178" s="9">
        <f>revenue[orderTotal]*(1-revenue[discountApllied])</f>
        <v>182.4</v>
      </c>
      <c r="Q178" s="9">
        <f>revenue[revenue]-(revenue[productCost]*revenue[orderQuantity])</f>
        <v>65.18113885</v>
      </c>
      <c r="R178" s="25">
        <f>IFERROR(revenue[profit]/revenue[revenue], 0)</f>
        <v>0.3573527349</v>
      </c>
      <c r="S178" s="9">
        <f>revenue[productCost]*revenue[orderQuantity]</f>
        <v>117.2188612</v>
      </c>
    </row>
    <row r="179" ht="15.75" customHeight="1">
      <c r="A179" s="6">
        <v>10314.0</v>
      </c>
      <c r="B179" s="7" t="s">
        <v>28</v>
      </c>
      <c r="C179" s="24" t="str">
        <f>VLOOKUP(revenue[customerID],customers[],2,FALSE)</f>
        <v>Rattlesnake Canyon Grocery</v>
      </c>
      <c r="D179" s="24" t="str">
        <f>VLOOKUP(revenue[customerID],customers[],6,FALSE)</f>
        <v>Albuquerque</v>
      </c>
      <c r="E179" s="24" t="str">
        <f>VLOOKUP(revenue[customerID],customers[],9,FALSE)</f>
        <v>USA</v>
      </c>
      <c r="F179" s="24">
        <v>44829.0</v>
      </c>
      <c r="G179" s="6">
        <v>32.0</v>
      </c>
      <c r="H179" s="9" t="str">
        <f>VLOOKUP(revenue[productID],products[],2,FALSE)</f>
        <v>Mascarpone Fabioli</v>
      </c>
      <c r="I179" s="9" t="str">
        <f>VLOOKUP(revenue[productID],products[],12,FALSE)</f>
        <v>Dairy Products</v>
      </c>
      <c r="J179" s="9">
        <f>VLOOKUP(revenue[productID],products[],IF(YEAR(revenue[orderDate])=2022,8,IF(YEAR(revenue[orderDate])=2023,9,IF(YEAR(revenue[orderDate])=2024,10,NA))),FALSE)</f>
        <v>14.65492467</v>
      </c>
      <c r="K179" s="9">
        <v>25.6</v>
      </c>
      <c r="L179" s="25">
        <f>(revenue[orderPrice]-revenue[productCost])/revenue[productCost]</f>
        <v>0.7468530603</v>
      </c>
      <c r="M179" s="10">
        <v>40.0</v>
      </c>
      <c r="N179" s="25">
        <v>0.1</v>
      </c>
      <c r="O179" s="9">
        <f>revenue[orderPrice]*revenue[orderQuantity]</f>
        <v>1024</v>
      </c>
      <c r="P179" s="9">
        <f>revenue[orderTotal]*(1-revenue[discountApllied])</f>
        <v>921.6</v>
      </c>
      <c r="Q179" s="9">
        <f>revenue[revenue]-(revenue[productCost]*revenue[orderQuantity])</f>
        <v>335.4030134</v>
      </c>
      <c r="R179" s="25">
        <f>IFERROR(revenue[profit]/revenue[revenue], 0)</f>
        <v>0.3639355614</v>
      </c>
      <c r="S179" s="9">
        <f>revenue[productCost]*revenue[orderQuantity]</f>
        <v>586.1969866</v>
      </c>
    </row>
    <row r="180" ht="15.75" customHeight="1">
      <c r="A180" s="6">
        <v>10314.0</v>
      </c>
      <c r="B180" s="7" t="s">
        <v>28</v>
      </c>
      <c r="C180" s="24" t="str">
        <f>VLOOKUP(revenue[customerID],customers[],2,FALSE)</f>
        <v>Rattlesnake Canyon Grocery</v>
      </c>
      <c r="D180" s="24" t="str">
        <f>VLOOKUP(revenue[customerID],customers[],6,FALSE)</f>
        <v>Albuquerque</v>
      </c>
      <c r="E180" s="24" t="str">
        <f>VLOOKUP(revenue[customerID],customers[],9,FALSE)</f>
        <v>USA</v>
      </c>
      <c r="F180" s="24">
        <v>44829.0</v>
      </c>
      <c r="G180" s="6">
        <v>58.0</v>
      </c>
      <c r="H180" s="9" t="str">
        <f>VLOOKUP(revenue[productID],products[],2,FALSE)</f>
        <v>Escargots de Bourgogne</v>
      </c>
      <c r="I180" s="9" t="str">
        <f>VLOOKUP(revenue[productID],products[],12,FALSE)</f>
        <v>Seafood</v>
      </c>
      <c r="J180" s="9">
        <f>VLOOKUP(revenue[productID],products[],IF(YEAR(revenue[orderDate])=2022,8,IF(YEAR(revenue[orderDate])=2023,9,IF(YEAR(revenue[orderDate])=2024,10,NA))),FALSE)</f>
        <v>6.388939317</v>
      </c>
      <c r="K180" s="9">
        <v>10.6</v>
      </c>
      <c r="L180" s="25">
        <f>(revenue[orderPrice]-revenue[productCost])/revenue[productCost]</f>
        <v>0.6591173392</v>
      </c>
      <c r="M180" s="10">
        <v>30.0</v>
      </c>
      <c r="N180" s="25">
        <v>0.1</v>
      </c>
      <c r="O180" s="9">
        <f>revenue[orderPrice]*revenue[orderQuantity]</f>
        <v>318</v>
      </c>
      <c r="P180" s="9">
        <f>revenue[orderTotal]*(1-revenue[discountApllied])</f>
        <v>286.2</v>
      </c>
      <c r="Q180" s="9">
        <f>revenue[revenue]-(revenue[productCost]*revenue[orderQuantity])</f>
        <v>94.53182049</v>
      </c>
      <c r="R180" s="25">
        <f>IFERROR(revenue[profit]/revenue[revenue], 0)</f>
        <v>0.330299862</v>
      </c>
      <c r="S180" s="9">
        <f>revenue[productCost]*revenue[orderQuantity]</f>
        <v>191.6681795</v>
      </c>
    </row>
    <row r="181" ht="15.75" customHeight="1">
      <c r="A181" s="6">
        <v>10314.0</v>
      </c>
      <c r="B181" s="7" t="s">
        <v>28</v>
      </c>
      <c r="C181" s="24" t="str">
        <f>VLOOKUP(revenue[customerID],customers[],2,FALSE)</f>
        <v>Rattlesnake Canyon Grocery</v>
      </c>
      <c r="D181" s="24" t="str">
        <f>VLOOKUP(revenue[customerID],customers[],6,FALSE)</f>
        <v>Albuquerque</v>
      </c>
      <c r="E181" s="24" t="str">
        <f>VLOOKUP(revenue[customerID],customers[],9,FALSE)</f>
        <v>USA</v>
      </c>
      <c r="F181" s="24">
        <v>44829.0</v>
      </c>
      <c r="G181" s="6">
        <v>62.0</v>
      </c>
      <c r="H181" s="9" t="str">
        <f>VLOOKUP(revenue[productID],products[],2,FALSE)</f>
        <v>Tarte au sucre</v>
      </c>
      <c r="I181" s="9" t="str">
        <f>VLOOKUP(revenue[productID],products[],12,FALSE)</f>
        <v>Confections</v>
      </c>
      <c r="J181" s="9">
        <f>VLOOKUP(revenue[productID],products[],IF(YEAR(revenue[orderDate])=2022,8,IF(YEAR(revenue[orderDate])=2023,9,IF(YEAR(revenue[orderDate])=2024,10,NA))),FALSE)</f>
        <v>29.35963319</v>
      </c>
      <c r="K181" s="9">
        <v>39.4</v>
      </c>
      <c r="L181" s="25">
        <f>(revenue[orderPrice]-revenue[productCost])/revenue[productCost]</f>
        <v>0.3419786189</v>
      </c>
      <c r="M181" s="10">
        <v>25.0</v>
      </c>
      <c r="N181" s="25">
        <v>0.1</v>
      </c>
      <c r="O181" s="9">
        <f>revenue[orderPrice]*revenue[orderQuantity]</f>
        <v>985</v>
      </c>
      <c r="P181" s="9">
        <f>revenue[orderTotal]*(1-revenue[discountApllied])</f>
        <v>886.5</v>
      </c>
      <c r="Q181" s="9">
        <f>revenue[revenue]-(revenue[productCost]*revenue[orderQuantity])</f>
        <v>152.5091702</v>
      </c>
      <c r="R181" s="25">
        <f>IFERROR(revenue[profit]/revenue[revenue], 0)</f>
        <v>0.172035161</v>
      </c>
      <c r="S181" s="9">
        <f>revenue[productCost]*revenue[orderQuantity]</f>
        <v>733.9908298</v>
      </c>
    </row>
    <row r="182" ht="15.75" customHeight="1">
      <c r="A182" s="6">
        <v>10315.0</v>
      </c>
      <c r="B182" s="7" t="s">
        <v>57</v>
      </c>
      <c r="C182" s="24" t="str">
        <f>VLOOKUP(revenue[customerID],customers[],2,FALSE)</f>
        <v>Island Trading</v>
      </c>
      <c r="D182" s="24" t="str">
        <f>VLOOKUP(revenue[customerID],customers[],6,FALSE)</f>
        <v>Cowes</v>
      </c>
      <c r="E182" s="24" t="str">
        <f>VLOOKUP(revenue[customerID],customers[],9,FALSE)</f>
        <v>UK</v>
      </c>
      <c r="F182" s="24">
        <v>44830.0</v>
      </c>
      <c r="G182" s="6">
        <v>34.0</v>
      </c>
      <c r="H182" s="9" t="str">
        <f>VLOOKUP(revenue[productID],products[],2,FALSE)</f>
        <v>Sasquatch Ale</v>
      </c>
      <c r="I182" s="9" t="str">
        <f>VLOOKUP(revenue[productID],products[],12,FALSE)</f>
        <v>Beverages</v>
      </c>
      <c r="J182" s="9">
        <f>VLOOKUP(revenue[productID],products[],IF(YEAR(revenue[orderDate])=2022,8,IF(YEAR(revenue[orderDate])=2023,9,IF(YEAR(revenue[orderDate])=2024,10,NA))),FALSE)</f>
        <v>8.233671911</v>
      </c>
      <c r="K182" s="9">
        <v>11.2</v>
      </c>
      <c r="L182" s="25">
        <f>(revenue[orderPrice]-revenue[productCost])/revenue[productCost]</f>
        <v>0.3602679486</v>
      </c>
      <c r="M182" s="10">
        <v>14.0</v>
      </c>
      <c r="N182" s="25">
        <v>0.0</v>
      </c>
      <c r="O182" s="9">
        <f>revenue[orderPrice]*revenue[orderQuantity]</f>
        <v>156.8</v>
      </c>
      <c r="P182" s="9">
        <f>revenue[orderTotal]*(1-revenue[discountApllied])</f>
        <v>156.8</v>
      </c>
      <c r="Q182" s="9">
        <f>revenue[revenue]-(revenue[productCost]*revenue[orderQuantity])</f>
        <v>41.52859325</v>
      </c>
      <c r="R182" s="25">
        <f>IFERROR(revenue[profit]/revenue[revenue], 0)</f>
        <v>0.2648507222</v>
      </c>
      <c r="S182" s="9">
        <f>revenue[productCost]*revenue[orderQuantity]</f>
        <v>115.2714068</v>
      </c>
    </row>
    <row r="183" ht="15.75" customHeight="1">
      <c r="A183" s="6">
        <v>10315.0</v>
      </c>
      <c r="B183" s="7" t="s">
        <v>57</v>
      </c>
      <c r="C183" s="24" t="str">
        <f>VLOOKUP(revenue[customerID],customers[],2,FALSE)</f>
        <v>Island Trading</v>
      </c>
      <c r="D183" s="24" t="str">
        <f>VLOOKUP(revenue[customerID],customers[],6,FALSE)</f>
        <v>Cowes</v>
      </c>
      <c r="E183" s="24" t="str">
        <f>VLOOKUP(revenue[customerID],customers[],9,FALSE)</f>
        <v>UK</v>
      </c>
      <c r="F183" s="24">
        <v>44830.0</v>
      </c>
      <c r="G183" s="6">
        <v>70.0</v>
      </c>
      <c r="H183" s="9" t="str">
        <f>VLOOKUP(revenue[productID],products[],2,FALSE)</f>
        <v>Outback Lager</v>
      </c>
      <c r="I183" s="9" t="str">
        <f>VLOOKUP(revenue[productID],products[],12,FALSE)</f>
        <v>Beverages</v>
      </c>
      <c r="J183" s="9">
        <f>VLOOKUP(revenue[productID],products[],IF(YEAR(revenue[orderDate])=2022,8,IF(YEAR(revenue[orderDate])=2023,9,IF(YEAR(revenue[orderDate])=2024,10,NA))),FALSE)</f>
        <v>8.037520944</v>
      </c>
      <c r="K183" s="9">
        <v>12.0</v>
      </c>
      <c r="L183" s="25">
        <f>(revenue[orderPrice]-revenue[productCost])/revenue[productCost]</f>
        <v>0.4929976648</v>
      </c>
      <c r="M183" s="10">
        <v>30.0</v>
      </c>
      <c r="N183" s="25">
        <v>0.0</v>
      </c>
      <c r="O183" s="9">
        <f>revenue[orderPrice]*revenue[orderQuantity]</f>
        <v>360</v>
      </c>
      <c r="P183" s="9">
        <f>revenue[orderTotal]*(1-revenue[discountApllied])</f>
        <v>360</v>
      </c>
      <c r="Q183" s="9">
        <f>revenue[revenue]-(revenue[productCost]*revenue[orderQuantity])</f>
        <v>118.8743717</v>
      </c>
      <c r="R183" s="25">
        <f>IFERROR(revenue[profit]/revenue[revenue], 0)</f>
        <v>0.330206588</v>
      </c>
      <c r="S183" s="9">
        <f>revenue[productCost]*revenue[orderQuantity]</f>
        <v>241.1256283</v>
      </c>
    </row>
    <row r="184" ht="15.75" customHeight="1">
      <c r="A184" s="6">
        <v>10316.0</v>
      </c>
      <c r="B184" s="7" t="s">
        <v>28</v>
      </c>
      <c r="C184" s="24" t="str">
        <f>VLOOKUP(revenue[customerID],customers[],2,FALSE)</f>
        <v>Rattlesnake Canyon Grocery</v>
      </c>
      <c r="D184" s="24" t="str">
        <f>VLOOKUP(revenue[customerID],customers[],6,FALSE)</f>
        <v>Albuquerque</v>
      </c>
      <c r="E184" s="24" t="str">
        <f>VLOOKUP(revenue[customerID],customers[],9,FALSE)</f>
        <v>USA</v>
      </c>
      <c r="F184" s="24">
        <v>44831.0</v>
      </c>
      <c r="G184" s="6">
        <v>41.0</v>
      </c>
      <c r="H184" s="9" t="str">
        <f>VLOOKUP(revenue[productID],products[],2,FALSE)</f>
        <v>Jack's New England Clam Chowder</v>
      </c>
      <c r="I184" s="9" t="str">
        <f>VLOOKUP(revenue[productID],products[],12,FALSE)</f>
        <v>Seafood</v>
      </c>
      <c r="J184" s="9">
        <f>VLOOKUP(revenue[productID],products[],IF(YEAR(revenue[orderDate])=2022,8,IF(YEAR(revenue[orderDate])=2023,9,IF(YEAR(revenue[orderDate])=2024,10,NA))),FALSE)</f>
        <v>5.170198742</v>
      </c>
      <c r="K184" s="9">
        <v>7.7</v>
      </c>
      <c r="L184" s="25">
        <f>(revenue[orderPrice]-revenue[productCost])/revenue[productCost]</f>
        <v>0.4893044511</v>
      </c>
      <c r="M184" s="10">
        <v>10.0</v>
      </c>
      <c r="N184" s="25">
        <v>0.0</v>
      </c>
      <c r="O184" s="9">
        <f>revenue[orderPrice]*revenue[orderQuantity]</f>
        <v>77</v>
      </c>
      <c r="P184" s="9">
        <f>revenue[orderTotal]*(1-revenue[discountApllied])</f>
        <v>77</v>
      </c>
      <c r="Q184" s="9">
        <f>revenue[revenue]-(revenue[productCost]*revenue[orderQuantity])</f>
        <v>25.29801258</v>
      </c>
      <c r="R184" s="25">
        <f>IFERROR(revenue[profit]/revenue[revenue], 0)</f>
        <v>0.3285456179</v>
      </c>
      <c r="S184" s="9">
        <f>revenue[productCost]*revenue[orderQuantity]</f>
        <v>51.70198742</v>
      </c>
    </row>
    <row r="185" ht="15.75" customHeight="1">
      <c r="A185" s="6">
        <v>10316.0</v>
      </c>
      <c r="B185" s="7" t="s">
        <v>28</v>
      </c>
      <c r="C185" s="24" t="str">
        <f>VLOOKUP(revenue[customerID],customers[],2,FALSE)</f>
        <v>Rattlesnake Canyon Grocery</v>
      </c>
      <c r="D185" s="24" t="str">
        <f>VLOOKUP(revenue[customerID],customers[],6,FALSE)</f>
        <v>Albuquerque</v>
      </c>
      <c r="E185" s="24" t="str">
        <f>VLOOKUP(revenue[customerID],customers[],9,FALSE)</f>
        <v>USA</v>
      </c>
      <c r="F185" s="24">
        <v>44831.0</v>
      </c>
      <c r="G185" s="6">
        <v>62.0</v>
      </c>
      <c r="H185" s="9" t="str">
        <f>VLOOKUP(revenue[productID],products[],2,FALSE)</f>
        <v>Tarte au sucre</v>
      </c>
      <c r="I185" s="9" t="str">
        <f>VLOOKUP(revenue[productID],products[],12,FALSE)</f>
        <v>Confections</v>
      </c>
      <c r="J185" s="9">
        <f>VLOOKUP(revenue[productID],products[],IF(YEAR(revenue[orderDate])=2022,8,IF(YEAR(revenue[orderDate])=2023,9,IF(YEAR(revenue[orderDate])=2024,10,NA))),FALSE)</f>
        <v>29.35963319</v>
      </c>
      <c r="K185" s="9">
        <v>39.4</v>
      </c>
      <c r="L185" s="25">
        <f>(revenue[orderPrice]-revenue[productCost])/revenue[productCost]</f>
        <v>0.3419786189</v>
      </c>
      <c r="M185" s="10">
        <v>70.0</v>
      </c>
      <c r="N185" s="25">
        <v>0.0</v>
      </c>
      <c r="O185" s="9">
        <f>revenue[orderPrice]*revenue[orderQuantity]</f>
        <v>2758</v>
      </c>
      <c r="P185" s="9">
        <f>revenue[orderTotal]*(1-revenue[discountApllied])</f>
        <v>2758</v>
      </c>
      <c r="Q185" s="9">
        <f>revenue[revenue]-(revenue[productCost]*revenue[orderQuantity])</f>
        <v>702.8256767</v>
      </c>
      <c r="R185" s="25">
        <f>IFERROR(revenue[profit]/revenue[revenue], 0)</f>
        <v>0.2548316449</v>
      </c>
      <c r="S185" s="9">
        <f>revenue[productCost]*revenue[orderQuantity]</f>
        <v>2055.174323</v>
      </c>
    </row>
    <row r="186" ht="15.75" customHeight="1">
      <c r="A186" s="6">
        <v>10317.0</v>
      </c>
      <c r="B186" s="7" t="s">
        <v>53</v>
      </c>
      <c r="C186" s="24" t="str">
        <f>VLOOKUP(revenue[customerID],customers[],2,FALSE)</f>
        <v>Lonesome Pine Restaurant</v>
      </c>
      <c r="D186" s="24" t="str">
        <f>VLOOKUP(revenue[customerID],customers[],6,FALSE)</f>
        <v>Portland</v>
      </c>
      <c r="E186" s="24" t="str">
        <f>VLOOKUP(revenue[customerID],customers[],9,FALSE)</f>
        <v>USA</v>
      </c>
      <c r="F186" s="24">
        <v>44834.0</v>
      </c>
      <c r="G186" s="6">
        <v>1.0</v>
      </c>
      <c r="H186" s="9" t="str">
        <f>VLOOKUP(revenue[productID],products[],2,FALSE)</f>
        <v>Chai</v>
      </c>
      <c r="I186" s="9" t="str">
        <f>VLOOKUP(revenue[productID],products[],12,FALSE)</f>
        <v>Beverages</v>
      </c>
      <c r="J186" s="9">
        <f>VLOOKUP(revenue[productID],products[],IF(YEAR(revenue[orderDate])=2022,8,IF(YEAR(revenue[orderDate])=2023,9,IF(YEAR(revenue[orderDate])=2024,10,NA))),FALSE)</f>
        <v>9.574207217</v>
      </c>
      <c r="K186" s="9">
        <v>14.4</v>
      </c>
      <c r="L186" s="25">
        <f>(revenue[orderPrice]-revenue[productCost])/revenue[productCost]</f>
        <v>0.5040409795</v>
      </c>
      <c r="M186" s="10">
        <v>20.0</v>
      </c>
      <c r="N186" s="25">
        <v>0.0</v>
      </c>
      <c r="O186" s="9">
        <f>revenue[orderPrice]*revenue[orderQuantity]</f>
        <v>288</v>
      </c>
      <c r="P186" s="9">
        <f>revenue[orderTotal]*(1-revenue[discountApllied])</f>
        <v>288</v>
      </c>
      <c r="Q186" s="9">
        <f>revenue[revenue]-(revenue[productCost]*revenue[orderQuantity])</f>
        <v>96.51585567</v>
      </c>
      <c r="R186" s="25">
        <f>IFERROR(revenue[profit]/revenue[revenue], 0)</f>
        <v>0.3351244989</v>
      </c>
      <c r="S186" s="9">
        <f>revenue[productCost]*revenue[orderQuantity]</f>
        <v>191.4841443</v>
      </c>
    </row>
    <row r="187" ht="15.75" customHeight="1">
      <c r="A187" s="6">
        <v>10318.0</v>
      </c>
      <c r="B187" s="7" t="s">
        <v>57</v>
      </c>
      <c r="C187" s="24" t="str">
        <f>VLOOKUP(revenue[customerID],customers[],2,FALSE)</f>
        <v>Island Trading</v>
      </c>
      <c r="D187" s="24" t="str">
        <f>VLOOKUP(revenue[customerID],customers[],6,FALSE)</f>
        <v>Cowes</v>
      </c>
      <c r="E187" s="24" t="str">
        <f>VLOOKUP(revenue[customerID],customers[],9,FALSE)</f>
        <v>UK</v>
      </c>
      <c r="F187" s="24">
        <v>44835.0</v>
      </c>
      <c r="G187" s="6">
        <v>41.0</v>
      </c>
      <c r="H187" s="9" t="str">
        <f>VLOOKUP(revenue[productID],products[],2,FALSE)</f>
        <v>Jack's New England Clam Chowder</v>
      </c>
      <c r="I187" s="9" t="str">
        <f>VLOOKUP(revenue[productID],products[],12,FALSE)</f>
        <v>Seafood</v>
      </c>
      <c r="J187" s="9">
        <f>VLOOKUP(revenue[productID],products[],IF(YEAR(revenue[orderDate])=2022,8,IF(YEAR(revenue[orderDate])=2023,9,IF(YEAR(revenue[orderDate])=2024,10,NA))),FALSE)</f>
        <v>5.170198742</v>
      </c>
      <c r="K187" s="9">
        <v>7.7</v>
      </c>
      <c r="L187" s="25">
        <f>(revenue[orderPrice]-revenue[productCost])/revenue[productCost]</f>
        <v>0.4893044511</v>
      </c>
      <c r="M187" s="10">
        <v>20.0</v>
      </c>
      <c r="N187" s="25">
        <v>0.0</v>
      </c>
      <c r="O187" s="9">
        <f>revenue[orderPrice]*revenue[orderQuantity]</f>
        <v>154</v>
      </c>
      <c r="P187" s="9">
        <f>revenue[orderTotal]*(1-revenue[discountApllied])</f>
        <v>154</v>
      </c>
      <c r="Q187" s="9">
        <f>revenue[revenue]-(revenue[productCost]*revenue[orderQuantity])</f>
        <v>50.59602516</v>
      </c>
      <c r="R187" s="25">
        <f>IFERROR(revenue[profit]/revenue[revenue], 0)</f>
        <v>0.3285456179</v>
      </c>
      <c r="S187" s="9">
        <f>revenue[productCost]*revenue[orderQuantity]</f>
        <v>103.4039748</v>
      </c>
    </row>
    <row r="188" ht="15.75" customHeight="1">
      <c r="A188" s="6">
        <v>10318.0</v>
      </c>
      <c r="B188" s="7" t="s">
        <v>57</v>
      </c>
      <c r="C188" s="24" t="str">
        <f>VLOOKUP(revenue[customerID],customers[],2,FALSE)</f>
        <v>Island Trading</v>
      </c>
      <c r="D188" s="24" t="str">
        <f>VLOOKUP(revenue[customerID],customers[],6,FALSE)</f>
        <v>Cowes</v>
      </c>
      <c r="E188" s="24" t="str">
        <f>VLOOKUP(revenue[customerID],customers[],9,FALSE)</f>
        <v>UK</v>
      </c>
      <c r="F188" s="24">
        <v>44835.0</v>
      </c>
      <c r="G188" s="6">
        <v>76.0</v>
      </c>
      <c r="H188" s="9" t="str">
        <f>VLOOKUP(revenue[productID],products[],2,FALSE)</f>
        <v>Lakkalikööri</v>
      </c>
      <c r="I188" s="9" t="str">
        <f>VLOOKUP(revenue[productID],products[],12,FALSE)</f>
        <v>Beverages</v>
      </c>
      <c r="J188" s="9">
        <f>VLOOKUP(revenue[productID],products[],IF(YEAR(revenue[orderDate])=2022,8,IF(YEAR(revenue[orderDate])=2023,9,IF(YEAR(revenue[orderDate])=2024,10,NA))),FALSE)</f>
        <v>10.19609256</v>
      </c>
      <c r="K188" s="9">
        <v>14.4</v>
      </c>
      <c r="L188" s="25">
        <f>(revenue[orderPrice]-revenue[productCost])/revenue[productCost]</f>
        <v>0.4123057356</v>
      </c>
      <c r="M188" s="10">
        <v>6.0</v>
      </c>
      <c r="N188" s="25">
        <v>0.0</v>
      </c>
      <c r="O188" s="9">
        <f>revenue[orderPrice]*revenue[orderQuantity]</f>
        <v>86.4</v>
      </c>
      <c r="P188" s="9">
        <f>revenue[orderTotal]*(1-revenue[discountApllied])</f>
        <v>86.4</v>
      </c>
      <c r="Q188" s="9">
        <f>revenue[revenue]-(revenue[productCost]*revenue[orderQuantity])</f>
        <v>25.22344465</v>
      </c>
      <c r="R188" s="25">
        <f>IFERROR(revenue[profit]/revenue[revenue], 0)</f>
        <v>0.2919380168</v>
      </c>
      <c r="S188" s="9">
        <f>revenue[productCost]*revenue[orderQuantity]</f>
        <v>61.17655535</v>
      </c>
    </row>
    <row r="189" ht="15.75" customHeight="1">
      <c r="A189" s="6">
        <v>10319.0</v>
      </c>
      <c r="B189" s="7" t="s">
        <v>38</v>
      </c>
      <c r="C189" s="24" t="str">
        <f>VLOOKUP(revenue[customerID],customers[],2,FALSE)</f>
        <v>Tortuga Restaurante</v>
      </c>
      <c r="D189" s="24" t="str">
        <f>VLOOKUP(revenue[customerID],customers[],6,FALSE)</f>
        <v>México D.F.</v>
      </c>
      <c r="E189" s="24" t="str">
        <f>VLOOKUP(revenue[customerID],customers[],9,FALSE)</f>
        <v>Mexico</v>
      </c>
      <c r="F189" s="24">
        <v>44836.0</v>
      </c>
      <c r="G189" s="6">
        <v>17.0</v>
      </c>
      <c r="H189" s="9" t="str">
        <f>VLOOKUP(revenue[productID],products[],2,FALSE)</f>
        <v>Alice Mutton</v>
      </c>
      <c r="I189" s="9" t="str">
        <f>VLOOKUP(revenue[productID],products[],12,FALSE)</f>
        <v>Meat/Poultry</v>
      </c>
      <c r="J189" s="9">
        <f>VLOOKUP(revenue[productID],products[],IF(YEAR(revenue[orderDate])=2022,8,IF(YEAR(revenue[orderDate])=2023,9,IF(YEAR(revenue[orderDate])=2024,10,NA))),FALSE)</f>
        <v>21.25377406</v>
      </c>
      <c r="K189" s="9">
        <v>31.2</v>
      </c>
      <c r="L189" s="25">
        <f>(revenue[orderPrice]-revenue[productCost])/revenue[productCost]</f>
        <v>0.4679745775</v>
      </c>
      <c r="M189" s="10">
        <v>8.0</v>
      </c>
      <c r="N189" s="25">
        <v>0.0</v>
      </c>
      <c r="O189" s="9">
        <f>revenue[orderPrice]*revenue[orderQuantity]</f>
        <v>249.6</v>
      </c>
      <c r="P189" s="9">
        <f>revenue[orderTotal]*(1-revenue[discountApllied])</f>
        <v>249.6</v>
      </c>
      <c r="Q189" s="9">
        <f>revenue[revenue]-(revenue[productCost]*revenue[orderQuantity])</f>
        <v>79.56980749</v>
      </c>
      <c r="R189" s="25">
        <f>IFERROR(revenue[profit]/revenue[revenue], 0)</f>
        <v>0.3187892928</v>
      </c>
      <c r="S189" s="9">
        <f>revenue[productCost]*revenue[orderQuantity]</f>
        <v>170.0301925</v>
      </c>
    </row>
    <row r="190" ht="15.75" customHeight="1">
      <c r="A190" s="6">
        <v>10319.0</v>
      </c>
      <c r="B190" s="7" t="s">
        <v>38</v>
      </c>
      <c r="C190" s="24" t="str">
        <f>VLOOKUP(revenue[customerID],customers[],2,FALSE)</f>
        <v>Tortuga Restaurante</v>
      </c>
      <c r="D190" s="24" t="str">
        <f>VLOOKUP(revenue[customerID],customers[],6,FALSE)</f>
        <v>México D.F.</v>
      </c>
      <c r="E190" s="24" t="str">
        <f>VLOOKUP(revenue[customerID],customers[],9,FALSE)</f>
        <v>Mexico</v>
      </c>
      <c r="F190" s="24">
        <v>44836.0</v>
      </c>
      <c r="G190" s="6">
        <v>28.0</v>
      </c>
      <c r="H190" s="9" t="str">
        <f>VLOOKUP(revenue[productID],products[],2,FALSE)</f>
        <v>Rössle Sauerkraut</v>
      </c>
      <c r="I190" s="9" t="str">
        <f>VLOOKUP(revenue[productID],products[],12,FALSE)</f>
        <v>Produce</v>
      </c>
      <c r="J190" s="9">
        <f>VLOOKUP(revenue[productID],products[],IF(YEAR(revenue[orderDate])=2022,8,IF(YEAR(revenue[orderDate])=2023,9,IF(YEAR(revenue[orderDate])=2024,10,NA))),FALSE)</f>
        <v>27.51992272</v>
      </c>
      <c r="K190" s="9">
        <v>36.4</v>
      </c>
      <c r="L190" s="25">
        <f>(revenue[orderPrice]-revenue[productCost])/revenue[productCost]</f>
        <v>0.3226781326</v>
      </c>
      <c r="M190" s="10">
        <v>14.0</v>
      </c>
      <c r="N190" s="25">
        <v>0.0</v>
      </c>
      <c r="O190" s="9">
        <f>revenue[orderPrice]*revenue[orderQuantity]</f>
        <v>509.6</v>
      </c>
      <c r="P190" s="9">
        <f>revenue[orderTotal]*(1-revenue[discountApllied])</f>
        <v>509.6</v>
      </c>
      <c r="Q190" s="9">
        <f>revenue[revenue]-(revenue[productCost]*revenue[orderQuantity])</f>
        <v>124.3210819</v>
      </c>
      <c r="R190" s="25">
        <f>IFERROR(revenue[profit]/revenue[revenue], 0)</f>
        <v>0.2439581669</v>
      </c>
      <c r="S190" s="9">
        <f>revenue[productCost]*revenue[orderQuantity]</f>
        <v>385.2789181</v>
      </c>
    </row>
    <row r="191" ht="15.75" customHeight="1">
      <c r="A191" s="6">
        <v>10319.0</v>
      </c>
      <c r="B191" s="7" t="s">
        <v>38</v>
      </c>
      <c r="C191" s="24" t="str">
        <f>VLOOKUP(revenue[customerID],customers[],2,FALSE)</f>
        <v>Tortuga Restaurante</v>
      </c>
      <c r="D191" s="24" t="str">
        <f>VLOOKUP(revenue[customerID],customers[],6,FALSE)</f>
        <v>México D.F.</v>
      </c>
      <c r="E191" s="24" t="str">
        <f>VLOOKUP(revenue[customerID],customers[],9,FALSE)</f>
        <v>Mexico</v>
      </c>
      <c r="F191" s="24">
        <v>44836.0</v>
      </c>
      <c r="G191" s="6">
        <v>76.0</v>
      </c>
      <c r="H191" s="9" t="str">
        <f>VLOOKUP(revenue[productID],products[],2,FALSE)</f>
        <v>Lakkalikööri</v>
      </c>
      <c r="I191" s="9" t="str">
        <f>VLOOKUP(revenue[productID],products[],12,FALSE)</f>
        <v>Beverages</v>
      </c>
      <c r="J191" s="9">
        <f>VLOOKUP(revenue[productID],products[],IF(YEAR(revenue[orderDate])=2022,8,IF(YEAR(revenue[orderDate])=2023,9,IF(YEAR(revenue[orderDate])=2024,10,NA))),FALSE)</f>
        <v>10.19609256</v>
      </c>
      <c r="K191" s="9">
        <v>14.4</v>
      </c>
      <c r="L191" s="25">
        <f>(revenue[orderPrice]-revenue[productCost])/revenue[productCost]</f>
        <v>0.4123057356</v>
      </c>
      <c r="M191" s="10">
        <v>30.0</v>
      </c>
      <c r="N191" s="25">
        <v>0.0</v>
      </c>
      <c r="O191" s="9">
        <f>revenue[orderPrice]*revenue[orderQuantity]</f>
        <v>432</v>
      </c>
      <c r="P191" s="9">
        <f>revenue[orderTotal]*(1-revenue[discountApllied])</f>
        <v>432</v>
      </c>
      <c r="Q191" s="9">
        <f>revenue[revenue]-(revenue[productCost]*revenue[orderQuantity])</f>
        <v>126.1172233</v>
      </c>
      <c r="R191" s="25">
        <f>IFERROR(revenue[profit]/revenue[revenue], 0)</f>
        <v>0.2919380168</v>
      </c>
      <c r="S191" s="9">
        <f>revenue[productCost]*revenue[orderQuantity]</f>
        <v>305.8827767</v>
      </c>
    </row>
    <row r="192" ht="15.75" customHeight="1">
      <c r="A192" s="6">
        <v>10320.0</v>
      </c>
      <c r="B192" s="7" t="s">
        <v>31</v>
      </c>
      <c r="C192" s="24" t="str">
        <f>VLOOKUP(revenue[customerID],customers[],2,FALSE)</f>
        <v>Wartian Herkku</v>
      </c>
      <c r="D192" s="24" t="str">
        <f>VLOOKUP(revenue[customerID],customers[],6,FALSE)</f>
        <v>Oulu</v>
      </c>
      <c r="E192" s="24" t="str">
        <f>VLOOKUP(revenue[customerID],customers[],9,FALSE)</f>
        <v>Finland</v>
      </c>
      <c r="F192" s="24">
        <v>44837.0</v>
      </c>
      <c r="G192" s="6">
        <v>71.0</v>
      </c>
      <c r="H192" s="9" t="str">
        <f>VLOOKUP(revenue[productID],products[],2,FALSE)</f>
        <v>Flotemysost</v>
      </c>
      <c r="I192" s="9" t="str">
        <f>VLOOKUP(revenue[productID],products[],12,FALSE)</f>
        <v>Dairy Products</v>
      </c>
      <c r="J192" s="9">
        <f>VLOOKUP(revenue[productID],products[],IF(YEAR(revenue[orderDate])=2022,8,IF(YEAR(revenue[orderDate])=2023,9,IF(YEAR(revenue[orderDate])=2024,10,NA))),FALSE)</f>
        <v>12.00719029</v>
      </c>
      <c r="K192" s="9">
        <v>17.2</v>
      </c>
      <c r="L192" s="25">
        <f>(revenue[orderPrice]-revenue[productCost])/revenue[productCost]</f>
        <v>0.4324750075</v>
      </c>
      <c r="M192" s="10">
        <v>30.0</v>
      </c>
      <c r="N192" s="25">
        <v>0.0</v>
      </c>
      <c r="O192" s="9">
        <f>revenue[orderPrice]*revenue[orderQuantity]</f>
        <v>516</v>
      </c>
      <c r="P192" s="9">
        <f>revenue[orderTotal]*(1-revenue[discountApllied])</f>
        <v>516</v>
      </c>
      <c r="Q192" s="9">
        <f>revenue[revenue]-(revenue[productCost]*revenue[orderQuantity])</f>
        <v>155.7842913</v>
      </c>
      <c r="R192" s="25">
        <f>IFERROR(revenue[profit]/revenue[revenue], 0)</f>
        <v>0.3019075413</v>
      </c>
      <c r="S192" s="9">
        <f>revenue[productCost]*revenue[orderQuantity]</f>
        <v>360.2157087</v>
      </c>
    </row>
    <row r="193" ht="15.75" customHeight="1">
      <c r="A193" s="6">
        <v>10321.0</v>
      </c>
      <c r="B193" s="7" t="s">
        <v>57</v>
      </c>
      <c r="C193" s="24" t="str">
        <f>VLOOKUP(revenue[customerID],customers[],2,FALSE)</f>
        <v>Island Trading</v>
      </c>
      <c r="D193" s="24" t="str">
        <f>VLOOKUP(revenue[customerID],customers[],6,FALSE)</f>
        <v>Cowes</v>
      </c>
      <c r="E193" s="24" t="str">
        <f>VLOOKUP(revenue[customerID],customers[],9,FALSE)</f>
        <v>UK</v>
      </c>
      <c r="F193" s="24">
        <v>44837.0</v>
      </c>
      <c r="G193" s="6">
        <v>35.0</v>
      </c>
      <c r="H193" s="9" t="str">
        <f>VLOOKUP(revenue[productID],products[],2,FALSE)</f>
        <v>Cold Brew Nitro</v>
      </c>
      <c r="I193" s="9" t="str">
        <f>VLOOKUP(revenue[productID],products[],12,FALSE)</f>
        <v>Beverages</v>
      </c>
      <c r="J193" s="9">
        <f>VLOOKUP(revenue[productID],products[],IF(YEAR(revenue[orderDate])=2022,8,IF(YEAR(revenue[orderDate])=2023,9,IF(YEAR(revenue[orderDate])=2024,10,NA))),FALSE)</f>
        <v>10.19869089</v>
      </c>
      <c r="K193" s="9">
        <v>14.4</v>
      </c>
      <c r="L193" s="25">
        <f>(revenue[orderPrice]-revenue[productCost])/revenue[productCost]</f>
        <v>0.4119459208</v>
      </c>
      <c r="M193" s="10">
        <v>10.0</v>
      </c>
      <c r="N193" s="25">
        <v>0.0</v>
      </c>
      <c r="O193" s="9">
        <f>revenue[orderPrice]*revenue[orderQuantity]</f>
        <v>144</v>
      </c>
      <c r="P193" s="9">
        <f>revenue[orderTotal]*(1-revenue[discountApllied])</f>
        <v>144</v>
      </c>
      <c r="Q193" s="9">
        <f>revenue[revenue]-(revenue[productCost]*revenue[orderQuantity])</f>
        <v>42.0130911</v>
      </c>
      <c r="R193" s="25">
        <f>IFERROR(revenue[profit]/revenue[revenue], 0)</f>
        <v>0.2917575771</v>
      </c>
      <c r="S193" s="9">
        <f>revenue[productCost]*revenue[orderQuantity]</f>
        <v>101.9869089</v>
      </c>
    </row>
    <row r="194" ht="15.75" customHeight="1">
      <c r="A194" s="6">
        <v>10322.0</v>
      </c>
      <c r="B194" s="7" t="s">
        <v>58</v>
      </c>
      <c r="C194" s="24" t="str">
        <f>VLOOKUP(revenue[customerID],customers[],2,FALSE)</f>
        <v>Pericles Comidas clásicas</v>
      </c>
      <c r="D194" s="24" t="str">
        <f>VLOOKUP(revenue[customerID],customers[],6,FALSE)</f>
        <v>México D.F.</v>
      </c>
      <c r="E194" s="24" t="str">
        <f>VLOOKUP(revenue[customerID],customers[],9,FALSE)</f>
        <v>Mexico</v>
      </c>
      <c r="F194" s="24">
        <v>44838.0</v>
      </c>
      <c r="G194" s="6">
        <v>52.0</v>
      </c>
      <c r="H194" s="9" t="str">
        <f>VLOOKUP(revenue[productID],products[],2,FALSE)</f>
        <v>Filo Mix</v>
      </c>
      <c r="I194" s="9" t="str">
        <f>VLOOKUP(revenue[productID],products[],12,FALSE)</f>
        <v>Grains/Cereals</v>
      </c>
      <c r="J194" s="9">
        <f>VLOOKUP(revenue[productID],products[],IF(YEAR(revenue[orderDate])=2022,8,IF(YEAR(revenue[orderDate])=2023,9,IF(YEAR(revenue[orderDate])=2024,10,NA))),FALSE)</f>
        <v>3.853499959</v>
      </c>
      <c r="K194" s="9">
        <v>5.6</v>
      </c>
      <c r="L194" s="25">
        <f>(revenue[orderPrice]-revenue[productCost])/revenue[productCost]</f>
        <v>0.4532243571</v>
      </c>
      <c r="M194" s="10">
        <v>20.0</v>
      </c>
      <c r="N194" s="25">
        <v>0.0</v>
      </c>
      <c r="O194" s="9">
        <f>revenue[orderPrice]*revenue[orderQuantity]</f>
        <v>112</v>
      </c>
      <c r="P194" s="9">
        <f>revenue[orderTotal]*(1-revenue[discountApllied])</f>
        <v>112</v>
      </c>
      <c r="Q194" s="9">
        <f>revenue[revenue]-(revenue[productCost]*revenue[orderQuantity])</f>
        <v>34.93000083</v>
      </c>
      <c r="R194" s="25">
        <f>IFERROR(revenue[profit]/revenue[revenue], 0)</f>
        <v>0.3118750074</v>
      </c>
      <c r="S194" s="9">
        <f>revenue[productCost]*revenue[orderQuantity]</f>
        <v>77.06999917</v>
      </c>
    </row>
    <row r="195" ht="15.75" customHeight="1">
      <c r="A195" s="6">
        <v>10323.0</v>
      </c>
      <c r="B195" s="7" t="s">
        <v>59</v>
      </c>
      <c r="C195" s="24" t="str">
        <f>VLOOKUP(revenue[customerID],customers[],2,FALSE)</f>
        <v>Königlich Essen</v>
      </c>
      <c r="D195" s="24" t="str">
        <f>VLOOKUP(revenue[customerID],customers[],6,FALSE)</f>
        <v>Brandenburg</v>
      </c>
      <c r="E195" s="24" t="str">
        <f>VLOOKUP(revenue[customerID],customers[],9,FALSE)</f>
        <v>Germany</v>
      </c>
      <c r="F195" s="24">
        <v>44841.0</v>
      </c>
      <c r="G195" s="6">
        <v>15.0</v>
      </c>
      <c r="H195" s="9" t="str">
        <f>VLOOKUP(revenue[productID],products[],2,FALSE)</f>
        <v>Genen Shouyu</v>
      </c>
      <c r="I195" s="9" t="str">
        <f>VLOOKUP(revenue[productID],products[],12,FALSE)</f>
        <v>Condiments</v>
      </c>
      <c r="J195" s="9">
        <f>VLOOKUP(revenue[productID],products[],IF(YEAR(revenue[orderDate])=2022,8,IF(YEAR(revenue[orderDate])=2023,9,IF(YEAR(revenue[orderDate])=2024,10,NA))),FALSE)</f>
        <v>8.755916865</v>
      </c>
      <c r="K195" s="9">
        <v>12.4</v>
      </c>
      <c r="L195" s="25">
        <f>(revenue[orderPrice]-revenue[productCost])/revenue[productCost]</f>
        <v>0.4161852141</v>
      </c>
      <c r="M195" s="10">
        <v>5.0</v>
      </c>
      <c r="N195" s="25">
        <v>0.0</v>
      </c>
      <c r="O195" s="9">
        <f>revenue[orderPrice]*revenue[orderQuantity]</f>
        <v>62</v>
      </c>
      <c r="P195" s="9">
        <f>revenue[orderTotal]*(1-revenue[discountApllied])</f>
        <v>62</v>
      </c>
      <c r="Q195" s="9">
        <f>revenue[revenue]-(revenue[productCost]*revenue[orderQuantity])</f>
        <v>18.22041568</v>
      </c>
      <c r="R195" s="25">
        <f>IFERROR(revenue[profit]/revenue[revenue], 0)</f>
        <v>0.2938776722</v>
      </c>
      <c r="S195" s="9">
        <f>revenue[productCost]*revenue[orderQuantity]</f>
        <v>43.77958432</v>
      </c>
    </row>
    <row r="196" ht="15.75" customHeight="1">
      <c r="A196" s="6">
        <v>10323.0</v>
      </c>
      <c r="B196" s="7" t="s">
        <v>59</v>
      </c>
      <c r="C196" s="24" t="str">
        <f>VLOOKUP(revenue[customerID],customers[],2,FALSE)</f>
        <v>Königlich Essen</v>
      </c>
      <c r="D196" s="24" t="str">
        <f>VLOOKUP(revenue[customerID],customers[],6,FALSE)</f>
        <v>Brandenburg</v>
      </c>
      <c r="E196" s="24" t="str">
        <f>VLOOKUP(revenue[customerID],customers[],9,FALSE)</f>
        <v>Germany</v>
      </c>
      <c r="F196" s="24">
        <v>44841.0</v>
      </c>
      <c r="G196" s="6">
        <v>25.0</v>
      </c>
      <c r="H196" s="9" t="str">
        <f>VLOOKUP(revenue[productID],products[],2,FALSE)</f>
        <v>HM Köstliche Kaiserschmarrn Knödelchen</v>
      </c>
      <c r="I196" s="9" t="str">
        <f>VLOOKUP(revenue[productID],products[],12,FALSE)</f>
        <v>Confections</v>
      </c>
      <c r="J196" s="9">
        <f>VLOOKUP(revenue[productID],products[],IF(YEAR(revenue[orderDate])=2022,8,IF(YEAR(revenue[orderDate])=2023,9,IF(YEAR(revenue[orderDate])=2024,10,NA))),FALSE)</f>
        <v>7.370046533</v>
      </c>
      <c r="K196" s="9">
        <v>11.2</v>
      </c>
      <c r="L196" s="25">
        <f>(revenue[orderPrice]-revenue[productCost])/revenue[productCost]</f>
        <v>0.5196647605</v>
      </c>
      <c r="M196" s="10">
        <v>4.0</v>
      </c>
      <c r="N196" s="25">
        <v>0.0</v>
      </c>
      <c r="O196" s="9">
        <f>revenue[orderPrice]*revenue[orderQuantity]</f>
        <v>44.8</v>
      </c>
      <c r="P196" s="9">
        <f>revenue[orderTotal]*(1-revenue[discountApllied])</f>
        <v>44.8</v>
      </c>
      <c r="Q196" s="9">
        <f>revenue[revenue]-(revenue[productCost]*revenue[orderQuantity])</f>
        <v>15.31981387</v>
      </c>
      <c r="R196" s="25">
        <f>IFERROR(revenue[profit]/revenue[revenue], 0)</f>
        <v>0.3419601309</v>
      </c>
      <c r="S196" s="9">
        <f>revenue[productCost]*revenue[orderQuantity]</f>
        <v>29.48018613</v>
      </c>
    </row>
    <row r="197" ht="15.75" customHeight="1">
      <c r="A197" s="6">
        <v>10323.0</v>
      </c>
      <c r="B197" s="7" t="s">
        <v>59</v>
      </c>
      <c r="C197" s="24" t="str">
        <f>VLOOKUP(revenue[customerID],customers[],2,FALSE)</f>
        <v>Königlich Essen</v>
      </c>
      <c r="D197" s="24" t="str">
        <f>VLOOKUP(revenue[customerID],customers[],6,FALSE)</f>
        <v>Brandenburg</v>
      </c>
      <c r="E197" s="24" t="str">
        <f>VLOOKUP(revenue[customerID],customers[],9,FALSE)</f>
        <v>Germany</v>
      </c>
      <c r="F197" s="24">
        <v>44841.0</v>
      </c>
      <c r="G197" s="6">
        <v>39.0</v>
      </c>
      <c r="H197" s="9" t="str">
        <f>VLOOKUP(revenue[productID],products[],2,FALSE)</f>
        <v>Chartreuse verte</v>
      </c>
      <c r="I197" s="9" t="str">
        <f>VLOOKUP(revenue[productID],products[],12,FALSE)</f>
        <v>Beverages</v>
      </c>
      <c r="J197" s="9">
        <f>VLOOKUP(revenue[productID],products[],IF(YEAR(revenue[orderDate])=2022,8,IF(YEAR(revenue[orderDate])=2023,9,IF(YEAR(revenue[orderDate])=2024,10,NA))),FALSE)</f>
        <v>9.743517226</v>
      </c>
      <c r="K197" s="9">
        <v>14.4</v>
      </c>
      <c r="L197" s="25">
        <f>(revenue[orderPrice]-revenue[productCost])/revenue[productCost]</f>
        <v>0.4779057362</v>
      </c>
      <c r="M197" s="10">
        <v>4.0</v>
      </c>
      <c r="N197" s="25">
        <v>0.0</v>
      </c>
      <c r="O197" s="9">
        <f>revenue[orderPrice]*revenue[orderQuantity]</f>
        <v>57.6</v>
      </c>
      <c r="P197" s="9">
        <f>revenue[orderTotal]*(1-revenue[discountApllied])</f>
        <v>57.6</v>
      </c>
      <c r="Q197" s="9">
        <f>revenue[revenue]-(revenue[productCost]*revenue[orderQuantity])</f>
        <v>18.62593109</v>
      </c>
      <c r="R197" s="25">
        <f>IFERROR(revenue[profit]/revenue[revenue], 0)</f>
        <v>0.3233668593</v>
      </c>
      <c r="S197" s="9">
        <f>revenue[productCost]*revenue[orderQuantity]</f>
        <v>38.97406891</v>
      </c>
    </row>
    <row r="198" ht="15.75" customHeight="1">
      <c r="A198" s="6">
        <v>10324.0</v>
      </c>
      <c r="B198" s="7" t="s">
        <v>60</v>
      </c>
      <c r="C198" s="24" t="str">
        <f>VLOOKUP(revenue[customerID],customers[],2,FALSE)</f>
        <v>Save-a-lot Markets</v>
      </c>
      <c r="D198" s="24" t="str">
        <f>VLOOKUP(revenue[customerID],customers[],6,FALSE)</f>
        <v>Boise</v>
      </c>
      <c r="E198" s="24" t="str">
        <f>VLOOKUP(revenue[customerID],customers[],9,FALSE)</f>
        <v>USA</v>
      </c>
      <c r="F198" s="24">
        <v>44842.0</v>
      </c>
      <c r="G198" s="6">
        <v>16.0</v>
      </c>
      <c r="H198" s="9" t="str">
        <f>VLOOKUP(revenue[productID],products[],2,FALSE)</f>
        <v>Pavlova</v>
      </c>
      <c r="I198" s="9" t="str">
        <f>VLOOKUP(revenue[productID],products[],12,FALSE)</f>
        <v>Confections</v>
      </c>
      <c r="J198" s="9">
        <f>VLOOKUP(revenue[productID],products[],IF(YEAR(revenue[orderDate])=2022,8,IF(YEAR(revenue[orderDate])=2023,9,IF(YEAR(revenue[orderDate])=2024,10,NA))),FALSE)</f>
        <v>9.80658008</v>
      </c>
      <c r="K198" s="9">
        <v>13.9</v>
      </c>
      <c r="L198" s="25">
        <f>(revenue[orderPrice]-revenue[productCost])/revenue[productCost]</f>
        <v>0.417415642</v>
      </c>
      <c r="M198" s="10">
        <v>21.0</v>
      </c>
      <c r="N198" s="25">
        <v>0.15</v>
      </c>
      <c r="O198" s="9">
        <f>revenue[orderPrice]*revenue[orderQuantity]</f>
        <v>291.9</v>
      </c>
      <c r="P198" s="9">
        <f>revenue[orderTotal]*(1-revenue[discountApllied])</f>
        <v>248.115</v>
      </c>
      <c r="Q198" s="9">
        <f>revenue[revenue]-(revenue[productCost]*revenue[orderQuantity])</f>
        <v>42.17681832</v>
      </c>
      <c r="R198" s="25">
        <f>IFERROR(revenue[profit]/revenue[revenue], 0)</f>
        <v>0.1699889903</v>
      </c>
      <c r="S198" s="9">
        <f>revenue[productCost]*revenue[orderQuantity]</f>
        <v>205.9381817</v>
      </c>
    </row>
    <row r="199" ht="15.75" customHeight="1">
      <c r="A199" s="6">
        <v>10324.0</v>
      </c>
      <c r="B199" s="7" t="s">
        <v>60</v>
      </c>
      <c r="C199" s="24" t="str">
        <f>VLOOKUP(revenue[customerID],customers[],2,FALSE)</f>
        <v>Save-a-lot Markets</v>
      </c>
      <c r="D199" s="24" t="str">
        <f>VLOOKUP(revenue[customerID],customers[],6,FALSE)</f>
        <v>Boise</v>
      </c>
      <c r="E199" s="24" t="str">
        <f>VLOOKUP(revenue[customerID],customers[],9,FALSE)</f>
        <v>USA</v>
      </c>
      <c r="F199" s="24">
        <v>44842.0</v>
      </c>
      <c r="G199" s="6">
        <v>35.0</v>
      </c>
      <c r="H199" s="9" t="str">
        <f>VLOOKUP(revenue[productID],products[],2,FALSE)</f>
        <v>Cold Brew Nitro</v>
      </c>
      <c r="I199" s="9" t="str">
        <f>VLOOKUP(revenue[productID],products[],12,FALSE)</f>
        <v>Beverages</v>
      </c>
      <c r="J199" s="9">
        <f>VLOOKUP(revenue[productID],products[],IF(YEAR(revenue[orderDate])=2022,8,IF(YEAR(revenue[orderDate])=2023,9,IF(YEAR(revenue[orderDate])=2024,10,NA))),FALSE)</f>
        <v>10.19869089</v>
      </c>
      <c r="K199" s="9">
        <v>14.4</v>
      </c>
      <c r="L199" s="25">
        <f>(revenue[orderPrice]-revenue[productCost])/revenue[productCost]</f>
        <v>0.4119459208</v>
      </c>
      <c r="M199" s="10">
        <v>70.0</v>
      </c>
      <c r="N199" s="25">
        <v>0.15</v>
      </c>
      <c r="O199" s="9">
        <f>revenue[orderPrice]*revenue[orderQuantity]</f>
        <v>1008</v>
      </c>
      <c r="P199" s="9">
        <f>revenue[orderTotal]*(1-revenue[discountApllied])</f>
        <v>856.8</v>
      </c>
      <c r="Q199" s="9">
        <f>revenue[revenue]-(revenue[productCost]*revenue[orderQuantity])</f>
        <v>142.8916377</v>
      </c>
      <c r="R199" s="25">
        <f>IFERROR(revenue[profit]/revenue[revenue], 0)</f>
        <v>0.1667736201</v>
      </c>
      <c r="S199" s="9">
        <f>revenue[productCost]*revenue[orderQuantity]</f>
        <v>713.9083623</v>
      </c>
    </row>
    <row r="200" ht="15.75" customHeight="1">
      <c r="A200" s="6">
        <v>10324.0</v>
      </c>
      <c r="B200" s="7" t="s">
        <v>60</v>
      </c>
      <c r="C200" s="24" t="str">
        <f>VLOOKUP(revenue[customerID],customers[],2,FALSE)</f>
        <v>Save-a-lot Markets</v>
      </c>
      <c r="D200" s="24" t="str">
        <f>VLOOKUP(revenue[customerID],customers[],6,FALSE)</f>
        <v>Boise</v>
      </c>
      <c r="E200" s="24" t="str">
        <f>VLOOKUP(revenue[customerID],customers[],9,FALSE)</f>
        <v>USA</v>
      </c>
      <c r="F200" s="24">
        <v>44842.0</v>
      </c>
      <c r="G200" s="6">
        <v>46.0</v>
      </c>
      <c r="H200" s="9" t="str">
        <f>VLOOKUP(revenue[productID],products[],2,FALSE)</f>
        <v>Spegesild</v>
      </c>
      <c r="I200" s="9" t="str">
        <f>VLOOKUP(revenue[productID],products[],12,FALSE)</f>
        <v>Seafood</v>
      </c>
      <c r="J200" s="9">
        <f>VLOOKUP(revenue[productID],products[],IF(YEAR(revenue[orderDate])=2022,8,IF(YEAR(revenue[orderDate])=2023,9,IF(YEAR(revenue[orderDate])=2024,10,NA))),FALSE)</f>
        <v>6.266275015</v>
      </c>
      <c r="K200" s="9">
        <v>9.6</v>
      </c>
      <c r="L200" s="25">
        <f>(revenue[orderPrice]-revenue[productCost])/revenue[productCost]</f>
        <v>0.5320106406</v>
      </c>
      <c r="M200" s="10">
        <v>30.0</v>
      </c>
      <c r="N200" s="25">
        <v>0.0</v>
      </c>
      <c r="O200" s="9">
        <f>revenue[orderPrice]*revenue[orderQuantity]</f>
        <v>288</v>
      </c>
      <c r="P200" s="9">
        <f>revenue[orderTotal]*(1-revenue[discountApllied])</f>
        <v>288</v>
      </c>
      <c r="Q200" s="9">
        <f>revenue[revenue]-(revenue[productCost]*revenue[orderQuantity])</f>
        <v>100.0117495</v>
      </c>
      <c r="R200" s="25">
        <f>IFERROR(revenue[profit]/revenue[revenue], 0)</f>
        <v>0.3472630192</v>
      </c>
      <c r="S200" s="9">
        <f>revenue[productCost]*revenue[orderQuantity]</f>
        <v>187.9882505</v>
      </c>
    </row>
    <row r="201" ht="15.75" customHeight="1">
      <c r="A201" s="6">
        <v>10324.0</v>
      </c>
      <c r="B201" s="7" t="s">
        <v>60</v>
      </c>
      <c r="C201" s="24" t="str">
        <f>VLOOKUP(revenue[customerID],customers[],2,FALSE)</f>
        <v>Save-a-lot Markets</v>
      </c>
      <c r="D201" s="24" t="str">
        <f>VLOOKUP(revenue[customerID],customers[],6,FALSE)</f>
        <v>Boise</v>
      </c>
      <c r="E201" s="24" t="str">
        <f>VLOOKUP(revenue[customerID],customers[],9,FALSE)</f>
        <v>USA</v>
      </c>
      <c r="F201" s="24">
        <v>44842.0</v>
      </c>
      <c r="G201" s="6">
        <v>59.0</v>
      </c>
      <c r="H201" s="9" t="str">
        <f>VLOOKUP(revenue[productID],products[],2,FALSE)</f>
        <v>Raclette Courdavault</v>
      </c>
      <c r="I201" s="9" t="str">
        <f>VLOOKUP(revenue[productID],products[],12,FALSE)</f>
        <v>Dairy Products</v>
      </c>
      <c r="J201" s="9">
        <f>VLOOKUP(revenue[productID],products[],IF(YEAR(revenue[orderDate])=2022,8,IF(YEAR(revenue[orderDate])=2023,9,IF(YEAR(revenue[orderDate])=2024,10,NA))),FALSE)</f>
        <v>29.20351951</v>
      </c>
      <c r="K201" s="9">
        <v>44.0</v>
      </c>
      <c r="L201" s="25">
        <f>(revenue[orderPrice]-revenue[productCost])/revenue[productCost]</f>
        <v>0.5066677147</v>
      </c>
      <c r="M201" s="10">
        <v>40.0</v>
      </c>
      <c r="N201" s="25">
        <v>0.15</v>
      </c>
      <c r="O201" s="9">
        <f>revenue[orderPrice]*revenue[orderQuantity]</f>
        <v>1760</v>
      </c>
      <c r="P201" s="9">
        <f>revenue[orderTotal]*(1-revenue[discountApllied])</f>
        <v>1496</v>
      </c>
      <c r="Q201" s="9">
        <f>revenue[revenue]-(revenue[productCost]*revenue[orderQuantity])</f>
        <v>327.8592197</v>
      </c>
      <c r="R201" s="25">
        <f>IFERROR(revenue[profit]/revenue[revenue], 0)</f>
        <v>0.2191572324</v>
      </c>
      <c r="S201" s="9">
        <f>revenue[productCost]*revenue[orderQuantity]</f>
        <v>1168.14078</v>
      </c>
    </row>
    <row r="202" ht="15.75" customHeight="1">
      <c r="A202" s="6">
        <v>10324.0</v>
      </c>
      <c r="B202" s="7" t="s">
        <v>60</v>
      </c>
      <c r="C202" s="24" t="str">
        <f>VLOOKUP(revenue[customerID],customers[],2,FALSE)</f>
        <v>Save-a-lot Markets</v>
      </c>
      <c r="D202" s="24" t="str">
        <f>VLOOKUP(revenue[customerID],customers[],6,FALSE)</f>
        <v>Boise</v>
      </c>
      <c r="E202" s="24" t="str">
        <f>VLOOKUP(revenue[customerID],customers[],9,FALSE)</f>
        <v>USA</v>
      </c>
      <c r="F202" s="24">
        <v>44842.0</v>
      </c>
      <c r="G202" s="6">
        <v>63.0</v>
      </c>
      <c r="H202" s="9" t="str">
        <f>VLOOKUP(revenue[productID],products[],2,FALSE)</f>
        <v>Vegie-spread</v>
      </c>
      <c r="I202" s="9" t="str">
        <f>VLOOKUP(revenue[productID],products[],12,FALSE)</f>
        <v>Condiments</v>
      </c>
      <c r="J202" s="9">
        <f>VLOOKUP(revenue[productID],products[],IF(YEAR(revenue[orderDate])=2022,8,IF(YEAR(revenue[orderDate])=2023,9,IF(YEAR(revenue[orderDate])=2024,10,NA))),FALSE)</f>
        <v>23.81372293</v>
      </c>
      <c r="K202" s="9">
        <v>35.1</v>
      </c>
      <c r="L202" s="25">
        <f>(revenue[orderPrice]-revenue[productCost])/revenue[productCost]</f>
        <v>0.4739400513</v>
      </c>
      <c r="M202" s="10">
        <v>80.0</v>
      </c>
      <c r="N202" s="25">
        <v>0.15</v>
      </c>
      <c r="O202" s="9">
        <f>revenue[orderPrice]*revenue[orderQuantity]</f>
        <v>2808</v>
      </c>
      <c r="P202" s="9">
        <f>revenue[orderTotal]*(1-revenue[discountApllied])</f>
        <v>2386.8</v>
      </c>
      <c r="Q202" s="9">
        <f>revenue[revenue]-(revenue[productCost]*revenue[orderQuantity])</f>
        <v>481.7021654</v>
      </c>
      <c r="R202" s="25">
        <f>IFERROR(revenue[profit]/revenue[revenue], 0)</f>
        <v>0.2018192414</v>
      </c>
      <c r="S202" s="9">
        <f>revenue[productCost]*revenue[orderQuantity]</f>
        <v>1905.097835</v>
      </c>
    </row>
    <row r="203" ht="15.75" customHeight="1">
      <c r="A203" s="6">
        <v>10325.0</v>
      </c>
      <c r="B203" s="7" t="s">
        <v>59</v>
      </c>
      <c r="C203" s="24" t="str">
        <f>VLOOKUP(revenue[customerID],customers[],2,FALSE)</f>
        <v>Königlich Essen</v>
      </c>
      <c r="D203" s="24" t="str">
        <f>VLOOKUP(revenue[customerID],customers[],6,FALSE)</f>
        <v>Brandenburg</v>
      </c>
      <c r="E203" s="24" t="str">
        <f>VLOOKUP(revenue[customerID],customers[],9,FALSE)</f>
        <v>Germany</v>
      </c>
      <c r="F203" s="24">
        <v>44843.0</v>
      </c>
      <c r="G203" s="6">
        <v>6.0</v>
      </c>
      <c r="H203" s="9" t="str">
        <f>VLOOKUP(revenue[productID],products[],2,FALSE)</f>
        <v>Grandma's Boysenberry Spread</v>
      </c>
      <c r="I203" s="9" t="str">
        <f>VLOOKUP(revenue[productID],products[],12,FALSE)</f>
        <v>Condiments</v>
      </c>
      <c r="J203" s="9">
        <f>VLOOKUP(revenue[productID],products[],IF(YEAR(revenue[orderDate])=2022,8,IF(YEAR(revenue[orderDate])=2023,9,IF(YEAR(revenue[orderDate])=2024,10,NA))),FALSE)</f>
        <v>13.64030257</v>
      </c>
      <c r="K203" s="9">
        <v>20.0</v>
      </c>
      <c r="L203" s="25">
        <f>(revenue[orderPrice]-revenue[productCost])/revenue[productCost]</f>
        <v>0.4662431346</v>
      </c>
      <c r="M203" s="10">
        <v>6.0</v>
      </c>
      <c r="N203" s="25">
        <v>0.0</v>
      </c>
      <c r="O203" s="9">
        <f>revenue[orderPrice]*revenue[orderQuantity]</f>
        <v>120</v>
      </c>
      <c r="P203" s="9">
        <f>revenue[orderTotal]*(1-revenue[discountApllied])</f>
        <v>120</v>
      </c>
      <c r="Q203" s="9">
        <f>revenue[revenue]-(revenue[productCost]*revenue[orderQuantity])</f>
        <v>38.15818457</v>
      </c>
      <c r="R203" s="25">
        <f>IFERROR(revenue[profit]/revenue[revenue], 0)</f>
        <v>0.3179848714</v>
      </c>
      <c r="S203" s="9">
        <f>revenue[productCost]*revenue[orderQuantity]</f>
        <v>81.84181543</v>
      </c>
    </row>
    <row r="204" ht="15.75" customHeight="1">
      <c r="A204" s="6">
        <v>10325.0</v>
      </c>
      <c r="B204" s="7" t="s">
        <v>59</v>
      </c>
      <c r="C204" s="24" t="str">
        <f>VLOOKUP(revenue[customerID],customers[],2,FALSE)</f>
        <v>Königlich Essen</v>
      </c>
      <c r="D204" s="24" t="str">
        <f>VLOOKUP(revenue[customerID],customers[],6,FALSE)</f>
        <v>Brandenburg</v>
      </c>
      <c r="E204" s="24" t="str">
        <f>VLOOKUP(revenue[customerID],customers[],9,FALSE)</f>
        <v>Germany</v>
      </c>
      <c r="F204" s="24">
        <v>44843.0</v>
      </c>
      <c r="G204" s="6">
        <v>13.0</v>
      </c>
      <c r="H204" s="9" t="str">
        <f>VLOOKUP(revenue[productID],products[],2,FALSE)</f>
        <v>Konbu</v>
      </c>
      <c r="I204" s="9" t="str">
        <f>VLOOKUP(revenue[productID],products[],12,FALSE)</f>
        <v>Seafood</v>
      </c>
      <c r="J204" s="9">
        <f>VLOOKUP(revenue[productID],products[],IF(YEAR(revenue[orderDate])=2022,8,IF(YEAR(revenue[orderDate])=2023,9,IF(YEAR(revenue[orderDate])=2024,10,NA))),FALSE)</f>
        <v>3.236727382</v>
      </c>
      <c r="K204" s="9">
        <v>4.8</v>
      </c>
      <c r="L204" s="25">
        <f>(revenue[orderPrice]-revenue[productCost])/revenue[productCost]</f>
        <v>0.4829793907</v>
      </c>
      <c r="M204" s="10">
        <v>12.0</v>
      </c>
      <c r="N204" s="25">
        <v>0.0</v>
      </c>
      <c r="O204" s="9">
        <f>revenue[orderPrice]*revenue[orderQuantity]</f>
        <v>57.6</v>
      </c>
      <c r="P204" s="9">
        <f>revenue[orderTotal]*(1-revenue[discountApllied])</f>
        <v>57.6</v>
      </c>
      <c r="Q204" s="9">
        <f>revenue[revenue]-(revenue[productCost]*revenue[orderQuantity])</f>
        <v>18.75927142</v>
      </c>
      <c r="R204" s="25">
        <f>IFERROR(revenue[profit]/revenue[revenue], 0)</f>
        <v>0.3256817955</v>
      </c>
      <c r="S204" s="9">
        <f>revenue[productCost]*revenue[orderQuantity]</f>
        <v>38.84072858</v>
      </c>
    </row>
    <row r="205" ht="15.75" customHeight="1">
      <c r="A205" s="6">
        <v>10325.0</v>
      </c>
      <c r="B205" s="7" t="s">
        <v>59</v>
      </c>
      <c r="C205" s="24" t="str">
        <f>VLOOKUP(revenue[customerID],customers[],2,FALSE)</f>
        <v>Königlich Essen</v>
      </c>
      <c r="D205" s="24" t="str">
        <f>VLOOKUP(revenue[customerID],customers[],6,FALSE)</f>
        <v>Brandenburg</v>
      </c>
      <c r="E205" s="24" t="str">
        <f>VLOOKUP(revenue[customerID],customers[],9,FALSE)</f>
        <v>Germany</v>
      </c>
      <c r="F205" s="24">
        <v>44843.0</v>
      </c>
      <c r="G205" s="6">
        <v>14.0</v>
      </c>
      <c r="H205" s="9" t="str">
        <f>VLOOKUP(revenue[productID],products[],2,FALSE)</f>
        <v>Tofu</v>
      </c>
      <c r="I205" s="9" t="str">
        <f>VLOOKUP(revenue[productID],products[],12,FALSE)</f>
        <v>Produce</v>
      </c>
      <c r="J205" s="9">
        <f>VLOOKUP(revenue[productID],products[],IF(YEAR(revenue[orderDate])=2022,8,IF(YEAR(revenue[orderDate])=2023,9,IF(YEAR(revenue[orderDate])=2024,10,NA))),FALSE)</f>
        <v>13.95254082</v>
      </c>
      <c r="K205" s="9">
        <v>18.6</v>
      </c>
      <c r="L205" s="25">
        <f>(revenue[orderPrice]-revenue[productCost])/revenue[productCost]</f>
        <v>0.333090527</v>
      </c>
      <c r="M205" s="10">
        <v>9.0</v>
      </c>
      <c r="N205" s="25">
        <v>0.0</v>
      </c>
      <c r="O205" s="9">
        <f>revenue[orderPrice]*revenue[orderQuantity]</f>
        <v>167.4</v>
      </c>
      <c r="P205" s="9">
        <f>revenue[orderTotal]*(1-revenue[discountApllied])</f>
        <v>167.4</v>
      </c>
      <c r="Q205" s="9">
        <f>revenue[revenue]-(revenue[productCost]*revenue[orderQuantity])</f>
        <v>41.82713259</v>
      </c>
      <c r="R205" s="25">
        <f>IFERROR(revenue[profit]/revenue[revenue], 0)</f>
        <v>0.2498633966</v>
      </c>
      <c r="S205" s="9">
        <f>revenue[productCost]*revenue[orderQuantity]</f>
        <v>125.5728674</v>
      </c>
    </row>
    <row r="206" ht="15.75" customHeight="1">
      <c r="A206" s="6">
        <v>10325.0</v>
      </c>
      <c r="B206" s="7" t="s">
        <v>59</v>
      </c>
      <c r="C206" s="24" t="str">
        <f>VLOOKUP(revenue[customerID],customers[],2,FALSE)</f>
        <v>Königlich Essen</v>
      </c>
      <c r="D206" s="24" t="str">
        <f>VLOOKUP(revenue[customerID],customers[],6,FALSE)</f>
        <v>Brandenburg</v>
      </c>
      <c r="E206" s="24" t="str">
        <f>VLOOKUP(revenue[customerID],customers[],9,FALSE)</f>
        <v>Germany</v>
      </c>
      <c r="F206" s="24">
        <v>44843.0</v>
      </c>
      <c r="G206" s="6">
        <v>31.0</v>
      </c>
      <c r="H206" s="9" t="str">
        <f>VLOOKUP(revenue[productID],products[],2,FALSE)</f>
        <v>Gorgonzola Telino</v>
      </c>
      <c r="I206" s="9" t="str">
        <f>VLOOKUP(revenue[productID],products[],12,FALSE)</f>
        <v>Dairy Products</v>
      </c>
      <c r="J206" s="9">
        <f>VLOOKUP(revenue[productID],products[],IF(YEAR(revenue[orderDate])=2022,8,IF(YEAR(revenue[orderDate])=2023,9,IF(YEAR(revenue[orderDate])=2024,10,NA))),FALSE)</f>
        <v>6.44031973</v>
      </c>
      <c r="K206" s="9">
        <v>10.0</v>
      </c>
      <c r="L206" s="25">
        <f>(revenue[orderPrice]-revenue[productCost])/revenue[productCost]</f>
        <v>0.5527179425</v>
      </c>
      <c r="M206" s="10">
        <v>4.0</v>
      </c>
      <c r="N206" s="25">
        <v>0.0</v>
      </c>
      <c r="O206" s="9">
        <f>revenue[orderPrice]*revenue[orderQuantity]</f>
        <v>40</v>
      </c>
      <c r="P206" s="9">
        <f>revenue[orderTotal]*(1-revenue[discountApllied])</f>
        <v>40</v>
      </c>
      <c r="Q206" s="9">
        <f>revenue[revenue]-(revenue[productCost]*revenue[orderQuantity])</f>
        <v>14.23872108</v>
      </c>
      <c r="R206" s="25">
        <f>IFERROR(revenue[profit]/revenue[revenue], 0)</f>
        <v>0.355968027</v>
      </c>
      <c r="S206" s="9">
        <f>revenue[productCost]*revenue[orderQuantity]</f>
        <v>25.76127892</v>
      </c>
    </row>
    <row r="207" ht="15.75" customHeight="1">
      <c r="A207" s="6">
        <v>10325.0</v>
      </c>
      <c r="B207" s="7" t="s">
        <v>59</v>
      </c>
      <c r="C207" s="24" t="str">
        <f>VLOOKUP(revenue[customerID],customers[],2,FALSE)</f>
        <v>Königlich Essen</v>
      </c>
      <c r="D207" s="24" t="str">
        <f>VLOOKUP(revenue[customerID],customers[],6,FALSE)</f>
        <v>Brandenburg</v>
      </c>
      <c r="E207" s="24" t="str">
        <f>VLOOKUP(revenue[customerID],customers[],9,FALSE)</f>
        <v>Germany</v>
      </c>
      <c r="F207" s="24">
        <v>44843.0</v>
      </c>
      <c r="G207" s="6">
        <v>72.0</v>
      </c>
      <c r="H207" s="9" t="str">
        <f>VLOOKUP(revenue[productID],products[],2,FALSE)</f>
        <v>Mozzarella di Giovanni</v>
      </c>
      <c r="I207" s="9" t="str">
        <f>VLOOKUP(revenue[productID],products[],12,FALSE)</f>
        <v>Dairy Products</v>
      </c>
      <c r="J207" s="9">
        <f>VLOOKUP(revenue[productID],products[],IF(YEAR(revenue[orderDate])=2022,8,IF(YEAR(revenue[orderDate])=2023,9,IF(YEAR(revenue[orderDate])=2024,10,NA))),FALSE)</f>
        <v>19.20829334</v>
      </c>
      <c r="K207" s="9">
        <v>27.8</v>
      </c>
      <c r="L207" s="25">
        <f>(revenue[orderPrice]-revenue[productCost])/revenue[productCost]</f>
        <v>0.4472915167</v>
      </c>
      <c r="M207" s="10">
        <v>40.0</v>
      </c>
      <c r="N207" s="25">
        <v>0.0</v>
      </c>
      <c r="O207" s="9">
        <f>revenue[orderPrice]*revenue[orderQuantity]</f>
        <v>1112</v>
      </c>
      <c r="P207" s="9">
        <f>revenue[orderTotal]*(1-revenue[discountApllied])</f>
        <v>1112</v>
      </c>
      <c r="Q207" s="9">
        <f>revenue[revenue]-(revenue[productCost]*revenue[orderQuantity])</f>
        <v>343.6682665</v>
      </c>
      <c r="R207" s="25">
        <f>IFERROR(revenue[profit]/revenue[revenue], 0)</f>
        <v>0.3090541965</v>
      </c>
      <c r="S207" s="9">
        <f>revenue[productCost]*revenue[orderQuantity]</f>
        <v>768.3317335</v>
      </c>
    </row>
    <row r="208" ht="15.75" customHeight="1">
      <c r="A208" s="6">
        <v>10326.0</v>
      </c>
      <c r="B208" s="7" t="s">
        <v>61</v>
      </c>
      <c r="C208" s="24" t="str">
        <f>VLOOKUP(revenue[customerID],customers[],2,FALSE)</f>
        <v>Bólido Comidas preparadas</v>
      </c>
      <c r="D208" s="24" t="str">
        <f>VLOOKUP(revenue[customerID],customers[],6,FALSE)</f>
        <v>Madrid</v>
      </c>
      <c r="E208" s="24" t="str">
        <f>VLOOKUP(revenue[customerID],customers[],9,FALSE)</f>
        <v>Spain</v>
      </c>
      <c r="F208" s="24">
        <v>44844.0</v>
      </c>
      <c r="G208" s="6">
        <v>4.0</v>
      </c>
      <c r="H208" s="9" t="str">
        <f>VLOOKUP(revenue[productID],products[],2,FALSE)</f>
        <v>Chef Anton's Cajun Seasoning</v>
      </c>
      <c r="I208" s="9" t="str">
        <f>VLOOKUP(revenue[productID],products[],12,FALSE)</f>
        <v>Condiments</v>
      </c>
      <c r="J208" s="9">
        <f>VLOOKUP(revenue[productID],products[],IF(YEAR(revenue[orderDate])=2022,8,IF(YEAR(revenue[orderDate])=2023,9,IF(YEAR(revenue[orderDate])=2024,10,NA))),FALSE)</f>
        <v>12.12007338</v>
      </c>
      <c r="K208" s="9">
        <v>17.6</v>
      </c>
      <c r="L208" s="25">
        <f>(revenue[orderPrice]-revenue[productCost])/revenue[productCost]</f>
        <v>0.4521364227</v>
      </c>
      <c r="M208" s="10">
        <v>24.0</v>
      </c>
      <c r="N208" s="25">
        <v>0.0</v>
      </c>
      <c r="O208" s="9">
        <f>revenue[orderPrice]*revenue[orderQuantity]</f>
        <v>422.4</v>
      </c>
      <c r="P208" s="9">
        <f>revenue[orderTotal]*(1-revenue[discountApllied])</f>
        <v>422.4</v>
      </c>
      <c r="Q208" s="9">
        <f>revenue[revenue]-(revenue[productCost]*revenue[orderQuantity])</f>
        <v>131.5182389</v>
      </c>
      <c r="R208" s="25">
        <f>IFERROR(revenue[profit]/revenue[revenue], 0)</f>
        <v>0.3113594671</v>
      </c>
      <c r="S208" s="9">
        <f>revenue[productCost]*revenue[orderQuantity]</f>
        <v>290.8817611</v>
      </c>
    </row>
    <row r="209" ht="15.75" customHeight="1">
      <c r="A209" s="6">
        <v>10326.0</v>
      </c>
      <c r="B209" s="7" t="s">
        <v>61</v>
      </c>
      <c r="C209" s="24" t="str">
        <f>VLOOKUP(revenue[customerID],customers[],2,FALSE)</f>
        <v>Bólido Comidas preparadas</v>
      </c>
      <c r="D209" s="24" t="str">
        <f>VLOOKUP(revenue[customerID],customers[],6,FALSE)</f>
        <v>Madrid</v>
      </c>
      <c r="E209" s="24" t="str">
        <f>VLOOKUP(revenue[customerID],customers[],9,FALSE)</f>
        <v>Spain</v>
      </c>
      <c r="F209" s="24">
        <v>44844.0</v>
      </c>
      <c r="G209" s="6">
        <v>57.0</v>
      </c>
      <c r="H209" s="9" t="str">
        <f>VLOOKUP(revenue[productID],products[],2,FALSE)</f>
        <v>Ravioli Angelo</v>
      </c>
      <c r="I209" s="9" t="str">
        <f>VLOOKUP(revenue[productID],products[],12,FALSE)</f>
        <v>Grains/Cereals</v>
      </c>
      <c r="J209" s="9">
        <f>VLOOKUP(revenue[productID],products[],IF(YEAR(revenue[orderDate])=2022,8,IF(YEAR(revenue[orderDate])=2023,9,IF(YEAR(revenue[orderDate])=2024,10,NA))),FALSE)</f>
        <v>11.22950766</v>
      </c>
      <c r="K209" s="9">
        <v>15.6</v>
      </c>
      <c r="L209" s="25">
        <f>(revenue[orderPrice]-revenue[productCost])/revenue[productCost]</f>
        <v>0.3891971469</v>
      </c>
      <c r="M209" s="10">
        <v>16.0</v>
      </c>
      <c r="N209" s="25">
        <v>0.0</v>
      </c>
      <c r="O209" s="9">
        <f>revenue[orderPrice]*revenue[orderQuantity]</f>
        <v>249.6</v>
      </c>
      <c r="P209" s="9">
        <f>revenue[orderTotal]*(1-revenue[discountApllied])</f>
        <v>249.6</v>
      </c>
      <c r="Q209" s="9">
        <f>revenue[revenue]-(revenue[productCost]*revenue[orderQuantity])</f>
        <v>69.92787746</v>
      </c>
      <c r="R209" s="25">
        <f>IFERROR(revenue[profit]/revenue[revenue], 0)</f>
        <v>0.2801597655</v>
      </c>
      <c r="S209" s="9">
        <f>revenue[productCost]*revenue[orderQuantity]</f>
        <v>179.6721225</v>
      </c>
    </row>
    <row r="210" ht="15.75" customHeight="1">
      <c r="A210" s="6">
        <v>10326.0</v>
      </c>
      <c r="B210" s="7" t="s">
        <v>61</v>
      </c>
      <c r="C210" s="24" t="str">
        <f>VLOOKUP(revenue[customerID],customers[],2,FALSE)</f>
        <v>Bólido Comidas preparadas</v>
      </c>
      <c r="D210" s="24" t="str">
        <f>VLOOKUP(revenue[customerID],customers[],6,FALSE)</f>
        <v>Madrid</v>
      </c>
      <c r="E210" s="24" t="str">
        <f>VLOOKUP(revenue[customerID],customers[],9,FALSE)</f>
        <v>Spain</v>
      </c>
      <c r="F210" s="24">
        <v>44844.0</v>
      </c>
      <c r="G210" s="6">
        <v>75.0</v>
      </c>
      <c r="H210" s="9" t="str">
        <f>VLOOKUP(revenue[productID],products[],2,FALSE)</f>
        <v>Rhönbräu Klosterbier</v>
      </c>
      <c r="I210" s="9" t="str">
        <f>VLOOKUP(revenue[productID],products[],12,FALSE)</f>
        <v>Beverages</v>
      </c>
      <c r="J210" s="9">
        <f>VLOOKUP(revenue[productID],products[],IF(YEAR(revenue[orderDate])=2022,8,IF(YEAR(revenue[orderDate])=2023,9,IF(YEAR(revenue[orderDate])=2024,10,NA))),FALSE)</f>
        <v>4.269033823</v>
      </c>
      <c r="K210" s="9">
        <v>6.2</v>
      </c>
      <c r="L210" s="25">
        <f>(revenue[orderPrice]-revenue[productCost])/revenue[productCost]</f>
        <v>0.4523192499</v>
      </c>
      <c r="M210" s="10">
        <v>50.0</v>
      </c>
      <c r="N210" s="25">
        <v>0.0</v>
      </c>
      <c r="O210" s="9">
        <f>revenue[orderPrice]*revenue[orderQuantity]</f>
        <v>310</v>
      </c>
      <c r="P210" s="9">
        <f>revenue[orderTotal]*(1-revenue[discountApllied])</f>
        <v>310</v>
      </c>
      <c r="Q210" s="9">
        <f>revenue[revenue]-(revenue[productCost]*revenue[orderQuantity])</f>
        <v>96.54830884</v>
      </c>
      <c r="R210" s="25">
        <f>IFERROR(revenue[profit]/revenue[revenue], 0)</f>
        <v>0.3114461575</v>
      </c>
      <c r="S210" s="9">
        <f>revenue[productCost]*revenue[orderQuantity]</f>
        <v>213.4516912</v>
      </c>
    </row>
    <row r="211" ht="15.75" customHeight="1">
      <c r="A211" s="6">
        <v>10327.0</v>
      </c>
      <c r="B211" s="7" t="s">
        <v>29</v>
      </c>
      <c r="C211" s="24" t="str">
        <f>VLOOKUP(revenue[customerID],customers[],2,FALSE)</f>
        <v>Folk och fä HB</v>
      </c>
      <c r="D211" s="24" t="str">
        <f>VLOOKUP(revenue[customerID],customers[],6,FALSE)</f>
        <v>Bräcke</v>
      </c>
      <c r="E211" s="24" t="str">
        <f>VLOOKUP(revenue[customerID],customers[],9,FALSE)</f>
        <v>Sweden</v>
      </c>
      <c r="F211" s="24">
        <v>44845.0</v>
      </c>
      <c r="G211" s="6">
        <v>2.0</v>
      </c>
      <c r="H211" s="9" t="str">
        <f>VLOOKUP(revenue[productID],products[],2,FALSE)</f>
        <v>Chang</v>
      </c>
      <c r="I211" s="9" t="str">
        <f>VLOOKUP(revenue[productID],products[],12,FALSE)</f>
        <v>Beverages</v>
      </c>
      <c r="J211" s="9">
        <f>VLOOKUP(revenue[productID],products[],IF(YEAR(revenue[orderDate])=2022,8,IF(YEAR(revenue[orderDate])=2023,9,IF(YEAR(revenue[orderDate])=2024,10,NA))),FALSE)</f>
        <v>9.768746876</v>
      </c>
      <c r="K211" s="9">
        <v>15.2</v>
      </c>
      <c r="L211" s="25">
        <f>(revenue[orderPrice]-revenue[productCost])/revenue[productCost]</f>
        <v>0.5559825833</v>
      </c>
      <c r="M211" s="10">
        <v>25.0</v>
      </c>
      <c r="N211" s="25">
        <v>0.2</v>
      </c>
      <c r="O211" s="9">
        <f>revenue[orderPrice]*revenue[orderQuantity]</f>
        <v>380</v>
      </c>
      <c r="P211" s="9">
        <f>revenue[orderTotal]*(1-revenue[discountApllied])</f>
        <v>304</v>
      </c>
      <c r="Q211" s="9">
        <f>revenue[revenue]-(revenue[productCost]*revenue[orderQuantity])</f>
        <v>59.78132809</v>
      </c>
      <c r="R211" s="25">
        <f>IFERROR(revenue[profit]/revenue[revenue], 0)</f>
        <v>0.1966491056</v>
      </c>
      <c r="S211" s="9">
        <f>revenue[productCost]*revenue[orderQuantity]</f>
        <v>244.2186719</v>
      </c>
    </row>
    <row r="212" ht="15.75" customHeight="1">
      <c r="A212" s="6">
        <v>10327.0</v>
      </c>
      <c r="B212" s="7" t="s">
        <v>29</v>
      </c>
      <c r="C212" s="24" t="str">
        <f>VLOOKUP(revenue[customerID],customers[],2,FALSE)</f>
        <v>Folk och fä HB</v>
      </c>
      <c r="D212" s="24" t="str">
        <f>VLOOKUP(revenue[customerID],customers[],6,FALSE)</f>
        <v>Bräcke</v>
      </c>
      <c r="E212" s="24" t="str">
        <f>VLOOKUP(revenue[customerID],customers[],9,FALSE)</f>
        <v>Sweden</v>
      </c>
      <c r="F212" s="24">
        <v>44845.0</v>
      </c>
      <c r="G212" s="6">
        <v>11.0</v>
      </c>
      <c r="H212" s="9" t="str">
        <f>VLOOKUP(revenue[productID],products[],2,FALSE)</f>
        <v>Queso Cabrales</v>
      </c>
      <c r="I212" s="9" t="str">
        <f>VLOOKUP(revenue[productID],products[],12,FALSE)</f>
        <v>Dairy Products</v>
      </c>
      <c r="J212" s="9">
        <f>VLOOKUP(revenue[productID],products[],IF(YEAR(revenue[orderDate])=2022,8,IF(YEAR(revenue[orderDate])=2023,9,IF(YEAR(revenue[orderDate])=2024,10,NA))),FALSE)</f>
        <v>10.58231097</v>
      </c>
      <c r="K212" s="9">
        <v>16.8</v>
      </c>
      <c r="L212" s="25">
        <f>(revenue[orderPrice]-revenue[productCost])/revenue[productCost]</f>
        <v>0.5875549344</v>
      </c>
      <c r="M212" s="10">
        <v>50.0</v>
      </c>
      <c r="N212" s="25">
        <v>0.2</v>
      </c>
      <c r="O212" s="9">
        <f>revenue[orderPrice]*revenue[orderQuantity]</f>
        <v>840</v>
      </c>
      <c r="P212" s="9">
        <f>revenue[orderTotal]*(1-revenue[discountApllied])</f>
        <v>672</v>
      </c>
      <c r="Q212" s="9">
        <f>revenue[revenue]-(revenue[productCost]*revenue[orderQuantity])</f>
        <v>142.8844514</v>
      </c>
      <c r="R212" s="25">
        <f>IFERROR(revenue[profit]/revenue[revenue], 0)</f>
        <v>0.2126256718</v>
      </c>
      <c r="S212" s="9">
        <f>revenue[productCost]*revenue[orderQuantity]</f>
        <v>529.1155486</v>
      </c>
    </row>
    <row r="213" ht="15.75" customHeight="1">
      <c r="A213" s="6">
        <v>10327.0</v>
      </c>
      <c r="B213" s="7" t="s">
        <v>29</v>
      </c>
      <c r="C213" s="24" t="str">
        <f>VLOOKUP(revenue[customerID],customers[],2,FALSE)</f>
        <v>Folk och fä HB</v>
      </c>
      <c r="D213" s="24" t="str">
        <f>VLOOKUP(revenue[customerID],customers[],6,FALSE)</f>
        <v>Bräcke</v>
      </c>
      <c r="E213" s="24" t="str">
        <f>VLOOKUP(revenue[customerID],customers[],9,FALSE)</f>
        <v>Sweden</v>
      </c>
      <c r="F213" s="24">
        <v>44845.0</v>
      </c>
      <c r="G213" s="6">
        <v>30.0</v>
      </c>
      <c r="H213" s="9" t="str">
        <f>VLOOKUP(revenue[productID],products[],2,FALSE)</f>
        <v>Nord-Ost Matjeshering</v>
      </c>
      <c r="I213" s="9" t="str">
        <f>VLOOKUP(revenue[productID],products[],12,FALSE)</f>
        <v>Seafood</v>
      </c>
      <c r="J213" s="9">
        <f>VLOOKUP(revenue[productID],products[],IF(YEAR(revenue[orderDate])=2022,8,IF(YEAR(revenue[orderDate])=2023,9,IF(YEAR(revenue[orderDate])=2024,10,NA))),FALSE)</f>
        <v>13.41656868</v>
      </c>
      <c r="K213" s="9">
        <v>20.7</v>
      </c>
      <c r="L213" s="25">
        <f>(revenue[orderPrice]-revenue[productCost])/revenue[productCost]</f>
        <v>0.5428684114</v>
      </c>
      <c r="M213" s="10">
        <v>35.0</v>
      </c>
      <c r="N213" s="25">
        <v>0.2</v>
      </c>
      <c r="O213" s="9">
        <f>revenue[orderPrice]*revenue[orderQuantity]</f>
        <v>724.5</v>
      </c>
      <c r="P213" s="9">
        <f>revenue[orderTotal]*(1-revenue[discountApllied])</f>
        <v>579.6</v>
      </c>
      <c r="Q213" s="9">
        <f>revenue[revenue]-(revenue[productCost]*revenue[orderQuantity])</f>
        <v>110.0200963</v>
      </c>
      <c r="R213" s="25">
        <f>IFERROR(revenue[profit]/revenue[revenue], 0)</f>
        <v>0.1898207321</v>
      </c>
      <c r="S213" s="9">
        <f>revenue[productCost]*revenue[orderQuantity]</f>
        <v>469.5799037</v>
      </c>
    </row>
    <row r="214" ht="15.75" customHeight="1">
      <c r="A214" s="6">
        <v>10327.0</v>
      </c>
      <c r="B214" s="7" t="s">
        <v>29</v>
      </c>
      <c r="C214" s="24" t="str">
        <f>VLOOKUP(revenue[customerID],customers[],2,FALSE)</f>
        <v>Folk och fä HB</v>
      </c>
      <c r="D214" s="24" t="str">
        <f>VLOOKUP(revenue[customerID],customers[],6,FALSE)</f>
        <v>Bräcke</v>
      </c>
      <c r="E214" s="24" t="str">
        <f>VLOOKUP(revenue[customerID],customers[],9,FALSE)</f>
        <v>Sweden</v>
      </c>
      <c r="F214" s="24">
        <v>44845.0</v>
      </c>
      <c r="G214" s="6">
        <v>58.0</v>
      </c>
      <c r="H214" s="9" t="str">
        <f>VLOOKUP(revenue[productID],products[],2,FALSE)</f>
        <v>Escargots de Bourgogne</v>
      </c>
      <c r="I214" s="9" t="str">
        <f>VLOOKUP(revenue[productID],products[],12,FALSE)</f>
        <v>Seafood</v>
      </c>
      <c r="J214" s="9">
        <f>VLOOKUP(revenue[productID],products[],IF(YEAR(revenue[orderDate])=2022,8,IF(YEAR(revenue[orderDate])=2023,9,IF(YEAR(revenue[orderDate])=2024,10,NA))),FALSE)</f>
        <v>6.388939317</v>
      </c>
      <c r="K214" s="9">
        <v>10.6</v>
      </c>
      <c r="L214" s="25">
        <f>(revenue[orderPrice]-revenue[productCost])/revenue[productCost]</f>
        <v>0.6591173392</v>
      </c>
      <c r="M214" s="10">
        <v>30.0</v>
      </c>
      <c r="N214" s="25">
        <v>0.2</v>
      </c>
      <c r="O214" s="9">
        <f>revenue[orderPrice]*revenue[orderQuantity]</f>
        <v>318</v>
      </c>
      <c r="P214" s="9">
        <f>revenue[orderTotal]*(1-revenue[discountApllied])</f>
        <v>254.4</v>
      </c>
      <c r="Q214" s="9">
        <f>revenue[revenue]-(revenue[productCost]*revenue[orderQuantity])</f>
        <v>62.73182049</v>
      </c>
      <c r="R214" s="25">
        <f>IFERROR(revenue[profit]/revenue[revenue], 0)</f>
        <v>0.2465873447</v>
      </c>
      <c r="S214" s="9">
        <f>revenue[productCost]*revenue[orderQuantity]</f>
        <v>191.6681795</v>
      </c>
    </row>
    <row r="215" ht="15.75" customHeight="1">
      <c r="A215" s="6">
        <v>10328.0</v>
      </c>
      <c r="B215" s="7" t="s">
        <v>62</v>
      </c>
      <c r="C215" s="24" t="str">
        <f>VLOOKUP(revenue[customerID],customers[],2,FALSE)</f>
        <v>Furia Bacalhau e Frutos do Mar</v>
      </c>
      <c r="D215" s="24" t="str">
        <f>VLOOKUP(revenue[customerID],customers[],6,FALSE)</f>
        <v>Lisboa</v>
      </c>
      <c r="E215" s="24" t="str">
        <f>VLOOKUP(revenue[customerID],customers[],9,FALSE)</f>
        <v>Portugal</v>
      </c>
      <c r="F215" s="24">
        <v>44848.0</v>
      </c>
      <c r="G215" s="6">
        <v>59.0</v>
      </c>
      <c r="H215" s="9" t="str">
        <f>VLOOKUP(revenue[productID],products[],2,FALSE)</f>
        <v>Raclette Courdavault</v>
      </c>
      <c r="I215" s="9" t="str">
        <f>VLOOKUP(revenue[productID],products[],12,FALSE)</f>
        <v>Dairy Products</v>
      </c>
      <c r="J215" s="9">
        <f>VLOOKUP(revenue[productID],products[],IF(YEAR(revenue[orderDate])=2022,8,IF(YEAR(revenue[orderDate])=2023,9,IF(YEAR(revenue[orderDate])=2024,10,NA))),FALSE)</f>
        <v>29.20351951</v>
      </c>
      <c r="K215" s="9">
        <v>44.0</v>
      </c>
      <c r="L215" s="25">
        <f>(revenue[orderPrice]-revenue[productCost])/revenue[productCost]</f>
        <v>0.5066677147</v>
      </c>
      <c r="M215" s="10">
        <v>9.0</v>
      </c>
      <c r="N215" s="25">
        <v>0.0</v>
      </c>
      <c r="O215" s="9">
        <f>revenue[orderPrice]*revenue[orderQuantity]</f>
        <v>396</v>
      </c>
      <c r="P215" s="9">
        <f>revenue[orderTotal]*(1-revenue[discountApllied])</f>
        <v>396</v>
      </c>
      <c r="Q215" s="9">
        <f>revenue[revenue]-(revenue[productCost]*revenue[orderQuantity])</f>
        <v>133.1683244</v>
      </c>
      <c r="R215" s="25">
        <f>IFERROR(revenue[profit]/revenue[revenue], 0)</f>
        <v>0.3362836475</v>
      </c>
      <c r="S215" s="9">
        <f>revenue[productCost]*revenue[orderQuantity]</f>
        <v>262.8316756</v>
      </c>
    </row>
    <row r="216" ht="15.75" customHeight="1">
      <c r="A216" s="6">
        <v>10328.0</v>
      </c>
      <c r="B216" s="7" t="s">
        <v>62</v>
      </c>
      <c r="C216" s="24" t="str">
        <f>VLOOKUP(revenue[customerID],customers[],2,FALSE)</f>
        <v>Furia Bacalhau e Frutos do Mar</v>
      </c>
      <c r="D216" s="24" t="str">
        <f>VLOOKUP(revenue[customerID],customers[],6,FALSE)</f>
        <v>Lisboa</v>
      </c>
      <c r="E216" s="24" t="str">
        <f>VLOOKUP(revenue[customerID],customers[],9,FALSE)</f>
        <v>Portugal</v>
      </c>
      <c r="F216" s="24">
        <v>44848.0</v>
      </c>
      <c r="G216" s="6">
        <v>65.0</v>
      </c>
      <c r="H216" s="9" t="str">
        <f>VLOOKUP(revenue[productID],products[],2,FALSE)</f>
        <v>Louisiana Fiery Hot Pepper Sauce</v>
      </c>
      <c r="I216" s="9" t="str">
        <f>VLOOKUP(revenue[productID],products[],12,FALSE)</f>
        <v>Condiments</v>
      </c>
      <c r="J216" s="9">
        <f>VLOOKUP(revenue[productID],products[],IF(YEAR(revenue[orderDate])=2022,8,IF(YEAR(revenue[orderDate])=2023,9,IF(YEAR(revenue[orderDate])=2024,10,NA))),FALSE)</f>
        <v>11.17410204</v>
      </c>
      <c r="K216" s="9">
        <v>16.8</v>
      </c>
      <c r="L216" s="25">
        <f>(revenue[orderPrice]-revenue[productCost])/revenue[productCost]</f>
        <v>0.503476515</v>
      </c>
      <c r="M216" s="10">
        <v>40.0</v>
      </c>
      <c r="N216" s="25">
        <v>0.0</v>
      </c>
      <c r="O216" s="9">
        <f>revenue[orderPrice]*revenue[orderQuantity]</f>
        <v>672</v>
      </c>
      <c r="P216" s="9">
        <f>revenue[orderTotal]*(1-revenue[discountApllied])</f>
        <v>672</v>
      </c>
      <c r="Q216" s="9">
        <f>revenue[revenue]-(revenue[productCost]*revenue[orderQuantity])</f>
        <v>225.0359182</v>
      </c>
      <c r="R216" s="25">
        <f>IFERROR(revenue[profit]/revenue[revenue], 0)</f>
        <v>0.3348748783</v>
      </c>
      <c r="S216" s="9">
        <f>revenue[productCost]*revenue[orderQuantity]</f>
        <v>446.9640818</v>
      </c>
    </row>
    <row r="217" ht="15.75" customHeight="1">
      <c r="A217" s="6">
        <v>10328.0</v>
      </c>
      <c r="B217" s="7" t="s">
        <v>62</v>
      </c>
      <c r="C217" s="24" t="str">
        <f>VLOOKUP(revenue[customerID],customers[],2,FALSE)</f>
        <v>Furia Bacalhau e Frutos do Mar</v>
      </c>
      <c r="D217" s="24" t="str">
        <f>VLOOKUP(revenue[customerID],customers[],6,FALSE)</f>
        <v>Lisboa</v>
      </c>
      <c r="E217" s="24" t="str">
        <f>VLOOKUP(revenue[customerID],customers[],9,FALSE)</f>
        <v>Portugal</v>
      </c>
      <c r="F217" s="24">
        <v>44848.0</v>
      </c>
      <c r="G217" s="6">
        <v>68.0</v>
      </c>
      <c r="H217" s="9" t="str">
        <f>VLOOKUP(revenue[productID],products[],2,FALSE)</f>
        <v>Scottish Longbreads</v>
      </c>
      <c r="I217" s="9" t="str">
        <f>VLOOKUP(revenue[productID],products[],12,FALSE)</f>
        <v>Confections</v>
      </c>
      <c r="J217" s="9">
        <f>VLOOKUP(revenue[productID],products[],IF(YEAR(revenue[orderDate])=2022,8,IF(YEAR(revenue[orderDate])=2023,9,IF(YEAR(revenue[orderDate])=2024,10,NA))),FALSE)</f>
        <v>7.316656529</v>
      </c>
      <c r="K217" s="9">
        <v>10.0</v>
      </c>
      <c r="L217" s="25">
        <f>(revenue[orderPrice]-revenue[productCost])/revenue[productCost]</f>
        <v>0.3667444906</v>
      </c>
      <c r="M217" s="10">
        <v>10.0</v>
      </c>
      <c r="N217" s="25">
        <v>0.0</v>
      </c>
      <c r="O217" s="9">
        <f>revenue[orderPrice]*revenue[orderQuantity]</f>
        <v>100</v>
      </c>
      <c r="P217" s="9">
        <f>revenue[orderTotal]*(1-revenue[discountApllied])</f>
        <v>100</v>
      </c>
      <c r="Q217" s="9">
        <f>revenue[revenue]-(revenue[productCost]*revenue[orderQuantity])</f>
        <v>26.83343471</v>
      </c>
      <c r="R217" s="25">
        <f>IFERROR(revenue[profit]/revenue[revenue], 0)</f>
        <v>0.2683343471</v>
      </c>
      <c r="S217" s="9">
        <f>revenue[productCost]*revenue[orderQuantity]</f>
        <v>73.16656529</v>
      </c>
    </row>
    <row r="218" ht="15.75" customHeight="1">
      <c r="A218" s="6">
        <v>10329.0</v>
      </c>
      <c r="B218" s="7" t="s">
        <v>35</v>
      </c>
      <c r="C218" s="24" t="str">
        <f>VLOOKUP(revenue[customerID],customers[],2,FALSE)</f>
        <v>Split Rail Beer &amp; Ale</v>
      </c>
      <c r="D218" s="24" t="str">
        <f>VLOOKUP(revenue[customerID],customers[],6,FALSE)</f>
        <v>Lander</v>
      </c>
      <c r="E218" s="24" t="str">
        <f>VLOOKUP(revenue[customerID],customers[],9,FALSE)</f>
        <v>USA</v>
      </c>
      <c r="F218" s="24">
        <v>44849.0</v>
      </c>
      <c r="G218" s="6">
        <v>19.0</v>
      </c>
      <c r="H218" s="9" t="str">
        <f>VLOOKUP(revenue[productID],products[],2,FALSE)</f>
        <v>Teatime Chocolate Biscuits</v>
      </c>
      <c r="I218" s="9" t="str">
        <f>VLOOKUP(revenue[productID],products[],12,FALSE)</f>
        <v>Confections</v>
      </c>
      <c r="J218" s="9">
        <f>VLOOKUP(revenue[productID],products[],IF(YEAR(revenue[orderDate])=2022,8,IF(YEAR(revenue[orderDate])=2023,9,IF(YEAR(revenue[orderDate])=2024,10,NA))),FALSE)</f>
        <v>5.58120093</v>
      </c>
      <c r="K218" s="9">
        <v>7.3</v>
      </c>
      <c r="L218" s="25">
        <f>(revenue[orderPrice]-revenue[productCost])/revenue[productCost]</f>
        <v>0.3079622274</v>
      </c>
      <c r="M218" s="10">
        <v>10.0</v>
      </c>
      <c r="N218" s="25">
        <v>0.05</v>
      </c>
      <c r="O218" s="9">
        <f>revenue[orderPrice]*revenue[orderQuantity]</f>
        <v>73</v>
      </c>
      <c r="P218" s="9">
        <f>revenue[orderTotal]*(1-revenue[discountApllied])</f>
        <v>69.35</v>
      </c>
      <c r="Q218" s="9">
        <f>revenue[revenue]-(revenue[productCost]*revenue[orderQuantity])</f>
        <v>13.5379907</v>
      </c>
      <c r="R218" s="25">
        <f>IFERROR(revenue[profit]/revenue[revenue], 0)</f>
        <v>0.1952125552</v>
      </c>
      <c r="S218" s="9">
        <f>revenue[productCost]*revenue[orderQuantity]</f>
        <v>55.8120093</v>
      </c>
    </row>
    <row r="219" ht="15.75" customHeight="1">
      <c r="A219" s="6">
        <v>10329.0</v>
      </c>
      <c r="B219" s="7" t="s">
        <v>35</v>
      </c>
      <c r="C219" s="24" t="str">
        <f>VLOOKUP(revenue[customerID],customers[],2,FALSE)</f>
        <v>Split Rail Beer &amp; Ale</v>
      </c>
      <c r="D219" s="24" t="str">
        <f>VLOOKUP(revenue[customerID],customers[],6,FALSE)</f>
        <v>Lander</v>
      </c>
      <c r="E219" s="24" t="str">
        <f>VLOOKUP(revenue[customerID],customers[],9,FALSE)</f>
        <v>USA</v>
      </c>
      <c r="F219" s="24">
        <v>44849.0</v>
      </c>
      <c r="G219" s="6">
        <v>30.0</v>
      </c>
      <c r="H219" s="9" t="str">
        <f>VLOOKUP(revenue[productID],products[],2,FALSE)</f>
        <v>Nord-Ost Matjeshering</v>
      </c>
      <c r="I219" s="9" t="str">
        <f>VLOOKUP(revenue[productID],products[],12,FALSE)</f>
        <v>Seafood</v>
      </c>
      <c r="J219" s="9">
        <f>VLOOKUP(revenue[productID],products[],IF(YEAR(revenue[orderDate])=2022,8,IF(YEAR(revenue[orderDate])=2023,9,IF(YEAR(revenue[orderDate])=2024,10,NA))),FALSE)</f>
        <v>13.41656868</v>
      </c>
      <c r="K219" s="9">
        <v>20.7</v>
      </c>
      <c r="L219" s="25">
        <f>(revenue[orderPrice]-revenue[productCost])/revenue[productCost]</f>
        <v>0.5428684114</v>
      </c>
      <c r="M219" s="10">
        <v>8.0</v>
      </c>
      <c r="N219" s="25">
        <v>0.05</v>
      </c>
      <c r="O219" s="9">
        <f>revenue[orderPrice]*revenue[orderQuantity]</f>
        <v>165.6</v>
      </c>
      <c r="P219" s="9">
        <f>revenue[orderTotal]*(1-revenue[discountApllied])</f>
        <v>157.32</v>
      </c>
      <c r="Q219" s="9">
        <f>revenue[revenue]-(revenue[productCost]*revenue[orderQuantity])</f>
        <v>49.98745059</v>
      </c>
      <c r="R219" s="25">
        <f>IFERROR(revenue[profit]/revenue[revenue], 0)</f>
        <v>0.3177437744</v>
      </c>
      <c r="S219" s="9">
        <f>revenue[productCost]*revenue[orderQuantity]</f>
        <v>107.3325494</v>
      </c>
    </row>
    <row r="220" ht="15.75" customHeight="1">
      <c r="A220" s="6">
        <v>10329.0</v>
      </c>
      <c r="B220" s="7" t="s">
        <v>35</v>
      </c>
      <c r="C220" s="24" t="str">
        <f>VLOOKUP(revenue[customerID],customers[],2,FALSE)</f>
        <v>Split Rail Beer &amp; Ale</v>
      </c>
      <c r="D220" s="24" t="str">
        <f>VLOOKUP(revenue[customerID],customers[],6,FALSE)</f>
        <v>Lander</v>
      </c>
      <c r="E220" s="24" t="str">
        <f>VLOOKUP(revenue[customerID],customers[],9,FALSE)</f>
        <v>USA</v>
      </c>
      <c r="F220" s="24">
        <v>44849.0</v>
      </c>
      <c r="G220" s="6">
        <v>38.0</v>
      </c>
      <c r="H220" s="9" t="str">
        <f>VLOOKUP(revenue[productID],products[],2,FALSE)</f>
        <v>Côte de Blaye</v>
      </c>
      <c r="I220" s="9" t="str">
        <f>VLOOKUP(revenue[productID],products[],12,FALSE)</f>
        <v>Beverages</v>
      </c>
      <c r="J220" s="9">
        <f>VLOOKUP(revenue[productID],products[],IF(YEAR(revenue[orderDate])=2022,8,IF(YEAR(revenue[orderDate])=2023,9,IF(YEAR(revenue[orderDate])=2024,10,NA))),FALSE)</f>
        <v>133.3740767</v>
      </c>
      <c r="K220" s="9">
        <v>210.8</v>
      </c>
      <c r="L220" s="25">
        <f>(revenue[orderPrice]-revenue[productCost])/revenue[productCost]</f>
        <v>0.5805170327</v>
      </c>
      <c r="M220" s="10">
        <v>20.0</v>
      </c>
      <c r="N220" s="25">
        <v>0.05</v>
      </c>
      <c r="O220" s="9">
        <f>revenue[orderPrice]*revenue[orderQuantity]</f>
        <v>4216</v>
      </c>
      <c r="P220" s="9">
        <f>revenue[orderTotal]*(1-revenue[discountApllied])</f>
        <v>4005.2</v>
      </c>
      <c r="Q220" s="9">
        <f>revenue[revenue]-(revenue[productCost]*revenue[orderQuantity])</f>
        <v>1337.718465</v>
      </c>
      <c r="R220" s="25">
        <f>IFERROR(revenue[profit]/revenue[revenue], 0)</f>
        <v>0.3339954223</v>
      </c>
      <c r="S220" s="9">
        <f>revenue[productCost]*revenue[orderQuantity]</f>
        <v>2667.481535</v>
      </c>
    </row>
    <row r="221" ht="15.75" customHeight="1">
      <c r="A221" s="6">
        <v>10329.0</v>
      </c>
      <c r="B221" s="7" t="s">
        <v>35</v>
      </c>
      <c r="C221" s="24" t="str">
        <f>VLOOKUP(revenue[customerID],customers[],2,FALSE)</f>
        <v>Split Rail Beer &amp; Ale</v>
      </c>
      <c r="D221" s="24" t="str">
        <f>VLOOKUP(revenue[customerID],customers[],6,FALSE)</f>
        <v>Lander</v>
      </c>
      <c r="E221" s="24" t="str">
        <f>VLOOKUP(revenue[customerID],customers[],9,FALSE)</f>
        <v>USA</v>
      </c>
      <c r="F221" s="24">
        <v>44849.0</v>
      </c>
      <c r="G221" s="6">
        <v>56.0</v>
      </c>
      <c r="H221" s="9" t="str">
        <f>VLOOKUP(revenue[productID],products[],2,FALSE)</f>
        <v>Gnocchi di nonna Alice</v>
      </c>
      <c r="I221" s="9" t="str">
        <f>VLOOKUP(revenue[productID],products[],12,FALSE)</f>
        <v>Grains/Cereals</v>
      </c>
      <c r="J221" s="9">
        <f>VLOOKUP(revenue[productID],products[],IF(YEAR(revenue[orderDate])=2022,8,IF(YEAR(revenue[orderDate])=2023,9,IF(YEAR(revenue[orderDate])=2024,10,NA))),FALSE)</f>
        <v>21.5040056</v>
      </c>
      <c r="K221" s="9">
        <v>30.4</v>
      </c>
      <c r="L221" s="25">
        <f>(revenue[orderPrice]-revenue[productCost])/revenue[productCost]</f>
        <v>0.4136901081</v>
      </c>
      <c r="M221" s="10">
        <v>12.0</v>
      </c>
      <c r="N221" s="25">
        <v>0.05</v>
      </c>
      <c r="O221" s="9">
        <f>revenue[orderPrice]*revenue[orderQuantity]</f>
        <v>364.8</v>
      </c>
      <c r="P221" s="9">
        <f>revenue[orderTotal]*(1-revenue[discountApllied])</f>
        <v>346.56</v>
      </c>
      <c r="Q221" s="9">
        <f>revenue[revenue]-(revenue[productCost]*revenue[orderQuantity])</f>
        <v>88.51193281</v>
      </c>
      <c r="R221" s="25">
        <f>IFERROR(revenue[profit]/revenue[revenue], 0)</f>
        <v>0.2554014682</v>
      </c>
      <c r="S221" s="9">
        <f>revenue[productCost]*revenue[orderQuantity]</f>
        <v>258.0480672</v>
      </c>
    </row>
    <row r="222" ht="15.75" customHeight="1">
      <c r="A222" s="6">
        <v>10330.0</v>
      </c>
      <c r="B222" s="7" t="s">
        <v>43</v>
      </c>
      <c r="C222" s="24" t="str">
        <f>VLOOKUP(revenue[customerID],customers[],2,FALSE)</f>
        <v>LILA-Supermercado</v>
      </c>
      <c r="D222" s="24" t="str">
        <f>VLOOKUP(revenue[customerID],customers[],6,FALSE)</f>
        <v>Barquisimeto</v>
      </c>
      <c r="E222" s="24" t="str">
        <f>VLOOKUP(revenue[customerID],customers[],9,FALSE)</f>
        <v>Venezuela</v>
      </c>
      <c r="F222" s="24">
        <v>44850.0</v>
      </c>
      <c r="G222" s="6">
        <v>26.0</v>
      </c>
      <c r="H222" s="9" t="str">
        <f>VLOOKUP(revenue[productID],products[],2,FALSE)</f>
        <v>NuNuCa Nuß-Nougat-Creme</v>
      </c>
      <c r="I222" s="9" t="str">
        <f>VLOOKUP(revenue[productID],products[],12,FALSE)</f>
        <v>Confections</v>
      </c>
      <c r="J222" s="9">
        <f>VLOOKUP(revenue[productID],products[],IF(YEAR(revenue[orderDate])=2022,8,IF(YEAR(revenue[orderDate])=2023,9,IF(YEAR(revenue[orderDate])=2024,10,NA))),FALSE)</f>
        <v>17.26675607</v>
      </c>
      <c r="K222" s="9">
        <v>24.9</v>
      </c>
      <c r="L222" s="25">
        <f>(revenue[orderPrice]-revenue[productCost])/revenue[productCost]</f>
        <v>0.442077475</v>
      </c>
      <c r="M222" s="10">
        <v>50.0</v>
      </c>
      <c r="N222" s="25">
        <v>0.15</v>
      </c>
      <c r="O222" s="9">
        <f>revenue[orderPrice]*revenue[orderQuantity]</f>
        <v>1245</v>
      </c>
      <c r="P222" s="9">
        <f>revenue[orderTotal]*(1-revenue[discountApllied])</f>
        <v>1058.25</v>
      </c>
      <c r="Q222" s="9">
        <f>revenue[revenue]-(revenue[productCost]*revenue[orderQuantity])</f>
        <v>194.9121963</v>
      </c>
      <c r="R222" s="25">
        <f>IFERROR(revenue[profit]/revenue[revenue], 0)</f>
        <v>0.184183507</v>
      </c>
      <c r="S222" s="9">
        <f>revenue[productCost]*revenue[orderQuantity]</f>
        <v>863.3378037</v>
      </c>
    </row>
    <row r="223" ht="15.75" customHeight="1">
      <c r="A223" s="6">
        <v>10330.0</v>
      </c>
      <c r="B223" s="7" t="s">
        <v>43</v>
      </c>
      <c r="C223" s="24" t="str">
        <f>VLOOKUP(revenue[customerID],customers[],2,FALSE)</f>
        <v>LILA-Supermercado</v>
      </c>
      <c r="D223" s="24" t="str">
        <f>VLOOKUP(revenue[customerID],customers[],6,FALSE)</f>
        <v>Barquisimeto</v>
      </c>
      <c r="E223" s="24" t="str">
        <f>VLOOKUP(revenue[customerID],customers[],9,FALSE)</f>
        <v>Venezuela</v>
      </c>
      <c r="F223" s="24">
        <v>44850.0</v>
      </c>
      <c r="G223" s="6">
        <v>72.0</v>
      </c>
      <c r="H223" s="9" t="str">
        <f>VLOOKUP(revenue[productID],products[],2,FALSE)</f>
        <v>Mozzarella di Giovanni</v>
      </c>
      <c r="I223" s="9" t="str">
        <f>VLOOKUP(revenue[productID],products[],12,FALSE)</f>
        <v>Dairy Products</v>
      </c>
      <c r="J223" s="9">
        <f>VLOOKUP(revenue[productID],products[],IF(YEAR(revenue[orderDate])=2022,8,IF(YEAR(revenue[orderDate])=2023,9,IF(YEAR(revenue[orderDate])=2024,10,NA))),FALSE)</f>
        <v>19.20829334</v>
      </c>
      <c r="K223" s="9">
        <v>27.8</v>
      </c>
      <c r="L223" s="25">
        <f>(revenue[orderPrice]-revenue[productCost])/revenue[productCost]</f>
        <v>0.4472915167</v>
      </c>
      <c r="M223" s="10">
        <v>25.0</v>
      </c>
      <c r="N223" s="25">
        <v>0.15</v>
      </c>
      <c r="O223" s="9">
        <f>revenue[orderPrice]*revenue[orderQuantity]</f>
        <v>695</v>
      </c>
      <c r="P223" s="9">
        <f>revenue[orderTotal]*(1-revenue[discountApllied])</f>
        <v>590.75</v>
      </c>
      <c r="Q223" s="9">
        <f>revenue[revenue]-(revenue[productCost]*revenue[orderQuantity])</f>
        <v>110.5426665</v>
      </c>
      <c r="R223" s="25">
        <f>IFERROR(revenue[profit]/revenue[revenue], 0)</f>
        <v>0.1871225841</v>
      </c>
      <c r="S223" s="9">
        <f>revenue[productCost]*revenue[orderQuantity]</f>
        <v>480.2073335</v>
      </c>
    </row>
    <row r="224" ht="15.75" customHeight="1">
      <c r="A224" s="6">
        <v>10331.0</v>
      </c>
      <c r="B224" s="7" t="s">
        <v>63</v>
      </c>
      <c r="C224" s="24" t="str">
        <f>VLOOKUP(revenue[customerID],customers[],2,FALSE)</f>
        <v>Bon app'</v>
      </c>
      <c r="D224" s="24" t="str">
        <f>VLOOKUP(revenue[customerID],customers[],6,FALSE)</f>
        <v>Marseille</v>
      </c>
      <c r="E224" s="24" t="str">
        <f>VLOOKUP(revenue[customerID],customers[],9,FALSE)</f>
        <v>France</v>
      </c>
      <c r="F224" s="24">
        <v>44850.0</v>
      </c>
      <c r="G224" s="6">
        <v>54.0</v>
      </c>
      <c r="H224" s="9" t="str">
        <f>VLOOKUP(revenue[productID],products[],2,FALSE)</f>
        <v>Tourtière</v>
      </c>
      <c r="I224" s="9" t="str">
        <f>VLOOKUP(revenue[productID],products[],12,FALSE)</f>
        <v>Meat/Poultry</v>
      </c>
      <c r="J224" s="9">
        <f>VLOOKUP(revenue[productID],products[],IF(YEAR(revenue[orderDate])=2022,8,IF(YEAR(revenue[orderDate])=2023,9,IF(YEAR(revenue[orderDate])=2024,10,NA))),FALSE)</f>
        <v>4.309848919</v>
      </c>
      <c r="K224" s="9">
        <v>5.9</v>
      </c>
      <c r="L224" s="25">
        <f>(revenue[orderPrice]-revenue[productCost])/revenue[productCost]</f>
        <v>0.3689574996</v>
      </c>
      <c r="M224" s="10">
        <v>15.0</v>
      </c>
      <c r="N224" s="25">
        <v>0.0</v>
      </c>
      <c r="O224" s="9">
        <f>revenue[orderPrice]*revenue[orderQuantity]</f>
        <v>88.5</v>
      </c>
      <c r="P224" s="9">
        <f>revenue[orderTotal]*(1-revenue[discountApllied])</f>
        <v>88.5</v>
      </c>
      <c r="Q224" s="9">
        <f>revenue[revenue]-(revenue[productCost]*revenue[orderQuantity])</f>
        <v>23.85226621</v>
      </c>
      <c r="R224" s="25">
        <f>IFERROR(revenue[profit]/revenue[revenue], 0)</f>
        <v>0.2695171323</v>
      </c>
      <c r="S224" s="9">
        <f>revenue[productCost]*revenue[orderQuantity]</f>
        <v>64.64773379</v>
      </c>
    </row>
    <row r="225" ht="15.75" customHeight="1">
      <c r="A225" s="6">
        <v>10332.0</v>
      </c>
      <c r="B225" s="7" t="s">
        <v>64</v>
      </c>
      <c r="C225" s="24" t="str">
        <f>VLOOKUP(revenue[customerID],customers[],2,FALSE)</f>
        <v>Mère Paillarde</v>
      </c>
      <c r="D225" s="24" t="str">
        <f>VLOOKUP(revenue[customerID],customers[],6,FALSE)</f>
        <v>Montréal</v>
      </c>
      <c r="E225" s="24" t="str">
        <f>VLOOKUP(revenue[customerID],customers[],9,FALSE)</f>
        <v>Canada</v>
      </c>
      <c r="F225" s="24">
        <v>44851.0</v>
      </c>
      <c r="G225" s="6">
        <v>18.0</v>
      </c>
      <c r="H225" s="9" t="str">
        <f>VLOOKUP(revenue[productID],products[],2,FALSE)</f>
        <v>Carnarvon Tigers</v>
      </c>
      <c r="I225" s="9" t="str">
        <f>VLOOKUP(revenue[productID],products[],12,FALSE)</f>
        <v>Seafood</v>
      </c>
      <c r="J225" s="9">
        <f>VLOOKUP(revenue[productID],products[],IF(YEAR(revenue[orderDate])=2022,8,IF(YEAR(revenue[orderDate])=2023,9,IF(YEAR(revenue[orderDate])=2024,10,NA))),FALSE)</f>
        <v>32.46379819</v>
      </c>
      <c r="K225" s="9">
        <v>50.0</v>
      </c>
      <c r="L225" s="25">
        <f>(revenue[orderPrice]-revenue[productCost])/revenue[productCost]</f>
        <v>0.5401771445</v>
      </c>
      <c r="M225" s="10">
        <v>40.0</v>
      </c>
      <c r="N225" s="25">
        <v>0.2</v>
      </c>
      <c r="O225" s="9">
        <f>revenue[orderPrice]*revenue[orderQuantity]</f>
        <v>2000</v>
      </c>
      <c r="P225" s="9">
        <f>revenue[orderTotal]*(1-revenue[discountApllied])</f>
        <v>1600</v>
      </c>
      <c r="Q225" s="9">
        <f>revenue[revenue]-(revenue[productCost]*revenue[orderQuantity])</f>
        <v>301.4480723</v>
      </c>
      <c r="R225" s="25">
        <f>IFERROR(revenue[profit]/revenue[revenue], 0)</f>
        <v>0.1884050452</v>
      </c>
      <c r="S225" s="9">
        <f>revenue[productCost]*revenue[orderQuantity]</f>
        <v>1298.551928</v>
      </c>
    </row>
    <row r="226" ht="15.75" customHeight="1">
      <c r="A226" s="6">
        <v>10332.0</v>
      </c>
      <c r="B226" s="7" t="s">
        <v>64</v>
      </c>
      <c r="C226" s="24" t="str">
        <f>VLOOKUP(revenue[customerID],customers[],2,FALSE)</f>
        <v>Mère Paillarde</v>
      </c>
      <c r="D226" s="24" t="str">
        <f>VLOOKUP(revenue[customerID],customers[],6,FALSE)</f>
        <v>Montréal</v>
      </c>
      <c r="E226" s="24" t="str">
        <f>VLOOKUP(revenue[customerID],customers[],9,FALSE)</f>
        <v>Canada</v>
      </c>
      <c r="F226" s="24">
        <v>44851.0</v>
      </c>
      <c r="G226" s="6">
        <v>42.0</v>
      </c>
      <c r="H226" s="9" t="str">
        <f>VLOOKUP(revenue[productID],products[],2,FALSE)</f>
        <v>Singaporean Hokkien Fried Mee</v>
      </c>
      <c r="I226" s="9" t="str">
        <f>VLOOKUP(revenue[productID],products[],12,FALSE)</f>
        <v>Grains/Cereals</v>
      </c>
      <c r="J226" s="9">
        <f>VLOOKUP(revenue[productID],products[],IF(YEAR(revenue[orderDate])=2022,8,IF(YEAR(revenue[orderDate])=2023,9,IF(YEAR(revenue[orderDate])=2024,10,NA))),FALSE)</f>
        <v>7.818425885</v>
      </c>
      <c r="K226" s="9">
        <v>11.2</v>
      </c>
      <c r="L226" s="25">
        <f>(revenue[orderPrice]-revenue[productCost])/revenue[productCost]</f>
        <v>0.4325134196</v>
      </c>
      <c r="M226" s="10">
        <v>10.0</v>
      </c>
      <c r="N226" s="25">
        <v>0.2</v>
      </c>
      <c r="O226" s="9">
        <f>revenue[orderPrice]*revenue[orderQuantity]</f>
        <v>112</v>
      </c>
      <c r="P226" s="9">
        <f>revenue[orderTotal]*(1-revenue[discountApllied])</f>
        <v>89.6</v>
      </c>
      <c r="Q226" s="9">
        <f>revenue[revenue]-(revenue[productCost]*revenue[orderQuantity])</f>
        <v>11.41574115</v>
      </c>
      <c r="R226" s="25">
        <f>IFERROR(revenue[profit]/revenue[revenue], 0)</f>
        <v>0.1274078254</v>
      </c>
      <c r="S226" s="9">
        <f>revenue[productCost]*revenue[orderQuantity]</f>
        <v>78.18425885</v>
      </c>
    </row>
    <row r="227" ht="15.75" customHeight="1">
      <c r="A227" s="6">
        <v>10332.0</v>
      </c>
      <c r="B227" s="7" t="s">
        <v>64</v>
      </c>
      <c r="C227" s="24" t="str">
        <f>VLOOKUP(revenue[customerID],customers[],2,FALSE)</f>
        <v>Mère Paillarde</v>
      </c>
      <c r="D227" s="24" t="str">
        <f>VLOOKUP(revenue[customerID],customers[],6,FALSE)</f>
        <v>Montréal</v>
      </c>
      <c r="E227" s="24" t="str">
        <f>VLOOKUP(revenue[customerID],customers[],9,FALSE)</f>
        <v>Canada</v>
      </c>
      <c r="F227" s="24">
        <v>44851.0</v>
      </c>
      <c r="G227" s="6">
        <v>47.0</v>
      </c>
      <c r="H227" s="9" t="str">
        <f>VLOOKUP(revenue[productID],products[],2,FALSE)</f>
        <v>Zaanse koeken</v>
      </c>
      <c r="I227" s="9" t="str">
        <f>VLOOKUP(revenue[productID],products[],12,FALSE)</f>
        <v>Confections</v>
      </c>
      <c r="J227" s="9">
        <f>VLOOKUP(revenue[productID],products[],IF(YEAR(revenue[orderDate])=2022,8,IF(YEAR(revenue[orderDate])=2023,9,IF(YEAR(revenue[orderDate])=2024,10,NA))),FALSE)</f>
        <v>4.73890038</v>
      </c>
      <c r="K227" s="9">
        <v>7.6</v>
      </c>
      <c r="L227" s="25">
        <f>(revenue[orderPrice]-revenue[productCost])/revenue[productCost]</f>
        <v>0.6037475764</v>
      </c>
      <c r="M227" s="10">
        <v>16.0</v>
      </c>
      <c r="N227" s="25">
        <v>0.2</v>
      </c>
      <c r="O227" s="9">
        <f>revenue[orderPrice]*revenue[orderQuantity]</f>
        <v>121.6</v>
      </c>
      <c r="P227" s="9">
        <f>revenue[orderTotal]*(1-revenue[discountApllied])</f>
        <v>97.28</v>
      </c>
      <c r="Q227" s="9">
        <f>revenue[revenue]-(revenue[productCost]*revenue[orderQuantity])</f>
        <v>21.45759391</v>
      </c>
      <c r="R227" s="25">
        <f>IFERROR(revenue[profit]/revenue[revenue], 0)</f>
        <v>0.2205755953</v>
      </c>
      <c r="S227" s="9">
        <f>revenue[productCost]*revenue[orderQuantity]</f>
        <v>75.82240609</v>
      </c>
    </row>
    <row r="228" ht="15.75" customHeight="1">
      <c r="A228" s="6">
        <v>10333.0</v>
      </c>
      <c r="B228" s="7" t="s">
        <v>31</v>
      </c>
      <c r="C228" s="24" t="str">
        <f>VLOOKUP(revenue[customerID],customers[],2,FALSE)</f>
        <v>Wartian Herkku</v>
      </c>
      <c r="D228" s="24" t="str">
        <f>VLOOKUP(revenue[customerID],customers[],6,FALSE)</f>
        <v>Oulu</v>
      </c>
      <c r="E228" s="24" t="str">
        <f>VLOOKUP(revenue[customerID],customers[],9,FALSE)</f>
        <v>Finland</v>
      </c>
      <c r="F228" s="24">
        <v>44852.0</v>
      </c>
      <c r="G228" s="6">
        <v>14.0</v>
      </c>
      <c r="H228" s="9" t="str">
        <f>VLOOKUP(revenue[productID],products[],2,FALSE)</f>
        <v>Tofu</v>
      </c>
      <c r="I228" s="9" t="str">
        <f>VLOOKUP(revenue[productID],products[],12,FALSE)</f>
        <v>Produce</v>
      </c>
      <c r="J228" s="9">
        <f>VLOOKUP(revenue[productID],products[],IF(YEAR(revenue[orderDate])=2022,8,IF(YEAR(revenue[orderDate])=2023,9,IF(YEAR(revenue[orderDate])=2024,10,NA))),FALSE)</f>
        <v>13.95254082</v>
      </c>
      <c r="K228" s="9">
        <v>18.6</v>
      </c>
      <c r="L228" s="25">
        <f>(revenue[orderPrice]-revenue[productCost])/revenue[productCost]</f>
        <v>0.333090527</v>
      </c>
      <c r="M228" s="10">
        <v>10.0</v>
      </c>
      <c r="N228" s="25">
        <v>0.0</v>
      </c>
      <c r="O228" s="9">
        <f>revenue[orderPrice]*revenue[orderQuantity]</f>
        <v>186</v>
      </c>
      <c r="P228" s="9">
        <f>revenue[orderTotal]*(1-revenue[discountApllied])</f>
        <v>186</v>
      </c>
      <c r="Q228" s="9">
        <f>revenue[revenue]-(revenue[productCost]*revenue[orderQuantity])</f>
        <v>46.47459176</v>
      </c>
      <c r="R228" s="25">
        <f>IFERROR(revenue[profit]/revenue[revenue], 0)</f>
        <v>0.2498633966</v>
      </c>
      <c r="S228" s="9">
        <f>revenue[productCost]*revenue[orderQuantity]</f>
        <v>139.5254082</v>
      </c>
    </row>
    <row r="229" ht="15.75" customHeight="1">
      <c r="A229" s="6">
        <v>10333.0</v>
      </c>
      <c r="B229" s="7" t="s">
        <v>31</v>
      </c>
      <c r="C229" s="24" t="str">
        <f>VLOOKUP(revenue[customerID],customers[],2,FALSE)</f>
        <v>Wartian Herkku</v>
      </c>
      <c r="D229" s="24" t="str">
        <f>VLOOKUP(revenue[customerID],customers[],6,FALSE)</f>
        <v>Oulu</v>
      </c>
      <c r="E229" s="24" t="str">
        <f>VLOOKUP(revenue[customerID],customers[],9,FALSE)</f>
        <v>Finland</v>
      </c>
      <c r="F229" s="24">
        <v>44852.0</v>
      </c>
      <c r="G229" s="6">
        <v>21.0</v>
      </c>
      <c r="H229" s="9" t="str">
        <f>VLOOKUP(revenue[productID],products[],2,FALSE)</f>
        <v>Sir Rodney's Scones</v>
      </c>
      <c r="I229" s="9" t="str">
        <f>VLOOKUP(revenue[productID],products[],12,FALSE)</f>
        <v>Confections</v>
      </c>
      <c r="J229" s="9">
        <f>VLOOKUP(revenue[productID],products[],IF(YEAR(revenue[orderDate])=2022,8,IF(YEAR(revenue[orderDate])=2023,9,IF(YEAR(revenue[orderDate])=2024,10,NA))),FALSE)</f>
        <v>5.773836452</v>
      </c>
      <c r="K229" s="9">
        <v>8.0</v>
      </c>
      <c r="L229" s="25">
        <f>(revenue[orderPrice]-revenue[productCost])/revenue[productCost]</f>
        <v>0.3855605483</v>
      </c>
      <c r="M229" s="10">
        <v>10.0</v>
      </c>
      <c r="N229" s="25">
        <v>0.1</v>
      </c>
      <c r="O229" s="9">
        <f>revenue[orderPrice]*revenue[orderQuantity]</f>
        <v>80</v>
      </c>
      <c r="P229" s="9">
        <f>revenue[orderTotal]*(1-revenue[discountApllied])</f>
        <v>72</v>
      </c>
      <c r="Q229" s="9">
        <f>revenue[revenue]-(revenue[productCost]*revenue[orderQuantity])</f>
        <v>14.26163548</v>
      </c>
      <c r="R229" s="25">
        <f>IFERROR(revenue[profit]/revenue[revenue], 0)</f>
        <v>0.1980782706</v>
      </c>
      <c r="S229" s="9">
        <f>revenue[productCost]*revenue[orderQuantity]</f>
        <v>57.73836452</v>
      </c>
    </row>
    <row r="230" ht="15.75" customHeight="1">
      <c r="A230" s="6">
        <v>10333.0</v>
      </c>
      <c r="B230" s="7" t="s">
        <v>31</v>
      </c>
      <c r="C230" s="24" t="str">
        <f>VLOOKUP(revenue[customerID],customers[],2,FALSE)</f>
        <v>Wartian Herkku</v>
      </c>
      <c r="D230" s="24" t="str">
        <f>VLOOKUP(revenue[customerID],customers[],6,FALSE)</f>
        <v>Oulu</v>
      </c>
      <c r="E230" s="24" t="str">
        <f>VLOOKUP(revenue[customerID],customers[],9,FALSE)</f>
        <v>Finland</v>
      </c>
      <c r="F230" s="24">
        <v>44852.0</v>
      </c>
      <c r="G230" s="6">
        <v>71.0</v>
      </c>
      <c r="H230" s="9" t="str">
        <f>VLOOKUP(revenue[productID],products[],2,FALSE)</f>
        <v>Flotemysost</v>
      </c>
      <c r="I230" s="9" t="str">
        <f>VLOOKUP(revenue[productID],products[],12,FALSE)</f>
        <v>Dairy Products</v>
      </c>
      <c r="J230" s="9">
        <f>VLOOKUP(revenue[productID],products[],IF(YEAR(revenue[orderDate])=2022,8,IF(YEAR(revenue[orderDate])=2023,9,IF(YEAR(revenue[orderDate])=2024,10,NA))),FALSE)</f>
        <v>12.00719029</v>
      </c>
      <c r="K230" s="9">
        <v>17.2</v>
      </c>
      <c r="L230" s="25">
        <f>(revenue[orderPrice]-revenue[productCost])/revenue[productCost]</f>
        <v>0.4324750075</v>
      </c>
      <c r="M230" s="10">
        <v>40.0</v>
      </c>
      <c r="N230" s="25">
        <v>0.1</v>
      </c>
      <c r="O230" s="9">
        <f>revenue[orderPrice]*revenue[orderQuantity]</f>
        <v>688</v>
      </c>
      <c r="P230" s="9">
        <f>revenue[orderTotal]*(1-revenue[discountApllied])</f>
        <v>619.2</v>
      </c>
      <c r="Q230" s="9">
        <f>revenue[revenue]-(revenue[productCost]*revenue[orderQuantity])</f>
        <v>138.9123884</v>
      </c>
      <c r="R230" s="25">
        <f>IFERROR(revenue[profit]/revenue[revenue], 0)</f>
        <v>0.2243417126</v>
      </c>
      <c r="S230" s="9">
        <f>revenue[productCost]*revenue[orderQuantity]</f>
        <v>480.2876116</v>
      </c>
    </row>
    <row r="231" ht="15.75" customHeight="1">
      <c r="A231" s="6">
        <v>10334.0</v>
      </c>
      <c r="B231" s="7" t="s">
        <v>18</v>
      </c>
      <c r="C231" s="24" t="str">
        <f>VLOOKUP(revenue[customerID],customers[],2,FALSE)</f>
        <v>Victuailles en stock</v>
      </c>
      <c r="D231" s="24" t="str">
        <f>VLOOKUP(revenue[customerID],customers[],6,FALSE)</f>
        <v>Lyon</v>
      </c>
      <c r="E231" s="24" t="str">
        <f>VLOOKUP(revenue[customerID],customers[],9,FALSE)</f>
        <v>France</v>
      </c>
      <c r="F231" s="24">
        <v>44855.0</v>
      </c>
      <c r="G231" s="6">
        <v>52.0</v>
      </c>
      <c r="H231" s="9" t="str">
        <f>VLOOKUP(revenue[productID],products[],2,FALSE)</f>
        <v>Filo Mix</v>
      </c>
      <c r="I231" s="9" t="str">
        <f>VLOOKUP(revenue[productID],products[],12,FALSE)</f>
        <v>Grains/Cereals</v>
      </c>
      <c r="J231" s="9">
        <f>VLOOKUP(revenue[productID],products[],IF(YEAR(revenue[orderDate])=2022,8,IF(YEAR(revenue[orderDate])=2023,9,IF(YEAR(revenue[orderDate])=2024,10,NA))),FALSE)</f>
        <v>3.853499959</v>
      </c>
      <c r="K231" s="9">
        <v>5.6</v>
      </c>
      <c r="L231" s="25">
        <f>(revenue[orderPrice]-revenue[productCost])/revenue[productCost]</f>
        <v>0.4532243571</v>
      </c>
      <c r="M231" s="10">
        <v>8.0</v>
      </c>
      <c r="N231" s="25">
        <v>0.0</v>
      </c>
      <c r="O231" s="9">
        <f>revenue[orderPrice]*revenue[orderQuantity]</f>
        <v>44.8</v>
      </c>
      <c r="P231" s="9">
        <f>revenue[orderTotal]*(1-revenue[discountApllied])</f>
        <v>44.8</v>
      </c>
      <c r="Q231" s="9">
        <f>revenue[revenue]-(revenue[productCost]*revenue[orderQuantity])</f>
        <v>13.97200033</v>
      </c>
      <c r="R231" s="25">
        <f>IFERROR(revenue[profit]/revenue[revenue], 0)</f>
        <v>0.3118750074</v>
      </c>
      <c r="S231" s="9">
        <f>revenue[productCost]*revenue[orderQuantity]</f>
        <v>30.82799967</v>
      </c>
    </row>
    <row r="232" ht="15.75" customHeight="1">
      <c r="A232" s="6">
        <v>10334.0</v>
      </c>
      <c r="B232" s="7" t="s">
        <v>18</v>
      </c>
      <c r="C232" s="24" t="str">
        <f>VLOOKUP(revenue[customerID],customers[],2,FALSE)</f>
        <v>Victuailles en stock</v>
      </c>
      <c r="D232" s="24" t="str">
        <f>VLOOKUP(revenue[customerID],customers[],6,FALSE)</f>
        <v>Lyon</v>
      </c>
      <c r="E232" s="24" t="str">
        <f>VLOOKUP(revenue[customerID],customers[],9,FALSE)</f>
        <v>France</v>
      </c>
      <c r="F232" s="24">
        <v>44855.0</v>
      </c>
      <c r="G232" s="6">
        <v>68.0</v>
      </c>
      <c r="H232" s="9" t="str">
        <f>VLOOKUP(revenue[productID],products[],2,FALSE)</f>
        <v>Scottish Longbreads</v>
      </c>
      <c r="I232" s="9" t="str">
        <f>VLOOKUP(revenue[productID],products[],12,FALSE)</f>
        <v>Confections</v>
      </c>
      <c r="J232" s="9">
        <f>VLOOKUP(revenue[productID],products[],IF(YEAR(revenue[orderDate])=2022,8,IF(YEAR(revenue[orderDate])=2023,9,IF(YEAR(revenue[orderDate])=2024,10,NA))),FALSE)</f>
        <v>7.316656529</v>
      </c>
      <c r="K232" s="9">
        <v>10.0</v>
      </c>
      <c r="L232" s="25">
        <f>(revenue[orderPrice]-revenue[productCost])/revenue[productCost]</f>
        <v>0.3667444906</v>
      </c>
      <c r="M232" s="10">
        <v>10.0</v>
      </c>
      <c r="N232" s="25">
        <v>0.0</v>
      </c>
      <c r="O232" s="9">
        <f>revenue[orderPrice]*revenue[orderQuantity]</f>
        <v>100</v>
      </c>
      <c r="P232" s="9">
        <f>revenue[orderTotal]*(1-revenue[discountApllied])</f>
        <v>100</v>
      </c>
      <c r="Q232" s="9">
        <f>revenue[revenue]-(revenue[productCost]*revenue[orderQuantity])</f>
        <v>26.83343471</v>
      </c>
      <c r="R232" s="25">
        <f>IFERROR(revenue[profit]/revenue[revenue], 0)</f>
        <v>0.2683343471</v>
      </c>
      <c r="S232" s="9">
        <f>revenue[productCost]*revenue[orderQuantity]</f>
        <v>73.16656529</v>
      </c>
    </row>
    <row r="233" ht="15.75" customHeight="1">
      <c r="A233" s="6">
        <v>10335.0</v>
      </c>
      <c r="B233" s="7" t="s">
        <v>49</v>
      </c>
      <c r="C233" s="24" t="str">
        <f>VLOOKUP(revenue[customerID],customers[],2,FALSE)</f>
        <v>Hungry Owl All-Night Grocers</v>
      </c>
      <c r="D233" s="24" t="str">
        <f>VLOOKUP(revenue[customerID],customers[],6,FALSE)</f>
        <v>Cork</v>
      </c>
      <c r="E233" s="24" t="str">
        <f>VLOOKUP(revenue[customerID],customers[],9,FALSE)</f>
        <v>Ireland</v>
      </c>
      <c r="F233" s="24">
        <v>44856.0</v>
      </c>
      <c r="G233" s="6">
        <v>2.0</v>
      </c>
      <c r="H233" s="9" t="str">
        <f>VLOOKUP(revenue[productID],products[],2,FALSE)</f>
        <v>Chang</v>
      </c>
      <c r="I233" s="9" t="str">
        <f>VLOOKUP(revenue[productID],products[],12,FALSE)</f>
        <v>Beverages</v>
      </c>
      <c r="J233" s="9">
        <f>VLOOKUP(revenue[productID],products[],IF(YEAR(revenue[orderDate])=2022,8,IF(YEAR(revenue[orderDate])=2023,9,IF(YEAR(revenue[orderDate])=2024,10,NA))),FALSE)</f>
        <v>9.768746876</v>
      </c>
      <c r="K233" s="9">
        <v>15.2</v>
      </c>
      <c r="L233" s="25">
        <f>(revenue[orderPrice]-revenue[productCost])/revenue[productCost]</f>
        <v>0.5559825833</v>
      </c>
      <c r="M233" s="10">
        <v>7.0</v>
      </c>
      <c r="N233" s="25">
        <v>0.2</v>
      </c>
      <c r="O233" s="9">
        <f>revenue[orderPrice]*revenue[orderQuantity]</f>
        <v>106.4</v>
      </c>
      <c r="P233" s="9">
        <f>revenue[orderTotal]*(1-revenue[discountApllied])</f>
        <v>85.12</v>
      </c>
      <c r="Q233" s="9">
        <f>revenue[revenue]-(revenue[productCost]*revenue[orderQuantity])</f>
        <v>16.73877186</v>
      </c>
      <c r="R233" s="25">
        <f>IFERROR(revenue[profit]/revenue[revenue], 0)</f>
        <v>0.1966491056</v>
      </c>
      <c r="S233" s="9">
        <f>revenue[productCost]*revenue[orderQuantity]</f>
        <v>68.38122814</v>
      </c>
    </row>
    <row r="234" ht="15.75" customHeight="1">
      <c r="A234" s="6">
        <v>10335.0</v>
      </c>
      <c r="B234" s="7" t="s">
        <v>49</v>
      </c>
      <c r="C234" s="24" t="str">
        <f>VLOOKUP(revenue[customerID],customers[],2,FALSE)</f>
        <v>Hungry Owl All-Night Grocers</v>
      </c>
      <c r="D234" s="24" t="str">
        <f>VLOOKUP(revenue[customerID],customers[],6,FALSE)</f>
        <v>Cork</v>
      </c>
      <c r="E234" s="24" t="str">
        <f>VLOOKUP(revenue[customerID],customers[],9,FALSE)</f>
        <v>Ireland</v>
      </c>
      <c r="F234" s="24">
        <v>44856.0</v>
      </c>
      <c r="G234" s="6">
        <v>31.0</v>
      </c>
      <c r="H234" s="9" t="str">
        <f>VLOOKUP(revenue[productID],products[],2,FALSE)</f>
        <v>Gorgonzola Telino</v>
      </c>
      <c r="I234" s="9" t="str">
        <f>VLOOKUP(revenue[productID],products[],12,FALSE)</f>
        <v>Dairy Products</v>
      </c>
      <c r="J234" s="9">
        <f>VLOOKUP(revenue[productID],products[],IF(YEAR(revenue[orderDate])=2022,8,IF(YEAR(revenue[orderDate])=2023,9,IF(YEAR(revenue[orderDate])=2024,10,NA))),FALSE)</f>
        <v>6.44031973</v>
      </c>
      <c r="K234" s="9">
        <v>10.0</v>
      </c>
      <c r="L234" s="25">
        <f>(revenue[orderPrice]-revenue[productCost])/revenue[productCost]</f>
        <v>0.5527179425</v>
      </c>
      <c r="M234" s="10">
        <v>25.0</v>
      </c>
      <c r="N234" s="25">
        <v>0.2</v>
      </c>
      <c r="O234" s="9">
        <f>revenue[orderPrice]*revenue[orderQuantity]</f>
        <v>250</v>
      </c>
      <c r="P234" s="9">
        <f>revenue[orderTotal]*(1-revenue[discountApllied])</f>
        <v>200</v>
      </c>
      <c r="Q234" s="9">
        <f>revenue[revenue]-(revenue[productCost]*revenue[orderQuantity])</f>
        <v>38.99200675</v>
      </c>
      <c r="R234" s="25">
        <f>IFERROR(revenue[profit]/revenue[revenue], 0)</f>
        <v>0.1949600338</v>
      </c>
      <c r="S234" s="9">
        <f>revenue[productCost]*revenue[orderQuantity]</f>
        <v>161.0079932</v>
      </c>
    </row>
    <row r="235" ht="15.75" customHeight="1">
      <c r="A235" s="6">
        <v>10335.0</v>
      </c>
      <c r="B235" s="7" t="s">
        <v>49</v>
      </c>
      <c r="C235" s="24" t="str">
        <f>VLOOKUP(revenue[customerID],customers[],2,FALSE)</f>
        <v>Hungry Owl All-Night Grocers</v>
      </c>
      <c r="D235" s="24" t="str">
        <f>VLOOKUP(revenue[customerID],customers[],6,FALSE)</f>
        <v>Cork</v>
      </c>
      <c r="E235" s="24" t="str">
        <f>VLOOKUP(revenue[customerID],customers[],9,FALSE)</f>
        <v>Ireland</v>
      </c>
      <c r="F235" s="24">
        <v>44856.0</v>
      </c>
      <c r="G235" s="6">
        <v>32.0</v>
      </c>
      <c r="H235" s="9" t="str">
        <f>VLOOKUP(revenue[productID],products[],2,FALSE)</f>
        <v>Mascarpone Fabioli</v>
      </c>
      <c r="I235" s="9" t="str">
        <f>VLOOKUP(revenue[productID],products[],12,FALSE)</f>
        <v>Dairy Products</v>
      </c>
      <c r="J235" s="9">
        <f>VLOOKUP(revenue[productID],products[],IF(YEAR(revenue[orderDate])=2022,8,IF(YEAR(revenue[orderDate])=2023,9,IF(YEAR(revenue[orderDate])=2024,10,NA))),FALSE)</f>
        <v>14.65492467</v>
      </c>
      <c r="K235" s="9">
        <v>25.6</v>
      </c>
      <c r="L235" s="25">
        <f>(revenue[orderPrice]-revenue[productCost])/revenue[productCost]</f>
        <v>0.7468530603</v>
      </c>
      <c r="M235" s="10">
        <v>6.0</v>
      </c>
      <c r="N235" s="25">
        <v>0.2</v>
      </c>
      <c r="O235" s="9">
        <f>revenue[orderPrice]*revenue[orderQuantity]</f>
        <v>153.6</v>
      </c>
      <c r="P235" s="9">
        <f>revenue[orderTotal]*(1-revenue[discountApllied])</f>
        <v>122.88</v>
      </c>
      <c r="Q235" s="9">
        <f>revenue[revenue]-(revenue[productCost]*revenue[orderQuantity])</f>
        <v>34.95045201</v>
      </c>
      <c r="R235" s="25">
        <f>IFERROR(revenue[profit]/revenue[revenue], 0)</f>
        <v>0.2844275066</v>
      </c>
      <c r="S235" s="9">
        <f>revenue[productCost]*revenue[orderQuantity]</f>
        <v>87.92954799</v>
      </c>
    </row>
    <row r="236" ht="15.75" customHeight="1">
      <c r="A236" s="6">
        <v>10335.0</v>
      </c>
      <c r="B236" s="7" t="s">
        <v>49</v>
      </c>
      <c r="C236" s="24" t="str">
        <f>VLOOKUP(revenue[customerID],customers[],2,FALSE)</f>
        <v>Hungry Owl All-Night Grocers</v>
      </c>
      <c r="D236" s="24" t="str">
        <f>VLOOKUP(revenue[customerID],customers[],6,FALSE)</f>
        <v>Cork</v>
      </c>
      <c r="E236" s="24" t="str">
        <f>VLOOKUP(revenue[customerID],customers[],9,FALSE)</f>
        <v>Ireland</v>
      </c>
      <c r="F236" s="24">
        <v>44856.0</v>
      </c>
      <c r="G236" s="6">
        <v>51.0</v>
      </c>
      <c r="H236" s="9" t="str">
        <f>VLOOKUP(revenue[productID],products[],2,FALSE)</f>
        <v>Manjimup Dried Apples</v>
      </c>
      <c r="I236" s="9" t="str">
        <f>VLOOKUP(revenue[productID],products[],12,FALSE)</f>
        <v>Produce</v>
      </c>
      <c r="J236" s="9">
        <f>VLOOKUP(revenue[productID],products[],IF(YEAR(revenue[orderDate])=2022,8,IF(YEAR(revenue[orderDate])=2023,9,IF(YEAR(revenue[orderDate])=2024,10,NA))),FALSE)</f>
        <v>28.87532154</v>
      </c>
      <c r="K236" s="9">
        <v>42.4</v>
      </c>
      <c r="L236" s="25">
        <f>(revenue[orderPrice]-revenue[productCost])/revenue[productCost]</f>
        <v>0.4683819172</v>
      </c>
      <c r="M236" s="10">
        <v>48.0</v>
      </c>
      <c r="N236" s="25">
        <v>0.2</v>
      </c>
      <c r="O236" s="9">
        <f>revenue[orderPrice]*revenue[orderQuantity]</f>
        <v>2035.2</v>
      </c>
      <c r="P236" s="9">
        <f>revenue[orderTotal]*(1-revenue[discountApllied])</f>
        <v>1628.16</v>
      </c>
      <c r="Q236" s="9">
        <f>revenue[revenue]-(revenue[productCost]*revenue[orderQuantity])</f>
        <v>242.1445662</v>
      </c>
      <c r="R236" s="25">
        <f>IFERROR(revenue[profit]/revenue[revenue], 0)</f>
        <v>0.148722832</v>
      </c>
      <c r="S236" s="9">
        <f>revenue[productCost]*revenue[orderQuantity]</f>
        <v>1386.015434</v>
      </c>
    </row>
    <row r="237" ht="15.75" customHeight="1">
      <c r="A237" s="6">
        <v>10336.0</v>
      </c>
      <c r="B237" s="7" t="s">
        <v>65</v>
      </c>
      <c r="C237" s="24" t="str">
        <f>VLOOKUP(revenue[customerID],customers[],2,FALSE)</f>
        <v>Princesa Isabel Vinhos</v>
      </c>
      <c r="D237" s="24" t="str">
        <f>VLOOKUP(revenue[customerID],customers[],6,FALSE)</f>
        <v>Lisboa</v>
      </c>
      <c r="E237" s="24" t="str">
        <f>VLOOKUP(revenue[customerID],customers[],9,FALSE)</f>
        <v>Portugal</v>
      </c>
      <c r="F237" s="24">
        <v>44857.0</v>
      </c>
      <c r="G237" s="6">
        <v>4.0</v>
      </c>
      <c r="H237" s="9" t="str">
        <f>VLOOKUP(revenue[productID],products[],2,FALSE)</f>
        <v>Chef Anton's Cajun Seasoning</v>
      </c>
      <c r="I237" s="9" t="str">
        <f>VLOOKUP(revenue[productID],products[],12,FALSE)</f>
        <v>Condiments</v>
      </c>
      <c r="J237" s="9">
        <f>VLOOKUP(revenue[productID],products[],IF(YEAR(revenue[orderDate])=2022,8,IF(YEAR(revenue[orderDate])=2023,9,IF(YEAR(revenue[orderDate])=2024,10,NA))),FALSE)</f>
        <v>12.12007338</v>
      </c>
      <c r="K237" s="9">
        <v>17.6</v>
      </c>
      <c r="L237" s="25">
        <f>(revenue[orderPrice]-revenue[productCost])/revenue[productCost]</f>
        <v>0.4521364227</v>
      </c>
      <c r="M237" s="10">
        <v>18.0</v>
      </c>
      <c r="N237" s="25">
        <v>0.1</v>
      </c>
      <c r="O237" s="9">
        <f>revenue[orderPrice]*revenue[orderQuantity]</f>
        <v>316.8</v>
      </c>
      <c r="P237" s="9">
        <f>revenue[orderTotal]*(1-revenue[discountApllied])</f>
        <v>285.12</v>
      </c>
      <c r="Q237" s="9">
        <f>revenue[revenue]-(revenue[productCost]*revenue[orderQuantity])</f>
        <v>66.95867917</v>
      </c>
      <c r="R237" s="25">
        <f>IFERROR(revenue[profit]/revenue[revenue], 0)</f>
        <v>0.2348438523</v>
      </c>
      <c r="S237" s="9">
        <f>revenue[productCost]*revenue[orderQuantity]</f>
        <v>218.1613208</v>
      </c>
    </row>
    <row r="238" ht="15.75" customHeight="1">
      <c r="A238" s="6">
        <v>10337.0</v>
      </c>
      <c r="B238" s="7" t="s">
        <v>32</v>
      </c>
      <c r="C238" s="24" t="str">
        <f>VLOOKUP(revenue[customerID],customers[],2,FALSE)</f>
        <v>Frankenversand</v>
      </c>
      <c r="D238" s="24" t="str">
        <f>VLOOKUP(revenue[customerID],customers[],6,FALSE)</f>
        <v>München</v>
      </c>
      <c r="E238" s="24" t="str">
        <f>VLOOKUP(revenue[customerID],customers[],9,FALSE)</f>
        <v>Germany</v>
      </c>
      <c r="F238" s="24">
        <v>44858.0</v>
      </c>
      <c r="G238" s="6">
        <v>23.0</v>
      </c>
      <c r="H238" s="9" t="str">
        <f>VLOOKUP(revenue[productID],products[],2,FALSE)</f>
        <v>Tunnbröd</v>
      </c>
      <c r="I238" s="9" t="str">
        <f>VLOOKUP(revenue[productID],products[],12,FALSE)</f>
        <v>Grains/Cereals</v>
      </c>
      <c r="J238" s="9">
        <f>VLOOKUP(revenue[productID],products[],IF(YEAR(revenue[orderDate])=2022,8,IF(YEAR(revenue[orderDate])=2023,9,IF(YEAR(revenue[orderDate])=2024,10,NA))),FALSE)</f>
        <v>5.310194716</v>
      </c>
      <c r="K238" s="9">
        <v>7.2</v>
      </c>
      <c r="L238" s="25">
        <f>(revenue[orderPrice]-revenue[productCost])/revenue[productCost]</f>
        <v>0.3558824836</v>
      </c>
      <c r="M238" s="10">
        <v>40.0</v>
      </c>
      <c r="N238" s="25">
        <v>0.0</v>
      </c>
      <c r="O238" s="9">
        <f>revenue[orderPrice]*revenue[orderQuantity]</f>
        <v>288</v>
      </c>
      <c r="P238" s="9">
        <f>revenue[orderTotal]*(1-revenue[discountApllied])</f>
        <v>288</v>
      </c>
      <c r="Q238" s="9">
        <f>revenue[revenue]-(revenue[productCost]*revenue[orderQuantity])</f>
        <v>75.59221136</v>
      </c>
      <c r="R238" s="25">
        <f>IFERROR(revenue[profit]/revenue[revenue], 0)</f>
        <v>0.2624729561</v>
      </c>
      <c r="S238" s="9">
        <f>revenue[productCost]*revenue[orderQuantity]</f>
        <v>212.4077886</v>
      </c>
    </row>
    <row r="239" ht="15.75" customHeight="1">
      <c r="A239" s="6">
        <v>10337.0</v>
      </c>
      <c r="B239" s="7" t="s">
        <v>32</v>
      </c>
      <c r="C239" s="24" t="str">
        <f>VLOOKUP(revenue[customerID],customers[],2,FALSE)</f>
        <v>Frankenversand</v>
      </c>
      <c r="D239" s="24" t="str">
        <f>VLOOKUP(revenue[customerID],customers[],6,FALSE)</f>
        <v>München</v>
      </c>
      <c r="E239" s="24" t="str">
        <f>VLOOKUP(revenue[customerID],customers[],9,FALSE)</f>
        <v>Germany</v>
      </c>
      <c r="F239" s="24">
        <v>44858.0</v>
      </c>
      <c r="G239" s="6">
        <v>26.0</v>
      </c>
      <c r="H239" s="9" t="str">
        <f>VLOOKUP(revenue[productID],products[],2,FALSE)</f>
        <v>NuNuCa Nuß-Nougat-Creme</v>
      </c>
      <c r="I239" s="9" t="str">
        <f>VLOOKUP(revenue[productID],products[],12,FALSE)</f>
        <v>Confections</v>
      </c>
      <c r="J239" s="9">
        <f>VLOOKUP(revenue[productID],products[],IF(YEAR(revenue[orderDate])=2022,8,IF(YEAR(revenue[orderDate])=2023,9,IF(YEAR(revenue[orderDate])=2024,10,NA))),FALSE)</f>
        <v>17.26675607</v>
      </c>
      <c r="K239" s="9">
        <v>24.9</v>
      </c>
      <c r="L239" s="25">
        <f>(revenue[orderPrice]-revenue[productCost])/revenue[productCost]</f>
        <v>0.442077475</v>
      </c>
      <c r="M239" s="10">
        <v>24.0</v>
      </c>
      <c r="N239" s="25">
        <v>0.0</v>
      </c>
      <c r="O239" s="9">
        <f>revenue[orderPrice]*revenue[orderQuantity]</f>
        <v>597.6</v>
      </c>
      <c r="P239" s="9">
        <f>revenue[orderTotal]*(1-revenue[discountApllied])</f>
        <v>597.6</v>
      </c>
      <c r="Q239" s="9">
        <f>revenue[revenue]-(revenue[productCost]*revenue[orderQuantity])</f>
        <v>183.1978542</v>
      </c>
      <c r="R239" s="25">
        <f>IFERROR(revenue[profit]/revenue[revenue], 0)</f>
        <v>0.306555981</v>
      </c>
      <c r="S239" s="9">
        <f>revenue[productCost]*revenue[orderQuantity]</f>
        <v>414.4021458</v>
      </c>
    </row>
    <row r="240" ht="15.75" customHeight="1">
      <c r="A240" s="6">
        <v>10337.0</v>
      </c>
      <c r="B240" s="7" t="s">
        <v>32</v>
      </c>
      <c r="C240" s="24" t="str">
        <f>VLOOKUP(revenue[customerID],customers[],2,FALSE)</f>
        <v>Frankenversand</v>
      </c>
      <c r="D240" s="24" t="str">
        <f>VLOOKUP(revenue[customerID],customers[],6,FALSE)</f>
        <v>München</v>
      </c>
      <c r="E240" s="24" t="str">
        <f>VLOOKUP(revenue[customerID],customers[],9,FALSE)</f>
        <v>Germany</v>
      </c>
      <c r="F240" s="24">
        <v>44858.0</v>
      </c>
      <c r="G240" s="6">
        <v>36.0</v>
      </c>
      <c r="H240" s="9" t="str">
        <f>VLOOKUP(revenue[productID],products[],2,FALSE)</f>
        <v>Inlagd Sill</v>
      </c>
      <c r="I240" s="9" t="str">
        <f>VLOOKUP(revenue[productID],products[],12,FALSE)</f>
        <v>Seafood</v>
      </c>
      <c r="J240" s="9">
        <f>VLOOKUP(revenue[productID],products[],IF(YEAR(revenue[orderDate])=2022,8,IF(YEAR(revenue[orderDate])=2023,9,IF(YEAR(revenue[orderDate])=2024,10,NA))),FALSE)</f>
        <v>9.768238429</v>
      </c>
      <c r="K240" s="9">
        <v>15.2</v>
      </c>
      <c r="L240" s="25">
        <f>(revenue[orderPrice]-revenue[productCost])/revenue[productCost]</f>
        <v>0.5560635738</v>
      </c>
      <c r="M240" s="10">
        <v>20.0</v>
      </c>
      <c r="N240" s="25">
        <v>0.0</v>
      </c>
      <c r="O240" s="9">
        <f>revenue[orderPrice]*revenue[orderQuantity]</f>
        <v>304</v>
      </c>
      <c r="P240" s="9">
        <f>revenue[orderTotal]*(1-revenue[discountApllied])</f>
        <v>304</v>
      </c>
      <c r="Q240" s="9">
        <f>revenue[revenue]-(revenue[productCost]*revenue[orderQuantity])</f>
        <v>108.6352314</v>
      </c>
      <c r="R240" s="25">
        <f>IFERROR(revenue[profit]/revenue[revenue], 0)</f>
        <v>0.3573527349</v>
      </c>
      <c r="S240" s="9">
        <f>revenue[productCost]*revenue[orderQuantity]</f>
        <v>195.3647686</v>
      </c>
    </row>
    <row r="241" ht="15.75" customHeight="1">
      <c r="A241" s="6">
        <v>10337.0</v>
      </c>
      <c r="B241" s="7" t="s">
        <v>32</v>
      </c>
      <c r="C241" s="24" t="str">
        <f>VLOOKUP(revenue[customerID],customers[],2,FALSE)</f>
        <v>Frankenversand</v>
      </c>
      <c r="D241" s="24" t="str">
        <f>VLOOKUP(revenue[customerID],customers[],6,FALSE)</f>
        <v>München</v>
      </c>
      <c r="E241" s="24" t="str">
        <f>VLOOKUP(revenue[customerID],customers[],9,FALSE)</f>
        <v>Germany</v>
      </c>
      <c r="F241" s="24">
        <v>44858.0</v>
      </c>
      <c r="G241" s="6">
        <v>37.0</v>
      </c>
      <c r="H241" s="9" t="str">
        <f>VLOOKUP(revenue[productID],products[],2,FALSE)</f>
        <v>Gravad lax</v>
      </c>
      <c r="I241" s="9" t="str">
        <f>VLOOKUP(revenue[productID],products[],12,FALSE)</f>
        <v>Seafood</v>
      </c>
      <c r="J241" s="9">
        <f>VLOOKUP(revenue[productID],products[],IF(YEAR(revenue[orderDate])=2022,8,IF(YEAR(revenue[orderDate])=2023,9,IF(YEAR(revenue[orderDate])=2024,10,NA))),FALSE)</f>
        <v>14.59372954</v>
      </c>
      <c r="K241" s="9">
        <v>20.8</v>
      </c>
      <c r="L241" s="25">
        <f>(revenue[orderPrice]-revenue[productCost])/revenue[productCost]</f>
        <v>0.4252696644</v>
      </c>
      <c r="M241" s="10">
        <v>28.0</v>
      </c>
      <c r="N241" s="25">
        <v>0.0</v>
      </c>
      <c r="O241" s="9">
        <f>revenue[orderPrice]*revenue[orderQuantity]</f>
        <v>582.4</v>
      </c>
      <c r="P241" s="9">
        <f>revenue[orderTotal]*(1-revenue[discountApllied])</f>
        <v>582.4</v>
      </c>
      <c r="Q241" s="9">
        <f>revenue[revenue]-(revenue[productCost]*revenue[orderQuantity])</f>
        <v>173.7755729</v>
      </c>
      <c r="R241" s="25">
        <f>IFERROR(revenue[profit]/revenue[revenue], 0)</f>
        <v>0.2983783876</v>
      </c>
      <c r="S241" s="9">
        <f>revenue[productCost]*revenue[orderQuantity]</f>
        <v>408.6244271</v>
      </c>
    </row>
    <row r="242" ht="15.75" customHeight="1">
      <c r="A242" s="6">
        <v>10337.0</v>
      </c>
      <c r="B242" s="7" t="s">
        <v>32</v>
      </c>
      <c r="C242" s="24" t="str">
        <f>VLOOKUP(revenue[customerID],customers[],2,FALSE)</f>
        <v>Frankenversand</v>
      </c>
      <c r="D242" s="24" t="str">
        <f>VLOOKUP(revenue[customerID],customers[],6,FALSE)</f>
        <v>München</v>
      </c>
      <c r="E242" s="24" t="str">
        <f>VLOOKUP(revenue[customerID],customers[],9,FALSE)</f>
        <v>Germany</v>
      </c>
      <c r="F242" s="24">
        <v>44858.0</v>
      </c>
      <c r="G242" s="6">
        <v>72.0</v>
      </c>
      <c r="H242" s="9" t="str">
        <f>VLOOKUP(revenue[productID],products[],2,FALSE)</f>
        <v>Mozzarella di Giovanni</v>
      </c>
      <c r="I242" s="9" t="str">
        <f>VLOOKUP(revenue[productID],products[],12,FALSE)</f>
        <v>Dairy Products</v>
      </c>
      <c r="J242" s="9">
        <f>VLOOKUP(revenue[productID],products[],IF(YEAR(revenue[orderDate])=2022,8,IF(YEAR(revenue[orderDate])=2023,9,IF(YEAR(revenue[orderDate])=2024,10,NA))),FALSE)</f>
        <v>19.20829334</v>
      </c>
      <c r="K242" s="9">
        <v>27.8</v>
      </c>
      <c r="L242" s="25">
        <f>(revenue[orderPrice]-revenue[productCost])/revenue[productCost]</f>
        <v>0.4472915167</v>
      </c>
      <c r="M242" s="10">
        <v>25.0</v>
      </c>
      <c r="N242" s="25">
        <v>0.0</v>
      </c>
      <c r="O242" s="9">
        <f>revenue[orderPrice]*revenue[orderQuantity]</f>
        <v>695</v>
      </c>
      <c r="P242" s="9">
        <f>revenue[orderTotal]*(1-revenue[discountApllied])</f>
        <v>695</v>
      </c>
      <c r="Q242" s="9">
        <f>revenue[revenue]-(revenue[productCost]*revenue[orderQuantity])</f>
        <v>214.7926665</v>
      </c>
      <c r="R242" s="25">
        <f>IFERROR(revenue[profit]/revenue[revenue], 0)</f>
        <v>0.3090541965</v>
      </c>
      <c r="S242" s="9">
        <f>revenue[productCost]*revenue[orderQuantity]</f>
        <v>480.2073335</v>
      </c>
    </row>
    <row r="243" ht="15.75" customHeight="1">
      <c r="A243" s="6">
        <v>10338.0</v>
      </c>
      <c r="B243" s="7" t="s">
        <v>52</v>
      </c>
      <c r="C243" s="24" t="str">
        <f>VLOOKUP(revenue[customerID],customers[],2,FALSE)</f>
        <v>Old World Delicatessen</v>
      </c>
      <c r="D243" s="24" t="str">
        <f>VLOOKUP(revenue[customerID],customers[],6,FALSE)</f>
        <v>Anchorage</v>
      </c>
      <c r="E243" s="24" t="str">
        <f>VLOOKUP(revenue[customerID],customers[],9,FALSE)</f>
        <v>USA</v>
      </c>
      <c r="F243" s="24">
        <v>44859.0</v>
      </c>
      <c r="G243" s="6">
        <v>17.0</v>
      </c>
      <c r="H243" s="9" t="str">
        <f>VLOOKUP(revenue[productID],products[],2,FALSE)</f>
        <v>Alice Mutton</v>
      </c>
      <c r="I243" s="9" t="str">
        <f>VLOOKUP(revenue[productID],products[],12,FALSE)</f>
        <v>Meat/Poultry</v>
      </c>
      <c r="J243" s="9">
        <f>VLOOKUP(revenue[productID],products[],IF(YEAR(revenue[orderDate])=2022,8,IF(YEAR(revenue[orderDate])=2023,9,IF(YEAR(revenue[orderDate])=2024,10,NA))),FALSE)</f>
        <v>21.25377406</v>
      </c>
      <c r="K243" s="9">
        <v>31.2</v>
      </c>
      <c r="L243" s="25">
        <f>(revenue[orderPrice]-revenue[productCost])/revenue[productCost]</f>
        <v>0.4679745775</v>
      </c>
      <c r="M243" s="10">
        <v>20.0</v>
      </c>
      <c r="N243" s="25">
        <v>0.0</v>
      </c>
      <c r="O243" s="9">
        <f>revenue[orderPrice]*revenue[orderQuantity]</f>
        <v>624</v>
      </c>
      <c r="P243" s="9">
        <f>revenue[orderTotal]*(1-revenue[discountApllied])</f>
        <v>624</v>
      </c>
      <c r="Q243" s="9">
        <f>revenue[revenue]-(revenue[productCost]*revenue[orderQuantity])</f>
        <v>198.9245187</v>
      </c>
      <c r="R243" s="25">
        <f>IFERROR(revenue[profit]/revenue[revenue], 0)</f>
        <v>0.3187892928</v>
      </c>
      <c r="S243" s="9">
        <f>revenue[productCost]*revenue[orderQuantity]</f>
        <v>425.0754813</v>
      </c>
    </row>
    <row r="244" ht="15.75" customHeight="1">
      <c r="A244" s="6">
        <v>10338.0</v>
      </c>
      <c r="B244" s="7" t="s">
        <v>52</v>
      </c>
      <c r="C244" s="24" t="str">
        <f>VLOOKUP(revenue[customerID],customers[],2,FALSE)</f>
        <v>Old World Delicatessen</v>
      </c>
      <c r="D244" s="24" t="str">
        <f>VLOOKUP(revenue[customerID],customers[],6,FALSE)</f>
        <v>Anchorage</v>
      </c>
      <c r="E244" s="24" t="str">
        <f>VLOOKUP(revenue[customerID],customers[],9,FALSE)</f>
        <v>USA</v>
      </c>
      <c r="F244" s="24">
        <v>44859.0</v>
      </c>
      <c r="G244" s="6">
        <v>30.0</v>
      </c>
      <c r="H244" s="9" t="str">
        <f>VLOOKUP(revenue[productID],products[],2,FALSE)</f>
        <v>Nord-Ost Matjeshering</v>
      </c>
      <c r="I244" s="9" t="str">
        <f>VLOOKUP(revenue[productID],products[],12,FALSE)</f>
        <v>Seafood</v>
      </c>
      <c r="J244" s="9">
        <f>VLOOKUP(revenue[productID],products[],IF(YEAR(revenue[orderDate])=2022,8,IF(YEAR(revenue[orderDate])=2023,9,IF(YEAR(revenue[orderDate])=2024,10,NA))),FALSE)</f>
        <v>13.41656868</v>
      </c>
      <c r="K244" s="9">
        <v>20.7</v>
      </c>
      <c r="L244" s="25">
        <f>(revenue[orderPrice]-revenue[productCost])/revenue[productCost]</f>
        <v>0.5428684114</v>
      </c>
      <c r="M244" s="10">
        <v>15.0</v>
      </c>
      <c r="N244" s="25">
        <v>0.0</v>
      </c>
      <c r="O244" s="9">
        <f>revenue[orderPrice]*revenue[orderQuantity]</f>
        <v>310.5</v>
      </c>
      <c r="P244" s="9">
        <f>revenue[orderTotal]*(1-revenue[discountApllied])</f>
        <v>310.5</v>
      </c>
      <c r="Q244" s="9">
        <f>revenue[revenue]-(revenue[productCost]*revenue[orderQuantity])</f>
        <v>109.2514699</v>
      </c>
      <c r="R244" s="25">
        <f>IFERROR(revenue[profit]/revenue[revenue], 0)</f>
        <v>0.3518565857</v>
      </c>
      <c r="S244" s="9">
        <f>revenue[productCost]*revenue[orderQuantity]</f>
        <v>201.2485301</v>
      </c>
    </row>
    <row r="245" ht="15.75" customHeight="1">
      <c r="A245" s="6">
        <v>10339.0</v>
      </c>
      <c r="B245" s="7" t="s">
        <v>64</v>
      </c>
      <c r="C245" s="24" t="str">
        <f>VLOOKUP(revenue[customerID],customers[],2,FALSE)</f>
        <v>Mère Paillarde</v>
      </c>
      <c r="D245" s="24" t="str">
        <f>VLOOKUP(revenue[customerID],customers[],6,FALSE)</f>
        <v>Montréal</v>
      </c>
      <c r="E245" s="24" t="str">
        <f>VLOOKUP(revenue[customerID],customers[],9,FALSE)</f>
        <v>Canada</v>
      </c>
      <c r="F245" s="24">
        <v>44862.0</v>
      </c>
      <c r="G245" s="6">
        <v>4.0</v>
      </c>
      <c r="H245" s="9" t="str">
        <f>VLOOKUP(revenue[productID],products[],2,FALSE)</f>
        <v>Chef Anton's Cajun Seasoning</v>
      </c>
      <c r="I245" s="9" t="str">
        <f>VLOOKUP(revenue[productID],products[],12,FALSE)</f>
        <v>Condiments</v>
      </c>
      <c r="J245" s="9">
        <f>VLOOKUP(revenue[productID],products[],IF(YEAR(revenue[orderDate])=2022,8,IF(YEAR(revenue[orderDate])=2023,9,IF(YEAR(revenue[orderDate])=2024,10,NA))),FALSE)</f>
        <v>12.12007338</v>
      </c>
      <c r="K245" s="9">
        <v>17.6</v>
      </c>
      <c r="L245" s="25">
        <f>(revenue[orderPrice]-revenue[productCost])/revenue[productCost]</f>
        <v>0.4521364227</v>
      </c>
      <c r="M245" s="10">
        <v>10.0</v>
      </c>
      <c r="N245" s="25">
        <v>0.0</v>
      </c>
      <c r="O245" s="9">
        <f>revenue[orderPrice]*revenue[orderQuantity]</f>
        <v>176</v>
      </c>
      <c r="P245" s="9">
        <f>revenue[orderTotal]*(1-revenue[discountApllied])</f>
        <v>176</v>
      </c>
      <c r="Q245" s="9">
        <f>revenue[revenue]-(revenue[productCost]*revenue[orderQuantity])</f>
        <v>54.79926621</v>
      </c>
      <c r="R245" s="25">
        <f>IFERROR(revenue[profit]/revenue[revenue], 0)</f>
        <v>0.3113594671</v>
      </c>
      <c r="S245" s="9">
        <f>revenue[productCost]*revenue[orderQuantity]</f>
        <v>121.2007338</v>
      </c>
    </row>
    <row r="246" ht="15.75" customHeight="1">
      <c r="A246" s="6">
        <v>10339.0</v>
      </c>
      <c r="B246" s="7" t="s">
        <v>64</v>
      </c>
      <c r="C246" s="24" t="str">
        <f>VLOOKUP(revenue[customerID],customers[],2,FALSE)</f>
        <v>Mère Paillarde</v>
      </c>
      <c r="D246" s="24" t="str">
        <f>VLOOKUP(revenue[customerID],customers[],6,FALSE)</f>
        <v>Montréal</v>
      </c>
      <c r="E246" s="24" t="str">
        <f>VLOOKUP(revenue[customerID],customers[],9,FALSE)</f>
        <v>Canada</v>
      </c>
      <c r="F246" s="24">
        <v>44862.0</v>
      </c>
      <c r="G246" s="6">
        <v>17.0</v>
      </c>
      <c r="H246" s="9" t="str">
        <f>VLOOKUP(revenue[productID],products[],2,FALSE)</f>
        <v>Alice Mutton</v>
      </c>
      <c r="I246" s="9" t="str">
        <f>VLOOKUP(revenue[productID],products[],12,FALSE)</f>
        <v>Meat/Poultry</v>
      </c>
      <c r="J246" s="9">
        <f>VLOOKUP(revenue[productID],products[],IF(YEAR(revenue[orderDate])=2022,8,IF(YEAR(revenue[orderDate])=2023,9,IF(YEAR(revenue[orderDate])=2024,10,NA))),FALSE)</f>
        <v>21.25377406</v>
      </c>
      <c r="K246" s="9">
        <v>31.2</v>
      </c>
      <c r="L246" s="25">
        <f>(revenue[orderPrice]-revenue[productCost])/revenue[productCost]</f>
        <v>0.4679745775</v>
      </c>
      <c r="M246" s="10">
        <v>70.0</v>
      </c>
      <c r="N246" s="25">
        <v>0.05</v>
      </c>
      <c r="O246" s="9">
        <f>revenue[orderPrice]*revenue[orderQuantity]</f>
        <v>2184</v>
      </c>
      <c r="P246" s="9">
        <f>revenue[orderTotal]*(1-revenue[discountApllied])</f>
        <v>2074.8</v>
      </c>
      <c r="Q246" s="9">
        <f>revenue[revenue]-(revenue[productCost]*revenue[orderQuantity])</f>
        <v>587.0358156</v>
      </c>
      <c r="R246" s="25">
        <f>IFERROR(revenue[profit]/revenue[revenue], 0)</f>
        <v>0.2829360977</v>
      </c>
      <c r="S246" s="9">
        <f>revenue[productCost]*revenue[orderQuantity]</f>
        <v>1487.764184</v>
      </c>
    </row>
    <row r="247" ht="15.75" customHeight="1">
      <c r="A247" s="6">
        <v>10339.0</v>
      </c>
      <c r="B247" s="7" t="s">
        <v>64</v>
      </c>
      <c r="C247" s="24" t="str">
        <f>VLOOKUP(revenue[customerID],customers[],2,FALSE)</f>
        <v>Mère Paillarde</v>
      </c>
      <c r="D247" s="24" t="str">
        <f>VLOOKUP(revenue[customerID],customers[],6,FALSE)</f>
        <v>Montréal</v>
      </c>
      <c r="E247" s="24" t="str">
        <f>VLOOKUP(revenue[customerID],customers[],9,FALSE)</f>
        <v>Canada</v>
      </c>
      <c r="F247" s="24">
        <v>44862.0</v>
      </c>
      <c r="G247" s="6">
        <v>62.0</v>
      </c>
      <c r="H247" s="9" t="str">
        <f>VLOOKUP(revenue[productID],products[],2,FALSE)</f>
        <v>Tarte au sucre</v>
      </c>
      <c r="I247" s="9" t="str">
        <f>VLOOKUP(revenue[productID],products[],12,FALSE)</f>
        <v>Confections</v>
      </c>
      <c r="J247" s="9">
        <f>VLOOKUP(revenue[productID],products[],IF(YEAR(revenue[orderDate])=2022,8,IF(YEAR(revenue[orderDate])=2023,9,IF(YEAR(revenue[orderDate])=2024,10,NA))),FALSE)</f>
        <v>29.35963319</v>
      </c>
      <c r="K247" s="9">
        <v>39.4</v>
      </c>
      <c r="L247" s="25">
        <f>(revenue[orderPrice]-revenue[productCost])/revenue[productCost]</f>
        <v>0.3419786189</v>
      </c>
      <c r="M247" s="10">
        <v>28.0</v>
      </c>
      <c r="N247" s="25">
        <v>0.0</v>
      </c>
      <c r="O247" s="9">
        <f>revenue[orderPrice]*revenue[orderQuantity]</f>
        <v>1103.2</v>
      </c>
      <c r="P247" s="9">
        <f>revenue[orderTotal]*(1-revenue[discountApllied])</f>
        <v>1103.2</v>
      </c>
      <c r="Q247" s="9">
        <f>revenue[revenue]-(revenue[productCost]*revenue[orderQuantity])</f>
        <v>281.1302707</v>
      </c>
      <c r="R247" s="25">
        <f>IFERROR(revenue[profit]/revenue[revenue], 0)</f>
        <v>0.2548316449</v>
      </c>
      <c r="S247" s="9">
        <f>revenue[productCost]*revenue[orderQuantity]</f>
        <v>822.0697293</v>
      </c>
    </row>
    <row r="248" ht="15.75" customHeight="1">
      <c r="A248" s="6">
        <v>10340.0</v>
      </c>
      <c r="B248" s="7" t="s">
        <v>63</v>
      </c>
      <c r="C248" s="24" t="str">
        <f>VLOOKUP(revenue[customerID],customers[],2,FALSE)</f>
        <v>Bon app'</v>
      </c>
      <c r="D248" s="24" t="str">
        <f>VLOOKUP(revenue[customerID],customers[],6,FALSE)</f>
        <v>Marseille</v>
      </c>
      <c r="E248" s="24" t="str">
        <f>VLOOKUP(revenue[customerID],customers[],9,FALSE)</f>
        <v>France</v>
      </c>
      <c r="F248" s="24">
        <v>44863.0</v>
      </c>
      <c r="G248" s="6">
        <v>18.0</v>
      </c>
      <c r="H248" s="9" t="str">
        <f>VLOOKUP(revenue[productID],products[],2,FALSE)</f>
        <v>Carnarvon Tigers</v>
      </c>
      <c r="I248" s="9" t="str">
        <f>VLOOKUP(revenue[productID],products[],12,FALSE)</f>
        <v>Seafood</v>
      </c>
      <c r="J248" s="9">
        <f>VLOOKUP(revenue[productID],products[],IF(YEAR(revenue[orderDate])=2022,8,IF(YEAR(revenue[orderDate])=2023,9,IF(YEAR(revenue[orderDate])=2024,10,NA))),FALSE)</f>
        <v>32.46379819</v>
      </c>
      <c r="K248" s="9">
        <v>50.0</v>
      </c>
      <c r="L248" s="25">
        <f>(revenue[orderPrice]-revenue[productCost])/revenue[productCost]</f>
        <v>0.5401771445</v>
      </c>
      <c r="M248" s="10">
        <v>20.0</v>
      </c>
      <c r="N248" s="25">
        <v>0.05</v>
      </c>
      <c r="O248" s="9">
        <f>revenue[orderPrice]*revenue[orderQuantity]</f>
        <v>1000</v>
      </c>
      <c r="P248" s="9">
        <f>revenue[orderTotal]*(1-revenue[discountApllied])</f>
        <v>950</v>
      </c>
      <c r="Q248" s="9">
        <f>revenue[revenue]-(revenue[productCost]*revenue[orderQuantity])</f>
        <v>300.7240361</v>
      </c>
      <c r="R248" s="25">
        <f>IFERROR(revenue[profit]/revenue[revenue], 0)</f>
        <v>0.316551617</v>
      </c>
      <c r="S248" s="9">
        <f>revenue[productCost]*revenue[orderQuantity]</f>
        <v>649.2759639</v>
      </c>
    </row>
    <row r="249" ht="15.75" customHeight="1">
      <c r="A249" s="6">
        <v>10340.0</v>
      </c>
      <c r="B249" s="7" t="s">
        <v>63</v>
      </c>
      <c r="C249" s="24" t="str">
        <f>VLOOKUP(revenue[customerID],customers[],2,FALSE)</f>
        <v>Bon app'</v>
      </c>
      <c r="D249" s="24" t="str">
        <f>VLOOKUP(revenue[customerID],customers[],6,FALSE)</f>
        <v>Marseille</v>
      </c>
      <c r="E249" s="24" t="str">
        <f>VLOOKUP(revenue[customerID],customers[],9,FALSE)</f>
        <v>France</v>
      </c>
      <c r="F249" s="24">
        <v>44863.0</v>
      </c>
      <c r="G249" s="6">
        <v>41.0</v>
      </c>
      <c r="H249" s="9" t="str">
        <f>VLOOKUP(revenue[productID],products[],2,FALSE)</f>
        <v>Jack's New England Clam Chowder</v>
      </c>
      <c r="I249" s="9" t="str">
        <f>VLOOKUP(revenue[productID],products[],12,FALSE)</f>
        <v>Seafood</v>
      </c>
      <c r="J249" s="9">
        <f>VLOOKUP(revenue[productID],products[],IF(YEAR(revenue[orderDate])=2022,8,IF(YEAR(revenue[orderDate])=2023,9,IF(YEAR(revenue[orderDate])=2024,10,NA))),FALSE)</f>
        <v>5.170198742</v>
      </c>
      <c r="K249" s="9">
        <v>7.7</v>
      </c>
      <c r="L249" s="25">
        <f>(revenue[orderPrice]-revenue[productCost])/revenue[productCost]</f>
        <v>0.4893044511</v>
      </c>
      <c r="M249" s="10">
        <v>12.0</v>
      </c>
      <c r="N249" s="25">
        <v>0.05</v>
      </c>
      <c r="O249" s="9">
        <f>revenue[orderPrice]*revenue[orderQuantity]</f>
        <v>92.4</v>
      </c>
      <c r="P249" s="9">
        <f>revenue[orderTotal]*(1-revenue[discountApllied])</f>
        <v>87.78</v>
      </c>
      <c r="Q249" s="9">
        <f>revenue[revenue]-(revenue[productCost]*revenue[orderQuantity])</f>
        <v>25.73761509</v>
      </c>
      <c r="R249" s="25">
        <f>IFERROR(revenue[profit]/revenue[revenue], 0)</f>
        <v>0.2932059136</v>
      </c>
      <c r="S249" s="9">
        <f>revenue[productCost]*revenue[orderQuantity]</f>
        <v>62.04238491</v>
      </c>
    </row>
    <row r="250" ht="15.75" customHeight="1">
      <c r="A250" s="6">
        <v>10340.0</v>
      </c>
      <c r="B250" s="7" t="s">
        <v>63</v>
      </c>
      <c r="C250" s="24" t="str">
        <f>VLOOKUP(revenue[customerID],customers[],2,FALSE)</f>
        <v>Bon app'</v>
      </c>
      <c r="D250" s="24" t="str">
        <f>VLOOKUP(revenue[customerID],customers[],6,FALSE)</f>
        <v>Marseille</v>
      </c>
      <c r="E250" s="24" t="str">
        <f>VLOOKUP(revenue[customerID],customers[],9,FALSE)</f>
        <v>France</v>
      </c>
      <c r="F250" s="24">
        <v>44863.0</v>
      </c>
      <c r="G250" s="6">
        <v>43.0</v>
      </c>
      <c r="H250" s="9" t="str">
        <f>VLOOKUP(revenue[productID],products[],2,FALSE)</f>
        <v>Ipoh Coffee</v>
      </c>
      <c r="I250" s="9" t="str">
        <f>VLOOKUP(revenue[productID],products[],12,FALSE)</f>
        <v>Beverages</v>
      </c>
      <c r="J250" s="9">
        <f>VLOOKUP(revenue[productID],products[],IF(YEAR(revenue[orderDate])=2022,8,IF(YEAR(revenue[orderDate])=2023,9,IF(YEAR(revenue[orderDate])=2024,10,NA))),FALSE)</f>
        <v>25.79491918</v>
      </c>
      <c r="K250" s="9">
        <v>36.8</v>
      </c>
      <c r="L250" s="25">
        <f>(revenue[orderPrice]-revenue[productCost])/revenue[productCost]</f>
        <v>0.4266375384</v>
      </c>
      <c r="M250" s="10">
        <v>40.0</v>
      </c>
      <c r="N250" s="25">
        <v>0.05</v>
      </c>
      <c r="O250" s="9">
        <f>revenue[orderPrice]*revenue[orderQuantity]</f>
        <v>1472</v>
      </c>
      <c r="P250" s="9">
        <f>revenue[orderTotal]*(1-revenue[discountApllied])</f>
        <v>1398.4</v>
      </c>
      <c r="Q250" s="9">
        <f>revenue[revenue]-(revenue[productCost]*revenue[orderQuantity])</f>
        <v>366.6032329</v>
      </c>
      <c r="R250" s="25">
        <f>IFERROR(revenue[profit]/revenue[revenue], 0)</f>
        <v>0.2621590624</v>
      </c>
      <c r="S250" s="9">
        <f>revenue[productCost]*revenue[orderQuantity]</f>
        <v>1031.796767</v>
      </c>
    </row>
    <row r="251" ht="15.75" customHeight="1">
      <c r="A251" s="6">
        <v>10341.0</v>
      </c>
      <c r="B251" s="7" t="s">
        <v>66</v>
      </c>
      <c r="C251" s="24" t="str">
        <f>VLOOKUP(revenue[customerID],customers[],2,FALSE)</f>
        <v>Simons bistro</v>
      </c>
      <c r="D251" s="24" t="str">
        <f>VLOOKUP(revenue[customerID],customers[],6,FALSE)</f>
        <v>Kobenhavn</v>
      </c>
      <c r="E251" s="24" t="str">
        <f>VLOOKUP(revenue[customerID],customers[],9,FALSE)</f>
        <v>Denmark</v>
      </c>
      <c r="F251" s="24">
        <v>44863.0</v>
      </c>
      <c r="G251" s="6">
        <v>33.0</v>
      </c>
      <c r="H251" s="9" t="str">
        <f>VLOOKUP(revenue[productID],products[],2,FALSE)</f>
        <v>Geitost</v>
      </c>
      <c r="I251" s="9" t="str">
        <f>VLOOKUP(revenue[productID],products[],12,FALSE)</f>
        <v>Dairy Products</v>
      </c>
      <c r="J251" s="9">
        <f>VLOOKUP(revenue[productID],products[],IF(YEAR(revenue[orderDate])=2022,8,IF(YEAR(revenue[orderDate])=2023,9,IF(YEAR(revenue[orderDate])=2024,10,NA))),FALSE)</f>
        <v>1.393847434</v>
      </c>
      <c r="K251" s="9">
        <v>2.0</v>
      </c>
      <c r="L251" s="25">
        <f>(revenue[orderPrice]-revenue[productCost])/revenue[productCost]</f>
        <v>0.4348772692</v>
      </c>
      <c r="M251" s="10">
        <v>8.0</v>
      </c>
      <c r="N251" s="25">
        <v>0.0</v>
      </c>
      <c r="O251" s="9">
        <f>revenue[orderPrice]*revenue[orderQuantity]</f>
        <v>16</v>
      </c>
      <c r="P251" s="9">
        <f>revenue[orderTotal]*(1-revenue[discountApllied])</f>
        <v>16</v>
      </c>
      <c r="Q251" s="9">
        <f>revenue[revenue]-(revenue[productCost]*revenue[orderQuantity])</f>
        <v>4.849220527</v>
      </c>
      <c r="R251" s="25">
        <f>IFERROR(revenue[profit]/revenue[revenue], 0)</f>
        <v>0.3030762829</v>
      </c>
      <c r="S251" s="9">
        <f>revenue[productCost]*revenue[orderQuantity]</f>
        <v>11.15077947</v>
      </c>
    </row>
    <row r="252" ht="15.75" customHeight="1">
      <c r="A252" s="6">
        <v>10341.0</v>
      </c>
      <c r="B252" s="7" t="s">
        <v>66</v>
      </c>
      <c r="C252" s="24" t="str">
        <f>VLOOKUP(revenue[customerID],customers[],2,FALSE)</f>
        <v>Simons bistro</v>
      </c>
      <c r="D252" s="24" t="str">
        <f>VLOOKUP(revenue[customerID],customers[],6,FALSE)</f>
        <v>Kobenhavn</v>
      </c>
      <c r="E252" s="24" t="str">
        <f>VLOOKUP(revenue[customerID],customers[],9,FALSE)</f>
        <v>Denmark</v>
      </c>
      <c r="F252" s="24">
        <v>44863.0</v>
      </c>
      <c r="G252" s="6">
        <v>59.0</v>
      </c>
      <c r="H252" s="9" t="str">
        <f>VLOOKUP(revenue[productID],products[],2,FALSE)</f>
        <v>Raclette Courdavault</v>
      </c>
      <c r="I252" s="9" t="str">
        <f>VLOOKUP(revenue[productID],products[],12,FALSE)</f>
        <v>Dairy Products</v>
      </c>
      <c r="J252" s="9">
        <f>VLOOKUP(revenue[productID],products[],IF(YEAR(revenue[orderDate])=2022,8,IF(YEAR(revenue[orderDate])=2023,9,IF(YEAR(revenue[orderDate])=2024,10,NA))),FALSE)</f>
        <v>29.20351951</v>
      </c>
      <c r="K252" s="9">
        <v>44.0</v>
      </c>
      <c r="L252" s="25">
        <f>(revenue[orderPrice]-revenue[productCost])/revenue[productCost]</f>
        <v>0.5066677147</v>
      </c>
      <c r="M252" s="10">
        <v>9.0</v>
      </c>
      <c r="N252" s="25">
        <v>0.15</v>
      </c>
      <c r="O252" s="9">
        <f>revenue[orderPrice]*revenue[orderQuantity]</f>
        <v>396</v>
      </c>
      <c r="P252" s="9">
        <f>revenue[orderTotal]*(1-revenue[discountApllied])</f>
        <v>336.6</v>
      </c>
      <c r="Q252" s="9">
        <f>revenue[revenue]-(revenue[productCost]*revenue[orderQuantity])</f>
        <v>73.76832442</v>
      </c>
      <c r="R252" s="25">
        <f>IFERROR(revenue[profit]/revenue[revenue], 0)</f>
        <v>0.2191572324</v>
      </c>
      <c r="S252" s="9">
        <f>revenue[productCost]*revenue[orderQuantity]</f>
        <v>262.8316756</v>
      </c>
    </row>
    <row r="253" ht="15.75" customHeight="1">
      <c r="A253" s="6">
        <v>10342.0</v>
      </c>
      <c r="B253" s="7" t="s">
        <v>32</v>
      </c>
      <c r="C253" s="24" t="str">
        <f>VLOOKUP(revenue[customerID],customers[],2,FALSE)</f>
        <v>Frankenversand</v>
      </c>
      <c r="D253" s="24" t="str">
        <f>VLOOKUP(revenue[customerID],customers[],6,FALSE)</f>
        <v>München</v>
      </c>
      <c r="E253" s="24" t="str">
        <f>VLOOKUP(revenue[customerID],customers[],9,FALSE)</f>
        <v>Germany</v>
      </c>
      <c r="F253" s="24">
        <v>44864.0</v>
      </c>
      <c r="G253" s="6">
        <v>2.0</v>
      </c>
      <c r="H253" s="9" t="str">
        <f>VLOOKUP(revenue[productID],products[],2,FALSE)</f>
        <v>Chang</v>
      </c>
      <c r="I253" s="9" t="str">
        <f>VLOOKUP(revenue[productID],products[],12,FALSE)</f>
        <v>Beverages</v>
      </c>
      <c r="J253" s="9">
        <f>VLOOKUP(revenue[productID],products[],IF(YEAR(revenue[orderDate])=2022,8,IF(YEAR(revenue[orderDate])=2023,9,IF(YEAR(revenue[orderDate])=2024,10,NA))),FALSE)</f>
        <v>9.768746876</v>
      </c>
      <c r="K253" s="9">
        <v>15.2</v>
      </c>
      <c r="L253" s="25">
        <f>(revenue[orderPrice]-revenue[productCost])/revenue[productCost]</f>
        <v>0.5559825833</v>
      </c>
      <c r="M253" s="10">
        <v>24.0</v>
      </c>
      <c r="N253" s="25">
        <v>0.2</v>
      </c>
      <c r="O253" s="9">
        <f>revenue[orderPrice]*revenue[orderQuantity]</f>
        <v>364.8</v>
      </c>
      <c r="P253" s="9">
        <f>revenue[orderTotal]*(1-revenue[discountApllied])</f>
        <v>291.84</v>
      </c>
      <c r="Q253" s="9">
        <f>revenue[revenue]-(revenue[productCost]*revenue[orderQuantity])</f>
        <v>57.39007497</v>
      </c>
      <c r="R253" s="25">
        <f>IFERROR(revenue[profit]/revenue[revenue], 0)</f>
        <v>0.1966491056</v>
      </c>
      <c r="S253" s="9">
        <f>revenue[productCost]*revenue[orderQuantity]</f>
        <v>234.449925</v>
      </c>
    </row>
    <row r="254" ht="15.75" customHeight="1">
      <c r="A254" s="6">
        <v>10342.0</v>
      </c>
      <c r="B254" s="7" t="s">
        <v>32</v>
      </c>
      <c r="C254" s="24" t="str">
        <f>VLOOKUP(revenue[customerID],customers[],2,FALSE)</f>
        <v>Frankenversand</v>
      </c>
      <c r="D254" s="24" t="str">
        <f>VLOOKUP(revenue[customerID],customers[],6,FALSE)</f>
        <v>München</v>
      </c>
      <c r="E254" s="24" t="str">
        <f>VLOOKUP(revenue[customerID],customers[],9,FALSE)</f>
        <v>Germany</v>
      </c>
      <c r="F254" s="24">
        <v>44864.0</v>
      </c>
      <c r="G254" s="6">
        <v>31.0</v>
      </c>
      <c r="H254" s="9" t="str">
        <f>VLOOKUP(revenue[productID],products[],2,FALSE)</f>
        <v>Gorgonzola Telino</v>
      </c>
      <c r="I254" s="9" t="str">
        <f>VLOOKUP(revenue[productID],products[],12,FALSE)</f>
        <v>Dairy Products</v>
      </c>
      <c r="J254" s="9">
        <f>VLOOKUP(revenue[productID],products[],IF(YEAR(revenue[orderDate])=2022,8,IF(YEAR(revenue[orderDate])=2023,9,IF(YEAR(revenue[orderDate])=2024,10,NA))),FALSE)</f>
        <v>6.44031973</v>
      </c>
      <c r="K254" s="9">
        <v>10.0</v>
      </c>
      <c r="L254" s="25">
        <f>(revenue[orderPrice]-revenue[productCost])/revenue[productCost]</f>
        <v>0.5527179425</v>
      </c>
      <c r="M254" s="10">
        <v>56.0</v>
      </c>
      <c r="N254" s="25">
        <v>0.2</v>
      </c>
      <c r="O254" s="9">
        <f>revenue[orderPrice]*revenue[orderQuantity]</f>
        <v>560</v>
      </c>
      <c r="P254" s="9">
        <f>revenue[orderTotal]*(1-revenue[discountApllied])</f>
        <v>448</v>
      </c>
      <c r="Q254" s="9">
        <f>revenue[revenue]-(revenue[productCost]*revenue[orderQuantity])</f>
        <v>87.34209512</v>
      </c>
      <c r="R254" s="25">
        <f>IFERROR(revenue[profit]/revenue[revenue], 0)</f>
        <v>0.1949600338</v>
      </c>
      <c r="S254" s="9">
        <f>revenue[productCost]*revenue[orderQuantity]</f>
        <v>360.6579049</v>
      </c>
    </row>
    <row r="255" ht="15.75" customHeight="1">
      <c r="A255" s="6">
        <v>10342.0</v>
      </c>
      <c r="B255" s="7" t="s">
        <v>32</v>
      </c>
      <c r="C255" s="24" t="str">
        <f>VLOOKUP(revenue[customerID],customers[],2,FALSE)</f>
        <v>Frankenversand</v>
      </c>
      <c r="D255" s="24" t="str">
        <f>VLOOKUP(revenue[customerID],customers[],6,FALSE)</f>
        <v>München</v>
      </c>
      <c r="E255" s="24" t="str">
        <f>VLOOKUP(revenue[customerID],customers[],9,FALSE)</f>
        <v>Germany</v>
      </c>
      <c r="F255" s="24">
        <v>44864.0</v>
      </c>
      <c r="G255" s="6">
        <v>36.0</v>
      </c>
      <c r="H255" s="9" t="str">
        <f>VLOOKUP(revenue[productID],products[],2,FALSE)</f>
        <v>Inlagd Sill</v>
      </c>
      <c r="I255" s="9" t="str">
        <f>VLOOKUP(revenue[productID],products[],12,FALSE)</f>
        <v>Seafood</v>
      </c>
      <c r="J255" s="9">
        <f>VLOOKUP(revenue[productID],products[],IF(YEAR(revenue[orderDate])=2022,8,IF(YEAR(revenue[orderDate])=2023,9,IF(YEAR(revenue[orderDate])=2024,10,NA))),FALSE)</f>
        <v>9.768238429</v>
      </c>
      <c r="K255" s="9">
        <v>15.2</v>
      </c>
      <c r="L255" s="25">
        <f>(revenue[orderPrice]-revenue[productCost])/revenue[productCost]</f>
        <v>0.5560635738</v>
      </c>
      <c r="M255" s="10">
        <v>40.0</v>
      </c>
      <c r="N255" s="25">
        <v>0.2</v>
      </c>
      <c r="O255" s="9">
        <f>revenue[orderPrice]*revenue[orderQuantity]</f>
        <v>608</v>
      </c>
      <c r="P255" s="9">
        <f>revenue[orderTotal]*(1-revenue[discountApllied])</f>
        <v>486.4</v>
      </c>
      <c r="Q255" s="9">
        <f>revenue[revenue]-(revenue[productCost]*revenue[orderQuantity])</f>
        <v>95.67046283</v>
      </c>
      <c r="R255" s="25">
        <f>IFERROR(revenue[profit]/revenue[revenue], 0)</f>
        <v>0.1966909186</v>
      </c>
      <c r="S255" s="9">
        <f>revenue[productCost]*revenue[orderQuantity]</f>
        <v>390.7295372</v>
      </c>
    </row>
    <row r="256" ht="15.75" customHeight="1">
      <c r="A256" s="6">
        <v>10342.0</v>
      </c>
      <c r="B256" s="7" t="s">
        <v>32</v>
      </c>
      <c r="C256" s="24" t="str">
        <f>VLOOKUP(revenue[customerID],customers[],2,FALSE)</f>
        <v>Frankenversand</v>
      </c>
      <c r="D256" s="24" t="str">
        <f>VLOOKUP(revenue[customerID],customers[],6,FALSE)</f>
        <v>München</v>
      </c>
      <c r="E256" s="24" t="str">
        <f>VLOOKUP(revenue[customerID],customers[],9,FALSE)</f>
        <v>Germany</v>
      </c>
      <c r="F256" s="24">
        <v>44864.0</v>
      </c>
      <c r="G256" s="6">
        <v>55.0</v>
      </c>
      <c r="H256" s="9" t="str">
        <f>VLOOKUP(revenue[productID],products[],2,FALSE)</f>
        <v>Pâté chinois</v>
      </c>
      <c r="I256" s="9" t="str">
        <f>VLOOKUP(revenue[productID],products[],12,FALSE)</f>
        <v>Meat/Poultry</v>
      </c>
      <c r="J256" s="9">
        <f>VLOOKUP(revenue[productID],products[],IF(YEAR(revenue[orderDate])=2022,8,IF(YEAR(revenue[orderDate])=2023,9,IF(YEAR(revenue[orderDate])=2024,10,NA))),FALSE)</f>
        <v>12.97496052</v>
      </c>
      <c r="K256" s="9">
        <v>19.2</v>
      </c>
      <c r="L256" s="25">
        <f>(revenue[orderPrice]-revenue[productCost])/revenue[productCost]</f>
        <v>0.4797732884</v>
      </c>
      <c r="M256" s="10">
        <v>40.0</v>
      </c>
      <c r="N256" s="25">
        <v>0.2</v>
      </c>
      <c r="O256" s="9">
        <f>revenue[orderPrice]*revenue[orderQuantity]</f>
        <v>768</v>
      </c>
      <c r="P256" s="9">
        <f>revenue[orderTotal]*(1-revenue[discountApllied])</f>
        <v>614.4</v>
      </c>
      <c r="Q256" s="9">
        <f>revenue[revenue]-(revenue[productCost]*revenue[orderQuantity])</f>
        <v>95.40157907</v>
      </c>
      <c r="R256" s="25">
        <f>IFERROR(revenue[profit]/revenue[revenue], 0)</f>
        <v>0.1552760076</v>
      </c>
      <c r="S256" s="9">
        <f>revenue[productCost]*revenue[orderQuantity]</f>
        <v>518.9984209</v>
      </c>
    </row>
    <row r="257" ht="15.75" customHeight="1">
      <c r="A257" s="6">
        <v>10343.0</v>
      </c>
      <c r="B257" s="7" t="s">
        <v>41</v>
      </c>
      <c r="C257" s="24" t="str">
        <f>VLOOKUP(revenue[customerID],customers[],2,FALSE)</f>
        <v>Lehmanns Marktstand</v>
      </c>
      <c r="D257" s="24" t="str">
        <f>VLOOKUP(revenue[customerID],customers[],6,FALSE)</f>
        <v>Frankfurt a.M.</v>
      </c>
      <c r="E257" s="24" t="str">
        <f>VLOOKUP(revenue[customerID],customers[],9,FALSE)</f>
        <v>Germany</v>
      </c>
      <c r="F257" s="24">
        <v>44865.0</v>
      </c>
      <c r="G257" s="6">
        <v>64.0</v>
      </c>
      <c r="H257" s="9" t="str">
        <f>VLOOKUP(revenue[productID],products[],2,FALSE)</f>
        <v>Lukas' leckere Sauerteigweggla</v>
      </c>
      <c r="I257" s="9" t="str">
        <f>VLOOKUP(revenue[productID],products[],12,FALSE)</f>
        <v>Grains/Cereals</v>
      </c>
      <c r="J257" s="9">
        <f>VLOOKUP(revenue[productID],products[],IF(YEAR(revenue[orderDate])=2022,8,IF(YEAR(revenue[orderDate])=2023,9,IF(YEAR(revenue[orderDate])=2024,10,NA))),FALSE)</f>
        <v>19.36982257</v>
      </c>
      <c r="K257" s="9">
        <v>26.6</v>
      </c>
      <c r="L257" s="25">
        <f>(revenue[orderPrice]-revenue[productCost])/revenue[productCost]</f>
        <v>0.3732701944</v>
      </c>
      <c r="M257" s="10">
        <v>50.0</v>
      </c>
      <c r="N257" s="25">
        <v>0.0</v>
      </c>
      <c r="O257" s="9">
        <f>revenue[orderPrice]*revenue[orderQuantity]</f>
        <v>1330</v>
      </c>
      <c r="P257" s="9">
        <f>revenue[orderTotal]*(1-revenue[discountApllied])</f>
        <v>1330</v>
      </c>
      <c r="Q257" s="9">
        <f>revenue[revenue]-(revenue[productCost]*revenue[orderQuantity])</f>
        <v>361.5088717</v>
      </c>
      <c r="R257" s="25">
        <f>IFERROR(revenue[profit]/revenue[revenue], 0)</f>
        <v>0.2718111818</v>
      </c>
      <c r="S257" s="9">
        <f>revenue[productCost]*revenue[orderQuantity]</f>
        <v>968.4911283</v>
      </c>
    </row>
    <row r="258" ht="15.75" customHeight="1">
      <c r="A258" s="6">
        <v>10343.0</v>
      </c>
      <c r="B258" s="7" t="s">
        <v>41</v>
      </c>
      <c r="C258" s="24" t="str">
        <f>VLOOKUP(revenue[customerID],customers[],2,FALSE)</f>
        <v>Lehmanns Marktstand</v>
      </c>
      <c r="D258" s="24" t="str">
        <f>VLOOKUP(revenue[customerID],customers[],6,FALSE)</f>
        <v>Frankfurt a.M.</v>
      </c>
      <c r="E258" s="24" t="str">
        <f>VLOOKUP(revenue[customerID],customers[],9,FALSE)</f>
        <v>Germany</v>
      </c>
      <c r="F258" s="24">
        <v>44865.0</v>
      </c>
      <c r="G258" s="6">
        <v>68.0</v>
      </c>
      <c r="H258" s="9" t="str">
        <f>VLOOKUP(revenue[productID],products[],2,FALSE)</f>
        <v>Scottish Longbreads</v>
      </c>
      <c r="I258" s="9" t="str">
        <f>VLOOKUP(revenue[productID],products[],12,FALSE)</f>
        <v>Confections</v>
      </c>
      <c r="J258" s="9">
        <f>VLOOKUP(revenue[productID],products[],IF(YEAR(revenue[orderDate])=2022,8,IF(YEAR(revenue[orderDate])=2023,9,IF(YEAR(revenue[orderDate])=2024,10,NA))),FALSE)</f>
        <v>7.316656529</v>
      </c>
      <c r="K258" s="9">
        <v>10.0</v>
      </c>
      <c r="L258" s="25">
        <f>(revenue[orderPrice]-revenue[productCost])/revenue[productCost]</f>
        <v>0.3667444906</v>
      </c>
      <c r="M258" s="10">
        <v>4.0</v>
      </c>
      <c r="N258" s="25">
        <v>0.05</v>
      </c>
      <c r="O258" s="9">
        <f>revenue[orderPrice]*revenue[orderQuantity]</f>
        <v>40</v>
      </c>
      <c r="P258" s="9">
        <f>revenue[orderTotal]*(1-revenue[discountApllied])</f>
        <v>38</v>
      </c>
      <c r="Q258" s="9">
        <f>revenue[revenue]-(revenue[productCost]*revenue[orderQuantity])</f>
        <v>8.733373886</v>
      </c>
      <c r="R258" s="25">
        <f>IFERROR(revenue[profit]/revenue[revenue], 0)</f>
        <v>0.2298256286</v>
      </c>
      <c r="S258" s="9">
        <f>revenue[productCost]*revenue[orderQuantity]</f>
        <v>29.26662611</v>
      </c>
    </row>
    <row r="259" ht="15.75" customHeight="1">
      <c r="A259" s="6">
        <v>10343.0</v>
      </c>
      <c r="B259" s="7" t="s">
        <v>41</v>
      </c>
      <c r="C259" s="24" t="str">
        <f>VLOOKUP(revenue[customerID],customers[],2,FALSE)</f>
        <v>Lehmanns Marktstand</v>
      </c>
      <c r="D259" s="24" t="str">
        <f>VLOOKUP(revenue[customerID],customers[],6,FALSE)</f>
        <v>Frankfurt a.M.</v>
      </c>
      <c r="E259" s="24" t="str">
        <f>VLOOKUP(revenue[customerID],customers[],9,FALSE)</f>
        <v>Germany</v>
      </c>
      <c r="F259" s="24">
        <v>44865.0</v>
      </c>
      <c r="G259" s="6">
        <v>76.0</v>
      </c>
      <c r="H259" s="9" t="str">
        <f>VLOOKUP(revenue[productID],products[],2,FALSE)</f>
        <v>Lakkalikööri</v>
      </c>
      <c r="I259" s="9" t="str">
        <f>VLOOKUP(revenue[productID],products[],12,FALSE)</f>
        <v>Beverages</v>
      </c>
      <c r="J259" s="9">
        <f>VLOOKUP(revenue[productID],products[],IF(YEAR(revenue[orderDate])=2022,8,IF(YEAR(revenue[orderDate])=2023,9,IF(YEAR(revenue[orderDate])=2024,10,NA))),FALSE)</f>
        <v>10.19609256</v>
      </c>
      <c r="K259" s="9">
        <v>14.4</v>
      </c>
      <c r="L259" s="25">
        <f>(revenue[orderPrice]-revenue[productCost])/revenue[productCost]</f>
        <v>0.4123057356</v>
      </c>
      <c r="M259" s="10">
        <v>15.0</v>
      </c>
      <c r="N259" s="25">
        <v>0.0</v>
      </c>
      <c r="O259" s="9">
        <f>revenue[orderPrice]*revenue[orderQuantity]</f>
        <v>216</v>
      </c>
      <c r="P259" s="9">
        <f>revenue[orderTotal]*(1-revenue[discountApllied])</f>
        <v>216</v>
      </c>
      <c r="Q259" s="9">
        <f>revenue[revenue]-(revenue[productCost]*revenue[orderQuantity])</f>
        <v>63.05861163</v>
      </c>
      <c r="R259" s="25">
        <f>IFERROR(revenue[profit]/revenue[revenue], 0)</f>
        <v>0.2919380168</v>
      </c>
      <c r="S259" s="9">
        <f>revenue[productCost]*revenue[orderQuantity]</f>
        <v>152.9413884</v>
      </c>
    </row>
    <row r="260" ht="15.75" customHeight="1">
      <c r="A260" s="6">
        <v>10344.0</v>
      </c>
      <c r="B260" s="7" t="s">
        <v>34</v>
      </c>
      <c r="C260" s="24" t="str">
        <f>VLOOKUP(revenue[customerID],customers[],2,FALSE)</f>
        <v>White Clover Markets</v>
      </c>
      <c r="D260" s="24" t="str">
        <f>VLOOKUP(revenue[customerID],customers[],6,FALSE)</f>
        <v>Seattle</v>
      </c>
      <c r="E260" s="24" t="str">
        <f>VLOOKUP(revenue[customerID],customers[],9,FALSE)</f>
        <v>USA</v>
      </c>
      <c r="F260" s="24">
        <v>44866.0</v>
      </c>
      <c r="G260" s="6">
        <v>4.0</v>
      </c>
      <c r="H260" s="9" t="str">
        <f>VLOOKUP(revenue[productID],products[],2,FALSE)</f>
        <v>Chef Anton's Cajun Seasoning</v>
      </c>
      <c r="I260" s="9" t="str">
        <f>VLOOKUP(revenue[productID],products[],12,FALSE)</f>
        <v>Condiments</v>
      </c>
      <c r="J260" s="9">
        <f>VLOOKUP(revenue[productID],products[],IF(YEAR(revenue[orderDate])=2022,8,IF(YEAR(revenue[orderDate])=2023,9,IF(YEAR(revenue[orderDate])=2024,10,NA))),FALSE)</f>
        <v>12.12007338</v>
      </c>
      <c r="K260" s="9">
        <v>17.6</v>
      </c>
      <c r="L260" s="25">
        <f>(revenue[orderPrice]-revenue[productCost])/revenue[productCost]</f>
        <v>0.4521364227</v>
      </c>
      <c r="M260" s="10">
        <v>35.0</v>
      </c>
      <c r="N260" s="25">
        <v>0.0</v>
      </c>
      <c r="O260" s="9">
        <f>revenue[orderPrice]*revenue[orderQuantity]</f>
        <v>616</v>
      </c>
      <c r="P260" s="9">
        <f>revenue[orderTotal]*(1-revenue[discountApllied])</f>
        <v>616</v>
      </c>
      <c r="Q260" s="9">
        <f>revenue[revenue]-(revenue[productCost]*revenue[orderQuantity])</f>
        <v>191.7974317</v>
      </c>
      <c r="R260" s="25">
        <f>IFERROR(revenue[profit]/revenue[revenue], 0)</f>
        <v>0.3113594671</v>
      </c>
      <c r="S260" s="9">
        <f>revenue[productCost]*revenue[orderQuantity]</f>
        <v>424.2025683</v>
      </c>
    </row>
    <row r="261" ht="15.75" customHeight="1">
      <c r="A261" s="6">
        <v>10344.0</v>
      </c>
      <c r="B261" s="7" t="s">
        <v>34</v>
      </c>
      <c r="C261" s="24" t="str">
        <f>VLOOKUP(revenue[customerID],customers[],2,FALSE)</f>
        <v>White Clover Markets</v>
      </c>
      <c r="D261" s="24" t="str">
        <f>VLOOKUP(revenue[customerID],customers[],6,FALSE)</f>
        <v>Seattle</v>
      </c>
      <c r="E261" s="24" t="str">
        <f>VLOOKUP(revenue[customerID],customers[],9,FALSE)</f>
        <v>USA</v>
      </c>
      <c r="F261" s="24">
        <v>44866.0</v>
      </c>
      <c r="G261" s="6">
        <v>8.0</v>
      </c>
      <c r="H261" s="9" t="str">
        <f>VLOOKUP(revenue[productID],products[],2,FALSE)</f>
        <v>Northwoods Cranberry Sauce</v>
      </c>
      <c r="I261" s="9" t="str">
        <f>VLOOKUP(revenue[productID],products[],12,FALSE)</f>
        <v>Condiments</v>
      </c>
      <c r="J261" s="9">
        <f>VLOOKUP(revenue[productID],products[],IF(YEAR(revenue[orderDate])=2022,8,IF(YEAR(revenue[orderDate])=2023,9,IF(YEAR(revenue[orderDate])=2024,10,NA))),FALSE)</f>
        <v>19.17176857</v>
      </c>
      <c r="K261" s="9">
        <v>32.0</v>
      </c>
      <c r="L261" s="25">
        <f>(revenue[orderPrice]-revenue[productCost])/revenue[productCost]</f>
        <v>0.6691209207</v>
      </c>
      <c r="M261" s="10">
        <v>70.0</v>
      </c>
      <c r="N261" s="25">
        <v>0.25</v>
      </c>
      <c r="O261" s="9">
        <f>revenue[orderPrice]*revenue[orderQuantity]</f>
        <v>2240</v>
      </c>
      <c r="P261" s="9">
        <f>revenue[orderTotal]*(1-revenue[discountApllied])</f>
        <v>1680</v>
      </c>
      <c r="Q261" s="9">
        <f>revenue[revenue]-(revenue[productCost]*revenue[orderQuantity])</f>
        <v>337.9762004</v>
      </c>
      <c r="R261" s="25">
        <f>IFERROR(revenue[profit]/revenue[revenue], 0)</f>
        <v>0.2011763098</v>
      </c>
      <c r="S261" s="9">
        <f>revenue[productCost]*revenue[orderQuantity]</f>
        <v>1342.0238</v>
      </c>
    </row>
    <row r="262" ht="15.75" customHeight="1">
      <c r="A262" s="6">
        <v>10345.0</v>
      </c>
      <c r="B262" s="7" t="s">
        <v>36</v>
      </c>
      <c r="C262" s="24" t="str">
        <f>VLOOKUP(revenue[customerID],customers[],2,FALSE)</f>
        <v>QUICK-Stop</v>
      </c>
      <c r="D262" s="24" t="str">
        <f>VLOOKUP(revenue[customerID],customers[],6,FALSE)</f>
        <v>Cunewalde</v>
      </c>
      <c r="E262" s="24" t="str">
        <f>VLOOKUP(revenue[customerID],customers[],9,FALSE)</f>
        <v>Germany</v>
      </c>
      <c r="F262" s="24">
        <v>44869.0</v>
      </c>
      <c r="G262" s="6">
        <v>8.0</v>
      </c>
      <c r="H262" s="9" t="str">
        <f>VLOOKUP(revenue[productID],products[],2,FALSE)</f>
        <v>Northwoods Cranberry Sauce</v>
      </c>
      <c r="I262" s="9" t="str">
        <f>VLOOKUP(revenue[productID],products[],12,FALSE)</f>
        <v>Condiments</v>
      </c>
      <c r="J262" s="9">
        <f>VLOOKUP(revenue[productID],products[],IF(YEAR(revenue[orderDate])=2022,8,IF(YEAR(revenue[orderDate])=2023,9,IF(YEAR(revenue[orderDate])=2024,10,NA))),FALSE)</f>
        <v>19.17176857</v>
      </c>
      <c r="K262" s="9">
        <v>32.0</v>
      </c>
      <c r="L262" s="25">
        <f>(revenue[orderPrice]-revenue[productCost])/revenue[productCost]</f>
        <v>0.6691209207</v>
      </c>
      <c r="M262" s="10">
        <v>70.0</v>
      </c>
      <c r="N262" s="25">
        <v>0.0</v>
      </c>
      <c r="O262" s="9">
        <f>revenue[orderPrice]*revenue[orderQuantity]</f>
        <v>2240</v>
      </c>
      <c r="P262" s="9">
        <f>revenue[orderTotal]*(1-revenue[discountApllied])</f>
        <v>2240</v>
      </c>
      <c r="Q262" s="9">
        <f>revenue[revenue]-(revenue[productCost]*revenue[orderQuantity])</f>
        <v>897.9762004</v>
      </c>
      <c r="R262" s="25">
        <f>IFERROR(revenue[profit]/revenue[revenue], 0)</f>
        <v>0.4008822323</v>
      </c>
      <c r="S262" s="9">
        <f>revenue[productCost]*revenue[orderQuantity]</f>
        <v>1342.0238</v>
      </c>
    </row>
    <row r="263" ht="15.75" customHeight="1">
      <c r="A263" s="6">
        <v>10345.0</v>
      </c>
      <c r="B263" s="7" t="s">
        <v>36</v>
      </c>
      <c r="C263" s="24" t="str">
        <f>VLOOKUP(revenue[customerID],customers[],2,FALSE)</f>
        <v>QUICK-Stop</v>
      </c>
      <c r="D263" s="24" t="str">
        <f>VLOOKUP(revenue[customerID],customers[],6,FALSE)</f>
        <v>Cunewalde</v>
      </c>
      <c r="E263" s="24" t="str">
        <f>VLOOKUP(revenue[customerID],customers[],9,FALSE)</f>
        <v>Germany</v>
      </c>
      <c r="F263" s="24">
        <v>44869.0</v>
      </c>
      <c r="G263" s="6">
        <v>19.0</v>
      </c>
      <c r="H263" s="9" t="str">
        <f>VLOOKUP(revenue[productID],products[],2,FALSE)</f>
        <v>Teatime Chocolate Biscuits</v>
      </c>
      <c r="I263" s="9" t="str">
        <f>VLOOKUP(revenue[productID],products[],12,FALSE)</f>
        <v>Confections</v>
      </c>
      <c r="J263" s="9">
        <f>VLOOKUP(revenue[productID],products[],IF(YEAR(revenue[orderDate])=2022,8,IF(YEAR(revenue[orderDate])=2023,9,IF(YEAR(revenue[orderDate])=2024,10,NA))),FALSE)</f>
        <v>5.58120093</v>
      </c>
      <c r="K263" s="9">
        <v>7.3</v>
      </c>
      <c r="L263" s="25">
        <f>(revenue[orderPrice]-revenue[productCost])/revenue[productCost]</f>
        <v>0.3079622274</v>
      </c>
      <c r="M263" s="10">
        <v>80.0</v>
      </c>
      <c r="N263" s="25">
        <v>0.0</v>
      </c>
      <c r="O263" s="9">
        <f>revenue[orderPrice]*revenue[orderQuantity]</f>
        <v>584</v>
      </c>
      <c r="P263" s="9">
        <f>revenue[orderTotal]*(1-revenue[discountApllied])</f>
        <v>584</v>
      </c>
      <c r="Q263" s="9">
        <f>revenue[revenue]-(revenue[productCost]*revenue[orderQuantity])</f>
        <v>137.5039256</v>
      </c>
      <c r="R263" s="25">
        <f>IFERROR(revenue[profit]/revenue[revenue], 0)</f>
        <v>0.2354519274</v>
      </c>
      <c r="S263" s="9">
        <f>revenue[productCost]*revenue[orderQuantity]</f>
        <v>446.4960744</v>
      </c>
    </row>
    <row r="264" ht="15.75" customHeight="1">
      <c r="A264" s="6">
        <v>10345.0</v>
      </c>
      <c r="B264" s="7" t="s">
        <v>36</v>
      </c>
      <c r="C264" s="24" t="str">
        <f>VLOOKUP(revenue[customerID],customers[],2,FALSE)</f>
        <v>QUICK-Stop</v>
      </c>
      <c r="D264" s="24" t="str">
        <f>VLOOKUP(revenue[customerID],customers[],6,FALSE)</f>
        <v>Cunewalde</v>
      </c>
      <c r="E264" s="24" t="str">
        <f>VLOOKUP(revenue[customerID],customers[],9,FALSE)</f>
        <v>Germany</v>
      </c>
      <c r="F264" s="24">
        <v>44869.0</v>
      </c>
      <c r="G264" s="6">
        <v>42.0</v>
      </c>
      <c r="H264" s="9" t="str">
        <f>VLOOKUP(revenue[productID],products[],2,FALSE)</f>
        <v>Singaporean Hokkien Fried Mee</v>
      </c>
      <c r="I264" s="9" t="str">
        <f>VLOOKUP(revenue[productID],products[],12,FALSE)</f>
        <v>Grains/Cereals</v>
      </c>
      <c r="J264" s="9">
        <f>VLOOKUP(revenue[productID],products[],IF(YEAR(revenue[orderDate])=2022,8,IF(YEAR(revenue[orderDate])=2023,9,IF(YEAR(revenue[orderDate])=2024,10,NA))),FALSE)</f>
        <v>7.818425885</v>
      </c>
      <c r="K264" s="9">
        <v>11.2</v>
      </c>
      <c r="L264" s="25">
        <f>(revenue[orderPrice]-revenue[productCost])/revenue[productCost]</f>
        <v>0.4325134196</v>
      </c>
      <c r="M264" s="10">
        <v>9.0</v>
      </c>
      <c r="N264" s="25">
        <v>0.0</v>
      </c>
      <c r="O264" s="9">
        <f>revenue[orderPrice]*revenue[orderQuantity]</f>
        <v>100.8</v>
      </c>
      <c r="P264" s="9">
        <f>revenue[orderTotal]*(1-revenue[discountApllied])</f>
        <v>100.8</v>
      </c>
      <c r="Q264" s="9">
        <f>revenue[revenue]-(revenue[productCost]*revenue[orderQuantity])</f>
        <v>30.43416704</v>
      </c>
      <c r="R264" s="25">
        <f>IFERROR(revenue[profit]/revenue[revenue], 0)</f>
        <v>0.3019262603</v>
      </c>
      <c r="S264" s="9">
        <f>revenue[productCost]*revenue[orderQuantity]</f>
        <v>70.36583296</v>
      </c>
    </row>
    <row r="265" ht="15.75" customHeight="1">
      <c r="A265" s="6">
        <v>10346.0</v>
      </c>
      <c r="B265" s="7" t="s">
        <v>28</v>
      </c>
      <c r="C265" s="24" t="str">
        <f>VLOOKUP(revenue[customerID],customers[],2,FALSE)</f>
        <v>Rattlesnake Canyon Grocery</v>
      </c>
      <c r="D265" s="24" t="str">
        <f>VLOOKUP(revenue[customerID],customers[],6,FALSE)</f>
        <v>Albuquerque</v>
      </c>
      <c r="E265" s="24" t="str">
        <f>VLOOKUP(revenue[customerID],customers[],9,FALSE)</f>
        <v>USA</v>
      </c>
      <c r="F265" s="24">
        <v>44870.0</v>
      </c>
      <c r="G265" s="6">
        <v>17.0</v>
      </c>
      <c r="H265" s="9" t="str">
        <f>VLOOKUP(revenue[productID],products[],2,FALSE)</f>
        <v>Alice Mutton</v>
      </c>
      <c r="I265" s="9" t="str">
        <f>VLOOKUP(revenue[productID],products[],12,FALSE)</f>
        <v>Meat/Poultry</v>
      </c>
      <c r="J265" s="9">
        <f>VLOOKUP(revenue[productID],products[],IF(YEAR(revenue[orderDate])=2022,8,IF(YEAR(revenue[orderDate])=2023,9,IF(YEAR(revenue[orderDate])=2024,10,NA))),FALSE)</f>
        <v>21.25377406</v>
      </c>
      <c r="K265" s="9">
        <v>31.2</v>
      </c>
      <c r="L265" s="25">
        <f>(revenue[orderPrice]-revenue[productCost])/revenue[productCost]</f>
        <v>0.4679745775</v>
      </c>
      <c r="M265" s="10">
        <v>36.0</v>
      </c>
      <c r="N265" s="25">
        <v>0.1</v>
      </c>
      <c r="O265" s="9">
        <f>revenue[orderPrice]*revenue[orderQuantity]</f>
        <v>1123.2</v>
      </c>
      <c r="P265" s="9">
        <f>revenue[orderTotal]*(1-revenue[discountApllied])</f>
        <v>1010.88</v>
      </c>
      <c r="Q265" s="9">
        <f>revenue[revenue]-(revenue[productCost]*revenue[orderQuantity])</f>
        <v>245.7441337</v>
      </c>
      <c r="R265" s="25">
        <f>IFERROR(revenue[profit]/revenue[revenue], 0)</f>
        <v>0.2430992143</v>
      </c>
      <c r="S265" s="9">
        <f>revenue[productCost]*revenue[orderQuantity]</f>
        <v>765.1358663</v>
      </c>
    </row>
    <row r="266" ht="15.75" customHeight="1">
      <c r="A266" s="6">
        <v>10346.0</v>
      </c>
      <c r="B266" s="7" t="s">
        <v>28</v>
      </c>
      <c r="C266" s="24" t="str">
        <f>VLOOKUP(revenue[customerID],customers[],2,FALSE)</f>
        <v>Rattlesnake Canyon Grocery</v>
      </c>
      <c r="D266" s="24" t="str">
        <f>VLOOKUP(revenue[customerID],customers[],6,FALSE)</f>
        <v>Albuquerque</v>
      </c>
      <c r="E266" s="24" t="str">
        <f>VLOOKUP(revenue[customerID],customers[],9,FALSE)</f>
        <v>USA</v>
      </c>
      <c r="F266" s="24">
        <v>44870.0</v>
      </c>
      <c r="G266" s="6">
        <v>56.0</v>
      </c>
      <c r="H266" s="9" t="str">
        <f>VLOOKUP(revenue[productID],products[],2,FALSE)</f>
        <v>Gnocchi di nonna Alice</v>
      </c>
      <c r="I266" s="9" t="str">
        <f>VLOOKUP(revenue[productID],products[],12,FALSE)</f>
        <v>Grains/Cereals</v>
      </c>
      <c r="J266" s="9">
        <f>VLOOKUP(revenue[productID],products[],IF(YEAR(revenue[orderDate])=2022,8,IF(YEAR(revenue[orderDate])=2023,9,IF(YEAR(revenue[orderDate])=2024,10,NA))),FALSE)</f>
        <v>21.5040056</v>
      </c>
      <c r="K266" s="9">
        <v>30.4</v>
      </c>
      <c r="L266" s="25">
        <f>(revenue[orderPrice]-revenue[productCost])/revenue[productCost]</f>
        <v>0.4136901081</v>
      </c>
      <c r="M266" s="10">
        <v>20.0</v>
      </c>
      <c r="N266" s="25">
        <v>0.0</v>
      </c>
      <c r="O266" s="9">
        <f>revenue[orderPrice]*revenue[orderQuantity]</f>
        <v>608</v>
      </c>
      <c r="P266" s="9">
        <f>revenue[orderTotal]*(1-revenue[discountApllied])</f>
        <v>608</v>
      </c>
      <c r="Q266" s="9">
        <f>revenue[revenue]-(revenue[productCost]*revenue[orderQuantity])</f>
        <v>177.919888</v>
      </c>
      <c r="R266" s="25">
        <f>IFERROR(revenue[profit]/revenue[revenue], 0)</f>
        <v>0.2926313948</v>
      </c>
      <c r="S266" s="9">
        <f>revenue[productCost]*revenue[orderQuantity]</f>
        <v>430.080112</v>
      </c>
    </row>
    <row r="267" ht="15.75" customHeight="1">
      <c r="A267" s="6">
        <v>10347.0</v>
      </c>
      <c r="B267" s="7" t="s">
        <v>67</v>
      </c>
      <c r="C267" s="24" t="str">
        <f>VLOOKUP(revenue[customerID],customers[],2,FALSE)</f>
        <v>Familia Arquibaldo</v>
      </c>
      <c r="D267" s="24" t="str">
        <f>VLOOKUP(revenue[customerID],customers[],6,FALSE)</f>
        <v>Sao Paulo</v>
      </c>
      <c r="E267" s="24" t="str">
        <f>VLOOKUP(revenue[customerID],customers[],9,FALSE)</f>
        <v>Brazil</v>
      </c>
      <c r="F267" s="24">
        <v>44871.0</v>
      </c>
      <c r="G267" s="6">
        <v>25.0</v>
      </c>
      <c r="H267" s="9" t="str">
        <f>VLOOKUP(revenue[productID],products[],2,FALSE)</f>
        <v>HM Köstliche Kaiserschmarrn Knödelchen</v>
      </c>
      <c r="I267" s="9" t="str">
        <f>VLOOKUP(revenue[productID],products[],12,FALSE)</f>
        <v>Confections</v>
      </c>
      <c r="J267" s="9">
        <f>VLOOKUP(revenue[productID],products[],IF(YEAR(revenue[orderDate])=2022,8,IF(YEAR(revenue[orderDate])=2023,9,IF(YEAR(revenue[orderDate])=2024,10,NA))),FALSE)</f>
        <v>7.370046533</v>
      </c>
      <c r="K267" s="9">
        <v>11.2</v>
      </c>
      <c r="L267" s="25">
        <f>(revenue[orderPrice]-revenue[productCost])/revenue[productCost]</f>
        <v>0.5196647605</v>
      </c>
      <c r="M267" s="10">
        <v>10.0</v>
      </c>
      <c r="N267" s="25">
        <v>0.0</v>
      </c>
      <c r="O267" s="9">
        <f>revenue[orderPrice]*revenue[orderQuantity]</f>
        <v>112</v>
      </c>
      <c r="P267" s="9">
        <f>revenue[orderTotal]*(1-revenue[discountApllied])</f>
        <v>112</v>
      </c>
      <c r="Q267" s="9">
        <f>revenue[revenue]-(revenue[productCost]*revenue[orderQuantity])</f>
        <v>38.29953467</v>
      </c>
      <c r="R267" s="25">
        <f>IFERROR(revenue[profit]/revenue[revenue], 0)</f>
        <v>0.3419601309</v>
      </c>
      <c r="S267" s="9">
        <f>revenue[productCost]*revenue[orderQuantity]</f>
        <v>73.70046533</v>
      </c>
    </row>
    <row r="268" ht="15.75" customHeight="1">
      <c r="A268" s="6">
        <v>10347.0</v>
      </c>
      <c r="B268" s="7" t="s">
        <v>67</v>
      </c>
      <c r="C268" s="24" t="str">
        <f>VLOOKUP(revenue[customerID],customers[],2,FALSE)</f>
        <v>Familia Arquibaldo</v>
      </c>
      <c r="D268" s="24" t="str">
        <f>VLOOKUP(revenue[customerID],customers[],6,FALSE)</f>
        <v>Sao Paulo</v>
      </c>
      <c r="E268" s="24" t="str">
        <f>VLOOKUP(revenue[customerID],customers[],9,FALSE)</f>
        <v>Brazil</v>
      </c>
      <c r="F268" s="24">
        <v>44871.0</v>
      </c>
      <c r="G268" s="6">
        <v>39.0</v>
      </c>
      <c r="H268" s="9" t="str">
        <f>VLOOKUP(revenue[productID],products[],2,FALSE)</f>
        <v>Chartreuse verte</v>
      </c>
      <c r="I268" s="9" t="str">
        <f>VLOOKUP(revenue[productID],products[],12,FALSE)</f>
        <v>Beverages</v>
      </c>
      <c r="J268" s="9">
        <f>VLOOKUP(revenue[productID],products[],IF(YEAR(revenue[orderDate])=2022,8,IF(YEAR(revenue[orderDate])=2023,9,IF(YEAR(revenue[orderDate])=2024,10,NA))),FALSE)</f>
        <v>9.743517226</v>
      </c>
      <c r="K268" s="9">
        <v>14.4</v>
      </c>
      <c r="L268" s="25">
        <f>(revenue[orderPrice]-revenue[productCost])/revenue[productCost]</f>
        <v>0.4779057362</v>
      </c>
      <c r="M268" s="10">
        <v>50.0</v>
      </c>
      <c r="N268" s="25">
        <v>0.15</v>
      </c>
      <c r="O268" s="9">
        <f>revenue[orderPrice]*revenue[orderQuantity]</f>
        <v>720</v>
      </c>
      <c r="P268" s="9">
        <f>revenue[orderTotal]*(1-revenue[discountApllied])</f>
        <v>612</v>
      </c>
      <c r="Q268" s="9">
        <f>revenue[revenue]-(revenue[productCost]*revenue[orderQuantity])</f>
        <v>124.8241387</v>
      </c>
      <c r="R268" s="25">
        <f>IFERROR(revenue[profit]/revenue[revenue], 0)</f>
        <v>0.2039610109</v>
      </c>
      <c r="S268" s="9">
        <f>revenue[productCost]*revenue[orderQuantity]</f>
        <v>487.1758613</v>
      </c>
    </row>
    <row r="269" ht="15.75" customHeight="1">
      <c r="A269" s="6">
        <v>10347.0</v>
      </c>
      <c r="B269" s="7" t="s">
        <v>67</v>
      </c>
      <c r="C269" s="24" t="str">
        <f>VLOOKUP(revenue[customerID],customers[],2,FALSE)</f>
        <v>Familia Arquibaldo</v>
      </c>
      <c r="D269" s="24" t="str">
        <f>VLOOKUP(revenue[customerID],customers[],6,FALSE)</f>
        <v>Sao Paulo</v>
      </c>
      <c r="E269" s="24" t="str">
        <f>VLOOKUP(revenue[customerID],customers[],9,FALSE)</f>
        <v>Brazil</v>
      </c>
      <c r="F269" s="24">
        <v>44871.0</v>
      </c>
      <c r="G269" s="6">
        <v>40.0</v>
      </c>
      <c r="H269" s="9" t="str">
        <f>VLOOKUP(revenue[productID],products[],2,FALSE)</f>
        <v>Boston Crab Meat</v>
      </c>
      <c r="I269" s="9" t="str">
        <f>VLOOKUP(revenue[productID],products[],12,FALSE)</f>
        <v>Seafood</v>
      </c>
      <c r="J269" s="9">
        <f>VLOOKUP(revenue[productID],products[],IF(YEAR(revenue[orderDate])=2022,8,IF(YEAR(revenue[orderDate])=2023,9,IF(YEAR(revenue[orderDate])=2024,10,NA))),FALSE)</f>
        <v>9.680649108</v>
      </c>
      <c r="K269" s="9">
        <v>14.7</v>
      </c>
      <c r="L269" s="25">
        <f>(revenue[orderPrice]-revenue[productCost])/revenue[productCost]</f>
        <v>0.5184932162</v>
      </c>
      <c r="M269" s="10">
        <v>4.0</v>
      </c>
      <c r="N269" s="25">
        <v>0.0</v>
      </c>
      <c r="O269" s="9">
        <f>revenue[orderPrice]*revenue[orderQuantity]</f>
        <v>58.8</v>
      </c>
      <c r="P269" s="9">
        <f>revenue[orderTotal]*(1-revenue[discountApllied])</f>
        <v>58.8</v>
      </c>
      <c r="Q269" s="9">
        <f>revenue[revenue]-(revenue[productCost]*revenue[orderQuantity])</f>
        <v>20.07740357</v>
      </c>
      <c r="R269" s="25">
        <f>IFERROR(revenue[profit]/revenue[revenue], 0)</f>
        <v>0.3414524416</v>
      </c>
      <c r="S269" s="9">
        <f>revenue[productCost]*revenue[orderQuantity]</f>
        <v>38.72259643</v>
      </c>
    </row>
    <row r="270" ht="15.75" customHeight="1">
      <c r="A270" s="6">
        <v>10347.0</v>
      </c>
      <c r="B270" s="7" t="s">
        <v>67</v>
      </c>
      <c r="C270" s="24" t="str">
        <f>VLOOKUP(revenue[customerID],customers[],2,FALSE)</f>
        <v>Familia Arquibaldo</v>
      </c>
      <c r="D270" s="24" t="str">
        <f>VLOOKUP(revenue[customerID],customers[],6,FALSE)</f>
        <v>Sao Paulo</v>
      </c>
      <c r="E270" s="24" t="str">
        <f>VLOOKUP(revenue[customerID],customers[],9,FALSE)</f>
        <v>Brazil</v>
      </c>
      <c r="F270" s="24">
        <v>44871.0</v>
      </c>
      <c r="G270" s="6">
        <v>75.0</v>
      </c>
      <c r="H270" s="9" t="str">
        <f>VLOOKUP(revenue[productID],products[],2,FALSE)</f>
        <v>Rhönbräu Klosterbier</v>
      </c>
      <c r="I270" s="9" t="str">
        <f>VLOOKUP(revenue[productID],products[],12,FALSE)</f>
        <v>Beverages</v>
      </c>
      <c r="J270" s="9">
        <f>VLOOKUP(revenue[productID],products[],IF(YEAR(revenue[orderDate])=2022,8,IF(YEAR(revenue[orderDate])=2023,9,IF(YEAR(revenue[orderDate])=2024,10,NA))),FALSE)</f>
        <v>4.269033823</v>
      </c>
      <c r="K270" s="9">
        <v>6.2</v>
      </c>
      <c r="L270" s="25">
        <f>(revenue[orderPrice]-revenue[productCost])/revenue[productCost]</f>
        <v>0.4523192499</v>
      </c>
      <c r="M270" s="10">
        <v>6.0</v>
      </c>
      <c r="N270" s="25">
        <v>0.15</v>
      </c>
      <c r="O270" s="9">
        <f>revenue[orderPrice]*revenue[orderQuantity]</f>
        <v>37.2</v>
      </c>
      <c r="P270" s="9">
        <f>revenue[orderTotal]*(1-revenue[discountApllied])</f>
        <v>31.62</v>
      </c>
      <c r="Q270" s="9">
        <f>revenue[revenue]-(revenue[productCost]*revenue[orderQuantity])</f>
        <v>6.00579706</v>
      </c>
      <c r="R270" s="25">
        <f>IFERROR(revenue[profit]/revenue[revenue], 0)</f>
        <v>0.1899366559</v>
      </c>
      <c r="S270" s="9">
        <f>revenue[productCost]*revenue[orderQuantity]</f>
        <v>25.61420294</v>
      </c>
    </row>
    <row r="271" ht="15.75" customHeight="1">
      <c r="A271" s="6">
        <v>10348.0</v>
      </c>
      <c r="B271" s="7" t="s">
        <v>50</v>
      </c>
      <c r="C271" s="24" t="str">
        <f>VLOOKUP(revenue[customerID],customers[],2,FALSE)</f>
        <v>Die Wandernde Kuh</v>
      </c>
      <c r="D271" s="24" t="str">
        <f>VLOOKUP(revenue[customerID],customers[],6,FALSE)</f>
        <v>Stuttgart</v>
      </c>
      <c r="E271" s="24" t="str">
        <f>VLOOKUP(revenue[customerID],customers[],9,FALSE)</f>
        <v>Germany</v>
      </c>
      <c r="F271" s="24">
        <v>44872.0</v>
      </c>
      <c r="G271" s="6">
        <v>1.0</v>
      </c>
      <c r="H271" s="9" t="str">
        <f>VLOOKUP(revenue[productID],products[],2,FALSE)</f>
        <v>Chai</v>
      </c>
      <c r="I271" s="9" t="str">
        <f>VLOOKUP(revenue[productID],products[],12,FALSE)</f>
        <v>Beverages</v>
      </c>
      <c r="J271" s="9">
        <f>VLOOKUP(revenue[productID],products[],IF(YEAR(revenue[orderDate])=2022,8,IF(YEAR(revenue[orderDate])=2023,9,IF(YEAR(revenue[orderDate])=2024,10,NA))),FALSE)</f>
        <v>9.574207217</v>
      </c>
      <c r="K271" s="9">
        <v>14.4</v>
      </c>
      <c r="L271" s="25">
        <f>(revenue[orderPrice]-revenue[productCost])/revenue[productCost]</f>
        <v>0.5040409795</v>
      </c>
      <c r="M271" s="10">
        <v>15.0</v>
      </c>
      <c r="N271" s="25">
        <v>0.15</v>
      </c>
      <c r="O271" s="9">
        <f>revenue[orderPrice]*revenue[orderQuantity]</f>
        <v>216</v>
      </c>
      <c r="P271" s="9">
        <f>revenue[orderTotal]*(1-revenue[discountApllied])</f>
        <v>183.6</v>
      </c>
      <c r="Q271" s="9">
        <f>revenue[revenue]-(revenue[productCost]*revenue[orderQuantity])</f>
        <v>39.98689175</v>
      </c>
      <c r="R271" s="25">
        <f>IFERROR(revenue[profit]/revenue[revenue], 0)</f>
        <v>0.2177935281</v>
      </c>
      <c r="S271" s="9">
        <f>revenue[productCost]*revenue[orderQuantity]</f>
        <v>143.6131082</v>
      </c>
    </row>
    <row r="272" ht="15.75" customHeight="1">
      <c r="A272" s="6">
        <v>10348.0</v>
      </c>
      <c r="B272" s="7" t="s">
        <v>50</v>
      </c>
      <c r="C272" s="24" t="str">
        <f>VLOOKUP(revenue[customerID],customers[],2,FALSE)</f>
        <v>Die Wandernde Kuh</v>
      </c>
      <c r="D272" s="24" t="str">
        <f>VLOOKUP(revenue[customerID],customers[],6,FALSE)</f>
        <v>Stuttgart</v>
      </c>
      <c r="E272" s="24" t="str">
        <f>VLOOKUP(revenue[customerID],customers[],9,FALSE)</f>
        <v>Germany</v>
      </c>
      <c r="F272" s="24">
        <v>44872.0</v>
      </c>
      <c r="G272" s="6">
        <v>23.0</v>
      </c>
      <c r="H272" s="9" t="str">
        <f>VLOOKUP(revenue[productID],products[],2,FALSE)</f>
        <v>Tunnbröd</v>
      </c>
      <c r="I272" s="9" t="str">
        <f>VLOOKUP(revenue[productID],products[],12,FALSE)</f>
        <v>Grains/Cereals</v>
      </c>
      <c r="J272" s="9">
        <f>VLOOKUP(revenue[productID],products[],IF(YEAR(revenue[orderDate])=2022,8,IF(YEAR(revenue[orderDate])=2023,9,IF(YEAR(revenue[orderDate])=2024,10,NA))),FALSE)</f>
        <v>5.310194716</v>
      </c>
      <c r="K272" s="9">
        <v>7.2</v>
      </c>
      <c r="L272" s="25">
        <f>(revenue[orderPrice]-revenue[productCost])/revenue[productCost]</f>
        <v>0.3558824836</v>
      </c>
      <c r="M272" s="10">
        <v>25.0</v>
      </c>
      <c r="N272" s="25">
        <v>0.0</v>
      </c>
      <c r="O272" s="9">
        <f>revenue[orderPrice]*revenue[orderQuantity]</f>
        <v>180</v>
      </c>
      <c r="P272" s="9">
        <f>revenue[orderTotal]*(1-revenue[discountApllied])</f>
        <v>180</v>
      </c>
      <c r="Q272" s="9">
        <f>revenue[revenue]-(revenue[productCost]*revenue[orderQuantity])</f>
        <v>47.2451321</v>
      </c>
      <c r="R272" s="25">
        <f>IFERROR(revenue[profit]/revenue[revenue], 0)</f>
        <v>0.2624729561</v>
      </c>
      <c r="S272" s="9">
        <f>revenue[productCost]*revenue[orderQuantity]</f>
        <v>132.7548679</v>
      </c>
    </row>
    <row r="273" ht="15.75" customHeight="1">
      <c r="A273" s="6">
        <v>10349.0</v>
      </c>
      <c r="B273" s="7" t="s">
        <v>35</v>
      </c>
      <c r="C273" s="24" t="str">
        <f>VLOOKUP(revenue[customerID],customers[],2,FALSE)</f>
        <v>Split Rail Beer &amp; Ale</v>
      </c>
      <c r="D273" s="24" t="str">
        <f>VLOOKUP(revenue[customerID],customers[],6,FALSE)</f>
        <v>Lander</v>
      </c>
      <c r="E273" s="24" t="str">
        <f>VLOOKUP(revenue[customerID],customers[],9,FALSE)</f>
        <v>USA</v>
      </c>
      <c r="F273" s="24">
        <v>44873.0</v>
      </c>
      <c r="G273" s="6">
        <v>54.0</v>
      </c>
      <c r="H273" s="9" t="str">
        <f>VLOOKUP(revenue[productID],products[],2,FALSE)</f>
        <v>Tourtière</v>
      </c>
      <c r="I273" s="9" t="str">
        <f>VLOOKUP(revenue[productID],products[],12,FALSE)</f>
        <v>Meat/Poultry</v>
      </c>
      <c r="J273" s="9">
        <f>VLOOKUP(revenue[productID],products[],IF(YEAR(revenue[orderDate])=2022,8,IF(YEAR(revenue[orderDate])=2023,9,IF(YEAR(revenue[orderDate])=2024,10,NA))),FALSE)</f>
        <v>4.309848919</v>
      </c>
      <c r="K273" s="9">
        <v>5.9</v>
      </c>
      <c r="L273" s="25">
        <f>(revenue[orderPrice]-revenue[productCost])/revenue[productCost]</f>
        <v>0.3689574996</v>
      </c>
      <c r="M273" s="10">
        <v>24.0</v>
      </c>
      <c r="N273" s="25">
        <v>0.0</v>
      </c>
      <c r="O273" s="9">
        <f>revenue[orderPrice]*revenue[orderQuantity]</f>
        <v>141.6</v>
      </c>
      <c r="P273" s="9">
        <f>revenue[orderTotal]*(1-revenue[discountApllied])</f>
        <v>141.6</v>
      </c>
      <c r="Q273" s="9">
        <f>revenue[revenue]-(revenue[productCost]*revenue[orderQuantity])</f>
        <v>38.16362594</v>
      </c>
      <c r="R273" s="25">
        <f>IFERROR(revenue[profit]/revenue[revenue], 0)</f>
        <v>0.2695171323</v>
      </c>
      <c r="S273" s="9">
        <f>revenue[productCost]*revenue[orderQuantity]</f>
        <v>103.4363741</v>
      </c>
    </row>
    <row r="274" ht="15.75" customHeight="1">
      <c r="A274" s="6">
        <v>10350.0</v>
      </c>
      <c r="B274" s="7" t="s">
        <v>68</v>
      </c>
      <c r="C274" s="24" t="str">
        <f>VLOOKUP(revenue[customerID],customers[],2,FALSE)</f>
        <v>La maison d'Asie</v>
      </c>
      <c r="D274" s="24" t="str">
        <f>VLOOKUP(revenue[customerID],customers[],6,FALSE)</f>
        <v>Toulouse</v>
      </c>
      <c r="E274" s="24" t="str">
        <f>VLOOKUP(revenue[customerID],customers[],9,FALSE)</f>
        <v>France</v>
      </c>
      <c r="F274" s="24">
        <v>44876.0</v>
      </c>
      <c r="G274" s="6">
        <v>50.0</v>
      </c>
      <c r="H274" s="9" t="str">
        <f>VLOOKUP(revenue[productID],products[],2,FALSE)</f>
        <v>Valkoinen suklaa</v>
      </c>
      <c r="I274" s="9" t="str">
        <f>VLOOKUP(revenue[productID],products[],12,FALSE)</f>
        <v>Confections</v>
      </c>
      <c r="J274" s="9">
        <f>VLOOKUP(revenue[productID],products[],IF(YEAR(revenue[orderDate])=2022,8,IF(YEAR(revenue[orderDate])=2023,9,IF(YEAR(revenue[orderDate])=2024,10,NA))),FALSE)</f>
        <v>9.682278645</v>
      </c>
      <c r="K274" s="9">
        <v>13.0</v>
      </c>
      <c r="L274" s="25">
        <f>(revenue[orderPrice]-revenue[productCost])/revenue[productCost]</f>
        <v>0.3426591484</v>
      </c>
      <c r="M274" s="10">
        <v>15.0</v>
      </c>
      <c r="N274" s="25">
        <v>0.1</v>
      </c>
      <c r="O274" s="9">
        <f>revenue[orderPrice]*revenue[orderQuantity]</f>
        <v>195</v>
      </c>
      <c r="P274" s="9">
        <f>revenue[orderTotal]*(1-revenue[discountApllied])</f>
        <v>175.5</v>
      </c>
      <c r="Q274" s="9">
        <f>revenue[revenue]-(revenue[productCost]*revenue[orderQuantity])</f>
        <v>30.26582033</v>
      </c>
      <c r="R274" s="25">
        <f>IFERROR(revenue[profit]/revenue[revenue], 0)</f>
        <v>0.1724548167</v>
      </c>
      <c r="S274" s="9">
        <f>revenue[productCost]*revenue[orderQuantity]</f>
        <v>145.2341797</v>
      </c>
    </row>
    <row r="275" ht="15.75" customHeight="1">
      <c r="A275" s="6">
        <v>10350.0</v>
      </c>
      <c r="B275" s="7" t="s">
        <v>68</v>
      </c>
      <c r="C275" s="24" t="str">
        <f>VLOOKUP(revenue[customerID],customers[],2,FALSE)</f>
        <v>La maison d'Asie</v>
      </c>
      <c r="D275" s="24" t="str">
        <f>VLOOKUP(revenue[customerID],customers[],6,FALSE)</f>
        <v>Toulouse</v>
      </c>
      <c r="E275" s="24" t="str">
        <f>VLOOKUP(revenue[customerID],customers[],9,FALSE)</f>
        <v>France</v>
      </c>
      <c r="F275" s="24">
        <v>44876.0</v>
      </c>
      <c r="G275" s="6">
        <v>69.0</v>
      </c>
      <c r="H275" s="9" t="str">
        <f>VLOOKUP(revenue[productID],products[],2,FALSE)</f>
        <v>Gudbrandsdalsost</v>
      </c>
      <c r="I275" s="9" t="str">
        <f>VLOOKUP(revenue[productID],products[],12,FALSE)</f>
        <v>Dairy Products</v>
      </c>
      <c r="J275" s="9">
        <f>VLOOKUP(revenue[productID],products[],IF(YEAR(revenue[orderDate])=2022,8,IF(YEAR(revenue[orderDate])=2023,9,IF(YEAR(revenue[orderDate])=2024,10,NA))),FALSE)</f>
        <v>20.71216183</v>
      </c>
      <c r="K275" s="9">
        <v>28.8</v>
      </c>
      <c r="L275" s="25">
        <f>(revenue[orderPrice]-revenue[productCost])/revenue[productCost]</f>
        <v>0.3904873977</v>
      </c>
      <c r="M275" s="10">
        <v>18.0</v>
      </c>
      <c r="N275" s="25">
        <v>0.1</v>
      </c>
      <c r="O275" s="9">
        <f>revenue[orderPrice]*revenue[orderQuantity]</f>
        <v>518.4</v>
      </c>
      <c r="P275" s="9">
        <f>revenue[orderTotal]*(1-revenue[discountApllied])</f>
        <v>466.56</v>
      </c>
      <c r="Q275" s="9">
        <f>revenue[revenue]-(revenue[productCost]*revenue[orderQuantity])</f>
        <v>93.7410871</v>
      </c>
      <c r="R275" s="25">
        <f>IFERROR(revenue[profit]/revenue[revenue], 0)</f>
        <v>0.2009196826</v>
      </c>
      <c r="S275" s="9">
        <f>revenue[productCost]*revenue[orderQuantity]</f>
        <v>372.8189129</v>
      </c>
    </row>
    <row r="276" ht="15.75" customHeight="1">
      <c r="A276" s="6">
        <v>10351.0</v>
      </c>
      <c r="B276" s="7" t="s">
        <v>24</v>
      </c>
      <c r="C276" s="24" t="str">
        <f>VLOOKUP(revenue[customerID],customers[],2,FALSE)</f>
        <v>Ernst Handel</v>
      </c>
      <c r="D276" s="24" t="str">
        <f>VLOOKUP(revenue[customerID],customers[],6,FALSE)</f>
        <v>Graz</v>
      </c>
      <c r="E276" s="24" t="str">
        <f>VLOOKUP(revenue[customerID],customers[],9,FALSE)</f>
        <v>Austria</v>
      </c>
      <c r="F276" s="24">
        <v>44876.0</v>
      </c>
      <c r="G276" s="6">
        <v>38.0</v>
      </c>
      <c r="H276" s="9" t="str">
        <f>VLOOKUP(revenue[productID],products[],2,FALSE)</f>
        <v>Côte de Blaye</v>
      </c>
      <c r="I276" s="9" t="str">
        <f>VLOOKUP(revenue[productID],products[],12,FALSE)</f>
        <v>Beverages</v>
      </c>
      <c r="J276" s="9">
        <f>VLOOKUP(revenue[productID],products[],IF(YEAR(revenue[orderDate])=2022,8,IF(YEAR(revenue[orderDate])=2023,9,IF(YEAR(revenue[orderDate])=2024,10,NA))),FALSE)</f>
        <v>133.3740767</v>
      </c>
      <c r="K276" s="9">
        <v>210.8</v>
      </c>
      <c r="L276" s="25">
        <f>(revenue[orderPrice]-revenue[productCost])/revenue[productCost]</f>
        <v>0.5805170327</v>
      </c>
      <c r="M276" s="10">
        <v>20.0</v>
      </c>
      <c r="N276" s="25">
        <v>0.05</v>
      </c>
      <c r="O276" s="9">
        <f>revenue[orderPrice]*revenue[orderQuantity]</f>
        <v>4216</v>
      </c>
      <c r="P276" s="9">
        <f>revenue[orderTotal]*(1-revenue[discountApllied])</f>
        <v>4005.2</v>
      </c>
      <c r="Q276" s="9">
        <f>revenue[revenue]-(revenue[productCost]*revenue[orderQuantity])</f>
        <v>1337.718465</v>
      </c>
      <c r="R276" s="25">
        <f>IFERROR(revenue[profit]/revenue[revenue], 0)</f>
        <v>0.3339954223</v>
      </c>
      <c r="S276" s="9">
        <f>revenue[productCost]*revenue[orderQuantity]</f>
        <v>2667.481535</v>
      </c>
    </row>
    <row r="277" ht="15.75" customHeight="1">
      <c r="A277" s="6">
        <v>10351.0</v>
      </c>
      <c r="B277" s="7" t="s">
        <v>24</v>
      </c>
      <c r="C277" s="24" t="str">
        <f>VLOOKUP(revenue[customerID],customers[],2,FALSE)</f>
        <v>Ernst Handel</v>
      </c>
      <c r="D277" s="24" t="str">
        <f>VLOOKUP(revenue[customerID],customers[],6,FALSE)</f>
        <v>Graz</v>
      </c>
      <c r="E277" s="24" t="str">
        <f>VLOOKUP(revenue[customerID],customers[],9,FALSE)</f>
        <v>Austria</v>
      </c>
      <c r="F277" s="24">
        <v>44876.0</v>
      </c>
      <c r="G277" s="6">
        <v>41.0</v>
      </c>
      <c r="H277" s="9" t="str">
        <f>VLOOKUP(revenue[productID],products[],2,FALSE)</f>
        <v>Jack's New England Clam Chowder</v>
      </c>
      <c r="I277" s="9" t="str">
        <f>VLOOKUP(revenue[productID],products[],12,FALSE)</f>
        <v>Seafood</v>
      </c>
      <c r="J277" s="9">
        <f>VLOOKUP(revenue[productID],products[],IF(YEAR(revenue[orderDate])=2022,8,IF(YEAR(revenue[orderDate])=2023,9,IF(YEAR(revenue[orderDate])=2024,10,NA))),FALSE)</f>
        <v>5.170198742</v>
      </c>
      <c r="K277" s="9">
        <v>7.7</v>
      </c>
      <c r="L277" s="25">
        <f>(revenue[orderPrice]-revenue[productCost])/revenue[productCost]</f>
        <v>0.4893044511</v>
      </c>
      <c r="M277" s="10">
        <v>13.0</v>
      </c>
      <c r="N277" s="25">
        <v>0.0</v>
      </c>
      <c r="O277" s="9">
        <f>revenue[orderPrice]*revenue[orderQuantity]</f>
        <v>100.1</v>
      </c>
      <c r="P277" s="9">
        <f>revenue[orderTotal]*(1-revenue[discountApllied])</f>
        <v>100.1</v>
      </c>
      <c r="Q277" s="9">
        <f>revenue[revenue]-(revenue[productCost]*revenue[orderQuantity])</f>
        <v>32.88741635</v>
      </c>
      <c r="R277" s="25">
        <f>IFERROR(revenue[profit]/revenue[revenue], 0)</f>
        <v>0.3285456179</v>
      </c>
      <c r="S277" s="9">
        <f>revenue[productCost]*revenue[orderQuantity]</f>
        <v>67.21258365</v>
      </c>
    </row>
    <row r="278" ht="15.75" customHeight="1">
      <c r="A278" s="6">
        <v>10351.0</v>
      </c>
      <c r="B278" s="7" t="s">
        <v>24</v>
      </c>
      <c r="C278" s="24" t="str">
        <f>VLOOKUP(revenue[customerID],customers[],2,FALSE)</f>
        <v>Ernst Handel</v>
      </c>
      <c r="D278" s="24" t="str">
        <f>VLOOKUP(revenue[customerID],customers[],6,FALSE)</f>
        <v>Graz</v>
      </c>
      <c r="E278" s="24" t="str">
        <f>VLOOKUP(revenue[customerID],customers[],9,FALSE)</f>
        <v>Austria</v>
      </c>
      <c r="F278" s="24">
        <v>44876.0</v>
      </c>
      <c r="G278" s="6">
        <v>44.0</v>
      </c>
      <c r="H278" s="9" t="str">
        <f>VLOOKUP(revenue[productID],products[],2,FALSE)</f>
        <v>Gula Malacca</v>
      </c>
      <c r="I278" s="9" t="str">
        <f>VLOOKUP(revenue[productID],products[],12,FALSE)</f>
        <v>Condiments</v>
      </c>
      <c r="J278" s="9">
        <f>VLOOKUP(revenue[productID],products[],IF(YEAR(revenue[orderDate])=2022,8,IF(YEAR(revenue[orderDate])=2023,9,IF(YEAR(revenue[orderDate])=2024,10,NA))),FALSE)</f>
        <v>10.65165145</v>
      </c>
      <c r="K278" s="9">
        <v>15.5</v>
      </c>
      <c r="L278" s="25">
        <f>(revenue[orderPrice]-revenue[productCost])/revenue[productCost]</f>
        <v>0.4551734138</v>
      </c>
      <c r="M278" s="10">
        <v>77.0</v>
      </c>
      <c r="N278" s="25">
        <v>0.05</v>
      </c>
      <c r="O278" s="9">
        <f>revenue[orderPrice]*revenue[orderQuantity]</f>
        <v>1193.5</v>
      </c>
      <c r="P278" s="9">
        <f>revenue[orderTotal]*(1-revenue[discountApllied])</f>
        <v>1133.825</v>
      </c>
      <c r="Q278" s="9">
        <f>revenue[revenue]-(revenue[productCost]*revenue[orderQuantity])</f>
        <v>313.6478385</v>
      </c>
      <c r="R278" s="25">
        <f>IFERROR(revenue[profit]/revenue[revenue], 0)</f>
        <v>0.276628085</v>
      </c>
      <c r="S278" s="9">
        <f>revenue[productCost]*revenue[orderQuantity]</f>
        <v>820.1771615</v>
      </c>
    </row>
    <row r="279" ht="15.75" customHeight="1">
      <c r="A279" s="6">
        <v>10351.0</v>
      </c>
      <c r="B279" s="7" t="s">
        <v>24</v>
      </c>
      <c r="C279" s="24" t="str">
        <f>VLOOKUP(revenue[customerID],customers[],2,FALSE)</f>
        <v>Ernst Handel</v>
      </c>
      <c r="D279" s="24" t="str">
        <f>VLOOKUP(revenue[customerID],customers[],6,FALSE)</f>
        <v>Graz</v>
      </c>
      <c r="E279" s="24" t="str">
        <f>VLOOKUP(revenue[customerID],customers[],9,FALSE)</f>
        <v>Austria</v>
      </c>
      <c r="F279" s="24">
        <v>44876.0</v>
      </c>
      <c r="G279" s="6">
        <v>65.0</v>
      </c>
      <c r="H279" s="9" t="str">
        <f>VLOOKUP(revenue[productID],products[],2,FALSE)</f>
        <v>Louisiana Fiery Hot Pepper Sauce</v>
      </c>
      <c r="I279" s="9" t="str">
        <f>VLOOKUP(revenue[productID],products[],12,FALSE)</f>
        <v>Condiments</v>
      </c>
      <c r="J279" s="9">
        <f>VLOOKUP(revenue[productID],products[],IF(YEAR(revenue[orderDate])=2022,8,IF(YEAR(revenue[orderDate])=2023,9,IF(YEAR(revenue[orderDate])=2024,10,NA))),FALSE)</f>
        <v>11.17410204</v>
      </c>
      <c r="K279" s="9">
        <v>16.8</v>
      </c>
      <c r="L279" s="25">
        <f>(revenue[orderPrice]-revenue[productCost])/revenue[productCost]</f>
        <v>0.503476515</v>
      </c>
      <c r="M279" s="10">
        <v>10.0</v>
      </c>
      <c r="N279" s="25">
        <v>0.05</v>
      </c>
      <c r="O279" s="9">
        <f>revenue[orderPrice]*revenue[orderQuantity]</f>
        <v>168</v>
      </c>
      <c r="P279" s="9">
        <f>revenue[orderTotal]*(1-revenue[discountApllied])</f>
        <v>159.6</v>
      </c>
      <c r="Q279" s="9">
        <f>revenue[revenue]-(revenue[productCost]*revenue[orderQuantity])</f>
        <v>47.85897956</v>
      </c>
      <c r="R279" s="25">
        <f>IFERROR(revenue[profit]/revenue[revenue], 0)</f>
        <v>0.299868293</v>
      </c>
      <c r="S279" s="9">
        <f>revenue[productCost]*revenue[orderQuantity]</f>
        <v>111.7410204</v>
      </c>
    </row>
    <row r="280" ht="15.75" customHeight="1">
      <c r="A280" s="6">
        <v>10352.0</v>
      </c>
      <c r="B280" s="7" t="s">
        <v>62</v>
      </c>
      <c r="C280" s="24" t="str">
        <f>VLOOKUP(revenue[customerID],customers[],2,FALSE)</f>
        <v>Furia Bacalhau e Frutos do Mar</v>
      </c>
      <c r="D280" s="24" t="str">
        <f>VLOOKUP(revenue[customerID],customers[],6,FALSE)</f>
        <v>Lisboa</v>
      </c>
      <c r="E280" s="24" t="str">
        <f>VLOOKUP(revenue[customerID],customers[],9,FALSE)</f>
        <v>Portugal</v>
      </c>
      <c r="F280" s="24">
        <v>44877.0</v>
      </c>
      <c r="G280" s="6">
        <v>24.0</v>
      </c>
      <c r="H280" s="9" t="str">
        <f>VLOOKUP(revenue[productID],products[],2,FALSE)</f>
        <v>Brigadeiros Maravilhosos da Lilian</v>
      </c>
      <c r="I280" s="9" t="str">
        <f>VLOOKUP(revenue[productID],products[],12,FALSE)</f>
        <v>Confections</v>
      </c>
      <c r="J280" s="9">
        <f>VLOOKUP(revenue[productID],products[],IF(YEAR(revenue[orderDate])=2022,8,IF(YEAR(revenue[orderDate])=2023,9,IF(YEAR(revenue[orderDate])=2024,10,NA))),FALSE)</f>
        <v>2.68117246</v>
      </c>
      <c r="K280" s="9">
        <v>3.6</v>
      </c>
      <c r="L280" s="25">
        <f>(revenue[orderPrice]-revenue[productCost])/revenue[productCost]</f>
        <v>0.3426961727</v>
      </c>
      <c r="M280" s="10">
        <v>10.0</v>
      </c>
      <c r="N280" s="25">
        <v>0.0</v>
      </c>
      <c r="O280" s="9">
        <f>revenue[orderPrice]*revenue[orderQuantity]</f>
        <v>36</v>
      </c>
      <c r="P280" s="9">
        <f>revenue[orderTotal]*(1-revenue[discountApllied])</f>
        <v>36</v>
      </c>
      <c r="Q280" s="9">
        <f>revenue[revenue]-(revenue[productCost]*revenue[orderQuantity])</f>
        <v>9.188275403</v>
      </c>
      <c r="R280" s="25">
        <f>IFERROR(revenue[profit]/revenue[revenue], 0)</f>
        <v>0.2552298723</v>
      </c>
      <c r="S280" s="9">
        <f>revenue[productCost]*revenue[orderQuantity]</f>
        <v>26.8117246</v>
      </c>
    </row>
    <row r="281" ht="15.75" customHeight="1">
      <c r="A281" s="6">
        <v>10352.0</v>
      </c>
      <c r="B281" s="7" t="s">
        <v>62</v>
      </c>
      <c r="C281" s="24" t="str">
        <f>VLOOKUP(revenue[customerID],customers[],2,FALSE)</f>
        <v>Furia Bacalhau e Frutos do Mar</v>
      </c>
      <c r="D281" s="24" t="str">
        <f>VLOOKUP(revenue[customerID],customers[],6,FALSE)</f>
        <v>Lisboa</v>
      </c>
      <c r="E281" s="24" t="str">
        <f>VLOOKUP(revenue[customerID],customers[],9,FALSE)</f>
        <v>Portugal</v>
      </c>
      <c r="F281" s="24">
        <v>44877.0</v>
      </c>
      <c r="G281" s="6">
        <v>54.0</v>
      </c>
      <c r="H281" s="9" t="str">
        <f>VLOOKUP(revenue[productID],products[],2,FALSE)</f>
        <v>Tourtière</v>
      </c>
      <c r="I281" s="9" t="str">
        <f>VLOOKUP(revenue[productID],products[],12,FALSE)</f>
        <v>Meat/Poultry</v>
      </c>
      <c r="J281" s="9">
        <f>VLOOKUP(revenue[productID],products[],IF(YEAR(revenue[orderDate])=2022,8,IF(YEAR(revenue[orderDate])=2023,9,IF(YEAR(revenue[orderDate])=2024,10,NA))),FALSE)</f>
        <v>4.309848919</v>
      </c>
      <c r="K281" s="9">
        <v>5.9</v>
      </c>
      <c r="L281" s="25">
        <f>(revenue[orderPrice]-revenue[productCost])/revenue[productCost]</f>
        <v>0.3689574996</v>
      </c>
      <c r="M281" s="10">
        <v>20.0</v>
      </c>
      <c r="N281" s="25">
        <v>0.15</v>
      </c>
      <c r="O281" s="9">
        <f>revenue[orderPrice]*revenue[orderQuantity]</f>
        <v>118</v>
      </c>
      <c r="P281" s="9">
        <f>revenue[orderTotal]*(1-revenue[discountApllied])</f>
        <v>100.3</v>
      </c>
      <c r="Q281" s="9">
        <f>revenue[revenue]-(revenue[productCost]*revenue[orderQuantity])</f>
        <v>14.10302161</v>
      </c>
      <c r="R281" s="25">
        <f>IFERROR(revenue[profit]/revenue[revenue], 0)</f>
        <v>0.140608391</v>
      </c>
      <c r="S281" s="9">
        <f>revenue[productCost]*revenue[orderQuantity]</f>
        <v>86.19697839</v>
      </c>
    </row>
    <row r="282" ht="15.75" customHeight="1">
      <c r="A282" s="6">
        <v>10353.0</v>
      </c>
      <c r="B282" s="7" t="s">
        <v>69</v>
      </c>
      <c r="C282" s="24" t="str">
        <f>VLOOKUP(revenue[customerID],customers[],2,FALSE)</f>
        <v>Piccolo und mehr</v>
      </c>
      <c r="D282" s="24" t="str">
        <f>VLOOKUP(revenue[customerID],customers[],6,FALSE)</f>
        <v>Salzburg</v>
      </c>
      <c r="E282" s="24" t="str">
        <f>VLOOKUP(revenue[customerID],customers[],9,FALSE)</f>
        <v>Austria</v>
      </c>
      <c r="F282" s="24">
        <v>44878.0</v>
      </c>
      <c r="G282" s="6">
        <v>11.0</v>
      </c>
      <c r="H282" s="9" t="str">
        <f>VLOOKUP(revenue[productID],products[],2,FALSE)</f>
        <v>Queso Cabrales</v>
      </c>
      <c r="I282" s="9" t="str">
        <f>VLOOKUP(revenue[productID],products[],12,FALSE)</f>
        <v>Dairy Products</v>
      </c>
      <c r="J282" s="9">
        <f>VLOOKUP(revenue[productID],products[],IF(YEAR(revenue[orderDate])=2022,8,IF(YEAR(revenue[orderDate])=2023,9,IF(YEAR(revenue[orderDate])=2024,10,NA))),FALSE)</f>
        <v>10.58231097</v>
      </c>
      <c r="K282" s="9">
        <v>16.8</v>
      </c>
      <c r="L282" s="25">
        <f>(revenue[orderPrice]-revenue[productCost])/revenue[productCost]</f>
        <v>0.5875549344</v>
      </c>
      <c r="M282" s="10">
        <v>12.0</v>
      </c>
      <c r="N282" s="25">
        <v>0.2</v>
      </c>
      <c r="O282" s="9">
        <f>revenue[orderPrice]*revenue[orderQuantity]</f>
        <v>201.6</v>
      </c>
      <c r="P282" s="9">
        <f>revenue[orderTotal]*(1-revenue[discountApllied])</f>
        <v>161.28</v>
      </c>
      <c r="Q282" s="9">
        <f>revenue[revenue]-(revenue[productCost]*revenue[orderQuantity])</f>
        <v>34.29226834</v>
      </c>
      <c r="R282" s="25">
        <f>IFERROR(revenue[profit]/revenue[revenue], 0)</f>
        <v>0.2126256718</v>
      </c>
      <c r="S282" s="9">
        <f>revenue[productCost]*revenue[orderQuantity]</f>
        <v>126.9877317</v>
      </c>
    </row>
    <row r="283" ht="15.75" customHeight="1">
      <c r="A283" s="6">
        <v>10353.0</v>
      </c>
      <c r="B283" s="7" t="s">
        <v>69</v>
      </c>
      <c r="C283" s="24" t="str">
        <f>VLOOKUP(revenue[customerID],customers[],2,FALSE)</f>
        <v>Piccolo und mehr</v>
      </c>
      <c r="D283" s="24" t="str">
        <f>VLOOKUP(revenue[customerID],customers[],6,FALSE)</f>
        <v>Salzburg</v>
      </c>
      <c r="E283" s="24" t="str">
        <f>VLOOKUP(revenue[customerID],customers[],9,FALSE)</f>
        <v>Austria</v>
      </c>
      <c r="F283" s="24">
        <v>44878.0</v>
      </c>
      <c r="G283" s="6">
        <v>38.0</v>
      </c>
      <c r="H283" s="9" t="str">
        <f>VLOOKUP(revenue[productID],products[],2,FALSE)</f>
        <v>Côte de Blaye</v>
      </c>
      <c r="I283" s="9" t="str">
        <f>VLOOKUP(revenue[productID],products[],12,FALSE)</f>
        <v>Beverages</v>
      </c>
      <c r="J283" s="9">
        <f>VLOOKUP(revenue[productID],products[],IF(YEAR(revenue[orderDate])=2022,8,IF(YEAR(revenue[orderDate])=2023,9,IF(YEAR(revenue[orderDate])=2024,10,NA))),FALSE)</f>
        <v>133.3740767</v>
      </c>
      <c r="K283" s="9">
        <v>210.8</v>
      </c>
      <c r="L283" s="25">
        <f>(revenue[orderPrice]-revenue[productCost])/revenue[productCost]</f>
        <v>0.5805170327</v>
      </c>
      <c r="M283" s="10">
        <v>50.0</v>
      </c>
      <c r="N283" s="25">
        <v>0.2</v>
      </c>
      <c r="O283" s="9">
        <f>revenue[orderPrice]*revenue[orderQuantity]</f>
        <v>10540</v>
      </c>
      <c r="P283" s="9">
        <f>revenue[orderTotal]*(1-revenue[discountApllied])</f>
        <v>8432</v>
      </c>
      <c r="Q283" s="9">
        <f>revenue[revenue]-(revenue[productCost]*revenue[orderQuantity])</f>
        <v>1763.296163</v>
      </c>
      <c r="R283" s="25">
        <f>IFERROR(revenue[profit]/revenue[revenue], 0)</f>
        <v>0.2091195639</v>
      </c>
      <c r="S283" s="9">
        <f>revenue[productCost]*revenue[orderQuantity]</f>
        <v>6668.703837</v>
      </c>
    </row>
    <row r="284" ht="15.75" customHeight="1">
      <c r="A284" s="6">
        <v>10354.0</v>
      </c>
      <c r="B284" s="7" t="s">
        <v>58</v>
      </c>
      <c r="C284" s="24" t="str">
        <f>VLOOKUP(revenue[customerID],customers[],2,FALSE)</f>
        <v>Pericles Comidas clásicas</v>
      </c>
      <c r="D284" s="24" t="str">
        <f>VLOOKUP(revenue[customerID],customers[],6,FALSE)</f>
        <v>México D.F.</v>
      </c>
      <c r="E284" s="24" t="str">
        <f>VLOOKUP(revenue[customerID],customers[],9,FALSE)</f>
        <v>Mexico</v>
      </c>
      <c r="F284" s="24">
        <v>44879.0</v>
      </c>
      <c r="G284" s="6">
        <v>1.0</v>
      </c>
      <c r="H284" s="9" t="str">
        <f>VLOOKUP(revenue[productID],products[],2,FALSE)</f>
        <v>Chai</v>
      </c>
      <c r="I284" s="9" t="str">
        <f>VLOOKUP(revenue[productID],products[],12,FALSE)</f>
        <v>Beverages</v>
      </c>
      <c r="J284" s="9">
        <f>VLOOKUP(revenue[productID],products[],IF(YEAR(revenue[orderDate])=2022,8,IF(YEAR(revenue[orderDate])=2023,9,IF(YEAR(revenue[orderDate])=2024,10,NA))),FALSE)</f>
        <v>9.574207217</v>
      </c>
      <c r="K284" s="9">
        <v>14.4</v>
      </c>
      <c r="L284" s="25">
        <f>(revenue[orderPrice]-revenue[productCost])/revenue[productCost]</f>
        <v>0.5040409795</v>
      </c>
      <c r="M284" s="10">
        <v>12.0</v>
      </c>
      <c r="N284" s="25">
        <v>0.0</v>
      </c>
      <c r="O284" s="9">
        <f>revenue[orderPrice]*revenue[orderQuantity]</f>
        <v>172.8</v>
      </c>
      <c r="P284" s="9">
        <f>revenue[orderTotal]*(1-revenue[discountApllied])</f>
        <v>172.8</v>
      </c>
      <c r="Q284" s="9">
        <f>revenue[revenue]-(revenue[productCost]*revenue[orderQuantity])</f>
        <v>57.9095134</v>
      </c>
      <c r="R284" s="25">
        <f>IFERROR(revenue[profit]/revenue[revenue], 0)</f>
        <v>0.3351244989</v>
      </c>
      <c r="S284" s="9">
        <f>revenue[productCost]*revenue[orderQuantity]</f>
        <v>114.8904866</v>
      </c>
    </row>
    <row r="285" ht="15.75" customHeight="1">
      <c r="A285" s="6">
        <v>10354.0</v>
      </c>
      <c r="B285" s="7" t="s">
        <v>58</v>
      </c>
      <c r="C285" s="24" t="str">
        <f>VLOOKUP(revenue[customerID],customers[],2,FALSE)</f>
        <v>Pericles Comidas clásicas</v>
      </c>
      <c r="D285" s="24" t="str">
        <f>VLOOKUP(revenue[customerID],customers[],6,FALSE)</f>
        <v>México D.F.</v>
      </c>
      <c r="E285" s="24" t="str">
        <f>VLOOKUP(revenue[customerID],customers[],9,FALSE)</f>
        <v>Mexico</v>
      </c>
      <c r="F285" s="24">
        <v>44879.0</v>
      </c>
      <c r="G285" s="6">
        <v>29.0</v>
      </c>
      <c r="H285" s="9" t="str">
        <f>VLOOKUP(revenue[productID],products[],2,FALSE)</f>
        <v>Thüringer Rostbratwurst</v>
      </c>
      <c r="I285" s="9" t="str">
        <f>VLOOKUP(revenue[productID],products[],12,FALSE)</f>
        <v>Meat/Poultry</v>
      </c>
      <c r="J285" s="9">
        <f>VLOOKUP(revenue[productID],products[],IF(YEAR(revenue[orderDate])=2022,8,IF(YEAR(revenue[orderDate])=2023,9,IF(YEAR(revenue[orderDate])=2024,10,NA))),FALSE)</f>
        <v>70.25945266</v>
      </c>
      <c r="K285" s="9">
        <v>99.0</v>
      </c>
      <c r="L285" s="25">
        <f>(revenue[orderPrice]-revenue[productCost])/revenue[productCost]</f>
        <v>0.4090630691</v>
      </c>
      <c r="M285" s="10">
        <v>4.0</v>
      </c>
      <c r="N285" s="25">
        <v>0.0</v>
      </c>
      <c r="O285" s="9">
        <f>revenue[orderPrice]*revenue[orderQuantity]</f>
        <v>396</v>
      </c>
      <c r="P285" s="9">
        <f>revenue[orderTotal]*(1-revenue[discountApllied])</f>
        <v>396</v>
      </c>
      <c r="Q285" s="9">
        <f>revenue[revenue]-(revenue[productCost]*revenue[orderQuantity])</f>
        <v>114.9621894</v>
      </c>
      <c r="R285" s="25">
        <f>IFERROR(revenue[profit]/revenue[revenue], 0)</f>
        <v>0.290308559</v>
      </c>
      <c r="S285" s="9">
        <f>revenue[productCost]*revenue[orderQuantity]</f>
        <v>281.0378106</v>
      </c>
    </row>
    <row r="286" ht="15.75" customHeight="1">
      <c r="A286" s="6">
        <v>10355.0</v>
      </c>
      <c r="B286" s="7" t="s">
        <v>70</v>
      </c>
      <c r="C286" s="24" t="str">
        <f>VLOOKUP(revenue[customerID],customers[],2,FALSE)</f>
        <v>Around the Horn</v>
      </c>
      <c r="D286" s="24" t="str">
        <f>VLOOKUP(revenue[customerID],customers[],6,FALSE)</f>
        <v>London</v>
      </c>
      <c r="E286" s="24" t="str">
        <f>VLOOKUP(revenue[customerID],customers[],9,FALSE)</f>
        <v>UK</v>
      </c>
      <c r="F286" s="24">
        <v>44880.0</v>
      </c>
      <c r="G286" s="6">
        <v>24.0</v>
      </c>
      <c r="H286" s="9" t="str">
        <f>VLOOKUP(revenue[productID],products[],2,FALSE)</f>
        <v>Brigadeiros Maravilhosos da Lilian</v>
      </c>
      <c r="I286" s="9" t="str">
        <f>VLOOKUP(revenue[productID],products[],12,FALSE)</f>
        <v>Confections</v>
      </c>
      <c r="J286" s="9">
        <f>VLOOKUP(revenue[productID],products[],IF(YEAR(revenue[orderDate])=2022,8,IF(YEAR(revenue[orderDate])=2023,9,IF(YEAR(revenue[orderDate])=2024,10,NA))),FALSE)</f>
        <v>2.68117246</v>
      </c>
      <c r="K286" s="9">
        <v>3.6</v>
      </c>
      <c r="L286" s="25">
        <f>(revenue[orderPrice]-revenue[productCost])/revenue[productCost]</f>
        <v>0.3426961727</v>
      </c>
      <c r="M286" s="10">
        <v>25.0</v>
      </c>
      <c r="N286" s="25">
        <v>0.0</v>
      </c>
      <c r="O286" s="9">
        <f>revenue[orderPrice]*revenue[orderQuantity]</f>
        <v>90</v>
      </c>
      <c r="P286" s="9">
        <f>revenue[orderTotal]*(1-revenue[discountApllied])</f>
        <v>90</v>
      </c>
      <c r="Q286" s="9">
        <f>revenue[revenue]-(revenue[productCost]*revenue[orderQuantity])</f>
        <v>22.97068851</v>
      </c>
      <c r="R286" s="25">
        <f>IFERROR(revenue[profit]/revenue[revenue], 0)</f>
        <v>0.2552298723</v>
      </c>
      <c r="S286" s="9">
        <f>revenue[productCost]*revenue[orderQuantity]</f>
        <v>67.02931149</v>
      </c>
    </row>
    <row r="287" ht="15.75" customHeight="1">
      <c r="A287" s="6">
        <v>10355.0</v>
      </c>
      <c r="B287" s="7" t="s">
        <v>70</v>
      </c>
      <c r="C287" s="24" t="str">
        <f>VLOOKUP(revenue[customerID],customers[],2,FALSE)</f>
        <v>Around the Horn</v>
      </c>
      <c r="D287" s="24" t="str">
        <f>VLOOKUP(revenue[customerID],customers[],6,FALSE)</f>
        <v>London</v>
      </c>
      <c r="E287" s="24" t="str">
        <f>VLOOKUP(revenue[customerID],customers[],9,FALSE)</f>
        <v>UK</v>
      </c>
      <c r="F287" s="24">
        <v>44880.0</v>
      </c>
      <c r="G287" s="6">
        <v>57.0</v>
      </c>
      <c r="H287" s="9" t="str">
        <f>VLOOKUP(revenue[productID],products[],2,FALSE)</f>
        <v>Ravioli Angelo</v>
      </c>
      <c r="I287" s="9" t="str">
        <f>VLOOKUP(revenue[productID],products[],12,FALSE)</f>
        <v>Grains/Cereals</v>
      </c>
      <c r="J287" s="9">
        <f>VLOOKUP(revenue[productID],products[],IF(YEAR(revenue[orderDate])=2022,8,IF(YEAR(revenue[orderDate])=2023,9,IF(YEAR(revenue[orderDate])=2024,10,NA))),FALSE)</f>
        <v>11.22950766</v>
      </c>
      <c r="K287" s="9">
        <v>15.6</v>
      </c>
      <c r="L287" s="25">
        <f>(revenue[orderPrice]-revenue[productCost])/revenue[productCost]</f>
        <v>0.3891971469</v>
      </c>
      <c r="M287" s="10">
        <v>25.0</v>
      </c>
      <c r="N287" s="25">
        <v>0.0</v>
      </c>
      <c r="O287" s="9">
        <f>revenue[orderPrice]*revenue[orderQuantity]</f>
        <v>390</v>
      </c>
      <c r="P287" s="9">
        <f>revenue[orderTotal]*(1-revenue[discountApllied])</f>
        <v>390</v>
      </c>
      <c r="Q287" s="9">
        <f>revenue[revenue]-(revenue[productCost]*revenue[orderQuantity])</f>
        <v>109.2623085</v>
      </c>
      <c r="R287" s="25">
        <f>IFERROR(revenue[profit]/revenue[revenue], 0)</f>
        <v>0.2801597655</v>
      </c>
      <c r="S287" s="9">
        <f>revenue[productCost]*revenue[orderQuantity]</f>
        <v>280.7376915</v>
      </c>
    </row>
    <row r="288" ht="15.75" customHeight="1">
      <c r="A288" s="6">
        <v>10356.0</v>
      </c>
      <c r="B288" s="7" t="s">
        <v>50</v>
      </c>
      <c r="C288" s="24" t="str">
        <f>VLOOKUP(revenue[customerID],customers[],2,FALSE)</f>
        <v>Die Wandernde Kuh</v>
      </c>
      <c r="D288" s="24" t="str">
        <f>VLOOKUP(revenue[customerID],customers[],6,FALSE)</f>
        <v>Stuttgart</v>
      </c>
      <c r="E288" s="24" t="str">
        <f>VLOOKUP(revenue[customerID],customers[],9,FALSE)</f>
        <v>Germany</v>
      </c>
      <c r="F288" s="24">
        <v>44883.0</v>
      </c>
      <c r="G288" s="6">
        <v>31.0</v>
      </c>
      <c r="H288" s="9" t="str">
        <f>VLOOKUP(revenue[productID],products[],2,FALSE)</f>
        <v>Gorgonzola Telino</v>
      </c>
      <c r="I288" s="9" t="str">
        <f>VLOOKUP(revenue[productID],products[],12,FALSE)</f>
        <v>Dairy Products</v>
      </c>
      <c r="J288" s="9">
        <f>VLOOKUP(revenue[productID],products[],IF(YEAR(revenue[orderDate])=2022,8,IF(YEAR(revenue[orderDate])=2023,9,IF(YEAR(revenue[orderDate])=2024,10,NA))),FALSE)</f>
        <v>6.44031973</v>
      </c>
      <c r="K288" s="9">
        <v>10.0</v>
      </c>
      <c r="L288" s="25">
        <f>(revenue[orderPrice]-revenue[productCost])/revenue[productCost]</f>
        <v>0.5527179425</v>
      </c>
      <c r="M288" s="10">
        <v>30.0</v>
      </c>
      <c r="N288" s="25">
        <v>0.0</v>
      </c>
      <c r="O288" s="9">
        <f>revenue[orderPrice]*revenue[orderQuantity]</f>
        <v>300</v>
      </c>
      <c r="P288" s="9">
        <f>revenue[orderTotal]*(1-revenue[discountApllied])</f>
        <v>300</v>
      </c>
      <c r="Q288" s="9">
        <f>revenue[revenue]-(revenue[productCost]*revenue[orderQuantity])</f>
        <v>106.7904081</v>
      </c>
      <c r="R288" s="25">
        <f>IFERROR(revenue[profit]/revenue[revenue], 0)</f>
        <v>0.355968027</v>
      </c>
      <c r="S288" s="9">
        <f>revenue[productCost]*revenue[orderQuantity]</f>
        <v>193.2095919</v>
      </c>
    </row>
    <row r="289" ht="15.75" customHeight="1">
      <c r="A289" s="6">
        <v>10356.0</v>
      </c>
      <c r="B289" s="7" t="s">
        <v>50</v>
      </c>
      <c r="C289" s="24" t="str">
        <f>VLOOKUP(revenue[customerID],customers[],2,FALSE)</f>
        <v>Die Wandernde Kuh</v>
      </c>
      <c r="D289" s="24" t="str">
        <f>VLOOKUP(revenue[customerID],customers[],6,FALSE)</f>
        <v>Stuttgart</v>
      </c>
      <c r="E289" s="24" t="str">
        <f>VLOOKUP(revenue[customerID],customers[],9,FALSE)</f>
        <v>Germany</v>
      </c>
      <c r="F289" s="24">
        <v>44883.0</v>
      </c>
      <c r="G289" s="6">
        <v>55.0</v>
      </c>
      <c r="H289" s="9" t="str">
        <f>VLOOKUP(revenue[productID],products[],2,FALSE)</f>
        <v>Pâté chinois</v>
      </c>
      <c r="I289" s="9" t="str">
        <f>VLOOKUP(revenue[productID],products[],12,FALSE)</f>
        <v>Meat/Poultry</v>
      </c>
      <c r="J289" s="9">
        <f>VLOOKUP(revenue[productID],products[],IF(YEAR(revenue[orderDate])=2022,8,IF(YEAR(revenue[orderDate])=2023,9,IF(YEAR(revenue[orderDate])=2024,10,NA))),FALSE)</f>
        <v>12.97496052</v>
      </c>
      <c r="K289" s="9">
        <v>19.2</v>
      </c>
      <c r="L289" s="25">
        <f>(revenue[orderPrice]-revenue[productCost])/revenue[productCost]</f>
        <v>0.4797732884</v>
      </c>
      <c r="M289" s="10">
        <v>12.0</v>
      </c>
      <c r="N289" s="25">
        <v>0.0</v>
      </c>
      <c r="O289" s="9">
        <f>revenue[orderPrice]*revenue[orderQuantity]</f>
        <v>230.4</v>
      </c>
      <c r="P289" s="9">
        <f>revenue[orderTotal]*(1-revenue[discountApllied])</f>
        <v>230.4</v>
      </c>
      <c r="Q289" s="9">
        <f>revenue[revenue]-(revenue[productCost]*revenue[orderQuantity])</f>
        <v>74.70047372</v>
      </c>
      <c r="R289" s="25">
        <f>IFERROR(revenue[profit]/revenue[revenue], 0)</f>
        <v>0.3242208061</v>
      </c>
      <c r="S289" s="9">
        <f>revenue[productCost]*revenue[orderQuantity]</f>
        <v>155.6995263</v>
      </c>
    </row>
    <row r="290" ht="15.75" customHeight="1">
      <c r="A290" s="6">
        <v>10356.0</v>
      </c>
      <c r="B290" s="7" t="s">
        <v>50</v>
      </c>
      <c r="C290" s="24" t="str">
        <f>VLOOKUP(revenue[customerID],customers[],2,FALSE)</f>
        <v>Die Wandernde Kuh</v>
      </c>
      <c r="D290" s="24" t="str">
        <f>VLOOKUP(revenue[customerID],customers[],6,FALSE)</f>
        <v>Stuttgart</v>
      </c>
      <c r="E290" s="24" t="str">
        <f>VLOOKUP(revenue[customerID],customers[],9,FALSE)</f>
        <v>Germany</v>
      </c>
      <c r="F290" s="24">
        <v>44883.0</v>
      </c>
      <c r="G290" s="6">
        <v>69.0</v>
      </c>
      <c r="H290" s="9" t="str">
        <f>VLOOKUP(revenue[productID],products[],2,FALSE)</f>
        <v>Gudbrandsdalsost</v>
      </c>
      <c r="I290" s="9" t="str">
        <f>VLOOKUP(revenue[productID],products[],12,FALSE)</f>
        <v>Dairy Products</v>
      </c>
      <c r="J290" s="9">
        <f>VLOOKUP(revenue[productID],products[],IF(YEAR(revenue[orderDate])=2022,8,IF(YEAR(revenue[orderDate])=2023,9,IF(YEAR(revenue[orderDate])=2024,10,NA))),FALSE)</f>
        <v>20.71216183</v>
      </c>
      <c r="K290" s="9">
        <v>28.8</v>
      </c>
      <c r="L290" s="25">
        <f>(revenue[orderPrice]-revenue[productCost])/revenue[productCost]</f>
        <v>0.3904873977</v>
      </c>
      <c r="M290" s="10">
        <v>20.0</v>
      </c>
      <c r="N290" s="25">
        <v>0.0</v>
      </c>
      <c r="O290" s="9">
        <f>revenue[orderPrice]*revenue[orderQuantity]</f>
        <v>576</v>
      </c>
      <c r="P290" s="9">
        <f>revenue[orderTotal]*(1-revenue[discountApllied])</f>
        <v>576</v>
      </c>
      <c r="Q290" s="9">
        <f>revenue[revenue]-(revenue[productCost]*revenue[orderQuantity])</f>
        <v>161.7567634</v>
      </c>
      <c r="R290" s="25">
        <f>IFERROR(revenue[profit]/revenue[revenue], 0)</f>
        <v>0.2808277143</v>
      </c>
      <c r="S290" s="9">
        <f>revenue[productCost]*revenue[orderQuantity]</f>
        <v>414.2432366</v>
      </c>
    </row>
    <row r="291" ht="15.75" customHeight="1">
      <c r="A291" s="6">
        <v>10357.0</v>
      </c>
      <c r="B291" s="7" t="s">
        <v>43</v>
      </c>
      <c r="C291" s="24" t="str">
        <f>VLOOKUP(revenue[customerID],customers[],2,FALSE)</f>
        <v>LILA-Supermercado</v>
      </c>
      <c r="D291" s="24" t="str">
        <f>VLOOKUP(revenue[customerID],customers[],6,FALSE)</f>
        <v>Barquisimeto</v>
      </c>
      <c r="E291" s="24" t="str">
        <f>VLOOKUP(revenue[customerID],customers[],9,FALSE)</f>
        <v>Venezuela</v>
      </c>
      <c r="F291" s="24">
        <v>44884.0</v>
      </c>
      <c r="G291" s="6">
        <v>10.0</v>
      </c>
      <c r="H291" s="9" t="str">
        <f>VLOOKUP(revenue[productID],products[],2,FALSE)</f>
        <v>Ikura</v>
      </c>
      <c r="I291" s="9" t="str">
        <f>VLOOKUP(revenue[productID],products[],12,FALSE)</f>
        <v>Seafood</v>
      </c>
      <c r="J291" s="9">
        <f>VLOOKUP(revenue[productID],products[],IF(YEAR(revenue[orderDate])=2022,8,IF(YEAR(revenue[orderDate])=2023,9,IF(YEAR(revenue[orderDate])=2024,10,NA))),FALSE)</f>
        <v>16.07630731</v>
      </c>
      <c r="K291" s="9">
        <v>24.8</v>
      </c>
      <c r="L291" s="25">
        <f>(revenue[orderPrice]-revenue[productCost])/revenue[productCost]</f>
        <v>0.5426428175</v>
      </c>
      <c r="M291" s="10">
        <v>30.0</v>
      </c>
      <c r="N291" s="25">
        <v>0.2</v>
      </c>
      <c r="O291" s="9">
        <f>revenue[orderPrice]*revenue[orderQuantity]</f>
        <v>744</v>
      </c>
      <c r="P291" s="9">
        <f>revenue[orderTotal]*(1-revenue[discountApllied])</f>
        <v>595.2</v>
      </c>
      <c r="Q291" s="9">
        <f>revenue[revenue]-(revenue[productCost]*revenue[orderQuantity])</f>
        <v>112.9107808</v>
      </c>
      <c r="R291" s="25">
        <f>IFERROR(revenue[profit]/revenue[revenue], 0)</f>
        <v>0.1897022526</v>
      </c>
      <c r="S291" s="9">
        <f>revenue[productCost]*revenue[orderQuantity]</f>
        <v>482.2892192</v>
      </c>
    </row>
    <row r="292" ht="15.75" customHeight="1">
      <c r="A292" s="6">
        <v>10357.0</v>
      </c>
      <c r="B292" s="7" t="s">
        <v>43</v>
      </c>
      <c r="C292" s="24" t="str">
        <f>VLOOKUP(revenue[customerID],customers[],2,FALSE)</f>
        <v>LILA-Supermercado</v>
      </c>
      <c r="D292" s="24" t="str">
        <f>VLOOKUP(revenue[customerID],customers[],6,FALSE)</f>
        <v>Barquisimeto</v>
      </c>
      <c r="E292" s="24" t="str">
        <f>VLOOKUP(revenue[customerID],customers[],9,FALSE)</f>
        <v>Venezuela</v>
      </c>
      <c r="F292" s="24">
        <v>44884.0</v>
      </c>
      <c r="G292" s="6">
        <v>26.0</v>
      </c>
      <c r="H292" s="9" t="str">
        <f>VLOOKUP(revenue[productID],products[],2,FALSE)</f>
        <v>NuNuCa Nuß-Nougat-Creme</v>
      </c>
      <c r="I292" s="9" t="str">
        <f>VLOOKUP(revenue[productID],products[],12,FALSE)</f>
        <v>Confections</v>
      </c>
      <c r="J292" s="9">
        <f>VLOOKUP(revenue[productID],products[],IF(YEAR(revenue[orderDate])=2022,8,IF(YEAR(revenue[orderDate])=2023,9,IF(YEAR(revenue[orderDate])=2024,10,NA))),FALSE)</f>
        <v>17.26675607</v>
      </c>
      <c r="K292" s="9">
        <v>24.9</v>
      </c>
      <c r="L292" s="25">
        <f>(revenue[orderPrice]-revenue[productCost])/revenue[productCost]</f>
        <v>0.442077475</v>
      </c>
      <c r="M292" s="10">
        <v>16.0</v>
      </c>
      <c r="N292" s="25">
        <v>0.0</v>
      </c>
      <c r="O292" s="9">
        <f>revenue[orderPrice]*revenue[orderQuantity]</f>
        <v>398.4</v>
      </c>
      <c r="P292" s="9">
        <f>revenue[orderTotal]*(1-revenue[discountApllied])</f>
        <v>398.4</v>
      </c>
      <c r="Q292" s="9">
        <f>revenue[revenue]-(revenue[productCost]*revenue[orderQuantity])</f>
        <v>122.1319028</v>
      </c>
      <c r="R292" s="25">
        <f>IFERROR(revenue[profit]/revenue[revenue], 0)</f>
        <v>0.306555981</v>
      </c>
      <c r="S292" s="9">
        <f>revenue[productCost]*revenue[orderQuantity]</f>
        <v>276.2680972</v>
      </c>
    </row>
    <row r="293" ht="15.75" customHeight="1">
      <c r="A293" s="6">
        <v>10357.0</v>
      </c>
      <c r="B293" s="7" t="s">
        <v>43</v>
      </c>
      <c r="C293" s="24" t="str">
        <f>VLOOKUP(revenue[customerID],customers[],2,FALSE)</f>
        <v>LILA-Supermercado</v>
      </c>
      <c r="D293" s="24" t="str">
        <f>VLOOKUP(revenue[customerID],customers[],6,FALSE)</f>
        <v>Barquisimeto</v>
      </c>
      <c r="E293" s="24" t="str">
        <f>VLOOKUP(revenue[customerID],customers[],9,FALSE)</f>
        <v>Venezuela</v>
      </c>
      <c r="F293" s="24">
        <v>44884.0</v>
      </c>
      <c r="G293" s="6">
        <v>60.0</v>
      </c>
      <c r="H293" s="9" t="str">
        <f>VLOOKUP(revenue[productID],products[],2,FALSE)</f>
        <v>Camembert Pierrot</v>
      </c>
      <c r="I293" s="9" t="str">
        <f>VLOOKUP(revenue[productID],products[],12,FALSE)</f>
        <v>Dairy Products</v>
      </c>
      <c r="J293" s="9">
        <f>VLOOKUP(revenue[productID],products[],IF(YEAR(revenue[orderDate])=2022,8,IF(YEAR(revenue[orderDate])=2023,9,IF(YEAR(revenue[orderDate])=2024,10,NA))),FALSE)</f>
        <v>17.66563493</v>
      </c>
      <c r="K293" s="9">
        <v>27.2</v>
      </c>
      <c r="L293" s="25">
        <f>(revenue[orderPrice]-revenue[productCost])/revenue[productCost]</f>
        <v>0.5397125612</v>
      </c>
      <c r="M293" s="10">
        <v>8.0</v>
      </c>
      <c r="N293" s="25">
        <v>0.2</v>
      </c>
      <c r="O293" s="9">
        <f>revenue[orderPrice]*revenue[orderQuantity]</f>
        <v>217.6</v>
      </c>
      <c r="P293" s="9">
        <f>revenue[orderTotal]*(1-revenue[discountApllied])</f>
        <v>174.08</v>
      </c>
      <c r="Q293" s="9">
        <f>revenue[revenue]-(revenue[productCost]*revenue[orderQuantity])</f>
        <v>32.75492057</v>
      </c>
      <c r="R293" s="25">
        <f>IFERROR(revenue[profit]/revenue[revenue], 0)</f>
        <v>0.1881601596</v>
      </c>
      <c r="S293" s="9">
        <f>revenue[productCost]*revenue[orderQuantity]</f>
        <v>141.3250794</v>
      </c>
    </row>
    <row r="294" ht="15.75" customHeight="1">
      <c r="A294" s="6">
        <v>10358.0</v>
      </c>
      <c r="B294" s="7" t="s">
        <v>68</v>
      </c>
      <c r="C294" s="24" t="str">
        <f>VLOOKUP(revenue[customerID],customers[],2,FALSE)</f>
        <v>La maison d'Asie</v>
      </c>
      <c r="D294" s="24" t="str">
        <f>VLOOKUP(revenue[customerID],customers[],6,FALSE)</f>
        <v>Toulouse</v>
      </c>
      <c r="E294" s="24" t="str">
        <f>VLOOKUP(revenue[customerID],customers[],9,FALSE)</f>
        <v>France</v>
      </c>
      <c r="F294" s="24">
        <v>44885.0</v>
      </c>
      <c r="G294" s="6">
        <v>24.0</v>
      </c>
      <c r="H294" s="9" t="str">
        <f>VLOOKUP(revenue[productID],products[],2,FALSE)</f>
        <v>Brigadeiros Maravilhosos da Lilian</v>
      </c>
      <c r="I294" s="9" t="str">
        <f>VLOOKUP(revenue[productID],products[],12,FALSE)</f>
        <v>Confections</v>
      </c>
      <c r="J294" s="9">
        <f>VLOOKUP(revenue[productID],products[],IF(YEAR(revenue[orderDate])=2022,8,IF(YEAR(revenue[orderDate])=2023,9,IF(YEAR(revenue[orderDate])=2024,10,NA))),FALSE)</f>
        <v>2.68117246</v>
      </c>
      <c r="K294" s="9">
        <v>3.6</v>
      </c>
      <c r="L294" s="25">
        <f>(revenue[orderPrice]-revenue[productCost])/revenue[productCost]</f>
        <v>0.3426961727</v>
      </c>
      <c r="M294" s="10">
        <v>10.0</v>
      </c>
      <c r="N294" s="25">
        <v>0.05</v>
      </c>
      <c r="O294" s="9">
        <f>revenue[orderPrice]*revenue[orderQuantity]</f>
        <v>36</v>
      </c>
      <c r="P294" s="9">
        <f>revenue[orderTotal]*(1-revenue[discountApllied])</f>
        <v>34.2</v>
      </c>
      <c r="Q294" s="9">
        <f>revenue[revenue]-(revenue[productCost]*revenue[orderQuantity])</f>
        <v>7.388275403</v>
      </c>
      <c r="R294" s="25">
        <f>IFERROR(revenue[profit]/revenue[revenue], 0)</f>
        <v>0.2160314445</v>
      </c>
      <c r="S294" s="9">
        <f>revenue[productCost]*revenue[orderQuantity]</f>
        <v>26.8117246</v>
      </c>
    </row>
    <row r="295" ht="15.75" customHeight="1">
      <c r="A295" s="6">
        <v>10358.0</v>
      </c>
      <c r="B295" s="7" t="s">
        <v>68</v>
      </c>
      <c r="C295" s="24" t="str">
        <f>VLOOKUP(revenue[customerID],customers[],2,FALSE)</f>
        <v>La maison d'Asie</v>
      </c>
      <c r="D295" s="24" t="str">
        <f>VLOOKUP(revenue[customerID],customers[],6,FALSE)</f>
        <v>Toulouse</v>
      </c>
      <c r="E295" s="24" t="str">
        <f>VLOOKUP(revenue[customerID],customers[],9,FALSE)</f>
        <v>France</v>
      </c>
      <c r="F295" s="24">
        <v>44885.0</v>
      </c>
      <c r="G295" s="6">
        <v>34.0</v>
      </c>
      <c r="H295" s="9" t="str">
        <f>VLOOKUP(revenue[productID],products[],2,FALSE)</f>
        <v>Sasquatch Ale</v>
      </c>
      <c r="I295" s="9" t="str">
        <f>VLOOKUP(revenue[productID],products[],12,FALSE)</f>
        <v>Beverages</v>
      </c>
      <c r="J295" s="9">
        <f>VLOOKUP(revenue[productID],products[],IF(YEAR(revenue[orderDate])=2022,8,IF(YEAR(revenue[orderDate])=2023,9,IF(YEAR(revenue[orderDate])=2024,10,NA))),FALSE)</f>
        <v>8.233671911</v>
      </c>
      <c r="K295" s="9">
        <v>11.2</v>
      </c>
      <c r="L295" s="25">
        <f>(revenue[orderPrice]-revenue[productCost])/revenue[productCost]</f>
        <v>0.3602679486</v>
      </c>
      <c r="M295" s="10">
        <v>10.0</v>
      </c>
      <c r="N295" s="25">
        <v>0.05</v>
      </c>
      <c r="O295" s="9">
        <f>revenue[orderPrice]*revenue[orderQuantity]</f>
        <v>112</v>
      </c>
      <c r="P295" s="9">
        <f>revenue[orderTotal]*(1-revenue[discountApllied])</f>
        <v>106.4</v>
      </c>
      <c r="Q295" s="9">
        <f>revenue[revenue]-(revenue[productCost]*revenue[orderQuantity])</f>
        <v>24.06328089</v>
      </c>
      <c r="R295" s="25">
        <f>IFERROR(revenue[profit]/revenue[revenue], 0)</f>
        <v>0.226158655</v>
      </c>
      <c r="S295" s="9">
        <f>revenue[productCost]*revenue[orderQuantity]</f>
        <v>82.33671911</v>
      </c>
    </row>
    <row r="296" ht="15.75" customHeight="1">
      <c r="A296" s="6">
        <v>10358.0</v>
      </c>
      <c r="B296" s="7" t="s">
        <v>68</v>
      </c>
      <c r="C296" s="24" t="str">
        <f>VLOOKUP(revenue[customerID],customers[],2,FALSE)</f>
        <v>La maison d'Asie</v>
      </c>
      <c r="D296" s="24" t="str">
        <f>VLOOKUP(revenue[customerID],customers[],6,FALSE)</f>
        <v>Toulouse</v>
      </c>
      <c r="E296" s="24" t="str">
        <f>VLOOKUP(revenue[customerID],customers[],9,FALSE)</f>
        <v>France</v>
      </c>
      <c r="F296" s="24">
        <v>44885.0</v>
      </c>
      <c r="G296" s="6">
        <v>36.0</v>
      </c>
      <c r="H296" s="9" t="str">
        <f>VLOOKUP(revenue[productID],products[],2,FALSE)</f>
        <v>Inlagd Sill</v>
      </c>
      <c r="I296" s="9" t="str">
        <f>VLOOKUP(revenue[productID],products[],12,FALSE)</f>
        <v>Seafood</v>
      </c>
      <c r="J296" s="9">
        <f>VLOOKUP(revenue[productID],products[],IF(YEAR(revenue[orderDate])=2022,8,IF(YEAR(revenue[orderDate])=2023,9,IF(YEAR(revenue[orderDate])=2024,10,NA))),FALSE)</f>
        <v>9.768238429</v>
      </c>
      <c r="K296" s="9">
        <v>15.2</v>
      </c>
      <c r="L296" s="25">
        <f>(revenue[orderPrice]-revenue[productCost])/revenue[productCost]</f>
        <v>0.5560635738</v>
      </c>
      <c r="M296" s="10">
        <v>20.0</v>
      </c>
      <c r="N296" s="25">
        <v>0.05</v>
      </c>
      <c r="O296" s="9">
        <f>revenue[orderPrice]*revenue[orderQuantity]</f>
        <v>304</v>
      </c>
      <c r="P296" s="9">
        <f>revenue[orderTotal]*(1-revenue[discountApllied])</f>
        <v>288.8</v>
      </c>
      <c r="Q296" s="9">
        <f>revenue[revenue]-(revenue[productCost]*revenue[orderQuantity])</f>
        <v>93.43523141</v>
      </c>
      <c r="R296" s="25">
        <f>IFERROR(revenue[profit]/revenue[revenue], 0)</f>
        <v>0.3235291946</v>
      </c>
      <c r="S296" s="9">
        <f>revenue[productCost]*revenue[orderQuantity]</f>
        <v>195.3647686</v>
      </c>
    </row>
    <row r="297" ht="15.75" customHeight="1">
      <c r="A297" s="6">
        <v>10359.0</v>
      </c>
      <c r="B297" s="7" t="s">
        <v>71</v>
      </c>
      <c r="C297" s="24" t="str">
        <f>VLOOKUP(revenue[customerID],customers[],2,FALSE)</f>
        <v>Seven Seas Imports</v>
      </c>
      <c r="D297" s="24" t="str">
        <f>VLOOKUP(revenue[customerID],customers[],6,FALSE)</f>
        <v>London</v>
      </c>
      <c r="E297" s="24" t="str">
        <f>VLOOKUP(revenue[customerID],customers[],9,FALSE)</f>
        <v>UK</v>
      </c>
      <c r="F297" s="24">
        <v>44886.0</v>
      </c>
      <c r="G297" s="6">
        <v>16.0</v>
      </c>
      <c r="H297" s="9" t="str">
        <f>VLOOKUP(revenue[productID],products[],2,FALSE)</f>
        <v>Pavlova</v>
      </c>
      <c r="I297" s="9" t="str">
        <f>VLOOKUP(revenue[productID],products[],12,FALSE)</f>
        <v>Confections</v>
      </c>
      <c r="J297" s="9">
        <f>VLOOKUP(revenue[productID],products[],IF(YEAR(revenue[orderDate])=2022,8,IF(YEAR(revenue[orderDate])=2023,9,IF(YEAR(revenue[orderDate])=2024,10,NA))),FALSE)</f>
        <v>9.80658008</v>
      </c>
      <c r="K297" s="9">
        <v>13.9</v>
      </c>
      <c r="L297" s="25">
        <f>(revenue[orderPrice]-revenue[productCost])/revenue[productCost]</f>
        <v>0.417415642</v>
      </c>
      <c r="M297" s="10">
        <v>56.0</v>
      </c>
      <c r="N297" s="25">
        <v>0.05</v>
      </c>
      <c r="O297" s="9">
        <f>revenue[orderPrice]*revenue[orderQuantity]</f>
        <v>778.4</v>
      </c>
      <c r="P297" s="9">
        <f>revenue[orderTotal]*(1-revenue[discountApllied])</f>
        <v>739.48</v>
      </c>
      <c r="Q297" s="9">
        <f>revenue[revenue]-(revenue[productCost]*revenue[orderQuantity])</f>
        <v>190.3115155</v>
      </c>
      <c r="R297" s="25">
        <f>IFERROR(revenue[profit]/revenue[revenue], 0)</f>
        <v>0.2573585702</v>
      </c>
      <c r="S297" s="9">
        <f>revenue[productCost]*revenue[orderQuantity]</f>
        <v>549.1684845</v>
      </c>
    </row>
    <row r="298" ht="15.75" customHeight="1">
      <c r="A298" s="6">
        <v>10359.0</v>
      </c>
      <c r="B298" s="7" t="s">
        <v>71</v>
      </c>
      <c r="C298" s="24" t="str">
        <f>VLOOKUP(revenue[customerID],customers[],2,FALSE)</f>
        <v>Seven Seas Imports</v>
      </c>
      <c r="D298" s="24" t="str">
        <f>VLOOKUP(revenue[customerID],customers[],6,FALSE)</f>
        <v>London</v>
      </c>
      <c r="E298" s="24" t="str">
        <f>VLOOKUP(revenue[customerID],customers[],9,FALSE)</f>
        <v>UK</v>
      </c>
      <c r="F298" s="24">
        <v>44886.0</v>
      </c>
      <c r="G298" s="6">
        <v>31.0</v>
      </c>
      <c r="H298" s="9" t="str">
        <f>VLOOKUP(revenue[productID],products[],2,FALSE)</f>
        <v>Gorgonzola Telino</v>
      </c>
      <c r="I298" s="9" t="str">
        <f>VLOOKUP(revenue[productID],products[],12,FALSE)</f>
        <v>Dairy Products</v>
      </c>
      <c r="J298" s="9">
        <f>VLOOKUP(revenue[productID],products[],IF(YEAR(revenue[orderDate])=2022,8,IF(YEAR(revenue[orderDate])=2023,9,IF(YEAR(revenue[orderDate])=2024,10,NA))),FALSE)</f>
        <v>6.44031973</v>
      </c>
      <c r="K298" s="9">
        <v>10.0</v>
      </c>
      <c r="L298" s="25">
        <f>(revenue[orderPrice]-revenue[productCost])/revenue[productCost]</f>
        <v>0.5527179425</v>
      </c>
      <c r="M298" s="10">
        <v>70.0</v>
      </c>
      <c r="N298" s="25">
        <v>0.05</v>
      </c>
      <c r="O298" s="9">
        <f>revenue[orderPrice]*revenue[orderQuantity]</f>
        <v>700</v>
      </c>
      <c r="P298" s="9">
        <f>revenue[orderTotal]*(1-revenue[discountApllied])</f>
        <v>665</v>
      </c>
      <c r="Q298" s="9">
        <f>revenue[revenue]-(revenue[productCost]*revenue[orderQuantity])</f>
        <v>214.1776189</v>
      </c>
      <c r="R298" s="25">
        <f>IFERROR(revenue[profit]/revenue[revenue], 0)</f>
        <v>0.3220716074</v>
      </c>
      <c r="S298" s="9">
        <f>revenue[productCost]*revenue[orderQuantity]</f>
        <v>450.8223811</v>
      </c>
    </row>
    <row r="299" ht="15.75" customHeight="1">
      <c r="A299" s="6">
        <v>10359.0</v>
      </c>
      <c r="B299" s="7" t="s">
        <v>71</v>
      </c>
      <c r="C299" s="24" t="str">
        <f>VLOOKUP(revenue[customerID],customers[],2,FALSE)</f>
        <v>Seven Seas Imports</v>
      </c>
      <c r="D299" s="24" t="str">
        <f>VLOOKUP(revenue[customerID],customers[],6,FALSE)</f>
        <v>London</v>
      </c>
      <c r="E299" s="24" t="str">
        <f>VLOOKUP(revenue[customerID],customers[],9,FALSE)</f>
        <v>UK</v>
      </c>
      <c r="F299" s="24">
        <v>44886.0</v>
      </c>
      <c r="G299" s="6">
        <v>60.0</v>
      </c>
      <c r="H299" s="9" t="str">
        <f>VLOOKUP(revenue[productID],products[],2,FALSE)</f>
        <v>Camembert Pierrot</v>
      </c>
      <c r="I299" s="9" t="str">
        <f>VLOOKUP(revenue[productID],products[],12,FALSE)</f>
        <v>Dairy Products</v>
      </c>
      <c r="J299" s="9">
        <f>VLOOKUP(revenue[productID],products[],IF(YEAR(revenue[orderDate])=2022,8,IF(YEAR(revenue[orderDate])=2023,9,IF(YEAR(revenue[orderDate])=2024,10,NA))),FALSE)</f>
        <v>17.66563493</v>
      </c>
      <c r="K299" s="9">
        <v>27.2</v>
      </c>
      <c r="L299" s="25">
        <f>(revenue[orderPrice]-revenue[productCost])/revenue[productCost]</f>
        <v>0.5397125612</v>
      </c>
      <c r="M299" s="10">
        <v>80.0</v>
      </c>
      <c r="N299" s="25">
        <v>0.05</v>
      </c>
      <c r="O299" s="9">
        <f>revenue[orderPrice]*revenue[orderQuantity]</f>
        <v>2176</v>
      </c>
      <c r="P299" s="9">
        <f>revenue[orderTotal]*(1-revenue[discountApllied])</f>
        <v>2067.2</v>
      </c>
      <c r="Q299" s="9">
        <f>revenue[revenue]-(revenue[productCost]*revenue[orderQuantity])</f>
        <v>653.9492057</v>
      </c>
      <c r="R299" s="25">
        <f>IFERROR(revenue[profit]/revenue[revenue], 0)</f>
        <v>0.3163453975</v>
      </c>
      <c r="S299" s="9">
        <f>revenue[productCost]*revenue[orderQuantity]</f>
        <v>1413.250794</v>
      </c>
    </row>
    <row r="300" ht="15.75" customHeight="1">
      <c r="A300" s="6">
        <v>10360.0</v>
      </c>
      <c r="B300" s="7" t="s">
        <v>30</v>
      </c>
      <c r="C300" s="24" t="str">
        <f>VLOOKUP(revenue[customerID],customers[],2,FALSE)</f>
        <v>Blondesddsl père et fils</v>
      </c>
      <c r="D300" s="24" t="str">
        <f>VLOOKUP(revenue[customerID],customers[],6,FALSE)</f>
        <v>Strasbourg</v>
      </c>
      <c r="E300" s="24" t="str">
        <f>VLOOKUP(revenue[customerID],customers[],9,FALSE)</f>
        <v>France</v>
      </c>
      <c r="F300" s="24">
        <v>44887.0</v>
      </c>
      <c r="G300" s="6">
        <v>28.0</v>
      </c>
      <c r="H300" s="9" t="str">
        <f>VLOOKUP(revenue[productID],products[],2,FALSE)</f>
        <v>Rössle Sauerkraut</v>
      </c>
      <c r="I300" s="9" t="str">
        <f>VLOOKUP(revenue[productID],products[],12,FALSE)</f>
        <v>Produce</v>
      </c>
      <c r="J300" s="9">
        <f>VLOOKUP(revenue[productID],products[],IF(YEAR(revenue[orderDate])=2022,8,IF(YEAR(revenue[orderDate])=2023,9,IF(YEAR(revenue[orderDate])=2024,10,NA))),FALSE)</f>
        <v>27.51992272</v>
      </c>
      <c r="K300" s="9">
        <v>36.4</v>
      </c>
      <c r="L300" s="25">
        <f>(revenue[orderPrice]-revenue[productCost])/revenue[productCost]</f>
        <v>0.3226781326</v>
      </c>
      <c r="M300" s="10">
        <v>30.0</v>
      </c>
      <c r="N300" s="25">
        <v>0.0</v>
      </c>
      <c r="O300" s="9">
        <f>revenue[orderPrice]*revenue[orderQuantity]</f>
        <v>1092</v>
      </c>
      <c r="P300" s="9">
        <f>revenue[orderTotal]*(1-revenue[discountApllied])</f>
        <v>1092</v>
      </c>
      <c r="Q300" s="9">
        <f>revenue[revenue]-(revenue[productCost]*revenue[orderQuantity])</f>
        <v>266.4023183</v>
      </c>
      <c r="R300" s="25">
        <f>IFERROR(revenue[profit]/revenue[revenue], 0)</f>
        <v>0.2439581669</v>
      </c>
      <c r="S300" s="9">
        <f>revenue[productCost]*revenue[orderQuantity]</f>
        <v>825.5976817</v>
      </c>
    </row>
    <row r="301" ht="15.75" customHeight="1">
      <c r="A301" s="6">
        <v>10360.0</v>
      </c>
      <c r="B301" s="7" t="s">
        <v>30</v>
      </c>
      <c r="C301" s="24" t="str">
        <f>VLOOKUP(revenue[customerID],customers[],2,FALSE)</f>
        <v>Blondesddsl père et fils</v>
      </c>
      <c r="D301" s="24" t="str">
        <f>VLOOKUP(revenue[customerID],customers[],6,FALSE)</f>
        <v>Strasbourg</v>
      </c>
      <c r="E301" s="24" t="str">
        <f>VLOOKUP(revenue[customerID],customers[],9,FALSE)</f>
        <v>France</v>
      </c>
      <c r="F301" s="24">
        <v>44887.0</v>
      </c>
      <c r="G301" s="6">
        <v>29.0</v>
      </c>
      <c r="H301" s="9" t="str">
        <f>VLOOKUP(revenue[productID],products[],2,FALSE)</f>
        <v>Thüringer Rostbratwurst</v>
      </c>
      <c r="I301" s="9" t="str">
        <f>VLOOKUP(revenue[productID],products[],12,FALSE)</f>
        <v>Meat/Poultry</v>
      </c>
      <c r="J301" s="9">
        <f>VLOOKUP(revenue[productID],products[],IF(YEAR(revenue[orderDate])=2022,8,IF(YEAR(revenue[orderDate])=2023,9,IF(YEAR(revenue[orderDate])=2024,10,NA))),FALSE)</f>
        <v>70.25945266</v>
      </c>
      <c r="K301" s="9">
        <v>99.0</v>
      </c>
      <c r="L301" s="25">
        <f>(revenue[orderPrice]-revenue[productCost])/revenue[productCost]</f>
        <v>0.4090630691</v>
      </c>
      <c r="M301" s="10">
        <v>35.0</v>
      </c>
      <c r="N301" s="25">
        <v>0.0</v>
      </c>
      <c r="O301" s="9">
        <f>revenue[orderPrice]*revenue[orderQuantity]</f>
        <v>3465</v>
      </c>
      <c r="P301" s="9">
        <f>revenue[orderTotal]*(1-revenue[discountApllied])</f>
        <v>3465</v>
      </c>
      <c r="Q301" s="9">
        <f>revenue[revenue]-(revenue[productCost]*revenue[orderQuantity])</f>
        <v>1005.919157</v>
      </c>
      <c r="R301" s="25">
        <f>IFERROR(revenue[profit]/revenue[revenue], 0)</f>
        <v>0.290308559</v>
      </c>
      <c r="S301" s="9">
        <f>revenue[productCost]*revenue[orderQuantity]</f>
        <v>2459.080843</v>
      </c>
    </row>
    <row r="302" ht="15.75" customHeight="1">
      <c r="A302" s="6">
        <v>10360.0</v>
      </c>
      <c r="B302" s="7" t="s">
        <v>30</v>
      </c>
      <c r="C302" s="24" t="str">
        <f>VLOOKUP(revenue[customerID],customers[],2,FALSE)</f>
        <v>Blondesddsl père et fils</v>
      </c>
      <c r="D302" s="24" t="str">
        <f>VLOOKUP(revenue[customerID],customers[],6,FALSE)</f>
        <v>Strasbourg</v>
      </c>
      <c r="E302" s="24" t="str">
        <f>VLOOKUP(revenue[customerID],customers[],9,FALSE)</f>
        <v>France</v>
      </c>
      <c r="F302" s="24">
        <v>44887.0</v>
      </c>
      <c r="G302" s="6">
        <v>38.0</v>
      </c>
      <c r="H302" s="9" t="str">
        <f>VLOOKUP(revenue[productID],products[],2,FALSE)</f>
        <v>Côte de Blaye</v>
      </c>
      <c r="I302" s="9" t="str">
        <f>VLOOKUP(revenue[productID],products[],12,FALSE)</f>
        <v>Beverages</v>
      </c>
      <c r="J302" s="9">
        <f>VLOOKUP(revenue[productID],products[],IF(YEAR(revenue[orderDate])=2022,8,IF(YEAR(revenue[orderDate])=2023,9,IF(YEAR(revenue[orderDate])=2024,10,NA))),FALSE)</f>
        <v>133.3740767</v>
      </c>
      <c r="K302" s="9">
        <v>210.8</v>
      </c>
      <c r="L302" s="25">
        <f>(revenue[orderPrice]-revenue[productCost])/revenue[productCost]</f>
        <v>0.5805170327</v>
      </c>
      <c r="M302" s="10">
        <v>10.0</v>
      </c>
      <c r="N302" s="25">
        <v>0.0</v>
      </c>
      <c r="O302" s="9">
        <f>revenue[orderPrice]*revenue[orderQuantity]</f>
        <v>2108</v>
      </c>
      <c r="P302" s="9">
        <f>revenue[orderTotal]*(1-revenue[discountApllied])</f>
        <v>2108</v>
      </c>
      <c r="Q302" s="9">
        <f>revenue[revenue]-(revenue[productCost]*revenue[orderQuantity])</f>
        <v>774.2592326</v>
      </c>
      <c r="R302" s="25">
        <f>IFERROR(revenue[profit]/revenue[revenue], 0)</f>
        <v>0.3672956512</v>
      </c>
      <c r="S302" s="9">
        <f>revenue[productCost]*revenue[orderQuantity]</f>
        <v>1333.740767</v>
      </c>
    </row>
    <row r="303" ht="15.75" customHeight="1">
      <c r="A303" s="6">
        <v>10360.0</v>
      </c>
      <c r="B303" s="7" t="s">
        <v>30</v>
      </c>
      <c r="C303" s="24" t="str">
        <f>VLOOKUP(revenue[customerID],customers[],2,FALSE)</f>
        <v>Blondesddsl père et fils</v>
      </c>
      <c r="D303" s="24" t="str">
        <f>VLOOKUP(revenue[customerID],customers[],6,FALSE)</f>
        <v>Strasbourg</v>
      </c>
      <c r="E303" s="24" t="str">
        <f>VLOOKUP(revenue[customerID],customers[],9,FALSE)</f>
        <v>France</v>
      </c>
      <c r="F303" s="24">
        <v>44887.0</v>
      </c>
      <c r="G303" s="6">
        <v>49.0</v>
      </c>
      <c r="H303" s="9" t="str">
        <f>VLOOKUP(revenue[productID],products[],2,FALSE)</f>
        <v>Maxilaku</v>
      </c>
      <c r="I303" s="9" t="str">
        <f>VLOOKUP(revenue[productID],products[],12,FALSE)</f>
        <v>Confections</v>
      </c>
      <c r="J303" s="9">
        <f>VLOOKUP(revenue[productID],products[],IF(YEAR(revenue[orderDate])=2022,8,IF(YEAR(revenue[orderDate])=2023,9,IF(YEAR(revenue[orderDate])=2024,10,NA))),FALSE)</f>
        <v>12.56663579</v>
      </c>
      <c r="K303" s="9">
        <v>16.0</v>
      </c>
      <c r="L303" s="25">
        <f>(revenue[orderPrice]-revenue[productCost])/revenue[productCost]</f>
        <v>0.2732126779</v>
      </c>
      <c r="M303" s="10">
        <v>35.0</v>
      </c>
      <c r="N303" s="25">
        <v>0.0</v>
      </c>
      <c r="O303" s="9">
        <f>revenue[orderPrice]*revenue[orderQuantity]</f>
        <v>560</v>
      </c>
      <c r="P303" s="9">
        <f>revenue[orderTotal]*(1-revenue[discountApllied])</f>
        <v>560</v>
      </c>
      <c r="Q303" s="9">
        <f>revenue[revenue]-(revenue[productCost]*revenue[orderQuantity])</f>
        <v>120.1677475</v>
      </c>
      <c r="R303" s="25">
        <f>IFERROR(revenue[profit]/revenue[revenue], 0)</f>
        <v>0.2145852634</v>
      </c>
      <c r="S303" s="9">
        <f>revenue[productCost]*revenue[orderQuantity]</f>
        <v>439.8322525</v>
      </c>
    </row>
    <row r="304" ht="15.75" customHeight="1">
      <c r="A304" s="6">
        <v>10360.0</v>
      </c>
      <c r="B304" s="7" t="s">
        <v>30</v>
      </c>
      <c r="C304" s="24" t="str">
        <f>VLOOKUP(revenue[customerID],customers[],2,FALSE)</f>
        <v>Blondesddsl père et fils</v>
      </c>
      <c r="D304" s="24" t="str">
        <f>VLOOKUP(revenue[customerID],customers[],6,FALSE)</f>
        <v>Strasbourg</v>
      </c>
      <c r="E304" s="24" t="str">
        <f>VLOOKUP(revenue[customerID],customers[],9,FALSE)</f>
        <v>France</v>
      </c>
      <c r="F304" s="24">
        <v>44887.0</v>
      </c>
      <c r="G304" s="6">
        <v>54.0</v>
      </c>
      <c r="H304" s="9" t="str">
        <f>VLOOKUP(revenue[productID],products[],2,FALSE)</f>
        <v>Tourtière</v>
      </c>
      <c r="I304" s="9" t="str">
        <f>VLOOKUP(revenue[productID],products[],12,FALSE)</f>
        <v>Meat/Poultry</v>
      </c>
      <c r="J304" s="9">
        <f>VLOOKUP(revenue[productID],products[],IF(YEAR(revenue[orderDate])=2022,8,IF(YEAR(revenue[orderDate])=2023,9,IF(YEAR(revenue[orderDate])=2024,10,NA))),FALSE)</f>
        <v>4.309848919</v>
      </c>
      <c r="K304" s="9">
        <v>5.9</v>
      </c>
      <c r="L304" s="25">
        <f>(revenue[orderPrice]-revenue[productCost])/revenue[productCost]</f>
        <v>0.3689574996</v>
      </c>
      <c r="M304" s="10">
        <v>28.0</v>
      </c>
      <c r="N304" s="25">
        <v>0.0</v>
      </c>
      <c r="O304" s="9">
        <f>revenue[orderPrice]*revenue[orderQuantity]</f>
        <v>165.2</v>
      </c>
      <c r="P304" s="9">
        <f>revenue[orderTotal]*(1-revenue[discountApllied])</f>
        <v>165.2</v>
      </c>
      <c r="Q304" s="9">
        <f>revenue[revenue]-(revenue[productCost]*revenue[orderQuantity])</f>
        <v>44.52423026</v>
      </c>
      <c r="R304" s="25">
        <f>IFERROR(revenue[profit]/revenue[revenue], 0)</f>
        <v>0.2695171323</v>
      </c>
      <c r="S304" s="9">
        <f>revenue[productCost]*revenue[orderQuantity]</f>
        <v>120.6757697</v>
      </c>
    </row>
    <row r="305" ht="15.75" customHeight="1">
      <c r="A305" s="6">
        <v>10361.0</v>
      </c>
      <c r="B305" s="7" t="s">
        <v>36</v>
      </c>
      <c r="C305" s="24" t="str">
        <f>VLOOKUP(revenue[customerID],customers[],2,FALSE)</f>
        <v>QUICK-Stop</v>
      </c>
      <c r="D305" s="24" t="str">
        <f>VLOOKUP(revenue[customerID],customers[],6,FALSE)</f>
        <v>Cunewalde</v>
      </c>
      <c r="E305" s="24" t="str">
        <f>VLOOKUP(revenue[customerID],customers[],9,FALSE)</f>
        <v>Germany</v>
      </c>
      <c r="F305" s="24">
        <v>44887.0</v>
      </c>
      <c r="G305" s="6">
        <v>39.0</v>
      </c>
      <c r="H305" s="9" t="str">
        <f>VLOOKUP(revenue[productID],products[],2,FALSE)</f>
        <v>Chartreuse verte</v>
      </c>
      <c r="I305" s="9" t="str">
        <f>VLOOKUP(revenue[productID],products[],12,FALSE)</f>
        <v>Beverages</v>
      </c>
      <c r="J305" s="9">
        <f>VLOOKUP(revenue[productID],products[],IF(YEAR(revenue[orderDate])=2022,8,IF(YEAR(revenue[orderDate])=2023,9,IF(YEAR(revenue[orderDate])=2024,10,NA))),FALSE)</f>
        <v>9.743517226</v>
      </c>
      <c r="K305" s="9">
        <v>14.4</v>
      </c>
      <c r="L305" s="25">
        <f>(revenue[orderPrice]-revenue[productCost])/revenue[productCost]</f>
        <v>0.4779057362</v>
      </c>
      <c r="M305" s="10">
        <v>54.0</v>
      </c>
      <c r="N305" s="25">
        <v>0.1</v>
      </c>
      <c r="O305" s="9">
        <f>revenue[orderPrice]*revenue[orderQuantity]</f>
        <v>777.6</v>
      </c>
      <c r="P305" s="9">
        <f>revenue[orderTotal]*(1-revenue[discountApllied])</f>
        <v>699.84</v>
      </c>
      <c r="Q305" s="9">
        <f>revenue[revenue]-(revenue[productCost]*revenue[orderQuantity])</f>
        <v>173.6900698</v>
      </c>
      <c r="R305" s="25">
        <f>IFERROR(revenue[profit]/revenue[revenue], 0)</f>
        <v>0.2481853992</v>
      </c>
      <c r="S305" s="9">
        <f>revenue[productCost]*revenue[orderQuantity]</f>
        <v>526.1499302</v>
      </c>
    </row>
    <row r="306" ht="15.75" customHeight="1">
      <c r="A306" s="6">
        <v>10361.0</v>
      </c>
      <c r="B306" s="7" t="s">
        <v>36</v>
      </c>
      <c r="C306" s="24" t="str">
        <f>VLOOKUP(revenue[customerID],customers[],2,FALSE)</f>
        <v>QUICK-Stop</v>
      </c>
      <c r="D306" s="24" t="str">
        <f>VLOOKUP(revenue[customerID],customers[],6,FALSE)</f>
        <v>Cunewalde</v>
      </c>
      <c r="E306" s="24" t="str">
        <f>VLOOKUP(revenue[customerID],customers[],9,FALSE)</f>
        <v>Germany</v>
      </c>
      <c r="F306" s="24">
        <v>44887.0</v>
      </c>
      <c r="G306" s="6">
        <v>60.0</v>
      </c>
      <c r="H306" s="9" t="str">
        <f>VLOOKUP(revenue[productID],products[],2,FALSE)</f>
        <v>Camembert Pierrot</v>
      </c>
      <c r="I306" s="9" t="str">
        <f>VLOOKUP(revenue[productID],products[],12,FALSE)</f>
        <v>Dairy Products</v>
      </c>
      <c r="J306" s="9">
        <f>VLOOKUP(revenue[productID],products[],IF(YEAR(revenue[orderDate])=2022,8,IF(YEAR(revenue[orderDate])=2023,9,IF(YEAR(revenue[orderDate])=2024,10,NA))),FALSE)</f>
        <v>17.66563493</v>
      </c>
      <c r="K306" s="9">
        <v>27.2</v>
      </c>
      <c r="L306" s="25">
        <f>(revenue[orderPrice]-revenue[productCost])/revenue[productCost]</f>
        <v>0.5397125612</v>
      </c>
      <c r="M306" s="10">
        <v>55.0</v>
      </c>
      <c r="N306" s="25">
        <v>0.1</v>
      </c>
      <c r="O306" s="9">
        <f>revenue[orderPrice]*revenue[orderQuantity]</f>
        <v>1496</v>
      </c>
      <c r="P306" s="9">
        <f>revenue[orderTotal]*(1-revenue[discountApllied])</f>
        <v>1346.4</v>
      </c>
      <c r="Q306" s="9">
        <f>revenue[revenue]-(revenue[productCost]*revenue[orderQuantity])</f>
        <v>374.790079</v>
      </c>
      <c r="R306" s="25">
        <f>IFERROR(revenue[profit]/revenue[revenue], 0)</f>
        <v>0.2783645863</v>
      </c>
      <c r="S306" s="9">
        <f>revenue[productCost]*revenue[orderQuantity]</f>
        <v>971.609921</v>
      </c>
    </row>
    <row r="307" ht="15.75" customHeight="1">
      <c r="A307" s="6">
        <v>10362.0</v>
      </c>
      <c r="B307" s="7" t="s">
        <v>63</v>
      </c>
      <c r="C307" s="24" t="str">
        <f>VLOOKUP(revenue[customerID],customers[],2,FALSE)</f>
        <v>Bon app'</v>
      </c>
      <c r="D307" s="24" t="str">
        <f>VLOOKUP(revenue[customerID],customers[],6,FALSE)</f>
        <v>Marseille</v>
      </c>
      <c r="E307" s="24" t="str">
        <f>VLOOKUP(revenue[customerID],customers[],9,FALSE)</f>
        <v>France</v>
      </c>
      <c r="F307" s="24">
        <v>44890.0</v>
      </c>
      <c r="G307" s="6">
        <v>25.0</v>
      </c>
      <c r="H307" s="9" t="str">
        <f>VLOOKUP(revenue[productID],products[],2,FALSE)</f>
        <v>HM Köstliche Kaiserschmarrn Knödelchen</v>
      </c>
      <c r="I307" s="9" t="str">
        <f>VLOOKUP(revenue[productID],products[],12,FALSE)</f>
        <v>Confections</v>
      </c>
      <c r="J307" s="9">
        <f>VLOOKUP(revenue[productID],products[],IF(YEAR(revenue[orderDate])=2022,8,IF(YEAR(revenue[orderDate])=2023,9,IF(YEAR(revenue[orderDate])=2024,10,NA))),FALSE)</f>
        <v>7.370046533</v>
      </c>
      <c r="K307" s="9">
        <v>11.2</v>
      </c>
      <c r="L307" s="25">
        <f>(revenue[orderPrice]-revenue[productCost])/revenue[productCost]</f>
        <v>0.5196647605</v>
      </c>
      <c r="M307" s="10">
        <v>50.0</v>
      </c>
      <c r="N307" s="25">
        <v>0.0</v>
      </c>
      <c r="O307" s="9">
        <f>revenue[orderPrice]*revenue[orderQuantity]</f>
        <v>560</v>
      </c>
      <c r="P307" s="9">
        <f>revenue[orderTotal]*(1-revenue[discountApllied])</f>
        <v>560</v>
      </c>
      <c r="Q307" s="9">
        <f>revenue[revenue]-(revenue[productCost]*revenue[orderQuantity])</f>
        <v>191.4976733</v>
      </c>
      <c r="R307" s="25">
        <f>IFERROR(revenue[profit]/revenue[revenue], 0)</f>
        <v>0.3419601309</v>
      </c>
      <c r="S307" s="9">
        <f>revenue[productCost]*revenue[orderQuantity]</f>
        <v>368.5023267</v>
      </c>
    </row>
    <row r="308" ht="15.75" customHeight="1">
      <c r="A308" s="6">
        <v>10362.0</v>
      </c>
      <c r="B308" s="7" t="s">
        <v>63</v>
      </c>
      <c r="C308" s="24" t="str">
        <f>VLOOKUP(revenue[customerID],customers[],2,FALSE)</f>
        <v>Bon app'</v>
      </c>
      <c r="D308" s="24" t="str">
        <f>VLOOKUP(revenue[customerID],customers[],6,FALSE)</f>
        <v>Marseille</v>
      </c>
      <c r="E308" s="24" t="str">
        <f>VLOOKUP(revenue[customerID],customers[],9,FALSE)</f>
        <v>France</v>
      </c>
      <c r="F308" s="24">
        <v>44890.0</v>
      </c>
      <c r="G308" s="6">
        <v>51.0</v>
      </c>
      <c r="H308" s="9" t="str">
        <f>VLOOKUP(revenue[productID],products[],2,FALSE)</f>
        <v>Manjimup Dried Apples</v>
      </c>
      <c r="I308" s="9" t="str">
        <f>VLOOKUP(revenue[productID],products[],12,FALSE)</f>
        <v>Produce</v>
      </c>
      <c r="J308" s="9">
        <f>VLOOKUP(revenue[productID],products[],IF(YEAR(revenue[orderDate])=2022,8,IF(YEAR(revenue[orderDate])=2023,9,IF(YEAR(revenue[orderDate])=2024,10,NA))),FALSE)</f>
        <v>28.87532154</v>
      </c>
      <c r="K308" s="9">
        <v>42.4</v>
      </c>
      <c r="L308" s="25">
        <f>(revenue[orderPrice]-revenue[productCost])/revenue[productCost]</f>
        <v>0.4683819172</v>
      </c>
      <c r="M308" s="10">
        <v>20.0</v>
      </c>
      <c r="N308" s="25">
        <v>0.0</v>
      </c>
      <c r="O308" s="9">
        <f>revenue[orderPrice]*revenue[orderQuantity]</f>
        <v>848</v>
      </c>
      <c r="P308" s="9">
        <f>revenue[orderTotal]*(1-revenue[discountApllied])</f>
        <v>848</v>
      </c>
      <c r="Q308" s="9">
        <f>revenue[revenue]-(revenue[productCost]*revenue[orderQuantity])</f>
        <v>270.4935693</v>
      </c>
      <c r="R308" s="25">
        <f>IFERROR(revenue[profit]/revenue[revenue], 0)</f>
        <v>0.3189782656</v>
      </c>
      <c r="S308" s="9">
        <f>revenue[productCost]*revenue[orderQuantity]</f>
        <v>577.5064307</v>
      </c>
    </row>
    <row r="309" ht="15.75" customHeight="1">
      <c r="A309" s="6">
        <v>10362.0</v>
      </c>
      <c r="B309" s="7" t="s">
        <v>63</v>
      </c>
      <c r="C309" s="24" t="str">
        <f>VLOOKUP(revenue[customerID],customers[],2,FALSE)</f>
        <v>Bon app'</v>
      </c>
      <c r="D309" s="24" t="str">
        <f>VLOOKUP(revenue[customerID],customers[],6,FALSE)</f>
        <v>Marseille</v>
      </c>
      <c r="E309" s="24" t="str">
        <f>VLOOKUP(revenue[customerID],customers[],9,FALSE)</f>
        <v>France</v>
      </c>
      <c r="F309" s="24">
        <v>44890.0</v>
      </c>
      <c r="G309" s="6">
        <v>54.0</v>
      </c>
      <c r="H309" s="9" t="str">
        <f>VLOOKUP(revenue[productID],products[],2,FALSE)</f>
        <v>Tourtière</v>
      </c>
      <c r="I309" s="9" t="str">
        <f>VLOOKUP(revenue[productID],products[],12,FALSE)</f>
        <v>Meat/Poultry</v>
      </c>
      <c r="J309" s="9">
        <f>VLOOKUP(revenue[productID],products[],IF(YEAR(revenue[orderDate])=2022,8,IF(YEAR(revenue[orderDate])=2023,9,IF(YEAR(revenue[orderDate])=2024,10,NA))),FALSE)</f>
        <v>4.309848919</v>
      </c>
      <c r="K309" s="9">
        <v>5.9</v>
      </c>
      <c r="L309" s="25">
        <f>(revenue[orderPrice]-revenue[productCost])/revenue[productCost]</f>
        <v>0.3689574996</v>
      </c>
      <c r="M309" s="10">
        <v>24.0</v>
      </c>
      <c r="N309" s="25">
        <v>0.0</v>
      </c>
      <c r="O309" s="9">
        <f>revenue[orderPrice]*revenue[orderQuantity]</f>
        <v>141.6</v>
      </c>
      <c r="P309" s="9">
        <f>revenue[orderTotal]*(1-revenue[discountApllied])</f>
        <v>141.6</v>
      </c>
      <c r="Q309" s="9">
        <f>revenue[revenue]-(revenue[productCost]*revenue[orderQuantity])</f>
        <v>38.16362594</v>
      </c>
      <c r="R309" s="25">
        <f>IFERROR(revenue[profit]/revenue[revenue], 0)</f>
        <v>0.2695171323</v>
      </c>
      <c r="S309" s="9">
        <f>revenue[productCost]*revenue[orderQuantity]</f>
        <v>103.4363741</v>
      </c>
    </row>
    <row r="310" ht="15.75" customHeight="1">
      <c r="A310" s="6">
        <v>10363.0</v>
      </c>
      <c r="B310" s="7" t="s">
        <v>72</v>
      </c>
      <c r="C310" s="24" t="str">
        <f>VLOOKUP(revenue[customerID],customers[],2,FALSE)</f>
        <v>Drachenblut Delikatessen</v>
      </c>
      <c r="D310" s="24" t="str">
        <f>VLOOKUP(revenue[customerID],customers[],6,FALSE)</f>
        <v>Aachen</v>
      </c>
      <c r="E310" s="24" t="str">
        <f>VLOOKUP(revenue[customerID],customers[],9,FALSE)</f>
        <v>Germany</v>
      </c>
      <c r="F310" s="24">
        <v>44891.0</v>
      </c>
      <c r="G310" s="6">
        <v>31.0</v>
      </c>
      <c r="H310" s="9" t="str">
        <f>VLOOKUP(revenue[productID],products[],2,FALSE)</f>
        <v>Gorgonzola Telino</v>
      </c>
      <c r="I310" s="9" t="str">
        <f>VLOOKUP(revenue[productID],products[],12,FALSE)</f>
        <v>Dairy Products</v>
      </c>
      <c r="J310" s="9">
        <f>VLOOKUP(revenue[productID],products[],IF(YEAR(revenue[orderDate])=2022,8,IF(YEAR(revenue[orderDate])=2023,9,IF(YEAR(revenue[orderDate])=2024,10,NA))),FALSE)</f>
        <v>6.44031973</v>
      </c>
      <c r="K310" s="9">
        <v>10.0</v>
      </c>
      <c r="L310" s="25">
        <f>(revenue[orderPrice]-revenue[productCost])/revenue[productCost]</f>
        <v>0.5527179425</v>
      </c>
      <c r="M310" s="10">
        <v>20.0</v>
      </c>
      <c r="N310" s="25">
        <v>0.0</v>
      </c>
      <c r="O310" s="9">
        <f>revenue[orderPrice]*revenue[orderQuantity]</f>
        <v>200</v>
      </c>
      <c r="P310" s="9">
        <f>revenue[orderTotal]*(1-revenue[discountApllied])</f>
        <v>200</v>
      </c>
      <c r="Q310" s="9">
        <f>revenue[revenue]-(revenue[productCost]*revenue[orderQuantity])</f>
        <v>71.1936054</v>
      </c>
      <c r="R310" s="25">
        <f>IFERROR(revenue[profit]/revenue[revenue], 0)</f>
        <v>0.355968027</v>
      </c>
      <c r="S310" s="9">
        <f>revenue[productCost]*revenue[orderQuantity]</f>
        <v>128.8063946</v>
      </c>
    </row>
    <row r="311" ht="15.75" customHeight="1">
      <c r="A311" s="6">
        <v>10363.0</v>
      </c>
      <c r="B311" s="7" t="s">
        <v>72</v>
      </c>
      <c r="C311" s="24" t="str">
        <f>VLOOKUP(revenue[customerID],customers[],2,FALSE)</f>
        <v>Drachenblut Delikatessen</v>
      </c>
      <c r="D311" s="24" t="str">
        <f>VLOOKUP(revenue[customerID],customers[],6,FALSE)</f>
        <v>Aachen</v>
      </c>
      <c r="E311" s="24" t="str">
        <f>VLOOKUP(revenue[customerID],customers[],9,FALSE)</f>
        <v>Germany</v>
      </c>
      <c r="F311" s="24">
        <v>44891.0</v>
      </c>
      <c r="G311" s="6">
        <v>75.0</v>
      </c>
      <c r="H311" s="9" t="str">
        <f>VLOOKUP(revenue[productID],products[],2,FALSE)</f>
        <v>Rhönbräu Klosterbier</v>
      </c>
      <c r="I311" s="9" t="str">
        <f>VLOOKUP(revenue[productID],products[],12,FALSE)</f>
        <v>Beverages</v>
      </c>
      <c r="J311" s="9">
        <f>VLOOKUP(revenue[productID],products[],IF(YEAR(revenue[orderDate])=2022,8,IF(YEAR(revenue[orderDate])=2023,9,IF(YEAR(revenue[orderDate])=2024,10,NA))),FALSE)</f>
        <v>4.269033823</v>
      </c>
      <c r="K311" s="9">
        <v>6.2</v>
      </c>
      <c r="L311" s="25">
        <f>(revenue[orderPrice]-revenue[productCost])/revenue[productCost]</f>
        <v>0.4523192499</v>
      </c>
      <c r="M311" s="10">
        <v>12.0</v>
      </c>
      <c r="N311" s="25">
        <v>0.0</v>
      </c>
      <c r="O311" s="9">
        <f>revenue[orderPrice]*revenue[orderQuantity]</f>
        <v>74.4</v>
      </c>
      <c r="P311" s="9">
        <f>revenue[orderTotal]*(1-revenue[discountApllied])</f>
        <v>74.4</v>
      </c>
      <c r="Q311" s="9">
        <f>revenue[revenue]-(revenue[productCost]*revenue[orderQuantity])</f>
        <v>23.17159412</v>
      </c>
      <c r="R311" s="25">
        <f>IFERROR(revenue[profit]/revenue[revenue], 0)</f>
        <v>0.3114461575</v>
      </c>
      <c r="S311" s="9">
        <f>revenue[productCost]*revenue[orderQuantity]</f>
        <v>51.22840588</v>
      </c>
    </row>
    <row r="312" ht="15.75" customHeight="1">
      <c r="A312" s="6">
        <v>10363.0</v>
      </c>
      <c r="B312" s="7" t="s">
        <v>72</v>
      </c>
      <c r="C312" s="24" t="str">
        <f>VLOOKUP(revenue[customerID],customers[],2,FALSE)</f>
        <v>Drachenblut Delikatessen</v>
      </c>
      <c r="D312" s="24" t="str">
        <f>VLOOKUP(revenue[customerID],customers[],6,FALSE)</f>
        <v>Aachen</v>
      </c>
      <c r="E312" s="24" t="str">
        <f>VLOOKUP(revenue[customerID],customers[],9,FALSE)</f>
        <v>Germany</v>
      </c>
      <c r="F312" s="24">
        <v>44891.0</v>
      </c>
      <c r="G312" s="6">
        <v>76.0</v>
      </c>
      <c r="H312" s="9" t="str">
        <f>VLOOKUP(revenue[productID],products[],2,FALSE)</f>
        <v>Lakkalikööri</v>
      </c>
      <c r="I312" s="9" t="str">
        <f>VLOOKUP(revenue[productID],products[],12,FALSE)</f>
        <v>Beverages</v>
      </c>
      <c r="J312" s="9">
        <f>VLOOKUP(revenue[productID],products[],IF(YEAR(revenue[orderDate])=2022,8,IF(YEAR(revenue[orderDate])=2023,9,IF(YEAR(revenue[orderDate])=2024,10,NA))),FALSE)</f>
        <v>10.19609256</v>
      </c>
      <c r="K312" s="9">
        <v>14.4</v>
      </c>
      <c r="L312" s="25">
        <f>(revenue[orderPrice]-revenue[productCost])/revenue[productCost]</f>
        <v>0.4123057356</v>
      </c>
      <c r="M312" s="10">
        <v>12.0</v>
      </c>
      <c r="N312" s="25">
        <v>0.0</v>
      </c>
      <c r="O312" s="9">
        <f>revenue[orderPrice]*revenue[orderQuantity]</f>
        <v>172.8</v>
      </c>
      <c r="P312" s="9">
        <f>revenue[orderTotal]*(1-revenue[discountApllied])</f>
        <v>172.8</v>
      </c>
      <c r="Q312" s="9">
        <f>revenue[revenue]-(revenue[productCost]*revenue[orderQuantity])</f>
        <v>50.4468893</v>
      </c>
      <c r="R312" s="25">
        <f>IFERROR(revenue[profit]/revenue[revenue], 0)</f>
        <v>0.2919380168</v>
      </c>
      <c r="S312" s="9">
        <f>revenue[productCost]*revenue[orderQuantity]</f>
        <v>122.3531107</v>
      </c>
    </row>
    <row r="313" ht="15.75" customHeight="1">
      <c r="A313" s="6">
        <v>10364.0</v>
      </c>
      <c r="B313" s="7" t="s">
        <v>73</v>
      </c>
      <c r="C313" s="24" t="str">
        <f>VLOOKUP(revenue[customerID],customers[],2,FALSE)</f>
        <v>Eastern Connection</v>
      </c>
      <c r="D313" s="24" t="str">
        <f>VLOOKUP(revenue[customerID],customers[],6,FALSE)</f>
        <v>London</v>
      </c>
      <c r="E313" s="24" t="str">
        <f>VLOOKUP(revenue[customerID],customers[],9,FALSE)</f>
        <v>UK</v>
      </c>
      <c r="F313" s="24">
        <v>44891.0</v>
      </c>
      <c r="G313" s="6">
        <v>69.0</v>
      </c>
      <c r="H313" s="9" t="str">
        <f>VLOOKUP(revenue[productID],products[],2,FALSE)</f>
        <v>Gudbrandsdalsost</v>
      </c>
      <c r="I313" s="9" t="str">
        <f>VLOOKUP(revenue[productID],products[],12,FALSE)</f>
        <v>Dairy Products</v>
      </c>
      <c r="J313" s="9">
        <f>VLOOKUP(revenue[productID],products[],IF(YEAR(revenue[orderDate])=2022,8,IF(YEAR(revenue[orderDate])=2023,9,IF(YEAR(revenue[orderDate])=2024,10,NA))),FALSE)</f>
        <v>20.71216183</v>
      </c>
      <c r="K313" s="9">
        <v>28.8</v>
      </c>
      <c r="L313" s="25">
        <f>(revenue[orderPrice]-revenue[productCost])/revenue[productCost]</f>
        <v>0.3904873977</v>
      </c>
      <c r="M313" s="10">
        <v>30.0</v>
      </c>
      <c r="N313" s="25">
        <v>0.0</v>
      </c>
      <c r="O313" s="9">
        <f>revenue[orderPrice]*revenue[orderQuantity]</f>
        <v>864</v>
      </c>
      <c r="P313" s="9">
        <f>revenue[orderTotal]*(1-revenue[discountApllied])</f>
        <v>864</v>
      </c>
      <c r="Q313" s="9">
        <f>revenue[revenue]-(revenue[productCost]*revenue[orderQuantity])</f>
        <v>242.6351452</v>
      </c>
      <c r="R313" s="25">
        <f>IFERROR(revenue[profit]/revenue[revenue], 0)</f>
        <v>0.2808277143</v>
      </c>
      <c r="S313" s="9">
        <f>revenue[productCost]*revenue[orderQuantity]</f>
        <v>621.3648548</v>
      </c>
    </row>
    <row r="314" ht="15.75" customHeight="1">
      <c r="A314" s="6">
        <v>10364.0</v>
      </c>
      <c r="B314" s="7" t="s">
        <v>73</v>
      </c>
      <c r="C314" s="24" t="str">
        <f>VLOOKUP(revenue[customerID],customers[],2,FALSE)</f>
        <v>Eastern Connection</v>
      </c>
      <c r="D314" s="24" t="str">
        <f>VLOOKUP(revenue[customerID],customers[],6,FALSE)</f>
        <v>London</v>
      </c>
      <c r="E314" s="24" t="str">
        <f>VLOOKUP(revenue[customerID],customers[],9,FALSE)</f>
        <v>UK</v>
      </c>
      <c r="F314" s="24">
        <v>44891.0</v>
      </c>
      <c r="G314" s="6">
        <v>71.0</v>
      </c>
      <c r="H314" s="9" t="str">
        <f>VLOOKUP(revenue[productID],products[],2,FALSE)</f>
        <v>Flotemysost</v>
      </c>
      <c r="I314" s="9" t="str">
        <f>VLOOKUP(revenue[productID],products[],12,FALSE)</f>
        <v>Dairy Products</v>
      </c>
      <c r="J314" s="9">
        <f>VLOOKUP(revenue[productID],products[],IF(YEAR(revenue[orderDate])=2022,8,IF(YEAR(revenue[orderDate])=2023,9,IF(YEAR(revenue[orderDate])=2024,10,NA))),FALSE)</f>
        <v>12.00719029</v>
      </c>
      <c r="K314" s="9">
        <v>17.2</v>
      </c>
      <c r="L314" s="25">
        <f>(revenue[orderPrice]-revenue[productCost])/revenue[productCost]</f>
        <v>0.4324750075</v>
      </c>
      <c r="M314" s="10">
        <v>5.0</v>
      </c>
      <c r="N314" s="25">
        <v>0.0</v>
      </c>
      <c r="O314" s="9">
        <f>revenue[orderPrice]*revenue[orderQuantity]</f>
        <v>86</v>
      </c>
      <c r="P314" s="9">
        <f>revenue[orderTotal]*(1-revenue[discountApllied])</f>
        <v>86</v>
      </c>
      <c r="Q314" s="9">
        <f>revenue[revenue]-(revenue[productCost]*revenue[orderQuantity])</f>
        <v>25.96404855</v>
      </c>
      <c r="R314" s="25">
        <f>IFERROR(revenue[profit]/revenue[revenue], 0)</f>
        <v>0.3019075413</v>
      </c>
      <c r="S314" s="9">
        <f>revenue[productCost]*revenue[orderQuantity]</f>
        <v>60.03595145</v>
      </c>
    </row>
    <row r="315" ht="15.75" customHeight="1">
      <c r="A315" s="6">
        <v>10365.0</v>
      </c>
      <c r="B315" s="7" t="s">
        <v>74</v>
      </c>
      <c r="C315" s="24" t="str">
        <f>VLOOKUP(revenue[customerID],customers[],2,FALSE)</f>
        <v>Antonio Moreno Taquería</v>
      </c>
      <c r="D315" s="24" t="str">
        <f>VLOOKUP(revenue[customerID],customers[],6,FALSE)</f>
        <v>México D.F.</v>
      </c>
      <c r="E315" s="24" t="str">
        <f>VLOOKUP(revenue[customerID],customers[],9,FALSE)</f>
        <v>Mexico</v>
      </c>
      <c r="F315" s="24">
        <v>44892.0</v>
      </c>
      <c r="G315" s="6">
        <v>11.0</v>
      </c>
      <c r="H315" s="9" t="str">
        <f>VLOOKUP(revenue[productID],products[],2,FALSE)</f>
        <v>Queso Cabrales</v>
      </c>
      <c r="I315" s="9" t="str">
        <f>VLOOKUP(revenue[productID],products[],12,FALSE)</f>
        <v>Dairy Products</v>
      </c>
      <c r="J315" s="9">
        <f>VLOOKUP(revenue[productID],products[],IF(YEAR(revenue[orderDate])=2022,8,IF(YEAR(revenue[orderDate])=2023,9,IF(YEAR(revenue[orderDate])=2024,10,NA))),FALSE)</f>
        <v>10.58231097</v>
      </c>
      <c r="K315" s="9">
        <v>16.8</v>
      </c>
      <c r="L315" s="25">
        <f>(revenue[orderPrice]-revenue[productCost])/revenue[productCost]</f>
        <v>0.5875549344</v>
      </c>
      <c r="M315" s="10">
        <v>24.0</v>
      </c>
      <c r="N315" s="25">
        <v>0.0</v>
      </c>
      <c r="O315" s="9">
        <f>revenue[orderPrice]*revenue[orderQuantity]</f>
        <v>403.2</v>
      </c>
      <c r="P315" s="9">
        <f>revenue[orderTotal]*(1-revenue[discountApllied])</f>
        <v>403.2</v>
      </c>
      <c r="Q315" s="9">
        <f>revenue[revenue]-(revenue[productCost]*revenue[orderQuantity])</f>
        <v>149.2245367</v>
      </c>
      <c r="R315" s="25">
        <f>IFERROR(revenue[profit]/revenue[revenue], 0)</f>
        <v>0.3701005374</v>
      </c>
      <c r="S315" s="9">
        <f>revenue[productCost]*revenue[orderQuantity]</f>
        <v>253.9754633</v>
      </c>
    </row>
    <row r="316" ht="15.75" customHeight="1">
      <c r="A316" s="6">
        <v>10366.0</v>
      </c>
      <c r="B316" s="7" t="s">
        <v>75</v>
      </c>
      <c r="C316" s="24" t="str">
        <f>VLOOKUP(revenue[customerID],customers[],2,FALSE)</f>
        <v>Galería del gastrónomo</v>
      </c>
      <c r="D316" s="24" t="str">
        <f>VLOOKUP(revenue[customerID],customers[],6,FALSE)</f>
        <v>Barcelona</v>
      </c>
      <c r="E316" s="24" t="str">
        <f>VLOOKUP(revenue[customerID],customers[],9,FALSE)</f>
        <v>Spain</v>
      </c>
      <c r="F316" s="24">
        <v>44893.0</v>
      </c>
      <c r="G316" s="6">
        <v>65.0</v>
      </c>
      <c r="H316" s="9" t="str">
        <f>VLOOKUP(revenue[productID],products[],2,FALSE)</f>
        <v>Louisiana Fiery Hot Pepper Sauce</v>
      </c>
      <c r="I316" s="9" t="str">
        <f>VLOOKUP(revenue[productID],products[],12,FALSE)</f>
        <v>Condiments</v>
      </c>
      <c r="J316" s="9">
        <f>VLOOKUP(revenue[productID],products[],IF(YEAR(revenue[orderDate])=2022,8,IF(YEAR(revenue[orderDate])=2023,9,IF(YEAR(revenue[orderDate])=2024,10,NA))),FALSE)</f>
        <v>11.17410204</v>
      </c>
      <c r="K316" s="9">
        <v>16.8</v>
      </c>
      <c r="L316" s="25">
        <f>(revenue[orderPrice]-revenue[productCost])/revenue[productCost]</f>
        <v>0.503476515</v>
      </c>
      <c r="M316" s="10">
        <v>5.0</v>
      </c>
      <c r="N316" s="25">
        <v>0.0</v>
      </c>
      <c r="O316" s="9">
        <f>revenue[orderPrice]*revenue[orderQuantity]</f>
        <v>84</v>
      </c>
      <c r="P316" s="9">
        <f>revenue[orderTotal]*(1-revenue[discountApllied])</f>
        <v>84</v>
      </c>
      <c r="Q316" s="9">
        <f>revenue[revenue]-(revenue[productCost]*revenue[orderQuantity])</f>
        <v>28.12948978</v>
      </c>
      <c r="R316" s="25">
        <f>IFERROR(revenue[profit]/revenue[revenue], 0)</f>
        <v>0.3348748783</v>
      </c>
      <c r="S316" s="9">
        <f>revenue[productCost]*revenue[orderQuantity]</f>
        <v>55.87051022</v>
      </c>
    </row>
    <row r="317" ht="15.75" customHeight="1">
      <c r="A317" s="6">
        <v>10366.0</v>
      </c>
      <c r="B317" s="7" t="s">
        <v>75</v>
      </c>
      <c r="C317" s="24" t="str">
        <f>VLOOKUP(revenue[customerID],customers[],2,FALSE)</f>
        <v>Galería del gastrónomo</v>
      </c>
      <c r="D317" s="24" t="str">
        <f>VLOOKUP(revenue[customerID],customers[],6,FALSE)</f>
        <v>Barcelona</v>
      </c>
      <c r="E317" s="24" t="str">
        <f>VLOOKUP(revenue[customerID],customers[],9,FALSE)</f>
        <v>Spain</v>
      </c>
      <c r="F317" s="24">
        <v>44893.0</v>
      </c>
      <c r="G317" s="6">
        <v>77.0</v>
      </c>
      <c r="H317" s="9" t="str">
        <f>VLOOKUP(revenue[productID],products[],2,FALSE)</f>
        <v>Original Frankfurter grüne Soße</v>
      </c>
      <c r="I317" s="9" t="str">
        <f>VLOOKUP(revenue[productID],products[],12,FALSE)</f>
        <v>Condiments</v>
      </c>
      <c r="J317" s="9">
        <f>VLOOKUP(revenue[productID],products[],IF(YEAR(revenue[orderDate])=2022,8,IF(YEAR(revenue[orderDate])=2023,9,IF(YEAR(revenue[orderDate])=2024,10,NA))),FALSE)</f>
        <v>7.430272842</v>
      </c>
      <c r="K317" s="9">
        <v>10.4</v>
      </c>
      <c r="L317" s="25">
        <f>(revenue[orderPrice]-revenue[productCost])/revenue[productCost]</f>
        <v>0.3996794225</v>
      </c>
      <c r="M317" s="10">
        <v>5.0</v>
      </c>
      <c r="N317" s="25">
        <v>0.0</v>
      </c>
      <c r="O317" s="9">
        <f>revenue[orderPrice]*revenue[orderQuantity]</f>
        <v>52</v>
      </c>
      <c r="P317" s="9">
        <f>revenue[orderTotal]*(1-revenue[discountApllied])</f>
        <v>52</v>
      </c>
      <c r="Q317" s="9">
        <f>revenue[revenue]-(revenue[productCost]*revenue[orderQuantity])</f>
        <v>14.84863579</v>
      </c>
      <c r="R317" s="25">
        <f>IFERROR(revenue[profit]/revenue[revenue], 0)</f>
        <v>0.2855506883</v>
      </c>
      <c r="S317" s="9">
        <f>revenue[productCost]*revenue[orderQuantity]</f>
        <v>37.15136421</v>
      </c>
    </row>
    <row r="318" ht="15.75" customHeight="1">
      <c r="A318" s="6">
        <v>10367.0</v>
      </c>
      <c r="B318" s="7" t="s">
        <v>76</v>
      </c>
      <c r="C318" s="24" t="str">
        <f>VLOOKUP(revenue[customerID],customers[],2,FALSE)</f>
        <v>Vaffeljernet</v>
      </c>
      <c r="D318" s="24" t="str">
        <f>VLOOKUP(revenue[customerID],customers[],6,FALSE)</f>
        <v>Århus</v>
      </c>
      <c r="E318" s="24" t="str">
        <f>VLOOKUP(revenue[customerID],customers[],9,FALSE)</f>
        <v>Denmark</v>
      </c>
      <c r="F318" s="24">
        <v>44893.0</v>
      </c>
      <c r="G318" s="6">
        <v>34.0</v>
      </c>
      <c r="H318" s="9" t="str">
        <f>VLOOKUP(revenue[productID],products[],2,FALSE)</f>
        <v>Sasquatch Ale</v>
      </c>
      <c r="I318" s="9" t="str">
        <f>VLOOKUP(revenue[productID],products[],12,FALSE)</f>
        <v>Beverages</v>
      </c>
      <c r="J318" s="9">
        <f>VLOOKUP(revenue[productID],products[],IF(YEAR(revenue[orderDate])=2022,8,IF(YEAR(revenue[orderDate])=2023,9,IF(YEAR(revenue[orderDate])=2024,10,NA))),FALSE)</f>
        <v>8.233671911</v>
      </c>
      <c r="K318" s="9">
        <v>11.2</v>
      </c>
      <c r="L318" s="25">
        <f>(revenue[orderPrice]-revenue[productCost])/revenue[productCost]</f>
        <v>0.3602679486</v>
      </c>
      <c r="M318" s="10">
        <v>36.0</v>
      </c>
      <c r="N318" s="25">
        <v>0.0</v>
      </c>
      <c r="O318" s="9">
        <f>revenue[orderPrice]*revenue[orderQuantity]</f>
        <v>403.2</v>
      </c>
      <c r="P318" s="9">
        <f>revenue[orderTotal]*(1-revenue[discountApllied])</f>
        <v>403.2</v>
      </c>
      <c r="Q318" s="9">
        <f>revenue[revenue]-(revenue[productCost]*revenue[orderQuantity])</f>
        <v>106.7878112</v>
      </c>
      <c r="R318" s="25">
        <f>IFERROR(revenue[profit]/revenue[revenue], 0)</f>
        <v>0.2648507222</v>
      </c>
      <c r="S318" s="9">
        <f>revenue[productCost]*revenue[orderQuantity]</f>
        <v>296.4121888</v>
      </c>
    </row>
    <row r="319" ht="15.75" customHeight="1">
      <c r="A319" s="6">
        <v>10367.0</v>
      </c>
      <c r="B319" s="7" t="s">
        <v>76</v>
      </c>
      <c r="C319" s="24" t="str">
        <f>VLOOKUP(revenue[customerID],customers[],2,FALSE)</f>
        <v>Vaffeljernet</v>
      </c>
      <c r="D319" s="24" t="str">
        <f>VLOOKUP(revenue[customerID],customers[],6,FALSE)</f>
        <v>Århus</v>
      </c>
      <c r="E319" s="24" t="str">
        <f>VLOOKUP(revenue[customerID],customers[],9,FALSE)</f>
        <v>Denmark</v>
      </c>
      <c r="F319" s="24">
        <v>44893.0</v>
      </c>
      <c r="G319" s="6">
        <v>54.0</v>
      </c>
      <c r="H319" s="9" t="str">
        <f>VLOOKUP(revenue[productID],products[],2,FALSE)</f>
        <v>Tourtière</v>
      </c>
      <c r="I319" s="9" t="str">
        <f>VLOOKUP(revenue[productID],products[],12,FALSE)</f>
        <v>Meat/Poultry</v>
      </c>
      <c r="J319" s="9">
        <f>VLOOKUP(revenue[productID],products[],IF(YEAR(revenue[orderDate])=2022,8,IF(YEAR(revenue[orderDate])=2023,9,IF(YEAR(revenue[orderDate])=2024,10,NA))),FALSE)</f>
        <v>4.309848919</v>
      </c>
      <c r="K319" s="9">
        <v>5.9</v>
      </c>
      <c r="L319" s="25">
        <f>(revenue[orderPrice]-revenue[productCost])/revenue[productCost]</f>
        <v>0.3689574996</v>
      </c>
      <c r="M319" s="10">
        <v>18.0</v>
      </c>
      <c r="N319" s="25">
        <v>0.0</v>
      </c>
      <c r="O319" s="9">
        <f>revenue[orderPrice]*revenue[orderQuantity]</f>
        <v>106.2</v>
      </c>
      <c r="P319" s="9">
        <f>revenue[orderTotal]*(1-revenue[discountApllied])</f>
        <v>106.2</v>
      </c>
      <c r="Q319" s="9">
        <f>revenue[revenue]-(revenue[productCost]*revenue[orderQuantity])</f>
        <v>28.62271945</v>
      </c>
      <c r="R319" s="25">
        <f>IFERROR(revenue[profit]/revenue[revenue], 0)</f>
        <v>0.2695171323</v>
      </c>
      <c r="S319" s="9">
        <f>revenue[productCost]*revenue[orderQuantity]</f>
        <v>77.57728055</v>
      </c>
    </row>
    <row r="320" ht="15.75" customHeight="1">
      <c r="A320" s="6">
        <v>10367.0</v>
      </c>
      <c r="B320" s="7" t="s">
        <v>76</v>
      </c>
      <c r="C320" s="24" t="str">
        <f>VLOOKUP(revenue[customerID],customers[],2,FALSE)</f>
        <v>Vaffeljernet</v>
      </c>
      <c r="D320" s="24" t="str">
        <f>VLOOKUP(revenue[customerID],customers[],6,FALSE)</f>
        <v>Århus</v>
      </c>
      <c r="E320" s="24" t="str">
        <f>VLOOKUP(revenue[customerID],customers[],9,FALSE)</f>
        <v>Denmark</v>
      </c>
      <c r="F320" s="24">
        <v>44893.0</v>
      </c>
      <c r="G320" s="6">
        <v>65.0</v>
      </c>
      <c r="H320" s="9" t="str">
        <f>VLOOKUP(revenue[productID],products[],2,FALSE)</f>
        <v>Louisiana Fiery Hot Pepper Sauce</v>
      </c>
      <c r="I320" s="9" t="str">
        <f>VLOOKUP(revenue[productID],products[],12,FALSE)</f>
        <v>Condiments</v>
      </c>
      <c r="J320" s="9">
        <f>VLOOKUP(revenue[productID],products[],IF(YEAR(revenue[orderDate])=2022,8,IF(YEAR(revenue[orderDate])=2023,9,IF(YEAR(revenue[orderDate])=2024,10,NA))),FALSE)</f>
        <v>11.17410204</v>
      </c>
      <c r="K320" s="9">
        <v>16.8</v>
      </c>
      <c r="L320" s="25">
        <f>(revenue[orderPrice]-revenue[productCost])/revenue[productCost]</f>
        <v>0.503476515</v>
      </c>
      <c r="M320" s="10">
        <v>15.0</v>
      </c>
      <c r="N320" s="25">
        <v>0.0</v>
      </c>
      <c r="O320" s="9">
        <f>revenue[orderPrice]*revenue[orderQuantity]</f>
        <v>252</v>
      </c>
      <c r="P320" s="9">
        <f>revenue[orderTotal]*(1-revenue[discountApllied])</f>
        <v>252</v>
      </c>
      <c r="Q320" s="9">
        <f>revenue[revenue]-(revenue[productCost]*revenue[orderQuantity])</f>
        <v>84.38846934</v>
      </c>
      <c r="R320" s="25">
        <f>IFERROR(revenue[profit]/revenue[revenue], 0)</f>
        <v>0.3348748783</v>
      </c>
      <c r="S320" s="9">
        <f>revenue[productCost]*revenue[orderQuantity]</f>
        <v>167.6115307</v>
      </c>
    </row>
    <row r="321" ht="15.75" customHeight="1">
      <c r="A321" s="6">
        <v>10367.0</v>
      </c>
      <c r="B321" s="7" t="s">
        <v>76</v>
      </c>
      <c r="C321" s="24" t="str">
        <f>VLOOKUP(revenue[customerID],customers[],2,FALSE)</f>
        <v>Vaffeljernet</v>
      </c>
      <c r="D321" s="24" t="str">
        <f>VLOOKUP(revenue[customerID],customers[],6,FALSE)</f>
        <v>Århus</v>
      </c>
      <c r="E321" s="24" t="str">
        <f>VLOOKUP(revenue[customerID],customers[],9,FALSE)</f>
        <v>Denmark</v>
      </c>
      <c r="F321" s="24">
        <v>44893.0</v>
      </c>
      <c r="G321" s="6">
        <v>77.0</v>
      </c>
      <c r="H321" s="9" t="str">
        <f>VLOOKUP(revenue[productID],products[],2,FALSE)</f>
        <v>Original Frankfurter grüne Soße</v>
      </c>
      <c r="I321" s="9" t="str">
        <f>VLOOKUP(revenue[productID],products[],12,FALSE)</f>
        <v>Condiments</v>
      </c>
      <c r="J321" s="9">
        <f>VLOOKUP(revenue[productID],products[],IF(YEAR(revenue[orderDate])=2022,8,IF(YEAR(revenue[orderDate])=2023,9,IF(YEAR(revenue[orderDate])=2024,10,NA))),FALSE)</f>
        <v>7.430272842</v>
      </c>
      <c r="K321" s="9">
        <v>10.4</v>
      </c>
      <c r="L321" s="25">
        <f>(revenue[orderPrice]-revenue[productCost])/revenue[productCost]</f>
        <v>0.3996794225</v>
      </c>
      <c r="M321" s="10">
        <v>7.0</v>
      </c>
      <c r="N321" s="25">
        <v>0.0</v>
      </c>
      <c r="O321" s="9">
        <f>revenue[orderPrice]*revenue[orderQuantity]</f>
        <v>72.8</v>
      </c>
      <c r="P321" s="9">
        <f>revenue[orderTotal]*(1-revenue[discountApllied])</f>
        <v>72.8</v>
      </c>
      <c r="Q321" s="9">
        <f>revenue[revenue]-(revenue[productCost]*revenue[orderQuantity])</f>
        <v>20.78809011</v>
      </c>
      <c r="R321" s="25">
        <f>IFERROR(revenue[profit]/revenue[revenue], 0)</f>
        <v>0.2855506883</v>
      </c>
      <c r="S321" s="9">
        <f>revenue[productCost]*revenue[orderQuantity]</f>
        <v>52.01190989</v>
      </c>
    </row>
    <row r="322" ht="15.75" customHeight="1">
      <c r="A322" s="6">
        <v>10368.0</v>
      </c>
      <c r="B322" s="7" t="s">
        <v>24</v>
      </c>
      <c r="C322" s="24" t="str">
        <f>VLOOKUP(revenue[customerID],customers[],2,FALSE)</f>
        <v>Ernst Handel</v>
      </c>
      <c r="D322" s="24" t="str">
        <f>VLOOKUP(revenue[customerID],customers[],6,FALSE)</f>
        <v>Graz</v>
      </c>
      <c r="E322" s="24" t="str">
        <f>VLOOKUP(revenue[customerID],customers[],9,FALSE)</f>
        <v>Austria</v>
      </c>
      <c r="F322" s="24">
        <v>44894.0</v>
      </c>
      <c r="G322" s="6">
        <v>21.0</v>
      </c>
      <c r="H322" s="9" t="str">
        <f>VLOOKUP(revenue[productID],products[],2,FALSE)</f>
        <v>Sir Rodney's Scones</v>
      </c>
      <c r="I322" s="9" t="str">
        <f>VLOOKUP(revenue[productID],products[],12,FALSE)</f>
        <v>Confections</v>
      </c>
      <c r="J322" s="9">
        <f>VLOOKUP(revenue[productID],products[],IF(YEAR(revenue[orderDate])=2022,8,IF(YEAR(revenue[orderDate])=2023,9,IF(YEAR(revenue[orderDate])=2024,10,NA))),FALSE)</f>
        <v>5.773836452</v>
      </c>
      <c r="K322" s="9">
        <v>8.0</v>
      </c>
      <c r="L322" s="25">
        <f>(revenue[orderPrice]-revenue[productCost])/revenue[productCost]</f>
        <v>0.3855605483</v>
      </c>
      <c r="M322" s="10">
        <v>5.0</v>
      </c>
      <c r="N322" s="25">
        <v>0.1</v>
      </c>
      <c r="O322" s="9">
        <f>revenue[orderPrice]*revenue[orderQuantity]</f>
        <v>40</v>
      </c>
      <c r="P322" s="9">
        <f>revenue[orderTotal]*(1-revenue[discountApllied])</f>
        <v>36</v>
      </c>
      <c r="Q322" s="9">
        <f>revenue[revenue]-(revenue[productCost]*revenue[orderQuantity])</f>
        <v>7.130817741</v>
      </c>
      <c r="R322" s="25">
        <f>IFERROR(revenue[profit]/revenue[revenue], 0)</f>
        <v>0.1980782706</v>
      </c>
      <c r="S322" s="9">
        <f>revenue[productCost]*revenue[orderQuantity]</f>
        <v>28.86918226</v>
      </c>
    </row>
    <row r="323" ht="15.75" customHeight="1">
      <c r="A323" s="6">
        <v>10368.0</v>
      </c>
      <c r="B323" s="7" t="s">
        <v>24</v>
      </c>
      <c r="C323" s="24" t="str">
        <f>VLOOKUP(revenue[customerID],customers[],2,FALSE)</f>
        <v>Ernst Handel</v>
      </c>
      <c r="D323" s="24" t="str">
        <f>VLOOKUP(revenue[customerID],customers[],6,FALSE)</f>
        <v>Graz</v>
      </c>
      <c r="E323" s="24" t="str">
        <f>VLOOKUP(revenue[customerID],customers[],9,FALSE)</f>
        <v>Austria</v>
      </c>
      <c r="F323" s="24">
        <v>44894.0</v>
      </c>
      <c r="G323" s="6">
        <v>28.0</v>
      </c>
      <c r="H323" s="9" t="str">
        <f>VLOOKUP(revenue[productID],products[],2,FALSE)</f>
        <v>Rössle Sauerkraut</v>
      </c>
      <c r="I323" s="9" t="str">
        <f>VLOOKUP(revenue[productID],products[],12,FALSE)</f>
        <v>Produce</v>
      </c>
      <c r="J323" s="9">
        <f>VLOOKUP(revenue[productID],products[],IF(YEAR(revenue[orderDate])=2022,8,IF(YEAR(revenue[orderDate])=2023,9,IF(YEAR(revenue[orderDate])=2024,10,NA))),FALSE)</f>
        <v>27.51992272</v>
      </c>
      <c r="K323" s="9">
        <v>36.4</v>
      </c>
      <c r="L323" s="25">
        <f>(revenue[orderPrice]-revenue[productCost])/revenue[productCost]</f>
        <v>0.3226781326</v>
      </c>
      <c r="M323" s="10">
        <v>13.0</v>
      </c>
      <c r="N323" s="25">
        <v>0.1</v>
      </c>
      <c r="O323" s="9">
        <f>revenue[orderPrice]*revenue[orderQuantity]</f>
        <v>473.2</v>
      </c>
      <c r="P323" s="9">
        <f>revenue[orderTotal]*(1-revenue[discountApllied])</f>
        <v>425.88</v>
      </c>
      <c r="Q323" s="9">
        <f>revenue[revenue]-(revenue[productCost]*revenue[orderQuantity])</f>
        <v>68.12100458</v>
      </c>
      <c r="R323" s="25">
        <f>IFERROR(revenue[profit]/revenue[revenue], 0)</f>
        <v>0.1599535188</v>
      </c>
      <c r="S323" s="9">
        <f>revenue[productCost]*revenue[orderQuantity]</f>
        <v>357.7589954</v>
      </c>
    </row>
    <row r="324" ht="15.75" customHeight="1">
      <c r="A324" s="6">
        <v>10368.0</v>
      </c>
      <c r="B324" s="7" t="s">
        <v>24</v>
      </c>
      <c r="C324" s="24" t="str">
        <f>VLOOKUP(revenue[customerID],customers[],2,FALSE)</f>
        <v>Ernst Handel</v>
      </c>
      <c r="D324" s="24" t="str">
        <f>VLOOKUP(revenue[customerID],customers[],6,FALSE)</f>
        <v>Graz</v>
      </c>
      <c r="E324" s="24" t="str">
        <f>VLOOKUP(revenue[customerID],customers[],9,FALSE)</f>
        <v>Austria</v>
      </c>
      <c r="F324" s="24">
        <v>44894.0</v>
      </c>
      <c r="G324" s="6">
        <v>57.0</v>
      </c>
      <c r="H324" s="9" t="str">
        <f>VLOOKUP(revenue[productID],products[],2,FALSE)</f>
        <v>Ravioli Angelo</v>
      </c>
      <c r="I324" s="9" t="str">
        <f>VLOOKUP(revenue[productID],products[],12,FALSE)</f>
        <v>Grains/Cereals</v>
      </c>
      <c r="J324" s="9">
        <f>VLOOKUP(revenue[productID],products[],IF(YEAR(revenue[orderDate])=2022,8,IF(YEAR(revenue[orderDate])=2023,9,IF(YEAR(revenue[orderDate])=2024,10,NA))),FALSE)</f>
        <v>11.22950766</v>
      </c>
      <c r="K324" s="9">
        <v>15.6</v>
      </c>
      <c r="L324" s="25">
        <f>(revenue[orderPrice]-revenue[productCost])/revenue[productCost]</f>
        <v>0.3891971469</v>
      </c>
      <c r="M324" s="10">
        <v>25.0</v>
      </c>
      <c r="N324" s="25">
        <v>0.0</v>
      </c>
      <c r="O324" s="9">
        <f>revenue[orderPrice]*revenue[orderQuantity]</f>
        <v>390</v>
      </c>
      <c r="P324" s="9">
        <f>revenue[orderTotal]*(1-revenue[discountApllied])</f>
        <v>390</v>
      </c>
      <c r="Q324" s="9">
        <f>revenue[revenue]-(revenue[productCost]*revenue[orderQuantity])</f>
        <v>109.2623085</v>
      </c>
      <c r="R324" s="25">
        <f>IFERROR(revenue[profit]/revenue[revenue], 0)</f>
        <v>0.2801597655</v>
      </c>
      <c r="S324" s="9">
        <f>revenue[productCost]*revenue[orderQuantity]</f>
        <v>280.7376915</v>
      </c>
    </row>
    <row r="325" ht="15.75" customHeight="1">
      <c r="A325" s="6">
        <v>10368.0</v>
      </c>
      <c r="B325" s="7" t="s">
        <v>24</v>
      </c>
      <c r="C325" s="24" t="str">
        <f>VLOOKUP(revenue[customerID],customers[],2,FALSE)</f>
        <v>Ernst Handel</v>
      </c>
      <c r="D325" s="24" t="str">
        <f>VLOOKUP(revenue[customerID],customers[],6,FALSE)</f>
        <v>Graz</v>
      </c>
      <c r="E325" s="24" t="str">
        <f>VLOOKUP(revenue[customerID],customers[],9,FALSE)</f>
        <v>Austria</v>
      </c>
      <c r="F325" s="24">
        <v>44894.0</v>
      </c>
      <c r="G325" s="6">
        <v>64.0</v>
      </c>
      <c r="H325" s="9" t="str">
        <f>VLOOKUP(revenue[productID],products[],2,FALSE)</f>
        <v>Lukas' leckere Sauerteigweggla</v>
      </c>
      <c r="I325" s="9" t="str">
        <f>VLOOKUP(revenue[productID],products[],12,FALSE)</f>
        <v>Grains/Cereals</v>
      </c>
      <c r="J325" s="9">
        <f>VLOOKUP(revenue[productID],products[],IF(YEAR(revenue[orderDate])=2022,8,IF(YEAR(revenue[orderDate])=2023,9,IF(YEAR(revenue[orderDate])=2024,10,NA))),FALSE)</f>
        <v>19.36982257</v>
      </c>
      <c r="K325" s="9">
        <v>26.6</v>
      </c>
      <c r="L325" s="25">
        <f>(revenue[orderPrice]-revenue[productCost])/revenue[productCost]</f>
        <v>0.3732701944</v>
      </c>
      <c r="M325" s="10">
        <v>35.0</v>
      </c>
      <c r="N325" s="25">
        <v>0.1</v>
      </c>
      <c r="O325" s="9">
        <f>revenue[orderPrice]*revenue[orderQuantity]</f>
        <v>931</v>
      </c>
      <c r="P325" s="9">
        <f>revenue[orderTotal]*(1-revenue[discountApllied])</f>
        <v>837.9</v>
      </c>
      <c r="Q325" s="9">
        <f>revenue[revenue]-(revenue[productCost]*revenue[orderQuantity])</f>
        <v>159.9562102</v>
      </c>
      <c r="R325" s="25">
        <f>IFERROR(revenue[profit]/revenue[revenue], 0)</f>
        <v>0.1909013131</v>
      </c>
      <c r="S325" s="9">
        <f>revenue[productCost]*revenue[orderQuantity]</f>
        <v>677.9437898</v>
      </c>
    </row>
    <row r="326" ht="15.75" customHeight="1">
      <c r="A326" s="6">
        <v>10369.0</v>
      </c>
      <c r="B326" s="7" t="s">
        <v>35</v>
      </c>
      <c r="C326" s="24" t="str">
        <f>VLOOKUP(revenue[customerID],customers[],2,FALSE)</f>
        <v>Split Rail Beer &amp; Ale</v>
      </c>
      <c r="D326" s="24" t="str">
        <f>VLOOKUP(revenue[customerID],customers[],6,FALSE)</f>
        <v>Lander</v>
      </c>
      <c r="E326" s="24" t="str">
        <f>VLOOKUP(revenue[customerID],customers[],9,FALSE)</f>
        <v>USA</v>
      </c>
      <c r="F326" s="24">
        <v>44897.0</v>
      </c>
      <c r="G326" s="6">
        <v>29.0</v>
      </c>
      <c r="H326" s="9" t="str">
        <f>VLOOKUP(revenue[productID],products[],2,FALSE)</f>
        <v>Thüringer Rostbratwurst</v>
      </c>
      <c r="I326" s="9" t="str">
        <f>VLOOKUP(revenue[productID],products[],12,FALSE)</f>
        <v>Meat/Poultry</v>
      </c>
      <c r="J326" s="9">
        <f>VLOOKUP(revenue[productID],products[],IF(YEAR(revenue[orderDate])=2022,8,IF(YEAR(revenue[orderDate])=2023,9,IF(YEAR(revenue[orderDate])=2024,10,NA))),FALSE)</f>
        <v>70.25945266</v>
      </c>
      <c r="K326" s="9">
        <v>99.0</v>
      </c>
      <c r="L326" s="25">
        <f>(revenue[orderPrice]-revenue[productCost])/revenue[productCost]</f>
        <v>0.4090630691</v>
      </c>
      <c r="M326" s="10">
        <v>20.0</v>
      </c>
      <c r="N326" s="25">
        <v>0.0</v>
      </c>
      <c r="O326" s="9">
        <f>revenue[orderPrice]*revenue[orderQuantity]</f>
        <v>1980</v>
      </c>
      <c r="P326" s="9">
        <f>revenue[orderTotal]*(1-revenue[discountApllied])</f>
        <v>1980</v>
      </c>
      <c r="Q326" s="9">
        <f>revenue[revenue]-(revenue[productCost]*revenue[orderQuantity])</f>
        <v>574.8109468</v>
      </c>
      <c r="R326" s="25">
        <f>IFERROR(revenue[profit]/revenue[revenue], 0)</f>
        <v>0.290308559</v>
      </c>
      <c r="S326" s="9">
        <f>revenue[productCost]*revenue[orderQuantity]</f>
        <v>1405.189053</v>
      </c>
    </row>
    <row r="327" ht="15.75" customHeight="1">
      <c r="A327" s="6">
        <v>10369.0</v>
      </c>
      <c r="B327" s="7" t="s">
        <v>35</v>
      </c>
      <c r="C327" s="24" t="str">
        <f>VLOOKUP(revenue[customerID],customers[],2,FALSE)</f>
        <v>Split Rail Beer &amp; Ale</v>
      </c>
      <c r="D327" s="24" t="str">
        <f>VLOOKUP(revenue[customerID],customers[],6,FALSE)</f>
        <v>Lander</v>
      </c>
      <c r="E327" s="24" t="str">
        <f>VLOOKUP(revenue[customerID],customers[],9,FALSE)</f>
        <v>USA</v>
      </c>
      <c r="F327" s="24">
        <v>44897.0</v>
      </c>
      <c r="G327" s="6">
        <v>56.0</v>
      </c>
      <c r="H327" s="9" t="str">
        <f>VLOOKUP(revenue[productID],products[],2,FALSE)</f>
        <v>Gnocchi di nonna Alice</v>
      </c>
      <c r="I327" s="9" t="str">
        <f>VLOOKUP(revenue[productID],products[],12,FALSE)</f>
        <v>Grains/Cereals</v>
      </c>
      <c r="J327" s="9">
        <f>VLOOKUP(revenue[productID],products[],IF(YEAR(revenue[orderDate])=2022,8,IF(YEAR(revenue[orderDate])=2023,9,IF(YEAR(revenue[orderDate])=2024,10,NA))),FALSE)</f>
        <v>21.5040056</v>
      </c>
      <c r="K327" s="9">
        <v>30.4</v>
      </c>
      <c r="L327" s="25">
        <f>(revenue[orderPrice]-revenue[productCost])/revenue[productCost]</f>
        <v>0.4136901081</v>
      </c>
      <c r="M327" s="10">
        <v>18.0</v>
      </c>
      <c r="N327" s="25">
        <v>0.25</v>
      </c>
      <c r="O327" s="9">
        <f>revenue[orderPrice]*revenue[orderQuantity]</f>
        <v>547.2</v>
      </c>
      <c r="P327" s="9">
        <f>revenue[orderTotal]*(1-revenue[discountApllied])</f>
        <v>410.4</v>
      </c>
      <c r="Q327" s="9">
        <f>revenue[revenue]-(revenue[productCost]*revenue[orderQuantity])</f>
        <v>23.32789921</v>
      </c>
      <c r="R327" s="25">
        <f>IFERROR(revenue[profit]/revenue[revenue], 0)</f>
        <v>0.05684185967</v>
      </c>
      <c r="S327" s="9">
        <f>revenue[productCost]*revenue[orderQuantity]</f>
        <v>387.0721008</v>
      </c>
    </row>
    <row r="328" ht="15.75" customHeight="1">
      <c r="A328" s="6">
        <v>10370.0</v>
      </c>
      <c r="B328" s="7" t="s">
        <v>20</v>
      </c>
      <c r="C328" s="24" t="str">
        <f>VLOOKUP(revenue[customerID],customers[],2,FALSE)</f>
        <v>Chop-suey Chinese</v>
      </c>
      <c r="D328" s="24" t="str">
        <f>VLOOKUP(revenue[customerID],customers[],6,FALSE)</f>
        <v>Bern</v>
      </c>
      <c r="E328" s="24" t="str">
        <f>VLOOKUP(revenue[customerID],customers[],9,FALSE)</f>
        <v>Switzerland</v>
      </c>
      <c r="F328" s="24">
        <v>44898.0</v>
      </c>
      <c r="G328" s="6">
        <v>1.0</v>
      </c>
      <c r="H328" s="9" t="str">
        <f>VLOOKUP(revenue[productID],products[],2,FALSE)</f>
        <v>Chai</v>
      </c>
      <c r="I328" s="9" t="str">
        <f>VLOOKUP(revenue[productID],products[],12,FALSE)</f>
        <v>Beverages</v>
      </c>
      <c r="J328" s="9">
        <f>VLOOKUP(revenue[productID],products[],IF(YEAR(revenue[orderDate])=2022,8,IF(YEAR(revenue[orderDate])=2023,9,IF(YEAR(revenue[orderDate])=2024,10,NA))),FALSE)</f>
        <v>9.574207217</v>
      </c>
      <c r="K328" s="9">
        <v>14.4</v>
      </c>
      <c r="L328" s="25">
        <f>(revenue[orderPrice]-revenue[productCost])/revenue[productCost]</f>
        <v>0.5040409795</v>
      </c>
      <c r="M328" s="10">
        <v>15.0</v>
      </c>
      <c r="N328" s="25">
        <v>0.15</v>
      </c>
      <c r="O328" s="9">
        <f>revenue[orderPrice]*revenue[orderQuantity]</f>
        <v>216</v>
      </c>
      <c r="P328" s="9">
        <f>revenue[orderTotal]*(1-revenue[discountApllied])</f>
        <v>183.6</v>
      </c>
      <c r="Q328" s="9">
        <f>revenue[revenue]-(revenue[productCost]*revenue[orderQuantity])</f>
        <v>39.98689175</v>
      </c>
      <c r="R328" s="25">
        <f>IFERROR(revenue[profit]/revenue[revenue], 0)</f>
        <v>0.2177935281</v>
      </c>
      <c r="S328" s="9">
        <f>revenue[productCost]*revenue[orderQuantity]</f>
        <v>143.6131082</v>
      </c>
    </row>
    <row r="329" ht="15.75" customHeight="1">
      <c r="A329" s="6">
        <v>10370.0</v>
      </c>
      <c r="B329" s="7" t="s">
        <v>20</v>
      </c>
      <c r="C329" s="24" t="str">
        <f>VLOOKUP(revenue[customerID],customers[],2,FALSE)</f>
        <v>Chop-suey Chinese</v>
      </c>
      <c r="D329" s="24" t="str">
        <f>VLOOKUP(revenue[customerID],customers[],6,FALSE)</f>
        <v>Bern</v>
      </c>
      <c r="E329" s="24" t="str">
        <f>VLOOKUP(revenue[customerID],customers[],9,FALSE)</f>
        <v>Switzerland</v>
      </c>
      <c r="F329" s="24">
        <v>44898.0</v>
      </c>
      <c r="G329" s="6">
        <v>64.0</v>
      </c>
      <c r="H329" s="9" t="str">
        <f>VLOOKUP(revenue[productID],products[],2,FALSE)</f>
        <v>Lukas' leckere Sauerteigweggla</v>
      </c>
      <c r="I329" s="9" t="str">
        <f>VLOOKUP(revenue[productID],products[],12,FALSE)</f>
        <v>Grains/Cereals</v>
      </c>
      <c r="J329" s="9">
        <f>VLOOKUP(revenue[productID],products[],IF(YEAR(revenue[orderDate])=2022,8,IF(YEAR(revenue[orderDate])=2023,9,IF(YEAR(revenue[orderDate])=2024,10,NA))),FALSE)</f>
        <v>19.36982257</v>
      </c>
      <c r="K329" s="9">
        <v>26.6</v>
      </c>
      <c r="L329" s="25">
        <f>(revenue[orderPrice]-revenue[productCost])/revenue[productCost]</f>
        <v>0.3732701944</v>
      </c>
      <c r="M329" s="10">
        <v>30.0</v>
      </c>
      <c r="N329" s="25">
        <v>0.0</v>
      </c>
      <c r="O329" s="9">
        <f>revenue[orderPrice]*revenue[orderQuantity]</f>
        <v>798</v>
      </c>
      <c r="P329" s="9">
        <f>revenue[orderTotal]*(1-revenue[discountApllied])</f>
        <v>798</v>
      </c>
      <c r="Q329" s="9">
        <f>revenue[revenue]-(revenue[productCost]*revenue[orderQuantity])</f>
        <v>216.905323</v>
      </c>
      <c r="R329" s="25">
        <f>IFERROR(revenue[profit]/revenue[revenue], 0)</f>
        <v>0.2718111818</v>
      </c>
      <c r="S329" s="9">
        <f>revenue[productCost]*revenue[orderQuantity]</f>
        <v>581.094677</v>
      </c>
    </row>
    <row r="330" ht="15.75" customHeight="1">
      <c r="A330" s="6">
        <v>10370.0</v>
      </c>
      <c r="B330" s="7" t="s">
        <v>20</v>
      </c>
      <c r="C330" s="24" t="str">
        <f>VLOOKUP(revenue[customerID],customers[],2,FALSE)</f>
        <v>Chop-suey Chinese</v>
      </c>
      <c r="D330" s="24" t="str">
        <f>VLOOKUP(revenue[customerID],customers[],6,FALSE)</f>
        <v>Bern</v>
      </c>
      <c r="E330" s="24" t="str">
        <f>VLOOKUP(revenue[customerID],customers[],9,FALSE)</f>
        <v>Switzerland</v>
      </c>
      <c r="F330" s="24">
        <v>44898.0</v>
      </c>
      <c r="G330" s="6">
        <v>74.0</v>
      </c>
      <c r="H330" s="9" t="str">
        <f>VLOOKUP(revenue[productID],products[],2,FALSE)</f>
        <v>Longlife Tofu</v>
      </c>
      <c r="I330" s="9" t="str">
        <f>VLOOKUP(revenue[productID],products[],12,FALSE)</f>
        <v>Produce</v>
      </c>
      <c r="J330" s="9">
        <f>VLOOKUP(revenue[productID],products[],IF(YEAR(revenue[orderDate])=2022,8,IF(YEAR(revenue[orderDate])=2023,9,IF(YEAR(revenue[orderDate])=2024,10,NA))),FALSE)</f>
        <v>5.667130124</v>
      </c>
      <c r="K330" s="9">
        <v>8.0</v>
      </c>
      <c r="L330" s="25">
        <f>(revenue[orderPrice]-revenue[productCost])/revenue[productCost]</f>
        <v>0.4116492519</v>
      </c>
      <c r="M330" s="10">
        <v>20.0</v>
      </c>
      <c r="N330" s="25">
        <v>0.15</v>
      </c>
      <c r="O330" s="9">
        <f>revenue[orderPrice]*revenue[orderQuantity]</f>
        <v>160</v>
      </c>
      <c r="P330" s="9">
        <f>revenue[orderTotal]*(1-revenue[discountApllied])</f>
        <v>136</v>
      </c>
      <c r="Q330" s="9">
        <f>revenue[revenue]-(revenue[productCost]*revenue[orderQuantity])</f>
        <v>22.65739752</v>
      </c>
      <c r="R330" s="25">
        <f>IFERROR(revenue[profit]/revenue[revenue], 0)</f>
        <v>0.1665985112</v>
      </c>
      <c r="S330" s="9">
        <f>revenue[productCost]*revenue[orderQuantity]</f>
        <v>113.3426025</v>
      </c>
    </row>
    <row r="331" ht="15.75" customHeight="1">
      <c r="A331" s="6">
        <v>10371.0</v>
      </c>
      <c r="B331" s="7" t="s">
        <v>68</v>
      </c>
      <c r="C331" s="24" t="str">
        <f>VLOOKUP(revenue[customerID],customers[],2,FALSE)</f>
        <v>La maison d'Asie</v>
      </c>
      <c r="D331" s="24" t="str">
        <f>VLOOKUP(revenue[customerID],customers[],6,FALSE)</f>
        <v>Toulouse</v>
      </c>
      <c r="E331" s="24" t="str">
        <f>VLOOKUP(revenue[customerID],customers[],9,FALSE)</f>
        <v>France</v>
      </c>
      <c r="F331" s="24">
        <v>44898.0</v>
      </c>
      <c r="G331" s="6">
        <v>36.0</v>
      </c>
      <c r="H331" s="9" t="str">
        <f>VLOOKUP(revenue[productID],products[],2,FALSE)</f>
        <v>Inlagd Sill</v>
      </c>
      <c r="I331" s="9" t="str">
        <f>VLOOKUP(revenue[productID],products[],12,FALSE)</f>
        <v>Seafood</v>
      </c>
      <c r="J331" s="9">
        <f>VLOOKUP(revenue[productID],products[],IF(YEAR(revenue[orderDate])=2022,8,IF(YEAR(revenue[orderDate])=2023,9,IF(YEAR(revenue[orderDate])=2024,10,NA))),FALSE)</f>
        <v>9.768238429</v>
      </c>
      <c r="K331" s="9">
        <v>15.2</v>
      </c>
      <c r="L331" s="25">
        <f>(revenue[orderPrice]-revenue[productCost])/revenue[productCost]</f>
        <v>0.5560635738</v>
      </c>
      <c r="M331" s="10">
        <v>6.0</v>
      </c>
      <c r="N331" s="25">
        <v>0.2</v>
      </c>
      <c r="O331" s="9">
        <f>revenue[orderPrice]*revenue[orderQuantity]</f>
        <v>91.2</v>
      </c>
      <c r="P331" s="9">
        <f>revenue[orderTotal]*(1-revenue[discountApllied])</f>
        <v>72.96</v>
      </c>
      <c r="Q331" s="9">
        <f>revenue[revenue]-(revenue[productCost]*revenue[orderQuantity])</f>
        <v>14.35056942</v>
      </c>
      <c r="R331" s="25">
        <f>IFERROR(revenue[profit]/revenue[revenue], 0)</f>
        <v>0.1966909186</v>
      </c>
      <c r="S331" s="9">
        <f>revenue[productCost]*revenue[orderQuantity]</f>
        <v>58.60943058</v>
      </c>
    </row>
    <row r="332" ht="15.75" customHeight="1">
      <c r="A332" s="6">
        <v>10372.0</v>
      </c>
      <c r="B332" s="7" t="s">
        <v>77</v>
      </c>
      <c r="C332" s="24" t="str">
        <f>VLOOKUP(revenue[customerID],customers[],2,FALSE)</f>
        <v>Queen Cozinha</v>
      </c>
      <c r="D332" s="24" t="str">
        <f>VLOOKUP(revenue[customerID],customers[],6,FALSE)</f>
        <v>Sao Paulo</v>
      </c>
      <c r="E332" s="24" t="str">
        <f>VLOOKUP(revenue[customerID],customers[],9,FALSE)</f>
        <v>Brazil</v>
      </c>
      <c r="F332" s="24">
        <v>44899.0</v>
      </c>
      <c r="G332" s="6">
        <v>20.0</v>
      </c>
      <c r="H332" s="9" t="str">
        <f>VLOOKUP(revenue[productID],products[],2,FALSE)</f>
        <v>Sir Rodney's Marmalade</v>
      </c>
      <c r="I332" s="9" t="str">
        <f>VLOOKUP(revenue[productID],products[],12,FALSE)</f>
        <v>Confections</v>
      </c>
      <c r="J332" s="9">
        <f>VLOOKUP(revenue[productID],products[],IF(YEAR(revenue[orderDate])=2022,8,IF(YEAR(revenue[orderDate])=2023,9,IF(YEAR(revenue[orderDate])=2024,10,NA))),FALSE)</f>
        <v>45.94247438</v>
      </c>
      <c r="K332" s="9">
        <v>64.8</v>
      </c>
      <c r="L332" s="25">
        <f>(revenue[orderPrice]-revenue[productCost])/revenue[productCost]</f>
        <v>0.4104595121</v>
      </c>
      <c r="M332" s="10">
        <v>12.0</v>
      </c>
      <c r="N332" s="25">
        <v>0.25</v>
      </c>
      <c r="O332" s="9">
        <f>revenue[orderPrice]*revenue[orderQuantity]</f>
        <v>777.6</v>
      </c>
      <c r="P332" s="9">
        <f>revenue[orderTotal]*(1-revenue[discountApllied])</f>
        <v>583.2</v>
      </c>
      <c r="Q332" s="9">
        <f>revenue[revenue]-(revenue[productCost]*revenue[orderQuantity])</f>
        <v>31.89030741</v>
      </c>
      <c r="R332" s="25">
        <f>IFERROR(revenue[profit]/revenue[revenue], 0)</f>
        <v>0.05468159707</v>
      </c>
      <c r="S332" s="9">
        <f>revenue[productCost]*revenue[orderQuantity]</f>
        <v>551.3096926</v>
      </c>
    </row>
    <row r="333" ht="15.75" customHeight="1">
      <c r="A333" s="6">
        <v>10372.0</v>
      </c>
      <c r="B333" s="7" t="s">
        <v>77</v>
      </c>
      <c r="C333" s="24" t="str">
        <f>VLOOKUP(revenue[customerID],customers[],2,FALSE)</f>
        <v>Queen Cozinha</v>
      </c>
      <c r="D333" s="24" t="str">
        <f>VLOOKUP(revenue[customerID],customers[],6,FALSE)</f>
        <v>Sao Paulo</v>
      </c>
      <c r="E333" s="24" t="str">
        <f>VLOOKUP(revenue[customerID],customers[],9,FALSE)</f>
        <v>Brazil</v>
      </c>
      <c r="F333" s="24">
        <v>44899.0</v>
      </c>
      <c r="G333" s="6">
        <v>38.0</v>
      </c>
      <c r="H333" s="9" t="str">
        <f>VLOOKUP(revenue[productID],products[],2,FALSE)</f>
        <v>Côte de Blaye</v>
      </c>
      <c r="I333" s="9" t="str">
        <f>VLOOKUP(revenue[productID],products[],12,FALSE)</f>
        <v>Beverages</v>
      </c>
      <c r="J333" s="9">
        <f>VLOOKUP(revenue[productID],products[],IF(YEAR(revenue[orderDate])=2022,8,IF(YEAR(revenue[orderDate])=2023,9,IF(YEAR(revenue[orderDate])=2024,10,NA))),FALSE)</f>
        <v>133.3740767</v>
      </c>
      <c r="K333" s="9">
        <v>210.8</v>
      </c>
      <c r="L333" s="25">
        <f>(revenue[orderPrice]-revenue[productCost])/revenue[productCost]</f>
        <v>0.5805170327</v>
      </c>
      <c r="M333" s="10">
        <v>40.0</v>
      </c>
      <c r="N333" s="25">
        <v>0.25</v>
      </c>
      <c r="O333" s="9">
        <f>revenue[orderPrice]*revenue[orderQuantity]</f>
        <v>8432</v>
      </c>
      <c r="P333" s="9">
        <f>revenue[orderTotal]*(1-revenue[discountApllied])</f>
        <v>6324</v>
      </c>
      <c r="Q333" s="9">
        <f>revenue[revenue]-(revenue[productCost]*revenue[orderQuantity])</f>
        <v>989.0369306</v>
      </c>
      <c r="R333" s="25">
        <f>IFERROR(revenue[profit]/revenue[revenue], 0)</f>
        <v>0.1563942015</v>
      </c>
      <c r="S333" s="9">
        <f>revenue[productCost]*revenue[orderQuantity]</f>
        <v>5334.963069</v>
      </c>
    </row>
    <row r="334" ht="15.75" customHeight="1">
      <c r="A334" s="6">
        <v>10372.0</v>
      </c>
      <c r="B334" s="7" t="s">
        <v>77</v>
      </c>
      <c r="C334" s="24" t="str">
        <f>VLOOKUP(revenue[customerID],customers[],2,FALSE)</f>
        <v>Queen Cozinha</v>
      </c>
      <c r="D334" s="24" t="str">
        <f>VLOOKUP(revenue[customerID],customers[],6,FALSE)</f>
        <v>Sao Paulo</v>
      </c>
      <c r="E334" s="24" t="str">
        <f>VLOOKUP(revenue[customerID],customers[],9,FALSE)</f>
        <v>Brazil</v>
      </c>
      <c r="F334" s="24">
        <v>44899.0</v>
      </c>
      <c r="G334" s="6">
        <v>60.0</v>
      </c>
      <c r="H334" s="9" t="str">
        <f>VLOOKUP(revenue[productID],products[],2,FALSE)</f>
        <v>Camembert Pierrot</v>
      </c>
      <c r="I334" s="9" t="str">
        <f>VLOOKUP(revenue[productID],products[],12,FALSE)</f>
        <v>Dairy Products</v>
      </c>
      <c r="J334" s="9">
        <f>VLOOKUP(revenue[productID],products[],IF(YEAR(revenue[orderDate])=2022,8,IF(YEAR(revenue[orderDate])=2023,9,IF(YEAR(revenue[orderDate])=2024,10,NA))),FALSE)</f>
        <v>17.66563493</v>
      </c>
      <c r="K334" s="9">
        <v>27.2</v>
      </c>
      <c r="L334" s="25">
        <f>(revenue[orderPrice]-revenue[productCost])/revenue[productCost]</f>
        <v>0.5397125612</v>
      </c>
      <c r="M334" s="10">
        <v>70.0</v>
      </c>
      <c r="N334" s="25">
        <v>0.25</v>
      </c>
      <c r="O334" s="9">
        <f>revenue[orderPrice]*revenue[orderQuantity]</f>
        <v>1904</v>
      </c>
      <c r="P334" s="9">
        <f>revenue[orderTotal]*(1-revenue[discountApllied])</f>
        <v>1428</v>
      </c>
      <c r="Q334" s="9">
        <f>revenue[revenue]-(revenue[productCost]*revenue[orderQuantity])</f>
        <v>191.405555</v>
      </c>
      <c r="R334" s="25">
        <f>IFERROR(revenue[profit]/revenue[revenue], 0)</f>
        <v>0.1340375035</v>
      </c>
      <c r="S334" s="9">
        <f>revenue[productCost]*revenue[orderQuantity]</f>
        <v>1236.594445</v>
      </c>
    </row>
    <row r="335" ht="15.75" customHeight="1">
      <c r="A335" s="6">
        <v>10372.0</v>
      </c>
      <c r="B335" s="7" t="s">
        <v>77</v>
      </c>
      <c r="C335" s="24" t="str">
        <f>VLOOKUP(revenue[customerID],customers[],2,FALSE)</f>
        <v>Queen Cozinha</v>
      </c>
      <c r="D335" s="24" t="str">
        <f>VLOOKUP(revenue[customerID],customers[],6,FALSE)</f>
        <v>Sao Paulo</v>
      </c>
      <c r="E335" s="24" t="str">
        <f>VLOOKUP(revenue[customerID],customers[],9,FALSE)</f>
        <v>Brazil</v>
      </c>
      <c r="F335" s="24">
        <v>44899.0</v>
      </c>
      <c r="G335" s="6">
        <v>72.0</v>
      </c>
      <c r="H335" s="9" t="str">
        <f>VLOOKUP(revenue[productID],products[],2,FALSE)</f>
        <v>Mozzarella di Giovanni</v>
      </c>
      <c r="I335" s="9" t="str">
        <f>VLOOKUP(revenue[productID],products[],12,FALSE)</f>
        <v>Dairy Products</v>
      </c>
      <c r="J335" s="9">
        <f>VLOOKUP(revenue[productID],products[],IF(YEAR(revenue[orderDate])=2022,8,IF(YEAR(revenue[orderDate])=2023,9,IF(YEAR(revenue[orderDate])=2024,10,NA))),FALSE)</f>
        <v>19.20829334</v>
      </c>
      <c r="K335" s="9">
        <v>27.8</v>
      </c>
      <c r="L335" s="25">
        <f>(revenue[orderPrice]-revenue[productCost])/revenue[productCost]</f>
        <v>0.4472915167</v>
      </c>
      <c r="M335" s="10">
        <v>42.0</v>
      </c>
      <c r="N335" s="25">
        <v>0.25</v>
      </c>
      <c r="O335" s="9">
        <f>revenue[orderPrice]*revenue[orderQuantity]</f>
        <v>1167.6</v>
      </c>
      <c r="P335" s="9">
        <f>revenue[orderTotal]*(1-revenue[discountApllied])</f>
        <v>875.7</v>
      </c>
      <c r="Q335" s="9">
        <f>revenue[revenue]-(revenue[productCost]*revenue[orderQuantity])</f>
        <v>68.95167978</v>
      </c>
      <c r="R335" s="25">
        <f>IFERROR(revenue[profit]/revenue[revenue], 0)</f>
        <v>0.07873892861</v>
      </c>
      <c r="S335" s="9">
        <f>revenue[productCost]*revenue[orderQuantity]</f>
        <v>806.7483202</v>
      </c>
    </row>
    <row r="336" ht="15.75" customHeight="1">
      <c r="A336" s="6">
        <v>10373.0</v>
      </c>
      <c r="B336" s="7" t="s">
        <v>49</v>
      </c>
      <c r="C336" s="24" t="str">
        <f>VLOOKUP(revenue[customerID],customers[],2,FALSE)</f>
        <v>Hungry Owl All-Night Grocers</v>
      </c>
      <c r="D336" s="24" t="str">
        <f>VLOOKUP(revenue[customerID],customers[],6,FALSE)</f>
        <v>Cork</v>
      </c>
      <c r="E336" s="24" t="str">
        <f>VLOOKUP(revenue[customerID],customers[],9,FALSE)</f>
        <v>Ireland</v>
      </c>
      <c r="F336" s="24">
        <v>44900.0</v>
      </c>
      <c r="G336" s="6">
        <v>58.0</v>
      </c>
      <c r="H336" s="9" t="str">
        <f>VLOOKUP(revenue[productID],products[],2,FALSE)</f>
        <v>Escargots de Bourgogne</v>
      </c>
      <c r="I336" s="9" t="str">
        <f>VLOOKUP(revenue[productID],products[],12,FALSE)</f>
        <v>Seafood</v>
      </c>
      <c r="J336" s="9">
        <f>VLOOKUP(revenue[productID],products[],IF(YEAR(revenue[orderDate])=2022,8,IF(YEAR(revenue[orderDate])=2023,9,IF(YEAR(revenue[orderDate])=2024,10,NA))),FALSE)</f>
        <v>6.388939317</v>
      </c>
      <c r="K336" s="9">
        <v>10.6</v>
      </c>
      <c r="L336" s="25">
        <f>(revenue[orderPrice]-revenue[productCost])/revenue[productCost]</f>
        <v>0.6591173392</v>
      </c>
      <c r="M336" s="10">
        <v>80.0</v>
      </c>
      <c r="N336" s="25">
        <v>0.2</v>
      </c>
      <c r="O336" s="9">
        <f>revenue[orderPrice]*revenue[orderQuantity]</f>
        <v>848</v>
      </c>
      <c r="P336" s="9">
        <f>revenue[orderTotal]*(1-revenue[discountApllied])</f>
        <v>678.4</v>
      </c>
      <c r="Q336" s="9">
        <f>revenue[revenue]-(revenue[productCost]*revenue[orderQuantity])</f>
        <v>167.2848546</v>
      </c>
      <c r="R336" s="25">
        <f>IFERROR(revenue[profit]/revenue[revenue], 0)</f>
        <v>0.2465873447</v>
      </c>
      <c r="S336" s="9">
        <f>revenue[productCost]*revenue[orderQuantity]</f>
        <v>511.1151454</v>
      </c>
    </row>
    <row r="337" ht="15.75" customHeight="1">
      <c r="A337" s="6">
        <v>10373.0</v>
      </c>
      <c r="B337" s="7" t="s">
        <v>49</v>
      </c>
      <c r="C337" s="24" t="str">
        <f>VLOOKUP(revenue[customerID],customers[],2,FALSE)</f>
        <v>Hungry Owl All-Night Grocers</v>
      </c>
      <c r="D337" s="24" t="str">
        <f>VLOOKUP(revenue[customerID],customers[],6,FALSE)</f>
        <v>Cork</v>
      </c>
      <c r="E337" s="24" t="str">
        <f>VLOOKUP(revenue[customerID],customers[],9,FALSE)</f>
        <v>Ireland</v>
      </c>
      <c r="F337" s="24">
        <v>44900.0</v>
      </c>
      <c r="G337" s="6">
        <v>71.0</v>
      </c>
      <c r="H337" s="9" t="str">
        <f>VLOOKUP(revenue[productID],products[],2,FALSE)</f>
        <v>Flotemysost</v>
      </c>
      <c r="I337" s="9" t="str">
        <f>VLOOKUP(revenue[productID],products[],12,FALSE)</f>
        <v>Dairy Products</v>
      </c>
      <c r="J337" s="9">
        <f>VLOOKUP(revenue[productID],products[],IF(YEAR(revenue[orderDate])=2022,8,IF(YEAR(revenue[orderDate])=2023,9,IF(YEAR(revenue[orderDate])=2024,10,NA))),FALSE)</f>
        <v>12.00719029</v>
      </c>
      <c r="K337" s="9">
        <v>17.2</v>
      </c>
      <c r="L337" s="25">
        <f>(revenue[orderPrice]-revenue[productCost])/revenue[productCost]</f>
        <v>0.4324750075</v>
      </c>
      <c r="M337" s="10">
        <v>50.0</v>
      </c>
      <c r="N337" s="25">
        <v>0.2</v>
      </c>
      <c r="O337" s="9">
        <f>revenue[orderPrice]*revenue[orderQuantity]</f>
        <v>860</v>
      </c>
      <c r="P337" s="9">
        <f>revenue[orderTotal]*(1-revenue[discountApllied])</f>
        <v>688</v>
      </c>
      <c r="Q337" s="9">
        <f>revenue[revenue]-(revenue[productCost]*revenue[orderQuantity])</f>
        <v>87.64048552</v>
      </c>
      <c r="R337" s="25">
        <f>IFERROR(revenue[profit]/revenue[revenue], 0)</f>
        <v>0.1273844266</v>
      </c>
      <c r="S337" s="9">
        <f>revenue[productCost]*revenue[orderQuantity]</f>
        <v>600.3595145</v>
      </c>
    </row>
    <row r="338" ht="15.75" customHeight="1">
      <c r="A338" s="6">
        <v>10374.0</v>
      </c>
      <c r="B338" s="7" t="s">
        <v>78</v>
      </c>
      <c r="C338" s="24" t="str">
        <f>VLOOKUP(revenue[customerID],customers[],2,FALSE)</f>
        <v>Wolski  Zajazd</v>
      </c>
      <c r="D338" s="24" t="str">
        <f>VLOOKUP(revenue[customerID],customers[],6,FALSE)</f>
        <v>Warszawa</v>
      </c>
      <c r="E338" s="24" t="str">
        <f>VLOOKUP(revenue[customerID],customers[],9,FALSE)</f>
        <v>Poland</v>
      </c>
      <c r="F338" s="24">
        <v>44900.0</v>
      </c>
      <c r="G338" s="6">
        <v>31.0</v>
      </c>
      <c r="H338" s="9" t="str">
        <f>VLOOKUP(revenue[productID],products[],2,FALSE)</f>
        <v>Gorgonzola Telino</v>
      </c>
      <c r="I338" s="9" t="str">
        <f>VLOOKUP(revenue[productID],products[],12,FALSE)</f>
        <v>Dairy Products</v>
      </c>
      <c r="J338" s="9">
        <f>VLOOKUP(revenue[productID],products[],IF(YEAR(revenue[orderDate])=2022,8,IF(YEAR(revenue[orderDate])=2023,9,IF(YEAR(revenue[orderDate])=2024,10,NA))),FALSE)</f>
        <v>6.44031973</v>
      </c>
      <c r="K338" s="9">
        <v>10.0</v>
      </c>
      <c r="L338" s="25">
        <f>(revenue[orderPrice]-revenue[productCost])/revenue[productCost]</f>
        <v>0.5527179425</v>
      </c>
      <c r="M338" s="10">
        <v>30.0</v>
      </c>
      <c r="N338" s="25">
        <v>0.0</v>
      </c>
      <c r="O338" s="9">
        <f>revenue[orderPrice]*revenue[orderQuantity]</f>
        <v>300</v>
      </c>
      <c r="P338" s="9">
        <f>revenue[orderTotal]*(1-revenue[discountApllied])</f>
        <v>300</v>
      </c>
      <c r="Q338" s="9">
        <f>revenue[revenue]-(revenue[productCost]*revenue[orderQuantity])</f>
        <v>106.7904081</v>
      </c>
      <c r="R338" s="25">
        <f>IFERROR(revenue[profit]/revenue[revenue], 0)</f>
        <v>0.355968027</v>
      </c>
      <c r="S338" s="9">
        <f>revenue[productCost]*revenue[orderQuantity]</f>
        <v>193.2095919</v>
      </c>
    </row>
    <row r="339" ht="15.75" customHeight="1">
      <c r="A339" s="6">
        <v>10374.0</v>
      </c>
      <c r="B339" s="7" t="s">
        <v>78</v>
      </c>
      <c r="C339" s="24" t="str">
        <f>VLOOKUP(revenue[customerID],customers[],2,FALSE)</f>
        <v>Wolski  Zajazd</v>
      </c>
      <c r="D339" s="24" t="str">
        <f>VLOOKUP(revenue[customerID],customers[],6,FALSE)</f>
        <v>Warszawa</v>
      </c>
      <c r="E339" s="24" t="str">
        <f>VLOOKUP(revenue[customerID],customers[],9,FALSE)</f>
        <v>Poland</v>
      </c>
      <c r="F339" s="24">
        <v>44900.0</v>
      </c>
      <c r="G339" s="6">
        <v>58.0</v>
      </c>
      <c r="H339" s="9" t="str">
        <f>VLOOKUP(revenue[productID],products[],2,FALSE)</f>
        <v>Escargots de Bourgogne</v>
      </c>
      <c r="I339" s="9" t="str">
        <f>VLOOKUP(revenue[productID],products[],12,FALSE)</f>
        <v>Seafood</v>
      </c>
      <c r="J339" s="9">
        <f>VLOOKUP(revenue[productID],products[],IF(YEAR(revenue[orderDate])=2022,8,IF(YEAR(revenue[orderDate])=2023,9,IF(YEAR(revenue[orderDate])=2024,10,NA))),FALSE)</f>
        <v>6.388939317</v>
      </c>
      <c r="K339" s="9">
        <v>10.6</v>
      </c>
      <c r="L339" s="25">
        <f>(revenue[orderPrice]-revenue[productCost])/revenue[productCost]</f>
        <v>0.6591173392</v>
      </c>
      <c r="M339" s="10">
        <v>15.0</v>
      </c>
      <c r="N339" s="25">
        <v>0.0</v>
      </c>
      <c r="O339" s="9">
        <f>revenue[orderPrice]*revenue[orderQuantity]</f>
        <v>159</v>
      </c>
      <c r="P339" s="9">
        <f>revenue[orderTotal]*(1-revenue[discountApllied])</f>
        <v>159</v>
      </c>
      <c r="Q339" s="9">
        <f>revenue[revenue]-(revenue[productCost]*revenue[orderQuantity])</f>
        <v>63.16591025</v>
      </c>
      <c r="R339" s="25">
        <f>IFERROR(revenue[profit]/revenue[revenue], 0)</f>
        <v>0.3972698758</v>
      </c>
      <c r="S339" s="9">
        <f>revenue[productCost]*revenue[orderQuantity]</f>
        <v>95.83408975</v>
      </c>
    </row>
    <row r="340" ht="15.75" customHeight="1">
      <c r="A340" s="6">
        <v>10375.0</v>
      </c>
      <c r="B340" s="7" t="s">
        <v>79</v>
      </c>
      <c r="C340" s="24" t="str">
        <f>VLOOKUP(revenue[customerID],customers[],2,FALSE)</f>
        <v>Hungry Coyote Import Store</v>
      </c>
      <c r="D340" s="24" t="str">
        <f>VLOOKUP(revenue[customerID],customers[],6,FALSE)</f>
        <v>Elgin</v>
      </c>
      <c r="E340" s="24" t="str">
        <f>VLOOKUP(revenue[customerID],customers[],9,FALSE)</f>
        <v>USA</v>
      </c>
      <c r="F340" s="24">
        <v>44901.0</v>
      </c>
      <c r="G340" s="6">
        <v>14.0</v>
      </c>
      <c r="H340" s="9" t="str">
        <f>VLOOKUP(revenue[productID],products[],2,FALSE)</f>
        <v>Tofu</v>
      </c>
      <c r="I340" s="9" t="str">
        <f>VLOOKUP(revenue[productID],products[],12,FALSE)</f>
        <v>Produce</v>
      </c>
      <c r="J340" s="9">
        <f>VLOOKUP(revenue[productID],products[],IF(YEAR(revenue[orderDate])=2022,8,IF(YEAR(revenue[orderDate])=2023,9,IF(YEAR(revenue[orderDate])=2024,10,NA))),FALSE)</f>
        <v>13.95254082</v>
      </c>
      <c r="K340" s="9">
        <v>18.6</v>
      </c>
      <c r="L340" s="25">
        <f>(revenue[orderPrice]-revenue[productCost])/revenue[productCost]</f>
        <v>0.333090527</v>
      </c>
      <c r="M340" s="10">
        <v>15.0</v>
      </c>
      <c r="N340" s="25">
        <v>0.0</v>
      </c>
      <c r="O340" s="9">
        <f>revenue[orderPrice]*revenue[orderQuantity]</f>
        <v>279</v>
      </c>
      <c r="P340" s="9">
        <f>revenue[orderTotal]*(1-revenue[discountApllied])</f>
        <v>279</v>
      </c>
      <c r="Q340" s="9">
        <f>revenue[revenue]-(revenue[productCost]*revenue[orderQuantity])</f>
        <v>69.71188765</v>
      </c>
      <c r="R340" s="25">
        <f>IFERROR(revenue[profit]/revenue[revenue], 0)</f>
        <v>0.2498633966</v>
      </c>
      <c r="S340" s="9">
        <f>revenue[productCost]*revenue[orderQuantity]</f>
        <v>209.2881124</v>
      </c>
    </row>
    <row r="341" ht="15.75" customHeight="1">
      <c r="A341" s="6">
        <v>10375.0</v>
      </c>
      <c r="B341" s="7" t="s">
        <v>79</v>
      </c>
      <c r="C341" s="24" t="str">
        <f>VLOOKUP(revenue[customerID],customers[],2,FALSE)</f>
        <v>Hungry Coyote Import Store</v>
      </c>
      <c r="D341" s="24" t="str">
        <f>VLOOKUP(revenue[customerID],customers[],6,FALSE)</f>
        <v>Elgin</v>
      </c>
      <c r="E341" s="24" t="str">
        <f>VLOOKUP(revenue[customerID],customers[],9,FALSE)</f>
        <v>USA</v>
      </c>
      <c r="F341" s="24">
        <v>44901.0</v>
      </c>
      <c r="G341" s="6">
        <v>54.0</v>
      </c>
      <c r="H341" s="9" t="str">
        <f>VLOOKUP(revenue[productID],products[],2,FALSE)</f>
        <v>Tourtière</v>
      </c>
      <c r="I341" s="9" t="str">
        <f>VLOOKUP(revenue[productID],products[],12,FALSE)</f>
        <v>Meat/Poultry</v>
      </c>
      <c r="J341" s="9">
        <f>VLOOKUP(revenue[productID],products[],IF(YEAR(revenue[orderDate])=2022,8,IF(YEAR(revenue[orderDate])=2023,9,IF(YEAR(revenue[orderDate])=2024,10,NA))),FALSE)</f>
        <v>4.309848919</v>
      </c>
      <c r="K341" s="9">
        <v>5.9</v>
      </c>
      <c r="L341" s="25">
        <f>(revenue[orderPrice]-revenue[productCost])/revenue[productCost]</f>
        <v>0.3689574996</v>
      </c>
      <c r="M341" s="10">
        <v>10.0</v>
      </c>
      <c r="N341" s="25">
        <v>0.0</v>
      </c>
      <c r="O341" s="9">
        <f>revenue[orderPrice]*revenue[orderQuantity]</f>
        <v>59</v>
      </c>
      <c r="P341" s="9">
        <f>revenue[orderTotal]*(1-revenue[discountApllied])</f>
        <v>59</v>
      </c>
      <c r="Q341" s="9">
        <f>revenue[revenue]-(revenue[productCost]*revenue[orderQuantity])</f>
        <v>15.90151081</v>
      </c>
      <c r="R341" s="25">
        <f>IFERROR(revenue[profit]/revenue[revenue], 0)</f>
        <v>0.2695171323</v>
      </c>
      <c r="S341" s="9">
        <f>revenue[productCost]*revenue[orderQuantity]</f>
        <v>43.09848919</v>
      </c>
    </row>
    <row r="342" ht="15.75" customHeight="1">
      <c r="A342" s="6">
        <v>10376.0</v>
      </c>
      <c r="B342" s="7" t="s">
        <v>64</v>
      </c>
      <c r="C342" s="24" t="str">
        <f>VLOOKUP(revenue[customerID],customers[],2,FALSE)</f>
        <v>Mère Paillarde</v>
      </c>
      <c r="D342" s="24" t="str">
        <f>VLOOKUP(revenue[customerID],customers[],6,FALSE)</f>
        <v>Montréal</v>
      </c>
      <c r="E342" s="24" t="str">
        <f>VLOOKUP(revenue[customerID],customers[],9,FALSE)</f>
        <v>Canada</v>
      </c>
      <c r="F342" s="24">
        <v>44904.0</v>
      </c>
      <c r="G342" s="6">
        <v>31.0</v>
      </c>
      <c r="H342" s="9" t="str">
        <f>VLOOKUP(revenue[productID],products[],2,FALSE)</f>
        <v>Gorgonzola Telino</v>
      </c>
      <c r="I342" s="9" t="str">
        <f>VLOOKUP(revenue[productID],products[],12,FALSE)</f>
        <v>Dairy Products</v>
      </c>
      <c r="J342" s="9">
        <f>VLOOKUP(revenue[productID],products[],IF(YEAR(revenue[orderDate])=2022,8,IF(YEAR(revenue[orderDate])=2023,9,IF(YEAR(revenue[orderDate])=2024,10,NA))),FALSE)</f>
        <v>6.44031973</v>
      </c>
      <c r="K342" s="9">
        <v>10.0</v>
      </c>
      <c r="L342" s="25">
        <f>(revenue[orderPrice]-revenue[productCost])/revenue[productCost]</f>
        <v>0.5527179425</v>
      </c>
      <c r="M342" s="10">
        <v>42.0</v>
      </c>
      <c r="N342" s="25">
        <v>0.05</v>
      </c>
      <c r="O342" s="9">
        <f>revenue[orderPrice]*revenue[orderQuantity]</f>
        <v>420</v>
      </c>
      <c r="P342" s="9">
        <f>revenue[orderTotal]*(1-revenue[discountApllied])</f>
        <v>399</v>
      </c>
      <c r="Q342" s="9">
        <f>revenue[revenue]-(revenue[productCost]*revenue[orderQuantity])</f>
        <v>128.5065713</v>
      </c>
      <c r="R342" s="25">
        <f>IFERROR(revenue[profit]/revenue[revenue], 0)</f>
        <v>0.3220716074</v>
      </c>
      <c r="S342" s="9">
        <f>revenue[productCost]*revenue[orderQuantity]</f>
        <v>270.4934287</v>
      </c>
    </row>
    <row r="343" ht="15.75" customHeight="1">
      <c r="A343" s="6">
        <v>10377.0</v>
      </c>
      <c r="B343" s="7" t="s">
        <v>71</v>
      </c>
      <c r="C343" s="24" t="str">
        <f>VLOOKUP(revenue[customerID],customers[],2,FALSE)</f>
        <v>Seven Seas Imports</v>
      </c>
      <c r="D343" s="24" t="str">
        <f>VLOOKUP(revenue[customerID],customers[],6,FALSE)</f>
        <v>London</v>
      </c>
      <c r="E343" s="24" t="str">
        <f>VLOOKUP(revenue[customerID],customers[],9,FALSE)</f>
        <v>UK</v>
      </c>
      <c r="F343" s="24">
        <v>44904.0</v>
      </c>
      <c r="G343" s="6">
        <v>28.0</v>
      </c>
      <c r="H343" s="9" t="str">
        <f>VLOOKUP(revenue[productID],products[],2,FALSE)</f>
        <v>Rössle Sauerkraut</v>
      </c>
      <c r="I343" s="9" t="str">
        <f>VLOOKUP(revenue[productID],products[],12,FALSE)</f>
        <v>Produce</v>
      </c>
      <c r="J343" s="9">
        <f>VLOOKUP(revenue[productID],products[],IF(YEAR(revenue[orderDate])=2022,8,IF(YEAR(revenue[orderDate])=2023,9,IF(YEAR(revenue[orderDate])=2024,10,NA))),FALSE)</f>
        <v>27.51992272</v>
      </c>
      <c r="K343" s="9">
        <v>36.4</v>
      </c>
      <c r="L343" s="25">
        <f>(revenue[orderPrice]-revenue[productCost])/revenue[productCost]</f>
        <v>0.3226781326</v>
      </c>
      <c r="M343" s="10">
        <v>20.0</v>
      </c>
      <c r="N343" s="25">
        <v>0.15</v>
      </c>
      <c r="O343" s="9">
        <f>revenue[orderPrice]*revenue[orderQuantity]</f>
        <v>728</v>
      </c>
      <c r="P343" s="9">
        <f>revenue[orderTotal]*(1-revenue[discountApllied])</f>
        <v>618.8</v>
      </c>
      <c r="Q343" s="9">
        <f>revenue[revenue]-(revenue[productCost]*revenue[orderQuantity])</f>
        <v>68.4015455</v>
      </c>
      <c r="R343" s="25">
        <f>IFERROR(revenue[profit]/revenue[revenue], 0)</f>
        <v>0.1105390199</v>
      </c>
      <c r="S343" s="9">
        <f>revenue[productCost]*revenue[orderQuantity]</f>
        <v>550.3984545</v>
      </c>
    </row>
    <row r="344" ht="15.75" customHeight="1">
      <c r="A344" s="6">
        <v>10377.0</v>
      </c>
      <c r="B344" s="7" t="s">
        <v>71</v>
      </c>
      <c r="C344" s="24" t="str">
        <f>VLOOKUP(revenue[customerID],customers[],2,FALSE)</f>
        <v>Seven Seas Imports</v>
      </c>
      <c r="D344" s="24" t="str">
        <f>VLOOKUP(revenue[customerID],customers[],6,FALSE)</f>
        <v>London</v>
      </c>
      <c r="E344" s="24" t="str">
        <f>VLOOKUP(revenue[customerID],customers[],9,FALSE)</f>
        <v>UK</v>
      </c>
      <c r="F344" s="24">
        <v>44904.0</v>
      </c>
      <c r="G344" s="6">
        <v>39.0</v>
      </c>
      <c r="H344" s="9" t="str">
        <f>VLOOKUP(revenue[productID],products[],2,FALSE)</f>
        <v>Chartreuse verte</v>
      </c>
      <c r="I344" s="9" t="str">
        <f>VLOOKUP(revenue[productID],products[],12,FALSE)</f>
        <v>Beverages</v>
      </c>
      <c r="J344" s="9">
        <f>VLOOKUP(revenue[productID],products[],IF(YEAR(revenue[orderDate])=2022,8,IF(YEAR(revenue[orderDate])=2023,9,IF(YEAR(revenue[orderDate])=2024,10,NA))),FALSE)</f>
        <v>9.743517226</v>
      </c>
      <c r="K344" s="9">
        <v>14.4</v>
      </c>
      <c r="L344" s="25">
        <f>(revenue[orderPrice]-revenue[productCost])/revenue[productCost]</f>
        <v>0.4779057362</v>
      </c>
      <c r="M344" s="10">
        <v>20.0</v>
      </c>
      <c r="N344" s="25">
        <v>0.15</v>
      </c>
      <c r="O344" s="9">
        <f>revenue[orderPrice]*revenue[orderQuantity]</f>
        <v>288</v>
      </c>
      <c r="P344" s="9">
        <f>revenue[orderTotal]*(1-revenue[discountApllied])</f>
        <v>244.8</v>
      </c>
      <c r="Q344" s="9">
        <f>revenue[revenue]-(revenue[productCost]*revenue[orderQuantity])</f>
        <v>49.92965547</v>
      </c>
      <c r="R344" s="25">
        <f>IFERROR(revenue[profit]/revenue[revenue], 0)</f>
        <v>0.2039610109</v>
      </c>
      <c r="S344" s="9">
        <f>revenue[productCost]*revenue[orderQuantity]</f>
        <v>194.8703445</v>
      </c>
    </row>
    <row r="345" ht="15.75" customHeight="1">
      <c r="A345" s="6">
        <v>10378.0</v>
      </c>
      <c r="B345" s="7" t="s">
        <v>29</v>
      </c>
      <c r="C345" s="24" t="str">
        <f>VLOOKUP(revenue[customerID],customers[],2,FALSE)</f>
        <v>Folk och fä HB</v>
      </c>
      <c r="D345" s="24" t="str">
        <f>VLOOKUP(revenue[customerID],customers[],6,FALSE)</f>
        <v>Bräcke</v>
      </c>
      <c r="E345" s="24" t="str">
        <f>VLOOKUP(revenue[customerID],customers[],9,FALSE)</f>
        <v>Sweden</v>
      </c>
      <c r="F345" s="24">
        <v>44905.0</v>
      </c>
      <c r="G345" s="6">
        <v>71.0</v>
      </c>
      <c r="H345" s="9" t="str">
        <f>VLOOKUP(revenue[productID],products[],2,FALSE)</f>
        <v>Flotemysost</v>
      </c>
      <c r="I345" s="9" t="str">
        <f>VLOOKUP(revenue[productID],products[],12,FALSE)</f>
        <v>Dairy Products</v>
      </c>
      <c r="J345" s="9">
        <f>VLOOKUP(revenue[productID],products[],IF(YEAR(revenue[orderDate])=2022,8,IF(YEAR(revenue[orderDate])=2023,9,IF(YEAR(revenue[orderDate])=2024,10,NA))),FALSE)</f>
        <v>12.00719029</v>
      </c>
      <c r="K345" s="9">
        <v>17.2</v>
      </c>
      <c r="L345" s="25">
        <f>(revenue[orderPrice]-revenue[productCost])/revenue[productCost]</f>
        <v>0.4324750075</v>
      </c>
      <c r="M345" s="10">
        <v>6.0</v>
      </c>
      <c r="N345" s="25">
        <v>0.0</v>
      </c>
      <c r="O345" s="9">
        <f>revenue[orderPrice]*revenue[orderQuantity]</f>
        <v>103.2</v>
      </c>
      <c r="P345" s="9">
        <f>revenue[orderTotal]*(1-revenue[discountApllied])</f>
        <v>103.2</v>
      </c>
      <c r="Q345" s="9">
        <f>revenue[revenue]-(revenue[productCost]*revenue[orderQuantity])</f>
        <v>31.15685826</v>
      </c>
      <c r="R345" s="25">
        <f>IFERROR(revenue[profit]/revenue[revenue], 0)</f>
        <v>0.3019075413</v>
      </c>
      <c r="S345" s="9">
        <f>revenue[productCost]*revenue[orderQuantity]</f>
        <v>72.04314174</v>
      </c>
    </row>
    <row r="346" ht="15.75" customHeight="1">
      <c r="A346" s="6">
        <v>10379.0</v>
      </c>
      <c r="B346" s="7" t="s">
        <v>27</v>
      </c>
      <c r="C346" s="24" t="str">
        <f>VLOOKUP(revenue[customerID],customers[],2,FALSE)</f>
        <v>Que Delícia</v>
      </c>
      <c r="D346" s="24" t="str">
        <f>VLOOKUP(revenue[customerID],customers[],6,FALSE)</f>
        <v>Rio de Janeiro</v>
      </c>
      <c r="E346" s="24" t="str">
        <f>VLOOKUP(revenue[customerID],customers[],9,FALSE)</f>
        <v>Brazil</v>
      </c>
      <c r="F346" s="24">
        <v>44906.0</v>
      </c>
      <c r="G346" s="6">
        <v>41.0</v>
      </c>
      <c r="H346" s="9" t="str">
        <f>VLOOKUP(revenue[productID],products[],2,FALSE)</f>
        <v>Jack's New England Clam Chowder</v>
      </c>
      <c r="I346" s="9" t="str">
        <f>VLOOKUP(revenue[productID],products[],12,FALSE)</f>
        <v>Seafood</v>
      </c>
      <c r="J346" s="9">
        <f>VLOOKUP(revenue[productID],products[],IF(YEAR(revenue[orderDate])=2022,8,IF(YEAR(revenue[orderDate])=2023,9,IF(YEAR(revenue[orderDate])=2024,10,NA))),FALSE)</f>
        <v>5.170198742</v>
      </c>
      <c r="K346" s="9">
        <v>7.7</v>
      </c>
      <c r="L346" s="25">
        <f>(revenue[orderPrice]-revenue[productCost])/revenue[productCost]</f>
        <v>0.4893044511</v>
      </c>
      <c r="M346" s="10">
        <v>8.0</v>
      </c>
      <c r="N346" s="25">
        <v>0.1</v>
      </c>
      <c r="O346" s="9">
        <f>revenue[orderPrice]*revenue[orderQuantity]</f>
        <v>61.6</v>
      </c>
      <c r="P346" s="9">
        <f>revenue[orderTotal]*(1-revenue[discountApllied])</f>
        <v>55.44</v>
      </c>
      <c r="Q346" s="9">
        <f>revenue[revenue]-(revenue[productCost]*revenue[orderQuantity])</f>
        <v>14.07841006</v>
      </c>
      <c r="R346" s="25">
        <f>IFERROR(revenue[profit]/revenue[revenue], 0)</f>
        <v>0.2539395754</v>
      </c>
      <c r="S346" s="9">
        <f>revenue[productCost]*revenue[orderQuantity]</f>
        <v>41.36158994</v>
      </c>
    </row>
    <row r="347" ht="15.75" customHeight="1">
      <c r="A347" s="6">
        <v>10379.0</v>
      </c>
      <c r="B347" s="7" t="s">
        <v>27</v>
      </c>
      <c r="C347" s="24" t="str">
        <f>VLOOKUP(revenue[customerID],customers[],2,FALSE)</f>
        <v>Que Delícia</v>
      </c>
      <c r="D347" s="24" t="str">
        <f>VLOOKUP(revenue[customerID],customers[],6,FALSE)</f>
        <v>Rio de Janeiro</v>
      </c>
      <c r="E347" s="24" t="str">
        <f>VLOOKUP(revenue[customerID],customers[],9,FALSE)</f>
        <v>Brazil</v>
      </c>
      <c r="F347" s="24">
        <v>44906.0</v>
      </c>
      <c r="G347" s="6">
        <v>63.0</v>
      </c>
      <c r="H347" s="9" t="str">
        <f>VLOOKUP(revenue[productID],products[],2,FALSE)</f>
        <v>Vegie-spread</v>
      </c>
      <c r="I347" s="9" t="str">
        <f>VLOOKUP(revenue[productID],products[],12,FALSE)</f>
        <v>Condiments</v>
      </c>
      <c r="J347" s="9">
        <f>VLOOKUP(revenue[productID],products[],IF(YEAR(revenue[orderDate])=2022,8,IF(YEAR(revenue[orderDate])=2023,9,IF(YEAR(revenue[orderDate])=2024,10,NA))),FALSE)</f>
        <v>23.81372293</v>
      </c>
      <c r="K347" s="9">
        <v>35.1</v>
      </c>
      <c r="L347" s="25">
        <f>(revenue[orderPrice]-revenue[productCost])/revenue[productCost]</f>
        <v>0.4739400513</v>
      </c>
      <c r="M347" s="10">
        <v>16.0</v>
      </c>
      <c r="N347" s="25">
        <v>0.1</v>
      </c>
      <c r="O347" s="9">
        <f>revenue[orderPrice]*revenue[orderQuantity]</f>
        <v>561.6</v>
      </c>
      <c r="P347" s="9">
        <f>revenue[orderTotal]*(1-revenue[discountApllied])</f>
        <v>505.44</v>
      </c>
      <c r="Q347" s="9">
        <f>revenue[revenue]-(revenue[productCost]*revenue[orderQuantity])</f>
        <v>124.4204331</v>
      </c>
      <c r="R347" s="25">
        <f>IFERROR(revenue[profit]/revenue[revenue], 0)</f>
        <v>0.2461626169</v>
      </c>
      <c r="S347" s="9">
        <f>revenue[productCost]*revenue[orderQuantity]</f>
        <v>381.0195669</v>
      </c>
    </row>
    <row r="348" ht="15.75" customHeight="1">
      <c r="A348" s="6">
        <v>10379.0</v>
      </c>
      <c r="B348" s="7" t="s">
        <v>27</v>
      </c>
      <c r="C348" s="24" t="str">
        <f>VLOOKUP(revenue[customerID],customers[],2,FALSE)</f>
        <v>Que Delícia</v>
      </c>
      <c r="D348" s="24" t="str">
        <f>VLOOKUP(revenue[customerID],customers[],6,FALSE)</f>
        <v>Rio de Janeiro</v>
      </c>
      <c r="E348" s="24" t="str">
        <f>VLOOKUP(revenue[customerID],customers[],9,FALSE)</f>
        <v>Brazil</v>
      </c>
      <c r="F348" s="24">
        <v>44906.0</v>
      </c>
      <c r="G348" s="6">
        <v>65.0</v>
      </c>
      <c r="H348" s="9" t="str">
        <f>VLOOKUP(revenue[productID],products[],2,FALSE)</f>
        <v>Louisiana Fiery Hot Pepper Sauce</v>
      </c>
      <c r="I348" s="9" t="str">
        <f>VLOOKUP(revenue[productID],products[],12,FALSE)</f>
        <v>Condiments</v>
      </c>
      <c r="J348" s="9">
        <f>VLOOKUP(revenue[productID],products[],IF(YEAR(revenue[orderDate])=2022,8,IF(YEAR(revenue[orderDate])=2023,9,IF(YEAR(revenue[orderDate])=2024,10,NA))),FALSE)</f>
        <v>11.17410204</v>
      </c>
      <c r="K348" s="9">
        <v>16.8</v>
      </c>
      <c r="L348" s="25">
        <f>(revenue[orderPrice]-revenue[productCost])/revenue[productCost]</f>
        <v>0.503476515</v>
      </c>
      <c r="M348" s="10">
        <v>20.0</v>
      </c>
      <c r="N348" s="25">
        <v>0.1</v>
      </c>
      <c r="O348" s="9">
        <f>revenue[orderPrice]*revenue[orderQuantity]</f>
        <v>336</v>
      </c>
      <c r="P348" s="9">
        <f>revenue[orderTotal]*(1-revenue[discountApllied])</f>
        <v>302.4</v>
      </c>
      <c r="Q348" s="9">
        <f>revenue[revenue]-(revenue[productCost]*revenue[orderQuantity])</f>
        <v>78.91795911</v>
      </c>
      <c r="R348" s="25">
        <f>IFERROR(revenue[profit]/revenue[revenue], 0)</f>
        <v>0.260972087</v>
      </c>
      <c r="S348" s="9">
        <f>revenue[productCost]*revenue[orderQuantity]</f>
        <v>223.4820409</v>
      </c>
    </row>
    <row r="349" ht="15.75" customHeight="1">
      <c r="A349" s="6">
        <v>10380.0</v>
      </c>
      <c r="B349" s="7" t="s">
        <v>49</v>
      </c>
      <c r="C349" s="24" t="str">
        <f>VLOOKUP(revenue[customerID],customers[],2,FALSE)</f>
        <v>Hungry Owl All-Night Grocers</v>
      </c>
      <c r="D349" s="24" t="str">
        <f>VLOOKUP(revenue[customerID],customers[],6,FALSE)</f>
        <v>Cork</v>
      </c>
      <c r="E349" s="24" t="str">
        <f>VLOOKUP(revenue[customerID],customers[],9,FALSE)</f>
        <v>Ireland</v>
      </c>
      <c r="F349" s="24">
        <v>44907.0</v>
      </c>
      <c r="G349" s="6">
        <v>30.0</v>
      </c>
      <c r="H349" s="9" t="str">
        <f>VLOOKUP(revenue[productID],products[],2,FALSE)</f>
        <v>Nord-Ost Matjeshering</v>
      </c>
      <c r="I349" s="9" t="str">
        <f>VLOOKUP(revenue[productID],products[],12,FALSE)</f>
        <v>Seafood</v>
      </c>
      <c r="J349" s="9">
        <f>VLOOKUP(revenue[productID],products[],IF(YEAR(revenue[orderDate])=2022,8,IF(YEAR(revenue[orderDate])=2023,9,IF(YEAR(revenue[orderDate])=2024,10,NA))),FALSE)</f>
        <v>13.41656868</v>
      </c>
      <c r="K349" s="9">
        <v>20.7</v>
      </c>
      <c r="L349" s="25">
        <f>(revenue[orderPrice]-revenue[productCost])/revenue[productCost]</f>
        <v>0.5428684114</v>
      </c>
      <c r="M349" s="10">
        <v>18.0</v>
      </c>
      <c r="N349" s="25">
        <v>0.1</v>
      </c>
      <c r="O349" s="9">
        <f>revenue[orderPrice]*revenue[orderQuantity]</f>
        <v>372.6</v>
      </c>
      <c r="P349" s="9">
        <f>revenue[orderTotal]*(1-revenue[discountApllied])</f>
        <v>335.34</v>
      </c>
      <c r="Q349" s="9">
        <f>revenue[revenue]-(revenue[productCost]*revenue[orderQuantity])</f>
        <v>93.84176383</v>
      </c>
      <c r="R349" s="25">
        <f>IFERROR(revenue[profit]/revenue[revenue], 0)</f>
        <v>0.2798406508</v>
      </c>
      <c r="S349" s="9">
        <f>revenue[productCost]*revenue[orderQuantity]</f>
        <v>241.4982362</v>
      </c>
    </row>
    <row r="350" ht="15.75" customHeight="1">
      <c r="A350" s="6">
        <v>10380.0</v>
      </c>
      <c r="B350" s="7" t="s">
        <v>49</v>
      </c>
      <c r="C350" s="24" t="str">
        <f>VLOOKUP(revenue[customerID],customers[],2,FALSE)</f>
        <v>Hungry Owl All-Night Grocers</v>
      </c>
      <c r="D350" s="24" t="str">
        <f>VLOOKUP(revenue[customerID],customers[],6,FALSE)</f>
        <v>Cork</v>
      </c>
      <c r="E350" s="24" t="str">
        <f>VLOOKUP(revenue[customerID],customers[],9,FALSE)</f>
        <v>Ireland</v>
      </c>
      <c r="F350" s="24">
        <v>44907.0</v>
      </c>
      <c r="G350" s="6">
        <v>53.0</v>
      </c>
      <c r="H350" s="9" t="str">
        <f>VLOOKUP(revenue[productID],products[],2,FALSE)</f>
        <v>Perth Pasties</v>
      </c>
      <c r="I350" s="9" t="str">
        <f>VLOOKUP(revenue[productID],products[],12,FALSE)</f>
        <v>Meat/Poultry</v>
      </c>
      <c r="J350" s="9">
        <f>VLOOKUP(revenue[productID],products[],IF(YEAR(revenue[orderDate])=2022,8,IF(YEAR(revenue[orderDate])=2023,9,IF(YEAR(revenue[orderDate])=2024,10,NA))),FALSE)</f>
        <v>18.33322006</v>
      </c>
      <c r="K350" s="9">
        <v>26.2</v>
      </c>
      <c r="L350" s="25">
        <f>(revenue[orderPrice]-revenue[productCost])/revenue[productCost]</f>
        <v>0.4290997391</v>
      </c>
      <c r="M350" s="10">
        <v>20.0</v>
      </c>
      <c r="N350" s="25">
        <v>0.1</v>
      </c>
      <c r="O350" s="9">
        <f>revenue[orderPrice]*revenue[orderQuantity]</f>
        <v>524</v>
      </c>
      <c r="P350" s="9">
        <f>revenue[orderTotal]*(1-revenue[discountApllied])</f>
        <v>471.6</v>
      </c>
      <c r="Q350" s="9">
        <f>revenue[revenue]-(revenue[productCost]*revenue[orderQuantity])</f>
        <v>104.9355989</v>
      </c>
      <c r="R350" s="25">
        <f>IFERROR(revenue[profit]/revenue[revenue], 0)</f>
        <v>0.2225097516</v>
      </c>
      <c r="S350" s="9">
        <f>revenue[productCost]*revenue[orderQuantity]</f>
        <v>366.6644011</v>
      </c>
    </row>
    <row r="351" ht="15.75" customHeight="1">
      <c r="A351" s="6">
        <v>10380.0</v>
      </c>
      <c r="B351" s="7" t="s">
        <v>49</v>
      </c>
      <c r="C351" s="24" t="str">
        <f>VLOOKUP(revenue[customerID],customers[],2,FALSE)</f>
        <v>Hungry Owl All-Night Grocers</v>
      </c>
      <c r="D351" s="24" t="str">
        <f>VLOOKUP(revenue[customerID],customers[],6,FALSE)</f>
        <v>Cork</v>
      </c>
      <c r="E351" s="24" t="str">
        <f>VLOOKUP(revenue[customerID],customers[],9,FALSE)</f>
        <v>Ireland</v>
      </c>
      <c r="F351" s="24">
        <v>44907.0</v>
      </c>
      <c r="G351" s="6">
        <v>60.0</v>
      </c>
      <c r="H351" s="9" t="str">
        <f>VLOOKUP(revenue[productID],products[],2,FALSE)</f>
        <v>Camembert Pierrot</v>
      </c>
      <c r="I351" s="9" t="str">
        <f>VLOOKUP(revenue[productID],products[],12,FALSE)</f>
        <v>Dairy Products</v>
      </c>
      <c r="J351" s="9">
        <f>VLOOKUP(revenue[productID],products[],IF(YEAR(revenue[orderDate])=2022,8,IF(YEAR(revenue[orderDate])=2023,9,IF(YEAR(revenue[orderDate])=2024,10,NA))),FALSE)</f>
        <v>17.66563493</v>
      </c>
      <c r="K351" s="9">
        <v>27.2</v>
      </c>
      <c r="L351" s="25">
        <f>(revenue[orderPrice]-revenue[productCost])/revenue[productCost]</f>
        <v>0.5397125612</v>
      </c>
      <c r="M351" s="10">
        <v>6.0</v>
      </c>
      <c r="N351" s="25">
        <v>0.1</v>
      </c>
      <c r="O351" s="9">
        <f>revenue[orderPrice]*revenue[orderQuantity]</f>
        <v>163.2</v>
      </c>
      <c r="P351" s="9">
        <f>revenue[orderTotal]*(1-revenue[discountApllied])</f>
        <v>146.88</v>
      </c>
      <c r="Q351" s="9">
        <f>revenue[revenue]-(revenue[productCost]*revenue[orderQuantity])</f>
        <v>40.88619043</v>
      </c>
      <c r="R351" s="25">
        <f>IFERROR(revenue[profit]/revenue[revenue], 0)</f>
        <v>0.2783645863</v>
      </c>
      <c r="S351" s="9">
        <f>revenue[productCost]*revenue[orderQuantity]</f>
        <v>105.9938096</v>
      </c>
    </row>
    <row r="352" ht="15.75" customHeight="1">
      <c r="A352" s="6">
        <v>10380.0</v>
      </c>
      <c r="B352" s="7" t="s">
        <v>49</v>
      </c>
      <c r="C352" s="24" t="str">
        <f>VLOOKUP(revenue[customerID],customers[],2,FALSE)</f>
        <v>Hungry Owl All-Night Grocers</v>
      </c>
      <c r="D352" s="24" t="str">
        <f>VLOOKUP(revenue[customerID],customers[],6,FALSE)</f>
        <v>Cork</v>
      </c>
      <c r="E352" s="24" t="str">
        <f>VLOOKUP(revenue[customerID],customers[],9,FALSE)</f>
        <v>Ireland</v>
      </c>
      <c r="F352" s="24">
        <v>44907.0</v>
      </c>
      <c r="G352" s="6">
        <v>70.0</v>
      </c>
      <c r="H352" s="9" t="str">
        <f>VLOOKUP(revenue[productID],products[],2,FALSE)</f>
        <v>Outback Lager</v>
      </c>
      <c r="I352" s="9" t="str">
        <f>VLOOKUP(revenue[productID],products[],12,FALSE)</f>
        <v>Beverages</v>
      </c>
      <c r="J352" s="9">
        <f>VLOOKUP(revenue[productID],products[],IF(YEAR(revenue[orderDate])=2022,8,IF(YEAR(revenue[orderDate])=2023,9,IF(YEAR(revenue[orderDate])=2024,10,NA))),FALSE)</f>
        <v>8.037520944</v>
      </c>
      <c r="K352" s="9">
        <v>12.0</v>
      </c>
      <c r="L352" s="25">
        <f>(revenue[orderPrice]-revenue[productCost])/revenue[productCost]</f>
        <v>0.4929976648</v>
      </c>
      <c r="M352" s="10">
        <v>30.0</v>
      </c>
      <c r="N352" s="25">
        <v>0.0</v>
      </c>
      <c r="O352" s="9">
        <f>revenue[orderPrice]*revenue[orderQuantity]</f>
        <v>360</v>
      </c>
      <c r="P352" s="9">
        <f>revenue[orderTotal]*(1-revenue[discountApllied])</f>
        <v>360</v>
      </c>
      <c r="Q352" s="9">
        <f>revenue[revenue]-(revenue[productCost]*revenue[orderQuantity])</f>
        <v>118.8743717</v>
      </c>
      <c r="R352" s="25">
        <f>IFERROR(revenue[profit]/revenue[revenue], 0)</f>
        <v>0.330206588</v>
      </c>
      <c r="S352" s="9">
        <f>revenue[productCost]*revenue[orderQuantity]</f>
        <v>241.1256283</v>
      </c>
    </row>
    <row r="353" ht="15.75" customHeight="1">
      <c r="A353" s="6">
        <v>10381.0</v>
      </c>
      <c r="B353" s="7" t="s">
        <v>43</v>
      </c>
      <c r="C353" s="24" t="str">
        <f>VLOOKUP(revenue[customerID],customers[],2,FALSE)</f>
        <v>LILA-Supermercado</v>
      </c>
      <c r="D353" s="24" t="str">
        <f>VLOOKUP(revenue[customerID],customers[],6,FALSE)</f>
        <v>Barquisimeto</v>
      </c>
      <c r="E353" s="24" t="str">
        <f>VLOOKUP(revenue[customerID],customers[],9,FALSE)</f>
        <v>Venezuela</v>
      </c>
      <c r="F353" s="24">
        <v>44907.0</v>
      </c>
      <c r="G353" s="6">
        <v>74.0</v>
      </c>
      <c r="H353" s="9" t="str">
        <f>VLOOKUP(revenue[productID],products[],2,FALSE)</f>
        <v>Longlife Tofu</v>
      </c>
      <c r="I353" s="9" t="str">
        <f>VLOOKUP(revenue[productID],products[],12,FALSE)</f>
        <v>Produce</v>
      </c>
      <c r="J353" s="9">
        <f>VLOOKUP(revenue[productID],products[],IF(YEAR(revenue[orderDate])=2022,8,IF(YEAR(revenue[orderDate])=2023,9,IF(YEAR(revenue[orderDate])=2024,10,NA))),FALSE)</f>
        <v>5.667130124</v>
      </c>
      <c r="K353" s="9">
        <v>8.0</v>
      </c>
      <c r="L353" s="25">
        <f>(revenue[orderPrice]-revenue[productCost])/revenue[productCost]</f>
        <v>0.4116492519</v>
      </c>
      <c r="M353" s="10">
        <v>14.0</v>
      </c>
      <c r="N353" s="25">
        <v>0.0</v>
      </c>
      <c r="O353" s="9">
        <f>revenue[orderPrice]*revenue[orderQuantity]</f>
        <v>112</v>
      </c>
      <c r="P353" s="9">
        <f>revenue[orderTotal]*(1-revenue[discountApllied])</f>
        <v>112</v>
      </c>
      <c r="Q353" s="9">
        <f>revenue[revenue]-(revenue[productCost]*revenue[orderQuantity])</f>
        <v>32.66017827</v>
      </c>
      <c r="R353" s="25">
        <f>IFERROR(revenue[profit]/revenue[revenue], 0)</f>
        <v>0.2916087345</v>
      </c>
      <c r="S353" s="9">
        <f>revenue[productCost]*revenue[orderQuantity]</f>
        <v>79.33982173</v>
      </c>
    </row>
    <row r="354" ht="15.75" customHeight="1">
      <c r="A354" s="6">
        <v>10382.0</v>
      </c>
      <c r="B354" s="7" t="s">
        <v>24</v>
      </c>
      <c r="C354" s="24" t="str">
        <f>VLOOKUP(revenue[customerID],customers[],2,FALSE)</f>
        <v>Ernst Handel</v>
      </c>
      <c r="D354" s="24" t="str">
        <f>VLOOKUP(revenue[customerID],customers[],6,FALSE)</f>
        <v>Graz</v>
      </c>
      <c r="E354" s="24" t="str">
        <f>VLOOKUP(revenue[customerID],customers[],9,FALSE)</f>
        <v>Austria</v>
      </c>
      <c r="F354" s="24">
        <v>44908.0</v>
      </c>
      <c r="G354" s="6">
        <v>5.0</v>
      </c>
      <c r="H354" s="9" t="str">
        <f>VLOOKUP(revenue[productID],products[],2,FALSE)</f>
        <v>Chef Anton's Gumbo Mix</v>
      </c>
      <c r="I354" s="9" t="str">
        <f>VLOOKUP(revenue[productID],products[],12,FALSE)</f>
        <v>Condiments</v>
      </c>
      <c r="J354" s="9">
        <f>VLOOKUP(revenue[productID],products[],IF(YEAR(revenue[orderDate])=2022,8,IF(YEAR(revenue[orderDate])=2023,9,IF(YEAR(revenue[orderDate])=2024,10,NA))),FALSE)</f>
        <v>10.9059059</v>
      </c>
      <c r="K354" s="9">
        <v>17.0</v>
      </c>
      <c r="L354" s="25">
        <f>(revenue[orderPrice]-revenue[productCost])/revenue[productCost]</f>
        <v>0.5587884354</v>
      </c>
      <c r="M354" s="10">
        <v>32.0</v>
      </c>
      <c r="N354" s="25">
        <v>0.0</v>
      </c>
      <c r="O354" s="9">
        <f>revenue[orderPrice]*revenue[orderQuantity]</f>
        <v>544</v>
      </c>
      <c r="P354" s="9">
        <f>revenue[orderTotal]*(1-revenue[discountApllied])</f>
        <v>544</v>
      </c>
      <c r="Q354" s="9">
        <f>revenue[revenue]-(revenue[productCost]*revenue[orderQuantity])</f>
        <v>195.0110111</v>
      </c>
      <c r="R354" s="25">
        <f>IFERROR(revenue[profit]/revenue[revenue], 0)</f>
        <v>0.3584761233</v>
      </c>
      <c r="S354" s="9">
        <f>revenue[productCost]*revenue[orderQuantity]</f>
        <v>348.9889889</v>
      </c>
    </row>
    <row r="355" ht="15.75" customHeight="1">
      <c r="A355" s="6">
        <v>10382.0</v>
      </c>
      <c r="B355" s="7" t="s">
        <v>24</v>
      </c>
      <c r="C355" s="24" t="str">
        <f>VLOOKUP(revenue[customerID],customers[],2,FALSE)</f>
        <v>Ernst Handel</v>
      </c>
      <c r="D355" s="24" t="str">
        <f>VLOOKUP(revenue[customerID],customers[],6,FALSE)</f>
        <v>Graz</v>
      </c>
      <c r="E355" s="24" t="str">
        <f>VLOOKUP(revenue[customerID],customers[],9,FALSE)</f>
        <v>Austria</v>
      </c>
      <c r="F355" s="24">
        <v>44908.0</v>
      </c>
      <c r="G355" s="6">
        <v>18.0</v>
      </c>
      <c r="H355" s="9" t="str">
        <f>VLOOKUP(revenue[productID],products[],2,FALSE)</f>
        <v>Carnarvon Tigers</v>
      </c>
      <c r="I355" s="9" t="str">
        <f>VLOOKUP(revenue[productID],products[],12,FALSE)</f>
        <v>Seafood</v>
      </c>
      <c r="J355" s="9">
        <f>VLOOKUP(revenue[productID],products[],IF(YEAR(revenue[orderDate])=2022,8,IF(YEAR(revenue[orderDate])=2023,9,IF(YEAR(revenue[orderDate])=2024,10,NA))),FALSE)</f>
        <v>32.46379819</v>
      </c>
      <c r="K355" s="9">
        <v>50.0</v>
      </c>
      <c r="L355" s="25">
        <f>(revenue[orderPrice]-revenue[productCost])/revenue[productCost]</f>
        <v>0.5401771445</v>
      </c>
      <c r="M355" s="10">
        <v>9.0</v>
      </c>
      <c r="N355" s="25">
        <v>0.0</v>
      </c>
      <c r="O355" s="9">
        <f>revenue[orderPrice]*revenue[orderQuantity]</f>
        <v>450</v>
      </c>
      <c r="P355" s="9">
        <f>revenue[orderTotal]*(1-revenue[discountApllied])</f>
        <v>450</v>
      </c>
      <c r="Q355" s="9">
        <f>revenue[revenue]-(revenue[productCost]*revenue[orderQuantity])</f>
        <v>157.8258163</v>
      </c>
      <c r="R355" s="25">
        <f>IFERROR(revenue[profit]/revenue[revenue], 0)</f>
        <v>0.3507240361</v>
      </c>
      <c r="S355" s="9">
        <f>revenue[productCost]*revenue[orderQuantity]</f>
        <v>292.1741837</v>
      </c>
    </row>
    <row r="356" ht="15.75" customHeight="1">
      <c r="A356" s="6">
        <v>10382.0</v>
      </c>
      <c r="B356" s="7" t="s">
        <v>24</v>
      </c>
      <c r="C356" s="24" t="str">
        <f>VLOOKUP(revenue[customerID],customers[],2,FALSE)</f>
        <v>Ernst Handel</v>
      </c>
      <c r="D356" s="24" t="str">
        <f>VLOOKUP(revenue[customerID],customers[],6,FALSE)</f>
        <v>Graz</v>
      </c>
      <c r="E356" s="24" t="str">
        <f>VLOOKUP(revenue[customerID],customers[],9,FALSE)</f>
        <v>Austria</v>
      </c>
      <c r="F356" s="24">
        <v>44908.0</v>
      </c>
      <c r="G356" s="6">
        <v>29.0</v>
      </c>
      <c r="H356" s="9" t="str">
        <f>VLOOKUP(revenue[productID],products[],2,FALSE)</f>
        <v>Thüringer Rostbratwurst</v>
      </c>
      <c r="I356" s="9" t="str">
        <f>VLOOKUP(revenue[productID],products[],12,FALSE)</f>
        <v>Meat/Poultry</v>
      </c>
      <c r="J356" s="9">
        <f>VLOOKUP(revenue[productID],products[],IF(YEAR(revenue[orderDate])=2022,8,IF(YEAR(revenue[orderDate])=2023,9,IF(YEAR(revenue[orderDate])=2024,10,NA))),FALSE)</f>
        <v>70.25945266</v>
      </c>
      <c r="K356" s="9">
        <v>99.0</v>
      </c>
      <c r="L356" s="25">
        <f>(revenue[orderPrice]-revenue[productCost])/revenue[productCost]</f>
        <v>0.4090630691</v>
      </c>
      <c r="M356" s="10">
        <v>14.0</v>
      </c>
      <c r="N356" s="25">
        <v>0.0</v>
      </c>
      <c r="O356" s="9">
        <f>revenue[orderPrice]*revenue[orderQuantity]</f>
        <v>1386</v>
      </c>
      <c r="P356" s="9">
        <f>revenue[orderTotal]*(1-revenue[discountApllied])</f>
        <v>1386</v>
      </c>
      <c r="Q356" s="9">
        <f>revenue[revenue]-(revenue[productCost]*revenue[orderQuantity])</f>
        <v>402.3676628</v>
      </c>
      <c r="R356" s="25">
        <f>IFERROR(revenue[profit]/revenue[revenue], 0)</f>
        <v>0.290308559</v>
      </c>
      <c r="S356" s="9">
        <f>revenue[productCost]*revenue[orderQuantity]</f>
        <v>983.6323372</v>
      </c>
    </row>
    <row r="357" ht="15.75" customHeight="1">
      <c r="A357" s="6">
        <v>10382.0</v>
      </c>
      <c r="B357" s="7" t="s">
        <v>24</v>
      </c>
      <c r="C357" s="24" t="str">
        <f>VLOOKUP(revenue[customerID],customers[],2,FALSE)</f>
        <v>Ernst Handel</v>
      </c>
      <c r="D357" s="24" t="str">
        <f>VLOOKUP(revenue[customerID],customers[],6,FALSE)</f>
        <v>Graz</v>
      </c>
      <c r="E357" s="24" t="str">
        <f>VLOOKUP(revenue[customerID],customers[],9,FALSE)</f>
        <v>Austria</v>
      </c>
      <c r="F357" s="24">
        <v>44908.0</v>
      </c>
      <c r="G357" s="6">
        <v>33.0</v>
      </c>
      <c r="H357" s="9" t="str">
        <f>VLOOKUP(revenue[productID],products[],2,FALSE)</f>
        <v>Geitost</v>
      </c>
      <c r="I357" s="9" t="str">
        <f>VLOOKUP(revenue[productID],products[],12,FALSE)</f>
        <v>Dairy Products</v>
      </c>
      <c r="J357" s="9">
        <f>VLOOKUP(revenue[productID],products[],IF(YEAR(revenue[orderDate])=2022,8,IF(YEAR(revenue[orderDate])=2023,9,IF(YEAR(revenue[orderDate])=2024,10,NA))),FALSE)</f>
        <v>1.393847434</v>
      </c>
      <c r="K357" s="9">
        <v>2.0</v>
      </c>
      <c r="L357" s="25">
        <f>(revenue[orderPrice]-revenue[productCost])/revenue[productCost]</f>
        <v>0.4348772692</v>
      </c>
      <c r="M357" s="10">
        <v>60.0</v>
      </c>
      <c r="N357" s="25">
        <v>0.0</v>
      </c>
      <c r="O357" s="9">
        <f>revenue[orderPrice]*revenue[orderQuantity]</f>
        <v>120</v>
      </c>
      <c r="P357" s="9">
        <f>revenue[orderTotal]*(1-revenue[discountApllied])</f>
        <v>120</v>
      </c>
      <c r="Q357" s="9">
        <f>revenue[revenue]-(revenue[productCost]*revenue[orderQuantity])</f>
        <v>36.36915395</v>
      </c>
      <c r="R357" s="25">
        <f>IFERROR(revenue[profit]/revenue[revenue], 0)</f>
        <v>0.3030762829</v>
      </c>
      <c r="S357" s="9">
        <f>revenue[productCost]*revenue[orderQuantity]</f>
        <v>83.63084605</v>
      </c>
    </row>
    <row r="358" ht="15.75" customHeight="1">
      <c r="A358" s="6">
        <v>10382.0</v>
      </c>
      <c r="B358" s="7" t="s">
        <v>24</v>
      </c>
      <c r="C358" s="24" t="str">
        <f>VLOOKUP(revenue[customerID],customers[],2,FALSE)</f>
        <v>Ernst Handel</v>
      </c>
      <c r="D358" s="24" t="str">
        <f>VLOOKUP(revenue[customerID],customers[],6,FALSE)</f>
        <v>Graz</v>
      </c>
      <c r="E358" s="24" t="str">
        <f>VLOOKUP(revenue[customerID],customers[],9,FALSE)</f>
        <v>Austria</v>
      </c>
      <c r="F358" s="24">
        <v>44908.0</v>
      </c>
      <c r="G358" s="6">
        <v>74.0</v>
      </c>
      <c r="H358" s="9" t="str">
        <f>VLOOKUP(revenue[productID],products[],2,FALSE)</f>
        <v>Longlife Tofu</v>
      </c>
      <c r="I358" s="9" t="str">
        <f>VLOOKUP(revenue[productID],products[],12,FALSE)</f>
        <v>Produce</v>
      </c>
      <c r="J358" s="9">
        <f>VLOOKUP(revenue[productID],products[],IF(YEAR(revenue[orderDate])=2022,8,IF(YEAR(revenue[orderDate])=2023,9,IF(YEAR(revenue[orderDate])=2024,10,NA))),FALSE)</f>
        <v>5.667130124</v>
      </c>
      <c r="K358" s="9">
        <v>8.0</v>
      </c>
      <c r="L358" s="25">
        <f>(revenue[orderPrice]-revenue[productCost])/revenue[productCost]</f>
        <v>0.4116492519</v>
      </c>
      <c r="M358" s="10">
        <v>50.0</v>
      </c>
      <c r="N358" s="25">
        <v>0.0</v>
      </c>
      <c r="O358" s="9">
        <f>revenue[orderPrice]*revenue[orderQuantity]</f>
        <v>400</v>
      </c>
      <c r="P358" s="9">
        <f>revenue[orderTotal]*(1-revenue[discountApllied])</f>
        <v>400</v>
      </c>
      <c r="Q358" s="9">
        <f>revenue[revenue]-(revenue[productCost]*revenue[orderQuantity])</f>
        <v>116.6434938</v>
      </c>
      <c r="R358" s="25">
        <f>IFERROR(revenue[profit]/revenue[revenue], 0)</f>
        <v>0.2916087345</v>
      </c>
      <c r="S358" s="9">
        <f>revenue[productCost]*revenue[orderQuantity]</f>
        <v>283.3565062</v>
      </c>
    </row>
    <row r="359" ht="15.75" customHeight="1">
      <c r="A359" s="6">
        <v>10383.0</v>
      </c>
      <c r="B359" s="7" t="s">
        <v>70</v>
      </c>
      <c r="C359" s="24" t="str">
        <f>VLOOKUP(revenue[customerID],customers[],2,FALSE)</f>
        <v>Around the Horn</v>
      </c>
      <c r="D359" s="24" t="str">
        <f>VLOOKUP(revenue[customerID],customers[],6,FALSE)</f>
        <v>London</v>
      </c>
      <c r="E359" s="24" t="str">
        <f>VLOOKUP(revenue[customerID],customers[],9,FALSE)</f>
        <v>UK</v>
      </c>
      <c r="F359" s="24">
        <v>44911.0</v>
      </c>
      <c r="G359" s="6">
        <v>13.0</v>
      </c>
      <c r="H359" s="9" t="str">
        <f>VLOOKUP(revenue[productID],products[],2,FALSE)</f>
        <v>Konbu</v>
      </c>
      <c r="I359" s="9" t="str">
        <f>VLOOKUP(revenue[productID],products[],12,FALSE)</f>
        <v>Seafood</v>
      </c>
      <c r="J359" s="9">
        <f>VLOOKUP(revenue[productID],products[],IF(YEAR(revenue[orderDate])=2022,8,IF(YEAR(revenue[orderDate])=2023,9,IF(YEAR(revenue[orderDate])=2024,10,NA))),FALSE)</f>
        <v>3.236727382</v>
      </c>
      <c r="K359" s="9">
        <v>4.8</v>
      </c>
      <c r="L359" s="25">
        <f>(revenue[orderPrice]-revenue[productCost])/revenue[productCost]</f>
        <v>0.4829793907</v>
      </c>
      <c r="M359" s="10">
        <v>20.0</v>
      </c>
      <c r="N359" s="25">
        <v>0.0</v>
      </c>
      <c r="O359" s="9">
        <f>revenue[orderPrice]*revenue[orderQuantity]</f>
        <v>96</v>
      </c>
      <c r="P359" s="9">
        <f>revenue[orderTotal]*(1-revenue[discountApllied])</f>
        <v>96</v>
      </c>
      <c r="Q359" s="9">
        <f>revenue[revenue]-(revenue[productCost]*revenue[orderQuantity])</f>
        <v>31.26545237</v>
      </c>
      <c r="R359" s="25">
        <f>IFERROR(revenue[profit]/revenue[revenue], 0)</f>
        <v>0.3256817955</v>
      </c>
      <c r="S359" s="9">
        <f>revenue[productCost]*revenue[orderQuantity]</f>
        <v>64.73454763</v>
      </c>
    </row>
    <row r="360" ht="15.75" customHeight="1">
      <c r="A360" s="6">
        <v>10383.0</v>
      </c>
      <c r="B360" s="7" t="s">
        <v>70</v>
      </c>
      <c r="C360" s="24" t="str">
        <f>VLOOKUP(revenue[customerID],customers[],2,FALSE)</f>
        <v>Around the Horn</v>
      </c>
      <c r="D360" s="24" t="str">
        <f>VLOOKUP(revenue[customerID],customers[],6,FALSE)</f>
        <v>London</v>
      </c>
      <c r="E360" s="24" t="str">
        <f>VLOOKUP(revenue[customerID],customers[],9,FALSE)</f>
        <v>UK</v>
      </c>
      <c r="F360" s="24">
        <v>44911.0</v>
      </c>
      <c r="G360" s="6">
        <v>50.0</v>
      </c>
      <c r="H360" s="9" t="str">
        <f>VLOOKUP(revenue[productID],products[],2,FALSE)</f>
        <v>Valkoinen suklaa</v>
      </c>
      <c r="I360" s="9" t="str">
        <f>VLOOKUP(revenue[productID],products[],12,FALSE)</f>
        <v>Confections</v>
      </c>
      <c r="J360" s="9">
        <f>VLOOKUP(revenue[productID],products[],IF(YEAR(revenue[orderDate])=2022,8,IF(YEAR(revenue[orderDate])=2023,9,IF(YEAR(revenue[orderDate])=2024,10,NA))),FALSE)</f>
        <v>9.682278645</v>
      </c>
      <c r="K360" s="9">
        <v>13.0</v>
      </c>
      <c r="L360" s="25">
        <f>(revenue[orderPrice]-revenue[productCost])/revenue[productCost]</f>
        <v>0.3426591484</v>
      </c>
      <c r="M360" s="10">
        <v>15.0</v>
      </c>
      <c r="N360" s="25">
        <v>0.0</v>
      </c>
      <c r="O360" s="9">
        <f>revenue[orderPrice]*revenue[orderQuantity]</f>
        <v>195</v>
      </c>
      <c r="P360" s="9">
        <f>revenue[orderTotal]*(1-revenue[discountApllied])</f>
        <v>195</v>
      </c>
      <c r="Q360" s="9">
        <f>revenue[revenue]-(revenue[productCost]*revenue[orderQuantity])</f>
        <v>49.76582033</v>
      </c>
      <c r="R360" s="25">
        <f>IFERROR(revenue[profit]/revenue[revenue], 0)</f>
        <v>0.255209335</v>
      </c>
      <c r="S360" s="9">
        <f>revenue[productCost]*revenue[orderQuantity]</f>
        <v>145.2341797</v>
      </c>
    </row>
    <row r="361" ht="15.75" customHeight="1">
      <c r="A361" s="6">
        <v>10383.0</v>
      </c>
      <c r="B361" s="7" t="s">
        <v>70</v>
      </c>
      <c r="C361" s="24" t="str">
        <f>VLOOKUP(revenue[customerID],customers[],2,FALSE)</f>
        <v>Around the Horn</v>
      </c>
      <c r="D361" s="24" t="str">
        <f>VLOOKUP(revenue[customerID],customers[],6,FALSE)</f>
        <v>London</v>
      </c>
      <c r="E361" s="24" t="str">
        <f>VLOOKUP(revenue[customerID],customers[],9,FALSE)</f>
        <v>UK</v>
      </c>
      <c r="F361" s="24">
        <v>44911.0</v>
      </c>
      <c r="G361" s="6">
        <v>56.0</v>
      </c>
      <c r="H361" s="9" t="str">
        <f>VLOOKUP(revenue[productID],products[],2,FALSE)</f>
        <v>Gnocchi di nonna Alice</v>
      </c>
      <c r="I361" s="9" t="str">
        <f>VLOOKUP(revenue[productID],products[],12,FALSE)</f>
        <v>Grains/Cereals</v>
      </c>
      <c r="J361" s="9">
        <f>VLOOKUP(revenue[productID],products[],IF(YEAR(revenue[orderDate])=2022,8,IF(YEAR(revenue[orderDate])=2023,9,IF(YEAR(revenue[orderDate])=2024,10,NA))),FALSE)</f>
        <v>21.5040056</v>
      </c>
      <c r="K361" s="9">
        <v>30.4</v>
      </c>
      <c r="L361" s="25">
        <f>(revenue[orderPrice]-revenue[productCost])/revenue[productCost]</f>
        <v>0.4136901081</v>
      </c>
      <c r="M361" s="10">
        <v>20.0</v>
      </c>
      <c r="N361" s="25">
        <v>0.0</v>
      </c>
      <c r="O361" s="9">
        <f>revenue[orderPrice]*revenue[orderQuantity]</f>
        <v>608</v>
      </c>
      <c r="P361" s="9">
        <f>revenue[orderTotal]*(1-revenue[discountApllied])</f>
        <v>608</v>
      </c>
      <c r="Q361" s="9">
        <f>revenue[revenue]-(revenue[productCost]*revenue[orderQuantity])</f>
        <v>177.919888</v>
      </c>
      <c r="R361" s="25">
        <f>IFERROR(revenue[profit]/revenue[revenue], 0)</f>
        <v>0.2926313948</v>
      </c>
      <c r="S361" s="9">
        <f>revenue[productCost]*revenue[orderQuantity]</f>
        <v>430.080112</v>
      </c>
    </row>
    <row r="362" ht="15.75" customHeight="1">
      <c r="A362" s="6">
        <v>10384.0</v>
      </c>
      <c r="B362" s="7" t="s">
        <v>40</v>
      </c>
      <c r="C362" s="24" t="str">
        <f>VLOOKUP(revenue[customerID],customers[],2,FALSE)</f>
        <v>Berglunds snabbköp</v>
      </c>
      <c r="D362" s="24" t="str">
        <f>VLOOKUP(revenue[customerID],customers[],6,FALSE)</f>
        <v>Luleå</v>
      </c>
      <c r="E362" s="24" t="str">
        <f>VLOOKUP(revenue[customerID],customers[],9,FALSE)</f>
        <v>Sweden</v>
      </c>
      <c r="F362" s="24">
        <v>44911.0</v>
      </c>
      <c r="G362" s="6">
        <v>20.0</v>
      </c>
      <c r="H362" s="9" t="str">
        <f>VLOOKUP(revenue[productID],products[],2,FALSE)</f>
        <v>Sir Rodney's Marmalade</v>
      </c>
      <c r="I362" s="9" t="str">
        <f>VLOOKUP(revenue[productID],products[],12,FALSE)</f>
        <v>Confections</v>
      </c>
      <c r="J362" s="9">
        <f>VLOOKUP(revenue[productID],products[],IF(YEAR(revenue[orderDate])=2022,8,IF(YEAR(revenue[orderDate])=2023,9,IF(YEAR(revenue[orderDate])=2024,10,NA))),FALSE)</f>
        <v>45.94247438</v>
      </c>
      <c r="K362" s="9">
        <v>64.8</v>
      </c>
      <c r="L362" s="25">
        <f>(revenue[orderPrice]-revenue[productCost])/revenue[productCost]</f>
        <v>0.4104595121</v>
      </c>
      <c r="M362" s="10">
        <v>28.0</v>
      </c>
      <c r="N362" s="25">
        <v>0.0</v>
      </c>
      <c r="O362" s="9">
        <f>revenue[orderPrice]*revenue[orderQuantity]</f>
        <v>1814.4</v>
      </c>
      <c r="P362" s="9">
        <f>revenue[orderTotal]*(1-revenue[discountApllied])</f>
        <v>1814.4</v>
      </c>
      <c r="Q362" s="9">
        <f>revenue[revenue]-(revenue[productCost]*revenue[orderQuantity])</f>
        <v>528.0107173</v>
      </c>
      <c r="R362" s="25">
        <f>IFERROR(revenue[profit]/revenue[revenue], 0)</f>
        <v>0.2910111978</v>
      </c>
      <c r="S362" s="9">
        <f>revenue[productCost]*revenue[orderQuantity]</f>
        <v>1286.389283</v>
      </c>
    </row>
    <row r="363" ht="15.75" customHeight="1">
      <c r="A363" s="6">
        <v>10384.0</v>
      </c>
      <c r="B363" s="7" t="s">
        <v>40</v>
      </c>
      <c r="C363" s="24" t="str">
        <f>VLOOKUP(revenue[customerID],customers[],2,FALSE)</f>
        <v>Berglunds snabbköp</v>
      </c>
      <c r="D363" s="24" t="str">
        <f>VLOOKUP(revenue[customerID],customers[],6,FALSE)</f>
        <v>Luleå</v>
      </c>
      <c r="E363" s="24" t="str">
        <f>VLOOKUP(revenue[customerID],customers[],9,FALSE)</f>
        <v>Sweden</v>
      </c>
      <c r="F363" s="24">
        <v>44911.0</v>
      </c>
      <c r="G363" s="6">
        <v>60.0</v>
      </c>
      <c r="H363" s="9" t="str">
        <f>VLOOKUP(revenue[productID],products[],2,FALSE)</f>
        <v>Camembert Pierrot</v>
      </c>
      <c r="I363" s="9" t="str">
        <f>VLOOKUP(revenue[productID],products[],12,FALSE)</f>
        <v>Dairy Products</v>
      </c>
      <c r="J363" s="9">
        <f>VLOOKUP(revenue[productID],products[],IF(YEAR(revenue[orderDate])=2022,8,IF(YEAR(revenue[orderDate])=2023,9,IF(YEAR(revenue[orderDate])=2024,10,NA))),FALSE)</f>
        <v>17.66563493</v>
      </c>
      <c r="K363" s="9">
        <v>27.2</v>
      </c>
      <c r="L363" s="25">
        <f>(revenue[orderPrice]-revenue[productCost])/revenue[productCost]</f>
        <v>0.5397125612</v>
      </c>
      <c r="M363" s="10">
        <v>15.0</v>
      </c>
      <c r="N363" s="25">
        <v>0.0</v>
      </c>
      <c r="O363" s="9">
        <f>revenue[orderPrice]*revenue[orderQuantity]</f>
        <v>408</v>
      </c>
      <c r="P363" s="9">
        <f>revenue[orderTotal]*(1-revenue[discountApllied])</f>
        <v>408</v>
      </c>
      <c r="Q363" s="9">
        <f>revenue[revenue]-(revenue[productCost]*revenue[orderQuantity])</f>
        <v>143.0154761</v>
      </c>
      <c r="R363" s="25">
        <f>IFERROR(revenue[profit]/revenue[revenue], 0)</f>
        <v>0.3505281276</v>
      </c>
      <c r="S363" s="9">
        <f>revenue[productCost]*revenue[orderQuantity]</f>
        <v>264.9845239</v>
      </c>
    </row>
    <row r="364" ht="15.75" customHeight="1">
      <c r="A364" s="6">
        <v>10385.0</v>
      </c>
      <c r="B364" s="7" t="s">
        <v>35</v>
      </c>
      <c r="C364" s="24" t="str">
        <f>VLOOKUP(revenue[customerID],customers[],2,FALSE)</f>
        <v>Split Rail Beer &amp; Ale</v>
      </c>
      <c r="D364" s="24" t="str">
        <f>VLOOKUP(revenue[customerID],customers[],6,FALSE)</f>
        <v>Lander</v>
      </c>
      <c r="E364" s="24" t="str">
        <f>VLOOKUP(revenue[customerID],customers[],9,FALSE)</f>
        <v>USA</v>
      </c>
      <c r="F364" s="24">
        <v>44912.0</v>
      </c>
      <c r="G364" s="6">
        <v>7.0</v>
      </c>
      <c r="H364" s="9" t="str">
        <f>VLOOKUP(revenue[productID],products[],2,FALSE)</f>
        <v>Uncle Bob's Organic Dried Pears</v>
      </c>
      <c r="I364" s="9" t="str">
        <f>VLOOKUP(revenue[productID],products[],12,FALSE)</f>
        <v>Produce</v>
      </c>
      <c r="J364" s="9">
        <f>VLOOKUP(revenue[productID],products[],IF(YEAR(revenue[orderDate])=2022,8,IF(YEAR(revenue[orderDate])=2023,9,IF(YEAR(revenue[orderDate])=2024,10,NA))),FALSE)</f>
        <v>16.42997431</v>
      </c>
      <c r="K364" s="9">
        <v>24.0</v>
      </c>
      <c r="L364" s="25">
        <f>(revenue[orderPrice]-revenue[productCost])/revenue[productCost]</f>
        <v>0.4607448283</v>
      </c>
      <c r="M364" s="10">
        <v>10.0</v>
      </c>
      <c r="N364" s="25">
        <v>0.2</v>
      </c>
      <c r="O364" s="9">
        <f>revenue[orderPrice]*revenue[orderQuantity]</f>
        <v>240</v>
      </c>
      <c r="P364" s="9">
        <f>revenue[orderTotal]*(1-revenue[discountApllied])</f>
        <v>192</v>
      </c>
      <c r="Q364" s="9">
        <f>revenue[revenue]-(revenue[productCost]*revenue[orderQuantity])</f>
        <v>27.70025691</v>
      </c>
      <c r="R364" s="25">
        <f>IFERROR(revenue[profit]/revenue[revenue], 0)</f>
        <v>0.1442721714</v>
      </c>
      <c r="S364" s="9">
        <f>revenue[productCost]*revenue[orderQuantity]</f>
        <v>164.2997431</v>
      </c>
    </row>
    <row r="365" ht="15.75" customHeight="1">
      <c r="A365" s="6">
        <v>10385.0</v>
      </c>
      <c r="B365" s="7" t="s">
        <v>35</v>
      </c>
      <c r="C365" s="24" t="str">
        <f>VLOOKUP(revenue[customerID],customers[],2,FALSE)</f>
        <v>Split Rail Beer &amp; Ale</v>
      </c>
      <c r="D365" s="24" t="str">
        <f>VLOOKUP(revenue[customerID],customers[],6,FALSE)</f>
        <v>Lander</v>
      </c>
      <c r="E365" s="24" t="str">
        <f>VLOOKUP(revenue[customerID],customers[],9,FALSE)</f>
        <v>USA</v>
      </c>
      <c r="F365" s="24">
        <v>44912.0</v>
      </c>
      <c r="G365" s="6">
        <v>60.0</v>
      </c>
      <c r="H365" s="9" t="str">
        <f>VLOOKUP(revenue[productID],products[],2,FALSE)</f>
        <v>Camembert Pierrot</v>
      </c>
      <c r="I365" s="9" t="str">
        <f>VLOOKUP(revenue[productID],products[],12,FALSE)</f>
        <v>Dairy Products</v>
      </c>
      <c r="J365" s="9">
        <f>VLOOKUP(revenue[productID],products[],IF(YEAR(revenue[orderDate])=2022,8,IF(YEAR(revenue[orderDate])=2023,9,IF(YEAR(revenue[orderDate])=2024,10,NA))),FALSE)</f>
        <v>17.66563493</v>
      </c>
      <c r="K365" s="9">
        <v>27.2</v>
      </c>
      <c r="L365" s="25">
        <f>(revenue[orderPrice]-revenue[productCost])/revenue[productCost]</f>
        <v>0.5397125612</v>
      </c>
      <c r="M365" s="10">
        <v>20.0</v>
      </c>
      <c r="N365" s="25">
        <v>0.2</v>
      </c>
      <c r="O365" s="9">
        <f>revenue[orderPrice]*revenue[orderQuantity]</f>
        <v>544</v>
      </c>
      <c r="P365" s="9">
        <f>revenue[orderTotal]*(1-revenue[discountApllied])</f>
        <v>435.2</v>
      </c>
      <c r="Q365" s="9">
        <f>revenue[revenue]-(revenue[productCost]*revenue[orderQuantity])</f>
        <v>81.88730144</v>
      </c>
      <c r="R365" s="25">
        <f>IFERROR(revenue[profit]/revenue[revenue], 0)</f>
        <v>0.1881601596</v>
      </c>
      <c r="S365" s="9">
        <f>revenue[productCost]*revenue[orderQuantity]</f>
        <v>353.3126986</v>
      </c>
    </row>
    <row r="366" ht="15.75" customHeight="1">
      <c r="A366" s="6">
        <v>10385.0</v>
      </c>
      <c r="B366" s="7" t="s">
        <v>35</v>
      </c>
      <c r="C366" s="24" t="str">
        <f>VLOOKUP(revenue[customerID],customers[],2,FALSE)</f>
        <v>Split Rail Beer &amp; Ale</v>
      </c>
      <c r="D366" s="24" t="str">
        <f>VLOOKUP(revenue[customerID],customers[],6,FALSE)</f>
        <v>Lander</v>
      </c>
      <c r="E366" s="24" t="str">
        <f>VLOOKUP(revenue[customerID],customers[],9,FALSE)</f>
        <v>USA</v>
      </c>
      <c r="F366" s="24">
        <v>44912.0</v>
      </c>
      <c r="G366" s="6">
        <v>68.0</v>
      </c>
      <c r="H366" s="9" t="str">
        <f>VLOOKUP(revenue[productID],products[],2,FALSE)</f>
        <v>Scottish Longbreads</v>
      </c>
      <c r="I366" s="9" t="str">
        <f>VLOOKUP(revenue[productID],products[],12,FALSE)</f>
        <v>Confections</v>
      </c>
      <c r="J366" s="9">
        <f>VLOOKUP(revenue[productID],products[],IF(YEAR(revenue[orderDate])=2022,8,IF(YEAR(revenue[orderDate])=2023,9,IF(YEAR(revenue[orderDate])=2024,10,NA))),FALSE)</f>
        <v>7.316656529</v>
      </c>
      <c r="K366" s="9">
        <v>10.0</v>
      </c>
      <c r="L366" s="25">
        <f>(revenue[orderPrice]-revenue[productCost])/revenue[productCost]</f>
        <v>0.3667444906</v>
      </c>
      <c r="M366" s="10">
        <v>8.0</v>
      </c>
      <c r="N366" s="25">
        <v>0.2</v>
      </c>
      <c r="O366" s="9">
        <f>revenue[orderPrice]*revenue[orderQuantity]</f>
        <v>80</v>
      </c>
      <c r="P366" s="9">
        <f>revenue[orderTotal]*(1-revenue[discountApllied])</f>
        <v>64</v>
      </c>
      <c r="Q366" s="9">
        <f>revenue[revenue]-(revenue[productCost]*revenue[orderQuantity])</f>
        <v>5.466747772</v>
      </c>
      <c r="R366" s="25">
        <f>IFERROR(revenue[profit]/revenue[revenue], 0)</f>
        <v>0.08541793393</v>
      </c>
      <c r="S366" s="9">
        <f>revenue[productCost]*revenue[orderQuantity]</f>
        <v>58.53325223</v>
      </c>
    </row>
    <row r="367" ht="15.75" customHeight="1">
      <c r="A367" s="6">
        <v>10386.0</v>
      </c>
      <c r="B367" s="7" t="s">
        <v>67</v>
      </c>
      <c r="C367" s="24" t="str">
        <f>VLOOKUP(revenue[customerID],customers[],2,FALSE)</f>
        <v>Familia Arquibaldo</v>
      </c>
      <c r="D367" s="24" t="str">
        <f>VLOOKUP(revenue[customerID],customers[],6,FALSE)</f>
        <v>Sao Paulo</v>
      </c>
      <c r="E367" s="24" t="str">
        <f>VLOOKUP(revenue[customerID],customers[],9,FALSE)</f>
        <v>Brazil</v>
      </c>
      <c r="F367" s="24">
        <v>44913.0</v>
      </c>
      <c r="G367" s="6">
        <v>24.0</v>
      </c>
      <c r="H367" s="9" t="str">
        <f>VLOOKUP(revenue[productID],products[],2,FALSE)</f>
        <v>Brigadeiros Maravilhosos da Lilian</v>
      </c>
      <c r="I367" s="9" t="str">
        <f>VLOOKUP(revenue[productID],products[],12,FALSE)</f>
        <v>Confections</v>
      </c>
      <c r="J367" s="9">
        <f>VLOOKUP(revenue[productID],products[],IF(YEAR(revenue[orderDate])=2022,8,IF(YEAR(revenue[orderDate])=2023,9,IF(YEAR(revenue[orderDate])=2024,10,NA))),FALSE)</f>
        <v>2.68117246</v>
      </c>
      <c r="K367" s="9">
        <v>3.6</v>
      </c>
      <c r="L367" s="25">
        <f>(revenue[orderPrice]-revenue[productCost])/revenue[productCost]</f>
        <v>0.3426961727</v>
      </c>
      <c r="M367" s="10">
        <v>15.0</v>
      </c>
      <c r="N367" s="25">
        <v>0.0</v>
      </c>
      <c r="O367" s="9">
        <f>revenue[orderPrice]*revenue[orderQuantity]</f>
        <v>54</v>
      </c>
      <c r="P367" s="9">
        <f>revenue[orderTotal]*(1-revenue[discountApllied])</f>
        <v>54</v>
      </c>
      <c r="Q367" s="9">
        <f>revenue[revenue]-(revenue[productCost]*revenue[orderQuantity])</f>
        <v>13.7824131</v>
      </c>
      <c r="R367" s="25">
        <f>IFERROR(revenue[profit]/revenue[revenue], 0)</f>
        <v>0.2552298723</v>
      </c>
      <c r="S367" s="9">
        <f>revenue[productCost]*revenue[orderQuantity]</f>
        <v>40.2175869</v>
      </c>
    </row>
    <row r="368" ht="15.75" customHeight="1">
      <c r="A368" s="6">
        <v>10386.0</v>
      </c>
      <c r="B368" s="7" t="s">
        <v>67</v>
      </c>
      <c r="C368" s="24" t="str">
        <f>VLOOKUP(revenue[customerID],customers[],2,FALSE)</f>
        <v>Familia Arquibaldo</v>
      </c>
      <c r="D368" s="24" t="str">
        <f>VLOOKUP(revenue[customerID],customers[],6,FALSE)</f>
        <v>Sao Paulo</v>
      </c>
      <c r="E368" s="24" t="str">
        <f>VLOOKUP(revenue[customerID],customers[],9,FALSE)</f>
        <v>Brazil</v>
      </c>
      <c r="F368" s="24">
        <v>44913.0</v>
      </c>
      <c r="G368" s="6">
        <v>34.0</v>
      </c>
      <c r="H368" s="9" t="str">
        <f>VLOOKUP(revenue[productID],products[],2,FALSE)</f>
        <v>Sasquatch Ale</v>
      </c>
      <c r="I368" s="9" t="str">
        <f>VLOOKUP(revenue[productID],products[],12,FALSE)</f>
        <v>Beverages</v>
      </c>
      <c r="J368" s="9">
        <f>VLOOKUP(revenue[productID],products[],IF(YEAR(revenue[orderDate])=2022,8,IF(YEAR(revenue[orderDate])=2023,9,IF(YEAR(revenue[orderDate])=2024,10,NA))),FALSE)</f>
        <v>8.233671911</v>
      </c>
      <c r="K368" s="9">
        <v>11.2</v>
      </c>
      <c r="L368" s="25">
        <f>(revenue[orderPrice]-revenue[productCost])/revenue[productCost]</f>
        <v>0.3602679486</v>
      </c>
      <c r="M368" s="10">
        <v>10.0</v>
      </c>
      <c r="N368" s="25">
        <v>0.0</v>
      </c>
      <c r="O368" s="9">
        <f>revenue[orderPrice]*revenue[orderQuantity]</f>
        <v>112</v>
      </c>
      <c r="P368" s="9">
        <f>revenue[orderTotal]*(1-revenue[discountApllied])</f>
        <v>112</v>
      </c>
      <c r="Q368" s="9">
        <f>revenue[revenue]-(revenue[productCost]*revenue[orderQuantity])</f>
        <v>29.66328089</v>
      </c>
      <c r="R368" s="25">
        <f>IFERROR(revenue[profit]/revenue[revenue], 0)</f>
        <v>0.2648507222</v>
      </c>
      <c r="S368" s="9">
        <f>revenue[productCost]*revenue[orderQuantity]</f>
        <v>82.33671911</v>
      </c>
    </row>
    <row r="369" ht="15.75" customHeight="1">
      <c r="A369" s="6">
        <v>10387.0</v>
      </c>
      <c r="B369" s="7" t="s">
        <v>80</v>
      </c>
      <c r="C369" s="24" t="str">
        <f>VLOOKUP(revenue[customerID],customers[],2,FALSE)</f>
        <v>Santé Gourmet</v>
      </c>
      <c r="D369" s="24" t="str">
        <f>VLOOKUP(revenue[customerID],customers[],6,FALSE)</f>
        <v>Stavern</v>
      </c>
      <c r="E369" s="24" t="str">
        <f>VLOOKUP(revenue[customerID],customers[],9,FALSE)</f>
        <v>Norway</v>
      </c>
      <c r="F369" s="24">
        <v>44913.0</v>
      </c>
      <c r="G369" s="6">
        <v>24.0</v>
      </c>
      <c r="H369" s="9" t="str">
        <f>VLOOKUP(revenue[productID],products[],2,FALSE)</f>
        <v>Brigadeiros Maravilhosos da Lilian</v>
      </c>
      <c r="I369" s="9" t="str">
        <f>VLOOKUP(revenue[productID],products[],12,FALSE)</f>
        <v>Confections</v>
      </c>
      <c r="J369" s="9">
        <f>VLOOKUP(revenue[productID],products[],IF(YEAR(revenue[orderDate])=2022,8,IF(YEAR(revenue[orderDate])=2023,9,IF(YEAR(revenue[orderDate])=2024,10,NA))),FALSE)</f>
        <v>2.68117246</v>
      </c>
      <c r="K369" s="9">
        <v>3.6</v>
      </c>
      <c r="L369" s="25">
        <f>(revenue[orderPrice]-revenue[productCost])/revenue[productCost]</f>
        <v>0.3426961727</v>
      </c>
      <c r="M369" s="10">
        <v>15.0</v>
      </c>
      <c r="N369" s="25">
        <v>0.0</v>
      </c>
      <c r="O369" s="9">
        <f>revenue[orderPrice]*revenue[orderQuantity]</f>
        <v>54</v>
      </c>
      <c r="P369" s="9">
        <f>revenue[orderTotal]*(1-revenue[discountApllied])</f>
        <v>54</v>
      </c>
      <c r="Q369" s="9">
        <f>revenue[revenue]-(revenue[productCost]*revenue[orderQuantity])</f>
        <v>13.7824131</v>
      </c>
      <c r="R369" s="25">
        <f>IFERROR(revenue[profit]/revenue[revenue], 0)</f>
        <v>0.2552298723</v>
      </c>
      <c r="S369" s="9">
        <f>revenue[productCost]*revenue[orderQuantity]</f>
        <v>40.2175869</v>
      </c>
    </row>
    <row r="370" ht="15.75" customHeight="1">
      <c r="A370" s="6">
        <v>10387.0</v>
      </c>
      <c r="B370" s="7" t="s">
        <v>80</v>
      </c>
      <c r="C370" s="24" t="str">
        <f>VLOOKUP(revenue[customerID],customers[],2,FALSE)</f>
        <v>Santé Gourmet</v>
      </c>
      <c r="D370" s="24" t="str">
        <f>VLOOKUP(revenue[customerID],customers[],6,FALSE)</f>
        <v>Stavern</v>
      </c>
      <c r="E370" s="24" t="str">
        <f>VLOOKUP(revenue[customerID],customers[],9,FALSE)</f>
        <v>Norway</v>
      </c>
      <c r="F370" s="24">
        <v>44913.0</v>
      </c>
      <c r="G370" s="6">
        <v>28.0</v>
      </c>
      <c r="H370" s="9" t="str">
        <f>VLOOKUP(revenue[productID],products[],2,FALSE)</f>
        <v>Rössle Sauerkraut</v>
      </c>
      <c r="I370" s="9" t="str">
        <f>VLOOKUP(revenue[productID],products[],12,FALSE)</f>
        <v>Produce</v>
      </c>
      <c r="J370" s="9">
        <f>VLOOKUP(revenue[productID],products[],IF(YEAR(revenue[orderDate])=2022,8,IF(YEAR(revenue[orderDate])=2023,9,IF(YEAR(revenue[orderDate])=2024,10,NA))),FALSE)</f>
        <v>27.51992272</v>
      </c>
      <c r="K370" s="9">
        <v>36.4</v>
      </c>
      <c r="L370" s="25">
        <f>(revenue[orderPrice]-revenue[productCost])/revenue[productCost]</f>
        <v>0.3226781326</v>
      </c>
      <c r="M370" s="10">
        <v>6.0</v>
      </c>
      <c r="N370" s="25">
        <v>0.0</v>
      </c>
      <c r="O370" s="9">
        <f>revenue[orderPrice]*revenue[orderQuantity]</f>
        <v>218.4</v>
      </c>
      <c r="P370" s="9">
        <f>revenue[orderTotal]*(1-revenue[discountApllied])</f>
        <v>218.4</v>
      </c>
      <c r="Q370" s="9">
        <f>revenue[revenue]-(revenue[productCost]*revenue[orderQuantity])</f>
        <v>53.28046365</v>
      </c>
      <c r="R370" s="25">
        <f>IFERROR(revenue[profit]/revenue[revenue], 0)</f>
        <v>0.2439581669</v>
      </c>
      <c r="S370" s="9">
        <f>revenue[productCost]*revenue[orderQuantity]</f>
        <v>165.1195363</v>
      </c>
    </row>
    <row r="371" ht="15.75" customHeight="1">
      <c r="A371" s="6">
        <v>10387.0</v>
      </c>
      <c r="B371" s="7" t="s">
        <v>80</v>
      </c>
      <c r="C371" s="24" t="str">
        <f>VLOOKUP(revenue[customerID],customers[],2,FALSE)</f>
        <v>Santé Gourmet</v>
      </c>
      <c r="D371" s="24" t="str">
        <f>VLOOKUP(revenue[customerID],customers[],6,FALSE)</f>
        <v>Stavern</v>
      </c>
      <c r="E371" s="24" t="str">
        <f>VLOOKUP(revenue[customerID],customers[],9,FALSE)</f>
        <v>Norway</v>
      </c>
      <c r="F371" s="24">
        <v>44913.0</v>
      </c>
      <c r="G371" s="6">
        <v>59.0</v>
      </c>
      <c r="H371" s="9" t="str">
        <f>VLOOKUP(revenue[productID],products[],2,FALSE)</f>
        <v>Raclette Courdavault</v>
      </c>
      <c r="I371" s="9" t="str">
        <f>VLOOKUP(revenue[productID],products[],12,FALSE)</f>
        <v>Dairy Products</v>
      </c>
      <c r="J371" s="9">
        <f>VLOOKUP(revenue[productID],products[],IF(YEAR(revenue[orderDate])=2022,8,IF(YEAR(revenue[orderDate])=2023,9,IF(YEAR(revenue[orderDate])=2024,10,NA))),FALSE)</f>
        <v>29.20351951</v>
      </c>
      <c r="K371" s="9">
        <v>44.0</v>
      </c>
      <c r="L371" s="25">
        <f>(revenue[orderPrice]-revenue[productCost])/revenue[productCost]</f>
        <v>0.5066677147</v>
      </c>
      <c r="M371" s="10">
        <v>12.0</v>
      </c>
      <c r="N371" s="25">
        <v>0.0</v>
      </c>
      <c r="O371" s="9">
        <f>revenue[orderPrice]*revenue[orderQuantity]</f>
        <v>528</v>
      </c>
      <c r="P371" s="9">
        <f>revenue[orderTotal]*(1-revenue[discountApllied])</f>
        <v>528</v>
      </c>
      <c r="Q371" s="9">
        <f>revenue[revenue]-(revenue[productCost]*revenue[orderQuantity])</f>
        <v>177.5577659</v>
      </c>
      <c r="R371" s="25">
        <f>IFERROR(revenue[profit]/revenue[revenue], 0)</f>
        <v>0.3362836475</v>
      </c>
      <c r="S371" s="9">
        <f>revenue[productCost]*revenue[orderQuantity]</f>
        <v>350.4422341</v>
      </c>
    </row>
    <row r="372" ht="15.75" customHeight="1">
      <c r="A372" s="6">
        <v>10387.0</v>
      </c>
      <c r="B372" s="7" t="s">
        <v>80</v>
      </c>
      <c r="C372" s="24" t="str">
        <f>VLOOKUP(revenue[customerID],customers[],2,FALSE)</f>
        <v>Santé Gourmet</v>
      </c>
      <c r="D372" s="24" t="str">
        <f>VLOOKUP(revenue[customerID],customers[],6,FALSE)</f>
        <v>Stavern</v>
      </c>
      <c r="E372" s="24" t="str">
        <f>VLOOKUP(revenue[customerID],customers[],9,FALSE)</f>
        <v>Norway</v>
      </c>
      <c r="F372" s="24">
        <v>44913.0</v>
      </c>
      <c r="G372" s="6">
        <v>71.0</v>
      </c>
      <c r="H372" s="9" t="str">
        <f>VLOOKUP(revenue[productID],products[],2,FALSE)</f>
        <v>Flotemysost</v>
      </c>
      <c r="I372" s="9" t="str">
        <f>VLOOKUP(revenue[productID],products[],12,FALSE)</f>
        <v>Dairy Products</v>
      </c>
      <c r="J372" s="9">
        <f>VLOOKUP(revenue[productID],products[],IF(YEAR(revenue[orderDate])=2022,8,IF(YEAR(revenue[orderDate])=2023,9,IF(YEAR(revenue[orderDate])=2024,10,NA))),FALSE)</f>
        <v>12.00719029</v>
      </c>
      <c r="K372" s="9">
        <v>17.2</v>
      </c>
      <c r="L372" s="25">
        <f>(revenue[orderPrice]-revenue[productCost])/revenue[productCost]</f>
        <v>0.4324750075</v>
      </c>
      <c r="M372" s="10">
        <v>15.0</v>
      </c>
      <c r="N372" s="25">
        <v>0.0</v>
      </c>
      <c r="O372" s="9">
        <f>revenue[orderPrice]*revenue[orderQuantity]</f>
        <v>258</v>
      </c>
      <c r="P372" s="9">
        <f>revenue[orderTotal]*(1-revenue[discountApllied])</f>
        <v>258</v>
      </c>
      <c r="Q372" s="9">
        <f>revenue[revenue]-(revenue[productCost]*revenue[orderQuantity])</f>
        <v>77.89214566</v>
      </c>
      <c r="R372" s="25">
        <f>IFERROR(revenue[profit]/revenue[revenue], 0)</f>
        <v>0.3019075413</v>
      </c>
      <c r="S372" s="9">
        <f>revenue[productCost]*revenue[orderQuantity]</f>
        <v>180.1078543</v>
      </c>
    </row>
    <row r="373" ht="15.75" customHeight="1">
      <c r="A373" s="6">
        <v>10388.0</v>
      </c>
      <c r="B373" s="7" t="s">
        <v>71</v>
      </c>
      <c r="C373" s="24" t="str">
        <f>VLOOKUP(revenue[customerID],customers[],2,FALSE)</f>
        <v>Seven Seas Imports</v>
      </c>
      <c r="D373" s="24" t="str">
        <f>VLOOKUP(revenue[customerID],customers[],6,FALSE)</f>
        <v>London</v>
      </c>
      <c r="E373" s="24" t="str">
        <f>VLOOKUP(revenue[customerID],customers[],9,FALSE)</f>
        <v>UK</v>
      </c>
      <c r="F373" s="24">
        <v>44914.0</v>
      </c>
      <c r="G373" s="6">
        <v>45.0</v>
      </c>
      <c r="H373" s="9" t="str">
        <f>VLOOKUP(revenue[productID],products[],2,FALSE)</f>
        <v>Rogede sild</v>
      </c>
      <c r="I373" s="9" t="str">
        <f>VLOOKUP(revenue[productID],products[],12,FALSE)</f>
        <v>Seafood</v>
      </c>
      <c r="J373" s="9">
        <f>VLOOKUP(revenue[productID],products[],IF(YEAR(revenue[orderDate])=2022,8,IF(YEAR(revenue[orderDate])=2023,9,IF(YEAR(revenue[orderDate])=2024,10,NA))),FALSE)</f>
        <v>4.258565263</v>
      </c>
      <c r="K373" s="9">
        <v>7.6</v>
      </c>
      <c r="L373" s="25">
        <f>(revenue[orderPrice]-revenue[productCost])/revenue[productCost]</f>
        <v>0.7846386118</v>
      </c>
      <c r="M373" s="10">
        <v>15.0</v>
      </c>
      <c r="N373" s="25">
        <v>0.2</v>
      </c>
      <c r="O373" s="9">
        <f>revenue[orderPrice]*revenue[orderQuantity]</f>
        <v>114</v>
      </c>
      <c r="P373" s="9">
        <f>revenue[orderTotal]*(1-revenue[discountApllied])</f>
        <v>91.2</v>
      </c>
      <c r="Q373" s="9">
        <f>revenue[revenue]-(revenue[productCost]*revenue[orderQuantity])</f>
        <v>27.32152105</v>
      </c>
      <c r="R373" s="25">
        <f>IFERROR(revenue[profit]/revenue[revenue], 0)</f>
        <v>0.2995780817</v>
      </c>
      <c r="S373" s="9">
        <f>revenue[productCost]*revenue[orderQuantity]</f>
        <v>63.87847895</v>
      </c>
    </row>
    <row r="374" ht="15.75" customHeight="1">
      <c r="A374" s="6">
        <v>10388.0</v>
      </c>
      <c r="B374" s="7" t="s">
        <v>71</v>
      </c>
      <c r="C374" s="24" t="str">
        <f>VLOOKUP(revenue[customerID],customers[],2,FALSE)</f>
        <v>Seven Seas Imports</v>
      </c>
      <c r="D374" s="24" t="str">
        <f>VLOOKUP(revenue[customerID],customers[],6,FALSE)</f>
        <v>London</v>
      </c>
      <c r="E374" s="24" t="str">
        <f>VLOOKUP(revenue[customerID],customers[],9,FALSE)</f>
        <v>UK</v>
      </c>
      <c r="F374" s="24">
        <v>44914.0</v>
      </c>
      <c r="G374" s="6">
        <v>52.0</v>
      </c>
      <c r="H374" s="9" t="str">
        <f>VLOOKUP(revenue[productID],products[],2,FALSE)</f>
        <v>Filo Mix</v>
      </c>
      <c r="I374" s="9" t="str">
        <f>VLOOKUP(revenue[productID],products[],12,FALSE)</f>
        <v>Grains/Cereals</v>
      </c>
      <c r="J374" s="9">
        <f>VLOOKUP(revenue[productID],products[],IF(YEAR(revenue[orderDate])=2022,8,IF(YEAR(revenue[orderDate])=2023,9,IF(YEAR(revenue[orderDate])=2024,10,NA))),FALSE)</f>
        <v>3.853499959</v>
      </c>
      <c r="K374" s="9">
        <v>5.6</v>
      </c>
      <c r="L374" s="25">
        <f>(revenue[orderPrice]-revenue[productCost])/revenue[productCost]</f>
        <v>0.4532243571</v>
      </c>
      <c r="M374" s="10">
        <v>20.0</v>
      </c>
      <c r="N374" s="25">
        <v>0.2</v>
      </c>
      <c r="O374" s="9">
        <f>revenue[orderPrice]*revenue[orderQuantity]</f>
        <v>112</v>
      </c>
      <c r="P374" s="9">
        <f>revenue[orderTotal]*(1-revenue[discountApllied])</f>
        <v>89.6</v>
      </c>
      <c r="Q374" s="9">
        <f>revenue[revenue]-(revenue[productCost]*revenue[orderQuantity])</f>
        <v>12.53000083</v>
      </c>
      <c r="R374" s="25">
        <f>IFERROR(revenue[profit]/revenue[revenue], 0)</f>
        <v>0.1398437592</v>
      </c>
      <c r="S374" s="9">
        <f>revenue[productCost]*revenue[orderQuantity]</f>
        <v>77.06999917</v>
      </c>
    </row>
    <row r="375" ht="15.75" customHeight="1">
      <c r="A375" s="6">
        <v>10388.0</v>
      </c>
      <c r="B375" s="7" t="s">
        <v>71</v>
      </c>
      <c r="C375" s="24" t="str">
        <f>VLOOKUP(revenue[customerID],customers[],2,FALSE)</f>
        <v>Seven Seas Imports</v>
      </c>
      <c r="D375" s="24" t="str">
        <f>VLOOKUP(revenue[customerID],customers[],6,FALSE)</f>
        <v>London</v>
      </c>
      <c r="E375" s="24" t="str">
        <f>VLOOKUP(revenue[customerID],customers[],9,FALSE)</f>
        <v>UK</v>
      </c>
      <c r="F375" s="24">
        <v>44914.0</v>
      </c>
      <c r="G375" s="6">
        <v>53.0</v>
      </c>
      <c r="H375" s="9" t="str">
        <f>VLOOKUP(revenue[productID],products[],2,FALSE)</f>
        <v>Perth Pasties</v>
      </c>
      <c r="I375" s="9" t="str">
        <f>VLOOKUP(revenue[productID],products[],12,FALSE)</f>
        <v>Meat/Poultry</v>
      </c>
      <c r="J375" s="9">
        <f>VLOOKUP(revenue[productID],products[],IF(YEAR(revenue[orderDate])=2022,8,IF(YEAR(revenue[orderDate])=2023,9,IF(YEAR(revenue[orderDate])=2024,10,NA))),FALSE)</f>
        <v>18.33322006</v>
      </c>
      <c r="K375" s="9">
        <v>26.2</v>
      </c>
      <c r="L375" s="25">
        <f>(revenue[orderPrice]-revenue[productCost])/revenue[productCost]</f>
        <v>0.4290997391</v>
      </c>
      <c r="M375" s="10">
        <v>40.0</v>
      </c>
      <c r="N375" s="25">
        <v>0.0</v>
      </c>
      <c r="O375" s="9">
        <f>revenue[orderPrice]*revenue[orderQuantity]</f>
        <v>1048</v>
      </c>
      <c r="P375" s="9">
        <f>revenue[orderTotal]*(1-revenue[discountApllied])</f>
        <v>1048</v>
      </c>
      <c r="Q375" s="9">
        <f>revenue[revenue]-(revenue[productCost]*revenue[orderQuantity])</f>
        <v>314.6711977</v>
      </c>
      <c r="R375" s="25">
        <f>IFERROR(revenue[profit]/revenue[revenue], 0)</f>
        <v>0.3002587765</v>
      </c>
      <c r="S375" s="9">
        <f>revenue[productCost]*revenue[orderQuantity]</f>
        <v>733.3288023</v>
      </c>
    </row>
    <row r="376" ht="15.75" customHeight="1">
      <c r="A376" s="6">
        <v>10389.0</v>
      </c>
      <c r="B376" s="7" t="s">
        <v>81</v>
      </c>
      <c r="C376" s="24" t="str">
        <f>VLOOKUP(revenue[customerID],customers[],2,FALSE)</f>
        <v>Bottom-Dollar Markets</v>
      </c>
      <c r="D376" s="24" t="str">
        <f>VLOOKUP(revenue[customerID],customers[],6,FALSE)</f>
        <v>Tsawassen</v>
      </c>
      <c r="E376" s="24" t="str">
        <f>VLOOKUP(revenue[customerID],customers[],9,FALSE)</f>
        <v>Canada</v>
      </c>
      <c r="F376" s="24">
        <v>44915.0</v>
      </c>
      <c r="G376" s="6">
        <v>10.0</v>
      </c>
      <c r="H376" s="9" t="str">
        <f>VLOOKUP(revenue[productID],products[],2,FALSE)</f>
        <v>Ikura</v>
      </c>
      <c r="I376" s="9" t="str">
        <f>VLOOKUP(revenue[productID],products[],12,FALSE)</f>
        <v>Seafood</v>
      </c>
      <c r="J376" s="9">
        <f>VLOOKUP(revenue[productID],products[],IF(YEAR(revenue[orderDate])=2022,8,IF(YEAR(revenue[orderDate])=2023,9,IF(YEAR(revenue[orderDate])=2024,10,NA))),FALSE)</f>
        <v>16.07630731</v>
      </c>
      <c r="K376" s="9">
        <v>24.8</v>
      </c>
      <c r="L376" s="25">
        <f>(revenue[orderPrice]-revenue[productCost])/revenue[productCost]</f>
        <v>0.5426428175</v>
      </c>
      <c r="M376" s="10">
        <v>16.0</v>
      </c>
      <c r="N376" s="25">
        <v>0.0</v>
      </c>
      <c r="O376" s="9">
        <f>revenue[orderPrice]*revenue[orderQuantity]</f>
        <v>396.8</v>
      </c>
      <c r="P376" s="9">
        <f>revenue[orderTotal]*(1-revenue[discountApllied])</f>
        <v>396.8</v>
      </c>
      <c r="Q376" s="9">
        <f>revenue[revenue]-(revenue[productCost]*revenue[orderQuantity])</f>
        <v>139.5790831</v>
      </c>
      <c r="R376" s="25">
        <f>IFERROR(revenue[profit]/revenue[revenue], 0)</f>
        <v>0.3517618021</v>
      </c>
      <c r="S376" s="9">
        <f>revenue[productCost]*revenue[orderQuantity]</f>
        <v>257.2209169</v>
      </c>
    </row>
    <row r="377" ht="15.75" customHeight="1">
      <c r="A377" s="6">
        <v>10389.0</v>
      </c>
      <c r="B377" s="7" t="s">
        <v>81</v>
      </c>
      <c r="C377" s="24" t="str">
        <f>VLOOKUP(revenue[customerID],customers[],2,FALSE)</f>
        <v>Bottom-Dollar Markets</v>
      </c>
      <c r="D377" s="24" t="str">
        <f>VLOOKUP(revenue[customerID],customers[],6,FALSE)</f>
        <v>Tsawassen</v>
      </c>
      <c r="E377" s="24" t="str">
        <f>VLOOKUP(revenue[customerID],customers[],9,FALSE)</f>
        <v>Canada</v>
      </c>
      <c r="F377" s="24">
        <v>44915.0</v>
      </c>
      <c r="G377" s="6">
        <v>55.0</v>
      </c>
      <c r="H377" s="9" t="str">
        <f>VLOOKUP(revenue[productID],products[],2,FALSE)</f>
        <v>Pâté chinois</v>
      </c>
      <c r="I377" s="9" t="str">
        <f>VLOOKUP(revenue[productID],products[],12,FALSE)</f>
        <v>Meat/Poultry</v>
      </c>
      <c r="J377" s="9">
        <f>VLOOKUP(revenue[productID],products[],IF(YEAR(revenue[orderDate])=2022,8,IF(YEAR(revenue[orderDate])=2023,9,IF(YEAR(revenue[orderDate])=2024,10,NA))),FALSE)</f>
        <v>12.97496052</v>
      </c>
      <c r="K377" s="9">
        <v>19.2</v>
      </c>
      <c r="L377" s="25">
        <f>(revenue[orderPrice]-revenue[productCost])/revenue[productCost]</f>
        <v>0.4797732884</v>
      </c>
      <c r="M377" s="10">
        <v>15.0</v>
      </c>
      <c r="N377" s="25">
        <v>0.0</v>
      </c>
      <c r="O377" s="9">
        <f>revenue[orderPrice]*revenue[orderQuantity]</f>
        <v>288</v>
      </c>
      <c r="P377" s="9">
        <f>revenue[orderTotal]*(1-revenue[discountApllied])</f>
        <v>288</v>
      </c>
      <c r="Q377" s="9">
        <f>revenue[revenue]-(revenue[productCost]*revenue[orderQuantity])</f>
        <v>93.37559215</v>
      </c>
      <c r="R377" s="25">
        <f>IFERROR(revenue[profit]/revenue[revenue], 0)</f>
        <v>0.3242208061</v>
      </c>
      <c r="S377" s="9">
        <f>revenue[productCost]*revenue[orderQuantity]</f>
        <v>194.6244078</v>
      </c>
    </row>
    <row r="378" ht="15.75" customHeight="1">
      <c r="A378" s="6">
        <v>10389.0</v>
      </c>
      <c r="B378" s="7" t="s">
        <v>81</v>
      </c>
      <c r="C378" s="24" t="str">
        <f>VLOOKUP(revenue[customerID],customers[],2,FALSE)</f>
        <v>Bottom-Dollar Markets</v>
      </c>
      <c r="D378" s="24" t="str">
        <f>VLOOKUP(revenue[customerID],customers[],6,FALSE)</f>
        <v>Tsawassen</v>
      </c>
      <c r="E378" s="24" t="str">
        <f>VLOOKUP(revenue[customerID],customers[],9,FALSE)</f>
        <v>Canada</v>
      </c>
      <c r="F378" s="24">
        <v>44915.0</v>
      </c>
      <c r="G378" s="6">
        <v>62.0</v>
      </c>
      <c r="H378" s="9" t="str">
        <f>VLOOKUP(revenue[productID],products[],2,FALSE)</f>
        <v>Tarte au sucre</v>
      </c>
      <c r="I378" s="9" t="str">
        <f>VLOOKUP(revenue[productID],products[],12,FALSE)</f>
        <v>Confections</v>
      </c>
      <c r="J378" s="9">
        <f>VLOOKUP(revenue[productID],products[],IF(YEAR(revenue[orderDate])=2022,8,IF(YEAR(revenue[orderDate])=2023,9,IF(YEAR(revenue[orderDate])=2024,10,NA))),FALSE)</f>
        <v>29.35963319</v>
      </c>
      <c r="K378" s="9">
        <v>39.4</v>
      </c>
      <c r="L378" s="25">
        <f>(revenue[orderPrice]-revenue[productCost])/revenue[productCost]</f>
        <v>0.3419786189</v>
      </c>
      <c r="M378" s="10">
        <v>20.0</v>
      </c>
      <c r="N378" s="25">
        <v>0.0</v>
      </c>
      <c r="O378" s="9">
        <f>revenue[orderPrice]*revenue[orderQuantity]</f>
        <v>788</v>
      </c>
      <c r="P378" s="9">
        <f>revenue[orderTotal]*(1-revenue[discountApllied])</f>
        <v>788</v>
      </c>
      <c r="Q378" s="9">
        <f>revenue[revenue]-(revenue[productCost]*revenue[orderQuantity])</f>
        <v>200.8073362</v>
      </c>
      <c r="R378" s="25">
        <f>IFERROR(revenue[profit]/revenue[revenue], 0)</f>
        <v>0.2548316449</v>
      </c>
      <c r="S378" s="9">
        <f>revenue[productCost]*revenue[orderQuantity]</f>
        <v>587.1926638</v>
      </c>
    </row>
    <row r="379" ht="15.75" customHeight="1">
      <c r="A379" s="6">
        <v>10389.0</v>
      </c>
      <c r="B379" s="7" t="s">
        <v>81</v>
      </c>
      <c r="C379" s="24" t="str">
        <f>VLOOKUP(revenue[customerID],customers[],2,FALSE)</f>
        <v>Bottom-Dollar Markets</v>
      </c>
      <c r="D379" s="24" t="str">
        <f>VLOOKUP(revenue[customerID],customers[],6,FALSE)</f>
        <v>Tsawassen</v>
      </c>
      <c r="E379" s="24" t="str">
        <f>VLOOKUP(revenue[customerID],customers[],9,FALSE)</f>
        <v>Canada</v>
      </c>
      <c r="F379" s="24">
        <v>44915.0</v>
      </c>
      <c r="G379" s="6">
        <v>70.0</v>
      </c>
      <c r="H379" s="9" t="str">
        <f>VLOOKUP(revenue[productID],products[],2,FALSE)</f>
        <v>Outback Lager</v>
      </c>
      <c r="I379" s="9" t="str">
        <f>VLOOKUP(revenue[productID],products[],12,FALSE)</f>
        <v>Beverages</v>
      </c>
      <c r="J379" s="9">
        <f>VLOOKUP(revenue[productID],products[],IF(YEAR(revenue[orderDate])=2022,8,IF(YEAR(revenue[orderDate])=2023,9,IF(YEAR(revenue[orderDate])=2024,10,NA))),FALSE)</f>
        <v>8.037520944</v>
      </c>
      <c r="K379" s="9">
        <v>12.0</v>
      </c>
      <c r="L379" s="25">
        <f>(revenue[orderPrice]-revenue[productCost])/revenue[productCost]</f>
        <v>0.4929976648</v>
      </c>
      <c r="M379" s="10">
        <v>30.0</v>
      </c>
      <c r="N379" s="25">
        <v>0.0</v>
      </c>
      <c r="O379" s="9">
        <f>revenue[orderPrice]*revenue[orderQuantity]</f>
        <v>360</v>
      </c>
      <c r="P379" s="9">
        <f>revenue[orderTotal]*(1-revenue[discountApllied])</f>
        <v>360</v>
      </c>
      <c r="Q379" s="9">
        <f>revenue[revenue]-(revenue[productCost]*revenue[orderQuantity])</f>
        <v>118.8743717</v>
      </c>
      <c r="R379" s="25">
        <f>IFERROR(revenue[profit]/revenue[revenue], 0)</f>
        <v>0.330206588</v>
      </c>
      <c r="S379" s="9">
        <f>revenue[productCost]*revenue[orderQuantity]</f>
        <v>241.1256283</v>
      </c>
    </row>
    <row r="380" ht="15.75" customHeight="1">
      <c r="A380" s="6">
        <v>10390.0</v>
      </c>
      <c r="B380" s="7" t="s">
        <v>24</v>
      </c>
      <c r="C380" s="24" t="str">
        <f>VLOOKUP(revenue[customerID],customers[],2,FALSE)</f>
        <v>Ernst Handel</v>
      </c>
      <c r="D380" s="24" t="str">
        <f>VLOOKUP(revenue[customerID],customers[],6,FALSE)</f>
        <v>Graz</v>
      </c>
      <c r="E380" s="24" t="str">
        <f>VLOOKUP(revenue[customerID],customers[],9,FALSE)</f>
        <v>Austria</v>
      </c>
      <c r="F380" s="24">
        <v>44918.0</v>
      </c>
      <c r="G380" s="6">
        <v>31.0</v>
      </c>
      <c r="H380" s="9" t="str">
        <f>VLOOKUP(revenue[productID],products[],2,FALSE)</f>
        <v>Gorgonzola Telino</v>
      </c>
      <c r="I380" s="9" t="str">
        <f>VLOOKUP(revenue[productID],products[],12,FALSE)</f>
        <v>Dairy Products</v>
      </c>
      <c r="J380" s="9">
        <f>VLOOKUP(revenue[productID],products[],IF(YEAR(revenue[orderDate])=2022,8,IF(YEAR(revenue[orderDate])=2023,9,IF(YEAR(revenue[orderDate])=2024,10,NA))),FALSE)</f>
        <v>6.44031973</v>
      </c>
      <c r="K380" s="9">
        <v>10.0</v>
      </c>
      <c r="L380" s="25">
        <f>(revenue[orderPrice]-revenue[productCost])/revenue[productCost]</f>
        <v>0.5527179425</v>
      </c>
      <c r="M380" s="10">
        <v>60.0</v>
      </c>
      <c r="N380" s="25">
        <v>0.1</v>
      </c>
      <c r="O380" s="9">
        <f>revenue[orderPrice]*revenue[orderQuantity]</f>
        <v>600</v>
      </c>
      <c r="P380" s="9">
        <f>revenue[orderTotal]*(1-revenue[discountApllied])</f>
        <v>540</v>
      </c>
      <c r="Q380" s="9">
        <f>revenue[revenue]-(revenue[productCost]*revenue[orderQuantity])</f>
        <v>153.5808162</v>
      </c>
      <c r="R380" s="25">
        <f>IFERROR(revenue[profit]/revenue[revenue], 0)</f>
        <v>0.2844089189</v>
      </c>
      <c r="S380" s="9">
        <f>revenue[productCost]*revenue[orderQuantity]</f>
        <v>386.4191838</v>
      </c>
    </row>
    <row r="381" ht="15.75" customHeight="1">
      <c r="A381" s="6">
        <v>10390.0</v>
      </c>
      <c r="B381" s="7" t="s">
        <v>24</v>
      </c>
      <c r="C381" s="24" t="str">
        <f>VLOOKUP(revenue[customerID],customers[],2,FALSE)</f>
        <v>Ernst Handel</v>
      </c>
      <c r="D381" s="24" t="str">
        <f>VLOOKUP(revenue[customerID],customers[],6,FALSE)</f>
        <v>Graz</v>
      </c>
      <c r="E381" s="24" t="str">
        <f>VLOOKUP(revenue[customerID],customers[],9,FALSE)</f>
        <v>Austria</v>
      </c>
      <c r="F381" s="24">
        <v>44918.0</v>
      </c>
      <c r="G381" s="6">
        <v>35.0</v>
      </c>
      <c r="H381" s="9" t="str">
        <f>VLOOKUP(revenue[productID],products[],2,FALSE)</f>
        <v>Cold Brew Nitro</v>
      </c>
      <c r="I381" s="9" t="str">
        <f>VLOOKUP(revenue[productID],products[],12,FALSE)</f>
        <v>Beverages</v>
      </c>
      <c r="J381" s="9">
        <f>VLOOKUP(revenue[productID],products[],IF(YEAR(revenue[orderDate])=2022,8,IF(YEAR(revenue[orderDate])=2023,9,IF(YEAR(revenue[orderDate])=2024,10,NA))),FALSE)</f>
        <v>10.19869089</v>
      </c>
      <c r="K381" s="9">
        <v>14.4</v>
      </c>
      <c r="L381" s="25">
        <f>(revenue[orderPrice]-revenue[productCost])/revenue[productCost]</f>
        <v>0.4119459208</v>
      </c>
      <c r="M381" s="10">
        <v>40.0</v>
      </c>
      <c r="N381" s="25">
        <v>0.1</v>
      </c>
      <c r="O381" s="9">
        <f>revenue[orderPrice]*revenue[orderQuantity]</f>
        <v>576</v>
      </c>
      <c r="P381" s="9">
        <f>revenue[orderTotal]*(1-revenue[discountApllied])</f>
        <v>518.4</v>
      </c>
      <c r="Q381" s="9">
        <f>revenue[revenue]-(revenue[productCost]*revenue[orderQuantity])</f>
        <v>110.4523644</v>
      </c>
      <c r="R381" s="25">
        <f>IFERROR(revenue[profit]/revenue[revenue], 0)</f>
        <v>0.2130639745</v>
      </c>
      <c r="S381" s="9">
        <f>revenue[productCost]*revenue[orderQuantity]</f>
        <v>407.9476356</v>
      </c>
    </row>
    <row r="382" ht="15.75" customHeight="1">
      <c r="A382" s="6">
        <v>10390.0</v>
      </c>
      <c r="B382" s="7" t="s">
        <v>24</v>
      </c>
      <c r="C382" s="24" t="str">
        <f>VLOOKUP(revenue[customerID],customers[],2,FALSE)</f>
        <v>Ernst Handel</v>
      </c>
      <c r="D382" s="24" t="str">
        <f>VLOOKUP(revenue[customerID],customers[],6,FALSE)</f>
        <v>Graz</v>
      </c>
      <c r="E382" s="24" t="str">
        <f>VLOOKUP(revenue[customerID],customers[],9,FALSE)</f>
        <v>Austria</v>
      </c>
      <c r="F382" s="24">
        <v>44918.0</v>
      </c>
      <c r="G382" s="6">
        <v>46.0</v>
      </c>
      <c r="H382" s="9" t="str">
        <f>VLOOKUP(revenue[productID],products[],2,FALSE)</f>
        <v>Spegesild</v>
      </c>
      <c r="I382" s="9" t="str">
        <f>VLOOKUP(revenue[productID],products[],12,FALSE)</f>
        <v>Seafood</v>
      </c>
      <c r="J382" s="9">
        <f>VLOOKUP(revenue[productID],products[],IF(YEAR(revenue[orderDate])=2022,8,IF(YEAR(revenue[orderDate])=2023,9,IF(YEAR(revenue[orderDate])=2024,10,NA))),FALSE)</f>
        <v>6.266275015</v>
      </c>
      <c r="K382" s="9">
        <v>9.6</v>
      </c>
      <c r="L382" s="25">
        <f>(revenue[orderPrice]-revenue[productCost])/revenue[productCost]</f>
        <v>0.5320106406</v>
      </c>
      <c r="M382" s="10">
        <v>45.0</v>
      </c>
      <c r="N382" s="25">
        <v>0.0</v>
      </c>
      <c r="O382" s="9">
        <f>revenue[orderPrice]*revenue[orderQuantity]</f>
        <v>432</v>
      </c>
      <c r="P382" s="9">
        <f>revenue[orderTotal]*(1-revenue[discountApllied])</f>
        <v>432</v>
      </c>
      <c r="Q382" s="9">
        <f>revenue[revenue]-(revenue[productCost]*revenue[orderQuantity])</f>
        <v>150.0176243</v>
      </c>
      <c r="R382" s="25">
        <f>IFERROR(revenue[profit]/revenue[revenue], 0)</f>
        <v>0.3472630192</v>
      </c>
      <c r="S382" s="9">
        <f>revenue[productCost]*revenue[orderQuantity]</f>
        <v>281.9823757</v>
      </c>
    </row>
    <row r="383" ht="15.75" customHeight="1">
      <c r="A383" s="6">
        <v>10390.0</v>
      </c>
      <c r="B383" s="7" t="s">
        <v>24</v>
      </c>
      <c r="C383" s="24" t="str">
        <f>VLOOKUP(revenue[customerID],customers[],2,FALSE)</f>
        <v>Ernst Handel</v>
      </c>
      <c r="D383" s="24" t="str">
        <f>VLOOKUP(revenue[customerID],customers[],6,FALSE)</f>
        <v>Graz</v>
      </c>
      <c r="E383" s="24" t="str">
        <f>VLOOKUP(revenue[customerID],customers[],9,FALSE)</f>
        <v>Austria</v>
      </c>
      <c r="F383" s="24">
        <v>44918.0</v>
      </c>
      <c r="G383" s="6">
        <v>72.0</v>
      </c>
      <c r="H383" s="9" t="str">
        <f>VLOOKUP(revenue[productID],products[],2,FALSE)</f>
        <v>Mozzarella di Giovanni</v>
      </c>
      <c r="I383" s="9" t="str">
        <f>VLOOKUP(revenue[productID],products[],12,FALSE)</f>
        <v>Dairy Products</v>
      </c>
      <c r="J383" s="9">
        <f>VLOOKUP(revenue[productID],products[],IF(YEAR(revenue[orderDate])=2022,8,IF(YEAR(revenue[orderDate])=2023,9,IF(YEAR(revenue[orderDate])=2024,10,NA))),FALSE)</f>
        <v>19.20829334</v>
      </c>
      <c r="K383" s="9">
        <v>27.8</v>
      </c>
      <c r="L383" s="25">
        <f>(revenue[orderPrice]-revenue[productCost])/revenue[productCost]</f>
        <v>0.4472915167</v>
      </c>
      <c r="M383" s="10">
        <v>24.0</v>
      </c>
      <c r="N383" s="25">
        <v>0.1</v>
      </c>
      <c r="O383" s="9">
        <f>revenue[orderPrice]*revenue[orderQuantity]</f>
        <v>667.2</v>
      </c>
      <c r="P383" s="9">
        <f>revenue[orderTotal]*(1-revenue[discountApllied])</f>
        <v>600.48</v>
      </c>
      <c r="Q383" s="9">
        <f>revenue[revenue]-(revenue[productCost]*revenue[orderQuantity])</f>
        <v>139.4809599</v>
      </c>
      <c r="R383" s="25">
        <f>IFERROR(revenue[profit]/revenue[revenue], 0)</f>
        <v>0.2322824405</v>
      </c>
      <c r="S383" s="9">
        <f>revenue[productCost]*revenue[orderQuantity]</f>
        <v>460.9990401</v>
      </c>
    </row>
    <row r="384" ht="15.75" customHeight="1">
      <c r="A384" s="6">
        <v>10391.0</v>
      </c>
      <c r="B384" s="7" t="s">
        <v>72</v>
      </c>
      <c r="C384" s="24" t="str">
        <f>VLOOKUP(revenue[customerID],customers[],2,FALSE)</f>
        <v>Drachenblut Delikatessen</v>
      </c>
      <c r="D384" s="24" t="str">
        <f>VLOOKUP(revenue[customerID],customers[],6,FALSE)</f>
        <v>Aachen</v>
      </c>
      <c r="E384" s="24" t="str">
        <f>VLOOKUP(revenue[customerID],customers[],9,FALSE)</f>
        <v>Germany</v>
      </c>
      <c r="F384" s="24">
        <v>44918.0</v>
      </c>
      <c r="G384" s="6">
        <v>13.0</v>
      </c>
      <c r="H384" s="9" t="str">
        <f>VLOOKUP(revenue[productID],products[],2,FALSE)</f>
        <v>Konbu</v>
      </c>
      <c r="I384" s="9" t="str">
        <f>VLOOKUP(revenue[productID],products[],12,FALSE)</f>
        <v>Seafood</v>
      </c>
      <c r="J384" s="9">
        <f>VLOOKUP(revenue[productID],products[],IF(YEAR(revenue[orderDate])=2022,8,IF(YEAR(revenue[orderDate])=2023,9,IF(YEAR(revenue[orderDate])=2024,10,NA))),FALSE)</f>
        <v>3.236727382</v>
      </c>
      <c r="K384" s="9">
        <v>4.8</v>
      </c>
      <c r="L384" s="25">
        <f>(revenue[orderPrice]-revenue[productCost])/revenue[productCost]</f>
        <v>0.4829793907</v>
      </c>
      <c r="M384" s="10">
        <v>18.0</v>
      </c>
      <c r="N384" s="25">
        <v>0.0</v>
      </c>
      <c r="O384" s="9">
        <f>revenue[orderPrice]*revenue[orderQuantity]</f>
        <v>86.4</v>
      </c>
      <c r="P384" s="9">
        <f>revenue[orderTotal]*(1-revenue[discountApllied])</f>
        <v>86.4</v>
      </c>
      <c r="Q384" s="9">
        <f>revenue[revenue]-(revenue[productCost]*revenue[orderQuantity])</f>
        <v>28.13890713</v>
      </c>
      <c r="R384" s="25">
        <f>IFERROR(revenue[profit]/revenue[revenue], 0)</f>
        <v>0.3256817955</v>
      </c>
      <c r="S384" s="9">
        <f>revenue[productCost]*revenue[orderQuantity]</f>
        <v>58.26109287</v>
      </c>
    </row>
    <row r="385" ht="15.75" customHeight="1">
      <c r="A385" s="6">
        <v>10392.0</v>
      </c>
      <c r="B385" s="7" t="s">
        <v>69</v>
      </c>
      <c r="C385" s="24" t="str">
        <f>VLOOKUP(revenue[customerID],customers[],2,FALSE)</f>
        <v>Piccolo und mehr</v>
      </c>
      <c r="D385" s="24" t="str">
        <f>VLOOKUP(revenue[customerID],customers[],6,FALSE)</f>
        <v>Salzburg</v>
      </c>
      <c r="E385" s="24" t="str">
        <f>VLOOKUP(revenue[customerID],customers[],9,FALSE)</f>
        <v>Austria</v>
      </c>
      <c r="F385" s="24">
        <v>44919.0</v>
      </c>
      <c r="G385" s="6">
        <v>69.0</v>
      </c>
      <c r="H385" s="9" t="str">
        <f>VLOOKUP(revenue[productID],products[],2,FALSE)</f>
        <v>Gudbrandsdalsost</v>
      </c>
      <c r="I385" s="9" t="str">
        <f>VLOOKUP(revenue[productID],products[],12,FALSE)</f>
        <v>Dairy Products</v>
      </c>
      <c r="J385" s="9">
        <f>VLOOKUP(revenue[productID],products[],IF(YEAR(revenue[orderDate])=2022,8,IF(YEAR(revenue[orderDate])=2023,9,IF(YEAR(revenue[orderDate])=2024,10,NA))),FALSE)</f>
        <v>20.71216183</v>
      </c>
      <c r="K385" s="9">
        <v>28.8</v>
      </c>
      <c r="L385" s="25">
        <f>(revenue[orderPrice]-revenue[productCost])/revenue[productCost]</f>
        <v>0.3904873977</v>
      </c>
      <c r="M385" s="10">
        <v>50.0</v>
      </c>
      <c r="N385" s="25">
        <v>0.0</v>
      </c>
      <c r="O385" s="9">
        <f>revenue[orderPrice]*revenue[orderQuantity]</f>
        <v>1440</v>
      </c>
      <c r="P385" s="9">
        <f>revenue[orderTotal]*(1-revenue[discountApllied])</f>
        <v>1440</v>
      </c>
      <c r="Q385" s="9">
        <f>revenue[revenue]-(revenue[productCost]*revenue[orderQuantity])</f>
        <v>404.3919086</v>
      </c>
      <c r="R385" s="25">
        <f>IFERROR(revenue[profit]/revenue[revenue], 0)</f>
        <v>0.2808277143</v>
      </c>
      <c r="S385" s="9">
        <f>revenue[productCost]*revenue[orderQuantity]</f>
        <v>1035.608091</v>
      </c>
    </row>
    <row r="386" ht="15.75" customHeight="1">
      <c r="A386" s="6">
        <v>10393.0</v>
      </c>
      <c r="B386" s="7" t="s">
        <v>60</v>
      </c>
      <c r="C386" s="24" t="str">
        <f>VLOOKUP(revenue[customerID],customers[],2,FALSE)</f>
        <v>Save-a-lot Markets</v>
      </c>
      <c r="D386" s="24" t="str">
        <f>VLOOKUP(revenue[customerID],customers[],6,FALSE)</f>
        <v>Boise</v>
      </c>
      <c r="E386" s="24" t="str">
        <f>VLOOKUP(revenue[customerID],customers[],9,FALSE)</f>
        <v>USA</v>
      </c>
      <c r="F386" s="24">
        <v>44920.0</v>
      </c>
      <c r="G386" s="6">
        <v>2.0</v>
      </c>
      <c r="H386" s="9" t="str">
        <f>VLOOKUP(revenue[productID],products[],2,FALSE)</f>
        <v>Chang</v>
      </c>
      <c r="I386" s="9" t="str">
        <f>VLOOKUP(revenue[productID],products[],12,FALSE)</f>
        <v>Beverages</v>
      </c>
      <c r="J386" s="9">
        <f>VLOOKUP(revenue[productID],products[],IF(YEAR(revenue[orderDate])=2022,8,IF(YEAR(revenue[orderDate])=2023,9,IF(YEAR(revenue[orderDate])=2024,10,NA))),FALSE)</f>
        <v>9.768746876</v>
      </c>
      <c r="K386" s="9">
        <v>15.2</v>
      </c>
      <c r="L386" s="25">
        <f>(revenue[orderPrice]-revenue[productCost])/revenue[productCost]</f>
        <v>0.5559825833</v>
      </c>
      <c r="M386" s="10">
        <v>25.0</v>
      </c>
      <c r="N386" s="25">
        <v>0.25</v>
      </c>
      <c r="O386" s="9">
        <f>revenue[orderPrice]*revenue[orderQuantity]</f>
        <v>380</v>
      </c>
      <c r="P386" s="9">
        <f>revenue[orderTotal]*(1-revenue[discountApllied])</f>
        <v>285</v>
      </c>
      <c r="Q386" s="9">
        <f>revenue[revenue]-(revenue[productCost]*revenue[orderQuantity])</f>
        <v>40.78132809</v>
      </c>
      <c r="R386" s="25">
        <f>IFERROR(revenue[profit]/revenue[revenue], 0)</f>
        <v>0.1430923793</v>
      </c>
      <c r="S386" s="9">
        <f>revenue[productCost]*revenue[orderQuantity]</f>
        <v>244.2186719</v>
      </c>
    </row>
    <row r="387" ht="15.75" customHeight="1">
      <c r="A387" s="6">
        <v>10393.0</v>
      </c>
      <c r="B387" s="7" t="s">
        <v>60</v>
      </c>
      <c r="C387" s="24" t="str">
        <f>VLOOKUP(revenue[customerID],customers[],2,FALSE)</f>
        <v>Save-a-lot Markets</v>
      </c>
      <c r="D387" s="24" t="str">
        <f>VLOOKUP(revenue[customerID],customers[],6,FALSE)</f>
        <v>Boise</v>
      </c>
      <c r="E387" s="24" t="str">
        <f>VLOOKUP(revenue[customerID],customers[],9,FALSE)</f>
        <v>USA</v>
      </c>
      <c r="F387" s="24">
        <v>44920.0</v>
      </c>
      <c r="G387" s="6">
        <v>14.0</v>
      </c>
      <c r="H387" s="9" t="str">
        <f>VLOOKUP(revenue[productID],products[],2,FALSE)</f>
        <v>Tofu</v>
      </c>
      <c r="I387" s="9" t="str">
        <f>VLOOKUP(revenue[productID],products[],12,FALSE)</f>
        <v>Produce</v>
      </c>
      <c r="J387" s="9">
        <f>VLOOKUP(revenue[productID],products[],IF(YEAR(revenue[orderDate])=2022,8,IF(YEAR(revenue[orderDate])=2023,9,IF(YEAR(revenue[orderDate])=2024,10,NA))),FALSE)</f>
        <v>13.95254082</v>
      </c>
      <c r="K387" s="9">
        <v>18.6</v>
      </c>
      <c r="L387" s="25">
        <f>(revenue[orderPrice]-revenue[productCost])/revenue[productCost]</f>
        <v>0.333090527</v>
      </c>
      <c r="M387" s="10">
        <v>42.0</v>
      </c>
      <c r="N387" s="25">
        <v>0.25</v>
      </c>
      <c r="O387" s="9">
        <f>revenue[orderPrice]*revenue[orderQuantity]</f>
        <v>781.2</v>
      </c>
      <c r="P387" s="9">
        <f>revenue[orderTotal]*(1-revenue[discountApllied])</f>
        <v>585.9</v>
      </c>
      <c r="Q387" s="9">
        <f>revenue[revenue]-(revenue[productCost]*revenue[orderQuantity])</f>
        <v>-0.1067145922</v>
      </c>
      <c r="R387" s="25">
        <f>IFERROR(revenue[profit]/revenue[revenue], 0)</f>
        <v>-0.0001821378942</v>
      </c>
      <c r="S387" s="9">
        <f>revenue[productCost]*revenue[orderQuantity]</f>
        <v>586.0067146</v>
      </c>
    </row>
    <row r="388" ht="15.75" customHeight="1">
      <c r="A388" s="6">
        <v>10393.0</v>
      </c>
      <c r="B388" s="7" t="s">
        <v>60</v>
      </c>
      <c r="C388" s="24" t="str">
        <f>VLOOKUP(revenue[customerID],customers[],2,FALSE)</f>
        <v>Save-a-lot Markets</v>
      </c>
      <c r="D388" s="24" t="str">
        <f>VLOOKUP(revenue[customerID],customers[],6,FALSE)</f>
        <v>Boise</v>
      </c>
      <c r="E388" s="24" t="str">
        <f>VLOOKUP(revenue[customerID],customers[],9,FALSE)</f>
        <v>USA</v>
      </c>
      <c r="F388" s="24">
        <v>44920.0</v>
      </c>
      <c r="G388" s="6">
        <v>25.0</v>
      </c>
      <c r="H388" s="9" t="str">
        <f>VLOOKUP(revenue[productID],products[],2,FALSE)</f>
        <v>HM Köstliche Kaiserschmarrn Knödelchen</v>
      </c>
      <c r="I388" s="9" t="str">
        <f>VLOOKUP(revenue[productID],products[],12,FALSE)</f>
        <v>Confections</v>
      </c>
      <c r="J388" s="9">
        <f>VLOOKUP(revenue[productID],products[],IF(YEAR(revenue[orderDate])=2022,8,IF(YEAR(revenue[orderDate])=2023,9,IF(YEAR(revenue[orderDate])=2024,10,NA))),FALSE)</f>
        <v>7.370046533</v>
      </c>
      <c r="K388" s="9">
        <v>11.2</v>
      </c>
      <c r="L388" s="25">
        <f>(revenue[orderPrice]-revenue[productCost])/revenue[productCost]</f>
        <v>0.5196647605</v>
      </c>
      <c r="M388" s="10">
        <v>7.0</v>
      </c>
      <c r="N388" s="25">
        <v>0.25</v>
      </c>
      <c r="O388" s="9">
        <f>revenue[orderPrice]*revenue[orderQuantity]</f>
        <v>78.4</v>
      </c>
      <c r="P388" s="9">
        <f>revenue[orderTotal]*(1-revenue[discountApllied])</f>
        <v>58.8</v>
      </c>
      <c r="Q388" s="9">
        <f>revenue[revenue]-(revenue[productCost]*revenue[orderQuantity])</f>
        <v>7.209674266</v>
      </c>
      <c r="R388" s="25">
        <f>IFERROR(revenue[profit]/revenue[revenue], 0)</f>
        <v>0.1226135079</v>
      </c>
      <c r="S388" s="9">
        <f>revenue[productCost]*revenue[orderQuantity]</f>
        <v>51.59032573</v>
      </c>
    </row>
    <row r="389" ht="15.75" customHeight="1">
      <c r="A389" s="6">
        <v>10393.0</v>
      </c>
      <c r="B389" s="7" t="s">
        <v>60</v>
      </c>
      <c r="C389" s="24" t="str">
        <f>VLOOKUP(revenue[customerID],customers[],2,FALSE)</f>
        <v>Save-a-lot Markets</v>
      </c>
      <c r="D389" s="24" t="str">
        <f>VLOOKUP(revenue[customerID],customers[],6,FALSE)</f>
        <v>Boise</v>
      </c>
      <c r="E389" s="24" t="str">
        <f>VLOOKUP(revenue[customerID],customers[],9,FALSE)</f>
        <v>USA</v>
      </c>
      <c r="F389" s="24">
        <v>44920.0</v>
      </c>
      <c r="G389" s="6">
        <v>26.0</v>
      </c>
      <c r="H389" s="9" t="str">
        <f>VLOOKUP(revenue[productID],products[],2,FALSE)</f>
        <v>NuNuCa Nuß-Nougat-Creme</v>
      </c>
      <c r="I389" s="9" t="str">
        <f>VLOOKUP(revenue[productID],products[],12,FALSE)</f>
        <v>Confections</v>
      </c>
      <c r="J389" s="9">
        <f>VLOOKUP(revenue[productID],products[],IF(YEAR(revenue[orderDate])=2022,8,IF(YEAR(revenue[orderDate])=2023,9,IF(YEAR(revenue[orderDate])=2024,10,NA))),FALSE)</f>
        <v>17.26675607</v>
      </c>
      <c r="K389" s="9">
        <v>24.9</v>
      </c>
      <c r="L389" s="25">
        <f>(revenue[orderPrice]-revenue[productCost])/revenue[productCost]</f>
        <v>0.442077475</v>
      </c>
      <c r="M389" s="10">
        <v>70.0</v>
      </c>
      <c r="N389" s="25">
        <v>0.25</v>
      </c>
      <c r="O389" s="9">
        <f>revenue[orderPrice]*revenue[orderQuantity]</f>
        <v>1743</v>
      </c>
      <c r="P389" s="9">
        <f>revenue[orderTotal]*(1-revenue[discountApllied])</f>
        <v>1307.25</v>
      </c>
      <c r="Q389" s="9">
        <f>revenue[revenue]-(revenue[productCost]*revenue[orderQuantity])</f>
        <v>98.57707482</v>
      </c>
      <c r="R389" s="25">
        <f>IFERROR(revenue[profit]/revenue[revenue], 0)</f>
        <v>0.07540797462</v>
      </c>
      <c r="S389" s="9">
        <f>revenue[productCost]*revenue[orderQuantity]</f>
        <v>1208.672925</v>
      </c>
    </row>
    <row r="390" ht="15.75" customHeight="1">
      <c r="A390" s="6">
        <v>10393.0</v>
      </c>
      <c r="B390" s="7" t="s">
        <v>60</v>
      </c>
      <c r="C390" s="24" t="str">
        <f>VLOOKUP(revenue[customerID],customers[],2,FALSE)</f>
        <v>Save-a-lot Markets</v>
      </c>
      <c r="D390" s="24" t="str">
        <f>VLOOKUP(revenue[customerID],customers[],6,FALSE)</f>
        <v>Boise</v>
      </c>
      <c r="E390" s="24" t="str">
        <f>VLOOKUP(revenue[customerID],customers[],9,FALSE)</f>
        <v>USA</v>
      </c>
      <c r="F390" s="24">
        <v>44920.0</v>
      </c>
      <c r="G390" s="6">
        <v>31.0</v>
      </c>
      <c r="H390" s="9" t="str">
        <f>VLOOKUP(revenue[productID],products[],2,FALSE)</f>
        <v>Gorgonzola Telino</v>
      </c>
      <c r="I390" s="9" t="str">
        <f>VLOOKUP(revenue[productID],products[],12,FALSE)</f>
        <v>Dairy Products</v>
      </c>
      <c r="J390" s="9">
        <f>VLOOKUP(revenue[productID],products[],IF(YEAR(revenue[orderDate])=2022,8,IF(YEAR(revenue[orderDate])=2023,9,IF(YEAR(revenue[orderDate])=2024,10,NA))),FALSE)</f>
        <v>6.44031973</v>
      </c>
      <c r="K390" s="9">
        <v>10.0</v>
      </c>
      <c r="L390" s="25">
        <f>(revenue[orderPrice]-revenue[productCost])/revenue[productCost]</f>
        <v>0.5527179425</v>
      </c>
      <c r="M390" s="10">
        <v>32.0</v>
      </c>
      <c r="N390" s="25">
        <v>0.0</v>
      </c>
      <c r="O390" s="9">
        <f>revenue[orderPrice]*revenue[orderQuantity]</f>
        <v>320</v>
      </c>
      <c r="P390" s="9">
        <f>revenue[orderTotal]*(1-revenue[discountApllied])</f>
        <v>320</v>
      </c>
      <c r="Q390" s="9">
        <f>revenue[revenue]-(revenue[productCost]*revenue[orderQuantity])</f>
        <v>113.9097686</v>
      </c>
      <c r="R390" s="25">
        <f>IFERROR(revenue[profit]/revenue[revenue], 0)</f>
        <v>0.355968027</v>
      </c>
      <c r="S390" s="9">
        <f>revenue[productCost]*revenue[orderQuantity]</f>
        <v>206.0902314</v>
      </c>
    </row>
    <row r="391" ht="15.75" customHeight="1">
      <c r="A391" s="6">
        <v>10394.0</v>
      </c>
      <c r="B391" s="7" t="s">
        <v>79</v>
      </c>
      <c r="C391" s="24" t="str">
        <f>VLOOKUP(revenue[customerID],customers[],2,FALSE)</f>
        <v>Hungry Coyote Import Store</v>
      </c>
      <c r="D391" s="24" t="str">
        <f>VLOOKUP(revenue[customerID],customers[],6,FALSE)</f>
        <v>Elgin</v>
      </c>
      <c r="E391" s="24" t="str">
        <f>VLOOKUP(revenue[customerID],customers[],9,FALSE)</f>
        <v>USA</v>
      </c>
      <c r="F391" s="24">
        <v>44920.0</v>
      </c>
      <c r="G391" s="6">
        <v>13.0</v>
      </c>
      <c r="H391" s="9" t="str">
        <f>VLOOKUP(revenue[productID],products[],2,FALSE)</f>
        <v>Konbu</v>
      </c>
      <c r="I391" s="9" t="str">
        <f>VLOOKUP(revenue[productID],products[],12,FALSE)</f>
        <v>Seafood</v>
      </c>
      <c r="J391" s="9">
        <f>VLOOKUP(revenue[productID],products[],IF(YEAR(revenue[orderDate])=2022,8,IF(YEAR(revenue[orderDate])=2023,9,IF(YEAR(revenue[orderDate])=2024,10,NA))),FALSE)</f>
        <v>3.236727382</v>
      </c>
      <c r="K391" s="9">
        <v>4.8</v>
      </c>
      <c r="L391" s="25">
        <f>(revenue[orderPrice]-revenue[productCost])/revenue[productCost]</f>
        <v>0.4829793907</v>
      </c>
      <c r="M391" s="10">
        <v>10.0</v>
      </c>
      <c r="N391" s="25">
        <v>0.0</v>
      </c>
      <c r="O391" s="9">
        <f>revenue[orderPrice]*revenue[orderQuantity]</f>
        <v>48</v>
      </c>
      <c r="P391" s="9">
        <f>revenue[orderTotal]*(1-revenue[discountApllied])</f>
        <v>48</v>
      </c>
      <c r="Q391" s="9">
        <f>revenue[revenue]-(revenue[productCost]*revenue[orderQuantity])</f>
        <v>15.63272618</v>
      </c>
      <c r="R391" s="25">
        <f>IFERROR(revenue[profit]/revenue[revenue], 0)</f>
        <v>0.3256817955</v>
      </c>
      <c r="S391" s="9">
        <f>revenue[productCost]*revenue[orderQuantity]</f>
        <v>32.36727382</v>
      </c>
    </row>
    <row r="392" ht="15.75" customHeight="1">
      <c r="A392" s="6">
        <v>10394.0</v>
      </c>
      <c r="B392" s="7" t="s">
        <v>79</v>
      </c>
      <c r="C392" s="24" t="str">
        <f>VLOOKUP(revenue[customerID],customers[],2,FALSE)</f>
        <v>Hungry Coyote Import Store</v>
      </c>
      <c r="D392" s="24" t="str">
        <f>VLOOKUP(revenue[customerID],customers[],6,FALSE)</f>
        <v>Elgin</v>
      </c>
      <c r="E392" s="24" t="str">
        <f>VLOOKUP(revenue[customerID],customers[],9,FALSE)</f>
        <v>USA</v>
      </c>
      <c r="F392" s="24">
        <v>44920.0</v>
      </c>
      <c r="G392" s="6">
        <v>62.0</v>
      </c>
      <c r="H392" s="9" t="str">
        <f>VLOOKUP(revenue[productID],products[],2,FALSE)</f>
        <v>Tarte au sucre</v>
      </c>
      <c r="I392" s="9" t="str">
        <f>VLOOKUP(revenue[productID],products[],12,FALSE)</f>
        <v>Confections</v>
      </c>
      <c r="J392" s="9">
        <f>VLOOKUP(revenue[productID],products[],IF(YEAR(revenue[orderDate])=2022,8,IF(YEAR(revenue[orderDate])=2023,9,IF(YEAR(revenue[orderDate])=2024,10,NA))),FALSE)</f>
        <v>29.35963319</v>
      </c>
      <c r="K392" s="9">
        <v>39.4</v>
      </c>
      <c r="L392" s="25">
        <f>(revenue[orderPrice]-revenue[productCost])/revenue[productCost]</f>
        <v>0.3419786189</v>
      </c>
      <c r="M392" s="10">
        <v>10.0</v>
      </c>
      <c r="N392" s="25">
        <v>0.0</v>
      </c>
      <c r="O392" s="9">
        <f>revenue[orderPrice]*revenue[orderQuantity]</f>
        <v>394</v>
      </c>
      <c r="P392" s="9">
        <f>revenue[orderTotal]*(1-revenue[discountApllied])</f>
        <v>394</v>
      </c>
      <c r="Q392" s="9">
        <f>revenue[revenue]-(revenue[productCost]*revenue[orderQuantity])</f>
        <v>100.4036681</v>
      </c>
      <c r="R392" s="25">
        <f>IFERROR(revenue[profit]/revenue[revenue], 0)</f>
        <v>0.2548316449</v>
      </c>
      <c r="S392" s="9">
        <f>revenue[productCost]*revenue[orderQuantity]</f>
        <v>293.5963319</v>
      </c>
    </row>
    <row r="393" ht="15.75" customHeight="1">
      <c r="A393" s="6">
        <v>10395.0</v>
      </c>
      <c r="B393" s="7" t="s">
        <v>23</v>
      </c>
      <c r="C393" s="24" t="str">
        <f>VLOOKUP(revenue[customerID],customers[],2,FALSE)</f>
        <v>HILARION-Abastos</v>
      </c>
      <c r="D393" s="24" t="str">
        <f>VLOOKUP(revenue[customerID],customers[],6,FALSE)</f>
        <v>San Cristóbal</v>
      </c>
      <c r="E393" s="24" t="str">
        <f>VLOOKUP(revenue[customerID],customers[],9,FALSE)</f>
        <v>Venezuela</v>
      </c>
      <c r="F393" s="24">
        <v>44921.0</v>
      </c>
      <c r="G393" s="6">
        <v>46.0</v>
      </c>
      <c r="H393" s="9" t="str">
        <f>VLOOKUP(revenue[productID],products[],2,FALSE)</f>
        <v>Spegesild</v>
      </c>
      <c r="I393" s="9" t="str">
        <f>VLOOKUP(revenue[productID],products[],12,FALSE)</f>
        <v>Seafood</v>
      </c>
      <c r="J393" s="9">
        <f>VLOOKUP(revenue[productID],products[],IF(YEAR(revenue[orderDate])=2022,8,IF(YEAR(revenue[orderDate])=2023,9,IF(YEAR(revenue[orderDate])=2024,10,NA))),FALSE)</f>
        <v>6.266275015</v>
      </c>
      <c r="K393" s="9">
        <v>9.6</v>
      </c>
      <c r="L393" s="25">
        <f>(revenue[orderPrice]-revenue[productCost])/revenue[productCost]</f>
        <v>0.5320106406</v>
      </c>
      <c r="M393" s="10">
        <v>28.0</v>
      </c>
      <c r="N393" s="25">
        <v>0.1</v>
      </c>
      <c r="O393" s="9">
        <f>revenue[orderPrice]*revenue[orderQuantity]</f>
        <v>268.8</v>
      </c>
      <c r="P393" s="9">
        <f>revenue[orderTotal]*(1-revenue[discountApllied])</f>
        <v>241.92</v>
      </c>
      <c r="Q393" s="9">
        <f>revenue[revenue]-(revenue[productCost]*revenue[orderQuantity])</f>
        <v>66.46429957</v>
      </c>
      <c r="R393" s="25">
        <f>IFERROR(revenue[profit]/revenue[revenue], 0)</f>
        <v>0.2747366881</v>
      </c>
      <c r="S393" s="9">
        <f>revenue[productCost]*revenue[orderQuantity]</f>
        <v>175.4557004</v>
      </c>
    </row>
    <row r="394" ht="15.75" customHeight="1">
      <c r="A394" s="6">
        <v>10395.0</v>
      </c>
      <c r="B394" s="7" t="s">
        <v>23</v>
      </c>
      <c r="C394" s="24" t="str">
        <f>VLOOKUP(revenue[customerID],customers[],2,FALSE)</f>
        <v>HILARION-Abastos</v>
      </c>
      <c r="D394" s="24" t="str">
        <f>VLOOKUP(revenue[customerID],customers[],6,FALSE)</f>
        <v>San Cristóbal</v>
      </c>
      <c r="E394" s="24" t="str">
        <f>VLOOKUP(revenue[customerID],customers[],9,FALSE)</f>
        <v>Venezuela</v>
      </c>
      <c r="F394" s="24">
        <v>44921.0</v>
      </c>
      <c r="G394" s="6">
        <v>53.0</v>
      </c>
      <c r="H394" s="9" t="str">
        <f>VLOOKUP(revenue[productID],products[],2,FALSE)</f>
        <v>Perth Pasties</v>
      </c>
      <c r="I394" s="9" t="str">
        <f>VLOOKUP(revenue[productID],products[],12,FALSE)</f>
        <v>Meat/Poultry</v>
      </c>
      <c r="J394" s="9">
        <f>VLOOKUP(revenue[productID],products[],IF(YEAR(revenue[orderDate])=2022,8,IF(YEAR(revenue[orderDate])=2023,9,IF(YEAR(revenue[orderDate])=2024,10,NA))),FALSE)</f>
        <v>18.33322006</v>
      </c>
      <c r="K394" s="9">
        <v>26.2</v>
      </c>
      <c r="L394" s="25">
        <f>(revenue[orderPrice]-revenue[productCost])/revenue[productCost]</f>
        <v>0.4290997391</v>
      </c>
      <c r="M394" s="10">
        <v>70.0</v>
      </c>
      <c r="N394" s="25">
        <v>0.1</v>
      </c>
      <c r="O394" s="9">
        <f>revenue[orderPrice]*revenue[orderQuantity]</f>
        <v>1834</v>
      </c>
      <c r="P394" s="9">
        <f>revenue[orderTotal]*(1-revenue[discountApllied])</f>
        <v>1650.6</v>
      </c>
      <c r="Q394" s="9">
        <f>revenue[revenue]-(revenue[productCost]*revenue[orderQuantity])</f>
        <v>367.2745961</v>
      </c>
      <c r="R394" s="25">
        <f>IFERROR(revenue[profit]/revenue[revenue], 0)</f>
        <v>0.2225097516</v>
      </c>
      <c r="S394" s="9">
        <f>revenue[productCost]*revenue[orderQuantity]</f>
        <v>1283.325404</v>
      </c>
    </row>
    <row r="395" ht="15.75" customHeight="1">
      <c r="A395" s="6">
        <v>10395.0</v>
      </c>
      <c r="B395" s="7" t="s">
        <v>23</v>
      </c>
      <c r="C395" s="24" t="str">
        <f>VLOOKUP(revenue[customerID],customers[],2,FALSE)</f>
        <v>HILARION-Abastos</v>
      </c>
      <c r="D395" s="24" t="str">
        <f>VLOOKUP(revenue[customerID],customers[],6,FALSE)</f>
        <v>San Cristóbal</v>
      </c>
      <c r="E395" s="24" t="str">
        <f>VLOOKUP(revenue[customerID],customers[],9,FALSE)</f>
        <v>Venezuela</v>
      </c>
      <c r="F395" s="24">
        <v>44921.0</v>
      </c>
      <c r="G395" s="6">
        <v>69.0</v>
      </c>
      <c r="H395" s="9" t="str">
        <f>VLOOKUP(revenue[productID],products[],2,FALSE)</f>
        <v>Gudbrandsdalsost</v>
      </c>
      <c r="I395" s="9" t="str">
        <f>VLOOKUP(revenue[productID],products[],12,FALSE)</f>
        <v>Dairy Products</v>
      </c>
      <c r="J395" s="9">
        <f>VLOOKUP(revenue[productID],products[],IF(YEAR(revenue[orderDate])=2022,8,IF(YEAR(revenue[orderDate])=2023,9,IF(YEAR(revenue[orderDate])=2024,10,NA))),FALSE)</f>
        <v>20.71216183</v>
      </c>
      <c r="K395" s="9">
        <v>28.8</v>
      </c>
      <c r="L395" s="25">
        <f>(revenue[orderPrice]-revenue[productCost])/revenue[productCost]</f>
        <v>0.3904873977</v>
      </c>
      <c r="M395" s="10">
        <v>8.0</v>
      </c>
      <c r="N395" s="25">
        <v>0.0</v>
      </c>
      <c r="O395" s="9">
        <f>revenue[orderPrice]*revenue[orderQuantity]</f>
        <v>230.4</v>
      </c>
      <c r="P395" s="9">
        <f>revenue[orderTotal]*(1-revenue[discountApllied])</f>
        <v>230.4</v>
      </c>
      <c r="Q395" s="9">
        <f>revenue[revenue]-(revenue[productCost]*revenue[orderQuantity])</f>
        <v>64.70270538</v>
      </c>
      <c r="R395" s="25">
        <f>IFERROR(revenue[profit]/revenue[revenue], 0)</f>
        <v>0.2808277143</v>
      </c>
      <c r="S395" s="9">
        <f>revenue[productCost]*revenue[orderQuantity]</f>
        <v>165.6972946</v>
      </c>
    </row>
    <row r="396" ht="15.75" customHeight="1">
      <c r="A396" s="6">
        <v>10396.0</v>
      </c>
      <c r="B396" s="7" t="s">
        <v>32</v>
      </c>
      <c r="C396" s="24" t="str">
        <f>VLOOKUP(revenue[customerID],customers[],2,FALSE)</f>
        <v>Frankenversand</v>
      </c>
      <c r="D396" s="24" t="str">
        <f>VLOOKUP(revenue[customerID],customers[],6,FALSE)</f>
        <v>München</v>
      </c>
      <c r="E396" s="24" t="str">
        <f>VLOOKUP(revenue[customerID],customers[],9,FALSE)</f>
        <v>Germany</v>
      </c>
      <c r="F396" s="24">
        <v>44922.0</v>
      </c>
      <c r="G396" s="6">
        <v>23.0</v>
      </c>
      <c r="H396" s="9" t="str">
        <f>VLOOKUP(revenue[productID],products[],2,FALSE)</f>
        <v>Tunnbröd</v>
      </c>
      <c r="I396" s="9" t="str">
        <f>VLOOKUP(revenue[productID],products[],12,FALSE)</f>
        <v>Grains/Cereals</v>
      </c>
      <c r="J396" s="9">
        <f>VLOOKUP(revenue[productID],products[],IF(YEAR(revenue[orderDate])=2022,8,IF(YEAR(revenue[orderDate])=2023,9,IF(YEAR(revenue[orderDate])=2024,10,NA))),FALSE)</f>
        <v>5.310194716</v>
      </c>
      <c r="K396" s="9">
        <v>7.2</v>
      </c>
      <c r="L396" s="25">
        <f>(revenue[orderPrice]-revenue[productCost])/revenue[productCost]</f>
        <v>0.3558824836</v>
      </c>
      <c r="M396" s="10">
        <v>40.0</v>
      </c>
      <c r="N396" s="25">
        <v>0.0</v>
      </c>
      <c r="O396" s="9">
        <f>revenue[orderPrice]*revenue[orderQuantity]</f>
        <v>288</v>
      </c>
      <c r="P396" s="9">
        <f>revenue[orderTotal]*(1-revenue[discountApllied])</f>
        <v>288</v>
      </c>
      <c r="Q396" s="9">
        <f>revenue[revenue]-(revenue[productCost]*revenue[orderQuantity])</f>
        <v>75.59221136</v>
      </c>
      <c r="R396" s="25">
        <f>IFERROR(revenue[profit]/revenue[revenue], 0)</f>
        <v>0.2624729561</v>
      </c>
      <c r="S396" s="9">
        <f>revenue[productCost]*revenue[orderQuantity]</f>
        <v>212.4077886</v>
      </c>
    </row>
    <row r="397" ht="15.75" customHeight="1">
      <c r="A397" s="6">
        <v>10396.0</v>
      </c>
      <c r="B397" s="7" t="s">
        <v>32</v>
      </c>
      <c r="C397" s="24" t="str">
        <f>VLOOKUP(revenue[customerID],customers[],2,FALSE)</f>
        <v>Frankenversand</v>
      </c>
      <c r="D397" s="24" t="str">
        <f>VLOOKUP(revenue[customerID],customers[],6,FALSE)</f>
        <v>München</v>
      </c>
      <c r="E397" s="24" t="str">
        <f>VLOOKUP(revenue[customerID],customers[],9,FALSE)</f>
        <v>Germany</v>
      </c>
      <c r="F397" s="24">
        <v>44922.0</v>
      </c>
      <c r="G397" s="6">
        <v>71.0</v>
      </c>
      <c r="H397" s="9" t="str">
        <f>VLOOKUP(revenue[productID],products[],2,FALSE)</f>
        <v>Flotemysost</v>
      </c>
      <c r="I397" s="9" t="str">
        <f>VLOOKUP(revenue[productID],products[],12,FALSE)</f>
        <v>Dairy Products</v>
      </c>
      <c r="J397" s="9">
        <f>VLOOKUP(revenue[productID],products[],IF(YEAR(revenue[orderDate])=2022,8,IF(YEAR(revenue[orderDate])=2023,9,IF(YEAR(revenue[orderDate])=2024,10,NA))),FALSE)</f>
        <v>12.00719029</v>
      </c>
      <c r="K397" s="9">
        <v>17.2</v>
      </c>
      <c r="L397" s="25">
        <f>(revenue[orderPrice]-revenue[productCost])/revenue[productCost]</f>
        <v>0.4324750075</v>
      </c>
      <c r="M397" s="10">
        <v>60.0</v>
      </c>
      <c r="N397" s="25">
        <v>0.0</v>
      </c>
      <c r="O397" s="9">
        <f>revenue[orderPrice]*revenue[orderQuantity]</f>
        <v>1032</v>
      </c>
      <c r="P397" s="9">
        <f>revenue[orderTotal]*(1-revenue[discountApllied])</f>
        <v>1032</v>
      </c>
      <c r="Q397" s="9">
        <f>revenue[revenue]-(revenue[productCost]*revenue[orderQuantity])</f>
        <v>311.5685826</v>
      </c>
      <c r="R397" s="25">
        <f>IFERROR(revenue[profit]/revenue[revenue], 0)</f>
        <v>0.3019075413</v>
      </c>
      <c r="S397" s="9">
        <f>revenue[productCost]*revenue[orderQuantity]</f>
        <v>720.4314174</v>
      </c>
    </row>
    <row r="398" ht="15.75" customHeight="1">
      <c r="A398" s="6">
        <v>10396.0</v>
      </c>
      <c r="B398" s="7" t="s">
        <v>32</v>
      </c>
      <c r="C398" s="24" t="str">
        <f>VLOOKUP(revenue[customerID],customers[],2,FALSE)</f>
        <v>Frankenversand</v>
      </c>
      <c r="D398" s="24" t="str">
        <f>VLOOKUP(revenue[customerID],customers[],6,FALSE)</f>
        <v>München</v>
      </c>
      <c r="E398" s="24" t="str">
        <f>VLOOKUP(revenue[customerID],customers[],9,FALSE)</f>
        <v>Germany</v>
      </c>
      <c r="F398" s="24">
        <v>44922.0</v>
      </c>
      <c r="G398" s="6">
        <v>72.0</v>
      </c>
      <c r="H398" s="9" t="str">
        <f>VLOOKUP(revenue[productID],products[],2,FALSE)</f>
        <v>Mozzarella di Giovanni</v>
      </c>
      <c r="I398" s="9" t="str">
        <f>VLOOKUP(revenue[productID],products[],12,FALSE)</f>
        <v>Dairy Products</v>
      </c>
      <c r="J398" s="9">
        <f>VLOOKUP(revenue[productID],products[],IF(YEAR(revenue[orderDate])=2022,8,IF(YEAR(revenue[orderDate])=2023,9,IF(YEAR(revenue[orderDate])=2024,10,NA))),FALSE)</f>
        <v>19.20829334</v>
      </c>
      <c r="K398" s="9">
        <v>27.8</v>
      </c>
      <c r="L398" s="25">
        <f>(revenue[orderPrice]-revenue[productCost])/revenue[productCost]</f>
        <v>0.4472915167</v>
      </c>
      <c r="M398" s="10">
        <v>21.0</v>
      </c>
      <c r="N398" s="25">
        <v>0.0</v>
      </c>
      <c r="O398" s="9">
        <f>revenue[orderPrice]*revenue[orderQuantity]</f>
        <v>583.8</v>
      </c>
      <c r="P398" s="9">
        <f>revenue[orderTotal]*(1-revenue[discountApllied])</f>
        <v>583.8</v>
      </c>
      <c r="Q398" s="9">
        <f>revenue[revenue]-(revenue[productCost]*revenue[orderQuantity])</f>
        <v>180.4258399</v>
      </c>
      <c r="R398" s="25">
        <f>IFERROR(revenue[profit]/revenue[revenue], 0)</f>
        <v>0.3090541965</v>
      </c>
      <c r="S398" s="9">
        <f>revenue[productCost]*revenue[orderQuantity]</f>
        <v>403.3741601</v>
      </c>
    </row>
    <row r="399" ht="15.75" customHeight="1">
      <c r="A399" s="6">
        <v>10397.0</v>
      </c>
      <c r="B399" s="7" t="s">
        <v>65</v>
      </c>
      <c r="C399" s="24" t="str">
        <f>VLOOKUP(revenue[customerID],customers[],2,FALSE)</f>
        <v>Princesa Isabel Vinhos</v>
      </c>
      <c r="D399" s="24" t="str">
        <f>VLOOKUP(revenue[customerID],customers[],6,FALSE)</f>
        <v>Lisboa</v>
      </c>
      <c r="E399" s="24" t="str">
        <f>VLOOKUP(revenue[customerID],customers[],9,FALSE)</f>
        <v>Portugal</v>
      </c>
      <c r="F399" s="24">
        <v>44922.0</v>
      </c>
      <c r="G399" s="6">
        <v>21.0</v>
      </c>
      <c r="H399" s="9" t="str">
        <f>VLOOKUP(revenue[productID],products[],2,FALSE)</f>
        <v>Sir Rodney's Scones</v>
      </c>
      <c r="I399" s="9" t="str">
        <f>VLOOKUP(revenue[productID],products[],12,FALSE)</f>
        <v>Confections</v>
      </c>
      <c r="J399" s="9">
        <f>VLOOKUP(revenue[productID],products[],IF(YEAR(revenue[orderDate])=2022,8,IF(YEAR(revenue[orderDate])=2023,9,IF(YEAR(revenue[orderDate])=2024,10,NA))),FALSE)</f>
        <v>5.773836452</v>
      </c>
      <c r="K399" s="9">
        <v>8.0</v>
      </c>
      <c r="L399" s="25">
        <f>(revenue[orderPrice]-revenue[productCost])/revenue[productCost]</f>
        <v>0.3855605483</v>
      </c>
      <c r="M399" s="10">
        <v>10.0</v>
      </c>
      <c r="N399" s="25">
        <v>0.15</v>
      </c>
      <c r="O399" s="9">
        <f>revenue[orderPrice]*revenue[orderQuantity]</f>
        <v>80</v>
      </c>
      <c r="P399" s="9">
        <f>revenue[orderTotal]*(1-revenue[discountApllied])</f>
        <v>68</v>
      </c>
      <c r="Q399" s="9">
        <f>revenue[revenue]-(revenue[productCost]*revenue[orderQuantity])</f>
        <v>10.26163548</v>
      </c>
      <c r="R399" s="25">
        <f>IFERROR(revenue[profit]/revenue[revenue], 0)</f>
        <v>0.1509064041</v>
      </c>
      <c r="S399" s="9">
        <f>revenue[productCost]*revenue[orderQuantity]</f>
        <v>57.73836452</v>
      </c>
    </row>
    <row r="400" ht="15.75" customHeight="1">
      <c r="A400" s="6">
        <v>10397.0</v>
      </c>
      <c r="B400" s="7" t="s">
        <v>65</v>
      </c>
      <c r="C400" s="24" t="str">
        <f>VLOOKUP(revenue[customerID],customers[],2,FALSE)</f>
        <v>Princesa Isabel Vinhos</v>
      </c>
      <c r="D400" s="24" t="str">
        <f>VLOOKUP(revenue[customerID],customers[],6,FALSE)</f>
        <v>Lisboa</v>
      </c>
      <c r="E400" s="24" t="str">
        <f>VLOOKUP(revenue[customerID],customers[],9,FALSE)</f>
        <v>Portugal</v>
      </c>
      <c r="F400" s="24">
        <v>44922.0</v>
      </c>
      <c r="G400" s="6">
        <v>51.0</v>
      </c>
      <c r="H400" s="9" t="str">
        <f>VLOOKUP(revenue[productID],products[],2,FALSE)</f>
        <v>Manjimup Dried Apples</v>
      </c>
      <c r="I400" s="9" t="str">
        <f>VLOOKUP(revenue[productID],products[],12,FALSE)</f>
        <v>Produce</v>
      </c>
      <c r="J400" s="9">
        <f>VLOOKUP(revenue[productID],products[],IF(YEAR(revenue[orderDate])=2022,8,IF(YEAR(revenue[orderDate])=2023,9,IF(YEAR(revenue[orderDate])=2024,10,NA))),FALSE)</f>
        <v>28.87532154</v>
      </c>
      <c r="K400" s="9">
        <v>42.4</v>
      </c>
      <c r="L400" s="25">
        <f>(revenue[orderPrice]-revenue[productCost])/revenue[productCost]</f>
        <v>0.4683819172</v>
      </c>
      <c r="M400" s="10">
        <v>18.0</v>
      </c>
      <c r="N400" s="25">
        <v>0.15</v>
      </c>
      <c r="O400" s="9">
        <f>revenue[orderPrice]*revenue[orderQuantity]</f>
        <v>763.2</v>
      </c>
      <c r="P400" s="9">
        <f>revenue[orderTotal]*(1-revenue[discountApllied])</f>
        <v>648.72</v>
      </c>
      <c r="Q400" s="9">
        <f>revenue[revenue]-(revenue[productCost]*revenue[orderQuantity])</f>
        <v>128.9642123</v>
      </c>
      <c r="R400" s="25">
        <f>IFERROR(revenue[profit]/revenue[revenue], 0)</f>
        <v>0.1987979596</v>
      </c>
      <c r="S400" s="9">
        <f>revenue[productCost]*revenue[orderQuantity]</f>
        <v>519.7557877</v>
      </c>
    </row>
    <row r="401" ht="15.75" customHeight="1">
      <c r="A401" s="6">
        <v>10398.0</v>
      </c>
      <c r="B401" s="7" t="s">
        <v>60</v>
      </c>
      <c r="C401" s="24" t="str">
        <f>VLOOKUP(revenue[customerID],customers[],2,FALSE)</f>
        <v>Save-a-lot Markets</v>
      </c>
      <c r="D401" s="24" t="str">
        <f>VLOOKUP(revenue[customerID],customers[],6,FALSE)</f>
        <v>Boise</v>
      </c>
      <c r="E401" s="24" t="str">
        <f>VLOOKUP(revenue[customerID],customers[],9,FALSE)</f>
        <v>USA</v>
      </c>
      <c r="F401" s="24">
        <v>44925.0</v>
      </c>
      <c r="G401" s="6">
        <v>35.0</v>
      </c>
      <c r="H401" s="9" t="str">
        <f>VLOOKUP(revenue[productID],products[],2,FALSE)</f>
        <v>Cold Brew Nitro</v>
      </c>
      <c r="I401" s="9" t="str">
        <f>VLOOKUP(revenue[productID],products[],12,FALSE)</f>
        <v>Beverages</v>
      </c>
      <c r="J401" s="9">
        <f>VLOOKUP(revenue[productID],products[],IF(YEAR(revenue[orderDate])=2022,8,IF(YEAR(revenue[orderDate])=2023,9,IF(YEAR(revenue[orderDate])=2024,10,NA))),FALSE)</f>
        <v>10.19869089</v>
      </c>
      <c r="K401" s="9">
        <v>14.4</v>
      </c>
      <c r="L401" s="25">
        <f>(revenue[orderPrice]-revenue[productCost])/revenue[productCost]</f>
        <v>0.4119459208</v>
      </c>
      <c r="M401" s="10">
        <v>30.0</v>
      </c>
      <c r="N401" s="25">
        <v>0.0</v>
      </c>
      <c r="O401" s="9">
        <f>revenue[orderPrice]*revenue[orderQuantity]</f>
        <v>432</v>
      </c>
      <c r="P401" s="9">
        <f>revenue[orderTotal]*(1-revenue[discountApllied])</f>
        <v>432</v>
      </c>
      <c r="Q401" s="9">
        <f>revenue[revenue]-(revenue[productCost]*revenue[orderQuantity])</f>
        <v>126.0392733</v>
      </c>
      <c r="R401" s="25">
        <f>IFERROR(revenue[profit]/revenue[revenue], 0)</f>
        <v>0.2917575771</v>
      </c>
      <c r="S401" s="9">
        <f>revenue[productCost]*revenue[orderQuantity]</f>
        <v>305.9607267</v>
      </c>
    </row>
    <row r="402" ht="15.75" customHeight="1">
      <c r="A402" s="6">
        <v>10398.0</v>
      </c>
      <c r="B402" s="7" t="s">
        <v>60</v>
      </c>
      <c r="C402" s="24" t="str">
        <f>VLOOKUP(revenue[customerID],customers[],2,FALSE)</f>
        <v>Save-a-lot Markets</v>
      </c>
      <c r="D402" s="24" t="str">
        <f>VLOOKUP(revenue[customerID],customers[],6,FALSE)</f>
        <v>Boise</v>
      </c>
      <c r="E402" s="24" t="str">
        <f>VLOOKUP(revenue[customerID],customers[],9,FALSE)</f>
        <v>USA</v>
      </c>
      <c r="F402" s="24">
        <v>44925.0</v>
      </c>
      <c r="G402" s="6">
        <v>55.0</v>
      </c>
      <c r="H402" s="9" t="str">
        <f>VLOOKUP(revenue[productID],products[],2,FALSE)</f>
        <v>Pâté chinois</v>
      </c>
      <c r="I402" s="9" t="str">
        <f>VLOOKUP(revenue[productID],products[],12,FALSE)</f>
        <v>Meat/Poultry</v>
      </c>
      <c r="J402" s="9">
        <f>VLOOKUP(revenue[productID],products[],IF(YEAR(revenue[orderDate])=2022,8,IF(YEAR(revenue[orderDate])=2023,9,IF(YEAR(revenue[orderDate])=2024,10,NA))),FALSE)</f>
        <v>12.97496052</v>
      </c>
      <c r="K402" s="9">
        <v>19.2</v>
      </c>
      <c r="L402" s="25">
        <f>(revenue[orderPrice]-revenue[productCost])/revenue[productCost]</f>
        <v>0.4797732884</v>
      </c>
      <c r="M402" s="10">
        <v>120.0</v>
      </c>
      <c r="N402" s="25">
        <v>0.1</v>
      </c>
      <c r="O402" s="9">
        <f>revenue[orderPrice]*revenue[orderQuantity]</f>
        <v>2304</v>
      </c>
      <c r="P402" s="9">
        <f>revenue[orderTotal]*(1-revenue[discountApllied])</f>
        <v>2073.6</v>
      </c>
      <c r="Q402" s="9">
        <f>revenue[revenue]-(revenue[productCost]*revenue[orderQuantity])</f>
        <v>516.6047372</v>
      </c>
      <c r="R402" s="25">
        <f>IFERROR(revenue[profit]/revenue[revenue], 0)</f>
        <v>0.249134229</v>
      </c>
      <c r="S402" s="9">
        <f>revenue[productCost]*revenue[orderQuantity]</f>
        <v>1556.995263</v>
      </c>
    </row>
    <row r="403" ht="15.75" customHeight="1">
      <c r="A403" s="6">
        <v>10399.0</v>
      </c>
      <c r="B403" s="7" t="s">
        <v>76</v>
      </c>
      <c r="C403" s="24" t="str">
        <f>VLOOKUP(revenue[customerID],customers[],2,FALSE)</f>
        <v>Vaffeljernet</v>
      </c>
      <c r="D403" s="24" t="str">
        <f>VLOOKUP(revenue[customerID],customers[],6,FALSE)</f>
        <v>Århus</v>
      </c>
      <c r="E403" s="24" t="str">
        <f>VLOOKUP(revenue[customerID],customers[],9,FALSE)</f>
        <v>Denmark</v>
      </c>
      <c r="F403" s="24">
        <v>44926.0</v>
      </c>
      <c r="G403" s="6">
        <v>68.0</v>
      </c>
      <c r="H403" s="9" t="str">
        <f>VLOOKUP(revenue[productID],products[],2,FALSE)</f>
        <v>Scottish Longbreads</v>
      </c>
      <c r="I403" s="9" t="str">
        <f>VLOOKUP(revenue[productID],products[],12,FALSE)</f>
        <v>Confections</v>
      </c>
      <c r="J403" s="9">
        <f>VLOOKUP(revenue[productID],products[],IF(YEAR(revenue[orderDate])=2022,8,IF(YEAR(revenue[orderDate])=2023,9,IF(YEAR(revenue[orderDate])=2024,10,NA))),FALSE)</f>
        <v>7.316656529</v>
      </c>
      <c r="K403" s="9">
        <v>10.0</v>
      </c>
      <c r="L403" s="25">
        <f>(revenue[orderPrice]-revenue[productCost])/revenue[productCost]</f>
        <v>0.3667444906</v>
      </c>
      <c r="M403" s="10">
        <v>60.0</v>
      </c>
      <c r="N403" s="25">
        <v>0.0</v>
      </c>
      <c r="O403" s="9">
        <f>revenue[orderPrice]*revenue[orderQuantity]</f>
        <v>600</v>
      </c>
      <c r="P403" s="9">
        <f>revenue[orderTotal]*(1-revenue[discountApllied])</f>
        <v>600</v>
      </c>
      <c r="Q403" s="9">
        <f>revenue[revenue]-(revenue[productCost]*revenue[orderQuantity])</f>
        <v>161.0006083</v>
      </c>
      <c r="R403" s="25">
        <f>IFERROR(revenue[profit]/revenue[revenue], 0)</f>
        <v>0.2683343471</v>
      </c>
      <c r="S403" s="9">
        <f>revenue[productCost]*revenue[orderQuantity]</f>
        <v>438.9993917</v>
      </c>
    </row>
    <row r="404" ht="15.75" customHeight="1">
      <c r="A404" s="6">
        <v>10399.0</v>
      </c>
      <c r="B404" s="7" t="s">
        <v>76</v>
      </c>
      <c r="C404" s="24" t="str">
        <f>VLOOKUP(revenue[customerID],customers[],2,FALSE)</f>
        <v>Vaffeljernet</v>
      </c>
      <c r="D404" s="24" t="str">
        <f>VLOOKUP(revenue[customerID],customers[],6,FALSE)</f>
        <v>Århus</v>
      </c>
      <c r="E404" s="24" t="str">
        <f>VLOOKUP(revenue[customerID],customers[],9,FALSE)</f>
        <v>Denmark</v>
      </c>
      <c r="F404" s="24">
        <v>44926.0</v>
      </c>
      <c r="G404" s="6">
        <v>71.0</v>
      </c>
      <c r="H404" s="9" t="str">
        <f>VLOOKUP(revenue[productID],products[],2,FALSE)</f>
        <v>Flotemysost</v>
      </c>
      <c r="I404" s="9" t="str">
        <f>VLOOKUP(revenue[productID],products[],12,FALSE)</f>
        <v>Dairy Products</v>
      </c>
      <c r="J404" s="9">
        <f>VLOOKUP(revenue[productID],products[],IF(YEAR(revenue[orderDate])=2022,8,IF(YEAR(revenue[orderDate])=2023,9,IF(YEAR(revenue[orderDate])=2024,10,NA))),FALSE)</f>
        <v>12.00719029</v>
      </c>
      <c r="K404" s="9">
        <v>17.2</v>
      </c>
      <c r="L404" s="25">
        <f>(revenue[orderPrice]-revenue[productCost])/revenue[productCost]</f>
        <v>0.4324750075</v>
      </c>
      <c r="M404" s="10">
        <v>30.0</v>
      </c>
      <c r="N404" s="25">
        <v>0.0</v>
      </c>
      <c r="O404" s="9">
        <f>revenue[orderPrice]*revenue[orderQuantity]</f>
        <v>516</v>
      </c>
      <c r="P404" s="9">
        <f>revenue[orderTotal]*(1-revenue[discountApllied])</f>
        <v>516</v>
      </c>
      <c r="Q404" s="9">
        <f>revenue[revenue]-(revenue[productCost]*revenue[orderQuantity])</f>
        <v>155.7842913</v>
      </c>
      <c r="R404" s="25">
        <f>IFERROR(revenue[profit]/revenue[revenue], 0)</f>
        <v>0.3019075413</v>
      </c>
      <c r="S404" s="9">
        <f>revenue[productCost]*revenue[orderQuantity]</f>
        <v>360.2157087</v>
      </c>
    </row>
    <row r="405" ht="15.75" customHeight="1">
      <c r="A405" s="6">
        <v>10399.0</v>
      </c>
      <c r="B405" s="7" t="s">
        <v>76</v>
      </c>
      <c r="C405" s="24" t="str">
        <f>VLOOKUP(revenue[customerID],customers[],2,FALSE)</f>
        <v>Vaffeljernet</v>
      </c>
      <c r="D405" s="24" t="str">
        <f>VLOOKUP(revenue[customerID],customers[],6,FALSE)</f>
        <v>Århus</v>
      </c>
      <c r="E405" s="24" t="str">
        <f>VLOOKUP(revenue[customerID],customers[],9,FALSE)</f>
        <v>Denmark</v>
      </c>
      <c r="F405" s="24">
        <v>44926.0</v>
      </c>
      <c r="G405" s="6">
        <v>76.0</v>
      </c>
      <c r="H405" s="9" t="str">
        <f>VLOOKUP(revenue[productID],products[],2,FALSE)</f>
        <v>Lakkalikööri</v>
      </c>
      <c r="I405" s="9" t="str">
        <f>VLOOKUP(revenue[productID],products[],12,FALSE)</f>
        <v>Beverages</v>
      </c>
      <c r="J405" s="9">
        <f>VLOOKUP(revenue[productID],products[],IF(YEAR(revenue[orderDate])=2022,8,IF(YEAR(revenue[orderDate])=2023,9,IF(YEAR(revenue[orderDate])=2024,10,NA))),FALSE)</f>
        <v>10.19609256</v>
      </c>
      <c r="K405" s="9">
        <v>14.4</v>
      </c>
      <c r="L405" s="25">
        <f>(revenue[orderPrice]-revenue[productCost])/revenue[productCost]</f>
        <v>0.4123057356</v>
      </c>
      <c r="M405" s="10">
        <v>35.0</v>
      </c>
      <c r="N405" s="25">
        <v>0.0</v>
      </c>
      <c r="O405" s="9">
        <f>revenue[orderPrice]*revenue[orderQuantity]</f>
        <v>504</v>
      </c>
      <c r="P405" s="9">
        <f>revenue[orderTotal]*(1-revenue[discountApllied])</f>
        <v>504</v>
      </c>
      <c r="Q405" s="9">
        <f>revenue[revenue]-(revenue[productCost]*revenue[orderQuantity])</f>
        <v>147.1367605</v>
      </c>
      <c r="R405" s="25">
        <f>IFERROR(revenue[profit]/revenue[revenue], 0)</f>
        <v>0.2919380168</v>
      </c>
      <c r="S405" s="9">
        <f>revenue[productCost]*revenue[orderQuantity]</f>
        <v>356.8632395</v>
      </c>
    </row>
    <row r="406" ht="15.75" customHeight="1">
      <c r="A406" s="6">
        <v>10399.0</v>
      </c>
      <c r="B406" s="7" t="s">
        <v>76</v>
      </c>
      <c r="C406" s="24" t="str">
        <f>VLOOKUP(revenue[customerID],customers[],2,FALSE)</f>
        <v>Vaffeljernet</v>
      </c>
      <c r="D406" s="24" t="str">
        <f>VLOOKUP(revenue[customerID],customers[],6,FALSE)</f>
        <v>Århus</v>
      </c>
      <c r="E406" s="24" t="str">
        <f>VLOOKUP(revenue[customerID],customers[],9,FALSE)</f>
        <v>Denmark</v>
      </c>
      <c r="F406" s="24">
        <v>44926.0</v>
      </c>
      <c r="G406" s="6">
        <v>77.0</v>
      </c>
      <c r="H406" s="9" t="str">
        <f>VLOOKUP(revenue[productID],products[],2,FALSE)</f>
        <v>Original Frankfurter grüne Soße</v>
      </c>
      <c r="I406" s="9" t="str">
        <f>VLOOKUP(revenue[productID],products[],12,FALSE)</f>
        <v>Condiments</v>
      </c>
      <c r="J406" s="9">
        <f>VLOOKUP(revenue[productID],products[],IF(YEAR(revenue[orderDate])=2022,8,IF(YEAR(revenue[orderDate])=2023,9,IF(YEAR(revenue[orderDate])=2024,10,NA))),FALSE)</f>
        <v>7.430272842</v>
      </c>
      <c r="K406" s="9">
        <v>10.4</v>
      </c>
      <c r="L406" s="25">
        <f>(revenue[orderPrice]-revenue[productCost])/revenue[productCost]</f>
        <v>0.3996794225</v>
      </c>
      <c r="M406" s="10">
        <v>14.0</v>
      </c>
      <c r="N406" s="25">
        <v>0.0</v>
      </c>
      <c r="O406" s="9">
        <f>revenue[orderPrice]*revenue[orderQuantity]</f>
        <v>145.6</v>
      </c>
      <c r="P406" s="9">
        <f>revenue[orderTotal]*(1-revenue[discountApllied])</f>
        <v>145.6</v>
      </c>
      <c r="Q406" s="9">
        <f>revenue[revenue]-(revenue[productCost]*revenue[orderQuantity])</f>
        <v>41.57618022</v>
      </c>
      <c r="R406" s="25">
        <f>IFERROR(revenue[profit]/revenue[revenue], 0)</f>
        <v>0.2855506883</v>
      </c>
      <c r="S406" s="9">
        <f>revenue[productCost]*revenue[orderQuantity]</f>
        <v>104.0238198</v>
      </c>
    </row>
    <row r="407" ht="15.75" customHeight="1">
      <c r="A407" s="6">
        <v>10400.0</v>
      </c>
      <c r="B407" s="7" t="s">
        <v>73</v>
      </c>
      <c r="C407" s="24" t="str">
        <f>VLOOKUP(revenue[customerID],customers[],2,FALSE)</f>
        <v>Eastern Connection</v>
      </c>
      <c r="D407" s="24" t="str">
        <f>VLOOKUP(revenue[customerID],customers[],6,FALSE)</f>
        <v>London</v>
      </c>
      <c r="E407" s="24" t="str">
        <f>VLOOKUP(revenue[customerID],customers[],9,FALSE)</f>
        <v>UK</v>
      </c>
      <c r="F407" s="24">
        <v>44927.0</v>
      </c>
      <c r="G407" s="6">
        <v>29.0</v>
      </c>
      <c r="H407" s="9" t="str">
        <f>VLOOKUP(revenue[productID],products[],2,FALSE)</f>
        <v>Thüringer Rostbratwurst</v>
      </c>
      <c r="I407" s="9" t="str">
        <f>VLOOKUP(revenue[productID],products[],12,FALSE)</f>
        <v>Meat/Poultry</v>
      </c>
      <c r="J407" s="9">
        <f>VLOOKUP(revenue[productID],products[],IF(YEAR(revenue[orderDate])=2022,8,IF(YEAR(revenue[orderDate])=2023,9,IF(YEAR(revenue[orderDate])=2024,10,NA))),FALSE)</f>
        <v>80.85619497</v>
      </c>
      <c r="K407" s="9">
        <v>99.0</v>
      </c>
      <c r="L407" s="25">
        <f>(revenue[orderPrice]-revenue[productCost])/revenue[productCost]</f>
        <v>0.224395979</v>
      </c>
      <c r="M407" s="10">
        <v>21.0</v>
      </c>
      <c r="N407" s="25">
        <v>0.0</v>
      </c>
      <c r="O407" s="9">
        <f>revenue[orderPrice]*revenue[orderQuantity]</f>
        <v>2079</v>
      </c>
      <c r="P407" s="9">
        <f>revenue[orderTotal]*(1-revenue[discountApllied])</f>
        <v>2079</v>
      </c>
      <c r="Q407" s="9">
        <f>revenue[revenue]-(revenue[productCost]*revenue[orderQuantity])</f>
        <v>381.0199056</v>
      </c>
      <c r="R407" s="25">
        <f>IFERROR(revenue[profit]/revenue[revenue], 0)</f>
        <v>0.1832707579</v>
      </c>
      <c r="S407" s="9">
        <f>revenue[productCost]*revenue[orderQuantity]</f>
        <v>1697.980094</v>
      </c>
    </row>
    <row r="408" ht="15.75" customHeight="1">
      <c r="A408" s="6">
        <v>10400.0</v>
      </c>
      <c r="B408" s="7" t="s">
        <v>73</v>
      </c>
      <c r="C408" s="24" t="str">
        <f>VLOOKUP(revenue[customerID],customers[],2,FALSE)</f>
        <v>Eastern Connection</v>
      </c>
      <c r="D408" s="24" t="str">
        <f>VLOOKUP(revenue[customerID],customers[],6,FALSE)</f>
        <v>London</v>
      </c>
      <c r="E408" s="24" t="str">
        <f>VLOOKUP(revenue[customerID],customers[],9,FALSE)</f>
        <v>UK</v>
      </c>
      <c r="F408" s="24">
        <v>44927.0</v>
      </c>
      <c r="G408" s="6">
        <v>35.0</v>
      </c>
      <c r="H408" s="9" t="str">
        <f>VLOOKUP(revenue[productID],products[],2,FALSE)</f>
        <v>Cold Brew Nitro</v>
      </c>
      <c r="I408" s="9" t="str">
        <f>VLOOKUP(revenue[productID],products[],12,FALSE)</f>
        <v>Beverages</v>
      </c>
      <c r="J408" s="9">
        <f>VLOOKUP(revenue[productID],products[],IF(YEAR(revenue[orderDate])=2022,8,IF(YEAR(revenue[orderDate])=2023,9,IF(YEAR(revenue[orderDate])=2024,10,NA))),FALSE)</f>
        <v>11.7602531</v>
      </c>
      <c r="K408" s="9">
        <v>14.4</v>
      </c>
      <c r="L408" s="25">
        <f>(revenue[orderPrice]-revenue[productCost])/revenue[productCost]</f>
        <v>0.2244634426</v>
      </c>
      <c r="M408" s="10">
        <v>35.0</v>
      </c>
      <c r="N408" s="25">
        <v>0.0</v>
      </c>
      <c r="O408" s="9">
        <f>revenue[orderPrice]*revenue[orderQuantity]</f>
        <v>504</v>
      </c>
      <c r="P408" s="9">
        <f>revenue[orderTotal]*(1-revenue[discountApllied])</f>
        <v>504</v>
      </c>
      <c r="Q408" s="9">
        <f>revenue[revenue]-(revenue[productCost]*revenue[orderQuantity])</f>
        <v>92.39114142</v>
      </c>
      <c r="R408" s="25">
        <f>IFERROR(revenue[profit]/revenue[revenue], 0)</f>
        <v>0.1833157568</v>
      </c>
      <c r="S408" s="9">
        <f>revenue[productCost]*revenue[orderQuantity]</f>
        <v>411.6088586</v>
      </c>
    </row>
    <row r="409" ht="15.75" customHeight="1">
      <c r="A409" s="6">
        <v>10400.0</v>
      </c>
      <c r="B409" s="7" t="s">
        <v>73</v>
      </c>
      <c r="C409" s="24" t="str">
        <f>VLOOKUP(revenue[customerID],customers[],2,FALSE)</f>
        <v>Eastern Connection</v>
      </c>
      <c r="D409" s="24" t="str">
        <f>VLOOKUP(revenue[customerID],customers[],6,FALSE)</f>
        <v>London</v>
      </c>
      <c r="E409" s="24" t="str">
        <f>VLOOKUP(revenue[customerID],customers[],9,FALSE)</f>
        <v>UK</v>
      </c>
      <c r="F409" s="24">
        <v>44927.0</v>
      </c>
      <c r="G409" s="6">
        <v>49.0</v>
      </c>
      <c r="H409" s="9" t="str">
        <f>VLOOKUP(revenue[productID],products[],2,FALSE)</f>
        <v>Maxilaku</v>
      </c>
      <c r="I409" s="9" t="str">
        <f>VLOOKUP(revenue[productID],products[],12,FALSE)</f>
        <v>Confections</v>
      </c>
      <c r="J409" s="9">
        <f>VLOOKUP(revenue[productID],products[],IF(YEAR(revenue[orderDate])=2022,8,IF(YEAR(revenue[orderDate])=2023,9,IF(YEAR(revenue[orderDate])=2024,10,NA))),FALSE)</f>
        <v>13.04112285</v>
      </c>
      <c r="K409" s="9">
        <v>16.0</v>
      </c>
      <c r="L409" s="25">
        <f>(revenue[orderPrice]-revenue[productCost])/revenue[productCost]</f>
        <v>0.2268882197</v>
      </c>
      <c r="M409" s="10">
        <v>30.0</v>
      </c>
      <c r="N409" s="25">
        <v>0.0</v>
      </c>
      <c r="O409" s="9">
        <f>revenue[orderPrice]*revenue[orderQuantity]</f>
        <v>480</v>
      </c>
      <c r="P409" s="9">
        <f>revenue[orderTotal]*(1-revenue[discountApllied])</f>
        <v>480</v>
      </c>
      <c r="Q409" s="9">
        <f>revenue[revenue]-(revenue[productCost]*revenue[orderQuantity])</f>
        <v>88.7663144</v>
      </c>
      <c r="R409" s="25">
        <f>IFERROR(revenue[profit]/revenue[revenue], 0)</f>
        <v>0.1849298217</v>
      </c>
      <c r="S409" s="9">
        <f>revenue[productCost]*revenue[orderQuantity]</f>
        <v>391.2336856</v>
      </c>
    </row>
    <row r="410" ht="15.75" customHeight="1">
      <c r="A410" s="6">
        <v>10401.0</v>
      </c>
      <c r="B410" s="7" t="s">
        <v>28</v>
      </c>
      <c r="C410" s="24" t="str">
        <f>VLOOKUP(revenue[customerID],customers[],2,FALSE)</f>
        <v>Rattlesnake Canyon Grocery</v>
      </c>
      <c r="D410" s="24" t="str">
        <f>VLOOKUP(revenue[customerID],customers[],6,FALSE)</f>
        <v>Albuquerque</v>
      </c>
      <c r="E410" s="24" t="str">
        <f>VLOOKUP(revenue[customerID],customers[],9,FALSE)</f>
        <v>USA</v>
      </c>
      <c r="F410" s="24">
        <v>44927.0</v>
      </c>
      <c r="G410" s="6">
        <v>30.0</v>
      </c>
      <c r="H410" s="9" t="str">
        <f>VLOOKUP(revenue[productID],products[],2,FALSE)</f>
        <v>Nord-Ost Matjeshering</v>
      </c>
      <c r="I410" s="9" t="str">
        <f>VLOOKUP(revenue[productID],products[],12,FALSE)</f>
        <v>Seafood</v>
      </c>
      <c r="J410" s="9">
        <f>VLOOKUP(revenue[productID],products[],IF(YEAR(revenue[orderDate])=2022,8,IF(YEAR(revenue[orderDate])=2023,9,IF(YEAR(revenue[orderDate])=2024,10,NA))),FALSE)</f>
        <v>16.03885249</v>
      </c>
      <c r="K410" s="9">
        <v>20.7</v>
      </c>
      <c r="L410" s="25">
        <f>(revenue[orderPrice]-revenue[productCost])/revenue[productCost]</f>
        <v>0.2906160219</v>
      </c>
      <c r="M410" s="10">
        <v>18.0</v>
      </c>
      <c r="N410" s="25">
        <v>0.0</v>
      </c>
      <c r="O410" s="9">
        <f>revenue[orderPrice]*revenue[orderQuantity]</f>
        <v>372.6</v>
      </c>
      <c r="P410" s="9">
        <f>revenue[orderTotal]*(1-revenue[discountApllied])</f>
        <v>372.6</v>
      </c>
      <c r="Q410" s="9">
        <f>revenue[revenue]-(revenue[productCost]*revenue[orderQuantity])</f>
        <v>83.90065513</v>
      </c>
      <c r="R410" s="25">
        <f>IFERROR(revenue[profit]/revenue[revenue], 0)</f>
        <v>0.2251762081</v>
      </c>
      <c r="S410" s="9">
        <f>revenue[productCost]*revenue[orderQuantity]</f>
        <v>288.6993449</v>
      </c>
    </row>
    <row r="411" ht="15.75" customHeight="1">
      <c r="A411" s="6">
        <v>10401.0</v>
      </c>
      <c r="B411" s="7" t="s">
        <v>28</v>
      </c>
      <c r="C411" s="24" t="str">
        <f>VLOOKUP(revenue[customerID],customers[],2,FALSE)</f>
        <v>Rattlesnake Canyon Grocery</v>
      </c>
      <c r="D411" s="24" t="str">
        <f>VLOOKUP(revenue[customerID],customers[],6,FALSE)</f>
        <v>Albuquerque</v>
      </c>
      <c r="E411" s="24" t="str">
        <f>VLOOKUP(revenue[customerID],customers[],9,FALSE)</f>
        <v>USA</v>
      </c>
      <c r="F411" s="24">
        <v>44927.0</v>
      </c>
      <c r="G411" s="6">
        <v>56.0</v>
      </c>
      <c r="H411" s="9" t="str">
        <f>VLOOKUP(revenue[productID],products[],2,FALSE)</f>
        <v>Gnocchi di nonna Alice</v>
      </c>
      <c r="I411" s="9" t="str">
        <f>VLOOKUP(revenue[productID],products[],12,FALSE)</f>
        <v>Grains/Cereals</v>
      </c>
      <c r="J411" s="9">
        <f>VLOOKUP(revenue[productID],products[],IF(YEAR(revenue[orderDate])=2022,8,IF(YEAR(revenue[orderDate])=2023,9,IF(YEAR(revenue[orderDate])=2024,10,NA))),FALSE)</f>
        <v>24.28342441</v>
      </c>
      <c r="K411" s="9">
        <v>30.4</v>
      </c>
      <c r="L411" s="25">
        <f>(revenue[orderPrice]-revenue[productCost])/revenue[productCost]</f>
        <v>0.2518827447</v>
      </c>
      <c r="M411" s="10">
        <v>70.0</v>
      </c>
      <c r="N411" s="25">
        <v>0.0</v>
      </c>
      <c r="O411" s="9">
        <f>revenue[orderPrice]*revenue[orderQuantity]</f>
        <v>2128</v>
      </c>
      <c r="P411" s="9">
        <f>revenue[orderTotal]*(1-revenue[discountApllied])</f>
        <v>2128</v>
      </c>
      <c r="Q411" s="9">
        <f>revenue[revenue]-(revenue[productCost]*revenue[orderQuantity])</f>
        <v>428.1602914</v>
      </c>
      <c r="R411" s="25">
        <f>IFERROR(revenue[profit]/revenue[revenue], 0)</f>
        <v>0.2012031445</v>
      </c>
      <c r="S411" s="9">
        <f>revenue[productCost]*revenue[orderQuantity]</f>
        <v>1699.839709</v>
      </c>
    </row>
    <row r="412" ht="15.75" customHeight="1">
      <c r="A412" s="6">
        <v>10401.0</v>
      </c>
      <c r="B412" s="7" t="s">
        <v>28</v>
      </c>
      <c r="C412" s="24" t="str">
        <f>VLOOKUP(revenue[customerID],customers[],2,FALSE)</f>
        <v>Rattlesnake Canyon Grocery</v>
      </c>
      <c r="D412" s="24" t="str">
        <f>VLOOKUP(revenue[customerID],customers[],6,FALSE)</f>
        <v>Albuquerque</v>
      </c>
      <c r="E412" s="24" t="str">
        <f>VLOOKUP(revenue[customerID],customers[],9,FALSE)</f>
        <v>USA</v>
      </c>
      <c r="F412" s="24">
        <v>44927.0</v>
      </c>
      <c r="G412" s="6">
        <v>65.0</v>
      </c>
      <c r="H412" s="9" t="str">
        <f>VLOOKUP(revenue[productID],products[],2,FALSE)</f>
        <v>Louisiana Fiery Hot Pepper Sauce</v>
      </c>
      <c r="I412" s="9" t="str">
        <f>VLOOKUP(revenue[productID],products[],12,FALSE)</f>
        <v>Condiments</v>
      </c>
      <c r="J412" s="9">
        <f>VLOOKUP(revenue[productID],products[],IF(YEAR(revenue[orderDate])=2022,8,IF(YEAR(revenue[orderDate])=2023,9,IF(YEAR(revenue[orderDate])=2024,10,NA))),FALSE)</f>
        <v>13.21122243</v>
      </c>
      <c r="K412" s="9">
        <v>16.8</v>
      </c>
      <c r="L412" s="25">
        <f>(revenue[orderPrice]-revenue[productCost])/revenue[productCost]</f>
        <v>0.2716461391</v>
      </c>
      <c r="M412" s="10">
        <v>20.0</v>
      </c>
      <c r="N412" s="25">
        <v>0.0</v>
      </c>
      <c r="O412" s="9">
        <f>revenue[orderPrice]*revenue[orderQuantity]</f>
        <v>336</v>
      </c>
      <c r="P412" s="9">
        <f>revenue[orderTotal]*(1-revenue[discountApllied])</f>
        <v>336</v>
      </c>
      <c r="Q412" s="9">
        <f>revenue[revenue]-(revenue[productCost]*revenue[orderQuantity])</f>
        <v>71.77555134</v>
      </c>
      <c r="R412" s="25">
        <f>IFERROR(revenue[profit]/revenue[revenue], 0)</f>
        <v>0.2136177123</v>
      </c>
      <c r="S412" s="9">
        <f>revenue[productCost]*revenue[orderQuantity]</f>
        <v>264.2244487</v>
      </c>
    </row>
    <row r="413" ht="15.75" customHeight="1">
      <c r="A413" s="6">
        <v>10401.0</v>
      </c>
      <c r="B413" s="7" t="s">
        <v>28</v>
      </c>
      <c r="C413" s="24" t="str">
        <f>VLOOKUP(revenue[customerID],customers[],2,FALSE)</f>
        <v>Rattlesnake Canyon Grocery</v>
      </c>
      <c r="D413" s="24" t="str">
        <f>VLOOKUP(revenue[customerID],customers[],6,FALSE)</f>
        <v>Albuquerque</v>
      </c>
      <c r="E413" s="24" t="str">
        <f>VLOOKUP(revenue[customerID],customers[],9,FALSE)</f>
        <v>USA</v>
      </c>
      <c r="F413" s="24">
        <v>44927.0</v>
      </c>
      <c r="G413" s="6">
        <v>71.0</v>
      </c>
      <c r="H413" s="9" t="str">
        <f>VLOOKUP(revenue[productID],products[],2,FALSE)</f>
        <v>Flotemysost</v>
      </c>
      <c r="I413" s="9" t="str">
        <f>VLOOKUP(revenue[productID],products[],12,FALSE)</f>
        <v>Dairy Products</v>
      </c>
      <c r="J413" s="9">
        <f>VLOOKUP(revenue[productID],products[],IF(YEAR(revenue[orderDate])=2022,8,IF(YEAR(revenue[orderDate])=2023,9,IF(YEAR(revenue[orderDate])=2024,10,NA))),FALSE)</f>
        <v>13.4003664</v>
      </c>
      <c r="K413" s="9">
        <v>17.2</v>
      </c>
      <c r="L413" s="25">
        <f>(revenue[orderPrice]-revenue[productCost])/revenue[productCost]</f>
        <v>0.2835469929</v>
      </c>
      <c r="M413" s="10">
        <v>60.0</v>
      </c>
      <c r="N413" s="25">
        <v>0.0</v>
      </c>
      <c r="O413" s="9">
        <f>revenue[orderPrice]*revenue[orderQuantity]</f>
        <v>1032</v>
      </c>
      <c r="P413" s="9">
        <f>revenue[orderTotal]*(1-revenue[discountApllied])</f>
        <v>1032</v>
      </c>
      <c r="Q413" s="9">
        <f>revenue[revenue]-(revenue[productCost]*revenue[orderQuantity])</f>
        <v>227.9780158</v>
      </c>
      <c r="R413" s="25">
        <f>IFERROR(revenue[profit]/revenue[revenue], 0)</f>
        <v>0.2209089301</v>
      </c>
      <c r="S413" s="9">
        <f>revenue[productCost]*revenue[orderQuantity]</f>
        <v>804.0219842</v>
      </c>
    </row>
    <row r="414" ht="15.75" customHeight="1">
      <c r="A414" s="6">
        <v>10402.0</v>
      </c>
      <c r="B414" s="7" t="s">
        <v>24</v>
      </c>
      <c r="C414" s="24" t="str">
        <f>VLOOKUP(revenue[customerID],customers[],2,FALSE)</f>
        <v>Ernst Handel</v>
      </c>
      <c r="D414" s="24" t="str">
        <f>VLOOKUP(revenue[customerID],customers[],6,FALSE)</f>
        <v>Graz</v>
      </c>
      <c r="E414" s="24" t="str">
        <f>VLOOKUP(revenue[customerID],customers[],9,FALSE)</f>
        <v>Austria</v>
      </c>
      <c r="F414" s="24">
        <v>44928.0</v>
      </c>
      <c r="G414" s="6">
        <v>23.0</v>
      </c>
      <c r="H414" s="9" t="str">
        <f>VLOOKUP(revenue[productID],products[],2,FALSE)</f>
        <v>Tunnbröd</v>
      </c>
      <c r="I414" s="9" t="str">
        <f>VLOOKUP(revenue[productID],products[],12,FALSE)</f>
        <v>Grains/Cereals</v>
      </c>
      <c r="J414" s="9">
        <f>VLOOKUP(revenue[productID],products[],IF(YEAR(revenue[orderDate])=2022,8,IF(YEAR(revenue[orderDate])=2023,9,IF(YEAR(revenue[orderDate])=2024,10,NA))),FALSE)</f>
        <v>5.989059129</v>
      </c>
      <c r="K414" s="9">
        <v>7.2</v>
      </c>
      <c r="L414" s="25">
        <f>(revenue[orderPrice]-revenue[productCost])/revenue[productCost]</f>
        <v>0.2021921717</v>
      </c>
      <c r="M414" s="10">
        <v>60.0</v>
      </c>
      <c r="N414" s="25">
        <v>0.0</v>
      </c>
      <c r="O414" s="9">
        <f>revenue[orderPrice]*revenue[orderQuantity]</f>
        <v>432</v>
      </c>
      <c r="P414" s="9">
        <f>revenue[orderTotal]*(1-revenue[discountApllied])</f>
        <v>432</v>
      </c>
      <c r="Q414" s="9">
        <f>revenue[revenue]-(revenue[productCost]*revenue[orderQuantity])</f>
        <v>72.65645228</v>
      </c>
      <c r="R414" s="25">
        <f>IFERROR(revenue[profit]/revenue[revenue], 0)</f>
        <v>0.1681862321</v>
      </c>
      <c r="S414" s="9">
        <f>revenue[productCost]*revenue[orderQuantity]</f>
        <v>359.3435477</v>
      </c>
    </row>
    <row r="415" ht="15.75" customHeight="1">
      <c r="A415" s="6">
        <v>10402.0</v>
      </c>
      <c r="B415" s="7" t="s">
        <v>24</v>
      </c>
      <c r="C415" s="24" t="str">
        <f>VLOOKUP(revenue[customerID],customers[],2,FALSE)</f>
        <v>Ernst Handel</v>
      </c>
      <c r="D415" s="24" t="str">
        <f>VLOOKUP(revenue[customerID],customers[],6,FALSE)</f>
        <v>Graz</v>
      </c>
      <c r="E415" s="24" t="str">
        <f>VLOOKUP(revenue[customerID],customers[],9,FALSE)</f>
        <v>Austria</v>
      </c>
      <c r="F415" s="24">
        <v>44928.0</v>
      </c>
      <c r="G415" s="6">
        <v>63.0</v>
      </c>
      <c r="H415" s="9" t="str">
        <f>VLOOKUP(revenue[productID],products[],2,FALSE)</f>
        <v>Vegie-spread</v>
      </c>
      <c r="I415" s="9" t="str">
        <f>VLOOKUP(revenue[productID],products[],12,FALSE)</f>
        <v>Condiments</v>
      </c>
      <c r="J415" s="9">
        <f>VLOOKUP(revenue[productID],products[],IF(YEAR(revenue[orderDate])=2022,8,IF(YEAR(revenue[orderDate])=2023,9,IF(YEAR(revenue[orderDate])=2024,10,NA))),FALSE)</f>
        <v>27.72225706</v>
      </c>
      <c r="K415" s="9">
        <v>35.1</v>
      </c>
      <c r="L415" s="25">
        <f>(revenue[orderPrice]-revenue[productCost])/revenue[productCost]</f>
        <v>0.2661306736</v>
      </c>
      <c r="M415" s="10">
        <v>65.0</v>
      </c>
      <c r="N415" s="25">
        <v>0.0</v>
      </c>
      <c r="O415" s="9">
        <f>revenue[orderPrice]*revenue[orderQuantity]</f>
        <v>2281.5</v>
      </c>
      <c r="P415" s="9">
        <f>revenue[orderTotal]*(1-revenue[discountApllied])</f>
        <v>2281.5</v>
      </c>
      <c r="Q415" s="9">
        <f>revenue[revenue]-(revenue[productCost]*revenue[orderQuantity])</f>
        <v>479.5532914</v>
      </c>
      <c r="R415" s="25">
        <f>IFERROR(revenue[profit]/revenue[revenue], 0)</f>
        <v>0.2101921067</v>
      </c>
      <c r="S415" s="9">
        <f>revenue[productCost]*revenue[orderQuantity]</f>
        <v>1801.946709</v>
      </c>
    </row>
    <row r="416" ht="15.75" customHeight="1">
      <c r="A416" s="6">
        <v>10403.0</v>
      </c>
      <c r="B416" s="7" t="s">
        <v>24</v>
      </c>
      <c r="C416" s="24" t="str">
        <f>VLOOKUP(revenue[customerID],customers[],2,FALSE)</f>
        <v>Ernst Handel</v>
      </c>
      <c r="D416" s="24" t="str">
        <f>VLOOKUP(revenue[customerID],customers[],6,FALSE)</f>
        <v>Graz</v>
      </c>
      <c r="E416" s="24" t="str">
        <f>VLOOKUP(revenue[customerID],customers[],9,FALSE)</f>
        <v>Austria</v>
      </c>
      <c r="F416" s="24">
        <v>44929.0</v>
      </c>
      <c r="G416" s="6">
        <v>16.0</v>
      </c>
      <c r="H416" s="9" t="str">
        <f>VLOOKUP(revenue[productID],products[],2,FALSE)</f>
        <v>Pavlova</v>
      </c>
      <c r="I416" s="9" t="str">
        <f>VLOOKUP(revenue[productID],products[],12,FALSE)</f>
        <v>Confections</v>
      </c>
      <c r="J416" s="9">
        <f>VLOOKUP(revenue[productID],products[],IF(YEAR(revenue[orderDate])=2022,8,IF(YEAR(revenue[orderDate])=2023,9,IF(YEAR(revenue[orderDate])=2024,10,NA))),FALSE)</f>
        <v>11.98504839</v>
      </c>
      <c r="K416" s="9">
        <v>13.9</v>
      </c>
      <c r="L416" s="25">
        <f>(revenue[orderPrice]-revenue[productCost])/revenue[productCost]</f>
        <v>0.1597783792</v>
      </c>
      <c r="M416" s="10">
        <v>21.0</v>
      </c>
      <c r="N416" s="25">
        <v>0.15</v>
      </c>
      <c r="O416" s="9">
        <f>revenue[orderPrice]*revenue[orderQuantity]</f>
        <v>291.9</v>
      </c>
      <c r="P416" s="9">
        <f>revenue[orderTotal]*(1-revenue[discountApllied])</f>
        <v>248.115</v>
      </c>
      <c r="Q416" s="9">
        <f>revenue[revenue]-(revenue[productCost]*revenue[orderQuantity])</f>
        <v>-3.571016249</v>
      </c>
      <c r="R416" s="25">
        <f>IFERROR(revenue[profit]/revenue[revenue], 0)</f>
        <v>-0.01439258509</v>
      </c>
      <c r="S416" s="9">
        <f>revenue[productCost]*revenue[orderQuantity]</f>
        <v>251.6860162</v>
      </c>
    </row>
    <row r="417" ht="15.75" customHeight="1">
      <c r="A417" s="6">
        <v>10403.0</v>
      </c>
      <c r="B417" s="7" t="s">
        <v>24</v>
      </c>
      <c r="C417" s="24" t="str">
        <f>VLOOKUP(revenue[customerID],customers[],2,FALSE)</f>
        <v>Ernst Handel</v>
      </c>
      <c r="D417" s="24" t="str">
        <f>VLOOKUP(revenue[customerID],customers[],6,FALSE)</f>
        <v>Graz</v>
      </c>
      <c r="E417" s="24" t="str">
        <f>VLOOKUP(revenue[customerID],customers[],9,FALSE)</f>
        <v>Austria</v>
      </c>
      <c r="F417" s="24">
        <v>44929.0</v>
      </c>
      <c r="G417" s="6">
        <v>48.0</v>
      </c>
      <c r="H417" s="9" t="str">
        <f>VLOOKUP(revenue[productID],products[],2,FALSE)</f>
        <v>Chocolade</v>
      </c>
      <c r="I417" s="9" t="str">
        <f>VLOOKUP(revenue[productID],products[],12,FALSE)</f>
        <v>Confections</v>
      </c>
      <c r="J417" s="9">
        <f>VLOOKUP(revenue[productID],products[],IF(YEAR(revenue[orderDate])=2022,8,IF(YEAR(revenue[orderDate])=2023,9,IF(YEAR(revenue[orderDate])=2024,10,NA))),FALSE)</f>
        <v>8.079671685</v>
      </c>
      <c r="K417" s="9">
        <v>10.2</v>
      </c>
      <c r="L417" s="25">
        <f>(revenue[orderPrice]-revenue[productCost])/revenue[productCost]</f>
        <v>0.2624275339</v>
      </c>
      <c r="M417" s="10">
        <v>70.0</v>
      </c>
      <c r="N417" s="25">
        <v>0.15</v>
      </c>
      <c r="O417" s="9">
        <f>revenue[orderPrice]*revenue[orderQuantity]</f>
        <v>714</v>
      </c>
      <c r="P417" s="9">
        <f>revenue[orderTotal]*(1-revenue[discountApllied])</f>
        <v>606.9</v>
      </c>
      <c r="Q417" s="9">
        <f>revenue[revenue]-(revenue[productCost]*revenue[orderQuantity])</f>
        <v>41.32298206</v>
      </c>
      <c r="R417" s="25">
        <f>IFERROR(revenue[profit]/revenue[revenue], 0)</f>
        <v>0.06808861766</v>
      </c>
      <c r="S417" s="9">
        <f>revenue[productCost]*revenue[orderQuantity]</f>
        <v>565.5770179</v>
      </c>
    </row>
    <row r="418" ht="15.75" customHeight="1">
      <c r="A418" s="6">
        <v>10404.0</v>
      </c>
      <c r="B418" s="7" t="s">
        <v>37</v>
      </c>
      <c r="C418" s="24" t="str">
        <f>VLOOKUP(revenue[customerID],customers[],2,FALSE)</f>
        <v>Magazzini Alimentari Riuniti</v>
      </c>
      <c r="D418" s="24" t="str">
        <f>VLOOKUP(revenue[customerID],customers[],6,FALSE)</f>
        <v>Bergamo</v>
      </c>
      <c r="E418" s="24" t="str">
        <f>VLOOKUP(revenue[customerID],customers[],9,FALSE)</f>
        <v>Italy</v>
      </c>
      <c r="F418" s="24">
        <v>44929.0</v>
      </c>
      <c r="G418" s="6">
        <v>26.0</v>
      </c>
      <c r="H418" s="9" t="str">
        <f>VLOOKUP(revenue[productID],products[],2,FALSE)</f>
        <v>NuNuCa Nuß-Nougat-Creme</v>
      </c>
      <c r="I418" s="9" t="str">
        <f>VLOOKUP(revenue[productID],products[],12,FALSE)</f>
        <v>Confections</v>
      </c>
      <c r="J418" s="9">
        <f>VLOOKUP(revenue[productID],products[],IF(YEAR(revenue[orderDate])=2022,8,IF(YEAR(revenue[orderDate])=2023,9,IF(YEAR(revenue[orderDate])=2024,10,NA))),FALSE)</f>
        <v>21.20896201</v>
      </c>
      <c r="K418" s="9">
        <v>24.9</v>
      </c>
      <c r="L418" s="25">
        <f>(revenue[orderPrice]-revenue[productCost])/revenue[productCost]</f>
        <v>0.1740319958</v>
      </c>
      <c r="M418" s="10">
        <v>30.0</v>
      </c>
      <c r="N418" s="25">
        <v>0.05</v>
      </c>
      <c r="O418" s="9">
        <f>revenue[orderPrice]*revenue[orderQuantity]</f>
        <v>747</v>
      </c>
      <c r="P418" s="9">
        <f>revenue[orderTotal]*(1-revenue[discountApllied])</f>
        <v>709.65</v>
      </c>
      <c r="Q418" s="9">
        <f>revenue[revenue]-(revenue[productCost]*revenue[orderQuantity])</f>
        <v>73.38113962</v>
      </c>
      <c r="R418" s="25">
        <f>IFERROR(revenue[profit]/revenue[revenue], 0)</f>
        <v>0.1034046919</v>
      </c>
      <c r="S418" s="9">
        <f>revenue[productCost]*revenue[orderQuantity]</f>
        <v>636.2688604</v>
      </c>
    </row>
    <row r="419" ht="15.75" customHeight="1">
      <c r="A419" s="6">
        <v>10404.0</v>
      </c>
      <c r="B419" s="7" t="s">
        <v>37</v>
      </c>
      <c r="C419" s="24" t="str">
        <f>VLOOKUP(revenue[customerID],customers[],2,FALSE)</f>
        <v>Magazzini Alimentari Riuniti</v>
      </c>
      <c r="D419" s="24" t="str">
        <f>VLOOKUP(revenue[customerID],customers[],6,FALSE)</f>
        <v>Bergamo</v>
      </c>
      <c r="E419" s="24" t="str">
        <f>VLOOKUP(revenue[customerID],customers[],9,FALSE)</f>
        <v>Italy</v>
      </c>
      <c r="F419" s="24">
        <v>44929.0</v>
      </c>
      <c r="G419" s="6">
        <v>42.0</v>
      </c>
      <c r="H419" s="9" t="str">
        <f>VLOOKUP(revenue[productID],products[],2,FALSE)</f>
        <v>Singaporean Hokkien Fried Mee</v>
      </c>
      <c r="I419" s="9" t="str">
        <f>VLOOKUP(revenue[productID],products[],12,FALSE)</f>
        <v>Grains/Cereals</v>
      </c>
      <c r="J419" s="9">
        <f>VLOOKUP(revenue[productID],products[],IF(YEAR(revenue[orderDate])=2022,8,IF(YEAR(revenue[orderDate])=2023,9,IF(YEAR(revenue[orderDate])=2024,10,NA))),FALSE)</f>
        <v>9.105641621</v>
      </c>
      <c r="K419" s="9">
        <v>11.2</v>
      </c>
      <c r="L419" s="25">
        <f>(revenue[orderPrice]-revenue[productCost])/revenue[productCost]</f>
        <v>0.2300066779</v>
      </c>
      <c r="M419" s="10">
        <v>40.0</v>
      </c>
      <c r="N419" s="25">
        <v>0.05</v>
      </c>
      <c r="O419" s="9">
        <f>revenue[orderPrice]*revenue[orderQuantity]</f>
        <v>448</v>
      </c>
      <c r="P419" s="9">
        <f>revenue[orderTotal]*(1-revenue[discountApllied])</f>
        <v>425.6</v>
      </c>
      <c r="Q419" s="9">
        <f>revenue[revenue]-(revenue[productCost]*revenue[orderQuantity])</f>
        <v>61.37433517</v>
      </c>
      <c r="R419" s="25">
        <f>IFERROR(revenue[profit]/revenue[revenue], 0)</f>
        <v>0.1442066146</v>
      </c>
      <c r="S419" s="9">
        <f>revenue[productCost]*revenue[orderQuantity]</f>
        <v>364.2256648</v>
      </c>
    </row>
    <row r="420" ht="15.75" customHeight="1">
      <c r="A420" s="6">
        <v>10404.0</v>
      </c>
      <c r="B420" s="7" t="s">
        <v>37</v>
      </c>
      <c r="C420" s="24" t="str">
        <f>VLOOKUP(revenue[customerID],customers[],2,FALSE)</f>
        <v>Magazzini Alimentari Riuniti</v>
      </c>
      <c r="D420" s="24" t="str">
        <f>VLOOKUP(revenue[customerID],customers[],6,FALSE)</f>
        <v>Bergamo</v>
      </c>
      <c r="E420" s="24" t="str">
        <f>VLOOKUP(revenue[customerID],customers[],9,FALSE)</f>
        <v>Italy</v>
      </c>
      <c r="F420" s="24">
        <v>44929.0</v>
      </c>
      <c r="G420" s="6">
        <v>49.0</v>
      </c>
      <c r="H420" s="9" t="str">
        <f>VLOOKUP(revenue[productID],products[],2,FALSE)</f>
        <v>Maxilaku</v>
      </c>
      <c r="I420" s="9" t="str">
        <f>VLOOKUP(revenue[productID],products[],12,FALSE)</f>
        <v>Confections</v>
      </c>
      <c r="J420" s="9">
        <f>VLOOKUP(revenue[productID],products[],IF(YEAR(revenue[orderDate])=2022,8,IF(YEAR(revenue[orderDate])=2023,9,IF(YEAR(revenue[orderDate])=2024,10,NA))),FALSE)</f>
        <v>13.04112285</v>
      </c>
      <c r="K420" s="9">
        <v>16.0</v>
      </c>
      <c r="L420" s="25">
        <f>(revenue[orderPrice]-revenue[productCost])/revenue[productCost]</f>
        <v>0.2268882197</v>
      </c>
      <c r="M420" s="10">
        <v>30.0</v>
      </c>
      <c r="N420" s="25">
        <v>0.05</v>
      </c>
      <c r="O420" s="9">
        <f>revenue[orderPrice]*revenue[orderQuantity]</f>
        <v>480</v>
      </c>
      <c r="P420" s="9">
        <f>revenue[orderTotal]*(1-revenue[discountApllied])</f>
        <v>456</v>
      </c>
      <c r="Q420" s="9">
        <f>revenue[revenue]-(revenue[productCost]*revenue[orderQuantity])</f>
        <v>64.7663144</v>
      </c>
      <c r="R420" s="25">
        <f>IFERROR(revenue[profit]/revenue[revenue], 0)</f>
        <v>0.1420313912</v>
      </c>
      <c r="S420" s="9">
        <f>revenue[productCost]*revenue[orderQuantity]</f>
        <v>391.2336856</v>
      </c>
    </row>
    <row r="421" ht="15.75" customHeight="1">
      <c r="A421" s="6">
        <v>10405.0</v>
      </c>
      <c r="B421" s="7" t="s">
        <v>82</v>
      </c>
      <c r="C421" s="24" t="str">
        <f>VLOOKUP(revenue[customerID],customers[],2,FALSE)</f>
        <v>LINO-Delicateses</v>
      </c>
      <c r="D421" s="24" t="str">
        <f>VLOOKUP(revenue[customerID],customers[],6,FALSE)</f>
        <v>I. de Margarita</v>
      </c>
      <c r="E421" s="24" t="str">
        <f>VLOOKUP(revenue[customerID],customers[],9,FALSE)</f>
        <v>Venezuela</v>
      </c>
      <c r="F421" s="24">
        <v>44932.0</v>
      </c>
      <c r="G421" s="6">
        <v>3.0</v>
      </c>
      <c r="H421" s="9" t="str">
        <f>VLOOKUP(revenue[productID],products[],2,FALSE)</f>
        <v>Aniseed Syrup</v>
      </c>
      <c r="I421" s="9" t="str">
        <f>VLOOKUP(revenue[productID],products[],12,FALSE)</f>
        <v>Condiments</v>
      </c>
      <c r="J421" s="9">
        <f>VLOOKUP(revenue[productID],products[],IF(YEAR(revenue[orderDate])=2022,8,IF(YEAR(revenue[orderDate])=2023,9,IF(YEAR(revenue[orderDate])=2024,10,NA))),FALSE)</f>
        <v>6.399802633</v>
      </c>
      <c r="K421" s="9">
        <v>8.0</v>
      </c>
      <c r="L421" s="25">
        <f>(revenue[orderPrice]-revenue[productCost])/revenue[productCost]</f>
        <v>0.2500385494</v>
      </c>
      <c r="M421" s="10">
        <v>50.0</v>
      </c>
      <c r="N421" s="25">
        <v>0.0</v>
      </c>
      <c r="O421" s="9">
        <f>revenue[orderPrice]*revenue[orderQuantity]</f>
        <v>400</v>
      </c>
      <c r="P421" s="9">
        <f>revenue[orderTotal]*(1-revenue[discountApllied])</f>
        <v>400</v>
      </c>
      <c r="Q421" s="9">
        <f>revenue[revenue]-(revenue[productCost]*revenue[orderQuantity])</f>
        <v>80.00986833</v>
      </c>
      <c r="R421" s="25">
        <f>IFERROR(revenue[profit]/revenue[revenue], 0)</f>
        <v>0.2000246708</v>
      </c>
      <c r="S421" s="9">
        <f>revenue[productCost]*revenue[orderQuantity]</f>
        <v>319.9901317</v>
      </c>
    </row>
    <row r="422" ht="15.75" customHeight="1">
      <c r="A422" s="6">
        <v>10406.0</v>
      </c>
      <c r="B422" s="7" t="s">
        <v>77</v>
      </c>
      <c r="C422" s="24" t="str">
        <f>VLOOKUP(revenue[customerID],customers[],2,FALSE)</f>
        <v>Queen Cozinha</v>
      </c>
      <c r="D422" s="24" t="str">
        <f>VLOOKUP(revenue[customerID],customers[],6,FALSE)</f>
        <v>Sao Paulo</v>
      </c>
      <c r="E422" s="24" t="str">
        <f>VLOOKUP(revenue[customerID],customers[],9,FALSE)</f>
        <v>Brazil</v>
      </c>
      <c r="F422" s="24">
        <v>44933.0</v>
      </c>
      <c r="G422" s="6">
        <v>1.0</v>
      </c>
      <c r="H422" s="9" t="str">
        <f>VLOOKUP(revenue[productID],products[],2,FALSE)</f>
        <v>Chai</v>
      </c>
      <c r="I422" s="9" t="str">
        <f>VLOOKUP(revenue[productID],products[],12,FALSE)</f>
        <v>Beverages</v>
      </c>
      <c r="J422" s="9">
        <f>VLOOKUP(revenue[productID],products[],IF(YEAR(revenue[orderDate])=2022,8,IF(YEAR(revenue[orderDate])=2023,9,IF(YEAR(revenue[orderDate])=2024,10,NA))),FALSE)</f>
        <v>12.15847607</v>
      </c>
      <c r="K422" s="9">
        <v>14.4</v>
      </c>
      <c r="L422" s="25">
        <f>(revenue[orderPrice]-revenue[productCost])/revenue[productCost]</f>
        <v>0.1843589542</v>
      </c>
      <c r="M422" s="10">
        <v>10.0</v>
      </c>
      <c r="N422" s="25">
        <v>0.0</v>
      </c>
      <c r="O422" s="9">
        <f>revenue[orderPrice]*revenue[orderQuantity]</f>
        <v>144</v>
      </c>
      <c r="P422" s="9">
        <f>revenue[orderTotal]*(1-revenue[discountApllied])</f>
        <v>144</v>
      </c>
      <c r="Q422" s="9">
        <f>revenue[revenue]-(revenue[productCost]*revenue[orderQuantity])</f>
        <v>22.41523932</v>
      </c>
      <c r="R422" s="25">
        <f>IFERROR(revenue[profit]/revenue[revenue], 0)</f>
        <v>0.1556613842</v>
      </c>
      <c r="S422" s="9">
        <f>revenue[productCost]*revenue[orderQuantity]</f>
        <v>121.5847607</v>
      </c>
    </row>
    <row r="423" ht="15.75" customHeight="1">
      <c r="A423" s="6">
        <v>10406.0</v>
      </c>
      <c r="B423" s="7" t="s">
        <v>77</v>
      </c>
      <c r="C423" s="24" t="str">
        <f>VLOOKUP(revenue[customerID],customers[],2,FALSE)</f>
        <v>Queen Cozinha</v>
      </c>
      <c r="D423" s="24" t="str">
        <f>VLOOKUP(revenue[customerID],customers[],6,FALSE)</f>
        <v>Sao Paulo</v>
      </c>
      <c r="E423" s="24" t="str">
        <f>VLOOKUP(revenue[customerID],customers[],9,FALSE)</f>
        <v>Brazil</v>
      </c>
      <c r="F423" s="24">
        <v>44933.0</v>
      </c>
      <c r="G423" s="6">
        <v>21.0</v>
      </c>
      <c r="H423" s="9" t="str">
        <f>VLOOKUP(revenue[productID],products[],2,FALSE)</f>
        <v>Sir Rodney's Scones</v>
      </c>
      <c r="I423" s="9" t="str">
        <f>VLOOKUP(revenue[productID],products[],12,FALSE)</f>
        <v>Confections</v>
      </c>
      <c r="J423" s="9">
        <f>VLOOKUP(revenue[productID],products[],IF(YEAR(revenue[orderDate])=2022,8,IF(YEAR(revenue[orderDate])=2023,9,IF(YEAR(revenue[orderDate])=2024,10,NA))),FALSE)</f>
        <v>6.725636111</v>
      </c>
      <c r="K423" s="9">
        <v>8.0</v>
      </c>
      <c r="L423" s="25">
        <f>(revenue[orderPrice]-revenue[productCost])/revenue[productCost]</f>
        <v>0.1894785664</v>
      </c>
      <c r="M423" s="10">
        <v>30.0</v>
      </c>
      <c r="N423" s="25">
        <v>0.1</v>
      </c>
      <c r="O423" s="9">
        <f>revenue[orderPrice]*revenue[orderQuantity]</f>
        <v>240</v>
      </c>
      <c r="P423" s="9">
        <f>revenue[orderTotal]*(1-revenue[discountApllied])</f>
        <v>216</v>
      </c>
      <c r="Q423" s="9">
        <f>revenue[revenue]-(revenue[productCost]*revenue[orderQuantity])</f>
        <v>14.23091666</v>
      </c>
      <c r="R423" s="25">
        <f>IFERROR(revenue[profit]/revenue[revenue], 0)</f>
        <v>0.0658838734</v>
      </c>
      <c r="S423" s="9">
        <f>revenue[productCost]*revenue[orderQuantity]</f>
        <v>201.7690833</v>
      </c>
    </row>
    <row r="424" ht="15.75" customHeight="1">
      <c r="A424" s="6">
        <v>10406.0</v>
      </c>
      <c r="B424" s="7" t="s">
        <v>77</v>
      </c>
      <c r="C424" s="24" t="str">
        <f>VLOOKUP(revenue[customerID],customers[],2,FALSE)</f>
        <v>Queen Cozinha</v>
      </c>
      <c r="D424" s="24" t="str">
        <f>VLOOKUP(revenue[customerID],customers[],6,FALSE)</f>
        <v>Sao Paulo</v>
      </c>
      <c r="E424" s="24" t="str">
        <f>VLOOKUP(revenue[customerID],customers[],9,FALSE)</f>
        <v>Brazil</v>
      </c>
      <c r="F424" s="24">
        <v>44933.0</v>
      </c>
      <c r="G424" s="6">
        <v>28.0</v>
      </c>
      <c r="H424" s="9" t="str">
        <f>VLOOKUP(revenue[productID],products[],2,FALSE)</f>
        <v>Rössle Sauerkraut</v>
      </c>
      <c r="I424" s="9" t="str">
        <f>VLOOKUP(revenue[productID],products[],12,FALSE)</f>
        <v>Produce</v>
      </c>
      <c r="J424" s="9">
        <f>VLOOKUP(revenue[productID],products[],IF(YEAR(revenue[orderDate])=2022,8,IF(YEAR(revenue[orderDate])=2023,9,IF(YEAR(revenue[orderDate])=2024,10,NA))),FALSE)</f>
        <v>31.52644578</v>
      </c>
      <c r="K424" s="9">
        <v>36.4</v>
      </c>
      <c r="L424" s="25">
        <f>(revenue[orderPrice]-revenue[productCost])/revenue[productCost]</f>
        <v>0.1545862244</v>
      </c>
      <c r="M424" s="10">
        <v>42.0</v>
      </c>
      <c r="N424" s="25">
        <v>0.1</v>
      </c>
      <c r="O424" s="9">
        <f>revenue[orderPrice]*revenue[orderQuantity]</f>
        <v>1528.8</v>
      </c>
      <c r="P424" s="9">
        <f>revenue[orderTotal]*(1-revenue[discountApllied])</f>
        <v>1375.92</v>
      </c>
      <c r="Q424" s="9">
        <f>revenue[revenue]-(revenue[productCost]*revenue[orderQuantity])</f>
        <v>51.80927732</v>
      </c>
      <c r="R424" s="25">
        <f>IFERROR(revenue[profit]/revenue[revenue], 0)</f>
        <v>0.03765428028</v>
      </c>
      <c r="S424" s="9">
        <f>revenue[productCost]*revenue[orderQuantity]</f>
        <v>1324.110723</v>
      </c>
    </row>
    <row r="425" ht="15.75" customHeight="1">
      <c r="A425" s="6">
        <v>10406.0</v>
      </c>
      <c r="B425" s="7" t="s">
        <v>77</v>
      </c>
      <c r="C425" s="24" t="str">
        <f>VLOOKUP(revenue[customerID],customers[],2,FALSE)</f>
        <v>Queen Cozinha</v>
      </c>
      <c r="D425" s="24" t="str">
        <f>VLOOKUP(revenue[customerID],customers[],6,FALSE)</f>
        <v>Sao Paulo</v>
      </c>
      <c r="E425" s="24" t="str">
        <f>VLOOKUP(revenue[customerID],customers[],9,FALSE)</f>
        <v>Brazil</v>
      </c>
      <c r="F425" s="24">
        <v>44933.0</v>
      </c>
      <c r="G425" s="6">
        <v>36.0</v>
      </c>
      <c r="H425" s="9" t="str">
        <f>VLOOKUP(revenue[productID],products[],2,FALSE)</f>
        <v>Inlagd Sill</v>
      </c>
      <c r="I425" s="9" t="str">
        <f>VLOOKUP(revenue[productID],products[],12,FALSE)</f>
        <v>Seafood</v>
      </c>
      <c r="J425" s="9">
        <f>VLOOKUP(revenue[productID],products[],IF(YEAR(revenue[orderDate])=2022,8,IF(YEAR(revenue[orderDate])=2023,9,IF(YEAR(revenue[orderDate])=2024,10,NA))),FALSE)</f>
        <v>12.15246269</v>
      </c>
      <c r="K425" s="9">
        <v>15.2</v>
      </c>
      <c r="L425" s="25">
        <f>(revenue[orderPrice]-revenue[productCost])/revenue[productCost]</f>
        <v>0.2507752866</v>
      </c>
      <c r="M425" s="10">
        <v>5.0</v>
      </c>
      <c r="N425" s="25">
        <v>0.1</v>
      </c>
      <c r="O425" s="9">
        <f>revenue[orderPrice]*revenue[orderQuantity]</f>
        <v>76</v>
      </c>
      <c r="P425" s="9">
        <f>revenue[orderTotal]*(1-revenue[discountApllied])</f>
        <v>68.4</v>
      </c>
      <c r="Q425" s="9">
        <f>revenue[revenue]-(revenue[productCost]*revenue[orderQuantity])</f>
        <v>7.637686566</v>
      </c>
      <c r="R425" s="25">
        <f>IFERROR(revenue[profit]/revenue[revenue], 0)</f>
        <v>0.1116620843</v>
      </c>
      <c r="S425" s="9">
        <f>revenue[productCost]*revenue[orderQuantity]</f>
        <v>60.76231343</v>
      </c>
    </row>
    <row r="426" ht="15.75" customHeight="1">
      <c r="A426" s="6">
        <v>10406.0</v>
      </c>
      <c r="B426" s="7" t="s">
        <v>77</v>
      </c>
      <c r="C426" s="24" t="str">
        <f>VLOOKUP(revenue[customerID],customers[],2,FALSE)</f>
        <v>Queen Cozinha</v>
      </c>
      <c r="D426" s="24" t="str">
        <f>VLOOKUP(revenue[customerID],customers[],6,FALSE)</f>
        <v>Sao Paulo</v>
      </c>
      <c r="E426" s="24" t="str">
        <f>VLOOKUP(revenue[customerID],customers[],9,FALSE)</f>
        <v>Brazil</v>
      </c>
      <c r="F426" s="24">
        <v>44933.0</v>
      </c>
      <c r="G426" s="6">
        <v>40.0</v>
      </c>
      <c r="H426" s="9" t="str">
        <f>VLOOKUP(revenue[productID],products[],2,FALSE)</f>
        <v>Boston Crab Meat</v>
      </c>
      <c r="I426" s="9" t="str">
        <f>VLOOKUP(revenue[productID],products[],12,FALSE)</f>
        <v>Seafood</v>
      </c>
      <c r="J426" s="9">
        <f>VLOOKUP(revenue[productID],products[],IF(YEAR(revenue[orderDate])=2022,8,IF(YEAR(revenue[orderDate])=2023,9,IF(YEAR(revenue[orderDate])=2024,10,NA))),FALSE)</f>
        <v>11.40496523</v>
      </c>
      <c r="K426" s="9">
        <v>14.7</v>
      </c>
      <c r="L426" s="25">
        <f>(revenue[orderPrice]-revenue[productCost])/revenue[productCost]</f>
        <v>0.2889123033</v>
      </c>
      <c r="M426" s="10">
        <v>2.0</v>
      </c>
      <c r="N426" s="25">
        <v>0.1</v>
      </c>
      <c r="O426" s="9">
        <f>revenue[orderPrice]*revenue[orderQuantity]</f>
        <v>29.4</v>
      </c>
      <c r="P426" s="9">
        <f>revenue[orderTotal]*(1-revenue[discountApllied])</f>
        <v>26.46</v>
      </c>
      <c r="Q426" s="9">
        <f>revenue[revenue]-(revenue[productCost]*revenue[orderQuantity])</f>
        <v>3.650069546</v>
      </c>
      <c r="R426" s="25">
        <f>IFERROR(revenue[profit]/revenue[revenue], 0)</f>
        <v>0.1379466949</v>
      </c>
      <c r="S426" s="9">
        <f>revenue[productCost]*revenue[orderQuantity]</f>
        <v>22.80993045</v>
      </c>
    </row>
    <row r="427" ht="15.75" customHeight="1">
      <c r="A427" s="6">
        <v>10407.0</v>
      </c>
      <c r="B427" s="7" t="s">
        <v>26</v>
      </c>
      <c r="C427" s="24" t="str">
        <f>VLOOKUP(revenue[customerID],customers[],2,FALSE)</f>
        <v>Ottilies Käseladen</v>
      </c>
      <c r="D427" s="24" t="str">
        <f>VLOOKUP(revenue[customerID],customers[],6,FALSE)</f>
        <v>Köln</v>
      </c>
      <c r="E427" s="24" t="str">
        <f>VLOOKUP(revenue[customerID],customers[],9,FALSE)</f>
        <v>Germany</v>
      </c>
      <c r="F427" s="24">
        <v>44933.0</v>
      </c>
      <c r="G427" s="6">
        <v>11.0</v>
      </c>
      <c r="H427" s="9" t="str">
        <f>VLOOKUP(revenue[productID],products[],2,FALSE)</f>
        <v>Queso Cabrales</v>
      </c>
      <c r="I427" s="9" t="str">
        <f>VLOOKUP(revenue[productID],products[],12,FALSE)</f>
        <v>Dairy Products</v>
      </c>
      <c r="J427" s="9">
        <f>VLOOKUP(revenue[productID],products[],IF(YEAR(revenue[orderDate])=2022,8,IF(YEAR(revenue[orderDate])=2023,9,IF(YEAR(revenue[orderDate])=2024,10,NA))),FALSE)</f>
        <v>12.90188125</v>
      </c>
      <c r="K427" s="9">
        <v>16.8</v>
      </c>
      <c r="L427" s="25">
        <f>(revenue[orderPrice]-revenue[productCost])/revenue[productCost]</f>
        <v>0.3021356863</v>
      </c>
      <c r="M427" s="10">
        <v>30.0</v>
      </c>
      <c r="N427" s="25">
        <v>0.0</v>
      </c>
      <c r="O427" s="9">
        <f>revenue[orderPrice]*revenue[orderQuantity]</f>
        <v>504</v>
      </c>
      <c r="P427" s="9">
        <f>revenue[orderTotal]*(1-revenue[discountApllied])</f>
        <v>504</v>
      </c>
      <c r="Q427" s="9">
        <f>revenue[revenue]-(revenue[productCost]*revenue[orderQuantity])</f>
        <v>116.9435624</v>
      </c>
      <c r="R427" s="25">
        <f>IFERROR(revenue[profit]/revenue[revenue], 0)</f>
        <v>0.2320308778</v>
      </c>
      <c r="S427" s="9">
        <f>revenue[productCost]*revenue[orderQuantity]</f>
        <v>387.0564376</v>
      </c>
    </row>
    <row r="428" ht="15.75" customHeight="1">
      <c r="A428" s="6">
        <v>10407.0</v>
      </c>
      <c r="B428" s="7" t="s">
        <v>26</v>
      </c>
      <c r="C428" s="24" t="str">
        <f>VLOOKUP(revenue[customerID],customers[],2,FALSE)</f>
        <v>Ottilies Käseladen</v>
      </c>
      <c r="D428" s="24" t="str">
        <f>VLOOKUP(revenue[customerID],customers[],6,FALSE)</f>
        <v>Köln</v>
      </c>
      <c r="E428" s="24" t="str">
        <f>VLOOKUP(revenue[customerID],customers[],9,FALSE)</f>
        <v>Germany</v>
      </c>
      <c r="F428" s="24">
        <v>44933.0</v>
      </c>
      <c r="G428" s="6">
        <v>69.0</v>
      </c>
      <c r="H428" s="9" t="str">
        <f>VLOOKUP(revenue[productID],products[],2,FALSE)</f>
        <v>Gudbrandsdalsost</v>
      </c>
      <c r="I428" s="9" t="str">
        <f>VLOOKUP(revenue[productID],products[],12,FALSE)</f>
        <v>Dairy Products</v>
      </c>
      <c r="J428" s="9">
        <f>VLOOKUP(revenue[productID],products[],IF(YEAR(revenue[orderDate])=2022,8,IF(YEAR(revenue[orderDate])=2023,9,IF(YEAR(revenue[orderDate])=2024,10,NA))),FALSE)</f>
        <v>21.82428612</v>
      </c>
      <c r="K428" s="9">
        <v>28.8</v>
      </c>
      <c r="L428" s="25">
        <f>(revenue[orderPrice]-revenue[productCost])/revenue[productCost]</f>
        <v>0.3196307933</v>
      </c>
      <c r="M428" s="10">
        <v>15.0</v>
      </c>
      <c r="N428" s="25">
        <v>0.0</v>
      </c>
      <c r="O428" s="9">
        <f>revenue[orderPrice]*revenue[orderQuantity]</f>
        <v>432</v>
      </c>
      <c r="P428" s="9">
        <f>revenue[orderTotal]*(1-revenue[discountApllied])</f>
        <v>432</v>
      </c>
      <c r="Q428" s="9">
        <f>revenue[revenue]-(revenue[productCost]*revenue[orderQuantity])</f>
        <v>104.6357083</v>
      </c>
      <c r="R428" s="25">
        <f>IFERROR(revenue[profit]/revenue[revenue], 0)</f>
        <v>0.2422122877</v>
      </c>
      <c r="S428" s="9">
        <f>revenue[productCost]*revenue[orderQuantity]</f>
        <v>327.3642917</v>
      </c>
    </row>
    <row r="429" ht="15.75" customHeight="1">
      <c r="A429" s="6">
        <v>10407.0</v>
      </c>
      <c r="B429" s="7" t="s">
        <v>26</v>
      </c>
      <c r="C429" s="24" t="str">
        <f>VLOOKUP(revenue[customerID],customers[],2,FALSE)</f>
        <v>Ottilies Käseladen</v>
      </c>
      <c r="D429" s="24" t="str">
        <f>VLOOKUP(revenue[customerID],customers[],6,FALSE)</f>
        <v>Köln</v>
      </c>
      <c r="E429" s="24" t="str">
        <f>VLOOKUP(revenue[customerID],customers[],9,FALSE)</f>
        <v>Germany</v>
      </c>
      <c r="F429" s="24">
        <v>44933.0</v>
      </c>
      <c r="G429" s="6">
        <v>71.0</v>
      </c>
      <c r="H429" s="9" t="str">
        <f>VLOOKUP(revenue[productID],products[],2,FALSE)</f>
        <v>Flotemysost</v>
      </c>
      <c r="I429" s="9" t="str">
        <f>VLOOKUP(revenue[productID],products[],12,FALSE)</f>
        <v>Dairy Products</v>
      </c>
      <c r="J429" s="9">
        <f>VLOOKUP(revenue[productID],products[],IF(YEAR(revenue[orderDate])=2022,8,IF(YEAR(revenue[orderDate])=2023,9,IF(YEAR(revenue[orderDate])=2024,10,NA))),FALSE)</f>
        <v>13.4003664</v>
      </c>
      <c r="K429" s="9">
        <v>17.2</v>
      </c>
      <c r="L429" s="25">
        <f>(revenue[orderPrice]-revenue[productCost])/revenue[productCost]</f>
        <v>0.2835469929</v>
      </c>
      <c r="M429" s="10">
        <v>15.0</v>
      </c>
      <c r="N429" s="25">
        <v>0.0</v>
      </c>
      <c r="O429" s="9">
        <f>revenue[orderPrice]*revenue[orderQuantity]</f>
        <v>258</v>
      </c>
      <c r="P429" s="9">
        <f>revenue[orderTotal]*(1-revenue[discountApllied])</f>
        <v>258</v>
      </c>
      <c r="Q429" s="9">
        <f>revenue[revenue]-(revenue[productCost]*revenue[orderQuantity])</f>
        <v>56.99450395</v>
      </c>
      <c r="R429" s="25">
        <f>IFERROR(revenue[profit]/revenue[revenue], 0)</f>
        <v>0.2209089301</v>
      </c>
      <c r="S429" s="9">
        <f>revenue[productCost]*revenue[orderQuantity]</f>
        <v>201.005496</v>
      </c>
    </row>
    <row r="430" ht="15.75" customHeight="1">
      <c r="A430" s="6">
        <v>10408.0</v>
      </c>
      <c r="B430" s="7" t="s">
        <v>83</v>
      </c>
      <c r="C430" s="24" t="str">
        <f>VLOOKUP(revenue[customerID],customers[],2,FALSE)</f>
        <v>Folies gourmandes</v>
      </c>
      <c r="D430" s="24" t="str">
        <f>VLOOKUP(revenue[customerID],customers[],6,FALSE)</f>
        <v>Lille</v>
      </c>
      <c r="E430" s="24" t="str">
        <f>VLOOKUP(revenue[customerID],customers[],9,FALSE)</f>
        <v>France</v>
      </c>
      <c r="F430" s="24">
        <v>44934.0</v>
      </c>
      <c r="G430" s="6">
        <v>37.0</v>
      </c>
      <c r="H430" s="9" t="str">
        <f>VLOOKUP(revenue[productID],products[],2,FALSE)</f>
        <v>Gravad lax</v>
      </c>
      <c r="I430" s="9" t="str">
        <f>VLOOKUP(revenue[productID],products[],12,FALSE)</f>
        <v>Seafood</v>
      </c>
      <c r="J430" s="9">
        <f>VLOOKUP(revenue[productID],products[],IF(YEAR(revenue[orderDate])=2022,8,IF(YEAR(revenue[orderDate])=2023,9,IF(YEAR(revenue[orderDate])=2024,10,NA))),FALSE)</f>
        <v>15.96170586</v>
      </c>
      <c r="K430" s="9">
        <v>20.8</v>
      </c>
      <c r="L430" s="25">
        <f>(revenue[orderPrice]-revenue[productCost])/revenue[productCost]</f>
        <v>0.3031188635</v>
      </c>
      <c r="M430" s="10">
        <v>10.0</v>
      </c>
      <c r="N430" s="25">
        <v>0.0</v>
      </c>
      <c r="O430" s="9">
        <f>revenue[orderPrice]*revenue[orderQuantity]</f>
        <v>208</v>
      </c>
      <c r="P430" s="9">
        <f>revenue[orderTotal]*(1-revenue[discountApllied])</f>
        <v>208</v>
      </c>
      <c r="Q430" s="9">
        <f>revenue[revenue]-(revenue[productCost]*revenue[orderQuantity])</f>
        <v>48.38294139</v>
      </c>
      <c r="R430" s="25">
        <f>IFERROR(revenue[profit]/revenue[revenue], 0)</f>
        <v>0.2326102952</v>
      </c>
      <c r="S430" s="9">
        <f>revenue[productCost]*revenue[orderQuantity]</f>
        <v>159.6170586</v>
      </c>
    </row>
    <row r="431" ht="15.75" customHeight="1">
      <c r="A431" s="6">
        <v>10408.0</v>
      </c>
      <c r="B431" s="7" t="s">
        <v>83</v>
      </c>
      <c r="C431" s="24" t="str">
        <f>VLOOKUP(revenue[customerID],customers[],2,FALSE)</f>
        <v>Folies gourmandes</v>
      </c>
      <c r="D431" s="24" t="str">
        <f>VLOOKUP(revenue[customerID],customers[],6,FALSE)</f>
        <v>Lille</v>
      </c>
      <c r="E431" s="24" t="str">
        <f>VLOOKUP(revenue[customerID],customers[],9,FALSE)</f>
        <v>France</v>
      </c>
      <c r="F431" s="24">
        <v>44934.0</v>
      </c>
      <c r="G431" s="6">
        <v>54.0</v>
      </c>
      <c r="H431" s="9" t="str">
        <f>VLOOKUP(revenue[productID],products[],2,FALSE)</f>
        <v>Tourtière</v>
      </c>
      <c r="I431" s="9" t="str">
        <f>VLOOKUP(revenue[productID],products[],12,FALSE)</f>
        <v>Meat/Poultry</v>
      </c>
      <c r="J431" s="9">
        <f>VLOOKUP(revenue[productID],products[],IF(YEAR(revenue[orderDate])=2022,8,IF(YEAR(revenue[orderDate])=2023,9,IF(YEAR(revenue[orderDate])=2024,10,NA))),FALSE)</f>
        <v>4.924447797</v>
      </c>
      <c r="K431" s="9">
        <v>5.9</v>
      </c>
      <c r="L431" s="25">
        <f>(revenue[orderPrice]-revenue[productCost])/revenue[productCost]</f>
        <v>0.1981038774</v>
      </c>
      <c r="M431" s="10">
        <v>6.0</v>
      </c>
      <c r="N431" s="25">
        <v>0.0</v>
      </c>
      <c r="O431" s="9">
        <f>revenue[orderPrice]*revenue[orderQuantity]</f>
        <v>35.4</v>
      </c>
      <c r="P431" s="9">
        <f>revenue[orderTotal]*(1-revenue[discountApllied])</f>
        <v>35.4</v>
      </c>
      <c r="Q431" s="9">
        <f>revenue[revenue]-(revenue[productCost]*revenue[orderQuantity])</f>
        <v>5.853313217</v>
      </c>
      <c r="R431" s="25">
        <f>IFERROR(revenue[profit]/revenue[revenue], 0)</f>
        <v>0.165347831</v>
      </c>
      <c r="S431" s="9">
        <f>revenue[productCost]*revenue[orderQuantity]</f>
        <v>29.54668678</v>
      </c>
    </row>
    <row r="432" ht="15.75" customHeight="1">
      <c r="A432" s="6">
        <v>10408.0</v>
      </c>
      <c r="B432" s="7" t="s">
        <v>83</v>
      </c>
      <c r="C432" s="24" t="str">
        <f>VLOOKUP(revenue[customerID],customers[],2,FALSE)</f>
        <v>Folies gourmandes</v>
      </c>
      <c r="D432" s="24" t="str">
        <f>VLOOKUP(revenue[customerID],customers[],6,FALSE)</f>
        <v>Lille</v>
      </c>
      <c r="E432" s="24" t="str">
        <f>VLOOKUP(revenue[customerID],customers[],9,FALSE)</f>
        <v>France</v>
      </c>
      <c r="F432" s="24">
        <v>44934.0</v>
      </c>
      <c r="G432" s="6">
        <v>62.0</v>
      </c>
      <c r="H432" s="9" t="str">
        <f>VLOOKUP(revenue[productID],products[],2,FALSE)</f>
        <v>Tarte au sucre</v>
      </c>
      <c r="I432" s="9" t="str">
        <f>VLOOKUP(revenue[productID],products[],12,FALSE)</f>
        <v>Confections</v>
      </c>
      <c r="J432" s="9">
        <f>VLOOKUP(revenue[productID],products[],IF(YEAR(revenue[orderDate])=2022,8,IF(YEAR(revenue[orderDate])=2023,9,IF(YEAR(revenue[orderDate])=2024,10,NA))),FALSE)</f>
        <v>35.34792781</v>
      </c>
      <c r="K432" s="9">
        <v>39.4</v>
      </c>
      <c r="L432" s="25">
        <f>(revenue[orderPrice]-revenue[productCost])/revenue[productCost]</f>
        <v>0.1146339387</v>
      </c>
      <c r="M432" s="10">
        <v>35.0</v>
      </c>
      <c r="N432" s="25">
        <v>0.0</v>
      </c>
      <c r="O432" s="9">
        <f>revenue[orderPrice]*revenue[orderQuantity]</f>
        <v>1379</v>
      </c>
      <c r="P432" s="9">
        <f>revenue[orderTotal]*(1-revenue[discountApllied])</f>
        <v>1379</v>
      </c>
      <c r="Q432" s="9">
        <f>revenue[revenue]-(revenue[productCost]*revenue[orderQuantity])</f>
        <v>141.8225267</v>
      </c>
      <c r="R432" s="25">
        <f>IFERROR(revenue[profit]/revenue[revenue], 0)</f>
        <v>0.1028444718</v>
      </c>
      <c r="S432" s="9">
        <f>revenue[productCost]*revenue[orderQuantity]</f>
        <v>1237.177473</v>
      </c>
    </row>
    <row r="433" ht="15.75" customHeight="1">
      <c r="A433" s="6">
        <v>10409.0</v>
      </c>
      <c r="B433" s="7" t="s">
        <v>84</v>
      </c>
      <c r="C433" s="24" t="str">
        <f>VLOOKUP(revenue[customerID],customers[],2,FALSE)</f>
        <v>Océano Atlántico Ltda.</v>
      </c>
      <c r="D433" s="24" t="str">
        <f>VLOOKUP(revenue[customerID],customers[],6,FALSE)</f>
        <v>Buenos Aires</v>
      </c>
      <c r="E433" s="24" t="str">
        <f>VLOOKUP(revenue[customerID],customers[],9,FALSE)</f>
        <v>Argentina</v>
      </c>
      <c r="F433" s="24">
        <v>44935.0</v>
      </c>
      <c r="G433" s="6">
        <v>14.0</v>
      </c>
      <c r="H433" s="9" t="str">
        <f>VLOOKUP(revenue[productID],products[],2,FALSE)</f>
        <v>Tofu</v>
      </c>
      <c r="I433" s="9" t="str">
        <f>VLOOKUP(revenue[productID],products[],12,FALSE)</f>
        <v>Produce</v>
      </c>
      <c r="J433" s="9">
        <f>VLOOKUP(revenue[productID],products[],IF(YEAR(revenue[orderDate])=2022,8,IF(YEAR(revenue[orderDate])=2023,9,IF(YEAR(revenue[orderDate])=2024,10,NA))),FALSE)</f>
        <v>15.38055417</v>
      </c>
      <c r="K433" s="9">
        <v>18.6</v>
      </c>
      <c r="L433" s="25">
        <f>(revenue[orderPrice]-revenue[productCost])/revenue[productCost]</f>
        <v>0.2093192349</v>
      </c>
      <c r="M433" s="10">
        <v>12.0</v>
      </c>
      <c r="N433" s="25">
        <v>0.0</v>
      </c>
      <c r="O433" s="9">
        <f>revenue[orderPrice]*revenue[orderQuantity]</f>
        <v>223.2</v>
      </c>
      <c r="P433" s="9">
        <f>revenue[orderTotal]*(1-revenue[discountApllied])</f>
        <v>223.2</v>
      </c>
      <c r="Q433" s="9">
        <f>revenue[revenue]-(revenue[productCost]*revenue[orderQuantity])</f>
        <v>38.63334998</v>
      </c>
      <c r="R433" s="25">
        <f>IFERROR(revenue[profit]/revenue[revenue], 0)</f>
        <v>0.1730884856</v>
      </c>
      <c r="S433" s="9">
        <f>revenue[productCost]*revenue[orderQuantity]</f>
        <v>184.56665</v>
      </c>
    </row>
    <row r="434" ht="15.75" customHeight="1">
      <c r="A434" s="6">
        <v>10409.0</v>
      </c>
      <c r="B434" s="7" t="s">
        <v>84</v>
      </c>
      <c r="C434" s="24" t="str">
        <f>VLOOKUP(revenue[customerID],customers[],2,FALSE)</f>
        <v>Océano Atlántico Ltda.</v>
      </c>
      <c r="D434" s="24" t="str">
        <f>VLOOKUP(revenue[customerID],customers[],6,FALSE)</f>
        <v>Buenos Aires</v>
      </c>
      <c r="E434" s="24" t="str">
        <f>VLOOKUP(revenue[customerID],customers[],9,FALSE)</f>
        <v>Argentina</v>
      </c>
      <c r="F434" s="24">
        <v>44935.0</v>
      </c>
      <c r="G434" s="6">
        <v>21.0</v>
      </c>
      <c r="H434" s="9" t="str">
        <f>VLOOKUP(revenue[productID],products[],2,FALSE)</f>
        <v>Sir Rodney's Scones</v>
      </c>
      <c r="I434" s="9" t="str">
        <f>VLOOKUP(revenue[productID],products[],12,FALSE)</f>
        <v>Confections</v>
      </c>
      <c r="J434" s="9">
        <f>VLOOKUP(revenue[productID],products[],IF(YEAR(revenue[orderDate])=2022,8,IF(YEAR(revenue[orderDate])=2023,9,IF(YEAR(revenue[orderDate])=2024,10,NA))),FALSE)</f>
        <v>6.725636111</v>
      </c>
      <c r="K434" s="9">
        <v>8.0</v>
      </c>
      <c r="L434" s="25">
        <f>(revenue[orderPrice]-revenue[productCost])/revenue[productCost]</f>
        <v>0.1894785664</v>
      </c>
      <c r="M434" s="10">
        <v>12.0</v>
      </c>
      <c r="N434" s="25">
        <v>0.0</v>
      </c>
      <c r="O434" s="9">
        <f>revenue[orderPrice]*revenue[orderQuantity]</f>
        <v>96</v>
      </c>
      <c r="P434" s="9">
        <f>revenue[orderTotal]*(1-revenue[discountApllied])</f>
        <v>96</v>
      </c>
      <c r="Q434" s="9">
        <f>revenue[revenue]-(revenue[productCost]*revenue[orderQuantity])</f>
        <v>15.29236666</v>
      </c>
      <c r="R434" s="25">
        <f>IFERROR(revenue[profit]/revenue[revenue], 0)</f>
        <v>0.1592954861</v>
      </c>
      <c r="S434" s="9">
        <f>revenue[productCost]*revenue[orderQuantity]</f>
        <v>80.70763334</v>
      </c>
    </row>
    <row r="435" ht="15.75" customHeight="1">
      <c r="A435" s="6">
        <v>10410.0</v>
      </c>
      <c r="B435" s="7" t="s">
        <v>81</v>
      </c>
      <c r="C435" s="24" t="str">
        <f>VLOOKUP(revenue[customerID],customers[],2,FALSE)</f>
        <v>Bottom-Dollar Markets</v>
      </c>
      <c r="D435" s="24" t="str">
        <f>VLOOKUP(revenue[customerID],customers[],6,FALSE)</f>
        <v>Tsawassen</v>
      </c>
      <c r="E435" s="24" t="str">
        <f>VLOOKUP(revenue[customerID],customers[],9,FALSE)</f>
        <v>Canada</v>
      </c>
      <c r="F435" s="24">
        <v>44936.0</v>
      </c>
      <c r="G435" s="6">
        <v>33.0</v>
      </c>
      <c r="H435" s="9" t="str">
        <f>VLOOKUP(revenue[productID],products[],2,FALSE)</f>
        <v>Geitost</v>
      </c>
      <c r="I435" s="9" t="str">
        <f>VLOOKUP(revenue[productID],products[],12,FALSE)</f>
        <v>Dairy Products</v>
      </c>
      <c r="J435" s="9">
        <f>VLOOKUP(revenue[productID],products[],IF(YEAR(revenue[orderDate])=2022,8,IF(YEAR(revenue[orderDate])=2023,9,IF(YEAR(revenue[orderDate])=2024,10,NA))),FALSE)</f>
        <v>1.559072298</v>
      </c>
      <c r="K435" s="9">
        <v>2.0</v>
      </c>
      <c r="L435" s="25">
        <f>(revenue[orderPrice]-revenue[productCost])/revenue[productCost]</f>
        <v>0.2828141472</v>
      </c>
      <c r="M435" s="10">
        <v>49.0</v>
      </c>
      <c r="N435" s="25">
        <v>0.0</v>
      </c>
      <c r="O435" s="9">
        <f>revenue[orderPrice]*revenue[orderQuantity]</f>
        <v>98</v>
      </c>
      <c r="P435" s="9">
        <f>revenue[orderTotal]*(1-revenue[discountApllied])</f>
        <v>98</v>
      </c>
      <c r="Q435" s="9">
        <f>revenue[revenue]-(revenue[productCost]*revenue[orderQuantity])</f>
        <v>21.60545741</v>
      </c>
      <c r="R435" s="25">
        <f>IFERROR(revenue[profit]/revenue[revenue], 0)</f>
        <v>0.2204638512</v>
      </c>
      <c r="S435" s="9">
        <f>revenue[productCost]*revenue[orderQuantity]</f>
        <v>76.39454259</v>
      </c>
    </row>
    <row r="436" ht="15.75" customHeight="1">
      <c r="A436" s="6">
        <v>10410.0</v>
      </c>
      <c r="B436" s="7" t="s">
        <v>81</v>
      </c>
      <c r="C436" s="24" t="str">
        <f>VLOOKUP(revenue[customerID],customers[],2,FALSE)</f>
        <v>Bottom-Dollar Markets</v>
      </c>
      <c r="D436" s="24" t="str">
        <f>VLOOKUP(revenue[customerID],customers[],6,FALSE)</f>
        <v>Tsawassen</v>
      </c>
      <c r="E436" s="24" t="str">
        <f>VLOOKUP(revenue[customerID],customers[],9,FALSE)</f>
        <v>Canada</v>
      </c>
      <c r="F436" s="24">
        <v>44936.0</v>
      </c>
      <c r="G436" s="6">
        <v>59.0</v>
      </c>
      <c r="H436" s="9" t="str">
        <f>VLOOKUP(revenue[productID],products[],2,FALSE)</f>
        <v>Raclette Courdavault</v>
      </c>
      <c r="I436" s="9" t="str">
        <f>VLOOKUP(revenue[productID],products[],12,FALSE)</f>
        <v>Dairy Products</v>
      </c>
      <c r="J436" s="9">
        <f>VLOOKUP(revenue[productID],products[],IF(YEAR(revenue[orderDate])=2022,8,IF(YEAR(revenue[orderDate])=2023,9,IF(YEAR(revenue[orderDate])=2024,10,NA))),FALSE)</f>
        <v>35.20472566</v>
      </c>
      <c r="K436" s="9">
        <v>44.0</v>
      </c>
      <c r="L436" s="25">
        <f>(revenue[orderPrice]-revenue[productCost])/revenue[productCost]</f>
        <v>0.2498322078</v>
      </c>
      <c r="M436" s="10">
        <v>16.0</v>
      </c>
      <c r="N436" s="25">
        <v>0.0</v>
      </c>
      <c r="O436" s="9">
        <f>revenue[orderPrice]*revenue[orderQuantity]</f>
        <v>704</v>
      </c>
      <c r="P436" s="9">
        <f>revenue[orderTotal]*(1-revenue[discountApllied])</f>
        <v>704</v>
      </c>
      <c r="Q436" s="9">
        <f>revenue[revenue]-(revenue[productCost]*revenue[orderQuantity])</f>
        <v>140.7243894</v>
      </c>
      <c r="R436" s="25">
        <f>IFERROR(revenue[profit]/revenue[revenue], 0)</f>
        <v>0.1998925986</v>
      </c>
      <c r="S436" s="9">
        <f>revenue[productCost]*revenue[orderQuantity]</f>
        <v>563.2756106</v>
      </c>
    </row>
    <row r="437" ht="15.75" customHeight="1">
      <c r="A437" s="6">
        <v>10411.0</v>
      </c>
      <c r="B437" s="7" t="s">
        <v>81</v>
      </c>
      <c r="C437" s="24" t="str">
        <f>VLOOKUP(revenue[customerID],customers[],2,FALSE)</f>
        <v>Bottom-Dollar Markets</v>
      </c>
      <c r="D437" s="24" t="str">
        <f>VLOOKUP(revenue[customerID],customers[],6,FALSE)</f>
        <v>Tsawassen</v>
      </c>
      <c r="E437" s="24" t="str">
        <f>VLOOKUP(revenue[customerID],customers[],9,FALSE)</f>
        <v>Canada</v>
      </c>
      <c r="F437" s="24">
        <v>44936.0</v>
      </c>
      <c r="G437" s="6">
        <v>41.0</v>
      </c>
      <c r="H437" s="9" t="str">
        <f>VLOOKUP(revenue[productID],products[],2,FALSE)</f>
        <v>Jack's New England Clam Chowder</v>
      </c>
      <c r="I437" s="9" t="str">
        <f>VLOOKUP(revenue[productID],products[],12,FALSE)</f>
        <v>Seafood</v>
      </c>
      <c r="J437" s="9">
        <f>VLOOKUP(revenue[productID],products[],IF(YEAR(revenue[orderDate])=2022,8,IF(YEAR(revenue[orderDate])=2023,9,IF(YEAR(revenue[orderDate])=2024,10,NA))),FALSE)</f>
        <v>6.549914856</v>
      </c>
      <c r="K437" s="9">
        <v>7.7</v>
      </c>
      <c r="L437" s="25">
        <f>(revenue[orderPrice]-revenue[productCost])/revenue[productCost]</f>
        <v>0.1755878006</v>
      </c>
      <c r="M437" s="10">
        <v>25.0</v>
      </c>
      <c r="N437" s="25">
        <v>0.2</v>
      </c>
      <c r="O437" s="9">
        <f>revenue[orderPrice]*revenue[orderQuantity]</f>
        <v>192.5</v>
      </c>
      <c r="P437" s="9">
        <f>revenue[orderTotal]*(1-revenue[discountApllied])</f>
        <v>154</v>
      </c>
      <c r="Q437" s="9">
        <f>revenue[revenue]-(revenue[productCost]*revenue[orderQuantity])</f>
        <v>-9.7478714</v>
      </c>
      <c r="R437" s="25">
        <f>IFERROR(revenue[profit]/revenue[revenue], 0)</f>
        <v>-0.06329786623</v>
      </c>
      <c r="S437" s="9">
        <f>revenue[productCost]*revenue[orderQuantity]</f>
        <v>163.7478714</v>
      </c>
    </row>
    <row r="438" ht="15.75" customHeight="1">
      <c r="A438" s="6">
        <v>10411.0</v>
      </c>
      <c r="B438" s="7" t="s">
        <v>81</v>
      </c>
      <c r="C438" s="24" t="str">
        <f>VLOOKUP(revenue[customerID],customers[],2,FALSE)</f>
        <v>Bottom-Dollar Markets</v>
      </c>
      <c r="D438" s="24" t="str">
        <f>VLOOKUP(revenue[customerID],customers[],6,FALSE)</f>
        <v>Tsawassen</v>
      </c>
      <c r="E438" s="24" t="str">
        <f>VLOOKUP(revenue[customerID],customers[],9,FALSE)</f>
        <v>Canada</v>
      </c>
      <c r="F438" s="24">
        <v>44936.0</v>
      </c>
      <c r="G438" s="6">
        <v>44.0</v>
      </c>
      <c r="H438" s="9" t="str">
        <f>VLOOKUP(revenue[productID],products[],2,FALSE)</f>
        <v>Gula Malacca</v>
      </c>
      <c r="I438" s="9" t="str">
        <f>VLOOKUP(revenue[productID],products[],12,FALSE)</f>
        <v>Condiments</v>
      </c>
      <c r="J438" s="9">
        <f>VLOOKUP(revenue[productID],products[],IF(YEAR(revenue[orderDate])=2022,8,IF(YEAR(revenue[orderDate])=2023,9,IF(YEAR(revenue[orderDate])=2024,10,NA))),FALSE)</f>
        <v>13.06032103</v>
      </c>
      <c r="K438" s="9">
        <v>15.5</v>
      </c>
      <c r="L438" s="25">
        <f>(revenue[orderPrice]-revenue[productCost])/revenue[productCost]</f>
        <v>0.1868008425</v>
      </c>
      <c r="M438" s="10">
        <v>40.0</v>
      </c>
      <c r="N438" s="25">
        <v>0.2</v>
      </c>
      <c r="O438" s="9">
        <f>revenue[orderPrice]*revenue[orderQuantity]</f>
        <v>620</v>
      </c>
      <c r="P438" s="9">
        <f>revenue[orderTotal]*(1-revenue[discountApllied])</f>
        <v>496</v>
      </c>
      <c r="Q438" s="9">
        <f>revenue[revenue]-(revenue[productCost]*revenue[orderQuantity])</f>
        <v>-26.41284114</v>
      </c>
      <c r="R438" s="25">
        <f>IFERROR(revenue[profit]/revenue[revenue], 0)</f>
        <v>-0.05325169584</v>
      </c>
      <c r="S438" s="9">
        <f>revenue[productCost]*revenue[orderQuantity]</f>
        <v>522.4128411</v>
      </c>
    </row>
    <row r="439" ht="15.75" customHeight="1">
      <c r="A439" s="6">
        <v>10411.0</v>
      </c>
      <c r="B439" s="7" t="s">
        <v>81</v>
      </c>
      <c r="C439" s="24" t="str">
        <f>VLOOKUP(revenue[customerID],customers[],2,FALSE)</f>
        <v>Bottom-Dollar Markets</v>
      </c>
      <c r="D439" s="24" t="str">
        <f>VLOOKUP(revenue[customerID],customers[],6,FALSE)</f>
        <v>Tsawassen</v>
      </c>
      <c r="E439" s="24" t="str">
        <f>VLOOKUP(revenue[customerID],customers[],9,FALSE)</f>
        <v>Canada</v>
      </c>
      <c r="F439" s="24">
        <v>44936.0</v>
      </c>
      <c r="G439" s="6">
        <v>59.0</v>
      </c>
      <c r="H439" s="9" t="str">
        <f>VLOOKUP(revenue[productID],products[],2,FALSE)</f>
        <v>Raclette Courdavault</v>
      </c>
      <c r="I439" s="9" t="str">
        <f>VLOOKUP(revenue[productID],products[],12,FALSE)</f>
        <v>Dairy Products</v>
      </c>
      <c r="J439" s="9">
        <f>VLOOKUP(revenue[productID],products[],IF(YEAR(revenue[orderDate])=2022,8,IF(YEAR(revenue[orderDate])=2023,9,IF(YEAR(revenue[orderDate])=2024,10,NA))),FALSE)</f>
        <v>35.20472566</v>
      </c>
      <c r="K439" s="9">
        <v>44.0</v>
      </c>
      <c r="L439" s="25">
        <f>(revenue[orderPrice]-revenue[productCost])/revenue[productCost]</f>
        <v>0.2498322078</v>
      </c>
      <c r="M439" s="10">
        <v>9.0</v>
      </c>
      <c r="N439" s="25">
        <v>0.2</v>
      </c>
      <c r="O439" s="9">
        <f>revenue[orderPrice]*revenue[orderQuantity]</f>
        <v>396</v>
      </c>
      <c r="P439" s="9">
        <f>revenue[orderTotal]*(1-revenue[discountApllied])</f>
        <v>316.8</v>
      </c>
      <c r="Q439" s="9">
        <f>revenue[revenue]-(revenue[productCost]*revenue[orderQuantity])</f>
        <v>-0.04253095468</v>
      </c>
      <c r="R439" s="25">
        <f>IFERROR(revenue[profit]/revenue[revenue], 0)</f>
        <v>-0.0001342517509</v>
      </c>
      <c r="S439" s="9">
        <f>revenue[productCost]*revenue[orderQuantity]</f>
        <v>316.842531</v>
      </c>
    </row>
    <row r="440" ht="15.75" customHeight="1">
      <c r="A440" s="6">
        <v>10412.0</v>
      </c>
      <c r="B440" s="7" t="s">
        <v>31</v>
      </c>
      <c r="C440" s="24" t="str">
        <f>VLOOKUP(revenue[customerID],customers[],2,FALSE)</f>
        <v>Wartian Herkku</v>
      </c>
      <c r="D440" s="24" t="str">
        <f>VLOOKUP(revenue[customerID],customers[],6,FALSE)</f>
        <v>Oulu</v>
      </c>
      <c r="E440" s="24" t="str">
        <f>VLOOKUP(revenue[customerID],customers[],9,FALSE)</f>
        <v>Finland</v>
      </c>
      <c r="F440" s="24">
        <v>44939.0</v>
      </c>
      <c r="G440" s="6">
        <v>14.0</v>
      </c>
      <c r="H440" s="9" t="str">
        <f>VLOOKUP(revenue[productID],products[],2,FALSE)</f>
        <v>Tofu</v>
      </c>
      <c r="I440" s="9" t="str">
        <f>VLOOKUP(revenue[productID],products[],12,FALSE)</f>
        <v>Produce</v>
      </c>
      <c r="J440" s="9">
        <f>VLOOKUP(revenue[productID],products[],IF(YEAR(revenue[orderDate])=2022,8,IF(YEAR(revenue[orderDate])=2023,9,IF(YEAR(revenue[orderDate])=2024,10,NA))),FALSE)</f>
        <v>15.38055417</v>
      </c>
      <c r="K440" s="9">
        <v>18.6</v>
      </c>
      <c r="L440" s="25">
        <f>(revenue[orderPrice]-revenue[productCost])/revenue[productCost]</f>
        <v>0.2093192349</v>
      </c>
      <c r="M440" s="10">
        <v>20.0</v>
      </c>
      <c r="N440" s="25">
        <v>0.1</v>
      </c>
      <c r="O440" s="9">
        <f>revenue[orderPrice]*revenue[orderQuantity]</f>
        <v>372</v>
      </c>
      <c r="P440" s="9">
        <f>revenue[orderTotal]*(1-revenue[discountApllied])</f>
        <v>334.8</v>
      </c>
      <c r="Q440" s="9">
        <f>revenue[revenue]-(revenue[productCost]*revenue[orderQuantity])</f>
        <v>27.18891663</v>
      </c>
      <c r="R440" s="25">
        <f>IFERROR(revenue[profit]/revenue[revenue], 0)</f>
        <v>0.08120942841</v>
      </c>
      <c r="S440" s="9">
        <f>revenue[productCost]*revenue[orderQuantity]</f>
        <v>307.6110834</v>
      </c>
    </row>
    <row r="441" ht="15.75" customHeight="1">
      <c r="A441" s="6">
        <v>10413.0</v>
      </c>
      <c r="B441" s="7" t="s">
        <v>68</v>
      </c>
      <c r="C441" s="24" t="str">
        <f>VLOOKUP(revenue[customerID],customers[],2,FALSE)</f>
        <v>La maison d'Asie</v>
      </c>
      <c r="D441" s="24" t="str">
        <f>VLOOKUP(revenue[customerID],customers[],6,FALSE)</f>
        <v>Toulouse</v>
      </c>
      <c r="E441" s="24" t="str">
        <f>VLOOKUP(revenue[customerID],customers[],9,FALSE)</f>
        <v>France</v>
      </c>
      <c r="F441" s="24">
        <v>44940.0</v>
      </c>
      <c r="G441" s="6">
        <v>1.0</v>
      </c>
      <c r="H441" s="9" t="str">
        <f>VLOOKUP(revenue[productID],products[],2,FALSE)</f>
        <v>Chai</v>
      </c>
      <c r="I441" s="9" t="str">
        <f>VLOOKUP(revenue[productID],products[],12,FALSE)</f>
        <v>Beverages</v>
      </c>
      <c r="J441" s="9">
        <f>VLOOKUP(revenue[productID],products[],IF(YEAR(revenue[orderDate])=2022,8,IF(YEAR(revenue[orderDate])=2023,9,IF(YEAR(revenue[orderDate])=2024,10,NA))),FALSE)</f>
        <v>12.15847607</v>
      </c>
      <c r="K441" s="9">
        <v>14.4</v>
      </c>
      <c r="L441" s="25">
        <f>(revenue[orderPrice]-revenue[productCost])/revenue[productCost]</f>
        <v>0.1843589542</v>
      </c>
      <c r="M441" s="10">
        <v>24.0</v>
      </c>
      <c r="N441" s="25">
        <v>0.0</v>
      </c>
      <c r="O441" s="9">
        <f>revenue[orderPrice]*revenue[orderQuantity]</f>
        <v>345.6</v>
      </c>
      <c r="P441" s="9">
        <f>revenue[orderTotal]*(1-revenue[discountApllied])</f>
        <v>345.6</v>
      </c>
      <c r="Q441" s="9">
        <f>revenue[revenue]-(revenue[productCost]*revenue[orderQuantity])</f>
        <v>53.79657437</v>
      </c>
      <c r="R441" s="25">
        <f>IFERROR(revenue[profit]/revenue[revenue], 0)</f>
        <v>0.1556613842</v>
      </c>
      <c r="S441" s="9">
        <f>revenue[productCost]*revenue[orderQuantity]</f>
        <v>291.8034256</v>
      </c>
    </row>
    <row r="442" ht="15.75" customHeight="1">
      <c r="A442" s="6">
        <v>10413.0</v>
      </c>
      <c r="B442" s="7" t="s">
        <v>68</v>
      </c>
      <c r="C442" s="24" t="str">
        <f>VLOOKUP(revenue[customerID],customers[],2,FALSE)</f>
        <v>La maison d'Asie</v>
      </c>
      <c r="D442" s="24" t="str">
        <f>VLOOKUP(revenue[customerID],customers[],6,FALSE)</f>
        <v>Toulouse</v>
      </c>
      <c r="E442" s="24" t="str">
        <f>VLOOKUP(revenue[customerID],customers[],9,FALSE)</f>
        <v>France</v>
      </c>
      <c r="F442" s="24">
        <v>44940.0</v>
      </c>
      <c r="G442" s="6">
        <v>62.0</v>
      </c>
      <c r="H442" s="9" t="str">
        <f>VLOOKUP(revenue[productID],products[],2,FALSE)</f>
        <v>Tarte au sucre</v>
      </c>
      <c r="I442" s="9" t="str">
        <f>VLOOKUP(revenue[productID],products[],12,FALSE)</f>
        <v>Confections</v>
      </c>
      <c r="J442" s="9">
        <f>VLOOKUP(revenue[productID],products[],IF(YEAR(revenue[orderDate])=2022,8,IF(YEAR(revenue[orderDate])=2023,9,IF(YEAR(revenue[orderDate])=2024,10,NA))),FALSE)</f>
        <v>35.34792781</v>
      </c>
      <c r="K442" s="9">
        <v>39.4</v>
      </c>
      <c r="L442" s="25">
        <f>(revenue[orderPrice]-revenue[productCost])/revenue[productCost]</f>
        <v>0.1146339387</v>
      </c>
      <c r="M442" s="10">
        <v>40.0</v>
      </c>
      <c r="N442" s="25">
        <v>0.0</v>
      </c>
      <c r="O442" s="9">
        <f>revenue[orderPrice]*revenue[orderQuantity]</f>
        <v>1576</v>
      </c>
      <c r="P442" s="9">
        <f>revenue[orderTotal]*(1-revenue[discountApllied])</f>
        <v>1576</v>
      </c>
      <c r="Q442" s="9">
        <f>revenue[revenue]-(revenue[productCost]*revenue[orderQuantity])</f>
        <v>162.0828876</v>
      </c>
      <c r="R442" s="25">
        <f>IFERROR(revenue[profit]/revenue[revenue], 0)</f>
        <v>0.1028444718</v>
      </c>
      <c r="S442" s="9">
        <f>revenue[productCost]*revenue[orderQuantity]</f>
        <v>1413.917112</v>
      </c>
    </row>
    <row r="443" ht="15.75" customHeight="1">
      <c r="A443" s="6">
        <v>10413.0</v>
      </c>
      <c r="B443" s="7" t="s">
        <v>68</v>
      </c>
      <c r="C443" s="24" t="str">
        <f>VLOOKUP(revenue[customerID],customers[],2,FALSE)</f>
        <v>La maison d'Asie</v>
      </c>
      <c r="D443" s="24" t="str">
        <f>VLOOKUP(revenue[customerID],customers[],6,FALSE)</f>
        <v>Toulouse</v>
      </c>
      <c r="E443" s="24" t="str">
        <f>VLOOKUP(revenue[customerID],customers[],9,FALSE)</f>
        <v>France</v>
      </c>
      <c r="F443" s="24">
        <v>44940.0</v>
      </c>
      <c r="G443" s="6">
        <v>76.0</v>
      </c>
      <c r="H443" s="9" t="str">
        <f>VLOOKUP(revenue[productID],products[],2,FALSE)</f>
        <v>Lakkalikööri</v>
      </c>
      <c r="I443" s="9" t="str">
        <f>VLOOKUP(revenue[productID],products[],12,FALSE)</f>
        <v>Beverages</v>
      </c>
      <c r="J443" s="9">
        <f>VLOOKUP(revenue[productID],products[],IF(YEAR(revenue[orderDate])=2022,8,IF(YEAR(revenue[orderDate])=2023,9,IF(YEAR(revenue[orderDate])=2024,10,NA))),FALSE)</f>
        <v>12.1154529</v>
      </c>
      <c r="K443" s="9">
        <v>14.4</v>
      </c>
      <c r="L443" s="25">
        <f>(revenue[orderPrice]-revenue[productCost])/revenue[productCost]</f>
        <v>0.18856473</v>
      </c>
      <c r="M443" s="10">
        <v>14.0</v>
      </c>
      <c r="N443" s="25">
        <v>0.0</v>
      </c>
      <c r="O443" s="9">
        <f>revenue[orderPrice]*revenue[orderQuantity]</f>
        <v>201.6</v>
      </c>
      <c r="P443" s="9">
        <f>revenue[orderTotal]*(1-revenue[discountApllied])</f>
        <v>201.6</v>
      </c>
      <c r="Q443" s="9">
        <f>revenue[revenue]-(revenue[productCost]*revenue[orderQuantity])</f>
        <v>31.98365946</v>
      </c>
      <c r="R443" s="25">
        <f>IFERROR(revenue[profit]/revenue[revenue], 0)</f>
        <v>0.1586491045</v>
      </c>
      <c r="S443" s="9">
        <f>revenue[productCost]*revenue[orderQuantity]</f>
        <v>169.6163405</v>
      </c>
    </row>
    <row r="444" ht="15.75" customHeight="1">
      <c r="A444" s="6">
        <v>10414.0</v>
      </c>
      <c r="B444" s="7" t="s">
        <v>67</v>
      </c>
      <c r="C444" s="24" t="str">
        <f>VLOOKUP(revenue[customerID],customers[],2,FALSE)</f>
        <v>Familia Arquibaldo</v>
      </c>
      <c r="D444" s="24" t="str">
        <f>VLOOKUP(revenue[customerID],customers[],6,FALSE)</f>
        <v>Sao Paulo</v>
      </c>
      <c r="E444" s="24" t="str">
        <f>VLOOKUP(revenue[customerID],customers[],9,FALSE)</f>
        <v>Brazil</v>
      </c>
      <c r="F444" s="24">
        <v>44940.0</v>
      </c>
      <c r="G444" s="6">
        <v>19.0</v>
      </c>
      <c r="H444" s="9" t="str">
        <f>VLOOKUP(revenue[productID],products[],2,FALSE)</f>
        <v>Teatime Chocolate Biscuits</v>
      </c>
      <c r="I444" s="9" t="str">
        <f>VLOOKUP(revenue[productID],products[],12,FALSE)</f>
        <v>Confections</v>
      </c>
      <c r="J444" s="9">
        <f>VLOOKUP(revenue[productID],products[],IF(YEAR(revenue[orderDate])=2022,8,IF(YEAR(revenue[orderDate])=2023,9,IF(YEAR(revenue[orderDate])=2024,10,NA))),FALSE)</f>
        <v>5.901883682</v>
      </c>
      <c r="K444" s="9">
        <v>7.3</v>
      </c>
      <c r="L444" s="25">
        <f>(revenue[orderPrice]-revenue[productCost])/revenue[productCost]</f>
        <v>0.2368932349</v>
      </c>
      <c r="M444" s="10">
        <v>18.0</v>
      </c>
      <c r="N444" s="25">
        <v>0.05</v>
      </c>
      <c r="O444" s="9">
        <f>revenue[orderPrice]*revenue[orderQuantity]</f>
        <v>131.4</v>
      </c>
      <c r="P444" s="9">
        <f>revenue[orderTotal]*(1-revenue[discountApllied])</f>
        <v>124.83</v>
      </c>
      <c r="Q444" s="9">
        <f>revenue[revenue]-(revenue[productCost]*revenue[orderQuantity])</f>
        <v>18.59609372</v>
      </c>
      <c r="R444" s="25">
        <f>IFERROR(revenue[profit]/revenue[revenue], 0)</f>
        <v>0.1489713508</v>
      </c>
      <c r="S444" s="9">
        <f>revenue[productCost]*revenue[orderQuantity]</f>
        <v>106.2339063</v>
      </c>
    </row>
    <row r="445" ht="15.75" customHeight="1">
      <c r="A445" s="6">
        <v>10414.0</v>
      </c>
      <c r="B445" s="7" t="s">
        <v>67</v>
      </c>
      <c r="C445" s="24" t="str">
        <f>VLOOKUP(revenue[customerID],customers[],2,FALSE)</f>
        <v>Familia Arquibaldo</v>
      </c>
      <c r="D445" s="24" t="str">
        <f>VLOOKUP(revenue[customerID],customers[],6,FALSE)</f>
        <v>Sao Paulo</v>
      </c>
      <c r="E445" s="24" t="str">
        <f>VLOOKUP(revenue[customerID],customers[],9,FALSE)</f>
        <v>Brazil</v>
      </c>
      <c r="F445" s="24">
        <v>44940.0</v>
      </c>
      <c r="G445" s="6">
        <v>33.0</v>
      </c>
      <c r="H445" s="9" t="str">
        <f>VLOOKUP(revenue[productID],products[],2,FALSE)</f>
        <v>Geitost</v>
      </c>
      <c r="I445" s="9" t="str">
        <f>VLOOKUP(revenue[productID],products[],12,FALSE)</f>
        <v>Dairy Products</v>
      </c>
      <c r="J445" s="9">
        <f>VLOOKUP(revenue[productID],products[],IF(YEAR(revenue[orderDate])=2022,8,IF(YEAR(revenue[orderDate])=2023,9,IF(YEAR(revenue[orderDate])=2024,10,NA))),FALSE)</f>
        <v>1.559072298</v>
      </c>
      <c r="K445" s="9">
        <v>2.0</v>
      </c>
      <c r="L445" s="25">
        <f>(revenue[orderPrice]-revenue[productCost])/revenue[productCost]</f>
        <v>0.2828141472</v>
      </c>
      <c r="M445" s="10">
        <v>50.0</v>
      </c>
      <c r="N445" s="25">
        <v>0.0</v>
      </c>
      <c r="O445" s="9">
        <f>revenue[orderPrice]*revenue[orderQuantity]</f>
        <v>100</v>
      </c>
      <c r="P445" s="9">
        <f>revenue[orderTotal]*(1-revenue[discountApllied])</f>
        <v>100</v>
      </c>
      <c r="Q445" s="9">
        <f>revenue[revenue]-(revenue[productCost]*revenue[orderQuantity])</f>
        <v>22.04638512</v>
      </c>
      <c r="R445" s="25">
        <f>IFERROR(revenue[profit]/revenue[revenue], 0)</f>
        <v>0.2204638512</v>
      </c>
      <c r="S445" s="9">
        <f>revenue[productCost]*revenue[orderQuantity]</f>
        <v>77.95361488</v>
      </c>
    </row>
    <row r="446" ht="15.75" customHeight="1">
      <c r="A446" s="6">
        <v>10415.0</v>
      </c>
      <c r="B446" s="7" t="s">
        <v>79</v>
      </c>
      <c r="C446" s="24" t="str">
        <f>VLOOKUP(revenue[customerID],customers[],2,FALSE)</f>
        <v>Hungry Coyote Import Store</v>
      </c>
      <c r="D446" s="24" t="str">
        <f>VLOOKUP(revenue[customerID],customers[],6,FALSE)</f>
        <v>Elgin</v>
      </c>
      <c r="E446" s="24" t="str">
        <f>VLOOKUP(revenue[customerID],customers[],9,FALSE)</f>
        <v>USA</v>
      </c>
      <c r="F446" s="24">
        <v>44941.0</v>
      </c>
      <c r="G446" s="6">
        <v>17.0</v>
      </c>
      <c r="H446" s="9" t="str">
        <f>VLOOKUP(revenue[productID],products[],2,FALSE)</f>
        <v>Alice Mutton</v>
      </c>
      <c r="I446" s="9" t="str">
        <f>VLOOKUP(revenue[productID],products[],12,FALSE)</f>
        <v>Meat/Poultry</v>
      </c>
      <c r="J446" s="9">
        <f>VLOOKUP(revenue[productID],products[],IF(YEAR(revenue[orderDate])=2022,8,IF(YEAR(revenue[orderDate])=2023,9,IF(YEAR(revenue[orderDate])=2024,10,NA))),FALSE)</f>
        <v>24.83130504</v>
      </c>
      <c r="K446" s="9">
        <v>31.2</v>
      </c>
      <c r="L446" s="25">
        <f>(revenue[orderPrice]-revenue[productCost])/revenue[productCost]</f>
        <v>0.2564784634</v>
      </c>
      <c r="M446" s="10">
        <v>2.0</v>
      </c>
      <c r="N446" s="25">
        <v>0.0</v>
      </c>
      <c r="O446" s="9">
        <f>revenue[orderPrice]*revenue[orderQuantity]</f>
        <v>62.4</v>
      </c>
      <c r="P446" s="9">
        <f>revenue[orderTotal]*(1-revenue[discountApllied])</f>
        <v>62.4</v>
      </c>
      <c r="Q446" s="9">
        <f>revenue[revenue]-(revenue[productCost]*revenue[orderQuantity])</f>
        <v>12.73738992</v>
      </c>
      <c r="R446" s="25">
        <f>IFERROR(revenue[profit]/revenue[revenue], 0)</f>
        <v>0.2041248385</v>
      </c>
      <c r="S446" s="9">
        <f>revenue[productCost]*revenue[orderQuantity]</f>
        <v>49.66261008</v>
      </c>
    </row>
    <row r="447" ht="15.75" customHeight="1">
      <c r="A447" s="6">
        <v>10415.0</v>
      </c>
      <c r="B447" s="7" t="s">
        <v>79</v>
      </c>
      <c r="C447" s="24" t="str">
        <f>VLOOKUP(revenue[customerID],customers[],2,FALSE)</f>
        <v>Hungry Coyote Import Store</v>
      </c>
      <c r="D447" s="24" t="str">
        <f>VLOOKUP(revenue[customerID],customers[],6,FALSE)</f>
        <v>Elgin</v>
      </c>
      <c r="E447" s="24" t="str">
        <f>VLOOKUP(revenue[customerID],customers[],9,FALSE)</f>
        <v>USA</v>
      </c>
      <c r="F447" s="24">
        <v>44941.0</v>
      </c>
      <c r="G447" s="6">
        <v>33.0</v>
      </c>
      <c r="H447" s="9" t="str">
        <f>VLOOKUP(revenue[productID],products[],2,FALSE)</f>
        <v>Geitost</v>
      </c>
      <c r="I447" s="9" t="str">
        <f>VLOOKUP(revenue[productID],products[],12,FALSE)</f>
        <v>Dairy Products</v>
      </c>
      <c r="J447" s="9">
        <f>VLOOKUP(revenue[productID],products[],IF(YEAR(revenue[orderDate])=2022,8,IF(YEAR(revenue[orderDate])=2023,9,IF(YEAR(revenue[orderDate])=2024,10,NA))),FALSE)</f>
        <v>1.559072298</v>
      </c>
      <c r="K447" s="9">
        <v>2.0</v>
      </c>
      <c r="L447" s="25">
        <f>(revenue[orderPrice]-revenue[productCost])/revenue[productCost]</f>
        <v>0.2828141472</v>
      </c>
      <c r="M447" s="10">
        <v>20.0</v>
      </c>
      <c r="N447" s="25">
        <v>0.0</v>
      </c>
      <c r="O447" s="9">
        <f>revenue[orderPrice]*revenue[orderQuantity]</f>
        <v>40</v>
      </c>
      <c r="P447" s="9">
        <f>revenue[orderTotal]*(1-revenue[discountApllied])</f>
        <v>40</v>
      </c>
      <c r="Q447" s="9">
        <f>revenue[revenue]-(revenue[productCost]*revenue[orderQuantity])</f>
        <v>8.818554046</v>
      </c>
      <c r="R447" s="25">
        <f>IFERROR(revenue[profit]/revenue[revenue], 0)</f>
        <v>0.2204638512</v>
      </c>
      <c r="S447" s="9">
        <f>revenue[productCost]*revenue[orderQuantity]</f>
        <v>31.18144595</v>
      </c>
    </row>
    <row r="448" ht="15.75" customHeight="1">
      <c r="A448" s="6">
        <v>10416.0</v>
      </c>
      <c r="B448" s="7" t="s">
        <v>31</v>
      </c>
      <c r="C448" s="24" t="str">
        <f>VLOOKUP(revenue[customerID],customers[],2,FALSE)</f>
        <v>Wartian Herkku</v>
      </c>
      <c r="D448" s="24" t="str">
        <f>VLOOKUP(revenue[customerID],customers[],6,FALSE)</f>
        <v>Oulu</v>
      </c>
      <c r="E448" s="24" t="str">
        <f>VLOOKUP(revenue[customerID],customers[],9,FALSE)</f>
        <v>Finland</v>
      </c>
      <c r="F448" s="24">
        <v>44942.0</v>
      </c>
      <c r="G448" s="6">
        <v>19.0</v>
      </c>
      <c r="H448" s="9" t="str">
        <f>VLOOKUP(revenue[productID],products[],2,FALSE)</f>
        <v>Teatime Chocolate Biscuits</v>
      </c>
      <c r="I448" s="9" t="str">
        <f>VLOOKUP(revenue[productID],products[],12,FALSE)</f>
        <v>Confections</v>
      </c>
      <c r="J448" s="9">
        <f>VLOOKUP(revenue[productID],products[],IF(YEAR(revenue[orderDate])=2022,8,IF(YEAR(revenue[orderDate])=2023,9,IF(YEAR(revenue[orderDate])=2024,10,NA))),FALSE)</f>
        <v>5.901883682</v>
      </c>
      <c r="K448" s="9">
        <v>7.3</v>
      </c>
      <c r="L448" s="25">
        <f>(revenue[orderPrice]-revenue[productCost])/revenue[productCost]</f>
        <v>0.2368932349</v>
      </c>
      <c r="M448" s="10">
        <v>20.0</v>
      </c>
      <c r="N448" s="25">
        <v>0.0</v>
      </c>
      <c r="O448" s="9">
        <f>revenue[orderPrice]*revenue[orderQuantity]</f>
        <v>146</v>
      </c>
      <c r="P448" s="9">
        <f>revenue[orderTotal]*(1-revenue[discountApllied])</f>
        <v>146</v>
      </c>
      <c r="Q448" s="9">
        <f>revenue[revenue]-(revenue[productCost]*revenue[orderQuantity])</f>
        <v>27.96232635</v>
      </c>
      <c r="R448" s="25">
        <f>IFERROR(revenue[profit]/revenue[revenue], 0)</f>
        <v>0.1915227832</v>
      </c>
      <c r="S448" s="9">
        <f>revenue[productCost]*revenue[orderQuantity]</f>
        <v>118.0376736</v>
      </c>
    </row>
    <row r="449" ht="15.75" customHeight="1">
      <c r="A449" s="6">
        <v>10416.0</v>
      </c>
      <c r="B449" s="7" t="s">
        <v>31</v>
      </c>
      <c r="C449" s="24" t="str">
        <f>VLOOKUP(revenue[customerID],customers[],2,FALSE)</f>
        <v>Wartian Herkku</v>
      </c>
      <c r="D449" s="24" t="str">
        <f>VLOOKUP(revenue[customerID],customers[],6,FALSE)</f>
        <v>Oulu</v>
      </c>
      <c r="E449" s="24" t="str">
        <f>VLOOKUP(revenue[customerID],customers[],9,FALSE)</f>
        <v>Finland</v>
      </c>
      <c r="F449" s="24">
        <v>44942.0</v>
      </c>
      <c r="G449" s="6">
        <v>53.0</v>
      </c>
      <c r="H449" s="9" t="str">
        <f>VLOOKUP(revenue[productID],products[],2,FALSE)</f>
        <v>Perth Pasties</v>
      </c>
      <c r="I449" s="9" t="str">
        <f>VLOOKUP(revenue[productID],products[],12,FALSE)</f>
        <v>Meat/Poultry</v>
      </c>
      <c r="J449" s="9">
        <f>VLOOKUP(revenue[productID],products[],IF(YEAR(revenue[orderDate])=2022,8,IF(YEAR(revenue[orderDate])=2023,9,IF(YEAR(revenue[orderDate])=2024,10,NA))),FALSE)</f>
        <v>21.81491556</v>
      </c>
      <c r="K449" s="9">
        <v>26.2</v>
      </c>
      <c r="L449" s="25">
        <f>(revenue[orderPrice]-revenue[productCost])/revenue[productCost]</f>
        <v>0.2010131293</v>
      </c>
      <c r="M449" s="10">
        <v>10.0</v>
      </c>
      <c r="N449" s="25">
        <v>0.0</v>
      </c>
      <c r="O449" s="9">
        <f>revenue[orderPrice]*revenue[orderQuantity]</f>
        <v>262</v>
      </c>
      <c r="P449" s="9">
        <f>revenue[orderTotal]*(1-revenue[discountApllied])</f>
        <v>262</v>
      </c>
      <c r="Q449" s="9">
        <f>revenue[revenue]-(revenue[productCost]*revenue[orderQuantity])</f>
        <v>43.85084441</v>
      </c>
      <c r="R449" s="25">
        <f>IFERROR(revenue[profit]/revenue[revenue], 0)</f>
        <v>0.1673696352</v>
      </c>
      <c r="S449" s="9">
        <f>revenue[productCost]*revenue[orderQuantity]</f>
        <v>218.1491556</v>
      </c>
    </row>
    <row r="450" ht="15.75" customHeight="1">
      <c r="A450" s="6">
        <v>10416.0</v>
      </c>
      <c r="B450" s="7" t="s">
        <v>31</v>
      </c>
      <c r="C450" s="24" t="str">
        <f>VLOOKUP(revenue[customerID],customers[],2,FALSE)</f>
        <v>Wartian Herkku</v>
      </c>
      <c r="D450" s="24" t="str">
        <f>VLOOKUP(revenue[customerID],customers[],6,FALSE)</f>
        <v>Oulu</v>
      </c>
      <c r="E450" s="24" t="str">
        <f>VLOOKUP(revenue[customerID],customers[],9,FALSE)</f>
        <v>Finland</v>
      </c>
      <c r="F450" s="24">
        <v>44942.0</v>
      </c>
      <c r="G450" s="6">
        <v>57.0</v>
      </c>
      <c r="H450" s="9" t="str">
        <f>VLOOKUP(revenue[productID],products[],2,FALSE)</f>
        <v>Ravioli Angelo</v>
      </c>
      <c r="I450" s="9" t="str">
        <f>VLOOKUP(revenue[productID],products[],12,FALSE)</f>
        <v>Grains/Cereals</v>
      </c>
      <c r="J450" s="9">
        <f>VLOOKUP(revenue[productID],products[],IF(YEAR(revenue[orderDate])=2022,8,IF(YEAR(revenue[orderDate])=2023,9,IF(YEAR(revenue[orderDate])=2024,10,NA))),FALSE)</f>
        <v>13.01870901</v>
      </c>
      <c r="K450" s="9">
        <v>15.6</v>
      </c>
      <c r="L450" s="25">
        <f>(revenue[orderPrice]-revenue[productCost])/revenue[productCost]</f>
        <v>0.1982754965</v>
      </c>
      <c r="M450" s="10">
        <v>20.0</v>
      </c>
      <c r="N450" s="25">
        <v>0.0</v>
      </c>
      <c r="O450" s="9">
        <f>revenue[orderPrice]*revenue[orderQuantity]</f>
        <v>312</v>
      </c>
      <c r="P450" s="9">
        <f>revenue[orderTotal]*(1-revenue[discountApllied])</f>
        <v>312</v>
      </c>
      <c r="Q450" s="9">
        <f>revenue[revenue]-(revenue[productCost]*revenue[orderQuantity])</f>
        <v>51.62581985</v>
      </c>
      <c r="R450" s="25">
        <f>IFERROR(revenue[profit]/revenue[revenue], 0)</f>
        <v>0.1654673713</v>
      </c>
      <c r="S450" s="9">
        <f>revenue[productCost]*revenue[orderQuantity]</f>
        <v>260.3741801</v>
      </c>
    </row>
    <row r="451" ht="15.75" customHeight="1">
      <c r="A451" s="6">
        <v>10417.0</v>
      </c>
      <c r="B451" s="7" t="s">
        <v>66</v>
      </c>
      <c r="C451" s="24" t="str">
        <f>VLOOKUP(revenue[customerID],customers[],2,FALSE)</f>
        <v>Simons bistro</v>
      </c>
      <c r="D451" s="24" t="str">
        <f>VLOOKUP(revenue[customerID],customers[],6,FALSE)</f>
        <v>Kobenhavn</v>
      </c>
      <c r="E451" s="24" t="str">
        <f>VLOOKUP(revenue[customerID],customers[],9,FALSE)</f>
        <v>Denmark</v>
      </c>
      <c r="F451" s="24">
        <v>44942.0</v>
      </c>
      <c r="G451" s="6">
        <v>38.0</v>
      </c>
      <c r="H451" s="9" t="str">
        <f>VLOOKUP(revenue[productID],products[],2,FALSE)</f>
        <v>Côte de Blaye</v>
      </c>
      <c r="I451" s="9" t="str">
        <f>VLOOKUP(revenue[productID],products[],12,FALSE)</f>
        <v>Beverages</v>
      </c>
      <c r="J451" s="9">
        <f>VLOOKUP(revenue[productID],products[],IF(YEAR(revenue[orderDate])=2022,8,IF(YEAR(revenue[orderDate])=2023,9,IF(YEAR(revenue[orderDate])=2024,10,NA))),FALSE)</f>
        <v>175.9515711</v>
      </c>
      <c r="K451" s="9">
        <v>210.8</v>
      </c>
      <c r="L451" s="25">
        <f>(revenue[orderPrice]-revenue[productCost])/revenue[productCost]</f>
        <v>0.1980569351</v>
      </c>
      <c r="M451" s="10">
        <v>50.0</v>
      </c>
      <c r="N451" s="25">
        <v>0.0</v>
      </c>
      <c r="O451" s="9">
        <f>revenue[orderPrice]*revenue[orderQuantity]</f>
        <v>10540</v>
      </c>
      <c r="P451" s="9">
        <f>revenue[orderTotal]*(1-revenue[discountApllied])</f>
        <v>10540</v>
      </c>
      <c r="Q451" s="9">
        <f>revenue[revenue]-(revenue[productCost]*revenue[orderQuantity])</f>
        <v>1742.421445</v>
      </c>
      <c r="R451" s="25">
        <f>IFERROR(revenue[profit]/revenue[revenue], 0)</f>
        <v>0.1653151276</v>
      </c>
      <c r="S451" s="9">
        <f>revenue[productCost]*revenue[orderQuantity]</f>
        <v>8797.578555</v>
      </c>
    </row>
    <row r="452" ht="15.75" customHeight="1">
      <c r="A452" s="6">
        <v>10417.0</v>
      </c>
      <c r="B452" s="7" t="s">
        <v>66</v>
      </c>
      <c r="C452" s="24" t="str">
        <f>VLOOKUP(revenue[customerID],customers[],2,FALSE)</f>
        <v>Simons bistro</v>
      </c>
      <c r="D452" s="24" t="str">
        <f>VLOOKUP(revenue[customerID],customers[],6,FALSE)</f>
        <v>Kobenhavn</v>
      </c>
      <c r="E452" s="24" t="str">
        <f>VLOOKUP(revenue[customerID],customers[],9,FALSE)</f>
        <v>Denmark</v>
      </c>
      <c r="F452" s="24">
        <v>44942.0</v>
      </c>
      <c r="G452" s="6">
        <v>46.0</v>
      </c>
      <c r="H452" s="9" t="str">
        <f>VLOOKUP(revenue[productID],products[],2,FALSE)</f>
        <v>Spegesild</v>
      </c>
      <c r="I452" s="9" t="str">
        <f>VLOOKUP(revenue[productID],products[],12,FALSE)</f>
        <v>Seafood</v>
      </c>
      <c r="J452" s="9">
        <f>VLOOKUP(revenue[productID],products[],IF(YEAR(revenue[orderDate])=2022,8,IF(YEAR(revenue[orderDate])=2023,9,IF(YEAR(revenue[orderDate])=2024,10,NA))),FALSE)</f>
        <v>7.087990753</v>
      </c>
      <c r="K452" s="9">
        <v>9.6</v>
      </c>
      <c r="L452" s="25">
        <f>(revenue[orderPrice]-revenue[productCost])/revenue[productCost]</f>
        <v>0.3544035728</v>
      </c>
      <c r="M452" s="10">
        <v>2.0</v>
      </c>
      <c r="N452" s="25">
        <v>0.25</v>
      </c>
      <c r="O452" s="9">
        <f>revenue[orderPrice]*revenue[orderQuantity]</f>
        <v>19.2</v>
      </c>
      <c r="P452" s="9">
        <f>revenue[orderTotal]*(1-revenue[discountApllied])</f>
        <v>14.4</v>
      </c>
      <c r="Q452" s="9">
        <f>revenue[revenue]-(revenue[productCost]*revenue[orderQuantity])</f>
        <v>0.2240184936</v>
      </c>
      <c r="R452" s="25">
        <f>IFERROR(revenue[profit]/revenue[revenue], 0)</f>
        <v>0.01555683983</v>
      </c>
      <c r="S452" s="9">
        <f>revenue[productCost]*revenue[orderQuantity]</f>
        <v>14.17598151</v>
      </c>
    </row>
    <row r="453" ht="15.75" customHeight="1">
      <c r="A453" s="6">
        <v>10417.0</v>
      </c>
      <c r="B453" s="7" t="s">
        <v>66</v>
      </c>
      <c r="C453" s="24" t="str">
        <f>VLOOKUP(revenue[customerID],customers[],2,FALSE)</f>
        <v>Simons bistro</v>
      </c>
      <c r="D453" s="24" t="str">
        <f>VLOOKUP(revenue[customerID],customers[],6,FALSE)</f>
        <v>Kobenhavn</v>
      </c>
      <c r="E453" s="24" t="str">
        <f>VLOOKUP(revenue[customerID],customers[],9,FALSE)</f>
        <v>Denmark</v>
      </c>
      <c r="F453" s="24">
        <v>44942.0</v>
      </c>
      <c r="G453" s="6">
        <v>68.0</v>
      </c>
      <c r="H453" s="9" t="str">
        <f>VLOOKUP(revenue[productID],products[],2,FALSE)</f>
        <v>Scottish Longbreads</v>
      </c>
      <c r="I453" s="9" t="str">
        <f>VLOOKUP(revenue[productID],products[],12,FALSE)</f>
        <v>Confections</v>
      </c>
      <c r="J453" s="9">
        <f>VLOOKUP(revenue[productID],products[],IF(YEAR(revenue[orderDate])=2022,8,IF(YEAR(revenue[orderDate])=2023,9,IF(YEAR(revenue[orderDate])=2024,10,NA))),FALSE)</f>
        <v>8.500000387</v>
      </c>
      <c r="K453" s="9">
        <v>10.0</v>
      </c>
      <c r="L453" s="25">
        <f>(revenue[orderPrice]-revenue[productCost])/revenue[productCost]</f>
        <v>0.1764705347</v>
      </c>
      <c r="M453" s="10">
        <v>36.0</v>
      </c>
      <c r="N453" s="25">
        <v>0.25</v>
      </c>
      <c r="O453" s="9">
        <f>revenue[orderPrice]*revenue[orderQuantity]</f>
        <v>360</v>
      </c>
      <c r="P453" s="9">
        <f>revenue[orderTotal]*(1-revenue[discountApllied])</f>
        <v>270</v>
      </c>
      <c r="Q453" s="9">
        <f>revenue[revenue]-(revenue[productCost]*revenue[orderQuantity])</f>
        <v>-36.00001392</v>
      </c>
      <c r="R453" s="25">
        <f>IFERROR(revenue[profit]/revenue[revenue], 0)</f>
        <v>-0.1333333849</v>
      </c>
      <c r="S453" s="9">
        <f>revenue[productCost]*revenue[orderQuantity]</f>
        <v>306.0000139</v>
      </c>
    </row>
    <row r="454" ht="15.75" customHeight="1">
      <c r="A454" s="6">
        <v>10417.0</v>
      </c>
      <c r="B454" s="7" t="s">
        <v>66</v>
      </c>
      <c r="C454" s="24" t="str">
        <f>VLOOKUP(revenue[customerID],customers[],2,FALSE)</f>
        <v>Simons bistro</v>
      </c>
      <c r="D454" s="24" t="str">
        <f>VLOOKUP(revenue[customerID],customers[],6,FALSE)</f>
        <v>Kobenhavn</v>
      </c>
      <c r="E454" s="24" t="str">
        <f>VLOOKUP(revenue[customerID],customers[],9,FALSE)</f>
        <v>Denmark</v>
      </c>
      <c r="F454" s="24">
        <v>44942.0</v>
      </c>
      <c r="G454" s="6">
        <v>77.0</v>
      </c>
      <c r="H454" s="9" t="str">
        <f>VLOOKUP(revenue[productID],products[],2,FALSE)</f>
        <v>Original Frankfurter grüne Soße</v>
      </c>
      <c r="I454" s="9" t="str">
        <f>VLOOKUP(revenue[productID],products[],12,FALSE)</f>
        <v>Condiments</v>
      </c>
      <c r="J454" s="9">
        <f>VLOOKUP(revenue[productID],products[],IF(YEAR(revenue[orderDate])=2022,8,IF(YEAR(revenue[orderDate])=2023,9,IF(YEAR(revenue[orderDate])=2024,10,NA))),FALSE)</f>
        <v>7.539056452</v>
      </c>
      <c r="K454" s="9">
        <v>10.4</v>
      </c>
      <c r="L454" s="25">
        <f>(revenue[orderPrice]-revenue[productCost])/revenue[productCost]</f>
        <v>0.3794829719</v>
      </c>
      <c r="M454" s="10">
        <v>35.0</v>
      </c>
      <c r="N454" s="25">
        <v>0.0</v>
      </c>
      <c r="O454" s="9">
        <f>revenue[orderPrice]*revenue[orderQuantity]</f>
        <v>364</v>
      </c>
      <c r="P454" s="9">
        <f>revenue[orderTotal]*(1-revenue[discountApllied])</f>
        <v>364</v>
      </c>
      <c r="Q454" s="9">
        <f>revenue[revenue]-(revenue[productCost]*revenue[orderQuantity])</f>
        <v>100.1330242</v>
      </c>
      <c r="R454" s="25">
        <f>IFERROR(revenue[profit]/revenue[revenue], 0)</f>
        <v>0.2750907258</v>
      </c>
      <c r="S454" s="9">
        <f>revenue[productCost]*revenue[orderQuantity]</f>
        <v>263.8669758</v>
      </c>
    </row>
    <row r="455" ht="15.75" customHeight="1">
      <c r="A455" s="6">
        <v>10418.0</v>
      </c>
      <c r="B455" s="7" t="s">
        <v>36</v>
      </c>
      <c r="C455" s="24" t="str">
        <f>VLOOKUP(revenue[customerID],customers[],2,FALSE)</f>
        <v>QUICK-Stop</v>
      </c>
      <c r="D455" s="24" t="str">
        <f>VLOOKUP(revenue[customerID],customers[],6,FALSE)</f>
        <v>Cunewalde</v>
      </c>
      <c r="E455" s="24" t="str">
        <f>VLOOKUP(revenue[customerID],customers[],9,FALSE)</f>
        <v>Germany</v>
      </c>
      <c r="F455" s="24">
        <v>44943.0</v>
      </c>
      <c r="G455" s="6">
        <v>2.0</v>
      </c>
      <c r="H455" s="9" t="str">
        <f>VLOOKUP(revenue[productID],products[],2,FALSE)</f>
        <v>Chang</v>
      </c>
      <c r="I455" s="9" t="str">
        <f>VLOOKUP(revenue[productID],products[],12,FALSE)</f>
        <v>Beverages</v>
      </c>
      <c r="J455" s="9">
        <f>VLOOKUP(revenue[productID],products[],IF(YEAR(revenue[orderDate])=2022,8,IF(YEAR(revenue[orderDate])=2023,9,IF(YEAR(revenue[orderDate])=2024,10,NA))),FALSE)</f>
        <v>12.14626904</v>
      </c>
      <c r="K455" s="9">
        <v>15.2</v>
      </c>
      <c r="L455" s="25">
        <f>(revenue[orderPrice]-revenue[productCost])/revenue[productCost]</f>
        <v>0.2514130837</v>
      </c>
      <c r="M455" s="10">
        <v>60.0</v>
      </c>
      <c r="N455" s="25">
        <v>0.0</v>
      </c>
      <c r="O455" s="9">
        <f>revenue[orderPrice]*revenue[orderQuantity]</f>
        <v>912</v>
      </c>
      <c r="P455" s="9">
        <f>revenue[orderTotal]*(1-revenue[discountApllied])</f>
        <v>912</v>
      </c>
      <c r="Q455" s="9">
        <f>revenue[revenue]-(revenue[productCost]*revenue[orderQuantity])</f>
        <v>183.2238574</v>
      </c>
      <c r="R455" s="25">
        <f>IFERROR(revenue[profit]/revenue[revenue], 0)</f>
        <v>0.2009033524</v>
      </c>
      <c r="S455" s="9">
        <f>revenue[productCost]*revenue[orderQuantity]</f>
        <v>728.7761426</v>
      </c>
    </row>
    <row r="456" ht="15.75" customHeight="1">
      <c r="A456" s="6">
        <v>10418.0</v>
      </c>
      <c r="B456" s="7" t="s">
        <v>36</v>
      </c>
      <c r="C456" s="24" t="str">
        <f>VLOOKUP(revenue[customerID],customers[],2,FALSE)</f>
        <v>QUICK-Stop</v>
      </c>
      <c r="D456" s="24" t="str">
        <f>VLOOKUP(revenue[customerID],customers[],6,FALSE)</f>
        <v>Cunewalde</v>
      </c>
      <c r="E456" s="24" t="str">
        <f>VLOOKUP(revenue[customerID],customers[],9,FALSE)</f>
        <v>Germany</v>
      </c>
      <c r="F456" s="24">
        <v>44943.0</v>
      </c>
      <c r="G456" s="6">
        <v>47.0</v>
      </c>
      <c r="H456" s="9" t="str">
        <f>VLOOKUP(revenue[productID],products[],2,FALSE)</f>
        <v>Zaanse koeken</v>
      </c>
      <c r="I456" s="9" t="str">
        <f>VLOOKUP(revenue[productID],products[],12,FALSE)</f>
        <v>Confections</v>
      </c>
      <c r="J456" s="9">
        <f>VLOOKUP(revenue[productID],products[],IF(YEAR(revenue[orderDate])=2022,8,IF(YEAR(revenue[orderDate])=2023,9,IF(YEAR(revenue[orderDate])=2024,10,NA))),FALSE)</f>
        <v>6.57708833</v>
      </c>
      <c r="K456" s="9">
        <v>7.6</v>
      </c>
      <c r="L456" s="25">
        <f>(revenue[orderPrice]-revenue[productCost])/revenue[productCost]</f>
        <v>0.1555265215</v>
      </c>
      <c r="M456" s="10">
        <v>55.0</v>
      </c>
      <c r="N456" s="25">
        <v>0.0</v>
      </c>
      <c r="O456" s="9">
        <f>revenue[orderPrice]*revenue[orderQuantity]</f>
        <v>418</v>
      </c>
      <c r="P456" s="9">
        <f>revenue[orderTotal]*(1-revenue[discountApllied])</f>
        <v>418</v>
      </c>
      <c r="Q456" s="9">
        <f>revenue[revenue]-(revenue[productCost]*revenue[orderQuantity])</f>
        <v>56.26014183</v>
      </c>
      <c r="R456" s="25">
        <f>IFERROR(revenue[profit]/revenue[revenue], 0)</f>
        <v>0.1345936407</v>
      </c>
      <c r="S456" s="9">
        <f>revenue[productCost]*revenue[orderQuantity]</f>
        <v>361.7398582</v>
      </c>
    </row>
    <row r="457" ht="15.75" customHeight="1">
      <c r="A457" s="6">
        <v>10418.0</v>
      </c>
      <c r="B457" s="7" t="s">
        <v>36</v>
      </c>
      <c r="C457" s="24" t="str">
        <f>VLOOKUP(revenue[customerID],customers[],2,FALSE)</f>
        <v>QUICK-Stop</v>
      </c>
      <c r="D457" s="24" t="str">
        <f>VLOOKUP(revenue[customerID],customers[],6,FALSE)</f>
        <v>Cunewalde</v>
      </c>
      <c r="E457" s="24" t="str">
        <f>VLOOKUP(revenue[customerID],customers[],9,FALSE)</f>
        <v>Germany</v>
      </c>
      <c r="F457" s="24">
        <v>44943.0</v>
      </c>
      <c r="G457" s="6">
        <v>61.0</v>
      </c>
      <c r="H457" s="9" t="str">
        <f>VLOOKUP(revenue[productID],products[],2,FALSE)</f>
        <v>Sirop d'érable</v>
      </c>
      <c r="I457" s="9" t="str">
        <f>VLOOKUP(revenue[productID],products[],12,FALSE)</f>
        <v>Condiments</v>
      </c>
      <c r="J457" s="9">
        <f>VLOOKUP(revenue[productID],products[],IF(YEAR(revenue[orderDate])=2022,8,IF(YEAR(revenue[orderDate])=2023,9,IF(YEAR(revenue[orderDate])=2024,10,NA))),FALSE)</f>
        <v>17.19945448</v>
      </c>
      <c r="K457" s="9">
        <v>22.8</v>
      </c>
      <c r="L457" s="25">
        <f>(revenue[orderPrice]-revenue[productCost])/revenue[productCost]</f>
        <v>0.3256234389</v>
      </c>
      <c r="M457" s="10">
        <v>16.0</v>
      </c>
      <c r="N457" s="25">
        <v>0.0</v>
      </c>
      <c r="O457" s="9">
        <f>revenue[orderPrice]*revenue[orderQuantity]</f>
        <v>364.8</v>
      </c>
      <c r="P457" s="9">
        <f>revenue[orderTotal]*(1-revenue[discountApllied])</f>
        <v>364.8</v>
      </c>
      <c r="Q457" s="9">
        <f>revenue[revenue]-(revenue[productCost]*revenue[orderQuantity])</f>
        <v>89.60872826</v>
      </c>
      <c r="R457" s="25">
        <f>IFERROR(revenue[profit]/revenue[revenue], 0)</f>
        <v>0.2456379612</v>
      </c>
      <c r="S457" s="9">
        <f>revenue[productCost]*revenue[orderQuantity]</f>
        <v>275.1912717</v>
      </c>
    </row>
    <row r="458" ht="15.75" customHeight="1">
      <c r="A458" s="6">
        <v>10418.0</v>
      </c>
      <c r="B458" s="7" t="s">
        <v>36</v>
      </c>
      <c r="C458" s="24" t="str">
        <f>VLOOKUP(revenue[customerID],customers[],2,FALSE)</f>
        <v>QUICK-Stop</v>
      </c>
      <c r="D458" s="24" t="str">
        <f>VLOOKUP(revenue[customerID],customers[],6,FALSE)</f>
        <v>Cunewalde</v>
      </c>
      <c r="E458" s="24" t="str">
        <f>VLOOKUP(revenue[customerID],customers[],9,FALSE)</f>
        <v>Germany</v>
      </c>
      <c r="F458" s="24">
        <v>44943.0</v>
      </c>
      <c r="G458" s="6">
        <v>74.0</v>
      </c>
      <c r="H458" s="9" t="str">
        <f>VLOOKUP(revenue[productID],products[],2,FALSE)</f>
        <v>Longlife Tofu</v>
      </c>
      <c r="I458" s="9" t="str">
        <f>VLOOKUP(revenue[productID],products[],12,FALSE)</f>
        <v>Produce</v>
      </c>
      <c r="J458" s="9">
        <f>VLOOKUP(revenue[productID],products[],IF(YEAR(revenue[orderDate])=2022,8,IF(YEAR(revenue[orderDate])=2023,9,IF(YEAR(revenue[orderDate])=2024,10,NA))),FALSE)</f>
        <v>6.510240467</v>
      </c>
      <c r="K458" s="9">
        <v>8.0</v>
      </c>
      <c r="L458" s="25">
        <f>(revenue[orderPrice]-revenue[productCost])/revenue[productCost]</f>
        <v>0.2288332575</v>
      </c>
      <c r="M458" s="10">
        <v>15.0</v>
      </c>
      <c r="N458" s="25">
        <v>0.0</v>
      </c>
      <c r="O458" s="9">
        <f>revenue[orderPrice]*revenue[orderQuantity]</f>
        <v>120</v>
      </c>
      <c r="P458" s="9">
        <f>revenue[orderTotal]*(1-revenue[discountApllied])</f>
        <v>120</v>
      </c>
      <c r="Q458" s="9">
        <f>revenue[revenue]-(revenue[productCost]*revenue[orderQuantity])</f>
        <v>22.346393</v>
      </c>
      <c r="R458" s="25">
        <f>IFERROR(revenue[profit]/revenue[revenue], 0)</f>
        <v>0.1862199417</v>
      </c>
      <c r="S458" s="9">
        <f>revenue[productCost]*revenue[orderQuantity]</f>
        <v>97.653607</v>
      </c>
    </row>
    <row r="459" ht="15.75" customHeight="1">
      <c r="A459" s="6">
        <v>10419.0</v>
      </c>
      <c r="B459" s="7" t="s">
        <v>21</v>
      </c>
      <c r="C459" s="24" t="str">
        <f>VLOOKUP(revenue[customerID],customers[],2,FALSE)</f>
        <v>Richter Supermarkt</v>
      </c>
      <c r="D459" s="24" t="str">
        <f>VLOOKUP(revenue[customerID],customers[],6,FALSE)</f>
        <v>Genève</v>
      </c>
      <c r="E459" s="24" t="str">
        <f>VLOOKUP(revenue[customerID],customers[],9,FALSE)</f>
        <v>Switzerland</v>
      </c>
      <c r="F459" s="24">
        <v>44946.0</v>
      </c>
      <c r="G459" s="6">
        <v>60.0</v>
      </c>
      <c r="H459" s="9" t="str">
        <f>VLOOKUP(revenue[productID],products[],2,FALSE)</f>
        <v>Camembert Pierrot</v>
      </c>
      <c r="I459" s="9" t="str">
        <f>VLOOKUP(revenue[productID],products[],12,FALSE)</f>
        <v>Dairy Products</v>
      </c>
      <c r="J459" s="9">
        <f>VLOOKUP(revenue[productID],products[],IF(YEAR(revenue[orderDate])=2022,8,IF(YEAR(revenue[orderDate])=2023,9,IF(YEAR(revenue[orderDate])=2024,10,NA))),FALSE)</f>
        <v>22.77098295</v>
      </c>
      <c r="K459" s="9">
        <v>27.2</v>
      </c>
      <c r="L459" s="25">
        <f>(revenue[orderPrice]-revenue[productCost])/revenue[productCost]</f>
        <v>0.1945026732</v>
      </c>
      <c r="M459" s="10">
        <v>60.0</v>
      </c>
      <c r="N459" s="25">
        <v>0.05</v>
      </c>
      <c r="O459" s="9">
        <f>revenue[orderPrice]*revenue[orderQuantity]</f>
        <v>1632</v>
      </c>
      <c r="P459" s="9">
        <f>revenue[orderTotal]*(1-revenue[discountApllied])</f>
        <v>1550.4</v>
      </c>
      <c r="Q459" s="9">
        <f>revenue[revenue]-(revenue[productCost]*revenue[orderQuantity])</f>
        <v>184.1410232</v>
      </c>
      <c r="R459" s="25">
        <f>IFERROR(revenue[profit]/revenue[revenue], 0)</f>
        <v>0.1187700098</v>
      </c>
      <c r="S459" s="9">
        <f>revenue[productCost]*revenue[orderQuantity]</f>
        <v>1366.258977</v>
      </c>
    </row>
    <row r="460" ht="15.75" customHeight="1">
      <c r="A460" s="6">
        <v>10419.0</v>
      </c>
      <c r="B460" s="7" t="s">
        <v>21</v>
      </c>
      <c r="C460" s="24" t="str">
        <f>VLOOKUP(revenue[customerID],customers[],2,FALSE)</f>
        <v>Richter Supermarkt</v>
      </c>
      <c r="D460" s="24" t="str">
        <f>VLOOKUP(revenue[customerID],customers[],6,FALSE)</f>
        <v>Genève</v>
      </c>
      <c r="E460" s="24" t="str">
        <f>VLOOKUP(revenue[customerID],customers[],9,FALSE)</f>
        <v>Switzerland</v>
      </c>
      <c r="F460" s="24">
        <v>44946.0</v>
      </c>
      <c r="G460" s="6">
        <v>69.0</v>
      </c>
      <c r="H460" s="9" t="str">
        <f>VLOOKUP(revenue[productID],products[],2,FALSE)</f>
        <v>Gudbrandsdalsost</v>
      </c>
      <c r="I460" s="9" t="str">
        <f>VLOOKUP(revenue[productID],products[],12,FALSE)</f>
        <v>Dairy Products</v>
      </c>
      <c r="J460" s="9">
        <f>VLOOKUP(revenue[productID],products[],IF(YEAR(revenue[orderDate])=2022,8,IF(YEAR(revenue[orderDate])=2023,9,IF(YEAR(revenue[orderDate])=2024,10,NA))),FALSE)</f>
        <v>21.82428612</v>
      </c>
      <c r="K460" s="9">
        <v>28.8</v>
      </c>
      <c r="L460" s="25">
        <f>(revenue[orderPrice]-revenue[productCost])/revenue[productCost]</f>
        <v>0.3196307933</v>
      </c>
      <c r="M460" s="10">
        <v>20.0</v>
      </c>
      <c r="N460" s="25">
        <v>0.05</v>
      </c>
      <c r="O460" s="9">
        <f>revenue[orderPrice]*revenue[orderQuantity]</f>
        <v>576</v>
      </c>
      <c r="P460" s="9">
        <f>revenue[orderTotal]*(1-revenue[discountApllied])</f>
        <v>547.2</v>
      </c>
      <c r="Q460" s="9">
        <f>revenue[revenue]-(revenue[productCost]*revenue[orderQuantity])</f>
        <v>110.7142777</v>
      </c>
      <c r="R460" s="25">
        <f>IFERROR(revenue[profit]/revenue[revenue], 0)</f>
        <v>0.2023287238</v>
      </c>
      <c r="S460" s="9">
        <f>revenue[productCost]*revenue[orderQuantity]</f>
        <v>436.4857223</v>
      </c>
    </row>
    <row r="461" ht="15.75" customHeight="1">
      <c r="A461" s="6">
        <v>10420.0</v>
      </c>
      <c r="B461" s="7" t="s">
        <v>22</v>
      </c>
      <c r="C461" s="24" t="str">
        <f>VLOOKUP(revenue[customerID],customers[],2,FALSE)</f>
        <v>Wellington Importadora</v>
      </c>
      <c r="D461" s="24" t="str">
        <f>VLOOKUP(revenue[customerID],customers[],6,FALSE)</f>
        <v>Resende</v>
      </c>
      <c r="E461" s="24" t="str">
        <f>VLOOKUP(revenue[customerID],customers[],9,FALSE)</f>
        <v>Brazil</v>
      </c>
      <c r="F461" s="24">
        <v>44947.0</v>
      </c>
      <c r="G461" s="6">
        <v>9.0</v>
      </c>
      <c r="H461" s="9" t="str">
        <f>VLOOKUP(revenue[productID],products[],2,FALSE)</f>
        <v>Mishi Kobe Niku</v>
      </c>
      <c r="I461" s="9" t="str">
        <f>VLOOKUP(revenue[productID],products[],12,FALSE)</f>
        <v>Meat/Poultry</v>
      </c>
      <c r="J461" s="9">
        <f>VLOOKUP(revenue[productID],products[],IF(YEAR(revenue[orderDate])=2022,8,IF(YEAR(revenue[orderDate])=2023,9,IF(YEAR(revenue[orderDate])=2024,10,NA))),FALSE)</f>
        <v>59.95980959</v>
      </c>
      <c r="K461" s="9">
        <v>77.6</v>
      </c>
      <c r="L461" s="25">
        <f>(revenue[orderPrice]-revenue[productCost])/revenue[productCost]</f>
        <v>0.2942002406</v>
      </c>
      <c r="M461" s="10">
        <v>20.0</v>
      </c>
      <c r="N461" s="25">
        <v>0.1</v>
      </c>
      <c r="O461" s="9">
        <f>revenue[orderPrice]*revenue[orderQuantity]</f>
        <v>1552</v>
      </c>
      <c r="P461" s="9">
        <f>revenue[orderTotal]*(1-revenue[discountApllied])</f>
        <v>1396.8</v>
      </c>
      <c r="Q461" s="9">
        <f>revenue[revenue]-(revenue[productCost]*revenue[orderQuantity])</f>
        <v>197.6038081</v>
      </c>
      <c r="R461" s="25">
        <f>IFERROR(revenue[profit]/revenue[revenue], 0)</f>
        <v>0.1414689348</v>
      </c>
      <c r="S461" s="9">
        <f>revenue[productCost]*revenue[orderQuantity]</f>
        <v>1199.196192</v>
      </c>
    </row>
    <row r="462" ht="15.75" customHeight="1">
      <c r="A462" s="6">
        <v>10420.0</v>
      </c>
      <c r="B462" s="7" t="s">
        <v>22</v>
      </c>
      <c r="C462" s="24" t="str">
        <f>VLOOKUP(revenue[customerID],customers[],2,FALSE)</f>
        <v>Wellington Importadora</v>
      </c>
      <c r="D462" s="24" t="str">
        <f>VLOOKUP(revenue[customerID],customers[],6,FALSE)</f>
        <v>Resende</v>
      </c>
      <c r="E462" s="24" t="str">
        <f>VLOOKUP(revenue[customerID],customers[],9,FALSE)</f>
        <v>Brazil</v>
      </c>
      <c r="F462" s="24">
        <v>44947.0</v>
      </c>
      <c r="G462" s="6">
        <v>13.0</v>
      </c>
      <c r="H462" s="9" t="str">
        <f>VLOOKUP(revenue[productID],products[],2,FALSE)</f>
        <v>Konbu</v>
      </c>
      <c r="I462" s="9" t="str">
        <f>VLOOKUP(revenue[productID],products[],12,FALSE)</f>
        <v>Seafood</v>
      </c>
      <c r="J462" s="9">
        <f>VLOOKUP(revenue[productID],products[],IF(YEAR(revenue[orderDate])=2022,8,IF(YEAR(revenue[orderDate])=2023,9,IF(YEAR(revenue[orderDate])=2024,10,NA))),FALSE)</f>
        <v>3.865774949</v>
      </c>
      <c r="K462" s="9">
        <v>4.8</v>
      </c>
      <c r="L462" s="25">
        <f>(revenue[orderPrice]-revenue[productCost])/revenue[productCost]</f>
        <v>0.2416656591</v>
      </c>
      <c r="M462" s="10">
        <v>2.0</v>
      </c>
      <c r="N462" s="25">
        <v>0.1</v>
      </c>
      <c r="O462" s="9">
        <f>revenue[orderPrice]*revenue[orderQuantity]</f>
        <v>9.6</v>
      </c>
      <c r="P462" s="9">
        <f>revenue[orderTotal]*(1-revenue[discountApllied])</f>
        <v>8.64</v>
      </c>
      <c r="Q462" s="9">
        <f>revenue[revenue]-(revenue[productCost]*revenue[orderQuantity])</f>
        <v>0.9084501022</v>
      </c>
      <c r="R462" s="25">
        <f>IFERROR(revenue[profit]/revenue[revenue], 0)</f>
        <v>0.1051446878</v>
      </c>
      <c r="S462" s="9">
        <f>revenue[productCost]*revenue[orderQuantity]</f>
        <v>7.731549898</v>
      </c>
    </row>
    <row r="463" ht="15.75" customHeight="1">
      <c r="A463" s="6">
        <v>10420.0</v>
      </c>
      <c r="B463" s="7" t="s">
        <v>22</v>
      </c>
      <c r="C463" s="24" t="str">
        <f>VLOOKUP(revenue[customerID],customers[],2,FALSE)</f>
        <v>Wellington Importadora</v>
      </c>
      <c r="D463" s="24" t="str">
        <f>VLOOKUP(revenue[customerID],customers[],6,FALSE)</f>
        <v>Resende</v>
      </c>
      <c r="E463" s="24" t="str">
        <f>VLOOKUP(revenue[customerID],customers[],9,FALSE)</f>
        <v>Brazil</v>
      </c>
      <c r="F463" s="24">
        <v>44947.0</v>
      </c>
      <c r="G463" s="6">
        <v>70.0</v>
      </c>
      <c r="H463" s="9" t="str">
        <f>VLOOKUP(revenue[productID],products[],2,FALSE)</f>
        <v>Outback Lager</v>
      </c>
      <c r="I463" s="9" t="str">
        <f>VLOOKUP(revenue[productID],products[],12,FALSE)</f>
        <v>Beverages</v>
      </c>
      <c r="J463" s="9">
        <f>VLOOKUP(revenue[productID],products[],IF(YEAR(revenue[orderDate])=2022,8,IF(YEAR(revenue[orderDate])=2023,9,IF(YEAR(revenue[orderDate])=2024,10,NA))),FALSE)</f>
        <v>9.793094091</v>
      </c>
      <c r="K463" s="9">
        <v>12.0</v>
      </c>
      <c r="L463" s="25">
        <f>(revenue[orderPrice]-revenue[productCost])/revenue[productCost]</f>
        <v>0.2253532835</v>
      </c>
      <c r="M463" s="10">
        <v>8.0</v>
      </c>
      <c r="N463" s="25">
        <v>0.1</v>
      </c>
      <c r="O463" s="9">
        <f>revenue[orderPrice]*revenue[orderQuantity]</f>
        <v>96</v>
      </c>
      <c r="P463" s="9">
        <f>revenue[orderTotal]*(1-revenue[discountApllied])</f>
        <v>86.4</v>
      </c>
      <c r="Q463" s="9">
        <f>revenue[revenue]-(revenue[productCost]*revenue[orderQuantity])</f>
        <v>8.055247271</v>
      </c>
      <c r="R463" s="25">
        <f>IFERROR(revenue[profit]/revenue[revenue], 0)</f>
        <v>0.0932320286</v>
      </c>
      <c r="S463" s="9">
        <f>revenue[productCost]*revenue[orderQuantity]</f>
        <v>78.34475273</v>
      </c>
    </row>
    <row r="464" ht="15.75" customHeight="1">
      <c r="A464" s="6">
        <v>10420.0</v>
      </c>
      <c r="B464" s="7" t="s">
        <v>22</v>
      </c>
      <c r="C464" s="24" t="str">
        <f>VLOOKUP(revenue[customerID],customers[],2,FALSE)</f>
        <v>Wellington Importadora</v>
      </c>
      <c r="D464" s="24" t="str">
        <f>VLOOKUP(revenue[customerID],customers[],6,FALSE)</f>
        <v>Resende</v>
      </c>
      <c r="E464" s="24" t="str">
        <f>VLOOKUP(revenue[customerID],customers[],9,FALSE)</f>
        <v>Brazil</v>
      </c>
      <c r="F464" s="24">
        <v>44947.0</v>
      </c>
      <c r="G464" s="6">
        <v>73.0</v>
      </c>
      <c r="H464" s="9" t="str">
        <f>VLOOKUP(revenue[productID],products[],2,FALSE)</f>
        <v>Röd Kaviar</v>
      </c>
      <c r="I464" s="9" t="str">
        <f>VLOOKUP(revenue[productID],products[],12,FALSE)</f>
        <v>Seafood</v>
      </c>
      <c r="J464" s="9">
        <f>VLOOKUP(revenue[productID],products[],IF(YEAR(revenue[orderDate])=2022,8,IF(YEAR(revenue[orderDate])=2023,9,IF(YEAR(revenue[orderDate])=2024,10,NA))),FALSE)</f>
        <v>9.692999362</v>
      </c>
      <c r="K464" s="9">
        <v>12.0</v>
      </c>
      <c r="L464" s="25">
        <f>(revenue[orderPrice]-revenue[productCost])/revenue[productCost]</f>
        <v>0.2380068905</v>
      </c>
      <c r="M464" s="10">
        <v>20.0</v>
      </c>
      <c r="N464" s="25">
        <v>0.1</v>
      </c>
      <c r="O464" s="9">
        <f>revenue[orderPrice]*revenue[orderQuantity]</f>
        <v>240</v>
      </c>
      <c r="P464" s="9">
        <f>revenue[orderTotal]*(1-revenue[discountApllied])</f>
        <v>216</v>
      </c>
      <c r="Q464" s="9">
        <f>revenue[revenue]-(revenue[productCost]*revenue[orderQuantity])</f>
        <v>22.14001276</v>
      </c>
      <c r="R464" s="25">
        <f>IFERROR(revenue[profit]/revenue[revenue], 0)</f>
        <v>0.1025000591</v>
      </c>
      <c r="S464" s="9">
        <f>revenue[productCost]*revenue[orderQuantity]</f>
        <v>193.8599872</v>
      </c>
    </row>
    <row r="465" ht="15.75" customHeight="1">
      <c r="A465" s="6">
        <v>10421.0</v>
      </c>
      <c r="B465" s="7" t="s">
        <v>27</v>
      </c>
      <c r="C465" s="24" t="str">
        <f>VLOOKUP(revenue[customerID],customers[],2,FALSE)</f>
        <v>Que Delícia</v>
      </c>
      <c r="D465" s="24" t="str">
        <f>VLOOKUP(revenue[customerID],customers[],6,FALSE)</f>
        <v>Rio de Janeiro</v>
      </c>
      <c r="E465" s="24" t="str">
        <f>VLOOKUP(revenue[customerID],customers[],9,FALSE)</f>
        <v>Brazil</v>
      </c>
      <c r="F465" s="24">
        <v>44947.0</v>
      </c>
      <c r="G465" s="6">
        <v>19.0</v>
      </c>
      <c r="H465" s="9" t="str">
        <f>VLOOKUP(revenue[productID],products[],2,FALSE)</f>
        <v>Teatime Chocolate Biscuits</v>
      </c>
      <c r="I465" s="9" t="str">
        <f>VLOOKUP(revenue[productID],products[],12,FALSE)</f>
        <v>Confections</v>
      </c>
      <c r="J465" s="9">
        <f>VLOOKUP(revenue[productID],products[],IF(YEAR(revenue[orderDate])=2022,8,IF(YEAR(revenue[orderDate])=2023,9,IF(YEAR(revenue[orderDate])=2024,10,NA))),FALSE)</f>
        <v>5.901883682</v>
      </c>
      <c r="K465" s="9">
        <v>7.3</v>
      </c>
      <c r="L465" s="25">
        <f>(revenue[orderPrice]-revenue[productCost])/revenue[productCost]</f>
        <v>0.2368932349</v>
      </c>
      <c r="M465" s="10">
        <v>4.0</v>
      </c>
      <c r="N465" s="25">
        <v>0.15</v>
      </c>
      <c r="O465" s="9">
        <f>revenue[orderPrice]*revenue[orderQuantity]</f>
        <v>29.2</v>
      </c>
      <c r="P465" s="9">
        <f>revenue[orderTotal]*(1-revenue[discountApllied])</f>
        <v>24.82</v>
      </c>
      <c r="Q465" s="9">
        <f>revenue[revenue]-(revenue[productCost]*revenue[orderQuantity])</f>
        <v>1.21246527</v>
      </c>
      <c r="R465" s="25">
        <f>IFERROR(revenue[profit]/revenue[revenue], 0)</f>
        <v>0.04885033321</v>
      </c>
      <c r="S465" s="9">
        <f>revenue[productCost]*revenue[orderQuantity]</f>
        <v>23.60753473</v>
      </c>
    </row>
    <row r="466" ht="15.75" customHeight="1">
      <c r="A466" s="6">
        <v>10421.0</v>
      </c>
      <c r="B466" s="7" t="s">
        <v>27</v>
      </c>
      <c r="C466" s="24" t="str">
        <f>VLOOKUP(revenue[customerID],customers[],2,FALSE)</f>
        <v>Que Delícia</v>
      </c>
      <c r="D466" s="24" t="str">
        <f>VLOOKUP(revenue[customerID],customers[],6,FALSE)</f>
        <v>Rio de Janeiro</v>
      </c>
      <c r="E466" s="24" t="str">
        <f>VLOOKUP(revenue[customerID],customers[],9,FALSE)</f>
        <v>Brazil</v>
      </c>
      <c r="F466" s="24">
        <v>44947.0</v>
      </c>
      <c r="G466" s="6">
        <v>26.0</v>
      </c>
      <c r="H466" s="9" t="str">
        <f>VLOOKUP(revenue[productID],products[],2,FALSE)</f>
        <v>NuNuCa Nuß-Nougat-Creme</v>
      </c>
      <c r="I466" s="9" t="str">
        <f>VLOOKUP(revenue[productID],products[],12,FALSE)</f>
        <v>Confections</v>
      </c>
      <c r="J466" s="9">
        <f>VLOOKUP(revenue[productID],products[],IF(YEAR(revenue[orderDate])=2022,8,IF(YEAR(revenue[orderDate])=2023,9,IF(YEAR(revenue[orderDate])=2024,10,NA))),FALSE)</f>
        <v>21.20896201</v>
      </c>
      <c r="K466" s="9">
        <v>24.9</v>
      </c>
      <c r="L466" s="25">
        <f>(revenue[orderPrice]-revenue[productCost])/revenue[productCost]</f>
        <v>0.1740319958</v>
      </c>
      <c r="M466" s="10">
        <v>30.0</v>
      </c>
      <c r="N466" s="25">
        <v>0.0</v>
      </c>
      <c r="O466" s="9">
        <f>revenue[orderPrice]*revenue[orderQuantity]</f>
        <v>747</v>
      </c>
      <c r="P466" s="9">
        <f>revenue[orderTotal]*(1-revenue[discountApllied])</f>
        <v>747</v>
      </c>
      <c r="Q466" s="9">
        <f>revenue[revenue]-(revenue[productCost]*revenue[orderQuantity])</f>
        <v>110.7311396</v>
      </c>
      <c r="R466" s="25">
        <f>IFERROR(revenue[profit]/revenue[revenue], 0)</f>
        <v>0.1482344573</v>
      </c>
      <c r="S466" s="9">
        <f>revenue[productCost]*revenue[orderQuantity]</f>
        <v>636.2688604</v>
      </c>
    </row>
    <row r="467" ht="15.75" customHeight="1">
      <c r="A467" s="6">
        <v>10421.0</v>
      </c>
      <c r="B467" s="7" t="s">
        <v>27</v>
      </c>
      <c r="C467" s="24" t="str">
        <f>VLOOKUP(revenue[customerID],customers[],2,FALSE)</f>
        <v>Que Delícia</v>
      </c>
      <c r="D467" s="24" t="str">
        <f>VLOOKUP(revenue[customerID],customers[],6,FALSE)</f>
        <v>Rio de Janeiro</v>
      </c>
      <c r="E467" s="24" t="str">
        <f>VLOOKUP(revenue[customerID],customers[],9,FALSE)</f>
        <v>Brazil</v>
      </c>
      <c r="F467" s="24">
        <v>44947.0</v>
      </c>
      <c r="G467" s="6">
        <v>53.0</v>
      </c>
      <c r="H467" s="9" t="str">
        <f>VLOOKUP(revenue[productID],products[],2,FALSE)</f>
        <v>Perth Pasties</v>
      </c>
      <c r="I467" s="9" t="str">
        <f>VLOOKUP(revenue[productID],products[],12,FALSE)</f>
        <v>Meat/Poultry</v>
      </c>
      <c r="J467" s="9">
        <f>VLOOKUP(revenue[productID],products[],IF(YEAR(revenue[orderDate])=2022,8,IF(YEAR(revenue[orderDate])=2023,9,IF(YEAR(revenue[orderDate])=2024,10,NA))),FALSE)</f>
        <v>21.81491556</v>
      </c>
      <c r="K467" s="9">
        <v>26.2</v>
      </c>
      <c r="L467" s="25">
        <f>(revenue[orderPrice]-revenue[productCost])/revenue[productCost]</f>
        <v>0.2010131293</v>
      </c>
      <c r="M467" s="10">
        <v>15.0</v>
      </c>
      <c r="N467" s="25">
        <v>0.15</v>
      </c>
      <c r="O467" s="9">
        <f>revenue[orderPrice]*revenue[orderQuantity]</f>
        <v>393</v>
      </c>
      <c r="P467" s="9">
        <f>revenue[orderTotal]*(1-revenue[discountApllied])</f>
        <v>334.05</v>
      </c>
      <c r="Q467" s="9">
        <f>revenue[revenue]-(revenue[productCost]*revenue[orderQuantity])</f>
        <v>6.826266617</v>
      </c>
      <c r="R467" s="25">
        <f>IFERROR(revenue[profit]/revenue[revenue], 0)</f>
        <v>0.02043486489</v>
      </c>
      <c r="S467" s="9">
        <f>revenue[productCost]*revenue[orderQuantity]</f>
        <v>327.2237334</v>
      </c>
    </row>
    <row r="468" ht="15.75" customHeight="1">
      <c r="A468" s="6">
        <v>10421.0</v>
      </c>
      <c r="B468" s="7" t="s">
        <v>27</v>
      </c>
      <c r="C468" s="24" t="str">
        <f>VLOOKUP(revenue[customerID],customers[],2,FALSE)</f>
        <v>Que Delícia</v>
      </c>
      <c r="D468" s="24" t="str">
        <f>VLOOKUP(revenue[customerID],customers[],6,FALSE)</f>
        <v>Rio de Janeiro</v>
      </c>
      <c r="E468" s="24" t="str">
        <f>VLOOKUP(revenue[customerID],customers[],9,FALSE)</f>
        <v>Brazil</v>
      </c>
      <c r="F468" s="24">
        <v>44947.0</v>
      </c>
      <c r="G468" s="6">
        <v>77.0</v>
      </c>
      <c r="H468" s="9" t="str">
        <f>VLOOKUP(revenue[productID],products[],2,FALSE)</f>
        <v>Original Frankfurter grüne Soße</v>
      </c>
      <c r="I468" s="9" t="str">
        <f>VLOOKUP(revenue[productID],products[],12,FALSE)</f>
        <v>Condiments</v>
      </c>
      <c r="J468" s="9">
        <f>VLOOKUP(revenue[productID],products[],IF(YEAR(revenue[orderDate])=2022,8,IF(YEAR(revenue[orderDate])=2023,9,IF(YEAR(revenue[orderDate])=2024,10,NA))),FALSE)</f>
        <v>7.539056452</v>
      </c>
      <c r="K468" s="9">
        <v>10.4</v>
      </c>
      <c r="L468" s="25">
        <f>(revenue[orderPrice]-revenue[productCost])/revenue[productCost]</f>
        <v>0.3794829719</v>
      </c>
      <c r="M468" s="10">
        <v>10.0</v>
      </c>
      <c r="N468" s="25">
        <v>0.15</v>
      </c>
      <c r="O468" s="9">
        <f>revenue[orderPrice]*revenue[orderQuantity]</f>
        <v>104</v>
      </c>
      <c r="P468" s="9">
        <f>revenue[orderTotal]*(1-revenue[discountApllied])</f>
        <v>88.4</v>
      </c>
      <c r="Q468" s="9">
        <f>revenue[revenue]-(revenue[productCost]*revenue[orderQuantity])</f>
        <v>13.00943548</v>
      </c>
      <c r="R468" s="25">
        <f>IFERROR(revenue[profit]/revenue[revenue], 0)</f>
        <v>0.1471655597</v>
      </c>
      <c r="S468" s="9">
        <f>revenue[productCost]*revenue[orderQuantity]</f>
        <v>75.39056452</v>
      </c>
    </row>
    <row r="469" ht="15.75" customHeight="1">
      <c r="A469" s="6">
        <v>10422.0</v>
      </c>
      <c r="B469" s="7" t="s">
        <v>85</v>
      </c>
      <c r="C469" s="24" t="str">
        <f>VLOOKUP(revenue[customerID],customers[],2,FALSE)</f>
        <v>Franchi S.p.A.</v>
      </c>
      <c r="D469" s="24" t="str">
        <f>VLOOKUP(revenue[customerID],customers[],6,FALSE)</f>
        <v>Torino</v>
      </c>
      <c r="E469" s="24" t="str">
        <f>VLOOKUP(revenue[customerID],customers[],9,FALSE)</f>
        <v>Italy</v>
      </c>
      <c r="F469" s="24">
        <v>44948.0</v>
      </c>
      <c r="G469" s="6">
        <v>26.0</v>
      </c>
      <c r="H469" s="9" t="str">
        <f>VLOOKUP(revenue[productID],products[],2,FALSE)</f>
        <v>NuNuCa Nuß-Nougat-Creme</v>
      </c>
      <c r="I469" s="9" t="str">
        <f>VLOOKUP(revenue[productID],products[],12,FALSE)</f>
        <v>Confections</v>
      </c>
      <c r="J469" s="9">
        <f>VLOOKUP(revenue[productID],products[],IF(YEAR(revenue[orderDate])=2022,8,IF(YEAR(revenue[orderDate])=2023,9,IF(YEAR(revenue[orderDate])=2024,10,NA))),FALSE)</f>
        <v>21.20896201</v>
      </c>
      <c r="K469" s="9">
        <v>24.9</v>
      </c>
      <c r="L469" s="25">
        <f>(revenue[orderPrice]-revenue[productCost])/revenue[productCost]</f>
        <v>0.1740319958</v>
      </c>
      <c r="M469" s="10">
        <v>2.0</v>
      </c>
      <c r="N469" s="25">
        <v>0.0</v>
      </c>
      <c r="O469" s="9">
        <f>revenue[orderPrice]*revenue[orderQuantity]</f>
        <v>49.8</v>
      </c>
      <c r="P469" s="9">
        <f>revenue[orderTotal]*(1-revenue[discountApllied])</f>
        <v>49.8</v>
      </c>
      <c r="Q469" s="9">
        <f>revenue[revenue]-(revenue[productCost]*revenue[orderQuantity])</f>
        <v>7.382075975</v>
      </c>
      <c r="R469" s="25">
        <f>IFERROR(revenue[profit]/revenue[revenue], 0)</f>
        <v>0.1482344573</v>
      </c>
      <c r="S469" s="9">
        <f>revenue[productCost]*revenue[orderQuantity]</f>
        <v>42.41792403</v>
      </c>
    </row>
    <row r="470" ht="15.75" customHeight="1">
      <c r="A470" s="6">
        <v>10423.0</v>
      </c>
      <c r="B470" s="7" t="s">
        <v>86</v>
      </c>
      <c r="C470" s="24" t="str">
        <f>VLOOKUP(revenue[customerID],customers[],2,FALSE)</f>
        <v>Gourmet Lanchonetes</v>
      </c>
      <c r="D470" s="24" t="str">
        <f>VLOOKUP(revenue[customerID],customers[],6,FALSE)</f>
        <v>Campinas</v>
      </c>
      <c r="E470" s="24" t="str">
        <f>VLOOKUP(revenue[customerID],customers[],9,FALSE)</f>
        <v>Brazil</v>
      </c>
      <c r="F470" s="24">
        <v>44949.0</v>
      </c>
      <c r="G470" s="6">
        <v>31.0</v>
      </c>
      <c r="H470" s="9" t="str">
        <f>VLOOKUP(revenue[productID],products[],2,FALSE)</f>
        <v>Gorgonzola Telino</v>
      </c>
      <c r="I470" s="9" t="str">
        <f>VLOOKUP(revenue[productID],products[],12,FALSE)</f>
        <v>Dairy Products</v>
      </c>
      <c r="J470" s="9">
        <f>VLOOKUP(revenue[productID],products[],IF(YEAR(revenue[orderDate])=2022,8,IF(YEAR(revenue[orderDate])=2023,9,IF(YEAR(revenue[orderDate])=2024,10,NA))),FALSE)</f>
        <v>7.937729254</v>
      </c>
      <c r="K470" s="9">
        <v>10.0</v>
      </c>
      <c r="L470" s="25">
        <f>(revenue[orderPrice]-revenue[productCost])/revenue[productCost]</f>
        <v>0.2598061334</v>
      </c>
      <c r="M470" s="10">
        <v>14.0</v>
      </c>
      <c r="N470" s="25">
        <v>0.0</v>
      </c>
      <c r="O470" s="9">
        <f>revenue[orderPrice]*revenue[orderQuantity]</f>
        <v>140</v>
      </c>
      <c r="P470" s="9">
        <f>revenue[orderTotal]*(1-revenue[discountApllied])</f>
        <v>140</v>
      </c>
      <c r="Q470" s="9">
        <f>revenue[revenue]-(revenue[productCost]*revenue[orderQuantity])</f>
        <v>28.87179044</v>
      </c>
      <c r="R470" s="25">
        <f>IFERROR(revenue[profit]/revenue[revenue], 0)</f>
        <v>0.2062270746</v>
      </c>
      <c r="S470" s="9">
        <f>revenue[productCost]*revenue[orderQuantity]</f>
        <v>111.1282096</v>
      </c>
    </row>
    <row r="471" ht="15.75" customHeight="1">
      <c r="A471" s="6">
        <v>10423.0</v>
      </c>
      <c r="B471" s="7" t="s">
        <v>86</v>
      </c>
      <c r="C471" s="24" t="str">
        <f>VLOOKUP(revenue[customerID],customers[],2,FALSE)</f>
        <v>Gourmet Lanchonetes</v>
      </c>
      <c r="D471" s="24" t="str">
        <f>VLOOKUP(revenue[customerID],customers[],6,FALSE)</f>
        <v>Campinas</v>
      </c>
      <c r="E471" s="24" t="str">
        <f>VLOOKUP(revenue[customerID],customers[],9,FALSE)</f>
        <v>Brazil</v>
      </c>
      <c r="F471" s="24">
        <v>44949.0</v>
      </c>
      <c r="G471" s="6">
        <v>59.0</v>
      </c>
      <c r="H471" s="9" t="str">
        <f>VLOOKUP(revenue[productID],products[],2,FALSE)</f>
        <v>Raclette Courdavault</v>
      </c>
      <c r="I471" s="9" t="str">
        <f>VLOOKUP(revenue[productID],products[],12,FALSE)</f>
        <v>Dairy Products</v>
      </c>
      <c r="J471" s="9">
        <f>VLOOKUP(revenue[productID],products[],IF(YEAR(revenue[orderDate])=2022,8,IF(YEAR(revenue[orderDate])=2023,9,IF(YEAR(revenue[orderDate])=2024,10,NA))),FALSE)</f>
        <v>35.20472566</v>
      </c>
      <c r="K471" s="9">
        <v>44.0</v>
      </c>
      <c r="L471" s="25">
        <f>(revenue[orderPrice]-revenue[productCost])/revenue[productCost]</f>
        <v>0.2498322078</v>
      </c>
      <c r="M471" s="10">
        <v>20.0</v>
      </c>
      <c r="N471" s="25">
        <v>0.0</v>
      </c>
      <c r="O471" s="9">
        <f>revenue[orderPrice]*revenue[orderQuantity]</f>
        <v>880</v>
      </c>
      <c r="P471" s="9">
        <f>revenue[orderTotal]*(1-revenue[discountApllied])</f>
        <v>880</v>
      </c>
      <c r="Q471" s="9">
        <f>revenue[revenue]-(revenue[productCost]*revenue[orderQuantity])</f>
        <v>175.9054868</v>
      </c>
      <c r="R471" s="25">
        <f>IFERROR(revenue[profit]/revenue[revenue], 0)</f>
        <v>0.1998925986</v>
      </c>
      <c r="S471" s="9">
        <f>revenue[productCost]*revenue[orderQuantity]</f>
        <v>704.0945132</v>
      </c>
    </row>
    <row r="472" ht="15.75" customHeight="1">
      <c r="A472" s="6">
        <v>10424.0</v>
      </c>
      <c r="B472" s="7" t="s">
        <v>64</v>
      </c>
      <c r="C472" s="24" t="str">
        <f>VLOOKUP(revenue[customerID],customers[],2,FALSE)</f>
        <v>Mère Paillarde</v>
      </c>
      <c r="D472" s="24" t="str">
        <f>VLOOKUP(revenue[customerID],customers[],6,FALSE)</f>
        <v>Montréal</v>
      </c>
      <c r="E472" s="24" t="str">
        <f>VLOOKUP(revenue[customerID],customers[],9,FALSE)</f>
        <v>Canada</v>
      </c>
      <c r="F472" s="24">
        <v>44949.0</v>
      </c>
      <c r="G472" s="6">
        <v>35.0</v>
      </c>
      <c r="H472" s="9" t="str">
        <f>VLOOKUP(revenue[productID],products[],2,FALSE)</f>
        <v>Cold Brew Nitro</v>
      </c>
      <c r="I472" s="9" t="str">
        <f>VLOOKUP(revenue[productID],products[],12,FALSE)</f>
        <v>Beverages</v>
      </c>
      <c r="J472" s="9">
        <f>VLOOKUP(revenue[productID],products[],IF(YEAR(revenue[orderDate])=2022,8,IF(YEAR(revenue[orderDate])=2023,9,IF(YEAR(revenue[orderDate])=2024,10,NA))),FALSE)</f>
        <v>11.7602531</v>
      </c>
      <c r="K472" s="9">
        <v>14.4</v>
      </c>
      <c r="L472" s="25">
        <f>(revenue[orderPrice]-revenue[productCost])/revenue[productCost]</f>
        <v>0.2244634426</v>
      </c>
      <c r="M472" s="10">
        <v>60.0</v>
      </c>
      <c r="N472" s="25">
        <v>0.2</v>
      </c>
      <c r="O472" s="9">
        <f>revenue[orderPrice]*revenue[orderQuantity]</f>
        <v>864</v>
      </c>
      <c r="P472" s="9">
        <f>revenue[orderTotal]*(1-revenue[discountApllied])</f>
        <v>691.2</v>
      </c>
      <c r="Q472" s="9">
        <f>revenue[revenue]-(revenue[productCost]*revenue[orderQuantity])</f>
        <v>-14.41518614</v>
      </c>
      <c r="R472" s="25">
        <f>IFERROR(revenue[profit]/revenue[revenue], 0)</f>
        <v>-0.02085530403</v>
      </c>
      <c r="S472" s="9">
        <f>revenue[productCost]*revenue[orderQuantity]</f>
        <v>705.6151861</v>
      </c>
    </row>
    <row r="473" ht="15.75" customHeight="1">
      <c r="A473" s="6">
        <v>10424.0</v>
      </c>
      <c r="B473" s="7" t="s">
        <v>64</v>
      </c>
      <c r="C473" s="24" t="str">
        <f>VLOOKUP(revenue[customerID],customers[],2,FALSE)</f>
        <v>Mère Paillarde</v>
      </c>
      <c r="D473" s="24" t="str">
        <f>VLOOKUP(revenue[customerID],customers[],6,FALSE)</f>
        <v>Montréal</v>
      </c>
      <c r="E473" s="24" t="str">
        <f>VLOOKUP(revenue[customerID],customers[],9,FALSE)</f>
        <v>Canada</v>
      </c>
      <c r="F473" s="24">
        <v>44949.0</v>
      </c>
      <c r="G473" s="6">
        <v>38.0</v>
      </c>
      <c r="H473" s="9" t="str">
        <f>VLOOKUP(revenue[productID],products[],2,FALSE)</f>
        <v>Côte de Blaye</v>
      </c>
      <c r="I473" s="9" t="str">
        <f>VLOOKUP(revenue[productID],products[],12,FALSE)</f>
        <v>Beverages</v>
      </c>
      <c r="J473" s="9">
        <f>VLOOKUP(revenue[productID],products[],IF(YEAR(revenue[orderDate])=2022,8,IF(YEAR(revenue[orderDate])=2023,9,IF(YEAR(revenue[orderDate])=2024,10,NA))),FALSE)</f>
        <v>175.9515711</v>
      </c>
      <c r="K473" s="9">
        <v>210.8</v>
      </c>
      <c r="L473" s="25">
        <f>(revenue[orderPrice]-revenue[productCost])/revenue[productCost]</f>
        <v>0.1980569351</v>
      </c>
      <c r="M473" s="10">
        <v>49.0</v>
      </c>
      <c r="N473" s="25">
        <v>0.2</v>
      </c>
      <c r="O473" s="9">
        <f>revenue[orderPrice]*revenue[orderQuantity]</f>
        <v>10329.2</v>
      </c>
      <c r="P473" s="9">
        <f>revenue[orderTotal]*(1-revenue[discountApllied])</f>
        <v>8263.36</v>
      </c>
      <c r="Q473" s="9">
        <f>revenue[revenue]-(revenue[productCost]*revenue[orderQuantity])</f>
        <v>-358.2669842</v>
      </c>
      <c r="R473" s="25">
        <f>IFERROR(revenue[profit]/revenue[revenue], 0)</f>
        <v>-0.04335609052</v>
      </c>
      <c r="S473" s="9">
        <f>revenue[productCost]*revenue[orderQuantity]</f>
        <v>8621.626984</v>
      </c>
    </row>
    <row r="474" ht="15.75" customHeight="1">
      <c r="A474" s="6">
        <v>10424.0</v>
      </c>
      <c r="B474" s="7" t="s">
        <v>64</v>
      </c>
      <c r="C474" s="24" t="str">
        <f>VLOOKUP(revenue[customerID],customers[],2,FALSE)</f>
        <v>Mère Paillarde</v>
      </c>
      <c r="D474" s="24" t="str">
        <f>VLOOKUP(revenue[customerID],customers[],6,FALSE)</f>
        <v>Montréal</v>
      </c>
      <c r="E474" s="24" t="str">
        <f>VLOOKUP(revenue[customerID],customers[],9,FALSE)</f>
        <v>Canada</v>
      </c>
      <c r="F474" s="24">
        <v>44949.0</v>
      </c>
      <c r="G474" s="6">
        <v>68.0</v>
      </c>
      <c r="H474" s="9" t="str">
        <f>VLOOKUP(revenue[productID],products[],2,FALSE)</f>
        <v>Scottish Longbreads</v>
      </c>
      <c r="I474" s="9" t="str">
        <f>VLOOKUP(revenue[productID],products[],12,FALSE)</f>
        <v>Confections</v>
      </c>
      <c r="J474" s="9">
        <f>VLOOKUP(revenue[productID],products[],IF(YEAR(revenue[orderDate])=2022,8,IF(YEAR(revenue[orderDate])=2023,9,IF(YEAR(revenue[orderDate])=2024,10,NA))),FALSE)</f>
        <v>8.500000387</v>
      </c>
      <c r="K474" s="9">
        <v>10.0</v>
      </c>
      <c r="L474" s="25">
        <f>(revenue[orderPrice]-revenue[productCost])/revenue[productCost]</f>
        <v>0.1764705347</v>
      </c>
      <c r="M474" s="10">
        <v>30.0</v>
      </c>
      <c r="N474" s="25">
        <v>0.2</v>
      </c>
      <c r="O474" s="9">
        <f>revenue[orderPrice]*revenue[orderQuantity]</f>
        <v>300</v>
      </c>
      <c r="P474" s="9">
        <f>revenue[orderTotal]*(1-revenue[discountApllied])</f>
        <v>240</v>
      </c>
      <c r="Q474" s="9">
        <f>revenue[revenue]-(revenue[productCost]*revenue[orderQuantity])</f>
        <v>-15.0000116</v>
      </c>
      <c r="R474" s="25">
        <f>IFERROR(revenue[profit]/revenue[revenue], 0)</f>
        <v>-0.06250004832</v>
      </c>
      <c r="S474" s="9">
        <f>revenue[productCost]*revenue[orderQuantity]</f>
        <v>255.0000116</v>
      </c>
    </row>
    <row r="475" ht="15.75" customHeight="1">
      <c r="A475" s="6">
        <v>10425.0</v>
      </c>
      <c r="B475" s="7" t="s">
        <v>68</v>
      </c>
      <c r="C475" s="24" t="str">
        <f>VLOOKUP(revenue[customerID],customers[],2,FALSE)</f>
        <v>La maison d'Asie</v>
      </c>
      <c r="D475" s="24" t="str">
        <f>VLOOKUP(revenue[customerID],customers[],6,FALSE)</f>
        <v>Toulouse</v>
      </c>
      <c r="E475" s="24" t="str">
        <f>VLOOKUP(revenue[customerID],customers[],9,FALSE)</f>
        <v>France</v>
      </c>
      <c r="F475" s="24">
        <v>44950.0</v>
      </c>
      <c r="G475" s="6">
        <v>55.0</v>
      </c>
      <c r="H475" s="9" t="str">
        <f>VLOOKUP(revenue[productID],products[],2,FALSE)</f>
        <v>Pâté chinois</v>
      </c>
      <c r="I475" s="9" t="str">
        <f>VLOOKUP(revenue[productID],products[],12,FALSE)</f>
        <v>Meat/Poultry</v>
      </c>
      <c r="J475" s="9">
        <f>VLOOKUP(revenue[productID],products[],IF(YEAR(revenue[orderDate])=2022,8,IF(YEAR(revenue[orderDate])=2023,9,IF(YEAR(revenue[orderDate])=2024,10,NA))),FALSE)</f>
        <v>14.92398776</v>
      </c>
      <c r="K475" s="9">
        <v>19.2</v>
      </c>
      <c r="L475" s="25">
        <f>(revenue[orderPrice]-revenue[productCost])/revenue[productCost]</f>
        <v>0.2865194145</v>
      </c>
      <c r="M475" s="10">
        <v>10.0</v>
      </c>
      <c r="N475" s="25">
        <v>0.25</v>
      </c>
      <c r="O475" s="9">
        <f>revenue[orderPrice]*revenue[orderQuantity]</f>
        <v>192</v>
      </c>
      <c r="P475" s="9">
        <f>revenue[orderTotal]*(1-revenue[discountApllied])</f>
        <v>144</v>
      </c>
      <c r="Q475" s="9">
        <f>revenue[revenue]-(revenue[productCost]*revenue[orderQuantity])</f>
        <v>-5.239877641</v>
      </c>
      <c r="R475" s="25">
        <f>IFERROR(revenue[profit]/revenue[revenue], 0)</f>
        <v>-0.03638803917</v>
      </c>
      <c r="S475" s="9">
        <f>revenue[productCost]*revenue[orderQuantity]</f>
        <v>149.2398776</v>
      </c>
    </row>
    <row r="476" ht="15.75" customHeight="1">
      <c r="A476" s="6">
        <v>10425.0</v>
      </c>
      <c r="B476" s="7" t="s">
        <v>68</v>
      </c>
      <c r="C476" s="24" t="str">
        <f>VLOOKUP(revenue[customerID],customers[],2,FALSE)</f>
        <v>La maison d'Asie</v>
      </c>
      <c r="D476" s="24" t="str">
        <f>VLOOKUP(revenue[customerID],customers[],6,FALSE)</f>
        <v>Toulouse</v>
      </c>
      <c r="E476" s="24" t="str">
        <f>VLOOKUP(revenue[customerID],customers[],9,FALSE)</f>
        <v>France</v>
      </c>
      <c r="F476" s="24">
        <v>44950.0</v>
      </c>
      <c r="G476" s="6">
        <v>76.0</v>
      </c>
      <c r="H476" s="9" t="str">
        <f>VLOOKUP(revenue[productID],products[],2,FALSE)</f>
        <v>Lakkalikööri</v>
      </c>
      <c r="I476" s="9" t="str">
        <f>VLOOKUP(revenue[productID],products[],12,FALSE)</f>
        <v>Beverages</v>
      </c>
      <c r="J476" s="9">
        <f>VLOOKUP(revenue[productID],products[],IF(YEAR(revenue[orderDate])=2022,8,IF(YEAR(revenue[orderDate])=2023,9,IF(YEAR(revenue[orderDate])=2024,10,NA))),FALSE)</f>
        <v>12.1154529</v>
      </c>
      <c r="K476" s="9">
        <v>14.4</v>
      </c>
      <c r="L476" s="25">
        <f>(revenue[orderPrice]-revenue[productCost])/revenue[productCost]</f>
        <v>0.18856473</v>
      </c>
      <c r="M476" s="10">
        <v>20.0</v>
      </c>
      <c r="N476" s="25">
        <v>0.25</v>
      </c>
      <c r="O476" s="9">
        <f>revenue[orderPrice]*revenue[orderQuantity]</f>
        <v>288</v>
      </c>
      <c r="P476" s="9">
        <f>revenue[orderTotal]*(1-revenue[discountApllied])</f>
        <v>216</v>
      </c>
      <c r="Q476" s="9">
        <f>revenue[revenue]-(revenue[productCost]*revenue[orderQuantity])</f>
        <v>-26.30905791</v>
      </c>
      <c r="R476" s="25">
        <f>IFERROR(revenue[profit]/revenue[revenue], 0)</f>
        <v>-0.121801194</v>
      </c>
      <c r="S476" s="9">
        <f>revenue[productCost]*revenue[orderQuantity]</f>
        <v>242.3090579</v>
      </c>
    </row>
    <row r="477" ht="15.75" customHeight="1">
      <c r="A477" s="6">
        <v>10426.0</v>
      </c>
      <c r="B477" s="7" t="s">
        <v>75</v>
      </c>
      <c r="C477" s="24" t="str">
        <f>VLOOKUP(revenue[customerID],customers[],2,FALSE)</f>
        <v>Galería del gastrónomo</v>
      </c>
      <c r="D477" s="24" t="str">
        <f>VLOOKUP(revenue[customerID],customers[],6,FALSE)</f>
        <v>Barcelona</v>
      </c>
      <c r="E477" s="24" t="str">
        <f>VLOOKUP(revenue[customerID],customers[],9,FALSE)</f>
        <v>Spain</v>
      </c>
      <c r="F477" s="24">
        <v>44953.0</v>
      </c>
      <c r="G477" s="6">
        <v>56.0</v>
      </c>
      <c r="H477" s="9" t="str">
        <f>VLOOKUP(revenue[productID],products[],2,FALSE)</f>
        <v>Gnocchi di nonna Alice</v>
      </c>
      <c r="I477" s="9" t="str">
        <f>VLOOKUP(revenue[productID],products[],12,FALSE)</f>
        <v>Grains/Cereals</v>
      </c>
      <c r="J477" s="9">
        <f>VLOOKUP(revenue[productID],products[],IF(YEAR(revenue[orderDate])=2022,8,IF(YEAR(revenue[orderDate])=2023,9,IF(YEAR(revenue[orderDate])=2024,10,NA))),FALSE)</f>
        <v>24.28342441</v>
      </c>
      <c r="K477" s="9">
        <v>30.4</v>
      </c>
      <c r="L477" s="25">
        <f>(revenue[orderPrice]-revenue[productCost])/revenue[productCost]</f>
        <v>0.2518827447</v>
      </c>
      <c r="M477" s="10">
        <v>5.0</v>
      </c>
      <c r="N477" s="25">
        <v>0.0</v>
      </c>
      <c r="O477" s="9">
        <f>revenue[orderPrice]*revenue[orderQuantity]</f>
        <v>152</v>
      </c>
      <c r="P477" s="9">
        <f>revenue[orderTotal]*(1-revenue[discountApllied])</f>
        <v>152</v>
      </c>
      <c r="Q477" s="9">
        <f>revenue[revenue]-(revenue[productCost]*revenue[orderQuantity])</f>
        <v>30.58287796</v>
      </c>
      <c r="R477" s="25">
        <f>IFERROR(revenue[profit]/revenue[revenue], 0)</f>
        <v>0.2012031445</v>
      </c>
      <c r="S477" s="9">
        <f>revenue[productCost]*revenue[orderQuantity]</f>
        <v>121.417122</v>
      </c>
    </row>
    <row r="478" ht="15.75" customHeight="1">
      <c r="A478" s="6">
        <v>10426.0</v>
      </c>
      <c r="B478" s="7" t="s">
        <v>75</v>
      </c>
      <c r="C478" s="24" t="str">
        <f>VLOOKUP(revenue[customerID],customers[],2,FALSE)</f>
        <v>Galería del gastrónomo</v>
      </c>
      <c r="D478" s="24" t="str">
        <f>VLOOKUP(revenue[customerID],customers[],6,FALSE)</f>
        <v>Barcelona</v>
      </c>
      <c r="E478" s="24" t="str">
        <f>VLOOKUP(revenue[customerID],customers[],9,FALSE)</f>
        <v>Spain</v>
      </c>
      <c r="F478" s="24">
        <v>44953.0</v>
      </c>
      <c r="G478" s="6">
        <v>64.0</v>
      </c>
      <c r="H478" s="9" t="str">
        <f>VLOOKUP(revenue[productID],products[],2,FALSE)</f>
        <v>Lukas' leckere Sauerteigweggla</v>
      </c>
      <c r="I478" s="9" t="str">
        <f>VLOOKUP(revenue[productID],products[],12,FALSE)</f>
        <v>Grains/Cereals</v>
      </c>
      <c r="J478" s="9">
        <f>VLOOKUP(revenue[productID],products[],IF(YEAR(revenue[orderDate])=2022,8,IF(YEAR(revenue[orderDate])=2023,9,IF(YEAR(revenue[orderDate])=2024,10,NA))),FALSE)</f>
        <v>21.88572728</v>
      </c>
      <c r="K478" s="9">
        <v>26.6</v>
      </c>
      <c r="L478" s="25">
        <f>(revenue[orderPrice]-revenue[productCost])/revenue[productCost]</f>
        <v>0.2154039779</v>
      </c>
      <c r="M478" s="10">
        <v>7.0</v>
      </c>
      <c r="N478" s="25">
        <v>0.0</v>
      </c>
      <c r="O478" s="9">
        <f>revenue[orderPrice]*revenue[orderQuantity]</f>
        <v>186.2</v>
      </c>
      <c r="P478" s="9">
        <f>revenue[orderTotal]*(1-revenue[discountApllied])</f>
        <v>186.2</v>
      </c>
      <c r="Q478" s="9">
        <f>revenue[revenue]-(revenue[productCost]*revenue[orderQuantity])</f>
        <v>32.99990902</v>
      </c>
      <c r="R478" s="25">
        <f>IFERROR(revenue[profit]/revenue[revenue], 0)</f>
        <v>0.1772282976</v>
      </c>
      <c r="S478" s="9">
        <f>revenue[productCost]*revenue[orderQuantity]</f>
        <v>153.200091</v>
      </c>
    </row>
    <row r="479" ht="15.75" customHeight="1">
      <c r="A479" s="6">
        <v>10427.0</v>
      </c>
      <c r="B479" s="7" t="s">
        <v>69</v>
      </c>
      <c r="C479" s="24" t="str">
        <f>VLOOKUP(revenue[customerID],customers[],2,FALSE)</f>
        <v>Piccolo und mehr</v>
      </c>
      <c r="D479" s="24" t="str">
        <f>VLOOKUP(revenue[customerID],customers[],6,FALSE)</f>
        <v>Salzburg</v>
      </c>
      <c r="E479" s="24" t="str">
        <f>VLOOKUP(revenue[customerID],customers[],9,FALSE)</f>
        <v>Austria</v>
      </c>
      <c r="F479" s="24">
        <v>44953.0</v>
      </c>
      <c r="G479" s="6">
        <v>14.0</v>
      </c>
      <c r="H479" s="9" t="str">
        <f>VLOOKUP(revenue[productID],products[],2,FALSE)</f>
        <v>Tofu</v>
      </c>
      <c r="I479" s="9" t="str">
        <f>VLOOKUP(revenue[productID],products[],12,FALSE)</f>
        <v>Produce</v>
      </c>
      <c r="J479" s="9">
        <f>VLOOKUP(revenue[productID],products[],IF(YEAR(revenue[orderDate])=2022,8,IF(YEAR(revenue[orderDate])=2023,9,IF(YEAR(revenue[orderDate])=2024,10,NA))),FALSE)</f>
        <v>15.38055417</v>
      </c>
      <c r="K479" s="9">
        <v>18.6</v>
      </c>
      <c r="L479" s="25">
        <f>(revenue[orderPrice]-revenue[productCost])/revenue[productCost]</f>
        <v>0.2093192349</v>
      </c>
      <c r="M479" s="10">
        <v>35.0</v>
      </c>
      <c r="N479" s="25">
        <v>0.0</v>
      </c>
      <c r="O479" s="9">
        <f>revenue[orderPrice]*revenue[orderQuantity]</f>
        <v>651</v>
      </c>
      <c r="P479" s="9">
        <f>revenue[orderTotal]*(1-revenue[discountApllied])</f>
        <v>651</v>
      </c>
      <c r="Q479" s="9">
        <f>revenue[revenue]-(revenue[productCost]*revenue[orderQuantity])</f>
        <v>112.6806041</v>
      </c>
      <c r="R479" s="25">
        <f>IFERROR(revenue[profit]/revenue[revenue], 0)</f>
        <v>0.1730884856</v>
      </c>
      <c r="S479" s="9">
        <f>revenue[productCost]*revenue[orderQuantity]</f>
        <v>538.3193959</v>
      </c>
    </row>
    <row r="480" ht="15.75" customHeight="1">
      <c r="A480" s="6">
        <v>10428.0</v>
      </c>
      <c r="B480" s="7" t="s">
        <v>45</v>
      </c>
      <c r="C480" s="24" t="str">
        <f>VLOOKUP(revenue[customerID],customers[],2,FALSE)</f>
        <v>Reggiani Caseifici</v>
      </c>
      <c r="D480" s="24" t="str">
        <f>VLOOKUP(revenue[customerID],customers[],6,FALSE)</f>
        <v>Reggio Emilia</v>
      </c>
      <c r="E480" s="24" t="str">
        <f>VLOOKUP(revenue[customerID],customers[],9,FALSE)</f>
        <v>Italy</v>
      </c>
      <c r="F480" s="24">
        <v>44954.0</v>
      </c>
      <c r="G480" s="6">
        <v>46.0</v>
      </c>
      <c r="H480" s="9" t="str">
        <f>VLOOKUP(revenue[productID],products[],2,FALSE)</f>
        <v>Spegesild</v>
      </c>
      <c r="I480" s="9" t="str">
        <f>VLOOKUP(revenue[productID],products[],12,FALSE)</f>
        <v>Seafood</v>
      </c>
      <c r="J480" s="9">
        <f>VLOOKUP(revenue[productID],products[],IF(YEAR(revenue[orderDate])=2022,8,IF(YEAR(revenue[orderDate])=2023,9,IF(YEAR(revenue[orderDate])=2024,10,NA))),FALSE)</f>
        <v>7.087990753</v>
      </c>
      <c r="K480" s="9">
        <v>9.6</v>
      </c>
      <c r="L480" s="25">
        <f>(revenue[orderPrice]-revenue[productCost])/revenue[productCost]</f>
        <v>0.3544035728</v>
      </c>
      <c r="M480" s="10">
        <v>20.0</v>
      </c>
      <c r="N480" s="25">
        <v>0.0</v>
      </c>
      <c r="O480" s="9">
        <f>revenue[orderPrice]*revenue[orderQuantity]</f>
        <v>192</v>
      </c>
      <c r="P480" s="9">
        <f>revenue[orderTotal]*(1-revenue[discountApllied])</f>
        <v>192</v>
      </c>
      <c r="Q480" s="9">
        <f>revenue[revenue]-(revenue[productCost]*revenue[orderQuantity])</f>
        <v>50.24018494</v>
      </c>
      <c r="R480" s="25">
        <f>IFERROR(revenue[profit]/revenue[revenue], 0)</f>
        <v>0.2616676299</v>
      </c>
      <c r="S480" s="9">
        <f>revenue[productCost]*revenue[orderQuantity]</f>
        <v>141.7598151</v>
      </c>
    </row>
    <row r="481" ht="15.75" customHeight="1">
      <c r="A481" s="6">
        <v>10429.0</v>
      </c>
      <c r="B481" s="7" t="s">
        <v>49</v>
      </c>
      <c r="C481" s="24" t="str">
        <f>VLOOKUP(revenue[customerID],customers[],2,FALSE)</f>
        <v>Hungry Owl All-Night Grocers</v>
      </c>
      <c r="D481" s="24" t="str">
        <f>VLOOKUP(revenue[customerID],customers[],6,FALSE)</f>
        <v>Cork</v>
      </c>
      <c r="E481" s="24" t="str">
        <f>VLOOKUP(revenue[customerID],customers[],9,FALSE)</f>
        <v>Ireland</v>
      </c>
      <c r="F481" s="24">
        <v>44955.0</v>
      </c>
      <c r="G481" s="6">
        <v>50.0</v>
      </c>
      <c r="H481" s="9" t="str">
        <f>VLOOKUP(revenue[productID],products[],2,FALSE)</f>
        <v>Valkoinen suklaa</v>
      </c>
      <c r="I481" s="9" t="str">
        <f>VLOOKUP(revenue[productID],products[],12,FALSE)</f>
        <v>Confections</v>
      </c>
      <c r="J481" s="9">
        <f>VLOOKUP(revenue[productID],products[],IF(YEAR(revenue[orderDate])=2022,8,IF(YEAR(revenue[orderDate])=2023,9,IF(YEAR(revenue[orderDate])=2024,10,NA))),FALSE)</f>
        <v>11.16021436</v>
      </c>
      <c r="K481" s="9">
        <v>13.0</v>
      </c>
      <c r="L481" s="25">
        <f>(revenue[orderPrice]-revenue[productCost])/revenue[productCost]</f>
        <v>0.1648521774</v>
      </c>
      <c r="M481" s="10">
        <v>40.0</v>
      </c>
      <c r="N481" s="25">
        <v>0.0</v>
      </c>
      <c r="O481" s="9">
        <f>revenue[orderPrice]*revenue[orderQuantity]</f>
        <v>520</v>
      </c>
      <c r="P481" s="9">
        <f>revenue[orderTotal]*(1-revenue[discountApllied])</f>
        <v>520</v>
      </c>
      <c r="Q481" s="9">
        <f>revenue[revenue]-(revenue[productCost]*revenue[orderQuantity])</f>
        <v>73.59142549</v>
      </c>
      <c r="R481" s="25">
        <f>IFERROR(revenue[profit]/revenue[revenue], 0)</f>
        <v>0.1415219721</v>
      </c>
      <c r="S481" s="9">
        <f>revenue[productCost]*revenue[orderQuantity]</f>
        <v>446.4085745</v>
      </c>
    </row>
    <row r="482" ht="15.75" customHeight="1">
      <c r="A482" s="6">
        <v>10429.0</v>
      </c>
      <c r="B482" s="7" t="s">
        <v>49</v>
      </c>
      <c r="C482" s="24" t="str">
        <f>VLOOKUP(revenue[customerID],customers[],2,FALSE)</f>
        <v>Hungry Owl All-Night Grocers</v>
      </c>
      <c r="D482" s="24" t="str">
        <f>VLOOKUP(revenue[customerID],customers[],6,FALSE)</f>
        <v>Cork</v>
      </c>
      <c r="E482" s="24" t="str">
        <f>VLOOKUP(revenue[customerID],customers[],9,FALSE)</f>
        <v>Ireland</v>
      </c>
      <c r="F482" s="24">
        <v>44955.0</v>
      </c>
      <c r="G482" s="6">
        <v>63.0</v>
      </c>
      <c r="H482" s="9" t="str">
        <f>VLOOKUP(revenue[productID],products[],2,FALSE)</f>
        <v>Vegie-spread</v>
      </c>
      <c r="I482" s="9" t="str">
        <f>VLOOKUP(revenue[productID],products[],12,FALSE)</f>
        <v>Condiments</v>
      </c>
      <c r="J482" s="9">
        <f>VLOOKUP(revenue[productID],products[],IF(YEAR(revenue[orderDate])=2022,8,IF(YEAR(revenue[orderDate])=2023,9,IF(YEAR(revenue[orderDate])=2024,10,NA))),FALSE)</f>
        <v>27.72225706</v>
      </c>
      <c r="K482" s="9">
        <v>35.1</v>
      </c>
      <c r="L482" s="25">
        <f>(revenue[orderPrice]-revenue[productCost])/revenue[productCost]</f>
        <v>0.2661306736</v>
      </c>
      <c r="M482" s="10">
        <v>35.0</v>
      </c>
      <c r="N482" s="25">
        <v>0.25</v>
      </c>
      <c r="O482" s="9">
        <f>revenue[orderPrice]*revenue[orderQuantity]</f>
        <v>1228.5</v>
      </c>
      <c r="P482" s="9">
        <f>revenue[orderTotal]*(1-revenue[discountApllied])</f>
        <v>921.375</v>
      </c>
      <c r="Q482" s="9">
        <f>revenue[revenue]-(revenue[productCost]*revenue[orderQuantity])</f>
        <v>-48.90399696</v>
      </c>
      <c r="R482" s="25">
        <f>IFERROR(revenue[profit]/revenue[revenue], 0)</f>
        <v>-0.05307719111</v>
      </c>
      <c r="S482" s="9">
        <f>revenue[productCost]*revenue[orderQuantity]</f>
        <v>970.278997</v>
      </c>
    </row>
    <row r="483" ht="15.75" customHeight="1">
      <c r="A483" s="6">
        <v>10430.0</v>
      </c>
      <c r="B483" s="7" t="s">
        <v>24</v>
      </c>
      <c r="C483" s="24" t="str">
        <f>VLOOKUP(revenue[customerID],customers[],2,FALSE)</f>
        <v>Ernst Handel</v>
      </c>
      <c r="D483" s="24" t="str">
        <f>VLOOKUP(revenue[customerID],customers[],6,FALSE)</f>
        <v>Graz</v>
      </c>
      <c r="E483" s="24" t="str">
        <f>VLOOKUP(revenue[customerID],customers[],9,FALSE)</f>
        <v>Austria</v>
      </c>
      <c r="F483" s="24">
        <v>44956.0</v>
      </c>
      <c r="G483" s="6">
        <v>17.0</v>
      </c>
      <c r="H483" s="9" t="str">
        <f>VLOOKUP(revenue[productID],products[],2,FALSE)</f>
        <v>Alice Mutton</v>
      </c>
      <c r="I483" s="9" t="str">
        <f>VLOOKUP(revenue[productID],products[],12,FALSE)</f>
        <v>Meat/Poultry</v>
      </c>
      <c r="J483" s="9">
        <f>VLOOKUP(revenue[productID],products[],IF(YEAR(revenue[orderDate])=2022,8,IF(YEAR(revenue[orderDate])=2023,9,IF(YEAR(revenue[orderDate])=2024,10,NA))),FALSE)</f>
        <v>24.83130504</v>
      </c>
      <c r="K483" s="9">
        <v>31.2</v>
      </c>
      <c r="L483" s="25">
        <f>(revenue[orderPrice]-revenue[productCost])/revenue[productCost]</f>
        <v>0.2564784634</v>
      </c>
      <c r="M483" s="10">
        <v>45.0</v>
      </c>
      <c r="N483" s="25">
        <v>0.2</v>
      </c>
      <c r="O483" s="9">
        <f>revenue[orderPrice]*revenue[orderQuantity]</f>
        <v>1404</v>
      </c>
      <c r="P483" s="9">
        <f>revenue[orderTotal]*(1-revenue[discountApllied])</f>
        <v>1123.2</v>
      </c>
      <c r="Q483" s="9">
        <f>revenue[revenue]-(revenue[productCost]*revenue[orderQuantity])</f>
        <v>5.791273213</v>
      </c>
      <c r="R483" s="25">
        <f>IFERROR(revenue[profit]/revenue[revenue], 0)</f>
        <v>0.005156048088</v>
      </c>
      <c r="S483" s="9">
        <f>revenue[productCost]*revenue[orderQuantity]</f>
        <v>1117.408727</v>
      </c>
    </row>
    <row r="484" ht="15.75" customHeight="1">
      <c r="A484" s="6">
        <v>10430.0</v>
      </c>
      <c r="B484" s="7" t="s">
        <v>24</v>
      </c>
      <c r="C484" s="24" t="str">
        <f>VLOOKUP(revenue[customerID],customers[],2,FALSE)</f>
        <v>Ernst Handel</v>
      </c>
      <c r="D484" s="24" t="str">
        <f>VLOOKUP(revenue[customerID],customers[],6,FALSE)</f>
        <v>Graz</v>
      </c>
      <c r="E484" s="24" t="str">
        <f>VLOOKUP(revenue[customerID],customers[],9,FALSE)</f>
        <v>Austria</v>
      </c>
      <c r="F484" s="24">
        <v>44956.0</v>
      </c>
      <c r="G484" s="6">
        <v>21.0</v>
      </c>
      <c r="H484" s="9" t="str">
        <f>VLOOKUP(revenue[productID],products[],2,FALSE)</f>
        <v>Sir Rodney's Scones</v>
      </c>
      <c r="I484" s="9" t="str">
        <f>VLOOKUP(revenue[productID],products[],12,FALSE)</f>
        <v>Confections</v>
      </c>
      <c r="J484" s="9">
        <f>VLOOKUP(revenue[productID],products[],IF(YEAR(revenue[orderDate])=2022,8,IF(YEAR(revenue[orderDate])=2023,9,IF(YEAR(revenue[orderDate])=2024,10,NA))),FALSE)</f>
        <v>6.725636111</v>
      </c>
      <c r="K484" s="9">
        <v>8.0</v>
      </c>
      <c r="L484" s="25">
        <f>(revenue[orderPrice]-revenue[productCost])/revenue[productCost]</f>
        <v>0.1894785664</v>
      </c>
      <c r="M484" s="10">
        <v>50.0</v>
      </c>
      <c r="N484" s="25">
        <v>0.0</v>
      </c>
      <c r="O484" s="9">
        <f>revenue[orderPrice]*revenue[orderQuantity]</f>
        <v>400</v>
      </c>
      <c r="P484" s="9">
        <f>revenue[orderTotal]*(1-revenue[discountApllied])</f>
        <v>400</v>
      </c>
      <c r="Q484" s="9">
        <f>revenue[revenue]-(revenue[productCost]*revenue[orderQuantity])</f>
        <v>63.71819443</v>
      </c>
      <c r="R484" s="25">
        <f>IFERROR(revenue[profit]/revenue[revenue], 0)</f>
        <v>0.1592954861</v>
      </c>
      <c r="S484" s="9">
        <f>revenue[productCost]*revenue[orderQuantity]</f>
        <v>336.2818056</v>
      </c>
    </row>
    <row r="485" ht="15.75" customHeight="1">
      <c r="A485" s="6">
        <v>10430.0</v>
      </c>
      <c r="B485" s="7" t="s">
        <v>24</v>
      </c>
      <c r="C485" s="24" t="str">
        <f>VLOOKUP(revenue[customerID],customers[],2,FALSE)</f>
        <v>Ernst Handel</v>
      </c>
      <c r="D485" s="24" t="str">
        <f>VLOOKUP(revenue[customerID],customers[],6,FALSE)</f>
        <v>Graz</v>
      </c>
      <c r="E485" s="24" t="str">
        <f>VLOOKUP(revenue[customerID],customers[],9,FALSE)</f>
        <v>Austria</v>
      </c>
      <c r="F485" s="24">
        <v>44956.0</v>
      </c>
      <c r="G485" s="6">
        <v>56.0</v>
      </c>
      <c r="H485" s="9" t="str">
        <f>VLOOKUP(revenue[productID],products[],2,FALSE)</f>
        <v>Gnocchi di nonna Alice</v>
      </c>
      <c r="I485" s="9" t="str">
        <f>VLOOKUP(revenue[productID],products[],12,FALSE)</f>
        <v>Grains/Cereals</v>
      </c>
      <c r="J485" s="9">
        <f>VLOOKUP(revenue[productID],products[],IF(YEAR(revenue[orderDate])=2022,8,IF(YEAR(revenue[orderDate])=2023,9,IF(YEAR(revenue[orderDate])=2024,10,NA))),FALSE)</f>
        <v>24.28342441</v>
      </c>
      <c r="K485" s="9">
        <v>30.4</v>
      </c>
      <c r="L485" s="25">
        <f>(revenue[orderPrice]-revenue[productCost])/revenue[productCost]</f>
        <v>0.2518827447</v>
      </c>
      <c r="M485" s="10">
        <v>30.0</v>
      </c>
      <c r="N485" s="25">
        <v>0.0</v>
      </c>
      <c r="O485" s="9">
        <f>revenue[orderPrice]*revenue[orderQuantity]</f>
        <v>912</v>
      </c>
      <c r="P485" s="9">
        <f>revenue[orderTotal]*(1-revenue[discountApllied])</f>
        <v>912</v>
      </c>
      <c r="Q485" s="9">
        <f>revenue[revenue]-(revenue[productCost]*revenue[orderQuantity])</f>
        <v>183.4972678</v>
      </c>
      <c r="R485" s="25">
        <f>IFERROR(revenue[profit]/revenue[revenue], 0)</f>
        <v>0.2012031445</v>
      </c>
      <c r="S485" s="9">
        <f>revenue[productCost]*revenue[orderQuantity]</f>
        <v>728.5027322</v>
      </c>
    </row>
    <row r="486" ht="15.75" customHeight="1">
      <c r="A486" s="6">
        <v>10430.0</v>
      </c>
      <c r="B486" s="7" t="s">
        <v>24</v>
      </c>
      <c r="C486" s="24" t="str">
        <f>VLOOKUP(revenue[customerID],customers[],2,FALSE)</f>
        <v>Ernst Handel</v>
      </c>
      <c r="D486" s="24" t="str">
        <f>VLOOKUP(revenue[customerID],customers[],6,FALSE)</f>
        <v>Graz</v>
      </c>
      <c r="E486" s="24" t="str">
        <f>VLOOKUP(revenue[customerID],customers[],9,FALSE)</f>
        <v>Austria</v>
      </c>
      <c r="F486" s="24">
        <v>44956.0</v>
      </c>
      <c r="G486" s="6">
        <v>59.0</v>
      </c>
      <c r="H486" s="9" t="str">
        <f>VLOOKUP(revenue[productID],products[],2,FALSE)</f>
        <v>Raclette Courdavault</v>
      </c>
      <c r="I486" s="9" t="str">
        <f>VLOOKUP(revenue[productID],products[],12,FALSE)</f>
        <v>Dairy Products</v>
      </c>
      <c r="J486" s="9">
        <f>VLOOKUP(revenue[productID],products[],IF(YEAR(revenue[orderDate])=2022,8,IF(YEAR(revenue[orderDate])=2023,9,IF(YEAR(revenue[orderDate])=2024,10,NA))),FALSE)</f>
        <v>35.20472566</v>
      </c>
      <c r="K486" s="9">
        <v>44.0</v>
      </c>
      <c r="L486" s="25">
        <f>(revenue[orderPrice]-revenue[productCost])/revenue[productCost]</f>
        <v>0.2498322078</v>
      </c>
      <c r="M486" s="10">
        <v>70.0</v>
      </c>
      <c r="N486" s="25">
        <v>0.2</v>
      </c>
      <c r="O486" s="9">
        <f>revenue[orderPrice]*revenue[orderQuantity]</f>
        <v>3080</v>
      </c>
      <c r="P486" s="9">
        <f>revenue[orderTotal]*(1-revenue[discountApllied])</f>
        <v>2464</v>
      </c>
      <c r="Q486" s="9">
        <f>revenue[revenue]-(revenue[productCost]*revenue[orderQuantity])</f>
        <v>-0.3307963142</v>
      </c>
      <c r="R486" s="25">
        <f>IFERROR(revenue[profit]/revenue[revenue], 0)</f>
        <v>-0.0001342517509</v>
      </c>
      <c r="S486" s="9">
        <f>revenue[productCost]*revenue[orderQuantity]</f>
        <v>2464.330796</v>
      </c>
    </row>
    <row r="487" ht="15.75" customHeight="1">
      <c r="A487" s="6">
        <v>10431.0</v>
      </c>
      <c r="B487" s="7" t="s">
        <v>81</v>
      </c>
      <c r="C487" s="24" t="str">
        <f>VLOOKUP(revenue[customerID],customers[],2,FALSE)</f>
        <v>Bottom-Dollar Markets</v>
      </c>
      <c r="D487" s="24" t="str">
        <f>VLOOKUP(revenue[customerID],customers[],6,FALSE)</f>
        <v>Tsawassen</v>
      </c>
      <c r="E487" s="24" t="str">
        <f>VLOOKUP(revenue[customerID],customers[],9,FALSE)</f>
        <v>Canada</v>
      </c>
      <c r="F487" s="24">
        <v>44956.0</v>
      </c>
      <c r="G487" s="6">
        <v>17.0</v>
      </c>
      <c r="H487" s="9" t="str">
        <f>VLOOKUP(revenue[productID],products[],2,FALSE)</f>
        <v>Alice Mutton</v>
      </c>
      <c r="I487" s="9" t="str">
        <f>VLOOKUP(revenue[productID],products[],12,FALSE)</f>
        <v>Meat/Poultry</v>
      </c>
      <c r="J487" s="9">
        <f>VLOOKUP(revenue[productID],products[],IF(YEAR(revenue[orderDate])=2022,8,IF(YEAR(revenue[orderDate])=2023,9,IF(YEAR(revenue[orderDate])=2024,10,NA))),FALSE)</f>
        <v>24.83130504</v>
      </c>
      <c r="K487" s="9">
        <v>31.2</v>
      </c>
      <c r="L487" s="25">
        <f>(revenue[orderPrice]-revenue[productCost])/revenue[productCost]</f>
        <v>0.2564784634</v>
      </c>
      <c r="M487" s="10">
        <v>50.0</v>
      </c>
      <c r="N487" s="25">
        <v>0.25</v>
      </c>
      <c r="O487" s="9">
        <f>revenue[orderPrice]*revenue[orderQuantity]</f>
        <v>1560</v>
      </c>
      <c r="P487" s="9">
        <f>revenue[orderTotal]*(1-revenue[discountApllied])</f>
        <v>1170</v>
      </c>
      <c r="Q487" s="9">
        <f>revenue[revenue]-(revenue[productCost]*revenue[orderQuantity])</f>
        <v>-71.56525199</v>
      </c>
      <c r="R487" s="25">
        <f>IFERROR(revenue[profit]/revenue[revenue], 0)</f>
        <v>-0.06116688204</v>
      </c>
      <c r="S487" s="9">
        <f>revenue[productCost]*revenue[orderQuantity]</f>
        <v>1241.565252</v>
      </c>
    </row>
    <row r="488" ht="15.75" customHeight="1">
      <c r="A488" s="6">
        <v>10431.0</v>
      </c>
      <c r="B488" s="7" t="s">
        <v>81</v>
      </c>
      <c r="C488" s="24" t="str">
        <f>VLOOKUP(revenue[customerID],customers[],2,FALSE)</f>
        <v>Bottom-Dollar Markets</v>
      </c>
      <c r="D488" s="24" t="str">
        <f>VLOOKUP(revenue[customerID],customers[],6,FALSE)</f>
        <v>Tsawassen</v>
      </c>
      <c r="E488" s="24" t="str">
        <f>VLOOKUP(revenue[customerID],customers[],9,FALSE)</f>
        <v>Canada</v>
      </c>
      <c r="F488" s="24">
        <v>44956.0</v>
      </c>
      <c r="G488" s="6">
        <v>40.0</v>
      </c>
      <c r="H488" s="9" t="str">
        <f>VLOOKUP(revenue[productID],products[],2,FALSE)</f>
        <v>Boston Crab Meat</v>
      </c>
      <c r="I488" s="9" t="str">
        <f>VLOOKUP(revenue[productID],products[],12,FALSE)</f>
        <v>Seafood</v>
      </c>
      <c r="J488" s="9">
        <f>VLOOKUP(revenue[productID],products[],IF(YEAR(revenue[orderDate])=2022,8,IF(YEAR(revenue[orderDate])=2023,9,IF(YEAR(revenue[orderDate])=2024,10,NA))),FALSE)</f>
        <v>11.40496523</v>
      </c>
      <c r="K488" s="9">
        <v>14.7</v>
      </c>
      <c r="L488" s="25">
        <f>(revenue[orderPrice]-revenue[productCost])/revenue[productCost]</f>
        <v>0.2889123033</v>
      </c>
      <c r="M488" s="10">
        <v>50.0</v>
      </c>
      <c r="N488" s="25">
        <v>0.25</v>
      </c>
      <c r="O488" s="9">
        <f>revenue[orderPrice]*revenue[orderQuantity]</f>
        <v>735</v>
      </c>
      <c r="P488" s="9">
        <f>revenue[orderTotal]*(1-revenue[discountApllied])</f>
        <v>551.25</v>
      </c>
      <c r="Q488" s="9">
        <f>revenue[revenue]-(revenue[productCost]*revenue[orderQuantity])</f>
        <v>-18.99826135</v>
      </c>
      <c r="R488" s="25">
        <f>IFERROR(revenue[profit]/revenue[revenue], 0)</f>
        <v>-0.03446396617</v>
      </c>
      <c r="S488" s="9">
        <f>revenue[productCost]*revenue[orderQuantity]</f>
        <v>570.2482614</v>
      </c>
    </row>
    <row r="489" ht="15.75" customHeight="1">
      <c r="A489" s="6">
        <v>10431.0</v>
      </c>
      <c r="B489" s="7" t="s">
        <v>81</v>
      </c>
      <c r="C489" s="24" t="str">
        <f>VLOOKUP(revenue[customerID],customers[],2,FALSE)</f>
        <v>Bottom-Dollar Markets</v>
      </c>
      <c r="D489" s="24" t="str">
        <f>VLOOKUP(revenue[customerID],customers[],6,FALSE)</f>
        <v>Tsawassen</v>
      </c>
      <c r="E489" s="24" t="str">
        <f>VLOOKUP(revenue[customerID],customers[],9,FALSE)</f>
        <v>Canada</v>
      </c>
      <c r="F489" s="24">
        <v>44956.0</v>
      </c>
      <c r="G489" s="6">
        <v>47.0</v>
      </c>
      <c r="H489" s="9" t="str">
        <f>VLOOKUP(revenue[productID],products[],2,FALSE)</f>
        <v>Zaanse koeken</v>
      </c>
      <c r="I489" s="9" t="str">
        <f>VLOOKUP(revenue[productID],products[],12,FALSE)</f>
        <v>Confections</v>
      </c>
      <c r="J489" s="9">
        <f>VLOOKUP(revenue[productID],products[],IF(YEAR(revenue[orderDate])=2022,8,IF(YEAR(revenue[orderDate])=2023,9,IF(YEAR(revenue[orderDate])=2024,10,NA))),FALSE)</f>
        <v>6.57708833</v>
      </c>
      <c r="K489" s="9">
        <v>7.6</v>
      </c>
      <c r="L489" s="25">
        <f>(revenue[orderPrice]-revenue[productCost])/revenue[productCost]</f>
        <v>0.1555265215</v>
      </c>
      <c r="M489" s="10">
        <v>30.0</v>
      </c>
      <c r="N489" s="25">
        <v>0.25</v>
      </c>
      <c r="O489" s="9">
        <f>revenue[orderPrice]*revenue[orderQuantity]</f>
        <v>228</v>
      </c>
      <c r="P489" s="9">
        <f>revenue[orderTotal]*(1-revenue[discountApllied])</f>
        <v>171</v>
      </c>
      <c r="Q489" s="9">
        <f>revenue[revenue]-(revenue[productCost]*revenue[orderQuantity])</f>
        <v>-26.31264991</v>
      </c>
      <c r="R489" s="25">
        <f>IFERROR(revenue[profit]/revenue[revenue], 0)</f>
        <v>-0.1538751457</v>
      </c>
      <c r="S489" s="9">
        <f>revenue[productCost]*revenue[orderQuantity]</f>
        <v>197.3126499</v>
      </c>
    </row>
    <row r="490" ht="15.75" customHeight="1">
      <c r="A490" s="6">
        <v>10432.0</v>
      </c>
      <c r="B490" s="7" t="s">
        <v>35</v>
      </c>
      <c r="C490" s="24" t="str">
        <f>VLOOKUP(revenue[customerID],customers[],2,FALSE)</f>
        <v>Split Rail Beer &amp; Ale</v>
      </c>
      <c r="D490" s="24" t="str">
        <f>VLOOKUP(revenue[customerID],customers[],6,FALSE)</f>
        <v>Lander</v>
      </c>
      <c r="E490" s="24" t="str">
        <f>VLOOKUP(revenue[customerID],customers[],9,FALSE)</f>
        <v>USA</v>
      </c>
      <c r="F490" s="24">
        <v>44957.0</v>
      </c>
      <c r="G490" s="6">
        <v>26.0</v>
      </c>
      <c r="H490" s="9" t="str">
        <f>VLOOKUP(revenue[productID],products[],2,FALSE)</f>
        <v>NuNuCa Nuß-Nougat-Creme</v>
      </c>
      <c r="I490" s="9" t="str">
        <f>VLOOKUP(revenue[productID],products[],12,FALSE)</f>
        <v>Confections</v>
      </c>
      <c r="J490" s="9">
        <f>VLOOKUP(revenue[productID],products[],IF(YEAR(revenue[orderDate])=2022,8,IF(YEAR(revenue[orderDate])=2023,9,IF(YEAR(revenue[orderDate])=2024,10,NA))),FALSE)</f>
        <v>21.20896201</v>
      </c>
      <c r="K490" s="9">
        <v>24.9</v>
      </c>
      <c r="L490" s="25">
        <f>(revenue[orderPrice]-revenue[productCost])/revenue[productCost]</f>
        <v>0.1740319958</v>
      </c>
      <c r="M490" s="10">
        <v>10.0</v>
      </c>
      <c r="N490" s="25">
        <v>0.0</v>
      </c>
      <c r="O490" s="9">
        <f>revenue[orderPrice]*revenue[orderQuantity]</f>
        <v>249</v>
      </c>
      <c r="P490" s="9">
        <f>revenue[orderTotal]*(1-revenue[discountApllied])</f>
        <v>249</v>
      </c>
      <c r="Q490" s="9">
        <f>revenue[revenue]-(revenue[productCost]*revenue[orderQuantity])</f>
        <v>36.91037987</v>
      </c>
      <c r="R490" s="25">
        <f>IFERROR(revenue[profit]/revenue[revenue], 0)</f>
        <v>0.1482344573</v>
      </c>
      <c r="S490" s="9">
        <f>revenue[productCost]*revenue[orderQuantity]</f>
        <v>212.0896201</v>
      </c>
    </row>
    <row r="491" ht="15.75" customHeight="1">
      <c r="A491" s="6">
        <v>10432.0</v>
      </c>
      <c r="B491" s="7" t="s">
        <v>35</v>
      </c>
      <c r="C491" s="24" t="str">
        <f>VLOOKUP(revenue[customerID],customers[],2,FALSE)</f>
        <v>Split Rail Beer &amp; Ale</v>
      </c>
      <c r="D491" s="24" t="str">
        <f>VLOOKUP(revenue[customerID],customers[],6,FALSE)</f>
        <v>Lander</v>
      </c>
      <c r="E491" s="24" t="str">
        <f>VLOOKUP(revenue[customerID],customers[],9,FALSE)</f>
        <v>USA</v>
      </c>
      <c r="F491" s="24">
        <v>44957.0</v>
      </c>
      <c r="G491" s="6">
        <v>54.0</v>
      </c>
      <c r="H491" s="9" t="str">
        <f>VLOOKUP(revenue[productID],products[],2,FALSE)</f>
        <v>Tourtière</v>
      </c>
      <c r="I491" s="9" t="str">
        <f>VLOOKUP(revenue[productID],products[],12,FALSE)</f>
        <v>Meat/Poultry</v>
      </c>
      <c r="J491" s="9">
        <f>VLOOKUP(revenue[productID],products[],IF(YEAR(revenue[orderDate])=2022,8,IF(YEAR(revenue[orderDate])=2023,9,IF(YEAR(revenue[orderDate])=2024,10,NA))),FALSE)</f>
        <v>4.924447797</v>
      </c>
      <c r="K491" s="9">
        <v>5.9</v>
      </c>
      <c r="L491" s="25">
        <f>(revenue[orderPrice]-revenue[productCost])/revenue[productCost]</f>
        <v>0.1981038774</v>
      </c>
      <c r="M491" s="10">
        <v>40.0</v>
      </c>
      <c r="N491" s="25">
        <v>0.0</v>
      </c>
      <c r="O491" s="9">
        <f>revenue[orderPrice]*revenue[orderQuantity]</f>
        <v>236</v>
      </c>
      <c r="P491" s="9">
        <f>revenue[orderTotal]*(1-revenue[discountApllied])</f>
        <v>236</v>
      </c>
      <c r="Q491" s="9">
        <f>revenue[revenue]-(revenue[productCost]*revenue[orderQuantity])</f>
        <v>39.02208812</v>
      </c>
      <c r="R491" s="25">
        <f>IFERROR(revenue[profit]/revenue[revenue], 0)</f>
        <v>0.165347831</v>
      </c>
      <c r="S491" s="9">
        <f>revenue[productCost]*revenue[orderQuantity]</f>
        <v>196.9779119</v>
      </c>
    </row>
    <row r="492" ht="15.75" customHeight="1">
      <c r="A492" s="6">
        <v>10433.0</v>
      </c>
      <c r="B492" s="7" t="s">
        <v>65</v>
      </c>
      <c r="C492" s="24" t="str">
        <f>VLOOKUP(revenue[customerID],customers[],2,FALSE)</f>
        <v>Princesa Isabel Vinhos</v>
      </c>
      <c r="D492" s="24" t="str">
        <f>VLOOKUP(revenue[customerID],customers[],6,FALSE)</f>
        <v>Lisboa</v>
      </c>
      <c r="E492" s="24" t="str">
        <f>VLOOKUP(revenue[customerID],customers[],9,FALSE)</f>
        <v>Portugal</v>
      </c>
      <c r="F492" s="24">
        <v>44960.0</v>
      </c>
      <c r="G492" s="6">
        <v>56.0</v>
      </c>
      <c r="H492" s="9" t="str">
        <f>VLOOKUP(revenue[productID],products[],2,FALSE)</f>
        <v>Gnocchi di nonna Alice</v>
      </c>
      <c r="I492" s="9" t="str">
        <f>VLOOKUP(revenue[productID],products[],12,FALSE)</f>
        <v>Grains/Cereals</v>
      </c>
      <c r="J492" s="9">
        <f>VLOOKUP(revenue[productID],products[],IF(YEAR(revenue[orderDate])=2022,8,IF(YEAR(revenue[orderDate])=2023,9,IF(YEAR(revenue[orderDate])=2024,10,NA))),FALSE)</f>
        <v>24.28342441</v>
      </c>
      <c r="K492" s="9">
        <v>30.4</v>
      </c>
      <c r="L492" s="25">
        <f>(revenue[orderPrice]-revenue[productCost])/revenue[productCost]</f>
        <v>0.2518827447</v>
      </c>
      <c r="M492" s="10">
        <v>28.0</v>
      </c>
      <c r="N492" s="25">
        <v>0.0</v>
      </c>
      <c r="O492" s="9">
        <f>revenue[orderPrice]*revenue[orderQuantity]</f>
        <v>851.2</v>
      </c>
      <c r="P492" s="9">
        <f>revenue[orderTotal]*(1-revenue[discountApllied])</f>
        <v>851.2</v>
      </c>
      <c r="Q492" s="9">
        <f>revenue[revenue]-(revenue[productCost]*revenue[orderQuantity])</f>
        <v>171.2641166</v>
      </c>
      <c r="R492" s="25">
        <f>IFERROR(revenue[profit]/revenue[revenue], 0)</f>
        <v>0.2012031445</v>
      </c>
      <c r="S492" s="9">
        <f>revenue[productCost]*revenue[orderQuantity]</f>
        <v>679.9358834</v>
      </c>
    </row>
    <row r="493" ht="15.75" customHeight="1">
      <c r="A493" s="6">
        <v>10434.0</v>
      </c>
      <c r="B493" s="7" t="s">
        <v>29</v>
      </c>
      <c r="C493" s="24" t="str">
        <f>VLOOKUP(revenue[customerID],customers[],2,FALSE)</f>
        <v>Folk och fä HB</v>
      </c>
      <c r="D493" s="24" t="str">
        <f>VLOOKUP(revenue[customerID],customers[],6,FALSE)</f>
        <v>Bräcke</v>
      </c>
      <c r="E493" s="24" t="str">
        <f>VLOOKUP(revenue[customerID],customers[],9,FALSE)</f>
        <v>Sweden</v>
      </c>
      <c r="F493" s="24">
        <v>44960.0</v>
      </c>
      <c r="G493" s="6">
        <v>11.0</v>
      </c>
      <c r="H493" s="9" t="str">
        <f>VLOOKUP(revenue[productID],products[],2,FALSE)</f>
        <v>Queso Cabrales</v>
      </c>
      <c r="I493" s="9" t="str">
        <f>VLOOKUP(revenue[productID],products[],12,FALSE)</f>
        <v>Dairy Products</v>
      </c>
      <c r="J493" s="9">
        <f>VLOOKUP(revenue[productID],products[],IF(YEAR(revenue[orderDate])=2022,8,IF(YEAR(revenue[orderDate])=2023,9,IF(YEAR(revenue[orderDate])=2024,10,NA))),FALSE)</f>
        <v>12.90188125</v>
      </c>
      <c r="K493" s="9">
        <v>16.8</v>
      </c>
      <c r="L493" s="25">
        <f>(revenue[orderPrice]-revenue[productCost])/revenue[productCost]</f>
        <v>0.3021356863</v>
      </c>
      <c r="M493" s="10">
        <v>6.0</v>
      </c>
      <c r="N493" s="25">
        <v>0.0</v>
      </c>
      <c r="O493" s="9">
        <f>revenue[orderPrice]*revenue[orderQuantity]</f>
        <v>100.8</v>
      </c>
      <c r="P493" s="9">
        <f>revenue[orderTotal]*(1-revenue[discountApllied])</f>
        <v>100.8</v>
      </c>
      <c r="Q493" s="9">
        <f>revenue[revenue]-(revenue[productCost]*revenue[orderQuantity])</f>
        <v>23.38871248</v>
      </c>
      <c r="R493" s="25">
        <f>IFERROR(revenue[profit]/revenue[revenue], 0)</f>
        <v>0.2320308778</v>
      </c>
      <c r="S493" s="9">
        <f>revenue[productCost]*revenue[orderQuantity]</f>
        <v>77.41128752</v>
      </c>
    </row>
    <row r="494" ht="15.75" customHeight="1">
      <c r="A494" s="6">
        <v>10434.0</v>
      </c>
      <c r="B494" s="7" t="s">
        <v>29</v>
      </c>
      <c r="C494" s="24" t="str">
        <f>VLOOKUP(revenue[customerID],customers[],2,FALSE)</f>
        <v>Folk och fä HB</v>
      </c>
      <c r="D494" s="24" t="str">
        <f>VLOOKUP(revenue[customerID],customers[],6,FALSE)</f>
        <v>Bräcke</v>
      </c>
      <c r="E494" s="24" t="str">
        <f>VLOOKUP(revenue[customerID],customers[],9,FALSE)</f>
        <v>Sweden</v>
      </c>
      <c r="F494" s="24">
        <v>44960.0</v>
      </c>
      <c r="G494" s="6">
        <v>76.0</v>
      </c>
      <c r="H494" s="9" t="str">
        <f>VLOOKUP(revenue[productID],products[],2,FALSE)</f>
        <v>Lakkalikööri</v>
      </c>
      <c r="I494" s="9" t="str">
        <f>VLOOKUP(revenue[productID],products[],12,FALSE)</f>
        <v>Beverages</v>
      </c>
      <c r="J494" s="9">
        <f>VLOOKUP(revenue[productID],products[],IF(YEAR(revenue[orderDate])=2022,8,IF(YEAR(revenue[orderDate])=2023,9,IF(YEAR(revenue[orderDate])=2024,10,NA))),FALSE)</f>
        <v>12.1154529</v>
      </c>
      <c r="K494" s="9">
        <v>14.4</v>
      </c>
      <c r="L494" s="25">
        <f>(revenue[orderPrice]-revenue[productCost])/revenue[productCost]</f>
        <v>0.18856473</v>
      </c>
      <c r="M494" s="10">
        <v>18.0</v>
      </c>
      <c r="N494" s="25">
        <v>0.15</v>
      </c>
      <c r="O494" s="9">
        <f>revenue[orderPrice]*revenue[orderQuantity]</f>
        <v>259.2</v>
      </c>
      <c r="P494" s="9">
        <f>revenue[orderTotal]*(1-revenue[discountApllied])</f>
        <v>220.32</v>
      </c>
      <c r="Q494" s="9">
        <f>revenue[revenue]-(revenue[productCost]*revenue[orderQuantity])</f>
        <v>2.241847881</v>
      </c>
      <c r="R494" s="25">
        <f>IFERROR(revenue[profit]/revenue[revenue], 0)</f>
        <v>0.01017541704</v>
      </c>
      <c r="S494" s="9">
        <f>revenue[productCost]*revenue[orderQuantity]</f>
        <v>218.0781521</v>
      </c>
    </row>
    <row r="495" ht="15.75" customHeight="1">
      <c r="A495" s="6">
        <v>10435.0</v>
      </c>
      <c r="B495" s="7" t="s">
        <v>87</v>
      </c>
      <c r="C495" s="24" t="str">
        <f>VLOOKUP(revenue[customerID],customers[],2,FALSE)</f>
        <v>Consolidated Holdings</v>
      </c>
      <c r="D495" s="24" t="str">
        <f>VLOOKUP(revenue[customerID],customers[],6,FALSE)</f>
        <v>London</v>
      </c>
      <c r="E495" s="24" t="str">
        <f>VLOOKUP(revenue[customerID],customers[],9,FALSE)</f>
        <v>UK</v>
      </c>
      <c r="F495" s="24">
        <v>44961.0</v>
      </c>
      <c r="G495" s="6">
        <v>2.0</v>
      </c>
      <c r="H495" s="9" t="str">
        <f>VLOOKUP(revenue[productID],products[],2,FALSE)</f>
        <v>Chang</v>
      </c>
      <c r="I495" s="9" t="str">
        <f>VLOOKUP(revenue[productID],products[],12,FALSE)</f>
        <v>Beverages</v>
      </c>
      <c r="J495" s="9">
        <f>VLOOKUP(revenue[productID],products[],IF(YEAR(revenue[orderDate])=2022,8,IF(YEAR(revenue[orderDate])=2023,9,IF(YEAR(revenue[orderDate])=2024,10,NA))),FALSE)</f>
        <v>12.14626904</v>
      </c>
      <c r="K495" s="9">
        <v>15.2</v>
      </c>
      <c r="L495" s="25">
        <f>(revenue[orderPrice]-revenue[productCost])/revenue[productCost]</f>
        <v>0.2514130837</v>
      </c>
      <c r="M495" s="10">
        <v>10.0</v>
      </c>
      <c r="N495" s="25">
        <v>0.0</v>
      </c>
      <c r="O495" s="9">
        <f>revenue[orderPrice]*revenue[orderQuantity]</f>
        <v>152</v>
      </c>
      <c r="P495" s="9">
        <f>revenue[orderTotal]*(1-revenue[discountApllied])</f>
        <v>152</v>
      </c>
      <c r="Q495" s="9">
        <f>revenue[revenue]-(revenue[productCost]*revenue[orderQuantity])</f>
        <v>30.53730956</v>
      </c>
      <c r="R495" s="25">
        <f>IFERROR(revenue[profit]/revenue[revenue], 0)</f>
        <v>0.2009033524</v>
      </c>
      <c r="S495" s="9">
        <f>revenue[productCost]*revenue[orderQuantity]</f>
        <v>121.4626904</v>
      </c>
    </row>
    <row r="496" ht="15.75" customHeight="1">
      <c r="A496" s="6">
        <v>10435.0</v>
      </c>
      <c r="B496" s="7" t="s">
        <v>87</v>
      </c>
      <c r="C496" s="24" t="str">
        <f>VLOOKUP(revenue[customerID],customers[],2,FALSE)</f>
        <v>Consolidated Holdings</v>
      </c>
      <c r="D496" s="24" t="str">
        <f>VLOOKUP(revenue[customerID],customers[],6,FALSE)</f>
        <v>London</v>
      </c>
      <c r="E496" s="24" t="str">
        <f>VLOOKUP(revenue[customerID],customers[],9,FALSE)</f>
        <v>UK</v>
      </c>
      <c r="F496" s="24">
        <v>44961.0</v>
      </c>
      <c r="G496" s="6">
        <v>22.0</v>
      </c>
      <c r="H496" s="9" t="str">
        <f>VLOOKUP(revenue[productID],products[],2,FALSE)</f>
        <v>Gustaf's Knäckebröd</v>
      </c>
      <c r="I496" s="9" t="str">
        <f>VLOOKUP(revenue[productID],products[],12,FALSE)</f>
        <v>Grains/Cereals</v>
      </c>
      <c r="J496" s="9">
        <f>VLOOKUP(revenue[productID],products[],IF(YEAR(revenue[orderDate])=2022,8,IF(YEAR(revenue[orderDate])=2023,9,IF(YEAR(revenue[orderDate])=2024,10,NA))),FALSE)</f>
        <v>14.56814822</v>
      </c>
      <c r="K496" s="9">
        <v>16.8</v>
      </c>
      <c r="L496" s="25">
        <f>(revenue[orderPrice]-revenue[productCost])/revenue[productCost]</f>
        <v>0.1532007873</v>
      </c>
      <c r="M496" s="10">
        <v>12.0</v>
      </c>
      <c r="N496" s="25">
        <v>0.0</v>
      </c>
      <c r="O496" s="9">
        <f>revenue[orderPrice]*revenue[orderQuantity]</f>
        <v>201.6</v>
      </c>
      <c r="P496" s="9">
        <f>revenue[orderTotal]*(1-revenue[discountApllied])</f>
        <v>201.6</v>
      </c>
      <c r="Q496" s="9">
        <f>revenue[revenue]-(revenue[productCost]*revenue[orderQuantity])</f>
        <v>26.78222133</v>
      </c>
      <c r="R496" s="25">
        <f>IFERROR(revenue[profit]/revenue[revenue], 0)</f>
        <v>0.1328483201</v>
      </c>
      <c r="S496" s="9">
        <f>revenue[productCost]*revenue[orderQuantity]</f>
        <v>174.8177787</v>
      </c>
    </row>
    <row r="497" ht="15.75" customHeight="1">
      <c r="A497" s="6">
        <v>10435.0</v>
      </c>
      <c r="B497" s="7" t="s">
        <v>87</v>
      </c>
      <c r="C497" s="24" t="str">
        <f>VLOOKUP(revenue[customerID],customers[],2,FALSE)</f>
        <v>Consolidated Holdings</v>
      </c>
      <c r="D497" s="24" t="str">
        <f>VLOOKUP(revenue[customerID],customers[],6,FALSE)</f>
        <v>London</v>
      </c>
      <c r="E497" s="24" t="str">
        <f>VLOOKUP(revenue[customerID],customers[],9,FALSE)</f>
        <v>UK</v>
      </c>
      <c r="F497" s="24">
        <v>44961.0</v>
      </c>
      <c r="G497" s="6">
        <v>72.0</v>
      </c>
      <c r="H497" s="9" t="str">
        <f>VLOOKUP(revenue[productID],products[],2,FALSE)</f>
        <v>Mozzarella di Giovanni</v>
      </c>
      <c r="I497" s="9" t="str">
        <f>VLOOKUP(revenue[productID],products[],12,FALSE)</f>
        <v>Dairy Products</v>
      </c>
      <c r="J497" s="9">
        <f>VLOOKUP(revenue[productID],products[],IF(YEAR(revenue[orderDate])=2022,8,IF(YEAR(revenue[orderDate])=2023,9,IF(YEAR(revenue[orderDate])=2024,10,NA))),FALSE)</f>
        <v>23.51933768</v>
      </c>
      <c r="K497" s="9">
        <v>27.8</v>
      </c>
      <c r="L497" s="25">
        <f>(revenue[orderPrice]-revenue[productCost])/revenue[productCost]</f>
        <v>0.1820060743</v>
      </c>
      <c r="M497" s="10">
        <v>10.0</v>
      </c>
      <c r="N497" s="25">
        <v>0.0</v>
      </c>
      <c r="O497" s="9">
        <f>revenue[orderPrice]*revenue[orderQuantity]</f>
        <v>278</v>
      </c>
      <c r="P497" s="9">
        <f>revenue[orderTotal]*(1-revenue[discountApllied])</f>
        <v>278</v>
      </c>
      <c r="Q497" s="9">
        <f>revenue[revenue]-(revenue[productCost]*revenue[orderQuantity])</f>
        <v>42.80662321</v>
      </c>
      <c r="R497" s="25">
        <f>IFERROR(revenue[profit]/revenue[revenue], 0)</f>
        <v>0.153980659</v>
      </c>
      <c r="S497" s="9">
        <f>revenue[productCost]*revenue[orderQuantity]</f>
        <v>235.1933768</v>
      </c>
    </row>
    <row r="498" ht="15.75" customHeight="1">
      <c r="A498" s="6">
        <v>10436.0</v>
      </c>
      <c r="B498" s="7" t="s">
        <v>30</v>
      </c>
      <c r="C498" s="24" t="str">
        <f>VLOOKUP(revenue[customerID],customers[],2,FALSE)</f>
        <v>Blondesddsl père et fils</v>
      </c>
      <c r="D498" s="24" t="str">
        <f>VLOOKUP(revenue[customerID],customers[],6,FALSE)</f>
        <v>Strasbourg</v>
      </c>
      <c r="E498" s="24" t="str">
        <f>VLOOKUP(revenue[customerID],customers[],9,FALSE)</f>
        <v>France</v>
      </c>
      <c r="F498" s="24">
        <v>44962.0</v>
      </c>
      <c r="G498" s="6">
        <v>46.0</v>
      </c>
      <c r="H498" s="9" t="str">
        <f>VLOOKUP(revenue[productID],products[],2,FALSE)</f>
        <v>Spegesild</v>
      </c>
      <c r="I498" s="9" t="str">
        <f>VLOOKUP(revenue[productID],products[],12,FALSE)</f>
        <v>Seafood</v>
      </c>
      <c r="J498" s="9">
        <f>VLOOKUP(revenue[productID],products[],IF(YEAR(revenue[orderDate])=2022,8,IF(YEAR(revenue[orderDate])=2023,9,IF(YEAR(revenue[orderDate])=2024,10,NA))),FALSE)</f>
        <v>7.087990753</v>
      </c>
      <c r="K498" s="9">
        <v>9.6</v>
      </c>
      <c r="L498" s="25">
        <f>(revenue[orderPrice]-revenue[productCost])/revenue[productCost]</f>
        <v>0.3544035728</v>
      </c>
      <c r="M498" s="10">
        <v>5.0</v>
      </c>
      <c r="N498" s="25">
        <v>0.0</v>
      </c>
      <c r="O498" s="9">
        <f>revenue[orderPrice]*revenue[orderQuantity]</f>
        <v>48</v>
      </c>
      <c r="P498" s="9">
        <f>revenue[orderTotal]*(1-revenue[discountApllied])</f>
        <v>48</v>
      </c>
      <c r="Q498" s="9">
        <f>revenue[revenue]-(revenue[productCost]*revenue[orderQuantity])</f>
        <v>12.56004623</v>
      </c>
      <c r="R498" s="25">
        <f>IFERROR(revenue[profit]/revenue[revenue], 0)</f>
        <v>0.2616676299</v>
      </c>
      <c r="S498" s="9">
        <f>revenue[productCost]*revenue[orderQuantity]</f>
        <v>35.43995377</v>
      </c>
    </row>
    <row r="499" ht="15.75" customHeight="1">
      <c r="A499" s="6">
        <v>10436.0</v>
      </c>
      <c r="B499" s="7" t="s">
        <v>30</v>
      </c>
      <c r="C499" s="24" t="str">
        <f>VLOOKUP(revenue[customerID],customers[],2,FALSE)</f>
        <v>Blondesddsl père et fils</v>
      </c>
      <c r="D499" s="24" t="str">
        <f>VLOOKUP(revenue[customerID],customers[],6,FALSE)</f>
        <v>Strasbourg</v>
      </c>
      <c r="E499" s="24" t="str">
        <f>VLOOKUP(revenue[customerID],customers[],9,FALSE)</f>
        <v>France</v>
      </c>
      <c r="F499" s="24">
        <v>44962.0</v>
      </c>
      <c r="G499" s="6">
        <v>56.0</v>
      </c>
      <c r="H499" s="9" t="str">
        <f>VLOOKUP(revenue[productID],products[],2,FALSE)</f>
        <v>Gnocchi di nonna Alice</v>
      </c>
      <c r="I499" s="9" t="str">
        <f>VLOOKUP(revenue[productID],products[],12,FALSE)</f>
        <v>Grains/Cereals</v>
      </c>
      <c r="J499" s="9">
        <f>VLOOKUP(revenue[productID],products[],IF(YEAR(revenue[orderDate])=2022,8,IF(YEAR(revenue[orderDate])=2023,9,IF(YEAR(revenue[orderDate])=2024,10,NA))),FALSE)</f>
        <v>24.28342441</v>
      </c>
      <c r="K499" s="9">
        <v>30.4</v>
      </c>
      <c r="L499" s="25">
        <f>(revenue[orderPrice]-revenue[productCost])/revenue[productCost]</f>
        <v>0.2518827447</v>
      </c>
      <c r="M499" s="10">
        <v>40.0</v>
      </c>
      <c r="N499" s="25">
        <v>0.1</v>
      </c>
      <c r="O499" s="9">
        <f>revenue[orderPrice]*revenue[orderQuantity]</f>
        <v>1216</v>
      </c>
      <c r="P499" s="9">
        <f>revenue[orderTotal]*(1-revenue[discountApllied])</f>
        <v>1094.4</v>
      </c>
      <c r="Q499" s="9">
        <f>revenue[revenue]-(revenue[productCost]*revenue[orderQuantity])</f>
        <v>123.0630237</v>
      </c>
      <c r="R499" s="25">
        <f>IFERROR(revenue[profit]/revenue[revenue], 0)</f>
        <v>0.1124479383</v>
      </c>
      <c r="S499" s="9">
        <f>revenue[productCost]*revenue[orderQuantity]</f>
        <v>971.3369763</v>
      </c>
    </row>
    <row r="500" ht="15.75" customHeight="1">
      <c r="A500" s="6">
        <v>10436.0</v>
      </c>
      <c r="B500" s="7" t="s">
        <v>30</v>
      </c>
      <c r="C500" s="24" t="str">
        <f>VLOOKUP(revenue[customerID],customers[],2,FALSE)</f>
        <v>Blondesddsl père et fils</v>
      </c>
      <c r="D500" s="24" t="str">
        <f>VLOOKUP(revenue[customerID],customers[],6,FALSE)</f>
        <v>Strasbourg</v>
      </c>
      <c r="E500" s="24" t="str">
        <f>VLOOKUP(revenue[customerID],customers[],9,FALSE)</f>
        <v>France</v>
      </c>
      <c r="F500" s="24">
        <v>44962.0</v>
      </c>
      <c r="G500" s="6">
        <v>64.0</v>
      </c>
      <c r="H500" s="9" t="str">
        <f>VLOOKUP(revenue[productID],products[],2,FALSE)</f>
        <v>Lukas' leckere Sauerteigweggla</v>
      </c>
      <c r="I500" s="9" t="str">
        <f>VLOOKUP(revenue[productID],products[],12,FALSE)</f>
        <v>Grains/Cereals</v>
      </c>
      <c r="J500" s="9">
        <f>VLOOKUP(revenue[productID],products[],IF(YEAR(revenue[orderDate])=2022,8,IF(YEAR(revenue[orderDate])=2023,9,IF(YEAR(revenue[orderDate])=2024,10,NA))),FALSE)</f>
        <v>21.88572728</v>
      </c>
      <c r="K500" s="9">
        <v>26.6</v>
      </c>
      <c r="L500" s="25">
        <f>(revenue[orderPrice]-revenue[productCost])/revenue[productCost]</f>
        <v>0.2154039779</v>
      </c>
      <c r="M500" s="10">
        <v>30.0</v>
      </c>
      <c r="N500" s="25">
        <v>0.1</v>
      </c>
      <c r="O500" s="9">
        <f>revenue[orderPrice]*revenue[orderQuantity]</f>
        <v>798</v>
      </c>
      <c r="P500" s="9">
        <f>revenue[orderTotal]*(1-revenue[discountApllied])</f>
        <v>718.2</v>
      </c>
      <c r="Q500" s="9">
        <f>revenue[revenue]-(revenue[productCost]*revenue[orderQuantity])</f>
        <v>61.6281815</v>
      </c>
      <c r="R500" s="25">
        <f>IFERROR(revenue[profit]/revenue[revenue], 0)</f>
        <v>0.08580921958</v>
      </c>
      <c r="S500" s="9">
        <f>revenue[productCost]*revenue[orderQuantity]</f>
        <v>656.5718185</v>
      </c>
    </row>
    <row r="501" ht="15.75" customHeight="1">
      <c r="A501" s="6">
        <v>10436.0</v>
      </c>
      <c r="B501" s="7" t="s">
        <v>30</v>
      </c>
      <c r="C501" s="24" t="str">
        <f>VLOOKUP(revenue[customerID],customers[],2,FALSE)</f>
        <v>Blondesddsl père et fils</v>
      </c>
      <c r="D501" s="24" t="str">
        <f>VLOOKUP(revenue[customerID],customers[],6,FALSE)</f>
        <v>Strasbourg</v>
      </c>
      <c r="E501" s="24" t="str">
        <f>VLOOKUP(revenue[customerID],customers[],9,FALSE)</f>
        <v>France</v>
      </c>
      <c r="F501" s="24">
        <v>44962.0</v>
      </c>
      <c r="G501" s="6">
        <v>75.0</v>
      </c>
      <c r="H501" s="9" t="str">
        <f>VLOOKUP(revenue[productID],products[],2,FALSE)</f>
        <v>Rhönbräu Klosterbier</v>
      </c>
      <c r="I501" s="9" t="str">
        <f>VLOOKUP(revenue[productID],products[],12,FALSE)</f>
        <v>Beverages</v>
      </c>
      <c r="J501" s="9">
        <f>VLOOKUP(revenue[productID],products[],IF(YEAR(revenue[orderDate])=2022,8,IF(YEAR(revenue[orderDate])=2023,9,IF(YEAR(revenue[orderDate])=2024,10,NA))),FALSE)</f>
        <v>5.355290472</v>
      </c>
      <c r="K501" s="9">
        <v>6.2</v>
      </c>
      <c r="L501" s="25">
        <f>(revenue[orderPrice]-revenue[productCost])/revenue[productCost]</f>
        <v>0.1577336529</v>
      </c>
      <c r="M501" s="10">
        <v>24.0</v>
      </c>
      <c r="N501" s="25">
        <v>0.1</v>
      </c>
      <c r="O501" s="9">
        <f>revenue[orderPrice]*revenue[orderQuantity]</f>
        <v>148.8</v>
      </c>
      <c r="P501" s="9">
        <f>revenue[orderTotal]*(1-revenue[discountApllied])</f>
        <v>133.92</v>
      </c>
      <c r="Q501" s="9">
        <f>revenue[revenue]-(revenue[productCost]*revenue[orderQuantity])</f>
        <v>5.393028678</v>
      </c>
      <c r="R501" s="25">
        <f>IFERROR(revenue[profit]/revenue[revenue], 0)</f>
        <v>0.04027052478</v>
      </c>
      <c r="S501" s="9">
        <f>revenue[productCost]*revenue[orderQuantity]</f>
        <v>128.5269713</v>
      </c>
    </row>
    <row r="502" ht="15.75" customHeight="1">
      <c r="A502" s="6">
        <v>10437.0</v>
      </c>
      <c r="B502" s="7" t="s">
        <v>31</v>
      </c>
      <c r="C502" s="24" t="str">
        <f>VLOOKUP(revenue[customerID],customers[],2,FALSE)</f>
        <v>Wartian Herkku</v>
      </c>
      <c r="D502" s="24" t="str">
        <f>VLOOKUP(revenue[customerID],customers[],6,FALSE)</f>
        <v>Oulu</v>
      </c>
      <c r="E502" s="24" t="str">
        <f>VLOOKUP(revenue[customerID],customers[],9,FALSE)</f>
        <v>Finland</v>
      </c>
      <c r="F502" s="24">
        <v>44962.0</v>
      </c>
      <c r="G502" s="6">
        <v>53.0</v>
      </c>
      <c r="H502" s="9" t="str">
        <f>VLOOKUP(revenue[productID],products[],2,FALSE)</f>
        <v>Perth Pasties</v>
      </c>
      <c r="I502" s="9" t="str">
        <f>VLOOKUP(revenue[productID],products[],12,FALSE)</f>
        <v>Meat/Poultry</v>
      </c>
      <c r="J502" s="9">
        <f>VLOOKUP(revenue[productID],products[],IF(YEAR(revenue[orderDate])=2022,8,IF(YEAR(revenue[orderDate])=2023,9,IF(YEAR(revenue[orderDate])=2024,10,NA))),FALSE)</f>
        <v>21.81491556</v>
      </c>
      <c r="K502" s="9">
        <v>26.2</v>
      </c>
      <c r="L502" s="25">
        <f>(revenue[orderPrice]-revenue[productCost])/revenue[productCost]</f>
        <v>0.2010131293</v>
      </c>
      <c r="M502" s="10">
        <v>15.0</v>
      </c>
      <c r="N502" s="25">
        <v>0.0</v>
      </c>
      <c r="O502" s="9">
        <f>revenue[orderPrice]*revenue[orderQuantity]</f>
        <v>393</v>
      </c>
      <c r="P502" s="9">
        <f>revenue[orderTotal]*(1-revenue[discountApllied])</f>
        <v>393</v>
      </c>
      <c r="Q502" s="9">
        <f>revenue[revenue]-(revenue[productCost]*revenue[orderQuantity])</f>
        <v>65.77626662</v>
      </c>
      <c r="R502" s="25">
        <f>IFERROR(revenue[profit]/revenue[revenue], 0)</f>
        <v>0.1673696352</v>
      </c>
      <c r="S502" s="9">
        <f>revenue[productCost]*revenue[orderQuantity]</f>
        <v>327.2237334</v>
      </c>
    </row>
    <row r="503" ht="15.75" customHeight="1">
      <c r="A503" s="6">
        <v>10438.0</v>
      </c>
      <c r="B503" s="7" t="s">
        <v>14</v>
      </c>
      <c r="C503" s="24" t="str">
        <f>VLOOKUP(revenue[customerID],customers[],2,FALSE)</f>
        <v>Toms Spezialitäten</v>
      </c>
      <c r="D503" s="24" t="str">
        <f>VLOOKUP(revenue[customerID],customers[],6,FALSE)</f>
        <v>Münster</v>
      </c>
      <c r="E503" s="24" t="str">
        <f>VLOOKUP(revenue[customerID],customers[],9,FALSE)</f>
        <v>Germany</v>
      </c>
      <c r="F503" s="24">
        <v>44963.0</v>
      </c>
      <c r="G503" s="6">
        <v>19.0</v>
      </c>
      <c r="H503" s="9" t="str">
        <f>VLOOKUP(revenue[productID],products[],2,FALSE)</f>
        <v>Teatime Chocolate Biscuits</v>
      </c>
      <c r="I503" s="9" t="str">
        <f>VLOOKUP(revenue[productID],products[],12,FALSE)</f>
        <v>Confections</v>
      </c>
      <c r="J503" s="9">
        <f>VLOOKUP(revenue[productID],products[],IF(YEAR(revenue[orderDate])=2022,8,IF(YEAR(revenue[orderDate])=2023,9,IF(YEAR(revenue[orderDate])=2024,10,NA))),FALSE)</f>
        <v>5.901883682</v>
      </c>
      <c r="K503" s="9">
        <v>7.3</v>
      </c>
      <c r="L503" s="25">
        <f>(revenue[orderPrice]-revenue[productCost])/revenue[productCost]</f>
        <v>0.2368932349</v>
      </c>
      <c r="M503" s="10">
        <v>15.0</v>
      </c>
      <c r="N503" s="25">
        <v>0.2</v>
      </c>
      <c r="O503" s="9">
        <f>revenue[orderPrice]*revenue[orderQuantity]</f>
        <v>109.5</v>
      </c>
      <c r="P503" s="9">
        <f>revenue[orderTotal]*(1-revenue[discountApllied])</f>
        <v>87.6</v>
      </c>
      <c r="Q503" s="9">
        <f>revenue[revenue]-(revenue[productCost]*revenue[orderQuantity])</f>
        <v>-0.9282552363</v>
      </c>
      <c r="R503" s="25">
        <f>IFERROR(revenue[profit]/revenue[revenue], 0)</f>
        <v>-0.01059652096</v>
      </c>
      <c r="S503" s="9">
        <f>revenue[productCost]*revenue[orderQuantity]</f>
        <v>88.52825524</v>
      </c>
    </row>
    <row r="504" ht="15.75" customHeight="1">
      <c r="A504" s="6">
        <v>10438.0</v>
      </c>
      <c r="B504" s="7" t="s">
        <v>14</v>
      </c>
      <c r="C504" s="24" t="str">
        <f>VLOOKUP(revenue[customerID],customers[],2,FALSE)</f>
        <v>Toms Spezialitäten</v>
      </c>
      <c r="D504" s="24" t="str">
        <f>VLOOKUP(revenue[customerID],customers[],6,FALSE)</f>
        <v>Münster</v>
      </c>
      <c r="E504" s="24" t="str">
        <f>VLOOKUP(revenue[customerID],customers[],9,FALSE)</f>
        <v>Germany</v>
      </c>
      <c r="F504" s="24">
        <v>44963.0</v>
      </c>
      <c r="G504" s="6">
        <v>34.0</v>
      </c>
      <c r="H504" s="9" t="str">
        <f>VLOOKUP(revenue[productID],products[],2,FALSE)</f>
        <v>Sasquatch Ale</v>
      </c>
      <c r="I504" s="9" t="str">
        <f>VLOOKUP(revenue[productID],products[],12,FALSE)</f>
        <v>Beverages</v>
      </c>
      <c r="J504" s="9">
        <f>VLOOKUP(revenue[productID],products[],IF(YEAR(revenue[orderDate])=2022,8,IF(YEAR(revenue[orderDate])=2023,9,IF(YEAR(revenue[orderDate])=2024,10,NA))),FALSE)</f>
        <v>8.955654061</v>
      </c>
      <c r="K504" s="9">
        <v>11.2</v>
      </c>
      <c r="L504" s="25">
        <f>(revenue[orderPrice]-revenue[productCost])/revenue[productCost]</f>
        <v>0.2506065915</v>
      </c>
      <c r="M504" s="10">
        <v>20.0</v>
      </c>
      <c r="N504" s="25">
        <v>0.2</v>
      </c>
      <c r="O504" s="9">
        <f>revenue[orderPrice]*revenue[orderQuantity]</f>
        <v>224</v>
      </c>
      <c r="P504" s="9">
        <f>revenue[orderTotal]*(1-revenue[discountApllied])</f>
        <v>179.2</v>
      </c>
      <c r="Q504" s="9">
        <f>revenue[revenue]-(revenue[productCost]*revenue[orderQuantity])</f>
        <v>0.08691878111</v>
      </c>
      <c r="R504" s="25">
        <f>IFERROR(revenue[profit]/revenue[revenue], 0)</f>
        <v>0.000485037841</v>
      </c>
      <c r="S504" s="9">
        <f>revenue[productCost]*revenue[orderQuantity]</f>
        <v>179.1130812</v>
      </c>
    </row>
    <row r="505" ht="15.75" customHeight="1">
      <c r="A505" s="6">
        <v>10438.0</v>
      </c>
      <c r="B505" s="7" t="s">
        <v>14</v>
      </c>
      <c r="C505" s="24" t="str">
        <f>VLOOKUP(revenue[customerID],customers[],2,FALSE)</f>
        <v>Toms Spezialitäten</v>
      </c>
      <c r="D505" s="24" t="str">
        <f>VLOOKUP(revenue[customerID],customers[],6,FALSE)</f>
        <v>Münster</v>
      </c>
      <c r="E505" s="24" t="str">
        <f>VLOOKUP(revenue[customerID],customers[],9,FALSE)</f>
        <v>Germany</v>
      </c>
      <c r="F505" s="24">
        <v>44963.0</v>
      </c>
      <c r="G505" s="6">
        <v>57.0</v>
      </c>
      <c r="H505" s="9" t="str">
        <f>VLOOKUP(revenue[productID],products[],2,FALSE)</f>
        <v>Ravioli Angelo</v>
      </c>
      <c r="I505" s="9" t="str">
        <f>VLOOKUP(revenue[productID],products[],12,FALSE)</f>
        <v>Grains/Cereals</v>
      </c>
      <c r="J505" s="9">
        <f>VLOOKUP(revenue[productID],products[],IF(YEAR(revenue[orderDate])=2022,8,IF(YEAR(revenue[orderDate])=2023,9,IF(YEAR(revenue[orderDate])=2024,10,NA))),FALSE)</f>
        <v>13.01870901</v>
      </c>
      <c r="K505" s="9">
        <v>15.6</v>
      </c>
      <c r="L505" s="25">
        <f>(revenue[orderPrice]-revenue[productCost])/revenue[productCost]</f>
        <v>0.1982754965</v>
      </c>
      <c r="M505" s="10">
        <v>15.0</v>
      </c>
      <c r="N505" s="25">
        <v>0.2</v>
      </c>
      <c r="O505" s="9">
        <f>revenue[orderPrice]*revenue[orderQuantity]</f>
        <v>234</v>
      </c>
      <c r="P505" s="9">
        <f>revenue[orderTotal]*(1-revenue[discountApllied])</f>
        <v>187.2</v>
      </c>
      <c r="Q505" s="9">
        <f>revenue[revenue]-(revenue[productCost]*revenue[orderQuantity])</f>
        <v>-8.080635109</v>
      </c>
      <c r="R505" s="25">
        <f>IFERROR(revenue[profit]/revenue[revenue], 0)</f>
        <v>-0.04316578584</v>
      </c>
      <c r="S505" s="9">
        <f>revenue[productCost]*revenue[orderQuantity]</f>
        <v>195.2806351</v>
      </c>
    </row>
    <row r="506" ht="15.75" customHeight="1">
      <c r="A506" s="6">
        <v>10439.0</v>
      </c>
      <c r="B506" s="7" t="s">
        <v>64</v>
      </c>
      <c r="C506" s="24" t="str">
        <f>VLOOKUP(revenue[customerID],customers[],2,FALSE)</f>
        <v>Mère Paillarde</v>
      </c>
      <c r="D506" s="24" t="str">
        <f>VLOOKUP(revenue[customerID],customers[],6,FALSE)</f>
        <v>Montréal</v>
      </c>
      <c r="E506" s="24" t="str">
        <f>VLOOKUP(revenue[customerID],customers[],9,FALSE)</f>
        <v>Canada</v>
      </c>
      <c r="F506" s="24">
        <v>44964.0</v>
      </c>
      <c r="G506" s="6">
        <v>12.0</v>
      </c>
      <c r="H506" s="9" t="str">
        <f>VLOOKUP(revenue[productID],products[],2,FALSE)</f>
        <v>Queso Manchego La Pastora</v>
      </c>
      <c r="I506" s="9" t="str">
        <f>VLOOKUP(revenue[productID],products[],12,FALSE)</f>
        <v>Dairy Products</v>
      </c>
      <c r="J506" s="9">
        <f>VLOOKUP(revenue[productID],products[],IF(YEAR(revenue[orderDate])=2022,8,IF(YEAR(revenue[orderDate])=2023,9,IF(YEAR(revenue[orderDate])=2024,10,NA))),FALSE)</f>
        <v>23.79216617</v>
      </c>
      <c r="K506" s="9">
        <v>30.4</v>
      </c>
      <c r="L506" s="25">
        <f>(revenue[orderPrice]-revenue[productCost])/revenue[productCost]</f>
        <v>0.2777314931</v>
      </c>
      <c r="M506" s="10">
        <v>15.0</v>
      </c>
      <c r="N506" s="25">
        <v>0.0</v>
      </c>
      <c r="O506" s="9">
        <f>revenue[orderPrice]*revenue[orderQuantity]</f>
        <v>456</v>
      </c>
      <c r="P506" s="9">
        <f>revenue[orderTotal]*(1-revenue[discountApllied])</f>
        <v>456</v>
      </c>
      <c r="Q506" s="9">
        <f>revenue[revenue]-(revenue[productCost]*revenue[orderQuantity])</f>
        <v>99.11750749</v>
      </c>
      <c r="R506" s="25">
        <f>IFERROR(revenue[profit]/revenue[revenue], 0)</f>
        <v>0.217362955</v>
      </c>
      <c r="S506" s="9">
        <f>revenue[productCost]*revenue[orderQuantity]</f>
        <v>356.8824925</v>
      </c>
    </row>
    <row r="507" ht="15.75" customHeight="1">
      <c r="A507" s="6">
        <v>10439.0</v>
      </c>
      <c r="B507" s="7" t="s">
        <v>64</v>
      </c>
      <c r="C507" s="24" t="str">
        <f>VLOOKUP(revenue[customerID],customers[],2,FALSE)</f>
        <v>Mère Paillarde</v>
      </c>
      <c r="D507" s="24" t="str">
        <f>VLOOKUP(revenue[customerID],customers[],6,FALSE)</f>
        <v>Montréal</v>
      </c>
      <c r="E507" s="24" t="str">
        <f>VLOOKUP(revenue[customerID],customers[],9,FALSE)</f>
        <v>Canada</v>
      </c>
      <c r="F507" s="24">
        <v>44964.0</v>
      </c>
      <c r="G507" s="6">
        <v>16.0</v>
      </c>
      <c r="H507" s="9" t="str">
        <f>VLOOKUP(revenue[productID],products[],2,FALSE)</f>
        <v>Pavlova</v>
      </c>
      <c r="I507" s="9" t="str">
        <f>VLOOKUP(revenue[productID],products[],12,FALSE)</f>
        <v>Confections</v>
      </c>
      <c r="J507" s="9">
        <f>VLOOKUP(revenue[productID],products[],IF(YEAR(revenue[orderDate])=2022,8,IF(YEAR(revenue[orderDate])=2023,9,IF(YEAR(revenue[orderDate])=2024,10,NA))),FALSE)</f>
        <v>11.98504839</v>
      </c>
      <c r="K507" s="9">
        <v>13.9</v>
      </c>
      <c r="L507" s="25">
        <f>(revenue[orderPrice]-revenue[productCost])/revenue[productCost]</f>
        <v>0.1597783792</v>
      </c>
      <c r="M507" s="10">
        <v>16.0</v>
      </c>
      <c r="N507" s="25">
        <v>0.0</v>
      </c>
      <c r="O507" s="9">
        <f>revenue[orderPrice]*revenue[orderQuantity]</f>
        <v>222.4</v>
      </c>
      <c r="P507" s="9">
        <f>revenue[orderTotal]*(1-revenue[discountApllied])</f>
        <v>222.4</v>
      </c>
      <c r="Q507" s="9">
        <f>revenue[revenue]-(revenue[productCost]*revenue[orderQuantity])</f>
        <v>30.63922572</v>
      </c>
      <c r="R507" s="25">
        <f>IFERROR(revenue[profit]/revenue[revenue], 0)</f>
        <v>0.1377663027</v>
      </c>
      <c r="S507" s="9">
        <f>revenue[productCost]*revenue[orderQuantity]</f>
        <v>191.7607743</v>
      </c>
    </row>
    <row r="508" ht="15.75" customHeight="1">
      <c r="A508" s="6">
        <v>10439.0</v>
      </c>
      <c r="B508" s="7" t="s">
        <v>64</v>
      </c>
      <c r="C508" s="24" t="str">
        <f>VLOOKUP(revenue[customerID],customers[],2,FALSE)</f>
        <v>Mère Paillarde</v>
      </c>
      <c r="D508" s="24" t="str">
        <f>VLOOKUP(revenue[customerID],customers[],6,FALSE)</f>
        <v>Montréal</v>
      </c>
      <c r="E508" s="24" t="str">
        <f>VLOOKUP(revenue[customerID],customers[],9,FALSE)</f>
        <v>Canada</v>
      </c>
      <c r="F508" s="24">
        <v>44964.0</v>
      </c>
      <c r="G508" s="6">
        <v>64.0</v>
      </c>
      <c r="H508" s="9" t="str">
        <f>VLOOKUP(revenue[productID],products[],2,FALSE)</f>
        <v>Lukas' leckere Sauerteigweggla</v>
      </c>
      <c r="I508" s="9" t="str">
        <f>VLOOKUP(revenue[productID],products[],12,FALSE)</f>
        <v>Grains/Cereals</v>
      </c>
      <c r="J508" s="9">
        <f>VLOOKUP(revenue[productID],products[],IF(YEAR(revenue[orderDate])=2022,8,IF(YEAR(revenue[orderDate])=2023,9,IF(YEAR(revenue[orderDate])=2024,10,NA))),FALSE)</f>
        <v>21.88572728</v>
      </c>
      <c r="K508" s="9">
        <v>26.6</v>
      </c>
      <c r="L508" s="25">
        <f>(revenue[orderPrice]-revenue[productCost])/revenue[productCost]</f>
        <v>0.2154039779</v>
      </c>
      <c r="M508" s="10">
        <v>6.0</v>
      </c>
      <c r="N508" s="25">
        <v>0.0</v>
      </c>
      <c r="O508" s="9">
        <f>revenue[orderPrice]*revenue[orderQuantity]</f>
        <v>159.6</v>
      </c>
      <c r="P508" s="9">
        <f>revenue[orderTotal]*(1-revenue[discountApllied])</f>
        <v>159.6</v>
      </c>
      <c r="Q508" s="9">
        <f>revenue[revenue]-(revenue[productCost]*revenue[orderQuantity])</f>
        <v>28.2856363</v>
      </c>
      <c r="R508" s="25">
        <f>IFERROR(revenue[profit]/revenue[revenue], 0)</f>
        <v>0.1772282976</v>
      </c>
      <c r="S508" s="9">
        <f>revenue[productCost]*revenue[orderQuantity]</f>
        <v>131.3143637</v>
      </c>
    </row>
    <row r="509" ht="15.75" customHeight="1">
      <c r="A509" s="6">
        <v>10439.0</v>
      </c>
      <c r="B509" s="7" t="s">
        <v>64</v>
      </c>
      <c r="C509" s="24" t="str">
        <f>VLOOKUP(revenue[customerID],customers[],2,FALSE)</f>
        <v>Mère Paillarde</v>
      </c>
      <c r="D509" s="24" t="str">
        <f>VLOOKUP(revenue[customerID],customers[],6,FALSE)</f>
        <v>Montréal</v>
      </c>
      <c r="E509" s="24" t="str">
        <f>VLOOKUP(revenue[customerID],customers[],9,FALSE)</f>
        <v>Canada</v>
      </c>
      <c r="F509" s="24">
        <v>44964.0</v>
      </c>
      <c r="G509" s="6">
        <v>74.0</v>
      </c>
      <c r="H509" s="9" t="str">
        <f>VLOOKUP(revenue[productID],products[],2,FALSE)</f>
        <v>Longlife Tofu</v>
      </c>
      <c r="I509" s="9" t="str">
        <f>VLOOKUP(revenue[productID],products[],12,FALSE)</f>
        <v>Produce</v>
      </c>
      <c r="J509" s="9">
        <f>VLOOKUP(revenue[productID],products[],IF(YEAR(revenue[orderDate])=2022,8,IF(YEAR(revenue[orderDate])=2023,9,IF(YEAR(revenue[orderDate])=2024,10,NA))),FALSE)</f>
        <v>6.510240467</v>
      </c>
      <c r="K509" s="9">
        <v>8.0</v>
      </c>
      <c r="L509" s="25">
        <f>(revenue[orderPrice]-revenue[productCost])/revenue[productCost]</f>
        <v>0.2288332575</v>
      </c>
      <c r="M509" s="10">
        <v>30.0</v>
      </c>
      <c r="N509" s="25">
        <v>0.0</v>
      </c>
      <c r="O509" s="9">
        <f>revenue[orderPrice]*revenue[orderQuantity]</f>
        <v>240</v>
      </c>
      <c r="P509" s="9">
        <f>revenue[orderTotal]*(1-revenue[discountApllied])</f>
        <v>240</v>
      </c>
      <c r="Q509" s="9">
        <f>revenue[revenue]-(revenue[productCost]*revenue[orderQuantity])</f>
        <v>44.692786</v>
      </c>
      <c r="R509" s="25">
        <f>IFERROR(revenue[profit]/revenue[revenue], 0)</f>
        <v>0.1862199417</v>
      </c>
      <c r="S509" s="9">
        <f>revenue[productCost]*revenue[orderQuantity]</f>
        <v>195.307214</v>
      </c>
    </row>
    <row r="510" ht="15.75" customHeight="1">
      <c r="A510" s="6">
        <v>10440.0</v>
      </c>
      <c r="B510" s="7" t="s">
        <v>60</v>
      </c>
      <c r="C510" s="24" t="str">
        <f>VLOOKUP(revenue[customerID],customers[],2,FALSE)</f>
        <v>Save-a-lot Markets</v>
      </c>
      <c r="D510" s="24" t="str">
        <f>VLOOKUP(revenue[customerID],customers[],6,FALSE)</f>
        <v>Boise</v>
      </c>
      <c r="E510" s="24" t="str">
        <f>VLOOKUP(revenue[customerID],customers[],9,FALSE)</f>
        <v>USA</v>
      </c>
      <c r="F510" s="24">
        <v>44967.0</v>
      </c>
      <c r="G510" s="6">
        <v>2.0</v>
      </c>
      <c r="H510" s="9" t="str">
        <f>VLOOKUP(revenue[productID],products[],2,FALSE)</f>
        <v>Chang</v>
      </c>
      <c r="I510" s="9" t="str">
        <f>VLOOKUP(revenue[productID],products[],12,FALSE)</f>
        <v>Beverages</v>
      </c>
      <c r="J510" s="9">
        <f>VLOOKUP(revenue[productID],products[],IF(YEAR(revenue[orderDate])=2022,8,IF(YEAR(revenue[orderDate])=2023,9,IF(YEAR(revenue[orderDate])=2024,10,NA))),FALSE)</f>
        <v>12.14626904</v>
      </c>
      <c r="K510" s="9">
        <v>15.2</v>
      </c>
      <c r="L510" s="25">
        <f>(revenue[orderPrice]-revenue[productCost])/revenue[productCost]</f>
        <v>0.2514130837</v>
      </c>
      <c r="M510" s="10">
        <v>45.0</v>
      </c>
      <c r="N510" s="25">
        <v>0.15</v>
      </c>
      <c r="O510" s="9">
        <f>revenue[orderPrice]*revenue[orderQuantity]</f>
        <v>684</v>
      </c>
      <c r="P510" s="9">
        <f>revenue[orderTotal]*(1-revenue[discountApllied])</f>
        <v>581.4</v>
      </c>
      <c r="Q510" s="9">
        <f>revenue[revenue]-(revenue[productCost]*revenue[orderQuantity])</f>
        <v>34.81789302</v>
      </c>
      <c r="R510" s="25">
        <f>IFERROR(revenue[profit]/revenue[revenue], 0)</f>
        <v>0.05988629691</v>
      </c>
      <c r="S510" s="9">
        <f>revenue[productCost]*revenue[orderQuantity]</f>
        <v>546.582107</v>
      </c>
    </row>
    <row r="511" ht="15.75" customHeight="1">
      <c r="A511" s="6">
        <v>10440.0</v>
      </c>
      <c r="B511" s="7" t="s">
        <v>60</v>
      </c>
      <c r="C511" s="24" t="str">
        <f>VLOOKUP(revenue[customerID],customers[],2,FALSE)</f>
        <v>Save-a-lot Markets</v>
      </c>
      <c r="D511" s="24" t="str">
        <f>VLOOKUP(revenue[customerID],customers[],6,FALSE)</f>
        <v>Boise</v>
      </c>
      <c r="E511" s="24" t="str">
        <f>VLOOKUP(revenue[customerID],customers[],9,FALSE)</f>
        <v>USA</v>
      </c>
      <c r="F511" s="24">
        <v>44967.0</v>
      </c>
      <c r="G511" s="6">
        <v>16.0</v>
      </c>
      <c r="H511" s="9" t="str">
        <f>VLOOKUP(revenue[productID],products[],2,FALSE)</f>
        <v>Pavlova</v>
      </c>
      <c r="I511" s="9" t="str">
        <f>VLOOKUP(revenue[productID],products[],12,FALSE)</f>
        <v>Confections</v>
      </c>
      <c r="J511" s="9">
        <f>VLOOKUP(revenue[productID],products[],IF(YEAR(revenue[orderDate])=2022,8,IF(YEAR(revenue[orderDate])=2023,9,IF(YEAR(revenue[orderDate])=2024,10,NA))),FALSE)</f>
        <v>11.98504839</v>
      </c>
      <c r="K511" s="9">
        <v>13.9</v>
      </c>
      <c r="L511" s="25">
        <f>(revenue[orderPrice]-revenue[productCost])/revenue[productCost]</f>
        <v>0.1597783792</v>
      </c>
      <c r="M511" s="10">
        <v>49.0</v>
      </c>
      <c r="N511" s="25">
        <v>0.15</v>
      </c>
      <c r="O511" s="9">
        <f>revenue[orderPrice]*revenue[orderQuantity]</f>
        <v>681.1</v>
      </c>
      <c r="P511" s="9">
        <f>revenue[orderTotal]*(1-revenue[discountApllied])</f>
        <v>578.935</v>
      </c>
      <c r="Q511" s="9">
        <f>revenue[revenue]-(revenue[productCost]*revenue[orderQuantity])</f>
        <v>-8.332371247</v>
      </c>
      <c r="R511" s="25">
        <f>IFERROR(revenue[profit]/revenue[revenue], 0)</f>
        <v>-0.01439258509</v>
      </c>
      <c r="S511" s="9">
        <f>revenue[productCost]*revenue[orderQuantity]</f>
        <v>587.2673712</v>
      </c>
    </row>
    <row r="512" ht="15.75" customHeight="1">
      <c r="A512" s="6">
        <v>10440.0</v>
      </c>
      <c r="B512" s="7" t="s">
        <v>60</v>
      </c>
      <c r="C512" s="24" t="str">
        <f>VLOOKUP(revenue[customerID],customers[],2,FALSE)</f>
        <v>Save-a-lot Markets</v>
      </c>
      <c r="D512" s="24" t="str">
        <f>VLOOKUP(revenue[customerID],customers[],6,FALSE)</f>
        <v>Boise</v>
      </c>
      <c r="E512" s="24" t="str">
        <f>VLOOKUP(revenue[customerID],customers[],9,FALSE)</f>
        <v>USA</v>
      </c>
      <c r="F512" s="24">
        <v>44967.0</v>
      </c>
      <c r="G512" s="6">
        <v>29.0</v>
      </c>
      <c r="H512" s="9" t="str">
        <f>VLOOKUP(revenue[productID],products[],2,FALSE)</f>
        <v>Thüringer Rostbratwurst</v>
      </c>
      <c r="I512" s="9" t="str">
        <f>VLOOKUP(revenue[productID],products[],12,FALSE)</f>
        <v>Meat/Poultry</v>
      </c>
      <c r="J512" s="9">
        <f>VLOOKUP(revenue[productID],products[],IF(YEAR(revenue[orderDate])=2022,8,IF(YEAR(revenue[orderDate])=2023,9,IF(YEAR(revenue[orderDate])=2024,10,NA))),FALSE)</f>
        <v>80.85619497</v>
      </c>
      <c r="K512" s="9">
        <v>99.0</v>
      </c>
      <c r="L512" s="25">
        <f>(revenue[orderPrice]-revenue[productCost])/revenue[productCost]</f>
        <v>0.224395979</v>
      </c>
      <c r="M512" s="10">
        <v>24.0</v>
      </c>
      <c r="N512" s="25">
        <v>0.15</v>
      </c>
      <c r="O512" s="9">
        <f>revenue[orderPrice]*revenue[orderQuantity]</f>
        <v>2376</v>
      </c>
      <c r="P512" s="9">
        <f>revenue[orderTotal]*(1-revenue[discountApllied])</f>
        <v>2019.6</v>
      </c>
      <c r="Q512" s="9">
        <f>revenue[revenue]-(revenue[productCost]*revenue[orderQuantity])</f>
        <v>79.05132072</v>
      </c>
      <c r="R512" s="25">
        <f>IFERROR(revenue[profit]/revenue[revenue], 0)</f>
        <v>0.0391420681</v>
      </c>
      <c r="S512" s="9">
        <f>revenue[productCost]*revenue[orderQuantity]</f>
        <v>1940.548679</v>
      </c>
    </row>
    <row r="513" ht="15.75" customHeight="1">
      <c r="A513" s="6">
        <v>10440.0</v>
      </c>
      <c r="B513" s="7" t="s">
        <v>60</v>
      </c>
      <c r="C513" s="24" t="str">
        <f>VLOOKUP(revenue[customerID],customers[],2,FALSE)</f>
        <v>Save-a-lot Markets</v>
      </c>
      <c r="D513" s="24" t="str">
        <f>VLOOKUP(revenue[customerID],customers[],6,FALSE)</f>
        <v>Boise</v>
      </c>
      <c r="E513" s="24" t="str">
        <f>VLOOKUP(revenue[customerID],customers[],9,FALSE)</f>
        <v>USA</v>
      </c>
      <c r="F513" s="24">
        <v>44967.0</v>
      </c>
      <c r="G513" s="6">
        <v>61.0</v>
      </c>
      <c r="H513" s="9" t="str">
        <f>VLOOKUP(revenue[productID],products[],2,FALSE)</f>
        <v>Sirop d'érable</v>
      </c>
      <c r="I513" s="9" t="str">
        <f>VLOOKUP(revenue[productID],products[],12,FALSE)</f>
        <v>Condiments</v>
      </c>
      <c r="J513" s="9">
        <f>VLOOKUP(revenue[productID],products[],IF(YEAR(revenue[orderDate])=2022,8,IF(YEAR(revenue[orderDate])=2023,9,IF(YEAR(revenue[orderDate])=2024,10,NA))),FALSE)</f>
        <v>17.19945448</v>
      </c>
      <c r="K513" s="9">
        <v>22.8</v>
      </c>
      <c r="L513" s="25">
        <f>(revenue[orderPrice]-revenue[productCost])/revenue[productCost]</f>
        <v>0.3256234389</v>
      </c>
      <c r="M513" s="10">
        <v>90.0</v>
      </c>
      <c r="N513" s="25">
        <v>0.15</v>
      </c>
      <c r="O513" s="9">
        <f>revenue[orderPrice]*revenue[orderQuantity]</f>
        <v>2052</v>
      </c>
      <c r="P513" s="9">
        <f>revenue[orderTotal]*(1-revenue[discountApllied])</f>
        <v>1744.2</v>
      </c>
      <c r="Q513" s="9">
        <f>revenue[revenue]-(revenue[productCost]*revenue[orderQuantity])</f>
        <v>196.2490964</v>
      </c>
      <c r="R513" s="25">
        <f>IFERROR(revenue[profit]/revenue[revenue], 0)</f>
        <v>0.1125152485</v>
      </c>
      <c r="S513" s="9">
        <f>revenue[productCost]*revenue[orderQuantity]</f>
        <v>1547.950904</v>
      </c>
    </row>
    <row r="514" ht="15.75" customHeight="1">
      <c r="A514" s="6">
        <v>10441.0</v>
      </c>
      <c r="B514" s="7" t="s">
        <v>52</v>
      </c>
      <c r="C514" s="24" t="str">
        <f>VLOOKUP(revenue[customerID],customers[],2,FALSE)</f>
        <v>Old World Delicatessen</v>
      </c>
      <c r="D514" s="24" t="str">
        <f>VLOOKUP(revenue[customerID],customers[],6,FALSE)</f>
        <v>Anchorage</v>
      </c>
      <c r="E514" s="24" t="str">
        <f>VLOOKUP(revenue[customerID],customers[],9,FALSE)</f>
        <v>USA</v>
      </c>
      <c r="F514" s="24">
        <v>44967.0</v>
      </c>
      <c r="G514" s="6">
        <v>27.0</v>
      </c>
      <c r="H514" s="9" t="str">
        <f>VLOOKUP(revenue[productID],products[],2,FALSE)</f>
        <v>Schoggi Schokolade</v>
      </c>
      <c r="I514" s="9" t="str">
        <f>VLOOKUP(revenue[productID],products[],12,FALSE)</f>
        <v>Confections</v>
      </c>
      <c r="J514" s="9">
        <f>VLOOKUP(revenue[productID],products[],IF(YEAR(revenue[orderDate])=2022,8,IF(YEAR(revenue[orderDate])=2023,9,IF(YEAR(revenue[orderDate])=2024,10,NA))),FALSE)</f>
        <v>32.29103982</v>
      </c>
      <c r="K514" s="9">
        <v>35.1</v>
      </c>
      <c r="L514" s="25">
        <f>(revenue[orderPrice]-revenue[productCost])/revenue[productCost]</f>
        <v>0.08698884263</v>
      </c>
      <c r="M514" s="10">
        <v>50.0</v>
      </c>
      <c r="N514" s="25">
        <v>0.0</v>
      </c>
      <c r="O514" s="9">
        <f>revenue[orderPrice]*revenue[orderQuantity]</f>
        <v>1755</v>
      </c>
      <c r="P514" s="9">
        <f>revenue[orderTotal]*(1-revenue[discountApllied])</f>
        <v>1755</v>
      </c>
      <c r="Q514" s="9">
        <f>revenue[revenue]-(revenue[productCost]*revenue[orderQuantity])</f>
        <v>140.4480091</v>
      </c>
      <c r="R514" s="25">
        <f>IFERROR(revenue[profit]/revenue[revenue], 0)</f>
        <v>0.08002735559</v>
      </c>
      <c r="S514" s="9">
        <f>revenue[productCost]*revenue[orderQuantity]</f>
        <v>1614.551991</v>
      </c>
    </row>
    <row r="515" ht="15.75" customHeight="1">
      <c r="A515" s="6">
        <v>10442.0</v>
      </c>
      <c r="B515" s="7" t="s">
        <v>24</v>
      </c>
      <c r="C515" s="24" t="str">
        <f>VLOOKUP(revenue[customerID],customers[],2,FALSE)</f>
        <v>Ernst Handel</v>
      </c>
      <c r="D515" s="24" t="str">
        <f>VLOOKUP(revenue[customerID],customers[],6,FALSE)</f>
        <v>Graz</v>
      </c>
      <c r="E515" s="24" t="str">
        <f>VLOOKUP(revenue[customerID],customers[],9,FALSE)</f>
        <v>Austria</v>
      </c>
      <c r="F515" s="24">
        <v>44968.0</v>
      </c>
      <c r="G515" s="6">
        <v>11.0</v>
      </c>
      <c r="H515" s="9" t="str">
        <f>VLOOKUP(revenue[productID],products[],2,FALSE)</f>
        <v>Queso Cabrales</v>
      </c>
      <c r="I515" s="9" t="str">
        <f>VLOOKUP(revenue[productID],products[],12,FALSE)</f>
        <v>Dairy Products</v>
      </c>
      <c r="J515" s="9">
        <f>VLOOKUP(revenue[productID],products[],IF(YEAR(revenue[orderDate])=2022,8,IF(YEAR(revenue[orderDate])=2023,9,IF(YEAR(revenue[orderDate])=2024,10,NA))),FALSE)</f>
        <v>12.90188125</v>
      </c>
      <c r="K515" s="9">
        <v>16.8</v>
      </c>
      <c r="L515" s="25">
        <f>(revenue[orderPrice]-revenue[productCost])/revenue[productCost]</f>
        <v>0.3021356863</v>
      </c>
      <c r="M515" s="10">
        <v>30.0</v>
      </c>
      <c r="N515" s="25">
        <v>0.0</v>
      </c>
      <c r="O515" s="9">
        <f>revenue[orderPrice]*revenue[orderQuantity]</f>
        <v>504</v>
      </c>
      <c r="P515" s="9">
        <f>revenue[orderTotal]*(1-revenue[discountApllied])</f>
        <v>504</v>
      </c>
      <c r="Q515" s="9">
        <f>revenue[revenue]-(revenue[productCost]*revenue[orderQuantity])</f>
        <v>116.9435624</v>
      </c>
      <c r="R515" s="25">
        <f>IFERROR(revenue[profit]/revenue[revenue], 0)</f>
        <v>0.2320308778</v>
      </c>
      <c r="S515" s="9">
        <f>revenue[productCost]*revenue[orderQuantity]</f>
        <v>387.0564376</v>
      </c>
    </row>
    <row r="516" ht="15.75" customHeight="1">
      <c r="A516" s="6">
        <v>10442.0</v>
      </c>
      <c r="B516" s="7" t="s">
        <v>24</v>
      </c>
      <c r="C516" s="24" t="str">
        <f>VLOOKUP(revenue[customerID],customers[],2,FALSE)</f>
        <v>Ernst Handel</v>
      </c>
      <c r="D516" s="24" t="str">
        <f>VLOOKUP(revenue[customerID],customers[],6,FALSE)</f>
        <v>Graz</v>
      </c>
      <c r="E516" s="24" t="str">
        <f>VLOOKUP(revenue[customerID],customers[],9,FALSE)</f>
        <v>Austria</v>
      </c>
      <c r="F516" s="24">
        <v>44968.0</v>
      </c>
      <c r="G516" s="6">
        <v>54.0</v>
      </c>
      <c r="H516" s="9" t="str">
        <f>VLOOKUP(revenue[productID],products[],2,FALSE)</f>
        <v>Tourtière</v>
      </c>
      <c r="I516" s="9" t="str">
        <f>VLOOKUP(revenue[productID],products[],12,FALSE)</f>
        <v>Meat/Poultry</v>
      </c>
      <c r="J516" s="9">
        <f>VLOOKUP(revenue[productID],products[],IF(YEAR(revenue[orderDate])=2022,8,IF(YEAR(revenue[orderDate])=2023,9,IF(YEAR(revenue[orderDate])=2024,10,NA))),FALSE)</f>
        <v>4.924447797</v>
      </c>
      <c r="K516" s="9">
        <v>5.9</v>
      </c>
      <c r="L516" s="25">
        <f>(revenue[orderPrice]-revenue[productCost])/revenue[productCost]</f>
        <v>0.1981038774</v>
      </c>
      <c r="M516" s="10">
        <v>80.0</v>
      </c>
      <c r="N516" s="25">
        <v>0.0</v>
      </c>
      <c r="O516" s="9">
        <f>revenue[orderPrice]*revenue[orderQuantity]</f>
        <v>472</v>
      </c>
      <c r="P516" s="9">
        <f>revenue[orderTotal]*(1-revenue[discountApllied])</f>
        <v>472</v>
      </c>
      <c r="Q516" s="9">
        <f>revenue[revenue]-(revenue[productCost]*revenue[orderQuantity])</f>
        <v>78.04417623</v>
      </c>
      <c r="R516" s="25">
        <f>IFERROR(revenue[profit]/revenue[revenue], 0)</f>
        <v>0.165347831</v>
      </c>
      <c r="S516" s="9">
        <f>revenue[productCost]*revenue[orderQuantity]</f>
        <v>393.9558238</v>
      </c>
    </row>
    <row r="517" ht="15.75" customHeight="1">
      <c r="A517" s="6">
        <v>10442.0</v>
      </c>
      <c r="B517" s="7" t="s">
        <v>24</v>
      </c>
      <c r="C517" s="24" t="str">
        <f>VLOOKUP(revenue[customerID],customers[],2,FALSE)</f>
        <v>Ernst Handel</v>
      </c>
      <c r="D517" s="24" t="str">
        <f>VLOOKUP(revenue[customerID],customers[],6,FALSE)</f>
        <v>Graz</v>
      </c>
      <c r="E517" s="24" t="str">
        <f>VLOOKUP(revenue[customerID],customers[],9,FALSE)</f>
        <v>Austria</v>
      </c>
      <c r="F517" s="24">
        <v>44968.0</v>
      </c>
      <c r="G517" s="6">
        <v>66.0</v>
      </c>
      <c r="H517" s="9" t="str">
        <f>VLOOKUP(revenue[productID],products[],2,FALSE)</f>
        <v>Louisiana Hot Spiced Okra</v>
      </c>
      <c r="I517" s="9" t="str">
        <f>VLOOKUP(revenue[productID],products[],12,FALSE)</f>
        <v>Condiments</v>
      </c>
      <c r="J517" s="9">
        <f>VLOOKUP(revenue[productID],products[],IF(YEAR(revenue[orderDate])=2022,8,IF(YEAR(revenue[orderDate])=2023,9,IF(YEAR(revenue[orderDate])=2024,10,NA))),FALSE)</f>
        <v>10.17313149</v>
      </c>
      <c r="K517" s="9">
        <v>13.6</v>
      </c>
      <c r="L517" s="25">
        <f>(revenue[orderPrice]-revenue[productCost])/revenue[productCost]</f>
        <v>0.3368548334</v>
      </c>
      <c r="M517" s="10">
        <v>60.0</v>
      </c>
      <c r="N517" s="25">
        <v>0.0</v>
      </c>
      <c r="O517" s="9">
        <f>revenue[orderPrice]*revenue[orderQuantity]</f>
        <v>816</v>
      </c>
      <c r="P517" s="9">
        <f>revenue[orderTotal]*(1-revenue[discountApllied])</f>
        <v>816</v>
      </c>
      <c r="Q517" s="9">
        <f>revenue[revenue]-(revenue[productCost]*revenue[orderQuantity])</f>
        <v>205.6121107</v>
      </c>
      <c r="R517" s="25">
        <f>IFERROR(revenue[profit]/revenue[revenue], 0)</f>
        <v>0.2519756259</v>
      </c>
      <c r="S517" s="9">
        <f>revenue[productCost]*revenue[orderQuantity]</f>
        <v>610.3878893</v>
      </c>
    </row>
    <row r="518" ht="15.75" customHeight="1">
      <c r="A518" s="6">
        <v>10443.0</v>
      </c>
      <c r="B518" s="7" t="s">
        <v>45</v>
      </c>
      <c r="C518" s="24" t="str">
        <f>VLOOKUP(revenue[customerID],customers[],2,FALSE)</f>
        <v>Reggiani Caseifici</v>
      </c>
      <c r="D518" s="24" t="str">
        <f>VLOOKUP(revenue[customerID],customers[],6,FALSE)</f>
        <v>Reggio Emilia</v>
      </c>
      <c r="E518" s="24" t="str">
        <f>VLOOKUP(revenue[customerID],customers[],9,FALSE)</f>
        <v>Italy</v>
      </c>
      <c r="F518" s="24">
        <v>44969.0</v>
      </c>
      <c r="G518" s="6">
        <v>11.0</v>
      </c>
      <c r="H518" s="9" t="str">
        <f>VLOOKUP(revenue[productID],products[],2,FALSE)</f>
        <v>Queso Cabrales</v>
      </c>
      <c r="I518" s="9" t="str">
        <f>VLOOKUP(revenue[productID],products[],12,FALSE)</f>
        <v>Dairy Products</v>
      </c>
      <c r="J518" s="9">
        <f>VLOOKUP(revenue[productID],products[],IF(YEAR(revenue[orderDate])=2022,8,IF(YEAR(revenue[orderDate])=2023,9,IF(YEAR(revenue[orderDate])=2024,10,NA))),FALSE)</f>
        <v>12.90188125</v>
      </c>
      <c r="K518" s="9">
        <v>16.8</v>
      </c>
      <c r="L518" s="25">
        <f>(revenue[orderPrice]-revenue[productCost])/revenue[productCost]</f>
        <v>0.3021356863</v>
      </c>
      <c r="M518" s="10">
        <v>6.0</v>
      </c>
      <c r="N518" s="25">
        <v>0.2</v>
      </c>
      <c r="O518" s="9">
        <f>revenue[orderPrice]*revenue[orderQuantity]</f>
        <v>100.8</v>
      </c>
      <c r="P518" s="9">
        <f>revenue[orderTotal]*(1-revenue[discountApllied])</f>
        <v>80.64</v>
      </c>
      <c r="Q518" s="9">
        <f>revenue[revenue]-(revenue[productCost]*revenue[orderQuantity])</f>
        <v>3.228712484</v>
      </c>
      <c r="R518" s="25">
        <f>IFERROR(revenue[profit]/revenue[revenue], 0)</f>
        <v>0.04003859727</v>
      </c>
      <c r="S518" s="9">
        <f>revenue[productCost]*revenue[orderQuantity]</f>
        <v>77.41128752</v>
      </c>
    </row>
    <row r="519" ht="15.75" customHeight="1">
      <c r="A519" s="6">
        <v>10443.0</v>
      </c>
      <c r="B519" s="7" t="s">
        <v>45</v>
      </c>
      <c r="C519" s="24" t="str">
        <f>VLOOKUP(revenue[customerID],customers[],2,FALSE)</f>
        <v>Reggiani Caseifici</v>
      </c>
      <c r="D519" s="24" t="str">
        <f>VLOOKUP(revenue[customerID],customers[],6,FALSE)</f>
        <v>Reggio Emilia</v>
      </c>
      <c r="E519" s="24" t="str">
        <f>VLOOKUP(revenue[customerID],customers[],9,FALSE)</f>
        <v>Italy</v>
      </c>
      <c r="F519" s="24">
        <v>44969.0</v>
      </c>
      <c r="G519" s="6">
        <v>28.0</v>
      </c>
      <c r="H519" s="9" t="str">
        <f>VLOOKUP(revenue[productID],products[],2,FALSE)</f>
        <v>Rössle Sauerkraut</v>
      </c>
      <c r="I519" s="9" t="str">
        <f>VLOOKUP(revenue[productID],products[],12,FALSE)</f>
        <v>Produce</v>
      </c>
      <c r="J519" s="9">
        <f>VLOOKUP(revenue[productID],products[],IF(YEAR(revenue[orderDate])=2022,8,IF(YEAR(revenue[orderDate])=2023,9,IF(YEAR(revenue[orderDate])=2024,10,NA))),FALSE)</f>
        <v>31.52644578</v>
      </c>
      <c r="K519" s="9">
        <v>36.4</v>
      </c>
      <c r="L519" s="25">
        <f>(revenue[orderPrice]-revenue[productCost])/revenue[productCost]</f>
        <v>0.1545862244</v>
      </c>
      <c r="M519" s="10">
        <v>12.0</v>
      </c>
      <c r="N519" s="25">
        <v>0.0</v>
      </c>
      <c r="O519" s="9">
        <f>revenue[orderPrice]*revenue[orderQuantity]</f>
        <v>436.8</v>
      </c>
      <c r="P519" s="9">
        <f>revenue[orderTotal]*(1-revenue[discountApllied])</f>
        <v>436.8</v>
      </c>
      <c r="Q519" s="9">
        <f>revenue[revenue]-(revenue[productCost]*revenue[orderQuantity])</f>
        <v>58.48265066</v>
      </c>
      <c r="R519" s="25">
        <f>IFERROR(revenue[profit]/revenue[revenue], 0)</f>
        <v>0.1338888522</v>
      </c>
      <c r="S519" s="9">
        <f>revenue[productCost]*revenue[orderQuantity]</f>
        <v>378.3173493</v>
      </c>
    </row>
    <row r="520" ht="15.75" customHeight="1">
      <c r="A520" s="6">
        <v>10444.0</v>
      </c>
      <c r="B520" s="7" t="s">
        <v>40</v>
      </c>
      <c r="C520" s="24" t="str">
        <f>VLOOKUP(revenue[customerID],customers[],2,FALSE)</f>
        <v>Berglunds snabbköp</v>
      </c>
      <c r="D520" s="24" t="str">
        <f>VLOOKUP(revenue[customerID],customers[],6,FALSE)</f>
        <v>Luleå</v>
      </c>
      <c r="E520" s="24" t="str">
        <f>VLOOKUP(revenue[customerID],customers[],9,FALSE)</f>
        <v>Sweden</v>
      </c>
      <c r="F520" s="24">
        <v>44969.0</v>
      </c>
      <c r="G520" s="6">
        <v>17.0</v>
      </c>
      <c r="H520" s="9" t="str">
        <f>VLOOKUP(revenue[productID],products[],2,FALSE)</f>
        <v>Alice Mutton</v>
      </c>
      <c r="I520" s="9" t="str">
        <f>VLOOKUP(revenue[productID],products[],12,FALSE)</f>
        <v>Meat/Poultry</v>
      </c>
      <c r="J520" s="9">
        <f>VLOOKUP(revenue[productID],products[],IF(YEAR(revenue[orderDate])=2022,8,IF(YEAR(revenue[orderDate])=2023,9,IF(YEAR(revenue[orderDate])=2024,10,NA))),FALSE)</f>
        <v>24.83130504</v>
      </c>
      <c r="K520" s="9">
        <v>31.2</v>
      </c>
      <c r="L520" s="25">
        <f>(revenue[orderPrice]-revenue[productCost])/revenue[productCost]</f>
        <v>0.2564784634</v>
      </c>
      <c r="M520" s="10">
        <v>10.0</v>
      </c>
      <c r="N520" s="25">
        <v>0.0</v>
      </c>
      <c r="O520" s="9">
        <f>revenue[orderPrice]*revenue[orderQuantity]</f>
        <v>312</v>
      </c>
      <c r="P520" s="9">
        <f>revenue[orderTotal]*(1-revenue[discountApllied])</f>
        <v>312</v>
      </c>
      <c r="Q520" s="9">
        <f>revenue[revenue]-(revenue[productCost]*revenue[orderQuantity])</f>
        <v>63.6869496</v>
      </c>
      <c r="R520" s="25">
        <f>IFERROR(revenue[profit]/revenue[revenue], 0)</f>
        <v>0.2041248385</v>
      </c>
      <c r="S520" s="9">
        <f>revenue[productCost]*revenue[orderQuantity]</f>
        <v>248.3130504</v>
      </c>
    </row>
    <row r="521" ht="15.75" customHeight="1">
      <c r="A521" s="6">
        <v>10444.0</v>
      </c>
      <c r="B521" s="7" t="s">
        <v>40</v>
      </c>
      <c r="C521" s="24" t="str">
        <f>VLOOKUP(revenue[customerID],customers[],2,FALSE)</f>
        <v>Berglunds snabbköp</v>
      </c>
      <c r="D521" s="24" t="str">
        <f>VLOOKUP(revenue[customerID],customers[],6,FALSE)</f>
        <v>Luleå</v>
      </c>
      <c r="E521" s="24" t="str">
        <f>VLOOKUP(revenue[customerID],customers[],9,FALSE)</f>
        <v>Sweden</v>
      </c>
      <c r="F521" s="24">
        <v>44969.0</v>
      </c>
      <c r="G521" s="6">
        <v>26.0</v>
      </c>
      <c r="H521" s="9" t="str">
        <f>VLOOKUP(revenue[productID],products[],2,FALSE)</f>
        <v>NuNuCa Nuß-Nougat-Creme</v>
      </c>
      <c r="I521" s="9" t="str">
        <f>VLOOKUP(revenue[productID],products[],12,FALSE)</f>
        <v>Confections</v>
      </c>
      <c r="J521" s="9">
        <f>VLOOKUP(revenue[productID],products[],IF(YEAR(revenue[orderDate])=2022,8,IF(YEAR(revenue[orderDate])=2023,9,IF(YEAR(revenue[orderDate])=2024,10,NA))),FALSE)</f>
        <v>21.20896201</v>
      </c>
      <c r="K521" s="9">
        <v>24.9</v>
      </c>
      <c r="L521" s="25">
        <f>(revenue[orderPrice]-revenue[productCost])/revenue[productCost]</f>
        <v>0.1740319958</v>
      </c>
      <c r="M521" s="10">
        <v>15.0</v>
      </c>
      <c r="N521" s="25">
        <v>0.0</v>
      </c>
      <c r="O521" s="9">
        <f>revenue[orderPrice]*revenue[orderQuantity]</f>
        <v>373.5</v>
      </c>
      <c r="P521" s="9">
        <f>revenue[orderTotal]*(1-revenue[discountApllied])</f>
        <v>373.5</v>
      </c>
      <c r="Q521" s="9">
        <f>revenue[revenue]-(revenue[productCost]*revenue[orderQuantity])</f>
        <v>55.36556981</v>
      </c>
      <c r="R521" s="25">
        <f>IFERROR(revenue[profit]/revenue[revenue], 0)</f>
        <v>0.1482344573</v>
      </c>
      <c r="S521" s="9">
        <f>revenue[productCost]*revenue[orderQuantity]</f>
        <v>318.1344302</v>
      </c>
    </row>
    <row r="522" ht="15.75" customHeight="1">
      <c r="A522" s="6">
        <v>10444.0</v>
      </c>
      <c r="B522" s="7" t="s">
        <v>40</v>
      </c>
      <c r="C522" s="24" t="str">
        <f>VLOOKUP(revenue[customerID],customers[],2,FALSE)</f>
        <v>Berglunds snabbköp</v>
      </c>
      <c r="D522" s="24" t="str">
        <f>VLOOKUP(revenue[customerID],customers[],6,FALSE)</f>
        <v>Luleå</v>
      </c>
      <c r="E522" s="24" t="str">
        <f>VLOOKUP(revenue[customerID],customers[],9,FALSE)</f>
        <v>Sweden</v>
      </c>
      <c r="F522" s="24">
        <v>44969.0</v>
      </c>
      <c r="G522" s="6">
        <v>35.0</v>
      </c>
      <c r="H522" s="9" t="str">
        <f>VLOOKUP(revenue[productID],products[],2,FALSE)</f>
        <v>Cold Brew Nitro</v>
      </c>
      <c r="I522" s="9" t="str">
        <f>VLOOKUP(revenue[productID],products[],12,FALSE)</f>
        <v>Beverages</v>
      </c>
      <c r="J522" s="9">
        <f>VLOOKUP(revenue[productID],products[],IF(YEAR(revenue[orderDate])=2022,8,IF(YEAR(revenue[orderDate])=2023,9,IF(YEAR(revenue[orderDate])=2024,10,NA))),FALSE)</f>
        <v>11.7602531</v>
      </c>
      <c r="K522" s="9">
        <v>14.4</v>
      </c>
      <c r="L522" s="25">
        <f>(revenue[orderPrice]-revenue[productCost])/revenue[productCost]</f>
        <v>0.2244634426</v>
      </c>
      <c r="M522" s="10">
        <v>8.0</v>
      </c>
      <c r="N522" s="25">
        <v>0.0</v>
      </c>
      <c r="O522" s="9">
        <f>revenue[orderPrice]*revenue[orderQuantity]</f>
        <v>115.2</v>
      </c>
      <c r="P522" s="9">
        <f>revenue[orderTotal]*(1-revenue[discountApllied])</f>
        <v>115.2</v>
      </c>
      <c r="Q522" s="9">
        <f>revenue[revenue]-(revenue[productCost]*revenue[orderQuantity])</f>
        <v>21.11797518</v>
      </c>
      <c r="R522" s="25">
        <f>IFERROR(revenue[profit]/revenue[revenue], 0)</f>
        <v>0.1833157568</v>
      </c>
      <c r="S522" s="9">
        <f>revenue[productCost]*revenue[orderQuantity]</f>
        <v>94.08202482</v>
      </c>
    </row>
    <row r="523" ht="15.75" customHeight="1">
      <c r="A523" s="6">
        <v>10444.0</v>
      </c>
      <c r="B523" s="7" t="s">
        <v>40</v>
      </c>
      <c r="C523" s="24" t="str">
        <f>VLOOKUP(revenue[customerID],customers[],2,FALSE)</f>
        <v>Berglunds snabbköp</v>
      </c>
      <c r="D523" s="24" t="str">
        <f>VLOOKUP(revenue[customerID],customers[],6,FALSE)</f>
        <v>Luleå</v>
      </c>
      <c r="E523" s="24" t="str">
        <f>VLOOKUP(revenue[customerID],customers[],9,FALSE)</f>
        <v>Sweden</v>
      </c>
      <c r="F523" s="24">
        <v>44969.0</v>
      </c>
      <c r="G523" s="6">
        <v>41.0</v>
      </c>
      <c r="H523" s="9" t="str">
        <f>VLOOKUP(revenue[productID],products[],2,FALSE)</f>
        <v>Jack's New England Clam Chowder</v>
      </c>
      <c r="I523" s="9" t="str">
        <f>VLOOKUP(revenue[productID],products[],12,FALSE)</f>
        <v>Seafood</v>
      </c>
      <c r="J523" s="9">
        <f>VLOOKUP(revenue[productID],products[],IF(YEAR(revenue[orderDate])=2022,8,IF(YEAR(revenue[orderDate])=2023,9,IF(YEAR(revenue[orderDate])=2024,10,NA))),FALSE)</f>
        <v>6.549914856</v>
      </c>
      <c r="K523" s="9">
        <v>7.7</v>
      </c>
      <c r="L523" s="25">
        <f>(revenue[orderPrice]-revenue[productCost])/revenue[productCost]</f>
        <v>0.1755878006</v>
      </c>
      <c r="M523" s="10">
        <v>30.0</v>
      </c>
      <c r="N523" s="25">
        <v>0.0</v>
      </c>
      <c r="O523" s="9">
        <f>revenue[orderPrice]*revenue[orderQuantity]</f>
        <v>231</v>
      </c>
      <c r="P523" s="9">
        <f>revenue[orderTotal]*(1-revenue[discountApllied])</f>
        <v>231</v>
      </c>
      <c r="Q523" s="9">
        <f>revenue[revenue]-(revenue[productCost]*revenue[orderQuantity])</f>
        <v>34.50255432</v>
      </c>
      <c r="R523" s="25">
        <f>IFERROR(revenue[profit]/revenue[revenue], 0)</f>
        <v>0.149361707</v>
      </c>
      <c r="S523" s="9">
        <f>revenue[productCost]*revenue[orderQuantity]</f>
        <v>196.4974457</v>
      </c>
    </row>
    <row r="524" ht="15.75" customHeight="1">
      <c r="A524" s="6">
        <v>10445.0</v>
      </c>
      <c r="B524" s="7" t="s">
        <v>40</v>
      </c>
      <c r="C524" s="24" t="str">
        <f>VLOOKUP(revenue[customerID],customers[],2,FALSE)</f>
        <v>Berglunds snabbköp</v>
      </c>
      <c r="D524" s="24" t="str">
        <f>VLOOKUP(revenue[customerID],customers[],6,FALSE)</f>
        <v>Luleå</v>
      </c>
      <c r="E524" s="24" t="str">
        <f>VLOOKUP(revenue[customerID],customers[],9,FALSE)</f>
        <v>Sweden</v>
      </c>
      <c r="F524" s="24">
        <v>44970.0</v>
      </c>
      <c r="G524" s="6">
        <v>39.0</v>
      </c>
      <c r="H524" s="9" t="str">
        <f>VLOOKUP(revenue[productID],products[],2,FALSE)</f>
        <v>Chartreuse verte</v>
      </c>
      <c r="I524" s="9" t="str">
        <f>VLOOKUP(revenue[productID],products[],12,FALSE)</f>
        <v>Beverages</v>
      </c>
      <c r="J524" s="9">
        <f>VLOOKUP(revenue[productID],products[],IF(YEAR(revenue[orderDate])=2022,8,IF(YEAR(revenue[orderDate])=2023,9,IF(YEAR(revenue[orderDate])=2024,10,NA))),FALSE)</f>
        <v>11.73311441</v>
      </c>
      <c r="K524" s="9">
        <v>14.4</v>
      </c>
      <c r="L524" s="25">
        <f>(revenue[orderPrice]-revenue[productCost])/revenue[productCost]</f>
        <v>0.2272956261</v>
      </c>
      <c r="M524" s="10">
        <v>6.0</v>
      </c>
      <c r="N524" s="25">
        <v>0.0</v>
      </c>
      <c r="O524" s="9">
        <f>revenue[orderPrice]*revenue[orderQuantity]</f>
        <v>86.4</v>
      </c>
      <c r="P524" s="9">
        <f>revenue[orderTotal]*(1-revenue[discountApllied])</f>
        <v>86.4</v>
      </c>
      <c r="Q524" s="9">
        <f>revenue[revenue]-(revenue[productCost]*revenue[orderQuantity])</f>
        <v>16.00131352</v>
      </c>
      <c r="R524" s="25">
        <f>IFERROR(revenue[profit]/revenue[revenue], 0)</f>
        <v>0.185200388</v>
      </c>
      <c r="S524" s="9">
        <f>revenue[productCost]*revenue[orderQuantity]</f>
        <v>70.39868648</v>
      </c>
    </row>
    <row r="525" ht="15.75" customHeight="1">
      <c r="A525" s="6">
        <v>10445.0</v>
      </c>
      <c r="B525" s="7" t="s">
        <v>40</v>
      </c>
      <c r="C525" s="24" t="str">
        <f>VLOOKUP(revenue[customerID],customers[],2,FALSE)</f>
        <v>Berglunds snabbköp</v>
      </c>
      <c r="D525" s="24" t="str">
        <f>VLOOKUP(revenue[customerID],customers[],6,FALSE)</f>
        <v>Luleå</v>
      </c>
      <c r="E525" s="24" t="str">
        <f>VLOOKUP(revenue[customerID],customers[],9,FALSE)</f>
        <v>Sweden</v>
      </c>
      <c r="F525" s="24">
        <v>44970.0</v>
      </c>
      <c r="G525" s="6">
        <v>54.0</v>
      </c>
      <c r="H525" s="9" t="str">
        <f>VLOOKUP(revenue[productID],products[],2,FALSE)</f>
        <v>Tourtière</v>
      </c>
      <c r="I525" s="9" t="str">
        <f>VLOOKUP(revenue[productID],products[],12,FALSE)</f>
        <v>Meat/Poultry</v>
      </c>
      <c r="J525" s="9">
        <f>VLOOKUP(revenue[productID],products[],IF(YEAR(revenue[orderDate])=2022,8,IF(YEAR(revenue[orderDate])=2023,9,IF(YEAR(revenue[orderDate])=2024,10,NA))),FALSE)</f>
        <v>4.924447797</v>
      </c>
      <c r="K525" s="9">
        <v>5.9</v>
      </c>
      <c r="L525" s="25">
        <f>(revenue[orderPrice]-revenue[productCost])/revenue[productCost]</f>
        <v>0.1981038774</v>
      </c>
      <c r="M525" s="10">
        <v>15.0</v>
      </c>
      <c r="N525" s="25">
        <v>0.0</v>
      </c>
      <c r="O525" s="9">
        <f>revenue[orderPrice]*revenue[orderQuantity]</f>
        <v>88.5</v>
      </c>
      <c r="P525" s="9">
        <f>revenue[orderTotal]*(1-revenue[discountApllied])</f>
        <v>88.5</v>
      </c>
      <c r="Q525" s="9">
        <f>revenue[revenue]-(revenue[productCost]*revenue[orderQuantity])</f>
        <v>14.63328304</v>
      </c>
      <c r="R525" s="25">
        <f>IFERROR(revenue[profit]/revenue[revenue], 0)</f>
        <v>0.165347831</v>
      </c>
      <c r="S525" s="9">
        <f>revenue[productCost]*revenue[orderQuantity]</f>
        <v>73.86671696</v>
      </c>
    </row>
    <row r="526" ht="15.75" customHeight="1">
      <c r="A526" s="6">
        <v>10446.0</v>
      </c>
      <c r="B526" s="7" t="s">
        <v>14</v>
      </c>
      <c r="C526" s="24" t="str">
        <f>VLOOKUP(revenue[customerID],customers[],2,FALSE)</f>
        <v>Toms Spezialitäten</v>
      </c>
      <c r="D526" s="24" t="str">
        <f>VLOOKUP(revenue[customerID],customers[],6,FALSE)</f>
        <v>Münster</v>
      </c>
      <c r="E526" s="24" t="str">
        <f>VLOOKUP(revenue[customerID],customers[],9,FALSE)</f>
        <v>Germany</v>
      </c>
      <c r="F526" s="24">
        <v>44971.0</v>
      </c>
      <c r="G526" s="6">
        <v>19.0</v>
      </c>
      <c r="H526" s="9" t="str">
        <f>VLOOKUP(revenue[productID],products[],2,FALSE)</f>
        <v>Teatime Chocolate Biscuits</v>
      </c>
      <c r="I526" s="9" t="str">
        <f>VLOOKUP(revenue[productID],products[],12,FALSE)</f>
        <v>Confections</v>
      </c>
      <c r="J526" s="9">
        <f>VLOOKUP(revenue[productID],products[],IF(YEAR(revenue[orderDate])=2022,8,IF(YEAR(revenue[orderDate])=2023,9,IF(YEAR(revenue[orderDate])=2024,10,NA))),FALSE)</f>
        <v>5.901883682</v>
      </c>
      <c r="K526" s="9">
        <v>7.3</v>
      </c>
      <c r="L526" s="25">
        <f>(revenue[orderPrice]-revenue[productCost])/revenue[productCost]</f>
        <v>0.2368932349</v>
      </c>
      <c r="M526" s="10">
        <v>12.0</v>
      </c>
      <c r="N526" s="25">
        <v>0.1</v>
      </c>
      <c r="O526" s="9">
        <f>revenue[orderPrice]*revenue[orderQuantity]</f>
        <v>87.6</v>
      </c>
      <c r="P526" s="9">
        <f>revenue[orderTotal]*(1-revenue[discountApllied])</f>
        <v>78.84</v>
      </c>
      <c r="Q526" s="9">
        <f>revenue[revenue]-(revenue[productCost]*revenue[orderQuantity])</f>
        <v>8.017395811</v>
      </c>
      <c r="R526" s="25">
        <f>IFERROR(revenue[profit]/revenue[revenue], 0)</f>
        <v>0.1016919814</v>
      </c>
      <c r="S526" s="9">
        <f>revenue[productCost]*revenue[orderQuantity]</f>
        <v>70.82260419</v>
      </c>
    </row>
    <row r="527" ht="15.75" customHeight="1">
      <c r="A527" s="6">
        <v>10446.0</v>
      </c>
      <c r="B527" s="7" t="s">
        <v>14</v>
      </c>
      <c r="C527" s="24" t="str">
        <f>VLOOKUP(revenue[customerID],customers[],2,FALSE)</f>
        <v>Toms Spezialitäten</v>
      </c>
      <c r="D527" s="24" t="str">
        <f>VLOOKUP(revenue[customerID],customers[],6,FALSE)</f>
        <v>Münster</v>
      </c>
      <c r="E527" s="24" t="str">
        <f>VLOOKUP(revenue[customerID],customers[],9,FALSE)</f>
        <v>Germany</v>
      </c>
      <c r="F527" s="24">
        <v>44971.0</v>
      </c>
      <c r="G527" s="6">
        <v>24.0</v>
      </c>
      <c r="H527" s="9" t="str">
        <f>VLOOKUP(revenue[productID],products[],2,FALSE)</f>
        <v>Brigadeiros Maravilhosos da Lilian</v>
      </c>
      <c r="I527" s="9" t="str">
        <f>VLOOKUP(revenue[productID],products[],12,FALSE)</f>
        <v>Confections</v>
      </c>
      <c r="J527" s="9">
        <f>VLOOKUP(revenue[productID],products[],IF(YEAR(revenue[orderDate])=2022,8,IF(YEAR(revenue[orderDate])=2023,9,IF(YEAR(revenue[orderDate])=2024,10,NA))),FALSE)</f>
        <v>3.131783363</v>
      </c>
      <c r="K527" s="9">
        <v>3.6</v>
      </c>
      <c r="L527" s="25">
        <f>(revenue[orderPrice]-revenue[productCost])/revenue[productCost]</f>
        <v>0.1495047974</v>
      </c>
      <c r="M527" s="10">
        <v>20.0</v>
      </c>
      <c r="N527" s="25">
        <v>0.1</v>
      </c>
      <c r="O527" s="9">
        <f>revenue[orderPrice]*revenue[orderQuantity]</f>
        <v>72</v>
      </c>
      <c r="P527" s="9">
        <f>revenue[orderTotal]*(1-revenue[discountApllied])</f>
        <v>64.8</v>
      </c>
      <c r="Q527" s="9">
        <f>revenue[revenue]-(revenue[productCost]*revenue[orderQuantity])</f>
        <v>2.164332741</v>
      </c>
      <c r="R527" s="25">
        <f>IFERROR(revenue[profit]/revenue[revenue], 0)</f>
        <v>0.03340019663</v>
      </c>
      <c r="S527" s="9">
        <f>revenue[productCost]*revenue[orderQuantity]</f>
        <v>62.63566726</v>
      </c>
    </row>
    <row r="528" ht="15.75" customHeight="1">
      <c r="A528" s="6">
        <v>10446.0</v>
      </c>
      <c r="B528" s="7" t="s">
        <v>14</v>
      </c>
      <c r="C528" s="24" t="str">
        <f>VLOOKUP(revenue[customerID],customers[],2,FALSE)</f>
        <v>Toms Spezialitäten</v>
      </c>
      <c r="D528" s="24" t="str">
        <f>VLOOKUP(revenue[customerID],customers[],6,FALSE)</f>
        <v>Münster</v>
      </c>
      <c r="E528" s="24" t="str">
        <f>VLOOKUP(revenue[customerID],customers[],9,FALSE)</f>
        <v>Germany</v>
      </c>
      <c r="F528" s="24">
        <v>44971.0</v>
      </c>
      <c r="G528" s="6">
        <v>31.0</v>
      </c>
      <c r="H528" s="9" t="str">
        <f>VLOOKUP(revenue[productID],products[],2,FALSE)</f>
        <v>Gorgonzola Telino</v>
      </c>
      <c r="I528" s="9" t="str">
        <f>VLOOKUP(revenue[productID],products[],12,FALSE)</f>
        <v>Dairy Products</v>
      </c>
      <c r="J528" s="9">
        <f>VLOOKUP(revenue[productID],products[],IF(YEAR(revenue[orderDate])=2022,8,IF(YEAR(revenue[orderDate])=2023,9,IF(YEAR(revenue[orderDate])=2024,10,NA))),FALSE)</f>
        <v>7.937729254</v>
      </c>
      <c r="K528" s="9">
        <v>10.0</v>
      </c>
      <c r="L528" s="25">
        <f>(revenue[orderPrice]-revenue[productCost])/revenue[productCost]</f>
        <v>0.2598061334</v>
      </c>
      <c r="M528" s="10">
        <v>3.0</v>
      </c>
      <c r="N528" s="25">
        <v>0.1</v>
      </c>
      <c r="O528" s="9">
        <f>revenue[orderPrice]*revenue[orderQuantity]</f>
        <v>30</v>
      </c>
      <c r="P528" s="9">
        <f>revenue[orderTotal]*(1-revenue[discountApllied])</f>
        <v>27</v>
      </c>
      <c r="Q528" s="9">
        <f>revenue[revenue]-(revenue[productCost]*revenue[orderQuantity])</f>
        <v>3.186812237</v>
      </c>
      <c r="R528" s="25">
        <f>IFERROR(revenue[profit]/revenue[revenue], 0)</f>
        <v>0.1180300829</v>
      </c>
      <c r="S528" s="9">
        <f>revenue[productCost]*revenue[orderQuantity]</f>
        <v>23.81318776</v>
      </c>
    </row>
    <row r="529" ht="15.75" customHeight="1">
      <c r="A529" s="6">
        <v>10446.0</v>
      </c>
      <c r="B529" s="7" t="s">
        <v>14</v>
      </c>
      <c r="C529" s="24" t="str">
        <f>VLOOKUP(revenue[customerID],customers[],2,FALSE)</f>
        <v>Toms Spezialitäten</v>
      </c>
      <c r="D529" s="24" t="str">
        <f>VLOOKUP(revenue[customerID],customers[],6,FALSE)</f>
        <v>Münster</v>
      </c>
      <c r="E529" s="24" t="str">
        <f>VLOOKUP(revenue[customerID],customers[],9,FALSE)</f>
        <v>Germany</v>
      </c>
      <c r="F529" s="24">
        <v>44971.0</v>
      </c>
      <c r="G529" s="6">
        <v>52.0</v>
      </c>
      <c r="H529" s="9" t="str">
        <f>VLOOKUP(revenue[productID],products[],2,FALSE)</f>
        <v>Filo Mix</v>
      </c>
      <c r="I529" s="9" t="str">
        <f>VLOOKUP(revenue[productID],products[],12,FALSE)</f>
        <v>Grains/Cereals</v>
      </c>
      <c r="J529" s="9">
        <f>VLOOKUP(revenue[productID],products[],IF(YEAR(revenue[orderDate])=2022,8,IF(YEAR(revenue[orderDate])=2023,9,IF(YEAR(revenue[orderDate])=2024,10,NA))),FALSE)</f>
        <v>5.001706713</v>
      </c>
      <c r="K529" s="9">
        <v>5.6</v>
      </c>
      <c r="L529" s="25">
        <f>(revenue[orderPrice]-revenue[productCost])/revenue[productCost]</f>
        <v>0.1196178268</v>
      </c>
      <c r="M529" s="10">
        <v>15.0</v>
      </c>
      <c r="N529" s="25">
        <v>0.1</v>
      </c>
      <c r="O529" s="9">
        <f>revenue[orderPrice]*revenue[orderQuantity]</f>
        <v>84</v>
      </c>
      <c r="P529" s="9">
        <f>revenue[orderTotal]*(1-revenue[discountApllied])</f>
        <v>75.6</v>
      </c>
      <c r="Q529" s="9">
        <f>revenue[revenue]-(revenue[productCost]*revenue[orderQuantity])</f>
        <v>0.574399309</v>
      </c>
      <c r="R529" s="25">
        <f>IFERROR(revenue[profit]/revenue[revenue], 0)</f>
        <v>0.007597874457</v>
      </c>
      <c r="S529" s="9">
        <f>revenue[productCost]*revenue[orderQuantity]</f>
        <v>75.02560069</v>
      </c>
    </row>
    <row r="530" ht="15.75" customHeight="1">
      <c r="A530" s="6">
        <v>10447.0</v>
      </c>
      <c r="B530" s="7" t="s">
        <v>44</v>
      </c>
      <c r="C530" s="24" t="str">
        <f>VLOOKUP(revenue[customerID],customers[],2,FALSE)</f>
        <v>Ricardo Adocicados</v>
      </c>
      <c r="D530" s="24" t="str">
        <f>VLOOKUP(revenue[customerID],customers[],6,FALSE)</f>
        <v>Rio de Janeiro</v>
      </c>
      <c r="E530" s="24" t="str">
        <f>VLOOKUP(revenue[customerID],customers[],9,FALSE)</f>
        <v>Brazil</v>
      </c>
      <c r="F530" s="24">
        <v>44971.0</v>
      </c>
      <c r="G530" s="6">
        <v>19.0</v>
      </c>
      <c r="H530" s="9" t="str">
        <f>VLOOKUP(revenue[productID],products[],2,FALSE)</f>
        <v>Teatime Chocolate Biscuits</v>
      </c>
      <c r="I530" s="9" t="str">
        <f>VLOOKUP(revenue[productID],products[],12,FALSE)</f>
        <v>Confections</v>
      </c>
      <c r="J530" s="9">
        <f>VLOOKUP(revenue[productID],products[],IF(YEAR(revenue[orderDate])=2022,8,IF(YEAR(revenue[orderDate])=2023,9,IF(YEAR(revenue[orderDate])=2024,10,NA))),FALSE)</f>
        <v>5.901883682</v>
      </c>
      <c r="K530" s="9">
        <v>7.3</v>
      </c>
      <c r="L530" s="25">
        <f>(revenue[orderPrice]-revenue[productCost])/revenue[productCost]</f>
        <v>0.2368932349</v>
      </c>
      <c r="M530" s="10">
        <v>40.0</v>
      </c>
      <c r="N530" s="25">
        <v>0.0</v>
      </c>
      <c r="O530" s="9">
        <f>revenue[orderPrice]*revenue[orderQuantity]</f>
        <v>292</v>
      </c>
      <c r="P530" s="9">
        <f>revenue[orderTotal]*(1-revenue[discountApllied])</f>
        <v>292</v>
      </c>
      <c r="Q530" s="9">
        <f>revenue[revenue]-(revenue[productCost]*revenue[orderQuantity])</f>
        <v>55.9246527</v>
      </c>
      <c r="R530" s="25">
        <f>IFERROR(revenue[profit]/revenue[revenue], 0)</f>
        <v>0.1915227832</v>
      </c>
      <c r="S530" s="9">
        <f>revenue[productCost]*revenue[orderQuantity]</f>
        <v>236.0753473</v>
      </c>
    </row>
    <row r="531" ht="15.75" customHeight="1">
      <c r="A531" s="6">
        <v>10447.0</v>
      </c>
      <c r="B531" s="7" t="s">
        <v>44</v>
      </c>
      <c r="C531" s="24" t="str">
        <f>VLOOKUP(revenue[customerID],customers[],2,FALSE)</f>
        <v>Ricardo Adocicados</v>
      </c>
      <c r="D531" s="24" t="str">
        <f>VLOOKUP(revenue[customerID],customers[],6,FALSE)</f>
        <v>Rio de Janeiro</v>
      </c>
      <c r="E531" s="24" t="str">
        <f>VLOOKUP(revenue[customerID],customers[],9,FALSE)</f>
        <v>Brazil</v>
      </c>
      <c r="F531" s="24">
        <v>44971.0</v>
      </c>
      <c r="G531" s="6">
        <v>65.0</v>
      </c>
      <c r="H531" s="9" t="str">
        <f>VLOOKUP(revenue[productID],products[],2,FALSE)</f>
        <v>Louisiana Fiery Hot Pepper Sauce</v>
      </c>
      <c r="I531" s="9" t="str">
        <f>VLOOKUP(revenue[productID],products[],12,FALSE)</f>
        <v>Condiments</v>
      </c>
      <c r="J531" s="9">
        <f>VLOOKUP(revenue[productID],products[],IF(YEAR(revenue[orderDate])=2022,8,IF(YEAR(revenue[orderDate])=2023,9,IF(YEAR(revenue[orderDate])=2024,10,NA))),FALSE)</f>
        <v>13.21122243</v>
      </c>
      <c r="K531" s="9">
        <v>16.8</v>
      </c>
      <c r="L531" s="25">
        <f>(revenue[orderPrice]-revenue[productCost])/revenue[productCost]</f>
        <v>0.2716461391</v>
      </c>
      <c r="M531" s="10">
        <v>35.0</v>
      </c>
      <c r="N531" s="25">
        <v>0.0</v>
      </c>
      <c r="O531" s="9">
        <f>revenue[orderPrice]*revenue[orderQuantity]</f>
        <v>588</v>
      </c>
      <c r="P531" s="9">
        <f>revenue[orderTotal]*(1-revenue[discountApllied])</f>
        <v>588</v>
      </c>
      <c r="Q531" s="9">
        <f>revenue[revenue]-(revenue[productCost]*revenue[orderQuantity])</f>
        <v>125.6072148</v>
      </c>
      <c r="R531" s="25">
        <f>IFERROR(revenue[profit]/revenue[revenue], 0)</f>
        <v>0.2136177123</v>
      </c>
      <c r="S531" s="9">
        <f>revenue[productCost]*revenue[orderQuantity]</f>
        <v>462.3927852</v>
      </c>
    </row>
    <row r="532" ht="15.75" customHeight="1">
      <c r="A532" s="6">
        <v>10447.0</v>
      </c>
      <c r="B532" s="7" t="s">
        <v>44</v>
      </c>
      <c r="C532" s="24" t="str">
        <f>VLOOKUP(revenue[customerID],customers[],2,FALSE)</f>
        <v>Ricardo Adocicados</v>
      </c>
      <c r="D532" s="24" t="str">
        <f>VLOOKUP(revenue[customerID],customers[],6,FALSE)</f>
        <v>Rio de Janeiro</v>
      </c>
      <c r="E532" s="24" t="str">
        <f>VLOOKUP(revenue[customerID],customers[],9,FALSE)</f>
        <v>Brazil</v>
      </c>
      <c r="F532" s="24">
        <v>44971.0</v>
      </c>
      <c r="G532" s="6">
        <v>71.0</v>
      </c>
      <c r="H532" s="9" t="str">
        <f>VLOOKUP(revenue[productID],products[],2,FALSE)</f>
        <v>Flotemysost</v>
      </c>
      <c r="I532" s="9" t="str">
        <f>VLOOKUP(revenue[productID],products[],12,FALSE)</f>
        <v>Dairy Products</v>
      </c>
      <c r="J532" s="9">
        <f>VLOOKUP(revenue[productID],products[],IF(YEAR(revenue[orderDate])=2022,8,IF(YEAR(revenue[orderDate])=2023,9,IF(YEAR(revenue[orderDate])=2024,10,NA))),FALSE)</f>
        <v>13.4003664</v>
      </c>
      <c r="K532" s="9">
        <v>17.2</v>
      </c>
      <c r="L532" s="25">
        <f>(revenue[orderPrice]-revenue[productCost])/revenue[productCost]</f>
        <v>0.2835469929</v>
      </c>
      <c r="M532" s="10">
        <v>2.0</v>
      </c>
      <c r="N532" s="25">
        <v>0.0</v>
      </c>
      <c r="O532" s="9">
        <f>revenue[orderPrice]*revenue[orderQuantity]</f>
        <v>34.4</v>
      </c>
      <c r="P532" s="9">
        <f>revenue[orderTotal]*(1-revenue[discountApllied])</f>
        <v>34.4</v>
      </c>
      <c r="Q532" s="9">
        <f>revenue[revenue]-(revenue[productCost]*revenue[orderQuantity])</f>
        <v>7.599267194</v>
      </c>
      <c r="R532" s="25">
        <f>IFERROR(revenue[profit]/revenue[revenue], 0)</f>
        <v>0.2209089301</v>
      </c>
      <c r="S532" s="9">
        <f>revenue[productCost]*revenue[orderQuantity]</f>
        <v>26.80073281</v>
      </c>
    </row>
    <row r="533" ht="15.75" customHeight="1">
      <c r="A533" s="6">
        <v>10448.0</v>
      </c>
      <c r="B533" s="7" t="s">
        <v>88</v>
      </c>
      <c r="C533" s="24" t="str">
        <f>VLOOKUP(revenue[customerID],customers[],2,FALSE)</f>
        <v>Rancho grande</v>
      </c>
      <c r="D533" s="24" t="str">
        <f>VLOOKUP(revenue[customerID],customers[],6,FALSE)</f>
        <v>Buenos Aires</v>
      </c>
      <c r="E533" s="24" t="str">
        <f>VLOOKUP(revenue[customerID],customers[],9,FALSE)</f>
        <v>Argentina</v>
      </c>
      <c r="F533" s="24">
        <v>44974.0</v>
      </c>
      <c r="G533" s="6">
        <v>26.0</v>
      </c>
      <c r="H533" s="9" t="str">
        <f>VLOOKUP(revenue[productID],products[],2,FALSE)</f>
        <v>NuNuCa Nuß-Nougat-Creme</v>
      </c>
      <c r="I533" s="9" t="str">
        <f>VLOOKUP(revenue[productID],products[],12,FALSE)</f>
        <v>Confections</v>
      </c>
      <c r="J533" s="9">
        <f>VLOOKUP(revenue[productID],products[],IF(YEAR(revenue[orderDate])=2022,8,IF(YEAR(revenue[orderDate])=2023,9,IF(YEAR(revenue[orderDate])=2024,10,NA))),FALSE)</f>
        <v>21.20896201</v>
      </c>
      <c r="K533" s="9">
        <v>24.9</v>
      </c>
      <c r="L533" s="25">
        <f>(revenue[orderPrice]-revenue[productCost])/revenue[productCost]</f>
        <v>0.1740319958</v>
      </c>
      <c r="M533" s="10">
        <v>6.0</v>
      </c>
      <c r="N533" s="25">
        <v>0.0</v>
      </c>
      <c r="O533" s="9">
        <f>revenue[orderPrice]*revenue[orderQuantity]</f>
        <v>149.4</v>
      </c>
      <c r="P533" s="9">
        <f>revenue[orderTotal]*(1-revenue[discountApllied])</f>
        <v>149.4</v>
      </c>
      <c r="Q533" s="9">
        <f>revenue[revenue]-(revenue[productCost]*revenue[orderQuantity])</f>
        <v>22.14622792</v>
      </c>
      <c r="R533" s="25">
        <f>IFERROR(revenue[profit]/revenue[revenue], 0)</f>
        <v>0.1482344573</v>
      </c>
      <c r="S533" s="9">
        <f>revenue[productCost]*revenue[orderQuantity]</f>
        <v>127.2537721</v>
      </c>
    </row>
    <row r="534" ht="15.75" customHeight="1">
      <c r="A534" s="6">
        <v>10448.0</v>
      </c>
      <c r="B534" s="7" t="s">
        <v>88</v>
      </c>
      <c r="C534" s="24" t="str">
        <f>VLOOKUP(revenue[customerID],customers[],2,FALSE)</f>
        <v>Rancho grande</v>
      </c>
      <c r="D534" s="24" t="str">
        <f>VLOOKUP(revenue[customerID],customers[],6,FALSE)</f>
        <v>Buenos Aires</v>
      </c>
      <c r="E534" s="24" t="str">
        <f>VLOOKUP(revenue[customerID],customers[],9,FALSE)</f>
        <v>Argentina</v>
      </c>
      <c r="F534" s="24">
        <v>44974.0</v>
      </c>
      <c r="G534" s="6">
        <v>40.0</v>
      </c>
      <c r="H534" s="9" t="str">
        <f>VLOOKUP(revenue[productID],products[],2,FALSE)</f>
        <v>Boston Crab Meat</v>
      </c>
      <c r="I534" s="9" t="str">
        <f>VLOOKUP(revenue[productID],products[],12,FALSE)</f>
        <v>Seafood</v>
      </c>
      <c r="J534" s="9">
        <f>VLOOKUP(revenue[productID],products[],IF(YEAR(revenue[orderDate])=2022,8,IF(YEAR(revenue[orderDate])=2023,9,IF(YEAR(revenue[orderDate])=2024,10,NA))),FALSE)</f>
        <v>11.40496523</v>
      </c>
      <c r="K534" s="9">
        <v>14.7</v>
      </c>
      <c r="L534" s="25">
        <f>(revenue[orderPrice]-revenue[productCost])/revenue[productCost]</f>
        <v>0.2889123033</v>
      </c>
      <c r="M534" s="10">
        <v>20.0</v>
      </c>
      <c r="N534" s="25">
        <v>0.0</v>
      </c>
      <c r="O534" s="9">
        <f>revenue[orderPrice]*revenue[orderQuantity]</f>
        <v>294</v>
      </c>
      <c r="P534" s="9">
        <f>revenue[orderTotal]*(1-revenue[discountApllied])</f>
        <v>294</v>
      </c>
      <c r="Q534" s="9">
        <f>revenue[revenue]-(revenue[productCost]*revenue[orderQuantity])</f>
        <v>65.90069546</v>
      </c>
      <c r="R534" s="25">
        <f>IFERROR(revenue[profit]/revenue[revenue], 0)</f>
        <v>0.2241520254</v>
      </c>
      <c r="S534" s="9">
        <f>revenue[productCost]*revenue[orderQuantity]</f>
        <v>228.0993045</v>
      </c>
    </row>
    <row r="535" ht="15.75" customHeight="1">
      <c r="A535" s="6">
        <v>10449.0</v>
      </c>
      <c r="B535" s="7" t="s">
        <v>30</v>
      </c>
      <c r="C535" s="24" t="str">
        <f>VLOOKUP(revenue[customerID],customers[],2,FALSE)</f>
        <v>Blondesddsl père et fils</v>
      </c>
      <c r="D535" s="24" t="str">
        <f>VLOOKUP(revenue[customerID],customers[],6,FALSE)</f>
        <v>Strasbourg</v>
      </c>
      <c r="E535" s="24" t="str">
        <f>VLOOKUP(revenue[customerID],customers[],9,FALSE)</f>
        <v>France</v>
      </c>
      <c r="F535" s="24">
        <v>44975.0</v>
      </c>
      <c r="G535" s="6">
        <v>10.0</v>
      </c>
      <c r="H535" s="9" t="str">
        <f>VLOOKUP(revenue[productID],products[],2,FALSE)</f>
        <v>Ikura</v>
      </c>
      <c r="I535" s="9" t="str">
        <f>VLOOKUP(revenue[productID],products[],12,FALSE)</f>
        <v>Seafood</v>
      </c>
      <c r="J535" s="9">
        <f>VLOOKUP(revenue[productID],products[],IF(YEAR(revenue[orderDate])=2022,8,IF(YEAR(revenue[orderDate])=2023,9,IF(YEAR(revenue[orderDate])=2024,10,NA))),FALSE)</f>
        <v>20.72721922</v>
      </c>
      <c r="K535" s="9">
        <v>24.8</v>
      </c>
      <c r="L535" s="25">
        <f>(revenue[orderPrice]-revenue[productCost])/revenue[productCost]</f>
        <v>0.196494317</v>
      </c>
      <c r="M535" s="10">
        <v>14.0</v>
      </c>
      <c r="N535" s="25">
        <v>0.0</v>
      </c>
      <c r="O535" s="9">
        <f>revenue[orderPrice]*revenue[orderQuantity]</f>
        <v>347.2</v>
      </c>
      <c r="P535" s="9">
        <f>revenue[orderTotal]*(1-revenue[discountApllied])</f>
        <v>347.2</v>
      </c>
      <c r="Q535" s="9">
        <f>revenue[revenue]-(revenue[productCost]*revenue[orderQuantity])</f>
        <v>57.01893096</v>
      </c>
      <c r="R535" s="25">
        <f>IFERROR(revenue[profit]/revenue[revenue], 0)</f>
        <v>0.1642250316</v>
      </c>
      <c r="S535" s="9">
        <f>revenue[productCost]*revenue[orderQuantity]</f>
        <v>290.181069</v>
      </c>
    </row>
    <row r="536" ht="15.75" customHeight="1">
      <c r="A536" s="6">
        <v>10449.0</v>
      </c>
      <c r="B536" s="7" t="s">
        <v>30</v>
      </c>
      <c r="C536" s="24" t="str">
        <f>VLOOKUP(revenue[customerID],customers[],2,FALSE)</f>
        <v>Blondesddsl père et fils</v>
      </c>
      <c r="D536" s="24" t="str">
        <f>VLOOKUP(revenue[customerID],customers[],6,FALSE)</f>
        <v>Strasbourg</v>
      </c>
      <c r="E536" s="24" t="str">
        <f>VLOOKUP(revenue[customerID],customers[],9,FALSE)</f>
        <v>France</v>
      </c>
      <c r="F536" s="24">
        <v>44975.0</v>
      </c>
      <c r="G536" s="6">
        <v>52.0</v>
      </c>
      <c r="H536" s="9" t="str">
        <f>VLOOKUP(revenue[productID],products[],2,FALSE)</f>
        <v>Filo Mix</v>
      </c>
      <c r="I536" s="9" t="str">
        <f>VLOOKUP(revenue[productID],products[],12,FALSE)</f>
        <v>Grains/Cereals</v>
      </c>
      <c r="J536" s="9">
        <f>VLOOKUP(revenue[productID],products[],IF(YEAR(revenue[orderDate])=2022,8,IF(YEAR(revenue[orderDate])=2023,9,IF(YEAR(revenue[orderDate])=2024,10,NA))),FALSE)</f>
        <v>5.001706713</v>
      </c>
      <c r="K536" s="9">
        <v>5.6</v>
      </c>
      <c r="L536" s="25">
        <f>(revenue[orderPrice]-revenue[productCost])/revenue[productCost]</f>
        <v>0.1196178268</v>
      </c>
      <c r="M536" s="10">
        <v>20.0</v>
      </c>
      <c r="N536" s="25">
        <v>0.0</v>
      </c>
      <c r="O536" s="9">
        <f>revenue[orderPrice]*revenue[orderQuantity]</f>
        <v>112</v>
      </c>
      <c r="P536" s="9">
        <f>revenue[orderTotal]*(1-revenue[discountApllied])</f>
        <v>112</v>
      </c>
      <c r="Q536" s="9">
        <f>revenue[revenue]-(revenue[productCost]*revenue[orderQuantity])</f>
        <v>11.96586575</v>
      </c>
      <c r="R536" s="25">
        <f>IFERROR(revenue[profit]/revenue[revenue], 0)</f>
        <v>0.106838087</v>
      </c>
      <c r="S536" s="9">
        <f>revenue[productCost]*revenue[orderQuantity]</f>
        <v>100.0341343</v>
      </c>
    </row>
    <row r="537" ht="15.75" customHeight="1">
      <c r="A537" s="6">
        <v>10449.0</v>
      </c>
      <c r="B537" s="7" t="s">
        <v>30</v>
      </c>
      <c r="C537" s="24" t="str">
        <f>VLOOKUP(revenue[customerID],customers[],2,FALSE)</f>
        <v>Blondesddsl père et fils</v>
      </c>
      <c r="D537" s="24" t="str">
        <f>VLOOKUP(revenue[customerID],customers[],6,FALSE)</f>
        <v>Strasbourg</v>
      </c>
      <c r="E537" s="24" t="str">
        <f>VLOOKUP(revenue[customerID],customers[],9,FALSE)</f>
        <v>France</v>
      </c>
      <c r="F537" s="24">
        <v>44975.0</v>
      </c>
      <c r="G537" s="6">
        <v>62.0</v>
      </c>
      <c r="H537" s="9" t="str">
        <f>VLOOKUP(revenue[productID],products[],2,FALSE)</f>
        <v>Tarte au sucre</v>
      </c>
      <c r="I537" s="9" t="str">
        <f>VLOOKUP(revenue[productID],products[],12,FALSE)</f>
        <v>Confections</v>
      </c>
      <c r="J537" s="9">
        <f>VLOOKUP(revenue[productID],products[],IF(YEAR(revenue[orderDate])=2022,8,IF(YEAR(revenue[orderDate])=2023,9,IF(YEAR(revenue[orderDate])=2024,10,NA))),FALSE)</f>
        <v>35.34792781</v>
      </c>
      <c r="K537" s="9">
        <v>39.4</v>
      </c>
      <c r="L537" s="25">
        <f>(revenue[orderPrice]-revenue[productCost])/revenue[productCost]</f>
        <v>0.1146339387</v>
      </c>
      <c r="M537" s="10">
        <v>35.0</v>
      </c>
      <c r="N537" s="25">
        <v>0.0</v>
      </c>
      <c r="O537" s="9">
        <f>revenue[orderPrice]*revenue[orderQuantity]</f>
        <v>1379</v>
      </c>
      <c r="P537" s="9">
        <f>revenue[orderTotal]*(1-revenue[discountApllied])</f>
        <v>1379</v>
      </c>
      <c r="Q537" s="9">
        <f>revenue[revenue]-(revenue[productCost]*revenue[orderQuantity])</f>
        <v>141.8225267</v>
      </c>
      <c r="R537" s="25">
        <f>IFERROR(revenue[profit]/revenue[revenue], 0)</f>
        <v>0.1028444718</v>
      </c>
      <c r="S537" s="9">
        <f>revenue[productCost]*revenue[orderQuantity]</f>
        <v>1237.177473</v>
      </c>
    </row>
    <row r="538" ht="15.75" customHeight="1">
      <c r="A538" s="6">
        <v>10450.0</v>
      </c>
      <c r="B538" s="7" t="s">
        <v>18</v>
      </c>
      <c r="C538" s="24" t="str">
        <f>VLOOKUP(revenue[customerID],customers[],2,FALSE)</f>
        <v>Victuailles en stock</v>
      </c>
      <c r="D538" s="24" t="str">
        <f>VLOOKUP(revenue[customerID],customers[],6,FALSE)</f>
        <v>Lyon</v>
      </c>
      <c r="E538" s="24" t="str">
        <f>VLOOKUP(revenue[customerID],customers[],9,FALSE)</f>
        <v>France</v>
      </c>
      <c r="F538" s="24">
        <v>44976.0</v>
      </c>
      <c r="G538" s="6">
        <v>10.0</v>
      </c>
      <c r="H538" s="9" t="str">
        <f>VLOOKUP(revenue[productID],products[],2,FALSE)</f>
        <v>Ikura</v>
      </c>
      <c r="I538" s="9" t="str">
        <f>VLOOKUP(revenue[productID],products[],12,FALSE)</f>
        <v>Seafood</v>
      </c>
      <c r="J538" s="9">
        <f>VLOOKUP(revenue[productID],products[],IF(YEAR(revenue[orderDate])=2022,8,IF(YEAR(revenue[orderDate])=2023,9,IF(YEAR(revenue[orderDate])=2024,10,NA))),FALSE)</f>
        <v>20.72721922</v>
      </c>
      <c r="K538" s="9">
        <v>24.8</v>
      </c>
      <c r="L538" s="25">
        <f>(revenue[orderPrice]-revenue[productCost])/revenue[productCost]</f>
        <v>0.196494317</v>
      </c>
      <c r="M538" s="10">
        <v>20.0</v>
      </c>
      <c r="N538" s="25">
        <v>0.2</v>
      </c>
      <c r="O538" s="9">
        <f>revenue[orderPrice]*revenue[orderQuantity]</f>
        <v>496</v>
      </c>
      <c r="P538" s="9">
        <f>revenue[orderTotal]*(1-revenue[discountApllied])</f>
        <v>396.8</v>
      </c>
      <c r="Q538" s="9">
        <f>revenue[revenue]-(revenue[productCost]*revenue[orderQuantity])</f>
        <v>-17.74438435</v>
      </c>
      <c r="R538" s="25">
        <f>IFERROR(revenue[profit]/revenue[revenue], 0)</f>
        <v>-0.04471871055</v>
      </c>
      <c r="S538" s="9">
        <f>revenue[productCost]*revenue[orderQuantity]</f>
        <v>414.5443843</v>
      </c>
    </row>
    <row r="539" ht="15.75" customHeight="1">
      <c r="A539" s="6">
        <v>10450.0</v>
      </c>
      <c r="B539" s="7" t="s">
        <v>18</v>
      </c>
      <c r="C539" s="24" t="str">
        <f>VLOOKUP(revenue[customerID],customers[],2,FALSE)</f>
        <v>Victuailles en stock</v>
      </c>
      <c r="D539" s="24" t="str">
        <f>VLOOKUP(revenue[customerID],customers[],6,FALSE)</f>
        <v>Lyon</v>
      </c>
      <c r="E539" s="24" t="str">
        <f>VLOOKUP(revenue[customerID],customers[],9,FALSE)</f>
        <v>France</v>
      </c>
      <c r="F539" s="24">
        <v>44976.0</v>
      </c>
      <c r="G539" s="6">
        <v>54.0</v>
      </c>
      <c r="H539" s="9" t="str">
        <f>VLOOKUP(revenue[productID],products[],2,FALSE)</f>
        <v>Tourtière</v>
      </c>
      <c r="I539" s="9" t="str">
        <f>VLOOKUP(revenue[productID],products[],12,FALSE)</f>
        <v>Meat/Poultry</v>
      </c>
      <c r="J539" s="9">
        <f>VLOOKUP(revenue[productID],products[],IF(YEAR(revenue[orderDate])=2022,8,IF(YEAR(revenue[orderDate])=2023,9,IF(YEAR(revenue[orderDate])=2024,10,NA))),FALSE)</f>
        <v>4.924447797</v>
      </c>
      <c r="K539" s="9">
        <v>5.9</v>
      </c>
      <c r="L539" s="25">
        <f>(revenue[orderPrice]-revenue[productCost])/revenue[productCost]</f>
        <v>0.1981038774</v>
      </c>
      <c r="M539" s="10">
        <v>6.0</v>
      </c>
      <c r="N539" s="25">
        <v>0.2</v>
      </c>
      <c r="O539" s="9">
        <f>revenue[orderPrice]*revenue[orderQuantity]</f>
        <v>35.4</v>
      </c>
      <c r="P539" s="9">
        <f>revenue[orderTotal]*(1-revenue[discountApllied])</f>
        <v>28.32</v>
      </c>
      <c r="Q539" s="9">
        <f>revenue[revenue]-(revenue[productCost]*revenue[orderQuantity])</f>
        <v>-1.226686783</v>
      </c>
      <c r="R539" s="25">
        <f>IFERROR(revenue[profit]/revenue[revenue], 0)</f>
        <v>-0.04331521125</v>
      </c>
      <c r="S539" s="9">
        <f>revenue[productCost]*revenue[orderQuantity]</f>
        <v>29.54668678</v>
      </c>
    </row>
    <row r="540" ht="15.75" customHeight="1">
      <c r="A540" s="6">
        <v>10451.0</v>
      </c>
      <c r="B540" s="7" t="s">
        <v>36</v>
      </c>
      <c r="C540" s="24" t="str">
        <f>VLOOKUP(revenue[customerID],customers[],2,FALSE)</f>
        <v>QUICK-Stop</v>
      </c>
      <c r="D540" s="24" t="str">
        <f>VLOOKUP(revenue[customerID],customers[],6,FALSE)</f>
        <v>Cunewalde</v>
      </c>
      <c r="E540" s="24" t="str">
        <f>VLOOKUP(revenue[customerID],customers[],9,FALSE)</f>
        <v>Germany</v>
      </c>
      <c r="F540" s="24">
        <v>44976.0</v>
      </c>
      <c r="G540" s="6">
        <v>55.0</v>
      </c>
      <c r="H540" s="9" t="str">
        <f>VLOOKUP(revenue[productID],products[],2,FALSE)</f>
        <v>Pâté chinois</v>
      </c>
      <c r="I540" s="9" t="str">
        <f>VLOOKUP(revenue[productID],products[],12,FALSE)</f>
        <v>Meat/Poultry</v>
      </c>
      <c r="J540" s="9">
        <f>VLOOKUP(revenue[productID],products[],IF(YEAR(revenue[orderDate])=2022,8,IF(YEAR(revenue[orderDate])=2023,9,IF(YEAR(revenue[orderDate])=2024,10,NA))),FALSE)</f>
        <v>14.92398776</v>
      </c>
      <c r="K540" s="9">
        <v>19.2</v>
      </c>
      <c r="L540" s="25">
        <f>(revenue[orderPrice]-revenue[productCost])/revenue[productCost]</f>
        <v>0.2865194145</v>
      </c>
      <c r="M540" s="10">
        <v>120.0</v>
      </c>
      <c r="N540" s="25">
        <v>0.1</v>
      </c>
      <c r="O540" s="9">
        <f>revenue[orderPrice]*revenue[orderQuantity]</f>
        <v>2304</v>
      </c>
      <c r="P540" s="9">
        <f>revenue[orderTotal]*(1-revenue[discountApllied])</f>
        <v>2073.6</v>
      </c>
      <c r="Q540" s="9">
        <f>revenue[revenue]-(revenue[productCost]*revenue[orderQuantity])</f>
        <v>282.7214683</v>
      </c>
      <c r="R540" s="25">
        <f>IFERROR(revenue[profit]/revenue[revenue], 0)</f>
        <v>0.1363433007</v>
      </c>
      <c r="S540" s="9">
        <f>revenue[productCost]*revenue[orderQuantity]</f>
        <v>1790.878532</v>
      </c>
    </row>
    <row r="541" ht="15.75" customHeight="1">
      <c r="A541" s="6">
        <v>10451.0</v>
      </c>
      <c r="B541" s="7" t="s">
        <v>36</v>
      </c>
      <c r="C541" s="24" t="str">
        <f>VLOOKUP(revenue[customerID],customers[],2,FALSE)</f>
        <v>QUICK-Stop</v>
      </c>
      <c r="D541" s="24" t="str">
        <f>VLOOKUP(revenue[customerID],customers[],6,FALSE)</f>
        <v>Cunewalde</v>
      </c>
      <c r="E541" s="24" t="str">
        <f>VLOOKUP(revenue[customerID],customers[],9,FALSE)</f>
        <v>Germany</v>
      </c>
      <c r="F541" s="24">
        <v>44976.0</v>
      </c>
      <c r="G541" s="6">
        <v>64.0</v>
      </c>
      <c r="H541" s="9" t="str">
        <f>VLOOKUP(revenue[productID],products[],2,FALSE)</f>
        <v>Lukas' leckere Sauerteigweggla</v>
      </c>
      <c r="I541" s="9" t="str">
        <f>VLOOKUP(revenue[productID],products[],12,FALSE)</f>
        <v>Grains/Cereals</v>
      </c>
      <c r="J541" s="9">
        <f>VLOOKUP(revenue[productID],products[],IF(YEAR(revenue[orderDate])=2022,8,IF(YEAR(revenue[orderDate])=2023,9,IF(YEAR(revenue[orderDate])=2024,10,NA))),FALSE)</f>
        <v>21.88572728</v>
      </c>
      <c r="K541" s="9">
        <v>26.6</v>
      </c>
      <c r="L541" s="25">
        <f>(revenue[orderPrice]-revenue[productCost])/revenue[productCost]</f>
        <v>0.2154039779</v>
      </c>
      <c r="M541" s="10">
        <v>35.0</v>
      </c>
      <c r="N541" s="25">
        <v>0.1</v>
      </c>
      <c r="O541" s="9">
        <f>revenue[orderPrice]*revenue[orderQuantity]</f>
        <v>931</v>
      </c>
      <c r="P541" s="9">
        <f>revenue[orderTotal]*(1-revenue[discountApllied])</f>
        <v>837.9</v>
      </c>
      <c r="Q541" s="9">
        <f>revenue[revenue]-(revenue[productCost]*revenue[orderQuantity])</f>
        <v>71.89954509</v>
      </c>
      <c r="R541" s="25">
        <f>IFERROR(revenue[profit]/revenue[revenue], 0)</f>
        <v>0.08580921958</v>
      </c>
      <c r="S541" s="9">
        <f>revenue[productCost]*revenue[orderQuantity]</f>
        <v>766.0004549</v>
      </c>
    </row>
    <row r="542" ht="15.75" customHeight="1">
      <c r="A542" s="6">
        <v>10451.0</v>
      </c>
      <c r="B542" s="7" t="s">
        <v>36</v>
      </c>
      <c r="C542" s="24" t="str">
        <f>VLOOKUP(revenue[customerID],customers[],2,FALSE)</f>
        <v>QUICK-Stop</v>
      </c>
      <c r="D542" s="24" t="str">
        <f>VLOOKUP(revenue[customerID],customers[],6,FALSE)</f>
        <v>Cunewalde</v>
      </c>
      <c r="E542" s="24" t="str">
        <f>VLOOKUP(revenue[customerID],customers[],9,FALSE)</f>
        <v>Germany</v>
      </c>
      <c r="F542" s="24">
        <v>44976.0</v>
      </c>
      <c r="G542" s="6">
        <v>65.0</v>
      </c>
      <c r="H542" s="9" t="str">
        <f>VLOOKUP(revenue[productID],products[],2,FALSE)</f>
        <v>Louisiana Fiery Hot Pepper Sauce</v>
      </c>
      <c r="I542" s="9" t="str">
        <f>VLOOKUP(revenue[productID],products[],12,FALSE)</f>
        <v>Condiments</v>
      </c>
      <c r="J542" s="9">
        <f>VLOOKUP(revenue[productID],products[],IF(YEAR(revenue[orderDate])=2022,8,IF(YEAR(revenue[orderDate])=2023,9,IF(YEAR(revenue[orderDate])=2024,10,NA))),FALSE)</f>
        <v>13.21122243</v>
      </c>
      <c r="K542" s="9">
        <v>16.8</v>
      </c>
      <c r="L542" s="25">
        <f>(revenue[orderPrice]-revenue[productCost])/revenue[productCost]</f>
        <v>0.2716461391</v>
      </c>
      <c r="M542" s="10">
        <v>28.0</v>
      </c>
      <c r="N542" s="25">
        <v>0.1</v>
      </c>
      <c r="O542" s="9">
        <f>revenue[orderPrice]*revenue[orderQuantity]</f>
        <v>470.4</v>
      </c>
      <c r="P542" s="9">
        <f>revenue[orderTotal]*(1-revenue[discountApllied])</f>
        <v>423.36</v>
      </c>
      <c r="Q542" s="9">
        <f>revenue[revenue]-(revenue[productCost]*revenue[orderQuantity])</f>
        <v>53.44577187</v>
      </c>
      <c r="R542" s="25">
        <f>IFERROR(revenue[profit]/revenue[revenue], 0)</f>
        <v>0.1262419026</v>
      </c>
      <c r="S542" s="9">
        <f>revenue[productCost]*revenue[orderQuantity]</f>
        <v>369.9142281</v>
      </c>
    </row>
    <row r="543" ht="15.75" customHeight="1">
      <c r="A543" s="6">
        <v>10451.0</v>
      </c>
      <c r="B543" s="7" t="s">
        <v>36</v>
      </c>
      <c r="C543" s="24" t="str">
        <f>VLOOKUP(revenue[customerID],customers[],2,FALSE)</f>
        <v>QUICK-Stop</v>
      </c>
      <c r="D543" s="24" t="str">
        <f>VLOOKUP(revenue[customerID],customers[],6,FALSE)</f>
        <v>Cunewalde</v>
      </c>
      <c r="E543" s="24" t="str">
        <f>VLOOKUP(revenue[customerID],customers[],9,FALSE)</f>
        <v>Germany</v>
      </c>
      <c r="F543" s="24">
        <v>44976.0</v>
      </c>
      <c r="G543" s="6">
        <v>77.0</v>
      </c>
      <c r="H543" s="9" t="str">
        <f>VLOOKUP(revenue[productID],products[],2,FALSE)</f>
        <v>Original Frankfurter grüne Soße</v>
      </c>
      <c r="I543" s="9" t="str">
        <f>VLOOKUP(revenue[productID],products[],12,FALSE)</f>
        <v>Condiments</v>
      </c>
      <c r="J543" s="9">
        <f>VLOOKUP(revenue[productID],products[],IF(YEAR(revenue[orderDate])=2022,8,IF(YEAR(revenue[orderDate])=2023,9,IF(YEAR(revenue[orderDate])=2024,10,NA))),FALSE)</f>
        <v>7.539056452</v>
      </c>
      <c r="K543" s="9">
        <v>10.4</v>
      </c>
      <c r="L543" s="25">
        <f>(revenue[orderPrice]-revenue[productCost])/revenue[productCost]</f>
        <v>0.3794829719</v>
      </c>
      <c r="M543" s="10">
        <v>55.0</v>
      </c>
      <c r="N543" s="25">
        <v>0.1</v>
      </c>
      <c r="O543" s="9">
        <f>revenue[orderPrice]*revenue[orderQuantity]</f>
        <v>572</v>
      </c>
      <c r="P543" s="9">
        <f>revenue[orderTotal]*(1-revenue[discountApllied])</f>
        <v>514.8</v>
      </c>
      <c r="Q543" s="9">
        <f>revenue[revenue]-(revenue[productCost]*revenue[orderQuantity])</f>
        <v>100.1518951</v>
      </c>
      <c r="R543" s="25">
        <f>IFERROR(revenue[profit]/revenue[revenue], 0)</f>
        <v>0.1945452508</v>
      </c>
      <c r="S543" s="9">
        <f>revenue[productCost]*revenue[orderQuantity]</f>
        <v>414.6481049</v>
      </c>
    </row>
    <row r="544" ht="15.75" customHeight="1">
      <c r="A544" s="6">
        <v>10452.0</v>
      </c>
      <c r="B544" s="7" t="s">
        <v>60</v>
      </c>
      <c r="C544" s="24" t="str">
        <f>VLOOKUP(revenue[customerID],customers[],2,FALSE)</f>
        <v>Save-a-lot Markets</v>
      </c>
      <c r="D544" s="24" t="str">
        <f>VLOOKUP(revenue[customerID],customers[],6,FALSE)</f>
        <v>Boise</v>
      </c>
      <c r="E544" s="24" t="str">
        <f>VLOOKUP(revenue[customerID],customers[],9,FALSE)</f>
        <v>USA</v>
      </c>
      <c r="F544" s="24">
        <v>44977.0</v>
      </c>
      <c r="G544" s="6">
        <v>28.0</v>
      </c>
      <c r="H544" s="9" t="str">
        <f>VLOOKUP(revenue[productID],products[],2,FALSE)</f>
        <v>Rössle Sauerkraut</v>
      </c>
      <c r="I544" s="9" t="str">
        <f>VLOOKUP(revenue[productID],products[],12,FALSE)</f>
        <v>Produce</v>
      </c>
      <c r="J544" s="9">
        <f>VLOOKUP(revenue[productID],products[],IF(YEAR(revenue[orderDate])=2022,8,IF(YEAR(revenue[orderDate])=2023,9,IF(YEAR(revenue[orderDate])=2024,10,NA))),FALSE)</f>
        <v>31.52644578</v>
      </c>
      <c r="K544" s="9">
        <v>36.4</v>
      </c>
      <c r="L544" s="25">
        <f>(revenue[orderPrice]-revenue[productCost])/revenue[productCost]</f>
        <v>0.1545862244</v>
      </c>
      <c r="M544" s="10">
        <v>15.0</v>
      </c>
      <c r="N544" s="25">
        <v>0.0</v>
      </c>
      <c r="O544" s="9">
        <f>revenue[orderPrice]*revenue[orderQuantity]</f>
        <v>546</v>
      </c>
      <c r="P544" s="9">
        <f>revenue[orderTotal]*(1-revenue[discountApllied])</f>
        <v>546</v>
      </c>
      <c r="Q544" s="9">
        <f>revenue[revenue]-(revenue[productCost]*revenue[orderQuantity])</f>
        <v>73.10331333</v>
      </c>
      <c r="R544" s="25">
        <f>IFERROR(revenue[profit]/revenue[revenue], 0)</f>
        <v>0.1338888522</v>
      </c>
      <c r="S544" s="9">
        <f>revenue[productCost]*revenue[orderQuantity]</f>
        <v>472.8966867</v>
      </c>
    </row>
    <row r="545" ht="15.75" customHeight="1">
      <c r="A545" s="6">
        <v>10452.0</v>
      </c>
      <c r="B545" s="7" t="s">
        <v>60</v>
      </c>
      <c r="C545" s="24" t="str">
        <f>VLOOKUP(revenue[customerID],customers[],2,FALSE)</f>
        <v>Save-a-lot Markets</v>
      </c>
      <c r="D545" s="24" t="str">
        <f>VLOOKUP(revenue[customerID],customers[],6,FALSE)</f>
        <v>Boise</v>
      </c>
      <c r="E545" s="24" t="str">
        <f>VLOOKUP(revenue[customerID],customers[],9,FALSE)</f>
        <v>USA</v>
      </c>
      <c r="F545" s="24">
        <v>44977.0</v>
      </c>
      <c r="G545" s="6">
        <v>44.0</v>
      </c>
      <c r="H545" s="9" t="str">
        <f>VLOOKUP(revenue[productID],products[],2,FALSE)</f>
        <v>Gula Malacca</v>
      </c>
      <c r="I545" s="9" t="str">
        <f>VLOOKUP(revenue[productID],products[],12,FALSE)</f>
        <v>Condiments</v>
      </c>
      <c r="J545" s="9">
        <f>VLOOKUP(revenue[productID],products[],IF(YEAR(revenue[orderDate])=2022,8,IF(YEAR(revenue[orderDate])=2023,9,IF(YEAR(revenue[orderDate])=2024,10,NA))),FALSE)</f>
        <v>13.06032103</v>
      </c>
      <c r="K545" s="9">
        <v>15.5</v>
      </c>
      <c r="L545" s="25">
        <f>(revenue[orderPrice]-revenue[productCost])/revenue[productCost]</f>
        <v>0.1868008425</v>
      </c>
      <c r="M545" s="10">
        <v>100.0</v>
      </c>
      <c r="N545" s="25">
        <v>0.05</v>
      </c>
      <c r="O545" s="9">
        <f>revenue[orderPrice]*revenue[orderQuantity]</f>
        <v>1550</v>
      </c>
      <c r="P545" s="9">
        <f>revenue[orderTotal]*(1-revenue[discountApllied])</f>
        <v>1472.5</v>
      </c>
      <c r="Q545" s="9">
        <f>revenue[revenue]-(revenue[productCost]*revenue[orderQuantity])</f>
        <v>166.4678972</v>
      </c>
      <c r="R545" s="25">
        <f>IFERROR(revenue[profit]/revenue[revenue], 0)</f>
        <v>0.1130512035</v>
      </c>
      <c r="S545" s="9">
        <f>revenue[productCost]*revenue[orderQuantity]</f>
        <v>1306.032103</v>
      </c>
    </row>
    <row r="546" ht="15.75" customHeight="1">
      <c r="A546" s="6">
        <v>10453.0</v>
      </c>
      <c r="B546" s="7" t="s">
        <v>70</v>
      </c>
      <c r="C546" s="24" t="str">
        <f>VLOOKUP(revenue[customerID],customers[],2,FALSE)</f>
        <v>Around the Horn</v>
      </c>
      <c r="D546" s="24" t="str">
        <f>VLOOKUP(revenue[customerID],customers[],6,FALSE)</f>
        <v>London</v>
      </c>
      <c r="E546" s="24" t="str">
        <f>VLOOKUP(revenue[customerID],customers[],9,FALSE)</f>
        <v>UK</v>
      </c>
      <c r="F546" s="24">
        <v>44978.0</v>
      </c>
      <c r="G546" s="6">
        <v>48.0</v>
      </c>
      <c r="H546" s="9" t="str">
        <f>VLOOKUP(revenue[productID],products[],2,FALSE)</f>
        <v>Chocolade</v>
      </c>
      <c r="I546" s="9" t="str">
        <f>VLOOKUP(revenue[productID],products[],12,FALSE)</f>
        <v>Confections</v>
      </c>
      <c r="J546" s="9">
        <f>VLOOKUP(revenue[productID],products[],IF(YEAR(revenue[orderDate])=2022,8,IF(YEAR(revenue[orderDate])=2023,9,IF(YEAR(revenue[orderDate])=2024,10,NA))),FALSE)</f>
        <v>8.079671685</v>
      </c>
      <c r="K546" s="9">
        <v>10.2</v>
      </c>
      <c r="L546" s="25">
        <f>(revenue[orderPrice]-revenue[productCost])/revenue[productCost]</f>
        <v>0.2624275339</v>
      </c>
      <c r="M546" s="10">
        <v>15.0</v>
      </c>
      <c r="N546" s="25">
        <v>0.1</v>
      </c>
      <c r="O546" s="9">
        <f>revenue[orderPrice]*revenue[orderQuantity]</f>
        <v>153</v>
      </c>
      <c r="P546" s="9">
        <f>revenue[orderTotal]*(1-revenue[discountApllied])</f>
        <v>137.7</v>
      </c>
      <c r="Q546" s="9">
        <f>revenue[revenue]-(revenue[productCost]*revenue[orderQuantity])</f>
        <v>16.50492473</v>
      </c>
      <c r="R546" s="25">
        <f>IFERROR(revenue[profit]/revenue[revenue], 0)</f>
        <v>0.1198614722</v>
      </c>
      <c r="S546" s="9">
        <f>revenue[productCost]*revenue[orderQuantity]</f>
        <v>121.1950753</v>
      </c>
    </row>
    <row r="547" ht="15.75" customHeight="1">
      <c r="A547" s="6">
        <v>10453.0</v>
      </c>
      <c r="B547" s="7" t="s">
        <v>70</v>
      </c>
      <c r="C547" s="24" t="str">
        <f>VLOOKUP(revenue[customerID],customers[],2,FALSE)</f>
        <v>Around the Horn</v>
      </c>
      <c r="D547" s="24" t="str">
        <f>VLOOKUP(revenue[customerID],customers[],6,FALSE)</f>
        <v>London</v>
      </c>
      <c r="E547" s="24" t="str">
        <f>VLOOKUP(revenue[customerID],customers[],9,FALSE)</f>
        <v>UK</v>
      </c>
      <c r="F547" s="24">
        <v>44978.0</v>
      </c>
      <c r="G547" s="6">
        <v>70.0</v>
      </c>
      <c r="H547" s="9" t="str">
        <f>VLOOKUP(revenue[productID],products[],2,FALSE)</f>
        <v>Outback Lager</v>
      </c>
      <c r="I547" s="9" t="str">
        <f>VLOOKUP(revenue[productID],products[],12,FALSE)</f>
        <v>Beverages</v>
      </c>
      <c r="J547" s="9">
        <f>VLOOKUP(revenue[productID],products[],IF(YEAR(revenue[orderDate])=2022,8,IF(YEAR(revenue[orderDate])=2023,9,IF(YEAR(revenue[orderDate])=2024,10,NA))),FALSE)</f>
        <v>9.793094091</v>
      </c>
      <c r="K547" s="9">
        <v>12.0</v>
      </c>
      <c r="L547" s="25">
        <f>(revenue[orderPrice]-revenue[productCost])/revenue[productCost]</f>
        <v>0.2253532835</v>
      </c>
      <c r="M547" s="10">
        <v>25.0</v>
      </c>
      <c r="N547" s="25">
        <v>0.1</v>
      </c>
      <c r="O547" s="9">
        <f>revenue[orderPrice]*revenue[orderQuantity]</f>
        <v>300</v>
      </c>
      <c r="P547" s="9">
        <f>revenue[orderTotal]*(1-revenue[discountApllied])</f>
        <v>270</v>
      </c>
      <c r="Q547" s="9">
        <f>revenue[revenue]-(revenue[productCost]*revenue[orderQuantity])</f>
        <v>25.17264772</v>
      </c>
      <c r="R547" s="25">
        <f>IFERROR(revenue[profit]/revenue[revenue], 0)</f>
        <v>0.0932320286</v>
      </c>
      <c r="S547" s="9">
        <f>revenue[productCost]*revenue[orderQuantity]</f>
        <v>244.8273523</v>
      </c>
    </row>
    <row r="548" ht="15.75" customHeight="1">
      <c r="A548" s="6">
        <v>10454.0</v>
      </c>
      <c r="B548" s="7" t="s">
        <v>68</v>
      </c>
      <c r="C548" s="24" t="str">
        <f>VLOOKUP(revenue[customerID],customers[],2,FALSE)</f>
        <v>La maison d'Asie</v>
      </c>
      <c r="D548" s="24" t="str">
        <f>VLOOKUP(revenue[customerID],customers[],6,FALSE)</f>
        <v>Toulouse</v>
      </c>
      <c r="E548" s="24" t="str">
        <f>VLOOKUP(revenue[customerID],customers[],9,FALSE)</f>
        <v>France</v>
      </c>
      <c r="F548" s="24">
        <v>44978.0</v>
      </c>
      <c r="G548" s="6">
        <v>16.0</v>
      </c>
      <c r="H548" s="9" t="str">
        <f>VLOOKUP(revenue[productID],products[],2,FALSE)</f>
        <v>Pavlova</v>
      </c>
      <c r="I548" s="9" t="str">
        <f>VLOOKUP(revenue[productID],products[],12,FALSE)</f>
        <v>Confections</v>
      </c>
      <c r="J548" s="9">
        <f>VLOOKUP(revenue[productID],products[],IF(YEAR(revenue[orderDate])=2022,8,IF(YEAR(revenue[orderDate])=2023,9,IF(YEAR(revenue[orderDate])=2024,10,NA))),FALSE)</f>
        <v>11.98504839</v>
      </c>
      <c r="K548" s="9">
        <v>13.9</v>
      </c>
      <c r="L548" s="25">
        <f>(revenue[orderPrice]-revenue[productCost])/revenue[productCost]</f>
        <v>0.1597783792</v>
      </c>
      <c r="M548" s="10">
        <v>20.0</v>
      </c>
      <c r="N548" s="25">
        <v>0.2</v>
      </c>
      <c r="O548" s="9">
        <f>revenue[orderPrice]*revenue[orderQuantity]</f>
        <v>278</v>
      </c>
      <c r="P548" s="9">
        <f>revenue[orderTotal]*(1-revenue[discountApllied])</f>
        <v>222.4</v>
      </c>
      <c r="Q548" s="9">
        <f>revenue[revenue]-(revenue[productCost]*revenue[orderQuantity])</f>
        <v>-17.30096786</v>
      </c>
      <c r="R548" s="25">
        <f>IFERROR(revenue[profit]/revenue[revenue], 0)</f>
        <v>-0.07779212165</v>
      </c>
      <c r="S548" s="9">
        <f>revenue[productCost]*revenue[orderQuantity]</f>
        <v>239.7009679</v>
      </c>
    </row>
    <row r="549" ht="15.75" customHeight="1">
      <c r="A549" s="6">
        <v>10454.0</v>
      </c>
      <c r="B549" s="7" t="s">
        <v>68</v>
      </c>
      <c r="C549" s="24" t="str">
        <f>VLOOKUP(revenue[customerID],customers[],2,FALSE)</f>
        <v>La maison d'Asie</v>
      </c>
      <c r="D549" s="24" t="str">
        <f>VLOOKUP(revenue[customerID],customers[],6,FALSE)</f>
        <v>Toulouse</v>
      </c>
      <c r="E549" s="24" t="str">
        <f>VLOOKUP(revenue[customerID],customers[],9,FALSE)</f>
        <v>France</v>
      </c>
      <c r="F549" s="24">
        <v>44978.0</v>
      </c>
      <c r="G549" s="6">
        <v>33.0</v>
      </c>
      <c r="H549" s="9" t="str">
        <f>VLOOKUP(revenue[productID],products[],2,FALSE)</f>
        <v>Geitost</v>
      </c>
      <c r="I549" s="9" t="str">
        <f>VLOOKUP(revenue[productID],products[],12,FALSE)</f>
        <v>Dairy Products</v>
      </c>
      <c r="J549" s="9">
        <f>VLOOKUP(revenue[productID],products[],IF(YEAR(revenue[orderDate])=2022,8,IF(YEAR(revenue[orderDate])=2023,9,IF(YEAR(revenue[orderDate])=2024,10,NA))),FALSE)</f>
        <v>1.559072298</v>
      </c>
      <c r="K549" s="9">
        <v>2.0</v>
      </c>
      <c r="L549" s="25">
        <f>(revenue[orderPrice]-revenue[productCost])/revenue[productCost]</f>
        <v>0.2828141472</v>
      </c>
      <c r="M549" s="10">
        <v>20.0</v>
      </c>
      <c r="N549" s="25">
        <v>0.2</v>
      </c>
      <c r="O549" s="9">
        <f>revenue[orderPrice]*revenue[orderQuantity]</f>
        <v>40</v>
      </c>
      <c r="P549" s="9">
        <f>revenue[orderTotal]*(1-revenue[discountApllied])</f>
        <v>32</v>
      </c>
      <c r="Q549" s="9">
        <f>revenue[revenue]-(revenue[productCost]*revenue[orderQuantity])</f>
        <v>0.8185540463</v>
      </c>
      <c r="R549" s="25">
        <f>IFERROR(revenue[profit]/revenue[revenue], 0)</f>
        <v>0.02557981395</v>
      </c>
      <c r="S549" s="9">
        <f>revenue[productCost]*revenue[orderQuantity]</f>
        <v>31.18144595</v>
      </c>
    </row>
    <row r="550" ht="15.75" customHeight="1">
      <c r="A550" s="6">
        <v>10454.0</v>
      </c>
      <c r="B550" s="7" t="s">
        <v>68</v>
      </c>
      <c r="C550" s="24" t="str">
        <f>VLOOKUP(revenue[customerID],customers[],2,FALSE)</f>
        <v>La maison d'Asie</v>
      </c>
      <c r="D550" s="24" t="str">
        <f>VLOOKUP(revenue[customerID],customers[],6,FALSE)</f>
        <v>Toulouse</v>
      </c>
      <c r="E550" s="24" t="str">
        <f>VLOOKUP(revenue[customerID],customers[],9,FALSE)</f>
        <v>France</v>
      </c>
      <c r="F550" s="24">
        <v>44978.0</v>
      </c>
      <c r="G550" s="6">
        <v>46.0</v>
      </c>
      <c r="H550" s="9" t="str">
        <f>VLOOKUP(revenue[productID],products[],2,FALSE)</f>
        <v>Spegesild</v>
      </c>
      <c r="I550" s="9" t="str">
        <f>VLOOKUP(revenue[productID],products[],12,FALSE)</f>
        <v>Seafood</v>
      </c>
      <c r="J550" s="9">
        <f>VLOOKUP(revenue[productID],products[],IF(YEAR(revenue[orderDate])=2022,8,IF(YEAR(revenue[orderDate])=2023,9,IF(YEAR(revenue[orderDate])=2024,10,NA))),FALSE)</f>
        <v>7.087990753</v>
      </c>
      <c r="K550" s="9">
        <v>9.6</v>
      </c>
      <c r="L550" s="25">
        <f>(revenue[orderPrice]-revenue[productCost])/revenue[productCost]</f>
        <v>0.3544035728</v>
      </c>
      <c r="M550" s="10">
        <v>10.0</v>
      </c>
      <c r="N550" s="25">
        <v>0.2</v>
      </c>
      <c r="O550" s="9">
        <f>revenue[orderPrice]*revenue[orderQuantity]</f>
        <v>96</v>
      </c>
      <c r="P550" s="9">
        <f>revenue[orderTotal]*(1-revenue[discountApllied])</f>
        <v>76.8</v>
      </c>
      <c r="Q550" s="9">
        <f>revenue[revenue]-(revenue[productCost]*revenue[orderQuantity])</f>
        <v>5.920092468</v>
      </c>
      <c r="R550" s="25">
        <f>IFERROR(revenue[profit]/revenue[revenue], 0)</f>
        <v>0.07708453734</v>
      </c>
      <c r="S550" s="9">
        <f>revenue[productCost]*revenue[orderQuantity]</f>
        <v>70.87990753</v>
      </c>
    </row>
    <row r="551" ht="15.75" customHeight="1">
      <c r="A551" s="6">
        <v>10455.0</v>
      </c>
      <c r="B551" s="7" t="s">
        <v>31</v>
      </c>
      <c r="C551" s="24" t="str">
        <f>VLOOKUP(revenue[customerID],customers[],2,FALSE)</f>
        <v>Wartian Herkku</v>
      </c>
      <c r="D551" s="24" t="str">
        <f>VLOOKUP(revenue[customerID],customers[],6,FALSE)</f>
        <v>Oulu</v>
      </c>
      <c r="E551" s="24" t="str">
        <f>VLOOKUP(revenue[customerID],customers[],9,FALSE)</f>
        <v>Finland</v>
      </c>
      <c r="F551" s="24">
        <v>44981.0</v>
      </c>
      <c r="G551" s="6">
        <v>39.0</v>
      </c>
      <c r="H551" s="9" t="str">
        <f>VLOOKUP(revenue[productID],products[],2,FALSE)</f>
        <v>Chartreuse verte</v>
      </c>
      <c r="I551" s="9" t="str">
        <f>VLOOKUP(revenue[productID],products[],12,FALSE)</f>
        <v>Beverages</v>
      </c>
      <c r="J551" s="9">
        <f>VLOOKUP(revenue[productID],products[],IF(YEAR(revenue[orderDate])=2022,8,IF(YEAR(revenue[orderDate])=2023,9,IF(YEAR(revenue[orderDate])=2024,10,NA))),FALSE)</f>
        <v>11.73311441</v>
      </c>
      <c r="K551" s="9">
        <v>14.4</v>
      </c>
      <c r="L551" s="25">
        <f>(revenue[orderPrice]-revenue[productCost])/revenue[productCost]</f>
        <v>0.2272956261</v>
      </c>
      <c r="M551" s="10">
        <v>20.0</v>
      </c>
      <c r="N551" s="25">
        <v>0.0</v>
      </c>
      <c r="O551" s="9">
        <f>revenue[orderPrice]*revenue[orderQuantity]</f>
        <v>288</v>
      </c>
      <c r="P551" s="9">
        <f>revenue[orderTotal]*(1-revenue[discountApllied])</f>
        <v>288</v>
      </c>
      <c r="Q551" s="9">
        <f>revenue[revenue]-(revenue[productCost]*revenue[orderQuantity])</f>
        <v>53.33771174</v>
      </c>
      <c r="R551" s="25">
        <f>IFERROR(revenue[profit]/revenue[revenue], 0)</f>
        <v>0.185200388</v>
      </c>
      <c r="S551" s="9">
        <f>revenue[productCost]*revenue[orderQuantity]</f>
        <v>234.6622883</v>
      </c>
    </row>
    <row r="552" ht="15.75" customHeight="1">
      <c r="A552" s="6">
        <v>10455.0</v>
      </c>
      <c r="B552" s="7" t="s">
        <v>31</v>
      </c>
      <c r="C552" s="24" t="str">
        <f>VLOOKUP(revenue[customerID],customers[],2,FALSE)</f>
        <v>Wartian Herkku</v>
      </c>
      <c r="D552" s="24" t="str">
        <f>VLOOKUP(revenue[customerID],customers[],6,FALSE)</f>
        <v>Oulu</v>
      </c>
      <c r="E552" s="24" t="str">
        <f>VLOOKUP(revenue[customerID],customers[],9,FALSE)</f>
        <v>Finland</v>
      </c>
      <c r="F552" s="24">
        <v>44981.0</v>
      </c>
      <c r="G552" s="6">
        <v>53.0</v>
      </c>
      <c r="H552" s="9" t="str">
        <f>VLOOKUP(revenue[productID],products[],2,FALSE)</f>
        <v>Perth Pasties</v>
      </c>
      <c r="I552" s="9" t="str">
        <f>VLOOKUP(revenue[productID],products[],12,FALSE)</f>
        <v>Meat/Poultry</v>
      </c>
      <c r="J552" s="9">
        <f>VLOOKUP(revenue[productID],products[],IF(YEAR(revenue[orderDate])=2022,8,IF(YEAR(revenue[orderDate])=2023,9,IF(YEAR(revenue[orderDate])=2024,10,NA))),FALSE)</f>
        <v>21.81491556</v>
      </c>
      <c r="K552" s="9">
        <v>26.2</v>
      </c>
      <c r="L552" s="25">
        <f>(revenue[orderPrice]-revenue[productCost])/revenue[productCost]</f>
        <v>0.2010131293</v>
      </c>
      <c r="M552" s="10">
        <v>50.0</v>
      </c>
      <c r="N552" s="25">
        <v>0.0</v>
      </c>
      <c r="O552" s="9">
        <f>revenue[orderPrice]*revenue[orderQuantity]</f>
        <v>1310</v>
      </c>
      <c r="P552" s="9">
        <f>revenue[orderTotal]*(1-revenue[discountApllied])</f>
        <v>1310</v>
      </c>
      <c r="Q552" s="9">
        <f>revenue[revenue]-(revenue[productCost]*revenue[orderQuantity])</f>
        <v>219.2542221</v>
      </c>
      <c r="R552" s="25">
        <f>IFERROR(revenue[profit]/revenue[revenue], 0)</f>
        <v>0.1673696352</v>
      </c>
      <c r="S552" s="9">
        <f>revenue[productCost]*revenue[orderQuantity]</f>
        <v>1090.745778</v>
      </c>
    </row>
    <row r="553" ht="15.75" customHeight="1">
      <c r="A553" s="6">
        <v>10455.0</v>
      </c>
      <c r="B553" s="7" t="s">
        <v>31</v>
      </c>
      <c r="C553" s="24" t="str">
        <f>VLOOKUP(revenue[customerID],customers[],2,FALSE)</f>
        <v>Wartian Herkku</v>
      </c>
      <c r="D553" s="24" t="str">
        <f>VLOOKUP(revenue[customerID],customers[],6,FALSE)</f>
        <v>Oulu</v>
      </c>
      <c r="E553" s="24" t="str">
        <f>VLOOKUP(revenue[customerID],customers[],9,FALSE)</f>
        <v>Finland</v>
      </c>
      <c r="F553" s="24">
        <v>44981.0</v>
      </c>
      <c r="G553" s="6">
        <v>61.0</v>
      </c>
      <c r="H553" s="9" t="str">
        <f>VLOOKUP(revenue[productID],products[],2,FALSE)</f>
        <v>Sirop d'érable</v>
      </c>
      <c r="I553" s="9" t="str">
        <f>VLOOKUP(revenue[productID],products[],12,FALSE)</f>
        <v>Condiments</v>
      </c>
      <c r="J553" s="9">
        <f>VLOOKUP(revenue[productID],products[],IF(YEAR(revenue[orderDate])=2022,8,IF(YEAR(revenue[orderDate])=2023,9,IF(YEAR(revenue[orderDate])=2024,10,NA))),FALSE)</f>
        <v>17.19945448</v>
      </c>
      <c r="K553" s="9">
        <v>22.8</v>
      </c>
      <c r="L553" s="25">
        <f>(revenue[orderPrice]-revenue[productCost])/revenue[productCost]</f>
        <v>0.3256234389</v>
      </c>
      <c r="M553" s="10">
        <v>25.0</v>
      </c>
      <c r="N553" s="25">
        <v>0.0</v>
      </c>
      <c r="O553" s="9">
        <f>revenue[orderPrice]*revenue[orderQuantity]</f>
        <v>570</v>
      </c>
      <c r="P553" s="9">
        <f>revenue[orderTotal]*(1-revenue[discountApllied])</f>
        <v>570</v>
      </c>
      <c r="Q553" s="9">
        <f>revenue[revenue]-(revenue[productCost]*revenue[orderQuantity])</f>
        <v>140.0136379</v>
      </c>
      <c r="R553" s="25">
        <f>IFERROR(revenue[profit]/revenue[revenue], 0)</f>
        <v>0.2456379612</v>
      </c>
      <c r="S553" s="9">
        <f>revenue[productCost]*revenue[orderQuantity]</f>
        <v>429.9863621</v>
      </c>
    </row>
    <row r="554" ht="15.75" customHeight="1">
      <c r="A554" s="6">
        <v>10455.0</v>
      </c>
      <c r="B554" s="7" t="s">
        <v>31</v>
      </c>
      <c r="C554" s="24" t="str">
        <f>VLOOKUP(revenue[customerID],customers[],2,FALSE)</f>
        <v>Wartian Herkku</v>
      </c>
      <c r="D554" s="24" t="str">
        <f>VLOOKUP(revenue[customerID],customers[],6,FALSE)</f>
        <v>Oulu</v>
      </c>
      <c r="E554" s="24" t="str">
        <f>VLOOKUP(revenue[customerID],customers[],9,FALSE)</f>
        <v>Finland</v>
      </c>
      <c r="F554" s="24">
        <v>44981.0</v>
      </c>
      <c r="G554" s="6">
        <v>71.0</v>
      </c>
      <c r="H554" s="9" t="str">
        <f>VLOOKUP(revenue[productID],products[],2,FALSE)</f>
        <v>Flotemysost</v>
      </c>
      <c r="I554" s="9" t="str">
        <f>VLOOKUP(revenue[productID],products[],12,FALSE)</f>
        <v>Dairy Products</v>
      </c>
      <c r="J554" s="9">
        <f>VLOOKUP(revenue[productID],products[],IF(YEAR(revenue[orderDate])=2022,8,IF(YEAR(revenue[orderDate])=2023,9,IF(YEAR(revenue[orderDate])=2024,10,NA))),FALSE)</f>
        <v>13.4003664</v>
      </c>
      <c r="K554" s="9">
        <v>17.2</v>
      </c>
      <c r="L554" s="25">
        <f>(revenue[orderPrice]-revenue[productCost])/revenue[productCost]</f>
        <v>0.2835469929</v>
      </c>
      <c r="M554" s="10">
        <v>30.0</v>
      </c>
      <c r="N554" s="25">
        <v>0.0</v>
      </c>
      <c r="O554" s="9">
        <f>revenue[orderPrice]*revenue[orderQuantity]</f>
        <v>516</v>
      </c>
      <c r="P554" s="9">
        <f>revenue[orderTotal]*(1-revenue[discountApllied])</f>
        <v>516</v>
      </c>
      <c r="Q554" s="9">
        <f>revenue[revenue]-(revenue[productCost]*revenue[orderQuantity])</f>
        <v>113.9890079</v>
      </c>
      <c r="R554" s="25">
        <f>IFERROR(revenue[profit]/revenue[revenue], 0)</f>
        <v>0.2209089301</v>
      </c>
      <c r="S554" s="9">
        <f>revenue[productCost]*revenue[orderQuantity]</f>
        <v>402.0109921</v>
      </c>
    </row>
    <row r="555" ht="15.75" customHeight="1">
      <c r="A555" s="6">
        <v>10456.0</v>
      </c>
      <c r="B555" s="7" t="s">
        <v>59</v>
      </c>
      <c r="C555" s="24" t="str">
        <f>VLOOKUP(revenue[customerID],customers[],2,FALSE)</f>
        <v>Königlich Essen</v>
      </c>
      <c r="D555" s="24" t="str">
        <f>VLOOKUP(revenue[customerID],customers[],6,FALSE)</f>
        <v>Brandenburg</v>
      </c>
      <c r="E555" s="24" t="str">
        <f>VLOOKUP(revenue[customerID],customers[],9,FALSE)</f>
        <v>Germany</v>
      </c>
      <c r="F555" s="24">
        <v>44982.0</v>
      </c>
      <c r="G555" s="6">
        <v>21.0</v>
      </c>
      <c r="H555" s="9" t="str">
        <f>VLOOKUP(revenue[productID],products[],2,FALSE)</f>
        <v>Sir Rodney's Scones</v>
      </c>
      <c r="I555" s="9" t="str">
        <f>VLOOKUP(revenue[productID],products[],12,FALSE)</f>
        <v>Confections</v>
      </c>
      <c r="J555" s="9">
        <f>VLOOKUP(revenue[productID],products[],IF(YEAR(revenue[orderDate])=2022,8,IF(YEAR(revenue[orderDate])=2023,9,IF(YEAR(revenue[orderDate])=2024,10,NA))),FALSE)</f>
        <v>6.725636111</v>
      </c>
      <c r="K555" s="9">
        <v>8.0</v>
      </c>
      <c r="L555" s="25">
        <f>(revenue[orderPrice]-revenue[productCost])/revenue[productCost]</f>
        <v>0.1894785664</v>
      </c>
      <c r="M555" s="10">
        <v>40.0</v>
      </c>
      <c r="N555" s="25">
        <v>0.15</v>
      </c>
      <c r="O555" s="9">
        <f>revenue[orderPrice]*revenue[orderQuantity]</f>
        <v>320</v>
      </c>
      <c r="P555" s="9">
        <f>revenue[orderTotal]*(1-revenue[discountApllied])</f>
        <v>272</v>
      </c>
      <c r="Q555" s="9">
        <f>revenue[revenue]-(revenue[productCost]*revenue[orderQuantity])</f>
        <v>2.974555541</v>
      </c>
      <c r="R555" s="25">
        <f>IFERROR(revenue[profit]/revenue[revenue], 0)</f>
        <v>0.01093586596</v>
      </c>
      <c r="S555" s="9">
        <f>revenue[productCost]*revenue[orderQuantity]</f>
        <v>269.0254445</v>
      </c>
    </row>
    <row r="556" ht="15.75" customHeight="1">
      <c r="A556" s="6">
        <v>10456.0</v>
      </c>
      <c r="B556" s="7" t="s">
        <v>59</v>
      </c>
      <c r="C556" s="24" t="str">
        <f>VLOOKUP(revenue[customerID],customers[],2,FALSE)</f>
        <v>Königlich Essen</v>
      </c>
      <c r="D556" s="24" t="str">
        <f>VLOOKUP(revenue[customerID],customers[],6,FALSE)</f>
        <v>Brandenburg</v>
      </c>
      <c r="E556" s="24" t="str">
        <f>VLOOKUP(revenue[customerID],customers[],9,FALSE)</f>
        <v>Germany</v>
      </c>
      <c r="F556" s="24">
        <v>44982.0</v>
      </c>
      <c r="G556" s="6">
        <v>49.0</v>
      </c>
      <c r="H556" s="9" t="str">
        <f>VLOOKUP(revenue[productID],products[],2,FALSE)</f>
        <v>Maxilaku</v>
      </c>
      <c r="I556" s="9" t="str">
        <f>VLOOKUP(revenue[productID],products[],12,FALSE)</f>
        <v>Confections</v>
      </c>
      <c r="J556" s="9">
        <f>VLOOKUP(revenue[productID],products[],IF(YEAR(revenue[orderDate])=2022,8,IF(YEAR(revenue[orderDate])=2023,9,IF(YEAR(revenue[orderDate])=2024,10,NA))),FALSE)</f>
        <v>13.04112285</v>
      </c>
      <c r="K556" s="9">
        <v>16.0</v>
      </c>
      <c r="L556" s="25">
        <f>(revenue[orderPrice]-revenue[productCost])/revenue[productCost]</f>
        <v>0.2268882197</v>
      </c>
      <c r="M556" s="10">
        <v>21.0</v>
      </c>
      <c r="N556" s="25">
        <v>0.15</v>
      </c>
      <c r="O556" s="9">
        <f>revenue[orderPrice]*revenue[orderQuantity]</f>
        <v>336</v>
      </c>
      <c r="P556" s="9">
        <f>revenue[orderTotal]*(1-revenue[discountApllied])</f>
        <v>285.6</v>
      </c>
      <c r="Q556" s="9">
        <f>revenue[revenue]-(revenue[productCost]*revenue[orderQuantity])</f>
        <v>11.73642008</v>
      </c>
      <c r="R556" s="25">
        <f>IFERROR(revenue[profit]/revenue[revenue], 0)</f>
        <v>0.04109390783</v>
      </c>
      <c r="S556" s="9">
        <f>revenue[productCost]*revenue[orderQuantity]</f>
        <v>273.8635799</v>
      </c>
    </row>
    <row r="557" ht="15.75" customHeight="1">
      <c r="A557" s="6">
        <v>10457.0</v>
      </c>
      <c r="B557" s="7" t="s">
        <v>59</v>
      </c>
      <c r="C557" s="24" t="str">
        <f>VLOOKUP(revenue[customerID],customers[],2,FALSE)</f>
        <v>Königlich Essen</v>
      </c>
      <c r="D557" s="24" t="str">
        <f>VLOOKUP(revenue[customerID],customers[],6,FALSE)</f>
        <v>Brandenburg</v>
      </c>
      <c r="E557" s="24" t="str">
        <f>VLOOKUP(revenue[customerID],customers[],9,FALSE)</f>
        <v>Germany</v>
      </c>
      <c r="F557" s="24">
        <v>44982.0</v>
      </c>
      <c r="G557" s="6">
        <v>59.0</v>
      </c>
      <c r="H557" s="9" t="str">
        <f>VLOOKUP(revenue[productID],products[],2,FALSE)</f>
        <v>Raclette Courdavault</v>
      </c>
      <c r="I557" s="9" t="str">
        <f>VLOOKUP(revenue[productID],products[],12,FALSE)</f>
        <v>Dairy Products</v>
      </c>
      <c r="J557" s="9">
        <f>VLOOKUP(revenue[productID],products[],IF(YEAR(revenue[orderDate])=2022,8,IF(YEAR(revenue[orderDate])=2023,9,IF(YEAR(revenue[orderDate])=2024,10,NA))),FALSE)</f>
        <v>35.20472566</v>
      </c>
      <c r="K557" s="9">
        <v>44.0</v>
      </c>
      <c r="L557" s="25">
        <f>(revenue[orderPrice]-revenue[productCost])/revenue[productCost]</f>
        <v>0.2498322078</v>
      </c>
      <c r="M557" s="10">
        <v>36.0</v>
      </c>
      <c r="N557" s="25">
        <v>0.0</v>
      </c>
      <c r="O557" s="9">
        <f>revenue[orderPrice]*revenue[orderQuantity]</f>
        <v>1584</v>
      </c>
      <c r="P557" s="9">
        <f>revenue[orderTotal]*(1-revenue[discountApllied])</f>
        <v>1584</v>
      </c>
      <c r="Q557" s="9">
        <f>revenue[revenue]-(revenue[productCost]*revenue[orderQuantity])</f>
        <v>316.6298762</v>
      </c>
      <c r="R557" s="25">
        <f>IFERROR(revenue[profit]/revenue[revenue], 0)</f>
        <v>0.1998925986</v>
      </c>
      <c r="S557" s="9">
        <f>revenue[productCost]*revenue[orderQuantity]</f>
        <v>1267.370124</v>
      </c>
    </row>
    <row r="558" ht="15.75" customHeight="1">
      <c r="A558" s="6">
        <v>10458.0</v>
      </c>
      <c r="B558" s="7" t="s">
        <v>19</v>
      </c>
      <c r="C558" s="24" t="str">
        <f>VLOOKUP(revenue[customerID],customers[],2,FALSE)</f>
        <v>Suprêmes délices</v>
      </c>
      <c r="D558" s="24" t="str">
        <f>VLOOKUP(revenue[customerID],customers[],6,FALSE)</f>
        <v>Charleroi</v>
      </c>
      <c r="E558" s="24" t="str">
        <f>VLOOKUP(revenue[customerID],customers[],9,FALSE)</f>
        <v>Belgium</v>
      </c>
      <c r="F558" s="24">
        <v>44983.0</v>
      </c>
      <c r="G558" s="6">
        <v>26.0</v>
      </c>
      <c r="H558" s="9" t="str">
        <f>VLOOKUP(revenue[productID],products[],2,FALSE)</f>
        <v>NuNuCa Nuß-Nougat-Creme</v>
      </c>
      <c r="I558" s="9" t="str">
        <f>VLOOKUP(revenue[productID],products[],12,FALSE)</f>
        <v>Confections</v>
      </c>
      <c r="J558" s="9">
        <f>VLOOKUP(revenue[productID],products[],IF(YEAR(revenue[orderDate])=2022,8,IF(YEAR(revenue[orderDate])=2023,9,IF(YEAR(revenue[orderDate])=2024,10,NA))),FALSE)</f>
        <v>21.20896201</v>
      </c>
      <c r="K558" s="9">
        <v>24.9</v>
      </c>
      <c r="L558" s="25">
        <f>(revenue[orderPrice]-revenue[productCost])/revenue[productCost]</f>
        <v>0.1740319958</v>
      </c>
      <c r="M558" s="10">
        <v>30.0</v>
      </c>
      <c r="N558" s="25">
        <v>0.0</v>
      </c>
      <c r="O558" s="9">
        <f>revenue[orderPrice]*revenue[orderQuantity]</f>
        <v>747</v>
      </c>
      <c r="P558" s="9">
        <f>revenue[orderTotal]*(1-revenue[discountApllied])</f>
        <v>747</v>
      </c>
      <c r="Q558" s="9">
        <f>revenue[revenue]-(revenue[productCost]*revenue[orderQuantity])</f>
        <v>110.7311396</v>
      </c>
      <c r="R558" s="25">
        <f>IFERROR(revenue[profit]/revenue[revenue], 0)</f>
        <v>0.1482344573</v>
      </c>
      <c r="S558" s="9">
        <f>revenue[productCost]*revenue[orderQuantity]</f>
        <v>636.2688604</v>
      </c>
    </row>
    <row r="559" ht="15.75" customHeight="1">
      <c r="A559" s="6">
        <v>10458.0</v>
      </c>
      <c r="B559" s="7" t="s">
        <v>19</v>
      </c>
      <c r="C559" s="24" t="str">
        <f>VLOOKUP(revenue[customerID],customers[],2,FALSE)</f>
        <v>Suprêmes délices</v>
      </c>
      <c r="D559" s="24" t="str">
        <f>VLOOKUP(revenue[customerID],customers[],6,FALSE)</f>
        <v>Charleroi</v>
      </c>
      <c r="E559" s="24" t="str">
        <f>VLOOKUP(revenue[customerID],customers[],9,FALSE)</f>
        <v>Belgium</v>
      </c>
      <c r="F559" s="24">
        <v>44983.0</v>
      </c>
      <c r="G559" s="6">
        <v>28.0</v>
      </c>
      <c r="H559" s="9" t="str">
        <f>VLOOKUP(revenue[productID],products[],2,FALSE)</f>
        <v>Rössle Sauerkraut</v>
      </c>
      <c r="I559" s="9" t="str">
        <f>VLOOKUP(revenue[productID],products[],12,FALSE)</f>
        <v>Produce</v>
      </c>
      <c r="J559" s="9">
        <f>VLOOKUP(revenue[productID],products[],IF(YEAR(revenue[orderDate])=2022,8,IF(YEAR(revenue[orderDate])=2023,9,IF(YEAR(revenue[orderDate])=2024,10,NA))),FALSE)</f>
        <v>31.52644578</v>
      </c>
      <c r="K559" s="9">
        <v>36.4</v>
      </c>
      <c r="L559" s="25">
        <f>(revenue[orderPrice]-revenue[productCost])/revenue[productCost]</f>
        <v>0.1545862244</v>
      </c>
      <c r="M559" s="10">
        <v>30.0</v>
      </c>
      <c r="N559" s="25">
        <v>0.0</v>
      </c>
      <c r="O559" s="9">
        <f>revenue[orderPrice]*revenue[orderQuantity]</f>
        <v>1092</v>
      </c>
      <c r="P559" s="9">
        <f>revenue[orderTotal]*(1-revenue[discountApllied])</f>
        <v>1092</v>
      </c>
      <c r="Q559" s="9">
        <f>revenue[revenue]-(revenue[productCost]*revenue[orderQuantity])</f>
        <v>146.2066267</v>
      </c>
      <c r="R559" s="25">
        <f>IFERROR(revenue[profit]/revenue[revenue], 0)</f>
        <v>0.1338888522</v>
      </c>
      <c r="S559" s="9">
        <f>revenue[productCost]*revenue[orderQuantity]</f>
        <v>945.7933733</v>
      </c>
    </row>
    <row r="560" ht="15.75" customHeight="1">
      <c r="A560" s="6">
        <v>10458.0</v>
      </c>
      <c r="B560" s="7" t="s">
        <v>19</v>
      </c>
      <c r="C560" s="24" t="str">
        <f>VLOOKUP(revenue[customerID],customers[],2,FALSE)</f>
        <v>Suprêmes délices</v>
      </c>
      <c r="D560" s="24" t="str">
        <f>VLOOKUP(revenue[customerID],customers[],6,FALSE)</f>
        <v>Charleroi</v>
      </c>
      <c r="E560" s="24" t="str">
        <f>VLOOKUP(revenue[customerID],customers[],9,FALSE)</f>
        <v>Belgium</v>
      </c>
      <c r="F560" s="24">
        <v>44983.0</v>
      </c>
      <c r="G560" s="6">
        <v>43.0</v>
      </c>
      <c r="H560" s="9" t="str">
        <f>VLOOKUP(revenue[productID],products[],2,FALSE)</f>
        <v>Ipoh Coffee</v>
      </c>
      <c r="I560" s="9" t="str">
        <f>VLOOKUP(revenue[productID],products[],12,FALSE)</f>
        <v>Beverages</v>
      </c>
      <c r="J560" s="9">
        <f>VLOOKUP(revenue[productID],products[],IF(YEAR(revenue[orderDate])=2022,8,IF(YEAR(revenue[orderDate])=2023,9,IF(YEAR(revenue[orderDate])=2024,10,NA))),FALSE)</f>
        <v>30.96256564</v>
      </c>
      <c r="K560" s="9">
        <v>36.8</v>
      </c>
      <c r="L560" s="25">
        <f>(revenue[orderPrice]-revenue[productCost])/revenue[productCost]</f>
        <v>0.1885319981</v>
      </c>
      <c r="M560" s="10">
        <v>20.0</v>
      </c>
      <c r="N560" s="25">
        <v>0.0</v>
      </c>
      <c r="O560" s="9">
        <f>revenue[orderPrice]*revenue[orderQuantity]</f>
        <v>736</v>
      </c>
      <c r="P560" s="9">
        <f>revenue[orderTotal]*(1-revenue[discountApllied])</f>
        <v>736</v>
      </c>
      <c r="Q560" s="9">
        <f>revenue[revenue]-(revenue[productCost]*revenue[orderQuantity])</f>
        <v>116.7486873</v>
      </c>
      <c r="R560" s="25">
        <f>IFERROR(revenue[profit]/revenue[revenue], 0)</f>
        <v>0.1586259338</v>
      </c>
      <c r="S560" s="9">
        <f>revenue[productCost]*revenue[orderQuantity]</f>
        <v>619.2513127</v>
      </c>
    </row>
    <row r="561" ht="15.75" customHeight="1">
      <c r="A561" s="6">
        <v>10458.0</v>
      </c>
      <c r="B561" s="7" t="s">
        <v>19</v>
      </c>
      <c r="C561" s="24" t="str">
        <f>VLOOKUP(revenue[customerID],customers[],2,FALSE)</f>
        <v>Suprêmes délices</v>
      </c>
      <c r="D561" s="24" t="str">
        <f>VLOOKUP(revenue[customerID],customers[],6,FALSE)</f>
        <v>Charleroi</v>
      </c>
      <c r="E561" s="24" t="str">
        <f>VLOOKUP(revenue[customerID],customers[],9,FALSE)</f>
        <v>Belgium</v>
      </c>
      <c r="F561" s="24">
        <v>44983.0</v>
      </c>
      <c r="G561" s="6">
        <v>56.0</v>
      </c>
      <c r="H561" s="9" t="str">
        <f>VLOOKUP(revenue[productID],products[],2,FALSE)</f>
        <v>Gnocchi di nonna Alice</v>
      </c>
      <c r="I561" s="9" t="str">
        <f>VLOOKUP(revenue[productID],products[],12,FALSE)</f>
        <v>Grains/Cereals</v>
      </c>
      <c r="J561" s="9">
        <f>VLOOKUP(revenue[productID],products[],IF(YEAR(revenue[orderDate])=2022,8,IF(YEAR(revenue[orderDate])=2023,9,IF(YEAR(revenue[orderDate])=2024,10,NA))),FALSE)</f>
        <v>24.28342441</v>
      </c>
      <c r="K561" s="9">
        <v>30.4</v>
      </c>
      <c r="L561" s="25">
        <f>(revenue[orderPrice]-revenue[productCost])/revenue[productCost]</f>
        <v>0.2518827447</v>
      </c>
      <c r="M561" s="10">
        <v>15.0</v>
      </c>
      <c r="N561" s="25">
        <v>0.0</v>
      </c>
      <c r="O561" s="9">
        <f>revenue[orderPrice]*revenue[orderQuantity]</f>
        <v>456</v>
      </c>
      <c r="P561" s="9">
        <f>revenue[orderTotal]*(1-revenue[discountApllied])</f>
        <v>456</v>
      </c>
      <c r="Q561" s="9">
        <f>revenue[revenue]-(revenue[productCost]*revenue[orderQuantity])</f>
        <v>91.74863388</v>
      </c>
      <c r="R561" s="25">
        <f>IFERROR(revenue[profit]/revenue[revenue], 0)</f>
        <v>0.2012031445</v>
      </c>
      <c r="S561" s="9">
        <f>revenue[productCost]*revenue[orderQuantity]</f>
        <v>364.2513661</v>
      </c>
    </row>
    <row r="562" ht="15.75" customHeight="1">
      <c r="A562" s="6">
        <v>10458.0</v>
      </c>
      <c r="B562" s="7" t="s">
        <v>19</v>
      </c>
      <c r="C562" s="24" t="str">
        <f>VLOOKUP(revenue[customerID],customers[],2,FALSE)</f>
        <v>Suprêmes délices</v>
      </c>
      <c r="D562" s="24" t="str">
        <f>VLOOKUP(revenue[customerID],customers[],6,FALSE)</f>
        <v>Charleroi</v>
      </c>
      <c r="E562" s="24" t="str">
        <f>VLOOKUP(revenue[customerID],customers[],9,FALSE)</f>
        <v>Belgium</v>
      </c>
      <c r="F562" s="24">
        <v>44983.0</v>
      </c>
      <c r="G562" s="6">
        <v>71.0</v>
      </c>
      <c r="H562" s="9" t="str">
        <f>VLOOKUP(revenue[productID],products[],2,FALSE)</f>
        <v>Flotemysost</v>
      </c>
      <c r="I562" s="9" t="str">
        <f>VLOOKUP(revenue[productID],products[],12,FALSE)</f>
        <v>Dairy Products</v>
      </c>
      <c r="J562" s="9">
        <f>VLOOKUP(revenue[productID],products[],IF(YEAR(revenue[orderDate])=2022,8,IF(YEAR(revenue[orderDate])=2023,9,IF(YEAR(revenue[orderDate])=2024,10,NA))),FALSE)</f>
        <v>13.4003664</v>
      </c>
      <c r="K562" s="9">
        <v>17.2</v>
      </c>
      <c r="L562" s="25">
        <f>(revenue[orderPrice]-revenue[productCost])/revenue[productCost]</f>
        <v>0.2835469929</v>
      </c>
      <c r="M562" s="10">
        <v>50.0</v>
      </c>
      <c r="N562" s="25">
        <v>0.0</v>
      </c>
      <c r="O562" s="9">
        <f>revenue[orderPrice]*revenue[orderQuantity]</f>
        <v>860</v>
      </c>
      <c r="P562" s="9">
        <f>revenue[orderTotal]*(1-revenue[discountApllied])</f>
        <v>860</v>
      </c>
      <c r="Q562" s="9">
        <f>revenue[revenue]-(revenue[productCost]*revenue[orderQuantity])</f>
        <v>189.9816798</v>
      </c>
      <c r="R562" s="25">
        <f>IFERROR(revenue[profit]/revenue[revenue], 0)</f>
        <v>0.2209089301</v>
      </c>
      <c r="S562" s="9">
        <f>revenue[productCost]*revenue[orderQuantity]</f>
        <v>670.0183202</v>
      </c>
    </row>
    <row r="563" ht="15.75" customHeight="1">
      <c r="A563" s="6">
        <v>10459.0</v>
      </c>
      <c r="B563" s="7" t="s">
        <v>18</v>
      </c>
      <c r="C563" s="24" t="str">
        <f>VLOOKUP(revenue[customerID],customers[],2,FALSE)</f>
        <v>Victuailles en stock</v>
      </c>
      <c r="D563" s="24" t="str">
        <f>VLOOKUP(revenue[customerID],customers[],6,FALSE)</f>
        <v>Lyon</v>
      </c>
      <c r="E563" s="24" t="str">
        <f>VLOOKUP(revenue[customerID],customers[],9,FALSE)</f>
        <v>France</v>
      </c>
      <c r="F563" s="24">
        <v>44984.0</v>
      </c>
      <c r="G563" s="6">
        <v>7.0</v>
      </c>
      <c r="H563" s="9" t="str">
        <f>VLOOKUP(revenue[productID],products[],2,FALSE)</f>
        <v>Uncle Bob's Organic Dried Pears</v>
      </c>
      <c r="I563" s="9" t="str">
        <f>VLOOKUP(revenue[productID],products[],12,FALSE)</f>
        <v>Produce</v>
      </c>
      <c r="J563" s="9">
        <f>VLOOKUP(revenue[productID],products[],IF(YEAR(revenue[orderDate])=2022,8,IF(YEAR(revenue[orderDate])=2023,9,IF(YEAR(revenue[orderDate])=2024,10,NA))),FALSE)</f>
        <v>21.39244625</v>
      </c>
      <c r="K563" s="9">
        <v>24.0</v>
      </c>
      <c r="L563" s="25">
        <f>(revenue[orderPrice]-revenue[productCost])/revenue[productCost]</f>
        <v>0.1218913309</v>
      </c>
      <c r="M563" s="10">
        <v>16.0</v>
      </c>
      <c r="N563" s="25">
        <v>0.05</v>
      </c>
      <c r="O563" s="9">
        <f>revenue[orderPrice]*revenue[orderQuantity]</f>
        <v>384</v>
      </c>
      <c r="P563" s="9">
        <f>revenue[orderTotal]*(1-revenue[discountApllied])</f>
        <v>364.8</v>
      </c>
      <c r="Q563" s="9">
        <f>revenue[revenue]-(revenue[productCost]*revenue[orderQuantity])</f>
        <v>22.52085992</v>
      </c>
      <c r="R563" s="25">
        <f>IFERROR(revenue[profit]/revenue[revenue], 0)</f>
        <v>0.06173481338</v>
      </c>
      <c r="S563" s="9">
        <f>revenue[productCost]*revenue[orderQuantity]</f>
        <v>342.2791401</v>
      </c>
    </row>
    <row r="564" ht="15.75" customHeight="1">
      <c r="A564" s="6">
        <v>10459.0</v>
      </c>
      <c r="B564" s="7" t="s">
        <v>18</v>
      </c>
      <c r="C564" s="24" t="str">
        <f>VLOOKUP(revenue[customerID],customers[],2,FALSE)</f>
        <v>Victuailles en stock</v>
      </c>
      <c r="D564" s="24" t="str">
        <f>VLOOKUP(revenue[customerID],customers[],6,FALSE)</f>
        <v>Lyon</v>
      </c>
      <c r="E564" s="24" t="str">
        <f>VLOOKUP(revenue[customerID],customers[],9,FALSE)</f>
        <v>France</v>
      </c>
      <c r="F564" s="24">
        <v>44984.0</v>
      </c>
      <c r="G564" s="6">
        <v>46.0</v>
      </c>
      <c r="H564" s="9" t="str">
        <f>VLOOKUP(revenue[productID],products[],2,FALSE)</f>
        <v>Spegesild</v>
      </c>
      <c r="I564" s="9" t="str">
        <f>VLOOKUP(revenue[productID],products[],12,FALSE)</f>
        <v>Seafood</v>
      </c>
      <c r="J564" s="9">
        <f>VLOOKUP(revenue[productID],products[],IF(YEAR(revenue[orderDate])=2022,8,IF(YEAR(revenue[orderDate])=2023,9,IF(YEAR(revenue[orderDate])=2024,10,NA))),FALSE)</f>
        <v>7.087990753</v>
      </c>
      <c r="K564" s="9">
        <v>9.6</v>
      </c>
      <c r="L564" s="25">
        <f>(revenue[orderPrice]-revenue[productCost])/revenue[productCost]</f>
        <v>0.3544035728</v>
      </c>
      <c r="M564" s="10">
        <v>20.0</v>
      </c>
      <c r="N564" s="25">
        <v>0.05</v>
      </c>
      <c r="O564" s="9">
        <f>revenue[orderPrice]*revenue[orderQuantity]</f>
        <v>192</v>
      </c>
      <c r="P564" s="9">
        <f>revenue[orderTotal]*(1-revenue[discountApllied])</f>
        <v>182.4</v>
      </c>
      <c r="Q564" s="9">
        <f>revenue[revenue]-(revenue[productCost]*revenue[orderQuantity])</f>
        <v>40.64018494</v>
      </c>
      <c r="R564" s="25">
        <f>IFERROR(revenue[profit]/revenue[revenue], 0)</f>
        <v>0.2228080314</v>
      </c>
      <c r="S564" s="9">
        <f>revenue[productCost]*revenue[orderQuantity]</f>
        <v>141.7598151</v>
      </c>
    </row>
    <row r="565" ht="15.75" customHeight="1">
      <c r="A565" s="6">
        <v>10459.0</v>
      </c>
      <c r="B565" s="7" t="s">
        <v>18</v>
      </c>
      <c r="C565" s="24" t="str">
        <f>VLOOKUP(revenue[customerID],customers[],2,FALSE)</f>
        <v>Victuailles en stock</v>
      </c>
      <c r="D565" s="24" t="str">
        <f>VLOOKUP(revenue[customerID],customers[],6,FALSE)</f>
        <v>Lyon</v>
      </c>
      <c r="E565" s="24" t="str">
        <f>VLOOKUP(revenue[customerID],customers[],9,FALSE)</f>
        <v>France</v>
      </c>
      <c r="F565" s="24">
        <v>44984.0</v>
      </c>
      <c r="G565" s="6">
        <v>72.0</v>
      </c>
      <c r="H565" s="9" t="str">
        <f>VLOOKUP(revenue[productID],products[],2,FALSE)</f>
        <v>Mozzarella di Giovanni</v>
      </c>
      <c r="I565" s="9" t="str">
        <f>VLOOKUP(revenue[productID],products[],12,FALSE)</f>
        <v>Dairy Products</v>
      </c>
      <c r="J565" s="9">
        <f>VLOOKUP(revenue[productID],products[],IF(YEAR(revenue[orderDate])=2022,8,IF(YEAR(revenue[orderDate])=2023,9,IF(YEAR(revenue[orderDate])=2024,10,NA))),FALSE)</f>
        <v>23.51933768</v>
      </c>
      <c r="K565" s="9">
        <v>27.8</v>
      </c>
      <c r="L565" s="25">
        <f>(revenue[orderPrice]-revenue[productCost])/revenue[productCost]</f>
        <v>0.1820060743</v>
      </c>
      <c r="M565" s="10">
        <v>40.0</v>
      </c>
      <c r="N565" s="25">
        <v>0.0</v>
      </c>
      <c r="O565" s="9">
        <f>revenue[orderPrice]*revenue[orderQuantity]</f>
        <v>1112</v>
      </c>
      <c r="P565" s="9">
        <f>revenue[orderTotal]*(1-revenue[discountApllied])</f>
        <v>1112</v>
      </c>
      <c r="Q565" s="9">
        <f>revenue[revenue]-(revenue[productCost]*revenue[orderQuantity])</f>
        <v>171.2264929</v>
      </c>
      <c r="R565" s="25">
        <f>IFERROR(revenue[profit]/revenue[revenue], 0)</f>
        <v>0.153980659</v>
      </c>
      <c r="S565" s="9">
        <f>revenue[productCost]*revenue[orderQuantity]</f>
        <v>940.7735071</v>
      </c>
    </row>
    <row r="566" ht="15.75" customHeight="1">
      <c r="A566" s="6">
        <v>10460.0</v>
      </c>
      <c r="B566" s="7" t="s">
        <v>29</v>
      </c>
      <c r="C566" s="24" t="str">
        <f>VLOOKUP(revenue[customerID],customers[],2,FALSE)</f>
        <v>Folk och fä HB</v>
      </c>
      <c r="D566" s="24" t="str">
        <f>VLOOKUP(revenue[customerID],customers[],6,FALSE)</f>
        <v>Bräcke</v>
      </c>
      <c r="E566" s="24" t="str">
        <f>VLOOKUP(revenue[customerID],customers[],9,FALSE)</f>
        <v>Sweden</v>
      </c>
      <c r="F566" s="24">
        <v>44985.0</v>
      </c>
      <c r="G566" s="6">
        <v>68.0</v>
      </c>
      <c r="H566" s="9" t="str">
        <f>VLOOKUP(revenue[productID],products[],2,FALSE)</f>
        <v>Scottish Longbreads</v>
      </c>
      <c r="I566" s="9" t="str">
        <f>VLOOKUP(revenue[productID],products[],12,FALSE)</f>
        <v>Confections</v>
      </c>
      <c r="J566" s="9">
        <f>VLOOKUP(revenue[productID],products[],IF(YEAR(revenue[orderDate])=2022,8,IF(YEAR(revenue[orderDate])=2023,9,IF(YEAR(revenue[orderDate])=2024,10,NA))),FALSE)</f>
        <v>8.500000387</v>
      </c>
      <c r="K566" s="9">
        <v>10.0</v>
      </c>
      <c r="L566" s="25">
        <f>(revenue[orderPrice]-revenue[productCost])/revenue[productCost]</f>
        <v>0.1764705347</v>
      </c>
      <c r="M566" s="10">
        <v>21.0</v>
      </c>
      <c r="N566" s="25">
        <v>0.25</v>
      </c>
      <c r="O566" s="9">
        <f>revenue[orderPrice]*revenue[orderQuantity]</f>
        <v>210</v>
      </c>
      <c r="P566" s="9">
        <f>revenue[orderTotal]*(1-revenue[discountApllied])</f>
        <v>157.5</v>
      </c>
      <c r="Q566" s="9">
        <f>revenue[revenue]-(revenue[productCost]*revenue[orderQuantity])</f>
        <v>-21.00000812</v>
      </c>
      <c r="R566" s="25">
        <f>IFERROR(revenue[profit]/revenue[revenue], 0)</f>
        <v>-0.1333333849</v>
      </c>
      <c r="S566" s="9">
        <f>revenue[productCost]*revenue[orderQuantity]</f>
        <v>178.5000081</v>
      </c>
    </row>
    <row r="567" ht="15.75" customHeight="1">
      <c r="A567" s="6">
        <v>10460.0</v>
      </c>
      <c r="B567" s="7" t="s">
        <v>29</v>
      </c>
      <c r="C567" s="24" t="str">
        <f>VLOOKUP(revenue[customerID],customers[],2,FALSE)</f>
        <v>Folk och fä HB</v>
      </c>
      <c r="D567" s="24" t="str">
        <f>VLOOKUP(revenue[customerID],customers[],6,FALSE)</f>
        <v>Bräcke</v>
      </c>
      <c r="E567" s="24" t="str">
        <f>VLOOKUP(revenue[customerID],customers[],9,FALSE)</f>
        <v>Sweden</v>
      </c>
      <c r="F567" s="24">
        <v>44985.0</v>
      </c>
      <c r="G567" s="6">
        <v>75.0</v>
      </c>
      <c r="H567" s="9" t="str">
        <f>VLOOKUP(revenue[productID],products[],2,FALSE)</f>
        <v>Rhönbräu Klosterbier</v>
      </c>
      <c r="I567" s="9" t="str">
        <f>VLOOKUP(revenue[productID],products[],12,FALSE)</f>
        <v>Beverages</v>
      </c>
      <c r="J567" s="9">
        <f>VLOOKUP(revenue[productID],products[],IF(YEAR(revenue[orderDate])=2022,8,IF(YEAR(revenue[orderDate])=2023,9,IF(YEAR(revenue[orderDate])=2024,10,NA))),FALSE)</f>
        <v>5.355290472</v>
      </c>
      <c r="K567" s="9">
        <v>6.2</v>
      </c>
      <c r="L567" s="25">
        <f>(revenue[orderPrice]-revenue[productCost])/revenue[productCost]</f>
        <v>0.1577336529</v>
      </c>
      <c r="M567" s="10">
        <v>4.0</v>
      </c>
      <c r="N567" s="25">
        <v>0.25</v>
      </c>
      <c r="O567" s="9">
        <f>revenue[orderPrice]*revenue[orderQuantity]</f>
        <v>24.8</v>
      </c>
      <c r="P567" s="9">
        <f>revenue[orderTotal]*(1-revenue[discountApllied])</f>
        <v>18.6</v>
      </c>
      <c r="Q567" s="9">
        <f>revenue[revenue]-(revenue[productCost]*revenue[orderQuantity])</f>
        <v>-2.821161887</v>
      </c>
      <c r="R567" s="25">
        <f>IFERROR(revenue[profit]/revenue[revenue], 0)</f>
        <v>-0.1516753703</v>
      </c>
      <c r="S567" s="9">
        <f>revenue[productCost]*revenue[orderQuantity]</f>
        <v>21.42116189</v>
      </c>
    </row>
    <row r="568" ht="15.75" customHeight="1">
      <c r="A568" s="6">
        <v>10461.0</v>
      </c>
      <c r="B568" s="7" t="s">
        <v>43</v>
      </c>
      <c r="C568" s="24" t="str">
        <f>VLOOKUP(revenue[customerID],customers[],2,FALSE)</f>
        <v>LILA-Supermercado</v>
      </c>
      <c r="D568" s="24" t="str">
        <f>VLOOKUP(revenue[customerID],customers[],6,FALSE)</f>
        <v>Barquisimeto</v>
      </c>
      <c r="E568" s="24" t="str">
        <f>VLOOKUP(revenue[customerID],customers[],9,FALSE)</f>
        <v>Venezuela</v>
      </c>
      <c r="F568" s="24">
        <v>44985.0</v>
      </c>
      <c r="G568" s="6">
        <v>21.0</v>
      </c>
      <c r="H568" s="9" t="str">
        <f>VLOOKUP(revenue[productID],products[],2,FALSE)</f>
        <v>Sir Rodney's Scones</v>
      </c>
      <c r="I568" s="9" t="str">
        <f>VLOOKUP(revenue[productID],products[],12,FALSE)</f>
        <v>Confections</v>
      </c>
      <c r="J568" s="9">
        <f>VLOOKUP(revenue[productID],products[],IF(YEAR(revenue[orderDate])=2022,8,IF(YEAR(revenue[orderDate])=2023,9,IF(YEAR(revenue[orderDate])=2024,10,NA))),FALSE)</f>
        <v>6.725636111</v>
      </c>
      <c r="K568" s="9">
        <v>8.0</v>
      </c>
      <c r="L568" s="25">
        <f>(revenue[orderPrice]-revenue[productCost])/revenue[productCost]</f>
        <v>0.1894785664</v>
      </c>
      <c r="M568" s="10">
        <v>40.0</v>
      </c>
      <c r="N568" s="25">
        <v>0.25</v>
      </c>
      <c r="O568" s="9">
        <f>revenue[orderPrice]*revenue[orderQuantity]</f>
        <v>320</v>
      </c>
      <c r="P568" s="9">
        <f>revenue[orderTotal]*(1-revenue[discountApllied])</f>
        <v>240</v>
      </c>
      <c r="Q568" s="9">
        <f>revenue[revenue]-(revenue[productCost]*revenue[orderQuantity])</f>
        <v>-29.02544446</v>
      </c>
      <c r="R568" s="25">
        <f>IFERROR(revenue[profit]/revenue[revenue], 0)</f>
        <v>-0.1209393519</v>
      </c>
      <c r="S568" s="9">
        <f>revenue[productCost]*revenue[orderQuantity]</f>
        <v>269.0254445</v>
      </c>
    </row>
    <row r="569" ht="15.75" customHeight="1">
      <c r="A569" s="6">
        <v>10461.0</v>
      </c>
      <c r="B569" s="7" t="s">
        <v>43</v>
      </c>
      <c r="C569" s="24" t="str">
        <f>VLOOKUP(revenue[customerID],customers[],2,FALSE)</f>
        <v>LILA-Supermercado</v>
      </c>
      <c r="D569" s="24" t="str">
        <f>VLOOKUP(revenue[customerID],customers[],6,FALSE)</f>
        <v>Barquisimeto</v>
      </c>
      <c r="E569" s="24" t="str">
        <f>VLOOKUP(revenue[customerID],customers[],9,FALSE)</f>
        <v>Venezuela</v>
      </c>
      <c r="F569" s="24">
        <v>44985.0</v>
      </c>
      <c r="G569" s="6">
        <v>30.0</v>
      </c>
      <c r="H569" s="9" t="str">
        <f>VLOOKUP(revenue[productID],products[],2,FALSE)</f>
        <v>Nord-Ost Matjeshering</v>
      </c>
      <c r="I569" s="9" t="str">
        <f>VLOOKUP(revenue[productID],products[],12,FALSE)</f>
        <v>Seafood</v>
      </c>
      <c r="J569" s="9">
        <f>VLOOKUP(revenue[productID],products[],IF(YEAR(revenue[orderDate])=2022,8,IF(YEAR(revenue[orderDate])=2023,9,IF(YEAR(revenue[orderDate])=2024,10,NA))),FALSE)</f>
        <v>16.03885249</v>
      </c>
      <c r="K569" s="9">
        <v>20.7</v>
      </c>
      <c r="L569" s="25">
        <f>(revenue[orderPrice]-revenue[productCost])/revenue[productCost]</f>
        <v>0.2906160219</v>
      </c>
      <c r="M569" s="10">
        <v>28.0</v>
      </c>
      <c r="N569" s="25">
        <v>0.25</v>
      </c>
      <c r="O569" s="9">
        <f>revenue[orderPrice]*revenue[orderQuantity]</f>
        <v>579.6</v>
      </c>
      <c r="P569" s="9">
        <f>revenue[orderTotal]*(1-revenue[discountApllied])</f>
        <v>434.7</v>
      </c>
      <c r="Q569" s="9">
        <f>revenue[revenue]-(revenue[productCost]*revenue[orderQuantity])</f>
        <v>-14.38786979</v>
      </c>
      <c r="R569" s="25">
        <f>IFERROR(revenue[profit]/revenue[revenue], 0)</f>
        <v>-0.03309838922</v>
      </c>
      <c r="S569" s="9">
        <f>revenue[productCost]*revenue[orderQuantity]</f>
        <v>449.0878698</v>
      </c>
    </row>
    <row r="570" ht="15.75" customHeight="1">
      <c r="A570" s="6">
        <v>10461.0</v>
      </c>
      <c r="B570" s="7" t="s">
        <v>43</v>
      </c>
      <c r="C570" s="24" t="str">
        <f>VLOOKUP(revenue[customerID],customers[],2,FALSE)</f>
        <v>LILA-Supermercado</v>
      </c>
      <c r="D570" s="24" t="str">
        <f>VLOOKUP(revenue[customerID],customers[],6,FALSE)</f>
        <v>Barquisimeto</v>
      </c>
      <c r="E570" s="24" t="str">
        <f>VLOOKUP(revenue[customerID],customers[],9,FALSE)</f>
        <v>Venezuela</v>
      </c>
      <c r="F570" s="24">
        <v>44985.0</v>
      </c>
      <c r="G570" s="6">
        <v>55.0</v>
      </c>
      <c r="H570" s="9" t="str">
        <f>VLOOKUP(revenue[productID],products[],2,FALSE)</f>
        <v>Pâté chinois</v>
      </c>
      <c r="I570" s="9" t="str">
        <f>VLOOKUP(revenue[productID],products[],12,FALSE)</f>
        <v>Meat/Poultry</v>
      </c>
      <c r="J570" s="9">
        <f>VLOOKUP(revenue[productID],products[],IF(YEAR(revenue[orderDate])=2022,8,IF(YEAR(revenue[orderDate])=2023,9,IF(YEAR(revenue[orderDate])=2024,10,NA))),FALSE)</f>
        <v>14.92398776</v>
      </c>
      <c r="K570" s="9">
        <v>19.2</v>
      </c>
      <c r="L570" s="25">
        <f>(revenue[orderPrice]-revenue[productCost])/revenue[productCost]</f>
        <v>0.2865194145</v>
      </c>
      <c r="M570" s="10">
        <v>60.0</v>
      </c>
      <c r="N570" s="25">
        <v>0.25</v>
      </c>
      <c r="O570" s="9">
        <f>revenue[orderPrice]*revenue[orderQuantity]</f>
        <v>1152</v>
      </c>
      <c r="P570" s="9">
        <f>revenue[orderTotal]*(1-revenue[discountApllied])</f>
        <v>864</v>
      </c>
      <c r="Q570" s="9">
        <f>revenue[revenue]-(revenue[productCost]*revenue[orderQuantity])</f>
        <v>-31.43926585</v>
      </c>
      <c r="R570" s="25">
        <f>IFERROR(revenue[profit]/revenue[revenue], 0)</f>
        <v>-0.03638803917</v>
      </c>
      <c r="S570" s="9">
        <f>revenue[productCost]*revenue[orderQuantity]</f>
        <v>895.4392658</v>
      </c>
    </row>
    <row r="571" ht="15.75" customHeight="1">
      <c r="A571" s="6">
        <v>10462.0</v>
      </c>
      <c r="B571" s="7" t="s">
        <v>87</v>
      </c>
      <c r="C571" s="24" t="str">
        <f>VLOOKUP(revenue[customerID],customers[],2,FALSE)</f>
        <v>Consolidated Holdings</v>
      </c>
      <c r="D571" s="24" t="str">
        <f>VLOOKUP(revenue[customerID],customers[],6,FALSE)</f>
        <v>London</v>
      </c>
      <c r="E571" s="24" t="str">
        <f>VLOOKUP(revenue[customerID],customers[],9,FALSE)</f>
        <v>UK</v>
      </c>
      <c r="F571" s="24">
        <v>44988.0</v>
      </c>
      <c r="G571" s="6">
        <v>13.0</v>
      </c>
      <c r="H571" s="9" t="str">
        <f>VLOOKUP(revenue[productID],products[],2,FALSE)</f>
        <v>Konbu</v>
      </c>
      <c r="I571" s="9" t="str">
        <f>VLOOKUP(revenue[productID],products[],12,FALSE)</f>
        <v>Seafood</v>
      </c>
      <c r="J571" s="9">
        <f>VLOOKUP(revenue[productID],products[],IF(YEAR(revenue[orderDate])=2022,8,IF(YEAR(revenue[orderDate])=2023,9,IF(YEAR(revenue[orderDate])=2024,10,NA))),FALSE)</f>
        <v>3.865774949</v>
      </c>
      <c r="K571" s="9">
        <v>4.8</v>
      </c>
      <c r="L571" s="25">
        <f>(revenue[orderPrice]-revenue[productCost])/revenue[productCost]</f>
        <v>0.2416656591</v>
      </c>
      <c r="M571" s="10">
        <v>1.0</v>
      </c>
      <c r="N571" s="25">
        <v>0.0</v>
      </c>
      <c r="O571" s="9">
        <f>revenue[orderPrice]*revenue[orderQuantity]</f>
        <v>4.8</v>
      </c>
      <c r="P571" s="9">
        <f>revenue[orderTotal]*(1-revenue[discountApllied])</f>
        <v>4.8</v>
      </c>
      <c r="Q571" s="9">
        <f>revenue[revenue]-(revenue[productCost]*revenue[orderQuantity])</f>
        <v>0.9342250511</v>
      </c>
      <c r="R571" s="25">
        <f>IFERROR(revenue[profit]/revenue[revenue], 0)</f>
        <v>0.194630219</v>
      </c>
      <c r="S571" s="9">
        <f>revenue[productCost]*revenue[orderQuantity]</f>
        <v>3.865774949</v>
      </c>
    </row>
    <row r="572" ht="15.75" customHeight="1">
      <c r="A572" s="6">
        <v>10462.0</v>
      </c>
      <c r="B572" s="7" t="s">
        <v>87</v>
      </c>
      <c r="C572" s="24" t="str">
        <f>VLOOKUP(revenue[customerID],customers[],2,FALSE)</f>
        <v>Consolidated Holdings</v>
      </c>
      <c r="D572" s="24" t="str">
        <f>VLOOKUP(revenue[customerID],customers[],6,FALSE)</f>
        <v>London</v>
      </c>
      <c r="E572" s="24" t="str">
        <f>VLOOKUP(revenue[customerID],customers[],9,FALSE)</f>
        <v>UK</v>
      </c>
      <c r="F572" s="24">
        <v>44988.0</v>
      </c>
      <c r="G572" s="6">
        <v>23.0</v>
      </c>
      <c r="H572" s="9" t="str">
        <f>VLOOKUP(revenue[productID],products[],2,FALSE)</f>
        <v>Tunnbröd</v>
      </c>
      <c r="I572" s="9" t="str">
        <f>VLOOKUP(revenue[productID],products[],12,FALSE)</f>
        <v>Grains/Cereals</v>
      </c>
      <c r="J572" s="9">
        <f>VLOOKUP(revenue[productID],products[],IF(YEAR(revenue[orderDate])=2022,8,IF(YEAR(revenue[orderDate])=2023,9,IF(YEAR(revenue[orderDate])=2024,10,NA))),FALSE)</f>
        <v>5.989059129</v>
      </c>
      <c r="K572" s="9">
        <v>7.2</v>
      </c>
      <c r="L572" s="25">
        <f>(revenue[orderPrice]-revenue[productCost])/revenue[productCost]</f>
        <v>0.2021921717</v>
      </c>
      <c r="M572" s="10">
        <v>21.0</v>
      </c>
      <c r="N572" s="25">
        <v>0.0</v>
      </c>
      <c r="O572" s="9">
        <f>revenue[orderPrice]*revenue[orderQuantity]</f>
        <v>151.2</v>
      </c>
      <c r="P572" s="9">
        <f>revenue[orderTotal]*(1-revenue[discountApllied])</f>
        <v>151.2</v>
      </c>
      <c r="Q572" s="9">
        <f>revenue[revenue]-(revenue[productCost]*revenue[orderQuantity])</f>
        <v>25.4297583</v>
      </c>
      <c r="R572" s="25">
        <f>IFERROR(revenue[profit]/revenue[revenue], 0)</f>
        <v>0.1681862321</v>
      </c>
      <c r="S572" s="9">
        <f>revenue[productCost]*revenue[orderQuantity]</f>
        <v>125.7702417</v>
      </c>
    </row>
    <row r="573" ht="15.75" customHeight="1">
      <c r="A573" s="6">
        <v>10463.0</v>
      </c>
      <c r="B573" s="7" t="s">
        <v>19</v>
      </c>
      <c r="C573" s="24" t="str">
        <f>VLOOKUP(revenue[customerID],customers[],2,FALSE)</f>
        <v>Suprêmes délices</v>
      </c>
      <c r="D573" s="24" t="str">
        <f>VLOOKUP(revenue[customerID],customers[],6,FALSE)</f>
        <v>Charleroi</v>
      </c>
      <c r="E573" s="24" t="str">
        <f>VLOOKUP(revenue[customerID],customers[],9,FALSE)</f>
        <v>Belgium</v>
      </c>
      <c r="F573" s="24">
        <v>44989.0</v>
      </c>
      <c r="G573" s="6">
        <v>19.0</v>
      </c>
      <c r="H573" s="9" t="str">
        <f>VLOOKUP(revenue[productID],products[],2,FALSE)</f>
        <v>Teatime Chocolate Biscuits</v>
      </c>
      <c r="I573" s="9" t="str">
        <f>VLOOKUP(revenue[productID],products[],12,FALSE)</f>
        <v>Confections</v>
      </c>
      <c r="J573" s="9">
        <f>VLOOKUP(revenue[productID],products[],IF(YEAR(revenue[orderDate])=2022,8,IF(YEAR(revenue[orderDate])=2023,9,IF(YEAR(revenue[orderDate])=2024,10,NA))),FALSE)</f>
        <v>5.901883682</v>
      </c>
      <c r="K573" s="9">
        <v>7.3</v>
      </c>
      <c r="L573" s="25">
        <f>(revenue[orderPrice]-revenue[productCost])/revenue[productCost]</f>
        <v>0.2368932349</v>
      </c>
      <c r="M573" s="10">
        <v>21.0</v>
      </c>
      <c r="N573" s="25">
        <v>0.0</v>
      </c>
      <c r="O573" s="9">
        <f>revenue[orderPrice]*revenue[orderQuantity]</f>
        <v>153.3</v>
      </c>
      <c r="P573" s="9">
        <f>revenue[orderTotal]*(1-revenue[discountApllied])</f>
        <v>153.3</v>
      </c>
      <c r="Q573" s="9">
        <f>revenue[revenue]-(revenue[productCost]*revenue[orderQuantity])</f>
        <v>29.36044267</v>
      </c>
      <c r="R573" s="25">
        <f>IFERROR(revenue[profit]/revenue[revenue], 0)</f>
        <v>0.1915227832</v>
      </c>
      <c r="S573" s="9">
        <f>revenue[productCost]*revenue[orderQuantity]</f>
        <v>123.9395573</v>
      </c>
    </row>
    <row r="574" ht="15.75" customHeight="1">
      <c r="A574" s="6">
        <v>10463.0</v>
      </c>
      <c r="B574" s="7" t="s">
        <v>19</v>
      </c>
      <c r="C574" s="24" t="str">
        <f>VLOOKUP(revenue[customerID],customers[],2,FALSE)</f>
        <v>Suprêmes délices</v>
      </c>
      <c r="D574" s="24" t="str">
        <f>VLOOKUP(revenue[customerID],customers[],6,FALSE)</f>
        <v>Charleroi</v>
      </c>
      <c r="E574" s="24" t="str">
        <f>VLOOKUP(revenue[customerID],customers[],9,FALSE)</f>
        <v>Belgium</v>
      </c>
      <c r="F574" s="24">
        <v>44989.0</v>
      </c>
      <c r="G574" s="6">
        <v>42.0</v>
      </c>
      <c r="H574" s="9" t="str">
        <f>VLOOKUP(revenue[productID],products[],2,FALSE)</f>
        <v>Singaporean Hokkien Fried Mee</v>
      </c>
      <c r="I574" s="9" t="str">
        <f>VLOOKUP(revenue[productID],products[],12,FALSE)</f>
        <v>Grains/Cereals</v>
      </c>
      <c r="J574" s="9">
        <f>VLOOKUP(revenue[productID],products[],IF(YEAR(revenue[orderDate])=2022,8,IF(YEAR(revenue[orderDate])=2023,9,IF(YEAR(revenue[orderDate])=2024,10,NA))),FALSE)</f>
        <v>9.105641621</v>
      </c>
      <c r="K574" s="9">
        <v>11.2</v>
      </c>
      <c r="L574" s="25">
        <f>(revenue[orderPrice]-revenue[productCost])/revenue[productCost]</f>
        <v>0.2300066779</v>
      </c>
      <c r="M574" s="10">
        <v>50.0</v>
      </c>
      <c r="N574" s="25">
        <v>0.0</v>
      </c>
      <c r="O574" s="9">
        <f>revenue[orderPrice]*revenue[orderQuantity]</f>
        <v>560</v>
      </c>
      <c r="P574" s="9">
        <f>revenue[orderTotal]*(1-revenue[discountApllied])</f>
        <v>560</v>
      </c>
      <c r="Q574" s="9">
        <f>revenue[revenue]-(revenue[productCost]*revenue[orderQuantity])</f>
        <v>104.717919</v>
      </c>
      <c r="R574" s="25">
        <f>IFERROR(revenue[profit]/revenue[revenue], 0)</f>
        <v>0.1869962839</v>
      </c>
      <c r="S574" s="9">
        <f>revenue[productCost]*revenue[orderQuantity]</f>
        <v>455.282081</v>
      </c>
    </row>
    <row r="575" ht="15.75" customHeight="1">
      <c r="A575" s="6">
        <v>10464.0</v>
      </c>
      <c r="B575" s="7" t="s">
        <v>62</v>
      </c>
      <c r="C575" s="24" t="str">
        <f>VLOOKUP(revenue[customerID],customers[],2,FALSE)</f>
        <v>Furia Bacalhau e Frutos do Mar</v>
      </c>
      <c r="D575" s="24" t="str">
        <f>VLOOKUP(revenue[customerID],customers[],6,FALSE)</f>
        <v>Lisboa</v>
      </c>
      <c r="E575" s="24" t="str">
        <f>VLOOKUP(revenue[customerID],customers[],9,FALSE)</f>
        <v>Portugal</v>
      </c>
      <c r="F575" s="24">
        <v>44989.0</v>
      </c>
      <c r="G575" s="6">
        <v>4.0</v>
      </c>
      <c r="H575" s="9" t="str">
        <f>VLOOKUP(revenue[productID],products[],2,FALSE)</f>
        <v>Chef Anton's Cajun Seasoning</v>
      </c>
      <c r="I575" s="9" t="str">
        <f>VLOOKUP(revenue[productID],products[],12,FALSE)</f>
        <v>Condiments</v>
      </c>
      <c r="J575" s="9">
        <f>VLOOKUP(revenue[productID],products[],IF(YEAR(revenue[orderDate])=2022,8,IF(YEAR(revenue[orderDate])=2023,9,IF(YEAR(revenue[orderDate])=2024,10,NA))),FALSE)</f>
        <v>13.81047124</v>
      </c>
      <c r="K575" s="9">
        <v>17.6</v>
      </c>
      <c r="L575" s="25">
        <f>(revenue[orderPrice]-revenue[productCost])/revenue[productCost]</f>
        <v>0.2743953262</v>
      </c>
      <c r="M575" s="10">
        <v>16.0</v>
      </c>
      <c r="N575" s="25">
        <v>0.2</v>
      </c>
      <c r="O575" s="9">
        <f>revenue[orderPrice]*revenue[orderQuantity]</f>
        <v>281.6</v>
      </c>
      <c r="P575" s="9">
        <f>revenue[orderTotal]*(1-revenue[discountApllied])</f>
        <v>225.28</v>
      </c>
      <c r="Q575" s="9">
        <f>revenue[revenue]-(revenue[productCost]*revenue[orderQuantity])</f>
        <v>4.312460165</v>
      </c>
      <c r="R575" s="25">
        <f>IFERROR(revenue[profit]/revenue[revenue], 0)</f>
        <v>0.01914266764</v>
      </c>
      <c r="S575" s="9">
        <f>revenue[productCost]*revenue[orderQuantity]</f>
        <v>220.9675398</v>
      </c>
    </row>
    <row r="576" ht="15.75" customHeight="1">
      <c r="A576" s="6">
        <v>10464.0</v>
      </c>
      <c r="B576" s="7" t="s">
        <v>62</v>
      </c>
      <c r="C576" s="24" t="str">
        <f>VLOOKUP(revenue[customerID],customers[],2,FALSE)</f>
        <v>Furia Bacalhau e Frutos do Mar</v>
      </c>
      <c r="D576" s="24" t="str">
        <f>VLOOKUP(revenue[customerID],customers[],6,FALSE)</f>
        <v>Lisboa</v>
      </c>
      <c r="E576" s="24" t="str">
        <f>VLOOKUP(revenue[customerID],customers[],9,FALSE)</f>
        <v>Portugal</v>
      </c>
      <c r="F576" s="24">
        <v>44989.0</v>
      </c>
      <c r="G576" s="6">
        <v>43.0</v>
      </c>
      <c r="H576" s="9" t="str">
        <f>VLOOKUP(revenue[productID],products[],2,FALSE)</f>
        <v>Ipoh Coffee</v>
      </c>
      <c r="I576" s="9" t="str">
        <f>VLOOKUP(revenue[productID],products[],12,FALSE)</f>
        <v>Beverages</v>
      </c>
      <c r="J576" s="9">
        <f>VLOOKUP(revenue[productID],products[],IF(YEAR(revenue[orderDate])=2022,8,IF(YEAR(revenue[orderDate])=2023,9,IF(YEAR(revenue[orderDate])=2024,10,NA))),FALSE)</f>
        <v>30.96256564</v>
      </c>
      <c r="K576" s="9">
        <v>36.8</v>
      </c>
      <c r="L576" s="25">
        <f>(revenue[orderPrice]-revenue[productCost])/revenue[productCost]</f>
        <v>0.1885319981</v>
      </c>
      <c r="M576" s="10">
        <v>3.0</v>
      </c>
      <c r="N576" s="25">
        <v>0.0</v>
      </c>
      <c r="O576" s="9">
        <f>revenue[orderPrice]*revenue[orderQuantity]</f>
        <v>110.4</v>
      </c>
      <c r="P576" s="9">
        <f>revenue[orderTotal]*(1-revenue[discountApllied])</f>
        <v>110.4</v>
      </c>
      <c r="Q576" s="9">
        <f>revenue[revenue]-(revenue[productCost]*revenue[orderQuantity])</f>
        <v>17.51230309</v>
      </c>
      <c r="R576" s="25">
        <f>IFERROR(revenue[profit]/revenue[revenue], 0)</f>
        <v>0.1586259338</v>
      </c>
      <c r="S576" s="9">
        <f>revenue[productCost]*revenue[orderQuantity]</f>
        <v>92.88769691</v>
      </c>
    </row>
    <row r="577" ht="15.75" customHeight="1">
      <c r="A577" s="6">
        <v>10464.0</v>
      </c>
      <c r="B577" s="7" t="s">
        <v>62</v>
      </c>
      <c r="C577" s="24" t="str">
        <f>VLOOKUP(revenue[customerID],customers[],2,FALSE)</f>
        <v>Furia Bacalhau e Frutos do Mar</v>
      </c>
      <c r="D577" s="24" t="str">
        <f>VLOOKUP(revenue[customerID],customers[],6,FALSE)</f>
        <v>Lisboa</v>
      </c>
      <c r="E577" s="24" t="str">
        <f>VLOOKUP(revenue[customerID],customers[],9,FALSE)</f>
        <v>Portugal</v>
      </c>
      <c r="F577" s="24">
        <v>44989.0</v>
      </c>
      <c r="G577" s="6">
        <v>56.0</v>
      </c>
      <c r="H577" s="9" t="str">
        <f>VLOOKUP(revenue[productID],products[],2,FALSE)</f>
        <v>Gnocchi di nonna Alice</v>
      </c>
      <c r="I577" s="9" t="str">
        <f>VLOOKUP(revenue[productID],products[],12,FALSE)</f>
        <v>Grains/Cereals</v>
      </c>
      <c r="J577" s="9">
        <f>VLOOKUP(revenue[productID],products[],IF(YEAR(revenue[orderDate])=2022,8,IF(YEAR(revenue[orderDate])=2023,9,IF(YEAR(revenue[orderDate])=2024,10,NA))),FALSE)</f>
        <v>24.28342441</v>
      </c>
      <c r="K577" s="9">
        <v>30.4</v>
      </c>
      <c r="L577" s="25">
        <f>(revenue[orderPrice]-revenue[productCost])/revenue[productCost]</f>
        <v>0.2518827447</v>
      </c>
      <c r="M577" s="10">
        <v>30.0</v>
      </c>
      <c r="N577" s="25">
        <v>0.2</v>
      </c>
      <c r="O577" s="9">
        <f>revenue[orderPrice]*revenue[orderQuantity]</f>
        <v>912</v>
      </c>
      <c r="P577" s="9">
        <f>revenue[orderTotal]*(1-revenue[discountApllied])</f>
        <v>729.6</v>
      </c>
      <c r="Q577" s="9">
        <f>revenue[revenue]-(revenue[productCost]*revenue[orderQuantity])</f>
        <v>1.097267754</v>
      </c>
      <c r="R577" s="25">
        <f>IFERROR(revenue[profit]/revenue[revenue], 0)</f>
        <v>0.001503930584</v>
      </c>
      <c r="S577" s="9">
        <f>revenue[productCost]*revenue[orderQuantity]</f>
        <v>728.5027322</v>
      </c>
    </row>
    <row r="578" ht="15.75" customHeight="1">
      <c r="A578" s="6">
        <v>10464.0</v>
      </c>
      <c r="B578" s="7" t="s">
        <v>62</v>
      </c>
      <c r="C578" s="24" t="str">
        <f>VLOOKUP(revenue[customerID],customers[],2,FALSE)</f>
        <v>Furia Bacalhau e Frutos do Mar</v>
      </c>
      <c r="D578" s="24" t="str">
        <f>VLOOKUP(revenue[customerID],customers[],6,FALSE)</f>
        <v>Lisboa</v>
      </c>
      <c r="E578" s="24" t="str">
        <f>VLOOKUP(revenue[customerID],customers[],9,FALSE)</f>
        <v>Portugal</v>
      </c>
      <c r="F578" s="24">
        <v>44989.0</v>
      </c>
      <c r="G578" s="6">
        <v>60.0</v>
      </c>
      <c r="H578" s="9" t="str">
        <f>VLOOKUP(revenue[productID],products[],2,FALSE)</f>
        <v>Camembert Pierrot</v>
      </c>
      <c r="I578" s="9" t="str">
        <f>VLOOKUP(revenue[productID],products[],12,FALSE)</f>
        <v>Dairy Products</v>
      </c>
      <c r="J578" s="9">
        <f>VLOOKUP(revenue[productID],products[],IF(YEAR(revenue[orderDate])=2022,8,IF(YEAR(revenue[orderDate])=2023,9,IF(YEAR(revenue[orderDate])=2024,10,NA))),FALSE)</f>
        <v>22.77098295</v>
      </c>
      <c r="K578" s="9">
        <v>27.2</v>
      </c>
      <c r="L578" s="25">
        <f>(revenue[orderPrice]-revenue[productCost])/revenue[productCost]</f>
        <v>0.1945026732</v>
      </c>
      <c r="M578" s="10">
        <v>20.0</v>
      </c>
      <c r="N578" s="25">
        <v>0.0</v>
      </c>
      <c r="O578" s="9">
        <f>revenue[orderPrice]*revenue[orderQuantity]</f>
        <v>544</v>
      </c>
      <c r="P578" s="9">
        <f>revenue[orderTotal]*(1-revenue[discountApllied])</f>
        <v>544</v>
      </c>
      <c r="Q578" s="9">
        <f>revenue[revenue]-(revenue[productCost]*revenue[orderQuantity])</f>
        <v>88.58034108</v>
      </c>
      <c r="R578" s="25">
        <f>IFERROR(revenue[profit]/revenue[revenue], 0)</f>
        <v>0.1628315093</v>
      </c>
      <c r="S578" s="9">
        <f>revenue[productCost]*revenue[orderQuantity]</f>
        <v>455.4196589</v>
      </c>
    </row>
    <row r="579" ht="15.75" customHeight="1">
      <c r="A579" s="6">
        <v>10465.0</v>
      </c>
      <c r="B579" s="7" t="s">
        <v>76</v>
      </c>
      <c r="C579" s="24" t="str">
        <f>VLOOKUP(revenue[customerID],customers[],2,FALSE)</f>
        <v>Vaffeljernet</v>
      </c>
      <c r="D579" s="24" t="str">
        <f>VLOOKUP(revenue[customerID],customers[],6,FALSE)</f>
        <v>Århus</v>
      </c>
      <c r="E579" s="24" t="str">
        <f>VLOOKUP(revenue[customerID],customers[],9,FALSE)</f>
        <v>Denmark</v>
      </c>
      <c r="F579" s="24">
        <v>44990.0</v>
      </c>
      <c r="G579" s="6">
        <v>24.0</v>
      </c>
      <c r="H579" s="9" t="str">
        <f>VLOOKUP(revenue[productID],products[],2,FALSE)</f>
        <v>Brigadeiros Maravilhosos da Lilian</v>
      </c>
      <c r="I579" s="9" t="str">
        <f>VLOOKUP(revenue[productID],products[],12,FALSE)</f>
        <v>Confections</v>
      </c>
      <c r="J579" s="9">
        <f>VLOOKUP(revenue[productID],products[],IF(YEAR(revenue[orderDate])=2022,8,IF(YEAR(revenue[orderDate])=2023,9,IF(YEAR(revenue[orderDate])=2024,10,NA))),FALSE)</f>
        <v>3.131783363</v>
      </c>
      <c r="K579" s="9">
        <v>3.6</v>
      </c>
      <c r="L579" s="25">
        <f>(revenue[orderPrice]-revenue[productCost])/revenue[productCost]</f>
        <v>0.1495047974</v>
      </c>
      <c r="M579" s="10">
        <v>25.0</v>
      </c>
      <c r="N579" s="25">
        <v>0.0</v>
      </c>
      <c r="O579" s="9">
        <f>revenue[orderPrice]*revenue[orderQuantity]</f>
        <v>90</v>
      </c>
      <c r="P579" s="9">
        <f>revenue[orderTotal]*(1-revenue[discountApllied])</f>
        <v>90</v>
      </c>
      <c r="Q579" s="9">
        <f>revenue[revenue]-(revenue[productCost]*revenue[orderQuantity])</f>
        <v>11.70541593</v>
      </c>
      <c r="R579" s="25">
        <f>IFERROR(revenue[profit]/revenue[revenue], 0)</f>
        <v>0.130060177</v>
      </c>
      <c r="S579" s="9">
        <f>revenue[productCost]*revenue[orderQuantity]</f>
        <v>78.29458407</v>
      </c>
    </row>
    <row r="580" ht="15.75" customHeight="1">
      <c r="A580" s="6">
        <v>10465.0</v>
      </c>
      <c r="B580" s="7" t="s">
        <v>76</v>
      </c>
      <c r="C580" s="24" t="str">
        <f>VLOOKUP(revenue[customerID],customers[],2,FALSE)</f>
        <v>Vaffeljernet</v>
      </c>
      <c r="D580" s="24" t="str">
        <f>VLOOKUP(revenue[customerID],customers[],6,FALSE)</f>
        <v>Århus</v>
      </c>
      <c r="E580" s="24" t="str">
        <f>VLOOKUP(revenue[customerID],customers[],9,FALSE)</f>
        <v>Denmark</v>
      </c>
      <c r="F580" s="24">
        <v>44990.0</v>
      </c>
      <c r="G580" s="6">
        <v>29.0</v>
      </c>
      <c r="H580" s="9" t="str">
        <f>VLOOKUP(revenue[productID],products[],2,FALSE)</f>
        <v>Thüringer Rostbratwurst</v>
      </c>
      <c r="I580" s="9" t="str">
        <f>VLOOKUP(revenue[productID],products[],12,FALSE)</f>
        <v>Meat/Poultry</v>
      </c>
      <c r="J580" s="9">
        <f>VLOOKUP(revenue[productID],products[],IF(YEAR(revenue[orderDate])=2022,8,IF(YEAR(revenue[orderDate])=2023,9,IF(YEAR(revenue[orderDate])=2024,10,NA))),FALSE)</f>
        <v>80.85619497</v>
      </c>
      <c r="K580" s="9">
        <v>99.0</v>
      </c>
      <c r="L580" s="25">
        <f>(revenue[orderPrice]-revenue[productCost])/revenue[productCost]</f>
        <v>0.224395979</v>
      </c>
      <c r="M580" s="10">
        <v>18.0</v>
      </c>
      <c r="N580" s="25">
        <v>0.1</v>
      </c>
      <c r="O580" s="9">
        <f>revenue[orderPrice]*revenue[orderQuantity]</f>
        <v>1782</v>
      </c>
      <c r="P580" s="9">
        <f>revenue[orderTotal]*(1-revenue[discountApllied])</f>
        <v>1603.8</v>
      </c>
      <c r="Q580" s="9">
        <f>revenue[revenue]-(revenue[productCost]*revenue[orderQuantity])</f>
        <v>148.3884905</v>
      </c>
      <c r="R580" s="25">
        <f>IFERROR(revenue[profit]/revenue[revenue], 0)</f>
        <v>0.09252306431</v>
      </c>
      <c r="S580" s="9">
        <f>revenue[productCost]*revenue[orderQuantity]</f>
        <v>1455.411509</v>
      </c>
    </row>
    <row r="581" ht="15.75" customHeight="1">
      <c r="A581" s="6">
        <v>10465.0</v>
      </c>
      <c r="B581" s="7" t="s">
        <v>76</v>
      </c>
      <c r="C581" s="24" t="str">
        <f>VLOOKUP(revenue[customerID],customers[],2,FALSE)</f>
        <v>Vaffeljernet</v>
      </c>
      <c r="D581" s="24" t="str">
        <f>VLOOKUP(revenue[customerID],customers[],6,FALSE)</f>
        <v>Århus</v>
      </c>
      <c r="E581" s="24" t="str">
        <f>VLOOKUP(revenue[customerID],customers[],9,FALSE)</f>
        <v>Denmark</v>
      </c>
      <c r="F581" s="24">
        <v>44990.0</v>
      </c>
      <c r="G581" s="6">
        <v>40.0</v>
      </c>
      <c r="H581" s="9" t="str">
        <f>VLOOKUP(revenue[productID],products[],2,FALSE)</f>
        <v>Boston Crab Meat</v>
      </c>
      <c r="I581" s="9" t="str">
        <f>VLOOKUP(revenue[productID],products[],12,FALSE)</f>
        <v>Seafood</v>
      </c>
      <c r="J581" s="9">
        <f>VLOOKUP(revenue[productID],products[],IF(YEAR(revenue[orderDate])=2022,8,IF(YEAR(revenue[orderDate])=2023,9,IF(YEAR(revenue[orderDate])=2024,10,NA))),FALSE)</f>
        <v>11.40496523</v>
      </c>
      <c r="K581" s="9">
        <v>14.7</v>
      </c>
      <c r="L581" s="25">
        <f>(revenue[orderPrice]-revenue[productCost])/revenue[productCost]</f>
        <v>0.2889123033</v>
      </c>
      <c r="M581" s="10">
        <v>20.0</v>
      </c>
      <c r="N581" s="25">
        <v>0.0</v>
      </c>
      <c r="O581" s="9">
        <f>revenue[orderPrice]*revenue[orderQuantity]</f>
        <v>294</v>
      </c>
      <c r="P581" s="9">
        <f>revenue[orderTotal]*(1-revenue[discountApllied])</f>
        <v>294</v>
      </c>
      <c r="Q581" s="9">
        <f>revenue[revenue]-(revenue[productCost]*revenue[orderQuantity])</f>
        <v>65.90069546</v>
      </c>
      <c r="R581" s="25">
        <f>IFERROR(revenue[profit]/revenue[revenue], 0)</f>
        <v>0.2241520254</v>
      </c>
      <c r="S581" s="9">
        <f>revenue[productCost]*revenue[orderQuantity]</f>
        <v>228.0993045</v>
      </c>
    </row>
    <row r="582" ht="15.75" customHeight="1">
      <c r="A582" s="6">
        <v>10465.0</v>
      </c>
      <c r="B582" s="7" t="s">
        <v>76</v>
      </c>
      <c r="C582" s="24" t="str">
        <f>VLOOKUP(revenue[customerID],customers[],2,FALSE)</f>
        <v>Vaffeljernet</v>
      </c>
      <c r="D582" s="24" t="str">
        <f>VLOOKUP(revenue[customerID],customers[],6,FALSE)</f>
        <v>Århus</v>
      </c>
      <c r="E582" s="24" t="str">
        <f>VLOOKUP(revenue[customerID],customers[],9,FALSE)</f>
        <v>Denmark</v>
      </c>
      <c r="F582" s="24">
        <v>44990.0</v>
      </c>
      <c r="G582" s="6">
        <v>45.0</v>
      </c>
      <c r="H582" s="9" t="str">
        <f>VLOOKUP(revenue[productID],products[],2,FALSE)</f>
        <v>Rogede sild</v>
      </c>
      <c r="I582" s="9" t="str">
        <f>VLOOKUP(revenue[productID],products[],12,FALSE)</f>
        <v>Seafood</v>
      </c>
      <c r="J582" s="9">
        <f>VLOOKUP(revenue[productID],products[],IF(YEAR(revenue[orderDate])=2022,8,IF(YEAR(revenue[orderDate])=2023,9,IF(YEAR(revenue[orderDate])=2024,10,NA))),FALSE)</f>
        <v>5.965769822</v>
      </c>
      <c r="K582" s="9">
        <v>7.6</v>
      </c>
      <c r="L582" s="25">
        <f>(revenue[orderPrice]-revenue[productCost])/revenue[productCost]</f>
        <v>0.2739345008</v>
      </c>
      <c r="M582" s="10">
        <v>30.0</v>
      </c>
      <c r="N582" s="25">
        <v>0.1</v>
      </c>
      <c r="O582" s="9">
        <f>revenue[orderPrice]*revenue[orderQuantity]</f>
        <v>228</v>
      </c>
      <c r="P582" s="9">
        <f>revenue[orderTotal]*(1-revenue[discountApllied])</f>
        <v>205.2</v>
      </c>
      <c r="Q582" s="9">
        <f>revenue[revenue]-(revenue[productCost]*revenue[orderQuantity])</f>
        <v>26.22690535</v>
      </c>
      <c r="R582" s="25">
        <f>IFERROR(revenue[profit]/revenue[revenue], 0)</f>
        <v>0.1278114296</v>
      </c>
      <c r="S582" s="9">
        <f>revenue[productCost]*revenue[orderQuantity]</f>
        <v>178.9730947</v>
      </c>
    </row>
    <row r="583" ht="15.75" customHeight="1">
      <c r="A583" s="6">
        <v>10465.0</v>
      </c>
      <c r="B583" s="7" t="s">
        <v>76</v>
      </c>
      <c r="C583" s="24" t="str">
        <f>VLOOKUP(revenue[customerID],customers[],2,FALSE)</f>
        <v>Vaffeljernet</v>
      </c>
      <c r="D583" s="24" t="str">
        <f>VLOOKUP(revenue[customerID],customers[],6,FALSE)</f>
        <v>Århus</v>
      </c>
      <c r="E583" s="24" t="str">
        <f>VLOOKUP(revenue[customerID],customers[],9,FALSE)</f>
        <v>Denmark</v>
      </c>
      <c r="F583" s="24">
        <v>44990.0</v>
      </c>
      <c r="G583" s="6">
        <v>50.0</v>
      </c>
      <c r="H583" s="9" t="str">
        <f>VLOOKUP(revenue[productID],products[],2,FALSE)</f>
        <v>Valkoinen suklaa</v>
      </c>
      <c r="I583" s="9" t="str">
        <f>VLOOKUP(revenue[productID],products[],12,FALSE)</f>
        <v>Confections</v>
      </c>
      <c r="J583" s="9">
        <f>VLOOKUP(revenue[productID],products[],IF(YEAR(revenue[orderDate])=2022,8,IF(YEAR(revenue[orderDate])=2023,9,IF(YEAR(revenue[orderDate])=2024,10,NA))),FALSE)</f>
        <v>11.16021436</v>
      </c>
      <c r="K583" s="9">
        <v>13.0</v>
      </c>
      <c r="L583" s="25">
        <f>(revenue[orderPrice]-revenue[productCost])/revenue[productCost]</f>
        <v>0.1648521774</v>
      </c>
      <c r="M583" s="10">
        <v>25.0</v>
      </c>
      <c r="N583" s="25">
        <v>0.0</v>
      </c>
      <c r="O583" s="9">
        <f>revenue[orderPrice]*revenue[orderQuantity]</f>
        <v>325</v>
      </c>
      <c r="P583" s="9">
        <f>revenue[orderTotal]*(1-revenue[discountApllied])</f>
        <v>325</v>
      </c>
      <c r="Q583" s="9">
        <f>revenue[revenue]-(revenue[productCost]*revenue[orderQuantity])</f>
        <v>45.99464093</v>
      </c>
      <c r="R583" s="25">
        <f>IFERROR(revenue[profit]/revenue[revenue], 0)</f>
        <v>0.1415219721</v>
      </c>
      <c r="S583" s="9">
        <f>revenue[productCost]*revenue[orderQuantity]</f>
        <v>279.0053591</v>
      </c>
    </row>
    <row r="584" ht="15.75" customHeight="1">
      <c r="A584" s="6">
        <v>10466.0</v>
      </c>
      <c r="B584" s="7" t="s">
        <v>47</v>
      </c>
      <c r="C584" s="24" t="str">
        <f>VLOOKUP(revenue[customerID],customers[],2,FALSE)</f>
        <v>Comércio Mineiro</v>
      </c>
      <c r="D584" s="24" t="str">
        <f>VLOOKUP(revenue[customerID],customers[],6,FALSE)</f>
        <v>Sao Paulo</v>
      </c>
      <c r="E584" s="24" t="str">
        <f>VLOOKUP(revenue[customerID],customers[],9,FALSE)</f>
        <v>Brazil</v>
      </c>
      <c r="F584" s="24">
        <v>44991.0</v>
      </c>
      <c r="G584" s="6">
        <v>11.0</v>
      </c>
      <c r="H584" s="9" t="str">
        <f>VLOOKUP(revenue[productID],products[],2,FALSE)</f>
        <v>Queso Cabrales</v>
      </c>
      <c r="I584" s="9" t="str">
        <f>VLOOKUP(revenue[productID],products[],12,FALSE)</f>
        <v>Dairy Products</v>
      </c>
      <c r="J584" s="9">
        <f>VLOOKUP(revenue[productID],products[],IF(YEAR(revenue[orderDate])=2022,8,IF(YEAR(revenue[orderDate])=2023,9,IF(YEAR(revenue[orderDate])=2024,10,NA))),FALSE)</f>
        <v>12.90188125</v>
      </c>
      <c r="K584" s="9">
        <v>16.8</v>
      </c>
      <c r="L584" s="25">
        <f>(revenue[orderPrice]-revenue[productCost])/revenue[productCost]</f>
        <v>0.3021356863</v>
      </c>
      <c r="M584" s="10">
        <v>10.0</v>
      </c>
      <c r="N584" s="25">
        <v>0.0</v>
      </c>
      <c r="O584" s="9">
        <f>revenue[orderPrice]*revenue[orderQuantity]</f>
        <v>168</v>
      </c>
      <c r="P584" s="9">
        <f>revenue[orderTotal]*(1-revenue[discountApllied])</f>
        <v>168</v>
      </c>
      <c r="Q584" s="9">
        <f>revenue[revenue]-(revenue[productCost]*revenue[orderQuantity])</f>
        <v>38.98118747</v>
      </c>
      <c r="R584" s="25">
        <f>IFERROR(revenue[profit]/revenue[revenue], 0)</f>
        <v>0.2320308778</v>
      </c>
      <c r="S584" s="9">
        <f>revenue[productCost]*revenue[orderQuantity]</f>
        <v>129.0188125</v>
      </c>
    </row>
    <row r="585" ht="15.75" customHeight="1">
      <c r="A585" s="6">
        <v>10466.0</v>
      </c>
      <c r="B585" s="7" t="s">
        <v>47</v>
      </c>
      <c r="C585" s="24" t="str">
        <f>VLOOKUP(revenue[customerID],customers[],2,FALSE)</f>
        <v>Comércio Mineiro</v>
      </c>
      <c r="D585" s="24" t="str">
        <f>VLOOKUP(revenue[customerID],customers[],6,FALSE)</f>
        <v>Sao Paulo</v>
      </c>
      <c r="E585" s="24" t="str">
        <f>VLOOKUP(revenue[customerID],customers[],9,FALSE)</f>
        <v>Brazil</v>
      </c>
      <c r="F585" s="24">
        <v>44991.0</v>
      </c>
      <c r="G585" s="6">
        <v>46.0</v>
      </c>
      <c r="H585" s="9" t="str">
        <f>VLOOKUP(revenue[productID],products[],2,FALSE)</f>
        <v>Spegesild</v>
      </c>
      <c r="I585" s="9" t="str">
        <f>VLOOKUP(revenue[productID],products[],12,FALSE)</f>
        <v>Seafood</v>
      </c>
      <c r="J585" s="9">
        <f>VLOOKUP(revenue[productID],products[],IF(YEAR(revenue[orderDate])=2022,8,IF(YEAR(revenue[orderDate])=2023,9,IF(YEAR(revenue[orderDate])=2024,10,NA))),FALSE)</f>
        <v>7.087990753</v>
      </c>
      <c r="K585" s="9">
        <v>9.6</v>
      </c>
      <c r="L585" s="25">
        <f>(revenue[orderPrice]-revenue[productCost])/revenue[productCost]</f>
        <v>0.3544035728</v>
      </c>
      <c r="M585" s="10">
        <v>5.0</v>
      </c>
      <c r="N585" s="25">
        <v>0.0</v>
      </c>
      <c r="O585" s="9">
        <f>revenue[orderPrice]*revenue[orderQuantity]</f>
        <v>48</v>
      </c>
      <c r="P585" s="9">
        <f>revenue[orderTotal]*(1-revenue[discountApllied])</f>
        <v>48</v>
      </c>
      <c r="Q585" s="9">
        <f>revenue[revenue]-(revenue[productCost]*revenue[orderQuantity])</f>
        <v>12.56004623</v>
      </c>
      <c r="R585" s="25">
        <f>IFERROR(revenue[profit]/revenue[revenue], 0)</f>
        <v>0.2616676299</v>
      </c>
      <c r="S585" s="9">
        <f>revenue[productCost]*revenue[orderQuantity]</f>
        <v>35.43995377</v>
      </c>
    </row>
    <row r="586" ht="15.75" customHeight="1">
      <c r="A586" s="6">
        <v>10467.0</v>
      </c>
      <c r="B586" s="7" t="s">
        <v>37</v>
      </c>
      <c r="C586" s="24" t="str">
        <f>VLOOKUP(revenue[customerID],customers[],2,FALSE)</f>
        <v>Magazzini Alimentari Riuniti</v>
      </c>
      <c r="D586" s="24" t="str">
        <f>VLOOKUP(revenue[customerID],customers[],6,FALSE)</f>
        <v>Bergamo</v>
      </c>
      <c r="E586" s="24" t="str">
        <f>VLOOKUP(revenue[customerID],customers[],9,FALSE)</f>
        <v>Italy</v>
      </c>
      <c r="F586" s="24">
        <v>44991.0</v>
      </c>
      <c r="G586" s="6">
        <v>24.0</v>
      </c>
      <c r="H586" s="9" t="str">
        <f>VLOOKUP(revenue[productID],products[],2,FALSE)</f>
        <v>Brigadeiros Maravilhosos da Lilian</v>
      </c>
      <c r="I586" s="9" t="str">
        <f>VLOOKUP(revenue[productID],products[],12,FALSE)</f>
        <v>Confections</v>
      </c>
      <c r="J586" s="9">
        <f>VLOOKUP(revenue[productID],products[],IF(YEAR(revenue[orderDate])=2022,8,IF(YEAR(revenue[orderDate])=2023,9,IF(YEAR(revenue[orderDate])=2024,10,NA))),FALSE)</f>
        <v>3.131783363</v>
      </c>
      <c r="K586" s="9">
        <v>3.6</v>
      </c>
      <c r="L586" s="25">
        <f>(revenue[orderPrice]-revenue[productCost])/revenue[productCost]</f>
        <v>0.1495047974</v>
      </c>
      <c r="M586" s="10">
        <v>28.0</v>
      </c>
      <c r="N586" s="25">
        <v>0.0</v>
      </c>
      <c r="O586" s="9">
        <f>revenue[orderPrice]*revenue[orderQuantity]</f>
        <v>100.8</v>
      </c>
      <c r="P586" s="9">
        <f>revenue[orderTotal]*(1-revenue[discountApllied])</f>
        <v>100.8</v>
      </c>
      <c r="Q586" s="9">
        <f>revenue[revenue]-(revenue[productCost]*revenue[orderQuantity])</f>
        <v>13.11006584</v>
      </c>
      <c r="R586" s="25">
        <f>IFERROR(revenue[profit]/revenue[revenue], 0)</f>
        <v>0.130060177</v>
      </c>
      <c r="S586" s="9">
        <f>revenue[productCost]*revenue[orderQuantity]</f>
        <v>87.68993416</v>
      </c>
    </row>
    <row r="587" ht="15.75" customHeight="1">
      <c r="A587" s="6">
        <v>10467.0</v>
      </c>
      <c r="B587" s="7" t="s">
        <v>37</v>
      </c>
      <c r="C587" s="24" t="str">
        <f>VLOOKUP(revenue[customerID],customers[],2,FALSE)</f>
        <v>Magazzini Alimentari Riuniti</v>
      </c>
      <c r="D587" s="24" t="str">
        <f>VLOOKUP(revenue[customerID],customers[],6,FALSE)</f>
        <v>Bergamo</v>
      </c>
      <c r="E587" s="24" t="str">
        <f>VLOOKUP(revenue[customerID],customers[],9,FALSE)</f>
        <v>Italy</v>
      </c>
      <c r="F587" s="24">
        <v>44991.0</v>
      </c>
      <c r="G587" s="6">
        <v>25.0</v>
      </c>
      <c r="H587" s="9" t="str">
        <f>VLOOKUP(revenue[productID],products[],2,FALSE)</f>
        <v>HM Köstliche Kaiserschmarrn Knödelchen</v>
      </c>
      <c r="I587" s="9" t="str">
        <f>VLOOKUP(revenue[productID],products[],12,FALSE)</f>
        <v>Confections</v>
      </c>
      <c r="J587" s="9">
        <f>VLOOKUP(revenue[productID],products[],IF(YEAR(revenue[orderDate])=2022,8,IF(YEAR(revenue[orderDate])=2023,9,IF(YEAR(revenue[orderDate])=2024,10,NA))),FALSE)</f>
        <v>8.138200336</v>
      </c>
      <c r="K587" s="9">
        <v>11.2</v>
      </c>
      <c r="L587" s="25">
        <f>(revenue[orderPrice]-revenue[productCost])/revenue[productCost]</f>
        <v>0.3762256442</v>
      </c>
      <c r="M587" s="10">
        <v>12.0</v>
      </c>
      <c r="N587" s="25">
        <v>0.0</v>
      </c>
      <c r="O587" s="9">
        <f>revenue[orderPrice]*revenue[orderQuantity]</f>
        <v>134.4</v>
      </c>
      <c r="P587" s="9">
        <f>revenue[orderTotal]*(1-revenue[discountApllied])</f>
        <v>134.4</v>
      </c>
      <c r="Q587" s="9">
        <f>revenue[revenue]-(revenue[productCost]*revenue[orderQuantity])</f>
        <v>36.74159597</v>
      </c>
      <c r="R587" s="25">
        <f>IFERROR(revenue[profit]/revenue[revenue], 0)</f>
        <v>0.27337497</v>
      </c>
      <c r="S587" s="9">
        <f>revenue[productCost]*revenue[orderQuantity]</f>
        <v>97.65840403</v>
      </c>
    </row>
    <row r="588" ht="15.75" customHeight="1">
      <c r="A588" s="6">
        <v>10468.0</v>
      </c>
      <c r="B588" s="7" t="s">
        <v>59</v>
      </c>
      <c r="C588" s="24" t="str">
        <f>VLOOKUP(revenue[customerID],customers[],2,FALSE)</f>
        <v>Königlich Essen</v>
      </c>
      <c r="D588" s="24" t="str">
        <f>VLOOKUP(revenue[customerID],customers[],6,FALSE)</f>
        <v>Brandenburg</v>
      </c>
      <c r="E588" s="24" t="str">
        <f>VLOOKUP(revenue[customerID],customers[],9,FALSE)</f>
        <v>Germany</v>
      </c>
      <c r="F588" s="24">
        <v>44992.0</v>
      </c>
      <c r="G588" s="6">
        <v>30.0</v>
      </c>
      <c r="H588" s="9" t="str">
        <f>VLOOKUP(revenue[productID],products[],2,FALSE)</f>
        <v>Nord-Ost Matjeshering</v>
      </c>
      <c r="I588" s="9" t="str">
        <f>VLOOKUP(revenue[productID],products[],12,FALSE)</f>
        <v>Seafood</v>
      </c>
      <c r="J588" s="9">
        <f>VLOOKUP(revenue[productID],products[],IF(YEAR(revenue[orderDate])=2022,8,IF(YEAR(revenue[orderDate])=2023,9,IF(YEAR(revenue[orderDate])=2024,10,NA))),FALSE)</f>
        <v>16.03885249</v>
      </c>
      <c r="K588" s="9">
        <v>20.7</v>
      </c>
      <c r="L588" s="25">
        <f>(revenue[orderPrice]-revenue[productCost])/revenue[productCost]</f>
        <v>0.2906160219</v>
      </c>
      <c r="M588" s="10">
        <v>8.0</v>
      </c>
      <c r="N588" s="25">
        <v>0.0</v>
      </c>
      <c r="O588" s="9">
        <f>revenue[orderPrice]*revenue[orderQuantity]</f>
        <v>165.6</v>
      </c>
      <c r="P588" s="9">
        <f>revenue[orderTotal]*(1-revenue[discountApllied])</f>
        <v>165.6</v>
      </c>
      <c r="Q588" s="9">
        <f>revenue[revenue]-(revenue[productCost]*revenue[orderQuantity])</f>
        <v>37.28918006</v>
      </c>
      <c r="R588" s="25">
        <f>IFERROR(revenue[profit]/revenue[revenue], 0)</f>
        <v>0.2251762081</v>
      </c>
      <c r="S588" s="9">
        <f>revenue[productCost]*revenue[orderQuantity]</f>
        <v>128.3108199</v>
      </c>
    </row>
    <row r="589" ht="15.75" customHeight="1">
      <c r="A589" s="6">
        <v>10468.0</v>
      </c>
      <c r="B589" s="7" t="s">
        <v>59</v>
      </c>
      <c r="C589" s="24" t="str">
        <f>VLOOKUP(revenue[customerID],customers[],2,FALSE)</f>
        <v>Königlich Essen</v>
      </c>
      <c r="D589" s="24" t="str">
        <f>VLOOKUP(revenue[customerID],customers[],6,FALSE)</f>
        <v>Brandenburg</v>
      </c>
      <c r="E589" s="24" t="str">
        <f>VLOOKUP(revenue[customerID],customers[],9,FALSE)</f>
        <v>Germany</v>
      </c>
      <c r="F589" s="24">
        <v>44992.0</v>
      </c>
      <c r="G589" s="6">
        <v>43.0</v>
      </c>
      <c r="H589" s="9" t="str">
        <f>VLOOKUP(revenue[productID],products[],2,FALSE)</f>
        <v>Ipoh Coffee</v>
      </c>
      <c r="I589" s="9" t="str">
        <f>VLOOKUP(revenue[productID],products[],12,FALSE)</f>
        <v>Beverages</v>
      </c>
      <c r="J589" s="9">
        <f>VLOOKUP(revenue[productID],products[],IF(YEAR(revenue[orderDate])=2022,8,IF(YEAR(revenue[orderDate])=2023,9,IF(YEAR(revenue[orderDate])=2024,10,NA))),FALSE)</f>
        <v>30.96256564</v>
      </c>
      <c r="K589" s="9">
        <v>36.8</v>
      </c>
      <c r="L589" s="25">
        <f>(revenue[orderPrice]-revenue[productCost])/revenue[productCost]</f>
        <v>0.1885319981</v>
      </c>
      <c r="M589" s="10">
        <v>15.0</v>
      </c>
      <c r="N589" s="25">
        <v>0.0</v>
      </c>
      <c r="O589" s="9">
        <f>revenue[orderPrice]*revenue[orderQuantity]</f>
        <v>552</v>
      </c>
      <c r="P589" s="9">
        <f>revenue[orderTotal]*(1-revenue[discountApllied])</f>
        <v>552</v>
      </c>
      <c r="Q589" s="9">
        <f>revenue[revenue]-(revenue[productCost]*revenue[orderQuantity])</f>
        <v>87.56151547</v>
      </c>
      <c r="R589" s="25">
        <f>IFERROR(revenue[profit]/revenue[revenue], 0)</f>
        <v>0.1586259338</v>
      </c>
      <c r="S589" s="9">
        <f>revenue[productCost]*revenue[orderQuantity]</f>
        <v>464.4384845</v>
      </c>
    </row>
    <row r="590" ht="15.75" customHeight="1">
      <c r="A590" s="6">
        <v>10469.0</v>
      </c>
      <c r="B590" s="7" t="s">
        <v>34</v>
      </c>
      <c r="C590" s="24" t="str">
        <f>VLOOKUP(revenue[customerID],customers[],2,FALSE)</f>
        <v>White Clover Markets</v>
      </c>
      <c r="D590" s="24" t="str">
        <f>VLOOKUP(revenue[customerID],customers[],6,FALSE)</f>
        <v>Seattle</v>
      </c>
      <c r="E590" s="24" t="str">
        <f>VLOOKUP(revenue[customerID],customers[],9,FALSE)</f>
        <v>USA</v>
      </c>
      <c r="F590" s="24">
        <v>44995.0</v>
      </c>
      <c r="G590" s="6">
        <v>2.0</v>
      </c>
      <c r="H590" s="9" t="str">
        <f>VLOOKUP(revenue[productID],products[],2,FALSE)</f>
        <v>Chang</v>
      </c>
      <c r="I590" s="9" t="str">
        <f>VLOOKUP(revenue[productID],products[],12,FALSE)</f>
        <v>Beverages</v>
      </c>
      <c r="J590" s="9">
        <f>VLOOKUP(revenue[productID],products[],IF(YEAR(revenue[orderDate])=2022,8,IF(YEAR(revenue[orderDate])=2023,9,IF(YEAR(revenue[orderDate])=2024,10,NA))),FALSE)</f>
        <v>12.14626904</v>
      </c>
      <c r="K590" s="9">
        <v>15.2</v>
      </c>
      <c r="L590" s="25">
        <f>(revenue[orderPrice]-revenue[productCost])/revenue[productCost]</f>
        <v>0.2514130837</v>
      </c>
      <c r="M590" s="10">
        <v>40.0</v>
      </c>
      <c r="N590" s="25">
        <v>0.15</v>
      </c>
      <c r="O590" s="9">
        <f>revenue[orderPrice]*revenue[orderQuantity]</f>
        <v>608</v>
      </c>
      <c r="P590" s="9">
        <f>revenue[orderTotal]*(1-revenue[discountApllied])</f>
        <v>516.8</v>
      </c>
      <c r="Q590" s="9">
        <f>revenue[revenue]-(revenue[productCost]*revenue[orderQuantity])</f>
        <v>30.94923824</v>
      </c>
      <c r="R590" s="25">
        <f>IFERROR(revenue[profit]/revenue[revenue], 0)</f>
        <v>0.05988629691</v>
      </c>
      <c r="S590" s="9">
        <f>revenue[productCost]*revenue[orderQuantity]</f>
        <v>485.8507618</v>
      </c>
    </row>
    <row r="591" ht="15.75" customHeight="1">
      <c r="A591" s="6">
        <v>10469.0</v>
      </c>
      <c r="B591" s="7" t="s">
        <v>34</v>
      </c>
      <c r="C591" s="24" t="str">
        <f>VLOOKUP(revenue[customerID],customers[],2,FALSE)</f>
        <v>White Clover Markets</v>
      </c>
      <c r="D591" s="24" t="str">
        <f>VLOOKUP(revenue[customerID],customers[],6,FALSE)</f>
        <v>Seattle</v>
      </c>
      <c r="E591" s="24" t="str">
        <f>VLOOKUP(revenue[customerID],customers[],9,FALSE)</f>
        <v>USA</v>
      </c>
      <c r="F591" s="24">
        <v>44995.0</v>
      </c>
      <c r="G591" s="6">
        <v>16.0</v>
      </c>
      <c r="H591" s="9" t="str">
        <f>VLOOKUP(revenue[productID],products[],2,FALSE)</f>
        <v>Pavlova</v>
      </c>
      <c r="I591" s="9" t="str">
        <f>VLOOKUP(revenue[productID],products[],12,FALSE)</f>
        <v>Confections</v>
      </c>
      <c r="J591" s="9">
        <f>VLOOKUP(revenue[productID],products[],IF(YEAR(revenue[orderDate])=2022,8,IF(YEAR(revenue[orderDate])=2023,9,IF(YEAR(revenue[orderDate])=2024,10,NA))),FALSE)</f>
        <v>11.98504839</v>
      </c>
      <c r="K591" s="9">
        <v>13.9</v>
      </c>
      <c r="L591" s="25">
        <f>(revenue[orderPrice]-revenue[productCost])/revenue[productCost]</f>
        <v>0.1597783792</v>
      </c>
      <c r="M591" s="10">
        <v>35.0</v>
      </c>
      <c r="N591" s="25">
        <v>0.15</v>
      </c>
      <c r="O591" s="9">
        <f>revenue[orderPrice]*revenue[orderQuantity]</f>
        <v>486.5</v>
      </c>
      <c r="P591" s="9">
        <f>revenue[orderTotal]*(1-revenue[discountApllied])</f>
        <v>413.525</v>
      </c>
      <c r="Q591" s="9">
        <f>revenue[revenue]-(revenue[productCost]*revenue[orderQuantity])</f>
        <v>-5.951693748</v>
      </c>
      <c r="R591" s="25">
        <f>IFERROR(revenue[profit]/revenue[revenue], 0)</f>
        <v>-0.01439258509</v>
      </c>
      <c r="S591" s="9">
        <f>revenue[productCost]*revenue[orderQuantity]</f>
        <v>419.4766937</v>
      </c>
    </row>
    <row r="592" ht="15.75" customHeight="1">
      <c r="A592" s="6">
        <v>10469.0</v>
      </c>
      <c r="B592" s="7" t="s">
        <v>34</v>
      </c>
      <c r="C592" s="24" t="str">
        <f>VLOOKUP(revenue[customerID],customers[],2,FALSE)</f>
        <v>White Clover Markets</v>
      </c>
      <c r="D592" s="24" t="str">
        <f>VLOOKUP(revenue[customerID],customers[],6,FALSE)</f>
        <v>Seattle</v>
      </c>
      <c r="E592" s="24" t="str">
        <f>VLOOKUP(revenue[customerID],customers[],9,FALSE)</f>
        <v>USA</v>
      </c>
      <c r="F592" s="24">
        <v>44995.0</v>
      </c>
      <c r="G592" s="6">
        <v>44.0</v>
      </c>
      <c r="H592" s="9" t="str">
        <f>VLOOKUP(revenue[productID],products[],2,FALSE)</f>
        <v>Gula Malacca</v>
      </c>
      <c r="I592" s="9" t="str">
        <f>VLOOKUP(revenue[productID],products[],12,FALSE)</f>
        <v>Condiments</v>
      </c>
      <c r="J592" s="9">
        <f>VLOOKUP(revenue[productID],products[],IF(YEAR(revenue[orderDate])=2022,8,IF(YEAR(revenue[orderDate])=2023,9,IF(YEAR(revenue[orderDate])=2024,10,NA))),FALSE)</f>
        <v>13.06032103</v>
      </c>
      <c r="K592" s="9">
        <v>15.5</v>
      </c>
      <c r="L592" s="25">
        <f>(revenue[orderPrice]-revenue[productCost])/revenue[productCost]</f>
        <v>0.1868008425</v>
      </c>
      <c r="M592" s="10">
        <v>2.0</v>
      </c>
      <c r="N592" s="25">
        <v>0.15</v>
      </c>
      <c r="O592" s="9">
        <f>revenue[orderPrice]*revenue[orderQuantity]</f>
        <v>31</v>
      </c>
      <c r="P592" s="9">
        <f>revenue[orderTotal]*(1-revenue[discountApllied])</f>
        <v>26.35</v>
      </c>
      <c r="Q592" s="9">
        <f>revenue[revenue]-(revenue[productCost]*revenue[orderQuantity])</f>
        <v>0.2293579432</v>
      </c>
      <c r="R592" s="25">
        <f>IFERROR(revenue[profit]/revenue[revenue], 0)</f>
        <v>0.008704286268</v>
      </c>
      <c r="S592" s="9">
        <f>revenue[productCost]*revenue[orderQuantity]</f>
        <v>26.12064206</v>
      </c>
    </row>
    <row r="593" ht="15.75" customHeight="1">
      <c r="A593" s="6">
        <v>10470.0</v>
      </c>
      <c r="B593" s="7" t="s">
        <v>63</v>
      </c>
      <c r="C593" s="24" t="str">
        <f>VLOOKUP(revenue[customerID],customers[],2,FALSE)</f>
        <v>Bon app'</v>
      </c>
      <c r="D593" s="24" t="str">
        <f>VLOOKUP(revenue[customerID],customers[],6,FALSE)</f>
        <v>Marseille</v>
      </c>
      <c r="E593" s="24" t="str">
        <f>VLOOKUP(revenue[customerID],customers[],9,FALSE)</f>
        <v>France</v>
      </c>
      <c r="F593" s="24">
        <v>44996.0</v>
      </c>
      <c r="G593" s="6">
        <v>18.0</v>
      </c>
      <c r="H593" s="9" t="str">
        <f>VLOOKUP(revenue[productID],products[],2,FALSE)</f>
        <v>Carnarvon Tigers</v>
      </c>
      <c r="I593" s="9" t="str">
        <f>VLOOKUP(revenue[productID],products[],12,FALSE)</f>
        <v>Seafood</v>
      </c>
      <c r="J593" s="9">
        <f>VLOOKUP(revenue[productID],products[],IF(YEAR(revenue[orderDate])=2022,8,IF(YEAR(revenue[orderDate])=2023,9,IF(YEAR(revenue[orderDate])=2024,10,NA))),FALSE)</f>
        <v>39.51966651</v>
      </c>
      <c r="K593" s="9">
        <v>50.0</v>
      </c>
      <c r="L593" s="25">
        <f>(revenue[orderPrice]-revenue[productCost])/revenue[productCost]</f>
        <v>0.2651928627</v>
      </c>
      <c r="M593" s="10">
        <v>30.0</v>
      </c>
      <c r="N593" s="25">
        <v>0.0</v>
      </c>
      <c r="O593" s="9">
        <f>revenue[orderPrice]*revenue[orderQuantity]</f>
        <v>1500</v>
      </c>
      <c r="P593" s="9">
        <f>revenue[orderTotal]*(1-revenue[discountApllied])</f>
        <v>1500</v>
      </c>
      <c r="Q593" s="9">
        <f>revenue[revenue]-(revenue[productCost]*revenue[orderQuantity])</f>
        <v>314.4100048</v>
      </c>
      <c r="R593" s="25">
        <f>IFERROR(revenue[profit]/revenue[revenue], 0)</f>
        <v>0.2096066699</v>
      </c>
      <c r="S593" s="9">
        <f>revenue[productCost]*revenue[orderQuantity]</f>
        <v>1185.589995</v>
      </c>
    </row>
    <row r="594" ht="15.75" customHeight="1">
      <c r="A594" s="6">
        <v>10470.0</v>
      </c>
      <c r="B594" s="7" t="s">
        <v>63</v>
      </c>
      <c r="C594" s="24" t="str">
        <f>VLOOKUP(revenue[customerID],customers[],2,FALSE)</f>
        <v>Bon app'</v>
      </c>
      <c r="D594" s="24" t="str">
        <f>VLOOKUP(revenue[customerID],customers[],6,FALSE)</f>
        <v>Marseille</v>
      </c>
      <c r="E594" s="24" t="str">
        <f>VLOOKUP(revenue[customerID],customers[],9,FALSE)</f>
        <v>France</v>
      </c>
      <c r="F594" s="24">
        <v>44996.0</v>
      </c>
      <c r="G594" s="6">
        <v>23.0</v>
      </c>
      <c r="H594" s="9" t="str">
        <f>VLOOKUP(revenue[productID],products[],2,FALSE)</f>
        <v>Tunnbröd</v>
      </c>
      <c r="I594" s="9" t="str">
        <f>VLOOKUP(revenue[productID],products[],12,FALSE)</f>
        <v>Grains/Cereals</v>
      </c>
      <c r="J594" s="9">
        <f>VLOOKUP(revenue[productID],products[],IF(YEAR(revenue[orderDate])=2022,8,IF(YEAR(revenue[orderDate])=2023,9,IF(YEAR(revenue[orderDate])=2024,10,NA))),FALSE)</f>
        <v>5.989059129</v>
      </c>
      <c r="K594" s="9">
        <v>7.2</v>
      </c>
      <c r="L594" s="25">
        <f>(revenue[orderPrice]-revenue[productCost])/revenue[productCost]</f>
        <v>0.2021921717</v>
      </c>
      <c r="M594" s="10">
        <v>15.0</v>
      </c>
      <c r="N594" s="25">
        <v>0.0</v>
      </c>
      <c r="O594" s="9">
        <f>revenue[orderPrice]*revenue[orderQuantity]</f>
        <v>108</v>
      </c>
      <c r="P594" s="9">
        <f>revenue[orderTotal]*(1-revenue[discountApllied])</f>
        <v>108</v>
      </c>
      <c r="Q594" s="9">
        <f>revenue[revenue]-(revenue[productCost]*revenue[orderQuantity])</f>
        <v>18.16411307</v>
      </c>
      <c r="R594" s="25">
        <f>IFERROR(revenue[profit]/revenue[revenue], 0)</f>
        <v>0.1681862321</v>
      </c>
      <c r="S594" s="9">
        <f>revenue[productCost]*revenue[orderQuantity]</f>
        <v>89.83588693</v>
      </c>
    </row>
    <row r="595" ht="15.75" customHeight="1">
      <c r="A595" s="6">
        <v>10470.0</v>
      </c>
      <c r="B595" s="7" t="s">
        <v>63</v>
      </c>
      <c r="C595" s="24" t="str">
        <f>VLOOKUP(revenue[customerID],customers[],2,FALSE)</f>
        <v>Bon app'</v>
      </c>
      <c r="D595" s="24" t="str">
        <f>VLOOKUP(revenue[customerID],customers[],6,FALSE)</f>
        <v>Marseille</v>
      </c>
      <c r="E595" s="24" t="str">
        <f>VLOOKUP(revenue[customerID],customers[],9,FALSE)</f>
        <v>France</v>
      </c>
      <c r="F595" s="24">
        <v>44996.0</v>
      </c>
      <c r="G595" s="6">
        <v>64.0</v>
      </c>
      <c r="H595" s="9" t="str">
        <f>VLOOKUP(revenue[productID],products[],2,FALSE)</f>
        <v>Lukas' leckere Sauerteigweggla</v>
      </c>
      <c r="I595" s="9" t="str">
        <f>VLOOKUP(revenue[productID],products[],12,FALSE)</f>
        <v>Grains/Cereals</v>
      </c>
      <c r="J595" s="9">
        <f>VLOOKUP(revenue[productID],products[],IF(YEAR(revenue[orderDate])=2022,8,IF(YEAR(revenue[orderDate])=2023,9,IF(YEAR(revenue[orderDate])=2024,10,NA))),FALSE)</f>
        <v>21.88572728</v>
      </c>
      <c r="K595" s="9">
        <v>26.6</v>
      </c>
      <c r="L595" s="25">
        <f>(revenue[orderPrice]-revenue[productCost])/revenue[productCost]</f>
        <v>0.2154039779</v>
      </c>
      <c r="M595" s="10">
        <v>8.0</v>
      </c>
      <c r="N595" s="25">
        <v>0.0</v>
      </c>
      <c r="O595" s="9">
        <f>revenue[orderPrice]*revenue[orderQuantity]</f>
        <v>212.8</v>
      </c>
      <c r="P595" s="9">
        <f>revenue[orderTotal]*(1-revenue[discountApllied])</f>
        <v>212.8</v>
      </c>
      <c r="Q595" s="9">
        <f>revenue[revenue]-(revenue[productCost]*revenue[orderQuantity])</f>
        <v>37.71418173</v>
      </c>
      <c r="R595" s="25">
        <f>IFERROR(revenue[profit]/revenue[revenue], 0)</f>
        <v>0.1772282976</v>
      </c>
      <c r="S595" s="9">
        <f>revenue[productCost]*revenue[orderQuantity]</f>
        <v>175.0858183</v>
      </c>
    </row>
    <row r="596" ht="15.75" customHeight="1">
      <c r="A596" s="6">
        <v>10471.0</v>
      </c>
      <c r="B596" s="7" t="s">
        <v>46</v>
      </c>
      <c r="C596" s="24" t="str">
        <f>VLOOKUP(revenue[customerID],customers[],2,FALSE)</f>
        <v>B's Beverages</v>
      </c>
      <c r="D596" s="24" t="str">
        <f>VLOOKUP(revenue[customerID],customers[],6,FALSE)</f>
        <v>London</v>
      </c>
      <c r="E596" s="24" t="str">
        <f>VLOOKUP(revenue[customerID],customers[],9,FALSE)</f>
        <v>UK</v>
      </c>
      <c r="F596" s="24">
        <v>44996.0</v>
      </c>
      <c r="G596" s="6">
        <v>7.0</v>
      </c>
      <c r="H596" s="9" t="str">
        <f>VLOOKUP(revenue[productID],products[],2,FALSE)</f>
        <v>Uncle Bob's Organic Dried Pears</v>
      </c>
      <c r="I596" s="9" t="str">
        <f>VLOOKUP(revenue[productID],products[],12,FALSE)</f>
        <v>Produce</v>
      </c>
      <c r="J596" s="9">
        <f>VLOOKUP(revenue[productID],products[],IF(YEAR(revenue[orderDate])=2022,8,IF(YEAR(revenue[orderDate])=2023,9,IF(YEAR(revenue[orderDate])=2024,10,NA))),FALSE)</f>
        <v>21.39244625</v>
      </c>
      <c r="K596" s="9">
        <v>24.0</v>
      </c>
      <c r="L596" s="25">
        <f>(revenue[orderPrice]-revenue[productCost])/revenue[productCost]</f>
        <v>0.1218913309</v>
      </c>
      <c r="M596" s="10">
        <v>30.0</v>
      </c>
      <c r="N596" s="25">
        <v>0.0</v>
      </c>
      <c r="O596" s="9">
        <f>revenue[orderPrice]*revenue[orderQuantity]</f>
        <v>720</v>
      </c>
      <c r="P596" s="9">
        <f>revenue[orderTotal]*(1-revenue[discountApllied])</f>
        <v>720</v>
      </c>
      <c r="Q596" s="9">
        <f>revenue[revenue]-(revenue[productCost]*revenue[orderQuantity])</f>
        <v>78.22661235</v>
      </c>
      <c r="R596" s="25">
        <f>IFERROR(revenue[profit]/revenue[revenue], 0)</f>
        <v>0.1086480727</v>
      </c>
      <c r="S596" s="9">
        <f>revenue[productCost]*revenue[orderQuantity]</f>
        <v>641.7733876</v>
      </c>
    </row>
    <row r="597" ht="15.75" customHeight="1">
      <c r="A597" s="6">
        <v>10471.0</v>
      </c>
      <c r="B597" s="7" t="s">
        <v>46</v>
      </c>
      <c r="C597" s="24" t="str">
        <f>VLOOKUP(revenue[customerID],customers[],2,FALSE)</f>
        <v>B's Beverages</v>
      </c>
      <c r="D597" s="24" t="str">
        <f>VLOOKUP(revenue[customerID],customers[],6,FALSE)</f>
        <v>London</v>
      </c>
      <c r="E597" s="24" t="str">
        <f>VLOOKUP(revenue[customerID],customers[],9,FALSE)</f>
        <v>UK</v>
      </c>
      <c r="F597" s="24">
        <v>44996.0</v>
      </c>
      <c r="G597" s="6">
        <v>56.0</v>
      </c>
      <c r="H597" s="9" t="str">
        <f>VLOOKUP(revenue[productID],products[],2,FALSE)</f>
        <v>Gnocchi di nonna Alice</v>
      </c>
      <c r="I597" s="9" t="str">
        <f>VLOOKUP(revenue[productID],products[],12,FALSE)</f>
        <v>Grains/Cereals</v>
      </c>
      <c r="J597" s="9">
        <f>VLOOKUP(revenue[productID],products[],IF(YEAR(revenue[orderDate])=2022,8,IF(YEAR(revenue[orderDate])=2023,9,IF(YEAR(revenue[orderDate])=2024,10,NA))),FALSE)</f>
        <v>24.28342441</v>
      </c>
      <c r="K597" s="9">
        <v>30.4</v>
      </c>
      <c r="L597" s="25">
        <f>(revenue[orderPrice]-revenue[productCost])/revenue[productCost]</f>
        <v>0.2518827447</v>
      </c>
      <c r="M597" s="10">
        <v>20.0</v>
      </c>
      <c r="N597" s="25">
        <v>0.0</v>
      </c>
      <c r="O597" s="9">
        <f>revenue[orderPrice]*revenue[orderQuantity]</f>
        <v>608</v>
      </c>
      <c r="P597" s="9">
        <f>revenue[orderTotal]*(1-revenue[discountApllied])</f>
        <v>608</v>
      </c>
      <c r="Q597" s="9">
        <f>revenue[revenue]-(revenue[productCost]*revenue[orderQuantity])</f>
        <v>122.3315118</v>
      </c>
      <c r="R597" s="25">
        <f>IFERROR(revenue[profit]/revenue[revenue], 0)</f>
        <v>0.2012031445</v>
      </c>
      <c r="S597" s="9">
        <f>revenue[productCost]*revenue[orderQuantity]</f>
        <v>485.6684882</v>
      </c>
    </row>
    <row r="598" ht="15.75" customHeight="1">
      <c r="A598" s="6">
        <v>10472.0</v>
      </c>
      <c r="B598" s="7" t="s">
        <v>71</v>
      </c>
      <c r="C598" s="24" t="str">
        <f>VLOOKUP(revenue[customerID],customers[],2,FALSE)</f>
        <v>Seven Seas Imports</v>
      </c>
      <c r="D598" s="24" t="str">
        <f>VLOOKUP(revenue[customerID],customers[],6,FALSE)</f>
        <v>London</v>
      </c>
      <c r="E598" s="24" t="str">
        <f>VLOOKUP(revenue[customerID],customers[],9,FALSE)</f>
        <v>UK</v>
      </c>
      <c r="F598" s="24">
        <v>44997.0</v>
      </c>
      <c r="G598" s="6">
        <v>24.0</v>
      </c>
      <c r="H598" s="9" t="str">
        <f>VLOOKUP(revenue[productID],products[],2,FALSE)</f>
        <v>Brigadeiros Maravilhosos da Lilian</v>
      </c>
      <c r="I598" s="9" t="str">
        <f>VLOOKUP(revenue[productID],products[],12,FALSE)</f>
        <v>Confections</v>
      </c>
      <c r="J598" s="9">
        <f>VLOOKUP(revenue[productID],products[],IF(YEAR(revenue[orderDate])=2022,8,IF(YEAR(revenue[orderDate])=2023,9,IF(YEAR(revenue[orderDate])=2024,10,NA))),FALSE)</f>
        <v>3.131783363</v>
      </c>
      <c r="K598" s="9">
        <v>3.6</v>
      </c>
      <c r="L598" s="25">
        <f>(revenue[orderPrice]-revenue[productCost])/revenue[productCost]</f>
        <v>0.1495047974</v>
      </c>
      <c r="M598" s="10">
        <v>80.0</v>
      </c>
      <c r="N598" s="25">
        <v>0.05</v>
      </c>
      <c r="O598" s="9">
        <f>revenue[orderPrice]*revenue[orderQuantity]</f>
        <v>288</v>
      </c>
      <c r="P598" s="9">
        <f>revenue[orderTotal]*(1-revenue[discountApllied])</f>
        <v>273.6</v>
      </c>
      <c r="Q598" s="9">
        <f>revenue[revenue]-(revenue[productCost]*revenue[orderQuantity])</f>
        <v>23.05733097</v>
      </c>
      <c r="R598" s="25">
        <f>IFERROR(revenue[profit]/revenue[revenue], 0)</f>
        <v>0.08427387049</v>
      </c>
      <c r="S598" s="9">
        <f>revenue[productCost]*revenue[orderQuantity]</f>
        <v>250.542669</v>
      </c>
    </row>
    <row r="599" ht="15.75" customHeight="1">
      <c r="A599" s="6">
        <v>10472.0</v>
      </c>
      <c r="B599" s="7" t="s">
        <v>71</v>
      </c>
      <c r="C599" s="24" t="str">
        <f>VLOOKUP(revenue[customerID],customers[],2,FALSE)</f>
        <v>Seven Seas Imports</v>
      </c>
      <c r="D599" s="24" t="str">
        <f>VLOOKUP(revenue[customerID],customers[],6,FALSE)</f>
        <v>London</v>
      </c>
      <c r="E599" s="24" t="str">
        <f>VLOOKUP(revenue[customerID],customers[],9,FALSE)</f>
        <v>UK</v>
      </c>
      <c r="F599" s="24">
        <v>44997.0</v>
      </c>
      <c r="G599" s="6">
        <v>51.0</v>
      </c>
      <c r="H599" s="9" t="str">
        <f>VLOOKUP(revenue[productID],products[],2,FALSE)</f>
        <v>Manjimup Dried Apples</v>
      </c>
      <c r="I599" s="9" t="str">
        <f>VLOOKUP(revenue[productID],products[],12,FALSE)</f>
        <v>Produce</v>
      </c>
      <c r="J599" s="9">
        <f>VLOOKUP(revenue[productID],products[],IF(YEAR(revenue[orderDate])=2022,8,IF(YEAR(revenue[orderDate])=2023,9,IF(YEAR(revenue[orderDate])=2024,10,NA))),FALSE)</f>
        <v>36.88798027</v>
      </c>
      <c r="K599" s="9">
        <v>42.4</v>
      </c>
      <c r="L599" s="25">
        <f>(revenue[orderPrice]-revenue[productCost])/revenue[productCost]</f>
        <v>0.1494259023</v>
      </c>
      <c r="M599" s="10">
        <v>18.0</v>
      </c>
      <c r="N599" s="25">
        <v>0.0</v>
      </c>
      <c r="O599" s="9">
        <f>revenue[orderPrice]*revenue[orderQuantity]</f>
        <v>763.2</v>
      </c>
      <c r="P599" s="9">
        <f>revenue[orderTotal]*(1-revenue[discountApllied])</f>
        <v>763.2</v>
      </c>
      <c r="Q599" s="9">
        <f>revenue[revenue]-(revenue[productCost]*revenue[orderQuantity])</f>
        <v>99.21635522</v>
      </c>
      <c r="R599" s="25">
        <f>IFERROR(revenue[profit]/revenue[revenue], 0)</f>
        <v>0.1300004654</v>
      </c>
      <c r="S599" s="9">
        <f>revenue[productCost]*revenue[orderQuantity]</f>
        <v>663.9836448</v>
      </c>
    </row>
    <row r="600" ht="15.75" customHeight="1">
      <c r="A600" s="6">
        <v>10473.0</v>
      </c>
      <c r="B600" s="7" t="s">
        <v>57</v>
      </c>
      <c r="C600" s="24" t="str">
        <f>VLOOKUP(revenue[customerID],customers[],2,FALSE)</f>
        <v>Island Trading</v>
      </c>
      <c r="D600" s="24" t="str">
        <f>VLOOKUP(revenue[customerID],customers[],6,FALSE)</f>
        <v>Cowes</v>
      </c>
      <c r="E600" s="24" t="str">
        <f>VLOOKUP(revenue[customerID],customers[],9,FALSE)</f>
        <v>UK</v>
      </c>
      <c r="F600" s="24">
        <v>44998.0</v>
      </c>
      <c r="G600" s="6">
        <v>33.0</v>
      </c>
      <c r="H600" s="9" t="str">
        <f>VLOOKUP(revenue[productID],products[],2,FALSE)</f>
        <v>Geitost</v>
      </c>
      <c r="I600" s="9" t="str">
        <f>VLOOKUP(revenue[productID],products[],12,FALSE)</f>
        <v>Dairy Products</v>
      </c>
      <c r="J600" s="9">
        <f>VLOOKUP(revenue[productID],products[],IF(YEAR(revenue[orderDate])=2022,8,IF(YEAR(revenue[orderDate])=2023,9,IF(YEAR(revenue[orderDate])=2024,10,NA))),FALSE)</f>
        <v>1.559072298</v>
      </c>
      <c r="K600" s="9">
        <v>2.0</v>
      </c>
      <c r="L600" s="25">
        <f>(revenue[orderPrice]-revenue[productCost])/revenue[productCost]</f>
        <v>0.2828141472</v>
      </c>
      <c r="M600" s="10">
        <v>12.0</v>
      </c>
      <c r="N600" s="25">
        <v>0.0</v>
      </c>
      <c r="O600" s="9">
        <f>revenue[orderPrice]*revenue[orderQuantity]</f>
        <v>24</v>
      </c>
      <c r="P600" s="9">
        <f>revenue[orderTotal]*(1-revenue[discountApllied])</f>
        <v>24</v>
      </c>
      <c r="Q600" s="9">
        <f>revenue[revenue]-(revenue[productCost]*revenue[orderQuantity])</f>
        <v>5.291132428</v>
      </c>
      <c r="R600" s="25">
        <f>IFERROR(revenue[profit]/revenue[revenue], 0)</f>
        <v>0.2204638512</v>
      </c>
      <c r="S600" s="9">
        <f>revenue[productCost]*revenue[orderQuantity]</f>
        <v>18.70886757</v>
      </c>
    </row>
    <row r="601" ht="15.75" customHeight="1">
      <c r="A601" s="6">
        <v>10473.0</v>
      </c>
      <c r="B601" s="7" t="s">
        <v>57</v>
      </c>
      <c r="C601" s="24" t="str">
        <f>VLOOKUP(revenue[customerID],customers[],2,FALSE)</f>
        <v>Island Trading</v>
      </c>
      <c r="D601" s="24" t="str">
        <f>VLOOKUP(revenue[customerID],customers[],6,FALSE)</f>
        <v>Cowes</v>
      </c>
      <c r="E601" s="24" t="str">
        <f>VLOOKUP(revenue[customerID],customers[],9,FALSE)</f>
        <v>UK</v>
      </c>
      <c r="F601" s="24">
        <v>44998.0</v>
      </c>
      <c r="G601" s="6">
        <v>71.0</v>
      </c>
      <c r="H601" s="9" t="str">
        <f>VLOOKUP(revenue[productID],products[],2,FALSE)</f>
        <v>Flotemysost</v>
      </c>
      <c r="I601" s="9" t="str">
        <f>VLOOKUP(revenue[productID],products[],12,FALSE)</f>
        <v>Dairy Products</v>
      </c>
      <c r="J601" s="9">
        <f>VLOOKUP(revenue[productID],products[],IF(YEAR(revenue[orderDate])=2022,8,IF(YEAR(revenue[orderDate])=2023,9,IF(YEAR(revenue[orderDate])=2024,10,NA))),FALSE)</f>
        <v>13.4003664</v>
      </c>
      <c r="K601" s="9">
        <v>17.2</v>
      </c>
      <c r="L601" s="25">
        <f>(revenue[orderPrice]-revenue[productCost])/revenue[productCost]</f>
        <v>0.2835469929</v>
      </c>
      <c r="M601" s="10">
        <v>12.0</v>
      </c>
      <c r="N601" s="25">
        <v>0.0</v>
      </c>
      <c r="O601" s="9">
        <f>revenue[orderPrice]*revenue[orderQuantity]</f>
        <v>206.4</v>
      </c>
      <c r="P601" s="9">
        <f>revenue[orderTotal]*(1-revenue[discountApllied])</f>
        <v>206.4</v>
      </c>
      <c r="Q601" s="9">
        <f>revenue[revenue]-(revenue[productCost]*revenue[orderQuantity])</f>
        <v>45.59560316</v>
      </c>
      <c r="R601" s="25">
        <f>IFERROR(revenue[profit]/revenue[revenue], 0)</f>
        <v>0.2209089301</v>
      </c>
      <c r="S601" s="9">
        <f>revenue[productCost]*revenue[orderQuantity]</f>
        <v>160.8043968</v>
      </c>
    </row>
    <row r="602" ht="15.75" customHeight="1">
      <c r="A602" s="6">
        <v>10474.0</v>
      </c>
      <c r="B602" s="7" t="s">
        <v>58</v>
      </c>
      <c r="C602" s="24" t="str">
        <f>VLOOKUP(revenue[customerID],customers[],2,FALSE)</f>
        <v>Pericles Comidas clásicas</v>
      </c>
      <c r="D602" s="24" t="str">
        <f>VLOOKUP(revenue[customerID],customers[],6,FALSE)</f>
        <v>México D.F.</v>
      </c>
      <c r="E602" s="24" t="str">
        <f>VLOOKUP(revenue[customerID],customers[],9,FALSE)</f>
        <v>Mexico</v>
      </c>
      <c r="F602" s="24">
        <v>44998.0</v>
      </c>
      <c r="G602" s="6">
        <v>14.0</v>
      </c>
      <c r="H602" s="9" t="str">
        <f>VLOOKUP(revenue[productID],products[],2,FALSE)</f>
        <v>Tofu</v>
      </c>
      <c r="I602" s="9" t="str">
        <f>VLOOKUP(revenue[productID],products[],12,FALSE)</f>
        <v>Produce</v>
      </c>
      <c r="J602" s="9">
        <f>VLOOKUP(revenue[productID],products[],IF(YEAR(revenue[orderDate])=2022,8,IF(YEAR(revenue[orderDate])=2023,9,IF(YEAR(revenue[orderDate])=2024,10,NA))),FALSE)</f>
        <v>15.38055417</v>
      </c>
      <c r="K602" s="9">
        <v>18.6</v>
      </c>
      <c r="L602" s="25">
        <f>(revenue[orderPrice]-revenue[productCost])/revenue[productCost]</f>
        <v>0.2093192349</v>
      </c>
      <c r="M602" s="10">
        <v>12.0</v>
      </c>
      <c r="N602" s="25">
        <v>0.0</v>
      </c>
      <c r="O602" s="9">
        <f>revenue[orderPrice]*revenue[orderQuantity]</f>
        <v>223.2</v>
      </c>
      <c r="P602" s="9">
        <f>revenue[orderTotal]*(1-revenue[discountApllied])</f>
        <v>223.2</v>
      </c>
      <c r="Q602" s="9">
        <f>revenue[revenue]-(revenue[productCost]*revenue[orderQuantity])</f>
        <v>38.63334998</v>
      </c>
      <c r="R602" s="25">
        <f>IFERROR(revenue[profit]/revenue[revenue], 0)</f>
        <v>0.1730884856</v>
      </c>
      <c r="S602" s="9">
        <f>revenue[productCost]*revenue[orderQuantity]</f>
        <v>184.56665</v>
      </c>
    </row>
    <row r="603" ht="15.75" customHeight="1">
      <c r="A603" s="6">
        <v>10474.0</v>
      </c>
      <c r="B603" s="7" t="s">
        <v>58</v>
      </c>
      <c r="C603" s="24" t="str">
        <f>VLOOKUP(revenue[customerID],customers[],2,FALSE)</f>
        <v>Pericles Comidas clásicas</v>
      </c>
      <c r="D603" s="24" t="str">
        <f>VLOOKUP(revenue[customerID],customers[],6,FALSE)</f>
        <v>México D.F.</v>
      </c>
      <c r="E603" s="24" t="str">
        <f>VLOOKUP(revenue[customerID],customers[],9,FALSE)</f>
        <v>Mexico</v>
      </c>
      <c r="F603" s="24">
        <v>44998.0</v>
      </c>
      <c r="G603" s="6">
        <v>28.0</v>
      </c>
      <c r="H603" s="9" t="str">
        <f>VLOOKUP(revenue[productID],products[],2,FALSE)</f>
        <v>Rössle Sauerkraut</v>
      </c>
      <c r="I603" s="9" t="str">
        <f>VLOOKUP(revenue[productID],products[],12,FALSE)</f>
        <v>Produce</v>
      </c>
      <c r="J603" s="9">
        <f>VLOOKUP(revenue[productID],products[],IF(YEAR(revenue[orderDate])=2022,8,IF(YEAR(revenue[orderDate])=2023,9,IF(YEAR(revenue[orderDate])=2024,10,NA))),FALSE)</f>
        <v>31.52644578</v>
      </c>
      <c r="K603" s="9">
        <v>36.4</v>
      </c>
      <c r="L603" s="25">
        <f>(revenue[orderPrice]-revenue[productCost])/revenue[productCost]</f>
        <v>0.1545862244</v>
      </c>
      <c r="M603" s="10">
        <v>18.0</v>
      </c>
      <c r="N603" s="25">
        <v>0.0</v>
      </c>
      <c r="O603" s="9">
        <f>revenue[orderPrice]*revenue[orderQuantity]</f>
        <v>655.2</v>
      </c>
      <c r="P603" s="9">
        <f>revenue[orderTotal]*(1-revenue[discountApllied])</f>
        <v>655.2</v>
      </c>
      <c r="Q603" s="9">
        <f>revenue[revenue]-(revenue[productCost]*revenue[orderQuantity])</f>
        <v>87.72397599</v>
      </c>
      <c r="R603" s="25">
        <f>IFERROR(revenue[profit]/revenue[revenue], 0)</f>
        <v>0.1338888522</v>
      </c>
      <c r="S603" s="9">
        <f>revenue[productCost]*revenue[orderQuantity]</f>
        <v>567.476024</v>
      </c>
    </row>
    <row r="604" ht="15.75" customHeight="1">
      <c r="A604" s="6">
        <v>10474.0</v>
      </c>
      <c r="B604" s="7" t="s">
        <v>58</v>
      </c>
      <c r="C604" s="24" t="str">
        <f>VLOOKUP(revenue[customerID],customers[],2,FALSE)</f>
        <v>Pericles Comidas clásicas</v>
      </c>
      <c r="D604" s="24" t="str">
        <f>VLOOKUP(revenue[customerID],customers[],6,FALSE)</f>
        <v>México D.F.</v>
      </c>
      <c r="E604" s="24" t="str">
        <f>VLOOKUP(revenue[customerID],customers[],9,FALSE)</f>
        <v>Mexico</v>
      </c>
      <c r="F604" s="24">
        <v>44998.0</v>
      </c>
      <c r="G604" s="6">
        <v>40.0</v>
      </c>
      <c r="H604" s="9" t="str">
        <f>VLOOKUP(revenue[productID],products[],2,FALSE)</f>
        <v>Boston Crab Meat</v>
      </c>
      <c r="I604" s="9" t="str">
        <f>VLOOKUP(revenue[productID],products[],12,FALSE)</f>
        <v>Seafood</v>
      </c>
      <c r="J604" s="9">
        <f>VLOOKUP(revenue[productID],products[],IF(YEAR(revenue[orderDate])=2022,8,IF(YEAR(revenue[orderDate])=2023,9,IF(YEAR(revenue[orderDate])=2024,10,NA))),FALSE)</f>
        <v>11.40496523</v>
      </c>
      <c r="K604" s="9">
        <v>14.7</v>
      </c>
      <c r="L604" s="25">
        <f>(revenue[orderPrice]-revenue[productCost])/revenue[productCost]</f>
        <v>0.2889123033</v>
      </c>
      <c r="M604" s="10">
        <v>21.0</v>
      </c>
      <c r="N604" s="25">
        <v>0.0</v>
      </c>
      <c r="O604" s="9">
        <f>revenue[orderPrice]*revenue[orderQuantity]</f>
        <v>308.7</v>
      </c>
      <c r="P604" s="9">
        <f>revenue[orderTotal]*(1-revenue[discountApllied])</f>
        <v>308.7</v>
      </c>
      <c r="Q604" s="9">
        <f>revenue[revenue]-(revenue[productCost]*revenue[orderQuantity])</f>
        <v>69.19573023</v>
      </c>
      <c r="R604" s="25">
        <f>IFERROR(revenue[profit]/revenue[revenue], 0)</f>
        <v>0.2241520254</v>
      </c>
      <c r="S604" s="9">
        <f>revenue[productCost]*revenue[orderQuantity]</f>
        <v>239.5042698</v>
      </c>
    </row>
    <row r="605" ht="15.75" customHeight="1">
      <c r="A605" s="6">
        <v>10474.0</v>
      </c>
      <c r="B605" s="7" t="s">
        <v>58</v>
      </c>
      <c r="C605" s="24" t="str">
        <f>VLOOKUP(revenue[customerID],customers[],2,FALSE)</f>
        <v>Pericles Comidas clásicas</v>
      </c>
      <c r="D605" s="24" t="str">
        <f>VLOOKUP(revenue[customerID],customers[],6,FALSE)</f>
        <v>México D.F.</v>
      </c>
      <c r="E605" s="24" t="str">
        <f>VLOOKUP(revenue[customerID],customers[],9,FALSE)</f>
        <v>Mexico</v>
      </c>
      <c r="F605" s="24">
        <v>44998.0</v>
      </c>
      <c r="G605" s="6">
        <v>75.0</v>
      </c>
      <c r="H605" s="9" t="str">
        <f>VLOOKUP(revenue[productID],products[],2,FALSE)</f>
        <v>Rhönbräu Klosterbier</v>
      </c>
      <c r="I605" s="9" t="str">
        <f>VLOOKUP(revenue[productID],products[],12,FALSE)</f>
        <v>Beverages</v>
      </c>
      <c r="J605" s="9">
        <f>VLOOKUP(revenue[productID],products[],IF(YEAR(revenue[orderDate])=2022,8,IF(YEAR(revenue[orderDate])=2023,9,IF(YEAR(revenue[orderDate])=2024,10,NA))),FALSE)</f>
        <v>5.355290472</v>
      </c>
      <c r="K605" s="9">
        <v>6.2</v>
      </c>
      <c r="L605" s="25">
        <f>(revenue[orderPrice]-revenue[productCost])/revenue[productCost]</f>
        <v>0.1577336529</v>
      </c>
      <c r="M605" s="10">
        <v>10.0</v>
      </c>
      <c r="N605" s="25">
        <v>0.0</v>
      </c>
      <c r="O605" s="9">
        <f>revenue[orderPrice]*revenue[orderQuantity]</f>
        <v>62</v>
      </c>
      <c r="P605" s="9">
        <f>revenue[orderTotal]*(1-revenue[discountApllied])</f>
        <v>62</v>
      </c>
      <c r="Q605" s="9">
        <f>revenue[revenue]-(revenue[productCost]*revenue[orderQuantity])</f>
        <v>8.447095283</v>
      </c>
      <c r="R605" s="25">
        <f>IFERROR(revenue[profit]/revenue[revenue], 0)</f>
        <v>0.1362434723</v>
      </c>
      <c r="S605" s="9">
        <f>revenue[productCost]*revenue[orderQuantity]</f>
        <v>53.55290472</v>
      </c>
    </row>
    <row r="606" ht="15.75" customHeight="1">
      <c r="A606" s="6">
        <v>10475.0</v>
      </c>
      <c r="B606" s="7" t="s">
        <v>19</v>
      </c>
      <c r="C606" s="24" t="str">
        <f>VLOOKUP(revenue[customerID],customers[],2,FALSE)</f>
        <v>Suprêmes délices</v>
      </c>
      <c r="D606" s="24" t="str">
        <f>VLOOKUP(revenue[customerID],customers[],6,FALSE)</f>
        <v>Charleroi</v>
      </c>
      <c r="E606" s="24" t="str">
        <f>VLOOKUP(revenue[customerID],customers[],9,FALSE)</f>
        <v>Belgium</v>
      </c>
      <c r="F606" s="24">
        <v>44999.0</v>
      </c>
      <c r="G606" s="6">
        <v>31.0</v>
      </c>
      <c r="H606" s="9" t="str">
        <f>VLOOKUP(revenue[productID],products[],2,FALSE)</f>
        <v>Gorgonzola Telino</v>
      </c>
      <c r="I606" s="9" t="str">
        <f>VLOOKUP(revenue[productID],products[],12,FALSE)</f>
        <v>Dairy Products</v>
      </c>
      <c r="J606" s="9">
        <f>VLOOKUP(revenue[productID],products[],IF(YEAR(revenue[orderDate])=2022,8,IF(YEAR(revenue[orderDate])=2023,9,IF(YEAR(revenue[orderDate])=2024,10,NA))),FALSE)</f>
        <v>7.937729254</v>
      </c>
      <c r="K606" s="9">
        <v>10.0</v>
      </c>
      <c r="L606" s="25">
        <f>(revenue[orderPrice]-revenue[productCost])/revenue[productCost]</f>
        <v>0.2598061334</v>
      </c>
      <c r="M606" s="10">
        <v>35.0</v>
      </c>
      <c r="N606" s="25">
        <v>0.15</v>
      </c>
      <c r="O606" s="9">
        <f>revenue[orderPrice]*revenue[orderQuantity]</f>
        <v>350</v>
      </c>
      <c r="P606" s="9">
        <f>revenue[orderTotal]*(1-revenue[discountApllied])</f>
        <v>297.5</v>
      </c>
      <c r="Q606" s="9">
        <f>revenue[revenue]-(revenue[productCost]*revenue[orderQuantity])</f>
        <v>19.6794761</v>
      </c>
      <c r="R606" s="25">
        <f>IFERROR(revenue[profit]/revenue[revenue], 0)</f>
        <v>0.0661494995</v>
      </c>
      <c r="S606" s="9">
        <f>revenue[productCost]*revenue[orderQuantity]</f>
        <v>277.8205239</v>
      </c>
    </row>
    <row r="607" ht="15.75" customHeight="1">
      <c r="A607" s="6">
        <v>10475.0</v>
      </c>
      <c r="B607" s="7" t="s">
        <v>19</v>
      </c>
      <c r="C607" s="24" t="str">
        <f>VLOOKUP(revenue[customerID],customers[],2,FALSE)</f>
        <v>Suprêmes délices</v>
      </c>
      <c r="D607" s="24" t="str">
        <f>VLOOKUP(revenue[customerID],customers[],6,FALSE)</f>
        <v>Charleroi</v>
      </c>
      <c r="E607" s="24" t="str">
        <f>VLOOKUP(revenue[customerID],customers[],9,FALSE)</f>
        <v>Belgium</v>
      </c>
      <c r="F607" s="24">
        <v>44999.0</v>
      </c>
      <c r="G607" s="6">
        <v>66.0</v>
      </c>
      <c r="H607" s="9" t="str">
        <f>VLOOKUP(revenue[productID],products[],2,FALSE)</f>
        <v>Louisiana Hot Spiced Okra</v>
      </c>
      <c r="I607" s="9" t="str">
        <f>VLOOKUP(revenue[productID],products[],12,FALSE)</f>
        <v>Condiments</v>
      </c>
      <c r="J607" s="9">
        <f>VLOOKUP(revenue[productID],products[],IF(YEAR(revenue[orderDate])=2022,8,IF(YEAR(revenue[orderDate])=2023,9,IF(YEAR(revenue[orderDate])=2024,10,NA))),FALSE)</f>
        <v>10.17313149</v>
      </c>
      <c r="K607" s="9">
        <v>13.6</v>
      </c>
      <c r="L607" s="25">
        <f>(revenue[orderPrice]-revenue[productCost])/revenue[productCost]</f>
        <v>0.3368548334</v>
      </c>
      <c r="M607" s="10">
        <v>60.0</v>
      </c>
      <c r="N607" s="25">
        <v>0.15</v>
      </c>
      <c r="O607" s="9">
        <f>revenue[orderPrice]*revenue[orderQuantity]</f>
        <v>816</v>
      </c>
      <c r="P607" s="9">
        <f>revenue[orderTotal]*(1-revenue[discountApllied])</f>
        <v>693.6</v>
      </c>
      <c r="Q607" s="9">
        <f>revenue[revenue]-(revenue[productCost]*revenue[orderQuantity])</f>
        <v>83.21211074</v>
      </c>
      <c r="R607" s="25">
        <f>IFERROR(revenue[profit]/revenue[revenue], 0)</f>
        <v>0.1199713246</v>
      </c>
      <c r="S607" s="9">
        <f>revenue[productCost]*revenue[orderQuantity]</f>
        <v>610.3878893</v>
      </c>
    </row>
    <row r="608" ht="15.75" customHeight="1">
      <c r="A608" s="6">
        <v>10475.0</v>
      </c>
      <c r="B608" s="7" t="s">
        <v>19</v>
      </c>
      <c r="C608" s="24" t="str">
        <f>VLOOKUP(revenue[customerID],customers[],2,FALSE)</f>
        <v>Suprêmes délices</v>
      </c>
      <c r="D608" s="24" t="str">
        <f>VLOOKUP(revenue[customerID],customers[],6,FALSE)</f>
        <v>Charleroi</v>
      </c>
      <c r="E608" s="24" t="str">
        <f>VLOOKUP(revenue[customerID],customers[],9,FALSE)</f>
        <v>Belgium</v>
      </c>
      <c r="F608" s="24">
        <v>44999.0</v>
      </c>
      <c r="G608" s="6">
        <v>76.0</v>
      </c>
      <c r="H608" s="9" t="str">
        <f>VLOOKUP(revenue[productID],products[],2,FALSE)</f>
        <v>Lakkalikööri</v>
      </c>
      <c r="I608" s="9" t="str">
        <f>VLOOKUP(revenue[productID],products[],12,FALSE)</f>
        <v>Beverages</v>
      </c>
      <c r="J608" s="9">
        <f>VLOOKUP(revenue[productID],products[],IF(YEAR(revenue[orderDate])=2022,8,IF(YEAR(revenue[orderDate])=2023,9,IF(YEAR(revenue[orderDate])=2024,10,NA))),FALSE)</f>
        <v>12.1154529</v>
      </c>
      <c r="K608" s="9">
        <v>14.4</v>
      </c>
      <c r="L608" s="25">
        <f>(revenue[orderPrice]-revenue[productCost])/revenue[productCost]</f>
        <v>0.18856473</v>
      </c>
      <c r="M608" s="10">
        <v>42.0</v>
      </c>
      <c r="N608" s="25">
        <v>0.15</v>
      </c>
      <c r="O608" s="9">
        <f>revenue[orderPrice]*revenue[orderQuantity]</f>
        <v>604.8</v>
      </c>
      <c r="P608" s="9">
        <f>revenue[orderTotal]*(1-revenue[discountApllied])</f>
        <v>514.08</v>
      </c>
      <c r="Q608" s="9">
        <f>revenue[revenue]-(revenue[productCost]*revenue[orderQuantity])</f>
        <v>5.23097839</v>
      </c>
      <c r="R608" s="25">
        <f>IFERROR(revenue[profit]/revenue[revenue], 0)</f>
        <v>0.01017541704</v>
      </c>
      <c r="S608" s="9">
        <f>revenue[productCost]*revenue[orderQuantity]</f>
        <v>508.8490216</v>
      </c>
    </row>
    <row r="609" ht="15.75" customHeight="1">
      <c r="A609" s="6">
        <v>10476.0</v>
      </c>
      <c r="B609" s="7" t="s">
        <v>23</v>
      </c>
      <c r="C609" s="24" t="str">
        <f>VLOOKUP(revenue[customerID],customers[],2,FALSE)</f>
        <v>HILARION-Abastos</v>
      </c>
      <c r="D609" s="24" t="str">
        <f>VLOOKUP(revenue[customerID],customers[],6,FALSE)</f>
        <v>San Cristóbal</v>
      </c>
      <c r="E609" s="24" t="str">
        <f>VLOOKUP(revenue[customerID],customers[],9,FALSE)</f>
        <v>Venezuela</v>
      </c>
      <c r="F609" s="24">
        <v>45002.0</v>
      </c>
      <c r="G609" s="6">
        <v>55.0</v>
      </c>
      <c r="H609" s="9" t="str">
        <f>VLOOKUP(revenue[productID],products[],2,FALSE)</f>
        <v>Pâté chinois</v>
      </c>
      <c r="I609" s="9" t="str">
        <f>VLOOKUP(revenue[productID],products[],12,FALSE)</f>
        <v>Meat/Poultry</v>
      </c>
      <c r="J609" s="9">
        <f>VLOOKUP(revenue[productID],products[],IF(YEAR(revenue[orderDate])=2022,8,IF(YEAR(revenue[orderDate])=2023,9,IF(YEAR(revenue[orderDate])=2024,10,NA))),FALSE)</f>
        <v>14.92398776</v>
      </c>
      <c r="K609" s="9">
        <v>19.2</v>
      </c>
      <c r="L609" s="25">
        <f>(revenue[orderPrice]-revenue[productCost])/revenue[productCost]</f>
        <v>0.2865194145</v>
      </c>
      <c r="M609" s="10">
        <v>2.0</v>
      </c>
      <c r="N609" s="25">
        <v>0.05</v>
      </c>
      <c r="O609" s="9">
        <f>revenue[orderPrice]*revenue[orderQuantity]</f>
        <v>38.4</v>
      </c>
      <c r="P609" s="9">
        <f>revenue[orderTotal]*(1-revenue[discountApllied])</f>
        <v>36.48</v>
      </c>
      <c r="Q609" s="9">
        <f>revenue[revenue]-(revenue[productCost]*revenue[orderQuantity])</f>
        <v>6.632024472</v>
      </c>
      <c r="R609" s="25">
        <f>IFERROR(revenue[profit]/revenue[revenue], 0)</f>
        <v>0.1817989164</v>
      </c>
      <c r="S609" s="9">
        <f>revenue[productCost]*revenue[orderQuantity]</f>
        <v>29.84797553</v>
      </c>
    </row>
    <row r="610" ht="15.75" customHeight="1">
      <c r="A610" s="6">
        <v>10476.0</v>
      </c>
      <c r="B610" s="7" t="s">
        <v>23</v>
      </c>
      <c r="C610" s="24" t="str">
        <f>VLOOKUP(revenue[customerID],customers[],2,FALSE)</f>
        <v>HILARION-Abastos</v>
      </c>
      <c r="D610" s="24" t="str">
        <f>VLOOKUP(revenue[customerID],customers[],6,FALSE)</f>
        <v>San Cristóbal</v>
      </c>
      <c r="E610" s="24" t="str">
        <f>VLOOKUP(revenue[customerID],customers[],9,FALSE)</f>
        <v>Venezuela</v>
      </c>
      <c r="F610" s="24">
        <v>45002.0</v>
      </c>
      <c r="G610" s="6">
        <v>70.0</v>
      </c>
      <c r="H610" s="9" t="str">
        <f>VLOOKUP(revenue[productID],products[],2,FALSE)</f>
        <v>Outback Lager</v>
      </c>
      <c r="I610" s="9" t="str">
        <f>VLOOKUP(revenue[productID],products[],12,FALSE)</f>
        <v>Beverages</v>
      </c>
      <c r="J610" s="9">
        <f>VLOOKUP(revenue[productID],products[],IF(YEAR(revenue[orderDate])=2022,8,IF(YEAR(revenue[orderDate])=2023,9,IF(YEAR(revenue[orderDate])=2024,10,NA))),FALSE)</f>
        <v>9.793094091</v>
      </c>
      <c r="K610" s="9">
        <v>12.0</v>
      </c>
      <c r="L610" s="25">
        <f>(revenue[orderPrice]-revenue[productCost])/revenue[productCost]</f>
        <v>0.2253532835</v>
      </c>
      <c r="M610" s="10">
        <v>12.0</v>
      </c>
      <c r="N610" s="25">
        <v>0.0</v>
      </c>
      <c r="O610" s="9">
        <f>revenue[orderPrice]*revenue[orderQuantity]</f>
        <v>144</v>
      </c>
      <c r="P610" s="9">
        <f>revenue[orderTotal]*(1-revenue[discountApllied])</f>
        <v>144</v>
      </c>
      <c r="Q610" s="9">
        <f>revenue[revenue]-(revenue[productCost]*revenue[orderQuantity])</f>
        <v>26.48287091</v>
      </c>
      <c r="R610" s="25">
        <f>IFERROR(revenue[profit]/revenue[revenue], 0)</f>
        <v>0.1839088257</v>
      </c>
      <c r="S610" s="9">
        <f>revenue[productCost]*revenue[orderQuantity]</f>
        <v>117.5171291</v>
      </c>
    </row>
    <row r="611" ht="15.75" customHeight="1">
      <c r="A611" s="6">
        <v>10477.0</v>
      </c>
      <c r="B611" s="7" t="s">
        <v>65</v>
      </c>
      <c r="C611" s="24" t="str">
        <f>VLOOKUP(revenue[customerID],customers[],2,FALSE)</f>
        <v>Princesa Isabel Vinhos</v>
      </c>
      <c r="D611" s="24" t="str">
        <f>VLOOKUP(revenue[customerID],customers[],6,FALSE)</f>
        <v>Lisboa</v>
      </c>
      <c r="E611" s="24" t="str">
        <f>VLOOKUP(revenue[customerID],customers[],9,FALSE)</f>
        <v>Portugal</v>
      </c>
      <c r="F611" s="24">
        <v>45002.0</v>
      </c>
      <c r="G611" s="6">
        <v>1.0</v>
      </c>
      <c r="H611" s="9" t="str">
        <f>VLOOKUP(revenue[productID],products[],2,FALSE)</f>
        <v>Chai</v>
      </c>
      <c r="I611" s="9" t="str">
        <f>VLOOKUP(revenue[productID],products[],12,FALSE)</f>
        <v>Beverages</v>
      </c>
      <c r="J611" s="9">
        <f>VLOOKUP(revenue[productID],products[],IF(YEAR(revenue[orderDate])=2022,8,IF(YEAR(revenue[orderDate])=2023,9,IF(YEAR(revenue[orderDate])=2024,10,NA))),FALSE)</f>
        <v>12.15847607</v>
      </c>
      <c r="K611" s="9">
        <v>14.4</v>
      </c>
      <c r="L611" s="25">
        <f>(revenue[orderPrice]-revenue[productCost])/revenue[productCost]</f>
        <v>0.1843589542</v>
      </c>
      <c r="M611" s="10">
        <v>15.0</v>
      </c>
      <c r="N611" s="25">
        <v>0.0</v>
      </c>
      <c r="O611" s="9">
        <f>revenue[orderPrice]*revenue[orderQuantity]</f>
        <v>216</v>
      </c>
      <c r="P611" s="9">
        <f>revenue[orderTotal]*(1-revenue[discountApllied])</f>
        <v>216</v>
      </c>
      <c r="Q611" s="9">
        <f>revenue[revenue]-(revenue[productCost]*revenue[orderQuantity])</f>
        <v>33.62285898</v>
      </c>
      <c r="R611" s="25">
        <f>IFERROR(revenue[profit]/revenue[revenue], 0)</f>
        <v>0.1556613842</v>
      </c>
      <c r="S611" s="9">
        <f>revenue[productCost]*revenue[orderQuantity]</f>
        <v>182.377141</v>
      </c>
    </row>
    <row r="612" ht="15.75" customHeight="1">
      <c r="A612" s="6">
        <v>10477.0</v>
      </c>
      <c r="B612" s="7" t="s">
        <v>65</v>
      </c>
      <c r="C612" s="24" t="str">
        <f>VLOOKUP(revenue[customerID],customers[],2,FALSE)</f>
        <v>Princesa Isabel Vinhos</v>
      </c>
      <c r="D612" s="24" t="str">
        <f>VLOOKUP(revenue[customerID],customers[],6,FALSE)</f>
        <v>Lisboa</v>
      </c>
      <c r="E612" s="24" t="str">
        <f>VLOOKUP(revenue[customerID],customers[],9,FALSE)</f>
        <v>Portugal</v>
      </c>
      <c r="F612" s="24">
        <v>45002.0</v>
      </c>
      <c r="G612" s="6">
        <v>21.0</v>
      </c>
      <c r="H612" s="9" t="str">
        <f>VLOOKUP(revenue[productID],products[],2,FALSE)</f>
        <v>Sir Rodney's Scones</v>
      </c>
      <c r="I612" s="9" t="str">
        <f>VLOOKUP(revenue[productID],products[],12,FALSE)</f>
        <v>Confections</v>
      </c>
      <c r="J612" s="9">
        <f>VLOOKUP(revenue[productID],products[],IF(YEAR(revenue[orderDate])=2022,8,IF(YEAR(revenue[orderDate])=2023,9,IF(YEAR(revenue[orderDate])=2024,10,NA))),FALSE)</f>
        <v>6.725636111</v>
      </c>
      <c r="K612" s="9">
        <v>8.0</v>
      </c>
      <c r="L612" s="25">
        <f>(revenue[orderPrice]-revenue[productCost])/revenue[productCost]</f>
        <v>0.1894785664</v>
      </c>
      <c r="M612" s="10">
        <v>21.0</v>
      </c>
      <c r="N612" s="25">
        <v>0.25</v>
      </c>
      <c r="O612" s="9">
        <f>revenue[orderPrice]*revenue[orderQuantity]</f>
        <v>168</v>
      </c>
      <c r="P612" s="9">
        <f>revenue[orderTotal]*(1-revenue[discountApllied])</f>
        <v>126</v>
      </c>
      <c r="Q612" s="9">
        <f>revenue[revenue]-(revenue[productCost]*revenue[orderQuantity])</f>
        <v>-15.23835834</v>
      </c>
      <c r="R612" s="25">
        <f>IFERROR(revenue[profit]/revenue[revenue], 0)</f>
        <v>-0.1209393519</v>
      </c>
      <c r="S612" s="9">
        <f>revenue[productCost]*revenue[orderQuantity]</f>
        <v>141.2383583</v>
      </c>
    </row>
    <row r="613" ht="15.75" customHeight="1">
      <c r="A613" s="6">
        <v>10477.0</v>
      </c>
      <c r="B613" s="7" t="s">
        <v>65</v>
      </c>
      <c r="C613" s="24" t="str">
        <f>VLOOKUP(revenue[customerID],customers[],2,FALSE)</f>
        <v>Princesa Isabel Vinhos</v>
      </c>
      <c r="D613" s="24" t="str">
        <f>VLOOKUP(revenue[customerID],customers[],6,FALSE)</f>
        <v>Lisboa</v>
      </c>
      <c r="E613" s="24" t="str">
        <f>VLOOKUP(revenue[customerID],customers[],9,FALSE)</f>
        <v>Portugal</v>
      </c>
      <c r="F613" s="24">
        <v>45002.0</v>
      </c>
      <c r="G613" s="6">
        <v>39.0</v>
      </c>
      <c r="H613" s="9" t="str">
        <f>VLOOKUP(revenue[productID],products[],2,FALSE)</f>
        <v>Chartreuse verte</v>
      </c>
      <c r="I613" s="9" t="str">
        <f>VLOOKUP(revenue[productID],products[],12,FALSE)</f>
        <v>Beverages</v>
      </c>
      <c r="J613" s="9">
        <f>VLOOKUP(revenue[productID],products[],IF(YEAR(revenue[orderDate])=2022,8,IF(YEAR(revenue[orderDate])=2023,9,IF(YEAR(revenue[orderDate])=2024,10,NA))),FALSE)</f>
        <v>11.73311441</v>
      </c>
      <c r="K613" s="9">
        <v>14.4</v>
      </c>
      <c r="L613" s="25">
        <f>(revenue[orderPrice]-revenue[productCost])/revenue[productCost]</f>
        <v>0.2272956261</v>
      </c>
      <c r="M613" s="10">
        <v>20.0</v>
      </c>
      <c r="N613" s="25">
        <v>0.25</v>
      </c>
      <c r="O613" s="9">
        <f>revenue[orderPrice]*revenue[orderQuantity]</f>
        <v>288</v>
      </c>
      <c r="P613" s="9">
        <f>revenue[orderTotal]*(1-revenue[discountApllied])</f>
        <v>216</v>
      </c>
      <c r="Q613" s="9">
        <f>revenue[revenue]-(revenue[productCost]*revenue[orderQuantity])</f>
        <v>-18.66228826</v>
      </c>
      <c r="R613" s="25">
        <f>IFERROR(revenue[profit]/revenue[revenue], 0)</f>
        <v>-0.08639948271</v>
      </c>
      <c r="S613" s="9">
        <f>revenue[productCost]*revenue[orderQuantity]</f>
        <v>234.6622883</v>
      </c>
    </row>
    <row r="614" ht="15.75" customHeight="1">
      <c r="A614" s="6">
        <v>10478.0</v>
      </c>
      <c r="B614" s="7" t="s">
        <v>18</v>
      </c>
      <c r="C614" s="24" t="str">
        <f>VLOOKUP(revenue[customerID],customers[],2,FALSE)</f>
        <v>Victuailles en stock</v>
      </c>
      <c r="D614" s="24" t="str">
        <f>VLOOKUP(revenue[customerID],customers[],6,FALSE)</f>
        <v>Lyon</v>
      </c>
      <c r="E614" s="24" t="str">
        <f>VLOOKUP(revenue[customerID],customers[],9,FALSE)</f>
        <v>France</v>
      </c>
      <c r="F614" s="24">
        <v>45003.0</v>
      </c>
      <c r="G614" s="6">
        <v>10.0</v>
      </c>
      <c r="H614" s="9" t="str">
        <f>VLOOKUP(revenue[productID],products[],2,FALSE)</f>
        <v>Ikura</v>
      </c>
      <c r="I614" s="9" t="str">
        <f>VLOOKUP(revenue[productID],products[],12,FALSE)</f>
        <v>Seafood</v>
      </c>
      <c r="J614" s="9">
        <f>VLOOKUP(revenue[productID],products[],IF(YEAR(revenue[orderDate])=2022,8,IF(YEAR(revenue[orderDate])=2023,9,IF(YEAR(revenue[orderDate])=2024,10,NA))),FALSE)</f>
        <v>20.72721922</v>
      </c>
      <c r="K614" s="9">
        <v>24.8</v>
      </c>
      <c r="L614" s="25">
        <f>(revenue[orderPrice]-revenue[productCost])/revenue[productCost]</f>
        <v>0.196494317</v>
      </c>
      <c r="M614" s="10">
        <v>20.0</v>
      </c>
      <c r="N614" s="25">
        <v>0.05</v>
      </c>
      <c r="O614" s="9">
        <f>revenue[orderPrice]*revenue[orderQuantity]</f>
        <v>496</v>
      </c>
      <c r="P614" s="9">
        <f>revenue[orderTotal]*(1-revenue[discountApllied])</f>
        <v>471.2</v>
      </c>
      <c r="Q614" s="9">
        <f>revenue[revenue]-(revenue[productCost]*revenue[orderQuantity])</f>
        <v>56.65561565</v>
      </c>
      <c r="R614" s="25">
        <f>IFERROR(revenue[profit]/revenue[revenue], 0)</f>
        <v>0.1202368753</v>
      </c>
      <c r="S614" s="9">
        <f>revenue[productCost]*revenue[orderQuantity]</f>
        <v>414.5443843</v>
      </c>
    </row>
    <row r="615" ht="15.75" customHeight="1">
      <c r="A615" s="6">
        <v>10479.0</v>
      </c>
      <c r="B615" s="7" t="s">
        <v>28</v>
      </c>
      <c r="C615" s="24" t="str">
        <f>VLOOKUP(revenue[customerID],customers[],2,FALSE)</f>
        <v>Rattlesnake Canyon Grocery</v>
      </c>
      <c r="D615" s="24" t="str">
        <f>VLOOKUP(revenue[customerID],customers[],6,FALSE)</f>
        <v>Albuquerque</v>
      </c>
      <c r="E615" s="24" t="str">
        <f>VLOOKUP(revenue[customerID],customers[],9,FALSE)</f>
        <v>USA</v>
      </c>
      <c r="F615" s="24">
        <v>45004.0</v>
      </c>
      <c r="G615" s="6">
        <v>38.0</v>
      </c>
      <c r="H615" s="9" t="str">
        <f>VLOOKUP(revenue[productID],products[],2,FALSE)</f>
        <v>Côte de Blaye</v>
      </c>
      <c r="I615" s="9" t="str">
        <f>VLOOKUP(revenue[productID],products[],12,FALSE)</f>
        <v>Beverages</v>
      </c>
      <c r="J615" s="9">
        <f>VLOOKUP(revenue[productID],products[],IF(YEAR(revenue[orderDate])=2022,8,IF(YEAR(revenue[orderDate])=2023,9,IF(YEAR(revenue[orderDate])=2024,10,NA))),FALSE)</f>
        <v>175.9515711</v>
      </c>
      <c r="K615" s="9">
        <v>210.8</v>
      </c>
      <c r="L615" s="25">
        <f>(revenue[orderPrice]-revenue[productCost])/revenue[productCost]</f>
        <v>0.1980569351</v>
      </c>
      <c r="M615" s="10">
        <v>30.0</v>
      </c>
      <c r="N615" s="25">
        <v>0.0</v>
      </c>
      <c r="O615" s="9">
        <f>revenue[orderPrice]*revenue[orderQuantity]</f>
        <v>6324</v>
      </c>
      <c r="P615" s="9">
        <f>revenue[orderTotal]*(1-revenue[discountApllied])</f>
        <v>6324</v>
      </c>
      <c r="Q615" s="9">
        <f>revenue[revenue]-(revenue[productCost]*revenue[orderQuantity])</f>
        <v>1045.452867</v>
      </c>
      <c r="R615" s="25">
        <f>IFERROR(revenue[profit]/revenue[revenue], 0)</f>
        <v>0.1653151276</v>
      </c>
      <c r="S615" s="9">
        <f>revenue[productCost]*revenue[orderQuantity]</f>
        <v>5278.547133</v>
      </c>
    </row>
    <row r="616" ht="15.75" customHeight="1">
      <c r="A616" s="6">
        <v>10479.0</v>
      </c>
      <c r="B616" s="7" t="s">
        <v>28</v>
      </c>
      <c r="C616" s="24" t="str">
        <f>VLOOKUP(revenue[customerID],customers[],2,FALSE)</f>
        <v>Rattlesnake Canyon Grocery</v>
      </c>
      <c r="D616" s="24" t="str">
        <f>VLOOKUP(revenue[customerID],customers[],6,FALSE)</f>
        <v>Albuquerque</v>
      </c>
      <c r="E616" s="24" t="str">
        <f>VLOOKUP(revenue[customerID],customers[],9,FALSE)</f>
        <v>USA</v>
      </c>
      <c r="F616" s="24">
        <v>45004.0</v>
      </c>
      <c r="G616" s="6">
        <v>53.0</v>
      </c>
      <c r="H616" s="9" t="str">
        <f>VLOOKUP(revenue[productID],products[],2,FALSE)</f>
        <v>Perth Pasties</v>
      </c>
      <c r="I616" s="9" t="str">
        <f>VLOOKUP(revenue[productID],products[],12,FALSE)</f>
        <v>Meat/Poultry</v>
      </c>
      <c r="J616" s="9">
        <f>VLOOKUP(revenue[productID],products[],IF(YEAR(revenue[orderDate])=2022,8,IF(YEAR(revenue[orderDate])=2023,9,IF(YEAR(revenue[orderDate])=2024,10,NA))),FALSE)</f>
        <v>21.81491556</v>
      </c>
      <c r="K616" s="9">
        <v>26.2</v>
      </c>
      <c r="L616" s="25">
        <f>(revenue[orderPrice]-revenue[productCost])/revenue[productCost]</f>
        <v>0.2010131293</v>
      </c>
      <c r="M616" s="10">
        <v>28.0</v>
      </c>
      <c r="N616" s="25">
        <v>0.0</v>
      </c>
      <c r="O616" s="9">
        <f>revenue[orderPrice]*revenue[orderQuantity]</f>
        <v>733.6</v>
      </c>
      <c r="P616" s="9">
        <f>revenue[orderTotal]*(1-revenue[discountApllied])</f>
        <v>733.6</v>
      </c>
      <c r="Q616" s="9">
        <f>revenue[revenue]-(revenue[productCost]*revenue[orderQuantity])</f>
        <v>122.7823644</v>
      </c>
      <c r="R616" s="25">
        <f>IFERROR(revenue[profit]/revenue[revenue], 0)</f>
        <v>0.1673696352</v>
      </c>
      <c r="S616" s="9">
        <f>revenue[productCost]*revenue[orderQuantity]</f>
        <v>610.8176356</v>
      </c>
    </row>
    <row r="617" ht="15.75" customHeight="1">
      <c r="A617" s="6">
        <v>10479.0</v>
      </c>
      <c r="B617" s="7" t="s">
        <v>28</v>
      </c>
      <c r="C617" s="24" t="str">
        <f>VLOOKUP(revenue[customerID],customers[],2,FALSE)</f>
        <v>Rattlesnake Canyon Grocery</v>
      </c>
      <c r="D617" s="24" t="str">
        <f>VLOOKUP(revenue[customerID],customers[],6,FALSE)</f>
        <v>Albuquerque</v>
      </c>
      <c r="E617" s="24" t="str">
        <f>VLOOKUP(revenue[customerID],customers[],9,FALSE)</f>
        <v>USA</v>
      </c>
      <c r="F617" s="24">
        <v>45004.0</v>
      </c>
      <c r="G617" s="6">
        <v>59.0</v>
      </c>
      <c r="H617" s="9" t="str">
        <f>VLOOKUP(revenue[productID],products[],2,FALSE)</f>
        <v>Raclette Courdavault</v>
      </c>
      <c r="I617" s="9" t="str">
        <f>VLOOKUP(revenue[productID],products[],12,FALSE)</f>
        <v>Dairy Products</v>
      </c>
      <c r="J617" s="9">
        <f>VLOOKUP(revenue[productID],products[],IF(YEAR(revenue[orderDate])=2022,8,IF(YEAR(revenue[orderDate])=2023,9,IF(YEAR(revenue[orderDate])=2024,10,NA))),FALSE)</f>
        <v>35.20472566</v>
      </c>
      <c r="K617" s="9">
        <v>44.0</v>
      </c>
      <c r="L617" s="25">
        <f>(revenue[orderPrice]-revenue[productCost])/revenue[productCost]</f>
        <v>0.2498322078</v>
      </c>
      <c r="M617" s="10">
        <v>60.0</v>
      </c>
      <c r="N617" s="25">
        <v>0.0</v>
      </c>
      <c r="O617" s="9">
        <f>revenue[orderPrice]*revenue[orderQuantity]</f>
        <v>2640</v>
      </c>
      <c r="P617" s="9">
        <f>revenue[orderTotal]*(1-revenue[discountApllied])</f>
        <v>2640</v>
      </c>
      <c r="Q617" s="9">
        <f>revenue[revenue]-(revenue[productCost]*revenue[orderQuantity])</f>
        <v>527.7164603</v>
      </c>
      <c r="R617" s="25">
        <f>IFERROR(revenue[profit]/revenue[revenue], 0)</f>
        <v>0.1998925986</v>
      </c>
      <c r="S617" s="9">
        <f>revenue[productCost]*revenue[orderQuantity]</f>
        <v>2112.28354</v>
      </c>
    </row>
    <row r="618" ht="15.75" customHeight="1">
      <c r="A618" s="6">
        <v>10479.0</v>
      </c>
      <c r="B618" s="7" t="s">
        <v>28</v>
      </c>
      <c r="C618" s="24" t="str">
        <f>VLOOKUP(revenue[customerID],customers[],2,FALSE)</f>
        <v>Rattlesnake Canyon Grocery</v>
      </c>
      <c r="D618" s="24" t="str">
        <f>VLOOKUP(revenue[customerID],customers[],6,FALSE)</f>
        <v>Albuquerque</v>
      </c>
      <c r="E618" s="24" t="str">
        <f>VLOOKUP(revenue[customerID],customers[],9,FALSE)</f>
        <v>USA</v>
      </c>
      <c r="F618" s="24">
        <v>45004.0</v>
      </c>
      <c r="G618" s="6">
        <v>64.0</v>
      </c>
      <c r="H618" s="9" t="str">
        <f>VLOOKUP(revenue[productID],products[],2,FALSE)</f>
        <v>Lukas' leckere Sauerteigweggla</v>
      </c>
      <c r="I618" s="9" t="str">
        <f>VLOOKUP(revenue[productID],products[],12,FALSE)</f>
        <v>Grains/Cereals</v>
      </c>
      <c r="J618" s="9">
        <f>VLOOKUP(revenue[productID],products[],IF(YEAR(revenue[orderDate])=2022,8,IF(YEAR(revenue[orderDate])=2023,9,IF(YEAR(revenue[orderDate])=2024,10,NA))),FALSE)</f>
        <v>21.88572728</v>
      </c>
      <c r="K618" s="9">
        <v>26.6</v>
      </c>
      <c r="L618" s="25">
        <f>(revenue[orderPrice]-revenue[productCost])/revenue[productCost]</f>
        <v>0.2154039779</v>
      </c>
      <c r="M618" s="10">
        <v>30.0</v>
      </c>
      <c r="N618" s="25">
        <v>0.0</v>
      </c>
      <c r="O618" s="9">
        <f>revenue[orderPrice]*revenue[orderQuantity]</f>
        <v>798</v>
      </c>
      <c r="P618" s="9">
        <f>revenue[orderTotal]*(1-revenue[discountApllied])</f>
        <v>798</v>
      </c>
      <c r="Q618" s="9">
        <f>revenue[revenue]-(revenue[productCost]*revenue[orderQuantity])</f>
        <v>141.4281815</v>
      </c>
      <c r="R618" s="25">
        <f>IFERROR(revenue[profit]/revenue[revenue], 0)</f>
        <v>0.1772282976</v>
      </c>
      <c r="S618" s="9">
        <f>revenue[productCost]*revenue[orderQuantity]</f>
        <v>656.5718185</v>
      </c>
    </row>
    <row r="619" ht="15.75" customHeight="1">
      <c r="A619" s="6">
        <v>10480.0</v>
      </c>
      <c r="B619" s="7" t="s">
        <v>83</v>
      </c>
      <c r="C619" s="24" t="str">
        <f>VLOOKUP(revenue[customerID],customers[],2,FALSE)</f>
        <v>Folies gourmandes</v>
      </c>
      <c r="D619" s="24" t="str">
        <f>VLOOKUP(revenue[customerID],customers[],6,FALSE)</f>
        <v>Lille</v>
      </c>
      <c r="E619" s="24" t="str">
        <f>VLOOKUP(revenue[customerID],customers[],9,FALSE)</f>
        <v>France</v>
      </c>
      <c r="F619" s="24">
        <v>45005.0</v>
      </c>
      <c r="G619" s="6">
        <v>47.0</v>
      </c>
      <c r="H619" s="9" t="str">
        <f>VLOOKUP(revenue[productID],products[],2,FALSE)</f>
        <v>Zaanse koeken</v>
      </c>
      <c r="I619" s="9" t="str">
        <f>VLOOKUP(revenue[productID],products[],12,FALSE)</f>
        <v>Confections</v>
      </c>
      <c r="J619" s="9">
        <f>VLOOKUP(revenue[productID],products[],IF(YEAR(revenue[orderDate])=2022,8,IF(YEAR(revenue[orderDate])=2023,9,IF(YEAR(revenue[orderDate])=2024,10,NA))),FALSE)</f>
        <v>6.57708833</v>
      </c>
      <c r="K619" s="9">
        <v>7.6</v>
      </c>
      <c r="L619" s="25">
        <f>(revenue[orderPrice]-revenue[productCost])/revenue[productCost]</f>
        <v>0.1555265215</v>
      </c>
      <c r="M619" s="10">
        <v>30.0</v>
      </c>
      <c r="N619" s="25">
        <v>0.0</v>
      </c>
      <c r="O619" s="9">
        <f>revenue[orderPrice]*revenue[orderQuantity]</f>
        <v>228</v>
      </c>
      <c r="P619" s="9">
        <f>revenue[orderTotal]*(1-revenue[discountApllied])</f>
        <v>228</v>
      </c>
      <c r="Q619" s="9">
        <f>revenue[revenue]-(revenue[productCost]*revenue[orderQuantity])</f>
        <v>30.68735009</v>
      </c>
      <c r="R619" s="25">
        <f>IFERROR(revenue[profit]/revenue[revenue], 0)</f>
        <v>0.1345936407</v>
      </c>
      <c r="S619" s="9">
        <f>revenue[productCost]*revenue[orderQuantity]</f>
        <v>197.3126499</v>
      </c>
    </row>
    <row r="620" ht="15.75" customHeight="1">
      <c r="A620" s="6">
        <v>10480.0</v>
      </c>
      <c r="B620" s="7" t="s">
        <v>83</v>
      </c>
      <c r="C620" s="24" t="str">
        <f>VLOOKUP(revenue[customerID],customers[],2,FALSE)</f>
        <v>Folies gourmandes</v>
      </c>
      <c r="D620" s="24" t="str">
        <f>VLOOKUP(revenue[customerID],customers[],6,FALSE)</f>
        <v>Lille</v>
      </c>
      <c r="E620" s="24" t="str">
        <f>VLOOKUP(revenue[customerID],customers[],9,FALSE)</f>
        <v>France</v>
      </c>
      <c r="F620" s="24">
        <v>45005.0</v>
      </c>
      <c r="G620" s="6">
        <v>59.0</v>
      </c>
      <c r="H620" s="9" t="str">
        <f>VLOOKUP(revenue[productID],products[],2,FALSE)</f>
        <v>Raclette Courdavault</v>
      </c>
      <c r="I620" s="9" t="str">
        <f>VLOOKUP(revenue[productID],products[],12,FALSE)</f>
        <v>Dairy Products</v>
      </c>
      <c r="J620" s="9">
        <f>VLOOKUP(revenue[productID],products[],IF(YEAR(revenue[orderDate])=2022,8,IF(YEAR(revenue[orderDate])=2023,9,IF(YEAR(revenue[orderDate])=2024,10,NA))),FALSE)</f>
        <v>35.20472566</v>
      </c>
      <c r="K620" s="9">
        <v>44.0</v>
      </c>
      <c r="L620" s="25">
        <f>(revenue[orderPrice]-revenue[productCost])/revenue[productCost]</f>
        <v>0.2498322078</v>
      </c>
      <c r="M620" s="10">
        <v>12.0</v>
      </c>
      <c r="N620" s="25">
        <v>0.0</v>
      </c>
      <c r="O620" s="9">
        <f>revenue[orderPrice]*revenue[orderQuantity]</f>
        <v>528</v>
      </c>
      <c r="P620" s="9">
        <f>revenue[orderTotal]*(1-revenue[discountApllied])</f>
        <v>528</v>
      </c>
      <c r="Q620" s="9">
        <f>revenue[revenue]-(revenue[productCost]*revenue[orderQuantity])</f>
        <v>105.5432921</v>
      </c>
      <c r="R620" s="25">
        <f>IFERROR(revenue[profit]/revenue[revenue], 0)</f>
        <v>0.1998925986</v>
      </c>
      <c r="S620" s="9">
        <f>revenue[productCost]*revenue[orderQuantity]</f>
        <v>422.4567079</v>
      </c>
    </row>
    <row r="621" ht="15.75" customHeight="1">
      <c r="A621" s="6">
        <v>10481.0</v>
      </c>
      <c r="B621" s="7" t="s">
        <v>44</v>
      </c>
      <c r="C621" s="24" t="str">
        <f>VLOOKUP(revenue[customerID],customers[],2,FALSE)</f>
        <v>Ricardo Adocicados</v>
      </c>
      <c r="D621" s="24" t="str">
        <f>VLOOKUP(revenue[customerID],customers[],6,FALSE)</f>
        <v>Rio de Janeiro</v>
      </c>
      <c r="E621" s="24" t="str">
        <f>VLOOKUP(revenue[customerID],customers[],9,FALSE)</f>
        <v>Brazil</v>
      </c>
      <c r="F621" s="24">
        <v>45005.0</v>
      </c>
      <c r="G621" s="6">
        <v>49.0</v>
      </c>
      <c r="H621" s="9" t="str">
        <f>VLOOKUP(revenue[productID],products[],2,FALSE)</f>
        <v>Maxilaku</v>
      </c>
      <c r="I621" s="9" t="str">
        <f>VLOOKUP(revenue[productID],products[],12,FALSE)</f>
        <v>Confections</v>
      </c>
      <c r="J621" s="9">
        <f>VLOOKUP(revenue[productID],products[],IF(YEAR(revenue[orderDate])=2022,8,IF(YEAR(revenue[orderDate])=2023,9,IF(YEAR(revenue[orderDate])=2024,10,NA))),FALSE)</f>
        <v>13.04112285</v>
      </c>
      <c r="K621" s="9">
        <v>16.0</v>
      </c>
      <c r="L621" s="25">
        <f>(revenue[orderPrice]-revenue[productCost])/revenue[productCost]</f>
        <v>0.2268882197</v>
      </c>
      <c r="M621" s="10">
        <v>24.0</v>
      </c>
      <c r="N621" s="25">
        <v>0.0</v>
      </c>
      <c r="O621" s="9">
        <f>revenue[orderPrice]*revenue[orderQuantity]</f>
        <v>384</v>
      </c>
      <c r="P621" s="9">
        <f>revenue[orderTotal]*(1-revenue[discountApllied])</f>
        <v>384</v>
      </c>
      <c r="Q621" s="9">
        <f>revenue[revenue]-(revenue[productCost]*revenue[orderQuantity])</f>
        <v>71.01305152</v>
      </c>
      <c r="R621" s="25">
        <f>IFERROR(revenue[profit]/revenue[revenue], 0)</f>
        <v>0.1849298217</v>
      </c>
      <c r="S621" s="9">
        <f>revenue[productCost]*revenue[orderQuantity]</f>
        <v>312.9869485</v>
      </c>
    </row>
    <row r="622" ht="15.75" customHeight="1">
      <c r="A622" s="6">
        <v>10481.0</v>
      </c>
      <c r="B622" s="7" t="s">
        <v>44</v>
      </c>
      <c r="C622" s="24" t="str">
        <f>VLOOKUP(revenue[customerID],customers[],2,FALSE)</f>
        <v>Ricardo Adocicados</v>
      </c>
      <c r="D622" s="24" t="str">
        <f>VLOOKUP(revenue[customerID],customers[],6,FALSE)</f>
        <v>Rio de Janeiro</v>
      </c>
      <c r="E622" s="24" t="str">
        <f>VLOOKUP(revenue[customerID],customers[],9,FALSE)</f>
        <v>Brazil</v>
      </c>
      <c r="F622" s="24">
        <v>45005.0</v>
      </c>
      <c r="G622" s="6">
        <v>60.0</v>
      </c>
      <c r="H622" s="9" t="str">
        <f>VLOOKUP(revenue[productID],products[],2,FALSE)</f>
        <v>Camembert Pierrot</v>
      </c>
      <c r="I622" s="9" t="str">
        <f>VLOOKUP(revenue[productID],products[],12,FALSE)</f>
        <v>Dairy Products</v>
      </c>
      <c r="J622" s="9">
        <f>VLOOKUP(revenue[productID],products[],IF(YEAR(revenue[orderDate])=2022,8,IF(YEAR(revenue[orderDate])=2023,9,IF(YEAR(revenue[orderDate])=2024,10,NA))),FALSE)</f>
        <v>22.77098295</v>
      </c>
      <c r="K622" s="9">
        <v>27.2</v>
      </c>
      <c r="L622" s="25">
        <f>(revenue[orderPrice]-revenue[productCost])/revenue[productCost]</f>
        <v>0.1945026732</v>
      </c>
      <c r="M622" s="10">
        <v>40.0</v>
      </c>
      <c r="N622" s="25">
        <v>0.0</v>
      </c>
      <c r="O622" s="9">
        <f>revenue[orderPrice]*revenue[orderQuantity]</f>
        <v>1088</v>
      </c>
      <c r="P622" s="9">
        <f>revenue[orderTotal]*(1-revenue[discountApllied])</f>
        <v>1088</v>
      </c>
      <c r="Q622" s="9">
        <f>revenue[revenue]-(revenue[productCost]*revenue[orderQuantity])</f>
        <v>177.1606822</v>
      </c>
      <c r="R622" s="25">
        <f>IFERROR(revenue[profit]/revenue[revenue], 0)</f>
        <v>0.1628315093</v>
      </c>
      <c r="S622" s="9">
        <f>revenue[productCost]*revenue[orderQuantity]</f>
        <v>910.8393178</v>
      </c>
    </row>
    <row r="623" ht="15.75" customHeight="1">
      <c r="A623" s="6">
        <v>10482.0</v>
      </c>
      <c r="B623" s="7" t="s">
        <v>89</v>
      </c>
      <c r="C623" s="24" t="str">
        <f>VLOOKUP(revenue[customerID],customers[],2,FALSE)</f>
        <v>Lazy K Kountry Store</v>
      </c>
      <c r="D623" s="24" t="str">
        <f>VLOOKUP(revenue[customerID],customers[],6,FALSE)</f>
        <v>Walla Walla</v>
      </c>
      <c r="E623" s="24" t="str">
        <f>VLOOKUP(revenue[customerID],customers[],9,FALSE)</f>
        <v>USA</v>
      </c>
      <c r="F623" s="24">
        <v>45006.0</v>
      </c>
      <c r="G623" s="6">
        <v>40.0</v>
      </c>
      <c r="H623" s="9" t="str">
        <f>VLOOKUP(revenue[productID],products[],2,FALSE)</f>
        <v>Boston Crab Meat</v>
      </c>
      <c r="I623" s="9" t="str">
        <f>VLOOKUP(revenue[productID],products[],12,FALSE)</f>
        <v>Seafood</v>
      </c>
      <c r="J623" s="9">
        <f>VLOOKUP(revenue[productID],products[],IF(YEAR(revenue[orderDate])=2022,8,IF(YEAR(revenue[orderDate])=2023,9,IF(YEAR(revenue[orderDate])=2024,10,NA))),FALSE)</f>
        <v>11.40496523</v>
      </c>
      <c r="K623" s="9">
        <v>14.7</v>
      </c>
      <c r="L623" s="25">
        <f>(revenue[orderPrice]-revenue[productCost])/revenue[productCost]</f>
        <v>0.2889123033</v>
      </c>
      <c r="M623" s="10">
        <v>10.0</v>
      </c>
      <c r="N623" s="25">
        <v>0.0</v>
      </c>
      <c r="O623" s="9">
        <f>revenue[orderPrice]*revenue[orderQuantity]</f>
        <v>147</v>
      </c>
      <c r="P623" s="9">
        <f>revenue[orderTotal]*(1-revenue[discountApllied])</f>
        <v>147</v>
      </c>
      <c r="Q623" s="9">
        <f>revenue[revenue]-(revenue[productCost]*revenue[orderQuantity])</f>
        <v>32.95034773</v>
      </c>
      <c r="R623" s="25">
        <f>IFERROR(revenue[profit]/revenue[revenue], 0)</f>
        <v>0.2241520254</v>
      </c>
      <c r="S623" s="9">
        <f>revenue[productCost]*revenue[orderQuantity]</f>
        <v>114.0496523</v>
      </c>
    </row>
    <row r="624" ht="15.75" customHeight="1">
      <c r="A624" s="6">
        <v>10483.0</v>
      </c>
      <c r="B624" s="7" t="s">
        <v>34</v>
      </c>
      <c r="C624" s="24" t="str">
        <f>VLOOKUP(revenue[customerID],customers[],2,FALSE)</f>
        <v>White Clover Markets</v>
      </c>
      <c r="D624" s="24" t="str">
        <f>VLOOKUP(revenue[customerID],customers[],6,FALSE)</f>
        <v>Seattle</v>
      </c>
      <c r="E624" s="24" t="str">
        <f>VLOOKUP(revenue[customerID],customers[],9,FALSE)</f>
        <v>USA</v>
      </c>
      <c r="F624" s="24">
        <v>45009.0</v>
      </c>
      <c r="G624" s="6">
        <v>34.0</v>
      </c>
      <c r="H624" s="9" t="str">
        <f>VLOOKUP(revenue[productID],products[],2,FALSE)</f>
        <v>Sasquatch Ale</v>
      </c>
      <c r="I624" s="9" t="str">
        <f>VLOOKUP(revenue[productID],products[],12,FALSE)</f>
        <v>Beverages</v>
      </c>
      <c r="J624" s="9">
        <f>VLOOKUP(revenue[productID],products[],IF(YEAR(revenue[orderDate])=2022,8,IF(YEAR(revenue[orderDate])=2023,9,IF(YEAR(revenue[orderDate])=2024,10,NA))),FALSE)</f>
        <v>8.955654061</v>
      </c>
      <c r="K624" s="9">
        <v>11.2</v>
      </c>
      <c r="L624" s="25">
        <f>(revenue[orderPrice]-revenue[productCost])/revenue[productCost]</f>
        <v>0.2506065915</v>
      </c>
      <c r="M624" s="10">
        <v>35.0</v>
      </c>
      <c r="N624" s="25">
        <v>0.05</v>
      </c>
      <c r="O624" s="9">
        <f>revenue[orderPrice]*revenue[orderQuantity]</f>
        <v>392</v>
      </c>
      <c r="P624" s="9">
        <f>revenue[orderTotal]*(1-revenue[discountApllied])</f>
        <v>372.4</v>
      </c>
      <c r="Q624" s="9">
        <f>revenue[revenue]-(revenue[productCost]*revenue[orderQuantity])</f>
        <v>58.95210787</v>
      </c>
      <c r="R624" s="25">
        <f>IFERROR(revenue[profit]/revenue[revenue], 0)</f>
        <v>0.1583031898</v>
      </c>
      <c r="S624" s="9">
        <f>revenue[productCost]*revenue[orderQuantity]</f>
        <v>313.4478921</v>
      </c>
    </row>
    <row r="625" ht="15.75" customHeight="1">
      <c r="A625" s="6">
        <v>10483.0</v>
      </c>
      <c r="B625" s="7" t="s">
        <v>34</v>
      </c>
      <c r="C625" s="24" t="str">
        <f>VLOOKUP(revenue[customerID],customers[],2,FALSE)</f>
        <v>White Clover Markets</v>
      </c>
      <c r="D625" s="24" t="str">
        <f>VLOOKUP(revenue[customerID],customers[],6,FALSE)</f>
        <v>Seattle</v>
      </c>
      <c r="E625" s="24" t="str">
        <f>VLOOKUP(revenue[customerID],customers[],9,FALSE)</f>
        <v>USA</v>
      </c>
      <c r="F625" s="24">
        <v>45009.0</v>
      </c>
      <c r="G625" s="6">
        <v>77.0</v>
      </c>
      <c r="H625" s="9" t="str">
        <f>VLOOKUP(revenue[productID],products[],2,FALSE)</f>
        <v>Original Frankfurter grüne Soße</v>
      </c>
      <c r="I625" s="9" t="str">
        <f>VLOOKUP(revenue[productID],products[],12,FALSE)</f>
        <v>Condiments</v>
      </c>
      <c r="J625" s="9">
        <f>VLOOKUP(revenue[productID],products[],IF(YEAR(revenue[orderDate])=2022,8,IF(YEAR(revenue[orderDate])=2023,9,IF(YEAR(revenue[orderDate])=2024,10,NA))),FALSE)</f>
        <v>7.539056452</v>
      </c>
      <c r="K625" s="9">
        <v>10.4</v>
      </c>
      <c r="L625" s="25">
        <f>(revenue[orderPrice]-revenue[productCost])/revenue[productCost]</f>
        <v>0.3794829719</v>
      </c>
      <c r="M625" s="10">
        <v>30.0</v>
      </c>
      <c r="N625" s="25">
        <v>0.05</v>
      </c>
      <c r="O625" s="9">
        <f>revenue[orderPrice]*revenue[orderQuantity]</f>
        <v>312</v>
      </c>
      <c r="P625" s="9">
        <f>revenue[orderTotal]*(1-revenue[discountApllied])</f>
        <v>296.4</v>
      </c>
      <c r="Q625" s="9">
        <f>revenue[revenue]-(revenue[productCost]*revenue[orderQuantity])</f>
        <v>70.22830644</v>
      </c>
      <c r="R625" s="25">
        <f>IFERROR(revenue[profit]/revenue[revenue], 0)</f>
        <v>0.2369376061</v>
      </c>
      <c r="S625" s="9">
        <f>revenue[productCost]*revenue[orderQuantity]</f>
        <v>226.1716936</v>
      </c>
    </row>
    <row r="626" ht="15.75" customHeight="1">
      <c r="A626" s="6">
        <v>10484.0</v>
      </c>
      <c r="B626" s="7" t="s">
        <v>46</v>
      </c>
      <c r="C626" s="24" t="str">
        <f>VLOOKUP(revenue[customerID],customers[],2,FALSE)</f>
        <v>B's Beverages</v>
      </c>
      <c r="D626" s="24" t="str">
        <f>VLOOKUP(revenue[customerID],customers[],6,FALSE)</f>
        <v>London</v>
      </c>
      <c r="E626" s="24" t="str">
        <f>VLOOKUP(revenue[customerID],customers[],9,FALSE)</f>
        <v>UK</v>
      </c>
      <c r="F626" s="24">
        <v>45009.0</v>
      </c>
      <c r="G626" s="6">
        <v>21.0</v>
      </c>
      <c r="H626" s="9" t="str">
        <f>VLOOKUP(revenue[productID],products[],2,FALSE)</f>
        <v>Sir Rodney's Scones</v>
      </c>
      <c r="I626" s="9" t="str">
        <f>VLOOKUP(revenue[productID],products[],12,FALSE)</f>
        <v>Confections</v>
      </c>
      <c r="J626" s="9">
        <f>VLOOKUP(revenue[productID],products[],IF(YEAR(revenue[orderDate])=2022,8,IF(YEAR(revenue[orderDate])=2023,9,IF(YEAR(revenue[orderDate])=2024,10,NA))),FALSE)</f>
        <v>6.725636111</v>
      </c>
      <c r="K626" s="9">
        <v>8.0</v>
      </c>
      <c r="L626" s="25">
        <f>(revenue[orderPrice]-revenue[productCost])/revenue[productCost]</f>
        <v>0.1894785664</v>
      </c>
      <c r="M626" s="10">
        <v>14.0</v>
      </c>
      <c r="N626" s="25">
        <v>0.0</v>
      </c>
      <c r="O626" s="9">
        <f>revenue[orderPrice]*revenue[orderQuantity]</f>
        <v>112</v>
      </c>
      <c r="P626" s="9">
        <f>revenue[orderTotal]*(1-revenue[discountApllied])</f>
        <v>112</v>
      </c>
      <c r="Q626" s="9">
        <f>revenue[revenue]-(revenue[productCost]*revenue[orderQuantity])</f>
        <v>17.84109444</v>
      </c>
      <c r="R626" s="25">
        <f>IFERROR(revenue[profit]/revenue[revenue], 0)</f>
        <v>0.1592954861</v>
      </c>
      <c r="S626" s="9">
        <f>revenue[productCost]*revenue[orderQuantity]</f>
        <v>94.15890556</v>
      </c>
    </row>
    <row r="627" ht="15.75" customHeight="1">
      <c r="A627" s="6">
        <v>10484.0</v>
      </c>
      <c r="B627" s="7" t="s">
        <v>46</v>
      </c>
      <c r="C627" s="24" t="str">
        <f>VLOOKUP(revenue[customerID],customers[],2,FALSE)</f>
        <v>B's Beverages</v>
      </c>
      <c r="D627" s="24" t="str">
        <f>VLOOKUP(revenue[customerID],customers[],6,FALSE)</f>
        <v>London</v>
      </c>
      <c r="E627" s="24" t="str">
        <f>VLOOKUP(revenue[customerID],customers[],9,FALSE)</f>
        <v>UK</v>
      </c>
      <c r="F627" s="24">
        <v>45009.0</v>
      </c>
      <c r="G627" s="6">
        <v>40.0</v>
      </c>
      <c r="H627" s="9" t="str">
        <f>VLOOKUP(revenue[productID],products[],2,FALSE)</f>
        <v>Boston Crab Meat</v>
      </c>
      <c r="I627" s="9" t="str">
        <f>VLOOKUP(revenue[productID],products[],12,FALSE)</f>
        <v>Seafood</v>
      </c>
      <c r="J627" s="9">
        <f>VLOOKUP(revenue[productID],products[],IF(YEAR(revenue[orderDate])=2022,8,IF(YEAR(revenue[orderDate])=2023,9,IF(YEAR(revenue[orderDate])=2024,10,NA))),FALSE)</f>
        <v>11.40496523</v>
      </c>
      <c r="K627" s="9">
        <v>14.7</v>
      </c>
      <c r="L627" s="25">
        <f>(revenue[orderPrice]-revenue[productCost])/revenue[productCost]</f>
        <v>0.2889123033</v>
      </c>
      <c r="M627" s="10">
        <v>10.0</v>
      </c>
      <c r="N627" s="25">
        <v>0.0</v>
      </c>
      <c r="O627" s="9">
        <f>revenue[orderPrice]*revenue[orderQuantity]</f>
        <v>147</v>
      </c>
      <c r="P627" s="9">
        <f>revenue[orderTotal]*(1-revenue[discountApllied])</f>
        <v>147</v>
      </c>
      <c r="Q627" s="9">
        <f>revenue[revenue]-(revenue[productCost]*revenue[orderQuantity])</f>
        <v>32.95034773</v>
      </c>
      <c r="R627" s="25">
        <f>IFERROR(revenue[profit]/revenue[revenue], 0)</f>
        <v>0.2241520254</v>
      </c>
      <c r="S627" s="9">
        <f>revenue[productCost]*revenue[orderQuantity]</f>
        <v>114.0496523</v>
      </c>
    </row>
    <row r="628" ht="15.75" customHeight="1">
      <c r="A628" s="6">
        <v>10484.0</v>
      </c>
      <c r="B628" s="7" t="s">
        <v>46</v>
      </c>
      <c r="C628" s="24" t="str">
        <f>VLOOKUP(revenue[customerID],customers[],2,FALSE)</f>
        <v>B's Beverages</v>
      </c>
      <c r="D628" s="24" t="str">
        <f>VLOOKUP(revenue[customerID],customers[],6,FALSE)</f>
        <v>London</v>
      </c>
      <c r="E628" s="24" t="str">
        <f>VLOOKUP(revenue[customerID],customers[],9,FALSE)</f>
        <v>UK</v>
      </c>
      <c r="F628" s="24">
        <v>45009.0</v>
      </c>
      <c r="G628" s="6">
        <v>51.0</v>
      </c>
      <c r="H628" s="9" t="str">
        <f>VLOOKUP(revenue[productID],products[],2,FALSE)</f>
        <v>Manjimup Dried Apples</v>
      </c>
      <c r="I628" s="9" t="str">
        <f>VLOOKUP(revenue[productID],products[],12,FALSE)</f>
        <v>Produce</v>
      </c>
      <c r="J628" s="9">
        <f>VLOOKUP(revenue[productID],products[],IF(YEAR(revenue[orderDate])=2022,8,IF(YEAR(revenue[orderDate])=2023,9,IF(YEAR(revenue[orderDate])=2024,10,NA))),FALSE)</f>
        <v>36.88798027</v>
      </c>
      <c r="K628" s="9">
        <v>42.4</v>
      </c>
      <c r="L628" s="25">
        <f>(revenue[orderPrice]-revenue[productCost])/revenue[productCost]</f>
        <v>0.1494259023</v>
      </c>
      <c r="M628" s="10">
        <v>3.0</v>
      </c>
      <c r="N628" s="25">
        <v>0.0</v>
      </c>
      <c r="O628" s="9">
        <f>revenue[orderPrice]*revenue[orderQuantity]</f>
        <v>127.2</v>
      </c>
      <c r="P628" s="9">
        <f>revenue[orderTotal]*(1-revenue[discountApllied])</f>
        <v>127.2</v>
      </c>
      <c r="Q628" s="9">
        <f>revenue[revenue]-(revenue[productCost]*revenue[orderQuantity])</f>
        <v>16.5360592</v>
      </c>
      <c r="R628" s="25">
        <f>IFERROR(revenue[profit]/revenue[revenue], 0)</f>
        <v>0.1300004654</v>
      </c>
      <c r="S628" s="9">
        <f>revenue[productCost]*revenue[orderQuantity]</f>
        <v>110.6639408</v>
      </c>
    </row>
    <row r="629" ht="15.75" customHeight="1">
      <c r="A629" s="6">
        <v>10485.0</v>
      </c>
      <c r="B629" s="7" t="s">
        <v>82</v>
      </c>
      <c r="C629" s="24" t="str">
        <f>VLOOKUP(revenue[customerID],customers[],2,FALSE)</f>
        <v>LINO-Delicateses</v>
      </c>
      <c r="D629" s="24" t="str">
        <f>VLOOKUP(revenue[customerID],customers[],6,FALSE)</f>
        <v>I. de Margarita</v>
      </c>
      <c r="E629" s="24" t="str">
        <f>VLOOKUP(revenue[customerID],customers[],9,FALSE)</f>
        <v>Venezuela</v>
      </c>
      <c r="F629" s="24">
        <v>45010.0</v>
      </c>
      <c r="G629" s="6">
        <v>2.0</v>
      </c>
      <c r="H629" s="9" t="str">
        <f>VLOOKUP(revenue[productID],products[],2,FALSE)</f>
        <v>Chang</v>
      </c>
      <c r="I629" s="9" t="str">
        <f>VLOOKUP(revenue[productID],products[],12,FALSE)</f>
        <v>Beverages</v>
      </c>
      <c r="J629" s="9">
        <f>VLOOKUP(revenue[productID],products[],IF(YEAR(revenue[orderDate])=2022,8,IF(YEAR(revenue[orderDate])=2023,9,IF(YEAR(revenue[orderDate])=2024,10,NA))),FALSE)</f>
        <v>12.14626904</v>
      </c>
      <c r="K629" s="9">
        <v>15.2</v>
      </c>
      <c r="L629" s="25">
        <f>(revenue[orderPrice]-revenue[productCost])/revenue[productCost]</f>
        <v>0.2514130837</v>
      </c>
      <c r="M629" s="10">
        <v>20.0</v>
      </c>
      <c r="N629" s="25">
        <v>0.1</v>
      </c>
      <c r="O629" s="9">
        <f>revenue[orderPrice]*revenue[orderQuantity]</f>
        <v>304</v>
      </c>
      <c r="P629" s="9">
        <f>revenue[orderTotal]*(1-revenue[discountApllied])</f>
        <v>273.6</v>
      </c>
      <c r="Q629" s="9">
        <f>revenue[revenue]-(revenue[productCost]*revenue[orderQuantity])</f>
        <v>30.67461912</v>
      </c>
      <c r="R629" s="25">
        <f>IFERROR(revenue[profit]/revenue[revenue], 0)</f>
        <v>0.112114836</v>
      </c>
      <c r="S629" s="9">
        <f>revenue[productCost]*revenue[orderQuantity]</f>
        <v>242.9253809</v>
      </c>
    </row>
    <row r="630" ht="15.75" customHeight="1">
      <c r="A630" s="6">
        <v>10485.0</v>
      </c>
      <c r="B630" s="7" t="s">
        <v>82</v>
      </c>
      <c r="C630" s="24" t="str">
        <f>VLOOKUP(revenue[customerID],customers[],2,FALSE)</f>
        <v>LINO-Delicateses</v>
      </c>
      <c r="D630" s="24" t="str">
        <f>VLOOKUP(revenue[customerID],customers[],6,FALSE)</f>
        <v>I. de Margarita</v>
      </c>
      <c r="E630" s="24" t="str">
        <f>VLOOKUP(revenue[customerID],customers[],9,FALSE)</f>
        <v>Venezuela</v>
      </c>
      <c r="F630" s="24">
        <v>45010.0</v>
      </c>
      <c r="G630" s="6">
        <v>3.0</v>
      </c>
      <c r="H630" s="9" t="str">
        <f>VLOOKUP(revenue[productID],products[],2,FALSE)</f>
        <v>Aniseed Syrup</v>
      </c>
      <c r="I630" s="9" t="str">
        <f>VLOOKUP(revenue[productID],products[],12,FALSE)</f>
        <v>Condiments</v>
      </c>
      <c r="J630" s="9">
        <f>VLOOKUP(revenue[productID],products[],IF(YEAR(revenue[orderDate])=2022,8,IF(YEAR(revenue[orderDate])=2023,9,IF(YEAR(revenue[orderDate])=2024,10,NA))),FALSE)</f>
        <v>6.399802633</v>
      </c>
      <c r="K630" s="9">
        <v>8.0</v>
      </c>
      <c r="L630" s="25">
        <f>(revenue[orderPrice]-revenue[productCost])/revenue[productCost]</f>
        <v>0.2500385494</v>
      </c>
      <c r="M630" s="10">
        <v>20.0</v>
      </c>
      <c r="N630" s="25">
        <v>0.1</v>
      </c>
      <c r="O630" s="9">
        <f>revenue[orderPrice]*revenue[orderQuantity]</f>
        <v>160</v>
      </c>
      <c r="P630" s="9">
        <f>revenue[orderTotal]*(1-revenue[discountApllied])</f>
        <v>144</v>
      </c>
      <c r="Q630" s="9">
        <f>revenue[revenue]-(revenue[productCost]*revenue[orderQuantity])</f>
        <v>16.00394733</v>
      </c>
      <c r="R630" s="25">
        <f>IFERROR(revenue[profit]/revenue[revenue], 0)</f>
        <v>0.1111385231</v>
      </c>
      <c r="S630" s="9">
        <f>revenue[productCost]*revenue[orderQuantity]</f>
        <v>127.9960527</v>
      </c>
    </row>
    <row r="631" ht="15.75" customHeight="1">
      <c r="A631" s="6">
        <v>10485.0</v>
      </c>
      <c r="B631" s="7" t="s">
        <v>82</v>
      </c>
      <c r="C631" s="24" t="str">
        <f>VLOOKUP(revenue[customerID],customers[],2,FALSE)</f>
        <v>LINO-Delicateses</v>
      </c>
      <c r="D631" s="24" t="str">
        <f>VLOOKUP(revenue[customerID],customers[],6,FALSE)</f>
        <v>I. de Margarita</v>
      </c>
      <c r="E631" s="24" t="str">
        <f>VLOOKUP(revenue[customerID],customers[],9,FALSE)</f>
        <v>Venezuela</v>
      </c>
      <c r="F631" s="24">
        <v>45010.0</v>
      </c>
      <c r="G631" s="6">
        <v>55.0</v>
      </c>
      <c r="H631" s="9" t="str">
        <f>VLOOKUP(revenue[productID],products[],2,FALSE)</f>
        <v>Pâté chinois</v>
      </c>
      <c r="I631" s="9" t="str">
        <f>VLOOKUP(revenue[productID],products[],12,FALSE)</f>
        <v>Meat/Poultry</v>
      </c>
      <c r="J631" s="9">
        <f>VLOOKUP(revenue[productID],products[],IF(YEAR(revenue[orderDate])=2022,8,IF(YEAR(revenue[orderDate])=2023,9,IF(YEAR(revenue[orderDate])=2024,10,NA))),FALSE)</f>
        <v>14.92398776</v>
      </c>
      <c r="K631" s="9">
        <v>19.2</v>
      </c>
      <c r="L631" s="25">
        <f>(revenue[orderPrice]-revenue[productCost])/revenue[productCost]</f>
        <v>0.2865194145</v>
      </c>
      <c r="M631" s="10">
        <v>30.0</v>
      </c>
      <c r="N631" s="25">
        <v>0.1</v>
      </c>
      <c r="O631" s="9">
        <f>revenue[orderPrice]*revenue[orderQuantity]</f>
        <v>576</v>
      </c>
      <c r="P631" s="9">
        <f>revenue[orderTotal]*(1-revenue[discountApllied])</f>
        <v>518.4</v>
      </c>
      <c r="Q631" s="9">
        <f>revenue[revenue]-(revenue[productCost]*revenue[orderQuantity])</f>
        <v>70.68036708</v>
      </c>
      <c r="R631" s="25">
        <f>IFERROR(revenue[profit]/revenue[revenue], 0)</f>
        <v>0.1363433007</v>
      </c>
      <c r="S631" s="9">
        <f>revenue[productCost]*revenue[orderQuantity]</f>
        <v>447.7196329</v>
      </c>
    </row>
    <row r="632" ht="15.75" customHeight="1">
      <c r="A632" s="6">
        <v>10485.0</v>
      </c>
      <c r="B632" s="7" t="s">
        <v>82</v>
      </c>
      <c r="C632" s="24" t="str">
        <f>VLOOKUP(revenue[customerID],customers[],2,FALSE)</f>
        <v>LINO-Delicateses</v>
      </c>
      <c r="D632" s="24" t="str">
        <f>VLOOKUP(revenue[customerID],customers[],6,FALSE)</f>
        <v>I. de Margarita</v>
      </c>
      <c r="E632" s="24" t="str">
        <f>VLOOKUP(revenue[customerID],customers[],9,FALSE)</f>
        <v>Venezuela</v>
      </c>
      <c r="F632" s="24">
        <v>45010.0</v>
      </c>
      <c r="G632" s="6">
        <v>70.0</v>
      </c>
      <c r="H632" s="9" t="str">
        <f>VLOOKUP(revenue[productID],products[],2,FALSE)</f>
        <v>Outback Lager</v>
      </c>
      <c r="I632" s="9" t="str">
        <f>VLOOKUP(revenue[productID],products[],12,FALSE)</f>
        <v>Beverages</v>
      </c>
      <c r="J632" s="9">
        <f>VLOOKUP(revenue[productID],products[],IF(YEAR(revenue[orderDate])=2022,8,IF(YEAR(revenue[orderDate])=2023,9,IF(YEAR(revenue[orderDate])=2024,10,NA))),FALSE)</f>
        <v>9.793094091</v>
      </c>
      <c r="K632" s="9">
        <v>12.0</v>
      </c>
      <c r="L632" s="25">
        <f>(revenue[orderPrice]-revenue[productCost])/revenue[productCost]</f>
        <v>0.2253532835</v>
      </c>
      <c r="M632" s="10">
        <v>60.0</v>
      </c>
      <c r="N632" s="25">
        <v>0.1</v>
      </c>
      <c r="O632" s="9">
        <f>revenue[orderPrice]*revenue[orderQuantity]</f>
        <v>720</v>
      </c>
      <c r="P632" s="9">
        <f>revenue[orderTotal]*(1-revenue[discountApllied])</f>
        <v>648</v>
      </c>
      <c r="Q632" s="9">
        <f>revenue[revenue]-(revenue[productCost]*revenue[orderQuantity])</f>
        <v>60.41435453</v>
      </c>
      <c r="R632" s="25">
        <f>IFERROR(revenue[profit]/revenue[revenue], 0)</f>
        <v>0.0932320286</v>
      </c>
      <c r="S632" s="9">
        <f>revenue[productCost]*revenue[orderQuantity]</f>
        <v>587.5856455</v>
      </c>
    </row>
    <row r="633" ht="15.75" customHeight="1">
      <c r="A633" s="6">
        <v>10486.0</v>
      </c>
      <c r="B633" s="7" t="s">
        <v>23</v>
      </c>
      <c r="C633" s="24" t="str">
        <f>VLOOKUP(revenue[customerID],customers[],2,FALSE)</f>
        <v>HILARION-Abastos</v>
      </c>
      <c r="D633" s="24" t="str">
        <f>VLOOKUP(revenue[customerID],customers[],6,FALSE)</f>
        <v>San Cristóbal</v>
      </c>
      <c r="E633" s="24" t="str">
        <f>VLOOKUP(revenue[customerID],customers[],9,FALSE)</f>
        <v>Venezuela</v>
      </c>
      <c r="F633" s="24">
        <v>45011.0</v>
      </c>
      <c r="G633" s="6">
        <v>11.0</v>
      </c>
      <c r="H633" s="9" t="str">
        <f>VLOOKUP(revenue[productID],products[],2,FALSE)</f>
        <v>Queso Cabrales</v>
      </c>
      <c r="I633" s="9" t="str">
        <f>VLOOKUP(revenue[productID],products[],12,FALSE)</f>
        <v>Dairy Products</v>
      </c>
      <c r="J633" s="9">
        <f>VLOOKUP(revenue[productID],products[],IF(YEAR(revenue[orderDate])=2022,8,IF(YEAR(revenue[orderDate])=2023,9,IF(YEAR(revenue[orderDate])=2024,10,NA))),FALSE)</f>
        <v>12.90188125</v>
      </c>
      <c r="K633" s="9">
        <v>16.8</v>
      </c>
      <c r="L633" s="25">
        <f>(revenue[orderPrice]-revenue[productCost])/revenue[productCost]</f>
        <v>0.3021356863</v>
      </c>
      <c r="M633" s="10">
        <v>5.0</v>
      </c>
      <c r="N633" s="25">
        <v>0.0</v>
      </c>
      <c r="O633" s="9">
        <f>revenue[orderPrice]*revenue[orderQuantity]</f>
        <v>84</v>
      </c>
      <c r="P633" s="9">
        <f>revenue[orderTotal]*(1-revenue[discountApllied])</f>
        <v>84</v>
      </c>
      <c r="Q633" s="9">
        <f>revenue[revenue]-(revenue[productCost]*revenue[orderQuantity])</f>
        <v>19.49059374</v>
      </c>
      <c r="R633" s="25">
        <f>IFERROR(revenue[profit]/revenue[revenue], 0)</f>
        <v>0.2320308778</v>
      </c>
      <c r="S633" s="9">
        <f>revenue[productCost]*revenue[orderQuantity]</f>
        <v>64.50940626</v>
      </c>
    </row>
    <row r="634" ht="15.75" customHeight="1">
      <c r="A634" s="6">
        <v>10486.0</v>
      </c>
      <c r="B634" s="7" t="s">
        <v>23</v>
      </c>
      <c r="C634" s="24" t="str">
        <f>VLOOKUP(revenue[customerID],customers[],2,FALSE)</f>
        <v>HILARION-Abastos</v>
      </c>
      <c r="D634" s="24" t="str">
        <f>VLOOKUP(revenue[customerID],customers[],6,FALSE)</f>
        <v>San Cristóbal</v>
      </c>
      <c r="E634" s="24" t="str">
        <f>VLOOKUP(revenue[customerID],customers[],9,FALSE)</f>
        <v>Venezuela</v>
      </c>
      <c r="F634" s="24">
        <v>45011.0</v>
      </c>
      <c r="G634" s="6">
        <v>51.0</v>
      </c>
      <c r="H634" s="9" t="str">
        <f>VLOOKUP(revenue[productID],products[],2,FALSE)</f>
        <v>Manjimup Dried Apples</v>
      </c>
      <c r="I634" s="9" t="str">
        <f>VLOOKUP(revenue[productID],products[],12,FALSE)</f>
        <v>Produce</v>
      </c>
      <c r="J634" s="9">
        <f>VLOOKUP(revenue[productID],products[],IF(YEAR(revenue[orderDate])=2022,8,IF(YEAR(revenue[orderDate])=2023,9,IF(YEAR(revenue[orderDate])=2024,10,NA))),FALSE)</f>
        <v>36.88798027</v>
      </c>
      <c r="K634" s="9">
        <v>42.4</v>
      </c>
      <c r="L634" s="25">
        <f>(revenue[orderPrice]-revenue[productCost])/revenue[productCost]</f>
        <v>0.1494259023</v>
      </c>
      <c r="M634" s="10">
        <v>25.0</v>
      </c>
      <c r="N634" s="25">
        <v>0.0</v>
      </c>
      <c r="O634" s="9">
        <f>revenue[orderPrice]*revenue[orderQuantity]</f>
        <v>1060</v>
      </c>
      <c r="P634" s="9">
        <f>revenue[orderTotal]*(1-revenue[discountApllied])</f>
        <v>1060</v>
      </c>
      <c r="Q634" s="9">
        <f>revenue[revenue]-(revenue[productCost]*revenue[orderQuantity])</f>
        <v>137.8004934</v>
      </c>
      <c r="R634" s="25">
        <f>IFERROR(revenue[profit]/revenue[revenue], 0)</f>
        <v>0.1300004654</v>
      </c>
      <c r="S634" s="9">
        <f>revenue[productCost]*revenue[orderQuantity]</f>
        <v>922.1995066</v>
      </c>
    </row>
    <row r="635" ht="15.75" customHeight="1">
      <c r="A635" s="6">
        <v>10486.0</v>
      </c>
      <c r="B635" s="7" t="s">
        <v>23</v>
      </c>
      <c r="C635" s="24" t="str">
        <f>VLOOKUP(revenue[customerID],customers[],2,FALSE)</f>
        <v>HILARION-Abastos</v>
      </c>
      <c r="D635" s="24" t="str">
        <f>VLOOKUP(revenue[customerID],customers[],6,FALSE)</f>
        <v>San Cristóbal</v>
      </c>
      <c r="E635" s="24" t="str">
        <f>VLOOKUP(revenue[customerID],customers[],9,FALSE)</f>
        <v>Venezuela</v>
      </c>
      <c r="F635" s="24">
        <v>45011.0</v>
      </c>
      <c r="G635" s="6">
        <v>74.0</v>
      </c>
      <c r="H635" s="9" t="str">
        <f>VLOOKUP(revenue[productID],products[],2,FALSE)</f>
        <v>Longlife Tofu</v>
      </c>
      <c r="I635" s="9" t="str">
        <f>VLOOKUP(revenue[productID],products[],12,FALSE)</f>
        <v>Produce</v>
      </c>
      <c r="J635" s="9">
        <f>VLOOKUP(revenue[productID],products[],IF(YEAR(revenue[orderDate])=2022,8,IF(YEAR(revenue[orderDate])=2023,9,IF(YEAR(revenue[orderDate])=2024,10,NA))),FALSE)</f>
        <v>6.510240467</v>
      </c>
      <c r="K635" s="9">
        <v>8.0</v>
      </c>
      <c r="L635" s="25">
        <f>(revenue[orderPrice]-revenue[productCost])/revenue[productCost]</f>
        <v>0.2288332575</v>
      </c>
      <c r="M635" s="10">
        <v>16.0</v>
      </c>
      <c r="N635" s="25">
        <v>0.0</v>
      </c>
      <c r="O635" s="9">
        <f>revenue[orderPrice]*revenue[orderQuantity]</f>
        <v>128</v>
      </c>
      <c r="P635" s="9">
        <f>revenue[orderTotal]*(1-revenue[discountApllied])</f>
        <v>128</v>
      </c>
      <c r="Q635" s="9">
        <f>revenue[revenue]-(revenue[productCost]*revenue[orderQuantity])</f>
        <v>23.83615253</v>
      </c>
      <c r="R635" s="25">
        <f>IFERROR(revenue[profit]/revenue[revenue], 0)</f>
        <v>0.1862199417</v>
      </c>
      <c r="S635" s="9">
        <f>revenue[productCost]*revenue[orderQuantity]</f>
        <v>104.1638475</v>
      </c>
    </row>
    <row r="636" ht="15.75" customHeight="1">
      <c r="A636" s="6">
        <v>10487.0</v>
      </c>
      <c r="B636" s="7" t="s">
        <v>77</v>
      </c>
      <c r="C636" s="24" t="str">
        <f>VLOOKUP(revenue[customerID],customers[],2,FALSE)</f>
        <v>Queen Cozinha</v>
      </c>
      <c r="D636" s="24" t="str">
        <f>VLOOKUP(revenue[customerID],customers[],6,FALSE)</f>
        <v>Sao Paulo</v>
      </c>
      <c r="E636" s="24" t="str">
        <f>VLOOKUP(revenue[customerID],customers[],9,FALSE)</f>
        <v>Brazil</v>
      </c>
      <c r="F636" s="24">
        <v>45011.0</v>
      </c>
      <c r="G636" s="6">
        <v>19.0</v>
      </c>
      <c r="H636" s="9" t="str">
        <f>VLOOKUP(revenue[productID],products[],2,FALSE)</f>
        <v>Teatime Chocolate Biscuits</v>
      </c>
      <c r="I636" s="9" t="str">
        <f>VLOOKUP(revenue[productID],products[],12,FALSE)</f>
        <v>Confections</v>
      </c>
      <c r="J636" s="9">
        <f>VLOOKUP(revenue[productID],products[],IF(YEAR(revenue[orderDate])=2022,8,IF(YEAR(revenue[orderDate])=2023,9,IF(YEAR(revenue[orderDate])=2024,10,NA))),FALSE)</f>
        <v>5.901883682</v>
      </c>
      <c r="K636" s="9">
        <v>7.3</v>
      </c>
      <c r="L636" s="25">
        <f>(revenue[orderPrice]-revenue[productCost])/revenue[productCost]</f>
        <v>0.2368932349</v>
      </c>
      <c r="M636" s="10">
        <v>5.0</v>
      </c>
      <c r="N636" s="25">
        <v>0.0</v>
      </c>
      <c r="O636" s="9">
        <f>revenue[orderPrice]*revenue[orderQuantity]</f>
        <v>36.5</v>
      </c>
      <c r="P636" s="9">
        <f>revenue[orderTotal]*(1-revenue[discountApllied])</f>
        <v>36.5</v>
      </c>
      <c r="Q636" s="9">
        <f>revenue[revenue]-(revenue[productCost]*revenue[orderQuantity])</f>
        <v>6.990581588</v>
      </c>
      <c r="R636" s="25">
        <f>IFERROR(revenue[profit]/revenue[revenue], 0)</f>
        <v>0.1915227832</v>
      </c>
      <c r="S636" s="9">
        <f>revenue[productCost]*revenue[orderQuantity]</f>
        <v>29.50941841</v>
      </c>
    </row>
    <row r="637" ht="15.75" customHeight="1">
      <c r="A637" s="6">
        <v>10487.0</v>
      </c>
      <c r="B637" s="7" t="s">
        <v>77</v>
      </c>
      <c r="C637" s="24" t="str">
        <f>VLOOKUP(revenue[customerID],customers[],2,FALSE)</f>
        <v>Queen Cozinha</v>
      </c>
      <c r="D637" s="24" t="str">
        <f>VLOOKUP(revenue[customerID],customers[],6,FALSE)</f>
        <v>Sao Paulo</v>
      </c>
      <c r="E637" s="24" t="str">
        <f>VLOOKUP(revenue[customerID],customers[],9,FALSE)</f>
        <v>Brazil</v>
      </c>
      <c r="F637" s="24">
        <v>45011.0</v>
      </c>
      <c r="G637" s="6">
        <v>26.0</v>
      </c>
      <c r="H637" s="9" t="str">
        <f>VLOOKUP(revenue[productID],products[],2,FALSE)</f>
        <v>NuNuCa Nuß-Nougat-Creme</v>
      </c>
      <c r="I637" s="9" t="str">
        <f>VLOOKUP(revenue[productID],products[],12,FALSE)</f>
        <v>Confections</v>
      </c>
      <c r="J637" s="9">
        <f>VLOOKUP(revenue[productID],products[],IF(YEAR(revenue[orderDate])=2022,8,IF(YEAR(revenue[orderDate])=2023,9,IF(YEAR(revenue[orderDate])=2024,10,NA))),FALSE)</f>
        <v>21.20896201</v>
      </c>
      <c r="K637" s="9">
        <v>24.9</v>
      </c>
      <c r="L637" s="25">
        <f>(revenue[orderPrice]-revenue[productCost])/revenue[productCost]</f>
        <v>0.1740319958</v>
      </c>
      <c r="M637" s="10">
        <v>30.0</v>
      </c>
      <c r="N637" s="25">
        <v>0.0</v>
      </c>
      <c r="O637" s="9">
        <f>revenue[orderPrice]*revenue[orderQuantity]</f>
        <v>747</v>
      </c>
      <c r="P637" s="9">
        <f>revenue[orderTotal]*(1-revenue[discountApllied])</f>
        <v>747</v>
      </c>
      <c r="Q637" s="9">
        <f>revenue[revenue]-(revenue[productCost]*revenue[orderQuantity])</f>
        <v>110.7311396</v>
      </c>
      <c r="R637" s="25">
        <f>IFERROR(revenue[profit]/revenue[revenue], 0)</f>
        <v>0.1482344573</v>
      </c>
      <c r="S637" s="9">
        <f>revenue[productCost]*revenue[orderQuantity]</f>
        <v>636.2688604</v>
      </c>
    </row>
    <row r="638" ht="15.75" customHeight="1">
      <c r="A638" s="6">
        <v>10487.0</v>
      </c>
      <c r="B638" s="7" t="s">
        <v>77</v>
      </c>
      <c r="C638" s="24" t="str">
        <f>VLOOKUP(revenue[customerID],customers[],2,FALSE)</f>
        <v>Queen Cozinha</v>
      </c>
      <c r="D638" s="24" t="str">
        <f>VLOOKUP(revenue[customerID],customers[],6,FALSE)</f>
        <v>Sao Paulo</v>
      </c>
      <c r="E638" s="24" t="str">
        <f>VLOOKUP(revenue[customerID],customers[],9,FALSE)</f>
        <v>Brazil</v>
      </c>
      <c r="F638" s="24">
        <v>45011.0</v>
      </c>
      <c r="G638" s="6">
        <v>54.0</v>
      </c>
      <c r="H638" s="9" t="str">
        <f>VLOOKUP(revenue[productID],products[],2,FALSE)</f>
        <v>Tourtière</v>
      </c>
      <c r="I638" s="9" t="str">
        <f>VLOOKUP(revenue[productID],products[],12,FALSE)</f>
        <v>Meat/Poultry</v>
      </c>
      <c r="J638" s="9">
        <f>VLOOKUP(revenue[productID],products[],IF(YEAR(revenue[orderDate])=2022,8,IF(YEAR(revenue[orderDate])=2023,9,IF(YEAR(revenue[orderDate])=2024,10,NA))),FALSE)</f>
        <v>4.924447797</v>
      </c>
      <c r="K638" s="9">
        <v>5.9</v>
      </c>
      <c r="L638" s="25">
        <f>(revenue[orderPrice]-revenue[productCost])/revenue[productCost]</f>
        <v>0.1981038774</v>
      </c>
      <c r="M638" s="10">
        <v>24.0</v>
      </c>
      <c r="N638" s="25">
        <v>0.25</v>
      </c>
      <c r="O638" s="9">
        <f>revenue[orderPrice]*revenue[orderQuantity]</f>
        <v>141.6</v>
      </c>
      <c r="P638" s="9">
        <f>revenue[orderTotal]*(1-revenue[discountApllied])</f>
        <v>106.2</v>
      </c>
      <c r="Q638" s="9">
        <f>revenue[revenue]-(revenue[productCost]*revenue[orderQuantity])</f>
        <v>-11.98674713</v>
      </c>
      <c r="R638" s="25">
        <f>IFERROR(revenue[profit]/revenue[revenue], 0)</f>
        <v>-0.1128695587</v>
      </c>
      <c r="S638" s="9">
        <f>revenue[productCost]*revenue[orderQuantity]</f>
        <v>118.1867471</v>
      </c>
    </row>
    <row r="639" ht="15.75" customHeight="1">
      <c r="A639" s="6">
        <v>10488.0</v>
      </c>
      <c r="B639" s="7" t="s">
        <v>32</v>
      </c>
      <c r="C639" s="24" t="str">
        <f>VLOOKUP(revenue[customerID],customers[],2,FALSE)</f>
        <v>Frankenversand</v>
      </c>
      <c r="D639" s="24" t="str">
        <f>VLOOKUP(revenue[customerID],customers[],6,FALSE)</f>
        <v>München</v>
      </c>
      <c r="E639" s="24" t="str">
        <f>VLOOKUP(revenue[customerID],customers[],9,FALSE)</f>
        <v>Germany</v>
      </c>
      <c r="F639" s="24">
        <v>45012.0</v>
      </c>
      <c r="G639" s="6">
        <v>59.0</v>
      </c>
      <c r="H639" s="9" t="str">
        <f>VLOOKUP(revenue[productID],products[],2,FALSE)</f>
        <v>Raclette Courdavault</v>
      </c>
      <c r="I639" s="9" t="str">
        <f>VLOOKUP(revenue[productID],products[],12,FALSE)</f>
        <v>Dairy Products</v>
      </c>
      <c r="J639" s="9">
        <f>VLOOKUP(revenue[productID],products[],IF(YEAR(revenue[orderDate])=2022,8,IF(YEAR(revenue[orderDate])=2023,9,IF(YEAR(revenue[orderDate])=2024,10,NA))),FALSE)</f>
        <v>35.20472566</v>
      </c>
      <c r="K639" s="9">
        <v>44.0</v>
      </c>
      <c r="L639" s="25">
        <f>(revenue[orderPrice]-revenue[productCost])/revenue[productCost]</f>
        <v>0.2498322078</v>
      </c>
      <c r="M639" s="10">
        <v>30.0</v>
      </c>
      <c r="N639" s="25">
        <v>0.0</v>
      </c>
      <c r="O639" s="9">
        <f>revenue[orderPrice]*revenue[orderQuantity]</f>
        <v>1320</v>
      </c>
      <c r="P639" s="9">
        <f>revenue[orderTotal]*(1-revenue[discountApllied])</f>
        <v>1320</v>
      </c>
      <c r="Q639" s="9">
        <f>revenue[revenue]-(revenue[productCost]*revenue[orderQuantity])</f>
        <v>263.8582302</v>
      </c>
      <c r="R639" s="25">
        <f>IFERROR(revenue[profit]/revenue[revenue], 0)</f>
        <v>0.1998925986</v>
      </c>
      <c r="S639" s="9">
        <f>revenue[productCost]*revenue[orderQuantity]</f>
        <v>1056.14177</v>
      </c>
    </row>
    <row r="640" ht="15.75" customHeight="1">
      <c r="A640" s="6">
        <v>10488.0</v>
      </c>
      <c r="B640" s="7" t="s">
        <v>32</v>
      </c>
      <c r="C640" s="24" t="str">
        <f>VLOOKUP(revenue[customerID],customers[],2,FALSE)</f>
        <v>Frankenversand</v>
      </c>
      <c r="D640" s="24" t="str">
        <f>VLOOKUP(revenue[customerID],customers[],6,FALSE)</f>
        <v>München</v>
      </c>
      <c r="E640" s="24" t="str">
        <f>VLOOKUP(revenue[customerID],customers[],9,FALSE)</f>
        <v>Germany</v>
      </c>
      <c r="F640" s="24">
        <v>45012.0</v>
      </c>
      <c r="G640" s="6">
        <v>73.0</v>
      </c>
      <c r="H640" s="9" t="str">
        <f>VLOOKUP(revenue[productID],products[],2,FALSE)</f>
        <v>Röd Kaviar</v>
      </c>
      <c r="I640" s="9" t="str">
        <f>VLOOKUP(revenue[productID],products[],12,FALSE)</f>
        <v>Seafood</v>
      </c>
      <c r="J640" s="9">
        <f>VLOOKUP(revenue[productID],products[],IF(YEAR(revenue[orderDate])=2022,8,IF(YEAR(revenue[orderDate])=2023,9,IF(YEAR(revenue[orderDate])=2024,10,NA))),FALSE)</f>
        <v>9.692999362</v>
      </c>
      <c r="K640" s="9">
        <v>12.0</v>
      </c>
      <c r="L640" s="25">
        <f>(revenue[orderPrice]-revenue[productCost])/revenue[productCost]</f>
        <v>0.2380068905</v>
      </c>
      <c r="M640" s="10">
        <v>20.0</v>
      </c>
      <c r="N640" s="25">
        <v>0.2</v>
      </c>
      <c r="O640" s="9">
        <f>revenue[orderPrice]*revenue[orderQuantity]</f>
        <v>240</v>
      </c>
      <c r="P640" s="9">
        <f>revenue[orderTotal]*(1-revenue[discountApllied])</f>
        <v>192</v>
      </c>
      <c r="Q640" s="9">
        <f>revenue[revenue]-(revenue[productCost]*revenue[orderQuantity])</f>
        <v>-1.859987242</v>
      </c>
      <c r="R640" s="25">
        <f>IFERROR(revenue[profit]/revenue[revenue], 0)</f>
        <v>-0.009687433554</v>
      </c>
      <c r="S640" s="9">
        <f>revenue[productCost]*revenue[orderQuantity]</f>
        <v>193.8599872</v>
      </c>
    </row>
    <row r="641" ht="15.75" customHeight="1">
      <c r="A641" s="6">
        <v>10489.0</v>
      </c>
      <c r="B641" s="7" t="s">
        <v>69</v>
      </c>
      <c r="C641" s="24" t="str">
        <f>VLOOKUP(revenue[customerID],customers[],2,FALSE)</f>
        <v>Piccolo und mehr</v>
      </c>
      <c r="D641" s="24" t="str">
        <f>VLOOKUP(revenue[customerID],customers[],6,FALSE)</f>
        <v>Salzburg</v>
      </c>
      <c r="E641" s="24" t="str">
        <f>VLOOKUP(revenue[customerID],customers[],9,FALSE)</f>
        <v>Austria</v>
      </c>
      <c r="F641" s="24">
        <v>45013.0</v>
      </c>
      <c r="G641" s="6">
        <v>11.0</v>
      </c>
      <c r="H641" s="9" t="str">
        <f>VLOOKUP(revenue[productID],products[],2,FALSE)</f>
        <v>Queso Cabrales</v>
      </c>
      <c r="I641" s="9" t="str">
        <f>VLOOKUP(revenue[productID],products[],12,FALSE)</f>
        <v>Dairy Products</v>
      </c>
      <c r="J641" s="9">
        <f>VLOOKUP(revenue[productID],products[],IF(YEAR(revenue[orderDate])=2022,8,IF(YEAR(revenue[orderDate])=2023,9,IF(YEAR(revenue[orderDate])=2024,10,NA))),FALSE)</f>
        <v>12.90188125</v>
      </c>
      <c r="K641" s="9">
        <v>16.8</v>
      </c>
      <c r="L641" s="25">
        <f>(revenue[orderPrice]-revenue[productCost])/revenue[productCost]</f>
        <v>0.3021356863</v>
      </c>
      <c r="M641" s="10">
        <v>15.0</v>
      </c>
      <c r="N641" s="25">
        <v>0.25</v>
      </c>
      <c r="O641" s="9">
        <f>revenue[orderPrice]*revenue[orderQuantity]</f>
        <v>252</v>
      </c>
      <c r="P641" s="9">
        <f>revenue[orderTotal]*(1-revenue[discountApllied])</f>
        <v>189</v>
      </c>
      <c r="Q641" s="9">
        <f>revenue[revenue]-(revenue[productCost]*revenue[orderQuantity])</f>
        <v>-4.52821879</v>
      </c>
      <c r="R641" s="25">
        <f>IFERROR(revenue[profit]/revenue[revenue], 0)</f>
        <v>-0.02395882957</v>
      </c>
      <c r="S641" s="9">
        <f>revenue[productCost]*revenue[orderQuantity]</f>
        <v>193.5282188</v>
      </c>
    </row>
    <row r="642" ht="15.75" customHeight="1">
      <c r="A642" s="6">
        <v>10489.0</v>
      </c>
      <c r="B642" s="7" t="s">
        <v>69</v>
      </c>
      <c r="C642" s="24" t="str">
        <f>VLOOKUP(revenue[customerID],customers[],2,FALSE)</f>
        <v>Piccolo und mehr</v>
      </c>
      <c r="D642" s="24" t="str">
        <f>VLOOKUP(revenue[customerID],customers[],6,FALSE)</f>
        <v>Salzburg</v>
      </c>
      <c r="E642" s="24" t="str">
        <f>VLOOKUP(revenue[customerID],customers[],9,FALSE)</f>
        <v>Austria</v>
      </c>
      <c r="F642" s="24">
        <v>45013.0</v>
      </c>
      <c r="G642" s="6">
        <v>16.0</v>
      </c>
      <c r="H642" s="9" t="str">
        <f>VLOOKUP(revenue[productID],products[],2,FALSE)</f>
        <v>Pavlova</v>
      </c>
      <c r="I642" s="9" t="str">
        <f>VLOOKUP(revenue[productID],products[],12,FALSE)</f>
        <v>Confections</v>
      </c>
      <c r="J642" s="9">
        <f>VLOOKUP(revenue[productID],products[],IF(YEAR(revenue[orderDate])=2022,8,IF(YEAR(revenue[orderDate])=2023,9,IF(YEAR(revenue[orderDate])=2024,10,NA))),FALSE)</f>
        <v>11.98504839</v>
      </c>
      <c r="K642" s="9">
        <v>13.9</v>
      </c>
      <c r="L642" s="25">
        <f>(revenue[orderPrice]-revenue[productCost])/revenue[productCost]</f>
        <v>0.1597783792</v>
      </c>
      <c r="M642" s="10">
        <v>18.0</v>
      </c>
      <c r="N642" s="25">
        <v>0.0</v>
      </c>
      <c r="O642" s="9">
        <f>revenue[orderPrice]*revenue[orderQuantity]</f>
        <v>250.2</v>
      </c>
      <c r="P642" s="9">
        <f>revenue[orderTotal]*(1-revenue[discountApllied])</f>
        <v>250.2</v>
      </c>
      <c r="Q642" s="9">
        <f>revenue[revenue]-(revenue[productCost]*revenue[orderQuantity])</f>
        <v>34.46912893</v>
      </c>
      <c r="R642" s="25">
        <f>IFERROR(revenue[profit]/revenue[revenue], 0)</f>
        <v>0.1377663027</v>
      </c>
      <c r="S642" s="9">
        <f>revenue[productCost]*revenue[orderQuantity]</f>
        <v>215.7308711</v>
      </c>
    </row>
    <row r="643" ht="15.75" customHeight="1">
      <c r="A643" s="6">
        <v>10490.0</v>
      </c>
      <c r="B643" s="7" t="s">
        <v>23</v>
      </c>
      <c r="C643" s="24" t="str">
        <f>VLOOKUP(revenue[customerID],customers[],2,FALSE)</f>
        <v>HILARION-Abastos</v>
      </c>
      <c r="D643" s="24" t="str">
        <f>VLOOKUP(revenue[customerID],customers[],6,FALSE)</f>
        <v>San Cristóbal</v>
      </c>
      <c r="E643" s="24" t="str">
        <f>VLOOKUP(revenue[customerID],customers[],9,FALSE)</f>
        <v>Venezuela</v>
      </c>
      <c r="F643" s="24">
        <v>45016.0</v>
      </c>
      <c r="G643" s="6">
        <v>59.0</v>
      </c>
      <c r="H643" s="9" t="str">
        <f>VLOOKUP(revenue[productID],products[],2,FALSE)</f>
        <v>Raclette Courdavault</v>
      </c>
      <c r="I643" s="9" t="str">
        <f>VLOOKUP(revenue[productID],products[],12,FALSE)</f>
        <v>Dairy Products</v>
      </c>
      <c r="J643" s="9">
        <f>VLOOKUP(revenue[productID],products[],IF(YEAR(revenue[orderDate])=2022,8,IF(YEAR(revenue[orderDate])=2023,9,IF(YEAR(revenue[orderDate])=2024,10,NA))),FALSE)</f>
        <v>35.20472566</v>
      </c>
      <c r="K643" s="9">
        <v>44.0</v>
      </c>
      <c r="L643" s="25">
        <f>(revenue[orderPrice]-revenue[productCost])/revenue[productCost]</f>
        <v>0.2498322078</v>
      </c>
      <c r="M643" s="10">
        <v>60.0</v>
      </c>
      <c r="N643" s="25">
        <v>0.0</v>
      </c>
      <c r="O643" s="9">
        <f>revenue[orderPrice]*revenue[orderQuantity]</f>
        <v>2640</v>
      </c>
      <c r="P643" s="9">
        <f>revenue[orderTotal]*(1-revenue[discountApllied])</f>
        <v>2640</v>
      </c>
      <c r="Q643" s="9">
        <f>revenue[revenue]-(revenue[productCost]*revenue[orderQuantity])</f>
        <v>527.7164603</v>
      </c>
      <c r="R643" s="25">
        <f>IFERROR(revenue[profit]/revenue[revenue], 0)</f>
        <v>0.1998925986</v>
      </c>
      <c r="S643" s="9">
        <f>revenue[productCost]*revenue[orderQuantity]</f>
        <v>2112.28354</v>
      </c>
    </row>
    <row r="644" ht="15.75" customHeight="1">
      <c r="A644" s="6">
        <v>10490.0</v>
      </c>
      <c r="B644" s="7" t="s">
        <v>23</v>
      </c>
      <c r="C644" s="24" t="str">
        <f>VLOOKUP(revenue[customerID],customers[],2,FALSE)</f>
        <v>HILARION-Abastos</v>
      </c>
      <c r="D644" s="24" t="str">
        <f>VLOOKUP(revenue[customerID],customers[],6,FALSE)</f>
        <v>San Cristóbal</v>
      </c>
      <c r="E644" s="24" t="str">
        <f>VLOOKUP(revenue[customerID],customers[],9,FALSE)</f>
        <v>Venezuela</v>
      </c>
      <c r="F644" s="24">
        <v>45016.0</v>
      </c>
      <c r="G644" s="6">
        <v>68.0</v>
      </c>
      <c r="H644" s="9" t="str">
        <f>VLOOKUP(revenue[productID],products[],2,FALSE)</f>
        <v>Scottish Longbreads</v>
      </c>
      <c r="I644" s="9" t="str">
        <f>VLOOKUP(revenue[productID],products[],12,FALSE)</f>
        <v>Confections</v>
      </c>
      <c r="J644" s="9">
        <f>VLOOKUP(revenue[productID],products[],IF(YEAR(revenue[orderDate])=2022,8,IF(YEAR(revenue[orderDate])=2023,9,IF(YEAR(revenue[orderDate])=2024,10,NA))),FALSE)</f>
        <v>8.500000387</v>
      </c>
      <c r="K644" s="9">
        <v>10.0</v>
      </c>
      <c r="L644" s="25">
        <f>(revenue[orderPrice]-revenue[productCost])/revenue[productCost]</f>
        <v>0.1764705347</v>
      </c>
      <c r="M644" s="10">
        <v>30.0</v>
      </c>
      <c r="N644" s="25">
        <v>0.0</v>
      </c>
      <c r="O644" s="9">
        <f>revenue[orderPrice]*revenue[orderQuantity]</f>
        <v>300</v>
      </c>
      <c r="P644" s="9">
        <f>revenue[orderTotal]*(1-revenue[discountApllied])</f>
        <v>300</v>
      </c>
      <c r="Q644" s="9">
        <f>revenue[revenue]-(revenue[productCost]*revenue[orderQuantity])</f>
        <v>44.9999884</v>
      </c>
      <c r="R644" s="25">
        <f>IFERROR(revenue[profit]/revenue[revenue], 0)</f>
        <v>0.1499999613</v>
      </c>
      <c r="S644" s="9">
        <f>revenue[productCost]*revenue[orderQuantity]</f>
        <v>255.0000116</v>
      </c>
    </row>
    <row r="645" ht="15.75" customHeight="1">
      <c r="A645" s="6">
        <v>10490.0</v>
      </c>
      <c r="B645" s="7" t="s">
        <v>23</v>
      </c>
      <c r="C645" s="24" t="str">
        <f>VLOOKUP(revenue[customerID],customers[],2,FALSE)</f>
        <v>HILARION-Abastos</v>
      </c>
      <c r="D645" s="24" t="str">
        <f>VLOOKUP(revenue[customerID],customers[],6,FALSE)</f>
        <v>San Cristóbal</v>
      </c>
      <c r="E645" s="24" t="str">
        <f>VLOOKUP(revenue[customerID],customers[],9,FALSE)</f>
        <v>Venezuela</v>
      </c>
      <c r="F645" s="24">
        <v>45016.0</v>
      </c>
      <c r="G645" s="6">
        <v>75.0</v>
      </c>
      <c r="H645" s="9" t="str">
        <f>VLOOKUP(revenue[productID],products[],2,FALSE)</f>
        <v>Rhönbräu Klosterbier</v>
      </c>
      <c r="I645" s="9" t="str">
        <f>VLOOKUP(revenue[productID],products[],12,FALSE)</f>
        <v>Beverages</v>
      </c>
      <c r="J645" s="9">
        <f>VLOOKUP(revenue[productID],products[],IF(YEAR(revenue[orderDate])=2022,8,IF(YEAR(revenue[orderDate])=2023,9,IF(YEAR(revenue[orderDate])=2024,10,NA))),FALSE)</f>
        <v>5.355290472</v>
      </c>
      <c r="K645" s="9">
        <v>6.2</v>
      </c>
      <c r="L645" s="25">
        <f>(revenue[orderPrice]-revenue[productCost])/revenue[productCost]</f>
        <v>0.1577336529</v>
      </c>
      <c r="M645" s="10">
        <v>36.0</v>
      </c>
      <c r="N645" s="25">
        <v>0.0</v>
      </c>
      <c r="O645" s="9">
        <f>revenue[orderPrice]*revenue[orderQuantity]</f>
        <v>223.2</v>
      </c>
      <c r="P645" s="9">
        <f>revenue[orderTotal]*(1-revenue[discountApllied])</f>
        <v>223.2</v>
      </c>
      <c r="Q645" s="9">
        <f>revenue[revenue]-(revenue[productCost]*revenue[orderQuantity])</f>
        <v>30.40954302</v>
      </c>
      <c r="R645" s="25">
        <f>IFERROR(revenue[profit]/revenue[revenue], 0)</f>
        <v>0.1362434723</v>
      </c>
      <c r="S645" s="9">
        <f>revenue[productCost]*revenue[orderQuantity]</f>
        <v>192.790457</v>
      </c>
    </row>
    <row r="646" ht="15.75" customHeight="1">
      <c r="A646" s="6">
        <v>10491.0</v>
      </c>
      <c r="B646" s="7" t="s">
        <v>62</v>
      </c>
      <c r="C646" s="24" t="str">
        <f>VLOOKUP(revenue[customerID],customers[],2,FALSE)</f>
        <v>Furia Bacalhau e Frutos do Mar</v>
      </c>
      <c r="D646" s="24" t="str">
        <f>VLOOKUP(revenue[customerID],customers[],6,FALSE)</f>
        <v>Lisboa</v>
      </c>
      <c r="E646" s="24" t="str">
        <f>VLOOKUP(revenue[customerID],customers[],9,FALSE)</f>
        <v>Portugal</v>
      </c>
      <c r="F646" s="24">
        <v>45016.0</v>
      </c>
      <c r="G646" s="6">
        <v>44.0</v>
      </c>
      <c r="H646" s="9" t="str">
        <f>VLOOKUP(revenue[productID],products[],2,FALSE)</f>
        <v>Gula Malacca</v>
      </c>
      <c r="I646" s="9" t="str">
        <f>VLOOKUP(revenue[productID],products[],12,FALSE)</f>
        <v>Condiments</v>
      </c>
      <c r="J646" s="9">
        <f>VLOOKUP(revenue[productID],products[],IF(YEAR(revenue[orderDate])=2022,8,IF(YEAR(revenue[orderDate])=2023,9,IF(YEAR(revenue[orderDate])=2024,10,NA))),FALSE)</f>
        <v>13.06032103</v>
      </c>
      <c r="K646" s="9">
        <v>15.5</v>
      </c>
      <c r="L646" s="25">
        <f>(revenue[orderPrice]-revenue[productCost])/revenue[productCost]</f>
        <v>0.1868008425</v>
      </c>
      <c r="M646" s="10">
        <v>15.0</v>
      </c>
      <c r="N646" s="25">
        <v>0.15</v>
      </c>
      <c r="O646" s="9">
        <f>revenue[orderPrice]*revenue[orderQuantity]</f>
        <v>232.5</v>
      </c>
      <c r="P646" s="9">
        <f>revenue[orderTotal]*(1-revenue[discountApllied])</f>
        <v>197.625</v>
      </c>
      <c r="Q646" s="9">
        <f>revenue[revenue]-(revenue[productCost]*revenue[orderQuantity])</f>
        <v>1.720184574</v>
      </c>
      <c r="R646" s="25">
        <f>IFERROR(revenue[profit]/revenue[revenue], 0)</f>
        <v>0.008704286268</v>
      </c>
      <c r="S646" s="9">
        <f>revenue[productCost]*revenue[orderQuantity]</f>
        <v>195.9048154</v>
      </c>
    </row>
    <row r="647" ht="15.75" customHeight="1">
      <c r="A647" s="6">
        <v>10491.0</v>
      </c>
      <c r="B647" s="7" t="s">
        <v>62</v>
      </c>
      <c r="C647" s="24" t="str">
        <f>VLOOKUP(revenue[customerID],customers[],2,FALSE)</f>
        <v>Furia Bacalhau e Frutos do Mar</v>
      </c>
      <c r="D647" s="24" t="str">
        <f>VLOOKUP(revenue[customerID],customers[],6,FALSE)</f>
        <v>Lisboa</v>
      </c>
      <c r="E647" s="24" t="str">
        <f>VLOOKUP(revenue[customerID],customers[],9,FALSE)</f>
        <v>Portugal</v>
      </c>
      <c r="F647" s="24">
        <v>45016.0</v>
      </c>
      <c r="G647" s="6">
        <v>77.0</v>
      </c>
      <c r="H647" s="9" t="str">
        <f>VLOOKUP(revenue[productID],products[],2,FALSE)</f>
        <v>Original Frankfurter grüne Soße</v>
      </c>
      <c r="I647" s="9" t="str">
        <f>VLOOKUP(revenue[productID],products[],12,FALSE)</f>
        <v>Condiments</v>
      </c>
      <c r="J647" s="9">
        <f>VLOOKUP(revenue[productID],products[],IF(YEAR(revenue[orderDate])=2022,8,IF(YEAR(revenue[orderDate])=2023,9,IF(YEAR(revenue[orderDate])=2024,10,NA))),FALSE)</f>
        <v>7.539056452</v>
      </c>
      <c r="K647" s="9">
        <v>10.4</v>
      </c>
      <c r="L647" s="25">
        <f>(revenue[orderPrice]-revenue[productCost])/revenue[productCost]</f>
        <v>0.3794829719</v>
      </c>
      <c r="M647" s="10">
        <v>7.0</v>
      </c>
      <c r="N647" s="25">
        <v>0.15</v>
      </c>
      <c r="O647" s="9">
        <f>revenue[orderPrice]*revenue[orderQuantity]</f>
        <v>72.8</v>
      </c>
      <c r="P647" s="9">
        <f>revenue[orderTotal]*(1-revenue[discountApllied])</f>
        <v>61.88</v>
      </c>
      <c r="Q647" s="9">
        <f>revenue[revenue]-(revenue[productCost]*revenue[orderQuantity])</f>
        <v>9.106604835</v>
      </c>
      <c r="R647" s="25">
        <f>IFERROR(revenue[profit]/revenue[revenue], 0)</f>
        <v>0.1471655597</v>
      </c>
      <c r="S647" s="9">
        <f>revenue[productCost]*revenue[orderQuantity]</f>
        <v>52.77339516</v>
      </c>
    </row>
    <row r="648" ht="15.75" customHeight="1">
      <c r="A648" s="6">
        <v>10492.0</v>
      </c>
      <c r="B648" s="7" t="s">
        <v>81</v>
      </c>
      <c r="C648" s="24" t="str">
        <f>VLOOKUP(revenue[customerID],customers[],2,FALSE)</f>
        <v>Bottom-Dollar Markets</v>
      </c>
      <c r="D648" s="24" t="str">
        <f>VLOOKUP(revenue[customerID],customers[],6,FALSE)</f>
        <v>Tsawassen</v>
      </c>
      <c r="E648" s="24" t="str">
        <f>VLOOKUP(revenue[customerID],customers[],9,FALSE)</f>
        <v>Canada</v>
      </c>
      <c r="F648" s="24">
        <v>45017.0</v>
      </c>
      <c r="G648" s="6">
        <v>25.0</v>
      </c>
      <c r="H648" s="9" t="str">
        <f>VLOOKUP(revenue[productID],products[],2,FALSE)</f>
        <v>HM Köstliche Kaiserschmarrn Knödelchen</v>
      </c>
      <c r="I648" s="9" t="str">
        <f>VLOOKUP(revenue[productID],products[],12,FALSE)</f>
        <v>Confections</v>
      </c>
      <c r="J648" s="9">
        <f>VLOOKUP(revenue[productID],products[],IF(YEAR(revenue[orderDate])=2022,8,IF(YEAR(revenue[orderDate])=2023,9,IF(YEAR(revenue[orderDate])=2024,10,NA))),FALSE)</f>
        <v>8.138200336</v>
      </c>
      <c r="K648" s="9">
        <v>11.2</v>
      </c>
      <c r="L648" s="25">
        <f>(revenue[orderPrice]-revenue[productCost])/revenue[productCost]</f>
        <v>0.3762256442</v>
      </c>
      <c r="M648" s="10">
        <v>60.0</v>
      </c>
      <c r="N648" s="25">
        <v>0.05</v>
      </c>
      <c r="O648" s="9">
        <f>revenue[orderPrice]*revenue[orderQuantity]</f>
        <v>672</v>
      </c>
      <c r="P648" s="9">
        <f>revenue[orderTotal]*(1-revenue[discountApllied])</f>
        <v>638.4</v>
      </c>
      <c r="Q648" s="9">
        <f>revenue[revenue]-(revenue[productCost]*revenue[orderQuantity])</f>
        <v>150.1079798</v>
      </c>
      <c r="R648" s="25">
        <f>IFERROR(revenue[profit]/revenue[revenue], 0)</f>
        <v>0.2351315474</v>
      </c>
      <c r="S648" s="9">
        <f>revenue[productCost]*revenue[orderQuantity]</f>
        <v>488.2920202</v>
      </c>
    </row>
    <row r="649" ht="15.75" customHeight="1">
      <c r="A649" s="6">
        <v>10492.0</v>
      </c>
      <c r="B649" s="7" t="s">
        <v>81</v>
      </c>
      <c r="C649" s="24" t="str">
        <f>VLOOKUP(revenue[customerID],customers[],2,FALSE)</f>
        <v>Bottom-Dollar Markets</v>
      </c>
      <c r="D649" s="24" t="str">
        <f>VLOOKUP(revenue[customerID],customers[],6,FALSE)</f>
        <v>Tsawassen</v>
      </c>
      <c r="E649" s="24" t="str">
        <f>VLOOKUP(revenue[customerID],customers[],9,FALSE)</f>
        <v>Canada</v>
      </c>
      <c r="F649" s="24">
        <v>45017.0</v>
      </c>
      <c r="G649" s="6">
        <v>42.0</v>
      </c>
      <c r="H649" s="9" t="str">
        <f>VLOOKUP(revenue[productID],products[],2,FALSE)</f>
        <v>Singaporean Hokkien Fried Mee</v>
      </c>
      <c r="I649" s="9" t="str">
        <f>VLOOKUP(revenue[productID],products[],12,FALSE)</f>
        <v>Grains/Cereals</v>
      </c>
      <c r="J649" s="9">
        <f>VLOOKUP(revenue[productID],products[],IF(YEAR(revenue[orderDate])=2022,8,IF(YEAR(revenue[orderDate])=2023,9,IF(YEAR(revenue[orderDate])=2024,10,NA))),FALSE)</f>
        <v>9.105641621</v>
      </c>
      <c r="K649" s="9">
        <v>11.2</v>
      </c>
      <c r="L649" s="25">
        <f>(revenue[orderPrice]-revenue[productCost])/revenue[productCost]</f>
        <v>0.2300066779</v>
      </c>
      <c r="M649" s="10">
        <v>20.0</v>
      </c>
      <c r="N649" s="25">
        <v>0.05</v>
      </c>
      <c r="O649" s="9">
        <f>revenue[orderPrice]*revenue[orderQuantity]</f>
        <v>224</v>
      </c>
      <c r="P649" s="9">
        <f>revenue[orderTotal]*(1-revenue[discountApllied])</f>
        <v>212.8</v>
      </c>
      <c r="Q649" s="9">
        <f>revenue[revenue]-(revenue[productCost]*revenue[orderQuantity])</f>
        <v>30.68716758</v>
      </c>
      <c r="R649" s="25">
        <f>IFERROR(revenue[profit]/revenue[revenue], 0)</f>
        <v>0.1442066146</v>
      </c>
      <c r="S649" s="9">
        <f>revenue[productCost]*revenue[orderQuantity]</f>
        <v>182.1128324</v>
      </c>
    </row>
    <row r="650" ht="15.75" customHeight="1">
      <c r="A650" s="6">
        <v>10493.0</v>
      </c>
      <c r="B650" s="7" t="s">
        <v>68</v>
      </c>
      <c r="C650" s="24" t="str">
        <f>VLOOKUP(revenue[customerID],customers[],2,FALSE)</f>
        <v>La maison d'Asie</v>
      </c>
      <c r="D650" s="24" t="str">
        <f>VLOOKUP(revenue[customerID],customers[],6,FALSE)</f>
        <v>Toulouse</v>
      </c>
      <c r="E650" s="24" t="str">
        <f>VLOOKUP(revenue[customerID],customers[],9,FALSE)</f>
        <v>France</v>
      </c>
      <c r="F650" s="24">
        <v>45018.0</v>
      </c>
      <c r="G650" s="6">
        <v>65.0</v>
      </c>
      <c r="H650" s="9" t="str">
        <f>VLOOKUP(revenue[productID],products[],2,FALSE)</f>
        <v>Louisiana Fiery Hot Pepper Sauce</v>
      </c>
      <c r="I650" s="9" t="str">
        <f>VLOOKUP(revenue[productID],products[],12,FALSE)</f>
        <v>Condiments</v>
      </c>
      <c r="J650" s="9">
        <f>VLOOKUP(revenue[productID],products[],IF(YEAR(revenue[orderDate])=2022,8,IF(YEAR(revenue[orderDate])=2023,9,IF(YEAR(revenue[orderDate])=2024,10,NA))),FALSE)</f>
        <v>13.21122243</v>
      </c>
      <c r="K650" s="9">
        <v>16.8</v>
      </c>
      <c r="L650" s="25">
        <f>(revenue[orderPrice]-revenue[productCost])/revenue[productCost]</f>
        <v>0.2716461391</v>
      </c>
      <c r="M650" s="10">
        <v>15.0</v>
      </c>
      <c r="N650" s="25">
        <v>0.1</v>
      </c>
      <c r="O650" s="9">
        <f>revenue[orderPrice]*revenue[orderQuantity]</f>
        <v>252</v>
      </c>
      <c r="P650" s="9">
        <f>revenue[orderTotal]*(1-revenue[discountApllied])</f>
        <v>226.8</v>
      </c>
      <c r="Q650" s="9">
        <f>revenue[revenue]-(revenue[productCost]*revenue[orderQuantity])</f>
        <v>28.6316635</v>
      </c>
      <c r="R650" s="25">
        <f>IFERROR(revenue[profit]/revenue[revenue], 0)</f>
        <v>0.1262419026</v>
      </c>
      <c r="S650" s="9">
        <f>revenue[productCost]*revenue[orderQuantity]</f>
        <v>198.1683365</v>
      </c>
    </row>
    <row r="651" ht="15.75" customHeight="1">
      <c r="A651" s="6">
        <v>10493.0</v>
      </c>
      <c r="B651" s="7" t="s">
        <v>68</v>
      </c>
      <c r="C651" s="24" t="str">
        <f>VLOOKUP(revenue[customerID],customers[],2,FALSE)</f>
        <v>La maison d'Asie</v>
      </c>
      <c r="D651" s="24" t="str">
        <f>VLOOKUP(revenue[customerID],customers[],6,FALSE)</f>
        <v>Toulouse</v>
      </c>
      <c r="E651" s="24" t="str">
        <f>VLOOKUP(revenue[customerID],customers[],9,FALSE)</f>
        <v>France</v>
      </c>
      <c r="F651" s="24">
        <v>45018.0</v>
      </c>
      <c r="G651" s="6">
        <v>66.0</v>
      </c>
      <c r="H651" s="9" t="str">
        <f>VLOOKUP(revenue[productID],products[],2,FALSE)</f>
        <v>Louisiana Hot Spiced Okra</v>
      </c>
      <c r="I651" s="9" t="str">
        <f>VLOOKUP(revenue[productID],products[],12,FALSE)</f>
        <v>Condiments</v>
      </c>
      <c r="J651" s="9">
        <f>VLOOKUP(revenue[productID],products[],IF(YEAR(revenue[orderDate])=2022,8,IF(YEAR(revenue[orderDate])=2023,9,IF(YEAR(revenue[orderDate])=2024,10,NA))),FALSE)</f>
        <v>10.17313149</v>
      </c>
      <c r="K651" s="9">
        <v>13.6</v>
      </c>
      <c r="L651" s="25">
        <f>(revenue[orderPrice]-revenue[productCost])/revenue[productCost]</f>
        <v>0.3368548334</v>
      </c>
      <c r="M651" s="10">
        <v>10.0</v>
      </c>
      <c r="N651" s="25">
        <v>0.1</v>
      </c>
      <c r="O651" s="9">
        <f>revenue[orderPrice]*revenue[orderQuantity]</f>
        <v>136</v>
      </c>
      <c r="P651" s="9">
        <f>revenue[orderTotal]*(1-revenue[discountApllied])</f>
        <v>122.4</v>
      </c>
      <c r="Q651" s="9">
        <f>revenue[revenue]-(revenue[productCost]*revenue[orderQuantity])</f>
        <v>20.66868512</v>
      </c>
      <c r="R651" s="25">
        <f>IFERROR(revenue[profit]/revenue[revenue], 0)</f>
        <v>0.1688618066</v>
      </c>
      <c r="S651" s="9">
        <f>revenue[productCost]*revenue[orderQuantity]</f>
        <v>101.7313149</v>
      </c>
    </row>
    <row r="652" ht="15.75" customHeight="1">
      <c r="A652" s="6">
        <v>10493.0</v>
      </c>
      <c r="B652" s="7" t="s">
        <v>68</v>
      </c>
      <c r="C652" s="24" t="str">
        <f>VLOOKUP(revenue[customerID],customers[],2,FALSE)</f>
        <v>La maison d'Asie</v>
      </c>
      <c r="D652" s="24" t="str">
        <f>VLOOKUP(revenue[customerID],customers[],6,FALSE)</f>
        <v>Toulouse</v>
      </c>
      <c r="E652" s="24" t="str">
        <f>VLOOKUP(revenue[customerID],customers[],9,FALSE)</f>
        <v>France</v>
      </c>
      <c r="F652" s="24">
        <v>45018.0</v>
      </c>
      <c r="G652" s="6">
        <v>69.0</v>
      </c>
      <c r="H652" s="9" t="str">
        <f>VLOOKUP(revenue[productID],products[],2,FALSE)</f>
        <v>Gudbrandsdalsost</v>
      </c>
      <c r="I652" s="9" t="str">
        <f>VLOOKUP(revenue[productID],products[],12,FALSE)</f>
        <v>Dairy Products</v>
      </c>
      <c r="J652" s="9">
        <f>VLOOKUP(revenue[productID],products[],IF(YEAR(revenue[orderDate])=2022,8,IF(YEAR(revenue[orderDate])=2023,9,IF(YEAR(revenue[orderDate])=2024,10,NA))),FALSE)</f>
        <v>21.82428612</v>
      </c>
      <c r="K652" s="9">
        <v>28.8</v>
      </c>
      <c r="L652" s="25">
        <f>(revenue[orderPrice]-revenue[productCost])/revenue[productCost]</f>
        <v>0.3196307933</v>
      </c>
      <c r="M652" s="10">
        <v>10.0</v>
      </c>
      <c r="N652" s="25">
        <v>0.1</v>
      </c>
      <c r="O652" s="9">
        <f>revenue[orderPrice]*revenue[orderQuantity]</f>
        <v>288</v>
      </c>
      <c r="P652" s="9">
        <f>revenue[orderTotal]*(1-revenue[discountApllied])</f>
        <v>259.2</v>
      </c>
      <c r="Q652" s="9">
        <f>revenue[revenue]-(revenue[productCost]*revenue[orderQuantity])</f>
        <v>40.95713884</v>
      </c>
      <c r="R652" s="25">
        <f>IFERROR(revenue[profit]/revenue[revenue], 0)</f>
        <v>0.158013653</v>
      </c>
      <c r="S652" s="9">
        <f>revenue[productCost]*revenue[orderQuantity]</f>
        <v>218.2428612</v>
      </c>
    </row>
    <row r="653" ht="15.75" customHeight="1">
      <c r="A653" s="6">
        <v>10494.0</v>
      </c>
      <c r="B653" s="7" t="s">
        <v>47</v>
      </c>
      <c r="C653" s="24" t="str">
        <f>VLOOKUP(revenue[customerID],customers[],2,FALSE)</f>
        <v>Comércio Mineiro</v>
      </c>
      <c r="D653" s="24" t="str">
        <f>VLOOKUP(revenue[customerID],customers[],6,FALSE)</f>
        <v>Sao Paulo</v>
      </c>
      <c r="E653" s="24" t="str">
        <f>VLOOKUP(revenue[customerID],customers[],9,FALSE)</f>
        <v>Brazil</v>
      </c>
      <c r="F653" s="24">
        <v>45018.0</v>
      </c>
      <c r="G653" s="6">
        <v>56.0</v>
      </c>
      <c r="H653" s="9" t="str">
        <f>VLOOKUP(revenue[productID],products[],2,FALSE)</f>
        <v>Gnocchi di nonna Alice</v>
      </c>
      <c r="I653" s="9" t="str">
        <f>VLOOKUP(revenue[productID],products[],12,FALSE)</f>
        <v>Grains/Cereals</v>
      </c>
      <c r="J653" s="9">
        <f>VLOOKUP(revenue[productID],products[],IF(YEAR(revenue[orderDate])=2022,8,IF(YEAR(revenue[orderDate])=2023,9,IF(YEAR(revenue[orderDate])=2024,10,NA))),FALSE)</f>
        <v>24.28342441</v>
      </c>
      <c r="K653" s="9">
        <v>30.4</v>
      </c>
      <c r="L653" s="25">
        <f>(revenue[orderPrice]-revenue[productCost])/revenue[productCost]</f>
        <v>0.2518827447</v>
      </c>
      <c r="M653" s="10">
        <v>30.0</v>
      </c>
      <c r="N653" s="25">
        <v>0.0</v>
      </c>
      <c r="O653" s="9">
        <f>revenue[orderPrice]*revenue[orderQuantity]</f>
        <v>912</v>
      </c>
      <c r="P653" s="9">
        <f>revenue[orderTotal]*(1-revenue[discountApllied])</f>
        <v>912</v>
      </c>
      <c r="Q653" s="9">
        <f>revenue[revenue]-(revenue[productCost]*revenue[orderQuantity])</f>
        <v>183.4972678</v>
      </c>
      <c r="R653" s="25">
        <f>IFERROR(revenue[profit]/revenue[revenue], 0)</f>
        <v>0.2012031445</v>
      </c>
      <c r="S653" s="9">
        <f>revenue[productCost]*revenue[orderQuantity]</f>
        <v>728.5027322</v>
      </c>
    </row>
    <row r="654" ht="15.75" customHeight="1">
      <c r="A654" s="6">
        <v>10495.0</v>
      </c>
      <c r="B654" s="7" t="s">
        <v>90</v>
      </c>
      <c r="C654" s="24" t="str">
        <f>VLOOKUP(revenue[customerID],customers[],2,FALSE)</f>
        <v>Laughing Bacchus Wine Cellars</v>
      </c>
      <c r="D654" s="24" t="str">
        <f>VLOOKUP(revenue[customerID],customers[],6,FALSE)</f>
        <v>Vancouver</v>
      </c>
      <c r="E654" s="24" t="str">
        <f>VLOOKUP(revenue[customerID],customers[],9,FALSE)</f>
        <v>Canada</v>
      </c>
      <c r="F654" s="24">
        <v>45019.0</v>
      </c>
      <c r="G654" s="6">
        <v>23.0</v>
      </c>
      <c r="H654" s="9" t="str">
        <f>VLOOKUP(revenue[productID],products[],2,FALSE)</f>
        <v>Tunnbröd</v>
      </c>
      <c r="I654" s="9" t="str">
        <f>VLOOKUP(revenue[productID],products[],12,FALSE)</f>
        <v>Grains/Cereals</v>
      </c>
      <c r="J654" s="9">
        <f>VLOOKUP(revenue[productID],products[],IF(YEAR(revenue[orderDate])=2022,8,IF(YEAR(revenue[orderDate])=2023,9,IF(YEAR(revenue[orderDate])=2024,10,NA))),FALSE)</f>
        <v>5.989059129</v>
      </c>
      <c r="K654" s="9">
        <v>7.2</v>
      </c>
      <c r="L654" s="25">
        <f>(revenue[orderPrice]-revenue[productCost])/revenue[productCost]</f>
        <v>0.2021921717</v>
      </c>
      <c r="M654" s="10">
        <v>10.0</v>
      </c>
      <c r="N654" s="25">
        <v>0.0</v>
      </c>
      <c r="O654" s="9">
        <f>revenue[orderPrice]*revenue[orderQuantity]</f>
        <v>72</v>
      </c>
      <c r="P654" s="9">
        <f>revenue[orderTotal]*(1-revenue[discountApllied])</f>
        <v>72</v>
      </c>
      <c r="Q654" s="9">
        <f>revenue[revenue]-(revenue[productCost]*revenue[orderQuantity])</f>
        <v>12.10940871</v>
      </c>
      <c r="R654" s="25">
        <f>IFERROR(revenue[profit]/revenue[revenue], 0)</f>
        <v>0.1681862321</v>
      </c>
      <c r="S654" s="9">
        <f>revenue[productCost]*revenue[orderQuantity]</f>
        <v>59.89059129</v>
      </c>
    </row>
    <row r="655" ht="15.75" customHeight="1">
      <c r="A655" s="6">
        <v>10495.0</v>
      </c>
      <c r="B655" s="7" t="s">
        <v>90</v>
      </c>
      <c r="C655" s="24" t="str">
        <f>VLOOKUP(revenue[customerID],customers[],2,FALSE)</f>
        <v>Laughing Bacchus Wine Cellars</v>
      </c>
      <c r="D655" s="24" t="str">
        <f>VLOOKUP(revenue[customerID],customers[],6,FALSE)</f>
        <v>Vancouver</v>
      </c>
      <c r="E655" s="24" t="str">
        <f>VLOOKUP(revenue[customerID],customers[],9,FALSE)</f>
        <v>Canada</v>
      </c>
      <c r="F655" s="24">
        <v>45019.0</v>
      </c>
      <c r="G655" s="6">
        <v>41.0</v>
      </c>
      <c r="H655" s="9" t="str">
        <f>VLOOKUP(revenue[productID],products[],2,FALSE)</f>
        <v>Jack's New England Clam Chowder</v>
      </c>
      <c r="I655" s="9" t="str">
        <f>VLOOKUP(revenue[productID],products[],12,FALSE)</f>
        <v>Seafood</v>
      </c>
      <c r="J655" s="9">
        <f>VLOOKUP(revenue[productID],products[],IF(YEAR(revenue[orderDate])=2022,8,IF(YEAR(revenue[orderDate])=2023,9,IF(YEAR(revenue[orderDate])=2024,10,NA))),FALSE)</f>
        <v>6.549914856</v>
      </c>
      <c r="K655" s="9">
        <v>7.7</v>
      </c>
      <c r="L655" s="25">
        <f>(revenue[orderPrice]-revenue[productCost])/revenue[productCost]</f>
        <v>0.1755878006</v>
      </c>
      <c r="M655" s="10">
        <v>20.0</v>
      </c>
      <c r="N655" s="25">
        <v>0.0</v>
      </c>
      <c r="O655" s="9">
        <f>revenue[orderPrice]*revenue[orderQuantity]</f>
        <v>154</v>
      </c>
      <c r="P655" s="9">
        <f>revenue[orderTotal]*(1-revenue[discountApllied])</f>
        <v>154</v>
      </c>
      <c r="Q655" s="9">
        <f>revenue[revenue]-(revenue[productCost]*revenue[orderQuantity])</f>
        <v>23.00170288</v>
      </c>
      <c r="R655" s="25">
        <f>IFERROR(revenue[profit]/revenue[revenue], 0)</f>
        <v>0.149361707</v>
      </c>
      <c r="S655" s="9">
        <f>revenue[productCost]*revenue[orderQuantity]</f>
        <v>130.9982971</v>
      </c>
    </row>
    <row r="656" ht="15.75" customHeight="1">
      <c r="A656" s="6">
        <v>10495.0</v>
      </c>
      <c r="B656" s="7" t="s">
        <v>90</v>
      </c>
      <c r="C656" s="24" t="str">
        <f>VLOOKUP(revenue[customerID],customers[],2,FALSE)</f>
        <v>Laughing Bacchus Wine Cellars</v>
      </c>
      <c r="D656" s="24" t="str">
        <f>VLOOKUP(revenue[customerID],customers[],6,FALSE)</f>
        <v>Vancouver</v>
      </c>
      <c r="E656" s="24" t="str">
        <f>VLOOKUP(revenue[customerID],customers[],9,FALSE)</f>
        <v>Canada</v>
      </c>
      <c r="F656" s="24">
        <v>45019.0</v>
      </c>
      <c r="G656" s="6">
        <v>77.0</v>
      </c>
      <c r="H656" s="9" t="str">
        <f>VLOOKUP(revenue[productID],products[],2,FALSE)</f>
        <v>Original Frankfurter grüne Soße</v>
      </c>
      <c r="I656" s="9" t="str">
        <f>VLOOKUP(revenue[productID],products[],12,FALSE)</f>
        <v>Condiments</v>
      </c>
      <c r="J656" s="9">
        <f>VLOOKUP(revenue[productID],products[],IF(YEAR(revenue[orderDate])=2022,8,IF(YEAR(revenue[orderDate])=2023,9,IF(YEAR(revenue[orderDate])=2024,10,NA))),FALSE)</f>
        <v>7.539056452</v>
      </c>
      <c r="K656" s="9">
        <v>10.4</v>
      </c>
      <c r="L656" s="25">
        <f>(revenue[orderPrice]-revenue[productCost])/revenue[productCost]</f>
        <v>0.3794829719</v>
      </c>
      <c r="M656" s="10">
        <v>5.0</v>
      </c>
      <c r="N656" s="25">
        <v>0.0</v>
      </c>
      <c r="O656" s="9">
        <f>revenue[orderPrice]*revenue[orderQuantity]</f>
        <v>52</v>
      </c>
      <c r="P656" s="9">
        <f>revenue[orderTotal]*(1-revenue[discountApllied])</f>
        <v>52</v>
      </c>
      <c r="Q656" s="9">
        <f>revenue[revenue]-(revenue[productCost]*revenue[orderQuantity])</f>
        <v>14.30471774</v>
      </c>
      <c r="R656" s="25">
        <f>IFERROR(revenue[profit]/revenue[revenue], 0)</f>
        <v>0.2750907258</v>
      </c>
      <c r="S656" s="9">
        <f>revenue[productCost]*revenue[orderQuantity]</f>
        <v>37.69528226</v>
      </c>
    </row>
    <row r="657" ht="15.75" customHeight="1">
      <c r="A657" s="6">
        <v>10496.0</v>
      </c>
      <c r="B657" s="7" t="s">
        <v>48</v>
      </c>
      <c r="C657" s="24" t="str">
        <f>VLOOKUP(revenue[customerID],customers[],2,FALSE)</f>
        <v>Tradição Hipermercados</v>
      </c>
      <c r="D657" s="24" t="str">
        <f>VLOOKUP(revenue[customerID],customers[],6,FALSE)</f>
        <v>Sao Paulo</v>
      </c>
      <c r="E657" s="24" t="str">
        <f>VLOOKUP(revenue[customerID],customers[],9,FALSE)</f>
        <v>Brazil</v>
      </c>
      <c r="F657" s="24">
        <v>45020.0</v>
      </c>
      <c r="G657" s="6">
        <v>31.0</v>
      </c>
      <c r="H657" s="9" t="str">
        <f>VLOOKUP(revenue[productID],products[],2,FALSE)</f>
        <v>Gorgonzola Telino</v>
      </c>
      <c r="I657" s="9" t="str">
        <f>VLOOKUP(revenue[productID],products[],12,FALSE)</f>
        <v>Dairy Products</v>
      </c>
      <c r="J657" s="9">
        <f>VLOOKUP(revenue[productID],products[],IF(YEAR(revenue[orderDate])=2022,8,IF(YEAR(revenue[orderDate])=2023,9,IF(YEAR(revenue[orderDate])=2024,10,NA))),FALSE)</f>
        <v>7.937729254</v>
      </c>
      <c r="K657" s="9">
        <v>10.0</v>
      </c>
      <c r="L657" s="25">
        <f>(revenue[orderPrice]-revenue[productCost])/revenue[productCost]</f>
        <v>0.2598061334</v>
      </c>
      <c r="M657" s="10">
        <v>20.0</v>
      </c>
      <c r="N657" s="25">
        <v>0.05</v>
      </c>
      <c r="O657" s="9">
        <f>revenue[orderPrice]*revenue[orderQuantity]</f>
        <v>200</v>
      </c>
      <c r="P657" s="9">
        <f>revenue[orderTotal]*(1-revenue[discountApllied])</f>
        <v>190</v>
      </c>
      <c r="Q657" s="9">
        <f>revenue[revenue]-(revenue[productCost]*revenue[orderQuantity])</f>
        <v>31.24541492</v>
      </c>
      <c r="R657" s="25">
        <f>IFERROR(revenue[profit]/revenue[revenue], 0)</f>
        <v>0.1644495522</v>
      </c>
      <c r="S657" s="9">
        <f>revenue[productCost]*revenue[orderQuantity]</f>
        <v>158.7545851</v>
      </c>
    </row>
    <row r="658" ht="15.75" customHeight="1">
      <c r="A658" s="6">
        <v>10497.0</v>
      </c>
      <c r="B658" s="7" t="s">
        <v>41</v>
      </c>
      <c r="C658" s="24" t="str">
        <f>VLOOKUP(revenue[customerID],customers[],2,FALSE)</f>
        <v>Lehmanns Marktstand</v>
      </c>
      <c r="D658" s="24" t="str">
        <f>VLOOKUP(revenue[customerID],customers[],6,FALSE)</f>
        <v>Frankfurt a.M.</v>
      </c>
      <c r="E658" s="24" t="str">
        <f>VLOOKUP(revenue[customerID],customers[],9,FALSE)</f>
        <v>Germany</v>
      </c>
      <c r="F658" s="24">
        <v>45020.0</v>
      </c>
      <c r="G658" s="6">
        <v>56.0</v>
      </c>
      <c r="H658" s="9" t="str">
        <f>VLOOKUP(revenue[productID],products[],2,FALSE)</f>
        <v>Gnocchi di nonna Alice</v>
      </c>
      <c r="I658" s="9" t="str">
        <f>VLOOKUP(revenue[productID],products[],12,FALSE)</f>
        <v>Grains/Cereals</v>
      </c>
      <c r="J658" s="9">
        <f>VLOOKUP(revenue[productID],products[],IF(YEAR(revenue[orderDate])=2022,8,IF(YEAR(revenue[orderDate])=2023,9,IF(YEAR(revenue[orderDate])=2024,10,NA))),FALSE)</f>
        <v>24.28342441</v>
      </c>
      <c r="K658" s="9">
        <v>30.4</v>
      </c>
      <c r="L658" s="25">
        <f>(revenue[orderPrice]-revenue[productCost])/revenue[productCost]</f>
        <v>0.2518827447</v>
      </c>
      <c r="M658" s="10">
        <v>14.0</v>
      </c>
      <c r="N658" s="25">
        <v>0.0</v>
      </c>
      <c r="O658" s="9">
        <f>revenue[orderPrice]*revenue[orderQuantity]</f>
        <v>425.6</v>
      </c>
      <c r="P658" s="9">
        <f>revenue[orderTotal]*(1-revenue[discountApllied])</f>
        <v>425.6</v>
      </c>
      <c r="Q658" s="9">
        <f>revenue[revenue]-(revenue[productCost]*revenue[orderQuantity])</f>
        <v>85.63205829</v>
      </c>
      <c r="R658" s="25">
        <f>IFERROR(revenue[profit]/revenue[revenue], 0)</f>
        <v>0.2012031445</v>
      </c>
      <c r="S658" s="9">
        <f>revenue[productCost]*revenue[orderQuantity]</f>
        <v>339.9679417</v>
      </c>
    </row>
    <row r="659" ht="15.75" customHeight="1">
      <c r="A659" s="6">
        <v>10497.0</v>
      </c>
      <c r="B659" s="7" t="s">
        <v>41</v>
      </c>
      <c r="C659" s="24" t="str">
        <f>VLOOKUP(revenue[customerID],customers[],2,FALSE)</f>
        <v>Lehmanns Marktstand</v>
      </c>
      <c r="D659" s="24" t="str">
        <f>VLOOKUP(revenue[customerID],customers[],6,FALSE)</f>
        <v>Frankfurt a.M.</v>
      </c>
      <c r="E659" s="24" t="str">
        <f>VLOOKUP(revenue[customerID],customers[],9,FALSE)</f>
        <v>Germany</v>
      </c>
      <c r="F659" s="24">
        <v>45020.0</v>
      </c>
      <c r="G659" s="6">
        <v>72.0</v>
      </c>
      <c r="H659" s="9" t="str">
        <f>VLOOKUP(revenue[productID],products[],2,FALSE)</f>
        <v>Mozzarella di Giovanni</v>
      </c>
      <c r="I659" s="9" t="str">
        <f>VLOOKUP(revenue[productID],products[],12,FALSE)</f>
        <v>Dairy Products</v>
      </c>
      <c r="J659" s="9">
        <f>VLOOKUP(revenue[productID],products[],IF(YEAR(revenue[orderDate])=2022,8,IF(YEAR(revenue[orderDate])=2023,9,IF(YEAR(revenue[orderDate])=2024,10,NA))),FALSE)</f>
        <v>23.51933768</v>
      </c>
      <c r="K659" s="9">
        <v>27.8</v>
      </c>
      <c r="L659" s="25">
        <f>(revenue[orderPrice]-revenue[productCost])/revenue[productCost]</f>
        <v>0.1820060743</v>
      </c>
      <c r="M659" s="10">
        <v>25.0</v>
      </c>
      <c r="N659" s="25">
        <v>0.0</v>
      </c>
      <c r="O659" s="9">
        <f>revenue[orderPrice]*revenue[orderQuantity]</f>
        <v>695</v>
      </c>
      <c r="P659" s="9">
        <f>revenue[orderTotal]*(1-revenue[discountApllied])</f>
        <v>695</v>
      </c>
      <c r="Q659" s="9">
        <f>revenue[revenue]-(revenue[productCost]*revenue[orderQuantity])</f>
        <v>107.016558</v>
      </c>
      <c r="R659" s="25">
        <f>IFERROR(revenue[profit]/revenue[revenue], 0)</f>
        <v>0.153980659</v>
      </c>
      <c r="S659" s="9">
        <f>revenue[productCost]*revenue[orderQuantity]</f>
        <v>587.983442</v>
      </c>
    </row>
    <row r="660" ht="15.75" customHeight="1">
      <c r="A660" s="6">
        <v>10497.0</v>
      </c>
      <c r="B660" s="7" t="s">
        <v>41</v>
      </c>
      <c r="C660" s="24" t="str">
        <f>VLOOKUP(revenue[customerID],customers[],2,FALSE)</f>
        <v>Lehmanns Marktstand</v>
      </c>
      <c r="D660" s="24" t="str">
        <f>VLOOKUP(revenue[customerID],customers[],6,FALSE)</f>
        <v>Frankfurt a.M.</v>
      </c>
      <c r="E660" s="24" t="str">
        <f>VLOOKUP(revenue[customerID],customers[],9,FALSE)</f>
        <v>Germany</v>
      </c>
      <c r="F660" s="24">
        <v>45020.0</v>
      </c>
      <c r="G660" s="6">
        <v>77.0</v>
      </c>
      <c r="H660" s="9" t="str">
        <f>VLOOKUP(revenue[productID],products[],2,FALSE)</f>
        <v>Original Frankfurter grüne Soße</v>
      </c>
      <c r="I660" s="9" t="str">
        <f>VLOOKUP(revenue[productID],products[],12,FALSE)</f>
        <v>Condiments</v>
      </c>
      <c r="J660" s="9">
        <f>VLOOKUP(revenue[productID],products[],IF(YEAR(revenue[orderDate])=2022,8,IF(YEAR(revenue[orderDate])=2023,9,IF(YEAR(revenue[orderDate])=2024,10,NA))),FALSE)</f>
        <v>7.539056452</v>
      </c>
      <c r="K660" s="9">
        <v>10.4</v>
      </c>
      <c r="L660" s="25">
        <f>(revenue[orderPrice]-revenue[productCost])/revenue[productCost]</f>
        <v>0.3794829719</v>
      </c>
      <c r="M660" s="10">
        <v>25.0</v>
      </c>
      <c r="N660" s="25">
        <v>0.0</v>
      </c>
      <c r="O660" s="9">
        <f>revenue[orderPrice]*revenue[orderQuantity]</f>
        <v>260</v>
      </c>
      <c r="P660" s="9">
        <f>revenue[orderTotal]*(1-revenue[discountApllied])</f>
        <v>260</v>
      </c>
      <c r="Q660" s="9">
        <f>revenue[revenue]-(revenue[productCost]*revenue[orderQuantity])</f>
        <v>71.5235887</v>
      </c>
      <c r="R660" s="25">
        <f>IFERROR(revenue[profit]/revenue[revenue], 0)</f>
        <v>0.2750907258</v>
      </c>
      <c r="S660" s="9">
        <f>revenue[productCost]*revenue[orderQuantity]</f>
        <v>188.4764113</v>
      </c>
    </row>
    <row r="661" ht="15.75" customHeight="1">
      <c r="A661" s="6">
        <v>10498.0</v>
      </c>
      <c r="B661" s="7" t="s">
        <v>23</v>
      </c>
      <c r="C661" s="24" t="str">
        <f>VLOOKUP(revenue[customerID],customers[],2,FALSE)</f>
        <v>HILARION-Abastos</v>
      </c>
      <c r="D661" s="24" t="str">
        <f>VLOOKUP(revenue[customerID],customers[],6,FALSE)</f>
        <v>San Cristóbal</v>
      </c>
      <c r="E661" s="24" t="str">
        <f>VLOOKUP(revenue[customerID],customers[],9,FALSE)</f>
        <v>Venezuela</v>
      </c>
      <c r="F661" s="24">
        <v>45023.0</v>
      </c>
      <c r="G661" s="6">
        <v>24.0</v>
      </c>
      <c r="H661" s="9" t="str">
        <f>VLOOKUP(revenue[productID],products[],2,FALSE)</f>
        <v>Brigadeiros Maravilhosos da Lilian</v>
      </c>
      <c r="I661" s="9" t="str">
        <f>VLOOKUP(revenue[productID],products[],12,FALSE)</f>
        <v>Confections</v>
      </c>
      <c r="J661" s="9">
        <f>VLOOKUP(revenue[productID],products[],IF(YEAR(revenue[orderDate])=2022,8,IF(YEAR(revenue[orderDate])=2023,9,IF(YEAR(revenue[orderDate])=2024,10,NA))),FALSE)</f>
        <v>3.131783363</v>
      </c>
      <c r="K661" s="9">
        <v>4.5</v>
      </c>
      <c r="L661" s="25">
        <f>(revenue[orderPrice]-revenue[productCost])/revenue[productCost]</f>
        <v>0.4368809967</v>
      </c>
      <c r="M661" s="10">
        <v>14.0</v>
      </c>
      <c r="N661" s="25">
        <v>0.0</v>
      </c>
      <c r="O661" s="9">
        <f>revenue[orderPrice]*revenue[orderQuantity]</f>
        <v>63</v>
      </c>
      <c r="P661" s="9">
        <f>revenue[orderTotal]*(1-revenue[discountApllied])</f>
        <v>63</v>
      </c>
      <c r="Q661" s="9">
        <f>revenue[revenue]-(revenue[productCost]*revenue[orderQuantity])</f>
        <v>19.15503292</v>
      </c>
      <c r="R661" s="25">
        <f>IFERROR(revenue[profit]/revenue[revenue], 0)</f>
        <v>0.3040481416</v>
      </c>
      <c r="S661" s="9">
        <f>revenue[productCost]*revenue[orderQuantity]</f>
        <v>43.84496708</v>
      </c>
    </row>
    <row r="662" ht="15.75" customHeight="1">
      <c r="A662" s="6">
        <v>10498.0</v>
      </c>
      <c r="B662" s="7" t="s">
        <v>23</v>
      </c>
      <c r="C662" s="24" t="str">
        <f>VLOOKUP(revenue[customerID],customers[],2,FALSE)</f>
        <v>HILARION-Abastos</v>
      </c>
      <c r="D662" s="24" t="str">
        <f>VLOOKUP(revenue[customerID],customers[],6,FALSE)</f>
        <v>San Cristóbal</v>
      </c>
      <c r="E662" s="24" t="str">
        <f>VLOOKUP(revenue[customerID],customers[],9,FALSE)</f>
        <v>Venezuela</v>
      </c>
      <c r="F662" s="24">
        <v>45023.0</v>
      </c>
      <c r="G662" s="6">
        <v>40.0</v>
      </c>
      <c r="H662" s="9" t="str">
        <f>VLOOKUP(revenue[productID],products[],2,FALSE)</f>
        <v>Boston Crab Meat</v>
      </c>
      <c r="I662" s="9" t="str">
        <f>VLOOKUP(revenue[productID],products[],12,FALSE)</f>
        <v>Seafood</v>
      </c>
      <c r="J662" s="9">
        <f>VLOOKUP(revenue[productID],products[],IF(YEAR(revenue[orderDate])=2022,8,IF(YEAR(revenue[orderDate])=2023,9,IF(YEAR(revenue[orderDate])=2024,10,NA))),FALSE)</f>
        <v>11.40496523</v>
      </c>
      <c r="K662" s="9">
        <v>18.4</v>
      </c>
      <c r="L662" s="25">
        <f>(revenue[orderPrice]-revenue[productCost])/revenue[productCost]</f>
        <v>0.6133324069</v>
      </c>
      <c r="M662" s="10">
        <v>5.0</v>
      </c>
      <c r="N662" s="25">
        <v>0.0</v>
      </c>
      <c r="O662" s="9">
        <f>revenue[orderPrice]*revenue[orderQuantity]</f>
        <v>92</v>
      </c>
      <c r="P662" s="9">
        <f>revenue[orderTotal]*(1-revenue[discountApllied])</f>
        <v>92</v>
      </c>
      <c r="Q662" s="9">
        <f>revenue[revenue]-(revenue[productCost]*revenue[orderQuantity])</f>
        <v>34.97517386</v>
      </c>
      <c r="R662" s="25">
        <f>IFERROR(revenue[profit]/revenue[revenue], 0)</f>
        <v>0.3801649333</v>
      </c>
      <c r="S662" s="9">
        <f>revenue[productCost]*revenue[orderQuantity]</f>
        <v>57.02482614</v>
      </c>
    </row>
    <row r="663" ht="15.75" customHeight="1">
      <c r="A663" s="6">
        <v>10498.0</v>
      </c>
      <c r="B663" s="7" t="s">
        <v>23</v>
      </c>
      <c r="C663" s="24" t="str">
        <f>VLOOKUP(revenue[customerID],customers[],2,FALSE)</f>
        <v>HILARION-Abastos</v>
      </c>
      <c r="D663" s="24" t="str">
        <f>VLOOKUP(revenue[customerID],customers[],6,FALSE)</f>
        <v>San Cristóbal</v>
      </c>
      <c r="E663" s="24" t="str">
        <f>VLOOKUP(revenue[customerID],customers[],9,FALSE)</f>
        <v>Venezuela</v>
      </c>
      <c r="F663" s="24">
        <v>45023.0</v>
      </c>
      <c r="G663" s="6">
        <v>42.0</v>
      </c>
      <c r="H663" s="9" t="str">
        <f>VLOOKUP(revenue[productID],products[],2,FALSE)</f>
        <v>Singaporean Hokkien Fried Mee</v>
      </c>
      <c r="I663" s="9" t="str">
        <f>VLOOKUP(revenue[productID],products[],12,FALSE)</f>
        <v>Grains/Cereals</v>
      </c>
      <c r="J663" s="9">
        <f>VLOOKUP(revenue[productID],products[],IF(YEAR(revenue[orderDate])=2022,8,IF(YEAR(revenue[orderDate])=2023,9,IF(YEAR(revenue[orderDate])=2024,10,NA))),FALSE)</f>
        <v>9.105641621</v>
      </c>
      <c r="K663" s="9">
        <v>14.0</v>
      </c>
      <c r="L663" s="25">
        <f>(revenue[orderPrice]-revenue[productCost])/revenue[productCost]</f>
        <v>0.5375083474</v>
      </c>
      <c r="M663" s="10">
        <v>30.0</v>
      </c>
      <c r="N663" s="25">
        <v>0.0</v>
      </c>
      <c r="O663" s="9">
        <f>revenue[orderPrice]*revenue[orderQuantity]</f>
        <v>420</v>
      </c>
      <c r="P663" s="9">
        <f>revenue[orderTotal]*(1-revenue[discountApllied])</f>
        <v>420</v>
      </c>
      <c r="Q663" s="9">
        <f>revenue[revenue]-(revenue[productCost]*revenue[orderQuantity])</f>
        <v>146.8307514</v>
      </c>
      <c r="R663" s="25">
        <f>IFERROR(revenue[profit]/revenue[revenue], 0)</f>
        <v>0.3495970271</v>
      </c>
      <c r="S663" s="9">
        <f>revenue[productCost]*revenue[orderQuantity]</f>
        <v>273.1692486</v>
      </c>
    </row>
    <row r="664" ht="15.75" customHeight="1">
      <c r="A664" s="6">
        <v>10499.0</v>
      </c>
      <c r="B664" s="7" t="s">
        <v>43</v>
      </c>
      <c r="C664" s="24" t="str">
        <f>VLOOKUP(revenue[customerID],customers[],2,FALSE)</f>
        <v>LILA-Supermercado</v>
      </c>
      <c r="D664" s="24" t="str">
        <f>VLOOKUP(revenue[customerID],customers[],6,FALSE)</f>
        <v>Barquisimeto</v>
      </c>
      <c r="E664" s="24" t="str">
        <f>VLOOKUP(revenue[customerID],customers[],9,FALSE)</f>
        <v>Venezuela</v>
      </c>
      <c r="F664" s="24">
        <v>45024.0</v>
      </c>
      <c r="G664" s="6">
        <v>28.0</v>
      </c>
      <c r="H664" s="9" t="str">
        <f>VLOOKUP(revenue[productID],products[],2,FALSE)</f>
        <v>Rössle Sauerkraut</v>
      </c>
      <c r="I664" s="9" t="str">
        <f>VLOOKUP(revenue[productID],products[],12,FALSE)</f>
        <v>Produce</v>
      </c>
      <c r="J664" s="9">
        <f>VLOOKUP(revenue[productID],products[],IF(YEAR(revenue[orderDate])=2022,8,IF(YEAR(revenue[orderDate])=2023,9,IF(YEAR(revenue[orderDate])=2024,10,NA))),FALSE)</f>
        <v>31.52644578</v>
      </c>
      <c r="K664" s="9">
        <v>45.6</v>
      </c>
      <c r="L664" s="25">
        <f>(revenue[orderPrice]-revenue[productCost])/revenue[productCost]</f>
        <v>0.4464047207</v>
      </c>
      <c r="M664" s="10">
        <v>20.0</v>
      </c>
      <c r="N664" s="25">
        <v>0.0</v>
      </c>
      <c r="O664" s="9">
        <f>revenue[orderPrice]*revenue[orderQuantity]</f>
        <v>912</v>
      </c>
      <c r="P664" s="9">
        <f>revenue[orderTotal]*(1-revenue[discountApllied])</f>
        <v>912</v>
      </c>
      <c r="Q664" s="9">
        <f>revenue[revenue]-(revenue[productCost]*revenue[orderQuantity])</f>
        <v>281.4710844</v>
      </c>
      <c r="R664" s="25">
        <f>IFERROR(revenue[profit]/revenue[revenue], 0)</f>
        <v>0.308630575</v>
      </c>
      <c r="S664" s="9">
        <f>revenue[productCost]*revenue[orderQuantity]</f>
        <v>630.5289156</v>
      </c>
    </row>
    <row r="665" ht="15.75" customHeight="1">
      <c r="A665" s="6">
        <v>10499.0</v>
      </c>
      <c r="B665" s="7" t="s">
        <v>43</v>
      </c>
      <c r="C665" s="24" t="str">
        <f>VLOOKUP(revenue[customerID],customers[],2,FALSE)</f>
        <v>LILA-Supermercado</v>
      </c>
      <c r="D665" s="24" t="str">
        <f>VLOOKUP(revenue[customerID],customers[],6,FALSE)</f>
        <v>Barquisimeto</v>
      </c>
      <c r="E665" s="24" t="str">
        <f>VLOOKUP(revenue[customerID],customers[],9,FALSE)</f>
        <v>Venezuela</v>
      </c>
      <c r="F665" s="24">
        <v>45024.0</v>
      </c>
      <c r="G665" s="6">
        <v>49.0</v>
      </c>
      <c r="H665" s="9" t="str">
        <f>VLOOKUP(revenue[productID],products[],2,FALSE)</f>
        <v>Maxilaku</v>
      </c>
      <c r="I665" s="9" t="str">
        <f>VLOOKUP(revenue[productID],products[],12,FALSE)</f>
        <v>Confections</v>
      </c>
      <c r="J665" s="9">
        <f>VLOOKUP(revenue[productID],products[],IF(YEAR(revenue[orderDate])=2022,8,IF(YEAR(revenue[orderDate])=2023,9,IF(YEAR(revenue[orderDate])=2024,10,NA))),FALSE)</f>
        <v>13.04112285</v>
      </c>
      <c r="K665" s="9">
        <v>20.0</v>
      </c>
      <c r="L665" s="25">
        <f>(revenue[orderPrice]-revenue[productCost])/revenue[productCost]</f>
        <v>0.5336102746</v>
      </c>
      <c r="M665" s="10">
        <v>25.0</v>
      </c>
      <c r="N665" s="25">
        <v>0.0</v>
      </c>
      <c r="O665" s="9">
        <f>revenue[orderPrice]*revenue[orderQuantity]</f>
        <v>500</v>
      </c>
      <c r="P665" s="9">
        <f>revenue[orderTotal]*(1-revenue[discountApllied])</f>
        <v>500</v>
      </c>
      <c r="Q665" s="9">
        <f>revenue[revenue]-(revenue[productCost]*revenue[orderQuantity])</f>
        <v>173.9719287</v>
      </c>
      <c r="R665" s="25">
        <f>IFERROR(revenue[profit]/revenue[revenue], 0)</f>
        <v>0.3479438573</v>
      </c>
      <c r="S665" s="9">
        <f>revenue[productCost]*revenue[orderQuantity]</f>
        <v>326.0280713</v>
      </c>
    </row>
    <row r="666" ht="15.75" customHeight="1">
      <c r="A666" s="6">
        <v>10500.0</v>
      </c>
      <c r="B666" s="7" t="s">
        <v>68</v>
      </c>
      <c r="C666" s="24" t="str">
        <f>VLOOKUP(revenue[customerID],customers[],2,FALSE)</f>
        <v>La maison d'Asie</v>
      </c>
      <c r="D666" s="24" t="str">
        <f>VLOOKUP(revenue[customerID],customers[],6,FALSE)</f>
        <v>Toulouse</v>
      </c>
      <c r="E666" s="24" t="str">
        <f>VLOOKUP(revenue[customerID],customers[],9,FALSE)</f>
        <v>France</v>
      </c>
      <c r="F666" s="24">
        <v>45025.0</v>
      </c>
      <c r="G666" s="6">
        <v>15.0</v>
      </c>
      <c r="H666" s="9" t="str">
        <f>VLOOKUP(revenue[productID],products[],2,FALSE)</f>
        <v>Genen Shouyu</v>
      </c>
      <c r="I666" s="9" t="str">
        <f>VLOOKUP(revenue[productID],products[],12,FALSE)</f>
        <v>Condiments</v>
      </c>
      <c r="J666" s="9">
        <f>VLOOKUP(revenue[productID],products[],IF(YEAR(revenue[orderDate])=2022,8,IF(YEAR(revenue[orderDate])=2023,9,IF(YEAR(revenue[orderDate])=2024,10,NA))),FALSE)</f>
        <v>10.78394742</v>
      </c>
      <c r="K666" s="9">
        <v>15.5</v>
      </c>
      <c r="L666" s="25">
        <f>(revenue[orderPrice]-revenue[productCost])/revenue[productCost]</f>
        <v>0.4373215478</v>
      </c>
      <c r="M666" s="10">
        <v>12.0</v>
      </c>
      <c r="N666" s="25">
        <v>0.05</v>
      </c>
      <c r="O666" s="9">
        <f>revenue[orderPrice]*revenue[orderQuantity]</f>
        <v>186</v>
      </c>
      <c r="P666" s="9">
        <f>revenue[orderTotal]*(1-revenue[discountApllied])</f>
        <v>176.7</v>
      </c>
      <c r="Q666" s="9">
        <f>revenue[revenue]-(revenue[productCost]*revenue[orderQuantity])</f>
        <v>47.29263093</v>
      </c>
      <c r="R666" s="25">
        <f>IFERROR(revenue[profit]/revenue[revenue], 0)</f>
        <v>0.2676436386</v>
      </c>
      <c r="S666" s="9">
        <f>revenue[productCost]*revenue[orderQuantity]</f>
        <v>129.4073691</v>
      </c>
    </row>
    <row r="667" ht="15.75" customHeight="1">
      <c r="A667" s="6">
        <v>10500.0</v>
      </c>
      <c r="B667" s="7" t="s">
        <v>68</v>
      </c>
      <c r="C667" s="24" t="str">
        <f>VLOOKUP(revenue[customerID],customers[],2,FALSE)</f>
        <v>La maison d'Asie</v>
      </c>
      <c r="D667" s="24" t="str">
        <f>VLOOKUP(revenue[customerID],customers[],6,FALSE)</f>
        <v>Toulouse</v>
      </c>
      <c r="E667" s="24" t="str">
        <f>VLOOKUP(revenue[customerID],customers[],9,FALSE)</f>
        <v>France</v>
      </c>
      <c r="F667" s="24">
        <v>45025.0</v>
      </c>
      <c r="G667" s="6">
        <v>28.0</v>
      </c>
      <c r="H667" s="9" t="str">
        <f>VLOOKUP(revenue[productID],products[],2,FALSE)</f>
        <v>Rössle Sauerkraut</v>
      </c>
      <c r="I667" s="9" t="str">
        <f>VLOOKUP(revenue[productID],products[],12,FALSE)</f>
        <v>Produce</v>
      </c>
      <c r="J667" s="9">
        <f>VLOOKUP(revenue[productID],products[],IF(YEAR(revenue[orderDate])=2022,8,IF(YEAR(revenue[orderDate])=2023,9,IF(YEAR(revenue[orderDate])=2024,10,NA))),FALSE)</f>
        <v>31.52644578</v>
      </c>
      <c r="K667" s="9">
        <v>45.6</v>
      </c>
      <c r="L667" s="25">
        <f>(revenue[orderPrice]-revenue[productCost])/revenue[productCost]</f>
        <v>0.4464047207</v>
      </c>
      <c r="M667" s="10">
        <v>8.0</v>
      </c>
      <c r="N667" s="25">
        <v>0.05</v>
      </c>
      <c r="O667" s="9">
        <f>revenue[orderPrice]*revenue[orderQuantity]</f>
        <v>364.8</v>
      </c>
      <c r="P667" s="9">
        <f>revenue[orderTotal]*(1-revenue[discountApllied])</f>
        <v>346.56</v>
      </c>
      <c r="Q667" s="9">
        <f>revenue[revenue]-(revenue[productCost]*revenue[orderQuantity])</f>
        <v>94.34843377</v>
      </c>
      <c r="R667" s="25">
        <f>IFERROR(revenue[profit]/revenue[revenue], 0)</f>
        <v>0.2722427106</v>
      </c>
      <c r="S667" s="9">
        <f>revenue[productCost]*revenue[orderQuantity]</f>
        <v>252.2115662</v>
      </c>
    </row>
    <row r="668" ht="15.75" customHeight="1">
      <c r="A668" s="6">
        <v>10501.0</v>
      </c>
      <c r="B668" s="7" t="s">
        <v>91</v>
      </c>
      <c r="C668" s="24" t="str">
        <f>VLOOKUP(revenue[customerID],customers[],2,FALSE)</f>
        <v>Blauer See Delikatessen</v>
      </c>
      <c r="D668" s="24" t="str">
        <f>VLOOKUP(revenue[customerID],customers[],6,FALSE)</f>
        <v>Mannheim</v>
      </c>
      <c r="E668" s="24" t="str">
        <f>VLOOKUP(revenue[customerID],customers[],9,FALSE)</f>
        <v>Germany</v>
      </c>
      <c r="F668" s="24">
        <v>45025.0</v>
      </c>
      <c r="G668" s="6">
        <v>54.0</v>
      </c>
      <c r="H668" s="9" t="str">
        <f>VLOOKUP(revenue[productID],products[],2,FALSE)</f>
        <v>Tourtière</v>
      </c>
      <c r="I668" s="9" t="str">
        <f>VLOOKUP(revenue[productID],products[],12,FALSE)</f>
        <v>Meat/Poultry</v>
      </c>
      <c r="J668" s="9">
        <f>VLOOKUP(revenue[productID],products[],IF(YEAR(revenue[orderDate])=2022,8,IF(YEAR(revenue[orderDate])=2023,9,IF(YEAR(revenue[orderDate])=2024,10,NA))),FALSE)</f>
        <v>4.924447797</v>
      </c>
      <c r="K668" s="9">
        <v>7.45</v>
      </c>
      <c r="L668" s="25">
        <f>(revenue[orderPrice]-revenue[productCost])/revenue[productCost]</f>
        <v>0.5128599808</v>
      </c>
      <c r="M668" s="10">
        <v>20.0</v>
      </c>
      <c r="N668" s="25">
        <v>0.0</v>
      </c>
      <c r="O668" s="9">
        <f>revenue[orderPrice]*revenue[orderQuantity]</f>
        <v>149</v>
      </c>
      <c r="P668" s="9">
        <f>revenue[orderTotal]*(1-revenue[discountApllied])</f>
        <v>149</v>
      </c>
      <c r="Q668" s="9">
        <f>revenue[revenue]-(revenue[productCost]*revenue[orderQuantity])</f>
        <v>50.51104406</v>
      </c>
      <c r="R668" s="25">
        <f>IFERROR(revenue[profit]/revenue[revenue], 0)</f>
        <v>0.3390002957</v>
      </c>
      <c r="S668" s="9">
        <f>revenue[productCost]*revenue[orderQuantity]</f>
        <v>98.48895594</v>
      </c>
    </row>
    <row r="669" ht="15.75" customHeight="1">
      <c r="A669" s="6">
        <v>10502.0</v>
      </c>
      <c r="B669" s="7" t="s">
        <v>58</v>
      </c>
      <c r="C669" s="24" t="str">
        <f>VLOOKUP(revenue[customerID],customers[],2,FALSE)</f>
        <v>Pericles Comidas clásicas</v>
      </c>
      <c r="D669" s="24" t="str">
        <f>VLOOKUP(revenue[customerID],customers[],6,FALSE)</f>
        <v>México D.F.</v>
      </c>
      <c r="E669" s="24" t="str">
        <f>VLOOKUP(revenue[customerID],customers[],9,FALSE)</f>
        <v>Mexico</v>
      </c>
      <c r="F669" s="24">
        <v>45026.0</v>
      </c>
      <c r="G669" s="6">
        <v>45.0</v>
      </c>
      <c r="H669" s="9" t="str">
        <f>VLOOKUP(revenue[productID],products[],2,FALSE)</f>
        <v>Rogede sild</v>
      </c>
      <c r="I669" s="9" t="str">
        <f>VLOOKUP(revenue[productID],products[],12,FALSE)</f>
        <v>Seafood</v>
      </c>
      <c r="J669" s="9">
        <f>VLOOKUP(revenue[productID],products[],IF(YEAR(revenue[orderDate])=2022,8,IF(YEAR(revenue[orderDate])=2023,9,IF(YEAR(revenue[orderDate])=2024,10,NA))),FALSE)</f>
        <v>5.965769822</v>
      </c>
      <c r="K669" s="9">
        <v>9.5</v>
      </c>
      <c r="L669" s="25">
        <f>(revenue[orderPrice]-revenue[productCost])/revenue[productCost]</f>
        <v>0.5924181261</v>
      </c>
      <c r="M669" s="10">
        <v>21.0</v>
      </c>
      <c r="N669" s="25">
        <v>0.0</v>
      </c>
      <c r="O669" s="9">
        <f>revenue[orderPrice]*revenue[orderQuantity]</f>
        <v>199.5</v>
      </c>
      <c r="P669" s="9">
        <f>revenue[orderTotal]*(1-revenue[discountApllied])</f>
        <v>199.5</v>
      </c>
      <c r="Q669" s="9">
        <f>revenue[revenue]-(revenue[productCost]*revenue[orderQuantity])</f>
        <v>74.21883374</v>
      </c>
      <c r="R669" s="25">
        <f>IFERROR(revenue[profit]/revenue[revenue], 0)</f>
        <v>0.3720242293</v>
      </c>
      <c r="S669" s="9">
        <f>revenue[productCost]*revenue[orderQuantity]</f>
        <v>125.2811663</v>
      </c>
    </row>
    <row r="670" ht="15.75" customHeight="1">
      <c r="A670" s="6">
        <v>10502.0</v>
      </c>
      <c r="B670" s="7" t="s">
        <v>58</v>
      </c>
      <c r="C670" s="24" t="str">
        <f>VLOOKUP(revenue[customerID],customers[],2,FALSE)</f>
        <v>Pericles Comidas clásicas</v>
      </c>
      <c r="D670" s="24" t="str">
        <f>VLOOKUP(revenue[customerID],customers[],6,FALSE)</f>
        <v>México D.F.</v>
      </c>
      <c r="E670" s="24" t="str">
        <f>VLOOKUP(revenue[customerID],customers[],9,FALSE)</f>
        <v>Mexico</v>
      </c>
      <c r="F670" s="24">
        <v>45026.0</v>
      </c>
      <c r="G670" s="6">
        <v>53.0</v>
      </c>
      <c r="H670" s="9" t="str">
        <f>VLOOKUP(revenue[productID],products[],2,FALSE)</f>
        <v>Perth Pasties</v>
      </c>
      <c r="I670" s="9" t="str">
        <f>VLOOKUP(revenue[productID],products[],12,FALSE)</f>
        <v>Meat/Poultry</v>
      </c>
      <c r="J670" s="9">
        <f>VLOOKUP(revenue[productID],products[],IF(YEAR(revenue[orderDate])=2022,8,IF(YEAR(revenue[orderDate])=2023,9,IF(YEAR(revenue[orderDate])=2024,10,NA))),FALSE)</f>
        <v>21.81491556</v>
      </c>
      <c r="K670" s="9">
        <v>32.8</v>
      </c>
      <c r="L670" s="25">
        <f>(revenue[orderPrice]-revenue[productCost])/revenue[productCost]</f>
        <v>0.5035584214</v>
      </c>
      <c r="M670" s="10">
        <v>6.0</v>
      </c>
      <c r="N670" s="25">
        <v>0.0</v>
      </c>
      <c r="O670" s="9">
        <f>revenue[orderPrice]*revenue[orderQuantity]</f>
        <v>196.8</v>
      </c>
      <c r="P670" s="9">
        <f>revenue[orderTotal]*(1-revenue[discountApllied])</f>
        <v>196.8</v>
      </c>
      <c r="Q670" s="9">
        <f>revenue[revenue]-(revenue[productCost]*revenue[orderQuantity])</f>
        <v>65.91050665</v>
      </c>
      <c r="R670" s="25">
        <f>IFERROR(revenue[profit]/revenue[revenue], 0)</f>
        <v>0.334911111</v>
      </c>
      <c r="S670" s="9">
        <f>revenue[productCost]*revenue[orderQuantity]</f>
        <v>130.8894934</v>
      </c>
    </row>
    <row r="671" ht="15.75" customHeight="1">
      <c r="A671" s="6">
        <v>10502.0</v>
      </c>
      <c r="B671" s="7" t="s">
        <v>58</v>
      </c>
      <c r="C671" s="24" t="str">
        <f>VLOOKUP(revenue[customerID],customers[],2,FALSE)</f>
        <v>Pericles Comidas clásicas</v>
      </c>
      <c r="D671" s="24" t="str">
        <f>VLOOKUP(revenue[customerID],customers[],6,FALSE)</f>
        <v>México D.F.</v>
      </c>
      <c r="E671" s="24" t="str">
        <f>VLOOKUP(revenue[customerID],customers[],9,FALSE)</f>
        <v>Mexico</v>
      </c>
      <c r="F671" s="24">
        <v>45026.0</v>
      </c>
      <c r="G671" s="6">
        <v>67.0</v>
      </c>
      <c r="H671" s="9" t="str">
        <f>VLOOKUP(revenue[productID],products[],2,FALSE)</f>
        <v>Laughing Lumberjack Lager</v>
      </c>
      <c r="I671" s="9" t="str">
        <f>VLOOKUP(revenue[productID],products[],12,FALSE)</f>
        <v>Beverages</v>
      </c>
      <c r="J671" s="9">
        <f>VLOOKUP(revenue[productID],products[],IF(YEAR(revenue[orderDate])=2022,8,IF(YEAR(revenue[orderDate])=2023,9,IF(YEAR(revenue[orderDate])=2024,10,NA))),FALSE)</f>
        <v>10.35274539</v>
      </c>
      <c r="K671" s="9">
        <v>14.0</v>
      </c>
      <c r="L671" s="25">
        <f>(revenue[orderPrice]-revenue[productCost])/revenue[productCost]</f>
        <v>0.3522983009</v>
      </c>
      <c r="M671" s="10">
        <v>30.0</v>
      </c>
      <c r="N671" s="25">
        <v>0.0</v>
      </c>
      <c r="O671" s="9">
        <f>revenue[orderPrice]*revenue[orderQuantity]</f>
        <v>420</v>
      </c>
      <c r="P671" s="9">
        <f>revenue[orderTotal]*(1-revenue[discountApllied])</f>
        <v>420</v>
      </c>
      <c r="Q671" s="9">
        <f>revenue[revenue]-(revenue[productCost]*revenue[orderQuantity])</f>
        <v>109.4176383</v>
      </c>
      <c r="R671" s="25">
        <f>IFERROR(revenue[profit]/revenue[revenue], 0)</f>
        <v>0.2605181865</v>
      </c>
      <c r="S671" s="9">
        <f>revenue[productCost]*revenue[orderQuantity]</f>
        <v>310.5823617</v>
      </c>
    </row>
    <row r="672" ht="15.75" customHeight="1">
      <c r="A672" s="6">
        <v>10503.0</v>
      </c>
      <c r="B672" s="7" t="s">
        <v>49</v>
      </c>
      <c r="C672" s="24" t="str">
        <f>VLOOKUP(revenue[customerID],customers[],2,FALSE)</f>
        <v>Hungry Owl All-Night Grocers</v>
      </c>
      <c r="D672" s="24" t="str">
        <f>VLOOKUP(revenue[customerID],customers[],6,FALSE)</f>
        <v>Cork</v>
      </c>
      <c r="E672" s="24" t="str">
        <f>VLOOKUP(revenue[customerID],customers[],9,FALSE)</f>
        <v>Ireland</v>
      </c>
      <c r="F672" s="24">
        <v>45027.0</v>
      </c>
      <c r="G672" s="6">
        <v>14.0</v>
      </c>
      <c r="H672" s="9" t="str">
        <f>VLOOKUP(revenue[productID],products[],2,FALSE)</f>
        <v>Tofu</v>
      </c>
      <c r="I672" s="9" t="str">
        <f>VLOOKUP(revenue[productID],products[],12,FALSE)</f>
        <v>Produce</v>
      </c>
      <c r="J672" s="9">
        <f>VLOOKUP(revenue[productID],products[],IF(YEAR(revenue[orderDate])=2022,8,IF(YEAR(revenue[orderDate])=2023,9,IF(YEAR(revenue[orderDate])=2024,10,NA))),FALSE)</f>
        <v>15.38055417</v>
      </c>
      <c r="K672" s="9">
        <v>23.25</v>
      </c>
      <c r="L672" s="25">
        <f>(revenue[orderPrice]-revenue[productCost])/revenue[productCost]</f>
        <v>0.5116490437</v>
      </c>
      <c r="M672" s="10">
        <v>70.0</v>
      </c>
      <c r="N672" s="25">
        <v>0.0</v>
      </c>
      <c r="O672" s="9">
        <f>revenue[orderPrice]*revenue[orderQuantity]</f>
        <v>1627.5</v>
      </c>
      <c r="P672" s="9">
        <f>revenue[orderTotal]*(1-revenue[discountApllied])</f>
        <v>1627.5</v>
      </c>
      <c r="Q672" s="9">
        <f>revenue[revenue]-(revenue[productCost]*revenue[orderQuantity])</f>
        <v>550.8612082</v>
      </c>
      <c r="R672" s="25">
        <f>IFERROR(revenue[profit]/revenue[revenue], 0)</f>
        <v>0.3384707885</v>
      </c>
      <c r="S672" s="9">
        <f>revenue[productCost]*revenue[orderQuantity]</f>
        <v>1076.638792</v>
      </c>
    </row>
    <row r="673" ht="15.75" customHeight="1">
      <c r="A673" s="6">
        <v>10503.0</v>
      </c>
      <c r="B673" s="7" t="s">
        <v>49</v>
      </c>
      <c r="C673" s="24" t="str">
        <f>VLOOKUP(revenue[customerID],customers[],2,FALSE)</f>
        <v>Hungry Owl All-Night Grocers</v>
      </c>
      <c r="D673" s="24" t="str">
        <f>VLOOKUP(revenue[customerID],customers[],6,FALSE)</f>
        <v>Cork</v>
      </c>
      <c r="E673" s="24" t="str">
        <f>VLOOKUP(revenue[customerID],customers[],9,FALSE)</f>
        <v>Ireland</v>
      </c>
      <c r="F673" s="24">
        <v>45027.0</v>
      </c>
      <c r="G673" s="6">
        <v>65.0</v>
      </c>
      <c r="H673" s="9" t="str">
        <f>VLOOKUP(revenue[productID],products[],2,FALSE)</f>
        <v>Louisiana Fiery Hot Pepper Sauce</v>
      </c>
      <c r="I673" s="9" t="str">
        <f>VLOOKUP(revenue[productID],products[],12,FALSE)</f>
        <v>Condiments</v>
      </c>
      <c r="J673" s="9">
        <f>VLOOKUP(revenue[productID],products[],IF(YEAR(revenue[orderDate])=2022,8,IF(YEAR(revenue[orderDate])=2023,9,IF(YEAR(revenue[orderDate])=2024,10,NA))),FALSE)</f>
        <v>13.21122243</v>
      </c>
      <c r="K673" s="9">
        <v>21.05</v>
      </c>
      <c r="L673" s="25">
        <f>(revenue[orderPrice]-revenue[productCost])/revenue[productCost]</f>
        <v>0.593342335</v>
      </c>
      <c r="M673" s="10">
        <v>20.0</v>
      </c>
      <c r="N673" s="25">
        <v>0.0</v>
      </c>
      <c r="O673" s="9">
        <f>revenue[orderPrice]*revenue[orderQuantity]</f>
        <v>421</v>
      </c>
      <c r="P673" s="9">
        <f>revenue[orderTotal]*(1-revenue[discountApllied])</f>
        <v>421</v>
      </c>
      <c r="Q673" s="9">
        <f>revenue[revenue]-(revenue[productCost]*revenue[orderQuantity])</f>
        <v>156.7755513</v>
      </c>
      <c r="R673" s="25">
        <f>IFERROR(revenue[profit]/revenue[revenue], 0)</f>
        <v>0.372388483</v>
      </c>
      <c r="S673" s="9">
        <f>revenue[productCost]*revenue[orderQuantity]</f>
        <v>264.2244487</v>
      </c>
    </row>
    <row r="674" ht="15.75" customHeight="1">
      <c r="A674" s="6">
        <v>10504.0</v>
      </c>
      <c r="B674" s="7" t="s">
        <v>34</v>
      </c>
      <c r="C674" s="24" t="str">
        <f>VLOOKUP(revenue[customerID],customers[],2,FALSE)</f>
        <v>White Clover Markets</v>
      </c>
      <c r="D674" s="24" t="str">
        <f>VLOOKUP(revenue[customerID],customers[],6,FALSE)</f>
        <v>Seattle</v>
      </c>
      <c r="E674" s="24" t="str">
        <f>VLOOKUP(revenue[customerID],customers[],9,FALSE)</f>
        <v>USA</v>
      </c>
      <c r="F674" s="24">
        <v>45027.0</v>
      </c>
      <c r="G674" s="6">
        <v>2.0</v>
      </c>
      <c r="H674" s="9" t="str">
        <f>VLOOKUP(revenue[productID],products[],2,FALSE)</f>
        <v>Chang</v>
      </c>
      <c r="I674" s="9" t="str">
        <f>VLOOKUP(revenue[productID],products[],12,FALSE)</f>
        <v>Beverages</v>
      </c>
      <c r="J674" s="9">
        <f>VLOOKUP(revenue[productID],products[],IF(YEAR(revenue[orderDate])=2022,8,IF(YEAR(revenue[orderDate])=2023,9,IF(YEAR(revenue[orderDate])=2024,10,NA))),FALSE)</f>
        <v>12.14626904</v>
      </c>
      <c r="K674" s="9">
        <v>19.0</v>
      </c>
      <c r="L674" s="25">
        <f>(revenue[orderPrice]-revenue[productCost])/revenue[productCost]</f>
        <v>0.5642663547</v>
      </c>
      <c r="M674" s="10">
        <v>12.0</v>
      </c>
      <c r="N674" s="25">
        <v>0.0</v>
      </c>
      <c r="O674" s="9">
        <f>revenue[orderPrice]*revenue[orderQuantity]</f>
        <v>228</v>
      </c>
      <c r="P674" s="9">
        <f>revenue[orderTotal]*(1-revenue[discountApllied])</f>
        <v>228</v>
      </c>
      <c r="Q674" s="9">
        <f>revenue[revenue]-(revenue[productCost]*revenue[orderQuantity])</f>
        <v>82.24477147</v>
      </c>
      <c r="R674" s="25">
        <f>IFERROR(revenue[profit]/revenue[revenue], 0)</f>
        <v>0.3607226819</v>
      </c>
      <c r="S674" s="9">
        <f>revenue[productCost]*revenue[orderQuantity]</f>
        <v>145.7552285</v>
      </c>
    </row>
    <row r="675" ht="15.75" customHeight="1">
      <c r="A675" s="6">
        <v>10504.0</v>
      </c>
      <c r="B675" s="7" t="s">
        <v>34</v>
      </c>
      <c r="C675" s="24" t="str">
        <f>VLOOKUP(revenue[customerID],customers[],2,FALSE)</f>
        <v>White Clover Markets</v>
      </c>
      <c r="D675" s="24" t="str">
        <f>VLOOKUP(revenue[customerID],customers[],6,FALSE)</f>
        <v>Seattle</v>
      </c>
      <c r="E675" s="24" t="str">
        <f>VLOOKUP(revenue[customerID],customers[],9,FALSE)</f>
        <v>USA</v>
      </c>
      <c r="F675" s="24">
        <v>45027.0</v>
      </c>
      <c r="G675" s="6">
        <v>21.0</v>
      </c>
      <c r="H675" s="9" t="str">
        <f>VLOOKUP(revenue[productID],products[],2,FALSE)</f>
        <v>Sir Rodney's Scones</v>
      </c>
      <c r="I675" s="9" t="str">
        <f>VLOOKUP(revenue[productID],products[],12,FALSE)</f>
        <v>Confections</v>
      </c>
      <c r="J675" s="9">
        <f>VLOOKUP(revenue[productID],products[],IF(YEAR(revenue[orderDate])=2022,8,IF(YEAR(revenue[orderDate])=2023,9,IF(YEAR(revenue[orderDate])=2024,10,NA))),FALSE)</f>
        <v>6.725636111</v>
      </c>
      <c r="K675" s="9">
        <v>10.0</v>
      </c>
      <c r="L675" s="25">
        <f>(revenue[orderPrice]-revenue[productCost])/revenue[productCost]</f>
        <v>0.486848208</v>
      </c>
      <c r="M675" s="10">
        <v>12.0</v>
      </c>
      <c r="N675" s="25">
        <v>0.0</v>
      </c>
      <c r="O675" s="9">
        <f>revenue[orderPrice]*revenue[orderQuantity]</f>
        <v>120</v>
      </c>
      <c r="P675" s="9">
        <f>revenue[orderTotal]*(1-revenue[discountApllied])</f>
        <v>120</v>
      </c>
      <c r="Q675" s="9">
        <f>revenue[revenue]-(revenue[productCost]*revenue[orderQuantity])</f>
        <v>39.29236666</v>
      </c>
      <c r="R675" s="25">
        <f>IFERROR(revenue[profit]/revenue[revenue], 0)</f>
        <v>0.3274363889</v>
      </c>
      <c r="S675" s="9">
        <f>revenue[productCost]*revenue[orderQuantity]</f>
        <v>80.70763334</v>
      </c>
    </row>
    <row r="676" ht="15.75" customHeight="1">
      <c r="A676" s="6">
        <v>10504.0</v>
      </c>
      <c r="B676" s="7" t="s">
        <v>34</v>
      </c>
      <c r="C676" s="24" t="str">
        <f>VLOOKUP(revenue[customerID],customers[],2,FALSE)</f>
        <v>White Clover Markets</v>
      </c>
      <c r="D676" s="24" t="str">
        <f>VLOOKUP(revenue[customerID],customers[],6,FALSE)</f>
        <v>Seattle</v>
      </c>
      <c r="E676" s="24" t="str">
        <f>VLOOKUP(revenue[customerID],customers[],9,FALSE)</f>
        <v>USA</v>
      </c>
      <c r="F676" s="24">
        <v>45027.0</v>
      </c>
      <c r="G676" s="6">
        <v>53.0</v>
      </c>
      <c r="H676" s="9" t="str">
        <f>VLOOKUP(revenue[productID],products[],2,FALSE)</f>
        <v>Perth Pasties</v>
      </c>
      <c r="I676" s="9" t="str">
        <f>VLOOKUP(revenue[productID],products[],12,FALSE)</f>
        <v>Meat/Poultry</v>
      </c>
      <c r="J676" s="9">
        <f>VLOOKUP(revenue[productID],products[],IF(YEAR(revenue[orderDate])=2022,8,IF(YEAR(revenue[orderDate])=2023,9,IF(YEAR(revenue[orderDate])=2024,10,NA))),FALSE)</f>
        <v>21.81491556</v>
      </c>
      <c r="K676" s="9">
        <v>32.8</v>
      </c>
      <c r="L676" s="25">
        <f>(revenue[orderPrice]-revenue[productCost])/revenue[productCost]</f>
        <v>0.5035584214</v>
      </c>
      <c r="M676" s="10">
        <v>10.0</v>
      </c>
      <c r="N676" s="25">
        <v>0.0</v>
      </c>
      <c r="O676" s="9">
        <f>revenue[orderPrice]*revenue[orderQuantity]</f>
        <v>328</v>
      </c>
      <c r="P676" s="9">
        <f>revenue[orderTotal]*(1-revenue[discountApllied])</f>
        <v>328</v>
      </c>
      <c r="Q676" s="9">
        <f>revenue[revenue]-(revenue[productCost]*revenue[orderQuantity])</f>
        <v>109.8508444</v>
      </c>
      <c r="R676" s="25">
        <f>IFERROR(revenue[profit]/revenue[revenue], 0)</f>
        <v>0.334911111</v>
      </c>
      <c r="S676" s="9">
        <f>revenue[productCost]*revenue[orderQuantity]</f>
        <v>218.1491556</v>
      </c>
    </row>
    <row r="677" ht="15.75" customHeight="1">
      <c r="A677" s="6">
        <v>10504.0</v>
      </c>
      <c r="B677" s="7" t="s">
        <v>34</v>
      </c>
      <c r="C677" s="24" t="str">
        <f>VLOOKUP(revenue[customerID],customers[],2,FALSE)</f>
        <v>White Clover Markets</v>
      </c>
      <c r="D677" s="24" t="str">
        <f>VLOOKUP(revenue[customerID],customers[],6,FALSE)</f>
        <v>Seattle</v>
      </c>
      <c r="E677" s="24" t="str">
        <f>VLOOKUP(revenue[customerID],customers[],9,FALSE)</f>
        <v>USA</v>
      </c>
      <c r="F677" s="24">
        <v>45027.0</v>
      </c>
      <c r="G677" s="6">
        <v>61.0</v>
      </c>
      <c r="H677" s="9" t="str">
        <f>VLOOKUP(revenue[productID],products[],2,FALSE)</f>
        <v>Sirop d'érable</v>
      </c>
      <c r="I677" s="9" t="str">
        <f>VLOOKUP(revenue[productID],products[],12,FALSE)</f>
        <v>Condiments</v>
      </c>
      <c r="J677" s="9">
        <f>VLOOKUP(revenue[productID],products[],IF(YEAR(revenue[orderDate])=2022,8,IF(YEAR(revenue[orderDate])=2023,9,IF(YEAR(revenue[orderDate])=2024,10,NA))),FALSE)</f>
        <v>17.19945448</v>
      </c>
      <c r="K677" s="9">
        <v>28.5</v>
      </c>
      <c r="L677" s="25">
        <f>(revenue[orderPrice]-revenue[productCost])/revenue[productCost]</f>
        <v>0.6570292986</v>
      </c>
      <c r="M677" s="10">
        <v>25.0</v>
      </c>
      <c r="N677" s="25">
        <v>0.0</v>
      </c>
      <c r="O677" s="9">
        <f>revenue[orderPrice]*revenue[orderQuantity]</f>
        <v>712.5</v>
      </c>
      <c r="P677" s="9">
        <f>revenue[orderTotal]*(1-revenue[discountApllied])</f>
        <v>712.5</v>
      </c>
      <c r="Q677" s="9">
        <f>revenue[revenue]-(revenue[productCost]*revenue[orderQuantity])</f>
        <v>282.5136379</v>
      </c>
      <c r="R677" s="25">
        <f>IFERROR(revenue[profit]/revenue[revenue], 0)</f>
        <v>0.396510369</v>
      </c>
      <c r="S677" s="9">
        <f>revenue[productCost]*revenue[orderQuantity]</f>
        <v>429.9863621</v>
      </c>
    </row>
    <row r="678" ht="15.75" customHeight="1">
      <c r="A678" s="6">
        <v>10505.0</v>
      </c>
      <c r="B678" s="7" t="s">
        <v>64</v>
      </c>
      <c r="C678" s="24" t="str">
        <f>VLOOKUP(revenue[customerID],customers[],2,FALSE)</f>
        <v>Mère Paillarde</v>
      </c>
      <c r="D678" s="24" t="str">
        <f>VLOOKUP(revenue[customerID],customers[],6,FALSE)</f>
        <v>Montréal</v>
      </c>
      <c r="E678" s="24" t="str">
        <f>VLOOKUP(revenue[customerID],customers[],9,FALSE)</f>
        <v>Canada</v>
      </c>
      <c r="F678" s="24">
        <v>45030.0</v>
      </c>
      <c r="G678" s="6">
        <v>62.0</v>
      </c>
      <c r="H678" s="9" t="str">
        <f>VLOOKUP(revenue[productID],products[],2,FALSE)</f>
        <v>Tarte au sucre</v>
      </c>
      <c r="I678" s="9" t="str">
        <f>VLOOKUP(revenue[productID],products[],12,FALSE)</f>
        <v>Confections</v>
      </c>
      <c r="J678" s="9">
        <f>VLOOKUP(revenue[productID],products[],IF(YEAR(revenue[orderDate])=2022,8,IF(YEAR(revenue[orderDate])=2023,9,IF(YEAR(revenue[orderDate])=2024,10,NA))),FALSE)</f>
        <v>35.34792781</v>
      </c>
      <c r="K678" s="9">
        <v>49.3</v>
      </c>
      <c r="L678" s="25">
        <f>(revenue[orderPrice]-revenue[productCost])/revenue[productCost]</f>
        <v>0.3947069335</v>
      </c>
      <c r="M678" s="10">
        <v>3.0</v>
      </c>
      <c r="N678" s="25">
        <v>0.0</v>
      </c>
      <c r="O678" s="9">
        <f>revenue[orderPrice]*revenue[orderQuantity]</f>
        <v>147.9</v>
      </c>
      <c r="P678" s="9">
        <f>revenue[orderTotal]*(1-revenue[discountApllied])</f>
        <v>147.9</v>
      </c>
      <c r="Q678" s="9">
        <f>revenue[revenue]-(revenue[productCost]*revenue[orderQuantity])</f>
        <v>41.85621657</v>
      </c>
      <c r="R678" s="25">
        <f>IFERROR(revenue[profit]/revenue[revenue], 0)</f>
        <v>0.2830034927</v>
      </c>
      <c r="S678" s="9">
        <f>revenue[productCost]*revenue[orderQuantity]</f>
        <v>106.0437834</v>
      </c>
    </row>
    <row r="679" ht="15.75" customHeight="1">
      <c r="A679" s="6">
        <v>10506.0</v>
      </c>
      <c r="B679" s="7" t="s">
        <v>59</v>
      </c>
      <c r="C679" s="24" t="str">
        <f>VLOOKUP(revenue[customerID],customers[],2,FALSE)</f>
        <v>Königlich Essen</v>
      </c>
      <c r="D679" s="24" t="str">
        <f>VLOOKUP(revenue[customerID],customers[],6,FALSE)</f>
        <v>Brandenburg</v>
      </c>
      <c r="E679" s="24" t="str">
        <f>VLOOKUP(revenue[customerID],customers[],9,FALSE)</f>
        <v>Germany</v>
      </c>
      <c r="F679" s="24">
        <v>45031.0</v>
      </c>
      <c r="G679" s="6">
        <v>25.0</v>
      </c>
      <c r="H679" s="9" t="str">
        <f>VLOOKUP(revenue[productID],products[],2,FALSE)</f>
        <v>HM Köstliche Kaiserschmarrn Knödelchen</v>
      </c>
      <c r="I679" s="9" t="str">
        <f>VLOOKUP(revenue[productID],products[],12,FALSE)</f>
        <v>Confections</v>
      </c>
      <c r="J679" s="9">
        <f>VLOOKUP(revenue[productID],products[],IF(YEAR(revenue[orderDate])=2022,8,IF(YEAR(revenue[orderDate])=2023,9,IF(YEAR(revenue[orderDate])=2024,10,NA))),FALSE)</f>
        <v>8.138200336</v>
      </c>
      <c r="K679" s="9">
        <v>14.0</v>
      </c>
      <c r="L679" s="25">
        <f>(revenue[orderPrice]-revenue[productCost])/revenue[productCost]</f>
        <v>0.7202820552</v>
      </c>
      <c r="M679" s="10">
        <v>18.0</v>
      </c>
      <c r="N679" s="25">
        <v>0.1</v>
      </c>
      <c r="O679" s="9">
        <f>revenue[orderPrice]*revenue[orderQuantity]</f>
        <v>252</v>
      </c>
      <c r="P679" s="9">
        <f>revenue[orderTotal]*(1-revenue[discountApllied])</f>
        <v>226.8</v>
      </c>
      <c r="Q679" s="9">
        <f>revenue[revenue]-(revenue[productCost]*revenue[orderQuantity])</f>
        <v>80.31239395</v>
      </c>
      <c r="R679" s="25">
        <f>IFERROR(revenue[profit]/revenue[revenue], 0)</f>
        <v>0.3541110844</v>
      </c>
      <c r="S679" s="9">
        <f>revenue[productCost]*revenue[orderQuantity]</f>
        <v>146.4876061</v>
      </c>
    </row>
    <row r="680" ht="15.75" customHeight="1">
      <c r="A680" s="6">
        <v>10506.0</v>
      </c>
      <c r="B680" s="7" t="s">
        <v>59</v>
      </c>
      <c r="C680" s="24" t="str">
        <f>VLOOKUP(revenue[customerID],customers[],2,FALSE)</f>
        <v>Königlich Essen</v>
      </c>
      <c r="D680" s="24" t="str">
        <f>VLOOKUP(revenue[customerID],customers[],6,FALSE)</f>
        <v>Brandenburg</v>
      </c>
      <c r="E680" s="24" t="str">
        <f>VLOOKUP(revenue[customerID],customers[],9,FALSE)</f>
        <v>Germany</v>
      </c>
      <c r="F680" s="24">
        <v>45031.0</v>
      </c>
      <c r="G680" s="6">
        <v>70.0</v>
      </c>
      <c r="H680" s="9" t="str">
        <f>VLOOKUP(revenue[productID],products[],2,FALSE)</f>
        <v>Outback Lager</v>
      </c>
      <c r="I680" s="9" t="str">
        <f>VLOOKUP(revenue[productID],products[],12,FALSE)</f>
        <v>Beverages</v>
      </c>
      <c r="J680" s="9">
        <f>VLOOKUP(revenue[productID],products[],IF(YEAR(revenue[orderDate])=2022,8,IF(YEAR(revenue[orderDate])=2023,9,IF(YEAR(revenue[orderDate])=2024,10,NA))),FALSE)</f>
        <v>9.793094091</v>
      </c>
      <c r="K680" s="9">
        <v>15.0</v>
      </c>
      <c r="L680" s="25">
        <f>(revenue[orderPrice]-revenue[productCost])/revenue[productCost]</f>
        <v>0.5316916044</v>
      </c>
      <c r="M680" s="10">
        <v>14.0</v>
      </c>
      <c r="N680" s="25">
        <v>0.1</v>
      </c>
      <c r="O680" s="9">
        <f>revenue[orderPrice]*revenue[orderQuantity]</f>
        <v>210</v>
      </c>
      <c r="P680" s="9">
        <f>revenue[orderTotal]*(1-revenue[discountApllied])</f>
        <v>189</v>
      </c>
      <c r="Q680" s="9">
        <f>revenue[revenue]-(revenue[productCost]*revenue[orderQuantity])</f>
        <v>51.89668272</v>
      </c>
      <c r="R680" s="25">
        <f>IFERROR(revenue[profit]/revenue[revenue], 0)</f>
        <v>0.2745856229</v>
      </c>
      <c r="S680" s="9">
        <f>revenue[productCost]*revenue[orderQuantity]</f>
        <v>137.1033173</v>
      </c>
    </row>
    <row r="681" ht="15.75" customHeight="1">
      <c r="A681" s="6">
        <v>10507.0</v>
      </c>
      <c r="B681" s="7" t="s">
        <v>74</v>
      </c>
      <c r="C681" s="24" t="str">
        <f>VLOOKUP(revenue[customerID],customers[],2,FALSE)</f>
        <v>Antonio Moreno Taquería</v>
      </c>
      <c r="D681" s="24" t="str">
        <f>VLOOKUP(revenue[customerID],customers[],6,FALSE)</f>
        <v>México D.F.</v>
      </c>
      <c r="E681" s="24" t="str">
        <f>VLOOKUP(revenue[customerID],customers[],9,FALSE)</f>
        <v>Mexico</v>
      </c>
      <c r="F681" s="24">
        <v>45031.0</v>
      </c>
      <c r="G681" s="6">
        <v>43.0</v>
      </c>
      <c r="H681" s="9" t="str">
        <f>VLOOKUP(revenue[productID],products[],2,FALSE)</f>
        <v>Ipoh Coffee</v>
      </c>
      <c r="I681" s="9" t="str">
        <f>VLOOKUP(revenue[productID],products[],12,FALSE)</f>
        <v>Beverages</v>
      </c>
      <c r="J681" s="9">
        <f>VLOOKUP(revenue[productID],products[],IF(YEAR(revenue[orderDate])=2022,8,IF(YEAR(revenue[orderDate])=2023,9,IF(YEAR(revenue[orderDate])=2024,10,NA))),FALSE)</f>
        <v>30.96256564</v>
      </c>
      <c r="K681" s="9">
        <v>46.0</v>
      </c>
      <c r="L681" s="25">
        <f>(revenue[orderPrice]-revenue[productCost])/revenue[productCost]</f>
        <v>0.4856649976</v>
      </c>
      <c r="M681" s="10">
        <v>15.0</v>
      </c>
      <c r="N681" s="25">
        <v>0.15</v>
      </c>
      <c r="O681" s="9">
        <f>revenue[orderPrice]*revenue[orderQuantity]</f>
        <v>690</v>
      </c>
      <c r="P681" s="9">
        <f>revenue[orderTotal]*(1-revenue[discountApllied])</f>
        <v>586.5</v>
      </c>
      <c r="Q681" s="9">
        <f>revenue[revenue]-(revenue[productCost]*revenue[orderQuantity])</f>
        <v>122.0615155</v>
      </c>
      <c r="R681" s="25">
        <f>IFERROR(revenue[profit]/revenue[revenue], 0)</f>
        <v>0.208118526</v>
      </c>
      <c r="S681" s="9">
        <f>revenue[productCost]*revenue[orderQuantity]</f>
        <v>464.4384845</v>
      </c>
    </row>
    <row r="682" ht="15.75" customHeight="1">
      <c r="A682" s="6">
        <v>10507.0</v>
      </c>
      <c r="B682" s="7" t="s">
        <v>74</v>
      </c>
      <c r="C682" s="24" t="str">
        <f>VLOOKUP(revenue[customerID],customers[],2,FALSE)</f>
        <v>Antonio Moreno Taquería</v>
      </c>
      <c r="D682" s="24" t="str">
        <f>VLOOKUP(revenue[customerID],customers[],6,FALSE)</f>
        <v>México D.F.</v>
      </c>
      <c r="E682" s="24" t="str">
        <f>VLOOKUP(revenue[customerID],customers[],9,FALSE)</f>
        <v>Mexico</v>
      </c>
      <c r="F682" s="24">
        <v>45031.0</v>
      </c>
      <c r="G682" s="6">
        <v>48.0</v>
      </c>
      <c r="H682" s="9" t="str">
        <f>VLOOKUP(revenue[productID],products[],2,FALSE)</f>
        <v>Chocolade</v>
      </c>
      <c r="I682" s="9" t="str">
        <f>VLOOKUP(revenue[productID],products[],12,FALSE)</f>
        <v>Confections</v>
      </c>
      <c r="J682" s="9">
        <f>VLOOKUP(revenue[productID],products[],IF(YEAR(revenue[orderDate])=2022,8,IF(YEAR(revenue[orderDate])=2023,9,IF(YEAR(revenue[orderDate])=2024,10,NA))),FALSE)</f>
        <v>8.079671685</v>
      </c>
      <c r="K682" s="9">
        <v>12.75</v>
      </c>
      <c r="L682" s="25">
        <f>(revenue[orderPrice]-revenue[productCost])/revenue[productCost]</f>
        <v>0.5780344174</v>
      </c>
      <c r="M682" s="10">
        <v>15.0</v>
      </c>
      <c r="N682" s="25">
        <v>0.15</v>
      </c>
      <c r="O682" s="9">
        <f>revenue[orderPrice]*revenue[orderQuantity]</f>
        <v>191.25</v>
      </c>
      <c r="P682" s="9">
        <f>revenue[orderTotal]*(1-revenue[discountApllied])</f>
        <v>162.5625</v>
      </c>
      <c r="Q682" s="9">
        <f>revenue[revenue]-(revenue[productCost]*revenue[orderQuantity])</f>
        <v>41.36742473</v>
      </c>
      <c r="R682" s="25">
        <f>IFERROR(revenue[profit]/revenue[revenue], 0)</f>
        <v>0.2544708941</v>
      </c>
      <c r="S682" s="9">
        <f>revenue[productCost]*revenue[orderQuantity]</f>
        <v>121.1950753</v>
      </c>
    </row>
    <row r="683" ht="15.75" customHeight="1">
      <c r="A683" s="6">
        <v>10508.0</v>
      </c>
      <c r="B683" s="7" t="s">
        <v>26</v>
      </c>
      <c r="C683" s="24" t="str">
        <f>VLOOKUP(revenue[customerID],customers[],2,FALSE)</f>
        <v>Ottilies Käseladen</v>
      </c>
      <c r="D683" s="24" t="str">
        <f>VLOOKUP(revenue[customerID],customers[],6,FALSE)</f>
        <v>Köln</v>
      </c>
      <c r="E683" s="24" t="str">
        <f>VLOOKUP(revenue[customerID],customers[],9,FALSE)</f>
        <v>Germany</v>
      </c>
      <c r="F683" s="24">
        <v>45032.0</v>
      </c>
      <c r="G683" s="6">
        <v>13.0</v>
      </c>
      <c r="H683" s="9" t="str">
        <f>VLOOKUP(revenue[productID],products[],2,FALSE)</f>
        <v>Konbu</v>
      </c>
      <c r="I683" s="9" t="str">
        <f>VLOOKUP(revenue[productID],products[],12,FALSE)</f>
        <v>Seafood</v>
      </c>
      <c r="J683" s="9">
        <f>VLOOKUP(revenue[productID],products[],IF(YEAR(revenue[orderDate])=2022,8,IF(YEAR(revenue[orderDate])=2023,9,IF(YEAR(revenue[orderDate])=2024,10,NA))),FALSE)</f>
        <v>3.865774949</v>
      </c>
      <c r="K683" s="9">
        <v>6.0</v>
      </c>
      <c r="L683" s="25">
        <f>(revenue[orderPrice]-revenue[productCost])/revenue[productCost]</f>
        <v>0.5520820739</v>
      </c>
      <c r="M683" s="10">
        <v>10.0</v>
      </c>
      <c r="N683" s="25">
        <v>0.0</v>
      </c>
      <c r="O683" s="9">
        <f>revenue[orderPrice]*revenue[orderQuantity]</f>
        <v>60</v>
      </c>
      <c r="P683" s="9">
        <f>revenue[orderTotal]*(1-revenue[discountApllied])</f>
        <v>60</v>
      </c>
      <c r="Q683" s="9">
        <f>revenue[revenue]-(revenue[productCost]*revenue[orderQuantity])</f>
        <v>21.34225051</v>
      </c>
      <c r="R683" s="25">
        <f>IFERROR(revenue[profit]/revenue[revenue], 0)</f>
        <v>0.3557041752</v>
      </c>
      <c r="S683" s="9">
        <f>revenue[productCost]*revenue[orderQuantity]</f>
        <v>38.65774949</v>
      </c>
    </row>
    <row r="684" ht="15.75" customHeight="1">
      <c r="A684" s="6">
        <v>10508.0</v>
      </c>
      <c r="B684" s="7" t="s">
        <v>26</v>
      </c>
      <c r="C684" s="24" t="str">
        <f>VLOOKUP(revenue[customerID],customers[],2,FALSE)</f>
        <v>Ottilies Käseladen</v>
      </c>
      <c r="D684" s="24" t="str">
        <f>VLOOKUP(revenue[customerID],customers[],6,FALSE)</f>
        <v>Köln</v>
      </c>
      <c r="E684" s="24" t="str">
        <f>VLOOKUP(revenue[customerID],customers[],9,FALSE)</f>
        <v>Germany</v>
      </c>
      <c r="F684" s="24">
        <v>45032.0</v>
      </c>
      <c r="G684" s="6">
        <v>39.0</v>
      </c>
      <c r="H684" s="9" t="str">
        <f>VLOOKUP(revenue[productID],products[],2,FALSE)</f>
        <v>Chartreuse verte</v>
      </c>
      <c r="I684" s="9" t="str">
        <f>VLOOKUP(revenue[productID],products[],12,FALSE)</f>
        <v>Beverages</v>
      </c>
      <c r="J684" s="9">
        <f>VLOOKUP(revenue[productID],products[],IF(YEAR(revenue[orderDate])=2022,8,IF(YEAR(revenue[orderDate])=2023,9,IF(YEAR(revenue[orderDate])=2024,10,NA))),FALSE)</f>
        <v>11.73311441</v>
      </c>
      <c r="K684" s="9">
        <v>18.0</v>
      </c>
      <c r="L684" s="25">
        <f>(revenue[orderPrice]-revenue[productCost])/revenue[productCost]</f>
        <v>0.5341195326</v>
      </c>
      <c r="M684" s="10">
        <v>10.0</v>
      </c>
      <c r="N684" s="25">
        <v>0.0</v>
      </c>
      <c r="O684" s="9">
        <f>revenue[orderPrice]*revenue[orderQuantity]</f>
        <v>180</v>
      </c>
      <c r="P684" s="9">
        <f>revenue[orderTotal]*(1-revenue[discountApllied])</f>
        <v>180</v>
      </c>
      <c r="Q684" s="9">
        <f>revenue[revenue]-(revenue[productCost]*revenue[orderQuantity])</f>
        <v>62.66885587</v>
      </c>
      <c r="R684" s="25">
        <f>IFERROR(revenue[profit]/revenue[revenue], 0)</f>
        <v>0.3481603104</v>
      </c>
      <c r="S684" s="9">
        <f>revenue[productCost]*revenue[orderQuantity]</f>
        <v>117.3311441</v>
      </c>
    </row>
    <row r="685" ht="15.75" customHeight="1">
      <c r="A685" s="6">
        <v>10509.0</v>
      </c>
      <c r="B685" s="7" t="s">
        <v>91</v>
      </c>
      <c r="C685" s="24" t="str">
        <f>VLOOKUP(revenue[customerID],customers[],2,FALSE)</f>
        <v>Blauer See Delikatessen</v>
      </c>
      <c r="D685" s="24" t="str">
        <f>VLOOKUP(revenue[customerID],customers[],6,FALSE)</f>
        <v>Mannheim</v>
      </c>
      <c r="E685" s="24" t="str">
        <f>VLOOKUP(revenue[customerID],customers[],9,FALSE)</f>
        <v>Germany</v>
      </c>
      <c r="F685" s="24">
        <v>45033.0</v>
      </c>
      <c r="G685" s="6">
        <v>28.0</v>
      </c>
      <c r="H685" s="9" t="str">
        <f>VLOOKUP(revenue[productID],products[],2,FALSE)</f>
        <v>Rössle Sauerkraut</v>
      </c>
      <c r="I685" s="9" t="str">
        <f>VLOOKUP(revenue[productID],products[],12,FALSE)</f>
        <v>Produce</v>
      </c>
      <c r="J685" s="9">
        <f>VLOOKUP(revenue[productID],products[],IF(YEAR(revenue[orderDate])=2022,8,IF(YEAR(revenue[orderDate])=2023,9,IF(YEAR(revenue[orderDate])=2024,10,NA))),FALSE)</f>
        <v>31.52644578</v>
      </c>
      <c r="K685" s="9">
        <v>45.6</v>
      </c>
      <c r="L685" s="25">
        <f>(revenue[orderPrice]-revenue[productCost])/revenue[productCost]</f>
        <v>0.4464047207</v>
      </c>
      <c r="M685" s="10">
        <v>3.0</v>
      </c>
      <c r="N685" s="25">
        <v>0.0</v>
      </c>
      <c r="O685" s="9">
        <f>revenue[orderPrice]*revenue[orderQuantity]</f>
        <v>136.8</v>
      </c>
      <c r="P685" s="9">
        <f>revenue[orderTotal]*(1-revenue[discountApllied])</f>
        <v>136.8</v>
      </c>
      <c r="Q685" s="9">
        <f>revenue[revenue]-(revenue[productCost]*revenue[orderQuantity])</f>
        <v>42.22066267</v>
      </c>
      <c r="R685" s="25">
        <f>IFERROR(revenue[profit]/revenue[revenue], 0)</f>
        <v>0.308630575</v>
      </c>
      <c r="S685" s="9">
        <f>revenue[productCost]*revenue[orderQuantity]</f>
        <v>94.57933733</v>
      </c>
    </row>
    <row r="686" ht="15.75" customHeight="1">
      <c r="A686" s="6">
        <v>10510.0</v>
      </c>
      <c r="B686" s="7" t="s">
        <v>60</v>
      </c>
      <c r="C686" s="24" t="str">
        <f>VLOOKUP(revenue[customerID],customers[],2,FALSE)</f>
        <v>Save-a-lot Markets</v>
      </c>
      <c r="D686" s="24" t="str">
        <f>VLOOKUP(revenue[customerID],customers[],6,FALSE)</f>
        <v>Boise</v>
      </c>
      <c r="E686" s="24" t="str">
        <f>VLOOKUP(revenue[customerID],customers[],9,FALSE)</f>
        <v>USA</v>
      </c>
      <c r="F686" s="24">
        <v>45034.0</v>
      </c>
      <c r="G686" s="6">
        <v>29.0</v>
      </c>
      <c r="H686" s="9" t="str">
        <f>VLOOKUP(revenue[productID],products[],2,FALSE)</f>
        <v>Thüringer Rostbratwurst</v>
      </c>
      <c r="I686" s="9" t="str">
        <f>VLOOKUP(revenue[productID],products[],12,FALSE)</f>
        <v>Meat/Poultry</v>
      </c>
      <c r="J686" s="9">
        <f>VLOOKUP(revenue[productID],products[],IF(YEAR(revenue[orderDate])=2022,8,IF(YEAR(revenue[orderDate])=2023,9,IF(YEAR(revenue[orderDate])=2024,10,NA))),FALSE)</f>
        <v>80.85619497</v>
      </c>
      <c r="K686" s="9">
        <v>123.79</v>
      </c>
      <c r="L686" s="25">
        <f>(revenue[orderPrice]-revenue[productCost])/revenue[productCost]</f>
        <v>0.5309896792</v>
      </c>
      <c r="M686" s="10">
        <v>36.0</v>
      </c>
      <c r="N686" s="25">
        <v>0.0</v>
      </c>
      <c r="O686" s="9">
        <f>revenue[orderPrice]*revenue[orderQuantity]</f>
        <v>4456.44</v>
      </c>
      <c r="P686" s="9">
        <f>revenue[orderTotal]*(1-revenue[discountApllied])</f>
        <v>4456.44</v>
      </c>
      <c r="Q686" s="9">
        <f>revenue[revenue]-(revenue[productCost]*revenue[orderQuantity])</f>
        <v>1545.616981</v>
      </c>
      <c r="R686" s="25">
        <f>IFERROR(revenue[profit]/revenue[revenue], 0)</f>
        <v>0.3468277327</v>
      </c>
      <c r="S686" s="9">
        <f>revenue[productCost]*revenue[orderQuantity]</f>
        <v>2910.823019</v>
      </c>
    </row>
    <row r="687" ht="15.75" customHeight="1">
      <c r="A687" s="6">
        <v>10510.0</v>
      </c>
      <c r="B687" s="7" t="s">
        <v>60</v>
      </c>
      <c r="C687" s="24" t="str">
        <f>VLOOKUP(revenue[customerID],customers[],2,FALSE)</f>
        <v>Save-a-lot Markets</v>
      </c>
      <c r="D687" s="24" t="str">
        <f>VLOOKUP(revenue[customerID],customers[],6,FALSE)</f>
        <v>Boise</v>
      </c>
      <c r="E687" s="24" t="str">
        <f>VLOOKUP(revenue[customerID],customers[],9,FALSE)</f>
        <v>USA</v>
      </c>
      <c r="F687" s="24">
        <v>45034.0</v>
      </c>
      <c r="G687" s="6">
        <v>75.0</v>
      </c>
      <c r="H687" s="9" t="str">
        <f>VLOOKUP(revenue[productID],products[],2,FALSE)</f>
        <v>Rhönbräu Klosterbier</v>
      </c>
      <c r="I687" s="9" t="str">
        <f>VLOOKUP(revenue[productID],products[],12,FALSE)</f>
        <v>Beverages</v>
      </c>
      <c r="J687" s="9">
        <f>VLOOKUP(revenue[productID],products[],IF(YEAR(revenue[orderDate])=2022,8,IF(YEAR(revenue[orderDate])=2023,9,IF(YEAR(revenue[orderDate])=2024,10,NA))),FALSE)</f>
        <v>5.355290472</v>
      </c>
      <c r="K687" s="9">
        <v>7.75</v>
      </c>
      <c r="L687" s="25">
        <f>(revenue[orderPrice]-revenue[productCost])/revenue[productCost]</f>
        <v>0.4471670661</v>
      </c>
      <c r="M687" s="10">
        <v>36.0</v>
      </c>
      <c r="N687" s="25">
        <v>0.1</v>
      </c>
      <c r="O687" s="9">
        <f>revenue[orderPrice]*revenue[orderQuantity]</f>
        <v>279</v>
      </c>
      <c r="P687" s="9">
        <f>revenue[orderTotal]*(1-revenue[discountApllied])</f>
        <v>251.1</v>
      </c>
      <c r="Q687" s="9">
        <f>revenue[revenue]-(revenue[productCost]*revenue[orderQuantity])</f>
        <v>58.30954302</v>
      </c>
      <c r="R687" s="25">
        <f>IFERROR(revenue[profit]/revenue[revenue], 0)</f>
        <v>0.2322164198</v>
      </c>
      <c r="S687" s="9">
        <f>revenue[productCost]*revenue[orderQuantity]</f>
        <v>192.790457</v>
      </c>
    </row>
    <row r="688" ht="15.75" customHeight="1">
      <c r="A688" s="6">
        <v>10511.0</v>
      </c>
      <c r="B688" s="7" t="s">
        <v>63</v>
      </c>
      <c r="C688" s="24" t="str">
        <f>VLOOKUP(revenue[customerID],customers[],2,FALSE)</f>
        <v>Bon app'</v>
      </c>
      <c r="D688" s="24" t="str">
        <f>VLOOKUP(revenue[customerID],customers[],6,FALSE)</f>
        <v>Marseille</v>
      </c>
      <c r="E688" s="24" t="str">
        <f>VLOOKUP(revenue[customerID],customers[],9,FALSE)</f>
        <v>France</v>
      </c>
      <c r="F688" s="24">
        <v>45034.0</v>
      </c>
      <c r="G688" s="6">
        <v>4.0</v>
      </c>
      <c r="H688" s="9" t="str">
        <f>VLOOKUP(revenue[productID],products[],2,FALSE)</f>
        <v>Chef Anton's Cajun Seasoning</v>
      </c>
      <c r="I688" s="9" t="str">
        <f>VLOOKUP(revenue[productID],products[],12,FALSE)</f>
        <v>Condiments</v>
      </c>
      <c r="J688" s="9">
        <f>VLOOKUP(revenue[productID],products[],IF(YEAR(revenue[orderDate])=2022,8,IF(YEAR(revenue[orderDate])=2023,9,IF(YEAR(revenue[orderDate])=2024,10,NA))),FALSE)</f>
        <v>13.81047124</v>
      </c>
      <c r="K688" s="9">
        <v>22.0</v>
      </c>
      <c r="L688" s="25">
        <f>(revenue[orderPrice]-revenue[productCost])/revenue[productCost]</f>
        <v>0.5929941577</v>
      </c>
      <c r="M688" s="10">
        <v>50.0</v>
      </c>
      <c r="N688" s="25">
        <v>0.15</v>
      </c>
      <c r="O688" s="9">
        <f>revenue[orderPrice]*revenue[orderQuantity]</f>
        <v>1100</v>
      </c>
      <c r="P688" s="9">
        <f>revenue[orderTotal]*(1-revenue[discountApllied])</f>
        <v>935</v>
      </c>
      <c r="Q688" s="9">
        <f>revenue[revenue]-(revenue[productCost]*revenue[orderQuantity])</f>
        <v>244.476438</v>
      </c>
      <c r="R688" s="25">
        <f>IFERROR(revenue[profit]/revenue[revenue], 0)</f>
        <v>0.2614721262</v>
      </c>
      <c r="S688" s="9">
        <f>revenue[productCost]*revenue[orderQuantity]</f>
        <v>690.523562</v>
      </c>
    </row>
    <row r="689" ht="15.75" customHeight="1">
      <c r="A689" s="6">
        <v>10511.0</v>
      </c>
      <c r="B689" s="7" t="s">
        <v>63</v>
      </c>
      <c r="C689" s="24" t="str">
        <f>VLOOKUP(revenue[customerID],customers[],2,FALSE)</f>
        <v>Bon app'</v>
      </c>
      <c r="D689" s="24" t="str">
        <f>VLOOKUP(revenue[customerID],customers[],6,FALSE)</f>
        <v>Marseille</v>
      </c>
      <c r="E689" s="24" t="str">
        <f>VLOOKUP(revenue[customerID],customers[],9,FALSE)</f>
        <v>France</v>
      </c>
      <c r="F689" s="24">
        <v>45034.0</v>
      </c>
      <c r="G689" s="6">
        <v>7.0</v>
      </c>
      <c r="H689" s="9" t="str">
        <f>VLOOKUP(revenue[productID],products[],2,FALSE)</f>
        <v>Uncle Bob's Organic Dried Pears</v>
      </c>
      <c r="I689" s="9" t="str">
        <f>VLOOKUP(revenue[productID],products[],12,FALSE)</f>
        <v>Produce</v>
      </c>
      <c r="J689" s="9">
        <f>VLOOKUP(revenue[productID],products[],IF(YEAR(revenue[orderDate])=2022,8,IF(YEAR(revenue[orderDate])=2023,9,IF(YEAR(revenue[orderDate])=2024,10,NA))),FALSE)</f>
        <v>21.39244625</v>
      </c>
      <c r="K689" s="9">
        <v>30.0</v>
      </c>
      <c r="L689" s="25">
        <f>(revenue[orderPrice]-revenue[productCost])/revenue[productCost]</f>
        <v>0.4023641636</v>
      </c>
      <c r="M689" s="10">
        <v>50.0</v>
      </c>
      <c r="N689" s="25">
        <v>0.15</v>
      </c>
      <c r="O689" s="9">
        <f>revenue[orderPrice]*revenue[orderQuantity]</f>
        <v>1500</v>
      </c>
      <c r="P689" s="9">
        <f>revenue[orderTotal]*(1-revenue[discountApllied])</f>
        <v>1275</v>
      </c>
      <c r="Q689" s="9">
        <f>revenue[revenue]-(revenue[productCost]*revenue[orderQuantity])</f>
        <v>205.3776873</v>
      </c>
      <c r="R689" s="25">
        <f>IFERROR(revenue[profit]/revenue[revenue], 0)</f>
        <v>0.161080539</v>
      </c>
      <c r="S689" s="9">
        <f>revenue[productCost]*revenue[orderQuantity]</f>
        <v>1069.622313</v>
      </c>
    </row>
    <row r="690" ht="15.75" customHeight="1">
      <c r="A690" s="6">
        <v>10511.0</v>
      </c>
      <c r="B690" s="7" t="s">
        <v>63</v>
      </c>
      <c r="C690" s="24" t="str">
        <f>VLOOKUP(revenue[customerID],customers[],2,FALSE)</f>
        <v>Bon app'</v>
      </c>
      <c r="D690" s="24" t="str">
        <f>VLOOKUP(revenue[customerID],customers[],6,FALSE)</f>
        <v>Marseille</v>
      </c>
      <c r="E690" s="24" t="str">
        <f>VLOOKUP(revenue[customerID],customers[],9,FALSE)</f>
        <v>France</v>
      </c>
      <c r="F690" s="24">
        <v>45034.0</v>
      </c>
      <c r="G690" s="6">
        <v>8.0</v>
      </c>
      <c r="H690" s="9" t="str">
        <f>VLOOKUP(revenue[productID],products[],2,FALSE)</f>
        <v>Northwoods Cranberry Sauce</v>
      </c>
      <c r="I690" s="9" t="str">
        <f>VLOOKUP(revenue[productID],products[],12,FALSE)</f>
        <v>Condiments</v>
      </c>
      <c r="J690" s="9">
        <f>VLOOKUP(revenue[productID],products[],IF(YEAR(revenue[orderDate])=2022,8,IF(YEAR(revenue[orderDate])=2023,9,IF(YEAR(revenue[orderDate])=2024,10,NA))),FALSE)</f>
        <v>26.10620486</v>
      </c>
      <c r="K690" s="9">
        <v>40.0</v>
      </c>
      <c r="L690" s="25">
        <f>(revenue[orderPrice]-revenue[productCost])/revenue[productCost]</f>
        <v>0.5322027928</v>
      </c>
      <c r="M690" s="10">
        <v>10.0</v>
      </c>
      <c r="N690" s="25">
        <v>0.15</v>
      </c>
      <c r="O690" s="9">
        <f>revenue[orderPrice]*revenue[orderQuantity]</f>
        <v>400</v>
      </c>
      <c r="P690" s="9">
        <f>revenue[orderTotal]*(1-revenue[discountApllied])</f>
        <v>340</v>
      </c>
      <c r="Q690" s="9">
        <f>revenue[revenue]-(revenue[productCost]*revenue[orderQuantity])</f>
        <v>78.93795137</v>
      </c>
      <c r="R690" s="25">
        <f>IFERROR(revenue[profit]/revenue[revenue], 0)</f>
        <v>0.2321704452</v>
      </c>
      <c r="S690" s="9">
        <f>revenue[productCost]*revenue[orderQuantity]</f>
        <v>261.0620486</v>
      </c>
    </row>
    <row r="691" ht="15.75" customHeight="1">
      <c r="A691" s="6">
        <v>10512.0</v>
      </c>
      <c r="B691" s="7" t="s">
        <v>67</v>
      </c>
      <c r="C691" s="24" t="str">
        <f>VLOOKUP(revenue[customerID],customers[],2,FALSE)</f>
        <v>Familia Arquibaldo</v>
      </c>
      <c r="D691" s="24" t="str">
        <f>VLOOKUP(revenue[customerID],customers[],6,FALSE)</f>
        <v>Sao Paulo</v>
      </c>
      <c r="E691" s="24" t="str">
        <f>VLOOKUP(revenue[customerID],customers[],9,FALSE)</f>
        <v>Brazil</v>
      </c>
      <c r="F691" s="24">
        <v>45037.0</v>
      </c>
      <c r="G691" s="6">
        <v>24.0</v>
      </c>
      <c r="H691" s="9" t="str">
        <f>VLOOKUP(revenue[productID],products[],2,FALSE)</f>
        <v>Brigadeiros Maravilhosos da Lilian</v>
      </c>
      <c r="I691" s="9" t="str">
        <f>VLOOKUP(revenue[productID],products[],12,FALSE)</f>
        <v>Confections</v>
      </c>
      <c r="J691" s="9">
        <f>VLOOKUP(revenue[productID],products[],IF(YEAR(revenue[orderDate])=2022,8,IF(YEAR(revenue[orderDate])=2023,9,IF(YEAR(revenue[orderDate])=2024,10,NA))),FALSE)</f>
        <v>3.131783363</v>
      </c>
      <c r="K691" s="9">
        <v>4.5</v>
      </c>
      <c r="L691" s="25">
        <f>(revenue[orderPrice]-revenue[productCost])/revenue[productCost]</f>
        <v>0.4368809967</v>
      </c>
      <c r="M691" s="10">
        <v>10.0</v>
      </c>
      <c r="N691" s="25">
        <v>0.15</v>
      </c>
      <c r="O691" s="9">
        <f>revenue[orderPrice]*revenue[orderQuantity]</f>
        <v>45</v>
      </c>
      <c r="P691" s="9">
        <f>revenue[orderTotal]*(1-revenue[discountApllied])</f>
        <v>38.25</v>
      </c>
      <c r="Q691" s="9">
        <f>revenue[revenue]-(revenue[productCost]*revenue[orderQuantity])</f>
        <v>6.932166371</v>
      </c>
      <c r="R691" s="25">
        <f>IFERROR(revenue[profit]/revenue[revenue], 0)</f>
        <v>0.1812331077</v>
      </c>
      <c r="S691" s="9">
        <f>revenue[productCost]*revenue[orderQuantity]</f>
        <v>31.31783363</v>
      </c>
    </row>
    <row r="692" ht="15.75" customHeight="1">
      <c r="A692" s="6">
        <v>10512.0</v>
      </c>
      <c r="B692" s="7" t="s">
        <v>67</v>
      </c>
      <c r="C692" s="24" t="str">
        <f>VLOOKUP(revenue[customerID],customers[],2,FALSE)</f>
        <v>Familia Arquibaldo</v>
      </c>
      <c r="D692" s="24" t="str">
        <f>VLOOKUP(revenue[customerID],customers[],6,FALSE)</f>
        <v>Sao Paulo</v>
      </c>
      <c r="E692" s="24" t="str">
        <f>VLOOKUP(revenue[customerID],customers[],9,FALSE)</f>
        <v>Brazil</v>
      </c>
      <c r="F692" s="24">
        <v>45037.0</v>
      </c>
      <c r="G692" s="6">
        <v>46.0</v>
      </c>
      <c r="H692" s="9" t="str">
        <f>VLOOKUP(revenue[productID],products[],2,FALSE)</f>
        <v>Spegesild</v>
      </c>
      <c r="I692" s="9" t="str">
        <f>VLOOKUP(revenue[productID],products[],12,FALSE)</f>
        <v>Seafood</v>
      </c>
      <c r="J692" s="9">
        <f>VLOOKUP(revenue[productID],products[],IF(YEAR(revenue[orderDate])=2022,8,IF(YEAR(revenue[orderDate])=2023,9,IF(YEAR(revenue[orderDate])=2024,10,NA))),FALSE)</f>
        <v>7.087990753</v>
      </c>
      <c r="K692" s="9">
        <v>12.0</v>
      </c>
      <c r="L692" s="25">
        <f>(revenue[orderPrice]-revenue[productCost])/revenue[productCost]</f>
        <v>0.693004466</v>
      </c>
      <c r="M692" s="10">
        <v>9.0</v>
      </c>
      <c r="N692" s="25">
        <v>0.15</v>
      </c>
      <c r="O692" s="9">
        <f>revenue[orderPrice]*revenue[orderQuantity]</f>
        <v>108</v>
      </c>
      <c r="P692" s="9">
        <f>revenue[orderTotal]*(1-revenue[discountApllied])</f>
        <v>91.8</v>
      </c>
      <c r="Q692" s="9">
        <f>revenue[revenue]-(revenue[productCost]*revenue[orderQuantity])</f>
        <v>28.00808322</v>
      </c>
      <c r="R692" s="25">
        <f>IFERROR(revenue[profit]/revenue[revenue], 0)</f>
        <v>0.3050989458</v>
      </c>
      <c r="S692" s="9">
        <f>revenue[productCost]*revenue[orderQuantity]</f>
        <v>63.79191678</v>
      </c>
    </row>
    <row r="693" ht="15.75" customHeight="1">
      <c r="A693" s="6">
        <v>10512.0</v>
      </c>
      <c r="B693" s="7" t="s">
        <v>67</v>
      </c>
      <c r="C693" s="24" t="str">
        <f>VLOOKUP(revenue[customerID],customers[],2,FALSE)</f>
        <v>Familia Arquibaldo</v>
      </c>
      <c r="D693" s="24" t="str">
        <f>VLOOKUP(revenue[customerID],customers[],6,FALSE)</f>
        <v>Sao Paulo</v>
      </c>
      <c r="E693" s="24" t="str">
        <f>VLOOKUP(revenue[customerID],customers[],9,FALSE)</f>
        <v>Brazil</v>
      </c>
      <c r="F693" s="24">
        <v>45037.0</v>
      </c>
      <c r="G693" s="6">
        <v>47.0</v>
      </c>
      <c r="H693" s="9" t="str">
        <f>VLOOKUP(revenue[productID],products[],2,FALSE)</f>
        <v>Zaanse koeken</v>
      </c>
      <c r="I693" s="9" t="str">
        <f>VLOOKUP(revenue[productID],products[],12,FALSE)</f>
        <v>Confections</v>
      </c>
      <c r="J693" s="9">
        <f>VLOOKUP(revenue[productID],products[],IF(YEAR(revenue[orderDate])=2022,8,IF(YEAR(revenue[orderDate])=2023,9,IF(YEAR(revenue[orderDate])=2024,10,NA))),FALSE)</f>
        <v>6.57708833</v>
      </c>
      <c r="K693" s="9">
        <v>9.5</v>
      </c>
      <c r="L693" s="25">
        <f>(revenue[orderPrice]-revenue[productCost])/revenue[productCost]</f>
        <v>0.4444081519</v>
      </c>
      <c r="M693" s="10">
        <v>6.0</v>
      </c>
      <c r="N693" s="25">
        <v>0.15</v>
      </c>
      <c r="O693" s="9">
        <f>revenue[orderPrice]*revenue[orderQuantity]</f>
        <v>57</v>
      </c>
      <c r="P693" s="9">
        <f>revenue[orderTotal]*(1-revenue[discountApllied])</f>
        <v>48.45</v>
      </c>
      <c r="Q693" s="9">
        <f>revenue[revenue]-(revenue[productCost]*revenue[orderQuantity])</f>
        <v>8.987470018</v>
      </c>
      <c r="R693" s="25">
        <f>IFERROR(revenue[profit]/revenue[revenue], 0)</f>
        <v>0.1854998972</v>
      </c>
      <c r="S693" s="9">
        <f>revenue[productCost]*revenue[orderQuantity]</f>
        <v>39.46252998</v>
      </c>
    </row>
    <row r="694" ht="15.75" customHeight="1">
      <c r="A694" s="6">
        <v>10512.0</v>
      </c>
      <c r="B694" s="7" t="s">
        <v>67</v>
      </c>
      <c r="C694" s="24" t="str">
        <f>VLOOKUP(revenue[customerID],customers[],2,FALSE)</f>
        <v>Familia Arquibaldo</v>
      </c>
      <c r="D694" s="24" t="str">
        <f>VLOOKUP(revenue[customerID],customers[],6,FALSE)</f>
        <v>Sao Paulo</v>
      </c>
      <c r="E694" s="24" t="str">
        <f>VLOOKUP(revenue[customerID],customers[],9,FALSE)</f>
        <v>Brazil</v>
      </c>
      <c r="F694" s="24">
        <v>45037.0</v>
      </c>
      <c r="G694" s="6">
        <v>60.0</v>
      </c>
      <c r="H694" s="9" t="str">
        <f>VLOOKUP(revenue[productID],products[],2,FALSE)</f>
        <v>Camembert Pierrot</v>
      </c>
      <c r="I694" s="9" t="str">
        <f>VLOOKUP(revenue[productID],products[],12,FALSE)</f>
        <v>Dairy Products</v>
      </c>
      <c r="J694" s="9">
        <f>VLOOKUP(revenue[productID],products[],IF(YEAR(revenue[orderDate])=2022,8,IF(YEAR(revenue[orderDate])=2023,9,IF(YEAR(revenue[orderDate])=2024,10,NA))),FALSE)</f>
        <v>22.77098295</v>
      </c>
      <c r="K694" s="9">
        <v>34.0</v>
      </c>
      <c r="L694" s="25">
        <f>(revenue[orderPrice]-revenue[productCost])/revenue[productCost]</f>
        <v>0.4931283415</v>
      </c>
      <c r="M694" s="10">
        <v>12.0</v>
      </c>
      <c r="N694" s="25">
        <v>0.15</v>
      </c>
      <c r="O694" s="9">
        <f>revenue[orderPrice]*revenue[orderQuantity]</f>
        <v>408</v>
      </c>
      <c r="P694" s="9">
        <f>revenue[orderTotal]*(1-revenue[discountApllied])</f>
        <v>346.8</v>
      </c>
      <c r="Q694" s="9">
        <f>revenue[revenue]-(revenue[productCost]*revenue[orderQuantity])</f>
        <v>73.54820465</v>
      </c>
      <c r="R694" s="25">
        <f>IFERROR(revenue[profit]/revenue[revenue], 0)</f>
        <v>0.2120767147</v>
      </c>
      <c r="S694" s="9">
        <f>revenue[productCost]*revenue[orderQuantity]</f>
        <v>273.2517954</v>
      </c>
    </row>
    <row r="695" ht="15.75" customHeight="1">
      <c r="A695" s="6">
        <v>10513.0</v>
      </c>
      <c r="B695" s="7" t="s">
        <v>50</v>
      </c>
      <c r="C695" s="24" t="str">
        <f>VLOOKUP(revenue[customerID],customers[],2,FALSE)</f>
        <v>Die Wandernde Kuh</v>
      </c>
      <c r="D695" s="24" t="str">
        <f>VLOOKUP(revenue[customerID],customers[],6,FALSE)</f>
        <v>Stuttgart</v>
      </c>
      <c r="E695" s="24" t="str">
        <f>VLOOKUP(revenue[customerID],customers[],9,FALSE)</f>
        <v>Germany</v>
      </c>
      <c r="F695" s="24">
        <v>45038.0</v>
      </c>
      <c r="G695" s="6">
        <v>21.0</v>
      </c>
      <c r="H695" s="9" t="str">
        <f>VLOOKUP(revenue[productID],products[],2,FALSE)</f>
        <v>Sir Rodney's Scones</v>
      </c>
      <c r="I695" s="9" t="str">
        <f>VLOOKUP(revenue[productID],products[],12,FALSE)</f>
        <v>Confections</v>
      </c>
      <c r="J695" s="9">
        <f>VLOOKUP(revenue[productID],products[],IF(YEAR(revenue[orderDate])=2022,8,IF(YEAR(revenue[orderDate])=2023,9,IF(YEAR(revenue[orderDate])=2024,10,NA))),FALSE)</f>
        <v>6.725636111</v>
      </c>
      <c r="K695" s="9">
        <v>10.0</v>
      </c>
      <c r="L695" s="25">
        <f>(revenue[orderPrice]-revenue[productCost])/revenue[productCost]</f>
        <v>0.486848208</v>
      </c>
      <c r="M695" s="10">
        <v>40.0</v>
      </c>
      <c r="N695" s="25">
        <v>0.2</v>
      </c>
      <c r="O695" s="9">
        <f>revenue[orderPrice]*revenue[orderQuantity]</f>
        <v>400</v>
      </c>
      <c r="P695" s="9">
        <f>revenue[orderTotal]*(1-revenue[discountApllied])</f>
        <v>320</v>
      </c>
      <c r="Q695" s="9">
        <f>revenue[revenue]-(revenue[productCost]*revenue[orderQuantity])</f>
        <v>50.97455554</v>
      </c>
      <c r="R695" s="25">
        <f>IFERROR(revenue[profit]/revenue[revenue], 0)</f>
        <v>0.1592954861</v>
      </c>
      <c r="S695" s="9">
        <f>revenue[productCost]*revenue[orderQuantity]</f>
        <v>269.0254445</v>
      </c>
    </row>
    <row r="696" ht="15.75" customHeight="1">
      <c r="A696" s="6">
        <v>10513.0</v>
      </c>
      <c r="B696" s="7" t="s">
        <v>50</v>
      </c>
      <c r="C696" s="24" t="str">
        <f>VLOOKUP(revenue[customerID],customers[],2,FALSE)</f>
        <v>Die Wandernde Kuh</v>
      </c>
      <c r="D696" s="24" t="str">
        <f>VLOOKUP(revenue[customerID],customers[],6,FALSE)</f>
        <v>Stuttgart</v>
      </c>
      <c r="E696" s="24" t="str">
        <f>VLOOKUP(revenue[customerID],customers[],9,FALSE)</f>
        <v>Germany</v>
      </c>
      <c r="F696" s="24">
        <v>45038.0</v>
      </c>
      <c r="G696" s="6">
        <v>32.0</v>
      </c>
      <c r="H696" s="9" t="str">
        <f>VLOOKUP(revenue[productID],products[],2,FALSE)</f>
        <v>Mascarpone Fabioli</v>
      </c>
      <c r="I696" s="9" t="str">
        <f>VLOOKUP(revenue[productID],products[],12,FALSE)</f>
        <v>Dairy Products</v>
      </c>
      <c r="J696" s="9">
        <f>VLOOKUP(revenue[productID],products[],IF(YEAR(revenue[orderDate])=2022,8,IF(YEAR(revenue[orderDate])=2023,9,IF(YEAR(revenue[orderDate])=2024,10,NA))),FALSE)</f>
        <v>21.58120628</v>
      </c>
      <c r="K696" s="9">
        <v>32.0</v>
      </c>
      <c r="L696" s="25">
        <f>(revenue[orderPrice]-revenue[productCost])/revenue[productCost]</f>
        <v>0.4827716106</v>
      </c>
      <c r="M696" s="10">
        <v>50.0</v>
      </c>
      <c r="N696" s="25">
        <v>0.2</v>
      </c>
      <c r="O696" s="9">
        <f>revenue[orderPrice]*revenue[orderQuantity]</f>
        <v>1600</v>
      </c>
      <c r="P696" s="9">
        <f>revenue[orderTotal]*(1-revenue[discountApllied])</f>
        <v>1280</v>
      </c>
      <c r="Q696" s="9">
        <f>revenue[revenue]-(revenue[productCost]*revenue[orderQuantity])</f>
        <v>200.9396858</v>
      </c>
      <c r="R696" s="25">
        <f>IFERROR(revenue[profit]/revenue[revenue], 0)</f>
        <v>0.1569841295</v>
      </c>
      <c r="S696" s="9">
        <f>revenue[productCost]*revenue[orderQuantity]</f>
        <v>1079.060314</v>
      </c>
    </row>
    <row r="697" ht="15.75" customHeight="1">
      <c r="A697" s="6">
        <v>10513.0</v>
      </c>
      <c r="B697" s="7" t="s">
        <v>50</v>
      </c>
      <c r="C697" s="24" t="str">
        <f>VLOOKUP(revenue[customerID],customers[],2,FALSE)</f>
        <v>Die Wandernde Kuh</v>
      </c>
      <c r="D697" s="24" t="str">
        <f>VLOOKUP(revenue[customerID],customers[],6,FALSE)</f>
        <v>Stuttgart</v>
      </c>
      <c r="E697" s="24" t="str">
        <f>VLOOKUP(revenue[customerID],customers[],9,FALSE)</f>
        <v>Germany</v>
      </c>
      <c r="F697" s="24">
        <v>45038.0</v>
      </c>
      <c r="G697" s="6">
        <v>61.0</v>
      </c>
      <c r="H697" s="9" t="str">
        <f>VLOOKUP(revenue[productID],products[],2,FALSE)</f>
        <v>Sirop d'érable</v>
      </c>
      <c r="I697" s="9" t="str">
        <f>VLOOKUP(revenue[productID],products[],12,FALSE)</f>
        <v>Condiments</v>
      </c>
      <c r="J697" s="9">
        <f>VLOOKUP(revenue[productID],products[],IF(YEAR(revenue[orderDate])=2022,8,IF(YEAR(revenue[orderDate])=2023,9,IF(YEAR(revenue[orderDate])=2024,10,NA))),FALSE)</f>
        <v>17.19945448</v>
      </c>
      <c r="K697" s="9">
        <v>28.5</v>
      </c>
      <c r="L697" s="25">
        <f>(revenue[orderPrice]-revenue[productCost])/revenue[productCost]</f>
        <v>0.6570292986</v>
      </c>
      <c r="M697" s="10">
        <v>15.0</v>
      </c>
      <c r="N697" s="25">
        <v>0.2</v>
      </c>
      <c r="O697" s="9">
        <f>revenue[orderPrice]*revenue[orderQuantity]</f>
        <v>427.5</v>
      </c>
      <c r="P697" s="9">
        <f>revenue[orderTotal]*(1-revenue[discountApllied])</f>
        <v>342</v>
      </c>
      <c r="Q697" s="9">
        <f>revenue[revenue]-(revenue[productCost]*revenue[orderQuantity])</f>
        <v>84.00818274</v>
      </c>
      <c r="R697" s="25">
        <f>IFERROR(revenue[profit]/revenue[revenue], 0)</f>
        <v>0.2456379612</v>
      </c>
      <c r="S697" s="9">
        <f>revenue[productCost]*revenue[orderQuantity]</f>
        <v>257.9918173</v>
      </c>
    </row>
    <row r="698" ht="15.75" customHeight="1">
      <c r="A698" s="6">
        <v>10514.0</v>
      </c>
      <c r="B698" s="7" t="s">
        <v>24</v>
      </c>
      <c r="C698" s="24" t="str">
        <f>VLOOKUP(revenue[customerID],customers[],2,FALSE)</f>
        <v>Ernst Handel</v>
      </c>
      <c r="D698" s="24" t="str">
        <f>VLOOKUP(revenue[customerID],customers[],6,FALSE)</f>
        <v>Graz</v>
      </c>
      <c r="E698" s="24" t="str">
        <f>VLOOKUP(revenue[customerID],customers[],9,FALSE)</f>
        <v>Austria</v>
      </c>
      <c r="F698" s="24">
        <v>45038.0</v>
      </c>
      <c r="G698" s="6">
        <v>20.0</v>
      </c>
      <c r="H698" s="9" t="str">
        <f>VLOOKUP(revenue[productID],products[],2,FALSE)</f>
        <v>Sir Rodney's Marmalade</v>
      </c>
      <c r="I698" s="9" t="str">
        <f>VLOOKUP(revenue[productID],products[],12,FALSE)</f>
        <v>Confections</v>
      </c>
      <c r="J698" s="9">
        <f>VLOOKUP(revenue[productID],products[],IF(YEAR(revenue[orderDate])=2022,8,IF(YEAR(revenue[orderDate])=2023,9,IF(YEAR(revenue[orderDate])=2024,10,NA))),FALSE)</f>
        <v>57.29342071</v>
      </c>
      <c r="K698" s="9">
        <v>81.0</v>
      </c>
      <c r="L698" s="25">
        <f>(revenue[orderPrice]-revenue[productCost])/revenue[productCost]</f>
        <v>0.4137748976</v>
      </c>
      <c r="M698" s="10">
        <v>39.0</v>
      </c>
      <c r="N698" s="25">
        <v>0.0</v>
      </c>
      <c r="O698" s="9">
        <f>revenue[orderPrice]*revenue[orderQuantity]</f>
        <v>3159</v>
      </c>
      <c r="P698" s="9">
        <f>revenue[orderTotal]*(1-revenue[discountApllied])</f>
        <v>3159</v>
      </c>
      <c r="Q698" s="9">
        <f>revenue[revenue]-(revenue[productCost]*revenue[orderQuantity])</f>
        <v>924.5565923</v>
      </c>
      <c r="R698" s="25">
        <f>IFERROR(revenue[profit]/revenue[revenue], 0)</f>
        <v>0.2926738184</v>
      </c>
      <c r="S698" s="9">
        <f>revenue[productCost]*revenue[orderQuantity]</f>
        <v>2234.443408</v>
      </c>
    </row>
    <row r="699" ht="15.75" customHeight="1">
      <c r="A699" s="6">
        <v>10514.0</v>
      </c>
      <c r="B699" s="7" t="s">
        <v>24</v>
      </c>
      <c r="C699" s="24" t="str">
        <f>VLOOKUP(revenue[customerID],customers[],2,FALSE)</f>
        <v>Ernst Handel</v>
      </c>
      <c r="D699" s="24" t="str">
        <f>VLOOKUP(revenue[customerID],customers[],6,FALSE)</f>
        <v>Graz</v>
      </c>
      <c r="E699" s="24" t="str">
        <f>VLOOKUP(revenue[customerID],customers[],9,FALSE)</f>
        <v>Austria</v>
      </c>
      <c r="F699" s="24">
        <v>45038.0</v>
      </c>
      <c r="G699" s="6">
        <v>28.0</v>
      </c>
      <c r="H699" s="9" t="str">
        <f>VLOOKUP(revenue[productID],products[],2,FALSE)</f>
        <v>Rössle Sauerkraut</v>
      </c>
      <c r="I699" s="9" t="str">
        <f>VLOOKUP(revenue[productID],products[],12,FALSE)</f>
        <v>Produce</v>
      </c>
      <c r="J699" s="9">
        <f>VLOOKUP(revenue[productID],products[],IF(YEAR(revenue[orderDate])=2022,8,IF(YEAR(revenue[orderDate])=2023,9,IF(YEAR(revenue[orderDate])=2024,10,NA))),FALSE)</f>
        <v>31.52644578</v>
      </c>
      <c r="K699" s="9">
        <v>45.6</v>
      </c>
      <c r="L699" s="25">
        <f>(revenue[orderPrice]-revenue[productCost])/revenue[productCost]</f>
        <v>0.4464047207</v>
      </c>
      <c r="M699" s="10">
        <v>35.0</v>
      </c>
      <c r="N699" s="25">
        <v>0.0</v>
      </c>
      <c r="O699" s="9">
        <f>revenue[orderPrice]*revenue[orderQuantity]</f>
        <v>1596</v>
      </c>
      <c r="P699" s="9">
        <f>revenue[orderTotal]*(1-revenue[discountApllied])</f>
        <v>1596</v>
      </c>
      <c r="Q699" s="9">
        <f>revenue[revenue]-(revenue[productCost]*revenue[orderQuantity])</f>
        <v>492.5743978</v>
      </c>
      <c r="R699" s="25">
        <f>IFERROR(revenue[profit]/revenue[revenue], 0)</f>
        <v>0.308630575</v>
      </c>
      <c r="S699" s="9">
        <f>revenue[productCost]*revenue[orderQuantity]</f>
        <v>1103.425602</v>
      </c>
    </row>
    <row r="700" ht="15.75" customHeight="1">
      <c r="A700" s="6">
        <v>10514.0</v>
      </c>
      <c r="B700" s="7" t="s">
        <v>24</v>
      </c>
      <c r="C700" s="24" t="str">
        <f>VLOOKUP(revenue[customerID],customers[],2,FALSE)</f>
        <v>Ernst Handel</v>
      </c>
      <c r="D700" s="24" t="str">
        <f>VLOOKUP(revenue[customerID],customers[],6,FALSE)</f>
        <v>Graz</v>
      </c>
      <c r="E700" s="24" t="str">
        <f>VLOOKUP(revenue[customerID],customers[],9,FALSE)</f>
        <v>Austria</v>
      </c>
      <c r="F700" s="24">
        <v>45038.0</v>
      </c>
      <c r="G700" s="6">
        <v>56.0</v>
      </c>
      <c r="H700" s="9" t="str">
        <f>VLOOKUP(revenue[productID],products[],2,FALSE)</f>
        <v>Gnocchi di nonna Alice</v>
      </c>
      <c r="I700" s="9" t="str">
        <f>VLOOKUP(revenue[productID],products[],12,FALSE)</f>
        <v>Grains/Cereals</v>
      </c>
      <c r="J700" s="9">
        <f>VLOOKUP(revenue[productID],products[],IF(YEAR(revenue[orderDate])=2022,8,IF(YEAR(revenue[orderDate])=2023,9,IF(YEAR(revenue[orderDate])=2024,10,NA))),FALSE)</f>
        <v>24.28342441</v>
      </c>
      <c r="K700" s="9">
        <v>38.0</v>
      </c>
      <c r="L700" s="25">
        <f>(revenue[orderPrice]-revenue[productCost])/revenue[productCost]</f>
        <v>0.5648534309</v>
      </c>
      <c r="M700" s="10">
        <v>70.0</v>
      </c>
      <c r="N700" s="25">
        <v>0.0</v>
      </c>
      <c r="O700" s="9">
        <f>revenue[orderPrice]*revenue[orderQuantity]</f>
        <v>2660</v>
      </c>
      <c r="P700" s="9">
        <f>revenue[orderTotal]*(1-revenue[discountApllied])</f>
        <v>2660</v>
      </c>
      <c r="Q700" s="9">
        <f>revenue[revenue]-(revenue[productCost]*revenue[orderQuantity])</f>
        <v>960.1602914</v>
      </c>
      <c r="R700" s="25">
        <f>IFERROR(revenue[profit]/revenue[revenue], 0)</f>
        <v>0.3609625156</v>
      </c>
      <c r="S700" s="9">
        <f>revenue[productCost]*revenue[orderQuantity]</f>
        <v>1699.839709</v>
      </c>
    </row>
    <row r="701" ht="15.75" customHeight="1">
      <c r="A701" s="6">
        <v>10514.0</v>
      </c>
      <c r="B701" s="7" t="s">
        <v>24</v>
      </c>
      <c r="C701" s="24" t="str">
        <f>VLOOKUP(revenue[customerID],customers[],2,FALSE)</f>
        <v>Ernst Handel</v>
      </c>
      <c r="D701" s="24" t="str">
        <f>VLOOKUP(revenue[customerID],customers[],6,FALSE)</f>
        <v>Graz</v>
      </c>
      <c r="E701" s="24" t="str">
        <f>VLOOKUP(revenue[customerID],customers[],9,FALSE)</f>
        <v>Austria</v>
      </c>
      <c r="F701" s="24">
        <v>45038.0</v>
      </c>
      <c r="G701" s="6">
        <v>65.0</v>
      </c>
      <c r="H701" s="9" t="str">
        <f>VLOOKUP(revenue[productID],products[],2,FALSE)</f>
        <v>Louisiana Fiery Hot Pepper Sauce</v>
      </c>
      <c r="I701" s="9" t="str">
        <f>VLOOKUP(revenue[productID],products[],12,FALSE)</f>
        <v>Condiments</v>
      </c>
      <c r="J701" s="9">
        <f>VLOOKUP(revenue[productID],products[],IF(YEAR(revenue[orderDate])=2022,8,IF(YEAR(revenue[orderDate])=2023,9,IF(YEAR(revenue[orderDate])=2024,10,NA))),FALSE)</f>
        <v>13.21122243</v>
      </c>
      <c r="K701" s="9">
        <v>21.05</v>
      </c>
      <c r="L701" s="25">
        <f>(revenue[orderPrice]-revenue[productCost])/revenue[productCost]</f>
        <v>0.593342335</v>
      </c>
      <c r="M701" s="10">
        <v>39.0</v>
      </c>
      <c r="N701" s="25">
        <v>0.0</v>
      </c>
      <c r="O701" s="9">
        <f>revenue[orderPrice]*revenue[orderQuantity]</f>
        <v>820.95</v>
      </c>
      <c r="P701" s="9">
        <f>revenue[orderTotal]*(1-revenue[discountApllied])</f>
        <v>820.95</v>
      </c>
      <c r="Q701" s="9">
        <f>revenue[revenue]-(revenue[productCost]*revenue[orderQuantity])</f>
        <v>305.7123251</v>
      </c>
      <c r="R701" s="25">
        <f>IFERROR(revenue[profit]/revenue[revenue], 0)</f>
        <v>0.372388483</v>
      </c>
      <c r="S701" s="9">
        <f>revenue[productCost]*revenue[orderQuantity]</f>
        <v>515.2376749</v>
      </c>
    </row>
    <row r="702" ht="15.75" customHeight="1">
      <c r="A702" s="6">
        <v>10514.0</v>
      </c>
      <c r="B702" s="7" t="s">
        <v>24</v>
      </c>
      <c r="C702" s="24" t="str">
        <f>VLOOKUP(revenue[customerID],customers[],2,FALSE)</f>
        <v>Ernst Handel</v>
      </c>
      <c r="D702" s="24" t="str">
        <f>VLOOKUP(revenue[customerID],customers[],6,FALSE)</f>
        <v>Graz</v>
      </c>
      <c r="E702" s="24" t="str">
        <f>VLOOKUP(revenue[customerID],customers[],9,FALSE)</f>
        <v>Austria</v>
      </c>
      <c r="F702" s="24">
        <v>45038.0</v>
      </c>
      <c r="G702" s="6">
        <v>75.0</v>
      </c>
      <c r="H702" s="9" t="str">
        <f>VLOOKUP(revenue[productID],products[],2,FALSE)</f>
        <v>Rhönbräu Klosterbier</v>
      </c>
      <c r="I702" s="9" t="str">
        <f>VLOOKUP(revenue[productID],products[],12,FALSE)</f>
        <v>Beverages</v>
      </c>
      <c r="J702" s="9">
        <f>VLOOKUP(revenue[productID],products[],IF(YEAR(revenue[orderDate])=2022,8,IF(YEAR(revenue[orderDate])=2023,9,IF(YEAR(revenue[orderDate])=2024,10,NA))),FALSE)</f>
        <v>5.355290472</v>
      </c>
      <c r="K702" s="9">
        <v>7.75</v>
      </c>
      <c r="L702" s="25">
        <f>(revenue[orderPrice]-revenue[productCost])/revenue[productCost]</f>
        <v>0.4471670661</v>
      </c>
      <c r="M702" s="10">
        <v>50.0</v>
      </c>
      <c r="N702" s="25">
        <v>0.0</v>
      </c>
      <c r="O702" s="9">
        <f>revenue[orderPrice]*revenue[orderQuantity]</f>
        <v>387.5</v>
      </c>
      <c r="P702" s="9">
        <f>revenue[orderTotal]*(1-revenue[discountApllied])</f>
        <v>387.5</v>
      </c>
      <c r="Q702" s="9">
        <f>revenue[revenue]-(revenue[productCost]*revenue[orderQuantity])</f>
        <v>119.7354764</v>
      </c>
      <c r="R702" s="25">
        <f>IFERROR(revenue[profit]/revenue[revenue], 0)</f>
        <v>0.3089947778</v>
      </c>
      <c r="S702" s="9">
        <f>revenue[productCost]*revenue[orderQuantity]</f>
        <v>267.7645236</v>
      </c>
    </row>
    <row r="703" ht="15.75" customHeight="1">
      <c r="A703" s="6">
        <v>10515.0</v>
      </c>
      <c r="B703" s="7" t="s">
        <v>36</v>
      </c>
      <c r="C703" s="24" t="str">
        <f>VLOOKUP(revenue[customerID],customers[],2,FALSE)</f>
        <v>QUICK-Stop</v>
      </c>
      <c r="D703" s="24" t="str">
        <f>VLOOKUP(revenue[customerID],customers[],6,FALSE)</f>
        <v>Cunewalde</v>
      </c>
      <c r="E703" s="24" t="str">
        <f>VLOOKUP(revenue[customerID],customers[],9,FALSE)</f>
        <v>Germany</v>
      </c>
      <c r="F703" s="24">
        <v>45039.0</v>
      </c>
      <c r="G703" s="6">
        <v>9.0</v>
      </c>
      <c r="H703" s="9" t="str">
        <f>VLOOKUP(revenue[productID],products[],2,FALSE)</f>
        <v>Mishi Kobe Niku</v>
      </c>
      <c r="I703" s="9" t="str">
        <f>VLOOKUP(revenue[productID],products[],12,FALSE)</f>
        <v>Meat/Poultry</v>
      </c>
      <c r="J703" s="9">
        <f>VLOOKUP(revenue[productID],products[],IF(YEAR(revenue[orderDate])=2022,8,IF(YEAR(revenue[orderDate])=2023,9,IF(YEAR(revenue[orderDate])=2024,10,NA))),FALSE)</f>
        <v>59.95980959</v>
      </c>
      <c r="K703" s="9">
        <v>97.0</v>
      </c>
      <c r="L703" s="25">
        <f>(revenue[orderPrice]-revenue[productCost])/revenue[productCost]</f>
        <v>0.6177503007</v>
      </c>
      <c r="M703" s="10">
        <v>16.0</v>
      </c>
      <c r="N703" s="25">
        <v>0.15</v>
      </c>
      <c r="O703" s="9">
        <f>revenue[orderPrice]*revenue[orderQuantity]</f>
        <v>1552</v>
      </c>
      <c r="P703" s="9">
        <f>revenue[orderTotal]*(1-revenue[discountApllied])</f>
        <v>1319.2</v>
      </c>
      <c r="Q703" s="9">
        <f>revenue[revenue]-(revenue[productCost]*revenue[orderQuantity])</f>
        <v>359.8430465</v>
      </c>
      <c r="R703" s="25">
        <f>IFERROR(revenue[profit]/revenue[revenue], 0)</f>
        <v>0.2727736859</v>
      </c>
      <c r="S703" s="9">
        <f>revenue[productCost]*revenue[orderQuantity]</f>
        <v>959.3569535</v>
      </c>
    </row>
    <row r="704" ht="15.75" customHeight="1">
      <c r="A704" s="6">
        <v>10515.0</v>
      </c>
      <c r="B704" s="7" t="s">
        <v>36</v>
      </c>
      <c r="C704" s="24" t="str">
        <f>VLOOKUP(revenue[customerID],customers[],2,FALSE)</f>
        <v>QUICK-Stop</v>
      </c>
      <c r="D704" s="24" t="str">
        <f>VLOOKUP(revenue[customerID],customers[],6,FALSE)</f>
        <v>Cunewalde</v>
      </c>
      <c r="E704" s="24" t="str">
        <f>VLOOKUP(revenue[customerID],customers[],9,FALSE)</f>
        <v>Germany</v>
      </c>
      <c r="F704" s="24">
        <v>45039.0</v>
      </c>
      <c r="G704" s="6">
        <v>16.0</v>
      </c>
      <c r="H704" s="9" t="str">
        <f>VLOOKUP(revenue[productID],products[],2,FALSE)</f>
        <v>Pavlova</v>
      </c>
      <c r="I704" s="9" t="str">
        <f>VLOOKUP(revenue[productID],products[],12,FALSE)</f>
        <v>Confections</v>
      </c>
      <c r="J704" s="9">
        <f>VLOOKUP(revenue[productID],products[],IF(YEAR(revenue[orderDate])=2022,8,IF(YEAR(revenue[orderDate])=2023,9,IF(YEAR(revenue[orderDate])=2024,10,NA))),FALSE)</f>
        <v>11.98504839</v>
      </c>
      <c r="K704" s="9">
        <v>17.45</v>
      </c>
      <c r="L704" s="25">
        <f>(revenue[orderPrice]-revenue[productCost])/revenue[productCost]</f>
        <v>0.455980771</v>
      </c>
      <c r="M704" s="10">
        <v>50.0</v>
      </c>
      <c r="N704" s="25">
        <v>0.0</v>
      </c>
      <c r="O704" s="9">
        <f>revenue[orderPrice]*revenue[orderQuantity]</f>
        <v>872.5</v>
      </c>
      <c r="P704" s="9">
        <f>revenue[orderTotal]*(1-revenue[discountApllied])</f>
        <v>872.5</v>
      </c>
      <c r="Q704" s="9">
        <f>revenue[revenue]-(revenue[productCost]*revenue[orderQuantity])</f>
        <v>273.2475804</v>
      </c>
      <c r="R704" s="25">
        <f>IFERROR(revenue[profit]/revenue[revenue], 0)</f>
        <v>0.3131777425</v>
      </c>
      <c r="S704" s="9">
        <f>revenue[productCost]*revenue[orderQuantity]</f>
        <v>599.2524196</v>
      </c>
    </row>
    <row r="705" ht="15.75" customHeight="1">
      <c r="A705" s="6">
        <v>10515.0</v>
      </c>
      <c r="B705" s="7" t="s">
        <v>36</v>
      </c>
      <c r="C705" s="24" t="str">
        <f>VLOOKUP(revenue[customerID],customers[],2,FALSE)</f>
        <v>QUICK-Stop</v>
      </c>
      <c r="D705" s="24" t="str">
        <f>VLOOKUP(revenue[customerID],customers[],6,FALSE)</f>
        <v>Cunewalde</v>
      </c>
      <c r="E705" s="24" t="str">
        <f>VLOOKUP(revenue[customerID],customers[],9,FALSE)</f>
        <v>Germany</v>
      </c>
      <c r="F705" s="24">
        <v>45039.0</v>
      </c>
      <c r="G705" s="6">
        <v>27.0</v>
      </c>
      <c r="H705" s="9" t="str">
        <f>VLOOKUP(revenue[productID],products[],2,FALSE)</f>
        <v>Schoggi Schokolade</v>
      </c>
      <c r="I705" s="9" t="str">
        <f>VLOOKUP(revenue[productID],products[],12,FALSE)</f>
        <v>Confections</v>
      </c>
      <c r="J705" s="9">
        <f>VLOOKUP(revenue[productID],products[],IF(YEAR(revenue[orderDate])=2022,8,IF(YEAR(revenue[orderDate])=2023,9,IF(YEAR(revenue[orderDate])=2024,10,NA))),FALSE)</f>
        <v>32.29103982</v>
      </c>
      <c r="K705" s="9">
        <v>43.9</v>
      </c>
      <c r="L705" s="25">
        <f>(revenue[orderPrice]-revenue[productCost])/revenue[productCost]</f>
        <v>0.3595102619</v>
      </c>
      <c r="M705" s="10">
        <v>120.0</v>
      </c>
      <c r="N705" s="25">
        <v>0.0</v>
      </c>
      <c r="O705" s="9">
        <f>revenue[orderPrice]*revenue[orderQuantity]</f>
        <v>5268</v>
      </c>
      <c r="P705" s="9">
        <f>revenue[orderTotal]*(1-revenue[discountApllied])</f>
        <v>5268</v>
      </c>
      <c r="Q705" s="9">
        <f>revenue[revenue]-(revenue[productCost]*revenue[orderQuantity])</f>
        <v>1393.075222</v>
      </c>
      <c r="R705" s="25">
        <f>IFERROR(revenue[profit]/revenue[revenue], 0)</f>
        <v>0.2644410064</v>
      </c>
      <c r="S705" s="9">
        <f>revenue[productCost]*revenue[orderQuantity]</f>
        <v>3874.924778</v>
      </c>
    </row>
    <row r="706" ht="15.75" customHeight="1">
      <c r="A706" s="6">
        <v>10515.0</v>
      </c>
      <c r="B706" s="7" t="s">
        <v>36</v>
      </c>
      <c r="C706" s="24" t="str">
        <f>VLOOKUP(revenue[customerID],customers[],2,FALSE)</f>
        <v>QUICK-Stop</v>
      </c>
      <c r="D706" s="24" t="str">
        <f>VLOOKUP(revenue[customerID],customers[],6,FALSE)</f>
        <v>Cunewalde</v>
      </c>
      <c r="E706" s="24" t="str">
        <f>VLOOKUP(revenue[customerID],customers[],9,FALSE)</f>
        <v>Germany</v>
      </c>
      <c r="F706" s="24">
        <v>45039.0</v>
      </c>
      <c r="G706" s="6">
        <v>33.0</v>
      </c>
      <c r="H706" s="9" t="str">
        <f>VLOOKUP(revenue[productID],products[],2,FALSE)</f>
        <v>Geitost</v>
      </c>
      <c r="I706" s="9" t="str">
        <f>VLOOKUP(revenue[productID],products[],12,FALSE)</f>
        <v>Dairy Products</v>
      </c>
      <c r="J706" s="9">
        <f>VLOOKUP(revenue[productID],products[],IF(YEAR(revenue[orderDate])=2022,8,IF(YEAR(revenue[orderDate])=2023,9,IF(YEAR(revenue[orderDate])=2024,10,NA))),FALSE)</f>
        <v>1.559072298</v>
      </c>
      <c r="K706" s="9">
        <v>2.5</v>
      </c>
      <c r="L706" s="25">
        <f>(revenue[orderPrice]-revenue[productCost])/revenue[productCost]</f>
        <v>0.603517684</v>
      </c>
      <c r="M706" s="10">
        <v>16.0</v>
      </c>
      <c r="N706" s="25">
        <v>0.15</v>
      </c>
      <c r="O706" s="9">
        <f>revenue[orderPrice]*revenue[orderQuantity]</f>
        <v>40</v>
      </c>
      <c r="P706" s="9">
        <f>revenue[orderTotal]*(1-revenue[discountApllied])</f>
        <v>34</v>
      </c>
      <c r="Q706" s="9">
        <f>revenue[revenue]-(revenue[productCost]*revenue[orderQuantity])</f>
        <v>9.054843237</v>
      </c>
      <c r="R706" s="25">
        <f>IFERROR(revenue[profit]/revenue[revenue], 0)</f>
        <v>0.2663189187</v>
      </c>
      <c r="S706" s="9">
        <f>revenue[productCost]*revenue[orderQuantity]</f>
        <v>24.94515676</v>
      </c>
    </row>
    <row r="707" ht="15.75" customHeight="1">
      <c r="A707" s="6">
        <v>10515.0</v>
      </c>
      <c r="B707" s="7" t="s">
        <v>36</v>
      </c>
      <c r="C707" s="24" t="str">
        <f>VLOOKUP(revenue[customerID],customers[],2,FALSE)</f>
        <v>QUICK-Stop</v>
      </c>
      <c r="D707" s="24" t="str">
        <f>VLOOKUP(revenue[customerID],customers[],6,FALSE)</f>
        <v>Cunewalde</v>
      </c>
      <c r="E707" s="24" t="str">
        <f>VLOOKUP(revenue[customerID],customers[],9,FALSE)</f>
        <v>Germany</v>
      </c>
      <c r="F707" s="24">
        <v>45039.0</v>
      </c>
      <c r="G707" s="6">
        <v>60.0</v>
      </c>
      <c r="H707" s="9" t="str">
        <f>VLOOKUP(revenue[productID],products[],2,FALSE)</f>
        <v>Camembert Pierrot</v>
      </c>
      <c r="I707" s="9" t="str">
        <f>VLOOKUP(revenue[productID],products[],12,FALSE)</f>
        <v>Dairy Products</v>
      </c>
      <c r="J707" s="9">
        <f>VLOOKUP(revenue[productID],products[],IF(YEAR(revenue[orderDate])=2022,8,IF(YEAR(revenue[orderDate])=2023,9,IF(YEAR(revenue[orderDate])=2024,10,NA))),FALSE)</f>
        <v>22.77098295</v>
      </c>
      <c r="K707" s="9">
        <v>34.0</v>
      </c>
      <c r="L707" s="25">
        <f>(revenue[orderPrice]-revenue[productCost])/revenue[productCost]</f>
        <v>0.4931283415</v>
      </c>
      <c r="M707" s="10">
        <v>84.0</v>
      </c>
      <c r="N707" s="25">
        <v>0.15</v>
      </c>
      <c r="O707" s="9">
        <f>revenue[orderPrice]*revenue[orderQuantity]</f>
        <v>2856</v>
      </c>
      <c r="P707" s="9">
        <f>revenue[orderTotal]*(1-revenue[discountApllied])</f>
        <v>2427.6</v>
      </c>
      <c r="Q707" s="9">
        <f>revenue[revenue]-(revenue[productCost]*revenue[orderQuantity])</f>
        <v>514.8374325</v>
      </c>
      <c r="R707" s="25">
        <f>IFERROR(revenue[profit]/revenue[revenue], 0)</f>
        <v>0.2120767147</v>
      </c>
      <c r="S707" s="9">
        <f>revenue[productCost]*revenue[orderQuantity]</f>
        <v>1912.762567</v>
      </c>
    </row>
    <row r="708" ht="15.75" customHeight="1">
      <c r="A708" s="6">
        <v>10516.0</v>
      </c>
      <c r="B708" s="7" t="s">
        <v>49</v>
      </c>
      <c r="C708" s="24" t="str">
        <f>VLOOKUP(revenue[customerID],customers[],2,FALSE)</f>
        <v>Hungry Owl All-Night Grocers</v>
      </c>
      <c r="D708" s="24" t="str">
        <f>VLOOKUP(revenue[customerID],customers[],6,FALSE)</f>
        <v>Cork</v>
      </c>
      <c r="E708" s="24" t="str">
        <f>VLOOKUP(revenue[customerID],customers[],9,FALSE)</f>
        <v>Ireland</v>
      </c>
      <c r="F708" s="24">
        <v>45040.0</v>
      </c>
      <c r="G708" s="6">
        <v>18.0</v>
      </c>
      <c r="H708" s="9" t="str">
        <f>VLOOKUP(revenue[productID],products[],2,FALSE)</f>
        <v>Carnarvon Tigers</v>
      </c>
      <c r="I708" s="9" t="str">
        <f>VLOOKUP(revenue[productID],products[],12,FALSE)</f>
        <v>Seafood</v>
      </c>
      <c r="J708" s="9">
        <f>VLOOKUP(revenue[productID],products[],IF(YEAR(revenue[orderDate])=2022,8,IF(YEAR(revenue[orderDate])=2023,9,IF(YEAR(revenue[orderDate])=2024,10,NA))),FALSE)</f>
        <v>39.51966651</v>
      </c>
      <c r="K708" s="9">
        <v>62.5</v>
      </c>
      <c r="L708" s="25">
        <f>(revenue[orderPrice]-revenue[productCost])/revenue[productCost]</f>
        <v>0.5814910784</v>
      </c>
      <c r="M708" s="10">
        <v>25.0</v>
      </c>
      <c r="N708" s="25">
        <v>0.1</v>
      </c>
      <c r="O708" s="9">
        <f>revenue[orderPrice]*revenue[orderQuantity]</f>
        <v>1562.5</v>
      </c>
      <c r="P708" s="9">
        <f>revenue[orderTotal]*(1-revenue[discountApllied])</f>
        <v>1406.25</v>
      </c>
      <c r="Q708" s="9">
        <f>revenue[revenue]-(revenue[productCost]*revenue[orderQuantity])</f>
        <v>418.2583373</v>
      </c>
      <c r="R708" s="25">
        <f>IFERROR(revenue[profit]/revenue[revenue], 0)</f>
        <v>0.297428151</v>
      </c>
      <c r="S708" s="9">
        <f>revenue[productCost]*revenue[orderQuantity]</f>
        <v>987.9916627</v>
      </c>
    </row>
    <row r="709" ht="15.75" customHeight="1">
      <c r="A709" s="6">
        <v>10516.0</v>
      </c>
      <c r="B709" s="7" t="s">
        <v>49</v>
      </c>
      <c r="C709" s="24" t="str">
        <f>VLOOKUP(revenue[customerID],customers[],2,FALSE)</f>
        <v>Hungry Owl All-Night Grocers</v>
      </c>
      <c r="D709" s="24" t="str">
        <f>VLOOKUP(revenue[customerID],customers[],6,FALSE)</f>
        <v>Cork</v>
      </c>
      <c r="E709" s="24" t="str">
        <f>VLOOKUP(revenue[customerID],customers[],9,FALSE)</f>
        <v>Ireland</v>
      </c>
      <c r="F709" s="24">
        <v>45040.0</v>
      </c>
      <c r="G709" s="6">
        <v>41.0</v>
      </c>
      <c r="H709" s="9" t="str">
        <f>VLOOKUP(revenue[productID],products[],2,FALSE)</f>
        <v>Jack's New England Clam Chowder</v>
      </c>
      <c r="I709" s="9" t="str">
        <f>VLOOKUP(revenue[productID],products[],12,FALSE)</f>
        <v>Seafood</v>
      </c>
      <c r="J709" s="9">
        <f>VLOOKUP(revenue[productID],products[],IF(YEAR(revenue[orderDate])=2022,8,IF(YEAR(revenue[orderDate])=2023,9,IF(YEAR(revenue[orderDate])=2024,10,NA))),FALSE)</f>
        <v>6.549914856</v>
      </c>
      <c r="K709" s="9">
        <v>9.65</v>
      </c>
      <c r="L709" s="25">
        <f>(revenue[orderPrice]-revenue[productCost])/revenue[productCost]</f>
        <v>0.4733015943</v>
      </c>
      <c r="M709" s="10">
        <v>80.0</v>
      </c>
      <c r="N709" s="25">
        <v>0.1</v>
      </c>
      <c r="O709" s="9">
        <f>revenue[orderPrice]*revenue[orderQuantity]</f>
        <v>772</v>
      </c>
      <c r="P709" s="9">
        <f>revenue[orderTotal]*(1-revenue[discountApllied])</f>
        <v>694.8</v>
      </c>
      <c r="Q709" s="9">
        <f>revenue[revenue]-(revenue[productCost]*revenue[orderQuantity])</f>
        <v>170.8068115</v>
      </c>
      <c r="R709" s="25">
        <f>IFERROR(revenue[profit]/revenue[revenue], 0)</f>
        <v>0.2458359406</v>
      </c>
      <c r="S709" s="9">
        <f>revenue[productCost]*revenue[orderQuantity]</f>
        <v>523.9931885</v>
      </c>
    </row>
    <row r="710" ht="15.75" customHeight="1">
      <c r="A710" s="6">
        <v>10516.0</v>
      </c>
      <c r="B710" s="7" t="s">
        <v>49</v>
      </c>
      <c r="C710" s="24" t="str">
        <f>VLOOKUP(revenue[customerID],customers[],2,FALSE)</f>
        <v>Hungry Owl All-Night Grocers</v>
      </c>
      <c r="D710" s="24" t="str">
        <f>VLOOKUP(revenue[customerID],customers[],6,FALSE)</f>
        <v>Cork</v>
      </c>
      <c r="E710" s="24" t="str">
        <f>VLOOKUP(revenue[customerID],customers[],9,FALSE)</f>
        <v>Ireland</v>
      </c>
      <c r="F710" s="24">
        <v>45040.0</v>
      </c>
      <c r="G710" s="6">
        <v>42.0</v>
      </c>
      <c r="H710" s="9" t="str">
        <f>VLOOKUP(revenue[productID],products[],2,FALSE)</f>
        <v>Singaporean Hokkien Fried Mee</v>
      </c>
      <c r="I710" s="9" t="str">
        <f>VLOOKUP(revenue[productID],products[],12,FALSE)</f>
        <v>Grains/Cereals</v>
      </c>
      <c r="J710" s="9">
        <f>VLOOKUP(revenue[productID],products[],IF(YEAR(revenue[orderDate])=2022,8,IF(YEAR(revenue[orderDate])=2023,9,IF(YEAR(revenue[orderDate])=2024,10,NA))),FALSE)</f>
        <v>9.105641621</v>
      </c>
      <c r="K710" s="9">
        <v>14.0</v>
      </c>
      <c r="L710" s="25">
        <f>(revenue[orderPrice]-revenue[productCost])/revenue[productCost]</f>
        <v>0.5375083474</v>
      </c>
      <c r="M710" s="10">
        <v>20.0</v>
      </c>
      <c r="N710" s="25">
        <v>0.0</v>
      </c>
      <c r="O710" s="9">
        <f>revenue[orderPrice]*revenue[orderQuantity]</f>
        <v>280</v>
      </c>
      <c r="P710" s="9">
        <f>revenue[orderTotal]*(1-revenue[discountApllied])</f>
        <v>280</v>
      </c>
      <c r="Q710" s="9">
        <f>revenue[revenue]-(revenue[productCost]*revenue[orderQuantity])</f>
        <v>97.88716758</v>
      </c>
      <c r="R710" s="25">
        <f>IFERROR(revenue[profit]/revenue[revenue], 0)</f>
        <v>0.3495970271</v>
      </c>
      <c r="S710" s="9">
        <f>revenue[productCost]*revenue[orderQuantity]</f>
        <v>182.1128324</v>
      </c>
    </row>
    <row r="711" ht="15.75" customHeight="1">
      <c r="A711" s="6">
        <v>10517.0</v>
      </c>
      <c r="B711" s="7" t="s">
        <v>92</v>
      </c>
      <c r="C711" s="24" t="str">
        <f>VLOOKUP(revenue[customerID],customers[],2,FALSE)</f>
        <v>North/South</v>
      </c>
      <c r="D711" s="24" t="str">
        <f>VLOOKUP(revenue[customerID],customers[],6,FALSE)</f>
        <v>London</v>
      </c>
      <c r="E711" s="24" t="str">
        <f>VLOOKUP(revenue[customerID],customers[],9,FALSE)</f>
        <v>UK</v>
      </c>
      <c r="F711" s="24">
        <v>45040.0</v>
      </c>
      <c r="G711" s="6">
        <v>52.0</v>
      </c>
      <c r="H711" s="9" t="str">
        <f>VLOOKUP(revenue[productID],products[],2,FALSE)</f>
        <v>Filo Mix</v>
      </c>
      <c r="I711" s="9" t="str">
        <f>VLOOKUP(revenue[productID],products[],12,FALSE)</f>
        <v>Grains/Cereals</v>
      </c>
      <c r="J711" s="9">
        <f>VLOOKUP(revenue[productID],products[],IF(YEAR(revenue[orderDate])=2022,8,IF(YEAR(revenue[orderDate])=2023,9,IF(YEAR(revenue[orderDate])=2024,10,NA))),FALSE)</f>
        <v>5.001706713</v>
      </c>
      <c r="K711" s="9">
        <v>7.0</v>
      </c>
      <c r="L711" s="25">
        <f>(revenue[orderPrice]-revenue[productCost])/revenue[productCost]</f>
        <v>0.3995222835</v>
      </c>
      <c r="M711" s="10">
        <v>6.0</v>
      </c>
      <c r="N711" s="25">
        <v>0.0</v>
      </c>
      <c r="O711" s="9">
        <f>revenue[orderPrice]*revenue[orderQuantity]</f>
        <v>42</v>
      </c>
      <c r="P711" s="9">
        <f>revenue[orderTotal]*(1-revenue[discountApllied])</f>
        <v>42</v>
      </c>
      <c r="Q711" s="9">
        <f>revenue[revenue]-(revenue[productCost]*revenue[orderQuantity])</f>
        <v>11.98975972</v>
      </c>
      <c r="R711" s="25">
        <f>IFERROR(revenue[profit]/revenue[revenue], 0)</f>
        <v>0.2854704696</v>
      </c>
      <c r="S711" s="9">
        <f>revenue[productCost]*revenue[orderQuantity]</f>
        <v>30.01024028</v>
      </c>
    </row>
    <row r="712" ht="15.75" customHeight="1">
      <c r="A712" s="6">
        <v>10517.0</v>
      </c>
      <c r="B712" s="7" t="s">
        <v>92</v>
      </c>
      <c r="C712" s="24" t="str">
        <f>VLOOKUP(revenue[customerID],customers[],2,FALSE)</f>
        <v>North/South</v>
      </c>
      <c r="D712" s="24" t="str">
        <f>VLOOKUP(revenue[customerID],customers[],6,FALSE)</f>
        <v>London</v>
      </c>
      <c r="E712" s="24" t="str">
        <f>VLOOKUP(revenue[customerID],customers[],9,FALSE)</f>
        <v>UK</v>
      </c>
      <c r="F712" s="24">
        <v>45040.0</v>
      </c>
      <c r="G712" s="6">
        <v>59.0</v>
      </c>
      <c r="H712" s="9" t="str">
        <f>VLOOKUP(revenue[productID],products[],2,FALSE)</f>
        <v>Raclette Courdavault</v>
      </c>
      <c r="I712" s="9" t="str">
        <f>VLOOKUP(revenue[productID],products[],12,FALSE)</f>
        <v>Dairy Products</v>
      </c>
      <c r="J712" s="9">
        <f>VLOOKUP(revenue[productID],products[],IF(YEAR(revenue[orderDate])=2022,8,IF(YEAR(revenue[orderDate])=2023,9,IF(YEAR(revenue[orderDate])=2024,10,NA))),FALSE)</f>
        <v>35.20472566</v>
      </c>
      <c r="K712" s="9">
        <v>55.0</v>
      </c>
      <c r="L712" s="25">
        <f>(revenue[orderPrice]-revenue[productCost])/revenue[productCost]</f>
        <v>0.5622902598</v>
      </c>
      <c r="M712" s="10">
        <v>4.0</v>
      </c>
      <c r="N712" s="25">
        <v>0.0</v>
      </c>
      <c r="O712" s="9">
        <f>revenue[orderPrice]*revenue[orderQuantity]</f>
        <v>220</v>
      </c>
      <c r="P712" s="9">
        <f>revenue[orderTotal]*(1-revenue[discountApllied])</f>
        <v>220</v>
      </c>
      <c r="Q712" s="9">
        <f>revenue[revenue]-(revenue[productCost]*revenue[orderQuantity])</f>
        <v>79.18109735</v>
      </c>
      <c r="R712" s="25">
        <f>IFERROR(revenue[profit]/revenue[revenue], 0)</f>
        <v>0.3599140789</v>
      </c>
      <c r="S712" s="9">
        <f>revenue[productCost]*revenue[orderQuantity]</f>
        <v>140.8189026</v>
      </c>
    </row>
    <row r="713" ht="15.75" customHeight="1">
      <c r="A713" s="6">
        <v>10517.0</v>
      </c>
      <c r="B713" s="7" t="s">
        <v>92</v>
      </c>
      <c r="C713" s="24" t="str">
        <f>VLOOKUP(revenue[customerID],customers[],2,FALSE)</f>
        <v>North/South</v>
      </c>
      <c r="D713" s="24" t="str">
        <f>VLOOKUP(revenue[customerID],customers[],6,FALSE)</f>
        <v>London</v>
      </c>
      <c r="E713" s="24" t="str">
        <f>VLOOKUP(revenue[customerID],customers[],9,FALSE)</f>
        <v>UK</v>
      </c>
      <c r="F713" s="24">
        <v>45040.0</v>
      </c>
      <c r="G713" s="6">
        <v>70.0</v>
      </c>
      <c r="H713" s="9" t="str">
        <f>VLOOKUP(revenue[productID],products[],2,FALSE)</f>
        <v>Outback Lager</v>
      </c>
      <c r="I713" s="9" t="str">
        <f>VLOOKUP(revenue[productID],products[],12,FALSE)</f>
        <v>Beverages</v>
      </c>
      <c r="J713" s="9">
        <f>VLOOKUP(revenue[productID],products[],IF(YEAR(revenue[orderDate])=2022,8,IF(YEAR(revenue[orderDate])=2023,9,IF(YEAR(revenue[orderDate])=2024,10,NA))),FALSE)</f>
        <v>9.793094091</v>
      </c>
      <c r="K713" s="9">
        <v>15.0</v>
      </c>
      <c r="L713" s="25">
        <f>(revenue[orderPrice]-revenue[productCost])/revenue[productCost]</f>
        <v>0.5316916044</v>
      </c>
      <c r="M713" s="10">
        <v>6.0</v>
      </c>
      <c r="N713" s="25">
        <v>0.0</v>
      </c>
      <c r="O713" s="9">
        <f>revenue[orderPrice]*revenue[orderQuantity]</f>
        <v>90</v>
      </c>
      <c r="P713" s="9">
        <f>revenue[orderTotal]*(1-revenue[discountApllied])</f>
        <v>90</v>
      </c>
      <c r="Q713" s="9">
        <f>revenue[revenue]-(revenue[productCost]*revenue[orderQuantity])</f>
        <v>31.24143545</v>
      </c>
      <c r="R713" s="25">
        <f>IFERROR(revenue[profit]/revenue[revenue], 0)</f>
        <v>0.3471270606</v>
      </c>
      <c r="S713" s="9">
        <f>revenue[productCost]*revenue[orderQuantity]</f>
        <v>58.75856455</v>
      </c>
    </row>
    <row r="714" ht="15.75" customHeight="1">
      <c r="A714" s="6">
        <v>10518.0</v>
      </c>
      <c r="B714" s="7" t="s">
        <v>38</v>
      </c>
      <c r="C714" s="24" t="str">
        <f>VLOOKUP(revenue[customerID],customers[],2,FALSE)</f>
        <v>Tortuga Restaurante</v>
      </c>
      <c r="D714" s="24" t="str">
        <f>VLOOKUP(revenue[customerID],customers[],6,FALSE)</f>
        <v>México D.F.</v>
      </c>
      <c r="E714" s="24" t="str">
        <f>VLOOKUP(revenue[customerID],customers[],9,FALSE)</f>
        <v>Mexico</v>
      </c>
      <c r="F714" s="24">
        <v>45041.0</v>
      </c>
      <c r="G714" s="6">
        <v>24.0</v>
      </c>
      <c r="H714" s="9" t="str">
        <f>VLOOKUP(revenue[productID],products[],2,FALSE)</f>
        <v>Brigadeiros Maravilhosos da Lilian</v>
      </c>
      <c r="I714" s="9" t="str">
        <f>VLOOKUP(revenue[productID],products[],12,FALSE)</f>
        <v>Confections</v>
      </c>
      <c r="J714" s="9">
        <f>VLOOKUP(revenue[productID],products[],IF(YEAR(revenue[orderDate])=2022,8,IF(YEAR(revenue[orderDate])=2023,9,IF(YEAR(revenue[orderDate])=2024,10,NA))),FALSE)</f>
        <v>3.131783363</v>
      </c>
      <c r="K714" s="9">
        <v>4.5</v>
      </c>
      <c r="L714" s="25">
        <f>(revenue[orderPrice]-revenue[productCost])/revenue[productCost]</f>
        <v>0.4368809967</v>
      </c>
      <c r="M714" s="10">
        <v>5.0</v>
      </c>
      <c r="N714" s="25">
        <v>0.0</v>
      </c>
      <c r="O714" s="9">
        <f>revenue[orderPrice]*revenue[orderQuantity]</f>
        <v>22.5</v>
      </c>
      <c r="P714" s="9">
        <f>revenue[orderTotal]*(1-revenue[discountApllied])</f>
        <v>22.5</v>
      </c>
      <c r="Q714" s="9">
        <f>revenue[revenue]-(revenue[productCost]*revenue[orderQuantity])</f>
        <v>6.841083185</v>
      </c>
      <c r="R714" s="25">
        <f>IFERROR(revenue[profit]/revenue[revenue], 0)</f>
        <v>0.3040481416</v>
      </c>
      <c r="S714" s="9">
        <f>revenue[productCost]*revenue[orderQuantity]</f>
        <v>15.65891681</v>
      </c>
    </row>
    <row r="715" ht="15.75" customHeight="1">
      <c r="A715" s="6">
        <v>10518.0</v>
      </c>
      <c r="B715" s="7" t="s">
        <v>38</v>
      </c>
      <c r="C715" s="24" t="str">
        <f>VLOOKUP(revenue[customerID],customers[],2,FALSE)</f>
        <v>Tortuga Restaurante</v>
      </c>
      <c r="D715" s="24" t="str">
        <f>VLOOKUP(revenue[customerID],customers[],6,FALSE)</f>
        <v>México D.F.</v>
      </c>
      <c r="E715" s="24" t="str">
        <f>VLOOKUP(revenue[customerID],customers[],9,FALSE)</f>
        <v>Mexico</v>
      </c>
      <c r="F715" s="24">
        <v>45041.0</v>
      </c>
      <c r="G715" s="6">
        <v>38.0</v>
      </c>
      <c r="H715" s="9" t="str">
        <f>VLOOKUP(revenue[productID],products[],2,FALSE)</f>
        <v>Côte de Blaye</v>
      </c>
      <c r="I715" s="9" t="str">
        <f>VLOOKUP(revenue[productID],products[],12,FALSE)</f>
        <v>Beverages</v>
      </c>
      <c r="J715" s="9">
        <f>VLOOKUP(revenue[productID],products[],IF(YEAR(revenue[orderDate])=2022,8,IF(YEAR(revenue[orderDate])=2023,9,IF(YEAR(revenue[orderDate])=2024,10,NA))),FALSE)</f>
        <v>175.9515711</v>
      </c>
      <c r="K715" s="9">
        <v>263.5</v>
      </c>
      <c r="L715" s="25">
        <f>(revenue[orderPrice]-revenue[productCost])/revenue[productCost]</f>
        <v>0.4975711688</v>
      </c>
      <c r="M715" s="10">
        <v>15.0</v>
      </c>
      <c r="N715" s="25">
        <v>0.0</v>
      </c>
      <c r="O715" s="9">
        <f>revenue[orderPrice]*revenue[orderQuantity]</f>
        <v>3952.5</v>
      </c>
      <c r="P715" s="9">
        <f>revenue[orderTotal]*(1-revenue[discountApllied])</f>
        <v>3952.5</v>
      </c>
      <c r="Q715" s="9">
        <f>revenue[revenue]-(revenue[productCost]*revenue[orderQuantity])</f>
        <v>1313.226433</v>
      </c>
      <c r="R715" s="25">
        <f>IFERROR(revenue[profit]/revenue[revenue], 0)</f>
        <v>0.3322521021</v>
      </c>
      <c r="S715" s="9">
        <f>revenue[productCost]*revenue[orderQuantity]</f>
        <v>2639.273567</v>
      </c>
    </row>
    <row r="716" ht="15.75" customHeight="1">
      <c r="A716" s="6">
        <v>10518.0</v>
      </c>
      <c r="B716" s="7" t="s">
        <v>38</v>
      </c>
      <c r="C716" s="24" t="str">
        <f>VLOOKUP(revenue[customerID],customers[],2,FALSE)</f>
        <v>Tortuga Restaurante</v>
      </c>
      <c r="D716" s="24" t="str">
        <f>VLOOKUP(revenue[customerID],customers[],6,FALSE)</f>
        <v>México D.F.</v>
      </c>
      <c r="E716" s="24" t="str">
        <f>VLOOKUP(revenue[customerID],customers[],9,FALSE)</f>
        <v>Mexico</v>
      </c>
      <c r="F716" s="24">
        <v>45041.0</v>
      </c>
      <c r="G716" s="6">
        <v>44.0</v>
      </c>
      <c r="H716" s="9" t="str">
        <f>VLOOKUP(revenue[productID],products[],2,FALSE)</f>
        <v>Gula Malacca</v>
      </c>
      <c r="I716" s="9" t="str">
        <f>VLOOKUP(revenue[productID],products[],12,FALSE)</f>
        <v>Condiments</v>
      </c>
      <c r="J716" s="9">
        <f>VLOOKUP(revenue[productID],products[],IF(YEAR(revenue[orderDate])=2022,8,IF(YEAR(revenue[orderDate])=2023,9,IF(YEAR(revenue[orderDate])=2024,10,NA))),FALSE)</f>
        <v>13.06032103</v>
      </c>
      <c r="K716" s="9">
        <v>19.45</v>
      </c>
      <c r="L716" s="25">
        <f>(revenue[orderPrice]-revenue[productCost])/revenue[productCost]</f>
        <v>0.4892436379</v>
      </c>
      <c r="M716" s="10">
        <v>9.0</v>
      </c>
      <c r="N716" s="25">
        <v>0.0</v>
      </c>
      <c r="O716" s="9">
        <f>revenue[orderPrice]*revenue[orderQuantity]</f>
        <v>175.05</v>
      </c>
      <c r="P716" s="9">
        <f>revenue[orderTotal]*(1-revenue[discountApllied])</f>
        <v>175.05</v>
      </c>
      <c r="Q716" s="9">
        <f>revenue[revenue]-(revenue[productCost]*revenue[orderQuantity])</f>
        <v>57.50711074</v>
      </c>
      <c r="R716" s="25">
        <f>IFERROR(revenue[profit]/revenue[revenue], 0)</f>
        <v>0.3285181991</v>
      </c>
      <c r="S716" s="9">
        <f>revenue[productCost]*revenue[orderQuantity]</f>
        <v>117.5428893</v>
      </c>
    </row>
    <row r="717" ht="15.75" customHeight="1">
      <c r="A717" s="6">
        <v>10519.0</v>
      </c>
      <c r="B717" s="7" t="s">
        <v>20</v>
      </c>
      <c r="C717" s="24" t="str">
        <f>VLOOKUP(revenue[customerID],customers[],2,FALSE)</f>
        <v>Chop-suey Chinese</v>
      </c>
      <c r="D717" s="24" t="str">
        <f>VLOOKUP(revenue[customerID],customers[],6,FALSE)</f>
        <v>Bern</v>
      </c>
      <c r="E717" s="24" t="str">
        <f>VLOOKUP(revenue[customerID],customers[],9,FALSE)</f>
        <v>Switzerland</v>
      </c>
      <c r="F717" s="24">
        <v>45044.0</v>
      </c>
      <c r="G717" s="6">
        <v>10.0</v>
      </c>
      <c r="H717" s="9" t="str">
        <f>VLOOKUP(revenue[productID],products[],2,FALSE)</f>
        <v>Ikura</v>
      </c>
      <c r="I717" s="9" t="str">
        <f>VLOOKUP(revenue[productID],products[],12,FALSE)</f>
        <v>Seafood</v>
      </c>
      <c r="J717" s="9">
        <f>VLOOKUP(revenue[productID],products[],IF(YEAR(revenue[orderDate])=2022,8,IF(YEAR(revenue[orderDate])=2023,9,IF(YEAR(revenue[orderDate])=2024,10,NA))),FALSE)</f>
        <v>20.72721922</v>
      </c>
      <c r="K717" s="9">
        <v>31.0</v>
      </c>
      <c r="L717" s="25">
        <f>(revenue[orderPrice]-revenue[productCost])/revenue[productCost]</f>
        <v>0.4956178962</v>
      </c>
      <c r="M717" s="10">
        <v>16.0</v>
      </c>
      <c r="N717" s="25">
        <v>0.05</v>
      </c>
      <c r="O717" s="9">
        <f>revenue[orderPrice]*revenue[orderQuantity]</f>
        <v>496</v>
      </c>
      <c r="P717" s="9">
        <f>revenue[orderTotal]*(1-revenue[discountApllied])</f>
        <v>471.2</v>
      </c>
      <c r="Q717" s="9">
        <f>revenue[revenue]-(revenue[productCost]*revenue[orderQuantity])</f>
        <v>139.5644925</v>
      </c>
      <c r="R717" s="25">
        <f>IFERROR(revenue[profit]/revenue[revenue], 0)</f>
        <v>0.2961895003</v>
      </c>
      <c r="S717" s="9">
        <f>revenue[productCost]*revenue[orderQuantity]</f>
        <v>331.6355075</v>
      </c>
    </row>
    <row r="718" ht="15.75" customHeight="1">
      <c r="A718" s="6">
        <v>10519.0</v>
      </c>
      <c r="B718" s="7" t="s">
        <v>20</v>
      </c>
      <c r="C718" s="24" t="str">
        <f>VLOOKUP(revenue[customerID],customers[],2,FALSE)</f>
        <v>Chop-suey Chinese</v>
      </c>
      <c r="D718" s="24" t="str">
        <f>VLOOKUP(revenue[customerID],customers[],6,FALSE)</f>
        <v>Bern</v>
      </c>
      <c r="E718" s="24" t="str">
        <f>VLOOKUP(revenue[customerID],customers[],9,FALSE)</f>
        <v>Switzerland</v>
      </c>
      <c r="F718" s="24">
        <v>45044.0</v>
      </c>
      <c r="G718" s="6">
        <v>56.0</v>
      </c>
      <c r="H718" s="9" t="str">
        <f>VLOOKUP(revenue[productID],products[],2,FALSE)</f>
        <v>Gnocchi di nonna Alice</v>
      </c>
      <c r="I718" s="9" t="str">
        <f>VLOOKUP(revenue[productID],products[],12,FALSE)</f>
        <v>Grains/Cereals</v>
      </c>
      <c r="J718" s="9">
        <f>VLOOKUP(revenue[productID],products[],IF(YEAR(revenue[orderDate])=2022,8,IF(YEAR(revenue[orderDate])=2023,9,IF(YEAR(revenue[orderDate])=2024,10,NA))),FALSE)</f>
        <v>24.28342441</v>
      </c>
      <c r="K718" s="9">
        <v>38.0</v>
      </c>
      <c r="L718" s="25">
        <f>(revenue[orderPrice]-revenue[productCost])/revenue[productCost]</f>
        <v>0.5648534309</v>
      </c>
      <c r="M718" s="10">
        <v>40.0</v>
      </c>
      <c r="N718" s="25">
        <v>0.0</v>
      </c>
      <c r="O718" s="9">
        <f>revenue[orderPrice]*revenue[orderQuantity]</f>
        <v>1520</v>
      </c>
      <c r="P718" s="9">
        <f>revenue[orderTotal]*(1-revenue[discountApllied])</f>
        <v>1520</v>
      </c>
      <c r="Q718" s="9">
        <f>revenue[revenue]-(revenue[productCost]*revenue[orderQuantity])</f>
        <v>548.6630237</v>
      </c>
      <c r="R718" s="25">
        <f>IFERROR(revenue[profit]/revenue[revenue], 0)</f>
        <v>0.3609625156</v>
      </c>
      <c r="S718" s="9">
        <f>revenue[productCost]*revenue[orderQuantity]</f>
        <v>971.3369763</v>
      </c>
    </row>
    <row r="719" ht="15.75" customHeight="1">
      <c r="A719" s="6">
        <v>10519.0</v>
      </c>
      <c r="B719" s="7" t="s">
        <v>20</v>
      </c>
      <c r="C719" s="24" t="str">
        <f>VLOOKUP(revenue[customerID],customers[],2,FALSE)</f>
        <v>Chop-suey Chinese</v>
      </c>
      <c r="D719" s="24" t="str">
        <f>VLOOKUP(revenue[customerID],customers[],6,FALSE)</f>
        <v>Bern</v>
      </c>
      <c r="E719" s="24" t="str">
        <f>VLOOKUP(revenue[customerID],customers[],9,FALSE)</f>
        <v>Switzerland</v>
      </c>
      <c r="F719" s="24">
        <v>45044.0</v>
      </c>
      <c r="G719" s="6">
        <v>60.0</v>
      </c>
      <c r="H719" s="9" t="str">
        <f>VLOOKUP(revenue[productID],products[],2,FALSE)</f>
        <v>Camembert Pierrot</v>
      </c>
      <c r="I719" s="9" t="str">
        <f>VLOOKUP(revenue[productID],products[],12,FALSE)</f>
        <v>Dairy Products</v>
      </c>
      <c r="J719" s="9">
        <f>VLOOKUP(revenue[productID],products[],IF(YEAR(revenue[orderDate])=2022,8,IF(YEAR(revenue[orderDate])=2023,9,IF(YEAR(revenue[orderDate])=2024,10,NA))),FALSE)</f>
        <v>22.77098295</v>
      </c>
      <c r="K719" s="9">
        <v>34.0</v>
      </c>
      <c r="L719" s="25">
        <f>(revenue[orderPrice]-revenue[productCost])/revenue[productCost]</f>
        <v>0.4931283415</v>
      </c>
      <c r="M719" s="10">
        <v>10.0</v>
      </c>
      <c r="N719" s="25">
        <v>0.05</v>
      </c>
      <c r="O719" s="9">
        <f>revenue[orderPrice]*revenue[orderQuantity]</f>
        <v>340</v>
      </c>
      <c r="P719" s="9">
        <f>revenue[orderTotal]*(1-revenue[discountApllied])</f>
        <v>323</v>
      </c>
      <c r="Q719" s="9">
        <f>revenue[revenue]-(revenue[productCost]*revenue[orderQuantity])</f>
        <v>95.29017054</v>
      </c>
      <c r="R719" s="25">
        <f>IFERROR(revenue[profit]/revenue[revenue], 0)</f>
        <v>0.2950160079</v>
      </c>
      <c r="S719" s="9">
        <f>revenue[productCost]*revenue[orderQuantity]</f>
        <v>227.7098295</v>
      </c>
    </row>
    <row r="720" ht="15.75" customHeight="1">
      <c r="A720" s="6">
        <v>10520.0</v>
      </c>
      <c r="B720" s="7" t="s">
        <v>80</v>
      </c>
      <c r="C720" s="24" t="str">
        <f>VLOOKUP(revenue[customerID],customers[],2,FALSE)</f>
        <v>Santé Gourmet</v>
      </c>
      <c r="D720" s="24" t="str">
        <f>VLOOKUP(revenue[customerID],customers[],6,FALSE)</f>
        <v>Stavern</v>
      </c>
      <c r="E720" s="24" t="str">
        <f>VLOOKUP(revenue[customerID],customers[],9,FALSE)</f>
        <v>Norway</v>
      </c>
      <c r="F720" s="24">
        <v>45045.0</v>
      </c>
      <c r="G720" s="6">
        <v>24.0</v>
      </c>
      <c r="H720" s="9" t="str">
        <f>VLOOKUP(revenue[productID],products[],2,FALSE)</f>
        <v>Brigadeiros Maravilhosos da Lilian</v>
      </c>
      <c r="I720" s="9" t="str">
        <f>VLOOKUP(revenue[productID],products[],12,FALSE)</f>
        <v>Confections</v>
      </c>
      <c r="J720" s="9">
        <f>VLOOKUP(revenue[productID],products[],IF(YEAR(revenue[orderDate])=2022,8,IF(YEAR(revenue[orderDate])=2023,9,IF(YEAR(revenue[orderDate])=2024,10,NA))),FALSE)</f>
        <v>3.131783363</v>
      </c>
      <c r="K720" s="9">
        <v>4.5</v>
      </c>
      <c r="L720" s="25">
        <f>(revenue[orderPrice]-revenue[productCost])/revenue[productCost]</f>
        <v>0.4368809967</v>
      </c>
      <c r="M720" s="10">
        <v>8.0</v>
      </c>
      <c r="N720" s="25">
        <v>0.0</v>
      </c>
      <c r="O720" s="9">
        <f>revenue[orderPrice]*revenue[orderQuantity]</f>
        <v>36</v>
      </c>
      <c r="P720" s="9">
        <f>revenue[orderTotal]*(1-revenue[discountApllied])</f>
        <v>36</v>
      </c>
      <c r="Q720" s="9">
        <f>revenue[revenue]-(revenue[productCost]*revenue[orderQuantity])</f>
        <v>10.9457331</v>
      </c>
      <c r="R720" s="25">
        <f>IFERROR(revenue[profit]/revenue[revenue], 0)</f>
        <v>0.3040481416</v>
      </c>
      <c r="S720" s="9">
        <f>revenue[productCost]*revenue[orderQuantity]</f>
        <v>25.0542669</v>
      </c>
    </row>
    <row r="721" ht="15.75" customHeight="1">
      <c r="A721" s="6">
        <v>10520.0</v>
      </c>
      <c r="B721" s="7" t="s">
        <v>80</v>
      </c>
      <c r="C721" s="24" t="str">
        <f>VLOOKUP(revenue[customerID],customers[],2,FALSE)</f>
        <v>Santé Gourmet</v>
      </c>
      <c r="D721" s="24" t="str">
        <f>VLOOKUP(revenue[customerID],customers[],6,FALSE)</f>
        <v>Stavern</v>
      </c>
      <c r="E721" s="24" t="str">
        <f>VLOOKUP(revenue[customerID],customers[],9,FALSE)</f>
        <v>Norway</v>
      </c>
      <c r="F721" s="24">
        <v>45045.0</v>
      </c>
      <c r="G721" s="6">
        <v>53.0</v>
      </c>
      <c r="H721" s="9" t="str">
        <f>VLOOKUP(revenue[productID],products[],2,FALSE)</f>
        <v>Perth Pasties</v>
      </c>
      <c r="I721" s="9" t="str">
        <f>VLOOKUP(revenue[productID],products[],12,FALSE)</f>
        <v>Meat/Poultry</v>
      </c>
      <c r="J721" s="9">
        <f>VLOOKUP(revenue[productID],products[],IF(YEAR(revenue[orderDate])=2022,8,IF(YEAR(revenue[orderDate])=2023,9,IF(YEAR(revenue[orderDate])=2024,10,NA))),FALSE)</f>
        <v>21.81491556</v>
      </c>
      <c r="K721" s="9">
        <v>32.8</v>
      </c>
      <c r="L721" s="25">
        <f>(revenue[orderPrice]-revenue[productCost])/revenue[productCost]</f>
        <v>0.5035584214</v>
      </c>
      <c r="M721" s="10">
        <v>5.0</v>
      </c>
      <c r="N721" s="25">
        <v>0.0</v>
      </c>
      <c r="O721" s="9">
        <f>revenue[orderPrice]*revenue[orderQuantity]</f>
        <v>164</v>
      </c>
      <c r="P721" s="9">
        <f>revenue[orderTotal]*(1-revenue[discountApllied])</f>
        <v>164</v>
      </c>
      <c r="Q721" s="9">
        <f>revenue[revenue]-(revenue[productCost]*revenue[orderQuantity])</f>
        <v>54.92542221</v>
      </c>
      <c r="R721" s="25">
        <f>IFERROR(revenue[profit]/revenue[revenue], 0)</f>
        <v>0.334911111</v>
      </c>
      <c r="S721" s="9">
        <f>revenue[productCost]*revenue[orderQuantity]</f>
        <v>109.0745778</v>
      </c>
    </row>
    <row r="722" ht="15.75" customHeight="1">
      <c r="A722" s="6">
        <v>10521.0</v>
      </c>
      <c r="B722" s="7" t="s">
        <v>93</v>
      </c>
      <c r="C722" s="24" t="str">
        <f>VLOOKUP(revenue[customerID],customers[],2,FALSE)</f>
        <v>Cactus Comidas para llevar</v>
      </c>
      <c r="D722" s="24" t="str">
        <f>VLOOKUP(revenue[customerID],customers[],6,FALSE)</f>
        <v>Buenos Aires</v>
      </c>
      <c r="E722" s="24" t="str">
        <f>VLOOKUP(revenue[customerID],customers[],9,FALSE)</f>
        <v>Argentina</v>
      </c>
      <c r="F722" s="24">
        <v>45045.0</v>
      </c>
      <c r="G722" s="6">
        <v>35.0</v>
      </c>
      <c r="H722" s="9" t="str">
        <f>VLOOKUP(revenue[productID],products[],2,FALSE)</f>
        <v>Cold Brew Nitro</v>
      </c>
      <c r="I722" s="9" t="str">
        <f>VLOOKUP(revenue[productID],products[],12,FALSE)</f>
        <v>Beverages</v>
      </c>
      <c r="J722" s="9">
        <f>VLOOKUP(revenue[productID],products[],IF(YEAR(revenue[orderDate])=2022,8,IF(YEAR(revenue[orderDate])=2023,9,IF(YEAR(revenue[orderDate])=2024,10,NA))),FALSE)</f>
        <v>11.7602531</v>
      </c>
      <c r="K722" s="9">
        <v>18.0</v>
      </c>
      <c r="L722" s="25">
        <f>(revenue[orderPrice]-revenue[productCost])/revenue[productCost]</f>
        <v>0.5305793033</v>
      </c>
      <c r="M722" s="10">
        <v>3.0</v>
      </c>
      <c r="N722" s="25">
        <v>0.0</v>
      </c>
      <c r="O722" s="9">
        <f>revenue[orderPrice]*revenue[orderQuantity]</f>
        <v>54</v>
      </c>
      <c r="P722" s="9">
        <f>revenue[orderTotal]*(1-revenue[discountApllied])</f>
        <v>54</v>
      </c>
      <c r="Q722" s="9">
        <f>revenue[revenue]-(revenue[productCost]*revenue[orderQuantity])</f>
        <v>18.71924069</v>
      </c>
      <c r="R722" s="25">
        <f>IFERROR(revenue[profit]/revenue[revenue], 0)</f>
        <v>0.3466526054</v>
      </c>
      <c r="S722" s="9">
        <f>revenue[productCost]*revenue[orderQuantity]</f>
        <v>35.28075931</v>
      </c>
    </row>
    <row r="723" ht="15.75" customHeight="1">
      <c r="A723" s="6">
        <v>10521.0</v>
      </c>
      <c r="B723" s="7" t="s">
        <v>93</v>
      </c>
      <c r="C723" s="24" t="str">
        <f>VLOOKUP(revenue[customerID],customers[],2,FALSE)</f>
        <v>Cactus Comidas para llevar</v>
      </c>
      <c r="D723" s="24" t="str">
        <f>VLOOKUP(revenue[customerID],customers[],6,FALSE)</f>
        <v>Buenos Aires</v>
      </c>
      <c r="E723" s="24" t="str">
        <f>VLOOKUP(revenue[customerID],customers[],9,FALSE)</f>
        <v>Argentina</v>
      </c>
      <c r="F723" s="24">
        <v>45045.0</v>
      </c>
      <c r="G723" s="6">
        <v>41.0</v>
      </c>
      <c r="H723" s="9" t="str">
        <f>VLOOKUP(revenue[productID],products[],2,FALSE)</f>
        <v>Jack's New England Clam Chowder</v>
      </c>
      <c r="I723" s="9" t="str">
        <f>VLOOKUP(revenue[productID],products[],12,FALSE)</f>
        <v>Seafood</v>
      </c>
      <c r="J723" s="9">
        <f>VLOOKUP(revenue[productID],products[],IF(YEAR(revenue[orderDate])=2022,8,IF(YEAR(revenue[orderDate])=2023,9,IF(YEAR(revenue[orderDate])=2024,10,NA))),FALSE)</f>
        <v>6.549914856</v>
      </c>
      <c r="K723" s="9">
        <v>9.65</v>
      </c>
      <c r="L723" s="25">
        <f>(revenue[orderPrice]-revenue[productCost])/revenue[productCost]</f>
        <v>0.4733015943</v>
      </c>
      <c r="M723" s="10">
        <v>10.0</v>
      </c>
      <c r="N723" s="25">
        <v>0.0</v>
      </c>
      <c r="O723" s="9">
        <f>revenue[orderPrice]*revenue[orderQuantity]</f>
        <v>96.5</v>
      </c>
      <c r="P723" s="9">
        <f>revenue[orderTotal]*(1-revenue[discountApllied])</f>
        <v>96.5</v>
      </c>
      <c r="Q723" s="9">
        <f>revenue[revenue]-(revenue[productCost]*revenue[orderQuantity])</f>
        <v>31.00085144</v>
      </c>
      <c r="R723" s="25">
        <f>IFERROR(revenue[profit]/revenue[revenue], 0)</f>
        <v>0.3212523465</v>
      </c>
      <c r="S723" s="9">
        <f>revenue[productCost]*revenue[orderQuantity]</f>
        <v>65.49914856</v>
      </c>
    </row>
    <row r="724" ht="15.75" customHeight="1">
      <c r="A724" s="6">
        <v>10521.0</v>
      </c>
      <c r="B724" s="7" t="s">
        <v>93</v>
      </c>
      <c r="C724" s="24" t="str">
        <f>VLOOKUP(revenue[customerID],customers[],2,FALSE)</f>
        <v>Cactus Comidas para llevar</v>
      </c>
      <c r="D724" s="24" t="str">
        <f>VLOOKUP(revenue[customerID],customers[],6,FALSE)</f>
        <v>Buenos Aires</v>
      </c>
      <c r="E724" s="24" t="str">
        <f>VLOOKUP(revenue[customerID],customers[],9,FALSE)</f>
        <v>Argentina</v>
      </c>
      <c r="F724" s="24">
        <v>45045.0</v>
      </c>
      <c r="G724" s="6">
        <v>68.0</v>
      </c>
      <c r="H724" s="9" t="str">
        <f>VLOOKUP(revenue[productID],products[],2,FALSE)</f>
        <v>Scottish Longbreads</v>
      </c>
      <c r="I724" s="9" t="str">
        <f>VLOOKUP(revenue[productID],products[],12,FALSE)</f>
        <v>Confections</v>
      </c>
      <c r="J724" s="9">
        <f>VLOOKUP(revenue[productID],products[],IF(YEAR(revenue[orderDate])=2022,8,IF(YEAR(revenue[orderDate])=2023,9,IF(YEAR(revenue[orderDate])=2024,10,NA))),FALSE)</f>
        <v>8.500000387</v>
      </c>
      <c r="K724" s="9">
        <v>12.5</v>
      </c>
      <c r="L724" s="25">
        <f>(revenue[orderPrice]-revenue[productCost])/revenue[productCost]</f>
        <v>0.4705881684</v>
      </c>
      <c r="M724" s="10">
        <v>6.0</v>
      </c>
      <c r="N724" s="25">
        <v>0.0</v>
      </c>
      <c r="O724" s="9">
        <f>revenue[orderPrice]*revenue[orderQuantity]</f>
        <v>75</v>
      </c>
      <c r="P724" s="9">
        <f>revenue[orderTotal]*(1-revenue[discountApllied])</f>
        <v>75</v>
      </c>
      <c r="Q724" s="9">
        <f>revenue[revenue]-(revenue[productCost]*revenue[orderQuantity])</f>
        <v>23.99999768</v>
      </c>
      <c r="R724" s="25">
        <f>IFERROR(revenue[profit]/revenue[revenue], 0)</f>
        <v>0.3199999691</v>
      </c>
      <c r="S724" s="9">
        <f>revenue[productCost]*revenue[orderQuantity]</f>
        <v>51.00000232</v>
      </c>
    </row>
    <row r="725" ht="15.75" customHeight="1">
      <c r="A725" s="6">
        <v>10522.0</v>
      </c>
      <c r="B725" s="7" t="s">
        <v>41</v>
      </c>
      <c r="C725" s="24" t="str">
        <f>VLOOKUP(revenue[customerID],customers[],2,FALSE)</f>
        <v>Lehmanns Marktstand</v>
      </c>
      <c r="D725" s="24" t="str">
        <f>VLOOKUP(revenue[customerID],customers[],6,FALSE)</f>
        <v>Frankfurt a.M.</v>
      </c>
      <c r="E725" s="24" t="str">
        <f>VLOOKUP(revenue[customerID],customers[],9,FALSE)</f>
        <v>Germany</v>
      </c>
      <c r="F725" s="24">
        <v>45046.0</v>
      </c>
      <c r="G725" s="6">
        <v>1.0</v>
      </c>
      <c r="H725" s="9" t="str">
        <f>VLOOKUP(revenue[productID],products[],2,FALSE)</f>
        <v>Chai</v>
      </c>
      <c r="I725" s="9" t="str">
        <f>VLOOKUP(revenue[productID],products[],12,FALSE)</f>
        <v>Beverages</v>
      </c>
      <c r="J725" s="9">
        <f>VLOOKUP(revenue[productID],products[],IF(YEAR(revenue[orderDate])=2022,8,IF(YEAR(revenue[orderDate])=2023,9,IF(YEAR(revenue[orderDate])=2024,10,NA))),FALSE)</f>
        <v>12.15847607</v>
      </c>
      <c r="K725" s="9">
        <v>18.0</v>
      </c>
      <c r="L725" s="25">
        <f>(revenue[orderPrice]-revenue[productCost])/revenue[productCost]</f>
        <v>0.4804486927</v>
      </c>
      <c r="M725" s="10">
        <v>40.0</v>
      </c>
      <c r="N725" s="25">
        <v>0.2</v>
      </c>
      <c r="O725" s="9">
        <f>revenue[orderPrice]*revenue[orderQuantity]</f>
        <v>720</v>
      </c>
      <c r="P725" s="9">
        <f>revenue[orderTotal]*(1-revenue[discountApllied])</f>
        <v>576</v>
      </c>
      <c r="Q725" s="9">
        <f>revenue[revenue]-(revenue[productCost]*revenue[orderQuantity])</f>
        <v>89.66095728</v>
      </c>
      <c r="R725" s="25">
        <f>IFERROR(revenue[profit]/revenue[revenue], 0)</f>
        <v>0.1556613842</v>
      </c>
      <c r="S725" s="9">
        <f>revenue[productCost]*revenue[orderQuantity]</f>
        <v>486.3390427</v>
      </c>
    </row>
    <row r="726" ht="15.75" customHeight="1">
      <c r="A726" s="6">
        <v>10522.0</v>
      </c>
      <c r="B726" s="7" t="s">
        <v>41</v>
      </c>
      <c r="C726" s="24" t="str">
        <f>VLOOKUP(revenue[customerID],customers[],2,FALSE)</f>
        <v>Lehmanns Marktstand</v>
      </c>
      <c r="D726" s="24" t="str">
        <f>VLOOKUP(revenue[customerID],customers[],6,FALSE)</f>
        <v>Frankfurt a.M.</v>
      </c>
      <c r="E726" s="24" t="str">
        <f>VLOOKUP(revenue[customerID],customers[],9,FALSE)</f>
        <v>Germany</v>
      </c>
      <c r="F726" s="24">
        <v>45046.0</v>
      </c>
      <c r="G726" s="6">
        <v>8.0</v>
      </c>
      <c r="H726" s="9" t="str">
        <f>VLOOKUP(revenue[productID],products[],2,FALSE)</f>
        <v>Northwoods Cranberry Sauce</v>
      </c>
      <c r="I726" s="9" t="str">
        <f>VLOOKUP(revenue[productID],products[],12,FALSE)</f>
        <v>Condiments</v>
      </c>
      <c r="J726" s="9">
        <f>VLOOKUP(revenue[productID],products[],IF(YEAR(revenue[orderDate])=2022,8,IF(YEAR(revenue[orderDate])=2023,9,IF(YEAR(revenue[orderDate])=2024,10,NA))),FALSE)</f>
        <v>26.10620486</v>
      </c>
      <c r="K726" s="9">
        <v>40.0</v>
      </c>
      <c r="L726" s="25">
        <f>(revenue[orderPrice]-revenue[productCost])/revenue[productCost]</f>
        <v>0.5322027928</v>
      </c>
      <c r="M726" s="10">
        <v>24.0</v>
      </c>
      <c r="N726" s="25">
        <v>0.0</v>
      </c>
      <c r="O726" s="9">
        <f>revenue[orderPrice]*revenue[orderQuantity]</f>
        <v>960</v>
      </c>
      <c r="P726" s="9">
        <f>revenue[orderTotal]*(1-revenue[discountApllied])</f>
        <v>960</v>
      </c>
      <c r="Q726" s="9">
        <f>revenue[revenue]-(revenue[productCost]*revenue[orderQuantity])</f>
        <v>333.4510833</v>
      </c>
      <c r="R726" s="25">
        <f>IFERROR(revenue[profit]/revenue[revenue], 0)</f>
        <v>0.3473448784</v>
      </c>
      <c r="S726" s="9">
        <f>revenue[productCost]*revenue[orderQuantity]</f>
        <v>626.5489167</v>
      </c>
    </row>
    <row r="727" ht="15.75" customHeight="1">
      <c r="A727" s="6">
        <v>10522.0</v>
      </c>
      <c r="B727" s="7" t="s">
        <v>41</v>
      </c>
      <c r="C727" s="24" t="str">
        <f>VLOOKUP(revenue[customerID],customers[],2,FALSE)</f>
        <v>Lehmanns Marktstand</v>
      </c>
      <c r="D727" s="24" t="str">
        <f>VLOOKUP(revenue[customerID],customers[],6,FALSE)</f>
        <v>Frankfurt a.M.</v>
      </c>
      <c r="E727" s="24" t="str">
        <f>VLOOKUP(revenue[customerID],customers[],9,FALSE)</f>
        <v>Germany</v>
      </c>
      <c r="F727" s="24">
        <v>45046.0</v>
      </c>
      <c r="G727" s="6">
        <v>30.0</v>
      </c>
      <c r="H727" s="9" t="str">
        <f>VLOOKUP(revenue[productID],products[],2,FALSE)</f>
        <v>Nord-Ost Matjeshering</v>
      </c>
      <c r="I727" s="9" t="str">
        <f>VLOOKUP(revenue[productID],products[],12,FALSE)</f>
        <v>Seafood</v>
      </c>
      <c r="J727" s="9">
        <f>VLOOKUP(revenue[productID],products[],IF(YEAR(revenue[orderDate])=2022,8,IF(YEAR(revenue[orderDate])=2023,9,IF(YEAR(revenue[orderDate])=2024,10,NA))),FALSE)</f>
        <v>16.03885249</v>
      </c>
      <c r="K727" s="9">
        <v>25.89</v>
      </c>
      <c r="L727" s="25">
        <f>(revenue[orderPrice]-revenue[productCost])/revenue[productCost]</f>
        <v>0.6142052564</v>
      </c>
      <c r="M727" s="10">
        <v>20.0</v>
      </c>
      <c r="N727" s="25">
        <v>0.2</v>
      </c>
      <c r="O727" s="9">
        <f>revenue[orderPrice]*revenue[orderQuantity]</f>
        <v>517.8</v>
      </c>
      <c r="P727" s="9">
        <f>revenue[orderTotal]*(1-revenue[discountApllied])</f>
        <v>414.24</v>
      </c>
      <c r="Q727" s="9">
        <f>revenue[revenue]-(revenue[productCost]*revenue[orderQuantity])</f>
        <v>93.46295015</v>
      </c>
      <c r="R727" s="25">
        <f>IFERROR(revenue[profit]/revenue[revenue], 0)</f>
        <v>0.2256251211</v>
      </c>
      <c r="S727" s="9">
        <f>revenue[productCost]*revenue[orderQuantity]</f>
        <v>320.7770499</v>
      </c>
    </row>
    <row r="728" ht="15.75" customHeight="1">
      <c r="A728" s="6">
        <v>10522.0</v>
      </c>
      <c r="B728" s="7" t="s">
        <v>41</v>
      </c>
      <c r="C728" s="24" t="str">
        <f>VLOOKUP(revenue[customerID],customers[],2,FALSE)</f>
        <v>Lehmanns Marktstand</v>
      </c>
      <c r="D728" s="24" t="str">
        <f>VLOOKUP(revenue[customerID],customers[],6,FALSE)</f>
        <v>Frankfurt a.M.</v>
      </c>
      <c r="E728" s="24" t="str">
        <f>VLOOKUP(revenue[customerID],customers[],9,FALSE)</f>
        <v>Germany</v>
      </c>
      <c r="F728" s="24">
        <v>45046.0</v>
      </c>
      <c r="G728" s="6">
        <v>40.0</v>
      </c>
      <c r="H728" s="9" t="str">
        <f>VLOOKUP(revenue[productID],products[],2,FALSE)</f>
        <v>Boston Crab Meat</v>
      </c>
      <c r="I728" s="9" t="str">
        <f>VLOOKUP(revenue[productID],products[],12,FALSE)</f>
        <v>Seafood</v>
      </c>
      <c r="J728" s="9">
        <f>VLOOKUP(revenue[productID],products[],IF(YEAR(revenue[orderDate])=2022,8,IF(YEAR(revenue[orderDate])=2023,9,IF(YEAR(revenue[orderDate])=2024,10,NA))),FALSE)</f>
        <v>11.40496523</v>
      </c>
      <c r="K728" s="9">
        <v>18.4</v>
      </c>
      <c r="L728" s="25">
        <f>(revenue[orderPrice]-revenue[productCost])/revenue[productCost]</f>
        <v>0.6133324069</v>
      </c>
      <c r="M728" s="10">
        <v>25.0</v>
      </c>
      <c r="N728" s="25">
        <v>0.2</v>
      </c>
      <c r="O728" s="9">
        <f>revenue[orderPrice]*revenue[orderQuantity]</f>
        <v>460</v>
      </c>
      <c r="P728" s="9">
        <f>revenue[orderTotal]*(1-revenue[discountApllied])</f>
        <v>368</v>
      </c>
      <c r="Q728" s="9">
        <f>revenue[revenue]-(revenue[productCost]*revenue[orderQuantity])</f>
        <v>82.87586932</v>
      </c>
      <c r="R728" s="25">
        <f>IFERROR(revenue[profit]/revenue[revenue], 0)</f>
        <v>0.2252061666</v>
      </c>
      <c r="S728" s="9">
        <f>revenue[productCost]*revenue[orderQuantity]</f>
        <v>285.1241307</v>
      </c>
    </row>
    <row r="729" ht="15.75" customHeight="1">
      <c r="A729" s="6">
        <v>10523.0</v>
      </c>
      <c r="B729" s="7" t="s">
        <v>71</v>
      </c>
      <c r="C729" s="24" t="str">
        <f>VLOOKUP(revenue[customerID],customers[],2,FALSE)</f>
        <v>Seven Seas Imports</v>
      </c>
      <c r="D729" s="24" t="str">
        <f>VLOOKUP(revenue[customerID],customers[],6,FALSE)</f>
        <v>London</v>
      </c>
      <c r="E729" s="24" t="str">
        <f>VLOOKUP(revenue[customerID],customers[],9,FALSE)</f>
        <v>UK</v>
      </c>
      <c r="F729" s="24">
        <v>45047.0</v>
      </c>
      <c r="G729" s="6">
        <v>17.0</v>
      </c>
      <c r="H729" s="9" t="str">
        <f>VLOOKUP(revenue[productID],products[],2,FALSE)</f>
        <v>Alice Mutton</v>
      </c>
      <c r="I729" s="9" t="str">
        <f>VLOOKUP(revenue[productID],products[],12,FALSE)</f>
        <v>Meat/Poultry</v>
      </c>
      <c r="J729" s="9">
        <f>VLOOKUP(revenue[productID],products[],IF(YEAR(revenue[orderDate])=2022,8,IF(YEAR(revenue[orderDate])=2023,9,IF(YEAR(revenue[orderDate])=2024,10,NA))),FALSE)</f>
        <v>24.83130504</v>
      </c>
      <c r="K729" s="9">
        <v>39.0</v>
      </c>
      <c r="L729" s="25">
        <f>(revenue[orderPrice]-revenue[productCost])/revenue[productCost]</f>
        <v>0.5705980792</v>
      </c>
      <c r="M729" s="10">
        <v>25.0</v>
      </c>
      <c r="N729" s="25">
        <v>0.1</v>
      </c>
      <c r="O729" s="9">
        <f>revenue[orderPrice]*revenue[orderQuantity]</f>
        <v>975</v>
      </c>
      <c r="P729" s="9">
        <f>revenue[orderTotal]*(1-revenue[discountApllied])</f>
        <v>877.5</v>
      </c>
      <c r="Q729" s="9">
        <f>revenue[revenue]-(revenue[productCost]*revenue[orderQuantity])</f>
        <v>256.717374</v>
      </c>
      <c r="R729" s="25">
        <f>IFERROR(revenue[profit]/revenue[revenue], 0)</f>
        <v>0.292555412</v>
      </c>
      <c r="S729" s="9">
        <f>revenue[productCost]*revenue[orderQuantity]</f>
        <v>620.782626</v>
      </c>
    </row>
    <row r="730" ht="15.75" customHeight="1">
      <c r="A730" s="6">
        <v>10523.0</v>
      </c>
      <c r="B730" s="7" t="s">
        <v>71</v>
      </c>
      <c r="C730" s="24" t="str">
        <f>VLOOKUP(revenue[customerID],customers[],2,FALSE)</f>
        <v>Seven Seas Imports</v>
      </c>
      <c r="D730" s="24" t="str">
        <f>VLOOKUP(revenue[customerID],customers[],6,FALSE)</f>
        <v>London</v>
      </c>
      <c r="E730" s="24" t="str">
        <f>VLOOKUP(revenue[customerID],customers[],9,FALSE)</f>
        <v>UK</v>
      </c>
      <c r="F730" s="24">
        <v>45047.0</v>
      </c>
      <c r="G730" s="6">
        <v>20.0</v>
      </c>
      <c r="H730" s="9" t="str">
        <f>VLOOKUP(revenue[productID],products[],2,FALSE)</f>
        <v>Sir Rodney's Marmalade</v>
      </c>
      <c r="I730" s="9" t="str">
        <f>VLOOKUP(revenue[productID],products[],12,FALSE)</f>
        <v>Confections</v>
      </c>
      <c r="J730" s="9">
        <f>VLOOKUP(revenue[productID],products[],IF(YEAR(revenue[orderDate])=2022,8,IF(YEAR(revenue[orderDate])=2023,9,IF(YEAR(revenue[orderDate])=2024,10,NA))),FALSE)</f>
        <v>57.29342071</v>
      </c>
      <c r="K730" s="9">
        <v>81.0</v>
      </c>
      <c r="L730" s="25">
        <f>(revenue[orderPrice]-revenue[productCost])/revenue[productCost]</f>
        <v>0.4137748976</v>
      </c>
      <c r="M730" s="10">
        <v>15.0</v>
      </c>
      <c r="N730" s="25">
        <v>0.1</v>
      </c>
      <c r="O730" s="9">
        <f>revenue[orderPrice]*revenue[orderQuantity]</f>
        <v>1215</v>
      </c>
      <c r="P730" s="9">
        <f>revenue[orderTotal]*(1-revenue[discountApllied])</f>
        <v>1093.5</v>
      </c>
      <c r="Q730" s="9">
        <f>revenue[revenue]-(revenue[productCost]*revenue[orderQuantity])</f>
        <v>234.0986894</v>
      </c>
      <c r="R730" s="25">
        <f>IFERROR(revenue[profit]/revenue[revenue], 0)</f>
        <v>0.2140820204</v>
      </c>
      <c r="S730" s="9">
        <f>revenue[productCost]*revenue[orderQuantity]</f>
        <v>859.4013106</v>
      </c>
    </row>
    <row r="731" ht="15.75" customHeight="1">
      <c r="A731" s="6">
        <v>10523.0</v>
      </c>
      <c r="B731" s="7" t="s">
        <v>71</v>
      </c>
      <c r="C731" s="24" t="str">
        <f>VLOOKUP(revenue[customerID],customers[],2,FALSE)</f>
        <v>Seven Seas Imports</v>
      </c>
      <c r="D731" s="24" t="str">
        <f>VLOOKUP(revenue[customerID],customers[],6,FALSE)</f>
        <v>London</v>
      </c>
      <c r="E731" s="24" t="str">
        <f>VLOOKUP(revenue[customerID],customers[],9,FALSE)</f>
        <v>UK</v>
      </c>
      <c r="F731" s="24">
        <v>45047.0</v>
      </c>
      <c r="G731" s="6">
        <v>37.0</v>
      </c>
      <c r="H731" s="9" t="str">
        <f>VLOOKUP(revenue[productID],products[],2,FALSE)</f>
        <v>Gravad lax</v>
      </c>
      <c r="I731" s="9" t="str">
        <f>VLOOKUP(revenue[productID],products[],12,FALSE)</f>
        <v>Seafood</v>
      </c>
      <c r="J731" s="9">
        <f>VLOOKUP(revenue[productID],products[],IF(YEAR(revenue[orderDate])=2022,8,IF(YEAR(revenue[orderDate])=2023,9,IF(YEAR(revenue[orderDate])=2024,10,NA))),FALSE)</f>
        <v>15.96170586</v>
      </c>
      <c r="K731" s="9">
        <v>26.0</v>
      </c>
      <c r="L731" s="25">
        <f>(revenue[orderPrice]-revenue[productCost])/revenue[productCost]</f>
        <v>0.6288985793</v>
      </c>
      <c r="M731" s="10">
        <v>18.0</v>
      </c>
      <c r="N731" s="25">
        <v>0.1</v>
      </c>
      <c r="O731" s="9">
        <f>revenue[orderPrice]*revenue[orderQuantity]</f>
        <v>468</v>
      </c>
      <c r="P731" s="9">
        <f>revenue[orderTotal]*(1-revenue[discountApllied])</f>
        <v>421.2</v>
      </c>
      <c r="Q731" s="9">
        <f>revenue[revenue]-(revenue[productCost]*revenue[orderQuantity])</f>
        <v>133.8892945</v>
      </c>
      <c r="R731" s="25">
        <f>IFERROR(revenue[profit]/revenue[revenue], 0)</f>
        <v>0.3178758179</v>
      </c>
      <c r="S731" s="9">
        <f>revenue[productCost]*revenue[orderQuantity]</f>
        <v>287.3107055</v>
      </c>
    </row>
    <row r="732" ht="15.75" customHeight="1">
      <c r="A732" s="6">
        <v>10523.0</v>
      </c>
      <c r="B732" s="7" t="s">
        <v>71</v>
      </c>
      <c r="C732" s="24" t="str">
        <f>VLOOKUP(revenue[customerID],customers[],2,FALSE)</f>
        <v>Seven Seas Imports</v>
      </c>
      <c r="D732" s="24" t="str">
        <f>VLOOKUP(revenue[customerID],customers[],6,FALSE)</f>
        <v>London</v>
      </c>
      <c r="E732" s="24" t="str">
        <f>VLOOKUP(revenue[customerID],customers[],9,FALSE)</f>
        <v>UK</v>
      </c>
      <c r="F732" s="24">
        <v>45047.0</v>
      </c>
      <c r="G732" s="6">
        <v>41.0</v>
      </c>
      <c r="H732" s="9" t="str">
        <f>VLOOKUP(revenue[productID],products[],2,FALSE)</f>
        <v>Jack's New England Clam Chowder</v>
      </c>
      <c r="I732" s="9" t="str">
        <f>VLOOKUP(revenue[productID],products[],12,FALSE)</f>
        <v>Seafood</v>
      </c>
      <c r="J732" s="9">
        <f>VLOOKUP(revenue[productID],products[],IF(YEAR(revenue[orderDate])=2022,8,IF(YEAR(revenue[orderDate])=2023,9,IF(YEAR(revenue[orderDate])=2024,10,NA))),FALSE)</f>
        <v>6.549914856</v>
      </c>
      <c r="K732" s="9">
        <v>9.65</v>
      </c>
      <c r="L732" s="25">
        <f>(revenue[orderPrice]-revenue[productCost])/revenue[productCost]</f>
        <v>0.4733015943</v>
      </c>
      <c r="M732" s="10">
        <v>6.0</v>
      </c>
      <c r="N732" s="25">
        <v>0.1</v>
      </c>
      <c r="O732" s="9">
        <f>revenue[orderPrice]*revenue[orderQuantity]</f>
        <v>57.9</v>
      </c>
      <c r="P732" s="9">
        <f>revenue[orderTotal]*(1-revenue[discountApllied])</f>
        <v>52.11</v>
      </c>
      <c r="Q732" s="9">
        <f>revenue[revenue]-(revenue[productCost]*revenue[orderQuantity])</f>
        <v>12.81051086</v>
      </c>
      <c r="R732" s="25">
        <f>IFERROR(revenue[profit]/revenue[revenue], 0)</f>
        <v>0.2458359406</v>
      </c>
      <c r="S732" s="9">
        <f>revenue[productCost]*revenue[orderQuantity]</f>
        <v>39.29948914</v>
      </c>
    </row>
    <row r="733" ht="15.75" customHeight="1">
      <c r="A733" s="6">
        <v>10524.0</v>
      </c>
      <c r="B733" s="7" t="s">
        <v>40</v>
      </c>
      <c r="C733" s="24" t="str">
        <f>VLOOKUP(revenue[customerID],customers[],2,FALSE)</f>
        <v>Berglunds snabbköp</v>
      </c>
      <c r="D733" s="24" t="str">
        <f>VLOOKUP(revenue[customerID],customers[],6,FALSE)</f>
        <v>Luleå</v>
      </c>
      <c r="E733" s="24" t="str">
        <f>VLOOKUP(revenue[customerID],customers[],9,FALSE)</f>
        <v>Sweden</v>
      </c>
      <c r="F733" s="24">
        <v>45047.0</v>
      </c>
      <c r="G733" s="6">
        <v>10.0</v>
      </c>
      <c r="H733" s="9" t="str">
        <f>VLOOKUP(revenue[productID],products[],2,FALSE)</f>
        <v>Ikura</v>
      </c>
      <c r="I733" s="9" t="str">
        <f>VLOOKUP(revenue[productID],products[],12,FALSE)</f>
        <v>Seafood</v>
      </c>
      <c r="J733" s="9">
        <f>VLOOKUP(revenue[productID],products[],IF(YEAR(revenue[orderDate])=2022,8,IF(YEAR(revenue[orderDate])=2023,9,IF(YEAR(revenue[orderDate])=2024,10,NA))),FALSE)</f>
        <v>20.72721922</v>
      </c>
      <c r="K733" s="9">
        <v>31.0</v>
      </c>
      <c r="L733" s="25">
        <f>(revenue[orderPrice]-revenue[productCost])/revenue[productCost]</f>
        <v>0.4956178962</v>
      </c>
      <c r="M733" s="10">
        <v>2.0</v>
      </c>
      <c r="N733" s="25">
        <v>0.0</v>
      </c>
      <c r="O733" s="9">
        <f>revenue[orderPrice]*revenue[orderQuantity]</f>
        <v>62</v>
      </c>
      <c r="P733" s="9">
        <f>revenue[orderTotal]*(1-revenue[discountApllied])</f>
        <v>62</v>
      </c>
      <c r="Q733" s="9">
        <f>revenue[revenue]-(revenue[productCost]*revenue[orderQuantity])</f>
        <v>20.54556157</v>
      </c>
      <c r="R733" s="25">
        <f>IFERROR(revenue[profit]/revenue[revenue], 0)</f>
        <v>0.3313800252</v>
      </c>
      <c r="S733" s="9">
        <f>revenue[productCost]*revenue[orderQuantity]</f>
        <v>41.45443843</v>
      </c>
    </row>
    <row r="734" ht="15.75" customHeight="1">
      <c r="A734" s="6">
        <v>10524.0</v>
      </c>
      <c r="B734" s="7" t="s">
        <v>40</v>
      </c>
      <c r="C734" s="24" t="str">
        <f>VLOOKUP(revenue[customerID],customers[],2,FALSE)</f>
        <v>Berglunds snabbköp</v>
      </c>
      <c r="D734" s="24" t="str">
        <f>VLOOKUP(revenue[customerID],customers[],6,FALSE)</f>
        <v>Luleå</v>
      </c>
      <c r="E734" s="24" t="str">
        <f>VLOOKUP(revenue[customerID],customers[],9,FALSE)</f>
        <v>Sweden</v>
      </c>
      <c r="F734" s="24">
        <v>45047.0</v>
      </c>
      <c r="G734" s="6">
        <v>30.0</v>
      </c>
      <c r="H734" s="9" t="str">
        <f>VLOOKUP(revenue[productID],products[],2,FALSE)</f>
        <v>Nord-Ost Matjeshering</v>
      </c>
      <c r="I734" s="9" t="str">
        <f>VLOOKUP(revenue[productID],products[],12,FALSE)</f>
        <v>Seafood</v>
      </c>
      <c r="J734" s="9">
        <f>VLOOKUP(revenue[productID],products[],IF(YEAR(revenue[orderDate])=2022,8,IF(YEAR(revenue[orderDate])=2023,9,IF(YEAR(revenue[orderDate])=2024,10,NA))),FALSE)</f>
        <v>16.03885249</v>
      </c>
      <c r="K734" s="9">
        <v>25.89</v>
      </c>
      <c r="L734" s="25">
        <f>(revenue[orderPrice]-revenue[productCost])/revenue[productCost]</f>
        <v>0.6142052564</v>
      </c>
      <c r="M734" s="10">
        <v>10.0</v>
      </c>
      <c r="N734" s="25">
        <v>0.0</v>
      </c>
      <c r="O734" s="9">
        <f>revenue[orderPrice]*revenue[orderQuantity]</f>
        <v>258.9</v>
      </c>
      <c r="P734" s="9">
        <f>revenue[orderTotal]*(1-revenue[discountApllied])</f>
        <v>258.9</v>
      </c>
      <c r="Q734" s="9">
        <f>revenue[revenue]-(revenue[productCost]*revenue[orderQuantity])</f>
        <v>98.51147507</v>
      </c>
      <c r="R734" s="25">
        <f>IFERROR(revenue[profit]/revenue[revenue], 0)</f>
        <v>0.3805000968</v>
      </c>
      <c r="S734" s="9">
        <f>revenue[productCost]*revenue[orderQuantity]</f>
        <v>160.3885249</v>
      </c>
    </row>
    <row r="735" ht="15.75" customHeight="1">
      <c r="A735" s="6">
        <v>10524.0</v>
      </c>
      <c r="B735" s="7" t="s">
        <v>40</v>
      </c>
      <c r="C735" s="24" t="str">
        <f>VLOOKUP(revenue[customerID],customers[],2,FALSE)</f>
        <v>Berglunds snabbköp</v>
      </c>
      <c r="D735" s="24" t="str">
        <f>VLOOKUP(revenue[customerID],customers[],6,FALSE)</f>
        <v>Luleå</v>
      </c>
      <c r="E735" s="24" t="str">
        <f>VLOOKUP(revenue[customerID],customers[],9,FALSE)</f>
        <v>Sweden</v>
      </c>
      <c r="F735" s="24">
        <v>45047.0</v>
      </c>
      <c r="G735" s="6">
        <v>43.0</v>
      </c>
      <c r="H735" s="9" t="str">
        <f>VLOOKUP(revenue[productID],products[],2,FALSE)</f>
        <v>Ipoh Coffee</v>
      </c>
      <c r="I735" s="9" t="str">
        <f>VLOOKUP(revenue[productID],products[],12,FALSE)</f>
        <v>Beverages</v>
      </c>
      <c r="J735" s="9">
        <f>VLOOKUP(revenue[productID],products[],IF(YEAR(revenue[orderDate])=2022,8,IF(YEAR(revenue[orderDate])=2023,9,IF(YEAR(revenue[orderDate])=2024,10,NA))),FALSE)</f>
        <v>30.96256564</v>
      </c>
      <c r="K735" s="9">
        <v>46.0</v>
      </c>
      <c r="L735" s="25">
        <f>(revenue[orderPrice]-revenue[productCost])/revenue[productCost]</f>
        <v>0.4856649976</v>
      </c>
      <c r="M735" s="10">
        <v>60.0</v>
      </c>
      <c r="N735" s="25">
        <v>0.0</v>
      </c>
      <c r="O735" s="9">
        <f>revenue[orderPrice]*revenue[orderQuantity]</f>
        <v>2760</v>
      </c>
      <c r="P735" s="9">
        <f>revenue[orderTotal]*(1-revenue[discountApllied])</f>
        <v>2760</v>
      </c>
      <c r="Q735" s="9">
        <f>revenue[revenue]-(revenue[productCost]*revenue[orderQuantity])</f>
        <v>902.2460619</v>
      </c>
      <c r="R735" s="25">
        <f>IFERROR(revenue[profit]/revenue[revenue], 0)</f>
        <v>0.3269007471</v>
      </c>
      <c r="S735" s="9">
        <f>revenue[productCost]*revenue[orderQuantity]</f>
        <v>1857.753938</v>
      </c>
    </row>
    <row r="736" ht="15.75" customHeight="1">
      <c r="A736" s="6">
        <v>10524.0</v>
      </c>
      <c r="B736" s="7" t="s">
        <v>40</v>
      </c>
      <c r="C736" s="24" t="str">
        <f>VLOOKUP(revenue[customerID],customers[],2,FALSE)</f>
        <v>Berglunds snabbköp</v>
      </c>
      <c r="D736" s="24" t="str">
        <f>VLOOKUP(revenue[customerID],customers[],6,FALSE)</f>
        <v>Luleå</v>
      </c>
      <c r="E736" s="24" t="str">
        <f>VLOOKUP(revenue[customerID],customers[],9,FALSE)</f>
        <v>Sweden</v>
      </c>
      <c r="F736" s="24">
        <v>45047.0</v>
      </c>
      <c r="G736" s="6">
        <v>54.0</v>
      </c>
      <c r="H736" s="9" t="str">
        <f>VLOOKUP(revenue[productID],products[],2,FALSE)</f>
        <v>Tourtière</v>
      </c>
      <c r="I736" s="9" t="str">
        <f>VLOOKUP(revenue[productID],products[],12,FALSE)</f>
        <v>Meat/Poultry</v>
      </c>
      <c r="J736" s="9">
        <f>VLOOKUP(revenue[productID],products[],IF(YEAR(revenue[orderDate])=2022,8,IF(YEAR(revenue[orderDate])=2023,9,IF(YEAR(revenue[orderDate])=2024,10,NA))),FALSE)</f>
        <v>4.924447797</v>
      </c>
      <c r="K736" s="9">
        <v>7.45</v>
      </c>
      <c r="L736" s="25">
        <f>(revenue[orderPrice]-revenue[productCost])/revenue[productCost]</f>
        <v>0.5128599808</v>
      </c>
      <c r="M736" s="10">
        <v>15.0</v>
      </c>
      <c r="N736" s="25">
        <v>0.0</v>
      </c>
      <c r="O736" s="9">
        <f>revenue[orderPrice]*revenue[orderQuantity]</f>
        <v>111.75</v>
      </c>
      <c r="P736" s="9">
        <f>revenue[orderTotal]*(1-revenue[discountApllied])</f>
        <v>111.75</v>
      </c>
      <c r="Q736" s="9">
        <f>revenue[revenue]-(revenue[productCost]*revenue[orderQuantity])</f>
        <v>37.88328304</v>
      </c>
      <c r="R736" s="25">
        <f>IFERROR(revenue[profit]/revenue[revenue], 0)</f>
        <v>0.3390002957</v>
      </c>
      <c r="S736" s="9">
        <f>revenue[productCost]*revenue[orderQuantity]</f>
        <v>73.86671696</v>
      </c>
    </row>
    <row r="737" ht="15.75" customHeight="1">
      <c r="A737" s="6">
        <v>10525.0</v>
      </c>
      <c r="B737" s="7" t="s">
        <v>63</v>
      </c>
      <c r="C737" s="24" t="str">
        <f>VLOOKUP(revenue[customerID],customers[],2,FALSE)</f>
        <v>Bon app'</v>
      </c>
      <c r="D737" s="24" t="str">
        <f>VLOOKUP(revenue[customerID],customers[],6,FALSE)</f>
        <v>Marseille</v>
      </c>
      <c r="E737" s="24" t="str">
        <f>VLOOKUP(revenue[customerID],customers[],9,FALSE)</f>
        <v>France</v>
      </c>
      <c r="F737" s="24">
        <v>45048.0</v>
      </c>
      <c r="G737" s="6">
        <v>36.0</v>
      </c>
      <c r="H737" s="9" t="str">
        <f>VLOOKUP(revenue[productID],products[],2,FALSE)</f>
        <v>Inlagd Sill</v>
      </c>
      <c r="I737" s="9" t="str">
        <f>VLOOKUP(revenue[productID],products[],12,FALSE)</f>
        <v>Seafood</v>
      </c>
      <c r="J737" s="9">
        <f>VLOOKUP(revenue[productID],products[],IF(YEAR(revenue[orderDate])=2022,8,IF(YEAR(revenue[orderDate])=2023,9,IF(YEAR(revenue[orderDate])=2024,10,NA))),FALSE)</f>
        <v>12.15246269</v>
      </c>
      <c r="K737" s="9">
        <v>19.0</v>
      </c>
      <c r="L737" s="25">
        <f>(revenue[orderPrice]-revenue[productCost])/revenue[productCost]</f>
        <v>0.5634691082</v>
      </c>
      <c r="M737" s="10">
        <v>30.0</v>
      </c>
      <c r="N737" s="25">
        <v>0.0</v>
      </c>
      <c r="O737" s="9">
        <f>revenue[orderPrice]*revenue[orderQuantity]</f>
        <v>570</v>
      </c>
      <c r="P737" s="9">
        <f>revenue[orderTotal]*(1-revenue[discountApllied])</f>
        <v>570</v>
      </c>
      <c r="Q737" s="9">
        <f>revenue[revenue]-(revenue[productCost]*revenue[orderQuantity])</f>
        <v>205.4261194</v>
      </c>
      <c r="R737" s="25">
        <f>IFERROR(revenue[profit]/revenue[revenue], 0)</f>
        <v>0.3603967007</v>
      </c>
      <c r="S737" s="9">
        <f>revenue[productCost]*revenue[orderQuantity]</f>
        <v>364.5738806</v>
      </c>
    </row>
    <row r="738" ht="15.75" customHeight="1">
      <c r="A738" s="6">
        <v>10525.0</v>
      </c>
      <c r="B738" s="7" t="s">
        <v>63</v>
      </c>
      <c r="C738" s="24" t="str">
        <f>VLOOKUP(revenue[customerID],customers[],2,FALSE)</f>
        <v>Bon app'</v>
      </c>
      <c r="D738" s="24" t="str">
        <f>VLOOKUP(revenue[customerID],customers[],6,FALSE)</f>
        <v>Marseille</v>
      </c>
      <c r="E738" s="24" t="str">
        <f>VLOOKUP(revenue[customerID],customers[],9,FALSE)</f>
        <v>France</v>
      </c>
      <c r="F738" s="24">
        <v>45048.0</v>
      </c>
      <c r="G738" s="6">
        <v>40.0</v>
      </c>
      <c r="H738" s="9" t="str">
        <f>VLOOKUP(revenue[productID],products[],2,FALSE)</f>
        <v>Boston Crab Meat</v>
      </c>
      <c r="I738" s="9" t="str">
        <f>VLOOKUP(revenue[productID],products[],12,FALSE)</f>
        <v>Seafood</v>
      </c>
      <c r="J738" s="9">
        <f>VLOOKUP(revenue[productID],products[],IF(YEAR(revenue[orderDate])=2022,8,IF(YEAR(revenue[orderDate])=2023,9,IF(YEAR(revenue[orderDate])=2024,10,NA))),FALSE)</f>
        <v>11.40496523</v>
      </c>
      <c r="K738" s="9">
        <v>18.4</v>
      </c>
      <c r="L738" s="25">
        <f>(revenue[orderPrice]-revenue[productCost])/revenue[productCost]</f>
        <v>0.6133324069</v>
      </c>
      <c r="M738" s="10">
        <v>15.0</v>
      </c>
      <c r="N738" s="25">
        <v>0.1</v>
      </c>
      <c r="O738" s="9">
        <f>revenue[orderPrice]*revenue[orderQuantity]</f>
        <v>276</v>
      </c>
      <c r="P738" s="9">
        <f>revenue[orderTotal]*(1-revenue[discountApllied])</f>
        <v>248.4</v>
      </c>
      <c r="Q738" s="9">
        <f>revenue[revenue]-(revenue[productCost]*revenue[orderQuantity])</f>
        <v>77.32552159</v>
      </c>
      <c r="R738" s="25">
        <f>IFERROR(revenue[profit]/revenue[revenue], 0)</f>
        <v>0.3112943703</v>
      </c>
      <c r="S738" s="9">
        <f>revenue[productCost]*revenue[orderQuantity]</f>
        <v>171.0744784</v>
      </c>
    </row>
    <row r="739" ht="15.75" customHeight="1">
      <c r="A739" s="6">
        <v>10526.0</v>
      </c>
      <c r="B739" s="7" t="s">
        <v>31</v>
      </c>
      <c r="C739" s="24" t="str">
        <f>VLOOKUP(revenue[customerID],customers[],2,FALSE)</f>
        <v>Wartian Herkku</v>
      </c>
      <c r="D739" s="24" t="str">
        <f>VLOOKUP(revenue[customerID],customers[],6,FALSE)</f>
        <v>Oulu</v>
      </c>
      <c r="E739" s="24" t="str">
        <f>VLOOKUP(revenue[customerID],customers[],9,FALSE)</f>
        <v>Finland</v>
      </c>
      <c r="F739" s="24">
        <v>45051.0</v>
      </c>
      <c r="G739" s="6">
        <v>1.0</v>
      </c>
      <c r="H739" s="9" t="str">
        <f>VLOOKUP(revenue[productID],products[],2,FALSE)</f>
        <v>Chai</v>
      </c>
      <c r="I739" s="9" t="str">
        <f>VLOOKUP(revenue[productID],products[],12,FALSE)</f>
        <v>Beverages</v>
      </c>
      <c r="J739" s="9">
        <f>VLOOKUP(revenue[productID],products[],IF(YEAR(revenue[orderDate])=2022,8,IF(YEAR(revenue[orderDate])=2023,9,IF(YEAR(revenue[orderDate])=2024,10,NA))),FALSE)</f>
        <v>12.15847607</v>
      </c>
      <c r="K739" s="9">
        <v>18.0</v>
      </c>
      <c r="L739" s="25">
        <f>(revenue[orderPrice]-revenue[productCost])/revenue[productCost]</f>
        <v>0.4804486927</v>
      </c>
      <c r="M739" s="10">
        <v>8.0</v>
      </c>
      <c r="N739" s="25">
        <v>0.15</v>
      </c>
      <c r="O739" s="9">
        <f>revenue[orderPrice]*revenue[orderQuantity]</f>
        <v>144</v>
      </c>
      <c r="P739" s="9">
        <f>revenue[orderTotal]*(1-revenue[discountApllied])</f>
        <v>122.4</v>
      </c>
      <c r="Q739" s="9">
        <f>revenue[revenue]-(revenue[productCost]*revenue[orderQuantity])</f>
        <v>25.13219146</v>
      </c>
      <c r="R739" s="25">
        <f>IFERROR(revenue[profit]/revenue[revenue], 0)</f>
        <v>0.2053283616</v>
      </c>
      <c r="S739" s="9">
        <f>revenue[productCost]*revenue[orderQuantity]</f>
        <v>97.26780854</v>
      </c>
    </row>
    <row r="740" ht="15.75" customHeight="1">
      <c r="A740" s="6">
        <v>10526.0</v>
      </c>
      <c r="B740" s="7" t="s">
        <v>31</v>
      </c>
      <c r="C740" s="24" t="str">
        <f>VLOOKUP(revenue[customerID],customers[],2,FALSE)</f>
        <v>Wartian Herkku</v>
      </c>
      <c r="D740" s="24" t="str">
        <f>VLOOKUP(revenue[customerID],customers[],6,FALSE)</f>
        <v>Oulu</v>
      </c>
      <c r="E740" s="24" t="str">
        <f>VLOOKUP(revenue[customerID],customers[],9,FALSE)</f>
        <v>Finland</v>
      </c>
      <c r="F740" s="24">
        <v>45051.0</v>
      </c>
      <c r="G740" s="6">
        <v>13.0</v>
      </c>
      <c r="H740" s="9" t="str">
        <f>VLOOKUP(revenue[productID],products[],2,FALSE)</f>
        <v>Konbu</v>
      </c>
      <c r="I740" s="9" t="str">
        <f>VLOOKUP(revenue[productID],products[],12,FALSE)</f>
        <v>Seafood</v>
      </c>
      <c r="J740" s="9">
        <f>VLOOKUP(revenue[productID],products[],IF(YEAR(revenue[orderDate])=2022,8,IF(YEAR(revenue[orderDate])=2023,9,IF(YEAR(revenue[orderDate])=2024,10,NA))),FALSE)</f>
        <v>3.865774949</v>
      </c>
      <c r="K740" s="9">
        <v>6.0</v>
      </c>
      <c r="L740" s="25">
        <f>(revenue[orderPrice]-revenue[productCost])/revenue[productCost]</f>
        <v>0.5520820739</v>
      </c>
      <c r="M740" s="10">
        <v>10.0</v>
      </c>
      <c r="N740" s="25">
        <v>0.0</v>
      </c>
      <c r="O740" s="9">
        <f>revenue[orderPrice]*revenue[orderQuantity]</f>
        <v>60</v>
      </c>
      <c r="P740" s="9">
        <f>revenue[orderTotal]*(1-revenue[discountApllied])</f>
        <v>60</v>
      </c>
      <c r="Q740" s="9">
        <f>revenue[revenue]-(revenue[productCost]*revenue[orderQuantity])</f>
        <v>21.34225051</v>
      </c>
      <c r="R740" s="25">
        <f>IFERROR(revenue[profit]/revenue[revenue], 0)</f>
        <v>0.3557041752</v>
      </c>
      <c r="S740" s="9">
        <f>revenue[productCost]*revenue[orderQuantity]</f>
        <v>38.65774949</v>
      </c>
    </row>
    <row r="741" ht="15.75" customHeight="1">
      <c r="A741" s="6">
        <v>10526.0</v>
      </c>
      <c r="B741" s="7" t="s">
        <v>31</v>
      </c>
      <c r="C741" s="24" t="str">
        <f>VLOOKUP(revenue[customerID],customers[],2,FALSE)</f>
        <v>Wartian Herkku</v>
      </c>
      <c r="D741" s="24" t="str">
        <f>VLOOKUP(revenue[customerID],customers[],6,FALSE)</f>
        <v>Oulu</v>
      </c>
      <c r="E741" s="24" t="str">
        <f>VLOOKUP(revenue[customerID],customers[],9,FALSE)</f>
        <v>Finland</v>
      </c>
      <c r="F741" s="24">
        <v>45051.0</v>
      </c>
      <c r="G741" s="6">
        <v>56.0</v>
      </c>
      <c r="H741" s="9" t="str">
        <f>VLOOKUP(revenue[productID],products[],2,FALSE)</f>
        <v>Gnocchi di nonna Alice</v>
      </c>
      <c r="I741" s="9" t="str">
        <f>VLOOKUP(revenue[productID],products[],12,FALSE)</f>
        <v>Grains/Cereals</v>
      </c>
      <c r="J741" s="9">
        <f>VLOOKUP(revenue[productID],products[],IF(YEAR(revenue[orderDate])=2022,8,IF(YEAR(revenue[orderDate])=2023,9,IF(YEAR(revenue[orderDate])=2024,10,NA))),FALSE)</f>
        <v>24.28342441</v>
      </c>
      <c r="K741" s="9">
        <v>38.0</v>
      </c>
      <c r="L741" s="25">
        <f>(revenue[orderPrice]-revenue[productCost])/revenue[productCost]</f>
        <v>0.5648534309</v>
      </c>
      <c r="M741" s="10">
        <v>30.0</v>
      </c>
      <c r="N741" s="25">
        <v>0.15</v>
      </c>
      <c r="O741" s="9">
        <f>revenue[orderPrice]*revenue[orderQuantity]</f>
        <v>1140</v>
      </c>
      <c r="P741" s="9">
        <f>revenue[orderTotal]*(1-revenue[discountApllied])</f>
        <v>969</v>
      </c>
      <c r="Q741" s="9">
        <f>revenue[revenue]-(revenue[productCost]*revenue[orderQuantity])</f>
        <v>240.4972678</v>
      </c>
      <c r="R741" s="25">
        <f>IFERROR(revenue[profit]/revenue[revenue], 0)</f>
        <v>0.2481911948</v>
      </c>
      <c r="S741" s="9">
        <f>revenue[productCost]*revenue[orderQuantity]</f>
        <v>728.5027322</v>
      </c>
    </row>
    <row r="742" ht="15.75" customHeight="1">
      <c r="A742" s="6">
        <v>10527.0</v>
      </c>
      <c r="B742" s="7" t="s">
        <v>36</v>
      </c>
      <c r="C742" s="24" t="str">
        <f>VLOOKUP(revenue[customerID],customers[],2,FALSE)</f>
        <v>QUICK-Stop</v>
      </c>
      <c r="D742" s="24" t="str">
        <f>VLOOKUP(revenue[customerID],customers[],6,FALSE)</f>
        <v>Cunewalde</v>
      </c>
      <c r="E742" s="24" t="str">
        <f>VLOOKUP(revenue[customerID],customers[],9,FALSE)</f>
        <v>Germany</v>
      </c>
      <c r="F742" s="24">
        <v>45051.0</v>
      </c>
      <c r="G742" s="6">
        <v>4.0</v>
      </c>
      <c r="H742" s="9" t="str">
        <f>VLOOKUP(revenue[productID],products[],2,FALSE)</f>
        <v>Chef Anton's Cajun Seasoning</v>
      </c>
      <c r="I742" s="9" t="str">
        <f>VLOOKUP(revenue[productID],products[],12,FALSE)</f>
        <v>Condiments</v>
      </c>
      <c r="J742" s="9">
        <f>VLOOKUP(revenue[productID],products[],IF(YEAR(revenue[orderDate])=2022,8,IF(YEAR(revenue[orderDate])=2023,9,IF(YEAR(revenue[orderDate])=2024,10,NA))),FALSE)</f>
        <v>13.81047124</v>
      </c>
      <c r="K742" s="9">
        <v>22.0</v>
      </c>
      <c r="L742" s="25">
        <f>(revenue[orderPrice]-revenue[productCost])/revenue[productCost]</f>
        <v>0.5929941577</v>
      </c>
      <c r="M742" s="10">
        <v>50.0</v>
      </c>
      <c r="N742" s="25">
        <v>0.1</v>
      </c>
      <c r="O742" s="9">
        <f>revenue[orderPrice]*revenue[orderQuantity]</f>
        <v>1100</v>
      </c>
      <c r="P742" s="9">
        <f>revenue[orderTotal]*(1-revenue[discountApllied])</f>
        <v>990</v>
      </c>
      <c r="Q742" s="9">
        <f>revenue[revenue]-(revenue[productCost]*revenue[orderQuantity])</f>
        <v>299.476438</v>
      </c>
      <c r="R742" s="25">
        <f>IFERROR(revenue[profit]/revenue[revenue], 0)</f>
        <v>0.3025014525</v>
      </c>
      <c r="S742" s="9">
        <f>revenue[productCost]*revenue[orderQuantity]</f>
        <v>690.523562</v>
      </c>
    </row>
    <row r="743" ht="15.75" customHeight="1">
      <c r="A743" s="6">
        <v>10527.0</v>
      </c>
      <c r="B743" s="7" t="s">
        <v>36</v>
      </c>
      <c r="C743" s="24" t="str">
        <f>VLOOKUP(revenue[customerID],customers[],2,FALSE)</f>
        <v>QUICK-Stop</v>
      </c>
      <c r="D743" s="24" t="str">
        <f>VLOOKUP(revenue[customerID],customers[],6,FALSE)</f>
        <v>Cunewalde</v>
      </c>
      <c r="E743" s="24" t="str">
        <f>VLOOKUP(revenue[customerID],customers[],9,FALSE)</f>
        <v>Germany</v>
      </c>
      <c r="F743" s="24">
        <v>45051.0</v>
      </c>
      <c r="G743" s="6">
        <v>36.0</v>
      </c>
      <c r="H743" s="9" t="str">
        <f>VLOOKUP(revenue[productID],products[],2,FALSE)</f>
        <v>Inlagd Sill</v>
      </c>
      <c r="I743" s="9" t="str">
        <f>VLOOKUP(revenue[productID],products[],12,FALSE)</f>
        <v>Seafood</v>
      </c>
      <c r="J743" s="9">
        <f>VLOOKUP(revenue[productID],products[],IF(YEAR(revenue[orderDate])=2022,8,IF(YEAR(revenue[orderDate])=2023,9,IF(YEAR(revenue[orderDate])=2024,10,NA))),FALSE)</f>
        <v>12.15246269</v>
      </c>
      <c r="K743" s="9">
        <v>19.0</v>
      </c>
      <c r="L743" s="25">
        <f>(revenue[orderPrice]-revenue[productCost])/revenue[productCost]</f>
        <v>0.5634691082</v>
      </c>
      <c r="M743" s="10">
        <v>30.0</v>
      </c>
      <c r="N743" s="25">
        <v>0.1</v>
      </c>
      <c r="O743" s="9">
        <f>revenue[orderPrice]*revenue[orderQuantity]</f>
        <v>570</v>
      </c>
      <c r="P743" s="9">
        <f>revenue[orderTotal]*(1-revenue[discountApllied])</f>
        <v>513</v>
      </c>
      <c r="Q743" s="9">
        <f>revenue[revenue]-(revenue[productCost]*revenue[orderQuantity])</f>
        <v>148.4261194</v>
      </c>
      <c r="R743" s="25">
        <f>IFERROR(revenue[profit]/revenue[revenue], 0)</f>
        <v>0.2893296674</v>
      </c>
      <c r="S743" s="9">
        <f>revenue[productCost]*revenue[orderQuantity]</f>
        <v>364.5738806</v>
      </c>
    </row>
    <row r="744" ht="15.75" customHeight="1">
      <c r="A744" s="6">
        <v>10528.0</v>
      </c>
      <c r="B744" s="7" t="s">
        <v>94</v>
      </c>
      <c r="C744" s="24" t="str">
        <f>VLOOKUP(revenue[customerID],customers[],2,FALSE)</f>
        <v>Great Lakes Food Market</v>
      </c>
      <c r="D744" s="24" t="str">
        <f>VLOOKUP(revenue[customerID],customers[],6,FALSE)</f>
        <v>Eugene</v>
      </c>
      <c r="E744" s="24" t="str">
        <f>VLOOKUP(revenue[customerID],customers[],9,FALSE)</f>
        <v>USA</v>
      </c>
      <c r="F744" s="24">
        <v>45052.0</v>
      </c>
      <c r="G744" s="6">
        <v>11.0</v>
      </c>
      <c r="H744" s="9" t="str">
        <f>VLOOKUP(revenue[productID],products[],2,FALSE)</f>
        <v>Queso Cabrales</v>
      </c>
      <c r="I744" s="9" t="str">
        <f>VLOOKUP(revenue[productID],products[],12,FALSE)</f>
        <v>Dairy Products</v>
      </c>
      <c r="J744" s="9">
        <f>VLOOKUP(revenue[productID],products[],IF(YEAR(revenue[orderDate])=2022,8,IF(YEAR(revenue[orderDate])=2023,9,IF(YEAR(revenue[orderDate])=2024,10,NA))),FALSE)</f>
        <v>12.90188125</v>
      </c>
      <c r="K744" s="9">
        <v>21.0</v>
      </c>
      <c r="L744" s="25">
        <f>(revenue[orderPrice]-revenue[productCost])/revenue[productCost]</f>
        <v>0.6276696079</v>
      </c>
      <c r="M744" s="10">
        <v>3.0</v>
      </c>
      <c r="N744" s="25">
        <v>0.0</v>
      </c>
      <c r="O744" s="9">
        <f>revenue[orderPrice]*revenue[orderQuantity]</f>
        <v>63</v>
      </c>
      <c r="P744" s="9">
        <f>revenue[orderTotal]*(1-revenue[discountApllied])</f>
        <v>63</v>
      </c>
      <c r="Q744" s="9">
        <f>revenue[revenue]-(revenue[productCost]*revenue[orderQuantity])</f>
        <v>24.29435624</v>
      </c>
      <c r="R744" s="25">
        <f>IFERROR(revenue[profit]/revenue[revenue], 0)</f>
        <v>0.3856247023</v>
      </c>
      <c r="S744" s="9">
        <f>revenue[productCost]*revenue[orderQuantity]</f>
        <v>38.70564376</v>
      </c>
    </row>
    <row r="745" ht="15.75" customHeight="1">
      <c r="A745" s="6">
        <v>10528.0</v>
      </c>
      <c r="B745" s="7" t="s">
        <v>94</v>
      </c>
      <c r="C745" s="24" t="str">
        <f>VLOOKUP(revenue[customerID],customers[],2,FALSE)</f>
        <v>Great Lakes Food Market</v>
      </c>
      <c r="D745" s="24" t="str">
        <f>VLOOKUP(revenue[customerID],customers[],6,FALSE)</f>
        <v>Eugene</v>
      </c>
      <c r="E745" s="24" t="str">
        <f>VLOOKUP(revenue[customerID],customers[],9,FALSE)</f>
        <v>USA</v>
      </c>
      <c r="F745" s="24">
        <v>45052.0</v>
      </c>
      <c r="G745" s="6">
        <v>33.0</v>
      </c>
      <c r="H745" s="9" t="str">
        <f>VLOOKUP(revenue[productID],products[],2,FALSE)</f>
        <v>Geitost</v>
      </c>
      <c r="I745" s="9" t="str">
        <f>VLOOKUP(revenue[productID],products[],12,FALSE)</f>
        <v>Dairy Products</v>
      </c>
      <c r="J745" s="9">
        <f>VLOOKUP(revenue[productID],products[],IF(YEAR(revenue[orderDate])=2022,8,IF(YEAR(revenue[orderDate])=2023,9,IF(YEAR(revenue[orderDate])=2024,10,NA))),FALSE)</f>
        <v>1.559072298</v>
      </c>
      <c r="K745" s="9">
        <v>2.5</v>
      </c>
      <c r="L745" s="25">
        <f>(revenue[orderPrice]-revenue[productCost])/revenue[productCost]</f>
        <v>0.603517684</v>
      </c>
      <c r="M745" s="10">
        <v>8.0</v>
      </c>
      <c r="N745" s="25">
        <v>0.2</v>
      </c>
      <c r="O745" s="9">
        <f>revenue[orderPrice]*revenue[orderQuantity]</f>
        <v>20</v>
      </c>
      <c r="P745" s="9">
        <f>revenue[orderTotal]*(1-revenue[discountApllied])</f>
        <v>16</v>
      </c>
      <c r="Q745" s="9">
        <f>revenue[revenue]-(revenue[productCost]*revenue[orderQuantity])</f>
        <v>3.527421619</v>
      </c>
      <c r="R745" s="25">
        <f>IFERROR(revenue[profit]/revenue[revenue], 0)</f>
        <v>0.2204638512</v>
      </c>
      <c r="S745" s="9">
        <f>revenue[productCost]*revenue[orderQuantity]</f>
        <v>12.47257838</v>
      </c>
    </row>
    <row r="746" ht="15.75" customHeight="1">
      <c r="A746" s="6">
        <v>10528.0</v>
      </c>
      <c r="B746" s="7" t="s">
        <v>94</v>
      </c>
      <c r="C746" s="24" t="str">
        <f>VLOOKUP(revenue[customerID],customers[],2,FALSE)</f>
        <v>Great Lakes Food Market</v>
      </c>
      <c r="D746" s="24" t="str">
        <f>VLOOKUP(revenue[customerID],customers[],6,FALSE)</f>
        <v>Eugene</v>
      </c>
      <c r="E746" s="24" t="str">
        <f>VLOOKUP(revenue[customerID],customers[],9,FALSE)</f>
        <v>USA</v>
      </c>
      <c r="F746" s="24">
        <v>45052.0</v>
      </c>
      <c r="G746" s="6">
        <v>72.0</v>
      </c>
      <c r="H746" s="9" t="str">
        <f>VLOOKUP(revenue[productID],products[],2,FALSE)</f>
        <v>Mozzarella di Giovanni</v>
      </c>
      <c r="I746" s="9" t="str">
        <f>VLOOKUP(revenue[productID],products[],12,FALSE)</f>
        <v>Dairy Products</v>
      </c>
      <c r="J746" s="9">
        <f>VLOOKUP(revenue[productID],products[],IF(YEAR(revenue[orderDate])=2022,8,IF(YEAR(revenue[orderDate])=2023,9,IF(YEAR(revenue[orderDate])=2024,10,NA))),FALSE)</f>
        <v>23.51933768</v>
      </c>
      <c r="K746" s="9">
        <v>34.8</v>
      </c>
      <c r="L746" s="25">
        <f>(revenue[orderPrice]-revenue[productCost])/revenue[productCost]</f>
        <v>0.4796335031</v>
      </c>
      <c r="M746" s="10">
        <v>9.0</v>
      </c>
      <c r="N746" s="25">
        <v>0.0</v>
      </c>
      <c r="O746" s="9">
        <f>revenue[orderPrice]*revenue[orderQuantity]</f>
        <v>313.2</v>
      </c>
      <c r="P746" s="9">
        <f>revenue[orderTotal]*(1-revenue[discountApllied])</f>
        <v>313.2</v>
      </c>
      <c r="Q746" s="9">
        <f>revenue[revenue]-(revenue[productCost]*revenue[orderQuantity])</f>
        <v>101.5259609</v>
      </c>
      <c r="R746" s="25">
        <f>IFERROR(revenue[profit]/revenue[revenue], 0)</f>
        <v>0.3241569633</v>
      </c>
      <c r="S746" s="9">
        <f>revenue[productCost]*revenue[orderQuantity]</f>
        <v>211.6740391</v>
      </c>
    </row>
    <row r="747" ht="15.75" customHeight="1">
      <c r="A747" s="6">
        <v>10529.0</v>
      </c>
      <c r="B747" s="7" t="s">
        <v>95</v>
      </c>
      <c r="C747" s="24" t="str">
        <f>VLOOKUP(revenue[customerID],customers[],2,FALSE)</f>
        <v>Maison Dewey</v>
      </c>
      <c r="D747" s="24" t="str">
        <f>VLOOKUP(revenue[customerID],customers[],6,FALSE)</f>
        <v>Bruxelles</v>
      </c>
      <c r="E747" s="24" t="str">
        <f>VLOOKUP(revenue[customerID],customers[],9,FALSE)</f>
        <v>Belgium</v>
      </c>
      <c r="F747" s="24">
        <v>45053.0</v>
      </c>
      <c r="G747" s="6">
        <v>55.0</v>
      </c>
      <c r="H747" s="9" t="str">
        <f>VLOOKUP(revenue[productID],products[],2,FALSE)</f>
        <v>Pâté chinois</v>
      </c>
      <c r="I747" s="9" t="str">
        <f>VLOOKUP(revenue[productID],products[],12,FALSE)</f>
        <v>Meat/Poultry</v>
      </c>
      <c r="J747" s="9">
        <f>VLOOKUP(revenue[productID],products[],IF(YEAR(revenue[orderDate])=2022,8,IF(YEAR(revenue[orderDate])=2023,9,IF(YEAR(revenue[orderDate])=2024,10,NA))),FALSE)</f>
        <v>14.92398776</v>
      </c>
      <c r="K747" s="9">
        <v>24.0</v>
      </c>
      <c r="L747" s="25">
        <f>(revenue[orderPrice]-revenue[productCost])/revenue[productCost]</f>
        <v>0.6081492681</v>
      </c>
      <c r="M747" s="10">
        <v>14.0</v>
      </c>
      <c r="N747" s="25">
        <v>0.0</v>
      </c>
      <c r="O747" s="9">
        <f>revenue[orderPrice]*revenue[orderQuantity]</f>
        <v>336</v>
      </c>
      <c r="P747" s="9">
        <f>revenue[orderTotal]*(1-revenue[discountApllied])</f>
        <v>336</v>
      </c>
      <c r="Q747" s="9">
        <f>revenue[revenue]-(revenue[productCost]*revenue[orderQuantity])</f>
        <v>127.0641713</v>
      </c>
      <c r="R747" s="25">
        <f>IFERROR(revenue[profit]/revenue[revenue], 0)</f>
        <v>0.3781671765</v>
      </c>
      <c r="S747" s="9">
        <f>revenue[productCost]*revenue[orderQuantity]</f>
        <v>208.9358287</v>
      </c>
    </row>
    <row r="748" ht="15.75" customHeight="1">
      <c r="A748" s="6">
        <v>10529.0</v>
      </c>
      <c r="B748" s="7" t="s">
        <v>95</v>
      </c>
      <c r="C748" s="24" t="str">
        <f>VLOOKUP(revenue[customerID],customers[],2,FALSE)</f>
        <v>Maison Dewey</v>
      </c>
      <c r="D748" s="24" t="str">
        <f>VLOOKUP(revenue[customerID],customers[],6,FALSE)</f>
        <v>Bruxelles</v>
      </c>
      <c r="E748" s="24" t="str">
        <f>VLOOKUP(revenue[customerID],customers[],9,FALSE)</f>
        <v>Belgium</v>
      </c>
      <c r="F748" s="24">
        <v>45053.0</v>
      </c>
      <c r="G748" s="6">
        <v>68.0</v>
      </c>
      <c r="H748" s="9" t="str">
        <f>VLOOKUP(revenue[productID],products[],2,FALSE)</f>
        <v>Scottish Longbreads</v>
      </c>
      <c r="I748" s="9" t="str">
        <f>VLOOKUP(revenue[productID],products[],12,FALSE)</f>
        <v>Confections</v>
      </c>
      <c r="J748" s="9">
        <f>VLOOKUP(revenue[productID],products[],IF(YEAR(revenue[orderDate])=2022,8,IF(YEAR(revenue[orderDate])=2023,9,IF(YEAR(revenue[orderDate])=2024,10,NA))),FALSE)</f>
        <v>8.500000387</v>
      </c>
      <c r="K748" s="9">
        <v>12.5</v>
      </c>
      <c r="L748" s="25">
        <f>(revenue[orderPrice]-revenue[productCost])/revenue[productCost]</f>
        <v>0.4705881684</v>
      </c>
      <c r="M748" s="10">
        <v>20.0</v>
      </c>
      <c r="N748" s="25">
        <v>0.0</v>
      </c>
      <c r="O748" s="9">
        <f>revenue[orderPrice]*revenue[orderQuantity]</f>
        <v>250</v>
      </c>
      <c r="P748" s="9">
        <f>revenue[orderTotal]*(1-revenue[discountApllied])</f>
        <v>250</v>
      </c>
      <c r="Q748" s="9">
        <f>revenue[revenue]-(revenue[productCost]*revenue[orderQuantity])</f>
        <v>79.99999227</v>
      </c>
      <c r="R748" s="25">
        <f>IFERROR(revenue[profit]/revenue[revenue], 0)</f>
        <v>0.3199999691</v>
      </c>
      <c r="S748" s="9">
        <f>revenue[productCost]*revenue[orderQuantity]</f>
        <v>170.0000077</v>
      </c>
    </row>
    <row r="749" ht="15.75" customHeight="1">
      <c r="A749" s="6">
        <v>10529.0</v>
      </c>
      <c r="B749" s="7" t="s">
        <v>95</v>
      </c>
      <c r="C749" s="24" t="str">
        <f>VLOOKUP(revenue[customerID],customers[],2,FALSE)</f>
        <v>Maison Dewey</v>
      </c>
      <c r="D749" s="24" t="str">
        <f>VLOOKUP(revenue[customerID],customers[],6,FALSE)</f>
        <v>Bruxelles</v>
      </c>
      <c r="E749" s="24" t="str">
        <f>VLOOKUP(revenue[customerID],customers[],9,FALSE)</f>
        <v>Belgium</v>
      </c>
      <c r="F749" s="24">
        <v>45053.0</v>
      </c>
      <c r="G749" s="6">
        <v>69.0</v>
      </c>
      <c r="H749" s="9" t="str">
        <f>VLOOKUP(revenue[productID],products[],2,FALSE)</f>
        <v>Gudbrandsdalsost</v>
      </c>
      <c r="I749" s="9" t="str">
        <f>VLOOKUP(revenue[productID],products[],12,FALSE)</f>
        <v>Dairy Products</v>
      </c>
      <c r="J749" s="9">
        <f>VLOOKUP(revenue[productID],products[],IF(YEAR(revenue[orderDate])=2022,8,IF(YEAR(revenue[orderDate])=2023,9,IF(YEAR(revenue[orderDate])=2024,10,NA))),FALSE)</f>
        <v>21.82428612</v>
      </c>
      <c r="K749" s="9">
        <v>36.0</v>
      </c>
      <c r="L749" s="25">
        <f>(revenue[orderPrice]-revenue[productCost])/revenue[productCost]</f>
        <v>0.6495384916</v>
      </c>
      <c r="M749" s="10">
        <v>10.0</v>
      </c>
      <c r="N749" s="25">
        <v>0.0</v>
      </c>
      <c r="O749" s="9">
        <f>revenue[orderPrice]*revenue[orderQuantity]</f>
        <v>360</v>
      </c>
      <c r="P749" s="9">
        <f>revenue[orderTotal]*(1-revenue[discountApllied])</f>
        <v>360</v>
      </c>
      <c r="Q749" s="9">
        <f>revenue[revenue]-(revenue[productCost]*revenue[orderQuantity])</f>
        <v>141.7571388</v>
      </c>
      <c r="R749" s="25">
        <f>IFERROR(revenue[profit]/revenue[revenue], 0)</f>
        <v>0.3937698301</v>
      </c>
      <c r="S749" s="9">
        <f>revenue[productCost]*revenue[orderQuantity]</f>
        <v>218.2428612</v>
      </c>
    </row>
    <row r="750" ht="15.75" customHeight="1">
      <c r="A750" s="6">
        <v>10530.0</v>
      </c>
      <c r="B750" s="7" t="s">
        <v>69</v>
      </c>
      <c r="C750" s="24" t="str">
        <f>VLOOKUP(revenue[customerID],customers[],2,FALSE)</f>
        <v>Piccolo und mehr</v>
      </c>
      <c r="D750" s="24" t="str">
        <f>VLOOKUP(revenue[customerID],customers[],6,FALSE)</f>
        <v>Salzburg</v>
      </c>
      <c r="E750" s="24" t="str">
        <f>VLOOKUP(revenue[customerID],customers[],9,FALSE)</f>
        <v>Austria</v>
      </c>
      <c r="F750" s="24">
        <v>45054.0</v>
      </c>
      <c r="G750" s="6">
        <v>17.0</v>
      </c>
      <c r="H750" s="9" t="str">
        <f>VLOOKUP(revenue[productID],products[],2,FALSE)</f>
        <v>Alice Mutton</v>
      </c>
      <c r="I750" s="9" t="str">
        <f>VLOOKUP(revenue[productID],products[],12,FALSE)</f>
        <v>Meat/Poultry</v>
      </c>
      <c r="J750" s="9">
        <f>VLOOKUP(revenue[productID],products[],IF(YEAR(revenue[orderDate])=2022,8,IF(YEAR(revenue[orderDate])=2023,9,IF(YEAR(revenue[orderDate])=2024,10,NA))),FALSE)</f>
        <v>24.83130504</v>
      </c>
      <c r="K750" s="9">
        <v>39.0</v>
      </c>
      <c r="L750" s="25">
        <f>(revenue[orderPrice]-revenue[productCost])/revenue[productCost]</f>
        <v>0.5705980792</v>
      </c>
      <c r="M750" s="10">
        <v>40.0</v>
      </c>
      <c r="N750" s="25">
        <v>0.0</v>
      </c>
      <c r="O750" s="9">
        <f>revenue[orderPrice]*revenue[orderQuantity]</f>
        <v>1560</v>
      </c>
      <c r="P750" s="9">
        <f>revenue[orderTotal]*(1-revenue[discountApllied])</f>
        <v>1560</v>
      </c>
      <c r="Q750" s="9">
        <f>revenue[revenue]-(revenue[productCost]*revenue[orderQuantity])</f>
        <v>566.7477984</v>
      </c>
      <c r="R750" s="25">
        <f>IFERROR(revenue[profit]/revenue[revenue], 0)</f>
        <v>0.3632998708</v>
      </c>
      <c r="S750" s="9">
        <f>revenue[productCost]*revenue[orderQuantity]</f>
        <v>993.2522016</v>
      </c>
    </row>
    <row r="751" ht="15.75" customHeight="1">
      <c r="A751" s="6">
        <v>10530.0</v>
      </c>
      <c r="B751" s="7" t="s">
        <v>69</v>
      </c>
      <c r="C751" s="24" t="str">
        <f>VLOOKUP(revenue[customerID],customers[],2,FALSE)</f>
        <v>Piccolo und mehr</v>
      </c>
      <c r="D751" s="24" t="str">
        <f>VLOOKUP(revenue[customerID],customers[],6,FALSE)</f>
        <v>Salzburg</v>
      </c>
      <c r="E751" s="24" t="str">
        <f>VLOOKUP(revenue[customerID],customers[],9,FALSE)</f>
        <v>Austria</v>
      </c>
      <c r="F751" s="24">
        <v>45054.0</v>
      </c>
      <c r="G751" s="6">
        <v>43.0</v>
      </c>
      <c r="H751" s="9" t="str">
        <f>VLOOKUP(revenue[productID],products[],2,FALSE)</f>
        <v>Ipoh Coffee</v>
      </c>
      <c r="I751" s="9" t="str">
        <f>VLOOKUP(revenue[productID],products[],12,FALSE)</f>
        <v>Beverages</v>
      </c>
      <c r="J751" s="9">
        <f>VLOOKUP(revenue[productID],products[],IF(YEAR(revenue[orderDate])=2022,8,IF(YEAR(revenue[orderDate])=2023,9,IF(YEAR(revenue[orderDate])=2024,10,NA))),FALSE)</f>
        <v>30.96256564</v>
      </c>
      <c r="K751" s="9">
        <v>46.0</v>
      </c>
      <c r="L751" s="25">
        <f>(revenue[orderPrice]-revenue[productCost])/revenue[productCost]</f>
        <v>0.4856649976</v>
      </c>
      <c r="M751" s="10">
        <v>25.0</v>
      </c>
      <c r="N751" s="25">
        <v>0.0</v>
      </c>
      <c r="O751" s="9">
        <f>revenue[orderPrice]*revenue[orderQuantity]</f>
        <v>1150</v>
      </c>
      <c r="P751" s="9">
        <f>revenue[orderTotal]*(1-revenue[discountApllied])</f>
        <v>1150</v>
      </c>
      <c r="Q751" s="9">
        <f>revenue[revenue]-(revenue[productCost]*revenue[orderQuantity])</f>
        <v>375.9358591</v>
      </c>
      <c r="R751" s="25">
        <f>IFERROR(revenue[profit]/revenue[revenue], 0)</f>
        <v>0.3269007471</v>
      </c>
      <c r="S751" s="9">
        <f>revenue[productCost]*revenue[orderQuantity]</f>
        <v>774.0641409</v>
      </c>
    </row>
    <row r="752" ht="15.75" customHeight="1">
      <c r="A752" s="6">
        <v>10530.0</v>
      </c>
      <c r="B752" s="7" t="s">
        <v>69</v>
      </c>
      <c r="C752" s="24" t="str">
        <f>VLOOKUP(revenue[customerID],customers[],2,FALSE)</f>
        <v>Piccolo und mehr</v>
      </c>
      <c r="D752" s="24" t="str">
        <f>VLOOKUP(revenue[customerID],customers[],6,FALSE)</f>
        <v>Salzburg</v>
      </c>
      <c r="E752" s="24" t="str">
        <f>VLOOKUP(revenue[customerID],customers[],9,FALSE)</f>
        <v>Austria</v>
      </c>
      <c r="F752" s="24">
        <v>45054.0</v>
      </c>
      <c r="G752" s="6">
        <v>61.0</v>
      </c>
      <c r="H752" s="9" t="str">
        <f>VLOOKUP(revenue[productID],products[],2,FALSE)</f>
        <v>Sirop d'érable</v>
      </c>
      <c r="I752" s="9" t="str">
        <f>VLOOKUP(revenue[productID],products[],12,FALSE)</f>
        <v>Condiments</v>
      </c>
      <c r="J752" s="9">
        <f>VLOOKUP(revenue[productID],products[],IF(YEAR(revenue[orderDate])=2022,8,IF(YEAR(revenue[orderDate])=2023,9,IF(YEAR(revenue[orderDate])=2024,10,NA))),FALSE)</f>
        <v>17.19945448</v>
      </c>
      <c r="K752" s="9">
        <v>28.5</v>
      </c>
      <c r="L752" s="25">
        <f>(revenue[orderPrice]-revenue[productCost])/revenue[productCost]</f>
        <v>0.6570292986</v>
      </c>
      <c r="M752" s="10">
        <v>20.0</v>
      </c>
      <c r="N752" s="25">
        <v>0.0</v>
      </c>
      <c r="O752" s="9">
        <f>revenue[orderPrice]*revenue[orderQuantity]</f>
        <v>570</v>
      </c>
      <c r="P752" s="9">
        <f>revenue[orderTotal]*(1-revenue[discountApllied])</f>
        <v>570</v>
      </c>
      <c r="Q752" s="9">
        <f>revenue[revenue]-(revenue[productCost]*revenue[orderQuantity])</f>
        <v>226.0109103</v>
      </c>
      <c r="R752" s="25">
        <f>IFERROR(revenue[profit]/revenue[revenue], 0)</f>
        <v>0.396510369</v>
      </c>
      <c r="S752" s="9">
        <f>revenue[productCost]*revenue[orderQuantity]</f>
        <v>343.9890897</v>
      </c>
    </row>
    <row r="753" ht="15.75" customHeight="1">
      <c r="A753" s="6">
        <v>10530.0</v>
      </c>
      <c r="B753" s="7" t="s">
        <v>69</v>
      </c>
      <c r="C753" s="24" t="str">
        <f>VLOOKUP(revenue[customerID],customers[],2,FALSE)</f>
        <v>Piccolo und mehr</v>
      </c>
      <c r="D753" s="24" t="str">
        <f>VLOOKUP(revenue[customerID],customers[],6,FALSE)</f>
        <v>Salzburg</v>
      </c>
      <c r="E753" s="24" t="str">
        <f>VLOOKUP(revenue[customerID],customers[],9,FALSE)</f>
        <v>Austria</v>
      </c>
      <c r="F753" s="24">
        <v>45054.0</v>
      </c>
      <c r="G753" s="6">
        <v>76.0</v>
      </c>
      <c r="H753" s="9" t="str">
        <f>VLOOKUP(revenue[productID],products[],2,FALSE)</f>
        <v>Lakkalikööri</v>
      </c>
      <c r="I753" s="9" t="str">
        <f>VLOOKUP(revenue[productID],products[],12,FALSE)</f>
        <v>Beverages</v>
      </c>
      <c r="J753" s="9">
        <f>VLOOKUP(revenue[productID],products[],IF(YEAR(revenue[orderDate])=2022,8,IF(YEAR(revenue[orderDate])=2023,9,IF(YEAR(revenue[orderDate])=2024,10,NA))),FALSE)</f>
        <v>12.1154529</v>
      </c>
      <c r="K753" s="9">
        <v>18.0</v>
      </c>
      <c r="L753" s="25">
        <f>(revenue[orderPrice]-revenue[productCost])/revenue[productCost]</f>
        <v>0.4857059125</v>
      </c>
      <c r="M753" s="10">
        <v>50.0</v>
      </c>
      <c r="N753" s="25">
        <v>0.0</v>
      </c>
      <c r="O753" s="9">
        <f>revenue[orderPrice]*revenue[orderQuantity]</f>
        <v>900</v>
      </c>
      <c r="P753" s="9">
        <f>revenue[orderTotal]*(1-revenue[discountApllied])</f>
        <v>900</v>
      </c>
      <c r="Q753" s="9">
        <f>revenue[revenue]-(revenue[productCost]*revenue[orderQuantity])</f>
        <v>294.2273552</v>
      </c>
      <c r="R753" s="25">
        <f>IFERROR(revenue[profit]/revenue[revenue], 0)</f>
        <v>0.3269192836</v>
      </c>
      <c r="S753" s="9">
        <f>revenue[productCost]*revenue[orderQuantity]</f>
        <v>605.7726448</v>
      </c>
    </row>
    <row r="754" ht="15.75" customHeight="1">
      <c r="A754" s="6">
        <v>10531.0</v>
      </c>
      <c r="B754" s="7" t="s">
        <v>84</v>
      </c>
      <c r="C754" s="24" t="str">
        <f>VLOOKUP(revenue[customerID],customers[],2,FALSE)</f>
        <v>Océano Atlántico Ltda.</v>
      </c>
      <c r="D754" s="24" t="str">
        <f>VLOOKUP(revenue[customerID],customers[],6,FALSE)</f>
        <v>Buenos Aires</v>
      </c>
      <c r="E754" s="24" t="str">
        <f>VLOOKUP(revenue[customerID],customers[],9,FALSE)</f>
        <v>Argentina</v>
      </c>
      <c r="F754" s="24">
        <v>45054.0</v>
      </c>
      <c r="G754" s="6">
        <v>59.0</v>
      </c>
      <c r="H754" s="9" t="str">
        <f>VLOOKUP(revenue[productID],products[],2,FALSE)</f>
        <v>Raclette Courdavault</v>
      </c>
      <c r="I754" s="9" t="str">
        <f>VLOOKUP(revenue[productID],products[],12,FALSE)</f>
        <v>Dairy Products</v>
      </c>
      <c r="J754" s="9">
        <f>VLOOKUP(revenue[productID],products[],IF(YEAR(revenue[orderDate])=2022,8,IF(YEAR(revenue[orderDate])=2023,9,IF(YEAR(revenue[orderDate])=2024,10,NA))),FALSE)</f>
        <v>35.20472566</v>
      </c>
      <c r="K754" s="9">
        <v>55.0</v>
      </c>
      <c r="L754" s="25">
        <f>(revenue[orderPrice]-revenue[productCost])/revenue[productCost]</f>
        <v>0.5622902598</v>
      </c>
      <c r="M754" s="10">
        <v>2.0</v>
      </c>
      <c r="N754" s="25">
        <v>0.0</v>
      </c>
      <c r="O754" s="9">
        <f>revenue[orderPrice]*revenue[orderQuantity]</f>
        <v>110</v>
      </c>
      <c r="P754" s="9">
        <f>revenue[orderTotal]*(1-revenue[discountApllied])</f>
        <v>110</v>
      </c>
      <c r="Q754" s="9">
        <f>revenue[revenue]-(revenue[productCost]*revenue[orderQuantity])</f>
        <v>39.59054868</v>
      </c>
      <c r="R754" s="25">
        <f>IFERROR(revenue[profit]/revenue[revenue], 0)</f>
        <v>0.3599140789</v>
      </c>
      <c r="S754" s="9">
        <f>revenue[productCost]*revenue[orderQuantity]</f>
        <v>70.40945132</v>
      </c>
    </row>
    <row r="755" ht="15.75" customHeight="1">
      <c r="A755" s="6">
        <v>10532.0</v>
      </c>
      <c r="B755" s="7" t="s">
        <v>73</v>
      </c>
      <c r="C755" s="24" t="str">
        <f>VLOOKUP(revenue[customerID],customers[],2,FALSE)</f>
        <v>Eastern Connection</v>
      </c>
      <c r="D755" s="24" t="str">
        <f>VLOOKUP(revenue[customerID],customers[],6,FALSE)</f>
        <v>London</v>
      </c>
      <c r="E755" s="24" t="str">
        <f>VLOOKUP(revenue[customerID],customers[],9,FALSE)</f>
        <v>UK</v>
      </c>
      <c r="F755" s="24">
        <v>45055.0</v>
      </c>
      <c r="G755" s="6">
        <v>30.0</v>
      </c>
      <c r="H755" s="9" t="str">
        <f>VLOOKUP(revenue[productID],products[],2,FALSE)</f>
        <v>Nord-Ost Matjeshering</v>
      </c>
      <c r="I755" s="9" t="str">
        <f>VLOOKUP(revenue[productID],products[],12,FALSE)</f>
        <v>Seafood</v>
      </c>
      <c r="J755" s="9">
        <f>VLOOKUP(revenue[productID],products[],IF(YEAR(revenue[orderDate])=2022,8,IF(YEAR(revenue[orderDate])=2023,9,IF(YEAR(revenue[orderDate])=2024,10,NA))),FALSE)</f>
        <v>16.03885249</v>
      </c>
      <c r="K755" s="9">
        <v>25.89</v>
      </c>
      <c r="L755" s="25">
        <f>(revenue[orderPrice]-revenue[productCost])/revenue[productCost]</f>
        <v>0.6142052564</v>
      </c>
      <c r="M755" s="10">
        <v>15.0</v>
      </c>
      <c r="N755" s="25">
        <v>0.0</v>
      </c>
      <c r="O755" s="9">
        <f>revenue[orderPrice]*revenue[orderQuantity]</f>
        <v>388.35</v>
      </c>
      <c r="P755" s="9">
        <f>revenue[orderTotal]*(1-revenue[discountApllied])</f>
        <v>388.35</v>
      </c>
      <c r="Q755" s="9">
        <f>revenue[revenue]-(revenue[productCost]*revenue[orderQuantity])</f>
        <v>147.7672126</v>
      </c>
      <c r="R755" s="25">
        <f>IFERROR(revenue[profit]/revenue[revenue], 0)</f>
        <v>0.3805000968</v>
      </c>
      <c r="S755" s="9">
        <f>revenue[productCost]*revenue[orderQuantity]</f>
        <v>240.5827874</v>
      </c>
    </row>
    <row r="756" ht="15.75" customHeight="1">
      <c r="A756" s="6">
        <v>10532.0</v>
      </c>
      <c r="B756" s="7" t="s">
        <v>73</v>
      </c>
      <c r="C756" s="24" t="str">
        <f>VLOOKUP(revenue[customerID],customers[],2,FALSE)</f>
        <v>Eastern Connection</v>
      </c>
      <c r="D756" s="24" t="str">
        <f>VLOOKUP(revenue[customerID],customers[],6,FALSE)</f>
        <v>London</v>
      </c>
      <c r="E756" s="24" t="str">
        <f>VLOOKUP(revenue[customerID],customers[],9,FALSE)</f>
        <v>UK</v>
      </c>
      <c r="F756" s="24">
        <v>45055.0</v>
      </c>
      <c r="G756" s="6">
        <v>66.0</v>
      </c>
      <c r="H756" s="9" t="str">
        <f>VLOOKUP(revenue[productID],products[],2,FALSE)</f>
        <v>Louisiana Hot Spiced Okra</v>
      </c>
      <c r="I756" s="9" t="str">
        <f>VLOOKUP(revenue[productID],products[],12,FALSE)</f>
        <v>Condiments</v>
      </c>
      <c r="J756" s="9">
        <f>VLOOKUP(revenue[productID],products[],IF(YEAR(revenue[orderDate])=2022,8,IF(YEAR(revenue[orderDate])=2023,9,IF(YEAR(revenue[orderDate])=2024,10,NA))),FALSE)</f>
        <v>10.17313149</v>
      </c>
      <c r="K756" s="9">
        <v>17.0</v>
      </c>
      <c r="L756" s="25">
        <f>(revenue[orderPrice]-revenue[productCost])/revenue[productCost]</f>
        <v>0.6710685417</v>
      </c>
      <c r="M756" s="10">
        <v>24.0</v>
      </c>
      <c r="N756" s="25">
        <v>0.0</v>
      </c>
      <c r="O756" s="9">
        <f>revenue[orderPrice]*revenue[orderQuantity]</f>
        <v>408</v>
      </c>
      <c r="P756" s="9">
        <f>revenue[orderTotal]*(1-revenue[discountApllied])</f>
        <v>408</v>
      </c>
      <c r="Q756" s="9">
        <f>revenue[revenue]-(revenue[productCost]*revenue[orderQuantity])</f>
        <v>163.8448443</v>
      </c>
      <c r="R756" s="25">
        <f>IFERROR(revenue[profit]/revenue[revenue], 0)</f>
        <v>0.4015805007</v>
      </c>
      <c r="S756" s="9">
        <f>revenue[productCost]*revenue[orderQuantity]</f>
        <v>244.1551557</v>
      </c>
    </row>
    <row r="757" ht="15.75" customHeight="1">
      <c r="A757" s="6">
        <v>10533.0</v>
      </c>
      <c r="B757" s="7" t="s">
        <v>29</v>
      </c>
      <c r="C757" s="24" t="str">
        <f>VLOOKUP(revenue[customerID],customers[],2,FALSE)</f>
        <v>Folk och fä HB</v>
      </c>
      <c r="D757" s="24" t="str">
        <f>VLOOKUP(revenue[customerID],customers[],6,FALSE)</f>
        <v>Bräcke</v>
      </c>
      <c r="E757" s="24" t="str">
        <f>VLOOKUP(revenue[customerID],customers[],9,FALSE)</f>
        <v>Sweden</v>
      </c>
      <c r="F757" s="24">
        <v>45058.0</v>
      </c>
      <c r="G757" s="6">
        <v>4.0</v>
      </c>
      <c r="H757" s="9" t="str">
        <f>VLOOKUP(revenue[productID],products[],2,FALSE)</f>
        <v>Chef Anton's Cajun Seasoning</v>
      </c>
      <c r="I757" s="9" t="str">
        <f>VLOOKUP(revenue[productID],products[],12,FALSE)</f>
        <v>Condiments</v>
      </c>
      <c r="J757" s="9">
        <f>VLOOKUP(revenue[productID],products[],IF(YEAR(revenue[orderDate])=2022,8,IF(YEAR(revenue[orderDate])=2023,9,IF(YEAR(revenue[orderDate])=2024,10,NA))),FALSE)</f>
        <v>13.81047124</v>
      </c>
      <c r="K757" s="9">
        <v>22.0</v>
      </c>
      <c r="L757" s="25">
        <f>(revenue[orderPrice]-revenue[productCost])/revenue[productCost]</f>
        <v>0.5929941577</v>
      </c>
      <c r="M757" s="10">
        <v>50.0</v>
      </c>
      <c r="N757" s="25">
        <v>0.05</v>
      </c>
      <c r="O757" s="9">
        <f>revenue[orderPrice]*revenue[orderQuantity]</f>
        <v>1100</v>
      </c>
      <c r="P757" s="9">
        <f>revenue[orderTotal]*(1-revenue[discountApllied])</f>
        <v>1045</v>
      </c>
      <c r="Q757" s="9">
        <f>revenue[revenue]-(revenue[productCost]*revenue[orderQuantity])</f>
        <v>354.476438</v>
      </c>
      <c r="R757" s="25">
        <f>IFERROR(revenue[profit]/revenue[revenue], 0)</f>
        <v>0.3392119024</v>
      </c>
      <c r="S757" s="9">
        <f>revenue[productCost]*revenue[orderQuantity]</f>
        <v>690.523562</v>
      </c>
    </row>
    <row r="758" ht="15.75" customHeight="1">
      <c r="A758" s="6">
        <v>10533.0</v>
      </c>
      <c r="B758" s="7" t="s">
        <v>29</v>
      </c>
      <c r="C758" s="24" t="str">
        <f>VLOOKUP(revenue[customerID],customers[],2,FALSE)</f>
        <v>Folk och fä HB</v>
      </c>
      <c r="D758" s="24" t="str">
        <f>VLOOKUP(revenue[customerID],customers[],6,FALSE)</f>
        <v>Bräcke</v>
      </c>
      <c r="E758" s="24" t="str">
        <f>VLOOKUP(revenue[customerID],customers[],9,FALSE)</f>
        <v>Sweden</v>
      </c>
      <c r="F758" s="24">
        <v>45058.0</v>
      </c>
      <c r="G758" s="6">
        <v>72.0</v>
      </c>
      <c r="H758" s="9" t="str">
        <f>VLOOKUP(revenue[productID],products[],2,FALSE)</f>
        <v>Mozzarella di Giovanni</v>
      </c>
      <c r="I758" s="9" t="str">
        <f>VLOOKUP(revenue[productID],products[],12,FALSE)</f>
        <v>Dairy Products</v>
      </c>
      <c r="J758" s="9">
        <f>VLOOKUP(revenue[productID],products[],IF(YEAR(revenue[orderDate])=2022,8,IF(YEAR(revenue[orderDate])=2023,9,IF(YEAR(revenue[orderDate])=2024,10,NA))),FALSE)</f>
        <v>23.51933768</v>
      </c>
      <c r="K758" s="9">
        <v>34.8</v>
      </c>
      <c r="L758" s="25">
        <f>(revenue[orderPrice]-revenue[productCost])/revenue[productCost]</f>
        <v>0.4796335031</v>
      </c>
      <c r="M758" s="10">
        <v>24.0</v>
      </c>
      <c r="N758" s="25">
        <v>0.0</v>
      </c>
      <c r="O758" s="9">
        <f>revenue[orderPrice]*revenue[orderQuantity]</f>
        <v>835.2</v>
      </c>
      <c r="P758" s="9">
        <f>revenue[orderTotal]*(1-revenue[discountApllied])</f>
        <v>835.2</v>
      </c>
      <c r="Q758" s="9">
        <f>revenue[revenue]-(revenue[productCost]*revenue[orderQuantity])</f>
        <v>270.7358957</v>
      </c>
      <c r="R758" s="25">
        <f>IFERROR(revenue[profit]/revenue[revenue], 0)</f>
        <v>0.3241569633</v>
      </c>
      <c r="S758" s="9">
        <f>revenue[productCost]*revenue[orderQuantity]</f>
        <v>564.4641043</v>
      </c>
    </row>
    <row r="759" ht="15.75" customHeight="1">
      <c r="A759" s="6">
        <v>10533.0</v>
      </c>
      <c r="B759" s="7" t="s">
        <v>29</v>
      </c>
      <c r="C759" s="24" t="str">
        <f>VLOOKUP(revenue[customerID],customers[],2,FALSE)</f>
        <v>Folk och fä HB</v>
      </c>
      <c r="D759" s="24" t="str">
        <f>VLOOKUP(revenue[customerID],customers[],6,FALSE)</f>
        <v>Bräcke</v>
      </c>
      <c r="E759" s="24" t="str">
        <f>VLOOKUP(revenue[customerID],customers[],9,FALSE)</f>
        <v>Sweden</v>
      </c>
      <c r="F759" s="24">
        <v>45058.0</v>
      </c>
      <c r="G759" s="6">
        <v>73.0</v>
      </c>
      <c r="H759" s="9" t="str">
        <f>VLOOKUP(revenue[productID],products[],2,FALSE)</f>
        <v>Röd Kaviar</v>
      </c>
      <c r="I759" s="9" t="str">
        <f>VLOOKUP(revenue[productID],products[],12,FALSE)</f>
        <v>Seafood</v>
      </c>
      <c r="J759" s="9">
        <f>VLOOKUP(revenue[productID],products[],IF(YEAR(revenue[orderDate])=2022,8,IF(YEAR(revenue[orderDate])=2023,9,IF(YEAR(revenue[orderDate])=2024,10,NA))),FALSE)</f>
        <v>9.692999362</v>
      </c>
      <c r="K759" s="9">
        <v>15.0</v>
      </c>
      <c r="L759" s="25">
        <f>(revenue[orderPrice]-revenue[productCost])/revenue[productCost]</f>
        <v>0.5475086131</v>
      </c>
      <c r="M759" s="10">
        <v>24.0</v>
      </c>
      <c r="N759" s="25">
        <v>0.05</v>
      </c>
      <c r="O759" s="9">
        <f>revenue[orderPrice]*revenue[orderQuantity]</f>
        <v>360</v>
      </c>
      <c r="P759" s="9">
        <f>revenue[orderTotal]*(1-revenue[discountApllied])</f>
        <v>342</v>
      </c>
      <c r="Q759" s="9">
        <f>revenue[revenue]-(revenue[productCost]*revenue[orderQuantity])</f>
        <v>109.3680153</v>
      </c>
      <c r="R759" s="25">
        <f>IFERROR(revenue[profit]/revenue[revenue], 0)</f>
        <v>0.3197895184</v>
      </c>
      <c r="S759" s="9">
        <f>revenue[productCost]*revenue[orderQuantity]</f>
        <v>232.6319847</v>
      </c>
    </row>
    <row r="760" ht="15.75" customHeight="1">
      <c r="A760" s="6">
        <v>10534.0</v>
      </c>
      <c r="B760" s="7" t="s">
        <v>41</v>
      </c>
      <c r="C760" s="24" t="str">
        <f>VLOOKUP(revenue[customerID],customers[],2,FALSE)</f>
        <v>Lehmanns Marktstand</v>
      </c>
      <c r="D760" s="24" t="str">
        <f>VLOOKUP(revenue[customerID],customers[],6,FALSE)</f>
        <v>Frankfurt a.M.</v>
      </c>
      <c r="E760" s="24" t="str">
        <f>VLOOKUP(revenue[customerID],customers[],9,FALSE)</f>
        <v>Germany</v>
      </c>
      <c r="F760" s="24">
        <v>45058.0</v>
      </c>
      <c r="G760" s="6">
        <v>30.0</v>
      </c>
      <c r="H760" s="9" t="str">
        <f>VLOOKUP(revenue[productID],products[],2,FALSE)</f>
        <v>Nord-Ost Matjeshering</v>
      </c>
      <c r="I760" s="9" t="str">
        <f>VLOOKUP(revenue[productID],products[],12,FALSE)</f>
        <v>Seafood</v>
      </c>
      <c r="J760" s="9">
        <f>VLOOKUP(revenue[productID],products[],IF(YEAR(revenue[orderDate])=2022,8,IF(YEAR(revenue[orderDate])=2023,9,IF(YEAR(revenue[orderDate])=2024,10,NA))),FALSE)</f>
        <v>16.03885249</v>
      </c>
      <c r="K760" s="9">
        <v>25.89</v>
      </c>
      <c r="L760" s="25">
        <f>(revenue[orderPrice]-revenue[productCost])/revenue[productCost]</f>
        <v>0.6142052564</v>
      </c>
      <c r="M760" s="10">
        <v>10.0</v>
      </c>
      <c r="N760" s="25">
        <v>0.0</v>
      </c>
      <c r="O760" s="9">
        <f>revenue[orderPrice]*revenue[orderQuantity]</f>
        <v>258.9</v>
      </c>
      <c r="P760" s="9">
        <f>revenue[orderTotal]*(1-revenue[discountApllied])</f>
        <v>258.9</v>
      </c>
      <c r="Q760" s="9">
        <f>revenue[revenue]-(revenue[productCost]*revenue[orderQuantity])</f>
        <v>98.51147507</v>
      </c>
      <c r="R760" s="25">
        <f>IFERROR(revenue[profit]/revenue[revenue], 0)</f>
        <v>0.3805000968</v>
      </c>
      <c r="S760" s="9">
        <f>revenue[productCost]*revenue[orderQuantity]</f>
        <v>160.3885249</v>
      </c>
    </row>
    <row r="761" ht="15.75" customHeight="1">
      <c r="A761" s="6">
        <v>10534.0</v>
      </c>
      <c r="B761" s="7" t="s">
        <v>41</v>
      </c>
      <c r="C761" s="24" t="str">
        <f>VLOOKUP(revenue[customerID],customers[],2,FALSE)</f>
        <v>Lehmanns Marktstand</v>
      </c>
      <c r="D761" s="24" t="str">
        <f>VLOOKUP(revenue[customerID],customers[],6,FALSE)</f>
        <v>Frankfurt a.M.</v>
      </c>
      <c r="E761" s="24" t="str">
        <f>VLOOKUP(revenue[customerID],customers[],9,FALSE)</f>
        <v>Germany</v>
      </c>
      <c r="F761" s="24">
        <v>45058.0</v>
      </c>
      <c r="G761" s="6">
        <v>40.0</v>
      </c>
      <c r="H761" s="9" t="str">
        <f>VLOOKUP(revenue[productID],products[],2,FALSE)</f>
        <v>Boston Crab Meat</v>
      </c>
      <c r="I761" s="9" t="str">
        <f>VLOOKUP(revenue[productID],products[],12,FALSE)</f>
        <v>Seafood</v>
      </c>
      <c r="J761" s="9">
        <f>VLOOKUP(revenue[productID],products[],IF(YEAR(revenue[orderDate])=2022,8,IF(YEAR(revenue[orderDate])=2023,9,IF(YEAR(revenue[orderDate])=2024,10,NA))),FALSE)</f>
        <v>11.40496523</v>
      </c>
      <c r="K761" s="9">
        <v>18.4</v>
      </c>
      <c r="L761" s="25">
        <f>(revenue[orderPrice]-revenue[productCost])/revenue[productCost]</f>
        <v>0.6133324069</v>
      </c>
      <c r="M761" s="10">
        <v>10.0</v>
      </c>
      <c r="N761" s="25">
        <v>0.2</v>
      </c>
      <c r="O761" s="9">
        <f>revenue[orderPrice]*revenue[orderQuantity]</f>
        <v>184</v>
      </c>
      <c r="P761" s="9">
        <f>revenue[orderTotal]*(1-revenue[discountApllied])</f>
        <v>147.2</v>
      </c>
      <c r="Q761" s="9">
        <f>revenue[revenue]-(revenue[productCost]*revenue[orderQuantity])</f>
        <v>33.15034773</v>
      </c>
      <c r="R761" s="25">
        <f>IFERROR(revenue[profit]/revenue[revenue], 0)</f>
        <v>0.2252061666</v>
      </c>
      <c r="S761" s="9">
        <f>revenue[productCost]*revenue[orderQuantity]</f>
        <v>114.0496523</v>
      </c>
    </row>
    <row r="762" ht="15.75" customHeight="1">
      <c r="A762" s="6">
        <v>10534.0</v>
      </c>
      <c r="B762" s="7" t="s">
        <v>41</v>
      </c>
      <c r="C762" s="24" t="str">
        <f>VLOOKUP(revenue[customerID],customers[],2,FALSE)</f>
        <v>Lehmanns Marktstand</v>
      </c>
      <c r="D762" s="24" t="str">
        <f>VLOOKUP(revenue[customerID],customers[],6,FALSE)</f>
        <v>Frankfurt a.M.</v>
      </c>
      <c r="E762" s="24" t="str">
        <f>VLOOKUP(revenue[customerID],customers[],9,FALSE)</f>
        <v>Germany</v>
      </c>
      <c r="F762" s="24">
        <v>45058.0</v>
      </c>
      <c r="G762" s="6">
        <v>54.0</v>
      </c>
      <c r="H762" s="9" t="str">
        <f>VLOOKUP(revenue[productID],products[],2,FALSE)</f>
        <v>Tourtière</v>
      </c>
      <c r="I762" s="9" t="str">
        <f>VLOOKUP(revenue[productID],products[],12,FALSE)</f>
        <v>Meat/Poultry</v>
      </c>
      <c r="J762" s="9">
        <f>VLOOKUP(revenue[productID],products[],IF(YEAR(revenue[orderDate])=2022,8,IF(YEAR(revenue[orderDate])=2023,9,IF(YEAR(revenue[orderDate])=2024,10,NA))),FALSE)</f>
        <v>4.924447797</v>
      </c>
      <c r="K762" s="9">
        <v>7.45</v>
      </c>
      <c r="L762" s="25">
        <f>(revenue[orderPrice]-revenue[productCost])/revenue[productCost]</f>
        <v>0.5128599808</v>
      </c>
      <c r="M762" s="10">
        <v>10.0</v>
      </c>
      <c r="N762" s="25">
        <v>0.2</v>
      </c>
      <c r="O762" s="9">
        <f>revenue[orderPrice]*revenue[orderQuantity]</f>
        <v>74.5</v>
      </c>
      <c r="P762" s="9">
        <f>revenue[orderTotal]*(1-revenue[discountApllied])</f>
        <v>59.6</v>
      </c>
      <c r="Q762" s="9">
        <f>revenue[revenue]-(revenue[productCost]*revenue[orderQuantity])</f>
        <v>10.35552203</v>
      </c>
      <c r="R762" s="25">
        <f>IFERROR(revenue[profit]/revenue[revenue], 0)</f>
        <v>0.1737503696</v>
      </c>
      <c r="S762" s="9">
        <f>revenue[productCost]*revenue[orderQuantity]</f>
        <v>49.24447797</v>
      </c>
    </row>
    <row r="763" ht="15.75" customHeight="1">
      <c r="A763" s="6">
        <v>10535.0</v>
      </c>
      <c r="B763" s="7" t="s">
        <v>74</v>
      </c>
      <c r="C763" s="24" t="str">
        <f>VLOOKUP(revenue[customerID],customers[],2,FALSE)</f>
        <v>Antonio Moreno Taquería</v>
      </c>
      <c r="D763" s="24" t="str">
        <f>VLOOKUP(revenue[customerID],customers[],6,FALSE)</f>
        <v>México D.F.</v>
      </c>
      <c r="E763" s="24" t="str">
        <f>VLOOKUP(revenue[customerID],customers[],9,FALSE)</f>
        <v>Mexico</v>
      </c>
      <c r="F763" s="24">
        <v>45059.0</v>
      </c>
      <c r="G763" s="6">
        <v>11.0</v>
      </c>
      <c r="H763" s="9" t="str">
        <f>VLOOKUP(revenue[productID],products[],2,FALSE)</f>
        <v>Queso Cabrales</v>
      </c>
      <c r="I763" s="9" t="str">
        <f>VLOOKUP(revenue[productID],products[],12,FALSE)</f>
        <v>Dairy Products</v>
      </c>
      <c r="J763" s="9">
        <f>VLOOKUP(revenue[productID],products[],IF(YEAR(revenue[orderDate])=2022,8,IF(YEAR(revenue[orderDate])=2023,9,IF(YEAR(revenue[orderDate])=2024,10,NA))),FALSE)</f>
        <v>12.90188125</v>
      </c>
      <c r="K763" s="9">
        <v>21.0</v>
      </c>
      <c r="L763" s="25">
        <f>(revenue[orderPrice]-revenue[productCost])/revenue[productCost]</f>
        <v>0.6276696079</v>
      </c>
      <c r="M763" s="10">
        <v>50.0</v>
      </c>
      <c r="N763" s="25">
        <v>0.1</v>
      </c>
      <c r="O763" s="9">
        <f>revenue[orderPrice]*revenue[orderQuantity]</f>
        <v>1050</v>
      </c>
      <c r="P763" s="9">
        <f>revenue[orderTotal]*(1-revenue[discountApllied])</f>
        <v>945</v>
      </c>
      <c r="Q763" s="9">
        <f>revenue[revenue]-(revenue[productCost]*revenue[orderQuantity])</f>
        <v>299.9059374</v>
      </c>
      <c r="R763" s="25">
        <f>IFERROR(revenue[profit]/revenue[revenue], 0)</f>
        <v>0.3173607803</v>
      </c>
      <c r="S763" s="9">
        <f>revenue[productCost]*revenue[orderQuantity]</f>
        <v>645.0940626</v>
      </c>
    </row>
    <row r="764" ht="15.75" customHeight="1">
      <c r="A764" s="6">
        <v>10535.0</v>
      </c>
      <c r="B764" s="7" t="s">
        <v>74</v>
      </c>
      <c r="C764" s="24" t="str">
        <f>VLOOKUP(revenue[customerID],customers[],2,FALSE)</f>
        <v>Antonio Moreno Taquería</v>
      </c>
      <c r="D764" s="24" t="str">
        <f>VLOOKUP(revenue[customerID],customers[],6,FALSE)</f>
        <v>México D.F.</v>
      </c>
      <c r="E764" s="24" t="str">
        <f>VLOOKUP(revenue[customerID],customers[],9,FALSE)</f>
        <v>Mexico</v>
      </c>
      <c r="F764" s="24">
        <v>45059.0</v>
      </c>
      <c r="G764" s="6">
        <v>40.0</v>
      </c>
      <c r="H764" s="9" t="str">
        <f>VLOOKUP(revenue[productID],products[],2,FALSE)</f>
        <v>Boston Crab Meat</v>
      </c>
      <c r="I764" s="9" t="str">
        <f>VLOOKUP(revenue[productID],products[],12,FALSE)</f>
        <v>Seafood</v>
      </c>
      <c r="J764" s="9">
        <f>VLOOKUP(revenue[productID],products[],IF(YEAR(revenue[orderDate])=2022,8,IF(YEAR(revenue[orderDate])=2023,9,IF(YEAR(revenue[orderDate])=2024,10,NA))),FALSE)</f>
        <v>11.40496523</v>
      </c>
      <c r="K764" s="9">
        <v>18.4</v>
      </c>
      <c r="L764" s="25">
        <f>(revenue[orderPrice]-revenue[productCost])/revenue[productCost]</f>
        <v>0.6133324069</v>
      </c>
      <c r="M764" s="10">
        <v>10.0</v>
      </c>
      <c r="N764" s="25">
        <v>0.1</v>
      </c>
      <c r="O764" s="9">
        <f>revenue[orderPrice]*revenue[orderQuantity]</f>
        <v>184</v>
      </c>
      <c r="P764" s="9">
        <f>revenue[orderTotal]*(1-revenue[discountApllied])</f>
        <v>165.6</v>
      </c>
      <c r="Q764" s="9">
        <f>revenue[revenue]-(revenue[productCost]*revenue[orderQuantity])</f>
        <v>51.55034773</v>
      </c>
      <c r="R764" s="25">
        <f>IFERROR(revenue[profit]/revenue[revenue], 0)</f>
        <v>0.3112943703</v>
      </c>
      <c r="S764" s="9">
        <f>revenue[productCost]*revenue[orderQuantity]</f>
        <v>114.0496523</v>
      </c>
    </row>
    <row r="765" ht="15.75" customHeight="1">
      <c r="A765" s="6">
        <v>10535.0</v>
      </c>
      <c r="B765" s="7" t="s">
        <v>74</v>
      </c>
      <c r="C765" s="24" t="str">
        <f>VLOOKUP(revenue[customerID],customers[],2,FALSE)</f>
        <v>Antonio Moreno Taquería</v>
      </c>
      <c r="D765" s="24" t="str">
        <f>VLOOKUP(revenue[customerID],customers[],6,FALSE)</f>
        <v>México D.F.</v>
      </c>
      <c r="E765" s="24" t="str">
        <f>VLOOKUP(revenue[customerID],customers[],9,FALSE)</f>
        <v>Mexico</v>
      </c>
      <c r="F765" s="24">
        <v>45059.0</v>
      </c>
      <c r="G765" s="6">
        <v>57.0</v>
      </c>
      <c r="H765" s="9" t="str">
        <f>VLOOKUP(revenue[productID],products[],2,FALSE)</f>
        <v>Ravioli Angelo</v>
      </c>
      <c r="I765" s="9" t="str">
        <f>VLOOKUP(revenue[productID],products[],12,FALSE)</f>
        <v>Grains/Cereals</v>
      </c>
      <c r="J765" s="9">
        <f>VLOOKUP(revenue[productID],products[],IF(YEAR(revenue[orderDate])=2022,8,IF(YEAR(revenue[orderDate])=2023,9,IF(YEAR(revenue[orderDate])=2024,10,NA))),FALSE)</f>
        <v>13.01870901</v>
      </c>
      <c r="K765" s="9">
        <v>19.5</v>
      </c>
      <c r="L765" s="25">
        <f>(revenue[orderPrice]-revenue[productCost])/revenue[productCost]</f>
        <v>0.4978443707</v>
      </c>
      <c r="M765" s="10">
        <v>5.0</v>
      </c>
      <c r="N765" s="25">
        <v>0.1</v>
      </c>
      <c r="O765" s="9">
        <f>revenue[orderPrice]*revenue[orderQuantity]</f>
        <v>97.5</v>
      </c>
      <c r="P765" s="9">
        <f>revenue[orderTotal]*(1-revenue[discountApllied])</f>
        <v>87.75</v>
      </c>
      <c r="Q765" s="9">
        <f>revenue[revenue]-(revenue[productCost]*revenue[orderQuantity])</f>
        <v>22.65645496</v>
      </c>
      <c r="R765" s="25">
        <f>IFERROR(revenue[profit]/revenue[revenue], 0)</f>
        <v>0.258193219</v>
      </c>
      <c r="S765" s="9">
        <f>revenue[productCost]*revenue[orderQuantity]</f>
        <v>65.09354504</v>
      </c>
    </row>
    <row r="766" ht="15.75" customHeight="1">
      <c r="A766" s="6">
        <v>10535.0</v>
      </c>
      <c r="B766" s="7" t="s">
        <v>74</v>
      </c>
      <c r="C766" s="24" t="str">
        <f>VLOOKUP(revenue[customerID],customers[],2,FALSE)</f>
        <v>Antonio Moreno Taquería</v>
      </c>
      <c r="D766" s="24" t="str">
        <f>VLOOKUP(revenue[customerID],customers[],6,FALSE)</f>
        <v>México D.F.</v>
      </c>
      <c r="E766" s="24" t="str">
        <f>VLOOKUP(revenue[customerID],customers[],9,FALSE)</f>
        <v>Mexico</v>
      </c>
      <c r="F766" s="24">
        <v>45059.0</v>
      </c>
      <c r="G766" s="6">
        <v>59.0</v>
      </c>
      <c r="H766" s="9" t="str">
        <f>VLOOKUP(revenue[productID],products[],2,FALSE)</f>
        <v>Raclette Courdavault</v>
      </c>
      <c r="I766" s="9" t="str">
        <f>VLOOKUP(revenue[productID],products[],12,FALSE)</f>
        <v>Dairy Products</v>
      </c>
      <c r="J766" s="9">
        <f>VLOOKUP(revenue[productID],products[],IF(YEAR(revenue[orderDate])=2022,8,IF(YEAR(revenue[orderDate])=2023,9,IF(YEAR(revenue[orderDate])=2024,10,NA))),FALSE)</f>
        <v>35.20472566</v>
      </c>
      <c r="K766" s="9">
        <v>55.0</v>
      </c>
      <c r="L766" s="25">
        <f>(revenue[orderPrice]-revenue[productCost])/revenue[productCost]</f>
        <v>0.5622902598</v>
      </c>
      <c r="M766" s="10">
        <v>15.0</v>
      </c>
      <c r="N766" s="25">
        <v>0.1</v>
      </c>
      <c r="O766" s="9">
        <f>revenue[orderPrice]*revenue[orderQuantity]</f>
        <v>825</v>
      </c>
      <c r="P766" s="9">
        <f>revenue[orderTotal]*(1-revenue[discountApllied])</f>
        <v>742.5</v>
      </c>
      <c r="Q766" s="9">
        <f>revenue[revenue]-(revenue[productCost]*revenue[orderQuantity])</f>
        <v>214.4291151</v>
      </c>
      <c r="R766" s="25">
        <f>IFERROR(revenue[profit]/revenue[revenue], 0)</f>
        <v>0.288793421</v>
      </c>
      <c r="S766" s="9">
        <f>revenue[productCost]*revenue[orderQuantity]</f>
        <v>528.0708849</v>
      </c>
    </row>
    <row r="767" ht="15.75" customHeight="1">
      <c r="A767" s="6">
        <v>10536.0</v>
      </c>
      <c r="B767" s="7" t="s">
        <v>41</v>
      </c>
      <c r="C767" s="24" t="str">
        <f>VLOOKUP(revenue[customerID],customers[],2,FALSE)</f>
        <v>Lehmanns Marktstand</v>
      </c>
      <c r="D767" s="24" t="str">
        <f>VLOOKUP(revenue[customerID],customers[],6,FALSE)</f>
        <v>Frankfurt a.M.</v>
      </c>
      <c r="E767" s="24" t="str">
        <f>VLOOKUP(revenue[customerID],customers[],9,FALSE)</f>
        <v>Germany</v>
      </c>
      <c r="F767" s="24">
        <v>45060.0</v>
      </c>
      <c r="G767" s="6">
        <v>12.0</v>
      </c>
      <c r="H767" s="9" t="str">
        <f>VLOOKUP(revenue[productID],products[],2,FALSE)</f>
        <v>Queso Manchego La Pastora</v>
      </c>
      <c r="I767" s="9" t="str">
        <f>VLOOKUP(revenue[productID],products[],12,FALSE)</f>
        <v>Dairy Products</v>
      </c>
      <c r="J767" s="9">
        <f>VLOOKUP(revenue[productID],products[],IF(YEAR(revenue[orderDate])=2022,8,IF(YEAR(revenue[orderDate])=2023,9,IF(YEAR(revenue[orderDate])=2024,10,NA))),FALSE)</f>
        <v>23.79216617</v>
      </c>
      <c r="K767" s="9">
        <v>38.0</v>
      </c>
      <c r="L767" s="25">
        <f>(revenue[orderPrice]-revenue[productCost])/revenue[productCost]</f>
        <v>0.5971643663</v>
      </c>
      <c r="M767" s="10">
        <v>15.0</v>
      </c>
      <c r="N767" s="25">
        <v>0.25</v>
      </c>
      <c r="O767" s="9">
        <f>revenue[orderPrice]*revenue[orderQuantity]</f>
        <v>570</v>
      </c>
      <c r="P767" s="9">
        <f>revenue[orderTotal]*(1-revenue[discountApllied])</f>
        <v>427.5</v>
      </c>
      <c r="Q767" s="9">
        <f>revenue[revenue]-(revenue[productCost]*revenue[orderQuantity])</f>
        <v>70.61750749</v>
      </c>
      <c r="R767" s="25">
        <f>IFERROR(revenue[profit]/revenue[revenue], 0)</f>
        <v>0.165187152</v>
      </c>
      <c r="S767" s="9">
        <f>revenue[productCost]*revenue[orderQuantity]</f>
        <v>356.8824925</v>
      </c>
    </row>
    <row r="768" ht="15.75" customHeight="1">
      <c r="A768" s="6">
        <v>10536.0</v>
      </c>
      <c r="B768" s="7" t="s">
        <v>41</v>
      </c>
      <c r="C768" s="24" t="str">
        <f>VLOOKUP(revenue[customerID],customers[],2,FALSE)</f>
        <v>Lehmanns Marktstand</v>
      </c>
      <c r="D768" s="24" t="str">
        <f>VLOOKUP(revenue[customerID],customers[],6,FALSE)</f>
        <v>Frankfurt a.M.</v>
      </c>
      <c r="E768" s="24" t="str">
        <f>VLOOKUP(revenue[customerID],customers[],9,FALSE)</f>
        <v>Germany</v>
      </c>
      <c r="F768" s="24">
        <v>45060.0</v>
      </c>
      <c r="G768" s="6">
        <v>31.0</v>
      </c>
      <c r="H768" s="9" t="str">
        <f>VLOOKUP(revenue[productID],products[],2,FALSE)</f>
        <v>Gorgonzola Telino</v>
      </c>
      <c r="I768" s="9" t="str">
        <f>VLOOKUP(revenue[productID],products[],12,FALSE)</f>
        <v>Dairy Products</v>
      </c>
      <c r="J768" s="9">
        <f>VLOOKUP(revenue[productID],products[],IF(YEAR(revenue[orderDate])=2022,8,IF(YEAR(revenue[orderDate])=2023,9,IF(YEAR(revenue[orderDate])=2024,10,NA))),FALSE)</f>
        <v>7.937729254</v>
      </c>
      <c r="K768" s="9">
        <v>12.5</v>
      </c>
      <c r="L768" s="25">
        <f>(revenue[orderPrice]-revenue[productCost])/revenue[productCost]</f>
        <v>0.5747576668</v>
      </c>
      <c r="M768" s="10">
        <v>20.0</v>
      </c>
      <c r="N768" s="25">
        <v>0.0</v>
      </c>
      <c r="O768" s="9">
        <f>revenue[orderPrice]*revenue[orderQuantity]</f>
        <v>250</v>
      </c>
      <c r="P768" s="9">
        <f>revenue[orderTotal]*(1-revenue[discountApllied])</f>
        <v>250</v>
      </c>
      <c r="Q768" s="9">
        <f>revenue[revenue]-(revenue[productCost]*revenue[orderQuantity])</f>
        <v>91.24541492</v>
      </c>
      <c r="R768" s="25">
        <f>IFERROR(revenue[profit]/revenue[revenue], 0)</f>
        <v>0.3649816597</v>
      </c>
      <c r="S768" s="9">
        <f>revenue[productCost]*revenue[orderQuantity]</f>
        <v>158.7545851</v>
      </c>
    </row>
    <row r="769" ht="15.75" customHeight="1">
      <c r="A769" s="6">
        <v>10536.0</v>
      </c>
      <c r="B769" s="7" t="s">
        <v>41</v>
      </c>
      <c r="C769" s="24" t="str">
        <f>VLOOKUP(revenue[customerID],customers[],2,FALSE)</f>
        <v>Lehmanns Marktstand</v>
      </c>
      <c r="D769" s="24" t="str">
        <f>VLOOKUP(revenue[customerID],customers[],6,FALSE)</f>
        <v>Frankfurt a.M.</v>
      </c>
      <c r="E769" s="24" t="str">
        <f>VLOOKUP(revenue[customerID],customers[],9,FALSE)</f>
        <v>Germany</v>
      </c>
      <c r="F769" s="24">
        <v>45060.0</v>
      </c>
      <c r="G769" s="6">
        <v>33.0</v>
      </c>
      <c r="H769" s="9" t="str">
        <f>VLOOKUP(revenue[productID],products[],2,FALSE)</f>
        <v>Geitost</v>
      </c>
      <c r="I769" s="9" t="str">
        <f>VLOOKUP(revenue[productID],products[],12,FALSE)</f>
        <v>Dairy Products</v>
      </c>
      <c r="J769" s="9">
        <f>VLOOKUP(revenue[productID],products[],IF(YEAR(revenue[orderDate])=2022,8,IF(YEAR(revenue[orderDate])=2023,9,IF(YEAR(revenue[orderDate])=2024,10,NA))),FALSE)</f>
        <v>1.559072298</v>
      </c>
      <c r="K769" s="9">
        <v>2.5</v>
      </c>
      <c r="L769" s="25">
        <f>(revenue[orderPrice]-revenue[productCost])/revenue[productCost]</f>
        <v>0.603517684</v>
      </c>
      <c r="M769" s="10">
        <v>30.0</v>
      </c>
      <c r="N769" s="25">
        <v>0.0</v>
      </c>
      <c r="O769" s="9">
        <f>revenue[orderPrice]*revenue[orderQuantity]</f>
        <v>75</v>
      </c>
      <c r="P769" s="9">
        <f>revenue[orderTotal]*(1-revenue[discountApllied])</f>
        <v>75</v>
      </c>
      <c r="Q769" s="9">
        <f>revenue[revenue]-(revenue[productCost]*revenue[orderQuantity])</f>
        <v>28.22783107</v>
      </c>
      <c r="R769" s="25">
        <f>IFERROR(revenue[profit]/revenue[revenue], 0)</f>
        <v>0.3763710809</v>
      </c>
      <c r="S769" s="9">
        <f>revenue[productCost]*revenue[orderQuantity]</f>
        <v>46.77216893</v>
      </c>
    </row>
    <row r="770" ht="15.75" customHeight="1">
      <c r="A770" s="6">
        <v>10536.0</v>
      </c>
      <c r="B770" s="7" t="s">
        <v>41</v>
      </c>
      <c r="C770" s="24" t="str">
        <f>VLOOKUP(revenue[customerID],customers[],2,FALSE)</f>
        <v>Lehmanns Marktstand</v>
      </c>
      <c r="D770" s="24" t="str">
        <f>VLOOKUP(revenue[customerID],customers[],6,FALSE)</f>
        <v>Frankfurt a.M.</v>
      </c>
      <c r="E770" s="24" t="str">
        <f>VLOOKUP(revenue[customerID],customers[],9,FALSE)</f>
        <v>Germany</v>
      </c>
      <c r="F770" s="24">
        <v>45060.0</v>
      </c>
      <c r="G770" s="6">
        <v>60.0</v>
      </c>
      <c r="H770" s="9" t="str">
        <f>VLOOKUP(revenue[productID],products[],2,FALSE)</f>
        <v>Camembert Pierrot</v>
      </c>
      <c r="I770" s="9" t="str">
        <f>VLOOKUP(revenue[productID],products[],12,FALSE)</f>
        <v>Dairy Products</v>
      </c>
      <c r="J770" s="9">
        <f>VLOOKUP(revenue[productID],products[],IF(YEAR(revenue[orderDate])=2022,8,IF(YEAR(revenue[orderDate])=2023,9,IF(YEAR(revenue[orderDate])=2024,10,NA))),FALSE)</f>
        <v>22.77098295</v>
      </c>
      <c r="K770" s="9">
        <v>34.0</v>
      </c>
      <c r="L770" s="25">
        <f>(revenue[orderPrice]-revenue[productCost])/revenue[productCost]</f>
        <v>0.4931283415</v>
      </c>
      <c r="M770" s="10">
        <v>35.0</v>
      </c>
      <c r="N770" s="25">
        <v>0.25</v>
      </c>
      <c r="O770" s="9">
        <f>revenue[orderPrice]*revenue[orderQuantity]</f>
        <v>1190</v>
      </c>
      <c r="P770" s="9">
        <f>revenue[orderTotal]*(1-revenue[discountApllied])</f>
        <v>892.5</v>
      </c>
      <c r="Q770" s="9">
        <f>revenue[revenue]-(revenue[productCost]*revenue[orderQuantity])</f>
        <v>95.51559688</v>
      </c>
      <c r="R770" s="25">
        <f>IFERROR(revenue[profit]/revenue[revenue], 0)</f>
        <v>0.1070202766</v>
      </c>
      <c r="S770" s="9">
        <f>revenue[productCost]*revenue[orderQuantity]</f>
        <v>796.9844031</v>
      </c>
    </row>
    <row r="771" ht="15.75" customHeight="1">
      <c r="A771" s="6">
        <v>10537.0</v>
      </c>
      <c r="B771" s="7" t="s">
        <v>21</v>
      </c>
      <c r="C771" s="24" t="str">
        <f>VLOOKUP(revenue[customerID],customers[],2,FALSE)</f>
        <v>Richter Supermarkt</v>
      </c>
      <c r="D771" s="24" t="str">
        <f>VLOOKUP(revenue[customerID],customers[],6,FALSE)</f>
        <v>Genève</v>
      </c>
      <c r="E771" s="24" t="str">
        <f>VLOOKUP(revenue[customerID],customers[],9,FALSE)</f>
        <v>Switzerland</v>
      </c>
      <c r="F771" s="24">
        <v>45060.0</v>
      </c>
      <c r="G771" s="6">
        <v>31.0</v>
      </c>
      <c r="H771" s="9" t="str">
        <f>VLOOKUP(revenue[productID],products[],2,FALSE)</f>
        <v>Gorgonzola Telino</v>
      </c>
      <c r="I771" s="9" t="str">
        <f>VLOOKUP(revenue[productID],products[],12,FALSE)</f>
        <v>Dairy Products</v>
      </c>
      <c r="J771" s="9">
        <f>VLOOKUP(revenue[productID],products[],IF(YEAR(revenue[orderDate])=2022,8,IF(YEAR(revenue[orderDate])=2023,9,IF(YEAR(revenue[orderDate])=2024,10,NA))),FALSE)</f>
        <v>7.937729254</v>
      </c>
      <c r="K771" s="9">
        <v>12.5</v>
      </c>
      <c r="L771" s="25">
        <f>(revenue[orderPrice]-revenue[productCost])/revenue[productCost]</f>
        <v>0.5747576668</v>
      </c>
      <c r="M771" s="10">
        <v>30.0</v>
      </c>
      <c r="N771" s="25">
        <v>0.0</v>
      </c>
      <c r="O771" s="9">
        <f>revenue[orderPrice]*revenue[orderQuantity]</f>
        <v>375</v>
      </c>
      <c r="P771" s="9">
        <f>revenue[orderTotal]*(1-revenue[discountApllied])</f>
        <v>375</v>
      </c>
      <c r="Q771" s="9">
        <f>revenue[revenue]-(revenue[productCost]*revenue[orderQuantity])</f>
        <v>136.8681224</v>
      </c>
      <c r="R771" s="25">
        <f>IFERROR(revenue[profit]/revenue[revenue], 0)</f>
        <v>0.3649816597</v>
      </c>
      <c r="S771" s="9">
        <f>revenue[productCost]*revenue[orderQuantity]</f>
        <v>238.1318776</v>
      </c>
    </row>
    <row r="772" ht="15.75" customHeight="1">
      <c r="A772" s="6">
        <v>10537.0</v>
      </c>
      <c r="B772" s="7" t="s">
        <v>21</v>
      </c>
      <c r="C772" s="24" t="str">
        <f>VLOOKUP(revenue[customerID],customers[],2,FALSE)</f>
        <v>Richter Supermarkt</v>
      </c>
      <c r="D772" s="24" t="str">
        <f>VLOOKUP(revenue[customerID],customers[],6,FALSE)</f>
        <v>Genève</v>
      </c>
      <c r="E772" s="24" t="str">
        <f>VLOOKUP(revenue[customerID],customers[],9,FALSE)</f>
        <v>Switzerland</v>
      </c>
      <c r="F772" s="24">
        <v>45060.0</v>
      </c>
      <c r="G772" s="6">
        <v>51.0</v>
      </c>
      <c r="H772" s="9" t="str">
        <f>VLOOKUP(revenue[productID],products[],2,FALSE)</f>
        <v>Manjimup Dried Apples</v>
      </c>
      <c r="I772" s="9" t="str">
        <f>VLOOKUP(revenue[productID],products[],12,FALSE)</f>
        <v>Produce</v>
      </c>
      <c r="J772" s="9">
        <f>VLOOKUP(revenue[productID],products[],IF(YEAR(revenue[orderDate])=2022,8,IF(YEAR(revenue[orderDate])=2023,9,IF(YEAR(revenue[orderDate])=2024,10,NA))),FALSE)</f>
        <v>36.88798027</v>
      </c>
      <c r="K772" s="9">
        <v>53.0</v>
      </c>
      <c r="L772" s="25">
        <f>(revenue[orderPrice]-revenue[productCost])/revenue[productCost]</f>
        <v>0.4367823779</v>
      </c>
      <c r="M772" s="10">
        <v>6.0</v>
      </c>
      <c r="N772" s="25">
        <v>0.0</v>
      </c>
      <c r="O772" s="9">
        <f>revenue[orderPrice]*revenue[orderQuantity]</f>
        <v>318</v>
      </c>
      <c r="P772" s="9">
        <f>revenue[orderTotal]*(1-revenue[discountApllied])</f>
        <v>318</v>
      </c>
      <c r="Q772" s="9">
        <f>revenue[revenue]-(revenue[productCost]*revenue[orderQuantity])</f>
        <v>96.67211841</v>
      </c>
      <c r="R772" s="25">
        <f>IFERROR(revenue[profit]/revenue[revenue], 0)</f>
        <v>0.3040003724</v>
      </c>
      <c r="S772" s="9">
        <f>revenue[productCost]*revenue[orderQuantity]</f>
        <v>221.3278816</v>
      </c>
    </row>
    <row r="773" ht="15.75" customHeight="1">
      <c r="A773" s="6">
        <v>10537.0</v>
      </c>
      <c r="B773" s="7" t="s">
        <v>21</v>
      </c>
      <c r="C773" s="24" t="str">
        <f>VLOOKUP(revenue[customerID],customers[],2,FALSE)</f>
        <v>Richter Supermarkt</v>
      </c>
      <c r="D773" s="24" t="str">
        <f>VLOOKUP(revenue[customerID],customers[],6,FALSE)</f>
        <v>Genève</v>
      </c>
      <c r="E773" s="24" t="str">
        <f>VLOOKUP(revenue[customerID],customers[],9,FALSE)</f>
        <v>Switzerland</v>
      </c>
      <c r="F773" s="24">
        <v>45060.0</v>
      </c>
      <c r="G773" s="6">
        <v>58.0</v>
      </c>
      <c r="H773" s="9" t="str">
        <f>VLOOKUP(revenue[productID],products[],2,FALSE)</f>
        <v>Escargots de Bourgogne</v>
      </c>
      <c r="I773" s="9" t="str">
        <f>VLOOKUP(revenue[productID],products[],12,FALSE)</f>
        <v>Seafood</v>
      </c>
      <c r="J773" s="9">
        <f>VLOOKUP(revenue[productID],products[],IF(YEAR(revenue[orderDate])=2022,8,IF(YEAR(revenue[orderDate])=2023,9,IF(YEAR(revenue[orderDate])=2024,10,NA))),FALSE)</f>
        <v>8.208446365</v>
      </c>
      <c r="K773" s="9">
        <v>13.25</v>
      </c>
      <c r="L773" s="25">
        <f>(revenue[orderPrice]-revenue[productCost])/revenue[productCost]</f>
        <v>0.61419097</v>
      </c>
      <c r="M773" s="10">
        <v>20.0</v>
      </c>
      <c r="N773" s="25">
        <v>0.0</v>
      </c>
      <c r="O773" s="9">
        <f>revenue[orderPrice]*revenue[orderQuantity]</f>
        <v>265</v>
      </c>
      <c r="P773" s="9">
        <f>revenue[orderTotal]*(1-revenue[discountApllied])</f>
        <v>265</v>
      </c>
      <c r="Q773" s="9">
        <f>revenue[revenue]-(revenue[productCost]*revenue[orderQuantity])</f>
        <v>100.8310727</v>
      </c>
      <c r="R773" s="25">
        <f>IFERROR(revenue[profit]/revenue[revenue], 0)</f>
        <v>0.380494614</v>
      </c>
      <c r="S773" s="9">
        <f>revenue[productCost]*revenue[orderQuantity]</f>
        <v>164.1689273</v>
      </c>
    </row>
    <row r="774" ht="15.75" customHeight="1">
      <c r="A774" s="6">
        <v>10537.0</v>
      </c>
      <c r="B774" s="7" t="s">
        <v>21</v>
      </c>
      <c r="C774" s="24" t="str">
        <f>VLOOKUP(revenue[customerID],customers[],2,FALSE)</f>
        <v>Richter Supermarkt</v>
      </c>
      <c r="D774" s="24" t="str">
        <f>VLOOKUP(revenue[customerID],customers[],6,FALSE)</f>
        <v>Genève</v>
      </c>
      <c r="E774" s="24" t="str">
        <f>VLOOKUP(revenue[customerID],customers[],9,FALSE)</f>
        <v>Switzerland</v>
      </c>
      <c r="F774" s="24">
        <v>45060.0</v>
      </c>
      <c r="G774" s="6">
        <v>72.0</v>
      </c>
      <c r="H774" s="9" t="str">
        <f>VLOOKUP(revenue[productID],products[],2,FALSE)</f>
        <v>Mozzarella di Giovanni</v>
      </c>
      <c r="I774" s="9" t="str">
        <f>VLOOKUP(revenue[productID],products[],12,FALSE)</f>
        <v>Dairy Products</v>
      </c>
      <c r="J774" s="9">
        <f>VLOOKUP(revenue[productID],products[],IF(YEAR(revenue[orderDate])=2022,8,IF(YEAR(revenue[orderDate])=2023,9,IF(YEAR(revenue[orderDate])=2024,10,NA))),FALSE)</f>
        <v>23.51933768</v>
      </c>
      <c r="K774" s="9">
        <v>34.8</v>
      </c>
      <c r="L774" s="25">
        <f>(revenue[orderPrice]-revenue[productCost])/revenue[productCost]</f>
        <v>0.4796335031</v>
      </c>
      <c r="M774" s="10">
        <v>21.0</v>
      </c>
      <c r="N774" s="25">
        <v>0.0</v>
      </c>
      <c r="O774" s="9">
        <f>revenue[orderPrice]*revenue[orderQuantity]</f>
        <v>730.8</v>
      </c>
      <c r="P774" s="9">
        <f>revenue[orderTotal]*(1-revenue[discountApllied])</f>
        <v>730.8</v>
      </c>
      <c r="Q774" s="9">
        <f>revenue[revenue]-(revenue[productCost]*revenue[orderQuantity])</f>
        <v>236.8939087</v>
      </c>
      <c r="R774" s="25">
        <f>IFERROR(revenue[profit]/revenue[revenue], 0)</f>
        <v>0.3241569633</v>
      </c>
      <c r="S774" s="9">
        <f>revenue[productCost]*revenue[orderQuantity]</f>
        <v>493.9060913</v>
      </c>
    </row>
    <row r="775" ht="15.75" customHeight="1">
      <c r="A775" s="6">
        <v>10537.0</v>
      </c>
      <c r="B775" s="7" t="s">
        <v>21</v>
      </c>
      <c r="C775" s="24" t="str">
        <f>VLOOKUP(revenue[customerID],customers[],2,FALSE)</f>
        <v>Richter Supermarkt</v>
      </c>
      <c r="D775" s="24" t="str">
        <f>VLOOKUP(revenue[customerID],customers[],6,FALSE)</f>
        <v>Genève</v>
      </c>
      <c r="E775" s="24" t="str">
        <f>VLOOKUP(revenue[customerID],customers[],9,FALSE)</f>
        <v>Switzerland</v>
      </c>
      <c r="F775" s="24">
        <v>45060.0</v>
      </c>
      <c r="G775" s="6">
        <v>73.0</v>
      </c>
      <c r="H775" s="9" t="str">
        <f>VLOOKUP(revenue[productID],products[],2,FALSE)</f>
        <v>Röd Kaviar</v>
      </c>
      <c r="I775" s="9" t="str">
        <f>VLOOKUP(revenue[productID],products[],12,FALSE)</f>
        <v>Seafood</v>
      </c>
      <c r="J775" s="9">
        <f>VLOOKUP(revenue[productID],products[],IF(YEAR(revenue[orderDate])=2022,8,IF(YEAR(revenue[orderDate])=2023,9,IF(YEAR(revenue[orderDate])=2024,10,NA))),FALSE)</f>
        <v>9.692999362</v>
      </c>
      <c r="K775" s="9">
        <v>15.0</v>
      </c>
      <c r="L775" s="25">
        <f>(revenue[orderPrice]-revenue[productCost])/revenue[productCost]</f>
        <v>0.5475086131</v>
      </c>
      <c r="M775" s="10">
        <v>9.0</v>
      </c>
      <c r="N775" s="25">
        <v>0.0</v>
      </c>
      <c r="O775" s="9">
        <f>revenue[orderPrice]*revenue[orderQuantity]</f>
        <v>135</v>
      </c>
      <c r="P775" s="9">
        <f>revenue[orderTotal]*(1-revenue[discountApllied])</f>
        <v>135</v>
      </c>
      <c r="Q775" s="9">
        <f>revenue[revenue]-(revenue[productCost]*revenue[orderQuantity])</f>
        <v>47.76300574</v>
      </c>
      <c r="R775" s="25">
        <f>IFERROR(revenue[profit]/revenue[revenue], 0)</f>
        <v>0.3538000425</v>
      </c>
      <c r="S775" s="9">
        <f>revenue[productCost]*revenue[orderQuantity]</f>
        <v>87.23699426</v>
      </c>
    </row>
    <row r="776" ht="15.75" customHeight="1">
      <c r="A776" s="6">
        <v>10538.0</v>
      </c>
      <c r="B776" s="7" t="s">
        <v>46</v>
      </c>
      <c r="C776" s="24" t="str">
        <f>VLOOKUP(revenue[customerID],customers[],2,FALSE)</f>
        <v>B's Beverages</v>
      </c>
      <c r="D776" s="24" t="str">
        <f>VLOOKUP(revenue[customerID],customers[],6,FALSE)</f>
        <v>London</v>
      </c>
      <c r="E776" s="24" t="str">
        <f>VLOOKUP(revenue[customerID],customers[],9,FALSE)</f>
        <v>UK</v>
      </c>
      <c r="F776" s="24">
        <v>45061.0</v>
      </c>
      <c r="G776" s="6">
        <v>70.0</v>
      </c>
      <c r="H776" s="9" t="str">
        <f>VLOOKUP(revenue[productID],products[],2,FALSE)</f>
        <v>Outback Lager</v>
      </c>
      <c r="I776" s="9" t="str">
        <f>VLOOKUP(revenue[productID],products[],12,FALSE)</f>
        <v>Beverages</v>
      </c>
      <c r="J776" s="9">
        <f>VLOOKUP(revenue[productID],products[],IF(YEAR(revenue[orderDate])=2022,8,IF(YEAR(revenue[orderDate])=2023,9,IF(YEAR(revenue[orderDate])=2024,10,NA))),FALSE)</f>
        <v>9.793094091</v>
      </c>
      <c r="K776" s="9">
        <v>15.0</v>
      </c>
      <c r="L776" s="25">
        <f>(revenue[orderPrice]-revenue[productCost])/revenue[productCost]</f>
        <v>0.5316916044</v>
      </c>
      <c r="M776" s="10">
        <v>7.0</v>
      </c>
      <c r="N776" s="25">
        <v>0.0</v>
      </c>
      <c r="O776" s="9">
        <f>revenue[orderPrice]*revenue[orderQuantity]</f>
        <v>105</v>
      </c>
      <c r="P776" s="9">
        <f>revenue[orderTotal]*(1-revenue[discountApllied])</f>
        <v>105</v>
      </c>
      <c r="Q776" s="9">
        <f>revenue[revenue]-(revenue[productCost]*revenue[orderQuantity])</f>
        <v>36.44834136</v>
      </c>
      <c r="R776" s="25">
        <f>IFERROR(revenue[profit]/revenue[revenue], 0)</f>
        <v>0.3471270606</v>
      </c>
      <c r="S776" s="9">
        <f>revenue[productCost]*revenue[orderQuantity]</f>
        <v>68.55165864</v>
      </c>
    </row>
    <row r="777" ht="15.75" customHeight="1">
      <c r="A777" s="6">
        <v>10538.0</v>
      </c>
      <c r="B777" s="7" t="s">
        <v>46</v>
      </c>
      <c r="C777" s="24" t="str">
        <f>VLOOKUP(revenue[customerID],customers[],2,FALSE)</f>
        <v>B's Beverages</v>
      </c>
      <c r="D777" s="24" t="str">
        <f>VLOOKUP(revenue[customerID],customers[],6,FALSE)</f>
        <v>London</v>
      </c>
      <c r="E777" s="24" t="str">
        <f>VLOOKUP(revenue[customerID],customers[],9,FALSE)</f>
        <v>UK</v>
      </c>
      <c r="F777" s="24">
        <v>45061.0</v>
      </c>
      <c r="G777" s="6">
        <v>72.0</v>
      </c>
      <c r="H777" s="9" t="str">
        <f>VLOOKUP(revenue[productID],products[],2,FALSE)</f>
        <v>Mozzarella di Giovanni</v>
      </c>
      <c r="I777" s="9" t="str">
        <f>VLOOKUP(revenue[productID],products[],12,FALSE)</f>
        <v>Dairy Products</v>
      </c>
      <c r="J777" s="9">
        <f>VLOOKUP(revenue[productID],products[],IF(YEAR(revenue[orderDate])=2022,8,IF(YEAR(revenue[orderDate])=2023,9,IF(YEAR(revenue[orderDate])=2024,10,NA))),FALSE)</f>
        <v>23.51933768</v>
      </c>
      <c r="K777" s="9">
        <v>34.8</v>
      </c>
      <c r="L777" s="25">
        <f>(revenue[orderPrice]-revenue[productCost])/revenue[productCost]</f>
        <v>0.4796335031</v>
      </c>
      <c r="M777" s="10">
        <v>1.0</v>
      </c>
      <c r="N777" s="25">
        <v>0.0</v>
      </c>
      <c r="O777" s="9">
        <f>revenue[orderPrice]*revenue[orderQuantity]</f>
        <v>34.8</v>
      </c>
      <c r="P777" s="9">
        <f>revenue[orderTotal]*(1-revenue[discountApllied])</f>
        <v>34.8</v>
      </c>
      <c r="Q777" s="9">
        <f>revenue[revenue]-(revenue[productCost]*revenue[orderQuantity])</f>
        <v>11.28066232</v>
      </c>
      <c r="R777" s="25">
        <f>IFERROR(revenue[profit]/revenue[revenue], 0)</f>
        <v>0.3241569633</v>
      </c>
      <c r="S777" s="9">
        <f>revenue[productCost]*revenue[orderQuantity]</f>
        <v>23.51933768</v>
      </c>
    </row>
    <row r="778" ht="15.75" customHeight="1">
      <c r="A778" s="6">
        <v>10539.0</v>
      </c>
      <c r="B778" s="7" t="s">
        <v>46</v>
      </c>
      <c r="C778" s="24" t="str">
        <f>VLOOKUP(revenue[customerID],customers[],2,FALSE)</f>
        <v>B's Beverages</v>
      </c>
      <c r="D778" s="24" t="str">
        <f>VLOOKUP(revenue[customerID],customers[],6,FALSE)</f>
        <v>London</v>
      </c>
      <c r="E778" s="24" t="str">
        <f>VLOOKUP(revenue[customerID],customers[],9,FALSE)</f>
        <v>UK</v>
      </c>
      <c r="F778" s="24">
        <v>45062.0</v>
      </c>
      <c r="G778" s="6">
        <v>13.0</v>
      </c>
      <c r="H778" s="9" t="str">
        <f>VLOOKUP(revenue[productID],products[],2,FALSE)</f>
        <v>Konbu</v>
      </c>
      <c r="I778" s="9" t="str">
        <f>VLOOKUP(revenue[productID],products[],12,FALSE)</f>
        <v>Seafood</v>
      </c>
      <c r="J778" s="9">
        <f>VLOOKUP(revenue[productID],products[],IF(YEAR(revenue[orderDate])=2022,8,IF(YEAR(revenue[orderDate])=2023,9,IF(YEAR(revenue[orderDate])=2024,10,NA))),FALSE)</f>
        <v>3.865774949</v>
      </c>
      <c r="K778" s="9">
        <v>6.0</v>
      </c>
      <c r="L778" s="25">
        <f>(revenue[orderPrice]-revenue[productCost])/revenue[productCost]</f>
        <v>0.5520820739</v>
      </c>
      <c r="M778" s="10">
        <v>8.0</v>
      </c>
      <c r="N778" s="25">
        <v>0.0</v>
      </c>
      <c r="O778" s="9">
        <f>revenue[orderPrice]*revenue[orderQuantity]</f>
        <v>48</v>
      </c>
      <c r="P778" s="9">
        <f>revenue[orderTotal]*(1-revenue[discountApllied])</f>
        <v>48</v>
      </c>
      <c r="Q778" s="9">
        <f>revenue[revenue]-(revenue[productCost]*revenue[orderQuantity])</f>
        <v>17.07380041</v>
      </c>
      <c r="R778" s="25">
        <f>IFERROR(revenue[profit]/revenue[revenue], 0)</f>
        <v>0.3557041752</v>
      </c>
      <c r="S778" s="9">
        <f>revenue[productCost]*revenue[orderQuantity]</f>
        <v>30.92619959</v>
      </c>
    </row>
    <row r="779" ht="15.75" customHeight="1">
      <c r="A779" s="6">
        <v>10539.0</v>
      </c>
      <c r="B779" s="7" t="s">
        <v>46</v>
      </c>
      <c r="C779" s="24" t="str">
        <f>VLOOKUP(revenue[customerID],customers[],2,FALSE)</f>
        <v>B's Beverages</v>
      </c>
      <c r="D779" s="24" t="str">
        <f>VLOOKUP(revenue[customerID],customers[],6,FALSE)</f>
        <v>London</v>
      </c>
      <c r="E779" s="24" t="str">
        <f>VLOOKUP(revenue[customerID],customers[],9,FALSE)</f>
        <v>UK</v>
      </c>
      <c r="F779" s="24">
        <v>45062.0</v>
      </c>
      <c r="G779" s="6">
        <v>21.0</v>
      </c>
      <c r="H779" s="9" t="str">
        <f>VLOOKUP(revenue[productID],products[],2,FALSE)</f>
        <v>Sir Rodney's Scones</v>
      </c>
      <c r="I779" s="9" t="str">
        <f>VLOOKUP(revenue[productID],products[],12,FALSE)</f>
        <v>Confections</v>
      </c>
      <c r="J779" s="9">
        <f>VLOOKUP(revenue[productID],products[],IF(YEAR(revenue[orderDate])=2022,8,IF(YEAR(revenue[orderDate])=2023,9,IF(YEAR(revenue[orderDate])=2024,10,NA))),FALSE)</f>
        <v>6.725636111</v>
      </c>
      <c r="K779" s="9">
        <v>10.0</v>
      </c>
      <c r="L779" s="25">
        <f>(revenue[orderPrice]-revenue[productCost])/revenue[productCost]</f>
        <v>0.486848208</v>
      </c>
      <c r="M779" s="10">
        <v>15.0</v>
      </c>
      <c r="N779" s="25">
        <v>0.0</v>
      </c>
      <c r="O779" s="9">
        <f>revenue[orderPrice]*revenue[orderQuantity]</f>
        <v>150</v>
      </c>
      <c r="P779" s="9">
        <f>revenue[orderTotal]*(1-revenue[discountApllied])</f>
        <v>150</v>
      </c>
      <c r="Q779" s="9">
        <f>revenue[revenue]-(revenue[productCost]*revenue[orderQuantity])</f>
        <v>49.11545833</v>
      </c>
      <c r="R779" s="25">
        <f>IFERROR(revenue[profit]/revenue[revenue], 0)</f>
        <v>0.3274363889</v>
      </c>
      <c r="S779" s="9">
        <f>revenue[productCost]*revenue[orderQuantity]</f>
        <v>100.8845417</v>
      </c>
    </row>
    <row r="780" ht="15.75" customHeight="1">
      <c r="A780" s="6">
        <v>10539.0</v>
      </c>
      <c r="B780" s="7" t="s">
        <v>46</v>
      </c>
      <c r="C780" s="24" t="str">
        <f>VLOOKUP(revenue[customerID],customers[],2,FALSE)</f>
        <v>B's Beverages</v>
      </c>
      <c r="D780" s="24" t="str">
        <f>VLOOKUP(revenue[customerID],customers[],6,FALSE)</f>
        <v>London</v>
      </c>
      <c r="E780" s="24" t="str">
        <f>VLOOKUP(revenue[customerID],customers[],9,FALSE)</f>
        <v>UK</v>
      </c>
      <c r="F780" s="24">
        <v>45062.0</v>
      </c>
      <c r="G780" s="6">
        <v>33.0</v>
      </c>
      <c r="H780" s="9" t="str">
        <f>VLOOKUP(revenue[productID],products[],2,FALSE)</f>
        <v>Geitost</v>
      </c>
      <c r="I780" s="9" t="str">
        <f>VLOOKUP(revenue[productID],products[],12,FALSE)</f>
        <v>Dairy Products</v>
      </c>
      <c r="J780" s="9">
        <f>VLOOKUP(revenue[productID],products[],IF(YEAR(revenue[orderDate])=2022,8,IF(YEAR(revenue[orderDate])=2023,9,IF(YEAR(revenue[orderDate])=2024,10,NA))),FALSE)</f>
        <v>1.559072298</v>
      </c>
      <c r="K780" s="9">
        <v>2.5</v>
      </c>
      <c r="L780" s="25">
        <f>(revenue[orderPrice]-revenue[productCost])/revenue[productCost]</f>
        <v>0.603517684</v>
      </c>
      <c r="M780" s="10">
        <v>15.0</v>
      </c>
      <c r="N780" s="25">
        <v>0.0</v>
      </c>
      <c r="O780" s="9">
        <f>revenue[orderPrice]*revenue[orderQuantity]</f>
        <v>37.5</v>
      </c>
      <c r="P780" s="9">
        <f>revenue[orderTotal]*(1-revenue[discountApllied])</f>
        <v>37.5</v>
      </c>
      <c r="Q780" s="9">
        <f>revenue[revenue]-(revenue[productCost]*revenue[orderQuantity])</f>
        <v>14.11391553</v>
      </c>
      <c r="R780" s="25">
        <f>IFERROR(revenue[profit]/revenue[revenue], 0)</f>
        <v>0.3763710809</v>
      </c>
      <c r="S780" s="9">
        <f>revenue[productCost]*revenue[orderQuantity]</f>
        <v>23.38608447</v>
      </c>
    </row>
    <row r="781" ht="15.75" customHeight="1">
      <c r="A781" s="6">
        <v>10539.0</v>
      </c>
      <c r="B781" s="7" t="s">
        <v>46</v>
      </c>
      <c r="C781" s="24" t="str">
        <f>VLOOKUP(revenue[customerID],customers[],2,FALSE)</f>
        <v>B's Beverages</v>
      </c>
      <c r="D781" s="24" t="str">
        <f>VLOOKUP(revenue[customerID],customers[],6,FALSE)</f>
        <v>London</v>
      </c>
      <c r="E781" s="24" t="str">
        <f>VLOOKUP(revenue[customerID],customers[],9,FALSE)</f>
        <v>UK</v>
      </c>
      <c r="F781" s="24">
        <v>45062.0</v>
      </c>
      <c r="G781" s="6">
        <v>49.0</v>
      </c>
      <c r="H781" s="9" t="str">
        <f>VLOOKUP(revenue[productID],products[],2,FALSE)</f>
        <v>Maxilaku</v>
      </c>
      <c r="I781" s="9" t="str">
        <f>VLOOKUP(revenue[productID],products[],12,FALSE)</f>
        <v>Confections</v>
      </c>
      <c r="J781" s="9">
        <f>VLOOKUP(revenue[productID],products[],IF(YEAR(revenue[orderDate])=2022,8,IF(YEAR(revenue[orderDate])=2023,9,IF(YEAR(revenue[orderDate])=2024,10,NA))),FALSE)</f>
        <v>13.04112285</v>
      </c>
      <c r="K781" s="9">
        <v>20.0</v>
      </c>
      <c r="L781" s="25">
        <f>(revenue[orderPrice]-revenue[productCost])/revenue[productCost]</f>
        <v>0.5336102746</v>
      </c>
      <c r="M781" s="10">
        <v>6.0</v>
      </c>
      <c r="N781" s="25">
        <v>0.0</v>
      </c>
      <c r="O781" s="9">
        <f>revenue[orderPrice]*revenue[orderQuantity]</f>
        <v>120</v>
      </c>
      <c r="P781" s="9">
        <f>revenue[orderTotal]*(1-revenue[discountApllied])</f>
        <v>120</v>
      </c>
      <c r="Q781" s="9">
        <f>revenue[revenue]-(revenue[productCost]*revenue[orderQuantity])</f>
        <v>41.75326288</v>
      </c>
      <c r="R781" s="25">
        <f>IFERROR(revenue[profit]/revenue[revenue], 0)</f>
        <v>0.3479438573</v>
      </c>
      <c r="S781" s="9">
        <f>revenue[productCost]*revenue[orderQuantity]</f>
        <v>78.24673712</v>
      </c>
    </row>
    <row r="782" ht="15.75" customHeight="1">
      <c r="A782" s="6">
        <v>10540.0</v>
      </c>
      <c r="B782" s="7" t="s">
        <v>36</v>
      </c>
      <c r="C782" s="24" t="str">
        <f>VLOOKUP(revenue[customerID],customers[],2,FALSE)</f>
        <v>QUICK-Stop</v>
      </c>
      <c r="D782" s="24" t="str">
        <f>VLOOKUP(revenue[customerID],customers[],6,FALSE)</f>
        <v>Cunewalde</v>
      </c>
      <c r="E782" s="24" t="str">
        <f>VLOOKUP(revenue[customerID],customers[],9,FALSE)</f>
        <v>Germany</v>
      </c>
      <c r="F782" s="24">
        <v>45065.0</v>
      </c>
      <c r="G782" s="6">
        <v>3.0</v>
      </c>
      <c r="H782" s="9" t="str">
        <f>VLOOKUP(revenue[productID],products[],2,FALSE)</f>
        <v>Aniseed Syrup</v>
      </c>
      <c r="I782" s="9" t="str">
        <f>VLOOKUP(revenue[productID],products[],12,FALSE)</f>
        <v>Condiments</v>
      </c>
      <c r="J782" s="9">
        <f>VLOOKUP(revenue[productID],products[],IF(YEAR(revenue[orderDate])=2022,8,IF(YEAR(revenue[orderDate])=2023,9,IF(YEAR(revenue[orderDate])=2024,10,NA))),FALSE)</f>
        <v>6.399802633</v>
      </c>
      <c r="K782" s="9">
        <v>10.0</v>
      </c>
      <c r="L782" s="25">
        <f>(revenue[orderPrice]-revenue[productCost])/revenue[productCost]</f>
        <v>0.5625481867</v>
      </c>
      <c r="M782" s="10">
        <v>60.0</v>
      </c>
      <c r="N782" s="25">
        <v>0.0</v>
      </c>
      <c r="O782" s="9">
        <f>revenue[orderPrice]*revenue[orderQuantity]</f>
        <v>600</v>
      </c>
      <c r="P782" s="9">
        <f>revenue[orderTotal]*(1-revenue[discountApllied])</f>
        <v>600</v>
      </c>
      <c r="Q782" s="9">
        <f>revenue[revenue]-(revenue[productCost]*revenue[orderQuantity])</f>
        <v>216.011842</v>
      </c>
      <c r="R782" s="25">
        <f>IFERROR(revenue[profit]/revenue[revenue], 0)</f>
        <v>0.3600197367</v>
      </c>
      <c r="S782" s="9">
        <f>revenue[productCost]*revenue[orderQuantity]</f>
        <v>383.988158</v>
      </c>
    </row>
    <row r="783" ht="15.75" customHeight="1">
      <c r="A783" s="6">
        <v>10540.0</v>
      </c>
      <c r="B783" s="7" t="s">
        <v>36</v>
      </c>
      <c r="C783" s="24" t="str">
        <f>VLOOKUP(revenue[customerID],customers[],2,FALSE)</f>
        <v>QUICK-Stop</v>
      </c>
      <c r="D783" s="24" t="str">
        <f>VLOOKUP(revenue[customerID],customers[],6,FALSE)</f>
        <v>Cunewalde</v>
      </c>
      <c r="E783" s="24" t="str">
        <f>VLOOKUP(revenue[customerID],customers[],9,FALSE)</f>
        <v>Germany</v>
      </c>
      <c r="F783" s="24">
        <v>45065.0</v>
      </c>
      <c r="G783" s="6">
        <v>26.0</v>
      </c>
      <c r="H783" s="9" t="str">
        <f>VLOOKUP(revenue[productID],products[],2,FALSE)</f>
        <v>NuNuCa Nuß-Nougat-Creme</v>
      </c>
      <c r="I783" s="9" t="str">
        <f>VLOOKUP(revenue[productID],products[],12,FALSE)</f>
        <v>Confections</v>
      </c>
      <c r="J783" s="9">
        <f>VLOOKUP(revenue[productID],products[],IF(YEAR(revenue[orderDate])=2022,8,IF(YEAR(revenue[orderDate])=2023,9,IF(YEAR(revenue[orderDate])=2024,10,NA))),FALSE)</f>
        <v>21.20896201</v>
      </c>
      <c r="K783" s="9">
        <v>31.23</v>
      </c>
      <c r="L783" s="25">
        <f>(revenue[orderPrice]-revenue[productCost])/revenue[productCost]</f>
        <v>0.472490732</v>
      </c>
      <c r="M783" s="10">
        <v>40.0</v>
      </c>
      <c r="N783" s="25">
        <v>0.0</v>
      </c>
      <c r="O783" s="9">
        <f>revenue[orderPrice]*revenue[orderQuantity]</f>
        <v>1249.2</v>
      </c>
      <c r="P783" s="9">
        <f>revenue[orderTotal]*(1-revenue[discountApllied])</f>
        <v>1249.2</v>
      </c>
      <c r="Q783" s="9">
        <f>revenue[revenue]-(revenue[productCost]*revenue[orderQuantity])</f>
        <v>400.8415195</v>
      </c>
      <c r="R783" s="25">
        <f>IFERROR(revenue[profit]/revenue[revenue], 0)</f>
        <v>0.3208785779</v>
      </c>
      <c r="S783" s="9">
        <f>revenue[productCost]*revenue[orderQuantity]</f>
        <v>848.3584805</v>
      </c>
    </row>
    <row r="784" ht="15.75" customHeight="1">
      <c r="A784" s="6">
        <v>10540.0</v>
      </c>
      <c r="B784" s="7" t="s">
        <v>36</v>
      </c>
      <c r="C784" s="24" t="str">
        <f>VLOOKUP(revenue[customerID],customers[],2,FALSE)</f>
        <v>QUICK-Stop</v>
      </c>
      <c r="D784" s="24" t="str">
        <f>VLOOKUP(revenue[customerID],customers[],6,FALSE)</f>
        <v>Cunewalde</v>
      </c>
      <c r="E784" s="24" t="str">
        <f>VLOOKUP(revenue[customerID],customers[],9,FALSE)</f>
        <v>Germany</v>
      </c>
      <c r="F784" s="24">
        <v>45065.0</v>
      </c>
      <c r="G784" s="6">
        <v>38.0</v>
      </c>
      <c r="H784" s="9" t="str">
        <f>VLOOKUP(revenue[productID],products[],2,FALSE)</f>
        <v>Côte de Blaye</v>
      </c>
      <c r="I784" s="9" t="str">
        <f>VLOOKUP(revenue[productID],products[],12,FALSE)</f>
        <v>Beverages</v>
      </c>
      <c r="J784" s="9">
        <f>VLOOKUP(revenue[productID],products[],IF(YEAR(revenue[orderDate])=2022,8,IF(YEAR(revenue[orderDate])=2023,9,IF(YEAR(revenue[orderDate])=2024,10,NA))),FALSE)</f>
        <v>175.9515711</v>
      </c>
      <c r="K784" s="9">
        <v>263.5</v>
      </c>
      <c r="L784" s="25">
        <f>(revenue[orderPrice]-revenue[productCost])/revenue[productCost]</f>
        <v>0.4975711688</v>
      </c>
      <c r="M784" s="10">
        <v>30.0</v>
      </c>
      <c r="N784" s="25">
        <v>0.0</v>
      </c>
      <c r="O784" s="9">
        <f>revenue[orderPrice]*revenue[orderQuantity]</f>
        <v>7905</v>
      </c>
      <c r="P784" s="9">
        <f>revenue[orderTotal]*(1-revenue[discountApllied])</f>
        <v>7905</v>
      </c>
      <c r="Q784" s="9">
        <f>revenue[revenue]-(revenue[productCost]*revenue[orderQuantity])</f>
        <v>2626.452867</v>
      </c>
      <c r="R784" s="25">
        <f>IFERROR(revenue[profit]/revenue[revenue], 0)</f>
        <v>0.3322521021</v>
      </c>
      <c r="S784" s="9">
        <f>revenue[productCost]*revenue[orderQuantity]</f>
        <v>5278.547133</v>
      </c>
    </row>
    <row r="785" ht="15.75" customHeight="1">
      <c r="A785" s="6">
        <v>10540.0</v>
      </c>
      <c r="B785" s="7" t="s">
        <v>36</v>
      </c>
      <c r="C785" s="24" t="str">
        <f>VLOOKUP(revenue[customerID],customers[],2,FALSE)</f>
        <v>QUICK-Stop</v>
      </c>
      <c r="D785" s="24" t="str">
        <f>VLOOKUP(revenue[customerID],customers[],6,FALSE)</f>
        <v>Cunewalde</v>
      </c>
      <c r="E785" s="24" t="str">
        <f>VLOOKUP(revenue[customerID],customers[],9,FALSE)</f>
        <v>Germany</v>
      </c>
      <c r="F785" s="24">
        <v>45065.0</v>
      </c>
      <c r="G785" s="6">
        <v>68.0</v>
      </c>
      <c r="H785" s="9" t="str">
        <f>VLOOKUP(revenue[productID],products[],2,FALSE)</f>
        <v>Scottish Longbreads</v>
      </c>
      <c r="I785" s="9" t="str">
        <f>VLOOKUP(revenue[productID],products[],12,FALSE)</f>
        <v>Confections</v>
      </c>
      <c r="J785" s="9">
        <f>VLOOKUP(revenue[productID],products[],IF(YEAR(revenue[orderDate])=2022,8,IF(YEAR(revenue[orderDate])=2023,9,IF(YEAR(revenue[orderDate])=2024,10,NA))),FALSE)</f>
        <v>8.500000387</v>
      </c>
      <c r="K785" s="9">
        <v>12.5</v>
      </c>
      <c r="L785" s="25">
        <f>(revenue[orderPrice]-revenue[productCost])/revenue[productCost]</f>
        <v>0.4705881684</v>
      </c>
      <c r="M785" s="10">
        <v>35.0</v>
      </c>
      <c r="N785" s="25">
        <v>0.0</v>
      </c>
      <c r="O785" s="9">
        <f>revenue[orderPrice]*revenue[orderQuantity]</f>
        <v>437.5</v>
      </c>
      <c r="P785" s="9">
        <f>revenue[orderTotal]*(1-revenue[discountApllied])</f>
        <v>437.5</v>
      </c>
      <c r="Q785" s="9">
        <f>revenue[revenue]-(revenue[productCost]*revenue[orderQuantity])</f>
        <v>139.9999865</v>
      </c>
      <c r="R785" s="25">
        <f>IFERROR(revenue[profit]/revenue[revenue], 0)</f>
        <v>0.3199999691</v>
      </c>
      <c r="S785" s="9">
        <f>revenue[productCost]*revenue[orderQuantity]</f>
        <v>297.5000135</v>
      </c>
    </row>
    <row r="786" ht="15.75" customHeight="1">
      <c r="A786" s="6">
        <v>10541.0</v>
      </c>
      <c r="B786" s="7" t="s">
        <v>16</v>
      </c>
      <c r="C786" s="24" t="str">
        <f>VLOOKUP(revenue[customerID],customers[],2,FALSE)</f>
        <v>Hanari Carnes</v>
      </c>
      <c r="D786" s="24" t="str">
        <f>VLOOKUP(revenue[customerID],customers[],6,FALSE)</f>
        <v>Rio de Janeiro</v>
      </c>
      <c r="E786" s="24" t="str">
        <f>VLOOKUP(revenue[customerID],customers[],9,FALSE)</f>
        <v>Brazil</v>
      </c>
      <c r="F786" s="24">
        <v>45065.0</v>
      </c>
      <c r="G786" s="6">
        <v>24.0</v>
      </c>
      <c r="H786" s="9" t="str">
        <f>VLOOKUP(revenue[productID],products[],2,FALSE)</f>
        <v>Brigadeiros Maravilhosos da Lilian</v>
      </c>
      <c r="I786" s="9" t="str">
        <f>VLOOKUP(revenue[productID],products[],12,FALSE)</f>
        <v>Confections</v>
      </c>
      <c r="J786" s="9">
        <f>VLOOKUP(revenue[productID],products[],IF(YEAR(revenue[orderDate])=2022,8,IF(YEAR(revenue[orderDate])=2023,9,IF(YEAR(revenue[orderDate])=2024,10,NA))),FALSE)</f>
        <v>3.131783363</v>
      </c>
      <c r="K786" s="9">
        <v>4.5</v>
      </c>
      <c r="L786" s="25">
        <f>(revenue[orderPrice]-revenue[productCost])/revenue[productCost]</f>
        <v>0.4368809967</v>
      </c>
      <c r="M786" s="10">
        <v>35.0</v>
      </c>
      <c r="N786" s="25">
        <v>0.1</v>
      </c>
      <c r="O786" s="9">
        <f>revenue[orderPrice]*revenue[orderQuantity]</f>
        <v>157.5</v>
      </c>
      <c r="P786" s="9">
        <f>revenue[orderTotal]*(1-revenue[discountApllied])</f>
        <v>141.75</v>
      </c>
      <c r="Q786" s="9">
        <f>revenue[revenue]-(revenue[productCost]*revenue[orderQuantity])</f>
        <v>32.1375823</v>
      </c>
      <c r="R786" s="25">
        <f>IFERROR(revenue[profit]/revenue[revenue], 0)</f>
        <v>0.2267201573</v>
      </c>
      <c r="S786" s="9">
        <f>revenue[productCost]*revenue[orderQuantity]</f>
        <v>109.6124177</v>
      </c>
    </row>
    <row r="787" ht="15.75" customHeight="1">
      <c r="A787" s="6">
        <v>10541.0</v>
      </c>
      <c r="B787" s="7" t="s">
        <v>16</v>
      </c>
      <c r="C787" s="24" t="str">
        <f>VLOOKUP(revenue[customerID],customers[],2,FALSE)</f>
        <v>Hanari Carnes</v>
      </c>
      <c r="D787" s="24" t="str">
        <f>VLOOKUP(revenue[customerID],customers[],6,FALSE)</f>
        <v>Rio de Janeiro</v>
      </c>
      <c r="E787" s="24" t="str">
        <f>VLOOKUP(revenue[customerID],customers[],9,FALSE)</f>
        <v>Brazil</v>
      </c>
      <c r="F787" s="24">
        <v>45065.0</v>
      </c>
      <c r="G787" s="6">
        <v>38.0</v>
      </c>
      <c r="H787" s="9" t="str">
        <f>VLOOKUP(revenue[productID],products[],2,FALSE)</f>
        <v>Côte de Blaye</v>
      </c>
      <c r="I787" s="9" t="str">
        <f>VLOOKUP(revenue[productID],products[],12,FALSE)</f>
        <v>Beverages</v>
      </c>
      <c r="J787" s="9">
        <f>VLOOKUP(revenue[productID],products[],IF(YEAR(revenue[orderDate])=2022,8,IF(YEAR(revenue[orderDate])=2023,9,IF(YEAR(revenue[orderDate])=2024,10,NA))),FALSE)</f>
        <v>175.9515711</v>
      </c>
      <c r="K787" s="9">
        <v>263.5</v>
      </c>
      <c r="L787" s="25">
        <f>(revenue[orderPrice]-revenue[productCost])/revenue[productCost]</f>
        <v>0.4975711688</v>
      </c>
      <c r="M787" s="10">
        <v>4.0</v>
      </c>
      <c r="N787" s="25">
        <v>0.1</v>
      </c>
      <c r="O787" s="9">
        <f>revenue[orderPrice]*revenue[orderQuantity]</f>
        <v>1054</v>
      </c>
      <c r="P787" s="9">
        <f>revenue[orderTotal]*(1-revenue[discountApllied])</f>
        <v>948.6</v>
      </c>
      <c r="Q787" s="9">
        <f>revenue[revenue]-(revenue[productCost]*revenue[orderQuantity])</f>
        <v>244.7937156</v>
      </c>
      <c r="R787" s="25">
        <f>IFERROR(revenue[profit]/revenue[revenue], 0)</f>
        <v>0.2580578912</v>
      </c>
      <c r="S787" s="9">
        <f>revenue[productCost]*revenue[orderQuantity]</f>
        <v>703.8062844</v>
      </c>
    </row>
    <row r="788" ht="15.75" customHeight="1">
      <c r="A788" s="6">
        <v>10541.0</v>
      </c>
      <c r="B788" s="7" t="s">
        <v>16</v>
      </c>
      <c r="C788" s="24" t="str">
        <f>VLOOKUP(revenue[customerID],customers[],2,FALSE)</f>
        <v>Hanari Carnes</v>
      </c>
      <c r="D788" s="24" t="str">
        <f>VLOOKUP(revenue[customerID],customers[],6,FALSE)</f>
        <v>Rio de Janeiro</v>
      </c>
      <c r="E788" s="24" t="str">
        <f>VLOOKUP(revenue[customerID],customers[],9,FALSE)</f>
        <v>Brazil</v>
      </c>
      <c r="F788" s="24">
        <v>45065.0</v>
      </c>
      <c r="G788" s="6">
        <v>65.0</v>
      </c>
      <c r="H788" s="9" t="str">
        <f>VLOOKUP(revenue[productID],products[],2,FALSE)</f>
        <v>Louisiana Fiery Hot Pepper Sauce</v>
      </c>
      <c r="I788" s="9" t="str">
        <f>VLOOKUP(revenue[productID],products[],12,FALSE)</f>
        <v>Condiments</v>
      </c>
      <c r="J788" s="9">
        <f>VLOOKUP(revenue[productID],products[],IF(YEAR(revenue[orderDate])=2022,8,IF(YEAR(revenue[orderDate])=2023,9,IF(YEAR(revenue[orderDate])=2024,10,NA))),FALSE)</f>
        <v>13.21122243</v>
      </c>
      <c r="K788" s="9">
        <v>21.05</v>
      </c>
      <c r="L788" s="25">
        <f>(revenue[orderPrice]-revenue[productCost])/revenue[productCost]</f>
        <v>0.593342335</v>
      </c>
      <c r="M788" s="10">
        <v>36.0</v>
      </c>
      <c r="N788" s="25">
        <v>0.1</v>
      </c>
      <c r="O788" s="9">
        <f>revenue[orderPrice]*revenue[orderQuantity]</f>
        <v>757.8</v>
      </c>
      <c r="P788" s="9">
        <f>revenue[orderTotal]*(1-revenue[discountApllied])</f>
        <v>682.02</v>
      </c>
      <c r="Q788" s="9">
        <f>revenue[revenue]-(revenue[productCost]*revenue[orderQuantity])</f>
        <v>206.4159924</v>
      </c>
      <c r="R788" s="25">
        <f>IFERROR(revenue[profit]/revenue[revenue], 0)</f>
        <v>0.30265387</v>
      </c>
      <c r="S788" s="9">
        <f>revenue[productCost]*revenue[orderQuantity]</f>
        <v>475.6040076</v>
      </c>
    </row>
    <row r="789" ht="15.75" customHeight="1">
      <c r="A789" s="6">
        <v>10541.0</v>
      </c>
      <c r="B789" s="7" t="s">
        <v>16</v>
      </c>
      <c r="C789" s="24" t="str">
        <f>VLOOKUP(revenue[customerID],customers[],2,FALSE)</f>
        <v>Hanari Carnes</v>
      </c>
      <c r="D789" s="24" t="str">
        <f>VLOOKUP(revenue[customerID],customers[],6,FALSE)</f>
        <v>Rio de Janeiro</v>
      </c>
      <c r="E789" s="24" t="str">
        <f>VLOOKUP(revenue[customerID],customers[],9,FALSE)</f>
        <v>Brazil</v>
      </c>
      <c r="F789" s="24">
        <v>45065.0</v>
      </c>
      <c r="G789" s="6">
        <v>71.0</v>
      </c>
      <c r="H789" s="9" t="str">
        <f>VLOOKUP(revenue[productID],products[],2,FALSE)</f>
        <v>Flotemysost</v>
      </c>
      <c r="I789" s="9" t="str">
        <f>VLOOKUP(revenue[productID],products[],12,FALSE)</f>
        <v>Dairy Products</v>
      </c>
      <c r="J789" s="9">
        <f>VLOOKUP(revenue[productID],products[],IF(YEAR(revenue[orderDate])=2022,8,IF(YEAR(revenue[orderDate])=2023,9,IF(YEAR(revenue[orderDate])=2024,10,NA))),FALSE)</f>
        <v>13.4003664</v>
      </c>
      <c r="K789" s="9">
        <v>21.5</v>
      </c>
      <c r="L789" s="25">
        <f>(revenue[orderPrice]-revenue[productCost])/revenue[productCost]</f>
        <v>0.6044337411</v>
      </c>
      <c r="M789" s="10">
        <v>9.0</v>
      </c>
      <c r="N789" s="25">
        <v>0.1</v>
      </c>
      <c r="O789" s="9">
        <f>revenue[orderPrice]*revenue[orderQuantity]</f>
        <v>193.5</v>
      </c>
      <c r="P789" s="9">
        <f>revenue[orderTotal]*(1-revenue[discountApllied])</f>
        <v>174.15</v>
      </c>
      <c r="Q789" s="9">
        <f>revenue[revenue]-(revenue[productCost]*revenue[orderQuantity])</f>
        <v>53.54670237</v>
      </c>
      <c r="R789" s="25">
        <f>IFERROR(revenue[profit]/revenue[revenue], 0)</f>
        <v>0.3074746045</v>
      </c>
      <c r="S789" s="9">
        <f>revenue[productCost]*revenue[orderQuantity]</f>
        <v>120.6032976</v>
      </c>
    </row>
    <row r="790" ht="15.75" customHeight="1">
      <c r="A790" s="6">
        <v>10542.0</v>
      </c>
      <c r="B790" s="7" t="s">
        <v>59</v>
      </c>
      <c r="C790" s="24" t="str">
        <f>VLOOKUP(revenue[customerID],customers[],2,FALSE)</f>
        <v>Königlich Essen</v>
      </c>
      <c r="D790" s="24" t="str">
        <f>VLOOKUP(revenue[customerID],customers[],6,FALSE)</f>
        <v>Brandenburg</v>
      </c>
      <c r="E790" s="24" t="str">
        <f>VLOOKUP(revenue[customerID],customers[],9,FALSE)</f>
        <v>Germany</v>
      </c>
      <c r="F790" s="24">
        <v>45066.0</v>
      </c>
      <c r="G790" s="6">
        <v>11.0</v>
      </c>
      <c r="H790" s="9" t="str">
        <f>VLOOKUP(revenue[productID],products[],2,FALSE)</f>
        <v>Queso Cabrales</v>
      </c>
      <c r="I790" s="9" t="str">
        <f>VLOOKUP(revenue[productID],products[],12,FALSE)</f>
        <v>Dairy Products</v>
      </c>
      <c r="J790" s="9">
        <f>VLOOKUP(revenue[productID],products[],IF(YEAR(revenue[orderDate])=2022,8,IF(YEAR(revenue[orderDate])=2023,9,IF(YEAR(revenue[orderDate])=2024,10,NA))),FALSE)</f>
        <v>12.90188125</v>
      </c>
      <c r="K790" s="9">
        <v>21.0</v>
      </c>
      <c r="L790" s="25">
        <f>(revenue[orderPrice]-revenue[productCost])/revenue[productCost]</f>
        <v>0.6276696079</v>
      </c>
      <c r="M790" s="10">
        <v>15.0</v>
      </c>
      <c r="N790" s="25">
        <v>0.05</v>
      </c>
      <c r="O790" s="9">
        <f>revenue[orderPrice]*revenue[orderQuantity]</f>
        <v>315</v>
      </c>
      <c r="P790" s="9">
        <f>revenue[orderTotal]*(1-revenue[discountApllied])</f>
        <v>299.25</v>
      </c>
      <c r="Q790" s="9">
        <f>revenue[revenue]-(revenue[productCost]*revenue[orderQuantity])</f>
        <v>105.7217812</v>
      </c>
      <c r="R790" s="25">
        <f>IFERROR(revenue[profit]/revenue[revenue], 0)</f>
        <v>0.3532891603</v>
      </c>
      <c r="S790" s="9">
        <f>revenue[productCost]*revenue[orderQuantity]</f>
        <v>193.5282188</v>
      </c>
    </row>
    <row r="791" ht="15.75" customHeight="1">
      <c r="A791" s="6">
        <v>10542.0</v>
      </c>
      <c r="B791" s="7" t="s">
        <v>59</v>
      </c>
      <c r="C791" s="24" t="str">
        <f>VLOOKUP(revenue[customerID],customers[],2,FALSE)</f>
        <v>Königlich Essen</v>
      </c>
      <c r="D791" s="24" t="str">
        <f>VLOOKUP(revenue[customerID],customers[],6,FALSE)</f>
        <v>Brandenburg</v>
      </c>
      <c r="E791" s="24" t="str">
        <f>VLOOKUP(revenue[customerID],customers[],9,FALSE)</f>
        <v>Germany</v>
      </c>
      <c r="F791" s="24">
        <v>45066.0</v>
      </c>
      <c r="G791" s="6">
        <v>54.0</v>
      </c>
      <c r="H791" s="9" t="str">
        <f>VLOOKUP(revenue[productID],products[],2,FALSE)</f>
        <v>Tourtière</v>
      </c>
      <c r="I791" s="9" t="str">
        <f>VLOOKUP(revenue[productID],products[],12,FALSE)</f>
        <v>Meat/Poultry</v>
      </c>
      <c r="J791" s="9">
        <f>VLOOKUP(revenue[productID],products[],IF(YEAR(revenue[orderDate])=2022,8,IF(YEAR(revenue[orderDate])=2023,9,IF(YEAR(revenue[orderDate])=2024,10,NA))),FALSE)</f>
        <v>4.924447797</v>
      </c>
      <c r="K791" s="9">
        <v>7.45</v>
      </c>
      <c r="L791" s="25">
        <f>(revenue[orderPrice]-revenue[productCost])/revenue[productCost]</f>
        <v>0.5128599808</v>
      </c>
      <c r="M791" s="10">
        <v>24.0</v>
      </c>
      <c r="N791" s="25">
        <v>0.05</v>
      </c>
      <c r="O791" s="9">
        <f>revenue[orderPrice]*revenue[orderQuantity]</f>
        <v>178.8</v>
      </c>
      <c r="P791" s="9">
        <f>revenue[orderTotal]*(1-revenue[discountApllied])</f>
        <v>169.86</v>
      </c>
      <c r="Q791" s="9">
        <f>revenue[revenue]-(revenue[productCost]*revenue[orderQuantity])</f>
        <v>51.67325287</v>
      </c>
      <c r="R791" s="25">
        <f>IFERROR(revenue[profit]/revenue[revenue], 0)</f>
        <v>0.3042108376</v>
      </c>
      <c r="S791" s="9">
        <f>revenue[productCost]*revenue[orderQuantity]</f>
        <v>118.1867471</v>
      </c>
    </row>
    <row r="792" ht="15.75" customHeight="1">
      <c r="A792" s="6">
        <v>10543.0</v>
      </c>
      <c r="B792" s="7" t="s">
        <v>43</v>
      </c>
      <c r="C792" s="24" t="str">
        <f>VLOOKUP(revenue[customerID],customers[],2,FALSE)</f>
        <v>LILA-Supermercado</v>
      </c>
      <c r="D792" s="24" t="str">
        <f>VLOOKUP(revenue[customerID],customers[],6,FALSE)</f>
        <v>Barquisimeto</v>
      </c>
      <c r="E792" s="24" t="str">
        <f>VLOOKUP(revenue[customerID],customers[],9,FALSE)</f>
        <v>Venezuela</v>
      </c>
      <c r="F792" s="24">
        <v>45067.0</v>
      </c>
      <c r="G792" s="6">
        <v>12.0</v>
      </c>
      <c r="H792" s="9" t="str">
        <f>VLOOKUP(revenue[productID],products[],2,FALSE)</f>
        <v>Queso Manchego La Pastora</v>
      </c>
      <c r="I792" s="9" t="str">
        <f>VLOOKUP(revenue[productID],products[],12,FALSE)</f>
        <v>Dairy Products</v>
      </c>
      <c r="J792" s="9">
        <f>VLOOKUP(revenue[productID],products[],IF(YEAR(revenue[orderDate])=2022,8,IF(YEAR(revenue[orderDate])=2023,9,IF(YEAR(revenue[orderDate])=2024,10,NA))),FALSE)</f>
        <v>23.79216617</v>
      </c>
      <c r="K792" s="9">
        <v>38.0</v>
      </c>
      <c r="L792" s="25">
        <f>(revenue[orderPrice]-revenue[productCost])/revenue[productCost]</f>
        <v>0.5971643663</v>
      </c>
      <c r="M792" s="10">
        <v>30.0</v>
      </c>
      <c r="N792" s="25">
        <v>0.15</v>
      </c>
      <c r="O792" s="9">
        <f>revenue[orderPrice]*revenue[orderQuantity]</f>
        <v>1140</v>
      </c>
      <c r="P792" s="9">
        <f>revenue[orderTotal]*(1-revenue[discountApllied])</f>
        <v>969</v>
      </c>
      <c r="Q792" s="9">
        <f>revenue[revenue]-(revenue[productCost]*revenue[orderQuantity])</f>
        <v>255.235015</v>
      </c>
      <c r="R792" s="25">
        <f>IFERROR(revenue[profit]/revenue[revenue], 0)</f>
        <v>0.2634004283</v>
      </c>
      <c r="S792" s="9">
        <f>revenue[productCost]*revenue[orderQuantity]</f>
        <v>713.764985</v>
      </c>
    </row>
    <row r="793" ht="15.75" customHeight="1">
      <c r="A793" s="6">
        <v>10543.0</v>
      </c>
      <c r="B793" s="7" t="s">
        <v>43</v>
      </c>
      <c r="C793" s="24" t="str">
        <f>VLOOKUP(revenue[customerID],customers[],2,FALSE)</f>
        <v>LILA-Supermercado</v>
      </c>
      <c r="D793" s="24" t="str">
        <f>VLOOKUP(revenue[customerID],customers[],6,FALSE)</f>
        <v>Barquisimeto</v>
      </c>
      <c r="E793" s="24" t="str">
        <f>VLOOKUP(revenue[customerID],customers[],9,FALSE)</f>
        <v>Venezuela</v>
      </c>
      <c r="F793" s="24">
        <v>45067.0</v>
      </c>
      <c r="G793" s="6">
        <v>23.0</v>
      </c>
      <c r="H793" s="9" t="str">
        <f>VLOOKUP(revenue[productID],products[],2,FALSE)</f>
        <v>Tunnbröd</v>
      </c>
      <c r="I793" s="9" t="str">
        <f>VLOOKUP(revenue[productID],products[],12,FALSE)</f>
        <v>Grains/Cereals</v>
      </c>
      <c r="J793" s="9">
        <f>VLOOKUP(revenue[productID],products[],IF(YEAR(revenue[orderDate])=2022,8,IF(YEAR(revenue[orderDate])=2023,9,IF(YEAR(revenue[orderDate])=2024,10,NA))),FALSE)</f>
        <v>5.989059129</v>
      </c>
      <c r="K793" s="9">
        <v>9.0</v>
      </c>
      <c r="L793" s="25">
        <f>(revenue[orderPrice]-revenue[productCost])/revenue[productCost]</f>
        <v>0.5027402146</v>
      </c>
      <c r="M793" s="10">
        <v>70.0</v>
      </c>
      <c r="N793" s="25">
        <v>0.15</v>
      </c>
      <c r="O793" s="9">
        <f>revenue[orderPrice]*revenue[orderQuantity]</f>
        <v>630</v>
      </c>
      <c r="P793" s="9">
        <f>revenue[orderTotal]*(1-revenue[discountApllied])</f>
        <v>535.5</v>
      </c>
      <c r="Q793" s="9">
        <f>revenue[revenue]-(revenue[productCost]*revenue[orderQuantity])</f>
        <v>116.265861</v>
      </c>
      <c r="R793" s="25">
        <f>IFERROR(revenue[profit]/revenue[revenue], 0)</f>
        <v>0.2171164538</v>
      </c>
      <c r="S793" s="9">
        <f>revenue[productCost]*revenue[orderQuantity]</f>
        <v>419.234139</v>
      </c>
    </row>
    <row r="794" ht="15.75" customHeight="1">
      <c r="A794" s="6">
        <v>10544.0</v>
      </c>
      <c r="B794" s="7" t="s">
        <v>53</v>
      </c>
      <c r="C794" s="24" t="str">
        <f>VLOOKUP(revenue[customerID],customers[],2,FALSE)</f>
        <v>Lonesome Pine Restaurant</v>
      </c>
      <c r="D794" s="24" t="str">
        <f>VLOOKUP(revenue[customerID],customers[],6,FALSE)</f>
        <v>Portland</v>
      </c>
      <c r="E794" s="24" t="str">
        <f>VLOOKUP(revenue[customerID],customers[],9,FALSE)</f>
        <v>USA</v>
      </c>
      <c r="F794" s="24">
        <v>45067.0</v>
      </c>
      <c r="G794" s="6">
        <v>28.0</v>
      </c>
      <c r="H794" s="9" t="str">
        <f>VLOOKUP(revenue[productID],products[],2,FALSE)</f>
        <v>Rössle Sauerkraut</v>
      </c>
      <c r="I794" s="9" t="str">
        <f>VLOOKUP(revenue[productID],products[],12,FALSE)</f>
        <v>Produce</v>
      </c>
      <c r="J794" s="9">
        <f>VLOOKUP(revenue[productID],products[],IF(YEAR(revenue[orderDate])=2022,8,IF(YEAR(revenue[orderDate])=2023,9,IF(YEAR(revenue[orderDate])=2024,10,NA))),FALSE)</f>
        <v>31.52644578</v>
      </c>
      <c r="K794" s="9">
        <v>45.6</v>
      </c>
      <c r="L794" s="25">
        <f>(revenue[orderPrice]-revenue[productCost])/revenue[productCost]</f>
        <v>0.4464047207</v>
      </c>
      <c r="M794" s="10">
        <v>7.0</v>
      </c>
      <c r="N794" s="25">
        <v>0.0</v>
      </c>
      <c r="O794" s="9">
        <f>revenue[orderPrice]*revenue[orderQuantity]</f>
        <v>319.2</v>
      </c>
      <c r="P794" s="9">
        <f>revenue[orderTotal]*(1-revenue[discountApllied])</f>
        <v>319.2</v>
      </c>
      <c r="Q794" s="9">
        <f>revenue[revenue]-(revenue[productCost]*revenue[orderQuantity])</f>
        <v>98.51487955</v>
      </c>
      <c r="R794" s="25">
        <f>IFERROR(revenue[profit]/revenue[revenue], 0)</f>
        <v>0.308630575</v>
      </c>
      <c r="S794" s="9">
        <f>revenue[productCost]*revenue[orderQuantity]</f>
        <v>220.6851204</v>
      </c>
    </row>
    <row r="795" ht="15.75" customHeight="1">
      <c r="A795" s="6">
        <v>10544.0</v>
      </c>
      <c r="B795" s="7" t="s">
        <v>53</v>
      </c>
      <c r="C795" s="24" t="str">
        <f>VLOOKUP(revenue[customerID],customers[],2,FALSE)</f>
        <v>Lonesome Pine Restaurant</v>
      </c>
      <c r="D795" s="24" t="str">
        <f>VLOOKUP(revenue[customerID],customers[],6,FALSE)</f>
        <v>Portland</v>
      </c>
      <c r="E795" s="24" t="str">
        <f>VLOOKUP(revenue[customerID],customers[],9,FALSE)</f>
        <v>USA</v>
      </c>
      <c r="F795" s="24">
        <v>45067.0</v>
      </c>
      <c r="G795" s="6">
        <v>67.0</v>
      </c>
      <c r="H795" s="9" t="str">
        <f>VLOOKUP(revenue[productID],products[],2,FALSE)</f>
        <v>Laughing Lumberjack Lager</v>
      </c>
      <c r="I795" s="9" t="str">
        <f>VLOOKUP(revenue[productID],products[],12,FALSE)</f>
        <v>Beverages</v>
      </c>
      <c r="J795" s="9">
        <f>VLOOKUP(revenue[productID],products[],IF(YEAR(revenue[orderDate])=2022,8,IF(YEAR(revenue[orderDate])=2023,9,IF(YEAR(revenue[orderDate])=2024,10,NA))),FALSE)</f>
        <v>10.35274539</v>
      </c>
      <c r="K795" s="9">
        <v>14.0</v>
      </c>
      <c r="L795" s="25">
        <f>(revenue[orderPrice]-revenue[productCost])/revenue[productCost]</f>
        <v>0.3522983009</v>
      </c>
      <c r="M795" s="10">
        <v>7.0</v>
      </c>
      <c r="N795" s="25">
        <v>0.0</v>
      </c>
      <c r="O795" s="9">
        <f>revenue[orderPrice]*revenue[orderQuantity]</f>
        <v>98</v>
      </c>
      <c r="P795" s="9">
        <f>revenue[orderTotal]*(1-revenue[discountApllied])</f>
        <v>98</v>
      </c>
      <c r="Q795" s="9">
        <f>revenue[revenue]-(revenue[productCost]*revenue[orderQuantity])</f>
        <v>25.53078227</v>
      </c>
      <c r="R795" s="25">
        <f>IFERROR(revenue[profit]/revenue[revenue], 0)</f>
        <v>0.2605181865</v>
      </c>
      <c r="S795" s="9">
        <f>revenue[productCost]*revenue[orderQuantity]</f>
        <v>72.46921773</v>
      </c>
    </row>
    <row r="796" ht="15.75" customHeight="1">
      <c r="A796" s="6">
        <v>10545.0</v>
      </c>
      <c r="B796" s="7" t="s">
        <v>89</v>
      </c>
      <c r="C796" s="24" t="str">
        <f>VLOOKUP(revenue[customerID],customers[],2,FALSE)</f>
        <v>Lazy K Kountry Store</v>
      </c>
      <c r="D796" s="24" t="str">
        <f>VLOOKUP(revenue[customerID],customers[],6,FALSE)</f>
        <v>Walla Walla</v>
      </c>
      <c r="E796" s="24" t="str">
        <f>VLOOKUP(revenue[customerID],customers[],9,FALSE)</f>
        <v>USA</v>
      </c>
      <c r="F796" s="24">
        <v>45068.0</v>
      </c>
      <c r="G796" s="6">
        <v>11.0</v>
      </c>
      <c r="H796" s="9" t="str">
        <f>VLOOKUP(revenue[productID],products[],2,FALSE)</f>
        <v>Queso Cabrales</v>
      </c>
      <c r="I796" s="9" t="str">
        <f>VLOOKUP(revenue[productID],products[],12,FALSE)</f>
        <v>Dairy Products</v>
      </c>
      <c r="J796" s="9">
        <f>VLOOKUP(revenue[productID],products[],IF(YEAR(revenue[orderDate])=2022,8,IF(YEAR(revenue[orderDate])=2023,9,IF(YEAR(revenue[orderDate])=2024,10,NA))),FALSE)</f>
        <v>12.90188125</v>
      </c>
      <c r="K796" s="9">
        <v>21.0</v>
      </c>
      <c r="L796" s="25">
        <f>(revenue[orderPrice]-revenue[productCost])/revenue[productCost]</f>
        <v>0.6276696079</v>
      </c>
      <c r="M796" s="10">
        <v>10.0</v>
      </c>
      <c r="N796" s="25">
        <v>0.0</v>
      </c>
      <c r="O796" s="9">
        <f>revenue[orderPrice]*revenue[orderQuantity]</f>
        <v>210</v>
      </c>
      <c r="P796" s="9">
        <f>revenue[orderTotal]*(1-revenue[discountApllied])</f>
        <v>210</v>
      </c>
      <c r="Q796" s="9">
        <f>revenue[revenue]-(revenue[productCost]*revenue[orderQuantity])</f>
        <v>80.98118747</v>
      </c>
      <c r="R796" s="25">
        <f>IFERROR(revenue[profit]/revenue[revenue], 0)</f>
        <v>0.3856247023</v>
      </c>
      <c r="S796" s="9">
        <f>revenue[productCost]*revenue[orderQuantity]</f>
        <v>129.0188125</v>
      </c>
    </row>
    <row r="797" ht="15.75" customHeight="1">
      <c r="A797" s="6">
        <v>10546.0</v>
      </c>
      <c r="B797" s="7" t="s">
        <v>18</v>
      </c>
      <c r="C797" s="24" t="str">
        <f>VLOOKUP(revenue[customerID],customers[],2,FALSE)</f>
        <v>Victuailles en stock</v>
      </c>
      <c r="D797" s="24" t="str">
        <f>VLOOKUP(revenue[customerID],customers[],6,FALSE)</f>
        <v>Lyon</v>
      </c>
      <c r="E797" s="24" t="str">
        <f>VLOOKUP(revenue[customerID],customers[],9,FALSE)</f>
        <v>France</v>
      </c>
      <c r="F797" s="24">
        <v>45069.0</v>
      </c>
      <c r="G797" s="6">
        <v>7.0</v>
      </c>
      <c r="H797" s="9" t="str">
        <f>VLOOKUP(revenue[productID],products[],2,FALSE)</f>
        <v>Uncle Bob's Organic Dried Pears</v>
      </c>
      <c r="I797" s="9" t="str">
        <f>VLOOKUP(revenue[productID],products[],12,FALSE)</f>
        <v>Produce</v>
      </c>
      <c r="J797" s="9">
        <f>VLOOKUP(revenue[productID],products[],IF(YEAR(revenue[orderDate])=2022,8,IF(YEAR(revenue[orderDate])=2023,9,IF(YEAR(revenue[orderDate])=2024,10,NA))),FALSE)</f>
        <v>21.39244625</v>
      </c>
      <c r="K797" s="9">
        <v>30.0</v>
      </c>
      <c r="L797" s="25">
        <f>(revenue[orderPrice]-revenue[productCost])/revenue[productCost]</f>
        <v>0.4023641636</v>
      </c>
      <c r="M797" s="10">
        <v>10.0</v>
      </c>
      <c r="N797" s="25">
        <v>0.0</v>
      </c>
      <c r="O797" s="9">
        <f>revenue[orderPrice]*revenue[orderQuantity]</f>
        <v>300</v>
      </c>
      <c r="P797" s="9">
        <f>revenue[orderTotal]*(1-revenue[discountApllied])</f>
        <v>300</v>
      </c>
      <c r="Q797" s="9">
        <f>revenue[revenue]-(revenue[productCost]*revenue[orderQuantity])</f>
        <v>86.07553745</v>
      </c>
      <c r="R797" s="25">
        <f>IFERROR(revenue[profit]/revenue[revenue], 0)</f>
        <v>0.2869184582</v>
      </c>
      <c r="S797" s="9">
        <f>revenue[productCost]*revenue[orderQuantity]</f>
        <v>213.9244625</v>
      </c>
    </row>
    <row r="798" ht="15.75" customHeight="1">
      <c r="A798" s="6">
        <v>10546.0</v>
      </c>
      <c r="B798" s="7" t="s">
        <v>18</v>
      </c>
      <c r="C798" s="24" t="str">
        <f>VLOOKUP(revenue[customerID],customers[],2,FALSE)</f>
        <v>Victuailles en stock</v>
      </c>
      <c r="D798" s="24" t="str">
        <f>VLOOKUP(revenue[customerID],customers[],6,FALSE)</f>
        <v>Lyon</v>
      </c>
      <c r="E798" s="24" t="str">
        <f>VLOOKUP(revenue[customerID],customers[],9,FALSE)</f>
        <v>France</v>
      </c>
      <c r="F798" s="24">
        <v>45069.0</v>
      </c>
      <c r="G798" s="6">
        <v>35.0</v>
      </c>
      <c r="H798" s="9" t="str">
        <f>VLOOKUP(revenue[productID],products[],2,FALSE)</f>
        <v>Cold Brew Nitro</v>
      </c>
      <c r="I798" s="9" t="str">
        <f>VLOOKUP(revenue[productID],products[],12,FALSE)</f>
        <v>Beverages</v>
      </c>
      <c r="J798" s="9">
        <f>VLOOKUP(revenue[productID],products[],IF(YEAR(revenue[orderDate])=2022,8,IF(YEAR(revenue[orderDate])=2023,9,IF(YEAR(revenue[orderDate])=2024,10,NA))),FALSE)</f>
        <v>11.7602531</v>
      </c>
      <c r="K798" s="9">
        <v>18.0</v>
      </c>
      <c r="L798" s="25">
        <f>(revenue[orderPrice]-revenue[productCost])/revenue[productCost]</f>
        <v>0.5305793033</v>
      </c>
      <c r="M798" s="10">
        <v>30.0</v>
      </c>
      <c r="N798" s="25">
        <v>0.0</v>
      </c>
      <c r="O798" s="9">
        <f>revenue[orderPrice]*revenue[orderQuantity]</f>
        <v>540</v>
      </c>
      <c r="P798" s="9">
        <f>revenue[orderTotal]*(1-revenue[discountApllied])</f>
        <v>540</v>
      </c>
      <c r="Q798" s="9">
        <f>revenue[revenue]-(revenue[productCost]*revenue[orderQuantity])</f>
        <v>187.1924069</v>
      </c>
      <c r="R798" s="25">
        <f>IFERROR(revenue[profit]/revenue[revenue], 0)</f>
        <v>0.3466526054</v>
      </c>
      <c r="S798" s="9">
        <f>revenue[productCost]*revenue[orderQuantity]</f>
        <v>352.8075931</v>
      </c>
    </row>
    <row r="799" ht="15.75" customHeight="1">
      <c r="A799" s="6">
        <v>10546.0</v>
      </c>
      <c r="B799" s="7" t="s">
        <v>18</v>
      </c>
      <c r="C799" s="24" t="str">
        <f>VLOOKUP(revenue[customerID],customers[],2,FALSE)</f>
        <v>Victuailles en stock</v>
      </c>
      <c r="D799" s="24" t="str">
        <f>VLOOKUP(revenue[customerID],customers[],6,FALSE)</f>
        <v>Lyon</v>
      </c>
      <c r="E799" s="24" t="str">
        <f>VLOOKUP(revenue[customerID],customers[],9,FALSE)</f>
        <v>France</v>
      </c>
      <c r="F799" s="24">
        <v>45069.0</v>
      </c>
      <c r="G799" s="6">
        <v>62.0</v>
      </c>
      <c r="H799" s="9" t="str">
        <f>VLOOKUP(revenue[productID],products[],2,FALSE)</f>
        <v>Tarte au sucre</v>
      </c>
      <c r="I799" s="9" t="str">
        <f>VLOOKUP(revenue[productID],products[],12,FALSE)</f>
        <v>Confections</v>
      </c>
      <c r="J799" s="9">
        <f>VLOOKUP(revenue[productID],products[],IF(YEAR(revenue[orderDate])=2022,8,IF(YEAR(revenue[orderDate])=2023,9,IF(YEAR(revenue[orderDate])=2024,10,NA))),FALSE)</f>
        <v>35.34792781</v>
      </c>
      <c r="K799" s="9">
        <v>49.3</v>
      </c>
      <c r="L799" s="25">
        <f>(revenue[orderPrice]-revenue[productCost])/revenue[productCost]</f>
        <v>0.3947069335</v>
      </c>
      <c r="M799" s="10">
        <v>40.0</v>
      </c>
      <c r="N799" s="25">
        <v>0.0</v>
      </c>
      <c r="O799" s="9">
        <f>revenue[orderPrice]*revenue[orderQuantity]</f>
        <v>1972</v>
      </c>
      <c r="P799" s="9">
        <f>revenue[orderTotal]*(1-revenue[discountApllied])</f>
        <v>1972</v>
      </c>
      <c r="Q799" s="9">
        <f>revenue[revenue]-(revenue[productCost]*revenue[orderQuantity])</f>
        <v>558.0828876</v>
      </c>
      <c r="R799" s="25">
        <f>IFERROR(revenue[profit]/revenue[revenue], 0)</f>
        <v>0.2830034927</v>
      </c>
      <c r="S799" s="9">
        <f>revenue[productCost]*revenue[orderQuantity]</f>
        <v>1413.917112</v>
      </c>
    </row>
    <row r="800" ht="15.75" customHeight="1">
      <c r="A800" s="6">
        <v>10547.0</v>
      </c>
      <c r="B800" s="7" t="s">
        <v>71</v>
      </c>
      <c r="C800" s="24" t="str">
        <f>VLOOKUP(revenue[customerID],customers[],2,FALSE)</f>
        <v>Seven Seas Imports</v>
      </c>
      <c r="D800" s="24" t="str">
        <f>VLOOKUP(revenue[customerID],customers[],6,FALSE)</f>
        <v>London</v>
      </c>
      <c r="E800" s="24" t="str">
        <f>VLOOKUP(revenue[customerID],customers[],9,FALSE)</f>
        <v>UK</v>
      </c>
      <c r="F800" s="24">
        <v>45069.0</v>
      </c>
      <c r="G800" s="6">
        <v>32.0</v>
      </c>
      <c r="H800" s="9" t="str">
        <f>VLOOKUP(revenue[productID],products[],2,FALSE)</f>
        <v>Mascarpone Fabioli</v>
      </c>
      <c r="I800" s="9" t="str">
        <f>VLOOKUP(revenue[productID],products[],12,FALSE)</f>
        <v>Dairy Products</v>
      </c>
      <c r="J800" s="9">
        <f>VLOOKUP(revenue[productID],products[],IF(YEAR(revenue[orderDate])=2022,8,IF(YEAR(revenue[orderDate])=2023,9,IF(YEAR(revenue[orderDate])=2024,10,NA))),FALSE)</f>
        <v>21.58120628</v>
      </c>
      <c r="K800" s="9">
        <v>32.0</v>
      </c>
      <c r="L800" s="25">
        <f>(revenue[orderPrice]-revenue[productCost])/revenue[productCost]</f>
        <v>0.4827716106</v>
      </c>
      <c r="M800" s="10">
        <v>24.0</v>
      </c>
      <c r="N800" s="25">
        <v>0.15</v>
      </c>
      <c r="O800" s="9">
        <f>revenue[orderPrice]*revenue[orderQuantity]</f>
        <v>768</v>
      </c>
      <c r="P800" s="9">
        <f>revenue[orderTotal]*(1-revenue[discountApllied])</f>
        <v>652.8</v>
      </c>
      <c r="Q800" s="9">
        <f>revenue[revenue]-(revenue[productCost]*revenue[orderQuantity])</f>
        <v>134.8510492</v>
      </c>
      <c r="R800" s="25">
        <f>IFERROR(revenue[profit]/revenue[revenue], 0)</f>
        <v>0.2065732984</v>
      </c>
      <c r="S800" s="9">
        <f>revenue[productCost]*revenue[orderQuantity]</f>
        <v>517.9489508</v>
      </c>
    </row>
    <row r="801" ht="15.75" customHeight="1">
      <c r="A801" s="6">
        <v>10547.0</v>
      </c>
      <c r="B801" s="7" t="s">
        <v>71</v>
      </c>
      <c r="C801" s="24" t="str">
        <f>VLOOKUP(revenue[customerID],customers[],2,FALSE)</f>
        <v>Seven Seas Imports</v>
      </c>
      <c r="D801" s="24" t="str">
        <f>VLOOKUP(revenue[customerID],customers[],6,FALSE)</f>
        <v>London</v>
      </c>
      <c r="E801" s="24" t="str">
        <f>VLOOKUP(revenue[customerID],customers[],9,FALSE)</f>
        <v>UK</v>
      </c>
      <c r="F801" s="24">
        <v>45069.0</v>
      </c>
      <c r="G801" s="6">
        <v>36.0</v>
      </c>
      <c r="H801" s="9" t="str">
        <f>VLOOKUP(revenue[productID],products[],2,FALSE)</f>
        <v>Inlagd Sill</v>
      </c>
      <c r="I801" s="9" t="str">
        <f>VLOOKUP(revenue[productID],products[],12,FALSE)</f>
        <v>Seafood</v>
      </c>
      <c r="J801" s="9">
        <f>VLOOKUP(revenue[productID],products[],IF(YEAR(revenue[orderDate])=2022,8,IF(YEAR(revenue[orderDate])=2023,9,IF(YEAR(revenue[orderDate])=2024,10,NA))),FALSE)</f>
        <v>12.15246269</v>
      </c>
      <c r="K801" s="9">
        <v>19.0</v>
      </c>
      <c r="L801" s="25">
        <f>(revenue[orderPrice]-revenue[productCost])/revenue[productCost]</f>
        <v>0.5634691082</v>
      </c>
      <c r="M801" s="10">
        <v>60.0</v>
      </c>
      <c r="N801" s="25">
        <v>0.0</v>
      </c>
      <c r="O801" s="9">
        <f>revenue[orderPrice]*revenue[orderQuantity]</f>
        <v>1140</v>
      </c>
      <c r="P801" s="9">
        <f>revenue[orderTotal]*(1-revenue[discountApllied])</f>
        <v>1140</v>
      </c>
      <c r="Q801" s="9">
        <f>revenue[revenue]-(revenue[productCost]*revenue[orderQuantity])</f>
        <v>410.8522388</v>
      </c>
      <c r="R801" s="25">
        <f>IFERROR(revenue[profit]/revenue[revenue], 0)</f>
        <v>0.3603967007</v>
      </c>
      <c r="S801" s="9">
        <f>revenue[productCost]*revenue[orderQuantity]</f>
        <v>729.1477612</v>
      </c>
    </row>
    <row r="802" ht="15.75" customHeight="1">
      <c r="A802" s="6">
        <v>10548.0</v>
      </c>
      <c r="B802" s="7" t="s">
        <v>14</v>
      </c>
      <c r="C802" s="24" t="str">
        <f>VLOOKUP(revenue[customerID],customers[],2,FALSE)</f>
        <v>Toms Spezialitäten</v>
      </c>
      <c r="D802" s="24" t="str">
        <f>VLOOKUP(revenue[customerID],customers[],6,FALSE)</f>
        <v>Münster</v>
      </c>
      <c r="E802" s="24" t="str">
        <f>VLOOKUP(revenue[customerID],customers[],9,FALSE)</f>
        <v>Germany</v>
      </c>
      <c r="F802" s="24">
        <v>45072.0</v>
      </c>
      <c r="G802" s="6">
        <v>34.0</v>
      </c>
      <c r="H802" s="9" t="str">
        <f>VLOOKUP(revenue[productID],products[],2,FALSE)</f>
        <v>Sasquatch Ale</v>
      </c>
      <c r="I802" s="9" t="str">
        <f>VLOOKUP(revenue[productID],products[],12,FALSE)</f>
        <v>Beverages</v>
      </c>
      <c r="J802" s="9">
        <f>VLOOKUP(revenue[productID],products[],IF(YEAR(revenue[orderDate])=2022,8,IF(YEAR(revenue[orderDate])=2023,9,IF(YEAR(revenue[orderDate])=2024,10,NA))),FALSE)</f>
        <v>8.955654061</v>
      </c>
      <c r="K802" s="9">
        <v>14.0</v>
      </c>
      <c r="L802" s="25">
        <f>(revenue[orderPrice]-revenue[productCost])/revenue[productCost]</f>
        <v>0.5632582394</v>
      </c>
      <c r="M802" s="10">
        <v>10.0</v>
      </c>
      <c r="N802" s="25">
        <v>0.25</v>
      </c>
      <c r="O802" s="9">
        <f>revenue[orderPrice]*revenue[orderQuantity]</f>
        <v>140</v>
      </c>
      <c r="P802" s="9">
        <f>revenue[orderTotal]*(1-revenue[discountApllied])</f>
        <v>105</v>
      </c>
      <c r="Q802" s="9">
        <f>revenue[revenue]-(revenue[productCost]*revenue[orderQuantity])</f>
        <v>15.44345939</v>
      </c>
      <c r="R802" s="25">
        <f>IFERROR(revenue[profit]/revenue[revenue], 0)</f>
        <v>0.1470805656</v>
      </c>
      <c r="S802" s="9">
        <f>revenue[productCost]*revenue[orderQuantity]</f>
        <v>89.55654061</v>
      </c>
    </row>
    <row r="803" ht="15.75" customHeight="1">
      <c r="A803" s="6">
        <v>10548.0</v>
      </c>
      <c r="B803" s="7" t="s">
        <v>14</v>
      </c>
      <c r="C803" s="24" t="str">
        <f>VLOOKUP(revenue[customerID],customers[],2,FALSE)</f>
        <v>Toms Spezialitäten</v>
      </c>
      <c r="D803" s="24" t="str">
        <f>VLOOKUP(revenue[customerID],customers[],6,FALSE)</f>
        <v>Münster</v>
      </c>
      <c r="E803" s="24" t="str">
        <f>VLOOKUP(revenue[customerID],customers[],9,FALSE)</f>
        <v>Germany</v>
      </c>
      <c r="F803" s="24">
        <v>45072.0</v>
      </c>
      <c r="G803" s="6">
        <v>41.0</v>
      </c>
      <c r="H803" s="9" t="str">
        <f>VLOOKUP(revenue[productID],products[],2,FALSE)</f>
        <v>Jack's New England Clam Chowder</v>
      </c>
      <c r="I803" s="9" t="str">
        <f>VLOOKUP(revenue[productID],products[],12,FALSE)</f>
        <v>Seafood</v>
      </c>
      <c r="J803" s="9">
        <f>VLOOKUP(revenue[productID],products[],IF(YEAR(revenue[orderDate])=2022,8,IF(YEAR(revenue[orderDate])=2023,9,IF(YEAR(revenue[orderDate])=2024,10,NA))),FALSE)</f>
        <v>6.549914856</v>
      </c>
      <c r="K803" s="9">
        <v>9.65</v>
      </c>
      <c r="L803" s="25">
        <f>(revenue[orderPrice]-revenue[productCost])/revenue[productCost]</f>
        <v>0.4733015943</v>
      </c>
      <c r="M803" s="10">
        <v>14.0</v>
      </c>
      <c r="N803" s="25">
        <v>0.0</v>
      </c>
      <c r="O803" s="9">
        <f>revenue[orderPrice]*revenue[orderQuantity]</f>
        <v>135.1</v>
      </c>
      <c r="P803" s="9">
        <f>revenue[orderTotal]*(1-revenue[discountApllied])</f>
        <v>135.1</v>
      </c>
      <c r="Q803" s="9">
        <f>revenue[revenue]-(revenue[productCost]*revenue[orderQuantity])</f>
        <v>43.40119202</v>
      </c>
      <c r="R803" s="25">
        <f>IFERROR(revenue[profit]/revenue[revenue], 0)</f>
        <v>0.3212523465</v>
      </c>
      <c r="S803" s="9">
        <f>revenue[productCost]*revenue[orderQuantity]</f>
        <v>91.69880798</v>
      </c>
    </row>
    <row r="804" ht="15.75" customHeight="1">
      <c r="A804" s="6">
        <v>10549.0</v>
      </c>
      <c r="B804" s="7" t="s">
        <v>36</v>
      </c>
      <c r="C804" s="24" t="str">
        <f>VLOOKUP(revenue[customerID],customers[],2,FALSE)</f>
        <v>QUICK-Stop</v>
      </c>
      <c r="D804" s="24" t="str">
        <f>VLOOKUP(revenue[customerID],customers[],6,FALSE)</f>
        <v>Cunewalde</v>
      </c>
      <c r="E804" s="24" t="str">
        <f>VLOOKUP(revenue[customerID],customers[],9,FALSE)</f>
        <v>Germany</v>
      </c>
      <c r="F804" s="24">
        <v>45073.0</v>
      </c>
      <c r="G804" s="6">
        <v>31.0</v>
      </c>
      <c r="H804" s="9" t="str">
        <f>VLOOKUP(revenue[productID],products[],2,FALSE)</f>
        <v>Gorgonzola Telino</v>
      </c>
      <c r="I804" s="9" t="str">
        <f>VLOOKUP(revenue[productID],products[],12,FALSE)</f>
        <v>Dairy Products</v>
      </c>
      <c r="J804" s="9">
        <f>VLOOKUP(revenue[productID],products[],IF(YEAR(revenue[orderDate])=2022,8,IF(YEAR(revenue[orderDate])=2023,9,IF(YEAR(revenue[orderDate])=2024,10,NA))),FALSE)</f>
        <v>7.937729254</v>
      </c>
      <c r="K804" s="9">
        <v>12.5</v>
      </c>
      <c r="L804" s="25">
        <f>(revenue[orderPrice]-revenue[productCost])/revenue[productCost]</f>
        <v>0.5747576668</v>
      </c>
      <c r="M804" s="10">
        <v>55.0</v>
      </c>
      <c r="N804" s="25">
        <v>0.15</v>
      </c>
      <c r="O804" s="9">
        <f>revenue[orderPrice]*revenue[orderQuantity]</f>
        <v>687.5</v>
      </c>
      <c r="P804" s="9">
        <f>revenue[orderTotal]*(1-revenue[discountApllied])</f>
        <v>584.375</v>
      </c>
      <c r="Q804" s="9">
        <f>revenue[revenue]-(revenue[productCost]*revenue[orderQuantity])</f>
        <v>147.799891</v>
      </c>
      <c r="R804" s="25">
        <f>IFERROR(revenue[profit]/revenue[revenue], 0)</f>
        <v>0.2529195996</v>
      </c>
      <c r="S804" s="9">
        <f>revenue[productCost]*revenue[orderQuantity]</f>
        <v>436.575109</v>
      </c>
    </row>
    <row r="805" ht="15.75" customHeight="1">
      <c r="A805" s="6">
        <v>10549.0</v>
      </c>
      <c r="B805" s="7" t="s">
        <v>36</v>
      </c>
      <c r="C805" s="24" t="str">
        <f>VLOOKUP(revenue[customerID],customers[],2,FALSE)</f>
        <v>QUICK-Stop</v>
      </c>
      <c r="D805" s="24" t="str">
        <f>VLOOKUP(revenue[customerID],customers[],6,FALSE)</f>
        <v>Cunewalde</v>
      </c>
      <c r="E805" s="24" t="str">
        <f>VLOOKUP(revenue[customerID],customers[],9,FALSE)</f>
        <v>Germany</v>
      </c>
      <c r="F805" s="24">
        <v>45073.0</v>
      </c>
      <c r="G805" s="6">
        <v>45.0</v>
      </c>
      <c r="H805" s="9" t="str">
        <f>VLOOKUP(revenue[productID],products[],2,FALSE)</f>
        <v>Rogede sild</v>
      </c>
      <c r="I805" s="9" t="str">
        <f>VLOOKUP(revenue[productID],products[],12,FALSE)</f>
        <v>Seafood</v>
      </c>
      <c r="J805" s="9">
        <f>VLOOKUP(revenue[productID],products[],IF(YEAR(revenue[orderDate])=2022,8,IF(YEAR(revenue[orderDate])=2023,9,IF(YEAR(revenue[orderDate])=2024,10,NA))),FALSE)</f>
        <v>5.965769822</v>
      </c>
      <c r="K805" s="9">
        <v>9.5</v>
      </c>
      <c r="L805" s="25">
        <f>(revenue[orderPrice]-revenue[productCost])/revenue[productCost]</f>
        <v>0.5924181261</v>
      </c>
      <c r="M805" s="10">
        <v>100.0</v>
      </c>
      <c r="N805" s="25">
        <v>0.15</v>
      </c>
      <c r="O805" s="9">
        <f>revenue[orderPrice]*revenue[orderQuantity]</f>
        <v>950</v>
      </c>
      <c r="P805" s="9">
        <f>revenue[orderTotal]*(1-revenue[discountApllied])</f>
        <v>807.5</v>
      </c>
      <c r="Q805" s="9">
        <f>revenue[revenue]-(revenue[productCost]*revenue[orderQuantity])</f>
        <v>210.9230178</v>
      </c>
      <c r="R805" s="25">
        <f>IFERROR(revenue[profit]/revenue[revenue], 0)</f>
        <v>0.2612049756</v>
      </c>
      <c r="S805" s="9">
        <f>revenue[productCost]*revenue[orderQuantity]</f>
        <v>596.5769822</v>
      </c>
    </row>
    <row r="806" ht="15.75" customHeight="1">
      <c r="A806" s="6">
        <v>10549.0</v>
      </c>
      <c r="B806" s="7" t="s">
        <v>36</v>
      </c>
      <c r="C806" s="24" t="str">
        <f>VLOOKUP(revenue[customerID],customers[],2,FALSE)</f>
        <v>QUICK-Stop</v>
      </c>
      <c r="D806" s="24" t="str">
        <f>VLOOKUP(revenue[customerID],customers[],6,FALSE)</f>
        <v>Cunewalde</v>
      </c>
      <c r="E806" s="24" t="str">
        <f>VLOOKUP(revenue[customerID],customers[],9,FALSE)</f>
        <v>Germany</v>
      </c>
      <c r="F806" s="24">
        <v>45073.0</v>
      </c>
      <c r="G806" s="6">
        <v>51.0</v>
      </c>
      <c r="H806" s="9" t="str">
        <f>VLOOKUP(revenue[productID],products[],2,FALSE)</f>
        <v>Manjimup Dried Apples</v>
      </c>
      <c r="I806" s="9" t="str">
        <f>VLOOKUP(revenue[productID],products[],12,FALSE)</f>
        <v>Produce</v>
      </c>
      <c r="J806" s="9">
        <f>VLOOKUP(revenue[productID],products[],IF(YEAR(revenue[orderDate])=2022,8,IF(YEAR(revenue[orderDate])=2023,9,IF(YEAR(revenue[orderDate])=2024,10,NA))),FALSE)</f>
        <v>36.88798027</v>
      </c>
      <c r="K806" s="9">
        <v>53.0</v>
      </c>
      <c r="L806" s="25">
        <f>(revenue[orderPrice]-revenue[productCost])/revenue[productCost]</f>
        <v>0.4367823779</v>
      </c>
      <c r="M806" s="10">
        <v>48.0</v>
      </c>
      <c r="N806" s="25">
        <v>0.15</v>
      </c>
      <c r="O806" s="9">
        <f>revenue[orderPrice]*revenue[orderQuantity]</f>
        <v>2544</v>
      </c>
      <c r="P806" s="9">
        <f>revenue[orderTotal]*(1-revenue[discountApllied])</f>
        <v>2162.4</v>
      </c>
      <c r="Q806" s="9">
        <f>revenue[revenue]-(revenue[productCost]*revenue[orderQuantity])</f>
        <v>391.7769473</v>
      </c>
      <c r="R806" s="25">
        <f>IFERROR(revenue[profit]/revenue[revenue], 0)</f>
        <v>0.1811769086</v>
      </c>
      <c r="S806" s="9">
        <f>revenue[productCost]*revenue[orderQuantity]</f>
        <v>1770.623053</v>
      </c>
    </row>
    <row r="807" ht="15.75" customHeight="1">
      <c r="A807" s="6">
        <v>10550.0</v>
      </c>
      <c r="B807" s="7" t="s">
        <v>51</v>
      </c>
      <c r="C807" s="24" t="str">
        <f>VLOOKUP(revenue[customerID],customers[],2,FALSE)</f>
        <v>Godos Cocina Típica</v>
      </c>
      <c r="D807" s="24" t="str">
        <f>VLOOKUP(revenue[customerID],customers[],6,FALSE)</f>
        <v>Sevilla</v>
      </c>
      <c r="E807" s="24" t="str">
        <f>VLOOKUP(revenue[customerID],customers[],9,FALSE)</f>
        <v>Spain</v>
      </c>
      <c r="F807" s="24">
        <v>45074.0</v>
      </c>
      <c r="G807" s="6">
        <v>17.0</v>
      </c>
      <c r="H807" s="9" t="str">
        <f>VLOOKUP(revenue[productID],products[],2,FALSE)</f>
        <v>Alice Mutton</v>
      </c>
      <c r="I807" s="9" t="str">
        <f>VLOOKUP(revenue[productID],products[],12,FALSE)</f>
        <v>Meat/Poultry</v>
      </c>
      <c r="J807" s="9">
        <f>VLOOKUP(revenue[productID],products[],IF(YEAR(revenue[orderDate])=2022,8,IF(YEAR(revenue[orderDate])=2023,9,IF(YEAR(revenue[orderDate])=2024,10,NA))),FALSE)</f>
        <v>24.83130504</v>
      </c>
      <c r="K807" s="9">
        <v>39.0</v>
      </c>
      <c r="L807" s="25">
        <f>(revenue[orderPrice]-revenue[productCost])/revenue[productCost]</f>
        <v>0.5705980792</v>
      </c>
      <c r="M807" s="10">
        <v>8.0</v>
      </c>
      <c r="N807" s="25">
        <v>0.1</v>
      </c>
      <c r="O807" s="9">
        <f>revenue[orderPrice]*revenue[orderQuantity]</f>
        <v>312</v>
      </c>
      <c r="P807" s="9">
        <f>revenue[orderTotal]*(1-revenue[discountApllied])</f>
        <v>280.8</v>
      </c>
      <c r="Q807" s="9">
        <f>revenue[revenue]-(revenue[productCost]*revenue[orderQuantity])</f>
        <v>82.14955968</v>
      </c>
      <c r="R807" s="25">
        <f>IFERROR(revenue[profit]/revenue[revenue], 0)</f>
        <v>0.292555412</v>
      </c>
      <c r="S807" s="9">
        <f>revenue[productCost]*revenue[orderQuantity]</f>
        <v>198.6504403</v>
      </c>
    </row>
    <row r="808" ht="15.75" customHeight="1">
      <c r="A808" s="6">
        <v>10550.0</v>
      </c>
      <c r="B808" s="7" t="s">
        <v>51</v>
      </c>
      <c r="C808" s="24" t="str">
        <f>VLOOKUP(revenue[customerID],customers[],2,FALSE)</f>
        <v>Godos Cocina Típica</v>
      </c>
      <c r="D808" s="24" t="str">
        <f>VLOOKUP(revenue[customerID],customers[],6,FALSE)</f>
        <v>Sevilla</v>
      </c>
      <c r="E808" s="24" t="str">
        <f>VLOOKUP(revenue[customerID],customers[],9,FALSE)</f>
        <v>Spain</v>
      </c>
      <c r="F808" s="24">
        <v>45074.0</v>
      </c>
      <c r="G808" s="6">
        <v>19.0</v>
      </c>
      <c r="H808" s="9" t="str">
        <f>VLOOKUP(revenue[productID],products[],2,FALSE)</f>
        <v>Teatime Chocolate Biscuits</v>
      </c>
      <c r="I808" s="9" t="str">
        <f>VLOOKUP(revenue[productID],products[],12,FALSE)</f>
        <v>Confections</v>
      </c>
      <c r="J808" s="9">
        <f>VLOOKUP(revenue[productID],products[],IF(YEAR(revenue[orderDate])=2022,8,IF(YEAR(revenue[orderDate])=2023,9,IF(YEAR(revenue[orderDate])=2024,10,NA))),FALSE)</f>
        <v>5.901883682</v>
      </c>
      <c r="K808" s="9">
        <v>9.2</v>
      </c>
      <c r="L808" s="25">
        <f>(revenue[orderPrice]-revenue[productCost])/revenue[productCost]</f>
        <v>0.5588243508</v>
      </c>
      <c r="M808" s="10">
        <v>10.0</v>
      </c>
      <c r="N808" s="25">
        <v>0.0</v>
      </c>
      <c r="O808" s="9">
        <f>revenue[orderPrice]*revenue[orderQuantity]</f>
        <v>92</v>
      </c>
      <c r="P808" s="9">
        <f>revenue[orderTotal]*(1-revenue[discountApllied])</f>
        <v>92</v>
      </c>
      <c r="Q808" s="9">
        <f>revenue[revenue]-(revenue[productCost]*revenue[orderQuantity])</f>
        <v>32.98116318</v>
      </c>
      <c r="R808" s="25">
        <f>IFERROR(revenue[profit]/revenue[revenue], 0)</f>
        <v>0.3584909041</v>
      </c>
      <c r="S808" s="9">
        <f>revenue[productCost]*revenue[orderQuantity]</f>
        <v>59.01883682</v>
      </c>
    </row>
    <row r="809" ht="15.75" customHeight="1">
      <c r="A809" s="6">
        <v>10550.0</v>
      </c>
      <c r="B809" s="7" t="s">
        <v>51</v>
      </c>
      <c r="C809" s="24" t="str">
        <f>VLOOKUP(revenue[customerID],customers[],2,FALSE)</f>
        <v>Godos Cocina Típica</v>
      </c>
      <c r="D809" s="24" t="str">
        <f>VLOOKUP(revenue[customerID],customers[],6,FALSE)</f>
        <v>Sevilla</v>
      </c>
      <c r="E809" s="24" t="str">
        <f>VLOOKUP(revenue[customerID],customers[],9,FALSE)</f>
        <v>Spain</v>
      </c>
      <c r="F809" s="24">
        <v>45074.0</v>
      </c>
      <c r="G809" s="6">
        <v>21.0</v>
      </c>
      <c r="H809" s="9" t="str">
        <f>VLOOKUP(revenue[productID],products[],2,FALSE)</f>
        <v>Sir Rodney's Scones</v>
      </c>
      <c r="I809" s="9" t="str">
        <f>VLOOKUP(revenue[productID],products[],12,FALSE)</f>
        <v>Confections</v>
      </c>
      <c r="J809" s="9">
        <f>VLOOKUP(revenue[productID],products[],IF(YEAR(revenue[orderDate])=2022,8,IF(YEAR(revenue[orderDate])=2023,9,IF(YEAR(revenue[orderDate])=2024,10,NA))),FALSE)</f>
        <v>6.725636111</v>
      </c>
      <c r="K809" s="9">
        <v>10.0</v>
      </c>
      <c r="L809" s="25">
        <f>(revenue[orderPrice]-revenue[productCost])/revenue[productCost]</f>
        <v>0.486848208</v>
      </c>
      <c r="M809" s="10">
        <v>6.0</v>
      </c>
      <c r="N809" s="25">
        <v>0.1</v>
      </c>
      <c r="O809" s="9">
        <f>revenue[orderPrice]*revenue[orderQuantity]</f>
        <v>60</v>
      </c>
      <c r="P809" s="9">
        <f>revenue[orderTotal]*(1-revenue[discountApllied])</f>
        <v>54</v>
      </c>
      <c r="Q809" s="9">
        <f>revenue[revenue]-(revenue[productCost]*revenue[orderQuantity])</f>
        <v>13.64618333</v>
      </c>
      <c r="R809" s="25">
        <f>IFERROR(revenue[profit]/revenue[revenue], 0)</f>
        <v>0.2527070987</v>
      </c>
      <c r="S809" s="9">
        <f>revenue[productCost]*revenue[orderQuantity]</f>
        <v>40.35381667</v>
      </c>
    </row>
    <row r="810" ht="15.75" customHeight="1">
      <c r="A810" s="6">
        <v>10550.0</v>
      </c>
      <c r="B810" s="7" t="s">
        <v>51</v>
      </c>
      <c r="C810" s="24" t="str">
        <f>VLOOKUP(revenue[customerID],customers[],2,FALSE)</f>
        <v>Godos Cocina Típica</v>
      </c>
      <c r="D810" s="24" t="str">
        <f>VLOOKUP(revenue[customerID],customers[],6,FALSE)</f>
        <v>Sevilla</v>
      </c>
      <c r="E810" s="24" t="str">
        <f>VLOOKUP(revenue[customerID],customers[],9,FALSE)</f>
        <v>Spain</v>
      </c>
      <c r="F810" s="24">
        <v>45074.0</v>
      </c>
      <c r="G810" s="6">
        <v>61.0</v>
      </c>
      <c r="H810" s="9" t="str">
        <f>VLOOKUP(revenue[productID],products[],2,FALSE)</f>
        <v>Sirop d'érable</v>
      </c>
      <c r="I810" s="9" t="str">
        <f>VLOOKUP(revenue[productID],products[],12,FALSE)</f>
        <v>Condiments</v>
      </c>
      <c r="J810" s="9">
        <f>VLOOKUP(revenue[productID],products[],IF(YEAR(revenue[orderDate])=2022,8,IF(YEAR(revenue[orderDate])=2023,9,IF(YEAR(revenue[orderDate])=2024,10,NA))),FALSE)</f>
        <v>17.19945448</v>
      </c>
      <c r="K810" s="9">
        <v>28.5</v>
      </c>
      <c r="L810" s="25">
        <f>(revenue[orderPrice]-revenue[productCost])/revenue[productCost]</f>
        <v>0.6570292986</v>
      </c>
      <c r="M810" s="10">
        <v>10.0</v>
      </c>
      <c r="N810" s="25">
        <v>0.1</v>
      </c>
      <c r="O810" s="9">
        <f>revenue[orderPrice]*revenue[orderQuantity]</f>
        <v>285</v>
      </c>
      <c r="P810" s="9">
        <f>revenue[orderTotal]*(1-revenue[discountApllied])</f>
        <v>256.5</v>
      </c>
      <c r="Q810" s="9">
        <f>revenue[revenue]-(revenue[productCost]*revenue[orderQuantity])</f>
        <v>84.50545516</v>
      </c>
      <c r="R810" s="25">
        <f>IFERROR(revenue[profit]/revenue[revenue], 0)</f>
        <v>0.3294559655</v>
      </c>
      <c r="S810" s="9">
        <f>revenue[productCost]*revenue[orderQuantity]</f>
        <v>171.9945448</v>
      </c>
    </row>
    <row r="811" ht="15.75" customHeight="1">
      <c r="A811" s="6">
        <v>10551.0</v>
      </c>
      <c r="B811" s="7" t="s">
        <v>62</v>
      </c>
      <c r="C811" s="24" t="str">
        <f>VLOOKUP(revenue[customerID],customers[],2,FALSE)</f>
        <v>Furia Bacalhau e Frutos do Mar</v>
      </c>
      <c r="D811" s="24" t="str">
        <f>VLOOKUP(revenue[customerID],customers[],6,FALSE)</f>
        <v>Lisboa</v>
      </c>
      <c r="E811" s="24" t="str">
        <f>VLOOKUP(revenue[customerID],customers[],9,FALSE)</f>
        <v>Portugal</v>
      </c>
      <c r="F811" s="24">
        <v>45074.0</v>
      </c>
      <c r="G811" s="6">
        <v>16.0</v>
      </c>
      <c r="H811" s="9" t="str">
        <f>VLOOKUP(revenue[productID],products[],2,FALSE)</f>
        <v>Pavlova</v>
      </c>
      <c r="I811" s="9" t="str">
        <f>VLOOKUP(revenue[productID],products[],12,FALSE)</f>
        <v>Confections</v>
      </c>
      <c r="J811" s="9">
        <f>VLOOKUP(revenue[productID],products[],IF(YEAR(revenue[orderDate])=2022,8,IF(YEAR(revenue[orderDate])=2023,9,IF(YEAR(revenue[orderDate])=2024,10,NA))),FALSE)</f>
        <v>11.98504839</v>
      </c>
      <c r="K811" s="9">
        <v>17.45</v>
      </c>
      <c r="L811" s="25">
        <f>(revenue[orderPrice]-revenue[productCost])/revenue[productCost]</f>
        <v>0.455980771</v>
      </c>
      <c r="M811" s="10">
        <v>40.0</v>
      </c>
      <c r="N811" s="25">
        <v>0.15</v>
      </c>
      <c r="O811" s="9">
        <f>revenue[orderPrice]*revenue[orderQuantity]</f>
        <v>698</v>
      </c>
      <c r="P811" s="9">
        <f>revenue[orderTotal]*(1-revenue[discountApllied])</f>
        <v>593.3</v>
      </c>
      <c r="Q811" s="9">
        <f>revenue[revenue]-(revenue[productCost]*revenue[orderQuantity])</f>
        <v>113.8980643</v>
      </c>
      <c r="R811" s="25">
        <f>IFERROR(revenue[profit]/revenue[revenue], 0)</f>
        <v>0.1919738147</v>
      </c>
      <c r="S811" s="9">
        <f>revenue[productCost]*revenue[orderQuantity]</f>
        <v>479.4019357</v>
      </c>
    </row>
    <row r="812" ht="15.75" customHeight="1">
      <c r="A812" s="6">
        <v>10551.0</v>
      </c>
      <c r="B812" s="7" t="s">
        <v>62</v>
      </c>
      <c r="C812" s="24" t="str">
        <f>VLOOKUP(revenue[customerID],customers[],2,FALSE)</f>
        <v>Furia Bacalhau e Frutos do Mar</v>
      </c>
      <c r="D812" s="24" t="str">
        <f>VLOOKUP(revenue[customerID],customers[],6,FALSE)</f>
        <v>Lisboa</v>
      </c>
      <c r="E812" s="24" t="str">
        <f>VLOOKUP(revenue[customerID],customers[],9,FALSE)</f>
        <v>Portugal</v>
      </c>
      <c r="F812" s="24">
        <v>45074.0</v>
      </c>
      <c r="G812" s="6">
        <v>35.0</v>
      </c>
      <c r="H812" s="9" t="str">
        <f>VLOOKUP(revenue[productID],products[],2,FALSE)</f>
        <v>Cold Brew Nitro</v>
      </c>
      <c r="I812" s="9" t="str">
        <f>VLOOKUP(revenue[productID],products[],12,FALSE)</f>
        <v>Beverages</v>
      </c>
      <c r="J812" s="9">
        <f>VLOOKUP(revenue[productID],products[],IF(YEAR(revenue[orderDate])=2022,8,IF(YEAR(revenue[orderDate])=2023,9,IF(YEAR(revenue[orderDate])=2024,10,NA))),FALSE)</f>
        <v>11.7602531</v>
      </c>
      <c r="K812" s="9">
        <v>18.0</v>
      </c>
      <c r="L812" s="25">
        <f>(revenue[orderPrice]-revenue[productCost])/revenue[productCost]</f>
        <v>0.5305793033</v>
      </c>
      <c r="M812" s="10">
        <v>20.0</v>
      </c>
      <c r="N812" s="25">
        <v>0.15</v>
      </c>
      <c r="O812" s="9">
        <f>revenue[orderPrice]*revenue[orderQuantity]</f>
        <v>360</v>
      </c>
      <c r="P812" s="9">
        <f>revenue[orderTotal]*(1-revenue[discountApllied])</f>
        <v>306</v>
      </c>
      <c r="Q812" s="9">
        <f>revenue[revenue]-(revenue[productCost]*revenue[orderQuantity])</f>
        <v>70.79493795</v>
      </c>
      <c r="R812" s="25">
        <f>IFERROR(revenue[profit]/revenue[revenue], 0)</f>
        <v>0.2313560064</v>
      </c>
      <c r="S812" s="9">
        <f>revenue[productCost]*revenue[orderQuantity]</f>
        <v>235.205062</v>
      </c>
    </row>
    <row r="813" ht="15.75" customHeight="1">
      <c r="A813" s="6">
        <v>10551.0</v>
      </c>
      <c r="B813" s="7" t="s">
        <v>62</v>
      </c>
      <c r="C813" s="24" t="str">
        <f>VLOOKUP(revenue[customerID],customers[],2,FALSE)</f>
        <v>Furia Bacalhau e Frutos do Mar</v>
      </c>
      <c r="D813" s="24" t="str">
        <f>VLOOKUP(revenue[customerID],customers[],6,FALSE)</f>
        <v>Lisboa</v>
      </c>
      <c r="E813" s="24" t="str">
        <f>VLOOKUP(revenue[customerID],customers[],9,FALSE)</f>
        <v>Portugal</v>
      </c>
      <c r="F813" s="24">
        <v>45074.0</v>
      </c>
      <c r="G813" s="6">
        <v>44.0</v>
      </c>
      <c r="H813" s="9" t="str">
        <f>VLOOKUP(revenue[productID],products[],2,FALSE)</f>
        <v>Gula Malacca</v>
      </c>
      <c r="I813" s="9" t="str">
        <f>VLOOKUP(revenue[productID],products[],12,FALSE)</f>
        <v>Condiments</v>
      </c>
      <c r="J813" s="9">
        <f>VLOOKUP(revenue[productID],products[],IF(YEAR(revenue[orderDate])=2022,8,IF(YEAR(revenue[orderDate])=2023,9,IF(YEAR(revenue[orderDate])=2024,10,NA))),FALSE)</f>
        <v>13.06032103</v>
      </c>
      <c r="K813" s="9">
        <v>19.45</v>
      </c>
      <c r="L813" s="25">
        <f>(revenue[orderPrice]-revenue[productCost])/revenue[productCost]</f>
        <v>0.4892436379</v>
      </c>
      <c r="M813" s="10">
        <v>40.0</v>
      </c>
      <c r="N813" s="25">
        <v>0.0</v>
      </c>
      <c r="O813" s="9">
        <f>revenue[orderPrice]*revenue[orderQuantity]</f>
        <v>778</v>
      </c>
      <c r="P813" s="9">
        <f>revenue[orderTotal]*(1-revenue[discountApllied])</f>
        <v>778</v>
      </c>
      <c r="Q813" s="9">
        <f>revenue[revenue]-(revenue[productCost]*revenue[orderQuantity])</f>
        <v>255.5871589</v>
      </c>
      <c r="R813" s="25">
        <f>IFERROR(revenue[profit]/revenue[revenue], 0)</f>
        <v>0.3285181991</v>
      </c>
      <c r="S813" s="9">
        <f>revenue[productCost]*revenue[orderQuantity]</f>
        <v>522.4128411</v>
      </c>
    </row>
    <row r="814" ht="15.75" customHeight="1">
      <c r="A814" s="6">
        <v>10552.0</v>
      </c>
      <c r="B814" s="7" t="s">
        <v>23</v>
      </c>
      <c r="C814" s="24" t="str">
        <f>VLOOKUP(revenue[customerID],customers[],2,FALSE)</f>
        <v>HILARION-Abastos</v>
      </c>
      <c r="D814" s="24" t="str">
        <f>VLOOKUP(revenue[customerID],customers[],6,FALSE)</f>
        <v>San Cristóbal</v>
      </c>
      <c r="E814" s="24" t="str">
        <f>VLOOKUP(revenue[customerID],customers[],9,FALSE)</f>
        <v>Venezuela</v>
      </c>
      <c r="F814" s="24">
        <v>45075.0</v>
      </c>
      <c r="G814" s="6">
        <v>69.0</v>
      </c>
      <c r="H814" s="9" t="str">
        <f>VLOOKUP(revenue[productID],products[],2,FALSE)</f>
        <v>Gudbrandsdalsost</v>
      </c>
      <c r="I814" s="9" t="str">
        <f>VLOOKUP(revenue[productID],products[],12,FALSE)</f>
        <v>Dairy Products</v>
      </c>
      <c r="J814" s="9">
        <f>VLOOKUP(revenue[productID],products[],IF(YEAR(revenue[orderDate])=2022,8,IF(YEAR(revenue[orderDate])=2023,9,IF(YEAR(revenue[orderDate])=2024,10,NA))),FALSE)</f>
        <v>21.82428612</v>
      </c>
      <c r="K814" s="9">
        <v>36.0</v>
      </c>
      <c r="L814" s="25">
        <f>(revenue[orderPrice]-revenue[productCost])/revenue[productCost]</f>
        <v>0.6495384916</v>
      </c>
      <c r="M814" s="10">
        <v>18.0</v>
      </c>
      <c r="N814" s="25">
        <v>0.0</v>
      </c>
      <c r="O814" s="9">
        <f>revenue[orderPrice]*revenue[orderQuantity]</f>
        <v>648</v>
      </c>
      <c r="P814" s="9">
        <f>revenue[orderTotal]*(1-revenue[discountApllied])</f>
        <v>648</v>
      </c>
      <c r="Q814" s="9">
        <f>revenue[revenue]-(revenue[productCost]*revenue[orderQuantity])</f>
        <v>255.1628499</v>
      </c>
      <c r="R814" s="25">
        <f>IFERROR(revenue[profit]/revenue[revenue], 0)</f>
        <v>0.3937698301</v>
      </c>
      <c r="S814" s="9">
        <f>revenue[productCost]*revenue[orderQuantity]</f>
        <v>392.8371501</v>
      </c>
    </row>
    <row r="815" ht="15.75" customHeight="1">
      <c r="A815" s="6">
        <v>10552.0</v>
      </c>
      <c r="B815" s="7" t="s">
        <v>23</v>
      </c>
      <c r="C815" s="24" t="str">
        <f>VLOOKUP(revenue[customerID],customers[],2,FALSE)</f>
        <v>HILARION-Abastos</v>
      </c>
      <c r="D815" s="24" t="str">
        <f>VLOOKUP(revenue[customerID],customers[],6,FALSE)</f>
        <v>San Cristóbal</v>
      </c>
      <c r="E815" s="24" t="str">
        <f>VLOOKUP(revenue[customerID],customers[],9,FALSE)</f>
        <v>Venezuela</v>
      </c>
      <c r="F815" s="24">
        <v>45075.0</v>
      </c>
      <c r="G815" s="6">
        <v>75.0</v>
      </c>
      <c r="H815" s="9" t="str">
        <f>VLOOKUP(revenue[productID],products[],2,FALSE)</f>
        <v>Rhönbräu Klosterbier</v>
      </c>
      <c r="I815" s="9" t="str">
        <f>VLOOKUP(revenue[productID],products[],12,FALSE)</f>
        <v>Beverages</v>
      </c>
      <c r="J815" s="9">
        <f>VLOOKUP(revenue[productID],products[],IF(YEAR(revenue[orderDate])=2022,8,IF(YEAR(revenue[orderDate])=2023,9,IF(YEAR(revenue[orderDate])=2024,10,NA))),FALSE)</f>
        <v>5.355290472</v>
      </c>
      <c r="K815" s="9">
        <v>7.75</v>
      </c>
      <c r="L815" s="25">
        <f>(revenue[orderPrice]-revenue[productCost])/revenue[productCost]</f>
        <v>0.4471670661</v>
      </c>
      <c r="M815" s="10">
        <v>30.0</v>
      </c>
      <c r="N815" s="25">
        <v>0.0</v>
      </c>
      <c r="O815" s="9">
        <f>revenue[orderPrice]*revenue[orderQuantity]</f>
        <v>232.5</v>
      </c>
      <c r="P815" s="9">
        <f>revenue[orderTotal]*(1-revenue[discountApllied])</f>
        <v>232.5</v>
      </c>
      <c r="Q815" s="9">
        <f>revenue[revenue]-(revenue[productCost]*revenue[orderQuantity])</f>
        <v>71.84128585</v>
      </c>
      <c r="R815" s="25">
        <f>IFERROR(revenue[profit]/revenue[revenue], 0)</f>
        <v>0.3089947778</v>
      </c>
      <c r="S815" s="9">
        <f>revenue[productCost]*revenue[orderQuantity]</f>
        <v>160.6587142</v>
      </c>
    </row>
    <row r="816" ht="15.75" customHeight="1">
      <c r="A816" s="6">
        <v>10553.0</v>
      </c>
      <c r="B816" s="7" t="s">
        <v>31</v>
      </c>
      <c r="C816" s="24" t="str">
        <f>VLOOKUP(revenue[customerID],customers[],2,FALSE)</f>
        <v>Wartian Herkku</v>
      </c>
      <c r="D816" s="24" t="str">
        <f>VLOOKUP(revenue[customerID],customers[],6,FALSE)</f>
        <v>Oulu</v>
      </c>
      <c r="E816" s="24" t="str">
        <f>VLOOKUP(revenue[customerID],customers[],9,FALSE)</f>
        <v>Finland</v>
      </c>
      <c r="F816" s="24">
        <v>45076.0</v>
      </c>
      <c r="G816" s="6">
        <v>11.0</v>
      </c>
      <c r="H816" s="9" t="str">
        <f>VLOOKUP(revenue[productID],products[],2,FALSE)</f>
        <v>Queso Cabrales</v>
      </c>
      <c r="I816" s="9" t="str">
        <f>VLOOKUP(revenue[productID],products[],12,FALSE)</f>
        <v>Dairy Products</v>
      </c>
      <c r="J816" s="9">
        <f>VLOOKUP(revenue[productID],products[],IF(YEAR(revenue[orderDate])=2022,8,IF(YEAR(revenue[orderDate])=2023,9,IF(YEAR(revenue[orderDate])=2024,10,NA))),FALSE)</f>
        <v>12.90188125</v>
      </c>
      <c r="K816" s="9">
        <v>21.0</v>
      </c>
      <c r="L816" s="25">
        <f>(revenue[orderPrice]-revenue[productCost])/revenue[productCost]</f>
        <v>0.6276696079</v>
      </c>
      <c r="M816" s="10">
        <v>15.0</v>
      </c>
      <c r="N816" s="25">
        <v>0.0</v>
      </c>
      <c r="O816" s="9">
        <f>revenue[orderPrice]*revenue[orderQuantity]</f>
        <v>315</v>
      </c>
      <c r="P816" s="9">
        <f>revenue[orderTotal]*(1-revenue[discountApllied])</f>
        <v>315</v>
      </c>
      <c r="Q816" s="9">
        <f>revenue[revenue]-(revenue[productCost]*revenue[orderQuantity])</f>
        <v>121.4717812</v>
      </c>
      <c r="R816" s="25">
        <f>IFERROR(revenue[profit]/revenue[revenue], 0)</f>
        <v>0.3856247023</v>
      </c>
      <c r="S816" s="9">
        <f>revenue[productCost]*revenue[orderQuantity]</f>
        <v>193.5282188</v>
      </c>
    </row>
    <row r="817" ht="15.75" customHeight="1">
      <c r="A817" s="6">
        <v>10553.0</v>
      </c>
      <c r="B817" s="7" t="s">
        <v>31</v>
      </c>
      <c r="C817" s="24" t="str">
        <f>VLOOKUP(revenue[customerID],customers[],2,FALSE)</f>
        <v>Wartian Herkku</v>
      </c>
      <c r="D817" s="24" t="str">
        <f>VLOOKUP(revenue[customerID],customers[],6,FALSE)</f>
        <v>Oulu</v>
      </c>
      <c r="E817" s="24" t="str">
        <f>VLOOKUP(revenue[customerID],customers[],9,FALSE)</f>
        <v>Finland</v>
      </c>
      <c r="F817" s="24">
        <v>45076.0</v>
      </c>
      <c r="G817" s="6">
        <v>16.0</v>
      </c>
      <c r="H817" s="9" t="str">
        <f>VLOOKUP(revenue[productID],products[],2,FALSE)</f>
        <v>Pavlova</v>
      </c>
      <c r="I817" s="9" t="str">
        <f>VLOOKUP(revenue[productID],products[],12,FALSE)</f>
        <v>Confections</v>
      </c>
      <c r="J817" s="9">
        <f>VLOOKUP(revenue[productID],products[],IF(YEAR(revenue[orderDate])=2022,8,IF(YEAR(revenue[orderDate])=2023,9,IF(YEAR(revenue[orderDate])=2024,10,NA))),FALSE)</f>
        <v>11.98504839</v>
      </c>
      <c r="K817" s="9">
        <v>17.45</v>
      </c>
      <c r="L817" s="25">
        <f>(revenue[orderPrice]-revenue[productCost])/revenue[productCost]</f>
        <v>0.455980771</v>
      </c>
      <c r="M817" s="10">
        <v>14.0</v>
      </c>
      <c r="N817" s="25">
        <v>0.0</v>
      </c>
      <c r="O817" s="9">
        <f>revenue[orderPrice]*revenue[orderQuantity]</f>
        <v>244.3</v>
      </c>
      <c r="P817" s="9">
        <f>revenue[orderTotal]*(1-revenue[discountApllied])</f>
        <v>244.3</v>
      </c>
      <c r="Q817" s="9">
        <f>revenue[revenue]-(revenue[productCost]*revenue[orderQuantity])</f>
        <v>76.5093225</v>
      </c>
      <c r="R817" s="25">
        <f>IFERROR(revenue[profit]/revenue[revenue], 0)</f>
        <v>0.3131777425</v>
      </c>
      <c r="S817" s="9">
        <f>revenue[productCost]*revenue[orderQuantity]</f>
        <v>167.7906775</v>
      </c>
    </row>
    <row r="818" ht="15.75" customHeight="1">
      <c r="A818" s="6">
        <v>10553.0</v>
      </c>
      <c r="B818" s="7" t="s">
        <v>31</v>
      </c>
      <c r="C818" s="24" t="str">
        <f>VLOOKUP(revenue[customerID],customers[],2,FALSE)</f>
        <v>Wartian Herkku</v>
      </c>
      <c r="D818" s="24" t="str">
        <f>VLOOKUP(revenue[customerID],customers[],6,FALSE)</f>
        <v>Oulu</v>
      </c>
      <c r="E818" s="24" t="str">
        <f>VLOOKUP(revenue[customerID],customers[],9,FALSE)</f>
        <v>Finland</v>
      </c>
      <c r="F818" s="24">
        <v>45076.0</v>
      </c>
      <c r="G818" s="6">
        <v>22.0</v>
      </c>
      <c r="H818" s="9" t="str">
        <f>VLOOKUP(revenue[productID],products[],2,FALSE)</f>
        <v>Gustaf's Knäckebröd</v>
      </c>
      <c r="I818" s="9" t="str">
        <f>VLOOKUP(revenue[productID],products[],12,FALSE)</f>
        <v>Grains/Cereals</v>
      </c>
      <c r="J818" s="9">
        <f>VLOOKUP(revenue[productID],products[],IF(YEAR(revenue[orderDate])=2022,8,IF(YEAR(revenue[orderDate])=2023,9,IF(YEAR(revenue[orderDate])=2024,10,NA))),FALSE)</f>
        <v>14.56814822</v>
      </c>
      <c r="K818" s="9">
        <v>21.0</v>
      </c>
      <c r="L818" s="25">
        <f>(revenue[orderPrice]-revenue[productCost])/revenue[productCost]</f>
        <v>0.4415009841</v>
      </c>
      <c r="M818" s="10">
        <v>24.0</v>
      </c>
      <c r="N818" s="25">
        <v>0.0</v>
      </c>
      <c r="O818" s="9">
        <f>revenue[orderPrice]*revenue[orderQuantity]</f>
        <v>504</v>
      </c>
      <c r="P818" s="9">
        <f>revenue[orderTotal]*(1-revenue[discountApllied])</f>
        <v>504</v>
      </c>
      <c r="Q818" s="9">
        <f>revenue[revenue]-(revenue[productCost]*revenue[orderQuantity])</f>
        <v>154.3644427</v>
      </c>
      <c r="R818" s="25">
        <f>IFERROR(revenue[profit]/revenue[revenue], 0)</f>
        <v>0.3062786561</v>
      </c>
      <c r="S818" s="9">
        <f>revenue[productCost]*revenue[orderQuantity]</f>
        <v>349.6355573</v>
      </c>
    </row>
    <row r="819" ht="15.75" customHeight="1">
      <c r="A819" s="6">
        <v>10553.0</v>
      </c>
      <c r="B819" s="7" t="s">
        <v>31</v>
      </c>
      <c r="C819" s="24" t="str">
        <f>VLOOKUP(revenue[customerID],customers[],2,FALSE)</f>
        <v>Wartian Herkku</v>
      </c>
      <c r="D819" s="24" t="str">
        <f>VLOOKUP(revenue[customerID],customers[],6,FALSE)</f>
        <v>Oulu</v>
      </c>
      <c r="E819" s="24" t="str">
        <f>VLOOKUP(revenue[customerID],customers[],9,FALSE)</f>
        <v>Finland</v>
      </c>
      <c r="F819" s="24">
        <v>45076.0</v>
      </c>
      <c r="G819" s="6">
        <v>31.0</v>
      </c>
      <c r="H819" s="9" t="str">
        <f>VLOOKUP(revenue[productID],products[],2,FALSE)</f>
        <v>Gorgonzola Telino</v>
      </c>
      <c r="I819" s="9" t="str">
        <f>VLOOKUP(revenue[productID],products[],12,FALSE)</f>
        <v>Dairy Products</v>
      </c>
      <c r="J819" s="9">
        <f>VLOOKUP(revenue[productID],products[],IF(YEAR(revenue[orderDate])=2022,8,IF(YEAR(revenue[orderDate])=2023,9,IF(YEAR(revenue[orderDate])=2024,10,NA))),FALSE)</f>
        <v>7.937729254</v>
      </c>
      <c r="K819" s="9">
        <v>12.5</v>
      </c>
      <c r="L819" s="25">
        <f>(revenue[orderPrice]-revenue[productCost])/revenue[productCost]</f>
        <v>0.5747576668</v>
      </c>
      <c r="M819" s="10">
        <v>30.0</v>
      </c>
      <c r="N819" s="25">
        <v>0.0</v>
      </c>
      <c r="O819" s="9">
        <f>revenue[orderPrice]*revenue[orderQuantity]</f>
        <v>375</v>
      </c>
      <c r="P819" s="9">
        <f>revenue[orderTotal]*(1-revenue[discountApllied])</f>
        <v>375</v>
      </c>
      <c r="Q819" s="9">
        <f>revenue[revenue]-(revenue[productCost]*revenue[orderQuantity])</f>
        <v>136.8681224</v>
      </c>
      <c r="R819" s="25">
        <f>IFERROR(revenue[profit]/revenue[revenue], 0)</f>
        <v>0.3649816597</v>
      </c>
      <c r="S819" s="9">
        <f>revenue[productCost]*revenue[orderQuantity]</f>
        <v>238.1318776</v>
      </c>
    </row>
    <row r="820" ht="15.75" customHeight="1">
      <c r="A820" s="6">
        <v>10553.0</v>
      </c>
      <c r="B820" s="7" t="s">
        <v>31</v>
      </c>
      <c r="C820" s="24" t="str">
        <f>VLOOKUP(revenue[customerID],customers[],2,FALSE)</f>
        <v>Wartian Herkku</v>
      </c>
      <c r="D820" s="24" t="str">
        <f>VLOOKUP(revenue[customerID],customers[],6,FALSE)</f>
        <v>Oulu</v>
      </c>
      <c r="E820" s="24" t="str">
        <f>VLOOKUP(revenue[customerID],customers[],9,FALSE)</f>
        <v>Finland</v>
      </c>
      <c r="F820" s="24">
        <v>45076.0</v>
      </c>
      <c r="G820" s="6">
        <v>35.0</v>
      </c>
      <c r="H820" s="9" t="str">
        <f>VLOOKUP(revenue[productID],products[],2,FALSE)</f>
        <v>Cold Brew Nitro</v>
      </c>
      <c r="I820" s="9" t="str">
        <f>VLOOKUP(revenue[productID],products[],12,FALSE)</f>
        <v>Beverages</v>
      </c>
      <c r="J820" s="9">
        <f>VLOOKUP(revenue[productID],products[],IF(YEAR(revenue[orderDate])=2022,8,IF(YEAR(revenue[orderDate])=2023,9,IF(YEAR(revenue[orderDate])=2024,10,NA))),FALSE)</f>
        <v>11.7602531</v>
      </c>
      <c r="K820" s="9">
        <v>18.0</v>
      </c>
      <c r="L820" s="25">
        <f>(revenue[orderPrice]-revenue[productCost])/revenue[productCost]</f>
        <v>0.5305793033</v>
      </c>
      <c r="M820" s="10">
        <v>6.0</v>
      </c>
      <c r="N820" s="25">
        <v>0.0</v>
      </c>
      <c r="O820" s="9">
        <f>revenue[orderPrice]*revenue[orderQuantity]</f>
        <v>108</v>
      </c>
      <c r="P820" s="9">
        <f>revenue[orderTotal]*(1-revenue[discountApllied])</f>
        <v>108</v>
      </c>
      <c r="Q820" s="9">
        <f>revenue[revenue]-(revenue[productCost]*revenue[orderQuantity])</f>
        <v>37.43848139</v>
      </c>
      <c r="R820" s="25">
        <f>IFERROR(revenue[profit]/revenue[revenue], 0)</f>
        <v>0.3466526054</v>
      </c>
      <c r="S820" s="9">
        <f>revenue[productCost]*revenue[orderQuantity]</f>
        <v>70.56151861</v>
      </c>
    </row>
    <row r="821" ht="15.75" customHeight="1">
      <c r="A821" s="6">
        <v>10554.0</v>
      </c>
      <c r="B821" s="7" t="s">
        <v>26</v>
      </c>
      <c r="C821" s="24" t="str">
        <f>VLOOKUP(revenue[customerID],customers[],2,FALSE)</f>
        <v>Ottilies Käseladen</v>
      </c>
      <c r="D821" s="24" t="str">
        <f>VLOOKUP(revenue[customerID],customers[],6,FALSE)</f>
        <v>Köln</v>
      </c>
      <c r="E821" s="24" t="str">
        <f>VLOOKUP(revenue[customerID],customers[],9,FALSE)</f>
        <v>Germany</v>
      </c>
      <c r="F821" s="24">
        <v>45076.0</v>
      </c>
      <c r="G821" s="6">
        <v>16.0</v>
      </c>
      <c r="H821" s="9" t="str">
        <f>VLOOKUP(revenue[productID],products[],2,FALSE)</f>
        <v>Pavlova</v>
      </c>
      <c r="I821" s="9" t="str">
        <f>VLOOKUP(revenue[productID],products[],12,FALSE)</f>
        <v>Confections</v>
      </c>
      <c r="J821" s="9">
        <f>VLOOKUP(revenue[productID],products[],IF(YEAR(revenue[orderDate])=2022,8,IF(YEAR(revenue[orderDate])=2023,9,IF(YEAR(revenue[orderDate])=2024,10,NA))),FALSE)</f>
        <v>11.98504839</v>
      </c>
      <c r="K821" s="9">
        <v>17.45</v>
      </c>
      <c r="L821" s="25">
        <f>(revenue[orderPrice]-revenue[productCost])/revenue[productCost]</f>
        <v>0.455980771</v>
      </c>
      <c r="M821" s="10">
        <v>30.0</v>
      </c>
      <c r="N821" s="25">
        <v>0.05</v>
      </c>
      <c r="O821" s="9">
        <f>revenue[orderPrice]*revenue[orderQuantity]</f>
        <v>523.5</v>
      </c>
      <c r="P821" s="9">
        <f>revenue[orderTotal]*(1-revenue[discountApllied])</f>
        <v>497.325</v>
      </c>
      <c r="Q821" s="9">
        <f>revenue[revenue]-(revenue[productCost]*revenue[orderQuantity])</f>
        <v>137.7735482</v>
      </c>
      <c r="R821" s="25">
        <f>IFERROR(revenue[profit]/revenue[revenue], 0)</f>
        <v>0.2770292027</v>
      </c>
      <c r="S821" s="9">
        <f>revenue[productCost]*revenue[orderQuantity]</f>
        <v>359.5514518</v>
      </c>
    </row>
    <row r="822" ht="15.75" customHeight="1">
      <c r="A822" s="6">
        <v>10554.0</v>
      </c>
      <c r="B822" s="7" t="s">
        <v>26</v>
      </c>
      <c r="C822" s="24" t="str">
        <f>VLOOKUP(revenue[customerID],customers[],2,FALSE)</f>
        <v>Ottilies Käseladen</v>
      </c>
      <c r="D822" s="24" t="str">
        <f>VLOOKUP(revenue[customerID],customers[],6,FALSE)</f>
        <v>Köln</v>
      </c>
      <c r="E822" s="24" t="str">
        <f>VLOOKUP(revenue[customerID],customers[],9,FALSE)</f>
        <v>Germany</v>
      </c>
      <c r="F822" s="24">
        <v>45076.0</v>
      </c>
      <c r="G822" s="6">
        <v>23.0</v>
      </c>
      <c r="H822" s="9" t="str">
        <f>VLOOKUP(revenue[productID],products[],2,FALSE)</f>
        <v>Tunnbröd</v>
      </c>
      <c r="I822" s="9" t="str">
        <f>VLOOKUP(revenue[productID],products[],12,FALSE)</f>
        <v>Grains/Cereals</v>
      </c>
      <c r="J822" s="9">
        <f>VLOOKUP(revenue[productID],products[],IF(YEAR(revenue[orderDate])=2022,8,IF(YEAR(revenue[orderDate])=2023,9,IF(YEAR(revenue[orderDate])=2024,10,NA))),FALSE)</f>
        <v>5.989059129</v>
      </c>
      <c r="K822" s="9">
        <v>9.0</v>
      </c>
      <c r="L822" s="25">
        <f>(revenue[orderPrice]-revenue[productCost])/revenue[productCost]</f>
        <v>0.5027402146</v>
      </c>
      <c r="M822" s="10">
        <v>20.0</v>
      </c>
      <c r="N822" s="25">
        <v>0.05</v>
      </c>
      <c r="O822" s="9">
        <f>revenue[orderPrice]*revenue[orderQuantity]</f>
        <v>180</v>
      </c>
      <c r="P822" s="9">
        <f>revenue[orderTotal]*(1-revenue[discountApllied])</f>
        <v>171</v>
      </c>
      <c r="Q822" s="9">
        <f>revenue[revenue]-(revenue[productCost]*revenue[orderQuantity])</f>
        <v>51.21881743</v>
      </c>
      <c r="R822" s="25">
        <f>IFERROR(revenue[profit]/revenue[revenue], 0)</f>
        <v>0.2995252481</v>
      </c>
      <c r="S822" s="9">
        <f>revenue[productCost]*revenue[orderQuantity]</f>
        <v>119.7811826</v>
      </c>
    </row>
    <row r="823" ht="15.75" customHeight="1">
      <c r="A823" s="6">
        <v>10554.0</v>
      </c>
      <c r="B823" s="7" t="s">
        <v>26</v>
      </c>
      <c r="C823" s="24" t="str">
        <f>VLOOKUP(revenue[customerID],customers[],2,FALSE)</f>
        <v>Ottilies Käseladen</v>
      </c>
      <c r="D823" s="24" t="str">
        <f>VLOOKUP(revenue[customerID],customers[],6,FALSE)</f>
        <v>Köln</v>
      </c>
      <c r="E823" s="24" t="str">
        <f>VLOOKUP(revenue[customerID],customers[],9,FALSE)</f>
        <v>Germany</v>
      </c>
      <c r="F823" s="24">
        <v>45076.0</v>
      </c>
      <c r="G823" s="6">
        <v>62.0</v>
      </c>
      <c r="H823" s="9" t="str">
        <f>VLOOKUP(revenue[productID],products[],2,FALSE)</f>
        <v>Tarte au sucre</v>
      </c>
      <c r="I823" s="9" t="str">
        <f>VLOOKUP(revenue[productID],products[],12,FALSE)</f>
        <v>Confections</v>
      </c>
      <c r="J823" s="9">
        <f>VLOOKUP(revenue[productID],products[],IF(YEAR(revenue[orderDate])=2022,8,IF(YEAR(revenue[orderDate])=2023,9,IF(YEAR(revenue[orderDate])=2024,10,NA))),FALSE)</f>
        <v>35.34792781</v>
      </c>
      <c r="K823" s="9">
        <v>49.3</v>
      </c>
      <c r="L823" s="25">
        <f>(revenue[orderPrice]-revenue[productCost])/revenue[productCost]</f>
        <v>0.3947069335</v>
      </c>
      <c r="M823" s="10">
        <v>20.0</v>
      </c>
      <c r="N823" s="25">
        <v>0.05</v>
      </c>
      <c r="O823" s="9">
        <f>revenue[orderPrice]*revenue[orderQuantity]</f>
        <v>986</v>
      </c>
      <c r="P823" s="9">
        <f>revenue[orderTotal]*(1-revenue[discountApllied])</f>
        <v>936.7</v>
      </c>
      <c r="Q823" s="9">
        <f>revenue[revenue]-(revenue[productCost]*revenue[orderQuantity])</f>
        <v>229.7414438</v>
      </c>
      <c r="R823" s="25">
        <f>IFERROR(revenue[profit]/revenue[revenue], 0)</f>
        <v>0.2452668344</v>
      </c>
      <c r="S823" s="9">
        <f>revenue[productCost]*revenue[orderQuantity]</f>
        <v>706.9585562</v>
      </c>
    </row>
    <row r="824" ht="15.75" customHeight="1">
      <c r="A824" s="6">
        <v>10554.0</v>
      </c>
      <c r="B824" s="7" t="s">
        <v>26</v>
      </c>
      <c r="C824" s="24" t="str">
        <f>VLOOKUP(revenue[customerID],customers[],2,FALSE)</f>
        <v>Ottilies Käseladen</v>
      </c>
      <c r="D824" s="24" t="str">
        <f>VLOOKUP(revenue[customerID],customers[],6,FALSE)</f>
        <v>Köln</v>
      </c>
      <c r="E824" s="24" t="str">
        <f>VLOOKUP(revenue[customerID],customers[],9,FALSE)</f>
        <v>Germany</v>
      </c>
      <c r="F824" s="24">
        <v>45076.0</v>
      </c>
      <c r="G824" s="6">
        <v>77.0</v>
      </c>
      <c r="H824" s="9" t="str">
        <f>VLOOKUP(revenue[productID],products[],2,FALSE)</f>
        <v>Original Frankfurter grüne Soße</v>
      </c>
      <c r="I824" s="9" t="str">
        <f>VLOOKUP(revenue[productID],products[],12,FALSE)</f>
        <v>Condiments</v>
      </c>
      <c r="J824" s="9">
        <f>VLOOKUP(revenue[productID],products[],IF(YEAR(revenue[orderDate])=2022,8,IF(YEAR(revenue[orderDate])=2023,9,IF(YEAR(revenue[orderDate])=2024,10,NA))),FALSE)</f>
        <v>7.539056452</v>
      </c>
      <c r="K824" s="9">
        <v>13.0</v>
      </c>
      <c r="L824" s="25">
        <f>(revenue[orderPrice]-revenue[productCost])/revenue[productCost]</f>
        <v>0.7243537149</v>
      </c>
      <c r="M824" s="10">
        <v>10.0</v>
      </c>
      <c r="N824" s="25">
        <v>0.05</v>
      </c>
      <c r="O824" s="9">
        <f>revenue[orderPrice]*revenue[orderQuantity]</f>
        <v>130</v>
      </c>
      <c r="P824" s="9">
        <f>revenue[orderTotal]*(1-revenue[discountApllied])</f>
        <v>123.5</v>
      </c>
      <c r="Q824" s="9">
        <f>revenue[revenue]-(revenue[productCost]*revenue[orderQuantity])</f>
        <v>48.10943548</v>
      </c>
      <c r="R824" s="25">
        <f>IFERROR(revenue[profit]/revenue[revenue], 0)</f>
        <v>0.3895500848</v>
      </c>
      <c r="S824" s="9">
        <f>revenue[productCost]*revenue[orderQuantity]</f>
        <v>75.39056452</v>
      </c>
    </row>
    <row r="825" ht="15.75" customHeight="1">
      <c r="A825" s="6">
        <v>10555.0</v>
      </c>
      <c r="B825" s="7" t="s">
        <v>60</v>
      </c>
      <c r="C825" s="24" t="str">
        <f>VLOOKUP(revenue[customerID],customers[],2,FALSE)</f>
        <v>Save-a-lot Markets</v>
      </c>
      <c r="D825" s="24" t="str">
        <f>VLOOKUP(revenue[customerID],customers[],6,FALSE)</f>
        <v>Boise</v>
      </c>
      <c r="E825" s="24" t="str">
        <f>VLOOKUP(revenue[customerID],customers[],9,FALSE)</f>
        <v>USA</v>
      </c>
      <c r="F825" s="24">
        <v>45079.0</v>
      </c>
      <c r="G825" s="6">
        <v>14.0</v>
      </c>
      <c r="H825" s="9" t="str">
        <f>VLOOKUP(revenue[productID],products[],2,FALSE)</f>
        <v>Tofu</v>
      </c>
      <c r="I825" s="9" t="str">
        <f>VLOOKUP(revenue[productID],products[],12,FALSE)</f>
        <v>Produce</v>
      </c>
      <c r="J825" s="9">
        <f>VLOOKUP(revenue[productID],products[],IF(YEAR(revenue[orderDate])=2022,8,IF(YEAR(revenue[orderDate])=2023,9,IF(YEAR(revenue[orderDate])=2024,10,NA))),FALSE)</f>
        <v>15.38055417</v>
      </c>
      <c r="K825" s="9">
        <v>23.25</v>
      </c>
      <c r="L825" s="25">
        <f>(revenue[orderPrice]-revenue[productCost])/revenue[productCost]</f>
        <v>0.5116490437</v>
      </c>
      <c r="M825" s="10">
        <v>30.0</v>
      </c>
      <c r="N825" s="25">
        <v>0.2</v>
      </c>
      <c r="O825" s="9">
        <f>revenue[orderPrice]*revenue[orderQuantity]</f>
        <v>697.5</v>
      </c>
      <c r="P825" s="9">
        <f>revenue[orderTotal]*(1-revenue[discountApllied])</f>
        <v>558</v>
      </c>
      <c r="Q825" s="9">
        <f>revenue[revenue]-(revenue[productCost]*revenue[orderQuantity])</f>
        <v>96.58337495</v>
      </c>
      <c r="R825" s="25">
        <f>IFERROR(revenue[profit]/revenue[revenue], 0)</f>
        <v>0.1730884856</v>
      </c>
      <c r="S825" s="9">
        <f>revenue[productCost]*revenue[orderQuantity]</f>
        <v>461.4166251</v>
      </c>
    </row>
    <row r="826" ht="15.75" customHeight="1">
      <c r="A826" s="6">
        <v>10555.0</v>
      </c>
      <c r="B826" s="7" t="s">
        <v>60</v>
      </c>
      <c r="C826" s="24" t="str">
        <f>VLOOKUP(revenue[customerID],customers[],2,FALSE)</f>
        <v>Save-a-lot Markets</v>
      </c>
      <c r="D826" s="24" t="str">
        <f>VLOOKUP(revenue[customerID],customers[],6,FALSE)</f>
        <v>Boise</v>
      </c>
      <c r="E826" s="24" t="str">
        <f>VLOOKUP(revenue[customerID],customers[],9,FALSE)</f>
        <v>USA</v>
      </c>
      <c r="F826" s="24">
        <v>45079.0</v>
      </c>
      <c r="G826" s="6">
        <v>19.0</v>
      </c>
      <c r="H826" s="9" t="str">
        <f>VLOOKUP(revenue[productID],products[],2,FALSE)</f>
        <v>Teatime Chocolate Biscuits</v>
      </c>
      <c r="I826" s="9" t="str">
        <f>VLOOKUP(revenue[productID],products[],12,FALSE)</f>
        <v>Confections</v>
      </c>
      <c r="J826" s="9">
        <f>VLOOKUP(revenue[productID],products[],IF(YEAR(revenue[orderDate])=2022,8,IF(YEAR(revenue[orderDate])=2023,9,IF(YEAR(revenue[orderDate])=2024,10,NA))),FALSE)</f>
        <v>5.901883682</v>
      </c>
      <c r="K826" s="9">
        <v>9.2</v>
      </c>
      <c r="L826" s="25">
        <f>(revenue[orderPrice]-revenue[productCost])/revenue[productCost]</f>
        <v>0.5588243508</v>
      </c>
      <c r="M826" s="10">
        <v>35.0</v>
      </c>
      <c r="N826" s="25">
        <v>0.2</v>
      </c>
      <c r="O826" s="9">
        <f>revenue[orderPrice]*revenue[orderQuantity]</f>
        <v>322</v>
      </c>
      <c r="P826" s="9">
        <f>revenue[orderTotal]*(1-revenue[discountApllied])</f>
        <v>257.6</v>
      </c>
      <c r="Q826" s="9">
        <f>revenue[revenue]-(revenue[productCost]*revenue[orderQuantity])</f>
        <v>51.03407112</v>
      </c>
      <c r="R826" s="25">
        <f>IFERROR(revenue[profit]/revenue[revenue], 0)</f>
        <v>0.1981136301</v>
      </c>
      <c r="S826" s="9">
        <f>revenue[productCost]*revenue[orderQuantity]</f>
        <v>206.5659289</v>
      </c>
    </row>
    <row r="827" ht="15.75" customHeight="1">
      <c r="A827" s="6">
        <v>10555.0</v>
      </c>
      <c r="B827" s="7" t="s">
        <v>60</v>
      </c>
      <c r="C827" s="24" t="str">
        <f>VLOOKUP(revenue[customerID],customers[],2,FALSE)</f>
        <v>Save-a-lot Markets</v>
      </c>
      <c r="D827" s="24" t="str">
        <f>VLOOKUP(revenue[customerID],customers[],6,FALSE)</f>
        <v>Boise</v>
      </c>
      <c r="E827" s="24" t="str">
        <f>VLOOKUP(revenue[customerID],customers[],9,FALSE)</f>
        <v>USA</v>
      </c>
      <c r="F827" s="24">
        <v>45079.0</v>
      </c>
      <c r="G827" s="6">
        <v>24.0</v>
      </c>
      <c r="H827" s="9" t="str">
        <f>VLOOKUP(revenue[productID],products[],2,FALSE)</f>
        <v>Brigadeiros Maravilhosos da Lilian</v>
      </c>
      <c r="I827" s="9" t="str">
        <f>VLOOKUP(revenue[productID],products[],12,FALSE)</f>
        <v>Confections</v>
      </c>
      <c r="J827" s="9">
        <f>VLOOKUP(revenue[productID],products[],IF(YEAR(revenue[orderDate])=2022,8,IF(YEAR(revenue[orderDate])=2023,9,IF(YEAR(revenue[orderDate])=2024,10,NA))),FALSE)</f>
        <v>3.131783363</v>
      </c>
      <c r="K827" s="9">
        <v>4.5</v>
      </c>
      <c r="L827" s="25">
        <f>(revenue[orderPrice]-revenue[productCost])/revenue[productCost]</f>
        <v>0.4368809967</v>
      </c>
      <c r="M827" s="10">
        <v>18.0</v>
      </c>
      <c r="N827" s="25">
        <v>0.2</v>
      </c>
      <c r="O827" s="9">
        <f>revenue[orderPrice]*revenue[orderQuantity]</f>
        <v>81</v>
      </c>
      <c r="P827" s="9">
        <f>revenue[orderTotal]*(1-revenue[discountApllied])</f>
        <v>64.8</v>
      </c>
      <c r="Q827" s="9">
        <f>revenue[revenue]-(revenue[productCost]*revenue[orderQuantity])</f>
        <v>8.427899467</v>
      </c>
      <c r="R827" s="25">
        <f>IFERROR(revenue[profit]/revenue[revenue], 0)</f>
        <v>0.130060177</v>
      </c>
      <c r="S827" s="9">
        <f>revenue[productCost]*revenue[orderQuantity]</f>
        <v>56.37210053</v>
      </c>
    </row>
    <row r="828" ht="15.75" customHeight="1">
      <c r="A828" s="6">
        <v>10555.0</v>
      </c>
      <c r="B828" s="7" t="s">
        <v>60</v>
      </c>
      <c r="C828" s="24" t="str">
        <f>VLOOKUP(revenue[customerID],customers[],2,FALSE)</f>
        <v>Save-a-lot Markets</v>
      </c>
      <c r="D828" s="24" t="str">
        <f>VLOOKUP(revenue[customerID],customers[],6,FALSE)</f>
        <v>Boise</v>
      </c>
      <c r="E828" s="24" t="str">
        <f>VLOOKUP(revenue[customerID],customers[],9,FALSE)</f>
        <v>USA</v>
      </c>
      <c r="F828" s="24">
        <v>45079.0</v>
      </c>
      <c r="G828" s="6">
        <v>51.0</v>
      </c>
      <c r="H828" s="9" t="str">
        <f>VLOOKUP(revenue[productID],products[],2,FALSE)</f>
        <v>Manjimup Dried Apples</v>
      </c>
      <c r="I828" s="9" t="str">
        <f>VLOOKUP(revenue[productID],products[],12,FALSE)</f>
        <v>Produce</v>
      </c>
      <c r="J828" s="9">
        <f>VLOOKUP(revenue[productID],products[],IF(YEAR(revenue[orderDate])=2022,8,IF(YEAR(revenue[orderDate])=2023,9,IF(YEAR(revenue[orderDate])=2024,10,NA))),FALSE)</f>
        <v>36.88798027</v>
      </c>
      <c r="K828" s="9">
        <v>53.0</v>
      </c>
      <c r="L828" s="25">
        <f>(revenue[orderPrice]-revenue[productCost])/revenue[productCost]</f>
        <v>0.4367823779</v>
      </c>
      <c r="M828" s="10">
        <v>20.0</v>
      </c>
      <c r="N828" s="25">
        <v>0.2</v>
      </c>
      <c r="O828" s="9">
        <f>revenue[orderPrice]*revenue[orderQuantity]</f>
        <v>1060</v>
      </c>
      <c r="P828" s="9">
        <f>revenue[orderTotal]*(1-revenue[discountApllied])</f>
        <v>848</v>
      </c>
      <c r="Q828" s="9">
        <f>revenue[revenue]-(revenue[productCost]*revenue[orderQuantity])</f>
        <v>110.2403947</v>
      </c>
      <c r="R828" s="25">
        <f>IFERROR(revenue[profit]/revenue[revenue], 0)</f>
        <v>0.1300004654</v>
      </c>
      <c r="S828" s="9">
        <f>revenue[productCost]*revenue[orderQuantity]</f>
        <v>737.7596053</v>
      </c>
    </row>
    <row r="829" ht="15.75" customHeight="1">
      <c r="A829" s="6">
        <v>10555.0</v>
      </c>
      <c r="B829" s="7" t="s">
        <v>60</v>
      </c>
      <c r="C829" s="24" t="str">
        <f>VLOOKUP(revenue[customerID],customers[],2,FALSE)</f>
        <v>Save-a-lot Markets</v>
      </c>
      <c r="D829" s="24" t="str">
        <f>VLOOKUP(revenue[customerID],customers[],6,FALSE)</f>
        <v>Boise</v>
      </c>
      <c r="E829" s="24" t="str">
        <f>VLOOKUP(revenue[customerID],customers[],9,FALSE)</f>
        <v>USA</v>
      </c>
      <c r="F829" s="24">
        <v>45079.0</v>
      </c>
      <c r="G829" s="6">
        <v>56.0</v>
      </c>
      <c r="H829" s="9" t="str">
        <f>VLOOKUP(revenue[productID],products[],2,FALSE)</f>
        <v>Gnocchi di nonna Alice</v>
      </c>
      <c r="I829" s="9" t="str">
        <f>VLOOKUP(revenue[productID],products[],12,FALSE)</f>
        <v>Grains/Cereals</v>
      </c>
      <c r="J829" s="9">
        <f>VLOOKUP(revenue[productID],products[],IF(YEAR(revenue[orderDate])=2022,8,IF(YEAR(revenue[orderDate])=2023,9,IF(YEAR(revenue[orderDate])=2024,10,NA))),FALSE)</f>
        <v>24.28342441</v>
      </c>
      <c r="K829" s="9">
        <v>38.0</v>
      </c>
      <c r="L829" s="25">
        <f>(revenue[orderPrice]-revenue[productCost])/revenue[productCost]</f>
        <v>0.5648534309</v>
      </c>
      <c r="M829" s="10">
        <v>40.0</v>
      </c>
      <c r="N829" s="25">
        <v>0.2</v>
      </c>
      <c r="O829" s="9">
        <f>revenue[orderPrice]*revenue[orderQuantity]</f>
        <v>1520</v>
      </c>
      <c r="P829" s="9">
        <f>revenue[orderTotal]*(1-revenue[discountApllied])</f>
        <v>1216</v>
      </c>
      <c r="Q829" s="9">
        <f>revenue[revenue]-(revenue[productCost]*revenue[orderQuantity])</f>
        <v>244.6630237</v>
      </c>
      <c r="R829" s="25">
        <f>IFERROR(revenue[profit]/revenue[revenue], 0)</f>
        <v>0.2012031445</v>
      </c>
      <c r="S829" s="9">
        <f>revenue[productCost]*revenue[orderQuantity]</f>
        <v>971.3369763</v>
      </c>
    </row>
    <row r="830" ht="15.75" customHeight="1">
      <c r="A830" s="6">
        <v>10556.0</v>
      </c>
      <c r="B830" s="7" t="s">
        <v>66</v>
      </c>
      <c r="C830" s="24" t="str">
        <f>VLOOKUP(revenue[customerID],customers[],2,FALSE)</f>
        <v>Simons bistro</v>
      </c>
      <c r="D830" s="24" t="str">
        <f>VLOOKUP(revenue[customerID],customers[],6,FALSE)</f>
        <v>Kobenhavn</v>
      </c>
      <c r="E830" s="24" t="str">
        <f>VLOOKUP(revenue[customerID],customers[],9,FALSE)</f>
        <v>Denmark</v>
      </c>
      <c r="F830" s="24">
        <v>45080.0</v>
      </c>
      <c r="G830" s="6">
        <v>72.0</v>
      </c>
      <c r="H830" s="9" t="str">
        <f>VLOOKUP(revenue[productID],products[],2,FALSE)</f>
        <v>Mozzarella di Giovanni</v>
      </c>
      <c r="I830" s="9" t="str">
        <f>VLOOKUP(revenue[productID],products[],12,FALSE)</f>
        <v>Dairy Products</v>
      </c>
      <c r="J830" s="9">
        <f>VLOOKUP(revenue[productID],products[],IF(YEAR(revenue[orderDate])=2022,8,IF(YEAR(revenue[orderDate])=2023,9,IF(YEAR(revenue[orderDate])=2024,10,NA))),FALSE)</f>
        <v>23.51933768</v>
      </c>
      <c r="K830" s="9">
        <v>34.8</v>
      </c>
      <c r="L830" s="25">
        <f>(revenue[orderPrice]-revenue[productCost])/revenue[productCost]</f>
        <v>0.4796335031</v>
      </c>
      <c r="M830" s="10">
        <v>24.0</v>
      </c>
      <c r="N830" s="25">
        <v>0.0</v>
      </c>
      <c r="O830" s="9">
        <f>revenue[orderPrice]*revenue[orderQuantity]</f>
        <v>835.2</v>
      </c>
      <c r="P830" s="9">
        <f>revenue[orderTotal]*(1-revenue[discountApllied])</f>
        <v>835.2</v>
      </c>
      <c r="Q830" s="9">
        <f>revenue[revenue]-(revenue[productCost]*revenue[orderQuantity])</f>
        <v>270.7358957</v>
      </c>
      <c r="R830" s="25">
        <f>IFERROR(revenue[profit]/revenue[revenue], 0)</f>
        <v>0.3241569633</v>
      </c>
      <c r="S830" s="9">
        <f>revenue[productCost]*revenue[orderQuantity]</f>
        <v>564.4641043</v>
      </c>
    </row>
    <row r="831" ht="15.75" customHeight="1">
      <c r="A831" s="6">
        <v>10557.0</v>
      </c>
      <c r="B831" s="7" t="s">
        <v>41</v>
      </c>
      <c r="C831" s="24" t="str">
        <f>VLOOKUP(revenue[customerID],customers[],2,FALSE)</f>
        <v>Lehmanns Marktstand</v>
      </c>
      <c r="D831" s="24" t="str">
        <f>VLOOKUP(revenue[customerID],customers[],6,FALSE)</f>
        <v>Frankfurt a.M.</v>
      </c>
      <c r="E831" s="24" t="str">
        <f>VLOOKUP(revenue[customerID],customers[],9,FALSE)</f>
        <v>Germany</v>
      </c>
      <c r="F831" s="24">
        <v>45080.0</v>
      </c>
      <c r="G831" s="6">
        <v>64.0</v>
      </c>
      <c r="H831" s="9" t="str">
        <f>VLOOKUP(revenue[productID],products[],2,FALSE)</f>
        <v>Lukas' leckere Sauerteigweggla</v>
      </c>
      <c r="I831" s="9" t="str">
        <f>VLOOKUP(revenue[productID],products[],12,FALSE)</f>
        <v>Grains/Cereals</v>
      </c>
      <c r="J831" s="9">
        <f>VLOOKUP(revenue[productID],products[],IF(YEAR(revenue[orderDate])=2022,8,IF(YEAR(revenue[orderDate])=2023,9,IF(YEAR(revenue[orderDate])=2024,10,NA))),FALSE)</f>
        <v>21.88572728</v>
      </c>
      <c r="K831" s="9">
        <v>33.25</v>
      </c>
      <c r="L831" s="25">
        <f>(revenue[orderPrice]-revenue[productCost])/revenue[productCost]</f>
        <v>0.5192549724</v>
      </c>
      <c r="M831" s="10">
        <v>30.0</v>
      </c>
      <c r="N831" s="25">
        <v>0.0</v>
      </c>
      <c r="O831" s="9">
        <f>revenue[orderPrice]*revenue[orderQuantity]</f>
        <v>997.5</v>
      </c>
      <c r="P831" s="9">
        <f>revenue[orderTotal]*(1-revenue[discountApllied])</f>
        <v>997.5</v>
      </c>
      <c r="Q831" s="9">
        <f>revenue[revenue]-(revenue[productCost]*revenue[orderQuantity])</f>
        <v>340.9281815</v>
      </c>
      <c r="R831" s="25">
        <f>IFERROR(revenue[profit]/revenue[revenue], 0)</f>
        <v>0.3417826381</v>
      </c>
      <c r="S831" s="9">
        <f>revenue[productCost]*revenue[orderQuantity]</f>
        <v>656.5718185</v>
      </c>
    </row>
    <row r="832" ht="15.75" customHeight="1">
      <c r="A832" s="6">
        <v>10557.0</v>
      </c>
      <c r="B832" s="7" t="s">
        <v>41</v>
      </c>
      <c r="C832" s="24" t="str">
        <f>VLOOKUP(revenue[customerID],customers[],2,FALSE)</f>
        <v>Lehmanns Marktstand</v>
      </c>
      <c r="D832" s="24" t="str">
        <f>VLOOKUP(revenue[customerID],customers[],6,FALSE)</f>
        <v>Frankfurt a.M.</v>
      </c>
      <c r="E832" s="24" t="str">
        <f>VLOOKUP(revenue[customerID],customers[],9,FALSE)</f>
        <v>Germany</v>
      </c>
      <c r="F832" s="24">
        <v>45080.0</v>
      </c>
      <c r="G832" s="6">
        <v>75.0</v>
      </c>
      <c r="H832" s="9" t="str">
        <f>VLOOKUP(revenue[productID],products[],2,FALSE)</f>
        <v>Rhönbräu Klosterbier</v>
      </c>
      <c r="I832" s="9" t="str">
        <f>VLOOKUP(revenue[productID],products[],12,FALSE)</f>
        <v>Beverages</v>
      </c>
      <c r="J832" s="9">
        <f>VLOOKUP(revenue[productID],products[],IF(YEAR(revenue[orderDate])=2022,8,IF(YEAR(revenue[orderDate])=2023,9,IF(YEAR(revenue[orderDate])=2024,10,NA))),FALSE)</f>
        <v>5.355290472</v>
      </c>
      <c r="K832" s="9">
        <v>7.75</v>
      </c>
      <c r="L832" s="25">
        <f>(revenue[orderPrice]-revenue[productCost])/revenue[productCost]</f>
        <v>0.4471670661</v>
      </c>
      <c r="M832" s="10">
        <v>20.0</v>
      </c>
      <c r="N832" s="25">
        <v>0.0</v>
      </c>
      <c r="O832" s="9">
        <f>revenue[orderPrice]*revenue[orderQuantity]</f>
        <v>155</v>
      </c>
      <c r="P832" s="9">
        <f>revenue[orderTotal]*(1-revenue[discountApllied])</f>
        <v>155</v>
      </c>
      <c r="Q832" s="9">
        <f>revenue[revenue]-(revenue[productCost]*revenue[orderQuantity])</f>
        <v>47.89419057</v>
      </c>
      <c r="R832" s="25">
        <f>IFERROR(revenue[profit]/revenue[revenue], 0)</f>
        <v>0.3089947778</v>
      </c>
      <c r="S832" s="9">
        <f>revenue[productCost]*revenue[orderQuantity]</f>
        <v>107.1058094</v>
      </c>
    </row>
    <row r="833" ht="15.75" customHeight="1">
      <c r="A833" s="6">
        <v>10558.0</v>
      </c>
      <c r="B833" s="7" t="s">
        <v>70</v>
      </c>
      <c r="C833" s="24" t="str">
        <f>VLOOKUP(revenue[customerID],customers[],2,FALSE)</f>
        <v>Around the Horn</v>
      </c>
      <c r="D833" s="24" t="str">
        <f>VLOOKUP(revenue[customerID],customers[],6,FALSE)</f>
        <v>London</v>
      </c>
      <c r="E833" s="24" t="str">
        <f>VLOOKUP(revenue[customerID],customers[],9,FALSE)</f>
        <v>UK</v>
      </c>
      <c r="F833" s="24">
        <v>45081.0</v>
      </c>
      <c r="G833" s="6">
        <v>47.0</v>
      </c>
      <c r="H833" s="9" t="str">
        <f>VLOOKUP(revenue[productID],products[],2,FALSE)</f>
        <v>Zaanse koeken</v>
      </c>
      <c r="I833" s="9" t="str">
        <f>VLOOKUP(revenue[productID],products[],12,FALSE)</f>
        <v>Confections</v>
      </c>
      <c r="J833" s="9">
        <f>VLOOKUP(revenue[productID],products[],IF(YEAR(revenue[orderDate])=2022,8,IF(YEAR(revenue[orderDate])=2023,9,IF(YEAR(revenue[orderDate])=2024,10,NA))),FALSE)</f>
        <v>6.57708833</v>
      </c>
      <c r="K833" s="9">
        <v>9.5</v>
      </c>
      <c r="L833" s="25">
        <f>(revenue[orderPrice]-revenue[productCost])/revenue[productCost]</f>
        <v>0.4444081519</v>
      </c>
      <c r="M833" s="10">
        <v>25.0</v>
      </c>
      <c r="N833" s="25">
        <v>0.0</v>
      </c>
      <c r="O833" s="9">
        <f>revenue[orderPrice]*revenue[orderQuantity]</f>
        <v>237.5</v>
      </c>
      <c r="P833" s="9">
        <f>revenue[orderTotal]*(1-revenue[discountApllied])</f>
        <v>237.5</v>
      </c>
      <c r="Q833" s="9">
        <f>revenue[revenue]-(revenue[productCost]*revenue[orderQuantity])</f>
        <v>73.07279174</v>
      </c>
      <c r="R833" s="25">
        <f>IFERROR(revenue[profit]/revenue[revenue], 0)</f>
        <v>0.3076749126</v>
      </c>
      <c r="S833" s="9">
        <f>revenue[productCost]*revenue[orderQuantity]</f>
        <v>164.4272083</v>
      </c>
    </row>
    <row r="834" ht="15.75" customHeight="1">
      <c r="A834" s="6">
        <v>10558.0</v>
      </c>
      <c r="B834" s="7" t="s">
        <v>70</v>
      </c>
      <c r="C834" s="24" t="str">
        <f>VLOOKUP(revenue[customerID],customers[],2,FALSE)</f>
        <v>Around the Horn</v>
      </c>
      <c r="D834" s="24" t="str">
        <f>VLOOKUP(revenue[customerID],customers[],6,FALSE)</f>
        <v>London</v>
      </c>
      <c r="E834" s="24" t="str">
        <f>VLOOKUP(revenue[customerID],customers[],9,FALSE)</f>
        <v>UK</v>
      </c>
      <c r="F834" s="24">
        <v>45081.0</v>
      </c>
      <c r="G834" s="6">
        <v>51.0</v>
      </c>
      <c r="H834" s="9" t="str">
        <f>VLOOKUP(revenue[productID],products[],2,FALSE)</f>
        <v>Manjimup Dried Apples</v>
      </c>
      <c r="I834" s="9" t="str">
        <f>VLOOKUP(revenue[productID],products[],12,FALSE)</f>
        <v>Produce</v>
      </c>
      <c r="J834" s="9">
        <f>VLOOKUP(revenue[productID],products[],IF(YEAR(revenue[orderDate])=2022,8,IF(YEAR(revenue[orderDate])=2023,9,IF(YEAR(revenue[orderDate])=2024,10,NA))),FALSE)</f>
        <v>36.88798027</v>
      </c>
      <c r="K834" s="9">
        <v>53.0</v>
      </c>
      <c r="L834" s="25">
        <f>(revenue[orderPrice]-revenue[productCost])/revenue[productCost]</f>
        <v>0.4367823779</v>
      </c>
      <c r="M834" s="10">
        <v>20.0</v>
      </c>
      <c r="N834" s="25">
        <v>0.0</v>
      </c>
      <c r="O834" s="9">
        <f>revenue[orderPrice]*revenue[orderQuantity]</f>
        <v>1060</v>
      </c>
      <c r="P834" s="9">
        <f>revenue[orderTotal]*(1-revenue[discountApllied])</f>
        <v>1060</v>
      </c>
      <c r="Q834" s="9">
        <f>revenue[revenue]-(revenue[productCost]*revenue[orderQuantity])</f>
        <v>322.2403947</v>
      </c>
      <c r="R834" s="25">
        <f>IFERROR(revenue[profit]/revenue[revenue], 0)</f>
        <v>0.3040003724</v>
      </c>
      <c r="S834" s="9">
        <f>revenue[productCost]*revenue[orderQuantity]</f>
        <v>737.7596053</v>
      </c>
    </row>
    <row r="835" ht="15.75" customHeight="1">
      <c r="A835" s="6">
        <v>10558.0</v>
      </c>
      <c r="B835" s="7" t="s">
        <v>70</v>
      </c>
      <c r="C835" s="24" t="str">
        <f>VLOOKUP(revenue[customerID],customers[],2,FALSE)</f>
        <v>Around the Horn</v>
      </c>
      <c r="D835" s="24" t="str">
        <f>VLOOKUP(revenue[customerID],customers[],6,FALSE)</f>
        <v>London</v>
      </c>
      <c r="E835" s="24" t="str">
        <f>VLOOKUP(revenue[customerID],customers[],9,FALSE)</f>
        <v>UK</v>
      </c>
      <c r="F835" s="24">
        <v>45081.0</v>
      </c>
      <c r="G835" s="6">
        <v>52.0</v>
      </c>
      <c r="H835" s="9" t="str">
        <f>VLOOKUP(revenue[productID],products[],2,FALSE)</f>
        <v>Filo Mix</v>
      </c>
      <c r="I835" s="9" t="str">
        <f>VLOOKUP(revenue[productID],products[],12,FALSE)</f>
        <v>Grains/Cereals</v>
      </c>
      <c r="J835" s="9">
        <f>VLOOKUP(revenue[productID],products[],IF(YEAR(revenue[orderDate])=2022,8,IF(YEAR(revenue[orderDate])=2023,9,IF(YEAR(revenue[orderDate])=2024,10,NA))),FALSE)</f>
        <v>5.001706713</v>
      </c>
      <c r="K835" s="9">
        <v>7.0</v>
      </c>
      <c r="L835" s="25">
        <f>(revenue[orderPrice]-revenue[productCost])/revenue[productCost]</f>
        <v>0.3995222835</v>
      </c>
      <c r="M835" s="10">
        <v>30.0</v>
      </c>
      <c r="N835" s="25">
        <v>0.0</v>
      </c>
      <c r="O835" s="9">
        <f>revenue[orderPrice]*revenue[orderQuantity]</f>
        <v>210</v>
      </c>
      <c r="P835" s="9">
        <f>revenue[orderTotal]*(1-revenue[discountApllied])</f>
        <v>210</v>
      </c>
      <c r="Q835" s="9">
        <f>revenue[revenue]-(revenue[productCost]*revenue[orderQuantity])</f>
        <v>59.94879862</v>
      </c>
      <c r="R835" s="25">
        <f>IFERROR(revenue[profit]/revenue[revenue], 0)</f>
        <v>0.2854704696</v>
      </c>
      <c r="S835" s="9">
        <f>revenue[productCost]*revenue[orderQuantity]</f>
        <v>150.0512014</v>
      </c>
    </row>
    <row r="836" ht="15.75" customHeight="1">
      <c r="A836" s="6">
        <v>10558.0</v>
      </c>
      <c r="B836" s="7" t="s">
        <v>70</v>
      </c>
      <c r="C836" s="24" t="str">
        <f>VLOOKUP(revenue[customerID],customers[],2,FALSE)</f>
        <v>Around the Horn</v>
      </c>
      <c r="D836" s="24" t="str">
        <f>VLOOKUP(revenue[customerID],customers[],6,FALSE)</f>
        <v>London</v>
      </c>
      <c r="E836" s="24" t="str">
        <f>VLOOKUP(revenue[customerID],customers[],9,FALSE)</f>
        <v>UK</v>
      </c>
      <c r="F836" s="24">
        <v>45081.0</v>
      </c>
      <c r="G836" s="6">
        <v>53.0</v>
      </c>
      <c r="H836" s="9" t="str">
        <f>VLOOKUP(revenue[productID],products[],2,FALSE)</f>
        <v>Perth Pasties</v>
      </c>
      <c r="I836" s="9" t="str">
        <f>VLOOKUP(revenue[productID],products[],12,FALSE)</f>
        <v>Meat/Poultry</v>
      </c>
      <c r="J836" s="9">
        <f>VLOOKUP(revenue[productID],products[],IF(YEAR(revenue[orderDate])=2022,8,IF(YEAR(revenue[orderDate])=2023,9,IF(YEAR(revenue[orderDate])=2024,10,NA))),FALSE)</f>
        <v>21.81491556</v>
      </c>
      <c r="K836" s="9">
        <v>32.8</v>
      </c>
      <c r="L836" s="25">
        <f>(revenue[orderPrice]-revenue[productCost])/revenue[productCost]</f>
        <v>0.5035584214</v>
      </c>
      <c r="M836" s="10">
        <v>18.0</v>
      </c>
      <c r="N836" s="25">
        <v>0.0</v>
      </c>
      <c r="O836" s="9">
        <f>revenue[orderPrice]*revenue[orderQuantity]</f>
        <v>590.4</v>
      </c>
      <c r="P836" s="9">
        <f>revenue[orderTotal]*(1-revenue[discountApllied])</f>
        <v>590.4</v>
      </c>
      <c r="Q836" s="9">
        <f>revenue[revenue]-(revenue[productCost]*revenue[orderQuantity])</f>
        <v>197.7315199</v>
      </c>
      <c r="R836" s="25">
        <f>IFERROR(revenue[profit]/revenue[revenue], 0)</f>
        <v>0.334911111</v>
      </c>
      <c r="S836" s="9">
        <f>revenue[productCost]*revenue[orderQuantity]</f>
        <v>392.6684801</v>
      </c>
    </row>
    <row r="837" ht="15.75" customHeight="1">
      <c r="A837" s="6">
        <v>10558.0</v>
      </c>
      <c r="B837" s="7" t="s">
        <v>70</v>
      </c>
      <c r="C837" s="24" t="str">
        <f>VLOOKUP(revenue[customerID],customers[],2,FALSE)</f>
        <v>Around the Horn</v>
      </c>
      <c r="D837" s="24" t="str">
        <f>VLOOKUP(revenue[customerID],customers[],6,FALSE)</f>
        <v>London</v>
      </c>
      <c r="E837" s="24" t="str">
        <f>VLOOKUP(revenue[customerID],customers[],9,FALSE)</f>
        <v>UK</v>
      </c>
      <c r="F837" s="24">
        <v>45081.0</v>
      </c>
      <c r="G837" s="6">
        <v>73.0</v>
      </c>
      <c r="H837" s="9" t="str">
        <f>VLOOKUP(revenue[productID],products[],2,FALSE)</f>
        <v>Röd Kaviar</v>
      </c>
      <c r="I837" s="9" t="str">
        <f>VLOOKUP(revenue[productID],products[],12,FALSE)</f>
        <v>Seafood</v>
      </c>
      <c r="J837" s="9">
        <f>VLOOKUP(revenue[productID],products[],IF(YEAR(revenue[orderDate])=2022,8,IF(YEAR(revenue[orderDate])=2023,9,IF(YEAR(revenue[orderDate])=2024,10,NA))),FALSE)</f>
        <v>9.692999362</v>
      </c>
      <c r="K837" s="9">
        <v>15.0</v>
      </c>
      <c r="L837" s="25">
        <f>(revenue[orderPrice]-revenue[productCost])/revenue[productCost]</f>
        <v>0.5475086131</v>
      </c>
      <c r="M837" s="10">
        <v>3.0</v>
      </c>
      <c r="N837" s="25">
        <v>0.0</v>
      </c>
      <c r="O837" s="9">
        <f>revenue[orderPrice]*revenue[orderQuantity]</f>
        <v>45</v>
      </c>
      <c r="P837" s="9">
        <f>revenue[orderTotal]*(1-revenue[discountApllied])</f>
        <v>45</v>
      </c>
      <c r="Q837" s="9">
        <f>revenue[revenue]-(revenue[productCost]*revenue[orderQuantity])</f>
        <v>15.92100191</v>
      </c>
      <c r="R837" s="25">
        <f>IFERROR(revenue[profit]/revenue[revenue], 0)</f>
        <v>0.3538000425</v>
      </c>
      <c r="S837" s="9">
        <f>revenue[productCost]*revenue[orderQuantity]</f>
        <v>29.07899809</v>
      </c>
    </row>
    <row r="838" ht="15.75" customHeight="1">
      <c r="A838" s="6">
        <v>10559.0</v>
      </c>
      <c r="B838" s="7" t="s">
        <v>30</v>
      </c>
      <c r="C838" s="24" t="str">
        <f>VLOOKUP(revenue[customerID],customers[],2,FALSE)</f>
        <v>Blondesddsl père et fils</v>
      </c>
      <c r="D838" s="24" t="str">
        <f>VLOOKUP(revenue[customerID],customers[],6,FALSE)</f>
        <v>Strasbourg</v>
      </c>
      <c r="E838" s="24" t="str">
        <f>VLOOKUP(revenue[customerID],customers[],9,FALSE)</f>
        <v>France</v>
      </c>
      <c r="F838" s="24">
        <v>45082.0</v>
      </c>
      <c r="G838" s="6">
        <v>41.0</v>
      </c>
      <c r="H838" s="9" t="str">
        <f>VLOOKUP(revenue[productID],products[],2,FALSE)</f>
        <v>Jack's New England Clam Chowder</v>
      </c>
      <c r="I838" s="9" t="str">
        <f>VLOOKUP(revenue[productID],products[],12,FALSE)</f>
        <v>Seafood</v>
      </c>
      <c r="J838" s="9">
        <f>VLOOKUP(revenue[productID],products[],IF(YEAR(revenue[orderDate])=2022,8,IF(YEAR(revenue[orderDate])=2023,9,IF(YEAR(revenue[orderDate])=2024,10,NA))),FALSE)</f>
        <v>6.549914856</v>
      </c>
      <c r="K838" s="9">
        <v>9.65</v>
      </c>
      <c r="L838" s="25">
        <f>(revenue[orderPrice]-revenue[productCost])/revenue[productCost]</f>
        <v>0.4733015943</v>
      </c>
      <c r="M838" s="10">
        <v>12.0</v>
      </c>
      <c r="N838" s="25">
        <v>0.05</v>
      </c>
      <c r="O838" s="9">
        <f>revenue[orderPrice]*revenue[orderQuantity]</f>
        <v>115.8</v>
      </c>
      <c r="P838" s="9">
        <f>revenue[orderTotal]*(1-revenue[discountApllied])</f>
        <v>110.01</v>
      </c>
      <c r="Q838" s="9">
        <f>revenue[revenue]-(revenue[productCost]*revenue[orderQuantity])</f>
        <v>31.41102173</v>
      </c>
      <c r="R838" s="25">
        <f>IFERROR(revenue[profit]/revenue[revenue], 0)</f>
        <v>0.2855287858</v>
      </c>
      <c r="S838" s="9">
        <f>revenue[productCost]*revenue[orderQuantity]</f>
        <v>78.59897827</v>
      </c>
    </row>
    <row r="839" ht="15.75" customHeight="1">
      <c r="A839" s="6">
        <v>10559.0</v>
      </c>
      <c r="B839" s="7" t="s">
        <v>30</v>
      </c>
      <c r="C839" s="24" t="str">
        <f>VLOOKUP(revenue[customerID],customers[],2,FALSE)</f>
        <v>Blondesddsl père et fils</v>
      </c>
      <c r="D839" s="24" t="str">
        <f>VLOOKUP(revenue[customerID],customers[],6,FALSE)</f>
        <v>Strasbourg</v>
      </c>
      <c r="E839" s="24" t="str">
        <f>VLOOKUP(revenue[customerID],customers[],9,FALSE)</f>
        <v>France</v>
      </c>
      <c r="F839" s="24">
        <v>45082.0</v>
      </c>
      <c r="G839" s="6">
        <v>55.0</v>
      </c>
      <c r="H839" s="9" t="str">
        <f>VLOOKUP(revenue[productID],products[],2,FALSE)</f>
        <v>Pâté chinois</v>
      </c>
      <c r="I839" s="9" t="str">
        <f>VLOOKUP(revenue[productID],products[],12,FALSE)</f>
        <v>Meat/Poultry</v>
      </c>
      <c r="J839" s="9">
        <f>VLOOKUP(revenue[productID],products[],IF(YEAR(revenue[orderDate])=2022,8,IF(YEAR(revenue[orderDate])=2023,9,IF(YEAR(revenue[orderDate])=2024,10,NA))),FALSE)</f>
        <v>14.92398776</v>
      </c>
      <c r="K839" s="9">
        <v>24.0</v>
      </c>
      <c r="L839" s="25">
        <f>(revenue[orderPrice]-revenue[productCost])/revenue[productCost]</f>
        <v>0.6081492681</v>
      </c>
      <c r="M839" s="10">
        <v>18.0</v>
      </c>
      <c r="N839" s="25">
        <v>0.05</v>
      </c>
      <c r="O839" s="9">
        <f>revenue[orderPrice]*revenue[orderQuantity]</f>
        <v>432</v>
      </c>
      <c r="P839" s="9">
        <f>revenue[orderTotal]*(1-revenue[discountApllied])</f>
        <v>410.4</v>
      </c>
      <c r="Q839" s="9">
        <f>revenue[revenue]-(revenue[productCost]*revenue[orderQuantity])</f>
        <v>141.7682202</v>
      </c>
      <c r="R839" s="25">
        <f>IFERROR(revenue[profit]/revenue[revenue], 0)</f>
        <v>0.3454391332</v>
      </c>
      <c r="S839" s="9">
        <f>revenue[productCost]*revenue[orderQuantity]</f>
        <v>268.6317798</v>
      </c>
    </row>
    <row r="840" ht="15.75" customHeight="1">
      <c r="A840" s="6">
        <v>10560.0</v>
      </c>
      <c r="B840" s="7" t="s">
        <v>32</v>
      </c>
      <c r="C840" s="24" t="str">
        <f>VLOOKUP(revenue[customerID],customers[],2,FALSE)</f>
        <v>Frankenversand</v>
      </c>
      <c r="D840" s="24" t="str">
        <f>VLOOKUP(revenue[customerID],customers[],6,FALSE)</f>
        <v>München</v>
      </c>
      <c r="E840" s="24" t="str">
        <f>VLOOKUP(revenue[customerID],customers[],9,FALSE)</f>
        <v>Germany</v>
      </c>
      <c r="F840" s="24">
        <v>45083.0</v>
      </c>
      <c r="G840" s="6">
        <v>30.0</v>
      </c>
      <c r="H840" s="9" t="str">
        <f>VLOOKUP(revenue[productID],products[],2,FALSE)</f>
        <v>Nord-Ost Matjeshering</v>
      </c>
      <c r="I840" s="9" t="str">
        <f>VLOOKUP(revenue[productID],products[],12,FALSE)</f>
        <v>Seafood</v>
      </c>
      <c r="J840" s="9">
        <f>VLOOKUP(revenue[productID],products[],IF(YEAR(revenue[orderDate])=2022,8,IF(YEAR(revenue[orderDate])=2023,9,IF(YEAR(revenue[orderDate])=2024,10,NA))),FALSE)</f>
        <v>16.03885249</v>
      </c>
      <c r="K840" s="9">
        <v>25.89</v>
      </c>
      <c r="L840" s="25">
        <f>(revenue[orderPrice]-revenue[productCost])/revenue[productCost]</f>
        <v>0.6142052564</v>
      </c>
      <c r="M840" s="10">
        <v>20.0</v>
      </c>
      <c r="N840" s="25">
        <v>0.0</v>
      </c>
      <c r="O840" s="9">
        <f>revenue[orderPrice]*revenue[orderQuantity]</f>
        <v>517.8</v>
      </c>
      <c r="P840" s="9">
        <f>revenue[orderTotal]*(1-revenue[discountApllied])</f>
        <v>517.8</v>
      </c>
      <c r="Q840" s="9">
        <f>revenue[revenue]-(revenue[productCost]*revenue[orderQuantity])</f>
        <v>197.0229501</v>
      </c>
      <c r="R840" s="25">
        <f>IFERROR(revenue[profit]/revenue[revenue], 0)</f>
        <v>0.3805000968</v>
      </c>
      <c r="S840" s="9">
        <f>revenue[productCost]*revenue[orderQuantity]</f>
        <v>320.7770499</v>
      </c>
    </row>
    <row r="841" ht="15.75" customHeight="1">
      <c r="A841" s="6">
        <v>10560.0</v>
      </c>
      <c r="B841" s="7" t="s">
        <v>32</v>
      </c>
      <c r="C841" s="24" t="str">
        <f>VLOOKUP(revenue[customerID],customers[],2,FALSE)</f>
        <v>Frankenversand</v>
      </c>
      <c r="D841" s="24" t="str">
        <f>VLOOKUP(revenue[customerID],customers[],6,FALSE)</f>
        <v>München</v>
      </c>
      <c r="E841" s="24" t="str">
        <f>VLOOKUP(revenue[customerID],customers[],9,FALSE)</f>
        <v>Germany</v>
      </c>
      <c r="F841" s="24">
        <v>45083.0</v>
      </c>
      <c r="G841" s="6">
        <v>62.0</v>
      </c>
      <c r="H841" s="9" t="str">
        <f>VLOOKUP(revenue[productID],products[],2,FALSE)</f>
        <v>Tarte au sucre</v>
      </c>
      <c r="I841" s="9" t="str">
        <f>VLOOKUP(revenue[productID],products[],12,FALSE)</f>
        <v>Confections</v>
      </c>
      <c r="J841" s="9">
        <f>VLOOKUP(revenue[productID],products[],IF(YEAR(revenue[orderDate])=2022,8,IF(YEAR(revenue[orderDate])=2023,9,IF(YEAR(revenue[orderDate])=2024,10,NA))),FALSE)</f>
        <v>35.34792781</v>
      </c>
      <c r="K841" s="9">
        <v>49.3</v>
      </c>
      <c r="L841" s="25">
        <f>(revenue[orderPrice]-revenue[productCost])/revenue[productCost]</f>
        <v>0.3947069335</v>
      </c>
      <c r="M841" s="10">
        <v>15.0</v>
      </c>
      <c r="N841" s="25">
        <v>0.25</v>
      </c>
      <c r="O841" s="9">
        <f>revenue[orderPrice]*revenue[orderQuantity]</f>
        <v>739.5</v>
      </c>
      <c r="P841" s="9">
        <f>revenue[orderTotal]*(1-revenue[discountApllied])</f>
        <v>554.625</v>
      </c>
      <c r="Q841" s="9">
        <f>revenue[revenue]-(revenue[productCost]*revenue[orderQuantity])</f>
        <v>24.40608286</v>
      </c>
      <c r="R841" s="25">
        <f>IFERROR(revenue[profit]/revenue[revenue], 0)</f>
        <v>0.04400465695</v>
      </c>
      <c r="S841" s="9">
        <f>revenue[productCost]*revenue[orderQuantity]</f>
        <v>530.2189171</v>
      </c>
    </row>
    <row r="842" ht="15.75" customHeight="1">
      <c r="A842" s="6">
        <v>10561.0</v>
      </c>
      <c r="B842" s="7" t="s">
        <v>29</v>
      </c>
      <c r="C842" s="24" t="str">
        <f>VLOOKUP(revenue[customerID],customers[],2,FALSE)</f>
        <v>Folk och fä HB</v>
      </c>
      <c r="D842" s="24" t="str">
        <f>VLOOKUP(revenue[customerID],customers[],6,FALSE)</f>
        <v>Bräcke</v>
      </c>
      <c r="E842" s="24" t="str">
        <f>VLOOKUP(revenue[customerID],customers[],9,FALSE)</f>
        <v>Sweden</v>
      </c>
      <c r="F842" s="24">
        <v>45083.0</v>
      </c>
      <c r="G842" s="6">
        <v>44.0</v>
      </c>
      <c r="H842" s="9" t="str">
        <f>VLOOKUP(revenue[productID],products[],2,FALSE)</f>
        <v>Gula Malacca</v>
      </c>
      <c r="I842" s="9" t="str">
        <f>VLOOKUP(revenue[productID],products[],12,FALSE)</f>
        <v>Condiments</v>
      </c>
      <c r="J842" s="9">
        <f>VLOOKUP(revenue[productID],products[],IF(YEAR(revenue[orderDate])=2022,8,IF(YEAR(revenue[orderDate])=2023,9,IF(YEAR(revenue[orderDate])=2024,10,NA))),FALSE)</f>
        <v>13.06032103</v>
      </c>
      <c r="K842" s="9">
        <v>19.45</v>
      </c>
      <c r="L842" s="25">
        <f>(revenue[orderPrice]-revenue[productCost])/revenue[productCost]</f>
        <v>0.4892436379</v>
      </c>
      <c r="M842" s="10">
        <v>10.0</v>
      </c>
      <c r="N842" s="25">
        <v>0.0</v>
      </c>
      <c r="O842" s="9">
        <f>revenue[orderPrice]*revenue[orderQuantity]</f>
        <v>194.5</v>
      </c>
      <c r="P842" s="9">
        <f>revenue[orderTotal]*(1-revenue[discountApllied])</f>
        <v>194.5</v>
      </c>
      <c r="Q842" s="9">
        <f>revenue[revenue]-(revenue[productCost]*revenue[orderQuantity])</f>
        <v>63.89678972</v>
      </c>
      <c r="R842" s="25">
        <f>IFERROR(revenue[profit]/revenue[revenue], 0)</f>
        <v>0.3285181991</v>
      </c>
      <c r="S842" s="9">
        <f>revenue[productCost]*revenue[orderQuantity]</f>
        <v>130.6032103</v>
      </c>
    </row>
    <row r="843" ht="15.75" customHeight="1">
      <c r="A843" s="6">
        <v>10561.0</v>
      </c>
      <c r="B843" s="7" t="s">
        <v>29</v>
      </c>
      <c r="C843" s="24" t="str">
        <f>VLOOKUP(revenue[customerID],customers[],2,FALSE)</f>
        <v>Folk och fä HB</v>
      </c>
      <c r="D843" s="24" t="str">
        <f>VLOOKUP(revenue[customerID],customers[],6,FALSE)</f>
        <v>Bräcke</v>
      </c>
      <c r="E843" s="24" t="str">
        <f>VLOOKUP(revenue[customerID],customers[],9,FALSE)</f>
        <v>Sweden</v>
      </c>
      <c r="F843" s="24">
        <v>45083.0</v>
      </c>
      <c r="G843" s="6">
        <v>51.0</v>
      </c>
      <c r="H843" s="9" t="str">
        <f>VLOOKUP(revenue[productID],products[],2,FALSE)</f>
        <v>Manjimup Dried Apples</v>
      </c>
      <c r="I843" s="9" t="str">
        <f>VLOOKUP(revenue[productID],products[],12,FALSE)</f>
        <v>Produce</v>
      </c>
      <c r="J843" s="9">
        <f>VLOOKUP(revenue[productID],products[],IF(YEAR(revenue[orderDate])=2022,8,IF(YEAR(revenue[orderDate])=2023,9,IF(YEAR(revenue[orderDate])=2024,10,NA))),FALSE)</f>
        <v>36.88798027</v>
      </c>
      <c r="K843" s="9">
        <v>53.0</v>
      </c>
      <c r="L843" s="25">
        <f>(revenue[orderPrice]-revenue[productCost])/revenue[productCost]</f>
        <v>0.4367823779</v>
      </c>
      <c r="M843" s="10">
        <v>50.0</v>
      </c>
      <c r="N843" s="25">
        <v>0.0</v>
      </c>
      <c r="O843" s="9">
        <f>revenue[orderPrice]*revenue[orderQuantity]</f>
        <v>2650</v>
      </c>
      <c r="P843" s="9">
        <f>revenue[orderTotal]*(1-revenue[discountApllied])</f>
        <v>2650</v>
      </c>
      <c r="Q843" s="9">
        <f>revenue[revenue]-(revenue[productCost]*revenue[orderQuantity])</f>
        <v>805.6009867</v>
      </c>
      <c r="R843" s="25">
        <f>IFERROR(revenue[profit]/revenue[revenue], 0)</f>
        <v>0.3040003724</v>
      </c>
      <c r="S843" s="9">
        <f>revenue[productCost]*revenue[orderQuantity]</f>
        <v>1844.399013</v>
      </c>
    </row>
    <row r="844" ht="15.75" customHeight="1">
      <c r="A844" s="6">
        <v>10562.0</v>
      </c>
      <c r="B844" s="7" t="s">
        <v>45</v>
      </c>
      <c r="C844" s="24" t="str">
        <f>VLOOKUP(revenue[customerID],customers[],2,FALSE)</f>
        <v>Reggiani Caseifici</v>
      </c>
      <c r="D844" s="24" t="str">
        <f>VLOOKUP(revenue[customerID],customers[],6,FALSE)</f>
        <v>Reggio Emilia</v>
      </c>
      <c r="E844" s="24" t="str">
        <f>VLOOKUP(revenue[customerID],customers[],9,FALSE)</f>
        <v>Italy</v>
      </c>
      <c r="F844" s="24">
        <v>45086.0</v>
      </c>
      <c r="G844" s="6">
        <v>33.0</v>
      </c>
      <c r="H844" s="9" t="str">
        <f>VLOOKUP(revenue[productID],products[],2,FALSE)</f>
        <v>Geitost</v>
      </c>
      <c r="I844" s="9" t="str">
        <f>VLOOKUP(revenue[productID],products[],12,FALSE)</f>
        <v>Dairy Products</v>
      </c>
      <c r="J844" s="9">
        <f>VLOOKUP(revenue[productID],products[],IF(YEAR(revenue[orderDate])=2022,8,IF(YEAR(revenue[orderDate])=2023,9,IF(YEAR(revenue[orderDate])=2024,10,NA))),FALSE)</f>
        <v>1.559072298</v>
      </c>
      <c r="K844" s="9">
        <v>2.5</v>
      </c>
      <c r="L844" s="25">
        <f>(revenue[orderPrice]-revenue[productCost])/revenue[productCost]</f>
        <v>0.603517684</v>
      </c>
      <c r="M844" s="10">
        <v>20.0</v>
      </c>
      <c r="N844" s="25">
        <v>0.1</v>
      </c>
      <c r="O844" s="9">
        <f>revenue[orderPrice]*revenue[orderQuantity]</f>
        <v>50</v>
      </c>
      <c r="P844" s="9">
        <f>revenue[orderTotal]*(1-revenue[discountApllied])</f>
        <v>45</v>
      </c>
      <c r="Q844" s="9">
        <f>revenue[revenue]-(revenue[productCost]*revenue[orderQuantity])</f>
        <v>13.81855405</v>
      </c>
      <c r="R844" s="25">
        <f>IFERROR(revenue[profit]/revenue[revenue], 0)</f>
        <v>0.3070789788</v>
      </c>
      <c r="S844" s="9">
        <f>revenue[productCost]*revenue[orderQuantity]</f>
        <v>31.18144595</v>
      </c>
    </row>
    <row r="845" ht="15.75" customHeight="1">
      <c r="A845" s="6">
        <v>10562.0</v>
      </c>
      <c r="B845" s="7" t="s">
        <v>45</v>
      </c>
      <c r="C845" s="24" t="str">
        <f>VLOOKUP(revenue[customerID],customers[],2,FALSE)</f>
        <v>Reggiani Caseifici</v>
      </c>
      <c r="D845" s="24" t="str">
        <f>VLOOKUP(revenue[customerID],customers[],6,FALSE)</f>
        <v>Reggio Emilia</v>
      </c>
      <c r="E845" s="24" t="str">
        <f>VLOOKUP(revenue[customerID],customers[],9,FALSE)</f>
        <v>Italy</v>
      </c>
      <c r="F845" s="24">
        <v>45086.0</v>
      </c>
      <c r="G845" s="6">
        <v>62.0</v>
      </c>
      <c r="H845" s="9" t="str">
        <f>VLOOKUP(revenue[productID],products[],2,FALSE)</f>
        <v>Tarte au sucre</v>
      </c>
      <c r="I845" s="9" t="str">
        <f>VLOOKUP(revenue[productID],products[],12,FALSE)</f>
        <v>Confections</v>
      </c>
      <c r="J845" s="9">
        <f>VLOOKUP(revenue[productID],products[],IF(YEAR(revenue[orderDate])=2022,8,IF(YEAR(revenue[orderDate])=2023,9,IF(YEAR(revenue[orderDate])=2024,10,NA))),FALSE)</f>
        <v>35.34792781</v>
      </c>
      <c r="K845" s="9">
        <v>49.3</v>
      </c>
      <c r="L845" s="25">
        <f>(revenue[orderPrice]-revenue[productCost])/revenue[productCost]</f>
        <v>0.3947069335</v>
      </c>
      <c r="M845" s="10">
        <v>10.0</v>
      </c>
      <c r="N845" s="25">
        <v>0.1</v>
      </c>
      <c r="O845" s="9">
        <f>revenue[orderPrice]*revenue[orderQuantity]</f>
        <v>493</v>
      </c>
      <c r="P845" s="9">
        <f>revenue[orderTotal]*(1-revenue[discountApllied])</f>
        <v>443.7</v>
      </c>
      <c r="Q845" s="9">
        <f>revenue[revenue]-(revenue[productCost]*revenue[orderQuantity])</f>
        <v>90.22072191</v>
      </c>
      <c r="R845" s="25">
        <f>IFERROR(revenue[profit]/revenue[revenue], 0)</f>
        <v>0.2033372141</v>
      </c>
      <c r="S845" s="9">
        <f>revenue[productCost]*revenue[orderQuantity]</f>
        <v>353.4792781</v>
      </c>
    </row>
    <row r="846" ht="15.75" customHeight="1">
      <c r="A846" s="6">
        <v>10563.0</v>
      </c>
      <c r="B846" s="7" t="s">
        <v>44</v>
      </c>
      <c r="C846" s="24" t="str">
        <f>VLOOKUP(revenue[customerID],customers[],2,FALSE)</f>
        <v>Ricardo Adocicados</v>
      </c>
      <c r="D846" s="24" t="str">
        <f>VLOOKUP(revenue[customerID],customers[],6,FALSE)</f>
        <v>Rio de Janeiro</v>
      </c>
      <c r="E846" s="24" t="str">
        <f>VLOOKUP(revenue[customerID],customers[],9,FALSE)</f>
        <v>Brazil</v>
      </c>
      <c r="F846" s="24">
        <v>45087.0</v>
      </c>
      <c r="G846" s="6">
        <v>36.0</v>
      </c>
      <c r="H846" s="9" t="str">
        <f>VLOOKUP(revenue[productID],products[],2,FALSE)</f>
        <v>Inlagd Sill</v>
      </c>
      <c r="I846" s="9" t="str">
        <f>VLOOKUP(revenue[productID],products[],12,FALSE)</f>
        <v>Seafood</v>
      </c>
      <c r="J846" s="9">
        <f>VLOOKUP(revenue[productID],products[],IF(YEAR(revenue[orderDate])=2022,8,IF(YEAR(revenue[orderDate])=2023,9,IF(YEAR(revenue[orderDate])=2024,10,NA))),FALSE)</f>
        <v>12.15246269</v>
      </c>
      <c r="K846" s="9">
        <v>19.0</v>
      </c>
      <c r="L846" s="25">
        <f>(revenue[orderPrice]-revenue[productCost])/revenue[productCost]</f>
        <v>0.5634691082</v>
      </c>
      <c r="M846" s="10">
        <v>25.0</v>
      </c>
      <c r="N846" s="25">
        <v>0.0</v>
      </c>
      <c r="O846" s="9">
        <f>revenue[orderPrice]*revenue[orderQuantity]</f>
        <v>475</v>
      </c>
      <c r="P846" s="9">
        <f>revenue[orderTotal]*(1-revenue[discountApllied])</f>
        <v>475</v>
      </c>
      <c r="Q846" s="9">
        <f>revenue[revenue]-(revenue[productCost]*revenue[orderQuantity])</f>
        <v>171.1884328</v>
      </c>
      <c r="R846" s="25">
        <f>IFERROR(revenue[profit]/revenue[revenue], 0)</f>
        <v>0.3603967007</v>
      </c>
      <c r="S846" s="9">
        <f>revenue[productCost]*revenue[orderQuantity]</f>
        <v>303.8115672</v>
      </c>
    </row>
    <row r="847" ht="15.75" customHeight="1">
      <c r="A847" s="6">
        <v>10563.0</v>
      </c>
      <c r="B847" s="7" t="s">
        <v>44</v>
      </c>
      <c r="C847" s="24" t="str">
        <f>VLOOKUP(revenue[customerID],customers[],2,FALSE)</f>
        <v>Ricardo Adocicados</v>
      </c>
      <c r="D847" s="24" t="str">
        <f>VLOOKUP(revenue[customerID],customers[],6,FALSE)</f>
        <v>Rio de Janeiro</v>
      </c>
      <c r="E847" s="24" t="str">
        <f>VLOOKUP(revenue[customerID],customers[],9,FALSE)</f>
        <v>Brazil</v>
      </c>
      <c r="F847" s="24">
        <v>45087.0</v>
      </c>
      <c r="G847" s="6">
        <v>52.0</v>
      </c>
      <c r="H847" s="9" t="str">
        <f>VLOOKUP(revenue[productID],products[],2,FALSE)</f>
        <v>Filo Mix</v>
      </c>
      <c r="I847" s="9" t="str">
        <f>VLOOKUP(revenue[productID],products[],12,FALSE)</f>
        <v>Grains/Cereals</v>
      </c>
      <c r="J847" s="9">
        <f>VLOOKUP(revenue[productID],products[],IF(YEAR(revenue[orderDate])=2022,8,IF(YEAR(revenue[orderDate])=2023,9,IF(YEAR(revenue[orderDate])=2024,10,NA))),FALSE)</f>
        <v>5.001706713</v>
      </c>
      <c r="K847" s="9">
        <v>7.0</v>
      </c>
      <c r="L847" s="25">
        <f>(revenue[orderPrice]-revenue[productCost])/revenue[productCost]</f>
        <v>0.3995222835</v>
      </c>
      <c r="M847" s="10">
        <v>70.0</v>
      </c>
      <c r="N847" s="25">
        <v>0.0</v>
      </c>
      <c r="O847" s="9">
        <f>revenue[orderPrice]*revenue[orderQuantity]</f>
        <v>490</v>
      </c>
      <c r="P847" s="9">
        <f>revenue[orderTotal]*(1-revenue[discountApllied])</f>
        <v>490</v>
      </c>
      <c r="Q847" s="9">
        <f>revenue[revenue]-(revenue[productCost]*revenue[orderQuantity])</f>
        <v>139.8805301</v>
      </c>
      <c r="R847" s="25">
        <f>IFERROR(revenue[profit]/revenue[revenue], 0)</f>
        <v>0.2854704696</v>
      </c>
      <c r="S847" s="9">
        <f>revenue[productCost]*revenue[orderQuantity]</f>
        <v>350.1194699</v>
      </c>
    </row>
    <row r="848" ht="15.75" customHeight="1">
      <c r="A848" s="6">
        <v>10564.0</v>
      </c>
      <c r="B848" s="7" t="s">
        <v>28</v>
      </c>
      <c r="C848" s="24" t="str">
        <f>VLOOKUP(revenue[customerID],customers[],2,FALSE)</f>
        <v>Rattlesnake Canyon Grocery</v>
      </c>
      <c r="D848" s="24" t="str">
        <f>VLOOKUP(revenue[customerID],customers[],6,FALSE)</f>
        <v>Albuquerque</v>
      </c>
      <c r="E848" s="24" t="str">
        <f>VLOOKUP(revenue[customerID],customers[],9,FALSE)</f>
        <v>USA</v>
      </c>
      <c r="F848" s="24">
        <v>45087.0</v>
      </c>
      <c r="G848" s="6">
        <v>17.0</v>
      </c>
      <c r="H848" s="9" t="str">
        <f>VLOOKUP(revenue[productID],products[],2,FALSE)</f>
        <v>Alice Mutton</v>
      </c>
      <c r="I848" s="9" t="str">
        <f>VLOOKUP(revenue[productID],products[],12,FALSE)</f>
        <v>Meat/Poultry</v>
      </c>
      <c r="J848" s="9">
        <f>VLOOKUP(revenue[productID],products[],IF(YEAR(revenue[orderDate])=2022,8,IF(YEAR(revenue[orderDate])=2023,9,IF(YEAR(revenue[orderDate])=2024,10,NA))),FALSE)</f>
        <v>24.83130504</v>
      </c>
      <c r="K848" s="9">
        <v>39.0</v>
      </c>
      <c r="L848" s="25">
        <f>(revenue[orderPrice]-revenue[productCost])/revenue[productCost]</f>
        <v>0.5705980792</v>
      </c>
      <c r="M848" s="10">
        <v>16.0</v>
      </c>
      <c r="N848" s="25">
        <v>0.05</v>
      </c>
      <c r="O848" s="9">
        <f>revenue[orderPrice]*revenue[orderQuantity]</f>
        <v>624</v>
      </c>
      <c r="P848" s="9">
        <f>revenue[orderTotal]*(1-revenue[discountApllied])</f>
        <v>592.8</v>
      </c>
      <c r="Q848" s="9">
        <f>revenue[revenue]-(revenue[productCost]*revenue[orderQuantity])</f>
        <v>195.4991194</v>
      </c>
      <c r="R848" s="25">
        <f>IFERROR(revenue[profit]/revenue[revenue], 0)</f>
        <v>0.3297893377</v>
      </c>
      <c r="S848" s="9">
        <f>revenue[productCost]*revenue[orderQuantity]</f>
        <v>397.3008806</v>
      </c>
    </row>
    <row r="849" ht="15.75" customHeight="1">
      <c r="A849" s="6">
        <v>10564.0</v>
      </c>
      <c r="B849" s="7" t="s">
        <v>28</v>
      </c>
      <c r="C849" s="24" t="str">
        <f>VLOOKUP(revenue[customerID],customers[],2,FALSE)</f>
        <v>Rattlesnake Canyon Grocery</v>
      </c>
      <c r="D849" s="24" t="str">
        <f>VLOOKUP(revenue[customerID],customers[],6,FALSE)</f>
        <v>Albuquerque</v>
      </c>
      <c r="E849" s="24" t="str">
        <f>VLOOKUP(revenue[customerID],customers[],9,FALSE)</f>
        <v>USA</v>
      </c>
      <c r="F849" s="24">
        <v>45087.0</v>
      </c>
      <c r="G849" s="6">
        <v>31.0</v>
      </c>
      <c r="H849" s="9" t="str">
        <f>VLOOKUP(revenue[productID],products[],2,FALSE)</f>
        <v>Gorgonzola Telino</v>
      </c>
      <c r="I849" s="9" t="str">
        <f>VLOOKUP(revenue[productID],products[],12,FALSE)</f>
        <v>Dairy Products</v>
      </c>
      <c r="J849" s="9">
        <f>VLOOKUP(revenue[productID],products[],IF(YEAR(revenue[orderDate])=2022,8,IF(YEAR(revenue[orderDate])=2023,9,IF(YEAR(revenue[orderDate])=2024,10,NA))),FALSE)</f>
        <v>7.937729254</v>
      </c>
      <c r="K849" s="9">
        <v>12.5</v>
      </c>
      <c r="L849" s="25">
        <f>(revenue[orderPrice]-revenue[productCost])/revenue[productCost]</f>
        <v>0.5747576668</v>
      </c>
      <c r="M849" s="10">
        <v>6.0</v>
      </c>
      <c r="N849" s="25">
        <v>0.05</v>
      </c>
      <c r="O849" s="9">
        <f>revenue[orderPrice]*revenue[orderQuantity]</f>
        <v>75</v>
      </c>
      <c r="P849" s="9">
        <f>revenue[orderTotal]*(1-revenue[discountApllied])</f>
        <v>71.25</v>
      </c>
      <c r="Q849" s="9">
        <f>revenue[revenue]-(revenue[productCost]*revenue[orderQuantity])</f>
        <v>23.62362447</v>
      </c>
      <c r="R849" s="25">
        <f>IFERROR(revenue[profit]/revenue[revenue], 0)</f>
        <v>0.3315596417</v>
      </c>
      <c r="S849" s="9">
        <f>revenue[productCost]*revenue[orderQuantity]</f>
        <v>47.62637553</v>
      </c>
    </row>
    <row r="850" ht="15.75" customHeight="1">
      <c r="A850" s="6">
        <v>10564.0</v>
      </c>
      <c r="B850" s="7" t="s">
        <v>28</v>
      </c>
      <c r="C850" s="24" t="str">
        <f>VLOOKUP(revenue[customerID],customers[],2,FALSE)</f>
        <v>Rattlesnake Canyon Grocery</v>
      </c>
      <c r="D850" s="24" t="str">
        <f>VLOOKUP(revenue[customerID],customers[],6,FALSE)</f>
        <v>Albuquerque</v>
      </c>
      <c r="E850" s="24" t="str">
        <f>VLOOKUP(revenue[customerID],customers[],9,FALSE)</f>
        <v>USA</v>
      </c>
      <c r="F850" s="24">
        <v>45087.0</v>
      </c>
      <c r="G850" s="6">
        <v>55.0</v>
      </c>
      <c r="H850" s="9" t="str">
        <f>VLOOKUP(revenue[productID],products[],2,FALSE)</f>
        <v>Pâté chinois</v>
      </c>
      <c r="I850" s="9" t="str">
        <f>VLOOKUP(revenue[productID],products[],12,FALSE)</f>
        <v>Meat/Poultry</v>
      </c>
      <c r="J850" s="9">
        <f>VLOOKUP(revenue[productID],products[],IF(YEAR(revenue[orderDate])=2022,8,IF(YEAR(revenue[orderDate])=2023,9,IF(YEAR(revenue[orderDate])=2024,10,NA))),FALSE)</f>
        <v>14.92398776</v>
      </c>
      <c r="K850" s="9">
        <v>24.0</v>
      </c>
      <c r="L850" s="25">
        <f>(revenue[orderPrice]-revenue[productCost])/revenue[productCost]</f>
        <v>0.6081492681</v>
      </c>
      <c r="M850" s="10">
        <v>25.0</v>
      </c>
      <c r="N850" s="25">
        <v>0.05</v>
      </c>
      <c r="O850" s="9">
        <f>revenue[orderPrice]*revenue[orderQuantity]</f>
        <v>600</v>
      </c>
      <c r="P850" s="9">
        <f>revenue[orderTotal]*(1-revenue[discountApllied])</f>
        <v>570</v>
      </c>
      <c r="Q850" s="9">
        <f>revenue[revenue]-(revenue[productCost]*revenue[orderQuantity])</f>
        <v>196.9003059</v>
      </c>
      <c r="R850" s="25">
        <f>IFERROR(revenue[profit]/revenue[revenue], 0)</f>
        <v>0.3454391332</v>
      </c>
      <c r="S850" s="9">
        <f>revenue[productCost]*revenue[orderQuantity]</f>
        <v>373.0996941</v>
      </c>
    </row>
    <row r="851" ht="15.75" customHeight="1">
      <c r="A851" s="6">
        <v>10565.0</v>
      </c>
      <c r="B851" s="7" t="s">
        <v>64</v>
      </c>
      <c r="C851" s="24" t="str">
        <f>VLOOKUP(revenue[customerID],customers[],2,FALSE)</f>
        <v>Mère Paillarde</v>
      </c>
      <c r="D851" s="24" t="str">
        <f>VLOOKUP(revenue[customerID],customers[],6,FALSE)</f>
        <v>Montréal</v>
      </c>
      <c r="E851" s="24" t="str">
        <f>VLOOKUP(revenue[customerID],customers[],9,FALSE)</f>
        <v>Canada</v>
      </c>
      <c r="F851" s="24">
        <v>45088.0</v>
      </c>
      <c r="G851" s="6">
        <v>24.0</v>
      </c>
      <c r="H851" s="9" t="str">
        <f>VLOOKUP(revenue[productID],products[],2,FALSE)</f>
        <v>Brigadeiros Maravilhosos da Lilian</v>
      </c>
      <c r="I851" s="9" t="str">
        <f>VLOOKUP(revenue[productID],products[],12,FALSE)</f>
        <v>Confections</v>
      </c>
      <c r="J851" s="9">
        <f>VLOOKUP(revenue[productID],products[],IF(YEAR(revenue[orderDate])=2022,8,IF(YEAR(revenue[orderDate])=2023,9,IF(YEAR(revenue[orderDate])=2024,10,NA))),FALSE)</f>
        <v>3.131783363</v>
      </c>
      <c r="K851" s="9">
        <v>4.5</v>
      </c>
      <c r="L851" s="25">
        <f>(revenue[orderPrice]-revenue[productCost])/revenue[productCost]</f>
        <v>0.4368809967</v>
      </c>
      <c r="M851" s="10">
        <v>25.0</v>
      </c>
      <c r="N851" s="25">
        <v>0.1</v>
      </c>
      <c r="O851" s="9">
        <f>revenue[orderPrice]*revenue[orderQuantity]</f>
        <v>112.5</v>
      </c>
      <c r="P851" s="9">
        <f>revenue[orderTotal]*(1-revenue[discountApllied])</f>
        <v>101.25</v>
      </c>
      <c r="Q851" s="9">
        <f>revenue[revenue]-(revenue[productCost]*revenue[orderQuantity])</f>
        <v>22.95541593</v>
      </c>
      <c r="R851" s="25">
        <f>IFERROR(revenue[profit]/revenue[revenue], 0)</f>
        <v>0.2267201573</v>
      </c>
      <c r="S851" s="9">
        <f>revenue[productCost]*revenue[orderQuantity]</f>
        <v>78.29458407</v>
      </c>
    </row>
    <row r="852" ht="15.75" customHeight="1">
      <c r="A852" s="6">
        <v>10565.0</v>
      </c>
      <c r="B852" s="7" t="s">
        <v>64</v>
      </c>
      <c r="C852" s="24" t="str">
        <f>VLOOKUP(revenue[customerID],customers[],2,FALSE)</f>
        <v>Mère Paillarde</v>
      </c>
      <c r="D852" s="24" t="str">
        <f>VLOOKUP(revenue[customerID],customers[],6,FALSE)</f>
        <v>Montréal</v>
      </c>
      <c r="E852" s="24" t="str">
        <f>VLOOKUP(revenue[customerID],customers[],9,FALSE)</f>
        <v>Canada</v>
      </c>
      <c r="F852" s="24">
        <v>45088.0</v>
      </c>
      <c r="G852" s="6">
        <v>64.0</v>
      </c>
      <c r="H852" s="9" t="str">
        <f>VLOOKUP(revenue[productID],products[],2,FALSE)</f>
        <v>Lukas' leckere Sauerteigweggla</v>
      </c>
      <c r="I852" s="9" t="str">
        <f>VLOOKUP(revenue[productID],products[],12,FALSE)</f>
        <v>Grains/Cereals</v>
      </c>
      <c r="J852" s="9">
        <f>VLOOKUP(revenue[productID],products[],IF(YEAR(revenue[orderDate])=2022,8,IF(YEAR(revenue[orderDate])=2023,9,IF(YEAR(revenue[orderDate])=2024,10,NA))),FALSE)</f>
        <v>21.88572728</v>
      </c>
      <c r="K852" s="9">
        <v>33.25</v>
      </c>
      <c r="L852" s="25">
        <f>(revenue[orderPrice]-revenue[productCost])/revenue[productCost]</f>
        <v>0.5192549724</v>
      </c>
      <c r="M852" s="10">
        <v>18.0</v>
      </c>
      <c r="N852" s="25">
        <v>0.1</v>
      </c>
      <c r="O852" s="9">
        <f>revenue[orderPrice]*revenue[orderQuantity]</f>
        <v>598.5</v>
      </c>
      <c r="P852" s="9">
        <f>revenue[orderTotal]*(1-revenue[discountApllied])</f>
        <v>538.65</v>
      </c>
      <c r="Q852" s="9">
        <f>revenue[revenue]-(revenue[productCost]*revenue[orderQuantity])</f>
        <v>144.7069089</v>
      </c>
      <c r="R852" s="25">
        <f>IFERROR(revenue[profit]/revenue[revenue], 0)</f>
        <v>0.2686473757</v>
      </c>
      <c r="S852" s="9">
        <f>revenue[productCost]*revenue[orderQuantity]</f>
        <v>393.9430911</v>
      </c>
    </row>
    <row r="853" ht="15.75" customHeight="1">
      <c r="A853" s="6">
        <v>10566.0</v>
      </c>
      <c r="B853" s="7" t="s">
        <v>30</v>
      </c>
      <c r="C853" s="24" t="str">
        <f>VLOOKUP(revenue[customerID],customers[],2,FALSE)</f>
        <v>Blondesddsl père et fils</v>
      </c>
      <c r="D853" s="24" t="str">
        <f>VLOOKUP(revenue[customerID],customers[],6,FALSE)</f>
        <v>Strasbourg</v>
      </c>
      <c r="E853" s="24" t="str">
        <f>VLOOKUP(revenue[customerID],customers[],9,FALSE)</f>
        <v>France</v>
      </c>
      <c r="F853" s="24">
        <v>45089.0</v>
      </c>
      <c r="G853" s="6">
        <v>11.0</v>
      </c>
      <c r="H853" s="9" t="str">
        <f>VLOOKUP(revenue[productID],products[],2,FALSE)</f>
        <v>Queso Cabrales</v>
      </c>
      <c r="I853" s="9" t="str">
        <f>VLOOKUP(revenue[productID],products[],12,FALSE)</f>
        <v>Dairy Products</v>
      </c>
      <c r="J853" s="9">
        <f>VLOOKUP(revenue[productID],products[],IF(YEAR(revenue[orderDate])=2022,8,IF(YEAR(revenue[orderDate])=2023,9,IF(YEAR(revenue[orderDate])=2024,10,NA))),FALSE)</f>
        <v>12.90188125</v>
      </c>
      <c r="K853" s="9">
        <v>21.0</v>
      </c>
      <c r="L853" s="25">
        <f>(revenue[orderPrice]-revenue[productCost])/revenue[productCost]</f>
        <v>0.6276696079</v>
      </c>
      <c r="M853" s="10">
        <v>35.0</v>
      </c>
      <c r="N853" s="25">
        <v>0.15</v>
      </c>
      <c r="O853" s="9">
        <f>revenue[orderPrice]*revenue[orderQuantity]</f>
        <v>735</v>
      </c>
      <c r="P853" s="9">
        <f>revenue[orderTotal]*(1-revenue[discountApllied])</f>
        <v>624.75</v>
      </c>
      <c r="Q853" s="9">
        <f>revenue[revenue]-(revenue[productCost]*revenue[orderQuantity])</f>
        <v>173.1841562</v>
      </c>
      <c r="R853" s="25">
        <f>IFERROR(revenue[profit]/revenue[revenue], 0)</f>
        <v>0.2772055321</v>
      </c>
      <c r="S853" s="9">
        <f>revenue[productCost]*revenue[orderQuantity]</f>
        <v>451.5658438</v>
      </c>
    </row>
    <row r="854" ht="15.75" customHeight="1">
      <c r="A854" s="6">
        <v>10566.0</v>
      </c>
      <c r="B854" s="7" t="s">
        <v>30</v>
      </c>
      <c r="C854" s="24" t="str">
        <f>VLOOKUP(revenue[customerID],customers[],2,FALSE)</f>
        <v>Blondesddsl père et fils</v>
      </c>
      <c r="D854" s="24" t="str">
        <f>VLOOKUP(revenue[customerID],customers[],6,FALSE)</f>
        <v>Strasbourg</v>
      </c>
      <c r="E854" s="24" t="str">
        <f>VLOOKUP(revenue[customerID],customers[],9,FALSE)</f>
        <v>France</v>
      </c>
      <c r="F854" s="24">
        <v>45089.0</v>
      </c>
      <c r="G854" s="6">
        <v>18.0</v>
      </c>
      <c r="H854" s="9" t="str">
        <f>VLOOKUP(revenue[productID],products[],2,FALSE)</f>
        <v>Carnarvon Tigers</v>
      </c>
      <c r="I854" s="9" t="str">
        <f>VLOOKUP(revenue[productID],products[],12,FALSE)</f>
        <v>Seafood</v>
      </c>
      <c r="J854" s="9">
        <f>VLOOKUP(revenue[productID],products[],IF(YEAR(revenue[orderDate])=2022,8,IF(YEAR(revenue[orderDate])=2023,9,IF(YEAR(revenue[orderDate])=2024,10,NA))),FALSE)</f>
        <v>39.51966651</v>
      </c>
      <c r="K854" s="9">
        <v>62.5</v>
      </c>
      <c r="L854" s="25">
        <f>(revenue[orderPrice]-revenue[productCost])/revenue[productCost]</f>
        <v>0.5814910784</v>
      </c>
      <c r="M854" s="10">
        <v>18.0</v>
      </c>
      <c r="N854" s="25">
        <v>0.15</v>
      </c>
      <c r="O854" s="9">
        <f>revenue[orderPrice]*revenue[orderQuantity]</f>
        <v>1125</v>
      </c>
      <c r="P854" s="9">
        <f>revenue[orderTotal]*(1-revenue[discountApllied])</f>
        <v>956.25</v>
      </c>
      <c r="Q854" s="9">
        <f>revenue[revenue]-(revenue[productCost]*revenue[orderQuantity])</f>
        <v>244.8960029</v>
      </c>
      <c r="R854" s="25">
        <f>IFERROR(revenue[profit]/revenue[revenue], 0)</f>
        <v>0.2561003952</v>
      </c>
      <c r="S854" s="9">
        <f>revenue[productCost]*revenue[orderQuantity]</f>
        <v>711.3539971</v>
      </c>
    </row>
    <row r="855" ht="15.75" customHeight="1">
      <c r="A855" s="6">
        <v>10566.0</v>
      </c>
      <c r="B855" s="7" t="s">
        <v>30</v>
      </c>
      <c r="C855" s="24" t="str">
        <f>VLOOKUP(revenue[customerID],customers[],2,FALSE)</f>
        <v>Blondesddsl père et fils</v>
      </c>
      <c r="D855" s="24" t="str">
        <f>VLOOKUP(revenue[customerID],customers[],6,FALSE)</f>
        <v>Strasbourg</v>
      </c>
      <c r="E855" s="24" t="str">
        <f>VLOOKUP(revenue[customerID],customers[],9,FALSE)</f>
        <v>France</v>
      </c>
      <c r="F855" s="24">
        <v>45089.0</v>
      </c>
      <c r="G855" s="6">
        <v>76.0</v>
      </c>
      <c r="H855" s="9" t="str">
        <f>VLOOKUP(revenue[productID],products[],2,FALSE)</f>
        <v>Lakkalikööri</v>
      </c>
      <c r="I855" s="9" t="str">
        <f>VLOOKUP(revenue[productID],products[],12,FALSE)</f>
        <v>Beverages</v>
      </c>
      <c r="J855" s="9">
        <f>VLOOKUP(revenue[productID],products[],IF(YEAR(revenue[orderDate])=2022,8,IF(YEAR(revenue[orderDate])=2023,9,IF(YEAR(revenue[orderDate])=2024,10,NA))),FALSE)</f>
        <v>12.1154529</v>
      </c>
      <c r="K855" s="9">
        <v>18.0</v>
      </c>
      <c r="L855" s="25">
        <f>(revenue[orderPrice]-revenue[productCost])/revenue[productCost]</f>
        <v>0.4857059125</v>
      </c>
      <c r="M855" s="10">
        <v>10.0</v>
      </c>
      <c r="N855" s="25">
        <v>0.0</v>
      </c>
      <c r="O855" s="9">
        <f>revenue[orderPrice]*revenue[orderQuantity]</f>
        <v>180</v>
      </c>
      <c r="P855" s="9">
        <f>revenue[orderTotal]*(1-revenue[discountApllied])</f>
        <v>180</v>
      </c>
      <c r="Q855" s="9">
        <f>revenue[revenue]-(revenue[productCost]*revenue[orderQuantity])</f>
        <v>58.84547105</v>
      </c>
      <c r="R855" s="25">
        <f>IFERROR(revenue[profit]/revenue[revenue], 0)</f>
        <v>0.3269192836</v>
      </c>
      <c r="S855" s="9">
        <f>revenue[productCost]*revenue[orderQuantity]</f>
        <v>121.154529</v>
      </c>
    </row>
    <row r="856" ht="15.75" customHeight="1">
      <c r="A856" s="6">
        <v>10567.0</v>
      </c>
      <c r="B856" s="7" t="s">
        <v>49</v>
      </c>
      <c r="C856" s="24" t="str">
        <f>VLOOKUP(revenue[customerID],customers[],2,FALSE)</f>
        <v>Hungry Owl All-Night Grocers</v>
      </c>
      <c r="D856" s="24" t="str">
        <f>VLOOKUP(revenue[customerID],customers[],6,FALSE)</f>
        <v>Cork</v>
      </c>
      <c r="E856" s="24" t="str">
        <f>VLOOKUP(revenue[customerID],customers[],9,FALSE)</f>
        <v>Ireland</v>
      </c>
      <c r="F856" s="24">
        <v>45089.0</v>
      </c>
      <c r="G856" s="6">
        <v>31.0</v>
      </c>
      <c r="H856" s="9" t="str">
        <f>VLOOKUP(revenue[productID],products[],2,FALSE)</f>
        <v>Gorgonzola Telino</v>
      </c>
      <c r="I856" s="9" t="str">
        <f>VLOOKUP(revenue[productID],products[],12,FALSE)</f>
        <v>Dairy Products</v>
      </c>
      <c r="J856" s="9">
        <f>VLOOKUP(revenue[productID],products[],IF(YEAR(revenue[orderDate])=2022,8,IF(YEAR(revenue[orderDate])=2023,9,IF(YEAR(revenue[orderDate])=2024,10,NA))),FALSE)</f>
        <v>7.937729254</v>
      </c>
      <c r="K856" s="9">
        <v>12.5</v>
      </c>
      <c r="L856" s="25">
        <f>(revenue[orderPrice]-revenue[productCost])/revenue[productCost]</f>
        <v>0.5747576668</v>
      </c>
      <c r="M856" s="10">
        <v>60.0</v>
      </c>
      <c r="N856" s="25">
        <v>0.2</v>
      </c>
      <c r="O856" s="9">
        <f>revenue[orderPrice]*revenue[orderQuantity]</f>
        <v>750</v>
      </c>
      <c r="P856" s="9">
        <f>revenue[orderTotal]*(1-revenue[discountApllied])</f>
        <v>600</v>
      </c>
      <c r="Q856" s="9">
        <f>revenue[revenue]-(revenue[productCost]*revenue[orderQuantity])</f>
        <v>123.7362447</v>
      </c>
      <c r="R856" s="25">
        <f>IFERROR(revenue[profit]/revenue[revenue], 0)</f>
        <v>0.2062270746</v>
      </c>
      <c r="S856" s="9">
        <f>revenue[productCost]*revenue[orderQuantity]</f>
        <v>476.2637553</v>
      </c>
    </row>
    <row r="857" ht="15.75" customHeight="1">
      <c r="A857" s="6">
        <v>10567.0</v>
      </c>
      <c r="B857" s="7" t="s">
        <v>49</v>
      </c>
      <c r="C857" s="24" t="str">
        <f>VLOOKUP(revenue[customerID],customers[],2,FALSE)</f>
        <v>Hungry Owl All-Night Grocers</v>
      </c>
      <c r="D857" s="24" t="str">
        <f>VLOOKUP(revenue[customerID],customers[],6,FALSE)</f>
        <v>Cork</v>
      </c>
      <c r="E857" s="24" t="str">
        <f>VLOOKUP(revenue[customerID],customers[],9,FALSE)</f>
        <v>Ireland</v>
      </c>
      <c r="F857" s="24">
        <v>45089.0</v>
      </c>
      <c r="G857" s="6">
        <v>51.0</v>
      </c>
      <c r="H857" s="9" t="str">
        <f>VLOOKUP(revenue[productID],products[],2,FALSE)</f>
        <v>Manjimup Dried Apples</v>
      </c>
      <c r="I857" s="9" t="str">
        <f>VLOOKUP(revenue[productID],products[],12,FALSE)</f>
        <v>Produce</v>
      </c>
      <c r="J857" s="9">
        <f>VLOOKUP(revenue[productID],products[],IF(YEAR(revenue[orderDate])=2022,8,IF(YEAR(revenue[orderDate])=2023,9,IF(YEAR(revenue[orderDate])=2024,10,NA))),FALSE)</f>
        <v>36.88798027</v>
      </c>
      <c r="K857" s="9">
        <v>53.0</v>
      </c>
      <c r="L857" s="25">
        <f>(revenue[orderPrice]-revenue[productCost])/revenue[productCost]</f>
        <v>0.4367823779</v>
      </c>
      <c r="M857" s="10">
        <v>3.0</v>
      </c>
      <c r="N857" s="25">
        <v>0.0</v>
      </c>
      <c r="O857" s="9">
        <f>revenue[orderPrice]*revenue[orderQuantity]</f>
        <v>159</v>
      </c>
      <c r="P857" s="9">
        <f>revenue[orderTotal]*(1-revenue[discountApllied])</f>
        <v>159</v>
      </c>
      <c r="Q857" s="9">
        <f>revenue[revenue]-(revenue[productCost]*revenue[orderQuantity])</f>
        <v>48.3360592</v>
      </c>
      <c r="R857" s="25">
        <f>IFERROR(revenue[profit]/revenue[revenue], 0)</f>
        <v>0.3040003724</v>
      </c>
      <c r="S857" s="9">
        <f>revenue[productCost]*revenue[orderQuantity]</f>
        <v>110.6639408</v>
      </c>
    </row>
    <row r="858" ht="15.75" customHeight="1">
      <c r="A858" s="6">
        <v>10567.0</v>
      </c>
      <c r="B858" s="7" t="s">
        <v>49</v>
      </c>
      <c r="C858" s="24" t="str">
        <f>VLOOKUP(revenue[customerID],customers[],2,FALSE)</f>
        <v>Hungry Owl All-Night Grocers</v>
      </c>
      <c r="D858" s="24" t="str">
        <f>VLOOKUP(revenue[customerID],customers[],6,FALSE)</f>
        <v>Cork</v>
      </c>
      <c r="E858" s="24" t="str">
        <f>VLOOKUP(revenue[customerID],customers[],9,FALSE)</f>
        <v>Ireland</v>
      </c>
      <c r="F858" s="24">
        <v>45089.0</v>
      </c>
      <c r="G858" s="6">
        <v>59.0</v>
      </c>
      <c r="H858" s="9" t="str">
        <f>VLOOKUP(revenue[productID],products[],2,FALSE)</f>
        <v>Raclette Courdavault</v>
      </c>
      <c r="I858" s="9" t="str">
        <f>VLOOKUP(revenue[productID],products[],12,FALSE)</f>
        <v>Dairy Products</v>
      </c>
      <c r="J858" s="9">
        <f>VLOOKUP(revenue[productID],products[],IF(YEAR(revenue[orderDate])=2022,8,IF(YEAR(revenue[orderDate])=2023,9,IF(YEAR(revenue[orderDate])=2024,10,NA))),FALSE)</f>
        <v>35.20472566</v>
      </c>
      <c r="K858" s="9">
        <v>55.0</v>
      </c>
      <c r="L858" s="25">
        <f>(revenue[orderPrice]-revenue[productCost])/revenue[productCost]</f>
        <v>0.5622902598</v>
      </c>
      <c r="M858" s="10">
        <v>40.0</v>
      </c>
      <c r="N858" s="25">
        <v>0.2</v>
      </c>
      <c r="O858" s="9">
        <f>revenue[orderPrice]*revenue[orderQuantity]</f>
        <v>2200</v>
      </c>
      <c r="P858" s="9">
        <f>revenue[orderTotal]*(1-revenue[discountApllied])</f>
        <v>1760</v>
      </c>
      <c r="Q858" s="9">
        <f>revenue[revenue]-(revenue[productCost]*revenue[orderQuantity])</f>
        <v>351.8109735</v>
      </c>
      <c r="R858" s="25">
        <f>IFERROR(revenue[profit]/revenue[revenue], 0)</f>
        <v>0.1998925986</v>
      </c>
      <c r="S858" s="9">
        <f>revenue[productCost]*revenue[orderQuantity]</f>
        <v>1408.189026</v>
      </c>
    </row>
    <row r="859" ht="15.75" customHeight="1">
      <c r="A859" s="6">
        <v>10568.0</v>
      </c>
      <c r="B859" s="7" t="s">
        <v>75</v>
      </c>
      <c r="C859" s="24" t="str">
        <f>VLOOKUP(revenue[customerID],customers[],2,FALSE)</f>
        <v>Galería del gastrónomo</v>
      </c>
      <c r="D859" s="24" t="str">
        <f>VLOOKUP(revenue[customerID],customers[],6,FALSE)</f>
        <v>Barcelona</v>
      </c>
      <c r="E859" s="24" t="str">
        <f>VLOOKUP(revenue[customerID],customers[],9,FALSE)</f>
        <v>Spain</v>
      </c>
      <c r="F859" s="24">
        <v>45090.0</v>
      </c>
      <c r="G859" s="6">
        <v>10.0</v>
      </c>
      <c r="H859" s="9" t="str">
        <f>VLOOKUP(revenue[productID],products[],2,FALSE)</f>
        <v>Ikura</v>
      </c>
      <c r="I859" s="9" t="str">
        <f>VLOOKUP(revenue[productID],products[],12,FALSE)</f>
        <v>Seafood</v>
      </c>
      <c r="J859" s="9">
        <f>VLOOKUP(revenue[productID],products[],IF(YEAR(revenue[orderDate])=2022,8,IF(YEAR(revenue[orderDate])=2023,9,IF(YEAR(revenue[orderDate])=2024,10,NA))),FALSE)</f>
        <v>20.72721922</v>
      </c>
      <c r="K859" s="9">
        <v>31.0</v>
      </c>
      <c r="L859" s="25">
        <f>(revenue[orderPrice]-revenue[productCost])/revenue[productCost]</f>
        <v>0.4956178962</v>
      </c>
      <c r="M859" s="10">
        <v>5.0</v>
      </c>
      <c r="N859" s="25">
        <v>0.0</v>
      </c>
      <c r="O859" s="9">
        <f>revenue[orderPrice]*revenue[orderQuantity]</f>
        <v>155</v>
      </c>
      <c r="P859" s="9">
        <f>revenue[orderTotal]*(1-revenue[discountApllied])</f>
        <v>155</v>
      </c>
      <c r="Q859" s="9">
        <f>revenue[revenue]-(revenue[productCost]*revenue[orderQuantity])</f>
        <v>51.36390391</v>
      </c>
      <c r="R859" s="25">
        <f>IFERROR(revenue[profit]/revenue[revenue], 0)</f>
        <v>0.3313800252</v>
      </c>
      <c r="S859" s="9">
        <f>revenue[productCost]*revenue[orderQuantity]</f>
        <v>103.6360961</v>
      </c>
    </row>
    <row r="860" ht="15.75" customHeight="1">
      <c r="A860" s="6">
        <v>10569.0</v>
      </c>
      <c r="B860" s="7" t="s">
        <v>28</v>
      </c>
      <c r="C860" s="24" t="str">
        <f>VLOOKUP(revenue[customerID],customers[],2,FALSE)</f>
        <v>Rattlesnake Canyon Grocery</v>
      </c>
      <c r="D860" s="24" t="str">
        <f>VLOOKUP(revenue[customerID],customers[],6,FALSE)</f>
        <v>Albuquerque</v>
      </c>
      <c r="E860" s="24" t="str">
        <f>VLOOKUP(revenue[customerID],customers[],9,FALSE)</f>
        <v>USA</v>
      </c>
      <c r="F860" s="24">
        <v>45093.0</v>
      </c>
      <c r="G860" s="6">
        <v>31.0</v>
      </c>
      <c r="H860" s="9" t="str">
        <f>VLOOKUP(revenue[productID],products[],2,FALSE)</f>
        <v>Gorgonzola Telino</v>
      </c>
      <c r="I860" s="9" t="str">
        <f>VLOOKUP(revenue[productID],products[],12,FALSE)</f>
        <v>Dairy Products</v>
      </c>
      <c r="J860" s="9">
        <f>VLOOKUP(revenue[productID],products[],IF(YEAR(revenue[orderDate])=2022,8,IF(YEAR(revenue[orderDate])=2023,9,IF(YEAR(revenue[orderDate])=2024,10,NA))),FALSE)</f>
        <v>7.937729254</v>
      </c>
      <c r="K860" s="9">
        <v>12.5</v>
      </c>
      <c r="L860" s="25">
        <f>(revenue[orderPrice]-revenue[productCost])/revenue[productCost]</f>
        <v>0.5747576668</v>
      </c>
      <c r="M860" s="10">
        <v>35.0</v>
      </c>
      <c r="N860" s="25">
        <v>0.2</v>
      </c>
      <c r="O860" s="9">
        <f>revenue[orderPrice]*revenue[orderQuantity]</f>
        <v>437.5</v>
      </c>
      <c r="P860" s="9">
        <f>revenue[orderTotal]*(1-revenue[discountApllied])</f>
        <v>350</v>
      </c>
      <c r="Q860" s="9">
        <f>revenue[revenue]-(revenue[productCost]*revenue[orderQuantity])</f>
        <v>72.1794761</v>
      </c>
      <c r="R860" s="25">
        <f>IFERROR(revenue[profit]/revenue[revenue], 0)</f>
        <v>0.2062270746</v>
      </c>
      <c r="S860" s="9">
        <f>revenue[productCost]*revenue[orderQuantity]</f>
        <v>277.8205239</v>
      </c>
    </row>
    <row r="861" ht="15.75" customHeight="1">
      <c r="A861" s="6">
        <v>10569.0</v>
      </c>
      <c r="B861" s="7" t="s">
        <v>28</v>
      </c>
      <c r="C861" s="24" t="str">
        <f>VLOOKUP(revenue[customerID],customers[],2,FALSE)</f>
        <v>Rattlesnake Canyon Grocery</v>
      </c>
      <c r="D861" s="24" t="str">
        <f>VLOOKUP(revenue[customerID],customers[],6,FALSE)</f>
        <v>Albuquerque</v>
      </c>
      <c r="E861" s="24" t="str">
        <f>VLOOKUP(revenue[customerID],customers[],9,FALSE)</f>
        <v>USA</v>
      </c>
      <c r="F861" s="24">
        <v>45093.0</v>
      </c>
      <c r="G861" s="6">
        <v>76.0</v>
      </c>
      <c r="H861" s="9" t="str">
        <f>VLOOKUP(revenue[productID],products[],2,FALSE)</f>
        <v>Lakkalikööri</v>
      </c>
      <c r="I861" s="9" t="str">
        <f>VLOOKUP(revenue[productID],products[],12,FALSE)</f>
        <v>Beverages</v>
      </c>
      <c r="J861" s="9">
        <f>VLOOKUP(revenue[productID],products[],IF(YEAR(revenue[orderDate])=2022,8,IF(YEAR(revenue[orderDate])=2023,9,IF(YEAR(revenue[orderDate])=2024,10,NA))),FALSE)</f>
        <v>12.1154529</v>
      </c>
      <c r="K861" s="9">
        <v>18.0</v>
      </c>
      <c r="L861" s="25">
        <f>(revenue[orderPrice]-revenue[productCost])/revenue[productCost]</f>
        <v>0.4857059125</v>
      </c>
      <c r="M861" s="10">
        <v>30.0</v>
      </c>
      <c r="N861" s="25">
        <v>0.0</v>
      </c>
      <c r="O861" s="9">
        <f>revenue[orderPrice]*revenue[orderQuantity]</f>
        <v>540</v>
      </c>
      <c r="P861" s="9">
        <f>revenue[orderTotal]*(1-revenue[discountApllied])</f>
        <v>540</v>
      </c>
      <c r="Q861" s="9">
        <f>revenue[revenue]-(revenue[productCost]*revenue[orderQuantity])</f>
        <v>176.5364131</v>
      </c>
      <c r="R861" s="25">
        <f>IFERROR(revenue[profit]/revenue[revenue], 0)</f>
        <v>0.3269192836</v>
      </c>
      <c r="S861" s="9">
        <f>revenue[productCost]*revenue[orderQuantity]</f>
        <v>363.4635869</v>
      </c>
    </row>
    <row r="862" ht="15.75" customHeight="1">
      <c r="A862" s="6">
        <v>10570.0</v>
      </c>
      <c r="B862" s="7" t="s">
        <v>64</v>
      </c>
      <c r="C862" s="24" t="str">
        <f>VLOOKUP(revenue[customerID],customers[],2,FALSE)</f>
        <v>Mère Paillarde</v>
      </c>
      <c r="D862" s="24" t="str">
        <f>VLOOKUP(revenue[customerID],customers[],6,FALSE)</f>
        <v>Montréal</v>
      </c>
      <c r="E862" s="24" t="str">
        <f>VLOOKUP(revenue[customerID],customers[],9,FALSE)</f>
        <v>Canada</v>
      </c>
      <c r="F862" s="24">
        <v>45094.0</v>
      </c>
      <c r="G862" s="6">
        <v>11.0</v>
      </c>
      <c r="H862" s="9" t="str">
        <f>VLOOKUP(revenue[productID],products[],2,FALSE)</f>
        <v>Queso Cabrales</v>
      </c>
      <c r="I862" s="9" t="str">
        <f>VLOOKUP(revenue[productID],products[],12,FALSE)</f>
        <v>Dairy Products</v>
      </c>
      <c r="J862" s="9">
        <f>VLOOKUP(revenue[productID],products[],IF(YEAR(revenue[orderDate])=2022,8,IF(YEAR(revenue[orderDate])=2023,9,IF(YEAR(revenue[orderDate])=2024,10,NA))),FALSE)</f>
        <v>12.90188125</v>
      </c>
      <c r="K862" s="9">
        <v>21.0</v>
      </c>
      <c r="L862" s="25">
        <f>(revenue[orderPrice]-revenue[productCost])/revenue[productCost]</f>
        <v>0.6276696079</v>
      </c>
      <c r="M862" s="10">
        <v>15.0</v>
      </c>
      <c r="N862" s="25">
        <v>0.05</v>
      </c>
      <c r="O862" s="9">
        <f>revenue[orderPrice]*revenue[orderQuantity]</f>
        <v>315</v>
      </c>
      <c r="P862" s="9">
        <f>revenue[orderTotal]*(1-revenue[discountApllied])</f>
        <v>299.25</v>
      </c>
      <c r="Q862" s="9">
        <f>revenue[revenue]-(revenue[productCost]*revenue[orderQuantity])</f>
        <v>105.7217812</v>
      </c>
      <c r="R862" s="25">
        <f>IFERROR(revenue[profit]/revenue[revenue], 0)</f>
        <v>0.3532891603</v>
      </c>
      <c r="S862" s="9">
        <f>revenue[productCost]*revenue[orderQuantity]</f>
        <v>193.5282188</v>
      </c>
    </row>
    <row r="863" ht="15.75" customHeight="1">
      <c r="A863" s="6">
        <v>10570.0</v>
      </c>
      <c r="B863" s="7" t="s">
        <v>64</v>
      </c>
      <c r="C863" s="24" t="str">
        <f>VLOOKUP(revenue[customerID],customers[],2,FALSE)</f>
        <v>Mère Paillarde</v>
      </c>
      <c r="D863" s="24" t="str">
        <f>VLOOKUP(revenue[customerID],customers[],6,FALSE)</f>
        <v>Montréal</v>
      </c>
      <c r="E863" s="24" t="str">
        <f>VLOOKUP(revenue[customerID],customers[],9,FALSE)</f>
        <v>Canada</v>
      </c>
      <c r="F863" s="24">
        <v>45094.0</v>
      </c>
      <c r="G863" s="6">
        <v>56.0</v>
      </c>
      <c r="H863" s="9" t="str">
        <f>VLOOKUP(revenue[productID],products[],2,FALSE)</f>
        <v>Gnocchi di nonna Alice</v>
      </c>
      <c r="I863" s="9" t="str">
        <f>VLOOKUP(revenue[productID],products[],12,FALSE)</f>
        <v>Grains/Cereals</v>
      </c>
      <c r="J863" s="9">
        <f>VLOOKUP(revenue[productID],products[],IF(YEAR(revenue[orderDate])=2022,8,IF(YEAR(revenue[orderDate])=2023,9,IF(YEAR(revenue[orderDate])=2024,10,NA))),FALSE)</f>
        <v>24.28342441</v>
      </c>
      <c r="K863" s="9">
        <v>38.0</v>
      </c>
      <c r="L863" s="25">
        <f>(revenue[orderPrice]-revenue[productCost])/revenue[productCost]</f>
        <v>0.5648534309</v>
      </c>
      <c r="M863" s="10">
        <v>60.0</v>
      </c>
      <c r="N863" s="25">
        <v>0.05</v>
      </c>
      <c r="O863" s="9">
        <f>revenue[orderPrice]*revenue[orderQuantity]</f>
        <v>2280</v>
      </c>
      <c r="P863" s="9">
        <f>revenue[orderTotal]*(1-revenue[discountApllied])</f>
        <v>2166</v>
      </c>
      <c r="Q863" s="9">
        <f>revenue[revenue]-(revenue[productCost]*revenue[orderQuantity])</f>
        <v>708.9945355</v>
      </c>
      <c r="R863" s="25">
        <f>IFERROR(revenue[profit]/revenue[revenue], 0)</f>
        <v>0.3273289638</v>
      </c>
      <c r="S863" s="9">
        <f>revenue[productCost]*revenue[orderQuantity]</f>
        <v>1457.005464</v>
      </c>
    </row>
    <row r="864" ht="15.75" customHeight="1">
      <c r="A864" s="6">
        <v>10571.0</v>
      </c>
      <c r="B864" s="7" t="s">
        <v>24</v>
      </c>
      <c r="C864" s="24" t="str">
        <f>VLOOKUP(revenue[customerID],customers[],2,FALSE)</f>
        <v>Ernst Handel</v>
      </c>
      <c r="D864" s="24" t="str">
        <f>VLOOKUP(revenue[customerID],customers[],6,FALSE)</f>
        <v>Graz</v>
      </c>
      <c r="E864" s="24" t="str">
        <f>VLOOKUP(revenue[customerID],customers[],9,FALSE)</f>
        <v>Austria</v>
      </c>
      <c r="F864" s="24">
        <v>45094.0</v>
      </c>
      <c r="G864" s="6">
        <v>14.0</v>
      </c>
      <c r="H864" s="9" t="str">
        <f>VLOOKUP(revenue[productID],products[],2,FALSE)</f>
        <v>Tofu</v>
      </c>
      <c r="I864" s="9" t="str">
        <f>VLOOKUP(revenue[productID],products[],12,FALSE)</f>
        <v>Produce</v>
      </c>
      <c r="J864" s="9">
        <f>VLOOKUP(revenue[productID],products[],IF(YEAR(revenue[orderDate])=2022,8,IF(YEAR(revenue[orderDate])=2023,9,IF(YEAR(revenue[orderDate])=2024,10,NA))),FALSE)</f>
        <v>15.38055417</v>
      </c>
      <c r="K864" s="9">
        <v>23.25</v>
      </c>
      <c r="L864" s="25">
        <f>(revenue[orderPrice]-revenue[productCost])/revenue[productCost]</f>
        <v>0.5116490437</v>
      </c>
      <c r="M864" s="10">
        <v>11.0</v>
      </c>
      <c r="N864" s="25">
        <v>0.15</v>
      </c>
      <c r="O864" s="9">
        <f>revenue[orderPrice]*revenue[orderQuantity]</f>
        <v>255.75</v>
      </c>
      <c r="P864" s="9">
        <f>revenue[orderTotal]*(1-revenue[discountApllied])</f>
        <v>217.3875</v>
      </c>
      <c r="Q864" s="9">
        <f>revenue[revenue]-(revenue[productCost]*revenue[orderQuantity])</f>
        <v>48.20140415</v>
      </c>
      <c r="R864" s="25">
        <f>IFERROR(revenue[profit]/revenue[revenue], 0)</f>
        <v>0.2217303394</v>
      </c>
      <c r="S864" s="9">
        <f>revenue[productCost]*revenue[orderQuantity]</f>
        <v>169.1860959</v>
      </c>
    </row>
    <row r="865" ht="15.75" customHeight="1">
      <c r="A865" s="6">
        <v>10571.0</v>
      </c>
      <c r="B865" s="7" t="s">
        <v>24</v>
      </c>
      <c r="C865" s="24" t="str">
        <f>VLOOKUP(revenue[customerID],customers[],2,FALSE)</f>
        <v>Ernst Handel</v>
      </c>
      <c r="D865" s="24" t="str">
        <f>VLOOKUP(revenue[customerID],customers[],6,FALSE)</f>
        <v>Graz</v>
      </c>
      <c r="E865" s="24" t="str">
        <f>VLOOKUP(revenue[customerID],customers[],9,FALSE)</f>
        <v>Austria</v>
      </c>
      <c r="F865" s="24">
        <v>45094.0</v>
      </c>
      <c r="G865" s="6">
        <v>42.0</v>
      </c>
      <c r="H865" s="9" t="str">
        <f>VLOOKUP(revenue[productID],products[],2,FALSE)</f>
        <v>Singaporean Hokkien Fried Mee</v>
      </c>
      <c r="I865" s="9" t="str">
        <f>VLOOKUP(revenue[productID],products[],12,FALSE)</f>
        <v>Grains/Cereals</v>
      </c>
      <c r="J865" s="9">
        <f>VLOOKUP(revenue[productID],products[],IF(YEAR(revenue[orderDate])=2022,8,IF(YEAR(revenue[orderDate])=2023,9,IF(YEAR(revenue[orderDate])=2024,10,NA))),FALSE)</f>
        <v>9.105641621</v>
      </c>
      <c r="K865" s="9">
        <v>14.0</v>
      </c>
      <c r="L865" s="25">
        <f>(revenue[orderPrice]-revenue[productCost])/revenue[productCost]</f>
        <v>0.5375083474</v>
      </c>
      <c r="M865" s="10">
        <v>28.0</v>
      </c>
      <c r="N865" s="25">
        <v>0.15</v>
      </c>
      <c r="O865" s="9">
        <f>revenue[orderPrice]*revenue[orderQuantity]</f>
        <v>392</v>
      </c>
      <c r="P865" s="9">
        <f>revenue[orderTotal]*(1-revenue[discountApllied])</f>
        <v>333.2</v>
      </c>
      <c r="Q865" s="9">
        <f>revenue[revenue]-(revenue[productCost]*revenue[orderQuantity])</f>
        <v>78.24203462</v>
      </c>
      <c r="R865" s="25">
        <f>IFERROR(revenue[profit]/revenue[revenue], 0)</f>
        <v>0.2348200319</v>
      </c>
      <c r="S865" s="9">
        <f>revenue[productCost]*revenue[orderQuantity]</f>
        <v>254.9579654</v>
      </c>
    </row>
    <row r="866" ht="15.75" customHeight="1">
      <c r="A866" s="6">
        <v>10572.0</v>
      </c>
      <c r="B866" s="7" t="s">
        <v>40</v>
      </c>
      <c r="C866" s="24" t="str">
        <f>VLOOKUP(revenue[customerID],customers[],2,FALSE)</f>
        <v>Berglunds snabbköp</v>
      </c>
      <c r="D866" s="24" t="str">
        <f>VLOOKUP(revenue[customerID],customers[],6,FALSE)</f>
        <v>Luleå</v>
      </c>
      <c r="E866" s="24" t="str">
        <f>VLOOKUP(revenue[customerID],customers[],9,FALSE)</f>
        <v>Sweden</v>
      </c>
      <c r="F866" s="24">
        <v>45095.0</v>
      </c>
      <c r="G866" s="6">
        <v>16.0</v>
      </c>
      <c r="H866" s="9" t="str">
        <f>VLOOKUP(revenue[productID],products[],2,FALSE)</f>
        <v>Pavlova</v>
      </c>
      <c r="I866" s="9" t="str">
        <f>VLOOKUP(revenue[productID],products[],12,FALSE)</f>
        <v>Confections</v>
      </c>
      <c r="J866" s="9">
        <f>VLOOKUP(revenue[productID],products[],IF(YEAR(revenue[orderDate])=2022,8,IF(YEAR(revenue[orderDate])=2023,9,IF(YEAR(revenue[orderDate])=2024,10,NA))),FALSE)</f>
        <v>11.98504839</v>
      </c>
      <c r="K866" s="9">
        <v>17.45</v>
      </c>
      <c r="L866" s="25">
        <f>(revenue[orderPrice]-revenue[productCost])/revenue[productCost]</f>
        <v>0.455980771</v>
      </c>
      <c r="M866" s="10">
        <v>12.0</v>
      </c>
      <c r="N866" s="25">
        <v>0.1</v>
      </c>
      <c r="O866" s="9">
        <f>revenue[orderPrice]*revenue[orderQuantity]</f>
        <v>209.4</v>
      </c>
      <c r="P866" s="9">
        <f>revenue[orderTotal]*(1-revenue[discountApllied])</f>
        <v>188.46</v>
      </c>
      <c r="Q866" s="9">
        <f>revenue[revenue]-(revenue[productCost]*revenue[orderQuantity])</f>
        <v>44.63941929</v>
      </c>
      <c r="R866" s="25">
        <f>IFERROR(revenue[profit]/revenue[revenue], 0)</f>
        <v>0.2368641584</v>
      </c>
      <c r="S866" s="9">
        <f>revenue[productCost]*revenue[orderQuantity]</f>
        <v>143.8205807</v>
      </c>
    </row>
    <row r="867" ht="15.75" customHeight="1">
      <c r="A867" s="6">
        <v>10572.0</v>
      </c>
      <c r="B867" s="7" t="s">
        <v>40</v>
      </c>
      <c r="C867" s="24" t="str">
        <f>VLOOKUP(revenue[customerID],customers[],2,FALSE)</f>
        <v>Berglunds snabbköp</v>
      </c>
      <c r="D867" s="24" t="str">
        <f>VLOOKUP(revenue[customerID],customers[],6,FALSE)</f>
        <v>Luleå</v>
      </c>
      <c r="E867" s="24" t="str">
        <f>VLOOKUP(revenue[customerID],customers[],9,FALSE)</f>
        <v>Sweden</v>
      </c>
      <c r="F867" s="24">
        <v>45095.0</v>
      </c>
      <c r="G867" s="6">
        <v>32.0</v>
      </c>
      <c r="H867" s="9" t="str">
        <f>VLOOKUP(revenue[productID],products[],2,FALSE)</f>
        <v>Mascarpone Fabioli</v>
      </c>
      <c r="I867" s="9" t="str">
        <f>VLOOKUP(revenue[productID],products[],12,FALSE)</f>
        <v>Dairy Products</v>
      </c>
      <c r="J867" s="9">
        <f>VLOOKUP(revenue[productID],products[],IF(YEAR(revenue[orderDate])=2022,8,IF(YEAR(revenue[orderDate])=2023,9,IF(YEAR(revenue[orderDate])=2024,10,NA))),FALSE)</f>
        <v>21.58120628</v>
      </c>
      <c r="K867" s="9">
        <v>32.0</v>
      </c>
      <c r="L867" s="25">
        <f>(revenue[orderPrice]-revenue[productCost])/revenue[productCost]</f>
        <v>0.4827716106</v>
      </c>
      <c r="M867" s="10">
        <v>10.0</v>
      </c>
      <c r="N867" s="25">
        <v>0.1</v>
      </c>
      <c r="O867" s="9">
        <f>revenue[orderPrice]*revenue[orderQuantity]</f>
        <v>320</v>
      </c>
      <c r="P867" s="9">
        <f>revenue[orderTotal]*(1-revenue[discountApllied])</f>
        <v>288</v>
      </c>
      <c r="Q867" s="9">
        <f>revenue[revenue]-(revenue[productCost]*revenue[orderQuantity])</f>
        <v>72.18793716</v>
      </c>
      <c r="R867" s="25">
        <f>IFERROR(revenue[profit]/revenue[revenue], 0)</f>
        <v>0.2506525596</v>
      </c>
      <c r="S867" s="9">
        <f>revenue[productCost]*revenue[orderQuantity]</f>
        <v>215.8120628</v>
      </c>
    </row>
    <row r="868" ht="15.75" customHeight="1">
      <c r="A868" s="6">
        <v>10572.0</v>
      </c>
      <c r="B868" s="7" t="s">
        <v>40</v>
      </c>
      <c r="C868" s="24" t="str">
        <f>VLOOKUP(revenue[customerID],customers[],2,FALSE)</f>
        <v>Berglunds snabbköp</v>
      </c>
      <c r="D868" s="24" t="str">
        <f>VLOOKUP(revenue[customerID],customers[],6,FALSE)</f>
        <v>Luleå</v>
      </c>
      <c r="E868" s="24" t="str">
        <f>VLOOKUP(revenue[customerID],customers[],9,FALSE)</f>
        <v>Sweden</v>
      </c>
      <c r="F868" s="24">
        <v>45095.0</v>
      </c>
      <c r="G868" s="6">
        <v>40.0</v>
      </c>
      <c r="H868" s="9" t="str">
        <f>VLOOKUP(revenue[productID],products[],2,FALSE)</f>
        <v>Boston Crab Meat</v>
      </c>
      <c r="I868" s="9" t="str">
        <f>VLOOKUP(revenue[productID],products[],12,FALSE)</f>
        <v>Seafood</v>
      </c>
      <c r="J868" s="9">
        <f>VLOOKUP(revenue[productID],products[],IF(YEAR(revenue[orderDate])=2022,8,IF(YEAR(revenue[orderDate])=2023,9,IF(YEAR(revenue[orderDate])=2024,10,NA))),FALSE)</f>
        <v>11.40496523</v>
      </c>
      <c r="K868" s="9">
        <v>18.4</v>
      </c>
      <c r="L868" s="25">
        <f>(revenue[orderPrice]-revenue[productCost])/revenue[productCost]</f>
        <v>0.6133324069</v>
      </c>
      <c r="M868" s="10">
        <v>50.0</v>
      </c>
      <c r="N868" s="25">
        <v>0.0</v>
      </c>
      <c r="O868" s="9">
        <f>revenue[orderPrice]*revenue[orderQuantity]</f>
        <v>920</v>
      </c>
      <c r="P868" s="9">
        <f>revenue[orderTotal]*(1-revenue[discountApllied])</f>
        <v>920</v>
      </c>
      <c r="Q868" s="9">
        <f>revenue[revenue]-(revenue[productCost]*revenue[orderQuantity])</f>
        <v>349.7517386</v>
      </c>
      <c r="R868" s="25">
        <f>IFERROR(revenue[profit]/revenue[revenue], 0)</f>
        <v>0.3801649333</v>
      </c>
      <c r="S868" s="9">
        <f>revenue[productCost]*revenue[orderQuantity]</f>
        <v>570.2482614</v>
      </c>
    </row>
    <row r="869" ht="15.75" customHeight="1">
      <c r="A869" s="6">
        <v>10572.0</v>
      </c>
      <c r="B869" s="7" t="s">
        <v>40</v>
      </c>
      <c r="C869" s="24" t="str">
        <f>VLOOKUP(revenue[customerID],customers[],2,FALSE)</f>
        <v>Berglunds snabbköp</v>
      </c>
      <c r="D869" s="24" t="str">
        <f>VLOOKUP(revenue[customerID],customers[],6,FALSE)</f>
        <v>Luleå</v>
      </c>
      <c r="E869" s="24" t="str">
        <f>VLOOKUP(revenue[customerID],customers[],9,FALSE)</f>
        <v>Sweden</v>
      </c>
      <c r="F869" s="24">
        <v>45095.0</v>
      </c>
      <c r="G869" s="6">
        <v>75.0</v>
      </c>
      <c r="H869" s="9" t="str">
        <f>VLOOKUP(revenue[productID],products[],2,FALSE)</f>
        <v>Rhönbräu Klosterbier</v>
      </c>
      <c r="I869" s="9" t="str">
        <f>VLOOKUP(revenue[productID],products[],12,FALSE)</f>
        <v>Beverages</v>
      </c>
      <c r="J869" s="9">
        <f>VLOOKUP(revenue[productID],products[],IF(YEAR(revenue[orderDate])=2022,8,IF(YEAR(revenue[orderDate])=2023,9,IF(YEAR(revenue[orderDate])=2024,10,NA))),FALSE)</f>
        <v>5.355290472</v>
      </c>
      <c r="K869" s="9">
        <v>7.75</v>
      </c>
      <c r="L869" s="25">
        <f>(revenue[orderPrice]-revenue[productCost])/revenue[productCost]</f>
        <v>0.4471670661</v>
      </c>
      <c r="M869" s="10">
        <v>15.0</v>
      </c>
      <c r="N869" s="25">
        <v>0.1</v>
      </c>
      <c r="O869" s="9">
        <f>revenue[orderPrice]*revenue[orderQuantity]</f>
        <v>116.25</v>
      </c>
      <c r="P869" s="9">
        <f>revenue[orderTotal]*(1-revenue[discountApllied])</f>
        <v>104.625</v>
      </c>
      <c r="Q869" s="9">
        <f>revenue[revenue]-(revenue[productCost]*revenue[orderQuantity])</f>
        <v>24.29564292</v>
      </c>
      <c r="R869" s="25">
        <f>IFERROR(revenue[profit]/revenue[revenue], 0)</f>
        <v>0.2322164198</v>
      </c>
      <c r="S869" s="9">
        <f>revenue[productCost]*revenue[orderQuantity]</f>
        <v>80.32935708</v>
      </c>
    </row>
    <row r="870" ht="15.75" customHeight="1">
      <c r="A870" s="6">
        <v>10573.0</v>
      </c>
      <c r="B870" s="7" t="s">
        <v>74</v>
      </c>
      <c r="C870" s="24" t="str">
        <f>VLOOKUP(revenue[customerID],customers[],2,FALSE)</f>
        <v>Antonio Moreno Taquería</v>
      </c>
      <c r="D870" s="24" t="str">
        <f>VLOOKUP(revenue[customerID],customers[],6,FALSE)</f>
        <v>México D.F.</v>
      </c>
      <c r="E870" s="24" t="str">
        <f>VLOOKUP(revenue[customerID],customers[],9,FALSE)</f>
        <v>Mexico</v>
      </c>
      <c r="F870" s="24">
        <v>45096.0</v>
      </c>
      <c r="G870" s="6">
        <v>17.0</v>
      </c>
      <c r="H870" s="9" t="str">
        <f>VLOOKUP(revenue[productID],products[],2,FALSE)</f>
        <v>Alice Mutton</v>
      </c>
      <c r="I870" s="9" t="str">
        <f>VLOOKUP(revenue[productID],products[],12,FALSE)</f>
        <v>Meat/Poultry</v>
      </c>
      <c r="J870" s="9">
        <f>VLOOKUP(revenue[productID],products[],IF(YEAR(revenue[orderDate])=2022,8,IF(YEAR(revenue[orderDate])=2023,9,IF(YEAR(revenue[orderDate])=2024,10,NA))),FALSE)</f>
        <v>24.83130504</v>
      </c>
      <c r="K870" s="9">
        <v>39.0</v>
      </c>
      <c r="L870" s="25">
        <f>(revenue[orderPrice]-revenue[productCost])/revenue[productCost]</f>
        <v>0.5705980792</v>
      </c>
      <c r="M870" s="10">
        <v>18.0</v>
      </c>
      <c r="N870" s="25">
        <v>0.0</v>
      </c>
      <c r="O870" s="9">
        <f>revenue[orderPrice]*revenue[orderQuantity]</f>
        <v>702</v>
      </c>
      <c r="P870" s="9">
        <f>revenue[orderTotal]*(1-revenue[discountApllied])</f>
        <v>702</v>
      </c>
      <c r="Q870" s="9">
        <f>revenue[revenue]-(revenue[productCost]*revenue[orderQuantity])</f>
        <v>255.0365093</v>
      </c>
      <c r="R870" s="25">
        <f>IFERROR(revenue[profit]/revenue[revenue], 0)</f>
        <v>0.3632998708</v>
      </c>
      <c r="S870" s="9">
        <f>revenue[productCost]*revenue[orderQuantity]</f>
        <v>446.9634907</v>
      </c>
    </row>
    <row r="871" ht="15.75" customHeight="1">
      <c r="A871" s="6">
        <v>10573.0</v>
      </c>
      <c r="B871" s="7" t="s">
        <v>74</v>
      </c>
      <c r="C871" s="24" t="str">
        <f>VLOOKUP(revenue[customerID],customers[],2,FALSE)</f>
        <v>Antonio Moreno Taquería</v>
      </c>
      <c r="D871" s="24" t="str">
        <f>VLOOKUP(revenue[customerID],customers[],6,FALSE)</f>
        <v>México D.F.</v>
      </c>
      <c r="E871" s="24" t="str">
        <f>VLOOKUP(revenue[customerID],customers[],9,FALSE)</f>
        <v>Mexico</v>
      </c>
      <c r="F871" s="24">
        <v>45096.0</v>
      </c>
      <c r="G871" s="6">
        <v>34.0</v>
      </c>
      <c r="H871" s="9" t="str">
        <f>VLOOKUP(revenue[productID],products[],2,FALSE)</f>
        <v>Sasquatch Ale</v>
      </c>
      <c r="I871" s="9" t="str">
        <f>VLOOKUP(revenue[productID],products[],12,FALSE)</f>
        <v>Beverages</v>
      </c>
      <c r="J871" s="9">
        <f>VLOOKUP(revenue[productID],products[],IF(YEAR(revenue[orderDate])=2022,8,IF(YEAR(revenue[orderDate])=2023,9,IF(YEAR(revenue[orderDate])=2024,10,NA))),FALSE)</f>
        <v>8.955654061</v>
      </c>
      <c r="K871" s="9">
        <v>14.0</v>
      </c>
      <c r="L871" s="25">
        <f>(revenue[orderPrice]-revenue[productCost])/revenue[productCost]</f>
        <v>0.5632582394</v>
      </c>
      <c r="M871" s="10">
        <v>40.0</v>
      </c>
      <c r="N871" s="25">
        <v>0.0</v>
      </c>
      <c r="O871" s="9">
        <f>revenue[orderPrice]*revenue[orderQuantity]</f>
        <v>560</v>
      </c>
      <c r="P871" s="9">
        <f>revenue[orderTotal]*(1-revenue[discountApllied])</f>
        <v>560</v>
      </c>
      <c r="Q871" s="9">
        <f>revenue[revenue]-(revenue[productCost]*revenue[orderQuantity])</f>
        <v>201.7738376</v>
      </c>
      <c r="R871" s="25">
        <f>IFERROR(revenue[profit]/revenue[revenue], 0)</f>
        <v>0.3603104242</v>
      </c>
      <c r="S871" s="9">
        <f>revenue[productCost]*revenue[orderQuantity]</f>
        <v>358.2261624</v>
      </c>
    </row>
    <row r="872" ht="15.75" customHeight="1">
      <c r="A872" s="6">
        <v>10573.0</v>
      </c>
      <c r="B872" s="7" t="s">
        <v>74</v>
      </c>
      <c r="C872" s="24" t="str">
        <f>VLOOKUP(revenue[customerID],customers[],2,FALSE)</f>
        <v>Antonio Moreno Taquería</v>
      </c>
      <c r="D872" s="24" t="str">
        <f>VLOOKUP(revenue[customerID],customers[],6,FALSE)</f>
        <v>México D.F.</v>
      </c>
      <c r="E872" s="24" t="str">
        <f>VLOOKUP(revenue[customerID],customers[],9,FALSE)</f>
        <v>Mexico</v>
      </c>
      <c r="F872" s="24">
        <v>45096.0</v>
      </c>
      <c r="G872" s="6">
        <v>53.0</v>
      </c>
      <c r="H872" s="9" t="str">
        <f>VLOOKUP(revenue[productID],products[],2,FALSE)</f>
        <v>Perth Pasties</v>
      </c>
      <c r="I872" s="9" t="str">
        <f>VLOOKUP(revenue[productID],products[],12,FALSE)</f>
        <v>Meat/Poultry</v>
      </c>
      <c r="J872" s="9">
        <f>VLOOKUP(revenue[productID],products[],IF(YEAR(revenue[orderDate])=2022,8,IF(YEAR(revenue[orderDate])=2023,9,IF(YEAR(revenue[orderDate])=2024,10,NA))),FALSE)</f>
        <v>21.81491556</v>
      </c>
      <c r="K872" s="9">
        <v>32.8</v>
      </c>
      <c r="L872" s="25">
        <f>(revenue[orderPrice]-revenue[productCost])/revenue[productCost]</f>
        <v>0.5035584214</v>
      </c>
      <c r="M872" s="10">
        <v>25.0</v>
      </c>
      <c r="N872" s="25">
        <v>0.0</v>
      </c>
      <c r="O872" s="9">
        <f>revenue[orderPrice]*revenue[orderQuantity]</f>
        <v>820</v>
      </c>
      <c r="P872" s="9">
        <f>revenue[orderTotal]*(1-revenue[discountApllied])</f>
        <v>820</v>
      </c>
      <c r="Q872" s="9">
        <f>revenue[revenue]-(revenue[productCost]*revenue[orderQuantity])</f>
        <v>274.627111</v>
      </c>
      <c r="R872" s="25">
        <f>IFERROR(revenue[profit]/revenue[revenue], 0)</f>
        <v>0.334911111</v>
      </c>
      <c r="S872" s="9">
        <f>revenue[productCost]*revenue[orderQuantity]</f>
        <v>545.372889</v>
      </c>
    </row>
    <row r="873" ht="15.75" customHeight="1">
      <c r="A873" s="6">
        <v>10574.0</v>
      </c>
      <c r="B873" s="7" t="s">
        <v>96</v>
      </c>
      <c r="C873" s="24" t="str">
        <f>VLOOKUP(revenue[customerID],customers[],2,FALSE)</f>
        <v>Trail's Head Gourmet Provisioners</v>
      </c>
      <c r="D873" s="24" t="str">
        <f>VLOOKUP(revenue[customerID],customers[],6,FALSE)</f>
        <v>Kirkland</v>
      </c>
      <c r="E873" s="24" t="str">
        <f>VLOOKUP(revenue[customerID],customers[],9,FALSE)</f>
        <v>USA</v>
      </c>
      <c r="F873" s="24">
        <v>45096.0</v>
      </c>
      <c r="G873" s="6">
        <v>33.0</v>
      </c>
      <c r="H873" s="9" t="str">
        <f>VLOOKUP(revenue[productID],products[],2,FALSE)</f>
        <v>Geitost</v>
      </c>
      <c r="I873" s="9" t="str">
        <f>VLOOKUP(revenue[productID],products[],12,FALSE)</f>
        <v>Dairy Products</v>
      </c>
      <c r="J873" s="9">
        <f>VLOOKUP(revenue[productID],products[],IF(YEAR(revenue[orderDate])=2022,8,IF(YEAR(revenue[orderDate])=2023,9,IF(YEAR(revenue[orderDate])=2024,10,NA))),FALSE)</f>
        <v>1.559072298</v>
      </c>
      <c r="K873" s="9">
        <v>2.5</v>
      </c>
      <c r="L873" s="25">
        <f>(revenue[orderPrice]-revenue[productCost])/revenue[productCost]</f>
        <v>0.603517684</v>
      </c>
      <c r="M873" s="10">
        <v>14.0</v>
      </c>
      <c r="N873" s="25">
        <v>0.0</v>
      </c>
      <c r="O873" s="9">
        <f>revenue[orderPrice]*revenue[orderQuantity]</f>
        <v>35</v>
      </c>
      <c r="P873" s="9">
        <f>revenue[orderTotal]*(1-revenue[discountApllied])</f>
        <v>35</v>
      </c>
      <c r="Q873" s="9">
        <f>revenue[revenue]-(revenue[productCost]*revenue[orderQuantity])</f>
        <v>13.17298783</v>
      </c>
      <c r="R873" s="25">
        <f>IFERROR(revenue[profit]/revenue[revenue], 0)</f>
        <v>0.3763710809</v>
      </c>
      <c r="S873" s="9">
        <f>revenue[productCost]*revenue[orderQuantity]</f>
        <v>21.82701217</v>
      </c>
    </row>
    <row r="874" ht="15.75" customHeight="1">
      <c r="A874" s="6">
        <v>10574.0</v>
      </c>
      <c r="B874" s="7" t="s">
        <v>96</v>
      </c>
      <c r="C874" s="24" t="str">
        <f>VLOOKUP(revenue[customerID],customers[],2,FALSE)</f>
        <v>Trail's Head Gourmet Provisioners</v>
      </c>
      <c r="D874" s="24" t="str">
        <f>VLOOKUP(revenue[customerID],customers[],6,FALSE)</f>
        <v>Kirkland</v>
      </c>
      <c r="E874" s="24" t="str">
        <f>VLOOKUP(revenue[customerID],customers[],9,FALSE)</f>
        <v>USA</v>
      </c>
      <c r="F874" s="24">
        <v>45096.0</v>
      </c>
      <c r="G874" s="6">
        <v>40.0</v>
      </c>
      <c r="H874" s="9" t="str">
        <f>VLOOKUP(revenue[productID],products[],2,FALSE)</f>
        <v>Boston Crab Meat</v>
      </c>
      <c r="I874" s="9" t="str">
        <f>VLOOKUP(revenue[productID],products[],12,FALSE)</f>
        <v>Seafood</v>
      </c>
      <c r="J874" s="9">
        <f>VLOOKUP(revenue[productID],products[],IF(YEAR(revenue[orderDate])=2022,8,IF(YEAR(revenue[orderDate])=2023,9,IF(YEAR(revenue[orderDate])=2024,10,NA))),FALSE)</f>
        <v>11.40496523</v>
      </c>
      <c r="K874" s="9">
        <v>18.4</v>
      </c>
      <c r="L874" s="25">
        <f>(revenue[orderPrice]-revenue[productCost])/revenue[productCost]</f>
        <v>0.6133324069</v>
      </c>
      <c r="M874" s="10">
        <v>2.0</v>
      </c>
      <c r="N874" s="25">
        <v>0.0</v>
      </c>
      <c r="O874" s="9">
        <f>revenue[orderPrice]*revenue[orderQuantity]</f>
        <v>36.8</v>
      </c>
      <c r="P874" s="9">
        <f>revenue[orderTotal]*(1-revenue[discountApllied])</f>
        <v>36.8</v>
      </c>
      <c r="Q874" s="9">
        <f>revenue[revenue]-(revenue[productCost]*revenue[orderQuantity])</f>
        <v>13.99006955</v>
      </c>
      <c r="R874" s="25">
        <f>IFERROR(revenue[profit]/revenue[revenue], 0)</f>
        <v>0.3801649333</v>
      </c>
      <c r="S874" s="9">
        <f>revenue[productCost]*revenue[orderQuantity]</f>
        <v>22.80993045</v>
      </c>
    </row>
    <row r="875" ht="15.75" customHeight="1">
      <c r="A875" s="6">
        <v>10574.0</v>
      </c>
      <c r="B875" s="7" t="s">
        <v>96</v>
      </c>
      <c r="C875" s="24" t="str">
        <f>VLOOKUP(revenue[customerID],customers[],2,FALSE)</f>
        <v>Trail's Head Gourmet Provisioners</v>
      </c>
      <c r="D875" s="24" t="str">
        <f>VLOOKUP(revenue[customerID],customers[],6,FALSE)</f>
        <v>Kirkland</v>
      </c>
      <c r="E875" s="24" t="str">
        <f>VLOOKUP(revenue[customerID],customers[],9,FALSE)</f>
        <v>USA</v>
      </c>
      <c r="F875" s="24">
        <v>45096.0</v>
      </c>
      <c r="G875" s="6">
        <v>62.0</v>
      </c>
      <c r="H875" s="9" t="str">
        <f>VLOOKUP(revenue[productID],products[],2,FALSE)</f>
        <v>Tarte au sucre</v>
      </c>
      <c r="I875" s="9" t="str">
        <f>VLOOKUP(revenue[productID],products[],12,FALSE)</f>
        <v>Confections</v>
      </c>
      <c r="J875" s="9">
        <f>VLOOKUP(revenue[productID],products[],IF(YEAR(revenue[orderDate])=2022,8,IF(YEAR(revenue[orderDate])=2023,9,IF(YEAR(revenue[orderDate])=2024,10,NA))),FALSE)</f>
        <v>35.34792781</v>
      </c>
      <c r="K875" s="9">
        <v>49.3</v>
      </c>
      <c r="L875" s="25">
        <f>(revenue[orderPrice]-revenue[productCost])/revenue[productCost]</f>
        <v>0.3947069335</v>
      </c>
      <c r="M875" s="10">
        <v>10.0</v>
      </c>
      <c r="N875" s="25">
        <v>0.0</v>
      </c>
      <c r="O875" s="9">
        <f>revenue[orderPrice]*revenue[orderQuantity]</f>
        <v>493</v>
      </c>
      <c r="P875" s="9">
        <f>revenue[orderTotal]*(1-revenue[discountApllied])</f>
        <v>493</v>
      </c>
      <c r="Q875" s="9">
        <f>revenue[revenue]-(revenue[productCost]*revenue[orderQuantity])</f>
        <v>139.5207219</v>
      </c>
      <c r="R875" s="25">
        <f>IFERROR(revenue[profit]/revenue[revenue], 0)</f>
        <v>0.2830034927</v>
      </c>
      <c r="S875" s="9">
        <f>revenue[productCost]*revenue[orderQuantity]</f>
        <v>353.4792781</v>
      </c>
    </row>
    <row r="876" ht="15.75" customHeight="1">
      <c r="A876" s="6">
        <v>10574.0</v>
      </c>
      <c r="B876" s="7" t="s">
        <v>96</v>
      </c>
      <c r="C876" s="24" t="str">
        <f>VLOOKUP(revenue[customerID],customers[],2,FALSE)</f>
        <v>Trail's Head Gourmet Provisioners</v>
      </c>
      <c r="D876" s="24" t="str">
        <f>VLOOKUP(revenue[customerID],customers[],6,FALSE)</f>
        <v>Kirkland</v>
      </c>
      <c r="E876" s="24" t="str">
        <f>VLOOKUP(revenue[customerID],customers[],9,FALSE)</f>
        <v>USA</v>
      </c>
      <c r="F876" s="24">
        <v>45096.0</v>
      </c>
      <c r="G876" s="6">
        <v>64.0</v>
      </c>
      <c r="H876" s="9" t="str">
        <f>VLOOKUP(revenue[productID],products[],2,FALSE)</f>
        <v>Lukas' leckere Sauerteigweggla</v>
      </c>
      <c r="I876" s="9" t="str">
        <f>VLOOKUP(revenue[productID],products[],12,FALSE)</f>
        <v>Grains/Cereals</v>
      </c>
      <c r="J876" s="9">
        <f>VLOOKUP(revenue[productID],products[],IF(YEAR(revenue[orderDate])=2022,8,IF(YEAR(revenue[orderDate])=2023,9,IF(YEAR(revenue[orderDate])=2024,10,NA))),FALSE)</f>
        <v>21.88572728</v>
      </c>
      <c r="K876" s="9">
        <v>33.25</v>
      </c>
      <c r="L876" s="25">
        <f>(revenue[orderPrice]-revenue[productCost])/revenue[productCost]</f>
        <v>0.5192549724</v>
      </c>
      <c r="M876" s="10">
        <v>6.0</v>
      </c>
      <c r="N876" s="25">
        <v>0.0</v>
      </c>
      <c r="O876" s="9">
        <f>revenue[orderPrice]*revenue[orderQuantity]</f>
        <v>199.5</v>
      </c>
      <c r="P876" s="9">
        <f>revenue[orderTotal]*(1-revenue[discountApllied])</f>
        <v>199.5</v>
      </c>
      <c r="Q876" s="9">
        <f>revenue[revenue]-(revenue[productCost]*revenue[orderQuantity])</f>
        <v>68.1856363</v>
      </c>
      <c r="R876" s="25">
        <f>IFERROR(revenue[profit]/revenue[revenue], 0)</f>
        <v>0.3417826381</v>
      </c>
      <c r="S876" s="9">
        <f>revenue[productCost]*revenue[orderQuantity]</f>
        <v>131.3143637</v>
      </c>
    </row>
    <row r="877" ht="15.75" customHeight="1">
      <c r="A877" s="6">
        <v>10575.0</v>
      </c>
      <c r="B877" s="7" t="s">
        <v>39</v>
      </c>
      <c r="C877" s="24" t="str">
        <f>VLOOKUP(revenue[customerID],customers[],2,FALSE)</f>
        <v>Morgenstern Gesundkost</v>
      </c>
      <c r="D877" s="24" t="str">
        <f>VLOOKUP(revenue[customerID],customers[],6,FALSE)</f>
        <v>Leipzig</v>
      </c>
      <c r="E877" s="24" t="str">
        <f>VLOOKUP(revenue[customerID],customers[],9,FALSE)</f>
        <v>Germany</v>
      </c>
      <c r="F877" s="24">
        <v>45097.0</v>
      </c>
      <c r="G877" s="6">
        <v>59.0</v>
      </c>
      <c r="H877" s="9" t="str">
        <f>VLOOKUP(revenue[productID],products[],2,FALSE)</f>
        <v>Raclette Courdavault</v>
      </c>
      <c r="I877" s="9" t="str">
        <f>VLOOKUP(revenue[productID],products[],12,FALSE)</f>
        <v>Dairy Products</v>
      </c>
      <c r="J877" s="9">
        <f>VLOOKUP(revenue[productID],products[],IF(YEAR(revenue[orderDate])=2022,8,IF(YEAR(revenue[orderDate])=2023,9,IF(YEAR(revenue[orderDate])=2024,10,NA))),FALSE)</f>
        <v>35.20472566</v>
      </c>
      <c r="K877" s="9">
        <v>55.0</v>
      </c>
      <c r="L877" s="25">
        <f>(revenue[orderPrice]-revenue[productCost])/revenue[productCost]</f>
        <v>0.5622902598</v>
      </c>
      <c r="M877" s="10">
        <v>12.0</v>
      </c>
      <c r="N877" s="25">
        <v>0.0</v>
      </c>
      <c r="O877" s="9">
        <f>revenue[orderPrice]*revenue[orderQuantity]</f>
        <v>660</v>
      </c>
      <c r="P877" s="9">
        <f>revenue[orderTotal]*(1-revenue[discountApllied])</f>
        <v>660</v>
      </c>
      <c r="Q877" s="9">
        <f>revenue[revenue]-(revenue[productCost]*revenue[orderQuantity])</f>
        <v>237.5432921</v>
      </c>
      <c r="R877" s="25">
        <f>IFERROR(revenue[profit]/revenue[revenue], 0)</f>
        <v>0.3599140789</v>
      </c>
      <c r="S877" s="9">
        <f>revenue[productCost]*revenue[orderQuantity]</f>
        <v>422.4567079</v>
      </c>
    </row>
    <row r="878" ht="15.75" customHeight="1">
      <c r="A878" s="6">
        <v>10575.0</v>
      </c>
      <c r="B878" s="7" t="s">
        <v>39</v>
      </c>
      <c r="C878" s="24" t="str">
        <f>VLOOKUP(revenue[customerID],customers[],2,FALSE)</f>
        <v>Morgenstern Gesundkost</v>
      </c>
      <c r="D878" s="24" t="str">
        <f>VLOOKUP(revenue[customerID],customers[],6,FALSE)</f>
        <v>Leipzig</v>
      </c>
      <c r="E878" s="24" t="str">
        <f>VLOOKUP(revenue[customerID],customers[],9,FALSE)</f>
        <v>Germany</v>
      </c>
      <c r="F878" s="24">
        <v>45097.0</v>
      </c>
      <c r="G878" s="6">
        <v>63.0</v>
      </c>
      <c r="H878" s="9" t="str">
        <f>VLOOKUP(revenue[productID],products[],2,FALSE)</f>
        <v>Vegie-spread</v>
      </c>
      <c r="I878" s="9" t="str">
        <f>VLOOKUP(revenue[productID],products[],12,FALSE)</f>
        <v>Condiments</v>
      </c>
      <c r="J878" s="9">
        <f>VLOOKUP(revenue[productID],products[],IF(YEAR(revenue[orderDate])=2022,8,IF(YEAR(revenue[orderDate])=2023,9,IF(YEAR(revenue[orderDate])=2024,10,NA))),FALSE)</f>
        <v>27.72225706</v>
      </c>
      <c r="K878" s="9">
        <v>43.9</v>
      </c>
      <c r="L878" s="25">
        <f>(revenue[orderPrice]-revenue[productCost])/revenue[productCost]</f>
        <v>0.5835651445</v>
      </c>
      <c r="M878" s="10">
        <v>6.0</v>
      </c>
      <c r="N878" s="25">
        <v>0.0</v>
      </c>
      <c r="O878" s="9">
        <f>revenue[orderPrice]*revenue[orderQuantity]</f>
        <v>263.4</v>
      </c>
      <c r="P878" s="9">
        <f>revenue[orderTotal]*(1-revenue[discountApllied])</f>
        <v>263.4</v>
      </c>
      <c r="Q878" s="9">
        <f>revenue[revenue]-(revenue[productCost]*revenue[orderQuantity])</f>
        <v>97.06645766</v>
      </c>
      <c r="R878" s="25">
        <f>IFERROR(revenue[profit]/revenue[revenue], 0)</f>
        <v>0.3685135067</v>
      </c>
      <c r="S878" s="9">
        <f>revenue[productCost]*revenue[orderQuantity]</f>
        <v>166.3335423</v>
      </c>
    </row>
    <row r="879" ht="15.75" customHeight="1">
      <c r="A879" s="6">
        <v>10575.0</v>
      </c>
      <c r="B879" s="7" t="s">
        <v>39</v>
      </c>
      <c r="C879" s="24" t="str">
        <f>VLOOKUP(revenue[customerID],customers[],2,FALSE)</f>
        <v>Morgenstern Gesundkost</v>
      </c>
      <c r="D879" s="24" t="str">
        <f>VLOOKUP(revenue[customerID],customers[],6,FALSE)</f>
        <v>Leipzig</v>
      </c>
      <c r="E879" s="24" t="str">
        <f>VLOOKUP(revenue[customerID],customers[],9,FALSE)</f>
        <v>Germany</v>
      </c>
      <c r="F879" s="24">
        <v>45097.0</v>
      </c>
      <c r="G879" s="6">
        <v>72.0</v>
      </c>
      <c r="H879" s="9" t="str">
        <f>VLOOKUP(revenue[productID],products[],2,FALSE)</f>
        <v>Mozzarella di Giovanni</v>
      </c>
      <c r="I879" s="9" t="str">
        <f>VLOOKUP(revenue[productID],products[],12,FALSE)</f>
        <v>Dairy Products</v>
      </c>
      <c r="J879" s="9">
        <f>VLOOKUP(revenue[productID],products[],IF(YEAR(revenue[orderDate])=2022,8,IF(YEAR(revenue[orderDate])=2023,9,IF(YEAR(revenue[orderDate])=2024,10,NA))),FALSE)</f>
        <v>23.51933768</v>
      </c>
      <c r="K879" s="9">
        <v>34.8</v>
      </c>
      <c r="L879" s="25">
        <f>(revenue[orderPrice]-revenue[productCost])/revenue[productCost]</f>
        <v>0.4796335031</v>
      </c>
      <c r="M879" s="10">
        <v>30.0</v>
      </c>
      <c r="N879" s="25">
        <v>0.0</v>
      </c>
      <c r="O879" s="9">
        <f>revenue[orderPrice]*revenue[orderQuantity]</f>
        <v>1044</v>
      </c>
      <c r="P879" s="9">
        <f>revenue[orderTotal]*(1-revenue[discountApllied])</f>
        <v>1044</v>
      </c>
      <c r="Q879" s="9">
        <f>revenue[revenue]-(revenue[productCost]*revenue[orderQuantity])</f>
        <v>338.4198696</v>
      </c>
      <c r="R879" s="25">
        <f>IFERROR(revenue[profit]/revenue[revenue], 0)</f>
        <v>0.3241569633</v>
      </c>
      <c r="S879" s="9">
        <f>revenue[productCost]*revenue[orderQuantity]</f>
        <v>705.5801304</v>
      </c>
    </row>
    <row r="880" ht="15.75" customHeight="1">
      <c r="A880" s="6">
        <v>10575.0</v>
      </c>
      <c r="B880" s="7" t="s">
        <v>39</v>
      </c>
      <c r="C880" s="24" t="str">
        <f>VLOOKUP(revenue[customerID],customers[],2,FALSE)</f>
        <v>Morgenstern Gesundkost</v>
      </c>
      <c r="D880" s="24" t="str">
        <f>VLOOKUP(revenue[customerID],customers[],6,FALSE)</f>
        <v>Leipzig</v>
      </c>
      <c r="E880" s="24" t="str">
        <f>VLOOKUP(revenue[customerID],customers[],9,FALSE)</f>
        <v>Germany</v>
      </c>
      <c r="F880" s="24">
        <v>45097.0</v>
      </c>
      <c r="G880" s="6">
        <v>76.0</v>
      </c>
      <c r="H880" s="9" t="str">
        <f>VLOOKUP(revenue[productID],products[],2,FALSE)</f>
        <v>Lakkalikööri</v>
      </c>
      <c r="I880" s="9" t="str">
        <f>VLOOKUP(revenue[productID],products[],12,FALSE)</f>
        <v>Beverages</v>
      </c>
      <c r="J880" s="9">
        <f>VLOOKUP(revenue[productID],products[],IF(YEAR(revenue[orderDate])=2022,8,IF(YEAR(revenue[orderDate])=2023,9,IF(YEAR(revenue[orderDate])=2024,10,NA))),FALSE)</f>
        <v>12.1154529</v>
      </c>
      <c r="K880" s="9">
        <v>18.0</v>
      </c>
      <c r="L880" s="25">
        <f>(revenue[orderPrice]-revenue[productCost])/revenue[productCost]</f>
        <v>0.4857059125</v>
      </c>
      <c r="M880" s="10">
        <v>10.0</v>
      </c>
      <c r="N880" s="25">
        <v>0.0</v>
      </c>
      <c r="O880" s="9">
        <f>revenue[orderPrice]*revenue[orderQuantity]</f>
        <v>180</v>
      </c>
      <c r="P880" s="9">
        <f>revenue[orderTotal]*(1-revenue[discountApllied])</f>
        <v>180</v>
      </c>
      <c r="Q880" s="9">
        <f>revenue[revenue]-(revenue[productCost]*revenue[orderQuantity])</f>
        <v>58.84547105</v>
      </c>
      <c r="R880" s="25">
        <f>IFERROR(revenue[profit]/revenue[revenue], 0)</f>
        <v>0.3269192836</v>
      </c>
      <c r="S880" s="9">
        <f>revenue[productCost]*revenue[orderQuantity]</f>
        <v>121.154529</v>
      </c>
    </row>
    <row r="881" ht="15.75" customHeight="1">
      <c r="A881" s="6">
        <v>10576.0</v>
      </c>
      <c r="B881" s="7" t="s">
        <v>38</v>
      </c>
      <c r="C881" s="24" t="str">
        <f>VLOOKUP(revenue[customerID],customers[],2,FALSE)</f>
        <v>Tortuga Restaurante</v>
      </c>
      <c r="D881" s="24" t="str">
        <f>VLOOKUP(revenue[customerID],customers[],6,FALSE)</f>
        <v>México D.F.</v>
      </c>
      <c r="E881" s="24" t="str">
        <f>VLOOKUP(revenue[customerID],customers[],9,FALSE)</f>
        <v>Mexico</v>
      </c>
      <c r="F881" s="24">
        <v>45100.0</v>
      </c>
      <c r="G881" s="6">
        <v>1.0</v>
      </c>
      <c r="H881" s="9" t="str">
        <f>VLOOKUP(revenue[productID],products[],2,FALSE)</f>
        <v>Chai</v>
      </c>
      <c r="I881" s="9" t="str">
        <f>VLOOKUP(revenue[productID],products[],12,FALSE)</f>
        <v>Beverages</v>
      </c>
      <c r="J881" s="9">
        <f>VLOOKUP(revenue[productID],products[],IF(YEAR(revenue[orderDate])=2022,8,IF(YEAR(revenue[orderDate])=2023,9,IF(YEAR(revenue[orderDate])=2024,10,NA))),FALSE)</f>
        <v>12.15847607</v>
      </c>
      <c r="K881" s="9">
        <v>18.0</v>
      </c>
      <c r="L881" s="25">
        <f>(revenue[orderPrice]-revenue[productCost])/revenue[productCost]</f>
        <v>0.4804486927</v>
      </c>
      <c r="M881" s="10">
        <v>10.0</v>
      </c>
      <c r="N881" s="25">
        <v>0.0</v>
      </c>
      <c r="O881" s="9">
        <f>revenue[orderPrice]*revenue[orderQuantity]</f>
        <v>180</v>
      </c>
      <c r="P881" s="9">
        <f>revenue[orderTotal]*(1-revenue[discountApllied])</f>
        <v>180</v>
      </c>
      <c r="Q881" s="9">
        <f>revenue[revenue]-(revenue[productCost]*revenue[orderQuantity])</f>
        <v>58.41523932</v>
      </c>
      <c r="R881" s="25">
        <f>IFERROR(revenue[profit]/revenue[revenue], 0)</f>
        <v>0.3245291073</v>
      </c>
      <c r="S881" s="9">
        <f>revenue[productCost]*revenue[orderQuantity]</f>
        <v>121.5847607</v>
      </c>
    </row>
    <row r="882" ht="15.75" customHeight="1">
      <c r="A882" s="6">
        <v>10576.0</v>
      </c>
      <c r="B882" s="7" t="s">
        <v>38</v>
      </c>
      <c r="C882" s="24" t="str">
        <f>VLOOKUP(revenue[customerID],customers[],2,FALSE)</f>
        <v>Tortuga Restaurante</v>
      </c>
      <c r="D882" s="24" t="str">
        <f>VLOOKUP(revenue[customerID],customers[],6,FALSE)</f>
        <v>México D.F.</v>
      </c>
      <c r="E882" s="24" t="str">
        <f>VLOOKUP(revenue[customerID],customers[],9,FALSE)</f>
        <v>Mexico</v>
      </c>
      <c r="F882" s="24">
        <v>45100.0</v>
      </c>
      <c r="G882" s="6">
        <v>31.0</v>
      </c>
      <c r="H882" s="9" t="str">
        <f>VLOOKUP(revenue[productID],products[],2,FALSE)</f>
        <v>Gorgonzola Telino</v>
      </c>
      <c r="I882" s="9" t="str">
        <f>VLOOKUP(revenue[productID],products[],12,FALSE)</f>
        <v>Dairy Products</v>
      </c>
      <c r="J882" s="9">
        <f>VLOOKUP(revenue[productID],products[],IF(YEAR(revenue[orderDate])=2022,8,IF(YEAR(revenue[orderDate])=2023,9,IF(YEAR(revenue[orderDate])=2024,10,NA))),FALSE)</f>
        <v>7.937729254</v>
      </c>
      <c r="K882" s="9">
        <v>12.5</v>
      </c>
      <c r="L882" s="25">
        <f>(revenue[orderPrice]-revenue[productCost])/revenue[productCost]</f>
        <v>0.5747576668</v>
      </c>
      <c r="M882" s="10">
        <v>20.0</v>
      </c>
      <c r="N882" s="25">
        <v>0.0</v>
      </c>
      <c r="O882" s="9">
        <f>revenue[orderPrice]*revenue[orderQuantity]</f>
        <v>250</v>
      </c>
      <c r="P882" s="9">
        <f>revenue[orderTotal]*(1-revenue[discountApllied])</f>
        <v>250</v>
      </c>
      <c r="Q882" s="9">
        <f>revenue[revenue]-(revenue[productCost]*revenue[orderQuantity])</f>
        <v>91.24541492</v>
      </c>
      <c r="R882" s="25">
        <f>IFERROR(revenue[profit]/revenue[revenue], 0)</f>
        <v>0.3649816597</v>
      </c>
      <c r="S882" s="9">
        <f>revenue[productCost]*revenue[orderQuantity]</f>
        <v>158.7545851</v>
      </c>
    </row>
    <row r="883" ht="15.75" customHeight="1">
      <c r="A883" s="6">
        <v>10576.0</v>
      </c>
      <c r="B883" s="7" t="s">
        <v>38</v>
      </c>
      <c r="C883" s="24" t="str">
        <f>VLOOKUP(revenue[customerID],customers[],2,FALSE)</f>
        <v>Tortuga Restaurante</v>
      </c>
      <c r="D883" s="24" t="str">
        <f>VLOOKUP(revenue[customerID],customers[],6,FALSE)</f>
        <v>México D.F.</v>
      </c>
      <c r="E883" s="24" t="str">
        <f>VLOOKUP(revenue[customerID],customers[],9,FALSE)</f>
        <v>Mexico</v>
      </c>
      <c r="F883" s="24">
        <v>45100.0</v>
      </c>
      <c r="G883" s="6">
        <v>44.0</v>
      </c>
      <c r="H883" s="9" t="str">
        <f>VLOOKUP(revenue[productID],products[],2,FALSE)</f>
        <v>Gula Malacca</v>
      </c>
      <c r="I883" s="9" t="str">
        <f>VLOOKUP(revenue[productID],products[],12,FALSE)</f>
        <v>Condiments</v>
      </c>
      <c r="J883" s="9">
        <f>VLOOKUP(revenue[productID],products[],IF(YEAR(revenue[orderDate])=2022,8,IF(YEAR(revenue[orderDate])=2023,9,IF(YEAR(revenue[orderDate])=2024,10,NA))),FALSE)</f>
        <v>13.06032103</v>
      </c>
      <c r="K883" s="9">
        <v>19.45</v>
      </c>
      <c r="L883" s="25">
        <f>(revenue[orderPrice]-revenue[productCost])/revenue[productCost]</f>
        <v>0.4892436379</v>
      </c>
      <c r="M883" s="10">
        <v>21.0</v>
      </c>
      <c r="N883" s="25">
        <v>0.0</v>
      </c>
      <c r="O883" s="9">
        <f>revenue[orderPrice]*revenue[orderQuantity]</f>
        <v>408.45</v>
      </c>
      <c r="P883" s="9">
        <f>revenue[orderTotal]*(1-revenue[discountApllied])</f>
        <v>408.45</v>
      </c>
      <c r="Q883" s="9">
        <f>revenue[revenue]-(revenue[productCost]*revenue[orderQuantity])</f>
        <v>134.1832584</v>
      </c>
      <c r="R883" s="25">
        <f>IFERROR(revenue[profit]/revenue[revenue], 0)</f>
        <v>0.3285181991</v>
      </c>
      <c r="S883" s="9">
        <f>revenue[productCost]*revenue[orderQuantity]</f>
        <v>274.2667416</v>
      </c>
    </row>
    <row r="884" ht="15.75" customHeight="1">
      <c r="A884" s="6">
        <v>10577.0</v>
      </c>
      <c r="B884" s="7" t="s">
        <v>96</v>
      </c>
      <c r="C884" s="24" t="str">
        <f>VLOOKUP(revenue[customerID],customers[],2,FALSE)</f>
        <v>Trail's Head Gourmet Provisioners</v>
      </c>
      <c r="D884" s="24" t="str">
        <f>VLOOKUP(revenue[customerID],customers[],6,FALSE)</f>
        <v>Kirkland</v>
      </c>
      <c r="E884" s="24" t="str">
        <f>VLOOKUP(revenue[customerID],customers[],9,FALSE)</f>
        <v>USA</v>
      </c>
      <c r="F884" s="24">
        <v>45100.0</v>
      </c>
      <c r="G884" s="6">
        <v>39.0</v>
      </c>
      <c r="H884" s="9" t="str">
        <f>VLOOKUP(revenue[productID],products[],2,FALSE)</f>
        <v>Chartreuse verte</v>
      </c>
      <c r="I884" s="9" t="str">
        <f>VLOOKUP(revenue[productID],products[],12,FALSE)</f>
        <v>Beverages</v>
      </c>
      <c r="J884" s="9">
        <f>VLOOKUP(revenue[productID],products[],IF(YEAR(revenue[orderDate])=2022,8,IF(YEAR(revenue[orderDate])=2023,9,IF(YEAR(revenue[orderDate])=2024,10,NA))),FALSE)</f>
        <v>11.73311441</v>
      </c>
      <c r="K884" s="9">
        <v>18.0</v>
      </c>
      <c r="L884" s="25">
        <f>(revenue[orderPrice]-revenue[productCost])/revenue[productCost]</f>
        <v>0.5341195326</v>
      </c>
      <c r="M884" s="10">
        <v>10.0</v>
      </c>
      <c r="N884" s="25">
        <v>0.0</v>
      </c>
      <c r="O884" s="9">
        <f>revenue[orderPrice]*revenue[orderQuantity]</f>
        <v>180</v>
      </c>
      <c r="P884" s="9">
        <f>revenue[orderTotal]*(1-revenue[discountApllied])</f>
        <v>180</v>
      </c>
      <c r="Q884" s="9">
        <f>revenue[revenue]-(revenue[productCost]*revenue[orderQuantity])</f>
        <v>62.66885587</v>
      </c>
      <c r="R884" s="25">
        <f>IFERROR(revenue[profit]/revenue[revenue], 0)</f>
        <v>0.3481603104</v>
      </c>
      <c r="S884" s="9">
        <f>revenue[productCost]*revenue[orderQuantity]</f>
        <v>117.3311441</v>
      </c>
    </row>
    <row r="885" ht="15.75" customHeight="1">
      <c r="A885" s="6">
        <v>10577.0</v>
      </c>
      <c r="B885" s="7" t="s">
        <v>96</v>
      </c>
      <c r="C885" s="24" t="str">
        <f>VLOOKUP(revenue[customerID],customers[],2,FALSE)</f>
        <v>Trail's Head Gourmet Provisioners</v>
      </c>
      <c r="D885" s="24" t="str">
        <f>VLOOKUP(revenue[customerID],customers[],6,FALSE)</f>
        <v>Kirkland</v>
      </c>
      <c r="E885" s="24" t="str">
        <f>VLOOKUP(revenue[customerID],customers[],9,FALSE)</f>
        <v>USA</v>
      </c>
      <c r="F885" s="24">
        <v>45100.0</v>
      </c>
      <c r="G885" s="6">
        <v>75.0</v>
      </c>
      <c r="H885" s="9" t="str">
        <f>VLOOKUP(revenue[productID],products[],2,FALSE)</f>
        <v>Rhönbräu Klosterbier</v>
      </c>
      <c r="I885" s="9" t="str">
        <f>VLOOKUP(revenue[productID],products[],12,FALSE)</f>
        <v>Beverages</v>
      </c>
      <c r="J885" s="9">
        <f>VLOOKUP(revenue[productID],products[],IF(YEAR(revenue[orderDate])=2022,8,IF(YEAR(revenue[orderDate])=2023,9,IF(YEAR(revenue[orderDate])=2024,10,NA))),FALSE)</f>
        <v>5.355290472</v>
      </c>
      <c r="K885" s="9">
        <v>7.75</v>
      </c>
      <c r="L885" s="25">
        <f>(revenue[orderPrice]-revenue[productCost])/revenue[productCost]</f>
        <v>0.4471670661</v>
      </c>
      <c r="M885" s="10">
        <v>20.0</v>
      </c>
      <c r="N885" s="25">
        <v>0.0</v>
      </c>
      <c r="O885" s="9">
        <f>revenue[orderPrice]*revenue[orderQuantity]</f>
        <v>155</v>
      </c>
      <c r="P885" s="9">
        <f>revenue[orderTotal]*(1-revenue[discountApllied])</f>
        <v>155</v>
      </c>
      <c r="Q885" s="9">
        <f>revenue[revenue]-(revenue[productCost]*revenue[orderQuantity])</f>
        <v>47.89419057</v>
      </c>
      <c r="R885" s="25">
        <f>IFERROR(revenue[profit]/revenue[revenue], 0)</f>
        <v>0.3089947778</v>
      </c>
      <c r="S885" s="9">
        <f>revenue[productCost]*revenue[orderQuantity]</f>
        <v>107.1058094</v>
      </c>
    </row>
    <row r="886" ht="15.75" customHeight="1">
      <c r="A886" s="6">
        <v>10577.0</v>
      </c>
      <c r="B886" s="7" t="s">
        <v>96</v>
      </c>
      <c r="C886" s="24" t="str">
        <f>VLOOKUP(revenue[customerID],customers[],2,FALSE)</f>
        <v>Trail's Head Gourmet Provisioners</v>
      </c>
      <c r="D886" s="24" t="str">
        <f>VLOOKUP(revenue[customerID],customers[],6,FALSE)</f>
        <v>Kirkland</v>
      </c>
      <c r="E886" s="24" t="str">
        <f>VLOOKUP(revenue[customerID],customers[],9,FALSE)</f>
        <v>USA</v>
      </c>
      <c r="F886" s="24">
        <v>45100.0</v>
      </c>
      <c r="G886" s="6">
        <v>77.0</v>
      </c>
      <c r="H886" s="9" t="str">
        <f>VLOOKUP(revenue[productID],products[],2,FALSE)</f>
        <v>Original Frankfurter grüne Soße</v>
      </c>
      <c r="I886" s="9" t="str">
        <f>VLOOKUP(revenue[productID],products[],12,FALSE)</f>
        <v>Condiments</v>
      </c>
      <c r="J886" s="9">
        <f>VLOOKUP(revenue[productID],products[],IF(YEAR(revenue[orderDate])=2022,8,IF(YEAR(revenue[orderDate])=2023,9,IF(YEAR(revenue[orderDate])=2024,10,NA))),FALSE)</f>
        <v>7.539056452</v>
      </c>
      <c r="K886" s="9">
        <v>13.0</v>
      </c>
      <c r="L886" s="25">
        <f>(revenue[orderPrice]-revenue[productCost])/revenue[productCost]</f>
        <v>0.7243537149</v>
      </c>
      <c r="M886" s="10">
        <v>18.0</v>
      </c>
      <c r="N886" s="25">
        <v>0.0</v>
      </c>
      <c r="O886" s="9">
        <f>revenue[orderPrice]*revenue[orderQuantity]</f>
        <v>234</v>
      </c>
      <c r="P886" s="9">
        <f>revenue[orderTotal]*(1-revenue[discountApllied])</f>
        <v>234</v>
      </c>
      <c r="Q886" s="9">
        <f>revenue[revenue]-(revenue[productCost]*revenue[orderQuantity])</f>
        <v>98.29698386</v>
      </c>
      <c r="R886" s="25">
        <f>IFERROR(revenue[profit]/revenue[revenue], 0)</f>
        <v>0.4200725806</v>
      </c>
      <c r="S886" s="9">
        <f>revenue[productCost]*revenue[orderQuantity]</f>
        <v>135.7030161</v>
      </c>
    </row>
    <row r="887" ht="15.75" customHeight="1">
      <c r="A887" s="6">
        <v>10578.0</v>
      </c>
      <c r="B887" s="7" t="s">
        <v>46</v>
      </c>
      <c r="C887" s="24" t="str">
        <f>VLOOKUP(revenue[customerID],customers[],2,FALSE)</f>
        <v>B's Beverages</v>
      </c>
      <c r="D887" s="24" t="str">
        <f>VLOOKUP(revenue[customerID],customers[],6,FALSE)</f>
        <v>London</v>
      </c>
      <c r="E887" s="24" t="str">
        <f>VLOOKUP(revenue[customerID],customers[],9,FALSE)</f>
        <v>UK</v>
      </c>
      <c r="F887" s="24">
        <v>45101.0</v>
      </c>
      <c r="G887" s="6">
        <v>35.0</v>
      </c>
      <c r="H887" s="9" t="str">
        <f>VLOOKUP(revenue[productID],products[],2,FALSE)</f>
        <v>Cold Brew Nitro</v>
      </c>
      <c r="I887" s="9" t="str">
        <f>VLOOKUP(revenue[productID],products[],12,FALSE)</f>
        <v>Beverages</v>
      </c>
      <c r="J887" s="9">
        <f>VLOOKUP(revenue[productID],products[],IF(YEAR(revenue[orderDate])=2022,8,IF(YEAR(revenue[orderDate])=2023,9,IF(YEAR(revenue[orderDate])=2024,10,NA))),FALSE)</f>
        <v>11.7602531</v>
      </c>
      <c r="K887" s="9">
        <v>18.0</v>
      </c>
      <c r="L887" s="25">
        <f>(revenue[orderPrice]-revenue[productCost])/revenue[productCost]</f>
        <v>0.5305793033</v>
      </c>
      <c r="M887" s="10">
        <v>20.0</v>
      </c>
      <c r="N887" s="25">
        <v>0.0</v>
      </c>
      <c r="O887" s="9">
        <f>revenue[orderPrice]*revenue[orderQuantity]</f>
        <v>360</v>
      </c>
      <c r="P887" s="9">
        <f>revenue[orderTotal]*(1-revenue[discountApllied])</f>
        <v>360</v>
      </c>
      <c r="Q887" s="9">
        <f>revenue[revenue]-(revenue[productCost]*revenue[orderQuantity])</f>
        <v>124.794938</v>
      </c>
      <c r="R887" s="25">
        <f>IFERROR(revenue[profit]/revenue[revenue], 0)</f>
        <v>0.3466526054</v>
      </c>
      <c r="S887" s="9">
        <f>revenue[productCost]*revenue[orderQuantity]</f>
        <v>235.205062</v>
      </c>
    </row>
    <row r="888" ht="15.75" customHeight="1">
      <c r="A888" s="6">
        <v>10578.0</v>
      </c>
      <c r="B888" s="7" t="s">
        <v>46</v>
      </c>
      <c r="C888" s="24" t="str">
        <f>VLOOKUP(revenue[customerID],customers[],2,FALSE)</f>
        <v>B's Beverages</v>
      </c>
      <c r="D888" s="24" t="str">
        <f>VLOOKUP(revenue[customerID],customers[],6,FALSE)</f>
        <v>London</v>
      </c>
      <c r="E888" s="24" t="str">
        <f>VLOOKUP(revenue[customerID],customers[],9,FALSE)</f>
        <v>UK</v>
      </c>
      <c r="F888" s="24">
        <v>45101.0</v>
      </c>
      <c r="G888" s="6">
        <v>57.0</v>
      </c>
      <c r="H888" s="9" t="str">
        <f>VLOOKUP(revenue[productID],products[],2,FALSE)</f>
        <v>Ravioli Angelo</v>
      </c>
      <c r="I888" s="9" t="str">
        <f>VLOOKUP(revenue[productID],products[],12,FALSE)</f>
        <v>Grains/Cereals</v>
      </c>
      <c r="J888" s="9">
        <f>VLOOKUP(revenue[productID],products[],IF(YEAR(revenue[orderDate])=2022,8,IF(YEAR(revenue[orderDate])=2023,9,IF(YEAR(revenue[orderDate])=2024,10,NA))),FALSE)</f>
        <v>13.01870901</v>
      </c>
      <c r="K888" s="9">
        <v>19.5</v>
      </c>
      <c r="L888" s="25">
        <f>(revenue[orderPrice]-revenue[productCost])/revenue[productCost]</f>
        <v>0.4978443707</v>
      </c>
      <c r="M888" s="10">
        <v>6.0</v>
      </c>
      <c r="N888" s="25">
        <v>0.0</v>
      </c>
      <c r="O888" s="9">
        <f>revenue[orderPrice]*revenue[orderQuantity]</f>
        <v>117</v>
      </c>
      <c r="P888" s="9">
        <f>revenue[orderTotal]*(1-revenue[discountApllied])</f>
        <v>117</v>
      </c>
      <c r="Q888" s="9">
        <f>revenue[revenue]-(revenue[productCost]*revenue[orderQuantity])</f>
        <v>38.88774596</v>
      </c>
      <c r="R888" s="25">
        <f>IFERROR(revenue[profit]/revenue[revenue], 0)</f>
        <v>0.3323738971</v>
      </c>
      <c r="S888" s="9">
        <f>revenue[productCost]*revenue[orderQuantity]</f>
        <v>78.11225404</v>
      </c>
    </row>
    <row r="889" ht="15.75" customHeight="1">
      <c r="A889" s="6">
        <v>10579.0</v>
      </c>
      <c r="B889" s="7" t="s">
        <v>97</v>
      </c>
      <c r="C889" s="24" t="str">
        <f>VLOOKUP(revenue[customerID],customers[],2,FALSE)</f>
        <v>Let's Stop N Shop</v>
      </c>
      <c r="D889" s="24" t="str">
        <f>VLOOKUP(revenue[customerID],customers[],6,FALSE)</f>
        <v>San Francisco</v>
      </c>
      <c r="E889" s="24" t="str">
        <f>VLOOKUP(revenue[customerID],customers[],9,FALSE)</f>
        <v>USA</v>
      </c>
      <c r="F889" s="24">
        <v>45102.0</v>
      </c>
      <c r="G889" s="6">
        <v>15.0</v>
      </c>
      <c r="H889" s="9" t="str">
        <f>VLOOKUP(revenue[productID],products[],2,FALSE)</f>
        <v>Genen Shouyu</v>
      </c>
      <c r="I889" s="9" t="str">
        <f>VLOOKUP(revenue[productID],products[],12,FALSE)</f>
        <v>Condiments</v>
      </c>
      <c r="J889" s="9">
        <f>VLOOKUP(revenue[productID],products[],IF(YEAR(revenue[orderDate])=2022,8,IF(YEAR(revenue[orderDate])=2023,9,IF(YEAR(revenue[orderDate])=2024,10,NA))),FALSE)</f>
        <v>10.78394742</v>
      </c>
      <c r="K889" s="9">
        <v>15.5</v>
      </c>
      <c r="L889" s="25">
        <f>(revenue[orderPrice]-revenue[productCost])/revenue[productCost]</f>
        <v>0.4373215478</v>
      </c>
      <c r="M889" s="10">
        <v>10.0</v>
      </c>
      <c r="N889" s="25">
        <v>0.0</v>
      </c>
      <c r="O889" s="9">
        <f>revenue[orderPrice]*revenue[orderQuantity]</f>
        <v>155</v>
      </c>
      <c r="P889" s="9">
        <f>revenue[orderTotal]*(1-revenue[discountApllied])</f>
        <v>155</v>
      </c>
      <c r="Q889" s="9">
        <f>revenue[revenue]-(revenue[productCost]*revenue[orderQuantity])</f>
        <v>47.16052578</v>
      </c>
      <c r="R889" s="25">
        <f>IFERROR(revenue[profit]/revenue[revenue], 0)</f>
        <v>0.3042614566</v>
      </c>
      <c r="S889" s="9">
        <f>revenue[productCost]*revenue[orderQuantity]</f>
        <v>107.8394742</v>
      </c>
    </row>
    <row r="890" ht="15.75" customHeight="1">
      <c r="A890" s="6">
        <v>10579.0</v>
      </c>
      <c r="B890" s="7" t="s">
        <v>97</v>
      </c>
      <c r="C890" s="24" t="str">
        <f>VLOOKUP(revenue[customerID],customers[],2,FALSE)</f>
        <v>Let's Stop N Shop</v>
      </c>
      <c r="D890" s="24" t="str">
        <f>VLOOKUP(revenue[customerID],customers[],6,FALSE)</f>
        <v>San Francisco</v>
      </c>
      <c r="E890" s="24" t="str">
        <f>VLOOKUP(revenue[customerID],customers[],9,FALSE)</f>
        <v>USA</v>
      </c>
      <c r="F890" s="24">
        <v>45102.0</v>
      </c>
      <c r="G890" s="6">
        <v>75.0</v>
      </c>
      <c r="H890" s="9" t="str">
        <f>VLOOKUP(revenue[productID],products[],2,FALSE)</f>
        <v>Rhönbräu Klosterbier</v>
      </c>
      <c r="I890" s="9" t="str">
        <f>VLOOKUP(revenue[productID],products[],12,FALSE)</f>
        <v>Beverages</v>
      </c>
      <c r="J890" s="9">
        <f>VLOOKUP(revenue[productID],products[],IF(YEAR(revenue[orderDate])=2022,8,IF(YEAR(revenue[orderDate])=2023,9,IF(YEAR(revenue[orderDate])=2024,10,NA))),FALSE)</f>
        <v>5.355290472</v>
      </c>
      <c r="K890" s="9">
        <v>7.75</v>
      </c>
      <c r="L890" s="25">
        <f>(revenue[orderPrice]-revenue[productCost])/revenue[productCost]</f>
        <v>0.4471670661</v>
      </c>
      <c r="M890" s="10">
        <v>21.0</v>
      </c>
      <c r="N890" s="25">
        <v>0.0</v>
      </c>
      <c r="O890" s="9">
        <f>revenue[orderPrice]*revenue[orderQuantity]</f>
        <v>162.75</v>
      </c>
      <c r="P890" s="9">
        <f>revenue[orderTotal]*(1-revenue[discountApllied])</f>
        <v>162.75</v>
      </c>
      <c r="Q890" s="9">
        <f>revenue[revenue]-(revenue[productCost]*revenue[orderQuantity])</f>
        <v>50.28890009</v>
      </c>
      <c r="R890" s="25">
        <f>IFERROR(revenue[profit]/revenue[revenue], 0)</f>
        <v>0.3089947778</v>
      </c>
      <c r="S890" s="9">
        <f>revenue[productCost]*revenue[orderQuantity]</f>
        <v>112.4610999</v>
      </c>
    </row>
    <row r="891" ht="15.75" customHeight="1">
      <c r="A891" s="6">
        <v>10580.0</v>
      </c>
      <c r="B891" s="7" t="s">
        <v>26</v>
      </c>
      <c r="C891" s="24" t="str">
        <f>VLOOKUP(revenue[customerID],customers[],2,FALSE)</f>
        <v>Ottilies Käseladen</v>
      </c>
      <c r="D891" s="24" t="str">
        <f>VLOOKUP(revenue[customerID],customers[],6,FALSE)</f>
        <v>Köln</v>
      </c>
      <c r="E891" s="24" t="str">
        <f>VLOOKUP(revenue[customerID],customers[],9,FALSE)</f>
        <v>Germany</v>
      </c>
      <c r="F891" s="24">
        <v>45103.0</v>
      </c>
      <c r="G891" s="6">
        <v>14.0</v>
      </c>
      <c r="H891" s="9" t="str">
        <f>VLOOKUP(revenue[productID],products[],2,FALSE)</f>
        <v>Tofu</v>
      </c>
      <c r="I891" s="9" t="str">
        <f>VLOOKUP(revenue[productID],products[],12,FALSE)</f>
        <v>Produce</v>
      </c>
      <c r="J891" s="9">
        <f>VLOOKUP(revenue[productID],products[],IF(YEAR(revenue[orderDate])=2022,8,IF(YEAR(revenue[orderDate])=2023,9,IF(YEAR(revenue[orderDate])=2024,10,NA))),FALSE)</f>
        <v>15.38055417</v>
      </c>
      <c r="K891" s="9">
        <v>23.25</v>
      </c>
      <c r="L891" s="25">
        <f>(revenue[orderPrice]-revenue[productCost])/revenue[productCost]</f>
        <v>0.5116490437</v>
      </c>
      <c r="M891" s="10">
        <v>15.0</v>
      </c>
      <c r="N891" s="25">
        <v>0.05</v>
      </c>
      <c r="O891" s="9">
        <f>revenue[orderPrice]*revenue[orderQuantity]</f>
        <v>348.75</v>
      </c>
      <c r="P891" s="9">
        <f>revenue[orderTotal]*(1-revenue[discountApllied])</f>
        <v>331.3125</v>
      </c>
      <c r="Q891" s="9">
        <f>revenue[revenue]-(revenue[productCost]*revenue[orderQuantity])</f>
        <v>100.6041875</v>
      </c>
      <c r="R891" s="25">
        <f>IFERROR(revenue[profit]/revenue[revenue], 0)</f>
        <v>0.3036534615</v>
      </c>
      <c r="S891" s="9">
        <f>revenue[productCost]*revenue[orderQuantity]</f>
        <v>230.7083125</v>
      </c>
    </row>
    <row r="892" ht="15.75" customHeight="1">
      <c r="A892" s="6">
        <v>10580.0</v>
      </c>
      <c r="B892" s="7" t="s">
        <v>26</v>
      </c>
      <c r="C892" s="24" t="str">
        <f>VLOOKUP(revenue[customerID],customers[],2,FALSE)</f>
        <v>Ottilies Käseladen</v>
      </c>
      <c r="D892" s="24" t="str">
        <f>VLOOKUP(revenue[customerID],customers[],6,FALSE)</f>
        <v>Köln</v>
      </c>
      <c r="E892" s="24" t="str">
        <f>VLOOKUP(revenue[customerID],customers[],9,FALSE)</f>
        <v>Germany</v>
      </c>
      <c r="F892" s="24">
        <v>45103.0</v>
      </c>
      <c r="G892" s="6">
        <v>41.0</v>
      </c>
      <c r="H892" s="9" t="str">
        <f>VLOOKUP(revenue[productID],products[],2,FALSE)</f>
        <v>Jack's New England Clam Chowder</v>
      </c>
      <c r="I892" s="9" t="str">
        <f>VLOOKUP(revenue[productID],products[],12,FALSE)</f>
        <v>Seafood</v>
      </c>
      <c r="J892" s="9">
        <f>VLOOKUP(revenue[productID],products[],IF(YEAR(revenue[orderDate])=2022,8,IF(YEAR(revenue[orderDate])=2023,9,IF(YEAR(revenue[orderDate])=2024,10,NA))),FALSE)</f>
        <v>6.549914856</v>
      </c>
      <c r="K892" s="9">
        <v>9.65</v>
      </c>
      <c r="L892" s="25">
        <f>(revenue[orderPrice]-revenue[productCost])/revenue[productCost]</f>
        <v>0.4733015943</v>
      </c>
      <c r="M892" s="10">
        <v>9.0</v>
      </c>
      <c r="N892" s="25">
        <v>0.05</v>
      </c>
      <c r="O892" s="9">
        <f>revenue[orderPrice]*revenue[orderQuantity]</f>
        <v>86.85</v>
      </c>
      <c r="P892" s="9">
        <f>revenue[orderTotal]*(1-revenue[discountApllied])</f>
        <v>82.5075</v>
      </c>
      <c r="Q892" s="9">
        <f>revenue[revenue]-(revenue[productCost]*revenue[orderQuantity])</f>
        <v>23.5582663</v>
      </c>
      <c r="R892" s="25">
        <f>IFERROR(revenue[profit]/revenue[revenue], 0)</f>
        <v>0.2855287858</v>
      </c>
      <c r="S892" s="9">
        <f>revenue[productCost]*revenue[orderQuantity]</f>
        <v>58.9492337</v>
      </c>
    </row>
    <row r="893" ht="15.75" customHeight="1">
      <c r="A893" s="6">
        <v>10580.0</v>
      </c>
      <c r="B893" s="7" t="s">
        <v>26</v>
      </c>
      <c r="C893" s="24" t="str">
        <f>VLOOKUP(revenue[customerID],customers[],2,FALSE)</f>
        <v>Ottilies Käseladen</v>
      </c>
      <c r="D893" s="24" t="str">
        <f>VLOOKUP(revenue[customerID],customers[],6,FALSE)</f>
        <v>Köln</v>
      </c>
      <c r="E893" s="24" t="str">
        <f>VLOOKUP(revenue[customerID],customers[],9,FALSE)</f>
        <v>Germany</v>
      </c>
      <c r="F893" s="24">
        <v>45103.0</v>
      </c>
      <c r="G893" s="6">
        <v>65.0</v>
      </c>
      <c r="H893" s="9" t="str">
        <f>VLOOKUP(revenue[productID],products[],2,FALSE)</f>
        <v>Louisiana Fiery Hot Pepper Sauce</v>
      </c>
      <c r="I893" s="9" t="str">
        <f>VLOOKUP(revenue[productID],products[],12,FALSE)</f>
        <v>Condiments</v>
      </c>
      <c r="J893" s="9">
        <f>VLOOKUP(revenue[productID],products[],IF(YEAR(revenue[orderDate])=2022,8,IF(YEAR(revenue[orderDate])=2023,9,IF(YEAR(revenue[orderDate])=2024,10,NA))),FALSE)</f>
        <v>13.21122243</v>
      </c>
      <c r="K893" s="9">
        <v>21.05</v>
      </c>
      <c r="L893" s="25">
        <f>(revenue[orderPrice]-revenue[productCost])/revenue[productCost]</f>
        <v>0.593342335</v>
      </c>
      <c r="M893" s="10">
        <v>30.0</v>
      </c>
      <c r="N893" s="25">
        <v>0.05</v>
      </c>
      <c r="O893" s="9">
        <f>revenue[orderPrice]*revenue[orderQuantity]</f>
        <v>631.5</v>
      </c>
      <c r="P893" s="9">
        <f>revenue[orderTotal]*(1-revenue[discountApllied])</f>
        <v>599.925</v>
      </c>
      <c r="Q893" s="9">
        <f>revenue[revenue]-(revenue[productCost]*revenue[orderQuantity])</f>
        <v>203.588327</v>
      </c>
      <c r="R893" s="25">
        <f>IFERROR(revenue[profit]/revenue[revenue], 0)</f>
        <v>0.3393562979</v>
      </c>
      <c r="S893" s="9">
        <f>revenue[productCost]*revenue[orderQuantity]</f>
        <v>396.336673</v>
      </c>
    </row>
    <row r="894" ht="15.75" customHeight="1">
      <c r="A894" s="6">
        <v>10581.0</v>
      </c>
      <c r="B894" s="7" t="s">
        <v>67</v>
      </c>
      <c r="C894" s="24" t="str">
        <f>VLOOKUP(revenue[customerID],customers[],2,FALSE)</f>
        <v>Familia Arquibaldo</v>
      </c>
      <c r="D894" s="24" t="str">
        <f>VLOOKUP(revenue[customerID],customers[],6,FALSE)</f>
        <v>Sao Paulo</v>
      </c>
      <c r="E894" s="24" t="str">
        <f>VLOOKUP(revenue[customerID],customers[],9,FALSE)</f>
        <v>Brazil</v>
      </c>
      <c r="F894" s="24">
        <v>45103.0</v>
      </c>
      <c r="G894" s="6">
        <v>75.0</v>
      </c>
      <c r="H894" s="9" t="str">
        <f>VLOOKUP(revenue[productID],products[],2,FALSE)</f>
        <v>Rhönbräu Klosterbier</v>
      </c>
      <c r="I894" s="9" t="str">
        <f>VLOOKUP(revenue[productID],products[],12,FALSE)</f>
        <v>Beverages</v>
      </c>
      <c r="J894" s="9">
        <f>VLOOKUP(revenue[productID],products[],IF(YEAR(revenue[orderDate])=2022,8,IF(YEAR(revenue[orderDate])=2023,9,IF(YEAR(revenue[orderDate])=2024,10,NA))),FALSE)</f>
        <v>5.355290472</v>
      </c>
      <c r="K894" s="9">
        <v>7.75</v>
      </c>
      <c r="L894" s="25">
        <f>(revenue[orderPrice]-revenue[productCost])/revenue[productCost]</f>
        <v>0.4471670661</v>
      </c>
      <c r="M894" s="10">
        <v>50.0</v>
      </c>
      <c r="N894" s="25">
        <v>0.2</v>
      </c>
      <c r="O894" s="9">
        <f>revenue[orderPrice]*revenue[orderQuantity]</f>
        <v>387.5</v>
      </c>
      <c r="P894" s="9">
        <f>revenue[orderTotal]*(1-revenue[discountApllied])</f>
        <v>310</v>
      </c>
      <c r="Q894" s="9">
        <f>revenue[revenue]-(revenue[productCost]*revenue[orderQuantity])</f>
        <v>42.23547641</v>
      </c>
      <c r="R894" s="25">
        <f>IFERROR(revenue[profit]/revenue[revenue], 0)</f>
        <v>0.1362434723</v>
      </c>
      <c r="S894" s="9">
        <f>revenue[productCost]*revenue[orderQuantity]</f>
        <v>267.7645236</v>
      </c>
    </row>
    <row r="895" ht="15.75" customHeight="1">
      <c r="A895" s="6">
        <v>10582.0</v>
      </c>
      <c r="B895" s="7" t="s">
        <v>91</v>
      </c>
      <c r="C895" s="24" t="str">
        <f>VLOOKUP(revenue[customerID],customers[],2,FALSE)</f>
        <v>Blauer See Delikatessen</v>
      </c>
      <c r="D895" s="24" t="str">
        <f>VLOOKUP(revenue[customerID],customers[],6,FALSE)</f>
        <v>Mannheim</v>
      </c>
      <c r="E895" s="24" t="str">
        <f>VLOOKUP(revenue[customerID],customers[],9,FALSE)</f>
        <v>Germany</v>
      </c>
      <c r="F895" s="24">
        <v>45104.0</v>
      </c>
      <c r="G895" s="6">
        <v>57.0</v>
      </c>
      <c r="H895" s="9" t="str">
        <f>VLOOKUP(revenue[productID],products[],2,FALSE)</f>
        <v>Ravioli Angelo</v>
      </c>
      <c r="I895" s="9" t="str">
        <f>VLOOKUP(revenue[productID],products[],12,FALSE)</f>
        <v>Grains/Cereals</v>
      </c>
      <c r="J895" s="9">
        <f>VLOOKUP(revenue[productID],products[],IF(YEAR(revenue[orderDate])=2022,8,IF(YEAR(revenue[orderDate])=2023,9,IF(YEAR(revenue[orderDate])=2024,10,NA))),FALSE)</f>
        <v>13.01870901</v>
      </c>
      <c r="K895" s="9">
        <v>19.5</v>
      </c>
      <c r="L895" s="25">
        <f>(revenue[orderPrice]-revenue[productCost])/revenue[productCost]</f>
        <v>0.4978443707</v>
      </c>
      <c r="M895" s="10">
        <v>4.0</v>
      </c>
      <c r="N895" s="25">
        <v>0.0</v>
      </c>
      <c r="O895" s="9">
        <f>revenue[orderPrice]*revenue[orderQuantity]</f>
        <v>78</v>
      </c>
      <c r="P895" s="9">
        <f>revenue[orderTotal]*(1-revenue[discountApllied])</f>
        <v>78</v>
      </c>
      <c r="Q895" s="9">
        <f>revenue[revenue]-(revenue[productCost]*revenue[orderQuantity])</f>
        <v>25.92516397</v>
      </c>
      <c r="R895" s="25">
        <f>IFERROR(revenue[profit]/revenue[revenue], 0)</f>
        <v>0.3323738971</v>
      </c>
      <c r="S895" s="9">
        <f>revenue[productCost]*revenue[orderQuantity]</f>
        <v>52.07483603</v>
      </c>
    </row>
    <row r="896" ht="15.75" customHeight="1">
      <c r="A896" s="6">
        <v>10582.0</v>
      </c>
      <c r="B896" s="7" t="s">
        <v>91</v>
      </c>
      <c r="C896" s="24" t="str">
        <f>VLOOKUP(revenue[customerID],customers[],2,FALSE)</f>
        <v>Blauer See Delikatessen</v>
      </c>
      <c r="D896" s="24" t="str">
        <f>VLOOKUP(revenue[customerID],customers[],6,FALSE)</f>
        <v>Mannheim</v>
      </c>
      <c r="E896" s="24" t="str">
        <f>VLOOKUP(revenue[customerID],customers[],9,FALSE)</f>
        <v>Germany</v>
      </c>
      <c r="F896" s="24">
        <v>45104.0</v>
      </c>
      <c r="G896" s="6">
        <v>76.0</v>
      </c>
      <c r="H896" s="9" t="str">
        <f>VLOOKUP(revenue[productID],products[],2,FALSE)</f>
        <v>Lakkalikööri</v>
      </c>
      <c r="I896" s="9" t="str">
        <f>VLOOKUP(revenue[productID],products[],12,FALSE)</f>
        <v>Beverages</v>
      </c>
      <c r="J896" s="9">
        <f>VLOOKUP(revenue[productID],products[],IF(YEAR(revenue[orderDate])=2022,8,IF(YEAR(revenue[orderDate])=2023,9,IF(YEAR(revenue[orderDate])=2024,10,NA))),FALSE)</f>
        <v>12.1154529</v>
      </c>
      <c r="K896" s="9">
        <v>18.0</v>
      </c>
      <c r="L896" s="25">
        <f>(revenue[orderPrice]-revenue[productCost])/revenue[productCost]</f>
        <v>0.4857059125</v>
      </c>
      <c r="M896" s="10">
        <v>14.0</v>
      </c>
      <c r="N896" s="25">
        <v>0.0</v>
      </c>
      <c r="O896" s="9">
        <f>revenue[orderPrice]*revenue[orderQuantity]</f>
        <v>252</v>
      </c>
      <c r="P896" s="9">
        <f>revenue[orderTotal]*(1-revenue[discountApllied])</f>
        <v>252</v>
      </c>
      <c r="Q896" s="9">
        <f>revenue[revenue]-(revenue[productCost]*revenue[orderQuantity])</f>
        <v>82.38365946</v>
      </c>
      <c r="R896" s="25">
        <f>IFERROR(revenue[profit]/revenue[revenue], 0)</f>
        <v>0.3269192836</v>
      </c>
      <c r="S896" s="9">
        <f>revenue[productCost]*revenue[orderQuantity]</f>
        <v>169.6163405</v>
      </c>
    </row>
    <row r="897" ht="15.75" customHeight="1">
      <c r="A897" s="6">
        <v>10583.0</v>
      </c>
      <c r="B897" s="7" t="s">
        <v>31</v>
      </c>
      <c r="C897" s="24" t="str">
        <f>VLOOKUP(revenue[customerID],customers[],2,FALSE)</f>
        <v>Wartian Herkku</v>
      </c>
      <c r="D897" s="24" t="str">
        <f>VLOOKUP(revenue[customerID],customers[],6,FALSE)</f>
        <v>Oulu</v>
      </c>
      <c r="E897" s="24" t="str">
        <f>VLOOKUP(revenue[customerID],customers[],9,FALSE)</f>
        <v>Finland</v>
      </c>
      <c r="F897" s="24">
        <v>45107.0</v>
      </c>
      <c r="G897" s="6">
        <v>29.0</v>
      </c>
      <c r="H897" s="9" t="str">
        <f>VLOOKUP(revenue[productID],products[],2,FALSE)</f>
        <v>Thüringer Rostbratwurst</v>
      </c>
      <c r="I897" s="9" t="str">
        <f>VLOOKUP(revenue[productID],products[],12,FALSE)</f>
        <v>Meat/Poultry</v>
      </c>
      <c r="J897" s="9">
        <f>VLOOKUP(revenue[productID],products[],IF(YEAR(revenue[orderDate])=2022,8,IF(YEAR(revenue[orderDate])=2023,9,IF(YEAR(revenue[orderDate])=2024,10,NA))),FALSE)</f>
        <v>80.85619497</v>
      </c>
      <c r="K897" s="9">
        <v>123.79</v>
      </c>
      <c r="L897" s="25">
        <f>(revenue[orderPrice]-revenue[productCost])/revenue[productCost]</f>
        <v>0.5309896792</v>
      </c>
      <c r="M897" s="10">
        <v>10.0</v>
      </c>
      <c r="N897" s="25">
        <v>0.0</v>
      </c>
      <c r="O897" s="9">
        <f>revenue[orderPrice]*revenue[orderQuantity]</f>
        <v>1237.9</v>
      </c>
      <c r="P897" s="9">
        <f>revenue[orderTotal]*(1-revenue[discountApllied])</f>
        <v>1237.9</v>
      </c>
      <c r="Q897" s="9">
        <f>revenue[revenue]-(revenue[productCost]*revenue[orderQuantity])</f>
        <v>429.3380503</v>
      </c>
      <c r="R897" s="25">
        <f>IFERROR(revenue[profit]/revenue[revenue], 0)</f>
        <v>0.3468277327</v>
      </c>
      <c r="S897" s="9">
        <f>revenue[productCost]*revenue[orderQuantity]</f>
        <v>808.5619497</v>
      </c>
    </row>
    <row r="898" ht="15.75" customHeight="1">
      <c r="A898" s="6">
        <v>10583.0</v>
      </c>
      <c r="B898" s="7" t="s">
        <v>31</v>
      </c>
      <c r="C898" s="24" t="str">
        <f>VLOOKUP(revenue[customerID],customers[],2,FALSE)</f>
        <v>Wartian Herkku</v>
      </c>
      <c r="D898" s="24" t="str">
        <f>VLOOKUP(revenue[customerID],customers[],6,FALSE)</f>
        <v>Oulu</v>
      </c>
      <c r="E898" s="24" t="str">
        <f>VLOOKUP(revenue[customerID],customers[],9,FALSE)</f>
        <v>Finland</v>
      </c>
      <c r="F898" s="24">
        <v>45107.0</v>
      </c>
      <c r="G898" s="6">
        <v>60.0</v>
      </c>
      <c r="H898" s="9" t="str">
        <f>VLOOKUP(revenue[productID],products[],2,FALSE)</f>
        <v>Camembert Pierrot</v>
      </c>
      <c r="I898" s="9" t="str">
        <f>VLOOKUP(revenue[productID],products[],12,FALSE)</f>
        <v>Dairy Products</v>
      </c>
      <c r="J898" s="9">
        <f>VLOOKUP(revenue[productID],products[],IF(YEAR(revenue[orderDate])=2022,8,IF(YEAR(revenue[orderDate])=2023,9,IF(YEAR(revenue[orderDate])=2024,10,NA))),FALSE)</f>
        <v>22.77098295</v>
      </c>
      <c r="K898" s="9">
        <v>34.0</v>
      </c>
      <c r="L898" s="25">
        <f>(revenue[orderPrice]-revenue[productCost])/revenue[productCost]</f>
        <v>0.4931283415</v>
      </c>
      <c r="M898" s="10">
        <v>24.0</v>
      </c>
      <c r="N898" s="25">
        <v>0.15</v>
      </c>
      <c r="O898" s="9">
        <f>revenue[orderPrice]*revenue[orderQuantity]</f>
        <v>816</v>
      </c>
      <c r="P898" s="9">
        <f>revenue[orderTotal]*(1-revenue[discountApllied])</f>
        <v>693.6</v>
      </c>
      <c r="Q898" s="9">
        <f>revenue[revenue]-(revenue[productCost]*revenue[orderQuantity])</f>
        <v>147.0964093</v>
      </c>
      <c r="R898" s="25">
        <f>IFERROR(revenue[profit]/revenue[revenue], 0)</f>
        <v>0.2120767147</v>
      </c>
      <c r="S898" s="9">
        <f>revenue[productCost]*revenue[orderQuantity]</f>
        <v>546.5035907</v>
      </c>
    </row>
    <row r="899" ht="15.75" customHeight="1">
      <c r="A899" s="6">
        <v>10583.0</v>
      </c>
      <c r="B899" s="7" t="s">
        <v>31</v>
      </c>
      <c r="C899" s="24" t="str">
        <f>VLOOKUP(revenue[customerID],customers[],2,FALSE)</f>
        <v>Wartian Herkku</v>
      </c>
      <c r="D899" s="24" t="str">
        <f>VLOOKUP(revenue[customerID],customers[],6,FALSE)</f>
        <v>Oulu</v>
      </c>
      <c r="E899" s="24" t="str">
        <f>VLOOKUP(revenue[customerID],customers[],9,FALSE)</f>
        <v>Finland</v>
      </c>
      <c r="F899" s="24">
        <v>45107.0</v>
      </c>
      <c r="G899" s="6">
        <v>69.0</v>
      </c>
      <c r="H899" s="9" t="str">
        <f>VLOOKUP(revenue[productID],products[],2,FALSE)</f>
        <v>Gudbrandsdalsost</v>
      </c>
      <c r="I899" s="9" t="str">
        <f>VLOOKUP(revenue[productID],products[],12,FALSE)</f>
        <v>Dairy Products</v>
      </c>
      <c r="J899" s="9">
        <f>VLOOKUP(revenue[productID],products[],IF(YEAR(revenue[orderDate])=2022,8,IF(YEAR(revenue[orderDate])=2023,9,IF(YEAR(revenue[orderDate])=2024,10,NA))),FALSE)</f>
        <v>21.82428612</v>
      </c>
      <c r="K899" s="9">
        <v>36.0</v>
      </c>
      <c r="L899" s="25">
        <f>(revenue[orderPrice]-revenue[productCost])/revenue[productCost]</f>
        <v>0.6495384916</v>
      </c>
      <c r="M899" s="10">
        <v>10.0</v>
      </c>
      <c r="N899" s="25">
        <v>0.15</v>
      </c>
      <c r="O899" s="9">
        <f>revenue[orderPrice]*revenue[orderQuantity]</f>
        <v>360</v>
      </c>
      <c r="P899" s="9">
        <f>revenue[orderTotal]*(1-revenue[discountApllied])</f>
        <v>306</v>
      </c>
      <c r="Q899" s="9">
        <f>revenue[revenue]-(revenue[productCost]*revenue[orderQuantity])</f>
        <v>87.75713884</v>
      </c>
      <c r="R899" s="25">
        <f>IFERROR(revenue[profit]/revenue[revenue], 0)</f>
        <v>0.2867880354</v>
      </c>
      <c r="S899" s="9">
        <f>revenue[productCost]*revenue[orderQuantity]</f>
        <v>218.2428612</v>
      </c>
    </row>
    <row r="900" ht="15.75" customHeight="1">
      <c r="A900" s="6">
        <v>10584.0</v>
      </c>
      <c r="B900" s="7" t="s">
        <v>30</v>
      </c>
      <c r="C900" s="24" t="str">
        <f>VLOOKUP(revenue[customerID],customers[],2,FALSE)</f>
        <v>Blondesddsl père et fils</v>
      </c>
      <c r="D900" s="24" t="str">
        <f>VLOOKUP(revenue[customerID],customers[],6,FALSE)</f>
        <v>Strasbourg</v>
      </c>
      <c r="E900" s="24" t="str">
        <f>VLOOKUP(revenue[customerID],customers[],9,FALSE)</f>
        <v>France</v>
      </c>
      <c r="F900" s="24">
        <v>45107.0</v>
      </c>
      <c r="G900" s="6">
        <v>31.0</v>
      </c>
      <c r="H900" s="9" t="str">
        <f>VLOOKUP(revenue[productID],products[],2,FALSE)</f>
        <v>Gorgonzola Telino</v>
      </c>
      <c r="I900" s="9" t="str">
        <f>VLOOKUP(revenue[productID],products[],12,FALSE)</f>
        <v>Dairy Products</v>
      </c>
      <c r="J900" s="9">
        <f>VLOOKUP(revenue[productID],products[],IF(YEAR(revenue[orderDate])=2022,8,IF(YEAR(revenue[orderDate])=2023,9,IF(YEAR(revenue[orderDate])=2024,10,NA))),FALSE)</f>
        <v>7.937729254</v>
      </c>
      <c r="K900" s="9">
        <v>12.5</v>
      </c>
      <c r="L900" s="25">
        <f>(revenue[orderPrice]-revenue[productCost])/revenue[productCost]</f>
        <v>0.5747576668</v>
      </c>
      <c r="M900" s="10">
        <v>50.0</v>
      </c>
      <c r="N900" s="25">
        <v>0.05</v>
      </c>
      <c r="O900" s="9">
        <f>revenue[orderPrice]*revenue[orderQuantity]</f>
        <v>625</v>
      </c>
      <c r="P900" s="9">
        <f>revenue[orderTotal]*(1-revenue[discountApllied])</f>
        <v>593.75</v>
      </c>
      <c r="Q900" s="9">
        <f>revenue[revenue]-(revenue[productCost]*revenue[orderQuantity])</f>
        <v>196.8635373</v>
      </c>
      <c r="R900" s="25">
        <f>IFERROR(revenue[profit]/revenue[revenue], 0)</f>
        <v>0.3315596417</v>
      </c>
      <c r="S900" s="9">
        <f>revenue[productCost]*revenue[orderQuantity]</f>
        <v>396.8864627</v>
      </c>
    </row>
    <row r="901" ht="15.75" customHeight="1">
      <c r="A901" s="6">
        <v>10585.0</v>
      </c>
      <c r="B901" s="7" t="s">
        <v>22</v>
      </c>
      <c r="C901" s="24" t="str">
        <f>VLOOKUP(revenue[customerID],customers[],2,FALSE)</f>
        <v>Wellington Importadora</v>
      </c>
      <c r="D901" s="24" t="str">
        <f>VLOOKUP(revenue[customerID],customers[],6,FALSE)</f>
        <v>Resende</v>
      </c>
      <c r="E901" s="24" t="str">
        <f>VLOOKUP(revenue[customerID],customers[],9,FALSE)</f>
        <v>Brazil</v>
      </c>
      <c r="F901" s="24">
        <v>45108.0</v>
      </c>
      <c r="G901" s="6">
        <v>47.0</v>
      </c>
      <c r="H901" s="9" t="str">
        <f>VLOOKUP(revenue[productID],products[],2,FALSE)</f>
        <v>Zaanse koeken</v>
      </c>
      <c r="I901" s="9" t="str">
        <f>VLOOKUP(revenue[productID],products[],12,FALSE)</f>
        <v>Confections</v>
      </c>
      <c r="J901" s="9">
        <f>VLOOKUP(revenue[productID],products[],IF(YEAR(revenue[orderDate])=2022,8,IF(YEAR(revenue[orderDate])=2023,9,IF(YEAR(revenue[orderDate])=2024,10,NA))),FALSE)</f>
        <v>6.57708833</v>
      </c>
      <c r="K901" s="9">
        <v>9.5</v>
      </c>
      <c r="L901" s="25">
        <f>(revenue[orderPrice]-revenue[productCost])/revenue[productCost]</f>
        <v>0.4444081519</v>
      </c>
      <c r="M901" s="10">
        <v>15.0</v>
      </c>
      <c r="N901" s="25">
        <v>0.0</v>
      </c>
      <c r="O901" s="9">
        <f>revenue[orderPrice]*revenue[orderQuantity]</f>
        <v>142.5</v>
      </c>
      <c r="P901" s="9">
        <f>revenue[orderTotal]*(1-revenue[discountApllied])</f>
        <v>142.5</v>
      </c>
      <c r="Q901" s="9">
        <f>revenue[revenue]-(revenue[productCost]*revenue[orderQuantity])</f>
        <v>43.84367504</v>
      </c>
      <c r="R901" s="25">
        <f>IFERROR(revenue[profit]/revenue[revenue], 0)</f>
        <v>0.3076749126</v>
      </c>
      <c r="S901" s="9">
        <f>revenue[productCost]*revenue[orderQuantity]</f>
        <v>98.65632496</v>
      </c>
    </row>
    <row r="902" ht="15.75" customHeight="1">
      <c r="A902" s="6">
        <v>10586.0</v>
      </c>
      <c r="B902" s="7" t="s">
        <v>45</v>
      </c>
      <c r="C902" s="24" t="str">
        <f>VLOOKUP(revenue[customerID],customers[],2,FALSE)</f>
        <v>Reggiani Caseifici</v>
      </c>
      <c r="D902" s="24" t="str">
        <f>VLOOKUP(revenue[customerID],customers[],6,FALSE)</f>
        <v>Reggio Emilia</v>
      </c>
      <c r="E902" s="24" t="str">
        <f>VLOOKUP(revenue[customerID],customers[],9,FALSE)</f>
        <v>Italy</v>
      </c>
      <c r="F902" s="24">
        <v>45109.0</v>
      </c>
      <c r="G902" s="6">
        <v>52.0</v>
      </c>
      <c r="H902" s="9" t="str">
        <f>VLOOKUP(revenue[productID],products[],2,FALSE)</f>
        <v>Filo Mix</v>
      </c>
      <c r="I902" s="9" t="str">
        <f>VLOOKUP(revenue[productID],products[],12,FALSE)</f>
        <v>Grains/Cereals</v>
      </c>
      <c r="J902" s="9">
        <f>VLOOKUP(revenue[productID],products[],IF(YEAR(revenue[orderDate])=2022,8,IF(YEAR(revenue[orderDate])=2023,9,IF(YEAR(revenue[orderDate])=2024,10,NA))),FALSE)</f>
        <v>5.001706713</v>
      </c>
      <c r="K902" s="9">
        <v>7.0</v>
      </c>
      <c r="L902" s="25">
        <f>(revenue[orderPrice]-revenue[productCost])/revenue[productCost]</f>
        <v>0.3995222835</v>
      </c>
      <c r="M902" s="10">
        <v>4.0</v>
      </c>
      <c r="N902" s="25">
        <v>0.15</v>
      </c>
      <c r="O902" s="9">
        <f>revenue[orderPrice]*revenue[orderQuantity]</f>
        <v>28</v>
      </c>
      <c r="P902" s="9">
        <f>revenue[orderTotal]*(1-revenue[discountApllied])</f>
        <v>23.8</v>
      </c>
      <c r="Q902" s="9">
        <f>revenue[revenue]-(revenue[productCost]*revenue[orderQuantity])</f>
        <v>3.793173149</v>
      </c>
      <c r="R902" s="25">
        <f>IFERROR(revenue[profit]/revenue[revenue], 0)</f>
        <v>0.1593770231</v>
      </c>
      <c r="S902" s="9">
        <f>revenue[productCost]*revenue[orderQuantity]</f>
        <v>20.00682685</v>
      </c>
    </row>
    <row r="903" ht="15.75" customHeight="1">
      <c r="A903" s="6">
        <v>10587.0</v>
      </c>
      <c r="B903" s="7" t="s">
        <v>27</v>
      </c>
      <c r="C903" s="24" t="str">
        <f>VLOOKUP(revenue[customerID],customers[],2,FALSE)</f>
        <v>Que Delícia</v>
      </c>
      <c r="D903" s="24" t="str">
        <f>VLOOKUP(revenue[customerID],customers[],6,FALSE)</f>
        <v>Rio de Janeiro</v>
      </c>
      <c r="E903" s="24" t="str">
        <f>VLOOKUP(revenue[customerID],customers[],9,FALSE)</f>
        <v>Brazil</v>
      </c>
      <c r="F903" s="24">
        <v>45109.0</v>
      </c>
      <c r="G903" s="6">
        <v>26.0</v>
      </c>
      <c r="H903" s="9" t="str">
        <f>VLOOKUP(revenue[productID],products[],2,FALSE)</f>
        <v>NuNuCa Nuß-Nougat-Creme</v>
      </c>
      <c r="I903" s="9" t="str">
        <f>VLOOKUP(revenue[productID],products[],12,FALSE)</f>
        <v>Confections</v>
      </c>
      <c r="J903" s="9">
        <f>VLOOKUP(revenue[productID],products[],IF(YEAR(revenue[orderDate])=2022,8,IF(YEAR(revenue[orderDate])=2023,9,IF(YEAR(revenue[orderDate])=2024,10,NA))),FALSE)</f>
        <v>21.20896201</v>
      </c>
      <c r="K903" s="9">
        <v>31.23</v>
      </c>
      <c r="L903" s="25">
        <f>(revenue[orderPrice]-revenue[productCost])/revenue[productCost]</f>
        <v>0.472490732</v>
      </c>
      <c r="M903" s="10">
        <v>6.0</v>
      </c>
      <c r="N903" s="25">
        <v>0.0</v>
      </c>
      <c r="O903" s="9">
        <f>revenue[orderPrice]*revenue[orderQuantity]</f>
        <v>187.38</v>
      </c>
      <c r="P903" s="9">
        <f>revenue[orderTotal]*(1-revenue[discountApllied])</f>
        <v>187.38</v>
      </c>
      <c r="Q903" s="9">
        <f>revenue[revenue]-(revenue[productCost]*revenue[orderQuantity])</f>
        <v>60.12622792</v>
      </c>
      <c r="R903" s="25">
        <f>IFERROR(revenue[profit]/revenue[revenue], 0)</f>
        <v>0.3208785779</v>
      </c>
      <c r="S903" s="9">
        <f>revenue[productCost]*revenue[orderQuantity]</f>
        <v>127.2537721</v>
      </c>
    </row>
    <row r="904" ht="15.75" customHeight="1">
      <c r="A904" s="6">
        <v>10587.0</v>
      </c>
      <c r="B904" s="7" t="s">
        <v>27</v>
      </c>
      <c r="C904" s="24" t="str">
        <f>VLOOKUP(revenue[customerID],customers[],2,FALSE)</f>
        <v>Que Delícia</v>
      </c>
      <c r="D904" s="24" t="str">
        <f>VLOOKUP(revenue[customerID],customers[],6,FALSE)</f>
        <v>Rio de Janeiro</v>
      </c>
      <c r="E904" s="24" t="str">
        <f>VLOOKUP(revenue[customerID],customers[],9,FALSE)</f>
        <v>Brazil</v>
      </c>
      <c r="F904" s="24">
        <v>45109.0</v>
      </c>
      <c r="G904" s="6">
        <v>35.0</v>
      </c>
      <c r="H904" s="9" t="str">
        <f>VLOOKUP(revenue[productID],products[],2,FALSE)</f>
        <v>Cold Brew Nitro</v>
      </c>
      <c r="I904" s="9" t="str">
        <f>VLOOKUP(revenue[productID],products[],12,FALSE)</f>
        <v>Beverages</v>
      </c>
      <c r="J904" s="9">
        <f>VLOOKUP(revenue[productID],products[],IF(YEAR(revenue[orderDate])=2022,8,IF(YEAR(revenue[orderDate])=2023,9,IF(YEAR(revenue[orderDate])=2024,10,NA))),FALSE)</f>
        <v>11.7602531</v>
      </c>
      <c r="K904" s="9">
        <v>18.0</v>
      </c>
      <c r="L904" s="25">
        <f>(revenue[orderPrice]-revenue[productCost])/revenue[productCost]</f>
        <v>0.5305793033</v>
      </c>
      <c r="M904" s="10">
        <v>20.0</v>
      </c>
      <c r="N904" s="25">
        <v>0.0</v>
      </c>
      <c r="O904" s="9">
        <f>revenue[orderPrice]*revenue[orderQuantity]</f>
        <v>360</v>
      </c>
      <c r="P904" s="9">
        <f>revenue[orderTotal]*(1-revenue[discountApllied])</f>
        <v>360</v>
      </c>
      <c r="Q904" s="9">
        <f>revenue[revenue]-(revenue[productCost]*revenue[orderQuantity])</f>
        <v>124.794938</v>
      </c>
      <c r="R904" s="25">
        <f>IFERROR(revenue[profit]/revenue[revenue], 0)</f>
        <v>0.3466526054</v>
      </c>
      <c r="S904" s="9">
        <f>revenue[productCost]*revenue[orderQuantity]</f>
        <v>235.205062</v>
      </c>
    </row>
    <row r="905" ht="15.75" customHeight="1">
      <c r="A905" s="6">
        <v>10587.0</v>
      </c>
      <c r="B905" s="7" t="s">
        <v>27</v>
      </c>
      <c r="C905" s="24" t="str">
        <f>VLOOKUP(revenue[customerID],customers[],2,FALSE)</f>
        <v>Que Delícia</v>
      </c>
      <c r="D905" s="24" t="str">
        <f>VLOOKUP(revenue[customerID],customers[],6,FALSE)</f>
        <v>Rio de Janeiro</v>
      </c>
      <c r="E905" s="24" t="str">
        <f>VLOOKUP(revenue[customerID],customers[],9,FALSE)</f>
        <v>Brazil</v>
      </c>
      <c r="F905" s="24">
        <v>45109.0</v>
      </c>
      <c r="G905" s="6">
        <v>77.0</v>
      </c>
      <c r="H905" s="9" t="str">
        <f>VLOOKUP(revenue[productID],products[],2,FALSE)</f>
        <v>Original Frankfurter grüne Soße</v>
      </c>
      <c r="I905" s="9" t="str">
        <f>VLOOKUP(revenue[productID],products[],12,FALSE)</f>
        <v>Condiments</v>
      </c>
      <c r="J905" s="9">
        <f>VLOOKUP(revenue[productID],products[],IF(YEAR(revenue[orderDate])=2022,8,IF(YEAR(revenue[orderDate])=2023,9,IF(YEAR(revenue[orderDate])=2024,10,NA))),FALSE)</f>
        <v>7.539056452</v>
      </c>
      <c r="K905" s="9">
        <v>13.0</v>
      </c>
      <c r="L905" s="25">
        <f>(revenue[orderPrice]-revenue[productCost])/revenue[productCost]</f>
        <v>0.7243537149</v>
      </c>
      <c r="M905" s="10">
        <v>20.0</v>
      </c>
      <c r="N905" s="25">
        <v>0.0</v>
      </c>
      <c r="O905" s="9">
        <f>revenue[orderPrice]*revenue[orderQuantity]</f>
        <v>260</v>
      </c>
      <c r="P905" s="9">
        <f>revenue[orderTotal]*(1-revenue[discountApllied])</f>
        <v>260</v>
      </c>
      <c r="Q905" s="9">
        <f>revenue[revenue]-(revenue[productCost]*revenue[orderQuantity])</f>
        <v>109.218871</v>
      </c>
      <c r="R905" s="25">
        <f>IFERROR(revenue[profit]/revenue[revenue], 0)</f>
        <v>0.4200725806</v>
      </c>
      <c r="S905" s="9">
        <f>revenue[productCost]*revenue[orderQuantity]</f>
        <v>150.781129</v>
      </c>
    </row>
    <row r="906" ht="15.75" customHeight="1">
      <c r="A906" s="6">
        <v>10588.0</v>
      </c>
      <c r="B906" s="7" t="s">
        <v>36</v>
      </c>
      <c r="C906" s="24" t="str">
        <f>VLOOKUP(revenue[customerID],customers[],2,FALSE)</f>
        <v>QUICK-Stop</v>
      </c>
      <c r="D906" s="24" t="str">
        <f>VLOOKUP(revenue[customerID],customers[],6,FALSE)</f>
        <v>Cunewalde</v>
      </c>
      <c r="E906" s="24" t="str">
        <f>VLOOKUP(revenue[customerID],customers[],9,FALSE)</f>
        <v>Germany</v>
      </c>
      <c r="F906" s="24">
        <v>45110.0</v>
      </c>
      <c r="G906" s="6">
        <v>18.0</v>
      </c>
      <c r="H906" s="9" t="str">
        <f>VLOOKUP(revenue[productID],products[],2,FALSE)</f>
        <v>Carnarvon Tigers</v>
      </c>
      <c r="I906" s="9" t="str">
        <f>VLOOKUP(revenue[productID],products[],12,FALSE)</f>
        <v>Seafood</v>
      </c>
      <c r="J906" s="9">
        <f>VLOOKUP(revenue[productID],products[],IF(YEAR(revenue[orderDate])=2022,8,IF(YEAR(revenue[orderDate])=2023,9,IF(YEAR(revenue[orderDate])=2024,10,NA))),FALSE)</f>
        <v>39.51966651</v>
      </c>
      <c r="K906" s="9">
        <v>62.5</v>
      </c>
      <c r="L906" s="25">
        <f>(revenue[orderPrice]-revenue[productCost])/revenue[productCost]</f>
        <v>0.5814910784</v>
      </c>
      <c r="M906" s="10">
        <v>40.0</v>
      </c>
      <c r="N906" s="25">
        <v>0.2</v>
      </c>
      <c r="O906" s="9">
        <f>revenue[orderPrice]*revenue[orderQuantity]</f>
        <v>2500</v>
      </c>
      <c r="P906" s="9">
        <f>revenue[orderTotal]*(1-revenue[discountApllied])</f>
        <v>2000</v>
      </c>
      <c r="Q906" s="9">
        <f>revenue[revenue]-(revenue[productCost]*revenue[orderQuantity])</f>
        <v>419.2133398</v>
      </c>
      <c r="R906" s="25">
        <f>IFERROR(revenue[profit]/revenue[revenue], 0)</f>
        <v>0.2096066699</v>
      </c>
      <c r="S906" s="9">
        <f>revenue[productCost]*revenue[orderQuantity]</f>
        <v>1580.78666</v>
      </c>
    </row>
    <row r="907" ht="15.75" customHeight="1">
      <c r="A907" s="6">
        <v>10588.0</v>
      </c>
      <c r="B907" s="7" t="s">
        <v>36</v>
      </c>
      <c r="C907" s="24" t="str">
        <f>VLOOKUP(revenue[customerID],customers[],2,FALSE)</f>
        <v>QUICK-Stop</v>
      </c>
      <c r="D907" s="24" t="str">
        <f>VLOOKUP(revenue[customerID],customers[],6,FALSE)</f>
        <v>Cunewalde</v>
      </c>
      <c r="E907" s="24" t="str">
        <f>VLOOKUP(revenue[customerID],customers[],9,FALSE)</f>
        <v>Germany</v>
      </c>
      <c r="F907" s="24">
        <v>45110.0</v>
      </c>
      <c r="G907" s="6">
        <v>42.0</v>
      </c>
      <c r="H907" s="9" t="str">
        <f>VLOOKUP(revenue[productID],products[],2,FALSE)</f>
        <v>Singaporean Hokkien Fried Mee</v>
      </c>
      <c r="I907" s="9" t="str">
        <f>VLOOKUP(revenue[productID],products[],12,FALSE)</f>
        <v>Grains/Cereals</v>
      </c>
      <c r="J907" s="9">
        <f>VLOOKUP(revenue[productID],products[],IF(YEAR(revenue[orderDate])=2022,8,IF(YEAR(revenue[orderDate])=2023,9,IF(YEAR(revenue[orderDate])=2024,10,NA))),FALSE)</f>
        <v>9.105641621</v>
      </c>
      <c r="K907" s="9">
        <v>14.0</v>
      </c>
      <c r="L907" s="25">
        <f>(revenue[orderPrice]-revenue[productCost])/revenue[productCost]</f>
        <v>0.5375083474</v>
      </c>
      <c r="M907" s="10">
        <v>100.0</v>
      </c>
      <c r="N907" s="25">
        <v>0.2</v>
      </c>
      <c r="O907" s="9">
        <f>revenue[orderPrice]*revenue[orderQuantity]</f>
        <v>1400</v>
      </c>
      <c r="P907" s="9">
        <f>revenue[orderTotal]*(1-revenue[discountApllied])</f>
        <v>1120</v>
      </c>
      <c r="Q907" s="9">
        <f>revenue[revenue]-(revenue[productCost]*revenue[orderQuantity])</f>
        <v>209.4358379</v>
      </c>
      <c r="R907" s="25">
        <f>IFERROR(revenue[profit]/revenue[revenue], 0)</f>
        <v>0.1869962839</v>
      </c>
      <c r="S907" s="9">
        <f>revenue[productCost]*revenue[orderQuantity]</f>
        <v>910.5641621</v>
      </c>
    </row>
    <row r="908" ht="15.75" customHeight="1">
      <c r="A908" s="6">
        <v>10589.0</v>
      </c>
      <c r="B908" s="7" t="s">
        <v>94</v>
      </c>
      <c r="C908" s="24" t="str">
        <f>VLOOKUP(revenue[customerID],customers[],2,FALSE)</f>
        <v>Great Lakes Food Market</v>
      </c>
      <c r="D908" s="24" t="str">
        <f>VLOOKUP(revenue[customerID],customers[],6,FALSE)</f>
        <v>Eugene</v>
      </c>
      <c r="E908" s="24" t="str">
        <f>VLOOKUP(revenue[customerID],customers[],9,FALSE)</f>
        <v>USA</v>
      </c>
      <c r="F908" s="24">
        <v>45111.0</v>
      </c>
      <c r="G908" s="6">
        <v>35.0</v>
      </c>
      <c r="H908" s="9" t="str">
        <f>VLOOKUP(revenue[productID],products[],2,FALSE)</f>
        <v>Cold Brew Nitro</v>
      </c>
      <c r="I908" s="9" t="str">
        <f>VLOOKUP(revenue[productID],products[],12,FALSE)</f>
        <v>Beverages</v>
      </c>
      <c r="J908" s="9">
        <f>VLOOKUP(revenue[productID],products[],IF(YEAR(revenue[orderDate])=2022,8,IF(YEAR(revenue[orderDate])=2023,9,IF(YEAR(revenue[orderDate])=2024,10,NA))),FALSE)</f>
        <v>11.7602531</v>
      </c>
      <c r="K908" s="9">
        <v>18.0</v>
      </c>
      <c r="L908" s="25">
        <f>(revenue[orderPrice]-revenue[productCost])/revenue[productCost]</f>
        <v>0.5305793033</v>
      </c>
      <c r="M908" s="10">
        <v>4.0</v>
      </c>
      <c r="N908" s="25">
        <v>0.0</v>
      </c>
      <c r="O908" s="9">
        <f>revenue[orderPrice]*revenue[orderQuantity]</f>
        <v>72</v>
      </c>
      <c r="P908" s="9">
        <f>revenue[orderTotal]*(1-revenue[discountApllied])</f>
        <v>72</v>
      </c>
      <c r="Q908" s="9">
        <f>revenue[revenue]-(revenue[productCost]*revenue[orderQuantity])</f>
        <v>24.95898759</v>
      </c>
      <c r="R908" s="25">
        <f>IFERROR(revenue[profit]/revenue[revenue], 0)</f>
        <v>0.3466526054</v>
      </c>
      <c r="S908" s="9">
        <f>revenue[productCost]*revenue[orderQuantity]</f>
        <v>47.04101241</v>
      </c>
    </row>
    <row r="909" ht="15.75" customHeight="1">
      <c r="A909" s="6">
        <v>10590.0</v>
      </c>
      <c r="B909" s="7" t="s">
        <v>64</v>
      </c>
      <c r="C909" s="24" t="str">
        <f>VLOOKUP(revenue[customerID],customers[],2,FALSE)</f>
        <v>Mère Paillarde</v>
      </c>
      <c r="D909" s="24" t="str">
        <f>VLOOKUP(revenue[customerID],customers[],6,FALSE)</f>
        <v>Montréal</v>
      </c>
      <c r="E909" s="24" t="str">
        <f>VLOOKUP(revenue[customerID],customers[],9,FALSE)</f>
        <v>Canada</v>
      </c>
      <c r="F909" s="24">
        <v>45114.0</v>
      </c>
      <c r="G909" s="6">
        <v>1.0</v>
      </c>
      <c r="H909" s="9" t="str">
        <f>VLOOKUP(revenue[productID],products[],2,FALSE)</f>
        <v>Chai</v>
      </c>
      <c r="I909" s="9" t="str">
        <f>VLOOKUP(revenue[productID],products[],12,FALSE)</f>
        <v>Beverages</v>
      </c>
      <c r="J909" s="9">
        <f>VLOOKUP(revenue[productID],products[],IF(YEAR(revenue[orderDate])=2022,8,IF(YEAR(revenue[orderDate])=2023,9,IF(YEAR(revenue[orderDate])=2024,10,NA))),FALSE)</f>
        <v>12.15847607</v>
      </c>
      <c r="K909" s="9">
        <v>18.0</v>
      </c>
      <c r="L909" s="25">
        <f>(revenue[orderPrice]-revenue[productCost])/revenue[productCost]</f>
        <v>0.4804486927</v>
      </c>
      <c r="M909" s="10">
        <v>20.0</v>
      </c>
      <c r="N909" s="25">
        <v>0.0</v>
      </c>
      <c r="O909" s="9">
        <f>revenue[orderPrice]*revenue[orderQuantity]</f>
        <v>360</v>
      </c>
      <c r="P909" s="9">
        <f>revenue[orderTotal]*(1-revenue[discountApllied])</f>
        <v>360</v>
      </c>
      <c r="Q909" s="9">
        <f>revenue[revenue]-(revenue[productCost]*revenue[orderQuantity])</f>
        <v>116.8304786</v>
      </c>
      <c r="R909" s="25">
        <f>IFERROR(revenue[profit]/revenue[revenue], 0)</f>
        <v>0.3245291073</v>
      </c>
      <c r="S909" s="9">
        <f>revenue[productCost]*revenue[orderQuantity]</f>
        <v>243.1695214</v>
      </c>
    </row>
    <row r="910" ht="15.75" customHeight="1">
      <c r="A910" s="6">
        <v>10590.0</v>
      </c>
      <c r="B910" s="7" t="s">
        <v>64</v>
      </c>
      <c r="C910" s="24" t="str">
        <f>VLOOKUP(revenue[customerID],customers[],2,FALSE)</f>
        <v>Mère Paillarde</v>
      </c>
      <c r="D910" s="24" t="str">
        <f>VLOOKUP(revenue[customerID],customers[],6,FALSE)</f>
        <v>Montréal</v>
      </c>
      <c r="E910" s="24" t="str">
        <f>VLOOKUP(revenue[customerID],customers[],9,FALSE)</f>
        <v>Canada</v>
      </c>
      <c r="F910" s="24">
        <v>45114.0</v>
      </c>
      <c r="G910" s="6">
        <v>77.0</v>
      </c>
      <c r="H910" s="9" t="str">
        <f>VLOOKUP(revenue[productID],products[],2,FALSE)</f>
        <v>Original Frankfurter grüne Soße</v>
      </c>
      <c r="I910" s="9" t="str">
        <f>VLOOKUP(revenue[productID],products[],12,FALSE)</f>
        <v>Condiments</v>
      </c>
      <c r="J910" s="9">
        <f>VLOOKUP(revenue[productID],products[],IF(YEAR(revenue[orderDate])=2022,8,IF(YEAR(revenue[orderDate])=2023,9,IF(YEAR(revenue[orderDate])=2024,10,NA))),FALSE)</f>
        <v>7.539056452</v>
      </c>
      <c r="K910" s="9">
        <v>13.0</v>
      </c>
      <c r="L910" s="25">
        <f>(revenue[orderPrice]-revenue[productCost])/revenue[productCost]</f>
        <v>0.7243537149</v>
      </c>
      <c r="M910" s="10">
        <v>60.0</v>
      </c>
      <c r="N910" s="25">
        <v>0.05</v>
      </c>
      <c r="O910" s="9">
        <f>revenue[orderPrice]*revenue[orderQuantity]</f>
        <v>780</v>
      </c>
      <c r="P910" s="9">
        <f>revenue[orderTotal]*(1-revenue[discountApllied])</f>
        <v>741</v>
      </c>
      <c r="Q910" s="9">
        <f>revenue[revenue]-(revenue[productCost]*revenue[orderQuantity])</f>
        <v>288.6566129</v>
      </c>
      <c r="R910" s="25">
        <f>IFERROR(revenue[profit]/revenue[revenue], 0)</f>
        <v>0.3895500848</v>
      </c>
      <c r="S910" s="9">
        <f>revenue[productCost]*revenue[orderQuantity]</f>
        <v>452.3433871</v>
      </c>
    </row>
    <row r="911" ht="15.75" customHeight="1">
      <c r="A911" s="6">
        <v>10591.0</v>
      </c>
      <c r="B911" s="7" t="s">
        <v>76</v>
      </c>
      <c r="C911" s="24" t="str">
        <f>VLOOKUP(revenue[customerID],customers[],2,FALSE)</f>
        <v>Vaffeljernet</v>
      </c>
      <c r="D911" s="24" t="str">
        <f>VLOOKUP(revenue[customerID],customers[],6,FALSE)</f>
        <v>Århus</v>
      </c>
      <c r="E911" s="24" t="str">
        <f>VLOOKUP(revenue[customerID],customers[],9,FALSE)</f>
        <v>Denmark</v>
      </c>
      <c r="F911" s="24">
        <v>45114.0</v>
      </c>
      <c r="G911" s="6">
        <v>3.0</v>
      </c>
      <c r="H911" s="9" t="str">
        <f>VLOOKUP(revenue[productID],products[],2,FALSE)</f>
        <v>Aniseed Syrup</v>
      </c>
      <c r="I911" s="9" t="str">
        <f>VLOOKUP(revenue[productID],products[],12,FALSE)</f>
        <v>Condiments</v>
      </c>
      <c r="J911" s="9">
        <f>VLOOKUP(revenue[productID],products[],IF(YEAR(revenue[orderDate])=2022,8,IF(YEAR(revenue[orderDate])=2023,9,IF(YEAR(revenue[orderDate])=2024,10,NA))),FALSE)</f>
        <v>6.399802633</v>
      </c>
      <c r="K911" s="9">
        <v>10.0</v>
      </c>
      <c r="L911" s="25">
        <f>(revenue[orderPrice]-revenue[productCost])/revenue[productCost]</f>
        <v>0.5625481867</v>
      </c>
      <c r="M911" s="10">
        <v>14.0</v>
      </c>
      <c r="N911" s="25">
        <v>0.0</v>
      </c>
      <c r="O911" s="9">
        <f>revenue[orderPrice]*revenue[orderQuantity]</f>
        <v>140</v>
      </c>
      <c r="P911" s="9">
        <f>revenue[orderTotal]*(1-revenue[discountApllied])</f>
        <v>140</v>
      </c>
      <c r="Q911" s="9">
        <f>revenue[revenue]-(revenue[productCost]*revenue[orderQuantity])</f>
        <v>50.40276313</v>
      </c>
      <c r="R911" s="25">
        <f>IFERROR(revenue[profit]/revenue[revenue], 0)</f>
        <v>0.3600197367</v>
      </c>
      <c r="S911" s="9">
        <f>revenue[productCost]*revenue[orderQuantity]</f>
        <v>89.59723687</v>
      </c>
    </row>
    <row r="912" ht="15.75" customHeight="1">
      <c r="A912" s="6">
        <v>10591.0</v>
      </c>
      <c r="B912" s="7" t="s">
        <v>76</v>
      </c>
      <c r="C912" s="24" t="str">
        <f>VLOOKUP(revenue[customerID],customers[],2,FALSE)</f>
        <v>Vaffeljernet</v>
      </c>
      <c r="D912" s="24" t="str">
        <f>VLOOKUP(revenue[customerID],customers[],6,FALSE)</f>
        <v>Århus</v>
      </c>
      <c r="E912" s="24" t="str">
        <f>VLOOKUP(revenue[customerID],customers[],9,FALSE)</f>
        <v>Denmark</v>
      </c>
      <c r="F912" s="24">
        <v>45114.0</v>
      </c>
      <c r="G912" s="6">
        <v>7.0</v>
      </c>
      <c r="H912" s="9" t="str">
        <f>VLOOKUP(revenue[productID],products[],2,FALSE)</f>
        <v>Uncle Bob's Organic Dried Pears</v>
      </c>
      <c r="I912" s="9" t="str">
        <f>VLOOKUP(revenue[productID],products[],12,FALSE)</f>
        <v>Produce</v>
      </c>
      <c r="J912" s="9">
        <f>VLOOKUP(revenue[productID],products[],IF(YEAR(revenue[orderDate])=2022,8,IF(YEAR(revenue[orderDate])=2023,9,IF(YEAR(revenue[orderDate])=2024,10,NA))),FALSE)</f>
        <v>21.39244625</v>
      </c>
      <c r="K912" s="9">
        <v>30.0</v>
      </c>
      <c r="L912" s="25">
        <f>(revenue[orderPrice]-revenue[productCost])/revenue[productCost]</f>
        <v>0.4023641636</v>
      </c>
      <c r="M912" s="10">
        <v>10.0</v>
      </c>
      <c r="N912" s="25">
        <v>0.0</v>
      </c>
      <c r="O912" s="9">
        <f>revenue[orderPrice]*revenue[orderQuantity]</f>
        <v>300</v>
      </c>
      <c r="P912" s="9">
        <f>revenue[orderTotal]*(1-revenue[discountApllied])</f>
        <v>300</v>
      </c>
      <c r="Q912" s="9">
        <f>revenue[revenue]-(revenue[productCost]*revenue[orderQuantity])</f>
        <v>86.07553745</v>
      </c>
      <c r="R912" s="25">
        <f>IFERROR(revenue[profit]/revenue[revenue], 0)</f>
        <v>0.2869184582</v>
      </c>
      <c r="S912" s="9">
        <f>revenue[productCost]*revenue[orderQuantity]</f>
        <v>213.9244625</v>
      </c>
    </row>
    <row r="913" ht="15.75" customHeight="1">
      <c r="A913" s="6">
        <v>10591.0</v>
      </c>
      <c r="B913" s="7" t="s">
        <v>76</v>
      </c>
      <c r="C913" s="24" t="str">
        <f>VLOOKUP(revenue[customerID],customers[],2,FALSE)</f>
        <v>Vaffeljernet</v>
      </c>
      <c r="D913" s="24" t="str">
        <f>VLOOKUP(revenue[customerID],customers[],6,FALSE)</f>
        <v>Århus</v>
      </c>
      <c r="E913" s="24" t="str">
        <f>VLOOKUP(revenue[customerID],customers[],9,FALSE)</f>
        <v>Denmark</v>
      </c>
      <c r="F913" s="24">
        <v>45114.0</v>
      </c>
      <c r="G913" s="6">
        <v>54.0</v>
      </c>
      <c r="H913" s="9" t="str">
        <f>VLOOKUP(revenue[productID],products[],2,FALSE)</f>
        <v>Tourtière</v>
      </c>
      <c r="I913" s="9" t="str">
        <f>VLOOKUP(revenue[productID],products[],12,FALSE)</f>
        <v>Meat/Poultry</v>
      </c>
      <c r="J913" s="9">
        <f>VLOOKUP(revenue[productID],products[],IF(YEAR(revenue[orderDate])=2022,8,IF(YEAR(revenue[orderDate])=2023,9,IF(YEAR(revenue[orderDate])=2024,10,NA))),FALSE)</f>
        <v>4.924447797</v>
      </c>
      <c r="K913" s="9">
        <v>7.45</v>
      </c>
      <c r="L913" s="25">
        <f>(revenue[orderPrice]-revenue[productCost])/revenue[productCost]</f>
        <v>0.5128599808</v>
      </c>
      <c r="M913" s="10">
        <v>50.0</v>
      </c>
      <c r="N913" s="25">
        <v>0.0</v>
      </c>
      <c r="O913" s="9">
        <f>revenue[orderPrice]*revenue[orderQuantity]</f>
        <v>372.5</v>
      </c>
      <c r="P913" s="9">
        <f>revenue[orderTotal]*(1-revenue[discountApllied])</f>
        <v>372.5</v>
      </c>
      <c r="Q913" s="9">
        <f>revenue[revenue]-(revenue[productCost]*revenue[orderQuantity])</f>
        <v>126.2776101</v>
      </c>
      <c r="R913" s="25">
        <f>IFERROR(revenue[profit]/revenue[revenue], 0)</f>
        <v>0.3390002957</v>
      </c>
      <c r="S913" s="9">
        <f>revenue[productCost]*revenue[orderQuantity]</f>
        <v>246.2223899</v>
      </c>
    </row>
    <row r="914" ht="15.75" customHeight="1">
      <c r="A914" s="6">
        <v>10592.0</v>
      </c>
      <c r="B914" s="7" t="s">
        <v>41</v>
      </c>
      <c r="C914" s="24" t="str">
        <f>VLOOKUP(revenue[customerID],customers[],2,FALSE)</f>
        <v>Lehmanns Marktstand</v>
      </c>
      <c r="D914" s="24" t="str">
        <f>VLOOKUP(revenue[customerID],customers[],6,FALSE)</f>
        <v>Frankfurt a.M.</v>
      </c>
      <c r="E914" s="24" t="str">
        <f>VLOOKUP(revenue[customerID],customers[],9,FALSE)</f>
        <v>Germany</v>
      </c>
      <c r="F914" s="24">
        <v>45115.0</v>
      </c>
      <c r="G914" s="6">
        <v>15.0</v>
      </c>
      <c r="H914" s="9" t="str">
        <f>VLOOKUP(revenue[productID],products[],2,FALSE)</f>
        <v>Genen Shouyu</v>
      </c>
      <c r="I914" s="9" t="str">
        <f>VLOOKUP(revenue[productID],products[],12,FALSE)</f>
        <v>Condiments</v>
      </c>
      <c r="J914" s="9">
        <f>VLOOKUP(revenue[productID],products[],IF(YEAR(revenue[orderDate])=2022,8,IF(YEAR(revenue[orderDate])=2023,9,IF(YEAR(revenue[orderDate])=2024,10,NA))),FALSE)</f>
        <v>10.78394742</v>
      </c>
      <c r="K914" s="9">
        <v>15.5</v>
      </c>
      <c r="L914" s="25">
        <f>(revenue[orderPrice]-revenue[productCost])/revenue[productCost]</f>
        <v>0.4373215478</v>
      </c>
      <c r="M914" s="10">
        <v>25.0</v>
      </c>
      <c r="N914" s="25">
        <v>0.05</v>
      </c>
      <c r="O914" s="9">
        <f>revenue[orderPrice]*revenue[orderQuantity]</f>
        <v>387.5</v>
      </c>
      <c r="P914" s="9">
        <f>revenue[orderTotal]*(1-revenue[discountApllied])</f>
        <v>368.125</v>
      </c>
      <c r="Q914" s="9">
        <f>revenue[revenue]-(revenue[productCost]*revenue[orderQuantity])</f>
        <v>98.52631444</v>
      </c>
      <c r="R914" s="25">
        <f>IFERROR(revenue[profit]/revenue[revenue], 0)</f>
        <v>0.2676436386</v>
      </c>
      <c r="S914" s="9">
        <f>revenue[productCost]*revenue[orderQuantity]</f>
        <v>269.5986856</v>
      </c>
    </row>
    <row r="915" ht="15.75" customHeight="1">
      <c r="A915" s="6">
        <v>10592.0</v>
      </c>
      <c r="B915" s="7" t="s">
        <v>41</v>
      </c>
      <c r="C915" s="24" t="str">
        <f>VLOOKUP(revenue[customerID],customers[],2,FALSE)</f>
        <v>Lehmanns Marktstand</v>
      </c>
      <c r="D915" s="24" t="str">
        <f>VLOOKUP(revenue[customerID],customers[],6,FALSE)</f>
        <v>Frankfurt a.M.</v>
      </c>
      <c r="E915" s="24" t="str">
        <f>VLOOKUP(revenue[customerID],customers[],9,FALSE)</f>
        <v>Germany</v>
      </c>
      <c r="F915" s="24">
        <v>45115.0</v>
      </c>
      <c r="G915" s="6">
        <v>26.0</v>
      </c>
      <c r="H915" s="9" t="str">
        <f>VLOOKUP(revenue[productID],products[],2,FALSE)</f>
        <v>NuNuCa Nuß-Nougat-Creme</v>
      </c>
      <c r="I915" s="9" t="str">
        <f>VLOOKUP(revenue[productID],products[],12,FALSE)</f>
        <v>Confections</v>
      </c>
      <c r="J915" s="9">
        <f>VLOOKUP(revenue[productID],products[],IF(YEAR(revenue[orderDate])=2022,8,IF(YEAR(revenue[orderDate])=2023,9,IF(YEAR(revenue[orderDate])=2024,10,NA))),FALSE)</f>
        <v>21.20896201</v>
      </c>
      <c r="K915" s="9">
        <v>31.23</v>
      </c>
      <c r="L915" s="25">
        <f>(revenue[orderPrice]-revenue[productCost])/revenue[productCost]</f>
        <v>0.472490732</v>
      </c>
      <c r="M915" s="10">
        <v>5.0</v>
      </c>
      <c r="N915" s="25">
        <v>0.05</v>
      </c>
      <c r="O915" s="9">
        <f>revenue[orderPrice]*revenue[orderQuantity]</f>
        <v>156.15</v>
      </c>
      <c r="P915" s="9">
        <f>revenue[orderTotal]*(1-revenue[discountApllied])</f>
        <v>148.3425</v>
      </c>
      <c r="Q915" s="9">
        <f>revenue[revenue]-(revenue[productCost]*revenue[orderQuantity])</f>
        <v>42.29768994</v>
      </c>
      <c r="R915" s="25">
        <f>IFERROR(revenue[profit]/revenue[revenue], 0)</f>
        <v>0.2851353451</v>
      </c>
      <c r="S915" s="9">
        <f>revenue[productCost]*revenue[orderQuantity]</f>
        <v>106.0448101</v>
      </c>
    </row>
    <row r="916" ht="15.75" customHeight="1">
      <c r="A916" s="6">
        <v>10593.0</v>
      </c>
      <c r="B916" s="7" t="s">
        <v>41</v>
      </c>
      <c r="C916" s="24" t="str">
        <f>VLOOKUP(revenue[customerID],customers[],2,FALSE)</f>
        <v>Lehmanns Marktstand</v>
      </c>
      <c r="D916" s="24" t="str">
        <f>VLOOKUP(revenue[customerID],customers[],6,FALSE)</f>
        <v>Frankfurt a.M.</v>
      </c>
      <c r="E916" s="24" t="str">
        <f>VLOOKUP(revenue[customerID],customers[],9,FALSE)</f>
        <v>Germany</v>
      </c>
      <c r="F916" s="24">
        <v>45116.0</v>
      </c>
      <c r="G916" s="6">
        <v>20.0</v>
      </c>
      <c r="H916" s="9" t="str">
        <f>VLOOKUP(revenue[productID],products[],2,FALSE)</f>
        <v>Sir Rodney's Marmalade</v>
      </c>
      <c r="I916" s="9" t="str">
        <f>VLOOKUP(revenue[productID],products[],12,FALSE)</f>
        <v>Confections</v>
      </c>
      <c r="J916" s="9">
        <f>VLOOKUP(revenue[productID],products[],IF(YEAR(revenue[orderDate])=2022,8,IF(YEAR(revenue[orderDate])=2023,9,IF(YEAR(revenue[orderDate])=2024,10,NA))),FALSE)</f>
        <v>57.29342071</v>
      </c>
      <c r="K916" s="9">
        <v>81.0</v>
      </c>
      <c r="L916" s="25">
        <f>(revenue[orderPrice]-revenue[productCost])/revenue[productCost]</f>
        <v>0.4137748976</v>
      </c>
      <c r="M916" s="10">
        <v>21.0</v>
      </c>
      <c r="N916" s="25">
        <v>0.2</v>
      </c>
      <c r="O916" s="9">
        <f>revenue[orderPrice]*revenue[orderQuantity]</f>
        <v>1701</v>
      </c>
      <c r="P916" s="9">
        <f>revenue[orderTotal]*(1-revenue[discountApllied])</f>
        <v>1360.8</v>
      </c>
      <c r="Q916" s="9">
        <f>revenue[revenue]-(revenue[productCost]*revenue[orderQuantity])</f>
        <v>157.6381651</v>
      </c>
      <c r="R916" s="25">
        <f>IFERROR(revenue[profit]/revenue[revenue], 0)</f>
        <v>0.115842273</v>
      </c>
      <c r="S916" s="9">
        <f>revenue[productCost]*revenue[orderQuantity]</f>
        <v>1203.161835</v>
      </c>
    </row>
    <row r="917" ht="15.75" customHeight="1">
      <c r="A917" s="6">
        <v>10593.0</v>
      </c>
      <c r="B917" s="7" t="s">
        <v>41</v>
      </c>
      <c r="C917" s="24" t="str">
        <f>VLOOKUP(revenue[customerID],customers[],2,FALSE)</f>
        <v>Lehmanns Marktstand</v>
      </c>
      <c r="D917" s="24" t="str">
        <f>VLOOKUP(revenue[customerID],customers[],6,FALSE)</f>
        <v>Frankfurt a.M.</v>
      </c>
      <c r="E917" s="24" t="str">
        <f>VLOOKUP(revenue[customerID],customers[],9,FALSE)</f>
        <v>Germany</v>
      </c>
      <c r="F917" s="24">
        <v>45116.0</v>
      </c>
      <c r="G917" s="6">
        <v>69.0</v>
      </c>
      <c r="H917" s="9" t="str">
        <f>VLOOKUP(revenue[productID],products[],2,FALSE)</f>
        <v>Gudbrandsdalsost</v>
      </c>
      <c r="I917" s="9" t="str">
        <f>VLOOKUP(revenue[productID],products[],12,FALSE)</f>
        <v>Dairy Products</v>
      </c>
      <c r="J917" s="9">
        <f>VLOOKUP(revenue[productID],products[],IF(YEAR(revenue[orderDate])=2022,8,IF(YEAR(revenue[orderDate])=2023,9,IF(YEAR(revenue[orderDate])=2024,10,NA))),FALSE)</f>
        <v>21.82428612</v>
      </c>
      <c r="K917" s="9">
        <v>36.0</v>
      </c>
      <c r="L917" s="25">
        <f>(revenue[orderPrice]-revenue[productCost])/revenue[productCost]</f>
        <v>0.6495384916</v>
      </c>
      <c r="M917" s="10">
        <v>20.0</v>
      </c>
      <c r="N917" s="25">
        <v>0.2</v>
      </c>
      <c r="O917" s="9">
        <f>revenue[orderPrice]*revenue[orderQuantity]</f>
        <v>720</v>
      </c>
      <c r="P917" s="9">
        <f>revenue[orderTotal]*(1-revenue[discountApllied])</f>
        <v>576</v>
      </c>
      <c r="Q917" s="9">
        <f>revenue[revenue]-(revenue[productCost]*revenue[orderQuantity])</f>
        <v>139.5142777</v>
      </c>
      <c r="R917" s="25">
        <f>IFERROR(revenue[profit]/revenue[revenue], 0)</f>
        <v>0.2422122877</v>
      </c>
      <c r="S917" s="9">
        <f>revenue[productCost]*revenue[orderQuantity]</f>
        <v>436.4857223</v>
      </c>
    </row>
    <row r="918" ht="15.75" customHeight="1">
      <c r="A918" s="6">
        <v>10593.0</v>
      </c>
      <c r="B918" s="7" t="s">
        <v>41</v>
      </c>
      <c r="C918" s="24" t="str">
        <f>VLOOKUP(revenue[customerID],customers[],2,FALSE)</f>
        <v>Lehmanns Marktstand</v>
      </c>
      <c r="D918" s="24" t="str">
        <f>VLOOKUP(revenue[customerID],customers[],6,FALSE)</f>
        <v>Frankfurt a.M.</v>
      </c>
      <c r="E918" s="24" t="str">
        <f>VLOOKUP(revenue[customerID],customers[],9,FALSE)</f>
        <v>Germany</v>
      </c>
      <c r="F918" s="24">
        <v>45116.0</v>
      </c>
      <c r="G918" s="6">
        <v>76.0</v>
      </c>
      <c r="H918" s="9" t="str">
        <f>VLOOKUP(revenue[productID],products[],2,FALSE)</f>
        <v>Lakkalikööri</v>
      </c>
      <c r="I918" s="9" t="str">
        <f>VLOOKUP(revenue[productID],products[],12,FALSE)</f>
        <v>Beverages</v>
      </c>
      <c r="J918" s="9">
        <f>VLOOKUP(revenue[productID],products[],IF(YEAR(revenue[orderDate])=2022,8,IF(YEAR(revenue[orderDate])=2023,9,IF(YEAR(revenue[orderDate])=2024,10,NA))),FALSE)</f>
        <v>12.1154529</v>
      </c>
      <c r="K918" s="9">
        <v>18.0</v>
      </c>
      <c r="L918" s="25">
        <f>(revenue[orderPrice]-revenue[productCost])/revenue[productCost]</f>
        <v>0.4857059125</v>
      </c>
      <c r="M918" s="10">
        <v>4.0</v>
      </c>
      <c r="N918" s="25">
        <v>0.2</v>
      </c>
      <c r="O918" s="9">
        <f>revenue[orderPrice]*revenue[orderQuantity]</f>
        <v>72</v>
      </c>
      <c r="P918" s="9">
        <f>revenue[orderTotal]*(1-revenue[discountApllied])</f>
        <v>57.6</v>
      </c>
      <c r="Q918" s="9">
        <f>revenue[revenue]-(revenue[productCost]*revenue[orderQuantity])</f>
        <v>9.138188418</v>
      </c>
      <c r="R918" s="25">
        <f>IFERROR(revenue[profit]/revenue[revenue], 0)</f>
        <v>0.1586491045</v>
      </c>
      <c r="S918" s="9">
        <f>revenue[productCost]*revenue[orderQuantity]</f>
        <v>48.46181158</v>
      </c>
    </row>
    <row r="919" ht="15.75" customHeight="1">
      <c r="A919" s="6">
        <v>10594.0</v>
      </c>
      <c r="B919" s="7" t="s">
        <v>52</v>
      </c>
      <c r="C919" s="24" t="str">
        <f>VLOOKUP(revenue[customerID],customers[],2,FALSE)</f>
        <v>Old World Delicatessen</v>
      </c>
      <c r="D919" s="24" t="str">
        <f>VLOOKUP(revenue[customerID],customers[],6,FALSE)</f>
        <v>Anchorage</v>
      </c>
      <c r="E919" s="24" t="str">
        <f>VLOOKUP(revenue[customerID],customers[],9,FALSE)</f>
        <v>USA</v>
      </c>
      <c r="F919" s="24">
        <v>45116.0</v>
      </c>
      <c r="G919" s="6">
        <v>52.0</v>
      </c>
      <c r="H919" s="9" t="str">
        <f>VLOOKUP(revenue[productID],products[],2,FALSE)</f>
        <v>Filo Mix</v>
      </c>
      <c r="I919" s="9" t="str">
        <f>VLOOKUP(revenue[productID],products[],12,FALSE)</f>
        <v>Grains/Cereals</v>
      </c>
      <c r="J919" s="9">
        <f>VLOOKUP(revenue[productID],products[],IF(YEAR(revenue[orderDate])=2022,8,IF(YEAR(revenue[orderDate])=2023,9,IF(YEAR(revenue[orderDate])=2024,10,NA))),FALSE)</f>
        <v>5.001706713</v>
      </c>
      <c r="K919" s="9">
        <v>7.0</v>
      </c>
      <c r="L919" s="25">
        <f>(revenue[orderPrice]-revenue[productCost])/revenue[productCost]</f>
        <v>0.3995222835</v>
      </c>
      <c r="M919" s="10">
        <v>24.0</v>
      </c>
      <c r="N919" s="25">
        <v>0.0</v>
      </c>
      <c r="O919" s="9">
        <f>revenue[orderPrice]*revenue[orderQuantity]</f>
        <v>168</v>
      </c>
      <c r="P919" s="9">
        <f>revenue[orderTotal]*(1-revenue[discountApllied])</f>
        <v>168</v>
      </c>
      <c r="Q919" s="9">
        <f>revenue[revenue]-(revenue[productCost]*revenue[orderQuantity])</f>
        <v>47.95903889</v>
      </c>
      <c r="R919" s="25">
        <f>IFERROR(revenue[profit]/revenue[revenue], 0)</f>
        <v>0.2854704696</v>
      </c>
      <c r="S919" s="9">
        <f>revenue[productCost]*revenue[orderQuantity]</f>
        <v>120.0409611</v>
      </c>
    </row>
    <row r="920" ht="15.75" customHeight="1">
      <c r="A920" s="6">
        <v>10594.0</v>
      </c>
      <c r="B920" s="7" t="s">
        <v>52</v>
      </c>
      <c r="C920" s="24" t="str">
        <f>VLOOKUP(revenue[customerID],customers[],2,FALSE)</f>
        <v>Old World Delicatessen</v>
      </c>
      <c r="D920" s="24" t="str">
        <f>VLOOKUP(revenue[customerID],customers[],6,FALSE)</f>
        <v>Anchorage</v>
      </c>
      <c r="E920" s="24" t="str">
        <f>VLOOKUP(revenue[customerID],customers[],9,FALSE)</f>
        <v>USA</v>
      </c>
      <c r="F920" s="24">
        <v>45116.0</v>
      </c>
      <c r="G920" s="6">
        <v>58.0</v>
      </c>
      <c r="H920" s="9" t="str">
        <f>VLOOKUP(revenue[productID],products[],2,FALSE)</f>
        <v>Escargots de Bourgogne</v>
      </c>
      <c r="I920" s="9" t="str">
        <f>VLOOKUP(revenue[productID],products[],12,FALSE)</f>
        <v>Seafood</v>
      </c>
      <c r="J920" s="9">
        <f>VLOOKUP(revenue[productID],products[],IF(YEAR(revenue[orderDate])=2022,8,IF(YEAR(revenue[orderDate])=2023,9,IF(YEAR(revenue[orderDate])=2024,10,NA))),FALSE)</f>
        <v>8.208446365</v>
      </c>
      <c r="K920" s="9">
        <v>13.25</v>
      </c>
      <c r="L920" s="25">
        <f>(revenue[orderPrice]-revenue[productCost])/revenue[productCost]</f>
        <v>0.61419097</v>
      </c>
      <c r="M920" s="10">
        <v>30.0</v>
      </c>
      <c r="N920" s="25">
        <v>0.0</v>
      </c>
      <c r="O920" s="9">
        <f>revenue[orderPrice]*revenue[orderQuantity]</f>
        <v>397.5</v>
      </c>
      <c r="P920" s="9">
        <f>revenue[orderTotal]*(1-revenue[discountApllied])</f>
        <v>397.5</v>
      </c>
      <c r="Q920" s="9">
        <f>revenue[revenue]-(revenue[productCost]*revenue[orderQuantity])</f>
        <v>151.2466091</v>
      </c>
      <c r="R920" s="25">
        <f>IFERROR(revenue[profit]/revenue[revenue], 0)</f>
        <v>0.380494614</v>
      </c>
      <c r="S920" s="9">
        <f>revenue[productCost]*revenue[orderQuantity]</f>
        <v>246.2533909</v>
      </c>
    </row>
    <row r="921" ht="15.75" customHeight="1">
      <c r="A921" s="6">
        <v>10595.0</v>
      </c>
      <c r="B921" s="7" t="s">
        <v>24</v>
      </c>
      <c r="C921" s="24" t="str">
        <f>VLOOKUP(revenue[customerID],customers[],2,FALSE)</f>
        <v>Ernst Handel</v>
      </c>
      <c r="D921" s="24" t="str">
        <f>VLOOKUP(revenue[customerID],customers[],6,FALSE)</f>
        <v>Graz</v>
      </c>
      <c r="E921" s="24" t="str">
        <f>VLOOKUP(revenue[customerID],customers[],9,FALSE)</f>
        <v>Austria</v>
      </c>
      <c r="F921" s="24">
        <v>45117.0</v>
      </c>
      <c r="G921" s="6">
        <v>35.0</v>
      </c>
      <c r="H921" s="9" t="str">
        <f>VLOOKUP(revenue[productID],products[],2,FALSE)</f>
        <v>Cold Brew Nitro</v>
      </c>
      <c r="I921" s="9" t="str">
        <f>VLOOKUP(revenue[productID],products[],12,FALSE)</f>
        <v>Beverages</v>
      </c>
      <c r="J921" s="9">
        <f>VLOOKUP(revenue[productID],products[],IF(YEAR(revenue[orderDate])=2022,8,IF(YEAR(revenue[orderDate])=2023,9,IF(YEAR(revenue[orderDate])=2024,10,NA))),FALSE)</f>
        <v>11.7602531</v>
      </c>
      <c r="K921" s="9">
        <v>18.0</v>
      </c>
      <c r="L921" s="25">
        <f>(revenue[orderPrice]-revenue[productCost])/revenue[productCost]</f>
        <v>0.5305793033</v>
      </c>
      <c r="M921" s="10">
        <v>30.0</v>
      </c>
      <c r="N921" s="25">
        <v>0.25</v>
      </c>
      <c r="O921" s="9">
        <f>revenue[orderPrice]*revenue[orderQuantity]</f>
        <v>540</v>
      </c>
      <c r="P921" s="9">
        <f>revenue[orderTotal]*(1-revenue[discountApllied])</f>
        <v>405</v>
      </c>
      <c r="Q921" s="9">
        <f>revenue[revenue]-(revenue[productCost]*revenue[orderQuantity])</f>
        <v>52.19240693</v>
      </c>
      <c r="R921" s="25">
        <f>IFERROR(revenue[profit]/revenue[revenue], 0)</f>
        <v>0.1288701406</v>
      </c>
      <c r="S921" s="9">
        <f>revenue[productCost]*revenue[orderQuantity]</f>
        <v>352.8075931</v>
      </c>
    </row>
    <row r="922" ht="15.75" customHeight="1">
      <c r="A922" s="6">
        <v>10595.0</v>
      </c>
      <c r="B922" s="7" t="s">
        <v>24</v>
      </c>
      <c r="C922" s="24" t="str">
        <f>VLOOKUP(revenue[customerID],customers[],2,FALSE)</f>
        <v>Ernst Handel</v>
      </c>
      <c r="D922" s="24" t="str">
        <f>VLOOKUP(revenue[customerID],customers[],6,FALSE)</f>
        <v>Graz</v>
      </c>
      <c r="E922" s="24" t="str">
        <f>VLOOKUP(revenue[customerID],customers[],9,FALSE)</f>
        <v>Austria</v>
      </c>
      <c r="F922" s="24">
        <v>45117.0</v>
      </c>
      <c r="G922" s="6">
        <v>61.0</v>
      </c>
      <c r="H922" s="9" t="str">
        <f>VLOOKUP(revenue[productID],products[],2,FALSE)</f>
        <v>Sirop d'érable</v>
      </c>
      <c r="I922" s="9" t="str">
        <f>VLOOKUP(revenue[productID],products[],12,FALSE)</f>
        <v>Condiments</v>
      </c>
      <c r="J922" s="9">
        <f>VLOOKUP(revenue[productID],products[],IF(YEAR(revenue[orderDate])=2022,8,IF(YEAR(revenue[orderDate])=2023,9,IF(YEAR(revenue[orderDate])=2024,10,NA))),FALSE)</f>
        <v>17.19945448</v>
      </c>
      <c r="K922" s="9">
        <v>28.5</v>
      </c>
      <c r="L922" s="25">
        <f>(revenue[orderPrice]-revenue[productCost])/revenue[productCost]</f>
        <v>0.6570292986</v>
      </c>
      <c r="M922" s="10">
        <v>120.0</v>
      </c>
      <c r="N922" s="25">
        <v>0.25</v>
      </c>
      <c r="O922" s="9">
        <f>revenue[orderPrice]*revenue[orderQuantity]</f>
        <v>3420</v>
      </c>
      <c r="P922" s="9">
        <f>revenue[orderTotal]*(1-revenue[discountApllied])</f>
        <v>2565</v>
      </c>
      <c r="Q922" s="9">
        <f>revenue[revenue]-(revenue[productCost]*revenue[orderQuantity])</f>
        <v>501.0654619</v>
      </c>
      <c r="R922" s="25">
        <f>IFERROR(revenue[profit]/revenue[revenue], 0)</f>
        <v>0.1953471586</v>
      </c>
      <c r="S922" s="9">
        <f>revenue[productCost]*revenue[orderQuantity]</f>
        <v>2063.934538</v>
      </c>
    </row>
    <row r="923" ht="15.75" customHeight="1">
      <c r="A923" s="6">
        <v>10595.0</v>
      </c>
      <c r="B923" s="7" t="s">
        <v>24</v>
      </c>
      <c r="C923" s="24" t="str">
        <f>VLOOKUP(revenue[customerID],customers[],2,FALSE)</f>
        <v>Ernst Handel</v>
      </c>
      <c r="D923" s="24" t="str">
        <f>VLOOKUP(revenue[customerID],customers[],6,FALSE)</f>
        <v>Graz</v>
      </c>
      <c r="E923" s="24" t="str">
        <f>VLOOKUP(revenue[customerID],customers[],9,FALSE)</f>
        <v>Austria</v>
      </c>
      <c r="F923" s="24">
        <v>45117.0</v>
      </c>
      <c r="G923" s="6">
        <v>69.0</v>
      </c>
      <c r="H923" s="9" t="str">
        <f>VLOOKUP(revenue[productID],products[],2,FALSE)</f>
        <v>Gudbrandsdalsost</v>
      </c>
      <c r="I923" s="9" t="str">
        <f>VLOOKUP(revenue[productID],products[],12,FALSE)</f>
        <v>Dairy Products</v>
      </c>
      <c r="J923" s="9">
        <f>VLOOKUP(revenue[productID],products[],IF(YEAR(revenue[orderDate])=2022,8,IF(YEAR(revenue[orderDate])=2023,9,IF(YEAR(revenue[orderDate])=2024,10,NA))),FALSE)</f>
        <v>21.82428612</v>
      </c>
      <c r="K923" s="9">
        <v>36.0</v>
      </c>
      <c r="L923" s="25">
        <f>(revenue[orderPrice]-revenue[productCost])/revenue[productCost]</f>
        <v>0.6495384916</v>
      </c>
      <c r="M923" s="10">
        <v>65.0</v>
      </c>
      <c r="N923" s="25">
        <v>0.25</v>
      </c>
      <c r="O923" s="9">
        <f>revenue[orderPrice]*revenue[orderQuantity]</f>
        <v>2340</v>
      </c>
      <c r="P923" s="9">
        <f>revenue[orderTotal]*(1-revenue[discountApllied])</f>
        <v>1755</v>
      </c>
      <c r="Q923" s="9">
        <f>revenue[revenue]-(revenue[productCost]*revenue[orderQuantity])</f>
        <v>336.4214025</v>
      </c>
      <c r="R923" s="25">
        <f>IFERROR(revenue[profit]/revenue[revenue], 0)</f>
        <v>0.1916931068</v>
      </c>
      <c r="S923" s="9">
        <f>revenue[productCost]*revenue[orderQuantity]</f>
        <v>1418.578598</v>
      </c>
    </row>
    <row r="924" ht="15.75" customHeight="1">
      <c r="A924" s="6">
        <v>10596.0</v>
      </c>
      <c r="B924" s="7" t="s">
        <v>34</v>
      </c>
      <c r="C924" s="24" t="str">
        <f>VLOOKUP(revenue[customerID],customers[],2,FALSE)</f>
        <v>White Clover Markets</v>
      </c>
      <c r="D924" s="24" t="str">
        <f>VLOOKUP(revenue[customerID],customers[],6,FALSE)</f>
        <v>Seattle</v>
      </c>
      <c r="E924" s="24" t="str">
        <f>VLOOKUP(revenue[customerID],customers[],9,FALSE)</f>
        <v>USA</v>
      </c>
      <c r="F924" s="24">
        <v>45118.0</v>
      </c>
      <c r="G924" s="6">
        <v>56.0</v>
      </c>
      <c r="H924" s="9" t="str">
        <f>VLOOKUP(revenue[productID],products[],2,FALSE)</f>
        <v>Gnocchi di nonna Alice</v>
      </c>
      <c r="I924" s="9" t="str">
        <f>VLOOKUP(revenue[productID],products[],12,FALSE)</f>
        <v>Grains/Cereals</v>
      </c>
      <c r="J924" s="9">
        <f>VLOOKUP(revenue[productID],products[],IF(YEAR(revenue[orderDate])=2022,8,IF(YEAR(revenue[orderDate])=2023,9,IF(YEAR(revenue[orderDate])=2024,10,NA))),FALSE)</f>
        <v>24.28342441</v>
      </c>
      <c r="K924" s="9">
        <v>38.0</v>
      </c>
      <c r="L924" s="25">
        <f>(revenue[orderPrice]-revenue[productCost])/revenue[productCost]</f>
        <v>0.5648534309</v>
      </c>
      <c r="M924" s="10">
        <v>5.0</v>
      </c>
      <c r="N924" s="25">
        <v>0.2</v>
      </c>
      <c r="O924" s="9">
        <f>revenue[orderPrice]*revenue[orderQuantity]</f>
        <v>190</v>
      </c>
      <c r="P924" s="9">
        <f>revenue[orderTotal]*(1-revenue[discountApllied])</f>
        <v>152</v>
      </c>
      <c r="Q924" s="9">
        <f>revenue[revenue]-(revenue[productCost]*revenue[orderQuantity])</f>
        <v>30.58287796</v>
      </c>
      <c r="R924" s="25">
        <f>IFERROR(revenue[profit]/revenue[revenue], 0)</f>
        <v>0.2012031445</v>
      </c>
      <c r="S924" s="9">
        <f>revenue[productCost]*revenue[orderQuantity]</f>
        <v>121.417122</v>
      </c>
    </row>
    <row r="925" ht="15.75" customHeight="1">
      <c r="A925" s="6">
        <v>10596.0</v>
      </c>
      <c r="B925" s="7" t="s">
        <v>34</v>
      </c>
      <c r="C925" s="24" t="str">
        <f>VLOOKUP(revenue[customerID],customers[],2,FALSE)</f>
        <v>White Clover Markets</v>
      </c>
      <c r="D925" s="24" t="str">
        <f>VLOOKUP(revenue[customerID],customers[],6,FALSE)</f>
        <v>Seattle</v>
      </c>
      <c r="E925" s="24" t="str">
        <f>VLOOKUP(revenue[customerID],customers[],9,FALSE)</f>
        <v>USA</v>
      </c>
      <c r="F925" s="24">
        <v>45118.0</v>
      </c>
      <c r="G925" s="6">
        <v>63.0</v>
      </c>
      <c r="H925" s="9" t="str">
        <f>VLOOKUP(revenue[productID],products[],2,FALSE)</f>
        <v>Vegie-spread</v>
      </c>
      <c r="I925" s="9" t="str">
        <f>VLOOKUP(revenue[productID],products[],12,FALSE)</f>
        <v>Condiments</v>
      </c>
      <c r="J925" s="9">
        <f>VLOOKUP(revenue[productID],products[],IF(YEAR(revenue[orderDate])=2022,8,IF(YEAR(revenue[orderDate])=2023,9,IF(YEAR(revenue[orderDate])=2024,10,NA))),FALSE)</f>
        <v>27.72225706</v>
      </c>
      <c r="K925" s="9">
        <v>43.9</v>
      </c>
      <c r="L925" s="25">
        <f>(revenue[orderPrice]-revenue[productCost])/revenue[productCost]</f>
        <v>0.5835651445</v>
      </c>
      <c r="M925" s="10">
        <v>24.0</v>
      </c>
      <c r="N925" s="25">
        <v>0.2</v>
      </c>
      <c r="O925" s="9">
        <f>revenue[orderPrice]*revenue[orderQuantity]</f>
        <v>1053.6</v>
      </c>
      <c r="P925" s="9">
        <f>revenue[orderTotal]*(1-revenue[discountApllied])</f>
        <v>842.88</v>
      </c>
      <c r="Q925" s="9">
        <f>revenue[revenue]-(revenue[productCost]*revenue[orderQuantity])</f>
        <v>177.5458307</v>
      </c>
      <c r="R925" s="25">
        <f>IFERROR(revenue[profit]/revenue[revenue], 0)</f>
        <v>0.2106418834</v>
      </c>
      <c r="S925" s="9">
        <f>revenue[productCost]*revenue[orderQuantity]</f>
        <v>665.3341693</v>
      </c>
    </row>
    <row r="926" ht="15.75" customHeight="1">
      <c r="A926" s="6">
        <v>10596.0</v>
      </c>
      <c r="B926" s="7" t="s">
        <v>34</v>
      </c>
      <c r="C926" s="24" t="str">
        <f>VLOOKUP(revenue[customerID],customers[],2,FALSE)</f>
        <v>White Clover Markets</v>
      </c>
      <c r="D926" s="24" t="str">
        <f>VLOOKUP(revenue[customerID],customers[],6,FALSE)</f>
        <v>Seattle</v>
      </c>
      <c r="E926" s="24" t="str">
        <f>VLOOKUP(revenue[customerID],customers[],9,FALSE)</f>
        <v>USA</v>
      </c>
      <c r="F926" s="24">
        <v>45118.0</v>
      </c>
      <c r="G926" s="6">
        <v>75.0</v>
      </c>
      <c r="H926" s="9" t="str">
        <f>VLOOKUP(revenue[productID],products[],2,FALSE)</f>
        <v>Rhönbräu Klosterbier</v>
      </c>
      <c r="I926" s="9" t="str">
        <f>VLOOKUP(revenue[productID],products[],12,FALSE)</f>
        <v>Beverages</v>
      </c>
      <c r="J926" s="9">
        <f>VLOOKUP(revenue[productID],products[],IF(YEAR(revenue[orderDate])=2022,8,IF(YEAR(revenue[orderDate])=2023,9,IF(YEAR(revenue[orderDate])=2024,10,NA))),FALSE)</f>
        <v>5.355290472</v>
      </c>
      <c r="K926" s="9">
        <v>7.75</v>
      </c>
      <c r="L926" s="25">
        <f>(revenue[orderPrice]-revenue[productCost])/revenue[productCost]</f>
        <v>0.4471670661</v>
      </c>
      <c r="M926" s="10">
        <v>30.0</v>
      </c>
      <c r="N926" s="25">
        <v>0.2</v>
      </c>
      <c r="O926" s="9">
        <f>revenue[orderPrice]*revenue[orderQuantity]</f>
        <v>232.5</v>
      </c>
      <c r="P926" s="9">
        <f>revenue[orderTotal]*(1-revenue[discountApllied])</f>
        <v>186</v>
      </c>
      <c r="Q926" s="9">
        <f>revenue[revenue]-(revenue[productCost]*revenue[orderQuantity])</f>
        <v>25.34128585</v>
      </c>
      <c r="R926" s="25">
        <f>IFERROR(revenue[profit]/revenue[revenue], 0)</f>
        <v>0.1362434723</v>
      </c>
      <c r="S926" s="9">
        <f>revenue[productCost]*revenue[orderQuantity]</f>
        <v>160.6587142</v>
      </c>
    </row>
    <row r="927" ht="15.75" customHeight="1">
      <c r="A927" s="6">
        <v>10597.0</v>
      </c>
      <c r="B927" s="7" t="s">
        <v>69</v>
      </c>
      <c r="C927" s="24" t="str">
        <f>VLOOKUP(revenue[customerID],customers[],2,FALSE)</f>
        <v>Piccolo und mehr</v>
      </c>
      <c r="D927" s="24" t="str">
        <f>VLOOKUP(revenue[customerID],customers[],6,FALSE)</f>
        <v>Salzburg</v>
      </c>
      <c r="E927" s="24" t="str">
        <f>VLOOKUP(revenue[customerID],customers[],9,FALSE)</f>
        <v>Austria</v>
      </c>
      <c r="F927" s="24">
        <v>45118.0</v>
      </c>
      <c r="G927" s="6">
        <v>24.0</v>
      </c>
      <c r="H927" s="9" t="str">
        <f>VLOOKUP(revenue[productID],products[],2,FALSE)</f>
        <v>Brigadeiros Maravilhosos da Lilian</v>
      </c>
      <c r="I927" s="9" t="str">
        <f>VLOOKUP(revenue[productID],products[],12,FALSE)</f>
        <v>Confections</v>
      </c>
      <c r="J927" s="9">
        <f>VLOOKUP(revenue[productID],products[],IF(YEAR(revenue[orderDate])=2022,8,IF(YEAR(revenue[orderDate])=2023,9,IF(YEAR(revenue[orderDate])=2024,10,NA))),FALSE)</f>
        <v>3.131783363</v>
      </c>
      <c r="K927" s="9">
        <v>4.5</v>
      </c>
      <c r="L927" s="25">
        <f>(revenue[orderPrice]-revenue[productCost])/revenue[productCost]</f>
        <v>0.4368809967</v>
      </c>
      <c r="M927" s="10">
        <v>35.0</v>
      </c>
      <c r="N927" s="25">
        <v>0.2</v>
      </c>
      <c r="O927" s="9">
        <f>revenue[orderPrice]*revenue[orderQuantity]</f>
        <v>157.5</v>
      </c>
      <c r="P927" s="9">
        <f>revenue[orderTotal]*(1-revenue[discountApllied])</f>
        <v>126</v>
      </c>
      <c r="Q927" s="9">
        <f>revenue[revenue]-(revenue[productCost]*revenue[orderQuantity])</f>
        <v>16.3875823</v>
      </c>
      <c r="R927" s="25">
        <f>IFERROR(revenue[profit]/revenue[revenue], 0)</f>
        <v>0.130060177</v>
      </c>
      <c r="S927" s="9">
        <f>revenue[productCost]*revenue[orderQuantity]</f>
        <v>109.6124177</v>
      </c>
    </row>
    <row r="928" ht="15.75" customHeight="1">
      <c r="A928" s="6">
        <v>10597.0</v>
      </c>
      <c r="B928" s="7" t="s">
        <v>69</v>
      </c>
      <c r="C928" s="24" t="str">
        <f>VLOOKUP(revenue[customerID],customers[],2,FALSE)</f>
        <v>Piccolo und mehr</v>
      </c>
      <c r="D928" s="24" t="str">
        <f>VLOOKUP(revenue[customerID],customers[],6,FALSE)</f>
        <v>Salzburg</v>
      </c>
      <c r="E928" s="24" t="str">
        <f>VLOOKUP(revenue[customerID],customers[],9,FALSE)</f>
        <v>Austria</v>
      </c>
      <c r="F928" s="24">
        <v>45118.0</v>
      </c>
      <c r="G928" s="6">
        <v>57.0</v>
      </c>
      <c r="H928" s="9" t="str">
        <f>VLOOKUP(revenue[productID],products[],2,FALSE)</f>
        <v>Ravioli Angelo</v>
      </c>
      <c r="I928" s="9" t="str">
        <f>VLOOKUP(revenue[productID],products[],12,FALSE)</f>
        <v>Grains/Cereals</v>
      </c>
      <c r="J928" s="9">
        <f>VLOOKUP(revenue[productID],products[],IF(YEAR(revenue[orderDate])=2022,8,IF(YEAR(revenue[orderDate])=2023,9,IF(YEAR(revenue[orderDate])=2024,10,NA))),FALSE)</f>
        <v>13.01870901</v>
      </c>
      <c r="K928" s="9">
        <v>19.5</v>
      </c>
      <c r="L928" s="25">
        <f>(revenue[orderPrice]-revenue[productCost])/revenue[productCost]</f>
        <v>0.4978443707</v>
      </c>
      <c r="M928" s="10">
        <v>20.0</v>
      </c>
      <c r="N928" s="25">
        <v>0.0</v>
      </c>
      <c r="O928" s="9">
        <f>revenue[orderPrice]*revenue[orderQuantity]</f>
        <v>390</v>
      </c>
      <c r="P928" s="9">
        <f>revenue[orderTotal]*(1-revenue[discountApllied])</f>
        <v>390</v>
      </c>
      <c r="Q928" s="9">
        <f>revenue[revenue]-(revenue[productCost]*revenue[orderQuantity])</f>
        <v>129.6258199</v>
      </c>
      <c r="R928" s="25">
        <f>IFERROR(revenue[profit]/revenue[revenue], 0)</f>
        <v>0.3323738971</v>
      </c>
      <c r="S928" s="9">
        <f>revenue[productCost]*revenue[orderQuantity]</f>
        <v>260.3741801</v>
      </c>
    </row>
    <row r="929" ht="15.75" customHeight="1">
      <c r="A929" s="6">
        <v>10597.0</v>
      </c>
      <c r="B929" s="7" t="s">
        <v>69</v>
      </c>
      <c r="C929" s="24" t="str">
        <f>VLOOKUP(revenue[customerID],customers[],2,FALSE)</f>
        <v>Piccolo und mehr</v>
      </c>
      <c r="D929" s="24" t="str">
        <f>VLOOKUP(revenue[customerID],customers[],6,FALSE)</f>
        <v>Salzburg</v>
      </c>
      <c r="E929" s="24" t="str">
        <f>VLOOKUP(revenue[customerID],customers[],9,FALSE)</f>
        <v>Austria</v>
      </c>
      <c r="F929" s="24">
        <v>45118.0</v>
      </c>
      <c r="G929" s="6">
        <v>65.0</v>
      </c>
      <c r="H929" s="9" t="str">
        <f>VLOOKUP(revenue[productID],products[],2,FALSE)</f>
        <v>Louisiana Fiery Hot Pepper Sauce</v>
      </c>
      <c r="I929" s="9" t="str">
        <f>VLOOKUP(revenue[productID],products[],12,FALSE)</f>
        <v>Condiments</v>
      </c>
      <c r="J929" s="9">
        <f>VLOOKUP(revenue[productID],products[],IF(YEAR(revenue[orderDate])=2022,8,IF(YEAR(revenue[orderDate])=2023,9,IF(YEAR(revenue[orderDate])=2024,10,NA))),FALSE)</f>
        <v>13.21122243</v>
      </c>
      <c r="K929" s="9">
        <v>21.05</v>
      </c>
      <c r="L929" s="25">
        <f>(revenue[orderPrice]-revenue[productCost])/revenue[productCost]</f>
        <v>0.593342335</v>
      </c>
      <c r="M929" s="10">
        <v>12.0</v>
      </c>
      <c r="N929" s="25">
        <v>0.2</v>
      </c>
      <c r="O929" s="9">
        <f>revenue[orderPrice]*revenue[orderQuantity]</f>
        <v>252.6</v>
      </c>
      <c r="P929" s="9">
        <f>revenue[orderTotal]*(1-revenue[discountApllied])</f>
        <v>202.08</v>
      </c>
      <c r="Q929" s="9">
        <f>revenue[revenue]-(revenue[productCost]*revenue[orderQuantity])</f>
        <v>43.5453308</v>
      </c>
      <c r="R929" s="25">
        <f>IFERROR(revenue[profit]/revenue[revenue], 0)</f>
        <v>0.2154856037</v>
      </c>
      <c r="S929" s="9">
        <f>revenue[productCost]*revenue[orderQuantity]</f>
        <v>158.5346692</v>
      </c>
    </row>
    <row r="930" ht="15.75" customHeight="1">
      <c r="A930" s="6">
        <v>10598.0</v>
      </c>
      <c r="B930" s="7" t="s">
        <v>28</v>
      </c>
      <c r="C930" s="24" t="str">
        <f>VLOOKUP(revenue[customerID],customers[],2,FALSE)</f>
        <v>Rattlesnake Canyon Grocery</v>
      </c>
      <c r="D930" s="24" t="str">
        <f>VLOOKUP(revenue[customerID],customers[],6,FALSE)</f>
        <v>Albuquerque</v>
      </c>
      <c r="E930" s="24" t="str">
        <f>VLOOKUP(revenue[customerID],customers[],9,FALSE)</f>
        <v>USA</v>
      </c>
      <c r="F930" s="24">
        <v>45121.0</v>
      </c>
      <c r="G930" s="6">
        <v>27.0</v>
      </c>
      <c r="H930" s="9" t="str">
        <f>VLOOKUP(revenue[productID],products[],2,FALSE)</f>
        <v>Schoggi Schokolade</v>
      </c>
      <c r="I930" s="9" t="str">
        <f>VLOOKUP(revenue[productID],products[],12,FALSE)</f>
        <v>Confections</v>
      </c>
      <c r="J930" s="9">
        <f>VLOOKUP(revenue[productID],products[],IF(YEAR(revenue[orderDate])=2022,8,IF(YEAR(revenue[orderDate])=2023,9,IF(YEAR(revenue[orderDate])=2024,10,NA))),FALSE)</f>
        <v>32.29103982</v>
      </c>
      <c r="K930" s="9">
        <v>43.9</v>
      </c>
      <c r="L930" s="25">
        <f>(revenue[orderPrice]-revenue[productCost])/revenue[productCost]</f>
        <v>0.3595102619</v>
      </c>
      <c r="M930" s="10">
        <v>50.0</v>
      </c>
      <c r="N930" s="25">
        <v>0.0</v>
      </c>
      <c r="O930" s="9">
        <f>revenue[orderPrice]*revenue[orderQuantity]</f>
        <v>2195</v>
      </c>
      <c r="P930" s="9">
        <f>revenue[orderTotal]*(1-revenue[discountApllied])</f>
        <v>2195</v>
      </c>
      <c r="Q930" s="9">
        <f>revenue[revenue]-(revenue[productCost]*revenue[orderQuantity])</f>
        <v>580.4480091</v>
      </c>
      <c r="R930" s="25">
        <f>IFERROR(revenue[profit]/revenue[revenue], 0)</f>
        <v>0.2644410064</v>
      </c>
      <c r="S930" s="9">
        <f>revenue[productCost]*revenue[orderQuantity]</f>
        <v>1614.551991</v>
      </c>
    </row>
    <row r="931" ht="15.75" customHeight="1">
      <c r="A931" s="6">
        <v>10598.0</v>
      </c>
      <c r="B931" s="7" t="s">
        <v>28</v>
      </c>
      <c r="C931" s="24" t="str">
        <f>VLOOKUP(revenue[customerID],customers[],2,FALSE)</f>
        <v>Rattlesnake Canyon Grocery</v>
      </c>
      <c r="D931" s="24" t="str">
        <f>VLOOKUP(revenue[customerID],customers[],6,FALSE)</f>
        <v>Albuquerque</v>
      </c>
      <c r="E931" s="24" t="str">
        <f>VLOOKUP(revenue[customerID],customers[],9,FALSE)</f>
        <v>USA</v>
      </c>
      <c r="F931" s="24">
        <v>45121.0</v>
      </c>
      <c r="G931" s="6">
        <v>71.0</v>
      </c>
      <c r="H931" s="9" t="str">
        <f>VLOOKUP(revenue[productID],products[],2,FALSE)</f>
        <v>Flotemysost</v>
      </c>
      <c r="I931" s="9" t="str">
        <f>VLOOKUP(revenue[productID],products[],12,FALSE)</f>
        <v>Dairy Products</v>
      </c>
      <c r="J931" s="9">
        <f>VLOOKUP(revenue[productID],products[],IF(YEAR(revenue[orderDate])=2022,8,IF(YEAR(revenue[orderDate])=2023,9,IF(YEAR(revenue[orderDate])=2024,10,NA))),FALSE)</f>
        <v>13.4003664</v>
      </c>
      <c r="K931" s="9">
        <v>21.5</v>
      </c>
      <c r="L931" s="25">
        <f>(revenue[orderPrice]-revenue[productCost])/revenue[productCost]</f>
        <v>0.6044337411</v>
      </c>
      <c r="M931" s="10">
        <v>9.0</v>
      </c>
      <c r="N931" s="25">
        <v>0.0</v>
      </c>
      <c r="O931" s="9">
        <f>revenue[orderPrice]*revenue[orderQuantity]</f>
        <v>193.5</v>
      </c>
      <c r="P931" s="9">
        <f>revenue[orderTotal]*(1-revenue[discountApllied])</f>
        <v>193.5</v>
      </c>
      <c r="Q931" s="9">
        <f>revenue[revenue]-(revenue[productCost]*revenue[orderQuantity])</f>
        <v>72.89670237</v>
      </c>
      <c r="R931" s="25">
        <f>IFERROR(revenue[profit]/revenue[revenue], 0)</f>
        <v>0.376727144</v>
      </c>
      <c r="S931" s="9">
        <f>revenue[productCost]*revenue[orderQuantity]</f>
        <v>120.6032976</v>
      </c>
    </row>
    <row r="932" ht="15.75" customHeight="1">
      <c r="A932" s="6">
        <v>10599.0</v>
      </c>
      <c r="B932" s="7" t="s">
        <v>46</v>
      </c>
      <c r="C932" s="24" t="str">
        <f>VLOOKUP(revenue[customerID],customers[],2,FALSE)</f>
        <v>B's Beverages</v>
      </c>
      <c r="D932" s="24" t="str">
        <f>VLOOKUP(revenue[customerID],customers[],6,FALSE)</f>
        <v>London</v>
      </c>
      <c r="E932" s="24" t="str">
        <f>VLOOKUP(revenue[customerID],customers[],9,FALSE)</f>
        <v>UK</v>
      </c>
      <c r="F932" s="24">
        <v>45122.0</v>
      </c>
      <c r="G932" s="6">
        <v>62.0</v>
      </c>
      <c r="H932" s="9" t="str">
        <f>VLOOKUP(revenue[productID],products[],2,FALSE)</f>
        <v>Tarte au sucre</v>
      </c>
      <c r="I932" s="9" t="str">
        <f>VLOOKUP(revenue[productID],products[],12,FALSE)</f>
        <v>Confections</v>
      </c>
      <c r="J932" s="9">
        <f>VLOOKUP(revenue[productID],products[],IF(YEAR(revenue[orderDate])=2022,8,IF(YEAR(revenue[orderDate])=2023,9,IF(YEAR(revenue[orderDate])=2024,10,NA))),FALSE)</f>
        <v>35.34792781</v>
      </c>
      <c r="K932" s="9">
        <v>49.3</v>
      </c>
      <c r="L932" s="25">
        <f>(revenue[orderPrice]-revenue[productCost])/revenue[productCost]</f>
        <v>0.3947069335</v>
      </c>
      <c r="M932" s="10">
        <v>10.0</v>
      </c>
      <c r="N932" s="25">
        <v>0.0</v>
      </c>
      <c r="O932" s="9">
        <f>revenue[orderPrice]*revenue[orderQuantity]</f>
        <v>493</v>
      </c>
      <c r="P932" s="9">
        <f>revenue[orderTotal]*(1-revenue[discountApllied])</f>
        <v>493</v>
      </c>
      <c r="Q932" s="9">
        <f>revenue[revenue]-(revenue[productCost]*revenue[orderQuantity])</f>
        <v>139.5207219</v>
      </c>
      <c r="R932" s="25">
        <f>IFERROR(revenue[profit]/revenue[revenue], 0)</f>
        <v>0.2830034927</v>
      </c>
      <c r="S932" s="9">
        <f>revenue[productCost]*revenue[orderQuantity]</f>
        <v>353.4792781</v>
      </c>
    </row>
    <row r="933" ht="15.75" customHeight="1">
      <c r="A933" s="6">
        <v>10600.0</v>
      </c>
      <c r="B933" s="7" t="s">
        <v>79</v>
      </c>
      <c r="C933" s="24" t="str">
        <f>VLOOKUP(revenue[customerID],customers[],2,FALSE)</f>
        <v>Hungry Coyote Import Store</v>
      </c>
      <c r="D933" s="24" t="str">
        <f>VLOOKUP(revenue[customerID],customers[],6,FALSE)</f>
        <v>Elgin</v>
      </c>
      <c r="E933" s="24" t="str">
        <f>VLOOKUP(revenue[customerID],customers[],9,FALSE)</f>
        <v>USA</v>
      </c>
      <c r="F933" s="24">
        <v>45123.0</v>
      </c>
      <c r="G933" s="6">
        <v>54.0</v>
      </c>
      <c r="H933" s="9" t="str">
        <f>VLOOKUP(revenue[productID],products[],2,FALSE)</f>
        <v>Tourtière</v>
      </c>
      <c r="I933" s="9" t="str">
        <f>VLOOKUP(revenue[productID],products[],12,FALSE)</f>
        <v>Meat/Poultry</v>
      </c>
      <c r="J933" s="9">
        <f>VLOOKUP(revenue[productID],products[],IF(YEAR(revenue[orderDate])=2022,8,IF(YEAR(revenue[orderDate])=2023,9,IF(YEAR(revenue[orderDate])=2024,10,NA))),FALSE)</f>
        <v>4.924447797</v>
      </c>
      <c r="K933" s="9">
        <v>7.45</v>
      </c>
      <c r="L933" s="25">
        <f>(revenue[orderPrice]-revenue[productCost])/revenue[productCost]</f>
        <v>0.5128599808</v>
      </c>
      <c r="M933" s="10">
        <v>4.0</v>
      </c>
      <c r="N933" s="25">
        <v>0.0</v>
      </c>
      <c r="O933" s="9">
        <f>revenue[orderPrice]*revenue[orderQuantity]</f>
        <v>29.8</v>
      </c>
      <c r="P933" s="9">
        <f>revenue[orderTotal]*(1-revenue[discountApllied])</f>
        <v>29.8</v>
      </c>
      <c r="Q933" s="9">
        <f>revenue[revenue]-(revenue[productCost]*revenue[orderQuantity])</f>
        <v>10.10220881</v>
      </c>
      <c r="R933" s="25">
        <f>IFERROR(revenue[profit]/revenue[revenue], 0)</f>
        <v>0.3390002957</v>
      </c>
      <c r="S933" s="9">
        <f>revenue[productCost]*revenue[orderQuantity]</f>
        <v>19.69779119</v>
      </c>
    </row>
    <row r="934" ht="15.75" customHeight="1">
      <c r="A934" s="6">
        <v>10600.0</v>
      </c>
      <c r="B934" s="7" t="s">
        <v>79</v>
      </c>
      <c r="C934" s="24" t="str">
        <f>VLOOKUP(revenue[customerID],customers[],2,FALSE)</f>
        <v>Hungry Coyote Import Store</v>
      </c>
      <c r="D934" s="24" t="str">
        <f>VLOOKUP(revenue[customerID],customers[],6,FALSE)</f>
        <v>Elgin</v>
      </c>
      <c r="E934" s="24" t="str">
        <f>VLOOKUP(revenue[customerID],customers[],9,FALSE)</f>
        <v>USA</v>
      </c>
      <c r="F934" s="24">
        <v>45123.0</v>
      </c>
      <c r="G934" s="6">
        <v>73.0</v>
      </c>
      <c r="H934" s="9" t="str">
        <f>VLOOKUP(revenue[productID],products[],2,FALSE)</f>
        <v>Röd Kaviar</v>
      </c>
      <c r="I934" s="9" t="str">
        <f>VLOOKUP(revenue[productID],products[],12,FALSE)</f>
        <v>Seafood</v>
      </c>
      <c r="J934" s="9">
        <f>VLOOKUP(revenue[productID],products[],IF(YEAR(revenue[orderDate])=2022,8,IF(YEAR(revenue[orderDate])=2023,9,IF(YEAR(revenue[orderDate])=2024,10,NA))),FALSE)</f>
        <v>9.692999362</v>
      </c>
      <c r="K934" s="9">
        <v>15.0</v>
      </c>
      <c r="L934" s="25">
        <f>(revenue[orderPrice]-revenue[productCost])/revenue[productCost]</f>
        <v>0.5475086131</v>
      </c>
      <c r="M934" s="10">
        <v>30.0</v>
      </c>
      <c r="N934" s="25">
        <v>0.0</v>
      </c>
      <c r="O934" s="9">
        <f>revenue[orderPrice]*revenue[orderQuantity]</f>
        <v>450</v>
      </c>
      <c r="P934" s="9">
        <f>revenue[orderTotal]*(1-revenue[discountApllied])</f>
        <v>450</v>
      </c>
      <c r="Q934" s="9">
        <f>revenue[revenue]-(revenue[productCost]*revenue[orderQuantity])</f>
        <v>159.2100191</v>
      </c>
      <c r="R934" s="25">
        <f>IFERROR(revenue[profit]/revenue[revenue], 0)</f>
        <v>0.3538000425</v>
      </c>
      <c r="S934" s="9">
        <f>revenue[productCost]*revenue[orderQuantity]</f>
        <v>290.7899809</v>
      </c>
    </row>
    <row r="935" ht="15.75" customHeight="1">
      <c r="A935" s="6">
        <v>10601.0</v>
      </c>
      <c r="B935" s="7" t="s">
        <v>23</v>
      </c>
      <c r="C935" s="24" t="str">
        <f>VLOOKUP(revenue[customerID],customers[],2,FALSE)</f>
        <v>HILARION-Abastos</v>
      </c>
      <c r="D935" s="24" t="str">
        <f>VLOOKUP(revenue[customerID],customers[],6,FALSE)</f>
        <v>San Cristóbal</v>
      </c>
      <c r="E935" s="24" t="str">
        <f>VLOOKUP(revenue[customerID],customers[],9,FALSE)</f>
        <v>Venezuela</v>
      </c>
      <c r="F935" s="24">
        <v>45123.0</v>
      </c>
      <c r="G935" s="6">
        <v>13.0</v>
      </c>
      <c r="H935" s="9" t="str">
        <f>VLOOKUP(revenue[productID],products[],2,FALSE)</f>
        <v>Konbu</v>
      </c>
      <c r="I935" s="9" t="str">
        <f>VLOOKUP(revenue[productID],products[],12,FALSE)</f>
        <v>Seafood</v>
      </c>
      <c r="J935" s="9">
        <f>VLOOKUP(revenue[productID],products[],IF(YEAR(revenue[orderDate])=2022,8,IF(YEAR(revenue[orderDate])=2023,9,IF(YEAR(revenue[orderDate])=2024,10,NA))),FALSE)</f>
        <v>3.865774949</v>
      </c>
      <c r="K935" s="9">
        <v>6.0</v>
      </c>
      <c r="L935" s="25">
        <f>(revenue[orderPrice]-revenue[productCost])/revenue[productCost]</f>
        <v>0.5520820739</v>
      </c>
      <c r="M935" s="10">
        <v>60.0</v>
      </c>
      <c r="N935" s="25">
        <v>0.0</v>
      </c>
      <c r="O935" s="9">
        <f>revenue[orderPrice]*revenue[orderQuantity]</f>
        <v>360</v>
      </c>
      <c r="P935" s="9">
        <f>revenue[orderTotal]*(1-revenue[discountApllied])</f>
        <v>360</v>
      </c>
      <c r="Q935" s="9">
        <f>revenue[revenue]-(revenue[productCost]*revenue[orderQuantity])</f>
        <v>128.0535031</v>
      </c>
      <c r="R935" s="25">
        <f>IFERROR(revenue[profit]/revenue[revenue], 0)</f>
        <v>0.3557041752</v>
      </c>
      <c r="S935" s="9">
        <f>revenue[productCost]*revenue[orderQuantity]</f>
        <v>231.9464969</v>
      </c>
    </row>
    <row r="936" ht="15.75" customHeight="1">
      <c r="A936" s="6">
        <v>10601.0</v>
      </c>
      <c r="B936" s="7" t="s">
        <v>23</v>
      </c>
      <c r="C936" s="24" t="str">
        <f>VLOOKUP(revenue[customerID],customers[],2,FALSE)</f>
        <v>HILARION-Abastos</v>
      </c>
      <c r="D936" s="24" t="str">
        <f>VLOOKUP(revenue[customerID],customers[],6,FALSE)</f>
        <v>San Cristóbal</v>
      </c>
      <c r="E936" s="24" t="str">
        <f>VLOOKUP(revenue[customerID],customers[],9,FALSE)</f>
        <v>Venezuela</v>
      </c>
      <c r="F936" s="24">
        <v>45123.0</v>
      </c>
      <c r="G936" s="6">
        <v>59.0</v>
      </c>
      <c r="H936" s="9" t="str">
        <f>VLOOKUP(revenue[productID],products[],2,FALSE)</f>
        <v>Raclette Courdavault</v>
      </c>
      <c r="I936" s="9" t="str">
        <f>VLOOKUP(revenue[productID],products[],12,FALSE)</f>
        <v>Dairy Products</v>
      </c>
      <c r="J936" s="9">
        <f>VLOOKUP(revenue[productID],products[],IF(YEAR(revenue[orderDate])=2022,8,IF(YEAR(revenue[orderDate])=2023,9,IF(YEAR(revenue[orderDate])=2024,10,NA))),FALSE)</f>
        <v>35.20472566</v>
      </c>
      <c r="K936" s="9">
        <v>55.0</v>
      </c>
      <c r="L936" s="25">
        <f>(revenue[orderPrice]-revenue[productCost])/revenue[productCost]</f>
        <v>0.5622902598</v>
      </c>
      <c r="M936" s="10">
        <v>35.0</v>
      </c>
      <c r="N936" s="25">
        <v>0.0</v>
      </c>
      <c r="O936" s="9">
        <f>revenue[orderPrice]*revenue[orderQuantity]</f>
        <v>1925</v>
      </c>
      <c r="P936" s="9">
        <f>revenue[orderTotal]*(1-revenue[discountApllied])</f>
        <v>1925</v>
      </c>
      <c r="Q936" s="9">
        <f>revenue[revenue]-(revenue[productCost]*revenue[orderQuantity])</f>
        <v>692.8346018</v>
      </c>
      <c r="R936" s="25">
        <f>IFERROR(revenue[profit]/revenue[revenue], 0)</f>
        <v>0.3599140789</v>
      </c>
      <c r="S936" s="9">
        <f>revenue[productCost]*revenue[orderQuantity]</f>
        <v>1232.165398</v>
      </c>
    </row>
    <row r="937" ht="15.75" customHeight="1">
      <c r="A937" s="6">
        <v>10602.0</v>
      </c>
      <c r="B937" s="7" t="s">
        <v>76</v>
      </c>
      <c r="C937" s="24" t="str">
        <f>VLOOKUP(revenue[customerID],customers[],2,FALSE)</f>
        <v>Vaffeljernet</v>
      </c>
      <c r="D937" s="24" t="str">
        <f>VLOOKUP(revenue[customerID],customers[],6,FALSE)</f>
        <v>Århus</v>
      </c>
      <c r="E937" s="24" t="str">
        <f>VLOOKUP(revenue[customerID],customers[],9,FALSE)</f>
        <v>Denmark</v>
      </c>
      <c r="F937" s="24">
        <v>45124.0</v>
      </c>
      <c r="G937" s="6">
        <v>77.0</v>
      </c>
      <c r="H937" s="9" t="str">
        <f>VLOOKUP(revenue[productID],products[],2,FALSE)</f>
        <v>Original Frankfurter grüne Soße</v>
      </c>
      <c r="I937" s="9" t="str">
        <f>VLOOKUP(revenue[productID],products[],12,FALSE)</f>
        <v>Condiments</v>
      </c>
      <c r="J937" s="9">
        <f>VLOOKUP(revenue[productID],products[],IF(YEAR(revenue[orderDate])=2022,8,IF(YEAR(revenue[orderDate])=2023,9,IF(YEAR(revenue[orderDate])=2024,10,NA))),FALSE)</f>
        <v>7.539056452</v>
      </c>
      <c r="K937" s="9">
        <v>13.0</v>
      </c>
      <c r="L937" s="25">
        <f>(revenue[orderPrice]-revenue[productCost])/revenue[productCost]</f>
        <v>0.7243537149</v>
      </c>
      <c r="M937" s="10">
        <v>5.0</v>
      </c>
      <c r="N937" s="25">
        <v>0.25</v>
      </c>
      <c r="O937" s="9">
        <f>revenue[orderPrice]*revenue[orderQuantity]</f>
        <v>65</v>
      </c>
      <c r="P937" s="9">
        <f>revenue[orderTotal]*(1-revenue[discountApllied])</f>
        <v>48.75</v>
      </c>
      <c r="Q937" s="9">
        <f>revenue[revenue]-(revenue[productCost]*revenue[orderQuantity])</f>
        <v>11.05471774</v>
      </c>
      <c r="R937" s="25">
        <f>IFERROR(revenue[profit]/revenue[revenue], 0)</f>
        <v>0.2267634408</v>
      </c>
      <c r="S937" s="9">
        <f>revenue[productCost]*revenue[orderQuantity]</f>
        <v>37.69528226</v>
      </c>
    </row>
    <row r="938" ht="15.75" customHeight="1">
      <c r="A938" s="6">
        <v>10603.0</v>
      </c>
      <c r="B938" s="7" t="s">
        <v>60</v>
      </c>
      <c r="C938" s="24" t="str">
        <f>VLOOKUP(revenue[customerID],customers[],2,FALSE)</f>
        <v>Save-a-lot Markets</v>
      </c>
      <c r="D938" s="24" t="str">
        <f>VLOOKUP(revenue[customerID],customers[],6,FALSE)</f>
        <v>Boise</v>
      </c>
      <c r="E938" s="24" t="str">
        <f>VLOOKUP(revenue[customerID],customers[],9,FALSE)</f>
        <v>USA</v>
      </c>
      <c r="F938" s="24">
        <v>45125.0</v>
      </c>
      <c r="G938" s="6">
        <v>22.0</v>
      </c>
      <c r="H938" s="9" t="str">
        <f>VLOOKUP(revenue[productID],products[],2,FALSE)</f>
        <v>Gustaf's Knäckebröd</v>
      </c>
      <c r="I938" s="9" t="str">
        <f>VLOOKUP(revenue[productID],products[],12,FALSE)</f>
        <v>Grains/Cereals</v>
      </c>
      <c r="J938" s="9">
        <f>VLOOKUP(revenue[productID],products[],IF(YEAR(revenue[orderDate])=2022,8,IF(YEAR(revenue[orderDate])=2023,9,IF(YEAR(revenue[orderDate])=2024,10,NA))),FALSE)</f>
        <v>14.56814822</v>
      </c>
      <c r="K938" s="9">
        <v>21.0</v>
      </c>
      <c r="L938" s="25">
        <f>(revenue[orderPrice]-revenue[productCost])/revenue[productCost]</f>
        <v>0.4415009841</v>
      </c>
      <c r="M938" s="10">
        <v>48.0</v>
      </c>
      <c r="N938" s="25">
        <v>0.0</v>
      </c>
      <c r="O938" s="9">
        <f>revenue[orderPrice]*revenue[orderQuantity]</f>
        <v>1008</v>
      </c>
      <c r="P938" s="9">
        <f>revenue[orderTotal]*(1-revenue[discountApllied])</f>
        <v>1008</v>
      </c>
      <c r="Q938" s="9">
        <f>revenue[revenue]-(revenue[productCost]*revenue[orderQuantity])</f>
        <v>308.7288853</v>
      </c>
      <c r="R938" s="25">
        <f>IFERROR(revenue[profit]/revenue[revenue], 0)</f>
        <v>0.3062786561</v>
      </c>
      <c r="S938" s="9">
        <f>revenue[productCost]*revenue[orderQuantity]</f>
        <v>699.2711147</v>
      </c>
    </row>
    <row r="939" ht="15.75" customHeight="1">
      <c r="A939" s="6">
        <v>10603.0</v>
      </c>
      <c r="B939" s="7" t="s">
        <v>60</v>
      </c>
      <c r="C939" s="24" t="str">
        <f>VLOOKUP(revenue[customerID],customers[],2,FALSE)</f>
        <v>Save-a-lot Markets</v>
      </c>
      <c r="D939" s="24" t="str">
        <f>VLOOKUP(revenue[customerID],customers[],6,FALSE)</f>
        <v>Boise</v>
      </c>
      <c r="E939" s="24" t="str">
        <f>VLOOKUP(revenue[customerID],customers[],9,FALSE)</f>
        <v>USA</v>
      </c>
      <c r="F939" s="24">
        <v>45125.0</v>
      </c>
      <c r="G939" s="6">
        <v>49.0</v>
      </c>
      <c r="H939" s="9" t="str">
        <f>VLOOKUP(revenue[productID],products[],2,FALSE)</f>
        <v>Maxilaku</v>
      </c>
      <c r="I939" s="9" t="str">
        <f>VLOOKUP(revenue[productID],products[],12,FALSE)</f>
        <v>Confections</v>
      </c>
      <c r="J939" s="9">
        <f>VLOOKUP(revenue[productID],products[],IF(YEAR(revenue[orderDate])=2022,8,IF(YEAR(revenue[orderDate])=2023,9,IF(YEAR(revenue[orderDate])=2024,10,NA))),FALSE)</f>
        <v>13.04112285</v>
      </c>
      <c r="K939" s="9">
        <v>20.0</v>
      </c>
      <c r="L939" s="25">
        <f>(revenue[orderPrice]-revenue[productCost])/revenue[productCost]</f>
        <v>0.5336102746</v>
      </c>
      <c r="M939" s="10">
        <v>25.0</v>
      </c>
      <c r="N939" s="25">
        <v>0.05</v>
      </c>
      <c r="O939" s="9">
        <f>revenue[orderPrice]*revenue[orderQuantity]</f>
        <v>500</v>
      </c>
      <c r="P939" s="9">
        <f>revenue[orderTotal]*(1-revenue[discountApllied])</f>
        <v>475</v>
      </c>
      <c r="Q939" s="9">
        <f>revenue[revenue]-(revenue[productCost]*revenue[orderQuantity])</f>
        <v>148.9719287</v>
      </c>
      <c r="R939" s="25">
        <f>IFERROR(revenue[profit]/revenue[revenue], 0)</f>
        <v>0.313625113</v>
      </c>
      <c r="S939" s="9">
        <f>revenue[productCost]*revenue[orderQuantity]</f>
        <v>326.0280713</v>
      </c>
    </row>
    <row r="940" ht="15.75" customHeight="1">
      <c r="A940" s="6">
        <v>10604.0</v>
      </c>
      <c r="B940" s="7" t="s">
        <v>62</v>
      </c>
      <c r="C940" s="24" t="str">
        <f>VLOOKUP(revenue[customerID],customers[],2,FALSE)</f>
        <v>Furia Bacalhau e Frutos do Mar</v>
      </c>
      <c r="D940" s="24" t="str">
        <f>VLOOKUP(revenue[customerID],customers[],6,FALSE)</f>
        <v>Lisboa</v>
      </c>
      <c r="E940" s="24" t="str">
        <f>VLOOKUP(revenue[customerID],customers[],9,FALSE)</f>
        <v>Portugal</v>
      </c>
      <c r="F940" s="24">
        <v>45125.0</v>
      </c>
      <c r="G940" s="6">
        <v>48.0</v>
      </c>
      <c r="H940" s="9" t="str">
        <f>VLOOKUP(revenue[productID],products[],2,FALSE)</f>
        <v>Chocolade</v>
      </c>
      <c r="I940" s="9" t="str">
        <f>VLOOKUP(revenue[productID],products[],12,FALSE)</f>
        <v>Confections</v>
      </c>
      <c r="J940" s="9">
        <f>VLOOKUP(revenue[productID],products[],IF(YEAR(revenue[orderDate])=2022,8,IF(YEAR(revenue[orderDate])=2023,9,IF(YEAR(revenue[orderDate])=2024,10,NA))),FALSE)</f>
        <v>8.079671685</v>
      </c>
      <c r="K940" s="9">
        <v>12.75</v>
      </c>
      <c r="L940" s="25">
        <f>(revenue[orderPrice]-revenue[productCost])/revenue[productCost]</f>
        <v>0.5780344174</v>
      </c>
      <c r="M940" s="10">
        <v>6.0</v>
      </c>
      <c r="N940" s="25">
        <v>0.1</v>
      </c>
      <c r="O940" s="9">
        <f>revenue[orderPrice]*revenue[orderQuantity]</f>
        <v>76.5</v>
      </c>
      <c r="P940" s="9">
        <f>revenue[orderTotal]*(1-revenue[discountApllied])</f>
        <v>68.85</v>
      </c>
      <c r="Q940" s="9">
        <f>revenue[revenue]-(revenue[productCost]*revenue[orderQuantity])</f>
        <v>20.37196989</v>
      </c>
      <c r="R940" s="25">
        <f>IFERROR(revenue[profit]/revenue[revenue], 0)</f>
        <v>0.2958891778</v>
      </c>
      <c r="S940" s="9">
        <f>revenue[productCost]*revenue[orderQuantity]</f>
        <v>48.47803011</v>
      </c>
    </row>
    <row r="941" ht="15.75" customHeight="1">
      <c r="A941" s="6">
        <v>10604.0</v>
      </c>
      <c r="B941" s="7" t="s">
        <v>62</v>
      </c>
      <c r="C941" s="24" t="str">
        <f>VLOOKUP(revenue[customerID],customers[],2,FALSE)</f>
        <v>Furia Bacalhau e Frutos do Mar</v>
      </c>
      <c r="D941" s="24" t="str">
        <f>VLOOKUP(revenue[customerID],customers[],6,FALSE)</f>
        <v>Lisboa</v>
      </c>
      <c r="E941" s="24" t="str">
        <f>VLOOKUP(revenue[customerID],customers[],9,FALSE)</f>
        <v>Portugal</v>
      </c>
      <c r="F941" s="24">
        <v>45125.0</v>
      </c>
      <c r="G941" s="6">
        <v>76.0</v>
      </c>
      <c r="H941" s="9" t="str">
        <f>VLOOKUP(revenue[productID],products[],2,FALSE)</f>
        <v>Lakkalikööri</v>
      </c>
      <c r="I941" s="9" t="str">
        <f>VLOOKUP(revenue[productID],products[],12,FALSE)</f>
        <v>Beverages</v>
      </c>
      <c r="J941" s="9">
        <f>VLOOKUP(revenue[productID],products[],IF(YEAR(revenue[orderDate])=2022,8,IF(YEAR(revenue[orderDate])=2023,9,IF(YEAR(revenue[orderDate])=2024,10,NA))),FALSE)</f>
        <v>12.1154529</v>
      </c>
      <c r="K941" s="9">
        <v>18.0</v>
      </c>
      <c r="L941" s="25">
        <f>(revenue[orderPrice]-revenue[productCost])/revenue[productCost]</f>
        <v>0.4857059125</v>
      </c>
      <c r="M941" s="10">
        <v>10.0</v>
      </c>
      <c r="N941" s="25">
        <v>0.1</v>
      </c>
      <c r="O941" s="9">
        <f>revenue[orderPrice]*revenue[orderQuantity]</f>
        <v>180</v>
      </c>
      <c r="P941" s="9">
        <f>revenue[orderTotal]*(1-revenue[discountApllied])</f>
        <v>162</v>
      </c>
      <c r="Q941" s="9">
        <f>revenue[revenue]-(revenue[productCost]*revenue[orderQuantity])</f>
        <v>40.84547105</v>
      </c>
      <c r="R941" s="25">
        <f>IFERROR(revenue[profit]/revenue[revenue], 0)</f>
        <v>0.2521325373</v>
      </c>
      <c r="S941" s="9">
        <f>revenue[productCost]*revenue[orderQuantity]</f>
        <v>121.154529</v>
      </c>
    </row>
    <row r="942" ht="15.75" customHeight="1">
      <c r="A942" s="6">
        <v>10605.0</v>
      </c>
      <c r="B942" s="7" t="s">
        <v>64</v>
      </c>
      <c r="C942" s="24" t="str">
        <f>VLOOKUP(revenue[customerID],customers[],2,FALSE)</f>
        <v>Mère Paillarde</v>
      </c>
      <c r="D942" s="24" t="str">
        <f>VLOOKUP(revenue[customerID],customers[],6,FALSE)</f>
        <v>Montréal</v>
      </c>
      <c r="E942" s="24" t="str">
        <f>VLOOKUP(revenue[customerID],customers[],9,FALSE)</f>
        <v>Canada</v>
      </c>
      <c r="F942" s="24">
        <v>45128.0</v>
      </c>
      <c r="G942" s="6">
        <v>16.0</v>
      </c>
      <c r="H942" s="9" t="str">
        <f>VLOOKUP(revenue[productID],products[],2,FALSE)</f>
        <v>Pavlova</v>
      </c>
      <c r="I942" s="9" t="str">
        <f>VLOOKUP(revenue[productID],products[],12,FALSE)</f>
        <v>Confections</v>
      </c>
      <c r="J942" s="9">
        <f>VLOOKUP(revenue[productID],products[],IF(YEAR(revenue[orderDate])=2022,8,IF(YEAR(revenue[orderDate])=2023,9,IF(YEAR(revenue[orderDate])=2024,10,NA))),FALSE)</f>
        <v>11.98504839</v>
      </c>
      <c r="K942" s="9">
        <v>17.45</v>
      </c>
      <c r="L942" s="25">
        <f>(revenue[orderPrice]-revenue[productCost])/revenue[productCost]</f>
        <v>0.455980771</v>
      </c>
      <c r="M942" s="10">
        <v>30.0</v>
      </c>
      <c r="N942" s="25">
        <v>0.05</v>
      </c>
      <c r="O942" s="9">
        <f>revenue[orderPrice]*revenue[orderQuantity]</f>
        <v>523.5</v>
      </c>
      <c r="P942" s="9">
        <f>revenue[orderTotal]*(1-revenue[discountApllied])</f>
        <v>497.325</v>
      </c>
      <c r="Q942" s="9">
        <f>revenue[revenue]-(revenue[productCost]*revenue[orderQuantity])</f>
        <v>137.7735482</v>
      </c>
      <c r="R942" s="25">
        <f>IFERROR(revenue[profit]/revenue[revenue], 0)</f>
        <v>0.2770292027</v>
      </c>
      <c r="S942" s="9">
        <f>revenue[productCost]*revenue[orderQuantity]</f>
        <v>359.5514518</v>
      </c>
    </row>
    <row r="943" ht="15.75" customHeight="1">
      <c r="A943" s="6">
        <v>10605.0</v>
      </c>
      <c r="B943" s="7" t="s">
        <v>64</v>
      </c>
      <c r="C943" s="24" t="str">
        <f>VLOOKUP(revenue[customerID],customers[],2,FALSE)</f>
        <v>Mère Paillarde</v>
      </c>
      <c r="D943" s="24" t="str">
        <f>VLOOKUP(revenue[customerID],customers[],6,FALSE)</f>
        <v>Montréal</v>
      </c>
      <c r="E943" s="24" t="str">
        <f>VLOOKUP(revenue[customerID],customers[],9,FALSE)</f>
        <v>Canada</v>
      </c>
      <c r="F943" s="24">
        <v>45128.0</v>
      </c>
      <c r="G943" s="6">
        <v>59.0</v>
      </c>
      <c r="H943" s="9" t="str">
        <f>VLOOKUP(revenue[productID],products[],2,FALSE)</f>
        <v>Raclette Courdavault</v>
      </c>
      <c r="I943" s="9" t="str">
        <f>VLOOKUP(revenue[productID],products[],12,FALSE)</f>
        <v>Dairy Products</v>
      </c>
      <c r="J943" s="9">
        <f>VLOOKUP(revenue[productID],products[],IF(YEAR(revenue[orderDate])=2022,8,IF(YEAR(revenue[orderDate])=2023,9,IF(YEAR(revenue[orderDate])=2024,10,NA))),FALSE)</f>
        <v>35.20472566</v>
      </c>
      <c r="K943" s="9">
        <v>55.0</v>
      </c>
      <c r="L943" s="25">
        <f>(revenue[orderPrice]-revenue[productCost])/revenue[productCost]</f>
        <v>0.5622902598</v>
      </c>
      <c r="M943" s="10">
        <v>20.0</v>
      </c>
      <c r="N943" s="25">
        <v>0.05</v>
      </c>
      <c r="O943" s="9">
        <f>revenue[orderPrice]*revenue[orderQuantity]</f>
        <v>1100</v>
      </c>
      <c r="P943" s="9">
        <f>revenue[orderTotal]*(1-revenue[discountApllied])</f>
        <v>1045</v>
      </c>
      <c r="Q943" s="9">
        <f>revenue[revenue]-(revenue[productCost]*revenue[orderQuantity])</f>
        <v>340.9054868</v>
      </c>
      <c r="R943" s="25">
        <f>IFERROR(revenue[profit]/revenue[revenue], 0)</f>
        <v>0.3262253462</v>
      </c>
      <c r="S943" s="9">
        <f>revenue[productCost]*revenue[orderQuantity]</f>
        <v>704.0945132</v>
      </c>
    </row>
    <row r="944" ht="15.75" customHeight="1">
      <c r="A944" s="6">
        <v>10605.0</v>
      </c>
      <c r="B944" s="7" t="s">
        <v>64</v>
      </c>
      <c r="C944" s="24" t="str">
        <f>VLOOKUP(revenue[customerID],customers[],2,FALSE)</f>
        <v>Mère Paillarde</v>
      </c>
      <c r="D944" s="24" t="str">
        <f>VLOOKUP(revenue[customerID],customers[],6,FALSE)</f>
        <v>Montréal</v>
      </c>
      <c r="E944" s="24" t="str">
        <f>VLOOKUP(revenue[customerID],customers[],9,FALSE)</f>
        <v>Canada</v>
      </c>
      <c r="F944" s="24">
        <v>45128.0</v>
      </c>
      <c r="G944" s="6">
        <v>60.0</v>
      </c>
      <c r="H944" s="9" t="str">
        <f>VLOOKUP(revenue[productID],products[],2,FALSE)</f>
        <v>Camembert Pierrot</v>
      </c>
      <c r="I944" s="9" t="str">
        <f>VLOOKUP(revenue[productID],products[],12,FALSE)</f>
        <v>Dairy Products</v>
      </c>
      <c r="J944" s="9">
        <f>VLOOKUP(revenue[productID],products[],IF(YEAR(revenue[orderDate])=2022,8,IF(YEAR(revenue[orderDate])=2023,9,IF(YEAR(revenue[orderDate])=2024,10,NA))),FALSE)</f>
        <v>22.77098295</v>
      </c>
      <c r="K944" s="9">
        <v>34.0</v>
      </c>
      <c r="L944" s="25">
        <f>(revenue[orderPrice]-revenue[productCost])/revenue[productCost]</f>
        <v>0.4931283415</v>
      </c>
      <c r="M944" s="10">
        <v>70.0</v>
      </c>
      <c r="N944" s="25">
        <v>0.05</v>
      </c>
      <c r="O944" s="9">
        <f>revenue[orderPrice]*revenue[orderQuantity]</f>
        <v>2380</v>
      </c>
      <c r="P944" s="9">
        <f>revenue[orderTotal]*(1-revenue[discountApllied])</f>
        <v>2261</v>
      </c>
      <c r="Q944" s="9">
        <f>revenue[revenue]-(revenue[productCost]*revenue[orderQuantity])</f>
        <v>667.0311938</v>
      </c>
      <c r="R944" s="25">
        <f>IFERROR(revenue[profit]/revenue[revenue], 0)</f>
        <v>0.2950160079</v>
      </c>
      <c r="S944" s="9">
        <f>revenue[productCost]*revenue[orderQuantity]</f>
        <v>1593.968806</v>
      </c>
    </row>
    <row r="945" ht="15.75" customHeight="1">
      <c r="A945" s="6">
        <v>10605.0</v>
      </c>
      <c r="B945" s="7" t="s">
        <v>64</v>
      </c>
      <c r="C945" s="24" t="str">
        <f>VLOOKUP(revenue[customerID],customers[],2,FALSE)</f>
        <v>Mère Paillarde</v>
      </c>
      <c r="D945" s="24" t="str">
        <f>VLOOKUP(revenue[customerID],customers[],6,FALSE)</f>
        <v>Montréal</v>
      </c>
      <c r="E945" s="24" t="str">
        <f>VLOOKUP(revenue[customerID],customers[],9,FALSE)</f>
        <v>Canada</v>
      </c>
      <c r="F945" s="24">
        <v>45128.0</v>
      </c>
      <c r="G945" s="6">
        <v>71.0</v>
      </c>
      <c r="H945" s="9" t="str">
        <f>VLOOKUP(revenue[productID],products[],2,FALSE)</f>
        <v>Flotemysost</v>
      </c>
      <c r="I945" s="9" t="str">
        <f>VLOOKUP(revenue[productID],products[],12,FALSE)</f>
        <v>Dairy Products</v>
      </c>
      <c r="J945" s="9">
        <f>VLOOKUP(revenue[productID],products[],IF(YEAR(revenue[orderDate])=2022,8,IF(YEAR(revenue[orderDate])=2023,9,IF(YEAR(revenue[orderDate])=2024,10,NA))),FALSE)</f>
        <v>13.4003664</v>
      </c>
      <c r="K945" s="9">
        <v>21.5</v>
      </c>
      <c r="L945" s="25">
        <f>(revenue[orderPrice]-revenue[productCost])/revenue[productCost]</f>
        <v>0.6044337411</v>
      </c>
      <c r="M945" s="10">
        <v>15.0</v>
      </c>
      <c r="N945" s="25">
        <v>0.05</v>
      </c>
      <c r="O945" s="9">
        <f>revenue[orderPrice]*revenue[orderQuantity]</f>
        <v>322.5</v>
      </c>
      <c r="P945" s="9">
        <f>revenue[orderTotal]*(1-revenue[discountApllied])</f>
        <v>306.375</v>
      </c>
      <c r="Q945" s="9">
        <f>revenue[revenue]-(revenue[productCost]*revenue[orderQuantity])</f>
        <v>105.369504</v>
      </c>
      <c r="R945" s="25">
        <f>IFERROR(revenue[profit]/revenue[revenue], 0)</f>
        <v>0.3439233095</v>
      </c>
      <c r="S945" s="9">
        <f>revenue[productCost]*revenue[orderQuantity]</f>
        <v>201.005496</v>
      </c>
    </row>
    <row r="946" ht="15.75" customHeight="1">
      <c r="A946" s="6">
        <v>10606.0</v>
      </c>
      <c r="B946" s="7" t="s">
        <v>48</v>
      </c>
      <c r="C946" s="24" t="str">
        <f>VLOOKUP(revenue[customerID],customers[],2,FALSE)</f>
        <v>Tradição Hipermercados</v>
      </c>
      <c r="D946" s="24" t="str">
        <f>VLOOKUP(revenue[customerID],customers[],6,FALSE)</f>
        <v>Sao Paulo</v>
      </c>
      <c r="E946" s="24" t="str">
        <f>VLOOKUP(revenue[customerID],customers[],9,FALSE)</f>
        <v>Brazil</v>
      </c>
      <c r="F946" s="24">
        <v>45129.0</v>
      </c>
      <c r="G946" s="6">
        <v>4.0</v>
      </c>
      <c r="H946" s="9" t="str">
        <f>VLOOKUP(revenue[productID],products[],2,FALSE)</f>
        <v>Chef Anton's Cajun Seasoning</v>
      </c>
      <c r="I946" s="9" t="str">
        <f>VLOOKUP(revenue[productID],products[],12,FALSE)</f>
        <v>Condiments</v>
      </c>
      <c r="J946" s="9">
        <f>VLOOKUP(revenue[productID],products[],IF(YEAR(revenue[orderDate])=2022,8,IF(YEAR(revenue[orderDate])=2023,9,IF(YEAR(revenue[orderDate])=2024,10,NA))),FALSE)</f>
        <v>13.81047124</v>
      </c>
      <c r="K946" s="9">
        <v>22.0</v>
      </c>
      <c r="L946" s="25">
        <f>(revenue[orderPrice]-revenue[productCost])/revenue[productCost]</f>
        <v>0.5929941577</v>
      </c>
      <c r="M946" s="10">
        <v>20.0</v>
      </c>
      <c r="N946" s="25">
        <v>0.2</v>
      </c>
      <c r="O946" s="9">
        <f>revenue[orderPrice]*revenue[orderQuantity]</f>
        <v>440</v>
      </c>
      <c r="P946" s="9">
        <f>revenue[orderTotal]*(1-revenue[discountApllied])</f>
        <v>352</v>
      </c>
      <c r="Q946" s="9">
        <f>revenue[revenue]-(revenue[productCost]*revenue[orderQuantity])</f>
        <v>75.79057521</v>
      </c>
      <c r="R946" s="25">
        <f>IFERROR(revenue[profit]/revenue[revenue], 0)</f>
        <v>0.2153141341</v>
      </c>
      <c r="S946" s="9">
        <f>revenue[productCost]*revenue[orderQuantity]</f>
        <v>276.2094248</v>
      </c>
    </row>
    <row r="947" ht="15.75" customHeight="1">
      <c r="A947" s="6">
        <v>10606.0</v>
      </c>
      <c r="B947" s="7" t="s">
        <v>48</v>
      </c>
      <c r="C947" s="24" t="str">
        <f>VLOOKUP(revenue[customerID],customers[],2,FALSE)</f>
        <v>Tradição Hipermercados</v>
      </c>
      <c r="D947" s="24" t="str">
        <f>VLOOKUP(revenue[customerID],customers[],6,FALSE)</f>
        <v>Sao Paulo</v>
      </c>
      <c r="E947" s="24" t="str">
        <f>VLOOKUP(revenue[customerID],customers[],9,FALSE)</f>
        <v>Brazil</v>
      </c>
      <c r="F947" s="24">
        <v>45129.0</v>
      </c>
      <c r="G947" s="6">
        <v>55.0</v>
      </c>
      <c r="H947" s="9" t="str">
        <f>VLOOKUP(revenue[productID],products[],2,FALSE)</f>
        <v>Pâté chinois</v>
      </c>
      <c r="I947" s="9" t="str">
        <f>VLOOKUP(revenue[productID],products[],12,FALSE)</f>
        <v>Meat/Poultry</v>
      </c>
      <c r="J947" s="9">
        <f>VLOOKUP(revenue[productID],products[],IF(YEAR(revenue[orderDate])=2022,8,IF(YEAR(revenue[orderDate])=2023,9,IF(YEAR(revenue[orderDate])=2024,10,NA))),FALSE)</f>
        <v>14.92398776</v>
      </c>
      <c r="K947" s="9">
        <v>24.0</v>
      </c>
      <c r="L947" s="25">
        <f>(revenue[orderPrice]-revenue[productCost])/revenue[productCost]</f>
        <v>0.6081492681</v>
      </c>
      <c r="M947" s="10">
        <v>20.0</v>
      </c>
      <c r="N947" s="25">
        <v>0.2</v>
      </c>
      <c r="O947" s="9">
        <f>revenue[orderPrice]*revenue[orderQuantity]</f>
        <v>480</v>
      </c>
      <c r="P947" s="9">
        <f>revenue[orderTotal]*(1-revenue[discountApllied])</f>
        <v>384</v>
      </c>
      <c r="Q947" s="9">
        <f>revenue[revenue]-(revenue[productCost]*revenue[orderQuantity])</f>
        <v>85.52024472</v>
      </c>
      <c r="R947" s="25">
        <f>IFERROR(revenue[profit]/revenue[revenue], 0)</f>
        <v>0.2227089706</v>
      </c>
      <c r="S947" s="9">
        <f>revenue[productCost]*revenue[orderQuantity]</f>
        <v>298.4797553</v>
      </c>
    </row>
    <row r="948" ht="15.75" customHeight="1">
      <c r="A948" s="6">
        <v>10606.0</v>
      </c>
      <c r="B948" s="7" t="s">
        <v>48</v>
      </c>
      <c r="C948" s="24" t="str">
        <f>VLOOKUP(revenue[customerID],customers[],2,FALSE)</f>
        <v>Tradição Hipermercados</v>
      </c>
      <c r="D948" s="24" t="str">
        <f>VLOOKUP(revenue[customerID],customers[],6,FALSE)</f>
        <v>Sao Paulo</v>
      </c>
      <c r="E948" s="24" t="str">
        <f>VLOOKUP(revenue[customerID],customers[],9,FALSE)</f>
        <v>Brazil</v>
      </c>
      <c r="F948" s="24">
        <v>45129.0</v>
      </c>
      <c r="G948" s="6">
        <v>62.0</v>
      </c>
      <c r="H948" s="9" t="str">
        <f>VLOOKUP(revenue[productID],products[],2,FALSE)</f>
        <v>Tarte au sucre</v>
      </c>
      <c r="I948" s="9" t="str">
        <f>VLOOKUP(revenue[productID],products[],12,FALSE)</f>
        <v>Confections</v>
      </c>
      <c r="J948" s="9">
        <f>VLOOKUP(revenue[productID],products[],IF(YEAR(revenue[orderDate])=2022,8,IF(YEAR(revenue[orderDate])=2023,9,IF(YEAR(revenue[orderDate])=2024,10,NA))),FALSE)</f>
        <v>35.34792781</v>
      </c>
      <c r="K948" s="9">
        <v>49.3</v>
      </c>
      <c r="L948" s="25">
        <f>(revenue[orderPrice]-revenue[productCost])/revenue[productCost]</f>
        <v>0.3947069335</v>
      </c>
      <c r="M948" s="10">
        <v>10.0</v>
      </c>
      <c r="N948" s="25">
        <v>0.2</v>
      </c>
      <c r="O948" s="9">
        <f>revenue[orderPrice]*revenue[orderQuantity]</f>
        <v>493</v>
      </c>
      <c r="P948" s="9">
        <f>revenue[orderTotal]*(1-revenue[discountApllied])</f>
        <v>394.4</v>
      </c>
      <c r="Q948" s="9">
        <f>revenue[revenue]-(revenue[productCost]*revenue[orderQuantity])</f>
        <v>40.92072191</v>
      </c>
      <c r="R948" s="25">
        <f>IFERROR(revenue[profit]/revenue[revenue], 0)</f>
        <v>0.1037543659</v>
      </c>
      <c r="S948" s="9">
        <f>revenue[productCost]*revenue[orderQuantity]</f>
        <v>353.4792781</v>
      </c>
    </row>
    <row r="949" ht="15.75" customHeight="1">
      <c r="A949" s="6">
        <v>10607.0</v>
      </c>
      <c r="B949" s="7" t="s">
        <v>60</v>
      </c>
      <c r="C949" s="24" t="str">
        <f>VLOOKUP(revenue[customerID],customers[],2,FALSE)</f>
        <v>Save-a-lot Markets</v>
      </c>
      <c r="D949" s="24" t="str">
        <f>VLOOKUP(revenue[customerID],customers[],6,FALSE)</f>
        <v>Boise</v>
      </c>
      <c r="E949" s="24" t="str">
        <f>VLOOKUP(revenue[customerID],customers[],9,FALSE)</f>
        <v>USA</v>
      </c>
      <c r="F949" s="24">
        <v>45129.0</v>
      </c>
      <c r="G949" s="6">
        <v>7.0</v>
      </c>
      <c r="H949" s="9" t="str">
        <f>VLOOKUP(revenue[productID],products[],2,FALSE)</f>
        <v>Uncle Bob's Organic Dried Pears</v>
      </c>
      <c r="I949" s="9" t="str">
        <f>VLOOKUP(revenue[productID],products[],12,FALSE)</f>
        <v>Produce</v>
      </c>
      <c r="J949" s="9">
        <f>VLOOKUP(revenue[productID],products[],IF(YEAR(revenue[orderDate])=2022,8,IF(YEAR(revenue[orderDate])=2023,9,IF(YEAR(revenue[orderDate])=2024,10,NA))),FALSE)</f>
        <v>21.39244625</v>
      </c>
      <c r="K949" s="9">
        <v>30.0</v>
      </c>
      <c r="L949" s="25">
        <f>(revenue[orderPrice]-revenue[productCost])/revenue[productCost]</f>
        <v>0.4023641636</v>
      </c>
      <c r="M949" s="10">
        <v>45.0</v>
      </c>
      <c r="N949" s="25">
        <v>0.0</v>
      </c>
      <c r="O949" s="9">
        <f>revenue[orderPrice]*revenue[orderQuantity]</f>
        <v>1350</v>
      </c>
      <c r="P949" s="9">
        <f>revenue[orderTotal]*(1-revenue[discountApllied])</f>
        <v>1350</v>
      </c>
      <c r="Q949" s="9">
        <f>revenue[revenue]-(revenue[productCost]*revenue[orderQuantity])</f>
        <v>387.3399185</v>
      </c>
      <c r="R949" s="25">
        <f>IFERROR(revenue[profit]/revenue[revenue], 0)</f>
        <v>0.2869184582</v>
      </c>
      <c r="S949" s="9">
        <f>revenue[productCost]*revenue[orderQuantity]</f>
        <v>962.6600815</v>
      </c>
    </row>
    <row r="950" ht="15.75" customHeight="1">
      <c r="A950" s="6">
        <v>10607.0</v>
      </c>
      <c r="B950" s="7" t="s">
        <v>60</v>
      </c>
      <c r="C950" s="24" t="str">
        <f>VLOOKUP(revenue[customerID],customers[],2,FALSE)</f>
        <v>Save-a-lot Markets</v>
      </c>
      <c r="D950" s="24" t="str">
        <f>VLOOKUP(revenue[customerID],customers[],6,FALSE)</f>
        <v>Boise</v>
      </c>
      <c r="E950" s="24" t="str">
        <f>VLOOKUP(revenue[customerID],customers[],9,FALSE)</f>
        <v>USA</v>
      </c>
      <c r="F950" s="24">
        <v>45129.0</v>
      </c>
      <c r="G950" s="6">
        <v>17.0</v>
      </c>
      <c r="H950" s="9" t="str">
        <f>VLOOKUP(revenue[productID],products[],2,FALSE)</f>
        <v>Alice Mutton</v>
      </c>
      <c r="I950" s="9" t="str">
        <f>VLOOKUP(revenue[productID],products[],12,FALSE)</f>
        <v>Meat/Poultry</v>
      </c>
      <c r="J950" s="9">
        <f>VLOOKUP(revenue[productID],products[],IF(YEAR(revenue[orderDate])=2022,8,IF(YEAR(revenue[orderDate])=2023,9,IF(YEAR(revenue[orderDate])=2024,10,NA))),FALSE)</f>
        <v>24.83130504</v>
      </c>
      <c r="K950" s="9">
        <v>39.0</v>
      </c>
      <c r="L950" s="25">
        <f>(revenue[orderPrice]-revenue[productCost])/revenue[productCost]</f>
        <v>0.5705980792</v>
      </c>
      <c r="M950" s="10">
        <v>100.0</v>
      </c>
      <c r="N950" s="25">
        <v>0.0</v>
      </c>
      <c r="O950" s="9">
        <f>revenue[orderPrice]*revenue[orderQuantity]</f>
        <v>3900</v>
      </c>
      <c r="P950" s="9">
        <f>revenue[orderTotal]*(1-revenue[discountApllied])</f>
        <v>3900</v>
      </c>
      <c r="Q950" s="9">
        <f>revenue[revenue]-(revenue[productCost]*revenue[orderQuantity])</f>
        <v>1416.869496</v>
      </c>
      <c r="R950" s="25">
        <f>IFERROR(revenue[profit]/revenue[revenue], 0)</f>
        <v>0.3632998708</v>
      </c>
      <c r="S950" s="9">
        <f>revenue[productCost]*revenue[orderQuantity]</f>
        <v>2483.130504</v>
      </c>
    </row>
    <row r="951" ht="15.75" customHeight="1">
      <c r="A951" s="6">
        <v>10607.0</v>
      </c>
      <c r="B951" s="7" t="s">
        <v>60</v>
      </c>
      <c r="C951" s="24" t="str">
        <f>VLOOKUP(revenue[customerID],customers[],2,FALSE)</f>
        <v>Save-a-lot Markets</v>
      </c>
      <c r="D951" s="24" t="str">
        <f>VLOOKUP(revenue[customerID],customers[],6,FALSE)</f>
        <v>Boise</v>
      </c>
      <c r="E951" s="24" t="str">
        <f>VLOOKUP(revenue[customerID],customers[],9,FALSE)</f>
        <v>USA</v>
      </c>
      <c r="F951" s="24">
        <v>45129.0</v>
      </c>
      <c r="G951" s="6">
        <v>33.0</v>
      </c>
      <c r="H951" s="9" t="str">
        <f>VLOOKUP(revenue[productID],products[],2,FALSE)</f>
        <v>Geitost</v>
      </c>
      <c r="I951" s="9" t="str">
        <f>VLOOKUP(revenue[productID],products[],12,FALSE)</f>
        <v>Dairy Products</v>
      </c>
      <c r="J951" s="9">
        <f>VLOOKUP(revenue[productID],products[],IF(YEAR(revenue[orderDate])=2022,8,IF(YEAR(revenue[orderDate])=2023,9,IF(YEAR(revenue[orderDate])=2024,10,NA))),FALSE)</f>
        <v>1.559072298</v>
      </c>
      <c r="K951" s="9">
        <v>2.5</v>
      </c>
      <c r="L951" s="25">
        <f>(revenue[orderPrice]-revenue[productCost])/revenue[productCost]</f>
        <v>0.603517684</v>
      </c>
      <c r="M951" s="10">
        <v>14.0</v>
      </c>
      <c r="N951" s="25">
        <v>0.0</v>
      </c>
      <c r="O951" s="9">
        <f>revenue[orderPrice]*revenue[orderQuantity]</f>
        <v>35</v>
      </c>
      <c r="P951" s="9">
        <f>revenue[orderTotal]*(1-revenue[discountApllied])</f>
        <v>35</v>
      </c>
      <c r="Q951" s="9">
        <f>revenue[revenue]-(revenue[productCost]*revenue[orderQuantity])</f>
        <v>13.17298783</v>
      </c>
      <c r="R951" s="25">
        <f>IFERROR(revenue[profit]/revenue[revenue], 0)</f>
        <v>0.3763710809</v>
      </c>
      <c r="S951" s="9">
        <f>revenue[productCost]*revenue[orderQuantity]</f>
        <v>21.82701217</v>
      </c>
    </row>
    <row r="952" ht="15.75" customHeight="1">
      <c r="A952" s="6">
        <v>10607.0</v>
      </c>
      <c r="B952" s="7" t="s">
        <v>60</v>
      </c>
      <c r="C952" s="24" t="str">
        <f>VLOOKUP(revenue[customerID],customers[],2,FALSE)</f>
        <v>Save-a-lot Markets</v>
      </c>
      <c r="D952" s="24" t="str">
        <f>VLOOKUP(revenue[customerID],customers[],6,FALSE)</f>
        <v>Boise</v>
      </c>
      <c r="E952" s="24" t="str">
        <f>VLOOKUP(revenue[customerID],customers[],9,FALSE)</f>
        <v>USA</v>
      </c>
      <c r="F952" s="24">
        <v>45129.0</v>
      </c>
      <c r="G952" s="6">
        <v>40.0</v>
      </c>
      <c r="H952" s="9" t="str">
        <f>VLOOKUP(revenue[productID],products[],2,FALSE)</f>
        <v>Boston Crab Meat</v>
      </c>
      <c r="I952" s="9" t="str">
        <f>VLOOKUP(revenue[productID],products[],12,FALSE)</f>
        <v>Seafood</v>
      </c>
      <c r="J952" s="9">
        <f>VLOOKUP(revenue[productID],products[],IF(YEAR(revenue[orderDate])=2022,8,IF(YEAR(revenue[orderDate])=2023,9,IF(YEAR(revenue[orderDate])=2024,10,NA))),FALSE)</f>
        <v>11.40496523</v>
      </c>
      <c r="K952" s="9">
        <v>18.4</v>
      </c>
      <c r="L952" s="25">
        <f>(revenue[orderPrice]-revenue[productCost])/revenue[productCost]</f>
        <v>0.6133324069</v>
      </c>
      <c r="M952" s="10">
        <v>42.0</v>
      </c>
      <c r="N952" s="25">
        <v>0.0</v>
      </c>
      <c r="O952" s="9">
        <f>revenue[orderPrice]*revenue[orderQuantity]</f>
        <v>772.8</v>
      </c>
      <c r="P952" s="9">
        <f>revenue[orderTotal]*(1-revenue[discountApllied])</f>
        <v>772.8</v>
      </c>
      <c r="Q952" s="9">
        <f>revenue[revenue]-(revenue[productCost]*revenue[orderQuantity])</f>
        <v>293.7914605</v>
      </c>
      <c r="R952" s="25">
        <f>IFERROR(revenue[profit]/revenue[revenue], 0)</f>
        <v>0.3801649333</v>
      </c>
      <c r="S952" s="9">
        <f>revenue[productCost]*revenue[orderQuantity]</f>
        <v>479.0085395</v>
      </c>
    </row>
    <row r="953" ht="15.75" customHeight="1">
      <c r="A953" s="6">
        <v>10607.0</v>
      </c>
      <c r="B953" s="7" t="s">
        <v>60</v>
      </c>
      <c r="C953" s="24" t="str">
        <f>VLOOKUP(revenue[customerID],customers[],2,FALSE)</f>
        <v>Save-a-lot Markets</v>
      </c>
      <c r="D953" s="24" t="str">
        <f>VLOOKUP(revenue[customerID],customers[],6,FALSE)</f>
        <v>Boise</v>
      </c>
      <c r="E953" s="24" t="str">
        <f>VLOOKUP(revenue[customerID],customers[],9,FALSE)</f>
        <v>USA</v>
      </c>
      <c r="F953" s="24">
        <v>45129.0</v>
      </c>
      <c r="G953" s="6">
        <v>72.0</v>
      </c>
      <c r="H953" s="9" t="str">
        <f>VLOOKUP(revenue[productID],products[],2,FALSE)</f>
        <v>Mozzarella di Giovanni</v>
      </c>
      <c r="I953" s="9" t="str">
        <f>VLOOKUP(revenue[productID],products[],12,FALSE)</f>
        <v>Dairy Products</v>
      </c>
      <c r="J953" s="9">
        <f>VLOOKUP(revenue[productID],products[],IF(YEAR(revenue[orderDate])=2022,8,IF(YEAR(revenue[orderDate])=2023,9,IF(YEAR(revenue[orderDate])=2024,10,NA))),FALSE)</f>
        <v>23.51933768</v>
      </c>
      <c r="K953" s="9">
        <v>34.8</v>
      </c>
      <c r="L953" s="25">
        <f>(revenue[orderPrice]-revenue[productCost])/revenue[productCost]</f>
        <v>0.4796335031</v>
      </c>
      <c r="M953" s="10">
        <v>12.0</v>
      </c>
      <c r="N953" s="25">
        <v>0.0</v>
      </c>
      <c r="O953" s="9">
        <f>revenue[orderPrice]*revenue[orderQuantity]</f>
        <v>417.6</v>
      </c>
      <c r="P953" s="9">
        <f>revenue[orderTotal]*(1-revenue[discountApllied])</f>
        <v>417.6</v>
      </c>
      <c r="Q953" s="9">
        <f>revenue[revenue]-(revenue[productCost]*revenue[orderQuantity])</f>
        <v>135.3679479</v>
      </c>
      <c r="R953" s="25">
        <f>IFERROR(revenue[profit]/revenue[revenue], 0)</f>
        <v>0.3241569633</v>
      </c>
      <c r="S953" s="9">
        <f>revenue[productCost]*revenue[orderQuantity]</f>
        <v>282.2320521</v>
      </c>
    </row>
    <row r="954" ht="15.75" customHeight="1">
      <c r="A954" s="6">
        <v>10608.0</v>
      </c>
      <c r="B954" s="7" t="s">
        <v>14</v>
      </c>
      <c r="C954" s="24" t="str">
        <f>VLOOKUP(revenue[customerID],customers[],2,FALSE)</f>
        <v>Toms Spezialitäten</v>
      </c>
      <c r="D954" s="24" t="str">
        <f>VLOOKUP(revenue[customerID],customers[],6,FALSE)</f>
        <v>Münster</v>
      </c>
      <c r="E954" s="24" t="str">
        <f>VLOOKUP(revenue[customerID],customers[],9,FALSE)</f>
        <v>Germany</v>
      </c>
      <c r="F954" s="24">
        <v>45130.0</v>
      </c>
      <c r="G954" s="6">
        <v>56.0</v>
      </c>
      <c r="H954" s="9" t="str">
        <f>VLOOKUP(revenue[productID],products[],2,FALSE)</f>
        <v>Gnocchi di nonna Alice</v>
      </c>
      <c r="I954" s="9" t="str">
        <f>VLOOKUP(revenue[productID],products[],12,FALSE)</f>
        <v>Grains/Cereals</v>
      </c>
      <c r="J954" s="9">
        <f>VLOOKUP(revenue[productID],products[],IF(YEAR(revenue[orderDate])=2022,8,IF(YEAR(revenue[orderDate])=2023,9,IF(YEAR(revenue[orderDate])=2024,10,NA))),FALSE)</f>
        <v>24.28342441</v>
      </c>
      <c r="K954" s="9">
        <v>38.0</v>
      </c>
      <c r="L954" s="25">
        <f>(revenue[orderPrice]-revenue[productCost])/revenue[productCost]</f>
        <v>0.5648534309</v>
      </c>
      <c r="M954" s="10">
        <v>28.0</v>
      </c>
      <c r="N954" s="25">
        <v>0.0</v>
      </c>
      <c r="O954" s="9">
        <f>revenue[orderPrice]*revenue[orderQuantity]</f>
        <v>1064</v>
      </c>
      <c r="P954" s="9">
        <f>revenue[orderTotal]*(1-revenue[discountApllied])</f>
        <v>1064</v>
      </c>
      <c r="Q954" s="9">
        <f>revenue[revenue]-(revenue[productCost]*revenue[orderQuantity])</f>
        <v>384.0641166</v>
      </c>
      <c r="R954" s="25">
        <f>IFERROR(revenue[profit]/revenue[revenue], 0)</f>
        <v>0.3609625156</v>
      </c>
      <c r="S954" s="9">
        <f>revenue[productCost]*revenue[orderQuantity]</f>
        <v>679.9358834</v>
      </c>
    </row>
    <row r="955" ht="15.75" customHeight="1">
      <c r="A955" s="6">
        <v>10609.0</v>
      </c>
      <c r="B955" s="7" t="s">
        <v>56</v>
      </c>
      <c r="C955" s="24" t="str">
        <f>VLOOKUP(revenue[customerID],customers[],2,FALSE)</f>
        <v>Du monde entier</v>
      </c>
      <c r="D955" s="24" t="str">
        <f>VLOOKUP(revenue[customerID],customers[],6,FALSE)</f>
        <v>Nantes</v>
      </c>
      <c r="E955" s="24" t="str">
        <f>VLOOKUP(revenue[customerID],customers[],9,FALSE)</f>
        <v>France</v>
      </c>
      <c r="F955" s="24">
        <v>45131.0</v>
      </c>
      <c r="G955" s="6">
        <v>1.0</v>
      </c>
      <c r="H955" s="9" t="str">
        <f>VLOOKUP(revenue[productID],products[],2,FALSE)</f>
        <v>Chai</v>
      </c>
      <c r="I955" s="9" t="str">
        <f>VLOOKUP(revenue[productID],products[],12,FALSE)</f>
        <v>Beverages</v>
      </c>
      <c r="J955" s="9">
        <f>VLOOKUP(revenue[productID],products[],IF(YEAR(revenue[orderDate])=2022,8,IF(YEAR(revenue[orderDate])=2023,9,IF(YEAR(revenue[orderDate])=2024,10,NA))),FALSE)</f>
        <v>12.15847607</v>
      </c>
      <c r="K955" s="9">
        <v>18.0</v>
      </c>
      <c r="L955" s="25">
        <f>(revenue[orderPrice]-revenue[productCost])/revenue[productCost]</f>
        <v>0.4804486927</v>
      </c>
      <c r="M955" s="10">
        <v>3.0</v>
      </c>
      <c r="N955" s="25">
        <v>0.0</v>
      </c>
      <c r="O955" s="9">
        <f>revenue[orderPrice]*revenue[orderQuantity]</f>
        <v>54</v>
      </c>
      <c r="P955" s="9">
        <f>revenue[orderTotal]*(1-revenue[discountApllied])</f>
        <v>54</v>
      </c>
      <c r="Q955" s="9">
        <f>revenue[revenue]-(revenue[productCost]*revenue[orderQuantity])</f>
        <v>17.5245718</v>
      </c>
      <c r="R955" s="25">
        <f>IFERROR(revenue[profit]/revenue[revenue], 0)</f>
        <v>0.3245291073</v>
      </c>
      <c r="S955" s="9">
        <f>revenue[productCost]*revenue[orderQuantity]</f>
        <v>36.4754282</v>
      </c>
    </row>
    <row r="956" ht="15.75" customHeight="1">
      <c r="A956" s="6">
        <v>10609.0</v>
      </c>
      <c r="B956" s="7" t="s">
        <v>56</v>
      </c>
      <c r="C956" s="24" t="str">
        <f>VLOOKUP(revenue[customerID],customers[],2,FALSE)</f>
        <v>Du monde entier</v>
      </c>
      <c r="D956" s="24" t="str">
        <f>VLOOKUP(revenue[customerID],customers[],6,FALSE)</f>
        <v>Nantes</v>
      </c>
      <c r="E956" s="24" t="str">
        <f>VLOOKUP(revenue[customerID],customers[],9,FALSE)</f>
        <v>France</v>
      </c>
      <c r="F956" s="24">
        <v>45131.0</v>
      </c>
      <c r="G956" s="6">
        <v>10.0</v>
      </c>
      <c r="H956" s="9" t="str">
        <f>VLOOKUP(revenue[productID],products[],2,FALSE)</f>
        <v>Ikura</v>
      </c>
      <c r="I956" s="9" t="str">
        <f>VLOOKUP(revenue[productID],products[],12,FALSE)</f>
        <v>Seafood</v>
      </c>
      <c r="J956" s="9">
        <f>VLOOKUP(revenue[productID],products[],IF(YEAR(revenue[orderDate])=2022,8,IF(YEAR(revenue[orderDate])=2023,9,IF(YEAR(revenue[orderDate])=2024,10,NA))),FALSE)</f>
        <v>20.72721922</v>
      </c>
      <c r="K956" s="9">
        <v>31.0</v>
      </c>
      <c r="L956" s="25">
        <f>(revenue[orderPrice]-revenue[productCost])/revenue[productCost]</f>
        <v>0.4956178962</v>
      </c>
      <c r="M956" s="10">
        <v>10.0</v>
      </c>
      <c r="N956" s="25">
        <v>0.0</v>
      </c>
      <c r="O956" s="9">
        <f>revenue[orderPrice]*revenue[orderQuantity]</f>
        <v>310</v>
      </c>
      <c r="P956" s="9">
        <f>revenue[orderTotal]*(1-revenue[discountApllied])</f>
        <v>310</v>
      </c>
      <c r="Q956" s="9">
        <f>revenue[revenue]-(revenue[productCost]*revenue[orderQuantity])</f>
        <v>102.7278078</v>
      </c>
      <c r="R956" s="25">
        <f>IFERROR(revenue[profit]/revenue[revenue], 0)</f>
        <v>0.3313800252</v>
      </c>
      <c r="S956" s="9">
        <f>revenue[productCost]*revenue[orderQuantity]</f>
        <v>207.2721922</v>
      </c>
    </row>
    <row r="957" ht="15.75" customHeight="1">
      <c r="A957" s="6">
        <v>10609.0</v>
      </c>
      <c r="B957" s="7" t="s">
        <v>56</v>
      </c>
      <c r="C957" s="24" t="str">
        <f>VLOOKUP(revenue[customerID],customers[],2,FALSE)</f>
        <v>Du monde entier</v>
      </c>
      <c r="D957" s="24" t="str">
        <f>VLOOKUP(revenue[customerID],customers[],6,FALSE)</f>
        <v>Nantes</v>
      </c>
      <c r="E957" s="24" t="str">
        <f>VLOOKUP(revenue[customerID],customers[],9,FALSE)</f>
        <v>France</v>
      </c>
      <c r="F957" s="24">
        <v>45131.0</v>
      </c>
      <c r="G957" s="6">
        <v>21.0</v>
      </c>
      <c r="H957" s="9" t="str">
        <f>VLOOKUP(revenue[productID],products[],2,FALSE)</f>
        <v>Sir Rodney's Scones</v>
      </c>
      <c r="I957" s="9" t="str">
        <f>VLOOKUP(revenue[productID],products[],12,FALSE)</f>
        <v>Confections</v>
      </c>
      <c r="J957" s="9">
        <f>VLOOKUP(revenue[productID],products[],IF(YEAR(revenue[orderDate])=2022,8,IF(YEAR(revenue[orderDate])=2023,9,IF(YEAR(revenue[orderDate])=2024,10,NA))),FALSE)</f>
        <v>6.725636111</v>
      </c>
      <c r="K957" s="9">
        <v>10.0</v>
      </c>
      <c r="L957" s="25">
        <f>(revenue[orderPrice]-revenue[productCost])/revenue[productCost]</f>
        <v>0.486848208</v>
      </c>
      <c r="M957" s="10">
        <v>6.0</v>
      </c>
      <c r="N957" s="25">
        <v>0.0</v>
      </c>
      <c r="O957" s="9">
        <f>revenue[orderPrice]*revenue[orderQuantity]</f>
        <v>60</v>
      </c>
      <c r="P957" s="9">
        <f>revenue[orderTotal]*(1-revenue[discountApllied])</f>
        <v>60</v>
      </c>
      <c r="Q957" s="9">
        <f>revenue[revenue]-(revenue[productCost]*revenue[orderQuantity])</f>
        <v>19.64618333</v>
      </c>
      <c r="R957" s="25">
        <f>IFERROR(revenue[profit]/revenue[revenue], 0)</f>
        <v>0.3274363889</v>
      </c>
      <c r="S957" s="9">
        <f>revenue[productCost]*revenue[orderQuantity]</f>
        <v>40.35381667</v>
      </c>
    </row>
    <row r="958" ht="15.75" customHeight="1">
      <c r="A958" s="6">
        <v>10610.0</v>
      </c>
      <c r="B958" s="7" t="s">
        <v>68</v>
      </c>
      <c r="C958" s="24" t="str">
        <f>VLOOKUP(revenue[customerID],customers[],2,FALSE)</f>
        <v>La maison d'Asie</v>
      </c>
      <c r="D958" s="24" t="str">
        <f>VLOOKUP(revenue[customerID],customers[],6,FALSE)</f>
        <v>Toulouse</v>
      </c>
      <c r="E958" s="24" t="str">
        <f>VLOOKUP(revenue[customerID],customers[],9,FALSE)</f>
        <v>France</v>
      </c>
      <c r="F958" s="24">
        <v>45132.0</v>
      </c>
      <c r="G958" s="6">
        <v>36.0</v>
      </c>
      <c r="H958" s="9" t="str">
        <f>VLOOKUP(revenue[productID],products[],2,FALSE)</f>
        <v>Inlagd Sill</v>
      </c>
      <c r="I958" s="9" t="str">
        <f>VLOOKUP(revenue[productID],products[],12,FALSE)</f>
        <v>Seafood</v>
      </c>
      <c r="J958" s="9">
        <f>VLOOKUP(revenue[productID],products[],IF(YEAR(revenue[orderDate])=2022,8,IF(YEAR(revenue[orderDate])=2023,9,IF(YEAR(revenue[orderDate])=2024,10,NA))),FALSE)</f>
        <v>12.15246269</v>
      </c>
      <c r="K958" s="9">
        <v>19.0</v>
      </c>
      <c r="L958" s="25">
        <f>(revenue[orderPrice]-revenue[productCost])/revenue[productCost]</f>
        <v>0.5634691082</v>
      </c>
      <c r="M958" s="10">
        <v>21.0</v>
      </c>
      <c r="N958" s="25">
        <v>0.25</v>
      </c>
      <c r="O958" s="9">
        <f>revenue[orderPrice]*revenue[orderQuantity]</f>
        <v>399</v>
      </c>
      <c r="P958" s="9">
        <f>revenue[orderTotal]*(1-revenue[discountApllied])</f>
        <v>299.25</v>
      </c>
      <c r="Q958" s="9">
        <f>revenue[revenue]-(revenue[productCost]*revenue[orderQuantity])</f>
        <v>44.04828358</v>
      </c>
      <c r="R958" s="25">
        <f>IFERROR(revenue[profit]/revenue[revenue], 0)</f>
        <v>0.1471956009</v>
      </c>
      <c r="S958" s="9">
        <f>revenue[productCost]*revenue[orderQuantity]</f>
        <v>255.2017164</v>
      </c>
    </row>
    <row r="959" ht="15.75" customHeight="1">
      <c r="A959" s="6">
        <v>10611.0</v>
      </c>
      <c r="B959" s="7" t="s">
        <v>78</v>
      </c>
      <c r="C959" s="24" t="str">
        <f>VLOOKUP(revenue[customerID],customers[],2,FALSE)</f>
        <v>Wolski  Zajazd</v>
      </c>
      <c r="D959" s="24" t="str">
        <f>VLOOKUP(revenue[customerID],customers[],6,FALSE)</f>
        <v>Warszawa</v>
      </c>
      <c r="E959" s="24" t="str">
        <f>VLOOKUP(revenue[customerID],customers[],9,FALSE)</f>
        <v>Poland</v>
      </c>
      <c r="F959" s="24">
        <v>45132.0</v>
      </c>
      <c r="G959" s="6">
        <v>1.0</v>
      </c>
      <c r="H959" s="9" t="str">
        <f>VLOOKUP(revenue[productID],products[],2,FALSE)</f>
        <v>Chai</v>
      </c>
      <c r="I959" s="9" t="str">
        <f>VLOOKUP(revenue[productID],products[],12,FALSE)</f>
        <v>Beverages</v>
      </c>
      <c r="J959" s="9">
        <f>VLOOKUP(revenue[productID],products[],IF(YEAR(revenue[orderDate])=2022,8,IF(YEAR(revenue[orderDate])=2023,9,IF(YEAR(revenue[orderDate])=2024,10,NA))),FALSE)</f>
        <v>12.15847607</v>
      </c>
      <c r="K959" s="9">
        <v>18.0</v>
      </c>
      <c r="L959" s="25">
        <f>(revenue[orderPrice]-revenue[productCost])/revenue[productCost]</f>
        <v>0.4804486927</v>
      </c>
      <c r="M959" s="10">
        <v>6.0</v>
      </c>
      <c r="N959" s="25">
        <v>0.0</v>
      </c>
      <c r="O959" s="9">
        <f>revenue[orderPrice]*revenue[orderQuantity]</f>
        <v>108</v>
      </c>
      <c r="P959" s="9">
        <f>revenue[orderTotal]*(1-revenue[discountApllied])</f>
        <v>108</v>
      </c>
      <c r="Q959" s="9">
        <f>revenue[revenue]-(revenue[productCost]*revenue[orderQuantity])</f>
        <v>35.04914359</v>
      </c>
      <c r="R959" s="25">
        <f>IFERROR(revenue[profit]/revenue[revenue], 0)</f>
        <v>0.3245291073</v>
      </c>
      <c r="S959" s="9">
        <f>revenue[productCost]*revenue[orderQuantity]</f>
        <v>72.95085641</v>
      </c>
    </row>
    <row r="960" ht="15.75" customHeight="1">
      <c r="A960" s="6">
        <v>10611.0</v>
      </c>
      <c r="B960" s="7" t="s">
        <v>78</v>
      </c>
      <c r="C960" s="24" t="str">
        <f>VLOOKUP(revenue[customerID],customers[],2,FALSE)</f>
        <v>Wolski  Zajazd</v>
      </c>
      <c r="D960" s="24" t="str">
        <f>VLOOKUP(revenue[customerID],customers[],6,FALSE)</f>
        <v>Warszawa</v>
      </c>
      <c r="E960" s="24" t="str">
        <f>VLOOKUP(revenue[customerID],customers[],9,FALSE)</f>
        <v>Poland</v>
      </c>
      <c r="F960" s="24">
        <v>45132.0</v>
      </c>
      <c r="G960" s="6">
        <v>2.0</v>
      </c>
      <c r="H960" s="9" t="str">
        <f>VLOOKUP(revenue[productID],products[],2,FALSE)</f>
        <v>Chang</v>
      </c>
      <c r="I960" s="9" t="str">
        <f>VLOOKUP(revenue[productID],products[],12,FALSE)</f>
        <v>Beverages</v>
      </c>
      <c r="J960" s="9">
        <f>VLOOKUP(revenue[productID],products[],IF(YEAR(revenue[orderDate])=2022,8,IF(YEAR(revenue[orderDate])=2023,9,IF(YEAR(revenue[orderDate])=2024,10,NA))),FALSE)</f>
        <v>12.14626904</v>
      </c>
      <c r="K960" s="9">
        <v>19.0</v>
      </c>
      <c r="L960" s="25">
        <f>(revenue[orderPrice]-revenue[productCost])/revenue[productCost]</f>
        <v>0.5642663547</v>
      </c>
      <c r="M960" s="10">
        <v>10.0</v>
      </c>
      <c r="N960" s="25">
        <v>0.0</v>
      </c>
      <c r="O960" s="9">
        <f>revenue[orderPrice]*revenue[orderQuantity]</f>
        <v>190</v>
      </c>
      <c r="P960" s="9">
        <f>revenue[orderTotal]*(1-revenue[discountApllied])</f>
        <v>190</v>
      </c>
      <c r="Q960" s="9">
        <f>revenue[revenue]-(revenue[productCost]*revenue[orderQuantity])</f>
        <v>68.53730956</v>
      </c>
      <c r="R960" s="25">
        <f>IFERROR(revenue[profit]/revenue[revenue], 0)</f>
        <v>0.3607226819</v>
      </c>
      <c r="S960" s="9">
        <f>revenue[productCost]*revenue[orderQuantity]</f>
        <v>121.4626904</v>
      </c>
    </row>
    <row r="961" ht="15.75" customHeight="1">
      <c r="A961" s="6">
        <v>10611.0</v>
      </c>
      <c r="B961" s="7" t="s">
        <v>78</v>
      </c>
      <c r="C961" s="24" t="str">
        <f>VLOOKUP(revenue[customerID],customers[],2,FALSE)</f>
        <v>Wolski  Zajazd</v>
      </c>
      <c r="D961" s="24" t="str">
        <f>VLOOKUP(revenue[customerID],customers[],6,FALSE)</f>
        <v>Warszawa</v>
      </c>
      <c r="E961" s="24" t="str">
        <f>VLOOKUP(revenue[customerID],customers[],9,FALSE)</f>
        <v>Poland</v>
      </c>
      <c r="F961" s="24">
        <v>45132.0</v>
      </c>
      <c r="G961" s="6">
        <v>60.0</v>
      </c>
      <c r="H961" s="9" t="str">
        <f>VLOOKUP(revenue[productID],products[],2,FALSE)</f>
        <v>Camembert Pierrot</v>
      </c>
      <c r="I961" s="9" t="str">
        <f>VLOOKUP(revenue[productID],products[],12,FALSE)</f>
        <v>Dairy Products</v>
      </c>
      <c r="J961" s="9">
        <f>VLOOKUP(revenue[productID],products[],IF(YEAR(revenue[orderDate])=2022,8,IF(YEAR(revenue[orderDate])=2023,9,IF(YEAR(revenue[orderDate])=2024,10,NA))),FALSE)</f>
        <v>22.77098295</v>
      </c>
      <c r="K961" s="9">
        <v>34.0</v>
      </c>
      <c r="L961" s="25">
        <f>(revenue[orderPrice]-revenue[productCost])/revenue[productCost]</f>
        <v>0.4931283415</v>
      </c>
      <c r="M961" s="10">
        <v>15.0</v>
      </c>
      <c r="N961" s="25">
        <v>0.0</v>
      </c>
      <c r="O961" s="9">
        <f>revenue[orderPrice]*revenue[orderQuantity]</f>
        <v>510</v>
      </c>
      <c r="P961" s="9">
        <f>revenue[orderTotal]*(1-revenue[discountApllied])</f>
        <v>510</v>
      </c>
      <c r="Q961" s="9">
        <f>revenue[revenue]-(revenue[productCost]*revenue[orderQuantity])</f>
        <v>168.4352558</v>
      </c>
      <c r="R961" s="25">
        <f>IFERROR(revenue[profit]/revenue[revenue], 0)</f>
        <v>0.3302652075</v>
      </c>
      <c r="S961" s="9">
        <f>revenue[productCost]*revenue[orderQuantity]</f>
        <v>341.5647442</v>
      </c>
    </row>
    <row r="962" ht="15.75" customHeight="1">
      <c r="A962" s="6">
        <v>10612.0</v>
      </c>
      <c r="B962" s="7" t="s">
        <v>60</v>
      </c>
      <c r="C962" s="24" t="str">
        <f>VLOOKUP(revenue[customerID],customers[],2,FALSE)</f>
        <v>Save-a-lot Markets</v>
      </c>
      <c r="D962" s="24" t="str">
        <f>VLOOKUP(revenue[customerID],customers[],6,FALSE)</f>
        <v>Boise</v>
      </c>
      <c r="E962" s="24" t="str">
        <f>VLOOKUP(revenue[customerID],customers[],9,FALSE)</f>
        <v>USA</v>
      </c>
      <c r="F962" s="24">
        <v>45135.0</v>
      </c>
      <c r="G962" s="6">
        <v>10.0</v>
      </c>
      <c r="H962" s="9" t="str">
        <f>VLOOKUP(revenue[productID],products[],2,FALSE)</f>
        <v>Ikura</v>
      </c>
      <c r="I962" s="9" t="str">
        <f>VLOOKUP(revenue[productID],products[],12,FALSE)</f>
        <v>Seafood</v>
      </c>
      <c r="J962" s="9">
        <f>VLOOKUP(revenue[productID],products[],IF(YEAR(revenue[orderDate])=2022,8,IF(YEAR(revenue[orderDate])=2023,9,IF(YEAR(revenue[orderDate])=2024,10,NA))),FALSE)</f>
        <v>20.72721922</v>
      </c>
      <c r="K962" s="9">
        <v>31.0</v>
      </c>
      <c r="L962" s="25">
        <f>(revenue[orderPrice]-revenue[productCost])/revenue[productCost]</f>
        <v>0.4956178962</v>
      </c>
      <c r="M962" s="10">
        <v>70.0</v>
      </c>
      <c r="N962" s="25">
        <v>0.0</v>
      </c>
      <c r="O962" s="9">
        <f>revenue[orderPrice]*revenue[orderQuantity]</f>
        <v>2170</v>
      </c>
      <c r="P962" s="9">
        <f>revenue[orderTotal]*(1-revenue[discountApllied])</f>
        <v>2170</v>
      </c>
      <c r="Q962" s="9">
        <f>revenue[revenue]-(revenue[productCost]*revenue[orderQuantity])</f>
        <v>719.0946548</v>
      </c>
      <c r="R962" s="25">
        <f>IFERROR(revenue[profit]/revenue[revenue], 0)</f>
        <v>0.3313800252</v>
      </c>
      <c r="S962" s="9">
        <f>revenue[productCost]*revenue[orderQuantity]</f>
        <v>1450.905345</v>
      </c>
    </row>
    <row r="963" ht="15.75" customHeight="1">
      <c r="A963" s="6">
        <v>10612.0</v>
      </c>
      <c r="B963" s="7" t="s">
        <v>60</v>
      </c>
      <c r="C963" s="24" t="str">
        <f>VLOOKUP(revenue[customerID],customers[],2,FALSE)</f>
        <v>Save-a-lot Markets</v>
      </c>
      <c r="D963" s="24" t="str">
        <f>VLOOKUP(revenue[customerID],customers[],6,FALSE)</f>
        <v>Boise</v>
      </c>
      <c r="E963" s="24" t="str">
        <f>VLOOKUP(revenue[customerID],customers[],9,FALSE)</f>
        <v>USA</v>
      </c>
      <c r="F963" s="24">
        <v>45135.0</v>
      </c>
      <c r="G963" s="6">
        <v>36.0</v>
      </c>
      <c r="H963" s="9" t="str">
        <f>VLOOKUP(revenue[productID],products[],2,FALSE)</f>
        <v>Inlagd Sill</v>
      </c>
      <c r="I963" s="9" t="str">
        <f>VLOOKUP(revenue[productID],products[],12,FALSE)</f>
        <v>Seafood</v>
      </c>
      <c r="J963" s="9">
        <f>VLOOKUP(revenue[productID],products[],IF(YEAR(revenue[orderDate])=2022,8,IF(YEAR(revenue[orderDate])=2023,9,IF(YEAR(revenue[orderDate])=2024,10,NA))),FALSE)</f>
        <v>12.15246269</v>
      </c>
      <c r="K963" s="9">
        <v>19.0</v>
      </c>
      <c r="L963" s="25">
        <f>(revenue[orderPrice]-revenue[productCost])/revenue[productCost]</f>
        <v>0.5634691082</v>
      </c>
      <c r="M963" s="10">
        <v>55.0</v>
      </c>
      <c r="N963" s="25">
        <v>0.0</v>
      </c>
      <c r="O963" s="9">
        <f>revenue[orderPrice]*revenue[orderQuantity]</f>
        <v>1045</v>
      </c>
      <c r="P963" s="9">
        <f>revenue[orderTotal]*(1-revenue[discountApllied])</f>
        <v>1045</v>
      </c>
      <c r="Q963" s="9">
        <f>revenue[revenue]-(revenue[productCost]*revenue[orderQuantity])</f>
        <v>376.6145522</v>
      </c>
      <c r="R963" s="25">
        <f>IFERROR(revenue[profit]/revenue[revenue], 0)</f>
        <v>0.3603967007</v>
      </c>
      <c r="S963" s="9">
        <f>revenue[productCost]*revenue[orderQuantity]</f>
        <v>668.3854478</v>
      </c>
    </row>
    <row r="964" ht="15.75" customHeight="1">
      <c r="A964" s="6">
        <v>10612.0</v>
      </c>
      <c r="B964" s="7" t="s">
        <v>60</v>
      </c>
      <c r="C964" s="24" t="str">
        <f>VLOOKUP(revenue[customerID],customers[],2,FALSE)</f>
        <v>Save-a-lot Markets</v>
      </c>
      <c r="D964" s="24" t="str">
        <f>VLOOKUP(revenue[customerID],customers[],6,FALSE)</f>
        <v>Boise</v>
      </c>
      <c r="E964" s="24" t="str">
        <f>VLOOKUP(revenue[customerID],customers[],9,FALSE)</f>
        <v>USA</v>
      </c>
      <c r="F964" s="24">
        <v>45135.0</v>
      </c>
      <c r="G964" s="6">
        <v>49.0</v>
      </c>
      <c r="H964" s="9" t="str">
        <f>VLOOKUP(revenue[productID],products[],2,FALSE)</f>
        <v>Maxilaku</v>
      </c>
      <c r="I964" s="9" t="str">
        <f>VLOOKUP(revenue[productID],products[],12,FALSE)</f>
        <v>Confections</v>
      </c>
      <c r="J964" s="9">
        <f>VLOOKUP(revenue[productID],products[],IF(YEAR(revenue[orderDate])=2022,8,IF(YEAR(revenue[orderDate])=2023,9,IF(YEAR(revenue[orderDate])=2024,10,NA))),FALSE)</f>
        <v>13.04112285</v>
      </c>
      <c r="K964" s="9">
        <v>20.0</v>
      </c>
      <c r="L964" s="25">
        <f>(revenue[orderPrice]-revenue[productCost])/revenue[productCost]</f>
        <v>0.5336102746</v>
      </c>
      <c r="M964" s="10">
        <v>18.0</v>
      </c>
      <c r="N964" s="25">
        <v>0.0</v>
      </c>
      <c r="O964" s="9">
        <f>revenue[orderPrice]*revenue[orderQuantity]</f>
        <v>360</v>
      </c>
      <c r="P964" s="9">
        <f>revenue[orderTotal]*(1-revenue[discountApllied])</f>
        <v>360</v>
      </c>
      <c r="Q964" s="9">
        <f>revenue[revenue]-(revenue[productCost]*revenue[orderQuantity])</f>
        <v>125.2597886</v>
      </c>
      <c r="R964" s="25">
        <f>IFERROR(revenue[profit]/revenue[revenue], 0)</f>
        <v>0.3479438573</v>
      </c>
      <c r="S964" s="9">
        <f>revenue[productCost]*revenue[orderQuantity]</f>
        <v>234.7402114</v>
      </c>
    </row>
    <row r="965" ht="15.75" customHeight="1">
      <c r="A965" s="6">
        <v>10612.0</v>
      </c>
      <c r="B965" s="7" t="s">
        <v>60</v>
      </c>
      <c r="C965" s="24" t="str">
        <f>VLOOKUP(revenue[customerID],customers[],2,FALSE)</f>
        <v>Save-a-lot Markets</v>
      </c>
      <c r="D965" s="24" t="str">
        <f>VLOOKUP(revenue[customerID],customers[],6,FALSE)</f>
        <v>Boise</v>
      </c>
      <c r="E965" s="24" t="str">
        <f>VLOOKUP(revenue[customerID],customers[],9,FALSE)</f>
        <v>USA</v>
      </c>
      <c r="F965" s="24">
        <v>45135.0</v>
      </c>
      <c r="G965" s="6">
        <v>60.0</v>
      </c>
      <c r="H965" s="9" t="str">
        <f>VLOOKUP(revenue[productID],products[],2,FALSE)</f>
        <v>Camembert Pierrot</v>
      </c>
      <c r="I965" s="9" t="str">
        <f>VLOOKUP(revenue[productID],products[],12,FALSE)</f>
        <v>Dairy Products</v>
      </c>
      <c r="J965" s="9">
        <f>VLOOKUP(revenue[productID],products[],IF(YEAR(revenue[orderDate])=2022,8,IF(YEAR(revenue[orderDate])=2023,9,IF(YEAR(revenue[orderDate])=2024,10,NA))),FALSE)</f>
        <v>22.77098295</v>
      </c>
      <c r="K965" s="9">
        <v>34.0</v>
      </c>
      <c r="L965" s="25">
        <f>(revenue[orderPrice]-revenue[productCost])/revenue[productCost]</f>
        <v>0.4931283415</v>
      </c>
      <c r="M965" s="10">
        <v>40.0</v>
      </c>
      <c r="N965" s="25">
        <v>0.0</v>
      </c>
      <c r="O965" s="9">
        <f>revenue[orderPrice]*revenue[orderQuantity]</f>
        <v>1360</v>
      </c>
      <c r="P965" s="9">
        <f>revenue[orderTotal]*(1-revenue[discountApllied])</f>
        <v>1360</v>
      </c>
      <c r="Q965" s="9">
        <f>revenue[revenue]-(revenue[productCost]*revenue[orderQuantity])</f>
        <v>449.1606822</v>
      </c>
      <c r="R965" s="25">
        <f>IFERROR(revenue[profit]/revenue[revenue], 0)</f>
        <v>0.3302652075</v>
      </c>
      <c r="S965" s="9">
        <f>revenue[productCost]*revenue[orderQuantity]</f>
        <v>910.8393178</v>
      </c>
    </row>
    <row r="966" ht="15.75" customHeight="1">
      <c r="A966" s="6">
        <v>10612.0</v>
      </c>
      <c r="B966" s="7" t="s">
        <v>60</v>
      </c>
      <c r="C966" s="24" t="str">
        <f>VLOOKUP(revenue[customerID],customers[],2,FALSE)</f>
        <v>Save-a-lot Markets</v>
      </c>
      <c r="D966" s="24" t="str">
        <f>VLOOKUP(revenue[customerID],customers[],6,FALSE)</f>
        <v>Boise</v>
      </c>
      <c r="E966" s="24" t="str">
        <f>VLOOKUP(revenue[customerID],customers[],9,FALSE)</f>
        <v>USA</v>
      </c>
      <c r="F966" s="24">
        <v>45135.0</v>
      </c>
      <c r="G966" s="6">
        <v>76.0</v>
      </c>
      <c r="H966" s="9" t="str">
        <f>VLOOKUP(revenue[productID],products[],2,FALSE)</f>
        <v>Lakkalikööri</v>
      </c>
      <c r="I966" s="9" t="str">
        <f>VLOOKUP(revenue[productID],products[],12,FALSE)</f>
        <v>Beverages</v>
      </c>
      <c r="J966" s="9">
        <f>VLOOKUP(revenue[productID],products[],IF(YEAR(revenue[orderDate])=2022,8,IF(YEAR(revenue[orderDate])=2023,9,IF(YEAR(revenue[orderDate])=2024,10,NA))),FALSE)</f>
        <v>12.1154529</v>
      </c>
      <c r="K966" s="9">
        <v>18.0</v>
      </c>
      <c r="L966" s="25">
        <f>(revenue[orderPrice]-revenue[productCost])/revenue[productCost]</f>
        <v>0.4857059125</v>
      </c>
      <c r="M966" s="10">
        <v>80.0</v>
      </c>
      <c r="N966" s="25">
        <v>0.0</v>
      </c>
      <c r="O966" s="9">
        <f>revenue[orderPrice]*revenue[orderQuantity]</f>
        <v>1440</v>
      </c>
      <c r="P966" s="9">
        <f>revenue[orderTotal]*(1-revenue[discountApllied])</f>
        <v>1440</v>
      </c>
      <c r="Q966" s="9">
        <f>revenue[revenue]-(revenue[productCost]*revenue[orderQuantity])</f>
        <v>470.7637684</v>
      </c>
      <c r="R966" s="25">
        <f>IFERROR(revenue[profit]/revenue[revenue], 0)</f>
        <v>0.3269192836</v>
      </c>
      <c r="S966" s="9">
        <f>revenue[productCost]*revenue[orderQuantity]</f>
        <v>969.2362316</v>
      </c>
    </row>
    <row r="967" ht="15.75" customHeight="1">
      <c r="A967" s="6">
        <v>10613.0</v>
      </c>
      <c r="B967" s="7" t="s">
        <v>23</v>
      </c>
      <c r="C967" s="24" t="str">
        <f>VLOOKUP(revenue[customerID],customers[],2,FALSE)</f>
        <v>HILARION-Abastos</v>
      </c>
      <c r="D967" s="24" t="str">
        <f>VLOOKUP(revenue[customerID],customers[],6,FALSE)</f>
        <v>San Cristóbal</v>
      </c>
      <c r="E967" s="24" t="str">
        <f>VLOOKUP(revenue[customerID],customers[],9,FALSE)</f>
        <v>Venezuela</v>
      </c>
      <c r="F967" s="24">
        <v>45136.0</v>
      </c>
      <c r="G967" s="6">
        <v>13.0</v>
      </c>
      <c r="H967" s="9" t="str">
        <f>VLOOKUP(revenue[productID],products[],2,FALSE)</f>
        <v>Konbu</v>
      </c>
      <c r="I967" s="9" t="str">
        <f>VLOOKUP(revenue[productID],products[],12,FALSE)</f>
        <v>Seafood</v>
      </c>
      <c r="J967" s="9">
        <f>VLOOKUP(revenue[productID],products[],IF(YEAR(revenue[orderDate])=2022,8,IF(YEAR(revenue[orderDate])=2023,9,IF(YEAR(revenue[orderDate])=2024,10,NA))),FALSE)</f>
        <v>3.865774949</v>
      </c>
      <c r="K967" s="9">
        <v>6.0</v>
      </c>
      <c r="L967" s="25">
        <f>(revenue[orderPrice]-revenue[productCost])/revenue[productCost]</f>
        <v>0.5520820739</v>
      </c>
      <c r="M967" s="10">
        <v>8.0</v>
      </c>
      <c r="N967" s="25">
        <v>0.1</v>
      </c>
      <c r="O967" s="9">
        <f>revenue[orderPrice]*revenue[orderQuantity]</f>
        <v>48</v>
      </c>
      <c r="P967" s="9">
        <f>revenue[orderTotal]*(1-revenue[discountApllied])</f>
        <v>43.2</v>
      </c>
      <c r="Q967" s="9">
        <f>revenue[revenue]-(revenue[productCost]*revenue[orderQuantity])</f>
        <v>12.27380041</v>
      </c>
      <c r="R967" s="25">
        <f>IFERROR(revenue[profit]/revenue[revenue], 0)</f>
        <v>0.2841157502</v>
      </c>
      <c r="S967" s="9">
        <f>revenue[productCost]*revenue[orderQuantity]</f>
        <v>30.92619959</v>
      </c>
    </row>
    <row r="968" ht="15.75" customHeight="1">
      <c r="A968" s="6">
        <v>10613.0</v>
      </c>
      <c r="B968" s="7" t="s">
        <v>23</v>
      </c>
      <c r="C968" s="24" t="str">
        <f>VLOOKUP(revenue[customerID],customers[],2,FALSE)</f>
        <v>HILARION-Abastos</v>
      </c>
      <c r="D968" s="24" t="str">
        <f>VLOOKUP(revenue[customerID],customers[],6,FALSE)</f>
        <v>San Cristóbal</v>
      </c>
      <c r="E968" s="24" t="str">
        <f>VLOOKUP(revenue[customerID],customers[],9,FALSE)</f>
        <v>Venezuela</v>
      </c>
      <c r="F968" s="24">
        <v>45136.0</v>
      </c>
      <c r="G968" s="6">
        <v>75.0</v>
      </c>
      <c r="H968" s="9" t="str">
        <f>VLOOKUP(revenue[productID],products[],2,FALSE)</f>
        <v>Rhönbräu Klosterbier</v>
      </c>
      <c r="I968" s="9" t="str">
        <f>VLOOKUP(revenue[productID],products[],12,FALSE)</f>
        <v>Beverages</v>
      </c>
      <c r="J968" s="9">
        <f>VLOOKUP(revenue[productID],products[],IF(YEAR(revenue[orderDate])=2022,8,IF(YEAR(revenue[orderDate])=2023,9,IF(YEAR(revenue[orderDate])=2024,10,NA))),FALSE)</f>
        <v>5.355290472</v>
      </c>
      <c r="K968" s="9">
        <v>7.75</v>
      </c>
      <c r="L968" s="25">
        <f>(revenue[orderPrice]-revenue[productCost])/revenue[productCost]</f>
        <v>0.4471670661</v>
      </c>
      <c r="M968" s="10">
        <v>40.0</v>
      </c>
      <c r="N968" s="25">
        <v>0.0</v>
      </c>
      <c r="O968" s="9">
        <f>revenue[orderPrice]*revenue[orderQuantity]</f>
        <v>310</v>
      </c>
      <c r="P968" s="9">
        <f>revenue[orderTotal]*(1-revenue[discountApllied])</f>
        <v>310</v>
      </c>
      <c r="Q968" s="9">
        <f>revenue[revenue]-(revenue[productCost]*revenue[orderQuantity])</f>
        <v>95.78838113</v>
      </c>
      <c r="R968" s="25">
        <f>IFERROR(revenue[profit]/revenue[revenue], 0)</f>
        <v>0.3089947778</v>
      </c>
      <c r="S968" s="9">
        <f>revenue[productCost]*revenue[orderQuantity]</f>
        <v>214.2116189</v>
      </c>
    </row>
    <row r="969" ht="15.75" customHeight="1">
      <c r="A969" s="6">
        <v>10614.0</v>
      </c>
      <c r="B969" s="7" t="s">
        <v>91</v>
      </c>
      <c r="C969" s="24" t="str">
        <f>VLOOKUP(revenue[customerID],customers[],2,FALSE)</f>
        <v>Blauer See Delikatessen</v>
      </c>
      <c r="D969" s="24" t="str">
        <f>VLOOKUP(revenue[customerID],customers[],6,FALSE)</f>
        <v>Mannheim</v>
      </c>
      <c r="E969" s="24" t="str">
        <f>VLOOKUP(revenue[customerID],customers[],9,FALSE)</f>
        <v>Germany</v>
      </c>
      <c r="F969" s="24">
        <v>45136.0</v>
      </c>
      <c r="G969" s="6">
        <v>11.0</v>
      </c>
      <c r="H969" s="9" t="str">
        <f>VLOOKUP(revenue[productID],products[],2,FALSE)</f>
        <v>Queso Cabrales</v>
      </c>
      <c r="I969" s="9" t="str">
        <f>VLOOKUP(revenue[productID],products[],12,FALSE)</f>
        <v>Dairy Products</v>
      </c>
      <c r="J969" s="9">
        <f>VLOOKUP(revenue[productID],products[],IF(YEAR(revenue[orderDate])=2022,8,IF(YEAR(revenue[orderDate])=2023,9,IF(YEAR(revenue[orderDate])=2024,10,NA))),FALSE)</f>
        <v>12.90188125</v>
      </c>
      <c r="K969" s="9">
        <v>21.0</v>
      </c>
      <c r="L969" s="25">
        <f>(revenue[orderPrice]-revenue[productCost])/revenue[productCost]</f>
        <v>0.6276696079</v>
      </c>
      <c r="M969" s="10">
        <v>14.0</v>
      </c>
      <c r="N969" s="25">
        <v>0.0</v>
      </c>
      <c r="O969" s="9">
        <f>revenue[orderPrice]*revenue[orderQuantity]</f>
        <v>294</v>
      </c>
      <c r="P969" s="9">
        <f>revenue[orderTotal]*(1-revenue[discountApllied])</f>
        <v>294</v>
      </c>
      <c r="Q969" s="9">
        <f>revenue[revenue]-(revenue[productCost]*revenue[orderQuantity])</f>
        <v>113.3736625</v>
      </c>
      <c r="R969" s="25">
        <f>IFERROR(revenue[profit]/revenue[revenue], 0)</f>
        <v>0.3856247023</v>
      </c>
      <c r="S969" s="9">
        <f>revenue[productCost]*revenue[orderQuantity]</f>
        <v>180.6263375</v>
      </c>
    </row>
    <row r="970" ht="15.75" customHeight="1">
      <c r="A970" s="6">
        <v>10614.0</v>
      </c>
      <c r="B970" s="7" t="s">
        <v>91</v>
      </c>
      <c r="C970" s="24" t="str">
        <f>VLOOKUP(revenue[customerID],customers[],2,FALSE)</f>
        <v>Blauer See Delikatessen</v>
      </c>
      <c r="D970" s="24" t="str">
        <f>VLOOKUP(revenue[customerID],customers[],6,FALSE)</f>
        <v>Mannheim</v>
      </c>
      <c r="E970" s="24" t="str">
        <f>VLOOKUP(revenue[customerID],customers[],9,FALSE)</f>
        <v>Germany</v>
      </c>
      <c r="F970" s="24">
        <v>45136.0</v>
      </c>
      <c r="G970" s="6">
        <v>21.0</v>
      </c>
      <c r="H970" s="9" t="str">
        <f>VLOOKUP(revenue[productID],products[],2,FALSE)</f>
        <v>Sir Rodney's Scones</v>
      </c>
      <c r="I970" s="9" t="str">
        <f>VLOOKUP(revenue[productID],products[],12,FALSE)</f>
        <v>Confections</v>
      </c>
      <c r="J970" s="9">
        <f>VLOOKUP(revenue[productID],products[],IF(YEAR(revenue[orderDate])=2022,8,IF(YEAR(revenue[orderDate])=2023,9,IF(YEAR(revenue[orderDate])=2024,10,NA))),FALSE)</f>
        <v>6.725636111</v>
      </c>
      <c r="K970" s="9">
        <v>10.0</v>
      </c>
      <c r="L970" s="25">
        <f>(revenue[orderPrice]-revenue[productCost])/revenue[productCost]</f>
        <v>0.486848208</v>
      </c>
      <c r="M970" s="10">
        <v>8.0</v>
      </c>
      <c r="N970" s="25">
        <v>0.0</v>
      </c>
      <c r="O970" s="9">
        <f>revenue[orderPrice]*revenue[orderQuantity]</f>
        <v>80</v>
      </c>
      <c r="P970" s="9">
        <f>revenue[orderTotal]*(1-revenue[discountApllied])</f>
        <v>80</v>
      </c>
      <c r="Q970" s="9">
        <f>revenue[revenue]-(revenue[productCost]*revenue[orderQuantity])</f>
        <v>26.19491111</v>
      </c>
      <c r="R970" s="25">
        <f>IFERROR(revenue[profit]/revenue[revenue], 0)</f>
        <v>0.3274363889</v>
      </c>
      <c r="S970" s="9">
        <f>revenue[productCost]*revenue[orderQuantity]</f>
        <v>53.80508889</v>
      </c>
    </row>
    <row r="971" ht="15.75" customHeight="1">
      <c r="A971" s="6">
        <v>10614.0</v>
      </c>
      <c r="B971" s="7" t="s">
        <v>91</v>
      </c>
      <c r="C971" s="24" t="str">
        <f>VLOOKUP(revenue[customerID],customers[],2,FALSE)</f>
        <v>Blauer See Delikatessen</v>
      </c>
      <c r="D971" s="24" t="str">
        <f>VLOOKUP(revenue[customerID],customers[],6,FALSE)</f>
        <v>Mannheim</v>
      </c>
      <c r="E971" s="24" t="str">
        <f>VLOOKUP(revenue[customerID],customers[],9,FALSE)</f>
        <v>Germany</v>
      </c>
      <c r="F971" s="24">
        <v>45136.0</v>
      </c>
      <c r="G971" s="6">
        <v>39.0</v>
      </c>
      <c r="H971" s="9" t="str">
        <f>VLOOKUP(revenue[productID],products[],2,FALSE)</f>
        <v>Chartreuse verte</v>
      </c>
      <c r="I971" s="9" t="str">
        <f>VLOOKUP(revenue[productID],products[],12,FALSE)</f>
        <v>Beverages</v>
      </c>
      <c r="J971" s="9">
        <f>VLOOKUP(revenue[productID],products[],IF(YEAR(revenue[orderDate])=2022,8,IF(YEAR(revenue[orderDate])=2023,9,IF(YEAR(revenue[orderDate])=2024,10,NA))),FALSE)</f>
        <v>11.73311441</v>
      </c>
      <c r="K971" s="9">
        <v>18.0</v>
      </c>
      <c r="L971" s="25">
        <f>(revenue[orderPrice]-revenue[productCost])/revenue[productCost]</f>
        <v>0.5341195326</v>
      </c>
      <c r="M971" s="10">
        <v>5.0</v>
      </c>
      <c r="N971" s="25">
        <v>0.0</v>
      </c>
      <c r="O971" s="9">
        <f>revenue[orderPrice]*revenue[orderQuantity]</f>
        <v>90</v>
      </c>
      <c r="P971" s="9">
        <f>revenue[orderTotal]*(1-revenue[discountApllied])</f>
        <v>90</v>
      </c>
      <c r="Q971" s="9">
        <f>revenue[revenue]-(revenue[productCost]*revenue[orderQuantity])</f>
        <v>31.33442793</v>
      </c>
      <c r="R971" s="25">
        <f>IFERROR(revenue[profit]/revenue[revenue], 0)</f>
        <v>0.3481603104</v>
      </c>
      <c r="S971" s="9">
        <f>revenue[productCost]*revenue[orderQuantity]</f>
        <v>58.66557207</v>
      </c>
    </row>
    <row r="972" ht="15.75" customHeight="1">
      <c r="A972" s="6">
        <v>10615.0</v>
      </c>
      <c r="B972" s="7" t="s">
        <v>98</v>
      </c>
      <c r="C972" s="24" t="str">
        <f>VLOOKUP(revenue[customerID],customers[],2,FALSE)</f>
        <v>Wilman Kala</v>
      </c>
      <c r="D972" s="24" t="str">
        <f>VLOOKUP(revenue[customerID],customers[],6,FALSE)</f>
        <v>Helsinki</v>
      </c>
      <c r="E972" s="24" t="str">
        <f>VLOOKUP(revenue[customerID],customers[],9,FALSE)</f>
        <v>Finland</v>
      </c>
      <c r="F972" s="24">
        <v>45137.0</v>
      </c>
      <c r="G972" s="6">
        <v>55.0</v>
      </c>
      <c r="H972" s="9" t="str">
        <f>VLOOKUP(revenue[productID],products[],2,FALSE)</f>
        <v>Pâté chinois</v>
      </c>
      <c r="I972" s="9" t="str">
        <f>VLOOKUP(revenue[productID],products[],12,FALSE)</f>
        <v>Meat/Poultry</v>
      </c>
      <c r="J972" s="9">
        <f>VLOOKUP(revenue[productID],products[],IF(YEAR(revenue[orderDate])=2022,8,IF(YEAR(revenue[orderDate])=2023,9,IF(YEAR(revenue[orderDate])=2024,10,NA))),FALSE)</f>
        <v>14.92398776</v>
      </c>
      <c r="K972" s="9">
        <v>24.0</v>
      </c>
      <c r="L972" s="25">
        <f>(revenue[orderPrice]-revenue[productCost])/revenue[productCost]</f>
        <v>0.6081492681</v>
      </c>
      <c r="M972" s="10">
        <v>5.0</v>
      </c>
      <c r="N972" s="25">
        <v>0.0</v>
      </c>
      <c r="O972" s="9">
        <f>revenue[orderPrice]*revenue[orderQuantity]</f>
        <v>120</v>
      </c>
      <c r="P972" s="9">
        <f>revenue[orderTotal]*(1-revenue[discountApllied])</f>
        <v>120</v>
      </c>
      <c r="Q972" s="9">
        <f>revenue[revenue]-(revenue[productCost]*revenue[orderQuantity])</f>
        <v>45.38006118</v>
      </c>
      <c r="R972" s="25">
        <f>IFERROR(revenue[profit]/revenue[revenue], 0)</f>
        <v>0.3781671765</v>
      </c>
      <c r="S972" s="9">
        <f>revenue[productCost]*revenue[orderQuantity]</f>
        <v>74.61993882</v>
      </c>
    </row>
    <row r="973" ht="15.75" customHeight="1">
      <c r="A973" s="6">
        <v>10616.0</v>
      </c>
      <c r="B973" s="7" t="s">
        <v>94</v>
      </c>
      <c r="C973" s="24" t="str">
        <f>VLOOKUP(revenue[customerID],customers[],2,FALSE)</f>
        <v>Great Lakes Food Market</v>
      </c>
      <c r="D973" s="24" t="str">
        <f>VLOOKUP(revenue[customerID],customers[],6,FALSE)</f>
        <v>Eugene</v>
      </c>
      <c r="E973" s="24" t="str">
        <f>VLOOKUP(revenue[customerID],customers[],9,FALSE)</f>
        <v>USA</v>
      </c>
      <c r="F973" s="24">
        <v>45138.0</v>
      </c>
      <c r="G973" s="6">
        <v>38.0</v>
      </c>
      <c r="H973" s="9" t="str">
        <f>VLOOKUP(revenue[productID],products[],2,FALSE)</f>
        <v>Côte de Blaye</v>
      </c>
      <c r="I973" s="9" t="str">
        <f>VLOOKUP(revenue[productID],products[],12,FALSE)</f>
        <v>Beverages</v>
      </c>
      <c r="J973" s="9">
        <f>VLOOKUP(revenue[productID],products[],IF(YEAR(revenue[orderDate])=2022,8,IF(YEAR(revenue[orderDate])=2023,9,IF(YEAR(revenue[orderDate])=2024,10,NA))),FALSE)</f>
        <v>175.9515711</v>
      </c>
      <c r="K973" s="9">
        <v>263.5</v>
      </c>
      <c r="L973" s="25">
        <f>(revenue[orderPrice]-revenue[productCost])/revenue[productCost]</f>
        <v>0.4975711688</v>
      </c>
      <c r="M973" s="10">
        <v>15.0</v>
      </c>
      <c r="N973" s="25">
        <v>0.05</v>
      </c>
      <c r="O973" s="9">
        <f>revenue[orderPrice]*revenue[orderQuantity]</f>
        <v>3952.5</v>
      </c>
      <c r="P973" s="9">
        <f>revenue[orderTotal]*(1-revenue[discountApllied])</f>
        <v>3754.875</v>
      </c>
      <c r="Q973" s="9">
        <f>revenue[revenue]-(revenue[productCost]*revenue[orderQuantity])</f>
        <v>1115.601433</v>
      </c>
      <c r="R973" s="25">
        <f>IFERROR(revenue[profit]/revenue[revenue], 0)</f>
        <v>0.2971074759</v>
      </c>
      <c r="S973" s="9">
        <f>revenue[productCost]*revenue[orderQuantity]</f>
        <v>2639.273567</v>
      </c>
    </row>
    <row r="974" ht="15.75" customHeight="1">
      <c r="A974" s="6">
        <v>10616.0</v>
      </c>
      <c r="B974" s="7" t="s">
        <v>94</v>
      </c>
      <c r="C974" s="24" t="str">
        <f>VLOOKUP(revenue[customerID],customers[],2,FALSE)</f>
        <v>Great Lakes Food Market</v>
      </c>
      <c r="D974" s="24" t="str">
        <f>VLOOKUP(revenue[customerID],customers[],6,FALSE)</f>
        <v>Eugene</v>
      </c>
      <c r="E974" s="24" t="str">
        <f>VLOOKUP(revenue[customerID],customers[],9,FALSE)</f>
        <v>USA</v>
      </c>
      <c r="F974" s="24">
        <v>45138.0</v>
      </c>
      <c r="G974" s="6">
        <v>56.0</v>
      </c>
      <c r="H974" s="9" t="str">
        <f>VLOOKUP(revenue[productID],products[],2,FALSE)</f>
        <v>Gnocchi di nonna Alice</v>
      </c>
      <c r="I974" s="9" t="str">
        <f>VLOOKUP(revenue[productID],products[],12,FALSE)</f>
        <v>Grains/Cereals</v>
      </c>
      <c r="J974" s="9">
        <f>VLOOKUP(revenue[productID],products[],IF(YEAR(revenue[orderDate])=2022,8,IF(YEAR(revenue[orderDate])=2023,9,IF(YEAR(revenue[orderDate])=2024,10,NA))),FALSE)</f>
        <v>24.28342441</v>
      </c>
      <c r="K974" s="9">
        <v>38.0</v>
      </c>
      <c r="L974" s="25">
        <f>(revenue[orderPrice]-revenue[productCost])/revenue[productCost]</f>
        <v>0.5648534309</v>
      </c>
      <c r="M974" s="10">
        <v>14.0</v>
      </c>
      <c r="N974" s="25">
        <v>0.0</v>
      </c>
      <c r="O974" s="9">
        <f>revenue[orderPrice]*revenue[orderQuantity]</f>
        <v>532</v>
      </c>
      <c r="P974" s="9">
        <f>revenue[orderTotal]*(1-revenue[discountApllied])</f>
        <v>532</v>
      </c>
      <c r="Q974" s="9">
        <f>revenue[revenue]-(revenue[productCost]*revenue[orderQuantity])</f>
        <v>192.0320583</v>
      </c>
      <c r="R974" s="25">
        <f>IFERROR(revenue[profit]/revenue[revenue], 0)</f>
        <v>0.3609625156</v>
      </c>
      <c r="S974" s="9">
        <f>revenue[productCost]*revenue[orderQuantity]</f>
        <v>339.9679417</v>
      </c>
    </row>
    <row r="975" ht="15.75" customHeight="1">
      <c r="A975" s="6">
        <v>10616.0</v>
      </c>
      <c r="B975" s="7" t="s">
        <v>94</v>
      </c>
      <c r="C975" s="24" t="str">
        <f>VLOOKUP(revenue[customerID],customers[],2,FALSE)</f>
        <v>Great Lakes Food Market</v>
      </c>
      <c r="D975" s="24" t="str">
        <f>VLOOKUP(revenue[customerID],customers[],6,FALSE)</f>
        <v>Eugene</v>
      </c>
      <c r="E975" s="24" t="str">
        <f>VLOOKUP(revenue[customerID],customers[],9,FALSE)</f>
        <v>USA</v>
      </c>
      <c r="F975" s="24">
        <v>45138.0</v>
      </c>
      <c r="G975" s="6">
        <v>70.0</v>
      </c>
      <c r="H975" s="9" t="str">
        <f>VLOOKUP(revenue[productID],products[],2,FALSE)</f>
        <v>Outback Lager</v>
      </c>
      <c r="I975" s="9" t="str">
        <f>VLOOKUP(revenue[productID],products[],12,FALSE)</f>
        <v>Beverages</v>
      </c>
      <c r="J975" s="9">
        <f>VLOOKUP(revenue[productID],products[],IF(YEAR(revenue[orderDate])=2022,8,IF(YEAR(revenue[orderDate])=2023,9,IF(YEAR(revenue[orderDate])=2024,10,NA))),FALSE)</f>
        <v>9.793094091</v>
      </c>
      <c r="K975" s="9">
        <v>15.0</v>
      </c>
      <c r="L975" s="25">
        <f>(revenue[orderPrice]-revenue[productCost])/revenue[productCost]</f>
        <v>0.5316916044</v>
      </c>
      <c r="M975" s="10">
        <v>15.0</v>
      </c>
      <c r="N975" s="25">
        <v>0.05</v>
      </c>
      <c r="O975" s="9">
        <f>revenue[orderPrice]*revenue[orderQuantity]</f>
        <v>225</v>
      </c>
      <c r="P975" s="9">
        <f>revenue[orderTotal]*(1-revenue[discountApllied])</f>
        <v>213.75</v>
      </c>
      <c r="Q975" s="9">
        <f>revenue[revenue]-(revenue[productCost]*revenue[orderQuantity])</f>
        <v>66.85358863</v>
      </c>
      <c r="R975" s="25">
        <f>IFERROR(revenue[profit]/revenue[revenue], 0)</f>
        <v>0.3127653269</v>
      </c>
      <c r="S975" s="9">
        <f>revenue[productCost]*revenue[orderQuantity]</f>
        <v>146.8964114</v>
      </c>
    </row>
    <row r="976" ht="15.75" customHeight="1">
      <c r="A976" s="6">
        <v>10616.0</v>
      </c>
      <c r="B976" s="7" t="s">
        <v>94</v>
      </c>
      <c r="C976" s="24" t="str">
        <f>VLOOKUP(revenue[customerID],customers[],2,FALSE)</f>
        <v>Great Lakes Food Market</v>
      </c>
      <c r="D976" s="24" t="str">
        <f>VLOOKUP(revenue[customerID],customers[],6,FALSE)</f>
        <v>Eugene</v>
      </c>
      <c r="E976" s="24" t="str">
        <f>VLOOKUP(revenue[customerID],customers[],9,FALSE)</f>
        <v>USA</v>
      </c>
      <c r="F976" s="24">
        <v>45138.0</v>
      </c>
      <c r="G976" s="6">
        <v>71.0</v>
      </c>
      <c r="H976" s="9" t="str">
        <f>VLOOKUP(revenue[productID],products[],2,FALSE)</f>
        <v>Flotemysost</v>
      </c>
      <c r="I976" s="9" t="str">
        <f>VLOOKUP(revenue[productID],products[],12,FALSE)</f>
        <v>Dairy Products</v>
      </c>
      <c r="J976" s="9">
        <f>VLOOKUP(revenue[productID],products[],IF(YEAR(revenue[orderDate])=2022,8,IF(YEAR(revenue[orderDate])=2023,9,IF(YEAR(revenue[orderDate])=2024,10,NA))),FALSE)</f>
        <v>13.4003664</v>
      </c>
      <c r="K976" s="9">
        <v>21.5</v>
      </c>
      <c r="L976" s="25">
        <f>(revenue[orderPrice]-revenue[productCost])/revenue[productCost]</f>
        <v>0.6044337411</v>
      </c>
      <c r="M976" s="10">
        <v>15.0</v>
      </c>
      <c r="N976" s="25">
        <v>0.05</v>
      </c>
      <c r="O976" s="9">
        <f>revenue[orderPrice]*revenue[orderQuantity]</f>
        <v>322.5</v>
      </c>
      <c r="P976" s="9">
        <f>revenue[orderTotal]*(1-revenue[discountApllied])</f>
        <v>306.375</v>
      </c>
      <c r="Q976" s="9">
        <f>revenue[revenue]-(revenue[productCost]*revenue[orderQuantity])</f>
        <v>105.369504</v>
      </c>
      <c r="R976" s="25">
        <f>IFERROR(revenue[profit]/revenue[revenue], 0)</f>
        <v>0.3439233095</v>
      </c>
      <c r="S976" s="9">
        <f>revenue[productCost]*revenue[orderQuantity]</f>
        <v>201.005496</v>
      </c>
    </row>
    <row r="977" ht="15.75" customHeight="1">
      <c r="A977" s="6">
        <v>10617.0</v>
      </c>
      <c r="B977" s="7" t="s">
        <v>94</v>
      </c>
      <c r="C977" s="24" t="str">
        <f>VLOOKUP(revenue[customerID],customers[],2,FALSE)</f>
        <v>Great Lakes Food Market</v>
      </c>
      <c r="D977" s="24" t="str">
        <f>VLOOKUP(revenue[customerID],customers[],6,FALSE)</f>
        <v>Eugene</v>
      </c>
      <c r="E977" s="24" t="str">
        <f>VLOOKUP(revenue[customerID],customers[],9,FALSE)</f>
        <v>USA</v>
      </c>
      <c r="F977" s="24">
        <v>45138.0</v>
      </c>
      <c r="G977" s="6">
        <v>59.0</v>
      </c>
      <c r="H977" s="9" t="str">
        <f>VLOOKUP(revenue[productID],products[],2,FALSE)</f>
        <v>Raclette Courdavault</v>
      </c>
      <c r="I977" s="9" t="str">
        <f>VLOOKUP(revenue[productID],products[],12,FALSE)</f>
        <v>Dairy Products</v>
      </c>
      <c r="J977" s="9">
        <f>VLOOKUP(revenue[productID],products[],IF(YEAR(revenue[orderDate])=2022,8,IF(YEAR(revenue[orderDate])=2023,9,IF(YEAR(revenue[orderDate])=2024,10,NA))),FALSE)</f>
        <v>35.20472566</v>
      </c>
      <c r="K977" s="9">
        <v>55.0</v>
      </c>
      <c r="L977" s="25">
        <f>(revenue[orderPrice]-revenue[productCost])/revenue[productCost]</f>
        <v>0.5622902598</v>
      </c>
      <c r="M977" s="10">
        <v>30.0</v>
      </c>
      <c r="N977" s="25">
        <v>0.15</v>
      </c>
      <c r="O977" s="9">
        <f>revenue[orderPrice]*revenue[orderQuantity]</f>
        <v>1650</v>
      </c>
      <c r="P977" s="9">
        <f>revenue[orderTotal]*(1-revenue[discountApllied])</f>
        <v>1402.5</v>
      </c>
      <c r="Q977" s="9">
        <f>revenue[revenue]-(revenue[productCost]*revenue[orderQuantity])</f>
        <v>346.3582302</v>
      </c>
      <c r="R977" s="25">
        <f>IFERROR(revenue[profit]/revenue[revenue], 0)</f>
        <v>0.2469577399</v>
      </c>
      <c r="S977" s="9">
        <f>revenue[productCost]*revenue[orderQuantity]</f>
        <v>1056.14177</v>
      </c>
    </row>
    <row r="978" ht="15.75" customHeight="1">
      <c r="A978" s="6">
        <v>10618.0</v>
      </c>
      <c r="B978" s="7" t="s">
        <v>64</v>
      </c>
      <c r="C978" s="24" t="str">
        <f>VLOOKUP(revenue[customerID],customers[],2,FALSE)</f>
        <v>Mère Paillarde</v>
      </c>
      <c r="D978" s="24" t="str">
        <f>VLOOKUP(revenue[customerID],customers[],6,FALSE)</f>
        <v>Montréal</v>
      </c>
      <c r="E978" s="24" t="str">
        <f>VLOOKUP(revenue[customerID],customers[],9,FALSE)</f>
        <v>Canada</v>
      </c>
      <c r="F978" s="24">
        <v>45139.0</v>
      </c>
      <c r="G978" s="6">
        <v>6.0</v>
      </c>
      <c r="H978" s="9" t="str">
        <f>VLOOKUP(revenue[productID],products[],2,FALSE)</f>
        <v>Grandma's Boysenberry Spread</v>
      </c>
      <c r="I978" s="9" t="str">
        <f>VLOOKUP(revenue[productID],products[],12,FALSE)</f>
        <v>Condiments</v>
      </c>
      <c r="J978" s="9">
        <f>VLOOKUP(revenue[productID],products[],IF(YEAR(revenue[orderDate])=2022,8,IF(YEAR(revenue[orderDate])=2023,9,IF(YEAR(revenue[orderDate])=2024,10,NA))),FALSE)</f>
        <v>17.8511037</v>
      </c>
      <c r="K978" s="9">
        <v>25.0</v>
      </c>
      <c r="L978" s="25">
        <f>(revenue[orderPrice]-revenue[productCost])/revenue[productCost]</f>
        <v>0.4004736302</v>
      </c>
      <c r="M978" s="10">
        <v>70.0</v>
      </c>
      <c r="N978" s="25">
        <v>0.0</v>
      </c>
      <c r="O978" s="9">
        <f>revenue[orderPrice]*revenue[orderQuantity]</f>
        <v>1750</v>
      </c>
      <c r="P978" s="9">
        <f>revenue[orderTotal]*(1-revenue[discountApllied])</f>
        <v>1750</v>
      </c>
      <c r="Q978" s="9">
        <f>revenue[revenue]-(revenue[productCost]*revenue[orderQuantity])</f>
        <v>500.4227411</v>
      </c>
      <c r="R978" s="25">
        <f>IFERROR(revenue[profit]/revenue[revenue], 0)</f>
        <v>0.285955852</v>
      </c>
      <c r="S978" s="9">
        <f>revenue[productCost]*revenue[orderQuantity]</f>
        <v>1249.577259</v>
      </c>
    </row>
    <row r="979" ht="15.75" customHeight="1">
      <c r="A979" s="6">
        <v>10618.0</v>
      </c>
      <c r="B979" s="7" t="s">
        <v>64</v>
      </c>
      <c r="C979" s="24" t="str">
        <f>VLOOKUP(revenue[customerID],customers[],2,FALSE)</f>
        <v>Mère Paillarde</v>
      </c>
      <c r="D979" s="24" t="str">
        <f>VLOOKUP(revenue[customerID],customers[],6,FALSE)</f>
        <v>Montréal</v>
      </c>
      <c r="E979" s="24" t="str">
        <f>VLOOKUP(revenue[customerID],customers[],9,FALSE)</f>
        <v>Canada</v>
      </c>
      <c r="F979" s="24">
        <v>45139.0</v>
      </c>
      <c r="G979" s="6">
        <v>56.0</v>
      </c>
      <c r="H979" s="9" t="str">
        <f>VLOOKUP(revenue[productID],products[],2,FALSE)</f>
        <v>Gnocchi di nonna Alice</v>
      </c>
      <c r="I979" s="9" t="str">
        <f>VLOOKUP(revenue[productID],products[],12,FALSE)</f>
        <v>Grains/Cereals</v>
      </c>
      <c r="J979" s="9">
        <f>VLOOKUP(revenue[productID],products[],IF(YEAR(revenue[orderDate])=2022,8,IF(YEAR(revenue[orderDate])=2023,9,IF(YEAR(revenue[orderDate])=2024,10,NA))),FALSE)</f>
        <v>24.28342441</v>
      </c>
      <c r="K979" s="9">
        <v>38.0</v>
      </c>
      <c r="L979" s="25">
        <f>(revenue[orderPrice]-revenue[productCost])/revenue[productCost]</f>
        <v>0.5648534309</v>
      </c>
      <c r="M979" s="10">
        <v>20.0</v>
      </c>
      <c r="N979" s="25">
        <v>0.0</v>
      </c>
      <c r="O979" s="9">
        <f>revenue[orderPrice]*revenue[orderQuantity]</f>
        <v>760</v>
      </c>
      <c r="P979" s="9">
        <f>revenue[orderTotal]*(1-revenue[discountApllied])</f>
        <v>760</v>
      </c>
      <c r="Q979" s="9">
        <f>revenue[revenue]-(revenue[productCost]*revenue[orderQuantity])</f>
        <v>274.3315118</v>
      </c>
      <c r="R979" s="25">
        <f>IFERROR(revenue[profit]/revenue[revenue], 0)</f>
        <v>0.3609625156</v>
      </c>
      <c r="S979" s="9">
        <f>revenue[productCost]*revenue[orderQuantity]</f>
        <v>485.6684882</v>
      </c>
    </row>
    <row r="980" ht="15.75" customHeight="1">
      <c r="A980" s="6">
        <v>10618.0</v>
      </c>
      <c r="B980" s="7" t="s">
        <v>64</v>
      </c>
      <c r="C980" s="24" t="str">
        <f>VLOOKUP(revenue[customerID],customers[],2,FALSE)</f>
        <v>Mère Paillarde</v>
      </c>
      <c r="D980" s="24" t="str">
        <f>VLOOKUP(revenue[customerID],customers[],6,FALSE)</f>
        <v>Montréal</v>
      </c>
      <c r="E980" s="24" t="str">
        <f>VLOOKUP(revenue[customerID],customers[],9,FALSE)</f>
        <v>Canada</v>
      </c>
      <c r="F980" s="24">
        <v>45139.0</v>
      </c>
      <c r="G980" s="6">
        <v>68.0</v>
      </c>
      <c r="H980" s="9" t="str">
        <f>VLOOKUP(revenue[productID],products[],2,FALSE)</f>
        <v>Scottish Longbreads</v>
      </c>
      <c r="I980" s="9" t="str">
        <f>VLOOKUP(revenue[productID],products[],12,FALSE)</f>
        <v>Confections</v>
      </c>
      <c r="J980" s="9">
        <f>VLOOKUP(revenue[productID],products[],IF(YEAR(revenue[orderDate])=2022,8,IF(YEAR(revenue[orderDate])=2023,9,IF(YEAR(revenue[orderDate])=2024,10,NA))),FALSE)</f>
        <v>8.500000387</v>
      </c>
      <c r="K980" s="9">
        <v>12.5</v>
      </c>
      <c r="L980" s="25">
        <f>(revenue[orderPrice]-revenue[productCost])/revenue[productCost]</f>
        <v>0.4705881684</v>
      </c>
      <c r="M980" s="10">
        <v>15.0</v>
      </c>
      <c r="N980" s="25">
        <v>0.0</v>
      </c>
      <c r="O980" s="9">
        <f>revenue[orderPrice]*revenue[orderQuantity]</f>
        <v>187.5</v>
      </c>
      <c r="P980" s="9">
        <f>revenue[orderTotal]*(1-revenue[discountApllied])</f>
        <v>187.5</v>
      </c>
      <c r="Q980" s="9">
        <f>revenue[revenue]-(revenue[productCost]*revenue[orderQuantity])</f>
        <v>59.9999942</v>
      </c>
      <c r="R980" s="25">
        <f>IFERROR(revenue[profit]/revenue[revenue], 0)</f>
        <v>0.3199999691</v>
      </c>
      <c r="S980" s="9">
        <f>revenue[productCost]*revenue[orderQuantity]</f>
        <v>127.5000058</v>
      </c>
    </row>
    <row r="981" ht="15.75" customHeight="1">
      <c r="A981" s="6">
        <v>10619.0</v>
      </c>
      <c r="B981" s="7" t="s">
        <v>64</v>
      </c>
      <c r="C981" s="24" t="str">
        <f>VLOOKUP(revenue[customerID],customers[],2,FALSE)</f>
        <v>Mère Paillarde</v>
      </c>
      <c r="D981" s="24" t="str">
        <f>VLOOKUP(revenue[customerID],customers[],6,FALSE)</f>
        <v>Montréal</v>
      </c>
      <c r="E981" s="24" t="str">
        <f>VLOOKUP(revenue[customerID],customers[],9,FALSE)</f>
        <v>Canada</v>
      </c>
      <c r="F981" s="24">
        <v>45142.0</v>
      </c>
      <c r="G981" s="6">
        <v>21.0</v>
      </c>
      <c r="H981" s="9" t="str">
        <f>VLOOKUP(revenue[productID],products[],2,FALSE)</f>
        <v>Sir Rodney's Scones</v>
      </c>
      <c r="I981" s="9" t="str">
        <f>VLOOKUP(revenue[productID],products[],12,FALSE)</f>
        <v>Confections</v>
      </c>
      <c r="J981" s="9">
        <f>VLOOKUP(revenue[productID],products[],IF(YEAR(revenue[orderDate])=2022,8,IF(YEAR(revenue[orderDate])=2023,9,IF(YEAR(revenue[orderDate])=2024,10,NA))),FALSE)</f>
        <v>6.725636111</v>
      </c>
      <c r="K981" s="9">
        <v>10.0</v>
      </c>
      <c r="L981" s="25">
        <f>(revenue[orderPrice]-revenue[productCost])/revenue[productCost]</f>
        <v>0.486848208</v>
      </c>
      <c r="M981" s="10">
        <v>42.0</v>
      </c>
      <c r="N981" s="25">
        <v>0.0</v>
      </c>
      <c r="O981" s="9">
        <f>revenue[orderPrice]*revenue[orderQuantity]</f>
        <v>420</v>
      </c>
      <c r="P981" s="9">
        <f>revenue[orderTotal]*(1-revenue[discountApllied])</f>
        <v>420</v>
      </c>
      <c r="Q981" s="9">
        <f>revenue[revenue]-(revenue[productCost]*revenue[orderQuantity])</f>
        <v>137.5232833</v>
      </c>
      <c r="R981" s="25">
        <f>IFERROR(revenue[profit]/revenue[revenue], 0)</f>
        <v>0.3274363889</v>
      </c>
      <c r="S981" s="9">
        <f>revenue[productCost]*revenue[orderQuantity]</f>
        <v>282.4767167</v>
      </c>
    </row>
    <row r="982" ht="15.75" customHeight="1">
      <c r="A982" s="6">
        <v>10619.0</v>
      </c>
      <c r="B982" s="7" t="s">
        <v>64</v>
      </c>
      <c r="C982" s="24" t="str">
        <f>VLOOKUP(revenue[customerID],customers[],2,FALSE)</f>
        <v>Mère Paillarde</v>
      </c>
      <c r="D982" s="24" t="str">
        <f>VLOOKUP(revenue[customerID],customers[],6,FALSE)</f>
        <v>Montréal</v>
      </c>
      <c r="E982" s="24" t="str">
        <f>VLOOKUP(revenue[customerID],customers[],9,FALSE)</f>
        <v>Canada</v>
      </c>
      <c r="F982" s="24">
        <v>45142.0</v>
      </c>
      <c r="G982" s="6">
        <v>22.0</v>
      </c>
      <c r="H982" s="9" t="str">
        <f>VLOOKUP(revenue[productID],products[],2,FALSE)</f>
        <v>Gustaf's Knäckebröd</v>
      </c>
      <c r="I982" s="9" t="str">
        <f>VLOOKUP(revenue[productID],products[],12,FALSE)</f>
        <v>Grains/Cereals</v>
      </c>
      <c r="J982" s="9">
        <f>VLOOKUP(revenue[productID],products[],IF(YEAR(revenue[orderDate])=2022,8,IF(YEAR(revenue[orderDate])=2023,9,IF(YEAR(revenue[orderDate])=2024,10,NA))),FALSE)</f>
        <v>14.56814822</v>
      </c>
      <c r="K982" s="9">
        <v>21.0</v>
      </c>
      <c r="L982" s="25">
        <f>(revenue[orderPrice]-revenue[productCost])/revenue[productCost]</f>
        <v>0.4415009841</v>
      </c>
      <c r="M982" s="10">
        <v>40.0</v>
      </c>
      <c r="N982" s="25">
        <v>0.0</v>
      </c>
      <c r="O982" s="9">
        <f>revenue[orderPrice]*revenue[orderQuantity]</f>
        <v>840</v>
      </c>
      <c r="P982" s="9">
        <f>revenue[orderTotal]*(1-revenue[discountApllied])</f>
        <v>840</v>
      </c>
      <c r="Q982" s="9">
        <f>revenue[revenue]-(revenue[productCost]*revenue[orderQuantity])</f>
        <v>257.2740711</v>
      </c>
      <c r="R982" s="25">
        <f>IFERROR(revenue[profit]/revenue[revenue], 0)</f>
        <v>0.3062786561</v>
      </c>
      <c r="S982" s="9">
        <f>revenue[productCost]*revenue[orderQuantity]</f>
        <v>582.7259289</v>
      </c>
    </row>
    <row r="983" ht="15.75" customHeight="1">
      <c r="A983" s="6">
        <v>10620.0</v>
      </c>
      <c r="B983" s="7" t="s">
        <v>90</v>
      </c>
      <c r="C983" s="24" t="str">
        <f>VLOOKUP(revenue[customerID],customers[],2,FALSE)</f>
        <v>Laughing Bacchus Wine Cellars</v>
      </c>
      <c r="D983" s="24" t="str">
        <f>VLOOKUP(revenue[customerID],customers[],6,FALSE)</f>
        <v>Vancouver</v>
      </c>
      <c r="E983" s="24" t="str">
        <f>VLOOKUP(revenue[customerID],customers[],9,FALSE)</f>
        <v>Canada</v>
      </c>
      <c r="F983" s="24">
        <v>45143.0</v>
      </c>
      <c r="G983" s="6">
        <v>24.0</v>
      </c>
      <c r="H983" s="9" t="str">
        <f>VLOOKUP(revenue[productID],products[],2,FALSE)</f>
        <v>Brigadeiros Maravilhosos da Lilian</v>
      </c>
      <c r="I983" s="9" t="str">
        <f>VLOOKUP(revenue[productID],products[],12,FALSE)</f>
        <v>Confections</v>
      </c>
      <c r="J983" s="9">
        <f>VLOOKUP(revenue[productID],products[],IF(YEAR(revenue[orderDate])=2022,8,IF(YEAR(revenue[orderDate])=2023,9,IF(YEAR(revenue[orderDate])=2024,10,NA))),FALSE)</f>
        <v>3.131783363</v>
      </c>
      <c r="K983" s="9">
        <v>4.5</v>
      </c>
      <c r="L983" s="25">
        <f>(revenue[orderPrice]-revenue[productCost])/revenue[productCost]</f>
        <v>0.4368809967</v>
      </c>
      <c r="M983" s="10">
        <v>5.0</v>
      </c>
      <c r="N983" s="25">
        <v>0.0</v>
      </c>
      <c r="O983" s="9">
        <f>revenue[orderPrice]*revenue[orderQuantity]</f>
        <v>22.5</v>
      </c>
      <c r="P983" s="9">
        <f>revenue[orderTotal]*(1-revenue[discountApllied])</f>
        <v>22.5</v>
      </c>
      <c r="Q983" s="9">
        <f>revenue[revenue]-(revenue[productCost]*revenue[orderQuantity])</f>
        <v>6.841083185</v>
      </c>
      <c r="R983" s="25">
        <f>IFERROR(revenue[profit]/revenue[revenue], 0)</f>
        <v>0.3040481416</v>
      </c>
      <c r="S983" s="9">
        <f>revenue[productCost]*revenue[orderQuantity]</f>
        <v>15.65891681</v>
      </c>
    </row>
    <row r="984" ht="15.75" customHeight="1">
      <c r="A984" s="6">
        <v>10620.0</v>
      </c>
      <c r="B984" s="7" t="s">
        <v>90</v>
      </c>
      <c r="C984" s="24" t="str">
        <f>VLOOKUP(revenue[customerID],customers[],2,FALSE)</f>
        <v>Laughing Bacchus Wine Cellars</v>
      </c>
      <c r="D984" s="24" t="str">
        <f>VLOOKUP(revenue[customerID],customers[],6,FALSE)</f>
        <v>Vancouver</v>
      </c>
      <c r="E984" s="24" t="str">
        <f>VLOOKUP(revenue[customerID],customers[],9,FALSE)</f>
        <v>Canada</v>
      </c>
      <c r="F984" s="24">
        <v>45143.0</v>
      </c>
      <c r="G984" s="6">
        <v>52.0</v>
      </c>
      <c r="H984" s="9" t="str">
        <f>VLOOKUP(revenue[productID],products[],2,FALSE)</f>
        <v>Filo Mix</v>
      </c>
      <c r="I984" s="9" t="str">
        <f>VLOOKUP(revenue[productID],products[],12,FALSE)</f>
        <v>Grains/Cereals</v>
      </c>
      <c r="J984" s="9">
        <f>VLOOKUP(revenue[productID],products[],IF(YEAR(revenue[orderDate])=2022,8,IF(YEAR(revenue[orderDate])=2023,9,IF(YEAR(revenue[orderDate])=2024,10,NA))),FALSE)</f>
        <v>5.001706713</v>
      </c>
      <c r="K984" s="9">
        <v>7.0</v>
      </c>
      <c r="L984" s="25">
        <f>(revenue[orderPrice]-revenue[productCost])/revenue[productCost]</f>
        <v>0.3995222835</v>
      </c>
      <c r="M984" s="10">
        <v>5.0</v>
      </c>
      <c r="N984" s="25">
        <v>0.0</v>
      </c>
      <c r="O984" s="9">
        <f>revenue[orderPrice]*revenue[orderQuantity]</f>
        <v>35</v>
      </c>
      <c r="P984" s="9">
        <f>revenue[orderTotal]*(1-revenue[discountApllied])</f>
        <v>35</v>
      </c>
      <c r="Q984" s="9">
        <f>revenue[revenue]-(revenue[productCost]*revenue[orderQuantity])</f>
        <v>9.991466436</v>
      </c>
      <c r="R984" s="25">
        <f>IFERROR(revenue[profit]/revenue[revenue], 0)</f>
        <v>0.2854704696</v>
      </c>
      <c r="S984" s="9">
        <f>revenue[productCost]*revenue[orderQuantity]</f>
        <v>25.00853356</v>
      </c>
    </row>
    <row r="985" ht="15.75" customHeight="1">
      <c r="A985" s="6">
        <v>10621.0</v>
      </c>
      <c r="B985" s="7" t="s">
        <v>57</v>
      </c>
      <c r="C985" s="24" t="str">
        <f>VLOOKUP(revenue[customerID],customers[],2,FALSE)</f>
        <v>Island Trading</v>
      </c>
      <c r="D985" s="24" t="str">
        <f>VLOOKUP(revenue[customerID],customers[],6,FALSE)</f>
        <v>Cowes</v>
      </c>
      <c r="E985" s="24" t="str">
        <f>VLOOKUP(revenue[customerID],customers[],9,FALSE)</f>
        <v>UK</v>
      </c>
      <c r="F985" s="24">
        <v>45143.0</v>
      </c>
      <c r="G985" s="6">
        <v>19.0</v>
      </c>
      <c r="H985" s="9" t="str">
        <f>VLOOKUP(revenue[productID],products[],2,FALSE)</f>
        <v>Teatime Chocolate Biscuits</v>
      </c>
      <c r="I985" s="9" t="str">
        <f>VLOOKUP(revenue[productID],products[],12,FALSE)</f>
        <v>Confections</v>
      </c>
      <c r="J985" s="9">
        <f>VLOOKUP(revenue[productID],products[],IF(YEAR(revenue[orderDate])=2022,8,IF(YEAR(revenue[orderDate])=2023,9,IF(YEAR(revenue[orderDate])=2024,10,NA))),FALSE)</f>
        <v>5.901883682</v>
      </c>
      <c r="K985" s="9">
        <v>9.2</v>
      </c>
      <c r="L985" s="25">
        <f>(revenue[orderPrice]-revenue[productCost])/revenue[productCost]</f>
        <v>0.5588243508</v>
      </c>
      <c r="M985" s="10">
        <v>5.0</v>
      </c>
      <c r="N985" s="25">
        <v>0.0</v>
      </c>
      <c r="O985" s="9">
        <f>revenue[orderPrice]*revenue[orderQuantity]</f>
        <v>46</v>
      </c>
      <c r="P985" s="9">
        <f>revenue[orderTotal]*(1-revenue[discountApllied])</f>
        <v>46</v>
      </c>
      <c r="Q985" s="9">
        <f>revenue[revenue]-(revenue[productCost]*revenue[orderQuantity])</f>
        <v>16.49058159</v>
      </c>
      <c r="R985" s="25">
        <f>IFERROR(revenue[profit]/revenue[revenue], 0)</f>
        <v>0.3584909041</v>
      </c>
      <c r="S985" s="9">
        <f>revenue[productCost]*revenue[orderQuantity]</f>
        <v>29.50941841</v>
      </c>
    </row>
    <row r="986" ht="15.75" customHeight="1">
      <c r="A986" s="6">
        <v>10621.0</v>
      </c>
      <c r="B986" s="7" t="s">
        <v>57</v>
      </c>
      <c r="C986" s="24" t="str">
        <f>VLOOKUP(revenue[customerID],customers[],2,FALSE)</f>
        <v>Island Trading</v>
      </c>
      <c r="D986" s="24" t="str">
        <f>VLOOKUP(revenue[customerID],customers[],6,FALSE)</f>
        <v>Cowes</v>
      </c>
      <c r="E986" s="24" t="str">
        <f>VLOOKUP(revenue[customerID],customers[],9,FALSE)</f>
        <v>UK</v>
      </c>
      <c r="F986" s="24">
        <v>45143.0</v>
      </c>
      <c r="G986" s="6">
        <v>23.0</v>
      </c>
      <c r="H986" s="9" t="str">
        <f>VLOOKUP(revenue[productID],products[],2,FALSE)</f>
        <v>Tunnbröd</v>
      </c>
      <c r="I986" s="9" t="str">
        <f>VLOOKUP(revenue[productID],products[],12,FALSE)</f>
        <v>Grains/Cereals</v>
      </c>
      <c r="J986" s="9">
        <f>VLOOKUP(revenue[productID],products[],IF(YEAR(revenue[orderDate])=2022,8,IF(YEAR(revenue[orderDate])=2023,9,IF(YEAR(revenue[orderDate])=2024,10,NA))),FALSE)</f>
        <v>5.989059129</v>
      </c>
      <c r="K986" s="9">
        <v>9.0</v>
      </c>
      <c r="L986" s="25">
        <f>(revenue[orderPrice]-revenue[productCost])/revenue[productCost]</f>
        <v>0.5027402146</v>
      </c>
      <c r="M986" s="10">
        <v>10.0</v>
      </c>
      <c r="N986" s="25">
        <v>0.0</v>
      </c>
      <c r="O986" s="9">
        <f>revenue[orderPrice]*revenue[orderQuantity]</f>
        <v>90</v>
      </c>
      <c r="P986" s="9">
        <f>revenue[orderTotal]*(1-revenue[discountApllied])</f>
        <v>90</v>
      </c>
      <c r="Q986" s="9">
        <f>revenue[revenue]-(revenue[productCost]*revenue[orderQuantity])</f>
        <v>30.10940871</v>
      </c>
      <c r="R986" s="25">
        <f>IFERROR(revenue[profit]/revenue[revenue], 0)</f>
        <v>0.3345489857</v>
      </c>
      <c r="S986" s="9">
        <f>revenue[productCost]*revenue[orderQuantity]</f>
        <v>59.89059129</v>
      </c>
    </row>
    <row r="987" ht="15.75" customHeight="1">
      <c r="A987" s="6">
        <v>10621.0</v>
      </c>
      <c r="B987" s="7" t="s">
        <v>57</v>
      </c>
      <c r="C987" s="24" t="str">
        <f>VLOOKUP(revenue[customerID],customers[],2,FALSE)</f>
        <v>Island Trading</v>
      </c>
      <c r="D987" s="24" t="str">
        <f>VLOOKUP(revenue[customerID],customers[],6,FALSE)</f>
        <v>Cowes</v>
      </c>
      <c r="E987" s="24" t="str">
        <f>VLOOKUP(revenue[customerID],customers[],9,FALSE)</f>
        <v>UK</v>
      </c>
      <c r="F987" s="24">
        <v>45143.0</v>
      </c>
      <c r="G987" s="6">
        <v>70.0</v>
      </c>
      <c r="H987" s="9" t="str">
        <f>VLOOKUP(revenue[productID],products[],2,FALSE)</f>
        <v>Outback Lager</v>
      </c>
      <c r="I987" s="9" t="str">
        <f>VLOOKUP(revenue[productID],products[],12,FALSE)</f>
        <v>Beverages</v>
      </c>
      <c r="J987" s="9">
        <f>VLOOKUP(revenue[productID],products[],IF(YEAR(revenue[orderDate])=2022,8,IF(YEAR(revenue[orderDate])=2023,9,IF(YEAR(revenue[orderDate])=2024,10,NA))),FALSE)</f>
        <v>9.793094091</v>
      </c>
      <c r="K987" s="9">
        <v>15.0</v>
      </c>
      <c r="L987" s="25">
        <f>(revenue[orderPrice]-revenue[productCost])/revenue[productCost]</f>
        <v>0.5316916044</v>
      </c>
      <c r="M987" s="10">
        <v>20.0</v>
      </c>
      <c r="N987" s="25">
        <v>0.0</v>
      </c>
      <c r="O987" s="9">
        <f>revenue[orderPrice]*revenue[orderQuantity]</f>
        <v>300</v>
      </c>
      <c r="P987" s="9">
        <f>revenue[orderTotal]*(1-revenue[discountApllied])</f>
        <v>300</v>
      </c>
      <c r="Q987" s="9">
        <f>revenue[revenue]-(revenue[productCost]*revenue[orderQuantity])</f>
        <v>104.1381182</v>
      </c>
      <c r="R987" s="25">
        <f>IFERROR(revenue[profit]/revenue[revenue], 0)</f>
        <v>0.3471270606</v>
      </c>
      <c r="S987" s="9">
        <f>revenue[productCost]*revenue[orderQuantity]</f>
        <v>195.8618818</v>
      </c>
    </row>
    <row r="988" ht="15.75" customHeight="1">
      <c r="A988" s="6">
        <v>10621.0</v>
      </c>
      <c r="B988" s="7" t="s">
        <v>57</v>
      </c>
      <c r="C988" s="24" t="str">
        <f>VLOOKUP(revenue[customerID],customers[],2,FALSE)</f>
        <v>Island Trading</v>
      </c>
      <c r="D988" s="24" t="str">
        <f>VLOOKUP(revenue[customerID],customers[],6,FALSE)</f>
        <v>Cowes</v>
      </c>
      <c r="E988" s="24" t="str">
        <f>VLOOKUP(revenue[customerID],customers[],9,FALSE)</f>
        <v>UK</v>
      </c>
      <c r="F988" s="24">
        <v>45143.0</v>
      </c>
      <c r="G988" s="6">
        <v>71.0</v>
      </c>
      <c r="H988" s="9" t="str">
        <f>VLOOKUP(revenue[productID],products[],2,FALSE)</f>
        <v>Flotemysost</v>
      </c>
      <c r="I988" s="9" t="str">
        <f>VLOOKUP(revenue[productID],products[],12,FALSE)</f>
        <v>Dairy Products</v>
      </c>
      <c r="J988" s="9">
        <f>VLOOKUP(revenue[productID],products[],IF(YEAR(revenue[orderDate])=2022,8,IF(YEAR(revenue[orderDate])=2023,9,IF(YEAR(revenue[orderDate])=2024,10,NA))),FALSE)</f>
        <v>13.4003664</v>
      </c>
      <c r="K988" s="9">
        <v>21.5</v>
      </c>
      <c r="L988" s="25">
        <f>(revenue[orderPrice]-revenue[productCost])/revenue[productCost]</f>
        <v>0.6044337411</v>
      </c>
      <c r="M988" s="10">
        <v>15.0</v>
      </c>
      <c r="N988" s="25">
        <v>0.0</v>
      </c>
      <c r="O988" s="9">
        <f>revenue[orderPrice]*revenue[orderQuantity]</f>
        <v>322.5</v>
      </c>
      <c r="P988" s="9">
        <f>revenue[orderTotal]*(1-revenue[discountApllied])</f>
        <v>322.5</v>
      </c>
      <c r="Q988" s="9">
        <f>revenue[revenue]-(revenue[productCost]*revenue[orderQuantity])</f>
        <v>121.494504</v>
      </c>
      <c r="R988" s="25">
        <f>IFERROR(revenue[profit]/revenue[revenue], 0)</f>
        <v>0.376727144</v>
      </c>
      <c r="S988" s="9">
        <f>revenue[productCost]*revenue[orderQuantity]</f>
        <v>201.005496</v>
      </c>
    </row>
    <row r="989" ht="15.75" customHeight="1">
      <c r="A989" s="6">
        <v>10622.0</v>
      </c>
      <c r="B989" s="7" t="s">
        <v>44</v>
      </c>
      <c r="C989" s="24" t="str">
        <f>VLOOKUP(revenue[customerID],customers[],2,FALSE)</f>
        <v>Ricardo Adocicados</v>
      </c>
      <c r="D989" s="24" t="str">
        <f>VLOOKUP(revenue[customerID],customers[],6,FALSE)</f>
        <v>Rio de Janeiro</v>
      </c>
      <c r="E989" s="24" t="str">
        <f>VLOOKUP(revenue[customerID],customers[],9,FALSE)</f>
        <v>Brazil</v>
      </c>
      <c r="F989" s="24">
        <v>45144.0</v>
      </c>
      <c r="G989" s="6">
        <v>2.0</v>
      </c>
      <c r="H989" s="9" t="str">
        <f>VLOOKUP(revenue[productID],products[],2,FALSE)</f>
        <v>Chang</v>
      </c>
      <c r="I989" s="9" t="str">
        <f>VLOOKUP(revenue[productID],products[],12,FALSE)</f>
        <v>Beverages</v>
      </c>
      <c r="J989" s="9">
        <f>VLOOKUP(revenue[productID],products[],IF(YEAR(revenue[orderDate])=2022,8,IF(YEAR(revenue[orderDate])=2023,9,IF(YEAR(revenue[orderDate])=2024,10,NA))),FALSE)</f>
        <v>12.14626904</v>
      </c>
      <c r="K989" s="9">
        <v>19.0</v>
      </c>
      <c r="L989" s="25">
        <f>(revenue[orderPrice]-revenue[productCost])/revenue[productCost]</f>
        <v>0.5642663547</v>
      </c>
      <c r="M989" s="10">
        <v>20.0</v>
      </c>
      <c r="N989" s="25">
        <v>0.0</v>
      </c>
      <c r="O989" s="9">
        <f>revenue[orderPrice]*revenue[orderQuantity]</f>
        <v>380</v>
      </c>
      <c r="P989" s="9">
        <f>revenue[orderTotal]*(1-revenue[discountApllied])</f>
        <v>380</v>
      </c>
      <c r="Q989" s="9">
        <f>revenue[revenue]-(revenue[productCost]*revenue[orderQuantity])</f>
        <v>137.0746191</v>
      </c>
      <c r="R989" s="25">
        <f>IFERROR(revenue[profit]/revenue[revenue], 0)</f>
        <v>0.3607226819</v>
      </c>
      <c r="S989" s="9">
        <f>revenue[productCost]*revenue[orderQuantity]</f>
        <v>242.9253809</v>
      </c>
    </row>
    <row r="990" ht="15.75" customHeight="1">
      <c r="A990" s="6">
        <v>10622.0</v>
      </c>
      <c r="B990" s="7" t="s">
        <v>44</v>
      </c>
      <c r="C990" s="24" t="str">
        <f>VLOOKUP(revenue[customerID],customers[],2,FALSE)</f>
        <v>Ricardo Adocicados</v>
      </c>
      <c r="D990" s="24" t="str">
        <f>VLOOKUP(revenue[customerID],customers[],6,FALSE)</f>
        <v>Rio de Janeiro</v>
      </c>
      <c r="E990" s="24" t="str">
        <f>VLOOKUP(revenue[customerID],customers[],9,FALSE)</f>
        <v>Brazil</v>
      </c>
      <c r="F990" s="24">
        <v>45144.0</v>
      </c>
      <c r="G990" s="6">
        <v>68.0</v>
      </c>
      <c r="H990" s="9" t="str">
        <f>VLOOKUP(revenue[productID],products[],2,FALSE)</f>
        <v>Scottish Longbreads</v>
      </c>
      <c r="I990" s="9" t="str">
        <f>VLOOKUP(revenue[productID],products[],12,FALSE)</f>
        <v>Confections</v>
      </c>
      <c r="J990" s="9">
        <f>VLOOKUP(revenue[productID],products[],IF(YEAR(revenue[orderDate])=2022,8,IF(YEAR(revenue[orderDate])=2023,9,IF(YEAR(revenue[orderDate])=2024,10,NA))),FALSE)</f>
        <v>8.500000387</v>
      </c>
      <c r="K990" s="9">
        <v>12.5</v>
      </c>
      <c r="L990" s="25">
        <f>(revenue[orderPrice]-revenue[productCost])/revenue[productCost]</f>
        <v>0.4705881684</v>
      </c>
      <c r="M990" s="10">
        <v>18.0</v>
      </c>
      <c r="N990" s="25">
        <v>0.2</v>
      </c>
      <c r="O990" s="9">
        <f>revenue[orderPrice]*revenue[orderQuantity]</f>
        <v>225</v>
      </c>
      <c r="P990" s="9">
        <f>revenue[orderTotal]*(1-revenue[discountApllied])</f>
        <v>180</v>
      </c>
      <c r="Q990" s="9">
        <f>revenue[revenue]-(revenue[productCost]*revenue[orderQuantity])</f>
        <v>26.99999304</v>
      </c>
      <c r="R990" s="25">
        <f>IFERROR(revenue[profit]/revenue[revenue], 0)</f>
        <v>0.1499999613</v>
      </c>
      <c r="S990" s="9">
        <f>revenue[productCost]*revenue[orderQuantity]</f>
        <v>153.000007</v>
      </c>
    </row>
    <row r="991" ht="15.75" customHeight="1">
      <c r="A991" s="6">
        <v>10623.0</v>
      </c>
      <c r="B991" s="7" t="s">
        <v>32</v>
      </c>
      <c r="C991" s="24" t="str">
        <f>VLOOKUP(revenue[customerID],customers[],2,FALSE)</f>
        <v>Frankenversand</v>
      </c>
      <c r="D991" s="24" t="str">
        <f>VLOOKUP(revenue[customerID],customers[],6,FALSE)</f>
        <v>München</v>
      </c>
      <c r="E991" s="24" t="str">
        <f>VLOOKUP(revenue[customerID],customers[],9,FALSE)</f>
        <v>Germany</v>
      </c>
      <c r="F991" s="24">
        <v>45145.0</v>
      </c>
      <c r="G991" s="6">
        <v>14.0</v>
      </c>
      <c r="H991" s="9" t="str">
        <f>VLOOKUP(revenue[productID],products[],2,FALSE)</f>
        <v>Tofu</v>
      </c>
      <c r="I991" s="9" t="str">
        <f>VLOOKUP(revenue[productID],products[],12,FALSE)</f>
        <v>Produce</v>
      </c>
      <c r="J991" s="9">
        <f>VLOOKUP(revenue[productID],products[],IF(YEAR(revenue[orderDate])=2022,8,IF(YEAR(revenue[orderDate])=2023,9,IF(YEAR(revenue[orderDate])=2024,10,NA))),FALSE)</f>
        <v>15.38055417</v>
      </c>
      <c r="K991" s="9">
        <v>23.25</v>
      </c>
      <c r="L991" s="25">
        <f>(revenue[orderPrice]-revenue[productCost])/revenue[productCost]</f>
        <v>0.5116490437</v>
      </c>
      <c r="M991" s="10">
        <v>21.0</v>
      </c>
      <c r="N991" s="25">
        <v>0.0</v>
      </c>
      <c r="O991" s="9">
        <f>revenue[orderPrice]*revenue[orderQuantity]</f>
        <v>488.25</v>
      </c>
      <c r="P991" s="9">
        <f>revenue[orderTotal]*(1-revenue[discountApllied])</f>
        <v>488.25</v>
      </c>
      <c r="Q991" s="9">
        <f>revenue[revenue]-(revenue[productCost]*revenue[orderQuantity])</f>
        <v>165.2583625</v>
      </c>
      <c r="R991" s="25">
        <f>IFERROR(revenue[profit]/revenue[revenue], 0)</f>
        <v>0.3384707885</v>
      </c>
      <c r="S991" s="9">
        <f>revenue[productCost]*revenue[orderQuantity]</f>
        <v>322.9916375</v>
      </c>
    </row>
    <row r="992" ht="15.75" customHeight="1">
      <c r="A992" s="6">
        <v>10623.0</v>
      </c>
      <c r="B992" s="7" t="s">
        <v>32</v>
      </c>
      <c r="C992" s="24" t="str">
        <f>VLOOKUP(revenue[customerID],customers[],2,FALSE)</f>
        <v>Frankenversand</v>
      </c>
      <c r="D992" s="24" t="str">
        <f>VLOOKUP(revenue[customerID],customers[],6,FALSE)</f>
        <v>München</v>
      </c>
      <c r="E992" s="24" t="str">
        <f>VLOOKUP(revenue[customerID],customers[],9,FALSE)</f>
        <v>Germany</v>
      </c>
      <c r="F992" s="24">
        <v>45145.0</v>
      </c>
      <c r="G992" s="6">
        <v>19.0</v>
      </c>
      <c r="H992" s="9" t="str">
        <f>VLOOKUP(revenue[productID],products[],2,FALSE)</f>
        <v>Teatime Chocolate Biscuits</v>
      </c>
      <c r="I992" s="9" t="str">
        <f>VLOOKUP(revenue[productID],products[],12,FALSE)</f>
        <v>Confections</v>
      </c>
      <c r="J992" s="9">
        <f>VLOOKUP(revenue[productID],products[],IF(YEAR(revenue[orderDate])=2022,8,IF(YEAR(revenue[orderDate])=2023,9,IF(YEAR(revenue[orderDate])=2024,10,NA))),FALSE)</f>
        <v>5.901883682</v>
      </c>
      <c r="K992" s="9">
        <v>9.2</v>
      </c>
      <c r="L992" s="25">
        <f>(revenue[orderPrice]-revenue[productCost])/revenue[productCost]</f>
        <v>0.5588243508</v>
      </c>
      <c r="M992" s="10">
        <v>15.0</v>
      </c>
      <c r="N992" s="25">
        <v>0.1</v>
      </c>
      <c r="O992" s="9">
        <f>revenue[orderPrice]*revenue[orderQuantity]</f>
        <v>138</v>
      </c>
      <c r="P992" s="9">
        <f>revenue[orderTotal]*(1-revenue[discountApllied])</f>
        <v>124.2</v>
      </c>
      <c r="Q992" s="9">
        <f>revenue[revenue]-(revenue[productCost]*revenue[orderQuantity])</f>
        <v>35.67174476</v>
      </c>
      <c r="R992" s="25">
        <f>IFERROR(revenue[profit]/revenue[revenue], 0)</f>
        <v>0.2872121157</v>
      </c>
      <c r="S992" s="9">
        <f>revenue[productCost]*revenue[orderQuantity]</f>
        <v>88.52825524</v>
      </c>
    </row>
    <row r="993" ht="15.75" customHeight="1">
      <c r="A993" s="6">
        <v>10623.0</v>
      </c>
      <c r="B993" s="7" t="s">
        <v>32</v>
      </c>
      <c r="C993" s="24" t="str">
        <f>VLOOKUP(revenue[customerID],customers[],2,FALSE)</f>
        <v>Frankenversand</v>
      </c>
      <c r="D993" s="24" t="str">
        <f>VLOOKUP(revenue[customerID],customers[],6,FALSE)</f>
        <v>München</v>
      </c>
      <c r="E993" s="24" t="str">
        <f>VLOOKUP(revenue[customerID],customers[],9,FALSE)</f>
        <v>Germany</v>
      </c>
      <c r="F993" s="24">
        <v>45145.0</v>
      </c>
      <c r="G993" s="6">
        <v>21.0</v>
      </c>
      <c r="H993" s="9" t="str">
        <f>VLOOKUP(revenue[productID],products[],2,FALSE)</f>
        <v>Sir Rodney's Scones</v>
      </c>
      <c r="I993" s="9" t="str">
        <f>VLOOKUP(revenue[productID],products[],12,FALSE)</f>
        <v>Confections</v>
      </c>
      <c r="J993" s="9">
        <f>VLOOKUP(revenue[productID],products[],IF(YEAR(revenue[orderDate])=2022,8,IF(YEAR(revenue[orderDate])=2023,9,IF(YEAR(revenue[orderDate])=2024,10,NA))),FALSE)</f>
        <v>6.725636111</v>
      </c>
      <c r="K993" s="9">
        <v>10.0</v>
      </c>
      <c r="L993" s="25">
        <f>(revenue[orderPrice]-revenue[productCost])/revenue[productCost]</f>
        <v>0.486848208</v>
      </c>
      <c r="M993" s="10">
        <v>25.0</v>
      </c>
      <c r="N993" s="25">
        <v>0.1</v>
      </c>
      <c r="O993" s="9">
        <f>revenue[orderPrice]*revenue[orderQuantity]</f>
        <v>250</v>
      </c>
      <c r="P993" s="9">
        <f>revenue[orderTotal]*(1-revenue[discountApllied])</f>
        <v>225</v>
      </c>
      <c r="Q993" s="9">
        <f>revenue[revenue]-(revenue[productCost]*revenue[orderQuantity])</f>
        <v>56.85909721</v>
      </c>
      <c r="R993" s="25">
        <f>IFERROR(revenue[profit]/revenue[revenue], 0)</f>
        <v>0.2527070987</v>
      </c>
      <c r="S993" s="9">
        <f>revenue[productCost]*revenue[orderQuantity]</f>
        <v>168.1409028</v>
      </c>
    </row>
    <row r="994" ht="15.75" customHeight="1">
      <c r="A994" s="6">
        <v>10623.0</v>
      </c>
      <c r="B994" s="7" t="s">
        <v>32</v>
      </c>
      <c r="C994" s="24" t="str">
        <f>VLOOKUP(revenue[customerID],customers[],2,FALSE)</f>
        <v>Frankenversand</v>
      </c>
      <c r="D994" s="24" t="str">
        <f>VLOOKUP(revenue[customerID],customers[],6,FALSE)</f>
        <v>München</v>
      </c>
      <c r="E994" s="24" t="str">
        <f>VLOOKUP(revenue[customerID],customers[],9,FALSE)</f>
        <v>Germany</v>
      </c>
      <c r="F994" s="24">
        <v>45145.0</v>
      </c>
      <c r="G994" s="6">
        <v>24.0</v>
      </c>
      <c r="H994" s="9" t="str">
        <f>VLOOKUP(revenue[productID],products[],2,FALSE)</f>
        <v>Brigadeiros Maravilhosos da Lilian</v>
      </c>
      <c r="I994" s="9" t="str">
        <f>VLOOKUP(revenue[productID],products[],12,FALSE)</f>
        <v>Confections</v>
      </c>
      <c r="J994" s="9">
        <f>VLOOKUP(revenue[productID],products[],IF(YEAR(revenue[orderDate])=2022,8,IF(YEAR(revenue[orderDate])=2023,9,IF(YEAR(revenue[orderDate])=2024,10,NA))),FALSE)</f>
        <v>3.131783363</v>
      </c>
      <c r="K994" s="9">
        <v>4.5</v>
      </c>
      <c r="L994" s="25">
        <f>(revenue[orderPrice]-revenue[productCost])/revenue[productCost]</f>
        <v>0.4368809967</v>
      </c>
      <c r="M994" s="10">
        <v>3.0</v>
      </c>
      <c r="N994" s="25">
        <v>0.0</v>
      </c>
      <c r="O994" s="9">
        <f>revenue[orderPrice]*revenue[orderQuantity]</f>
        <v>13.5</v>
      </c>
      <c r="P994" s="9">
        <f>revenue[orderTotal]*(1-revenue[discountApllied])</f>
        <v>13.5</v>
      </c>
      <c r="Q994" s="9">
        <f>revenue[revenue]-(revenue[productCost]*revenue[orderQuantity])</f>
        <v>4.104649911</v>
      </c>
      <c r="R994" s="25">
        <f>IFERROR(revenue[profit]/revenue[revenue], 0)</f>
        <v>0.3040481416</v>
      </c>
      <c r="S994" s="9">
        <f>revenue[productCost]*revenue[orderQuantity]</f>
        <v>9.395350089</v>
      </c>
    </row>
    <row r="995" ht="15.75" customHeight="1">
      <c r="A995" s="6">
        <v>10623.0</v>
      </c>
      <c r="B995" s="7" t="s">
        <v>32</v>
      </c>
      <c r="C995" s="24" t="str">
        <f>VLOOKUP(revenue[customerID],customers[],2,FALSE)</f>
        <v>Frankenversand</v>
      </c>
      <c r="D995" s="24" t="str">
        <f>VLOOKUP(revenue[customerID],customers[],6,FALSE)</f>
        <v>München</v>
      </c>
      <c r="E995" s="24" t="str">
        <f>VLOOKUP(revenue[customerID],customers[],9,FALSE)</f>
        <v>Germany</v>
      </c>
      <c r="F995" s="24">
        <v>45145.0</v>
      </c>
      <c r="G995" s="6">
        <v>35.0</v>
      </c>
      <c r="H995" s="9" t="str">
        <f>VLOOKUP(revenue[productID],products[],2,FALSE)</f>
        <v>Cold Brew Nitro</v>
      </c>
      <c r="I995" s="9" t="str">
        <f>VLOOKUP(revenue[productID],products[],12,FALSE)</f>
        <v>Beverages</v>
      </c>
      <c r="J995" s="9">
        <f>VLOOKUP(revenue[productID],products[],IF(YEAR(revenue[orderDate])=2022,8,IF(YEAR(revenue[orderDate])=2023,9,IF(YEAR(revenue[orderDate])=2024,10,NA))),FALSE)</f>
        <v>11.7602531</v>
      </c>
      <c r="K995" s="9">
        <v>18.0</v>
      </c>
      <c r="L995" s="25">
        <f>(revenue[orderPrice]-revenue[productCost])/revenue[productCost]</f>
        <v>0.5305793033</v>
      </c>
      <c r="M995" s="10">
        <v>30.0</v>
      </c>
      <c r="N995" s="25">
        <v>0.1</v>
      </c>
      <c r="O995" s="9">
        <f>revenue[orderPrice]*revenue[orderQuantity]</f>
        <v>540</v>
      </c>
      <c r="P995" s="9">
        <f>revenue[orderTotal]*(1-revenue[discountApllied])</f>
        <v>486</v>
      </c>
      <c r="Q995" s="9">
        <f>revenue[revenue]-(revenue[productCost]*revenue[orderQuantity])</f>
        <v>133.1924069</v>
      </c>
      <c r="R995" s="25">
        <f>IFERROR(revenue[profit]/revenue[revenue], 0)</f>
        <v>0.2740584505</v>
      </c>
      <c r="S995" s="9">
        <f>revenue[productCost]*revenue[orderQuantity]</f>
        <v>352.8075931</v>
      </c>
    </row>
    <row r="996" ht="15.75" customHeight="1">
      <c r="A996" s="6">
        <v>10624.0</v>
      </c>
      <c r="B996" s="7" t="s">
        <v>99</v>
      </c>
      <c r="C996" s="24" t="str">
        <f>VLOOKUP(revenue[customerID],customers[],2,FALSE)</f>
        <v>The Cracker Box</v>
      </c>
      <c r="D996" s="24" t="str">
        <f>VLOOKUP(revenue[customerID],customers[],6,FALSE)</f>
        <v>Butte</v>
      </c>
      <c r="E996" s="24" t="str">
        <f>VLOOKUP(revenue[customerID],customers[],9,FALSE)</f>
        <v>USA</v>
      </c>
      <c r="F996" s="24">
        <v>45145.0</v>
      </c>
      <c r="G996" s="6">
        <v>28.0</v>
      </c>
      <c r="H996" s="9" t="str">
        <f>VLOOKUP(revenue[productID],products[],2,FALSE)</f>
        <v>Rössle Sauerkraut</v>
      </c>
      <c r="I996" s="9" t="str">
        <f>VLOOKUP(revenue[productID],products[],12,FALSE)</f>
        <v>Produce</v>
      </c>
      <c r="J996" s="9">
        <f>VLOOKUP(revenue[productID],products[],IF(YEAR(revenue[orderDate])=2022,8,IF(YEAR(revenue[orderDate])=2023,9,IF(YEAR(revenue[orderDate])=2024,10,NA))),FALSE)</f>
        <v>31.52644578</v>
      </c>
      <c r="K996" s="9">
        <v>45.6</v>
      </c>
      <c r="L996" s="25">
        <f>(revenue[orderPrice]-revenue[productCost])/revenue[productCost]</f>
        <v>0.4464047207</v>
      </c>
      <c r="M996" s="10">
        <v>10.0</v>
      </c>
      <c r="N996" s="25">
        <v>0.0</v>
      </c>
      <c r="O996" s="9">
        <f>revenue[orderPrice]*revenue[orderQuantity]</f>
        <v>456</v>
      </c>
      <c r="P996" s="9">
        <f>revenue[orderTotal]*(1-revenue[discountApllied])</f>
        <v>456</v>
      </c>
      <c r="Q996" s="9">
        <f>revenue[revenue]-(revenue[productCost]*revenue[orderQuantity])</f>
        <v>140.7355422</v>
      </c>
      <c r="R996" s="25">
        <f>IFERROR(revenue[profit]/revenue[revenue], 0)</f>
        <v>0.308630575</v>
      </c>
      <c r="S996" s="9">
        <f>revenue[productCost]*revenue[orderQuantity]</f>
        <v>315.2644578</v>
      </c>
    </row>
    <row r="997" ht="15.75" customHeight="1">
      <c r="A997" s="6">
        <v>10624.0</v>
      </c>
      <c r="B997" s="7" t="s">
        <v>99</v>
      </c>
      <c r="C997" s="24" t="str">
        <f>VLOOKUP(revenue[customerID],customers[],2,FALSE)</f>
        <v>The Cracker Box</v>
      </c>
      <c r="D997" s="24" t="str">
        <f>VLOOKUP(revenue[customerID],customers[],6,FALSE)</f>
        <v>Butte</v>
      </c>
      <c r="E997" s="24" t="str">
        <f>VLOOKUP(revenue[customerID],customers[],9,FALSE)</f>
        <v>USA</v>
      </c>
      <c r="F997" s="24">
        <v>45145.0</v>
      </c>
      <c r="G997" s="6">
        <v>29.0</v>
      </c>
      <c r="H997" s="9" t="str">
        <f>VLOOKUP(revenue[productID],products[],2,FALSE)</f>
        <v>Thüringer Rostbratwurst</v>
      </c>
      <c r="I997" s="9" t="str">
        <f>VLOOKUP(revenue[productID],products[],12,FALSE)</f>
        <v>Meat/Poultry</v>
      </c>
      <c r="J997" s="9">
        <f>VLOOKUP(revenue[productID],products[],IF(YEAR(revenue[orderDate])=2022,8,IF(YEAR(revenue[orderDate])=2023,9,IF(YEAR(revenue[orderDate])=2024,10,NA))),FALSE)</f>
        <v>80.85619497</v>
      </c>
      <c r="K997" s="9">
        <v>123.79</v>
      </c>
      <c r="L997" s="25">
        <f>(revenue[orderPrice]-revenue[productCost])/revenue[productCost]</f>
        <v>0.5309896792</v>
      </c>
      <c r="M997" s="10">
        <v>6.0</v>
      </c>
      <c r="N997" s="25">
        <v>0.0</v>
      </c>
      <c r="O997" s="9">
        <f>revenue[orderPrice]*revenue[orderQuantity]</f>
        <v>742.74</v>
      </c>
      <c r="P997" s="9">
        <f>revenue[orderTotal]*(1-revenue[discountApllied])</f>
        <v>742.74</v>
      </c>
      <c r="Q997" s="9">
        <f>revenue[revenue]-(revenue[productCost]*revenue[orderQuantity])</f>
        <v>257.6028302</v>
      </c>
      <c r="R997" s="25">
        <f>IFERROR(revenue[profit]/revenue[revenue], 0)</f>
        <v>0.3468277327</v>
      </c>
      <c r="S997" s="9">
        <f>revenue[productCost]*revenue[orderQuantity]</f>
        <v>485.1371698</v>
      </c>
    </row>
    <row r="998" ht="15.75" customHeight="1">
      <c r="A998" s="6">
        <v>10624.0</v>
      </c>
      <c r="B998" s="7" t="s">
        <v>99</v>
      </c>
      <c r="C998" s="24" t="str">
        <f>VLOOKUP(revenue[customerID],customers[],2,FALSE)</f>
        <v>The Cracker Box</v>
      </c>
      <c r="D998" s="24" t="str">
        <f>VLOOKUP(revenue[customerID],customers[],6,FALSE)</f>
        <v>Butte</v>
      </c>
      <c r="E998" s="24" t="str">
        <f>VLOOKUP(revenue[customerID],customers[],9,FALSE)</f>
        <v>USA</v>
      </c>
      <c r="F998" s="24">
        <v>45145.0</v>
      </c>
      <c r="G998" s="6">
        <v>44.0</v>
      </c>
      <c r="H998" s="9" t="str">
        <f>VLOOKUP(revenue[productID],products[],2,FALSE)</f>
        <v>Gula Malacca</v>
      </c>
      <c r="I998" s="9" t="str">
        <f>VLOOKUP(revenue[productID],products[],12,FALSE)</f>
        <v>Condiments</v>
      </c>
      <c r="J998" s="9">
        <f>VLOOKUP(revenue[productID],products[],IF(YEAR(revenue[orderDate])=2022,8,IF(YEAR(revenue[orderDate])=2023,9,IF(YEAR(revenue[orderDate])=2024,10,NA))),FALSE)</f>
        <v>13.06032103</v>
      </c>
      <c r="K998" s="9">
        <v>19.45</v>
      </c>
      <c r="L998" s="25">
        <f>(revenue[orderPrice]-revenue[productCost])/revenue[productCost]</f>
        <v>0.4892436379</v>
      </c>
      <c r="M998" s="10">
        <v>10.0</v>
      </c>
      <c r="N998" s="25">
        <v>0.0</v>
      </c>
      <c r="O998" s="9">
        <f>revenue[orderPrice]*revenue[orderQuantity]</f>
        <v>194.5</v>
      </c>
      <c r="P998" s="9">
        <f>revenue[orderTotal]*(1-revenue[discountApllied])</f>
        <v>194.5</v>
      </c>
      <c r="Q998" s="9">
        <f>revenue[revenue]-(revenue[productCost]*revenue[orderQuantity])</f>
        <v>63.89678972</v>
      </c>
      <c r="R998" s="25">
        <f>IFERROR(revenue[profit]/revenue[revenue], 0)</f>
        <v>0.3285181991</v>
      </c>
      <c r="S998" s="9">
        <f>revenue[productCost]*revenue[orderQuantity]</f>
        <v>130.6032103</v>
      </c>
    </row>
    <row r="999" ht="15.75" customHeight="1">
      <c r="A999" s="6">
        <v>10625.0</v>
      </c>
      <c r="B999" s="7" t="s">
        <v>54</v>
      </c>
      <c r="C999" s="24" t="str">
        <f>VLOOKUP(revenue[customerID],customers[],2,FALSE)</f>
        <v>Ana Trujillo Emparedados y helados</v>
      </c>
      <c r="D999" s="24" t="str">
        <f>VLOOKUP(revenue[customerID],customers[],6,FALSE)</f>
        <v>México D.F.</v>
      </c>
      <c r="E999" s="24" t="str">
        <f>VLOOKUP(revenue[customerID],customers[],9,FALSE)</f>
        <v>Mexico</v>
      </c>
      <c r="F999" s="24">
        <v>45146.0</v>
      </c>
      <c r="G999" s="6">
        <v>14.0</v>
      </c>
      <c r="H999" s="9" t="str">
        <f>VLOOKUP(revenue[productID],products[],2,FALSE)</f>
        <v>Tofu</v>
      </c>
      <c r="I999" s="9" t="str">
        <f>VLOOKUP(revenue[productID],products[],12,FALSE)</f>
        <v>Produce</v>
      </c>
      <c r="J999" s="9">
        <f>VLOOKUP(revenue[productID],products[],IF(YEAR(revenue[orderDate])=2022,8,IF(YEAR(revenue[orderDate])=2023,9,IF(YEAR(revenue[orderDate])=2024,10,NA))),FALSE)</f>
        <v>15.38055417</v>
      </c>
      <c r="K999" s="9">
        <v>23.25</v>
      </c>
      <c r="L999" s="25">
        <f>(revenue[orderPrice]-revenue[productCost])/revenue[productCost]</f>
        <v>0.5116490437</v>
      </c>
      <c r="M999" s="10">
        <v>3.0</v>
      </c>
      <c r="N999" s="25">
        <v>0.0</v>
      </c>
      <c r="O999" s="9">
        <f>revenue[orderPrice]*revenue[orderQuantity]</f>
        <v>69.75</v>
      </c>
      <c r="P999" s="9">
        <f>revenue[orderTotal]*(1-revenue[discountApllied])</f>
        <v>69.75</v>
      </c>
      <c r="Q999" s="9">
        <f>revenue[revenue]-(revenue[productCost]*revenue[orderQuantity])</f>
        <v>23.60833749</v>
      </c>
      <c r="R999" s="25">
        <f>IFERROR(revenue[profit]/revenue[revenue], 0)</f>
        <v>0.3384707885</v>
      </c>
      <c r="S999" s="9">
        <f>revenue[productCost]*revenue[orderQuantity]</f>
        <v>46.14166251</v>
      </c>
    </row>
    <row r="1000" ht="15.75" customHeight="1">
      <c r="A1000" s="6">
        <v>10625.0</v>
      </c>
      <c r="B1000" s="7" t="s">
        <v>54</v>
      </c>
      <c r="C1000" s="24" t="str">
        <f>VLOOKUP(revenue[customerID],customers[],2,FALSE)</f>
        <v>Ana Trujillo Emparedados y helados</v>
      </c>
      <c r="D1000" s="24" t="str">
        <f>VLOOKUP(revenue[customerID],customers[],6,FALSE)</f>
        <v>México D.F.</v>
      </c>
      <c r="E1000" s="24" t="str">
        <f>VLOOKUP(revenue[customerID],customers[],9,FALSE)</f>
        <v>Mexico</v>
      </c>
      <c r="F1000" s="24">
        <v>45146.0</v>
      </c>
      <c r="G1000" s="6">
        <v>42.0</v>
      </c>
      <c r="H1000" s="9" t="str">
        <f>VLOOKUP(revenue[productID],products[],2,FALSE)</f>
        <v>Singaporean Hokkien Fried Mee</v>
      </c>
      <c r="I1000" s="9" t="str">
        <f>VLOOKUP(revenue[productID],products[],12,FALSE)</f>
        <v>Grains/Cereals</v>
      </c>
      <c r="J1000" s="9">
        <f>VLOOKUP(revenue[productID],products[],IF(YEAR(revenue[orderDate])=2022,8,IF(YEAR(revenue[orderDate])=2023,9,IF(YEAR(revenue[orderDate])=2024,10,NA))),FALSE)</f>
        <v>9.105641621</v>
      </c>
      <c r="K1000" s="9">
        <v>14.0</v>
      </c>
      <c r="L1000" s="25">
        <f>(revenue[orderPrice]-revenue[productCost])/revenue[productCost]</f>
        <v>0.5375083474</v>
      </c>
      <c r="M1000" s="10">
        <v>5.0</v>
      </c>
      <c r="N1000" s="25">
        <v>0.0</v>
      </c>
      <c r="O1000" s="9">
        <f>revenue[orderPrice]*revenue[orderQuantity]</f>
        <v>70</v>
      </c>
      <c r="P1000" s="9">
        <f>revenue[orderTotal]*(1-revenue[discountApllied])</f>
        <v>70</v>
      </c>
      <c r="Q1000" s="9">
        <f>revenue[revenue]-(revenue[productCost]*revenue[orderQuantity])</f>
        <v>24.4717919</v>
      </c>
      <c r="R1000" s="25">
        <f>IFERROR(revenue[profit]/revenue[revenue], 0)</f>
        <v>0.3495970271</v>
      </c>
      <c r="S1000" s="9">
        <f>revenue[productCost]*revenue[orderQuantity]</f>
        <v>45.5282081</v>
      </c>
    </row>
    <row r="1001" ht="15.75" customHeight="1">
      <c r="A1001" s="6">
        <v>10625.0</v>
      </c>
      <c r="B1001" s="7" t="s">
        <v>54</v>
      </c>
      <c r="C1001" s="24" t="str">
        <f>VLOOKUP(revenue[customerID],customers[],2,FALSE)</f>
        <v>Ana Trujillo Emparedados y helados</v>
      </c>
      <c r="D1001" s="24" t="str">
        <f>VLOOKUP(revenue[customerID],customers[],6,FALSE)</f>
        <v>México D.F.</v>
      </c>
      <c r="E1001" s="24" t="str">
        <f>VLOOKUP(revenue[customerID],customers[],9,FALSE)</f>
        <v>Mexico</v>
      </c>
      <c r="F1001" s="24">
        <v>45146.0</v>
      </c>
      <c r="G1001" s="6">
        <v>60.0</v>
      </c>
      <c r="H1001" s="9" t="str">
        <f>VLOOKUP(revenue[productID],products[],2,FALSE)</f>
        <v>Camembert Pierrot</v>
      </c>
      <c r="I1001" s="9" t="str">
        <f>VLOOKUP(revenue[productID],products[],12,FALSE)</f>
        <v>Dairy Products</v>
      </c>
      <c r="J1001" s="9">
        <f>VLOOKUP(revenue[productID],products[],IF(YEAR(revenue[orderDate])=2022,8,IF(YEAR(revenue[orderDate])=2023,9,IF(YEAR(revenue[orderDate])=2024,10,NA))),FALSE)</f>
        <v>22.77098295</v>
      </c>
      <c r="K1001" s="9">
        <v>34.0</v>
      </c>
      <c r="L1001" s="25">
        <f>(revenue[orderPrice]-revenue[productCost])/revenue[productCost]</f>
        <v>0.4931283415</v>
      </c>
      <c r="M1001" s="10">
        <v>10.0</v>
      </c>
      <c r="N1001" s="25">
        <v>0.0</v>
      </c>
      <c r="O1001" s="9">
        <f>revenue[orderPrice]*revenue[orderQuantity]</f>
        <v>340</v>
      </c>
      <c r="P1001" s="9">
        <f>revenue[orderTotal]*(1-revenue[discountApllied])</f>
        <v>340</v>
      </c>
      <c r="Q1001" s="9">
        <f>revenue[revenue]-(revenue[productCost]*revenue[orderQuantity])</f>
        <v>112.2901705</v>
      </c>
      <c r="R1001" s="25">
        <f>IFERROR(revenue[profit]/revenue[revenue], 0)</f>
        <v>0.3302652075</v>
      </c>
      <c r="S1001" s="9">
        <f>revenue[productCost]*revenue[orderQuantity]</f>
        <v>227.7098295</v>
      </c>
    </row>
    <row r="1002" ht="15.75" customHeight="1">
      <c r="A1002" s="6">
        <v>10626.0</v>
      </c>
      <c r="B1002" s="7" t="s">
        <v>40</v>
      </c>
      <c r="C1002" s="24" t="str">
        <f>VLOOKUP(revenue[customerID],customers[],2,FALSE)</f>
        <v>Berglunds snabbköp</v>
      </c>
      <c r="D1002" s="24" t="str">
        <f>VLOOKUP(revenue[customerID],customers[],6,FALSE)</f>
        <v>Luleå</v>
      </c>
      <c r="E1002" s="24" t="str">
        <f>VLOOKUP(revenue[customerID],customers[],9,FALSE)</f>
        <v>Sweden</v>
      </c>
      <c r="F1002" s="24">
        <v>45149.0</v>
      </c>
      <c r="G1002" s="6">
        <v>53.0</v>
      </c>
      <c r="H1002" s="9" t="str">
        <f>VLOOKUP(revenue[productID],products[],2,FALSE)</f>
        <v>Perth Pasties</v>
      </c>
      <c r="I1002" s="9" t="str">
        <f>VLOOKUP(revenue[productID],products[],12,FALSE)</f>
        <v>Meat/Poultry</v>
      </c>
      <c r="J1002" s="9">
        <f>VLOOKUP(revenue[productID],products[],IF(YEAR(revenue[orderDate])=2022,8,IF(YEAR(revenue[orderDate])=2023,9,IF(YEAR(revenue[orderDate])=2024,10,NA))),FALSE)</f>
        <v>21.81491556</v>
      </c>
      <c r="K1002" s="9">
        <v>32.8</v>
      </c>
      <c r="L1002" s="25">
        <f>(revenue[orderPrice]-revenue[productCost])/revenue[productCost]</f>
        <v>0.5035584214</v>
      </c>
      <c r="M1002" s="10">
        <v>12.0</v>
      </c>
      <c r="N1002" s="25">
        <v>0.0</v>
      </c>
      <c r="O1002" s="9">
        <f>revenue[orderPrice]*revenue[orderQuantity]</f>
        <v>393.6</v>
      </c>
      <c r="P1002" s="9">
        <f>revenue[orderTotal]*(1-revenue[discountApllied])</f>
        <v>393.6</v>
      </c>
      <c r="Q1002" s="9">
        <f>revenue[revenue]-(revenue[productCost]*revenue[orderQuantity])</f>
        <v>131.8210133</v>
      </c>
      <c r="R1002" s="25">
        <f>IFERROR(revenue[profit]/revenue[revenue], 0)</f>
        <v>0.334911111</v>
      </c>
      <c r="S1002" s="9">
        <f>revenue[productCost]*revenue[orderQuantity]</f>
        <v>261.7789867</v>
      </c>
    </row>
    <row r="1003" ht="15.75" customHeight="1">
      <c r="A1003" s="6">
        <v>10626.0</v>
      </c>
      <c r="B1003" s="7" t="s">
        <v>40</v>
      </c>
      <c r="C1003" s="24" t="str">
        <f>VLOOKUP(revenue[customerID],customers[],2,FALSE)</f>
        <v>Berglunds snabbköp</v>
      </c>
      <c r="D1003" s="24" t="str">
        <f>VLOOKUP(revenue[customerID],customers[],6,FALSE)</f>
        <v>Luleå</v>
      </c>
      <c r="E1003" s="24" t="str">
        <f>VLOOKUP(revenue[customerID],customers[],9,FALSE)</f>
        <v>Sweden</v>
      </c>
      <c r="F1003" s="24">
        <v>45149.0</v>
      </c>
      <c r="G1003" s="6">
        <v>60.0</v>
      </c>
      <c r="H1003" s="9" t="str">
        <f>VLOOKUP(revenue[productID],products[],2,FALSE)</f>
        <v>Camembert Pierrot</v>
      </c>
      <c r="I1003" s="9" t="str">
        <f>VLOOKUP(revenue[productID],products[],12,FALSE)</f>
        <v>Dairy Products</v>
      </c>
      <c r="J1003" s="9">
        <f>VLOOKUP(revenue[productID],products[],IF(YEAR(revenue[orderDate])=2022,8,IF(YEAR(revenue[orderDate])=2023,9,IF(YEAR(revenue[orderDate])=2024,10,NA))),FALSE)</f>
        <v>22.77098295</v>
      </c>
      <c r="K1003" s="9">
        <v>34.0</v>
      </c>
      <c r="L1003" s="25">
        <f>(revenue[orderPrice]-revenue[productCost])/revenue[productCost]</f>
        <v>0.4931283415</v>
      </c>
      <c r="M1003" s="10">
        <v>20.0</v>
      </c>
      <c r="N1003" s="25">
        <v>0.0</v>
      </c>
      <c r="O1003" s="9">
        <f>revenue[orderPrice]*revenue[orderQuantity]</f>
        <v>680</v>
      </c>
      <c r="P1003" s="9">
        <f>revenue[orderTotal]*(1-revenue[discountApllied])</f>
        <v>680</v>
      </c>
      <c r="Q1003" s="9">
        <f>revenue[revenue]-(revenue[productCost]*revenue[orderQuantity])</f>
        <v>224.5803411</v>
      </c>
      <c r="R1003" s="25">
        <f>IFERROR(revenue[profit]/revenue[revenue], 0)</f>
        <v>0.3302652075</v>
      </c>
      <c r="S1003" s="9">
        <f>revenue[productCost]*revenue[orderQuantity]</f>
        <v>455.4196589</v>
      </c>
    </row>
    <row r="1004" ht="15.75" customHeight="1">
      <c r="A1004" s="6">
        <v>10626.0</v>
      </c>
      <c r="B1004" s="7" t="s">
        <v>40</v>
      </c>
      <c r="C1004" s="24" t="str">
        <f>VLOOKUP(revenue[customerID],customers[],2,FALSE)</f>
        <v>Berglunds snabbköp</v>
      </c>
      <c r="D1004" s="24" t="str">
        <f>VLOOKUP(revenue[customerID],customers[],6,FALSE)</f>
        <v>Luleå</v>
      </c>
      <c r="E1004" s="24" t="str">
        <f>VLOOKUP(revenue[customerID],customers[],9,FALSE)</f>
        <v>Sweden</v>
      </c>
      <c r="F1004" s="24">
        <v>45149.0</v>
      </c>
      <c r="G1004" s="6">
        <v>71.0</v>
      </c>
      <c r="H1004" s="9" t="str">
        <f>VLOOKUP(revenue[productID],products[],2,FALSE)</f>
        <v>Flotemysost</v>
      </c>
      <c r="I1004" s="9" t="str">
        <f>VLOOKUP(revenue[productID],products[],12,FALSE)</f>
        <v>Dairy Products</v>
      </c>
      <c r="J1004" s="9">
        <f>VLOOKUP(revenue[productID],products[],IF(YEAR(revenue[orderDate])=2022,8,IF(YEAR(revenue[orderDate])=2023,9,IF(YEAR(revenue[orderDate])=2024,10,NA))),FALSE)</f>
        <v>13.4003664</v>
      </c>
      <c r="K1004" s="9">
        <v>21.5</v>
      </c>
      <c r="L1004" s="25">
        <f>(revenue[orderPrice]-revenue[productCost])/revenue[productCost]</f>
        <v>0.6044337411</v>
      </c>
      <c r="M1004" s="10">
        <v>20.0</v>
      </c>
      <c r="N1004" s="25">
        <v>0.0</v>
      </c>
      <c r="O1004" s="9">
        <f>revenue[orderPrice]*revenue[orderQuantity]</f>
        <v>430</v>
      </c>
      <c r="P1004" s="9">
        <f>revenue[orderTotal]*(1-revenue[discountApllied])</f>
        <v>430</v>
      </c>
      <c r="Q1004" s="9">
        <f>revenue[revenue]-(revenue[productCost]*revenue[orderQuantity])</f>
        <v>161.9926719</v>
      </c>
      <c r="R1004" s="25">
        <f>IFERROR(revenue[profit]/revenue[revenue], 0)</f>
        <v>0.376727144</v>
      </c>
      <c r="S1004" s="9">
        <f>revenue[productCost]*revenue[orderQuantity]</f>
        <v>268.0073281</v>
      </c>
    </row>
    <row r="1005" ht="15.75" customHeight="1">
      <c r="A1005" s="6">
        <v>10627.0</v>
      </c>
      <c r="B1005" s="7" t="s">
        <v>60</v>
      </c>
      <c r="C1005" s="24" t="str">
        <f>VLOOKUP(revenue[customerID],customers[],2,FALSE)</f>
        <v>Save-a-lot Markets</v>
      </c>
      <c r="D1005" s="24" t="str">
        <f>VLOOKUP(revenue[customerID],customers[],6,FALSE)</f>
        <v>Boise</v>
      </c>
      <c r="E1005" s="24" t="str">
        <f>VLOOKUP(revenue[customerID],customers[],9,FALSE)</f>
        <v>USA</v>
      </c>
      <c r="F1005" s="24">
        <v>45149.0</v>
      </c>
      <c r="G1005" s="6">
        <v>62.0</v>
      </c>
      <c r="H1005" s="9" t="str">
        <f>VLOOKUP(revenue[productID],products[],2,FALSE)</f>
        <v>Tarte au sucre</v>
      </c>
      <c r="I1005" s="9" t="str">
        <f>VLOOKUP(revenue[productID],products[],12,FALSE)</f>
        <v>Confections</v>
      </c>
      <c r="J1005" s="9">
        <f>VLOOKUP(revenue[productID],products[],IF(YEAR(revenue[orderDate])=2022,8,IF(YEAR(revenue[orderDate])=2023,9,IF(YEAR(revenue[orderDate])=2024,10,NA))),FALSE)</f>
        <v>35.34792781</v>
      </c>
      <c r="K1005" s="9">
        <v>49.3</v>
      </c>
      <c r="L1005" s="25">
        <f>(revenue[orderPrice]-revenue[productCost])/revenue[productCost]</f>
        <v>0.3947069335</v>
      </c>
      <c r="M1005" s="10">
        <v>15.0</v>
      </c>
      <c r="N1005" s="25">
        <v>0.0</v>
      </c>
      <c r="O1005" s="9">
        <f>revenue[orderPrice]*revenue[orderQuantity]</f>
        <v>739.5</v>
      </c>
      <c r="P1005" s="9">
        <f>revenue[orderTotal]*(1-revenue[discountApllied])</f>
        <v>739.5</v>
      </c>
      <c r="Q1005" s="9">
        <f>revenue[revenue]-(revenue[productCost]*revenue[orderQuantity])</f>
        <v>209.2810829</v>
      </c>
      <c r="R1005" s="25">
        <f>IFERROR(revenue[profit]/revenue[revenue], 0)</f>
        <v>0.2830034927</v>
      </c>
      <c r="S1005" s="9">
        <f>revenue[productCost]*revenue[orderQuantity]</f>
        <v>530.2189171</v>
      </c>
    </row>
    <row r="1006" ht="15.75" customHeight="1">
      <c r="A1006" s="6">
        <v>10627.0</v>
      </c>
      <c r="B1006" s="7" t="s">
        <v>60</v>
      </c>
      <c r="C1006" s="24" t="str">
        <f>VLOOKUP(revenue[customerID],customers[],2,FALSE)</f>
        <v>Save-a-lot Markets</v>
      </c>
      <c r="D1006" s="24" t="str">
        <f>VLOOKUP(revenue[customerID],customers[],6,FALSE)</f>
        <v>Boise</v>
      </c>
      <c r="E1006" s="24" t="str">
        <f>VLOOKUP(revenue[customerID],customers[],9,FALSE)</f>
        <v>USA</v>
      </c>
      <c r="F1006" s="24">
        <v>45149.0</v>
      </c>
      <c r="G1006" s="6">
        <v>73.0</v>
      </c>
      <c r="H1006" s="9" t="str">
        <f>VLOOKUP(revenue[productID],products[],2,FALSE)</f>
        <v>Röd Kaviar</v>
      </c>
      <c r="I1006" s="9" t="str">
        <f>VLOOKUP(revenue[productID],products[],12,FALSE)</f>
        <v>Seafood</v>
      </c>
      <c r="J1006" s="9">
        <f>VLOOKUP(revenue[productID],products[],IF(YEAR(revenue[orderDate])=2022,8,IF(YEAR(revenue[orderDate])=2023,9,IF(YEAR(revenue[orderDate])=2024,10,NA))),FALSE)</f>
        <v>9.692999362</v>
      </c>
      <c r="K1006" s="9">
        <v>15.0</v>
      </c>
      <c r="L1006" s="25">
        <f>(revenue[orderPrice]-revenue[productCost])/revenue[productCost]</f>
        <v>0.5475086131</v>
      </c>
      <c r="M1006" s="10">
        <v>35.0</v>
      </c>
      <c r="N1006" s="25">
        <v>0.15</v>
      </c>
      <c r="O1006" s="9">
        <f>revenue[orderPrice]*revenue[orderQuantity]</f>
        <v>525</v>
      </c>
      <c r="P1006" s="9">
        <f>revenue[orderTotal]*(1-revenue[discountApllied])</f>
        <v>446.25</v>
      </c>
      <c r="Q1006" s="9">
        <f>revenue[revenue]-(revenue[productCost]*revenue[orderQuantity])</f>
        <v>106.9950223</v>
      </c>
      <c r="R1006" s="25">
        <f>IFERROR(revenue[profit]/revenue[revenue], 0)</f>
        <v>0.2397647559</v>
      </c>
      <c r="S1006" s="9">
        <f>revenue[productCost]*revenue[orderQuantity]</f>
        <v>339.2549777</v>
      </c>
    </row>
    <row r="1007" ht="15.75" customHeight="1">
      <c r="A1007" s="6">
        <v>10628.0</v>
      </c>
      <c r="B1007" s="7" t="s">
        <v>30</v>
      </c>
      <c r="C1007" s="24" t="str">
        <f>VLOOKUP(revenue[customerID],customers[],2,FALSE)</f>
        <v>Blondesddsl père et fils</v>
      </c>
      <c r="D1007" s="24" t="str">
        <f>VLOOKUP(revenue[customerID],customers[],6,FALSE)</f>
        <v>Strasbourg</v>
      </c>
      <c r="E1007" s="24" t="str">
        <f>VLOOKUP(revenue[customerID],customers[],9,FALSE)</f>
        <v>France</v>
      </c>
      <c r="F1007" s="24">
        <v>45150.0</v>
      </c>
      <c r="G1007" s="6">
        <v>1.0</v>
      </c>
      <c r="H1007" s="9" t="str">
        <f>VLOOKUP(revenue[productID],products[],2,FALSE)</f>
        <v>Chai</v>
      </c>
      <c r="I1007" s="9" t="str">
        <f>VLOOKUP(revenue[productID],products[],12,FALSE)</f>
        <v>Beverages</v>
      </c>
      <c r="J1007" s="9">
        <f>VLOOKUP(revenue[productID],products[],IF(YEAR(revenue[orderDate])=2022,8,IF(YEAR(revenue[orderDate])=2023,9,IF(YEAR(revenue[orderDate])=2024,10,NA))),FALSE)</f>
        <v>12.15847607</v>
      </c>
      <c r="K1007" s="9">
        <v>18.0</v>
      </c>
      <c r="L1007" s="25">
        <f>(revenue[orderPrice]-revenue[productCost])/revenue[productCost]</f>
        <v>0.4804486927</v>
      </c>
      <c r="M1007" s="10">
        <v>25.0</v>
      </c>
      <c r="N1007" s="25">
        <v>0.0</v>
      </c>
      <c r="O1007" s="9">
        <f>revenue[orderPrice]*revenue[orderQuantity]</f>
        <v>450</v>
      </c>
      <c r="P1007" s="9">
        <f>revenue[orderTotal]*(1-revenue[discountApllied])</f>
        <v>450</v>
      </c>
      <c r="Q1007" s="9">
        <f>revenue[revenue]-(revenue[productCost]*revenue[orderQuantity])</f>
        <v>146.0380983</v>
      </c>
      <c r="R1007" s="25">
        <f>IFERROR(revenue[profit]/revenue[revenue], 0)</f>
        <v>0.3245291073</v>
      </c>
      <c r="S1007" s="9">
        <f>revenue[productCost]*revenue[orderQuantity]</f>
        <v>303.9619017</v>
      </c>
    </row>
    <row r="1008" ht="15.75" customHeight="1">
      <c r="A1008" s="6">
        <v>10629.0</v>
      </c>
      <c r="B1008" s="7" t="s">
        <v>51</v>
      </c>
      <c r="C1008" s="24" t="str">
        <f>VLOOKUP(revenue[customerID],customers[],2,FALSE)</f>
        <v>Godos Cocina Típica</v>
      </c>
      <c r="D1008" s="24" t="str">
        <f>VLOOKUP(revenue[customerID],customers[],6,FALSE)</f>
        <v>Sevilla</v>
      </c>
      <c r="E1008" s="24" t="str">
        <f>VLOOKUP(revenue[customerID],customers[],9,FALSE)</f>
        <v>Spain</v>
      </c>
      <c r="F1008" s="24">
        <v>45150.0</v>
      </c>
      <c r="G1008" s="6">
        <v>29.0</v>
      </c>
      <c r="H1008" s="9" t="str">
        <f>VLOOKUP(revenue[productID],products[],2,FALSE)</f>
        <v>Thüringer Rostbratwurst</v>
      </c>
      <c r="I1008" s="9" t="str">
        <f>VLOOKUP(revenue[productID],products[],12,FALSE)</f>
        <v>Meat/Poultry</v>
      </c>
      <c r="J1008" s="9">
        <f>VLOOKUP(revenue[productID],products[],IF(YEAR(revenue[orderDate])=2022,8,IF(YEAR(revenue[orderDate])=2023,9,IF(YEAR(revenue[orderDate])=2024,10,NA))),FALSE)</f>
        <v>80.85619497</v>
      </c>
      <c r="K1008" s="9">
        <v>123.79</v>
      </c>
      <c r="L1008" s="25">
        <f>(revenue[orderPrice]-revenue[productCost])/revenue[productCost]</f>
        <v>0.5309896792</v>
      </c>
      <c r="M1008" s="10">
        <v>20.0</v>
      </c>
      <c r="N1008" s="25">
        <v>0.0</v>
      </c>
      <c r="O1008" s="9">
        <f>revenue[orderPrice]*revenue[orderQuantity]</f>
        <v>2475.8</v>
      </c>
      <c r="P1008" s="9">
        <f>revenue[orderTotal]*(1-revenue[discountApllied])</f>
        <v>2475.8</v>
      </c>
      <c r="Q1008" s="9">
        <f>revenue[revenue]-(revenue[productCost]*revenue[orderQuantity])</f>
        <v>858.6761006</v>
      </c>
      <c r="R1008" s="25">
        <f>IFERROR(revenue[profit]/revenue[revenue], 0)</f>
        <v>0.3468277327</v>
      </c>
      <c r="S1008" s="9">
        <f>revenue[productCost]*revenue[orderQuantity]</f>
        <v>1617.123899</v>
      </c>
    </row>
    <row r="1009" ht="15.75" customHeight="1">
      <c r="A1009" s="6">
        <v>10629.0</v>
      </c>
      <c r="B1009" s="7" t="s">
        <v>51</v>
      </c>
      <c r="C1009" s="24" t="str">
        <f>VLOOKUP(revenue[customerID],customers[],2,FALSE)</f>
        <v>Godos Cocina Típica</v>
      </c>
      <c r="D1009" s="24" t="str">
        <f>VLOOKUP(revenue[customerID],customers[],6,FALSE)</f>
        <v>Sevilla</v>
      </c>
      <c r="E1009" s="24" t="str">
        <f>VLOOKUP(revenue[customerID],customers[],9,FALSE)</f>
        <v>Spain</v>
      </c>
      <c r="F1009" s="24">
        <v>45150.0</v>
      </c>
      <c r="G1009" s="6">
        <v>64.0</v>
      </c>
      <c r="H1009" s="9" t="str">
        <f>VLOOKUP(revenue[productID],products[],2,FALSE)</f>
        <v>Lukas' leckere Sauerteigweggla</v>
      </c>
      <c r="I1009" s="9" t="str">
        <f>VLOOKUP(revenue[productID],products[],12,FALSE)</f>
        <v>Grains/Cereals</v>
      </c>
      <c r="J1009" s="9">
        <f>VLOOKUP(revenue[productID],products[],IF(YEAR(revenue[orderDate])=2022,8,IF(YEAR(revenue[orderDate])=2023,9,IF(YEAR(revenue[orderDate])=2024,10,NA))),FALSE)</f>
        <v>21.88572728</v>
      </c>
      <c r="K1009" s="9">
        <v>33.25</v>
      </c>
      <c r="L1009" s="25">
        <f>(revenue[orderPrice]-revenue[productCost])/revenue[productCost]</f>
        <v>0.5192549724</v>
      </c>
      <c r="M1009" s="10">
        <v>9.0</v>
      </c>
      <c r="N1009" s="25">
        <v>0.0</v>
      </c>
      <c r="O1009" s="9">
        <f>revenue[orderPrice]*revenue[orderQuantity]</f>
        <v>299.25</v>
      </c>
      <c r="P1009" s="9">
        <f>revenue[orderTotal]*(1-revenue[discountApllied])</f>
        <v>299.25</v>
      </c>
      <c r="Q1009" s="9">
        <f>revenue[revenue]-(revenue[productCost]*revenue[orderQuantity])</f>
        <v>102.2784545</v>
      </c>
      <c r="R1009" s="25">
        <f>IFERROR(revenue[profit]/revenue[revenue], 0)</f>
        <v>0.3417826381</v>
      </c>
      <c r="S1009" s="9">
        <f>revenue[productCost]*revenue[orderQuantity]</f>
        <v>196.9715455</v>
      </c>
    </row>
    <row r="1010" ht="15.75" customHeight="1">
      <c r="A1010" s="6">
        <v>10630.0</v>
      </c>
      <c r="B1010" s="7" t="s">
        <v>59</v>
      </c>
      <c r="C1010" s="24" t="str">
        <f>VLOOKUP(revenue[customerID],customers[],2,FALSE)</f>
        <v>Königlich Essen</v>
      </c>
      <c r="D1010" s="24" t="str">
        <f>VLOOKUP(revenue[customerID],customers[],6,FALSE)</f>
        <v>Brandenburg</v>
      </c>
      <c r="E1010" s="24" t="str">
        <f>VLOOKUP(revenue[customerID],customers[],9,FALSE)</f>
        <v>Germany</v>
      </c>
      <c r="F1010" s="24">
        <v>45151.0</v>
      </c>
      <c r="G1010" s="6">
        <v>55.0</v>
      </c>
      <c r="H1010" s="9" t="str">
        <f>VLOOKUP(revenue[productID],products[],2,FALSE)</f>
        <v>Pâté chinois</v>
      </c>
      <c r="I1010" s="9" t="str">
        <f>VLOOKUP(revenue[productID],products[],12,FALSE)</f>
        <v>Meat/Poultry</v>
      </c>
      <c r="J1010" s="9">
        <f>VLOOKUP(revenue[productID],products[],IF(YEAR(revenue[orderDate])=2022,8,IF(YEAR(revenue[orderDate])=2023,9,IF(YEAR(revenue[orderDate])=2024,10,NA))),FALSE)</f>
        <v>14.92398776</v>
      </c>
      <c r="K1010" s="9">
        <v>24.0</v>
      </c>
      <c r="L1010" s="25">
        <f>(revenue[orderPrice]-revenue[productCost])/revenue[productCost]</f>
        <v>0.6081492681</v>
      </c>
      <c r="M1010" s="10">
        <v>12.0</v>
      </c>
      <c r="N1010" s="25">
        <v>0.05</v>
      </c>
      <c r="O1010" s="9">
        <f>revenue[orderPrice]*revenue[orderQuantity]</f>
        <v>288</v>
      </c>
      <c r="P1010" s="9">
        <f>revenue[orderTotal]*(1-revenue[discountApllied])</f>
        <v>273.6</v>
      </c>
      <c r="Q1010" s="9">
        <f>revenue[revenue]-(revenue[productCost]*revenue[orderQuantity])</f>
        <v>94.51214683</v>
      </c>
      <c r="R1010" s="25">
        <f>IFERROR(revenue[profit]/revenue[revenue], 0)</f>
        <v>0.3454391332</v>
      </c>
      <c r="S1010" s="9">
        <f>revenue[productCost]*revenue[orderQuantity]</f>
        <v>179.0878532</v>
      </c>
    </row>
    <row r="1011" ht="15.75" customHeight="1">
      <c r="A1011" s="6">
        <v>10630.0</v>
      </c>
      <c r="B1011" s="7" t="s">
        <v>59</v>
      </c>
      <c r="C1011" s="24" t="str">
        <f>VLOOKUP(revenue[customerID],customers[],2,FALSE)</f>
        <v>Königlich Essen</v>
      </c>
      <c r="D1011" s="24" t="str">
        <f>VLOOKUP(revenue[customerID],customers[],6,FALSE)</f>
        <v>Brandenburg</v>
      </c>
      <c r="E1011" s="24" t="str">
        <f>VLOOKUP(revenue[customerID],customers[],9,FALSE)</f>
        <v>Germany</v>
      </c>
      <c r="F1011" s="24">
        <v>45151.0</v>
      </c>
      <c r="G1011" s="6">
        <v>76.0</v>
      </c>
      <c r="H1011" s="9" t="str">
        <f>VLOOKUP(revenue[productID],products[],2,FALSE)</f>
        <v>Lakkalikööri</v>
      </c>
      <c r="I1011" s="9" t="str">
        <f>VLOOKUP(revenue[productID],products[],12,FALSE)</f>
        <v>Beverages</v>
      </c>
      <c r="J1011" s="9">
        <f>VLOOKUP(revenue[productID],products[],IF(YEAR(revenue[orderDate])=2022,8,IF(YEAR(revenue[orderDate])=2023,9,IF(YEAR(revenue[orderDate])=2024,10,NA))),FALSE)</f>
        <v>12.1154529</v>
      </c>
      <c r="K1011" s="9">
        <v>18.0</v>
      </c>
      <c r="L1011" s="25">
        <f>(revenue[orderPrice]-revenue[productCost])/revenue[productCost]</f>
        <v>0.4857059125</v>
      </c>
      <c r="M1011" s="10">
        <v>35.0</v>
      </c>
      <c r="N1011" s="25">
        <v>0.0</v>
      </c>
      <c r="O1011" s="9">
        <f>revenue[orderPrice]*revenue[orderQuantity]</f>
        <v>630</v>
      </c>
      <c r="P1011" s="9">
        <f>revenue[orderTotal]*(1-revenue[discountApllied])</f>
        <v>630</v>
      </c>
      <c r="Q1011" s="9">
        <f>revenue[revenue]-(revenue[productCost]*revenue[orderQuantity])</f>
        <v>205.9591487</v>
      </c>
      <c r="R1011" s="25">
        <f>IFERROR(revenue[profit]/revenue[revenue], 0)</f>
        <v>0.3269192836</v>
      </c>
      <c r="S1011" s="9">
        <f>revenue[productCost]*revenue[orderQuantity]</f>
        <v>424.0408513</v>
      </c>
    </row>
    <row r="1012" ht="15.75" customHeight="1">
      <c r="A1012" s="6">
        <v>10631.0</v>
      </c>
      <c r="B1012" s="7" t="s">
        <v>68</v>
      </c>
      <c r="C1012" s="24" t="str">
        <f>VLOOKUP(revenue[customerID],customers[],2,FALSE)</f>
        <v>La maison d'Asie</v>
      </c>
      <c r="D1012" s="24" t="str">
        <f>VLOOKUP(revenue[customerID],customers[],6,FALSE)</f>
        <v>Toulouse</v>
      </c>
      <c r="E1012" s="24" t="str">
        <f>VLOOKUP(revenue[customerID],customers[],9,FALSE)</f>
        <v>France</v>
      </c>
      <c r="F1012" s="24">
        <v>45152.0</v>
      </c>
      <c r="G1012" s="6">
        <v>75.0</v>
      </c>
      <c r="H1012" s="9" t="str">
        <f>VLOOKUP(revenue[productID],products[],2,FALSE)</f>
        <v>Rhönbräu Klosterbier</v>
      </c>
      <c r="I1012" s="9" t="str">
        <f>VLOOKUP(revenue[productID],products[],12,FALSE)</f>
        <v>Beverages</v>
      </c>
      <c r="J1012" s="9">
        <f>VLOOKUP(revenue[productID],products[],IF(YEAR(revenue[orderDate])=2022,8,IF(YEAR(revenue[orderDate])=2023,9,IF(YEAR(revenue[orderDate])=2024,10,NA))),FALSE)</f>
        <v>5.355290472</v>
      </c>
      <c r="K1012" s="9">
        <v>7.75</v>
      </c>
      <c r="L1012" s="25">
        <f>(revenue[orderPrice]-revenue[productCost])/revenue[productCost]</f>
        <v>0.4471670661</v>
      </c>
      <c r="M1012" s="10">
        <v>8.0</v>
      </c>
      <c r="N1012" s="25">
        <v>0.1</v>
      </c>
      <c r="O1012" s="9">
        <f>revenue[orderPrice]*revenue[orderQuantity]</f>
        <v>62</v>
      </c>
      <c r="P1012" s="9">
        <f>revenue[orderTotal]*(1-revenue[discountApllied])</f>
        <v>55.8</v>
      </c>
      <c r="Q1012" s="9">
        <f>revenue[revenue]-(revenue[productCost]*revenue[orderQuantity])</f>
        <v>12.95767623</v>
      </c>
      <c r="R1012" s="25">
        <f>IFERROR(revenue[profit]/revenue[revenue], 0)</f>
        <v>0.2322164198</v>
      </c>
      <c r="S1012" s="9">
        <f>revenue[productCost]*revenue[orderQuantity]</f>
        <v>42.84232377</v>
      </c>
    </row>
    <row r="1013" ht="15.75" customHeight="1">
      <c r="A1013" s="6">
        <v>10632.0</v>
      </c>
      <c r="B1013" s="7" t="s">
        <v>50</v>
      </c>
      <c r="C1013" s="24" t="str">
        <f>VLOOKUP(revenue[customerID],customers[],2,FALSE)</f>
        <v>Die Wandernde Kuh</v>
      </c>
      <c r="D1013" s="24" t="str">
        <f>VLOOKUP(revenue[customerID],customers[],6,FALSE)</f>
        <v>Stuttgart</v>
      </c>
      <c r="E1013" s="24" t="str">
        <f>VLOOKUP(revenue[customerID],customers[],9,FALSE)</f>
        <v>Germany</v>
      </c>
      <c r="F1013" s="24">
        <v>45152.0</v>
      </c>
      <c r="G1013" s="6">
        <v>2.0</v>
      </c>
      <c r="H1013" s="9" t="str">
        <f>VLOOKUP(revenue[productID],products[],2,FALSE)</f>
        <v>Chang</v>
      </c>
      <c r="I1013" s="9" t="str">
        <f>VLOOKUP(revenue[productID],products[],12,FALSE)</f>
        <v>Beverages</v>
      </c>
      <c r="J1013" s="9">
        <f>VLOOKUP(revenue[productID],products[],IF(YEAR(revenue[orderDate])=2022,8,IF(YEAR(revenue[orderDate])=2023,9,IF(YEAR(revenue[orderDate])=2024,10,NA))),FALSE)</f>
        <v>12.14626904</v>
      </c>
      <c r="K1013" s="9">
        <v>19.0</v>
      </c>
      <c r="L1013" s="25">
        <f>(revenue[orderPrice]-revenue[productCost])/revenue[productCost]</f>
        <v>0.5642663547</v>
      </c>
      <c r="M1013" s="10">
        <v>30.0</v>
      </c>
      <c r="N1013" s="25">
        <v>0.05</v>
      </c>
      <c r="O1013" s="9">
        <f>revenue[orderPrice]*revenue[orderQuantity]</f>
        <v>570</v>
      </c>
      <c r="P1013" s="9">
        <f>revenue[orderTotal]*(1-revenue[discountApllied])</f>
        <v>541.5</v>
      </c>
      <c r="Q1013" s="9">
        <f>revenue[revenue]-(revenue[productCost]*revenue[orderQuantity])</f>
        <v>177.1119287</v>
      </c>
      <c r="R1013" s="25">
        <f>IFERROR(revenue[profit]/revenue[revenue], 0)</f>
        <v>0.3270765073</v>
      </c>
      <c r="S1013" s="9">
        <f>revenue[productCost]*revenue[orderQuantity]</f>
        <v>364.3880713</v>
      </c>
    </row>
    <row r="1014" ht="15.75" customHeight="1">
      <c r="A1014" s="6">
        <v>10632.0</v>
      </c>
      <c r="B1014" s="7" t="s">
        <v>50</v>
      </c>
      <c r="C1014" s="24" t="str">
        <f>VLOOKUP(revenue[customerID],customers[],2,FALSE)</f>
        <v>Die Wandernde Kuh</v>
      </c>
      <c r="D1014" s="24" t="str">
        <f>VLOOKUP(revenue[customerID],customers[],6,FALSE)</f>
        <v>Stuttgart</v>
      </c>
      <c r="E1014" s="24" t="str">
        <f>VLOOKUP(revenue[customerID],customers[],9,FALSE)</f>
        <v>Germany</v>
      </c>
      <c r="F1014" s="24">
        <v>45152.0</v>
      </c>
      <c r="G1014" s="6">
        <v>33.0</v>
      </c>
      <c r="H1014" s="9" t="str">
        <f>VLOOKUP(revenue[productID],products[],2,FALSE)</f>
        <v>Geitost</v>
      </c>
      <c r="I1014" s="9" t="str">
        <f>VLOOKUP(revenue[productID],products[],12,FALSE)</f>
        <v>Dairy Products</v>
      </c>
      <c r="J1014" s="9">
        <f>VLOOKUP(revenue[productID],products[],IF(YEAR(revenue[orderDate])=2022,8,IF(YEAR(revenue[orderDate])=2023,9,IF(YEAR(revenue[orderDate])=2024,10,NA))),FALSE)</f>
        <v>1.559072298</v>
      </c>
      <c r="K1014" s="9">
        <v>2.5</v>
      </c>
      <c r="L1014" s="25">
        <f>(revenue[orderPrice]-revenue[productCost])/revenue[productCost]</f>
        <v>0.603517684</v>
      </c>
      <c r="M1014" s="10">
        <v>20.0</v>
      </c>
      <c r="N1014" s="25">
        <v>0.05</v>
      </c>
      <c r="O1014" s="9">
        <f>revenue[orderPrice]*revenue[orderQuantity]</f>
        <v>50</v>
      </c>
      <c r="P1014" s="9">
        <f>revenue[orderTotal]*(1-revenue[discountApllied])</f>
        <v>47.5</v>
      </c>
      <c r="Q1014" s="9">
        <f>revenue[revenue]-(revenue[productCost]*revenue[orderQuantity])</f>
        <v>16.31855405</v>
      </c>
      <c r="R1014" s="25">
        <f>IFERROR(revenue[profit]/revenue[revenue], 0)</f>
        <v>0.3435485062</v>
      </c>
      <c r="S1014" s="9">
        <f>revenue[productCost]*revenue[orderQuantity]</f>
        <v>31.18144595</v>
      </c>
    </row>
    <row r="1015" ht="15.75" customHeight="1">
      <c r="A1015" s="6">
        <v>10633.0</v>
      </c>
      <c r="B1015" s="7" t="s">
        <v>24</v>
      </c>
      <c r="C1015" s="24" t="str">
        <f>VLOOKUP(revenue[customerID],customers[],2,FALSE)</f>
        <v>Ernst Handel</v>
      </c>
      <c r="D1015" s="24" t="str">
        <f>VLOOKUP(revenue[customerID],customers[],6,FALSE)</f>
        <v>Graz</v>
      </c>
      <c r="E1015" s="24" t="str">
        <f>VLOOKUP(revenue[customerID],customers[],9,FALSE)</f>
        <v>Austria</v>
      </c>
      <c r="F1015" s="24">
        <v>45153.0</v>
      </c>
      <c r="G1015" s="6">
        <v>12.0</v>
      </c>
      <c r="H1015" s="9" t="str">
        <f>VLOOKUP(revenue[productID],products[],2,FALSE)</f>
        <v>Queso Manchego La Pastora</v>
      </c>
      <c r="I1015" s="9" t="str">
        <f>VLOOKUP(revenue[productID],products[],12,FALSE)</f>
        <v>Dairy Products</v>
      </c>
      <c r="J1015" s="9">
        <f>VLOOKUP(revenue[productID],products[],IF(YEAR(revenue[orderDate])=2022,8,IF(YEAR(revenue[orderDate])=2023,9,IF(YEAR(revenue[orderDate])=2024,10,NA))),FALSE)</f>
        <v>23.79216617</v>
      </c>
      <c r="K1015" s="9">
        <v>38.0</v>
      </c>
      <c r="L1015" s="25">
        <f>(revenue[orderPrice]-revenue[productCost])/revenue[productCost]</f>
        <v>0.5971643663</v>
      </c>
      <c r="M1015" s="10">
        <v>36.0</v>
      </c>
      <c r="N1015" s="25">
        <v>0.15</v>
      </c>
      <c r="O1015" s="9">
        <f>revenue[orderPrice]*revenue[orderQuantity]</f>
        <v>1368</v>
      </c>
      <c r="P1015" s="9">
        <f>revenue[orderTotal]*(1-revenue[discountApllied])</f>
        <v>1162.8</v>
      </c>
      <c r="Q1015" s="9">
        <f>revenue[revenue]-(revenue[productCost]*revenue[orderQuantity])</f>
        <v>306.282018</v>
      </c>
      <c r="R1015" s="25">
        <f>IFERROR(revenue[profit]/revenue[revenue], 0)</f>
        <v>0.2634004283</v>
      </c>
      <c r="S1015" s="9">
        <f>revenue[productCost]*revenue[orderQuantity]</f>
        <v>856.517982</v>
      </c>
    </row>
    <row r="1016" ht="15.75" customHeight="1">
      <c r="A1016" s="6">
        <v>10633.0</v>
      </c>
      <c r="B1016" s="7" t="s">
        <v>24</v>
      </c>
      <c r="C1016" s="24" t="str">
        <f>VLOOKUP(revenue[customerID],customers[],2,FALSE)</f>
        <v>Ernst Handel</v>
      </c>
      <c r="D1016" s="24" t="str">
        <f>VLOOKUP(revenue[customerID],customers[],6,FALSE)</f>
        <v>Graz</v>
      </c>
      <c r="E1016" s="24" t="str">
        <f>VLOOKUP(revenue[customerID],customers[],9,FALSE)</f>
        <v>Austria</v>
      </c>
      <c r="F1016" s="24">
        <v>45153.0</v>
      </c>
      <c r="G1016" s="6">
        <v>13.0</v>
      </c>
      <c r="H1016" s="9" t="str">
        <f>VLOOKUP(revenue[productID],products[],2,FALSE)</f>
        <v>Konbu</v>
      </c>
      <c r="I1016" s="9" t="str">
        <f>VLOOKUP(revenue[productID],products[],12,FALSE)</f>
        <v>Seafood</v>
      </c>
      <c r="J1016" s="9">
        <f>VLOOKUP(revenue[productID],products[],IF(YEAR(revenue[orderDate])=2022,8,IF(YEAR(revenue[orderDate])=2023,9,IF(YEAR(revenue[orderDate])=2024,10,NA))),FALSE)</f>
        <v>3.865774949</v>
      </c>
      <c r="K1016" s="9">
        <v>6.0</v>
      </c>
      <c r="L1016" s="25">
        <f>(revenue[orderPrice]-revenue[productCost])/revenue[productCost]</f>
        <v>0.5520820739</v>
      </c>
      <c r="M1016" s="10">
        <v>13.0</v>
      </c>
      <c r="N1016" s="25">
        <v>0.15</v>
      </c>
      <c r="O1016" s="9">
        <f>revenue[orderPrice]*revenue[orderQuantity]</f>
        <v>78</v>
      </c>
      <c r="P1016" s="9">
        <f>revenue[orderTotal]*(1-revenue[discountApllied])</f>
        <v>66.3</v>
      </c>
      <c r="Q1016" s="9">
        <f>revenue[revenue]-(revenue[productCost]*revenue[orderQuantity])</f>
        <v>16.04492566</v>
      </c>
      <c r="R1016" s="25">
        <f>IFERROR(revenue[profit]/revenue[revenue], 0)</f>
        <v>0.242004912</v>
      </c>
      <c r="S1016" s="9">
        <f>revenue[productCost]*revenue[orderQuantity]</f>
        <v>50.25507434</v>
      </c>
    </row>
    <row r="1017" ht="15.75" customHeight="1">
      <c r="A1017" s="6">
        <v>10633.0</v>
      </c>
      <c r="B1017" s="7" t="s">
        <v>24</v>
      </c>
      <c r="C1017" s="24" t="str">
        <f>VLOOKUP(revenue[customerID],customers[],2,FALSE)</f>
        <v>Ernst Handel</v>
      </c>
      <c r="D1017" s="24" t="str">
        <f>VLOOKUP(revenue[customerID],customers[],6,FALSE)</f>
        <v>Graz</v>
      </c>
      <c r="E1017" s="24" t="str">
        <f>VLOOKUP(revenue[customerID],customers[],9,FALSE)</f>
        <v>Austria</v>
      </c>
      <c r="F1017" s="24">
        <v>45153.0</v>
      </c>
      <c r="G1017" s="6">
        <v>26.0</v>
      </c>
      <c r="H1017" s="9" t="str">
        <f>VLOOKUP(revenue[productID],products[],2,FALSE)</f>
        <v>NuNuCa Nuß-Nougat-Creme</v>
      </c>
      <c r="I1017" s="9" t="str">
        <f>VLOOKUP(revenue[productID],products[],12,FALSE)</f>
        <v>Confections</v>
      </c>
      <c r="J1017" s="9">
        <f>VLOOKUP(revenue[productID],products[],IF(YEAR(revenue[orderDate])=2022,8,IF(YEAR(revenue[orderDate])=2023,9,IF(YEAR(revenue[orderDate])=2024,10,NA))),FALSE)</f>
        <v>21.20896201</v>
      </c>
      <c r="K1017" s="9">
        <v>31.23</v>
      </c>
      <c r="L1017" s="25">
        <f>(revenue[orderPrice]-revenue[productCost])/revenue[productCost]</f>
        <v>0.472490732</v>
      </c>
      <c r="M1017" s="10">
        <v>35.0</v>
      </c>
      <c r="N1017" s="25">
        <v>0.15</v>
      </c>
      <c r="O1017" s="9">
        <f>revenue[orderPrice]*revenue[orderQuantity]</f>
        <v>1093.05</v>
      </c>
      <c r="P1017" s="9">
        <f>revenue[orderTotal]*(1-revenue[discountApllied])</f>
        <v>929.0925</v>
      </c>
      <c r="Q1017" s="9">
        <f>revenue[revenue]-(revenue[productCost]*revenue[orderQuantity])</f>
        <v>186.7788296</v>
      </c>
      <c r="R1017" s="25">
        <f>IFERROR(revenue[profit]/revenue[revenue], 0)</f>
        <v>0.201033621</v>
      </c>
      <c r="S1017" s="9">
        <f>revenue[productCost]*revenue[orderQuantity]</f>
        <v>742.3136704</v>
      </c>
    </row>
    <row r="1018" ht="15.75" customHeight="1">
      <c r="A1018" s="6">
        <v>10633.0</v>
      </c>
      <c r="B1018" s="7" t="s">
        <v>24</v>
      </c>
      <c r="C1018" s="24" t="str">
        <f>VLOOKUP(revenue[customerID],customers[],2,FALSE)</f>
        <v>Ernst Handel</v>
      </c>
      <c r="D1018" s="24" t="str">
        <f>VLOOKUP(revenue[customerID],customers[],6,FALSE)</f>
        <v>Graz</v>
      </c>
      <c r="E1018" s="24" t="str">
        <f>VLOOKUP(revenue[customerID],customers[],9,FALSE)</f>
        <v>Austria</v>
      </c>
      <c r="F1018" s="24">
        <v>45153.0</v>
      </c>
      <c r="G1018" s="6">
        <v>62.0</v>
      </c>
      <c r="H1018" s="9" t="str">
        <f>VLOOKUP(revenue[productID],products[],2,FALSE)</f>
        <v>Tarte au sucre</v>
      </c>
      <c r="I1018" s="9" t="str">
        <f>VLOOKUP(revenue[productID],products[],12,FALSE)</f>
        <v>Confections</v>
      </c>
      <c r="J1018" s="9">
        <f>VLOOKUP(revenue[productID],products[],IF(YEAR(revenue[orderDate])=2022,8,IF(YEAR(revenue[orderDate])=2023,9,IF(YEAR(revenue[orderDate])=2024,10,NA))),FALSE)</f>
        <v>35.34792781</v>
      </c>
      <c r="K1018" s="9">
        <v>49.3</v>
      </c>
      <c r="L1018" s="25">
        <f>(revenue[orderPrice]-revenue[productCost])/revenue[productCost]</f>
        <v>0.3947069335</v>
      </c>
      <c r="M1018" s="10">
        <v>80.0</v>
      </c>
      <c r="N1018" s="25">
        <v>0.15</v>
      </c>
      <c r="O1018" s="9">
        <f>revenue[orderPrice]*revenue[orderQuantity]</f>
        <v>3944</v>
      </c>
      <c r="P1018" s="9">
        <f>revenue[orderTotal]*(1-revenue[discountApllied])</f>
        <v>3352.4</v>
      </c>
      <c r="Q1018" s="9">
        <f>revenue[revenue]-(revenue[productCost]*revenue[orderQuantity])</f>
        <v>524.5657753</v>
      </c>
      <c r="R1018" s="25">
        <f>IFERROR(revenue[profit]/revenue[revenue], 0)</f>
        <v>0.1564746973</v>
      </c>
      <c r="S1018" s="9">
        <f>revenue[productCost]*revenue[orderQuantity]</f>
        <v>2827.834225</v>
      </c>
    </row>
    <row r="1019" ht="15.75" customHeight="1">
      <c r="A1019" s="6">
        <v>10634.0</v>
      </c>
      <c r="B1019" s="7" t="s">
        <v>83</v>
      </c>
      <c r="C1019" s="24" t="str">
        <f>VLOOKUP(revenue[customerID],customers[],2,FALSE)</f>
        <v>Folies gourmandes</v>
      </c>
      <c r="D1019" s="24" t="str">
        <f>VLOOKUP(revenue[customerID],customers[],6,FALSE)</f>
        <v>Lille</v>
      </c>
      <c r="E1019" s="24" t="str">
        <f>VLOOKUP(revenue[customerID],customers[],9,FALSE)</f>
        <v>France</v>
      </c>
      <c r="F1019" s="24">
        <v>45153.0</v>
      </c>
      <c r="G1019" s="6">
        <v>7.0</v>
      </c>
      <c r="H1019" s="9" t="str">
        <f>VLOOKUP(revenue[productID],products[],2,FALSE)</f>
        <v>Uncle Bob's Organic Dried Pears</v>
      </c>
      <c r="I1019" s="9" t="str">
        <f>VLOOKUP(revenue[productID],products[],12,FALSE)</f>
        <v>Produce</v>
      </c>
      <c r="J1019" s="9">
        <f>VLOOKUP(revenue[productID],products[],IF(YEAR(revenue[orderDate])=2022,8,IF(YEAR(revenue[orderDate])=2023,9,IF(YEAR(revenue[orderDate])=2024,10,NA))),FALSE)</f>
        <v>21.39244625</v>
      </c>
      <c r="K1019" s="9">
        <v>30.0</v>
      </c>
      <c r="L1019" s="25">
        <f>(revenue[orderPrice]-revenue[productCost])/revenue[productCost]</f>
        <v>0.4023641636</v>
      </c>
      <c r="M1019" s="10">
        <v>35.0</v>
      </c>
      <c r="N1019" s="25">
        <v>0.0</v>
      </c>
      <c r="O1019" s="9">
        <f>revenue[orderPrice]*revenue[orderQuantity]</f>
        <v>1050</v>
      </c>
      <c r="P1019" s="9">
        <f>revenue[orderTotal]*(1-revenue[discountApllied])</f>
        <v>1050</v>
      </c>
      <c r="Q1019" s="9">
        <f>revenue[revenue]-(revenue[productCost]*revenue[orderQuantity])</f>
        <v>301.2643811</v>
      </c>
      <c r="R1019" s="25">
        <f>IFERROR(revenue[profit]/revenue[revenue], 0)</f>
        <v>0.2869184582</v>
      </c>
      <c r="S1019" s="9">
        <f>revenue[productCost]*revenue[orderQuantity]</f>
        <v>748.7356189</v>
      </c>
    </row>
    <row r="1020" ht="15.75" customHeight="1">
      <c r="A1020" s="6">
        <v>10634.0</v>
      </c>
      <c r="B1020" s="7" t="s">
        <v>83</v>
      </c>
      <c r="C1020" s="24" t="str">
        <f>VLOOKUP(revenue[customerID],customers[],2,FALSE)</f>
        <v>Folies gourmandes</v>
      </c>
      <c r="D1020" s="24" t="str">
        <f>VLOOKUP(revenue[customerID],customers[],6,FALSE)</f>
        <v>Lille</v>
      </c>
      <c r="E1020" s="24" t="str">
        <f>VLOOKUP(revenue[customerID],customers[],9,FALSE)</f>
        <v>France</v>
      </c>
      <c r="F1020" s="24">
        <v>45153.0</v>
      </c>
      <c r="G1020" s="6">
        <v>18.0</v>
      </c>
      <c r="H1020" s="9" t="str">
        <f>VLOOKUP(revenue[productID],products[],2,FALSE)</f>
        <v>Carnarvon Tigers</v>
      </c>
      <c r="I1020" s="9" t="str">
        <f>VLOOKUP(revenue[productID],products[],12,FALSE)</f>
        <v>Seafood</v>
      </c>
      <c r="J1020" s="9">
        <f>VLOOKUP(revenue[productID],products[],IF(YEAR(revenue[orderDate])=2022,8,IF(YEAR(revenue[orderDate])=2023,9,IF(YEAR(revenue[orderDate])=2024,10,NA))),FALSE)</f>
        <v>39.51966651</v>
      </c>
      <c r="K1020" s="9">
        <v>62.5</v>
      </c>
      <c r="L1020" s="25">
        <f>(revenue[orderPrice]-revenue[productCost])/revenue[productCost]</f>
        <v>0.5814910784</v>
      </c>
      <c r="M1020" s="10">
        <v>50.0</v>
      </c>
      <c r="N1020" s="25">
        <v>0.0</v>
      </c>
      <c r="O1020" s="9">
        <f>revenue[orderPrice]*revenue[orderQuantity]</f>
        <v>3125</v>
      </c>
      <c r="P1020" s="9">
        <f>revenue[orderTotal]*(1-revenue[discountApllied])</f>
        <v>3125</v>
      </c>
      <c r="Q1020" s="9">
        <f>revenue[revenue]-(revenue[productCost]*revenue[orderQuantity])</f>
        <v>1149.016675</v>
      </c>
      <c r="R1020" s="25">
        <f>IFERROR(revenue[profit]/revenue[revenue], 0)</f>
        <v>0.3676853359</v>
      </c>
      <c r="S1020" s="9">
        <f>revenue[productCost]*revenue[orderQuantity]</f>
        <v>1975.983325</v>
      </c>
    </row>
    <row r="1021" ht="15.75" customHeight="1">
      <c r="A1021" s="6">
        <v>10634.0</v>
      </c>
      <c r="B1021" s="7" t="s">
        <v>83</v>
      </c>
      <c r="C1021" s="24" t="str">
        <f>VLOOKUP(revenue[customerID],customers[],2,FALSE)</f>
        <v>Folies gourmandes</v>
      </c>
      <c r="D1021" s="24" t="str">
        <f>VLOOKUP(revenue[customerID],customers[],6,FALSE)</f>
        <v>Lille</v>
      </c>
      <c r="E1021" s="24" t="str">
        <f>VLOOKUP(revenue[customerID],customers[],9,FALSE)</f>
        <v>France</v>
      </c>
      <c r="F1021" s="24">
        <v>45153.0</v>
      </c>
      <c r="G1021" s="6">
        <v>51.0</v>
      </c>
      <c r="H1021" s="9" t="str">
        <f>VLOOKUP(revenue[productID],products[],2,FALSE)</f>
        <v>Manjimup Dried Apples</v>
      </c>
      <c r="I1021" s="9" t="str">
        <f>VLOOKUP(revenue[productID],products[],12,FALSE)</f>
        <v>Produce</v>
      </c>
      <c r="J1021" s="9">
        <f>VLOOKUP(revenue[productID],products[],IF(YEAR(revenue[orderDate])=2022,8,IF(YEAR(revenue[orderDate])=2023,9,IF(YEAR(revenue[orderDate])=2024,10,NA))),FALSE)</f>
        <v>36.88798027</v>
      </c>
      <c r="K1021" s="9">
        <v>53.0</v>
      </c>
      <c r="L1021" s="25">
        <f>(revenue[orderPrice]-revenue[productCost])/revenue[productCost]</f>
        <v>0.4367823779</v>
      </c>
      <c r="M1021" s="10">
        <v>15.0</v>
      </c>
      <c r="N1021" s="25">
        <v>0.0</v>
      </c>
      <c r="O1021" s="9">
        <f>revenue[orderPrice]*revenue[orderQuantity]</f>
        <v>795</v>
      </c>
      <c r="P1021" s="9">
        <f>revenue[orderTotal]*(1-revenue[discountApllied])</f>
        <v>795</v>
      </c>
      <c r="Q1021" s="9">
        <f>revenue[revenue]-(revenue[productCost]*revenue[orderQuantity])</f>
        <v>241.680296</v>
      </c>
      <c r="R1021" s="25">
        <f>IFERROR(revenue[profit]/revenue[revenue], 0)</f>
        <v>0.3040003724</v>
      </c>
      <c r="S1021" s="9">
        <f>revenue[productCost]*revenue[orderQuantity]</f>
        <v>553.319704</v>
      </c>
    </row>
    <row r="1022" ht="15.75" customHeight="1">
      <c r="A1022" s="6">
        <v>10634.0</v>
      </c>
      <c r="B1022" s="7" t="s">
        <v>83</v>
      </c>
      <c r="C1022" s="24" t="str">
        <f>VLOOKUP(revenue[customerID],customers[],2,FALSE)</f>
        <v>Folies gourmandes</v>
      </c>
      <c r="D1022" s="24" t="str">
        <f>VLOOKUP(revenue[customerID],customers[],6,FALSE)</f>
        <v>Lille</v>
      </c>
      <c r="E1022" s="24" t="str">
        <f>VLOOKUP(revenue[customerID],customers[],9,FALSE)</f>
        <v>France</v>
      </c>
      <c r="F1022" s="24">
        <v>45153.0</v>
      </c>
      <c r="G1022" s="6">
        <v>75.0</v>
      </c>
      <c r="H1022" s="9" t="str">
        <f>VLOOKUP(revenue[productID],products[],2,FALSE)</f>
        <v>Rhönbräu Klosterbier</v>
      </c>
      <c r="I1022" s="9" t="str">
        <f>VLOOKUP(revenue[productID],products[],12,FALSE)</f>
        <v>Beverages</v>
      </c>
      <c r="J1022" s="9">
        <f>VLOOKUP(revenue[productID],products[],IF(YEAR(revenue[orderDate])=2022,8,IF(YEAR(revenue[orderDate])=2023,9,IF(YEAR(revenue[orderDate])=2024,10,NA))),FALSE)</f>
        <v>5.355290472</v>
      </c>
      <c r="K1022" s="9">
        <v>7.75</v>
      </c>
      <c r="L1022" s="25">
        <f>(revenue[orderPrice]-revenue[productCost])/revenue[productCost]</f>
        <v>0.4471670661</v>
      </c>
      <c r="M1022" s="10">
        <v>2.0</v>
      </c>
      <c r="N1022" s="25">
        <v>0.0</v>
      </c>
      <c r="O1022" s="9">
        <f>revenue[orderPrice]*revenue[orderQuantity]</f>
        <v>15.5</v>
      </c>
      <c r="P1022" s="9">
        <f>revenue[orderTotal]*(1-revenue[discountApllied])</f>
        <v>15.5</v>
      </c>
      <c r="Q1022" s="9">
        <f>revenue[revenue]-(revenue[productCost]*revenue[orderQuantity])</f>
        <v>4.789419057</v>
      </c>
      <c r="R1022" s="25">
        <f>IFERROR(revenue[profit]/revenue[revenue], 0)</f>
        <v>0.3089947778</v>
      </c>
      <c r="S1022" s="9">
        <f>revenue[productCost]*revenue[orderQuantity]</f>
        <v>10.71058094</v>
      </c>
    </row>
    <row r="1023" ht="15.75" customHeight="1">
      <c r="A1023" s="6">
        <v>10635.0</v>
      </c>
      <c r="B1023" s="7" t="s">
        <v>37</v>
      </c>
      <c r="C1023" s="24" t="str">
        <f>VLOOKUP(revenue[customerID],customers[],2,FALSE)</f>
        <v>Magazzini Alimentari Riuniti</v>
      </c>
      <c r="D1023" s="24" t="str">
        <f>VLOOKUP(revenue[customerID],customers[],6,FALSE)</f>
        <v>Bergamo</v>
      </c>
      <c r="E1023" s="24" t="str">
        <f>VLOOKUP(revenue[customerID],customers[],9,FALSE)</f>
        <v>Italy</v>
      </c>
      <c r="F1023" s="24">
        <v>45156.0</v>
      </c>
      <c r="G1023" s="6">
        <v>4.0</v>
      </c>
      <c r="H1023" s="9" t="str">
        <f>VLOOKUP(revenue[productID],products[],2,FALSE)</f>
        <v>Chef Anton's Cajun Seasoning</v>
      </c>
      <c r="I1023" s="9" t="str">
        <f>VLOOKUP(revenue[productID],products[],12,FALSE)</f>
        <v>Condiments</v>
      </c>
      <c r="J1023" s="9">
        <f>VLOOKUP(revenue[productID],products[],IF(YEAR(revenue[orderDate])=2022,8,IF(YEAR(revenue[orderDate])=2023,9,IF(YEAR(revenue[orderDate])=2024,10,NA))),FALSE)</f>
        <v>13.81047124</v>
      </c>
      <c r="K1023" s="9">
        <v>22.0</v>
      </c>
      <c r="L1023" s="25">
        <f>(revenue[orderPrice]-revenue[productCost])/revenue[productCost]</f>
        <v>0.5929941577</v>
      </c>
      <c r="M1023" s="10">
        <v>10.0</v>
      </c>
      <c r="N1023" s="25">
        <v>0.1</v>
      </c>
      <c r="O1023" s="9">
        <f>revenue[orderPrice]*revenue[orderQuantity]</f>
        <v>220</v>
      </c>
      <c r="P1023" s="9">
        <f>revenue[orderTotal]*(1-revenue[discountApllied])</f>
        <v>198</v>
      </c>
      <c r="Q1023" s="9">
        <f>revenue[revenue]-(revenue[productCost]*revenue[orderQuantity])</f>
        <v>59.8952876</v>
      </c>
      <c r="R1023" s="25">
        <f>IFERROR(revenue[profit]/revenue[revenue], 0)</f>
        <v>0.3025014525</v>
      </c>
      <c r="S1023" s="9">
        <f>revenue[productCost]*revenue[orderQuantity]</f>
        <v>138.1047124</v>
      </c>
    </row>
    <row r="1024" ht="15.75" customHeight="1">
      <c r="A1024" s="6">
        <v>10635.0</v>
      </c>
      <c r="B1024" s="7" t="s">
        <v>37</v>
      </c>
      <c r="C1024" s="24" t="str">
        <f>VLOOKUP(revenue[customerID],customers[],2,FALSE)</f>
        <v>Magazzini Alimentari Riuniti</v>
      </c>
      <c r="D1024" s="24" t="str">
        <f>VLOOKUP(revenue[customerID],customers[],6,FALSE)</f>
        <v>Bergamo</v>
      </c>
      <c r="E1024" s="24" t="str">
        <f>VLOOKUP(revenue[customerID],customers[],9,FALSE)</f>
        <v>Italy</v>
      </c>
      <c r="F1024" s="24">
        <v>45156.0</v>
      </c>
      <c r="G1024" s="6">
        <v>5.0</v>
      </c>
      <c r="H1024" s="9" t="str">
        <f>VLOOKUP(revenue[productID],products[],2,FALSE)</f>
        <v>Chef Anton's Gumbo Mix</v>
      </c>
      <c r="I1024" s="9" t="str">
        <f>VLOOKUP(revenue[productID],products[],12,FALSE)</f>
        <v>Condiments</v>
      </c>
      <c r="J1024" s="9">
        <f>VLOOKUP(revenue[productID],products[],IF(YEAR(revenue[orderDate])=2022,8,IF(YEAR(revenue[orderDate])=2023,9,IF(YEAR(revenue[orderDate])=2024,10,NA))),FALSE)</f>
        <v>14.65258256</v>
      </c>
      <c r="K1024" s="9">
        <v>21.35</v>
      </c>
      <c r="L1024" s="25">
        <f>(revenue[orderPrice]-revenue[productCost])/revenue[productCost]</f>
        <v>0.4570810239</v>
      </c>
      <c r="M1024" s="10">
        <v>15.0</v>
      </c>
      <c r="N1024" s="25">
        <v>0.1</v>
      </c>
      <c r="O1024" s="9">
        <f>revenue[orderPrice]*revenue[orderQuantity]</f>
        <v>320.25</v>
      </c>
      <c r="P1024" s="9">
        <f>revenue[orderTotal]*(1-revenue[discountApllied])</f>
        <v>288.225</v>
      </c>
      <c r="Q1024" s="9">
        <f>revenue[revenue]-(revenue[productCost]*revenue[orderQuantity])</f>
        <v>68.43626159</v>
      </c>
      <c r="R1024" s="25">
        <f>IFERROR(revenue[profit]/revenue[revenue], 0)</f>
        <v>0.237440408</v>
      </c>
      <c r="S1024" s="9">
        <f>revenue[productCost]*revenue[orderQuantity]</f>
        <v>219.7887384</v>
      </c>
    </row>
    <row r="1025" ht="15.75" customHeight="1">
      <c r="A1025" s="6">
        <v>10635.0</v>
      </c>
      <c r="B1025" s="7" t="s">
        <v>37</v>
      </c>
      <c r="C1025" s="24" t="str">
        <f>VLOOKUP(revenue[customerID],customers[],2,FALSE)</f>
        <v>Magazzini Alimentari Riuniti</v>
      </c>
      <c r="D1025" s="24" t="str">
        <f>VLOOKUP(revenue[customerID],customers[],6,FALSE)</f>
        <v>Bergamo</v>
      </c>
      <c r="E1025" s="24" t="str">
        <f>VLOOKUP(revenue[customerID],customers[],9,FALSE)</f>
        <v>Italy</v>
      </c>
      <c r="F1025" s="24">
        <v>45156.0</v>
      </c>
      <c r="G1025" s="6">
        <v>22.0</v>
      </c>
      <c r="H1025" s="9" t="str">
        <f>VLOOKUP(revenue[productID],products[],2,FALSE)</f>
        <v>Gustaf's Knäckebröd</v>
      </c>
      <c r="I1025" s="9" t="str">
        <f>VLOOKUP(revenue[productID],products[],12,FALSE)</f>
        <v>Grains/Cereals</v>
      </c>
      <c r="J1025" s="9">
        <f>VLOOKUP(revenue[productID],products[],IF(YEAR(revenue[orderDate])=2022,8,IF(YEAR(revenue[orderDate])=2023,9,IF(YEAR(revenue[orderDate])=2024,10,NA))),FALSE)</f>
        <v>14.56814822</v>
      </c>
      <c r="K1025" s="9">
        <v>21.0</v>
      </c>
      <c r="L1025" s="25">
        <f>(revenue[orderPrice]-revenue[productCost])/revenue[productCost]</f>
        <v>0.4415009841</v>
      </c>
      <c r="M1025" s="10">
        <v>40.0</v>
      </c>
      <c r="N1025" s="25">
        <v>0.0</v>
      </c>
      <c r="O1025" s="9">
        <f>revenue[orderPrice]*revenue[orderQuantity]</f>
        <v>840</v>
      </c>
      <c r="P1025" s="9">
        <f>revenue[orderTotal]*(1-revenue[discountApllied])</f>
        <v>840</v>
      </c>
      <c r="Q1025" s="9">
        <f>revenue[revenue]-(revenue[productCost]*revenue[orderQuantity])</f>
        <v>257.2740711</v>
      </c>
      <c r="R1025" s="25">
        <f>IFERROR(revenue[profit]/revenue[revenue], 0)</f>
        <v>0.3062786561</v>
      </c>
      <c r="S1025" s="9">
        <f>revenue[productCost]*revenue[orderQuantity]</f>
        <v>582.7259289</v>
      </c>
    </row>
    <row r="1026" ht="15.75" customHeight="1">
      <c r="A1026" s="6">
        <v>10636.0</v>
      </c>
      <c r="B1026" s="7" t="s">
        <v>31</v>
      </c>
      <c r="C1026" s="24" t="str">
        <f>VLOOKUP(revenue[customerID],customers[],2,FALSE)</f>
        <v>Wartian Herkku</v>
      </c>
      <c r="D1026" s="24" t="str">
        <f>VLOOKUP(revenue[customerID],customers[],6,FALSE)</f>
        <v>Oulu</v>
      </c>
      <c r="E1026" s="24" t="str">
        <f>VLOOKUP(revenue[customerID],customers[],9,FALSE)</f>
        <v>Finland</v>
      </c>
      <c r="F1026" s="24">
        <v>45157.0</v>
      </c>
      <c r="G1026" s="6">
        <v>4.0</v>
      </c>
      <c r="H1026" s="9" t="str">
        <f>VLOOKUP(revenue[productID],products[],2,FALSE)</f>
        <v>Chef Anton's Cajun Seasoning</v>
      </c>
      <c r="I1026" s="9" t="str">
        <f>VLOOKUP(revenue[productID],products[],12,FALSE)</f>
        <v>Condiments</v>
      </c>
      <c r="J1026" s="9">
        <f>VLOOKUP(revenue[productID],products[],IF(YEAR(revenue[orderDate])=2022,8,IF(YEAR(revenue[orderDate])=2023,9,IF(YEAR(revenue[orderDate])=2024,10,NA))),FALSE)</f>
        <v>13.81047124</v>
      </c>
      <c r="K1026" s="9">
        <v>22.0</v>
      </c>
      <c r="L1026" s="25">
        <f>(revenue[orderPrice]-revenue[productCost])/revenue[productCost]</f>
        <v>0.5929941577</v>
      </c>
      <c r="M1026" s="10">
        <v>25.0</v>
      </c>
      <c r="N1026" s="25">
        <v>0.0</v>
      </c>
      <c r="O1026" s="9">
        <f>revenue[orderPrice]*revenue[orderQuantity]</f>
        <v>550</v>
      </c>
      <c r="P1026" s="9">
        <f>revenue[orderTotal]*(1-revenue[discountApllied])</f>
        <v>550</v>
      </c>
      <c r="Q1026" s="9">
        <f>revenue[revenue]-(revenue[productCost]*revenue[orderQuantity])</f>
        <v>204.738219</v>
      </c>
      <c r="R1026" s="25">
        <f>IFERROR(revenue[profit]/revenue[revenue], 0)</f>
        <v>0.3722513073</v>
      </c>
      <c r="S1026" s="9">
        <f>revenue[productCost]*revenue[orderQuantity]</f>
        <v>345.261781</v>
      </c>
    </row>
    <row r="1027" ht="15.75" customHeight="1">
      <c r="A1027" s="6">
        <v>10636.0</v>
      </c>
      <c r="B1027" s="7" t="s">
        <v>31</v>
      </c>
      <c r="C1027" s="24" t="str">
        <f>VLOOKUP(revenue[customerID],customers[],2,FALSE)</f>
        <v>Wartian Herkku</v>
      </c>
      <c r="D1027" s="24" t="str">
        <f>VLOOKUP(revenue[customerID],customers[],6,FALSE)</f>
        <v>Oulu</v>
      </c>
      <c r="E1027" s="24" t="str">
        <f>VLOOKUP(revenue[customerID],customers[],9,FALSE)</f>
        <v>Finland</v>
      </c>
      <c r="F1027" s="24">
        <v>45157.0</v>
      </c>
      <c r="G1027" s="6">
        <v>58.0</v>
      </c>
      <c r="H1027" s="9" t="str">
        <f>VLOOKUP(revenue[productID],products[],2,FALSE)</f>
        <v>Escargots de Bourgogne</v>
      </c>
      <c r="I1027" s="9" t="str">
        <f>VLOOKUP(revenue[productID],products[],12,FALSE)</f>
        <v>Seafood</v>
      </c>
      <c r="J1027" s="9">
        <f>VLOOKUP(revenue[productID],products[],IF(YEAR(revenue[orderDate])=2022,8,IF(YEAR(revenue[orderDate])=2023,9,IF(YEAR(revenue[orderDate])=2024,10,NA))),FALSE)</f>
        <v>8.208446365</v>
      </c>
      <c r="K1027" s="9">
        <v>13.25</v>
      </c>
      <c r="L1027" s="25">
        <f>(revenue[orderPrice]-revenue[productCost])/revenue[productCost]</f>
        <v>0.61419097</v>
      </c>
      <c r="M1027" s="10">
        <v>6.0</v>
      </c>
      <c r="N1027" s="25">
        <v>0.0</v>
      </c>
      <c r="O1027" s="9">
        <f>revenue[orderPrice]*revenue[orderQuantity]</f>
        <v>79.5</v>
      </c>
      <c r="P1027" s="9">
        <f>revenue[orderTotal]*(1-revenue[discountApllied])</f>
        <v>79.5</v>
      </c>
      <c r="Q1027" s="9">
        <f>revenue[revenue]-(revenue[productCost]*revenue[orderQuantity])</f>
        <v>30.24932181</v>
      </c>
      <c r="R1027" s="25">
        <f>IFERROR(revenue[profit]/revenue[revenue], 0)</f>
        <v>0.380494614</v>
      </c>
      <c r="S1027" s="9">
        <f>revenue[productCost]*revenue[orderQuantity]</f>
        <v>49.25067819</v>
      </c>
    </row>
    <row r="1028" ht="15.75" customHeight="1">
      <c r="A1028" s="6">
        <v>10637.0</v>
      </c>
      <c r="B1028" s="7" t="s">
        <v>77</v>
      </c>
      <c r="C1028" s="24" t="str">
        <f>VLOOKUP(revenue[customerID],customers[],2,FALSE)</f>
        <v>Queen Cozinha</v>
      </c>
      <c r="D1028" s="24" t="str">
        <f>VLOOKUP(revenue[customerID],customers[],6,FALSE)</f>
        <v>Sao Paulo</v>
      </c>
      <c r="E1028" s="24" t="str">
        <f>VLOOKUP(revenue[customerID],customers[],9,FALSE)</f>
        <v>Brazil</v>
      </c>
      <c r="F1028" s="24">
        <v>45157.0</v>
      </c>
      <c r="G1028" s="6">
        <v>11.0</v>
      </c>
      <c r="H1028" s="9" t="str">
        <f>VLOOKUP(revenue[productID],products[],2,FALSE)</f>
        <v>Queso Cabrales</v>
      </c>
      <c r="I1028" s="9" t="str">
        <f>VLOOKUP(revenue[productID],products[],12,FALSE)</f>
        <v>Dairy Products</v>
      </c>
      <c r="J1028" s="9">
        <f>VLOOKUP(revenue[productID],products[],IF(YEAR(revenue[orderDate])=2022,8,IF(YEAR(revenue[orderDate])=2023,9,IF(YEAR(revenue[orderDate])=2024,10,NA))),FALSE)</f>
        <v>12.90188125</v>
      </c>
      <c r="K1028" s="9">
        <v>21.0</v>
      </c>
      <c r="L1028" s="25">
        <f>(revenue[orderPrice]-revenue[productCost])/revenue[productCost]</f>
        <v>0.6276696079</v>
      </c>
      <c r="M1028" s="10">
        <v>10.0</v>
      </c>
      <c r="N1028" s="25">
        <v>0.0</v>
      </c>
      <c r="O1028" s="9">
        <f>revenue[orderPrice]*revenue[orderQuantity]</f>
        <v>210</v>
      </c>
      <c r="P1028" s="9">
        <f>revenue[orderTotal]*(1-revenue[discountApllied])</f>
        <v>210</v>
      </c>
      <c r="Q1028" s="9">
        <f>revenue[revenue]-(revenue[productCost]*revenue[orderQuantity])</f>
        <v>80.98118747</v>
      </c>
      <c r="R1028" s="25">
        <f>IFERROR(revenue[profit]/revenue[revenue], 0)</f>
        <v>0.3856247023</v>
      </c>
      <c r="S1028" s="9">
        <f>revenue[productCost]*revenue[orderQuantity]</f>
        <v>129.0188125</v>
      </c>
    </row>
    <row r="1029" ht="15.75" customHeight="1">
      <c r="A1029" s="6">
        <v>10637.0</v>
      </c>
      <c r="B1029" s="7" t="s">
        <v>77</v>
      </c>
      <c r="C1029" s="24" t="str">
        <f>VLOOKUP(revenue[customerID],customers[],2,FALSE)</f>
        <v>Queen Cozinha</v>
      </c>
      <c r="D1029" s="24" t="str">
        <f>VLOOKUP(revenue[customerID],customers[],6,FALSE)</f>
        <v>Sao Paulo</v>
      </c>
      <c r="E1029" s="24" t="str">
        <f>VLOOKUP(revenue[customerID],customers[],9,FALSE)</f>
        <v>Brazil</v>
      </c>
      <c r="F1029" s="24">
        <v>45157.0</v>
      </c>
      <c r="G1029" s="6">
        <v>50.0</v>
      </c>
      <c r="H1029" s="9" t="str">
        <f>VLOOKUP(revenue[productID],products[],2,FALSE)</f>
        <v>Valkoinen suklaa</v>
      </c>
      <c r="I1029" s="9" t="str">
        <f>VLOOKUP(revenue[productID],products[],12,FALSE)</f>
        <v>Confections</v>
      </c>
      <c r="J1029" s="9">
        <f>VLOOKUP(revenue[productID],products[],IF(YEAR(revenue[orderDate])=2022,8,IF(YEAR(revenue[orderDate])=2023,9,IF(YEAR(revenue[orderDate])=2024,10,NA))),FALSE)</f>
        <v>11.16021436</v>
      </c>
      <c r="K1029" s="9">
        <v>16.25</v>
      </c>
      <c r="L1029" s="25">
        <f>(revenue[orderPrice]-revenue[productCost])/revenue[productCost]</f>
        <v>0.4560652217</v>
      </c>
      <c r="M1029" s="10">
        <v>25.0</v>
      </c>
      <c r="N1029" s="25">
        <v>0.05</v>
      </c>
      <c r="O1029" s="9">
        <f>revenue[orderPrice]*revenue[orderQuantity]</f>
        <v>406.25</v>
      </c>
      <c r="P1029" s="9">
        <f>revenue[orderTotal]*(1-revenue[discountApllied])</f>
        <v>385.9375</v>
      </c>
      <c r="Q1029" s="9">
        <f>revenue[revenue]-(revenue[productCost]*revenue[orderQuantity])</f>
        <v>106.9321409</v>
      </c>
      <c r="R1029" s="25">
        <f>IFERROR(revenue[profit]/revenue[revenue], 0)</f>
        <v>0.2770711344</v>
      </c>
      <c r="S1029" s="9">
        <f>revenue[productCost]*revenue[orderQuantity]</f>
        <v>279.0053591</v>
      </c>
    </row>
    <row r="1030" ht="15.75" customHeight="1">
      <c r="A1030" s="6">
        <v>10637.0</v>
      </c>
      <c r="B1030" s="7" t="s">
        <v>77</v>
      </c>
      <c r="C1030" s="24" t="str">
        <f>VLOOKUP(revenue[customerID],customers[],2,FALSE)</f>
        <v>Queen Cozinha</v>
      </c>
      <c r="D1030" s="24" t="str">
        <f>VLOOKUP(revenue[customerID],customers[],6,FALSE)</f>
        <v>Sao Paulo</v>
      </c>
      <c r="E1030" s="24" t="str">
        <f>VLOOKUP(revenue[customerID],customers[],9,FALSE)</f>
        <v>Brazil</v>
      </c>
      <c r="F1030" s="24">
        <v>45157.0</v>
      </c>
      <c r="G1030" s="6">
        <v>56.0</v>
      </c>
      <c r="H1030" s="9" t="str">
        <f>VLOOKUP(revenue[productID],products[],2,FALSE)</f>
        <v>Gnocchi di nonna Alice</v>
      </c>
      <c r="I1030" s="9" t="str">
        <f>VLOOKUP(revenue[productID],products[],12,FALSE)</f>
        <v>Grains/Cereals</v>
      </c>
      <c r="J1030" s="9">
        <f>VLOOKUP(revenue[productID],products[],IF(YEAR(revenue[orderDate])=2022,8,IF(YEAR(revenue[orderDate])=2023,9,IF(YEAR(revenue[orderDate])=2024,10,NA))),FALSE)</f>
        <v>24.28342441</v>
      </c>
      <c r="K1030" s="9">
        <v>38.0</v>
      </c>
      <c r="L1030" s="25">
        <f>(revenue[orderPrice]-revenue[productCost])/revenue[productCost]</f>
        <v>0.5648534309</v>
      </c>
      <c r="M1030" s="10">
        <v>60.0</v>
      </c>
      <c r="N1030" s="25">
        <v>0.05</v>
      </c>
      <c r="O1030" s="9">
        <f>revenue[orderPrice]*revenue[orderQuantity]</f>
        <v>2280</v>
      </c>
      <c r="P1030" s="9">
        <f>revenue[orderTotal]*(1-revenue[discountApllied])</f>
        <v>2166</v>
      </c>
      <c r="Q1030" s="9">
        <f>revenue[revenue]-(revenue[productCost]*revenue[orderQuantity])</f>
        <v>708.9945355</v>
      </c>
      <c r="R1030" s="25">
        <f>IFERROR(revenue[profit]/revenue[revenue], 0)</f>
        <v>0.3273289638</v>
      </c>
      <c r="S1030" s="9">
        <f>revenue[productCost]*revenue[orderQuantity]</f>
        <v>1457.005464</v>
      </c>
    </row>
    <row r="1031" ht="15.75" customHeight="1">
      <c r="A1031" s="6">
        <v>10638.0</v>
      </c>
      <c r="B1031" s="7" t="s">
        <v>82</v>
      </c>
      <c r="C1031" s="24" t="str">
        <f>VLOOKUP(revenue[customerID],customers[],2,FALSE)</f>
        <v>LINO-Delicateses</v>
      </c>
      <c r="D1031" s="24" t="str">
        <f>VLOOKUP(revenue[customerID],customers[],6,FALSE)</f>
        <v>I. de Margarita</v>
      </c>
      <c r="E1031" s="24" t="str">
        <f>VLOOKUP(revenue[customerID],customers[],9,FALSE)</f>
        <v>Venezuela</v>
      </c>
      <c r="F1031" s="24">
        <v>45158.0</v>
      </c>
      <c r="G1031" s="6">
        <v>45.0</v>
      </c>
      <c r="H1031" s="9" t="str">
        <f>VLOOKUP(revenue[productID],products[],2,FALSE)</f>
        <v>Rogede sild</v>
      </c>
      <c r="I1031" s="9" t="str">
        <f>VLOOKUP(revenue[productID],products[],12,FALSE)</f>
        <v>Seafood</v>
      </c>
      <c r="J1031" s="9">
        <f>VLOOKUP(revenue[productID],products[],IF(YEAR(revenue[orderDate])=2022,8,IF(YEAR(revenue[orderDate])=2023,9,IF(YEAR(revenue[orderDate])=2024,10,NA))),FALSE)</f>
        <v>5.965769822</v>
      </c>
      <c r="K1031" s="9">
        <v>9.5</v>
      </c>
      <c r="L1031" s="25">
        <f>(revenue[orderPrice]-revenue[productCost])/revenue[productCost]</f>
        <v>0.5924181261</v>
      </c>
      <c r="M1031" s="10">
        <v>20.0</v>
      </c>
      <c r="N1031" s="25">
        <v>0.0</v>
      </c>
      <c r="O1031" s="9">
        <f>revenue[orderPrice]*revenue[orderQuantity]</f>
        <v>190</v>
      </c>
      <c r="P1031" s="9">
        <f>revenue[orderTotal]*(1-revenue[discountApllied])</f>
        <v>190</v>
      </c>
      <c r="Q1031" s="9">
        <f>revenue[revenue]-(revenue[productCost]*revenue[orderQuantity])</f>
        <v>70.68460357</v>
      </c>
      <c r="R1031" s="25">
        <f>IFERROR(revenue[profit]/revenue[revenue], 0)</f>
        <v>0.3720242293</v>
      </c>
      <c r="S1031" s="9">
        <f>revenue[productCost]*revenue[orderQuantity]</f>
        <v>119.3153964</v>
      </c>
    </row>
    <row r="1032" ht="15.75" customHeight="1">
      <c r="A1032" s="6">
        <v>10638.0</v>
      </c>
      <c r="B1032" s="7" t="s">
        <v>82</v>
      </c>
      <c r="C1032" s="24" t="str">
        <f>VLOOKUP(revenue[customerID],customers[],2,FALSE)</f>
        <v>LINO-Delicateses</v>
      </c>
      <c r="D1032" s="24" t="str">
        <f>VLOOKUP(revenue[customerID],customers[],6,FALSE)</f>
        <v>I. de Margarita</v>
      </c>
      <c r="E1032" s="24" t="str">
        <f>VLOOKUP(revenue[customerID],customers[],9,FALSE)</f>
        <v>Venezuela</v>
      </c>
      <c r="F1032" s="24">
        <v>45158.0</v>
      </c>
      <c r="G1032" s="6">
        <v>65.0</v>
      </c>
      <c r="H1032" s="9" t="str">
        <f>VLOOKUP(revenue[productID],products[],2,FALSE)</f>
        <v>Louisiana Fiery Hot Pepper Sauce</v>
      </c>
      <c r="I1032" s="9" t="str">
        <f>VLOOKUP(revenue[productID],products[],12,FALSE)</f>
        <v>Condiments</v>
      </c>
      <c r="J1032" s="9">
        <f>VLOOKUP(revenue[productID],products[],IF(YEAR(revenue[orderDate])=2022,8,IF(YEAR(revenue[orderDate])=2023,9,IF(YEAR(revenue[orderDate])=2024,10,NA))),FALSE)</f>
        <v>13.21122243</v>
      </c>
      <c r="K1032" s="9">
        <v>21.05</v>
      </c>
      <c r="L1032" s="25">
        <f>(revenue[orderPrice]-revenue[productCost])/revenue[productCost]</f>
        <v>0.593342335</v>
      </c>
      <c r="M1032" s="10">
        <v>21.0</v>
      </c>
      <c r="N1032" s="25">
        <v>0.0</v>
      </c>
      <c r="O1032" s="9">
        <f>revenue[orderPrice]*revenue[orderQuantity]</f>
        <v>442.05</v>
      </c>
      <c r="P1032" s="9">
        <f>revenue[orderTotal]*(1-revenue[discountApllied])</f>
        <v>442.05</v>
      </c>
      <c r="Q1032" s="9">
        <f>revenue[revenue]-(revenue[productCost]*revenue[orderQuantity])</f>
        <v>164.6143289</v>
      </c>
      <c r="R1032" s="25">
        <f>IFERROR(revenue[profit]/revenue[revenue], 0)</f>
        <v>0.372388483</v>
      </c>
      <c r="S1032" s="9">
        <f>revenue[productCost]*revenue[orderQuantity]</f>
        <v>277.4356711</v>
      </c>
    </row>
    <row r="1033" ht="15.75" customHeight="1">
      <c r="A1033" s="6">
        <v>10638.0</v>
      </c>
      <c r="B1033" s="7" t="s">
        <v>82</v>
      </c>
      <c r="C1033" s="24" t="str">
        <f>VLOOKUP(revenue[customerID],customers[],2,FALSE)</f>
        <v>LINO-Delicateses</v>
      </c>
      <c r="D1033" s="24" t="str">
        <f>VLOOKUP(revenue[customerID],customers[],6,FALSE)</f>
        <v>I. de Margarita</v>
      </c>
      <c r="E1033" s="24" t="str">
        <f>VLOOKUP(revenue[customerID],customers[],9,FALSE)</f>
        <v>Venezuela</v>
      </c>
      <c r="F1033" s="24">
        <v>45158.0</v>
      </c>
      <c r="G1033" s="6">
        <v>72.0</v>
      </c>
      <c r="H1033" s="9" t="str">
        <f>VLOOKUP(revenue[productID],products[],2,FALSE)</f>
        <v>Mozzarella di Giovanni</v>
      </c>
      <c r="I1033" s="9" t="str">
        <f>VLOOKUP(revenue[productID],products[],12,FALSE)</f>
        <v>Dairy Products</v>
      </c>
      <c r="J1033" s="9">
        <f>VLOOKUP(revenue[productID],products[],IF(YEAR(revenue[orderDate])=2022,8,IF(YEAR(revenue[orderDate])=2023,9,IF(YEAR(revenue[orderDate])=2024,10,NA))),FALSE)</f>
        <v>23.51933768</v>
      </c>
      <c r="K1033" s="9">
        <v>34.8</v>
      </c>
      <c r="L1033" s="25">
        <f>(revenue[orderPrice]-revenue[productCost])/revenue[productCost]</f>
        <v>0.4796335031</v>
      </c>
      <c r="M1033" s="10">
        <v>60.0</v>
      </c>
      <c r="N1033" s="25">
        <v>0.0</v>
      </c>
      <c r="O1033" s="9">
        <f>revenue[orderPrice]*revenue[orderQuantity]</f>
        <v>2088</v>
      </c>
      <c r="P1033" s="9">
        <f>revenue[orderTotal]*(1-revenue[discountApllied])</f>
        <v>2088</v>
      </c>
      <c r="Q1033" s="9">
        <f>revenue[revenue]-(revenue[productCost]*revenue[orderQuantity])</f>
        <v>676.8397393</v>
      </c>
      <c r="R1033" s="25">
        <f>IFERROR(revenue[profit]/revenue[revenue], 0)</f>
        <v>0.3241569633</v>
      </c>
      <c r="S1033" s="9">
        <f>revenue[productCost]*revenue[orderQuantity]</f>
        <v>1411.160261</v>
      </c>
    </row>
    <row r="1034" ht="15.75" customHeight="1">
      <c r="A1034" s="6">
        <v>10639.0</v>
      </c>
      <c r="B1034" s="7" t="s">
        <v>80</v>
      </c>
      <c r="C1034" s="24" t="str">
        <f>VLOOKUP(revenue[customerID],customers[],2,FALSE)</f>
        <v>Santé Gourmet</v>
      </c>
      <c r="D1034" s="24" t="str">
        <f>VLOOKUP(revenue[customerID],customers[],6,FALSE)</f>
        <v>Stavern</v>
      </c>
      <c r="E1034" s="24" t="str">
        <f>VLOOKUP(revenue[customerID],customers[],9,FALSE)</f>
        <v>Norway</v>
      </c>
      <c r="F1034" s="24">
        <v>45158.0</v>
      </c>
      <c r="G1034" s="6">
        <v>18.0</v>
      </c>
      <c r="H1034" s="9" t="str">
        <f>VLOOKUP(revenue[productID],products[],2,FALSE)</f>
        <v>Carnarvon Tigers</v>
      </c>
      <c r="I1034" s="9" t="str">
        <f>VLOOKUP(revenue[productID],products[],12,FALSE)</f>
        <v>Seafood</v>
      </c>
      <c r="J1034" s="9">
        <f>VLOOKUP(revenue[productID],products[],IF(YEAR(revenue[orderDate])=2022,8,IF(YEAR(revenue[orderDate])=2023,9,IF(YEAR(revenue[orderDate])=2024,10,NA))),FALSE)</f>
        <v>39.51966651</v>
      </c>
      <c r="K1034" s="9">
        <v>62.5</v>
      </c>
      <c r="L1034" s="25">
        <f>(revenue[orderPrice]-revenue[productCost])/revenue[productCost]</f>
        <v>0.5814910784</v>
      </c>
      <c r="M1034" s="10">
        <v>8.0</v>
      </c>
      <c r="N1034" s="25">
        <v>0.0</v>
      </c>
      <c r="O1034" s="9">
        <f>revenue[orderPrice]*revenue[orderQuantity]</f>
        <v>500</v>
      </c>
      <c r="P1034" s="9">
        <f>revenue[orderTotal]*(1-revenue[discountApllied])</f>
        <v>500</v>
      </c>
      <c r="Q1034" s="9">
        <f>revenue[revenue]-(revenue[productCost]*revenue[orderQuantity])</f>
        <v>183.842668</v>
      </c>
      <c r="R1034" s="25">
        <f>IFERROR(revenue[profit]/revenue[revenue], 0)</f>
        <v>0.3676853359</v>
      </c>
      <c r="S1034" s="9">
        <f>revenue[productCost]*revenue[orderQuantity]</f>
        <v>316.157332</v>
      </c>
    </row>
    <row r="1035" ht="15.75" customHeight="1">
      <c r="A1035" s="6">
        <v>10640.0</v>
      </c>
      <c r="B1035" s="7" t="s">
        <v>50</v>
      </c>
      <c r="C1035" s="24" t="str">
        <f>VLOOKUP(revenue[customerID],customers[],2,FALSE)</f>
        <v>Die Wandernde Kuh</v>
      </c>
      <c r="D1035" s="24" t="str">
        <f>VLOOKUP(revenue[customerID],customers[],6,FALSE)</f>
        <v>Stuttgart</v>
      </c>
      <c r="E1035" s="24" t="str">
        <f>VLOOKUP(revenue[customerID],customers[],9,FALSE)</f>
        <v>Germany</v>
      </c>
      <c r="F1035" s="24">
        <v>45159.0</v>
      </c>
      <c r="G1035" s="6">
        <v>69.0</v>
      </c>
      <c r="H1035" s="9" t="str">
        <f>VLOOKUP(revenue[productID],products[],2,FALSE)</f>
        <v>Gudbrandsdalsost</v>
      </c>
      <c r="I1035" s="9" t="str">
        <f>VLOOKUP(revenue[productID],products[],12,FALSE)</f>
        <v>Dairy Products</v>
      </c>
      <c r="J1035" s="9">
        <f>VLOOKUP(revenue[productID],products[],IF(YEAR(revenue[orderDate])=2022,8,IF(YEAR(revenue[orderDate])=2023,9,IF(YEAR(revenue[orderDate])=2024,10,NA))),FALSE)</f>
        <v>21.82428612</v>
      </c>
      <c r="K1035" s="9">
        <v>36.0</v>
      </c>
      <c r="L1035" s="25">
        <f>(revenue[orderPrice]-revenue[productCost])/revenue[productCost]</f>
        <v>0.6495384916</v>
      </c>
      <c r="M1035" s="10">
        <v>20.0</v>
      </c>
      <c r="N1035" s="25">
        <v>0.25</v>
      </c>
      <c r="O1035" s="9">
        <f>revenue[orderPrice]*revenue[orderQuantity]</f>
        <v>720</v>
      </c>
      <c r="P1035" s="9">
        <f>revenue[orderTotal]*(1-revenue[discountApllied])</f>
        <v>540</v>
      </c>
      <c r="Q1035" s="9">
        <f>revenue[revenue]-(revenue[productCost]*revenue[orderQuantity])</f>
        <v>103.5142777</v>
      </c>
      <c r="R1035" s="25">
        <f>IFERROR(revenue[profit]/revenue[revenue], 0)</f>
        <v>0.1916931068</v>
      </c>
      <c r="S1035" s="9">
        <f>revenue[productCost]*revenue[orderQuantity]</f>
        <v>436.4857223</v>
      </c>
    </row>
    <row r="1036" ht="15.75" customHeight="1">
      <c r="A1036" s="6">
        <v>10640.0</v>
      </c>
      <c r="B1036" s="7" t="s">
        <v>50</v>
      </c>
      <c r="C1036" s="24" t="str">
        <f>VLOOKUP(revenue[customerID],customers[],2,FALSE)</f>
        <v>Die Wandernde Kuh</v>
      </c>
      <c r="D1036" s="24" t="str">
        <f>VLOOKUP(revenue[customerID],customers[],6,FALSE)</f>
        <v>Stuttgart</v>
      </c>
      <c r="E1036" s="24" t="str">
        <f>VLOOKUP(revenue[customerID],customers[],9,FALSE)</f>
        <v>Germany</v>
      </c>
      <c r="F1036" s="24">
        <v>45159.0</v>
      </c>
      <c r="G1036" s="6">
        <v>70.0</v>
      </c>
      <c r="H1036" s="9" t="str">
        <f>VLOOKUP(revenue[productID],products[],2,FALSE)</f>
        <v>Outback Lager</v>
      </c>
      <c r="I1036" s="9" t="str">
        <f>VLOOKUP(revenue[productID],products[],12,FALSE)</f>
        <v>Beverages</v>
      </c>
      <c r="J1036" s="9">
        <f>VLOOKUP(revenue[productID],products[],IF(YEAR(revenue[orderDate])=2022,8,IF(YEAR(revenue[orderDate])=2023,9,IF(YEAR(revenue[orderDate])=2024,10,NA))),FALSE)</f>
        <v>9.793094091</v>
      </c>
      <c r="K1036" s="9">
        <v>15.0</v>
      </c>
      <c r="L1036" s="25">
        <f>(revenue[orderPrice]-revenue[productCost])/revenue[productCost]</f>
        <v>0.5316916044</v>
      </c>
      <c r="M1036" s="10">
        <v>15.0</v>
      </c>
      <c r="N1036" s="25">
        <v>0.25</v>
      </c>
      <c r="O1036" s="9">
        <f>revenue[orderPrice]*revenue[orderQuantity]</f>
        <v>225</v>
      </c>
      <c r="P1036" s="9">
        <f>revenue[orderTotal]*(1-revenue[discountApllied])</f>
        <v>168.75</v>
      </c>
      <c r="Q1036" s="9">
        <f>revenue[revenue]-(revenue[productCost]*revenue[orderQuantity])</f>
        <v>21.85358863</v>
      </c>
      <c r="R1036" s="25">
        <f>IFERROR(revenue[profit]/revenue[revenue], 0)</f>
        <v>0.1295027475</v>
      </c>
      <c r="S1036" s="9">
        <f>revenue[productCost]*revenue[orderQuantity]</f>
        <v>146.8964114</v>
      </c>
    </row>
    <row r="1037" ht="15.75" customHeight="1">
      <c r="A1037" s="6">
        <v>10641.0</v>
      </c>
      <c r="B1037" s="7" t="s">
        <v>23</v>
      </c>
      <c r="C1037" s="24" t="str">
        <f>VLOOKUP(revenue[customerID],customers[],2,FALSE)</f>
        <v>HILARION-Abastos</v>
      </c>
      <c r="D1037" s="24" t="str">
        <f>VLOOKUP(revenue[customerID],customers[],6,FALSE)</f>
        <v>San Cristóbal</v>
      </c>
      <c r="E1037" s="24" t="str">
        <f>VLOOKUP(revenue[customerID],customers[],9,FALSE)</f>
        <v>Venezuela</v>
      </c>
      <c r="F1037" s="24">
        <v>45160.0</v>
      </c>
      <c r="G1037" s="6">
        <v>2.0</v>
      </c>
      <c r="H1037" s="9" t="str">
        <f>VLOOKUP(revenue[productID],products[],2,FALSE)</f>
        <v>Chang</v>
      </c>
      <c r="I1037" s="9" t="str">
        <f>VLOOKUP(revenue[productID],products[],12,FALSE)</f>
        <v>Beverages</v>
      </c>
      <c r="J1037" s="9">
        <f>VLOOKUP(revenue[productID],products[],IF(YEAR(revenue[orderDate])=2022,8,IF(YEAR(revenue[orderDate])=2023,9,IF(YEAR(revenue[orderDate])=2024,10,NA))),FALSE)</f>
        <v>12.14626904</v>
      </c>
      <c r="K1037" s="9">
        <v>19.0</v>
      </c>
      <c r="L1037" s="25">
        <f>(revenue[orderPrice]-revenue[productCost])/revenue[productCost]</f>
        <v>0.5642663547</v>
      </c>
      <c r="M1037" s="10">
        <v>50.0</v>
      </c>
      <c r="N1037" s="25">
        <v>0.0</v>
      </c>
      <c r="O1037" s="9">
        <f>revenue[orderPrice]*revenue[orderQuantity]</f>
        <v>950</v>
      </c>
      <c r="P1037" s="9">
        <f>revenue[orderTotal]*(1-revenue[discountApllied])</f>
        <v>950</v>
      </c>
      <c r="Q1037" s="9">
        <f>revenue[revenue]-(revenue[productCost]*revenue[orderQuantity])</f>
        <v>342.6865478</v>
      </c>
      <c r="R1037" s="25">
        <f>IFERROR(revenue[profit]/revenue[revenue], 0)</f>
        <v>0.3607226819</v>
      </c>
      <c r="S1037" s="9">
        <f>revenue[productCost]*revenue[orderQuantity]</f>
        <v>607.3134522</v>
      </c>
    </row>
    <row r="1038" ht="15.75" customHeight="1">
      <c r="A1038" s="6">
        <v>10641.0</v>
      </c>
      <c r="B1038" s="7" t="s">
        <v>23</v>
      </c>
      <c r="C1038" s="24" t="str">
        <f>VLOOKUP(revenue[customerID],customers[],2,FALSE)</f>
        <v>HILARION-Abastos</v>
      </c>
      <c r="D1038" s="24" t="str">
        <f>VLOOKUP(revenue[customerID],customers[],6,FALSE)</f>
        <v>San Cristóbal</v>
      </c>
      <c r="E1038" s="24" t="str">
        <f>VLOOKUP(revenue[customerID],customers[],9,FALSE)</f>
        <v>Venezuela</v>
      </c>
      <c r="F1038" s="24">
        <v>45160.0</v>
      </c>
      <c r="G1038" s="6">
        <v>40.0</v>
      </c>
      <c r="H1038" s="9" t="str">
        <f>VLOOKUP(revenue[productID],products[],2,FALSE)</f>
        <v>Boston Crab Meat</v>
      </c>
      <c r="I1038" s="9" t="str">
        <f>VLOOKUP(revenue[productID],products[],12,FALSE)</f>
        <v>Seafood</v>
      </c>
      <c r="J1038" s="9">
        <f>VLOOKUP(revenue[productID],products[],IF(YEAR(revenue[orderDate])=2022,8,IF(YEAR(revenue[orderDate])=2023,9,IF(YEAR(revenue[orderDate])=2024,10,NA))),FALSE)</f>
        <v>11.40496523</v>
      </c>
      <c r="K1038" s="9">
        <v>18.4</v>
      </c>
      <c r="L1038" s="25">
        <f>(revenue[orderPrice]-revenue[productCost])/revenue[productCost]</f>
        <v>0.6133324069</v>
      </c>
      <c r="M1038" s="10">
        <v>60.0</v>
      </c>
      <c r="N1038" s="25">
        <v>0.0</v>
      </c>
      <c r="O1038" s="9">
        <f>revenue[orderPrice]*revenue[orderQuantity]</f>
        <v>1104</v>
      </c>
      <c r="P1038" s="9">
        <f>revenue[orderTotal]*(1-revenue[discountApllied])</f>
        <v>1104</v>
      </c>
      <c r="Q1038" s="9">
        <f>revenue[revenue]-(revenue[productCost]*revenue[orderQuantity])</f>
        <v>419.7020864</v>
      </c>
      <c r="R1038" s="25">
        <f>IFERROR(revenue[profit]/revenue[revenue], 0)</f>
        <v>0.3801649333</v>
      </c>
      <c r="S1038" s="9">
        <f>revenue[productCost]*revenue[orderQuantity]</f>
        <v>684.2979136</v>
      </c>
    </row>
    <row r="1039" ht="15.75" customHeight="1">
      <c r="A1039" s="6">
        <v>10642.0</v>
      </c>
      <c r="B1039" s="7" t="s">
        <v>66</v>
      </c>
      <c r="C1039" s="24" t="str">
        <f>VLOOKUP(revenue[customerID],customers[],2,FALSE)</f>
        <v>Simons bistro</v>
      </c>
      <c r="D1039" s="24" t="str">
        <f>VLOOKUP(revenue[customerID],customers[],6,FALSE)</f>
        <v>Kobenhavn</v>
      </c>
      <c r="E1039" s="24" t="str">
        <f>VLOOKUP(revenue[customerID],customers[],9,FALSE)</f>
        <v>Denmark</v>
      </c>
      <c r="F1039" s="24">
        <v>45160.0</v>
      </c>
      <c r="G1039" s="6">
        <v>21.0</v>
      </c>
      <c r="H1039" s="9" t="str">
        <f>VLOOKUP(revenue[productID],products[],2,FALSE)</f>
        <v>Sir Rodney's Scones</v>
      </c>
      <c r="I1039" s="9" t="str">
        <f>VLOOKUP(revenue[productID],products[],12,FALSE)</f>
        <v>Confections</v>
      </c>
      <c r="J1039" s="9">
        <f>VLOOKUP(revenue[productID],products[],IF(YEAR(revenue[orderDate])=2022,8,IF(YEAR(revenue[orderDate])=2023,9,IF(YEAR(revenue[orderDate])=2024,10,NA))),FALSE)</f>
        <v>6.725636111</v>
      </c>
      <c r="K1039" s="9">
        <v>10.0</v>
      </c>
      <c r="L1039" s="25">
        <f>(revenue[orderPrice]-revenue[productCost])/revenue[productCost]</f>
        <v>0.486848208</v>
      </c>
      <c r="M1039" s="10">
        <v>30.0</v>
      </c>
      <c r="N1039" s="25">
        <v>0.2</v>
      </c>
      <c r="O1039" s="9">
        <f>revenue[orderPrice]*revenue[orderQuantity]</f>
        <v>300</v>
      </c>
      <c r="P1039" s="9">
        <f>revenue[orderTotal]*(1-revenue[discountApllied])</f>
        <v>240</v>
      </c>
      <c r="Q1039" s="9">
        <f>revenue[revenue]-(revenue[productCost]*revenue[orderQuantity])</f>
        <v>38.23091666</v>
      </c>
      <c r="R1039" s="25">
        <f>IFERROR(revenue[profit]/revenue[revenue], 0)</f>
        <v>0.1592954861</v>
      </c>
      <c r="S1039" s="9">
        <f>revenue[productCost]*revenue[orderQuantity]</f>
        <v>201.7690833</v>
      </c>
    </row>
    <row r="1040" ht="15.75" customHeight="1">
      <c r="A1040" s="6">
        <v>10642.0</v>
      </c>
      <c r="B1040" s="7" t="s">
        <v>66</v>
      </c>
      <c r="C1040" s="24" t="str">
        <f>VLOOKUP(revenue[customerID],customers[],2,FALSE)</f>
        <v>Simons bistro</v>
      </c>
      <c r="D1040" s="24" t="str">
        <f>VLOOKUP(revenue[customerID],customers[],6,FALSE)</f>
        <v>Kobenhavn</v>
      </c>
      <c r="E1040" s="24" t="str">
        <f>VLOOKUP(revenue[customerID],customers[],9,FALSE)</f>
        <v>Denmark</v>
      </c>
      <c r="F1040" s="24">
        <v>45160.0</v>
      </c>
      <c r="G1040" s="6">
        <v>61.0</v>
      </c>
      <c r="H1040" s="9" t="str">
        <f>VLOOKUP(revenue[productID],products[],2,FALSE)</f>
        <v>Sirop d'érable</v>
      </c>
      <c r="I1040" s="9" t="str">
        <f>VLOOKUP(revenue[productID],products[],12,FALSE)</f>
        <v>Condiments</v>
      </c>
      <c r="J1040" s="9">
        <f>VLOOKUP(revenue[productID],products[],IF(YEAR(revenue[orderDate])=2022,8,IF(YEAR(revenue[orderDate])=2023,9,IF(YEAR(revenue[orderDate])=2024,10,NA))),FALSE)</f>
        <v>17.19945448</v>
      </c>
      <c r="K1040" s="9">
        <v>28.5</v>
      </c>
      <c r="L1040" s="25">
        <f>(revenue[orderPrice]-revenue[productCost])/revenue[productCost]</f>
        <v>0.6570292986</v>
      </c>
      <c r="M1040" s="10">
        <v>20.0</v>
      </c>
      <c r="N1040" s="25">
        <v>0.2</v>
      </c>
      <c r="O1040" s="9">
        <f>revenue[orderPrice]*revenue[orderQuantity]</f>
        <v>570</v>
      </c>
      <c r="P1040" s="9">
        <f>revenue[orderTotal]*(1-revenue[discountApllied])</f>
        <v>456</v>
      </c>
      <c r="Q1040" s="9">
        <f>revenue[revenue]-(revenue[productCost]*revenue[orderQuantity])</f>
        <v>112.0109103</v>
      </c>
      <c r="R1040" s="25">
        <f>IFERROR(revenue[profit]/revenue[revenue], 0)</f>
        <v>0.2456379612</v>
      </c>
      <c r="S1040" s="9">
        <f>revenue[productCost]*revenue[orderQuantity]</f>
        <v>343.9890897</v>
      </c>
    </row>
    <row r="1041" ht="15.75" customHeight="1">
      <c r="A1041" s="6">
        <v>10643.0</v>
      </c>
      <c r="B1041" s="7" t="s">
        <v>100</v>
      </c>
      <c r="C1041" s="24" t="str">
        <f>VLOOKUP(revenue[customerID],customers[],2,FALSE)</f>
        <v>Alfreds Futterkiste</v>
      </c>
      <c r="D1041" s="24" t="str">
        <f>VLOOKUP(revenue[customerID],customers[],6,FALSE)</f>
        <v>Berlin</v>
      </c>
      <c r="E1041" s="24" t="str">
        <f>VLOOKUP(revenue[customerID],customers[],9,FALSE)</f>
        <v>Germany</v>
      </c>
      <c r="F1041" s="24">
        <v>45163.0</v>
      </c>
      <c r="G1041" s="6">
        <v>28.0</v>
      </c>
      <c r="H1041" s="9" t="str">
        <f>VLOOKUP(revenue[productID],products[],2,FALSE)</f>
        <v>Rössle Sauerkraut</v>
      </c>
      <c r="I1041" s="9" t="str">
        <f>VLOOKUP(revenue[productID],products[],12,FALSE)</f>
        <v>Produce</v>
      </c>
      <c r="J1041" s="9">
        <f>VLOOKUP(revenue[productID],products[],IF(YEAR(revenue[orderDate])=2022,8,IF(YEAR(revenue[orderDate])=2023,9,IF(YEAR(revenue[orderDate])=2024,10,NA))),FALSE)</f>
        <v>31.52644578</v>
      </c>
      <c r="K1041" s="9">
        <v>45.6</v>
      </c>
      <c r="L1041" s="25">
        <f>(revenue[orderPrice]-revenue[productCost])/revenue[productCost]</f>
        <v>0.4464047207</v>
      </c>
      <c r="M1041" s="10">
        <v>15.0</v>
      </c>
      <c r="N1041" s="25">
        <v>0.25</v>
      </c>
      <c r="O1041" s="9">
        <f>revenue[orderPrice]*revenue[orderQuantity]</f>
        <v>684</v>
      </c>
      <c r="P1041" s="9">
        <f>revenue[orderTotal]*(1-revenue[discountApllied])</f>
        <v>513</v>
      </c>
      <c r="Q1041" s="9">
        <f>revenue[revenue]-(revenue[productCost]*revenue[orderQuantity])</f>
        <v>40.10331333</v>
      </c>
      <c r="R1041" s="25">
        <f>IFERROR(revenue[profit]/revenue[revenue], 0)</f>
        <v>0.07817410005</v>
      </c>
      <c r="S1041" s="9">
        <f>revenue[productCost]*revenue[orderQuantity]</f>
        <v>472.8966867</v>
      </c>
    </row>
    <row r="1042" ht="15.75" customHeight="1">
      <c r="A1042" s="6">
        <v>10643.0</v>
      </c>
      <c r="B1042" s="7" t="s">
        <v>100</v>
      </c>
      <c r="C1042" s="24" t="str">
        <f>VLOOKUP(revenue[customerID],customers[],2,FALSE)</f>
        <v>Alfreds Futterkiste</v>
      </c>
      <c r="D1042" s="24" t="str">
        <f>VLOOKUP(revenue[customerID],customers[],6,FALSE)</f>
        <v>Berlin</v>
      </c>
      <c r="E1042" s="24" t="str">
        <f>VLOOKUP(revenue[customerID],customers[],9,FALSE)</f>
        <v>Germany</v>
      </c>
      <c r="F1042" s="24">
        <v>45163.0</v>
      </c>
      <c r="G1042" s="6">
        <v>39.0</v>
      </c>
      <c r="H1042" s="9" t="str">
        <f>VLOOKUP(revenue[productID],products[],2,FALSE)</f>
        <v>Chartreuse verte</v>
      </c>
      <c r="I1042" s="9" t="str">
        <f>VLOOKUP(revenue[productID],products[],12,FALSE)</f>
        <v>Beverages</v>
      </c>
      <c r="J1042" s="9">
        <f>VLOOKUP(revenue[productID],products[],IF(YEAR(revenue[orderDate])=2022,8,IF(YEAR(revenue[orderDate])=2023,9,IF(YEAR(revenue[orderDate])=2024,10,NA))),FALSE)</f>
        <v>11.73311441</v>
      </c>
      <c r="K1042" s="9">
        <v>18.0</v>
      </c>
      <c r="L1042" s="25">
        <f>(revenue[orderPrice]-revenue[productCost])/revenue[productCost]</f>
        <v>0.5341195326</v>
      </c>
      <c r="M1042" s="10">
        <v>21.0</v>
      </c>
      <c r="N1042" s="25">
        <v>0.25</v>
      </c>
      <c r="O1042" s="9">
        <f>revenue[orderPrice]*revenue[orderQuantity]</f>
        <v>378</v>
      </c>
      <c r="P1042" s="9">
        <f>revenue[orderTotal]*(1-revenue[discountApllied])</f>
        <v>283.5</v>
      </c>
      <c r="Q1042" s="9">
        <f>revenue[revenue]-(revenue[productCost]*revenue[orderQuantity])</f>
        <v>37.10459732</v>
      </c>
      <c r="R1042" s="25">
        <f>IFERROR(revenue[profit]/revenue[revenue], 0)</f>
        <v>0.1308804138</v>
      </c>
      <c r="S1042" s="9">
        <f>revenue[productCost]*revenue[orderQuantity]</f>
        <v>246.3954027</v>
      </c>
    </row>
    <row r="1043" ht="15.75" customHeight="1">
      <c r="A1043" s="6">
        <v>10643.0</v>
      </c>
      <c r="B1043" s="7" t="s">
        <v>100</v>
      </c>
      <c r="C1043" s="24" t="str">
        <f>VLOOKUP(revenue[customerID],customers[],2,FALSE)</f>
        <v>Alfreds Futterkiste</v>
      </c>
      <c r="D1043" s="24" t="str">
        <f>VLOOKUP(revenue[customerID],customers[],6,FALSE)</f>
        <v>Berlin</v>
      </c>
      <c r="E1043" s="24" t="str">
        <f>VLOOKUP(revenue[customerID],customers[],9,FALSE)</f>
        <v>Germany</v>
      </c>
      <c r="F1043" s="24">
        <v>45163.0</v>
      </c>
      <c r="G1043" s="6">
        <v>46.0</v>
      </c>
      <c r="H1043" s="9" t="str">
        <f>VLOOKUP(revenue[productID],products[],2,FALSE)</f>
        <v>Spegesild</v>
      </c>
      <c r="I1043" s="9" t="str">
        <f>VLOOKUP(revenue[productID],products[],12,FALSE)</f>
        <v>Seafood</v>
      </c>
      <c r="J1043" s="9">
        <f>VLOOKUP(revenue[productID],products[],IF(YEAR(revenue[orderDate])=2022,8,IF(YEAR(revenue[orderDate])=2023,9,IF(YEAR(revenue[orderDate])=2024,10,NA))),FALSE)</f>
        <v>7.087990753</v>
      </c>
      <c r="K1043" s="9">
        <v>12.0</v>
      </c>
      <c r="L1043" s="25">
        <f>(revenue[orderPrice]-revenue[productCost])/revenue[productCost]</f>
        <v>0.693004466</v>
      </c>
      <c r="M1043" s="10">
        <v>2.0</v>
      </c>
      <c r="N1043" s="25">
        <v>0.25</v>
      </c>
      <c r="O1043" s="9">
        <f>revenue[orderPrice]*revenue[orderQuantity]</f>
        <v>24</v>
      </c>
      <c r="P1043" s="9">
        <f>revenue[orderTotal]*(1-revenue[discountApllied])</f>
        <v>18</v>
      </c>
      <c r="Q1043" s="9">
        <f>revenue[revenue]-(revenue[productCost]*revenue[orderQuantity])</f>
        <v>3.824018494</v>
      </c>
      <c r="R1043" s="25">
        <f>IFERROR(revenue[profit]/revenue[revenue], 0)</f>
        <v>0.2124454719</v>
      </c>
      <c r="S1043" s="9">
        <f>revenue[productCost]*revenue[orderQuantity]</f>
        <v>14.17598151</v>
      </c>
    </row>
    <row r="1044" ht="15.75" customHeight="1">
      <c r="A1044" s="6">
        <v>10644.0</v>
      </c>
      <c r="B1044" s="7" t="s">
        <v>22</v>
      </c>
      <c r="C1044" s="24" t="str">
        <f>VLOOKUP(revenue[customerID],customers[],2,FALSE)</f>
        <v>Wellington Importadora</v>
      </c>
      <c r="D1044" s="24" t="str">
        <f>VLOOKUP(revenue[customerID],customers[],6,FALSE)</f>
        <v>Resende</v>
      </c>
      <c r="E1044" s="24" t="str">
        <f>VLOOKUP(revenue[customerID],customers[],9,FALSE)</f>
        <v>Brazil</v>
      </c>
      <c r="F1044" s="24">
        <v>45163.0</v>
      </c>
      <c r="G1044" s="6">
        <v>18.0</v>
      </c>
      <c r="H1044" s="9" t="str">
        <f>VLOOKUP(revenue[productID],products[],2,FALSE)</f>
        <v>Carnarvon Tigers</v>
      </c>
      <c r="I1044" s="9" t="str">
        <f>VLOOKUP(revenue[productID],products[],12,FALSE)</f>
        <v>Seafood</v>
      </c>
      <c r="J1044" s="9">
        <f>VLOOKUP(revenue[productID],products[],IF(YEAR(revenue[orderDate])=2022,8,IF(YEAR(revenue[orderDate])=2023,9,IF(YEAR(revenue[orderDate])=2024,10,NA))),FALSE)</f>
        <v>39.51966651</v>
      </c>
      <c r="K1044" s="9">
        <v>62.5</v>
      </c>
      <c r="L1044" s="25">
        <f>(revenue[orderPrice]-revenue[productCost])/revenue[productCost]</f>
        <v>0.5814910784</v>
      </c>
      <c r="M1044" s="10">
        <v>4.0</v>
      </c>
      <c r="N1044" s="25">
        <v>0.1</v>
      </c>
      <c r="O1044" s="9">
        <f>revenue[orderPrice]*revenue[orderQuantity]</f>
        <v>250</v>
      </c>
      <c r="P1044" s="9">
        <f>revenue[orderTotal]*(1-revenue[discountApllied])</f>
        <v>225</v>
      </c>
      <c r="Q1044" s="9">
        <f>revenue[revenue]-(revenue[productCost]*revenue[orderQuantity])</f>
        <v>66.92133398</v>
      </c>
      <c r="R1044" s="25">
        <f>IFERROR(revenue[profit]/revenue[revenue], 0)</f>
        <v>0.297428151</v>
      </c>
      <c r="S1044" s="9">
        <f>revenue[productCost]*revenue[orderQuantity]</f>
        <v>158.078666</v>
      </c>
    </row>
    <row r="1045" ht="15.75" customHeight="1">
      <c r="A1045" s="6">
        <v>10644.0</v>
      </c>
      <c r="B1045" s="7" t="s">
        <v>22</v>
      </c>
      <c r="C1045" s="24" t="str">
        <f>VLOOKUP(revenue[customerID],customers[],2,FALSE)</f>
        <v>Wellington Importadora</v>
      </c>
      <c r="D1045" s="24" t="str">
        <f>VLOOKUP(revenue[customerID],customers[],6,FALSE)</f>
        <v>Resende</v>
      </c>
      <c r="E1045" s="24" t="str">
        <f>VLOOKUP(revenue[customerID],customers[],9,FALSE)</f>
        <v>Brazil</v>
      </c>
      <c r="F1045" s="24">
        <v>45163.0</v>
      </c>
      <c r="G1045" s="6">
        <v>43.0</v>
      </c>
      <c r="H1045" s="9" t="str">
        <f>VLOOKUP(revenue[productID],products[],2,FALSE)</f>
        <v>Ipoh Coffee</v>
      </c>
      <c r="I1045" s="9" t="str">
        <f>VLOOKUP(revenue[productID],products[],12,FALSE)</f>
        <v>Beverages</v>
      </c>
      <c r="J1045" s="9">
        <f>VLOOKUP(revenue[productID],products[],IF(YEAR(revenue[orderDate])=2022,8,IF(YEAR(revenue[orderDate])=2023,9,IF(YEAR(revenue[orderDate])=2024,10,NA))),FALSE)</f>
        <v>30.96256564</v>
      </c>
      <c r="K1045" s="9">
        <v>46.0</v>
      </c>
      <c r="L1045" s="25">
        <f>(revenue[orderPrice]-revenue[productCost])/revenue[productCost]</f>
        <v>0.4856649976</v>
      </c>
      <c r="M1045" s="10">
        <v>20.0</v>
      </c>
      <c r="N1045" s="25">
        <v>0.0</v>
      </c>
      <c r="O1045" s="9">
        <f>revenue[orderPrice]*revenue[orderQuantity]</f>
        <v>920</v>
      </c>
      <c r="P1045" s="9">
        <f>revenue[orderTotal]*(1-revenue[discountApllied])</f>
        <v>920</v>
      </c>
      <c r="Q1045" s="9">
        <f>revenue[revenue]-(revenue[productCost]*revenue[orderQuantity])</f>
        <v>300.7486873</v>
      </c>
      <c r="R1045" s="25">
        <f>IFERROR(revenue[profit]/revenue[revenue], 0)</f>
        <v>0.3269007471</v>
      </c>
      <c r="S1045" s="9">
        <f>revenue[productCost]*revenue[orderQuantity]</f>
        <v>619.2513127</v>
      </c>
    </row>
    <row r="1046" ht="15.75" customHeight="1">
      <c r="A1046" s="6">
        <v>10644.0</v>
      </c>
      <c r="B1046" s="7" t="s">
        <v>22</v>
      </c>
      <c r="C1046" s="24" t="str">
        <f>VLOOKUP(revenue[customerID],customers[],2,FALSE)</f>
        <v>Wellington Importadora</v>
      </c>
      <c r="D1046" s="24" t="str">
        <f>VLOOKUP(revenue[customerID],customers[],6,FALSE)</f>
        <v>Resende</v>
      </c>
      <c r="E1046" s="24" t="str">
        <f>VLOOKUP(revenue[customerID],customers[],9,FALSE)</f>
        <v>Brazil</v>
      </c>
      <c r="F1046" s="24">
        <v>45163.0</v>
      </c>
      <c r="G1046" s="6">
        <v>46.0</v>
      </c>
      <c r="H1046" s="9" t="str">
        <f>VLOOKUP(revenue[productID],products[],2,FALSE)</f>
        <v>Spegesild</v>
      </c>
      <c r="I1046" s="9" t="str">
        <f>VLOOKUP(revenue[productID],products[],12,FALSE)</f>
        <v>Seafood</v>
      </c>
      <c r="J1046" s="9">
        <f>VLOOKUP(revenue[productID],products[],IF(YEAR(revenue[orderDate])=2022,8,IF(YEAR(revenue[orderDate])=2023,9,IF(YEAR(revenue[orderDate])=2024,10,NA))),FALSE)</f>
        <v>7.087990753</v>
      </c>
      <c r="K1046" s="9">
        <v>12.0</v>
      </c>
      <c r="L1046" s="25">
        <f>(revenue[orderPrice]-revenue[productCost])/revenue[productCost]</f>
        <v>0.693004466</v>
      </c>
      <c r="M1046" s="10">
        <v>21.0</v>
      </c>
      <c r="N1046" s="25">
        <v>0.1</v>
      </c>
      <c r="O1046" s="9">
        <f>revenue[orderPrice]*revenue[orderQuantity]</f>
        <v>252</v>
      </c>
      <c r="P1046" s="9">
        <f>revenue[orderTotal]*(1-revenue[discountApllied])</f>
        <v>226.8</v>
      </c>
      <c r="Q1046" s="9">
        <f>revenue[revenue]-(revenue[productCost]*revenue[orderQuantity])</f>
        <v>77.95219418</v>
      </c>
      <c r="R1046" s="25">
        <f>IFERROR(revenue[profit]/revenue[revenue], 0)</f>
        <v>0.3437045599</v>
      </c>
      <c r="S1046" s="9">
        <f>revenue[productCost]*revenue[orderQuantity]</f>
        <v>148.8478058</v>
      </c>
    </row>
    <row r="1047" ht="15.75" customHeight="1">
      <c r="A1047" s="6">
        <v>10645.0</v>
      </c>
      <c r="B1047" s="7" t="s">
        <v>16</v>
      </c>
      <c r="C1047" s="24" t="str">
        <f>VLOOKUP(revenue[customerID],customers[],2,FALSE)</f>
        <v>Hanari Carnes</v>
      </c>
      <c r="D1047" s="24" t="str">
        <f>VLOOKUP(revenue[customerID],customers[],6,FALSE)</f>
        <v>Rio de Janeiro</v>
      </c>
      <c r="E1047" s="24" t="str">
        <f>VLOOKUP(revenue[customerID],customers[],9,FALSE)</f>
        <v>Brazil</v>
      </c>
      <c r="F1047" s="24">
        <v>45164.0</v>
      </c>
      <c r="G1047" s="6">
        <v>18.0</v>
      </c>
      <c r="H1047" s="9" t="str">
        <f>VLOOKUP(revenue[productID],products[],2,FALSE)</f>
        <v>Carnarvon Tigers</v>
      </c>
      <c r="I1047" s="9" t="str">
        <f>VLOOKUP(revenue[productID],products[],12,FALSE)</f>
        <v>Seafood</v>
      </c>
      <c r="J1047" s="9">
        <f>VLOOKUP(revenue[productID],products[],IF(YEAR(revenue[orderDate])=2022,8,IF(YEAR(revenue[orderDate])=2023,9,IF(YEAR(revenue[orderDate])=2024,10,NA))),FALSE)</f>
        <v>39.51966651</v>
      </c>
      <c r="K1047" s="9">
        <v>62.5</v>
      </c>
      <c r="L1047" s="25">
        <f>(revenue[orderPrice]-revenue[productCost])/revenue[productCost]</f>
        <v>0.5814910784</v>
      </c>
      <c r="M1047" s="10">
        <v>20.0</v>
      </c>
      <c r="N1047" s="25">
        <v>0.0</v>
      </c>
      <c r="O1047" s="9">
        <f>revenue[orderPrice]*revenue[orderQuantity]</f>
        <v>1250</v>
      </c>
      <c r="P1047" s="9">
        <f>revenue[orderTotal]*(1-revenue[discountApllied])</f>
        <v>1250</v>
      </c>
      <c r="Q1047" s="9">
        <f>revenue[revenue]-(revenue[productCost]*revenue[orderQuantity])</f>
        <v>459.6066699</v>
      </c>
      <c r="R1047" s="25">
        <f>IFERROR(revenue[profit]/revenue[revenue], 0)</f>
        <v>0.3676853359</v>
      </c>
      <c r="S1047" s="9">
        <f>revenue[productCost]*revenue[orderQuantity]</f>
        <v>790.3933301</v>
      </c>
    </row>
    <row r="1048" ht="15.75" customHeight="1">
      <c r="A1048" s="6">
        <v>10645.0</v>
      </c>
      <c r="B1048" s="7" t="s">
        <v>16</v>
      </c>
      <c r="C1048" s="24" t="str">
        <f>VLOOKUP(revenue[customerID],customers[],2,FALSE)</f>
        <v>Hanari Carnes</v>
      </c>
      <c r="D1048" s="24" t="str">
        <f>VLOOKUP(revenue[customerID],customers[],6,FALSE)</f>
        <v>Rio de Janeiro</v>
      </c>
      <c r="E1048" s="24" t="str">
        <f>VLOOKUP(revenue[customerID],customers[],9,FALSE)</f>
        <v>Brazil</v>
      </c>
      <c r="F1048" s="24">
        <v>45164.0</v>
      </c>
      <c r="G1048" s="6">
        <v>36.0</v>
      </c>
      <c r="H1048" s="9" t="str">
        <f>VLOOKUP(revenue[productID],products[],2,FALSE)</f>
        <v>Inlagd Sill</v>
      </c>
      <c r="I1048" s="9" t="str">
        <f>VLOOKUP(revenue[productID],products[],12,FALSE)</f>
        <v>Seafood</v>
      </c>
      <c r="J1048" s="9">
        <f>VLOOKUP(revenue[productID],products[],IF(YEAR(revenue[orderDate])=2022,8,IF(YEAR(revenue[orderDate])=2023,9,IF(YEAR(revenue[orderDate])=2024,10,NA))),FALSE)</f>
        <v>12.15246269</v>
      </c>
      <c r="K1048" s="9">
        <v>19.0</v>
      </c>
      <c r="L1048" s="25">
        <f>(revenue[orderPrice]-revenue[productCost])/revenue[productCost]</f>
        <v>0.5634691082</v>
      </c>
      <c r="M1048" s="10">
        <v>15.0</v>
      </c>
      <c r="N1048" s="25">
        <v>0.0</v>
      </c>
      <c r="O1048" s="9">
        <f>revenue[orderPrice]*revenue[orderQuantity]</f>
        <v>285</v>
      </c>
      <c r="P1048" s="9">
        <f>revenue[orderTotal]*(1-revenue[discountApllied])</f>
        <v>285</v>
      </c>
      <c r="Q1048" s="9">
        <f>revenue[revenue]-(revenue[productCost]*revenue[orderQuantity])</f>
        <v>102.7130597</v>
      </c>
      <c r="R1048" s="25">
        <f>IFERROR(revenue[profit]/revenue[revenue], 0)</f>
        <v>0.3603967007</v>
      </c>
      <c r="S1048" s="9">
        <f>revenue[productCost]*revenue[orderQuantity]</f>
        <v>182.2869403</v>
      </c>
    </row>
    <row r="1049" ht="15.75" customHeight="1">
      <c r="A1049" s="6">
        <v>10646.0</v>
      </c>
      <c r="B1049" s="7" t="s">
        <v>49</v>
      </c>
      <c r="C1049" s="24" t="str">
        <f>VLOOKUP(revenue[customerID],customers[],2,FALSE)</f>
        <v>Hungry Owl All-Night Grocers</v>
      </c>
      <c r="D1049" s="24" t="str">
        <f>VLOOKUP(revenue[customerID],customers[],6,FALSE)</f>
        <v>Cork</v>
      </c>
      <c r="E1049" s="24" t="str">
        <f>VLOOKUP(revenue[customerID],customers[],9,FALSE)</f>
        <v>Ireland</v>
      </c>
      <c r="F1049" s="24">
        <v>45165.0</v>
      </c>
      <c r="G1049" s="6">
        <v>1.0</v>
      </c>
      <c r="H1049" s="9" t="str">
        <f>VLOOKUP(revenue[productID],products[],2,FALSE)</f>
        <v>Chai</v>
      </c>
      <c r="I1049" s="9" t="str">
        <f>VLOOKUP(revenue[productID],products[],12,FALSE)</f>
        <v>Beverages</v>
      </c>
      <c r="J1049" s="9">
        <f>VLOOKUP(revenue[productID],products[],IF(YEAR(revenue[orderDate])=2022,8,IF(YEAR(revenue[orderDate])=2023,9,IF(YEAR(revenue[orderDate])=2024,10,NA))),FALSE)</f>
        <v>12.15847607</v>
      </c>
      <c r="K1049" s="9">
        <v>18.0</v>
      </c>
      <c r="L1049" s="25">
        <f>(revenue[orderPrice]-revenue[productCost])/revenue[productCost]</f>
        <v>0.4804486927</v>
      </c>
      <c r="M1049" s="10">
        <v>15.0</v>
      </c>
      <c r="N1049" s="25">
        <v>0.25</v>
      </c>
      <c r="O1049" s="9">
        <f>revenue[orderPrice]*revenue[orderQuantity]</f>
        <v>270</v>
      </c>
      <c r="P1049" s="9">
        <f>revenue[orderTotal]*(1-revenue[discountApllied])</f>
        <v>202.5</v>
      </c>
      <c r="Q1049" s="9">
        <f>revenue[revenue]-(revenue[productCost]*revenue[orderQuantity])</f>
        <v>20.12285898</v>
      </c>
      <c r="R1049" s="25">
        <f>IFERROR(revenue[profit]/revenue[revenue], 0)</f>
        <v>0.09937214312</v>
      </c>
      <c r="S1049" s="9">
        <f>revenue[productCost]*revenue[orderQuantity]</f>
        <v>182.377141</v>
      </c>
    </row>
    <row r="1050" ht="15.75" customHeight="1">
      <c r="A1050" s="6">
        <v>10646.0</v>
      </c>
      <c r="B1050" s="7" t="s">
        <v>49</v>
      </c>
      <c r="C1050" s="24" t="str">
        <f>VLOOKUP(revenue[customerID],customers[],2,FALSE)</f>
        <v>Hungry Owl All-Night Grocers</v>
      </c>
      <c r="D1050" s="24" t="str">
        <f>VLOOKUP(revenue[customerID],customers[],6,FALSE)</f>
        <v>Cork</v>
      </c>
      <c r="E1050" s="24" t="str">
        <f>VLOOKUP(revenue[customerID],customers[],9,FALSE)</f>
        <v>Ireland</v>
      </c>
      <c r="F1050" s="24">
        <v>45165.0</v>
      </c>
      <c r="G1050" s="6">
        <v>10.0</v>
      </c>
      <c r="H1050" s="9" t="str">
        <f>VLOOKUP(revenue[productID],products[],2,FALSE)</f>
        <v>Ikura</v>
      </c>
      <c r="I1050" s="9" t="str">
        <f>VLOOKUP(revenue[productID],products[],12,FALSE)</f>
        <v>Seafood</v>
      </c>
      <c r="J1050" s="9">
        <f>VLOOKUP(revenue[productID],products[],IF(YEAR(revenue[orderDate])=2022,8,IF(YEAR(revenue[orderDate])=2023,9,IF(YEAR(revenue[orderDate])=2024,10,NA))),FALSE)</f>
        <v>20.72721922</v>
      </c>
      <c r="K1050" s="9">
        <v>31.0</v>
      </c>
      <c r="L1050" s="25">
        <f>(revenue[orderPrice]-revenue[productCost])/revenue[productCost]</f>
        <v>0.4956178962</v>
      </c>
      <c r="M1050" s="10">
        <v>18.0</v>
      </c>
      <c r="N1050" s="25">
        <v>0.25</v>
      </c>
      <c r="O1050" s="9">
        <f>revenue[orderPrice]*revenue[orderQuantity]</f>
        <v>558</v>
      </c>
      <c r="P1050" s="9">
        <f>revenue[orderTotal]*(1-revenue[discountApllied])</f>
        <v>418.5</v>
      </c>
      <c r="Q1050" s="9">
        <f>revenue[revenue]-(revenue[productCost]*revenue[orderQuantity])</f>
        <v>45.41005409</v>
      </c>
      <c r="R1050" s="25">
        <f>IFERROR(revenue[profit]/revenue[revenue], 0)</f>
        <v>0.1085067003</v>
      </c>
      <c r="S1050" s="9">
        <f>revenue[productCost]*revenue[orderQuantity]</f>
        <v>373.0899459</v>
      </c>
    </row>
    <row r="1051" ht="15.75" customHeight="1">
      <c r="A1051" s="6">
        <v>10646.0</v>
      </c>
      <c r="B1051" s="7" t="s">
        <v>49</v>
      </c>
      <c r="C1051" s="24" t="str">
        <f>VLOOKUP(revenue[customerID],customers[],2,FALSE)</f>
        <v>Hungry Owl All-Night Grocers</v>
      </c>
      <c r="D1051" s="24" t="str">
        <f>VLOOKUP(revenue[customerID],customers[],6,FALSE)</f>
        <v>Cork</v>
      </c>
      <c r="E1051" s="24" t="str">
        <f>VLOOKUP(revenue[customerID],customers[],9,FALSE)</f>
        <v>Ireland</v>
      </c>
      <c r="F1051" s="24">
        <v>45165.0</v>
      </c>
      <c r="G1051" s="6">
        <v>71.0</v>
      </c>
      <c r="H1051" s="9" t="str">
        <f>VLOOKUP(revenue[productID],products[],2,FALSE)</f>
        <v>Flotemysost</v>
      </c>
      <c r="I1051" s="9" t="str">
        <f>VLOOKUP(revenue[productID],products[],12,FALSE)</f>
        <v>Dairy Products</v>
      </c>
      <c r="J1051" s="9">
        <f>VLOOKUP(revenue[productID],products[],IF(YEAR(revenue[orderDate])=2022,8,IF(YEAR(revenue[orderDate])=2023,9,IF(YEAR(revenue[orderDate])=2024,10,NA))),FALSE)</f>
        <v>13.4003664</v>
      </c>
      <c r="K1051" s="9">
        <v>21.5</v>
      </c>
      <c r="L1051" s="25">
        <f>(revenue[orderPrice]-revenue[productCost])/revenue[productCost]</f>
        <v>0.6044337411</v>
      </c>
      <c r="M1051" s="10">
        <v>30.0</v>
      </c>
      <c r="N1051" s="25">
        <v>0.25</v>
      </c>
      <c r="O1051" s="9">
        <f>revenue[orderPrice]*revenue[orderQuantity]</f>
        <v>645</v>
      </c>
      <c r="P1051" s="9">
        <f>revenue[orderTotal]*(1-revenue[discountApllied])</f>
        <v>483.75</v>
      </c>
      <c r="Q1051" s="9">
        <f>revenue[revenue]-(revenue[productCost]*revenue[orderQuantity])</f>
        <v>81.73900791</v>
      </c>
      <c r="R1051" s="25">
        <f>IFERROR(revenue[profit]/revenue[revenue], 0)</f>
        <v>0.1689695254</v>
      </c>
      <c r="S1051" s="9">
        <f>revenue[productCost]*revenue[orderQuantity]</f>
        <v>402.0109921</v>
      </c>
    </row>
    <row r="1052" ht="15.75" customHeight="1">
      <c r="A1052" s="6">
        <v>10646.0</v>
      </c>
      <c r="B1052" s="7" t="s">
        <v>49</v>
      </c>
      <c r="C1052" s="24" t="str">
        <f>VLOOKUP(revenue[customerID],customers[],2,FALSE)</f>
        <v>Hungry Owl All-Night Grocers</v>
      </c>
      <c r="D1052" s="24" t="str">
        <f>VLOOKUP(revenue[customerID],customers[],6,FALSE)</f>
        <v>Cork</v>
      </c>
      <c r="E1052" s="24" t="str">
        <f>VLOOKUP(revenue[customerID],customers[],9,FALSE)</f>
        <v>Ireland</v>
      </c>
      <c r="F1052" s="24">
        <v>45165.0</v>
      </c>
      <c r="G1052" s="6">
        <v>77.0</v>
      </c>
      <c r="H1052" s="9" t="str">
        <f>VLOOKUP(revenue[productID],products[],2,FALSE)</f>
        <v>Original Frankfurter grüne Soße</v>
      </c>
      <c r="I1052" s="9" t="str">
        <f>VLOOKUP(revenue[productID],products[],12,FALSE)</f>
        <v>Condiments</v>
      </c>
      <c r="J1052" s="9">
        <f>VLOOKUP(revenue[productID],products[],IF(YEAR(revenue[orderDate])=2022,8,IF(YEAR(revenue[orderDate])=2023,9,IF(YEAR(revenue[orderDate])=2024,10,NA))),FALSE)</f>
        <v>7.539056452</v>
      </c>
      <c r="K1052" s="9">
        <v>13.0</v>
      </c>
      <c r="L1052" s="25">
        <f>(revenue[orderPrice]-revenue[productCost])/revenue[productCost]</f>
        <v>0.7243537149</v>
      </c>
      <c r="M1052" s="10">
        <v>35.0</v>
      </c>
      <c r="N1052" s="25">
        <v>0.25</v>
      </c>
      <c r="O1052" s="9">
        <f>revenue[orderPrice]*revenue[orderQuantity]</f>
        <v>455</v>
      </c>
      <c r="P1052" s="9">
        <f>revenue[orderTotal]*(1-revenue[discountApllied])</f>
        <v>341.25</v>
      </c>
      <c r="Q1052" s="9">
        <f>revenue[revenue]-(revenue[productCost]*revenue[orderQuantity])</f>
        <v>77.38302418</v>
      </c>
      <c r="R1052" s="25">
        <f>IFERROR(revenue[profit]/revenue[revenue], 0)</f>
        <v>0.2267634408</v>
      </c>
      <c r="S1052" s="9">
        <f>revenue[productCost]*revenue[orderQuantity]</f>
        <v>263.8669758</v>
      </c>
    </row>
    <row r="1053" ht="15.75" customHeight="1">
      <c r="A1053" s="6">
        <v>10647.0</v>
      </c>
      <c r="B1053" s="7" t="s">
        <v>27</v>
      </c>
      <c r="C1053" s="24" t="str">
        <f>VLOOKUP(revenue[customerID],customers[],2,FALSE)</f>
        <v>Que Delícia</v>
      </c>
      <c r="D1053" s="24" t="str">
        <f>VLOOKUP(revenue[customerID],customers[],6,FALSE)</f>
        <v>Rio de Janeiro</v>
      </c>
      <c r="E1053" s="24" t="str">
        <f>VLOOKUP(revenue[customerID],customers[],9,FALSE)</f>
        <v>Brazil</v>
      </c>
      <c r="F1053" s="24">
        <v>45165.0</v>
      </c>
      <c r="G1053" s="6">
        <v>19.0</v>
      </c>
      <c r="H1053" s="9" t="str">
        <f>VLOOKUP(revenue[productID],products[],2,FALSE)</f>
        <v>Teatime Chocolate Biscuits</v>
      </c>
      <c r="I1053" s="9" t="str">
        <f>VLOOKUP(revenue[productID],products[],12,FALSE)</f>
        <v>Confections</v>
      </c>
      <c r="J1053" s="9">
        <f>VLOOKUP(revenue[productID],products[],IF(YEAR(revenue[orderDate])=2022,8,IF(YEAR(revenue[orderDate])=2023,9,IF(YEAR(revenue[orderDate])=2024,10,NA))),FALSE)</f>
        <v>5.901883682</v>
      </c>
      <c r="K1053" s="9">
        <v>9.2</v>
      </c>
      <c r="L1053" s="25">
        <f>(revenue[orderPrice]-revenue[productCost])/revenue[productCost]</f>
        <v>0.5588243508</v>
      </c>
      <c r="M1053" s="10">
        <v>30.0</v>
      </c>
      <c r="N1053" s="25">
        <v>0.0</v>
      </c>
      <c r="O1053" s="9">
        <f>revenue[orderPrice]*revenue[orderQuantity]</f>
        <v>276</v>
      </c>
      <c r="P1053" s="9">
        <f>revenue[orderTotal]*(1-revenue[discountApllied])</f>
        <v>276</v>
      </c>
      <c r="Q1053" s="9">
        <f>revenue[revenue]-(revenue[productCost]*revenue[orderQuantity])</f>
        <v>98.94348953</v>
      </c>
      <c r="R1053" s="25">
        <f>IFERROR(revenue[profit]/revenue[revenue], 0)</f>
        <v>0.3584909041</v>
      </c>
      <c r="S1053" s="9">
        <f>revenue[productCost]*revenue[orderQuantity]</f>
        <v>177.0565105</v>
      </c>
    </row>
    <row r="1054" ht="15.75" customHeight="1">
      <c r="A1054" s="6">
        <v>10647.0</v>
      </c>
      <c r="B1054" s="7" t="s">
        <v>27</v>
      </c>
      <c r="C1054" s="24" t="str">
        <f>VLOOKUP(revenue[customerID],customers[],2,FALSE)</f>
        <v>Que Delícia</v>
      </c>
      <c r="D1054" s="24" t="str">
        <f>VLOOKUP(revenue[customerID],customers[],6,FALSE)</f>
        <v>Rio de Janeiro</v>
      </c>
      <c r="E1054" s="24" t="str">
        <f>VLOOKUP(revenue[customerID],customers[],9,FALSE)</f>
        <v>Brazil</v>
      </c>
      <c r="F1054" s="24">
        <v>45165.0</v>
      </c>
      <c r="G1054" s="6">
        <v>39.0</v>
      </c>
      <c r="H1054" s="9" t="str">
        <f>VLOOKUP(revenue[productID],products[],2,FALSE)</f>
        <v>Chartreuse verte</v>
      </c>
      <c r="I1054" s="9" t="str">
        <f>VLOOKUP(revenue[productID],products[],12,FALSE)</f>
        <v>Beverages</v>
      </c>
      <c r="J1054" s="9">
        <f>VLOOKUP(revenue[productID],products[],IF(YEAR(revenue[orderDate])=2022,8,IF(YEAR(revenue[orderDate])=2023,9,IF(YEAR(revenue[orderDate])=2024,10,NA))),FALSE)</f>
        <v>11.73311441</v>
      </c>
      <c r="K1054" s="9">
        <v>18.0</v>
      </c>
      <c r="L1054" s="25">
        <f>(revenue[orderPrice]-revenue[productCost])/revenue[productCost]</f>
        <v>0.5341195326</v>
      </c>
      <c r="M1054" s="10">
        <v>20.0</v>
      </c>
      <c r="N1054" s="25">
        <v>0.0</v>
      </c>
      <c r="O1054" s="9">
        <f>revenue[orderPrice]*revenue[orderQuantity]</f>
        <v>360</v>
      </c>
      <c r="P1054" s="9">
        <f>revenue[orderTotal]*(1-revenue[discountApllied])</f>
        <v>360</v>
      </c>
      <c r="Q1054" s="9">
        <f>revenue[revenue]-(revenue[productCost]*revenue[orderQuantity])</f>
        <v>125.3377117</v>
      </c>
      <c r="R1054" s="25">
        <f>IFERROR(revenue[profit]/revenue[revenue], 0)</f>
        <v>0.3481603104</v>
      </c>
      <c r="S1054" s="9">
        <f>revenue[productCost]*revenue[orderQuantity]</f>
        <v>234.6622883</v>
      </c>
    </row>
    <row r="1055" ht="15.75" customHeight="1">
      <c r="A1055" s="6">
        <v>10648.0</v>
      </c>
      <c r="B1055" s="7" t="s">
        <v>44</v>
      </c>
      <c r="C1055" s="24" t="str">
        <f>VLOOKUP(revenue[customerID],customers[],2,FALSE)</f>
        <v>Ricardo Adocicados</v>
      </c>
      <c r="D1055" s="24" t="str">
        <f>VLOOKUP(revenue[customerID],customers[],6,FALSE)</f>
        <v>Rio de Janeiro</v>
      </c>
      <c r="E1055" s="24" t="str">
        <f>VLOOKUP(revenue[customerID],customers[],9,FALSE)</f>
        <v>Brazil</v>
      </c>
      <c r="F1055" s="24">
        <v>45166.0</v>
      </c>
      <c r="G1055" s="6">
        <v>22.0</v>
      </c>
      <c r="H1055" s="9" t="str">
        <f>VLOOKUP(revenue[productID],products[],2,FALSE)</f>
        <v>Gustaf's Knäckebröd</v>
      </c>
      <c r="I1055" s="9" t="str">
        <f>VLOOKUP(revenue[productID],products[],12,FALSE)</f>
        <v>Grains/Cereals</v>
      </c>
      <c r="J1055" s="9">
        <f>VLOOKUP(revenue[productID],products[],IF(YEAR(revenue[orderDate])=2022,8,IF(YEAR(revenue[orderDate])=2023,9,IF(YEAR(revenue[orderDate])=2024,10,NA))),FALSE)</f>
        <v>14.56814822</v>
      </c>
      <c r="K1055" s="9">
        <v>21.0</v>
      </c>
      <c r="L1055" s="25">
        <f>(revenue[orderPrice]-revenue[productCost])/revenue[productCost]</f>
        <v>0.4415009841</v>
      </c>
      <c r="M1055" s="10">
        <v>15.0</v>
      </c>
      <c r="N1055" s="25">
        <v>0.0</v>
      </c>
      <c r="O1055" s="9">
        <f>revenue[orderPrice]*revenue[orderQuantity]</f>
        <v>315</v>
      </c>
      <c r="P1055" s="9">
        <f>revenue[orderTotal]*(1-revenue[discountApllied])</f>
        <v>315</v>
      </c>
      <c r="Q1055" s="9">
        <f>revenue[revenue]-(revenue[productCost]*revenue[orderQuantity])</f>
        <v>96.47777666</v>
      </c>
      <c r="R1055" s="25">
        <f>IFERROR(revenue[profit]/revenue[revenue], 0)</f>
        <v>0.3062786561</v>
      </c>
      <c r="S1055" s="9">
        <f>revenue[productCost]*revenue[orderQuantity]</f>
        <v>218.5222233</v>
      </c>
    </row>
    <row r="1056" ht="15.75" customHeight="1">
      <c r="A1056" s="6">
        <v>10648.0</v>
      </c>
      <c r="B1056" s="7" t="s">
        <v>44</v>
      </c>
      <c r="C1056" s="24" t="str">
        <f>VLOOKUP(revenue[customerID],customers[],2,FALSE)</f>
        <v>Ricardo Adocicados</v>
      </c>
      <c r="D1056" s="24" t="str">
        <f>VLOOKUP(revenue[customerID],customers[],6,FALSE)</f>
        <v>Rio de Janeiro</v>
      </c>
      <c r="E1056" s="24" t="str">
        <f>VLOOKUP(revenue[customerID],customers[],9,FALSE)</f>
        <v>Brazil</v>
      </c>
      <c r="F1056" s="24">
        <v>45166.0</v>
      </c>
      <c r="G1056" s="6">
        <v>24.0</v>
      </c>
      <c r="H1056" s="9" t="str">
        <f>VLOOKUP(revenue[productID],products[],2,FALSE)</f>
        <v>Brigadeiros Maravilhosos da Lilian</v>
      </c>
      <c r="I1056" s="9" t="str">
        <f>VLOOKUP(revenue[productID],products[],12,FALSE)</f>
        <v>Confections</v>
      </c>
      <c r="J1056" s="9">
        <f>VLOOKUP(revenue[productID],products[],IF(YEAR(revenue[orderDate])=2022,8,IF(YEAR(revenue[orderDate])=2023,9,IF(YEAR(revenue[orderDate])=2024,10,NA))),FALSE)</f>
        <v>3.131783363</v>
      </c>
      <c r="K1056" s="9">
        <v>4.5</v>
      </c>
      <c r="L1056" s="25">
        <f>(revenue[orderPrice]-revenue[productCost])/revenue[productCost]</f>
        <v>0.4368809967</v>
      </c>
      <c r="M1056" s="10">
        <v>15.0</v>
      </c>
      <c r="N1056" s="25">
        <v>0.15</v>
      </c>
      <c r="O1056" s="9">
        <f>revenue[orderPrice]*revenue[orderQuantity]</f>
        <v>67.5</v>
      </c>
      <c r="P1056" s="9">
        <f>revenue[orderTotal]*(1-revenue[discountApllied])</f>
        <v>57.375</v>
      </c>
      <c r="Q1056" s="9">
        <f>revenue[revenue]-(revenue[productCost]*revenue[orderQuantity])</f>
        <v>10.39824956</v>
      </c>
      <c r="R1056" s="25">
        <f>IFERROR(revenue[profit]/revenue[revenue], 0)</f>
        <v>0.1812331077</v>
      </c>
      <c r="S1056" s="9">
        <f>revenue[productCost]*revenue[orderQuantity]</f>
        <v>46.97675044</v>
      </c>
    </row>
    <row r="1057" ht="15.75" customHeight="1">
      <c r="A1057" s="6">
        <v>10649.0</v>
      </c>
      <c r="B1057" s="7" t="s">
        <v>95</v>
      </c>
      <c r="C1057" s="24" t="str">
        <f>VLOOKUP(revenue[customerID],customers[],2,FALSE)</f>
        <v>Maison Dewey</v>
      </c>
      <c r="D1057" s="24" t="str">
        <f>VLOOKUP(revenue[customerID],customers[],6,FALSE)</f>
        <v>Bruxelles</v>
      </c>
      <c r="E1057" s="24" t="str">
        <f>VLOOKUP(revenue[customerID],customers[],9,FALSE)</f>
        <v>Belgium</v>
      </c>
      <c r="F1057" s="24">
        <v>45166.0</v>
      </c>
      <c r="G1057" s="6">
        <v>28.0</v>
      </c>
      <c r="H1057" s="9" t="str">
        <f>VLOOKUP(revenue[productID],products[],2,FALSE)</f>
        <v>Rössle Sauerkraut</v>
      </c>
      <c r="I1057" s="9" t="str">
        <f>VLOOKUP(revenue[productID],products[],12,FALSE)</f>
        <v>Produce</v>
      </c>
      <c r="J1057" s="9">
        <f>VLOOKUP(revenue[productID],products[],IF(YEAR(revenue[orderDate])=2022,8,IF(YEAR(revenue[orderDate])=2023,9,IF(YEAR(revenue[orderDate])=2024,10,NA))),FALSE)</f>
        <v>31.52644578</v>
      </c>
      <c r="K1057" s="9">
        <v>45.6</v>
      </c>
      <c r="L1057" s="25">
        <f>(revenue[orderPrice]-revenue[productCost])/revenue[productCost]</f>
        <v>0.4464047207</v>
      </c>
      <c r="M1057" s="10">
        <v>20.0</v>
      </c>
      <c r="N1057" s="25">
        <v>0.0</v>
      </c>
      <c r="O1057" s="9">
        <f>revenue[orderPrice]*revenue[orderQuantity]</f>
        <v>912</v>
      </c>
      <c r="P1057" s="9">
        <f>revenue[orderTotal]*(1-revenue[discountApllied])</f>
        <v>912</v>
      </c>
      <c r="Q1057" s="9">
        <f>revenue[revenue]-(revenue[productCost]*revenue[orderQuantity])</f>
        <v>281.4710844</v>
      </c>
      <c r="R1057" s="25">
        <f>IFERROR(revenue[profit]/revenue[revenue], 0)</f>
        <v>0.308630575</v>
      </c>
      <c r="S1057" s="9">
        <f>revenue[productCost]*revenue[orderQuantity]</f>
        <v>630.5289156</v>
      </c>
    </row>
    <row r="1058" ht="15.75" customHeight="1">
      <c r="A1058" s="6">
        <v>10649.0</v>
      </c>
      <c r="B1058" s="7" t="s">
        <v>95</v>
      </c>
      <c r="C1058" s="24" t="str">
        <f>VLOOKUP(revenue[customerID],customers[],2,FALSE)</f>
        <v>Maison Dewey</v>
      </c>
      <c r="D1058" s="24" t="str">
        <f>VLOOKUP(revenue[customerID],customers[],6,FALSE)</f>
        <v>Bruxelles</v>
      </c>
      <c r="E1058" s="24" t="str">
        <f>VLOOKUP(revenue[customerID],customers[],9,FALSE)</f>
        <v>Belgium</v>
      </c>
      <c r="F1058" s="24">
        <v>45166.0</v>
      </c>
      <c r="G1058" s="6">
        <v>72.0</v>
      </c>
      <c r="H1058" s="9" t="str">
        <f>VLOOKUP(revenue[productID],products[],2,FALSE)</f>
        <v>Mozzarella di Giovanni</v>
      </c>
      <c r="I1058" s="9" t="str">
        <f>VLOOKUP(revenue[productID],products[],12,FALSE)</f>
        <v>Dairy Products</v>
      </c>
      <c r="J1058" s="9">
        <f>VLOOKUP(revenue[productID],products[],IF(YEAR(revenue[orderDate])=2022,8,IF(YEAR(revenue[orderDate])=2023,9,IF(YEAR(revenue[orderDate])=2024,10,NA))),FALSE)</f>
        <v>23.51933768</v>
      </c>
      <c r="K1058" s="9">
        <v>34.8</v>
      </c>
      <c r="L1058" s="25">
        <f>(revenue[orderPrice]-revenue[productCost])/revenue[productCost]</f>
        <v>0.4796335031</v>
      </c>
      <c r="M1058" s="10">
        <v>15.0</v>
      </c>
      <c r="N1058" s="25">
        <v>0.0</v>
      </c>
      <c r="O1058" s="9">
        <f>revenue[orderPrice]*revenue[orderQuantity]</f>
        <v>522</v>
      </c>
      <c r="P1058" s="9">
        <f>revenue[orderTotal]*(1-revenue[discountApllied])</f>
        <v>522</v>
      </c>
      <c r="Q1058" s="9">
        <f>revenue[revenue]-(revenue[productCost]*revenue[orderQuantity])</f>
        <v>169.2099348</v>
      </c>
      <c r="R1058" s="25">
        <f>IFERROR(revenue[profit]/revenue[revenue], 0)</f>
        <v>0.3241569633</v>
      </c>
      <c r="S1058" s="9">
        <f>revenue[productCost]*revenue[orderQuantity]</f>
        <v>352.7900652</v>
      </c>
    </row>
    <row r="1059" ht="15.75" customHeight="1">
      <c r="A1059" s="6">
        <v>10650.0</v>
      </c>
      <c r="B1059" s="7" t="s">
        <v>67</v>
      </c>
      <c r="C1059" s="24" t="str">
        <f>VLOOKUP(revenue[customerID],customers[],2,FALSE)</f>
        <v>Familia Arquibaldo</v>
      </c>
      <c r="D1059" s="24" t="str">
        <f>VLOOKUP(revenue[customerID],customers[],6,FALSE)</f>
        <v>Sao Paulo</v>
      </c>
      <c r="E1059" s="24" t="str">
        <f>VLOOKUP(revenue[customerID],customers[],9,FALSE)</f>
        <v>Brazil</v>
      </c>
      <c r="F1059" s="24">
        <v>45167.0</v>
      </c>
      <c r="G1059" s="6">
        <v>30.0</v>
      </c>
      <c r="H1059" s="9" t="str">
        <f>VLOOKUP(revenue[productID],products[],2,FALSE)</f>
        <v>Nord-Ost Matjeshering</v>
      </c>
      <c r="I1059" s="9" t="str">
        <f>VLOOKUP(revenue[productID],products[],12,FALSE)</f>
        <v>Seafood</v>
      </c>
      <c r="J1059" s="9">
        <f>VLOOKUP(revenue[productID],products[],IF(YEAR(revenue[orderDate])=2022,8,IF(YEAR(revenue[orderDate])=2023,9,IF(YEAR(revenue[orderDate])=2024,10,NA))),FALSE)</f>
        <v>16.03885249</v>
      </c>
      <c r="K1059" s="9">
        <v>25.89</v>
      </c>
      <c r="L1059" s="25">
        <f>(revenue[orderPrice]-revenue[productCost])/revenue[productCost]</f>
        <v>0.6142052564</v>
      </c>
      <c r="M1059" s="10">
        <v>30.0</v>
      </c>
      <c r="N1059" s="25">
        <v>0.0</v>
      </c>
      <c r="O1059" s="9">
        <f>revenue[orderPrice]*revenue[orderQuantity]</f>
        <v>776.7</v>
      </c>
      <c r="P1059" s="9">
        <f>revenue[orderTotal]*(1-revenue[discountApllied])</f>
        <v>776.7</v>
      </c>
      <c r="Q1059" s="9">
        <f>revenue[revenue]-(revenue[productCost]*revenue[orderQuantity])</f>
        <v>295.5344252</v>
      </c>
      <c r="R1059" s="25">
        <f>IFERROR(revenue[profit]/revenue[revenue], 0)</f>
        <v>0.3805000968</v>
      </c>
      <c r="S1059" s="9">
        <f>revenue[productCost]*revenue[orderQuantity]</f>
        <v>481.1655748</v>
      </c>
    </row>
    <row r="1060" ht="15.75" customHeight="1">
      <c r="A1060" s="6">
        <v>10650.0</v>
      </c>
      <c r="B1060" s="7" t="s">
        <v>67</v>
      </c>
      <c r="C1060" s="24" t="str">
        <f>VLOOKUP(revenue[customerID],customers[],2,FALSE)</f>
        <v>Familia Arquibaldo</v>
      </c>
      <c r="D1060" s="24" t="str">
        <f>VLOOKUP(revenue[customerID],customers[],6,FALSE)</f>
        <v>Sao Paulo</v>
      </c>
      <c r="E1060" s="24" t="str">
        <f>VLOOKUP(revenue[customerID],customers[],9,FALSE)</f>
        <v>Brazil</v>
      </c>
      <c r="F1060" s="24">
        <v>45167.0</v>
      </c>
      <c r="G1060" s="6">
        <v>53.0</v>
      </c>
      <c r="H1060" s="9" t="str">
        <f>VLOOKUP(revenue[productID],products[],2,FALSE)</f>
        <v>Perth Pasties</v>
      </c>
      <c r="I1060" s="9" t="str">
        <f>VLOOKUP(revenue[productID],products[],12,FALSE)</f>
        <v>Meat/Poultry</v>
      </c>
      <c r="J1060" s="9">
        <f>VLOOKUP(revenue[productID],products[],IF(YEAR(revenue[orderDate])=2022,8,IF(YEAR(revenue[orderDate])=2023,9,IF(YEAR(revenue[orderDate])=2024,10,NA))),FALSE)</f>
        <v>21.81491556</v>
      </c>
      <c r="K1060" s="9">
        <v>32.8</v>
      </c>
      <c r="L1060" s="25">
        <f>(revenue[orderPrice]-revenue[productCost])/revenue[productCost]</f>
        <v>0.5035584214</v>
      </c>
      <c r="M1060" s="10">
        <v>25.0</v>
      </c>
      <c r="N1060" s="25">
        <v>0.05</v>
      </c>
      <c r="O1060" s="9">
        <f>revenue[orderPrice]*revenue[orderQuantity]</f>
        <v>820</v>
      </c>
      <c r="P1060" s="9">
        <f>revenue[orderTotal]*(1-revenue[discountApllied])</f>
        <v>779</v>
      </c>
      <c r="Q1060" s="9">
        <f>revenue[revenue]-(revenue[productCost]*revenue[orderQuantity])</f>
        <v>233.627111</v>
      </c>
      <c r="R1060" s="25">
        <f>IFERROR(revenue[profit]/revenue[revenue], 0)</f>
        <v>0.2999064326</v>
      </c>
      <c r="S1060" s="9">
        <f>revenue[productCost]*revenue[orderQuantity]</f>
        <v>545.372889</v>
      </c>
    </row>
    <row r="1061" ht="15.75" customHeight="1">
      <c r="A1061" s="6">
        <v>10650.0</v>
      </c>
      <c r="B1061" s="7" t="s">
        <v>67</v>
      </c>
      <c r="C1061" s="24" t="str">
        <f>VLOOKUP(revenue[customerID],customers[],2,FALSE)</f>
        <v>Familia Arquibaldo</v>
      </c>
      <c r="D1061" s="24" t="str">
        <f>VLOOKUP(revenue[customerID],customers[],6,FALSE)</f>
        <v>Sao Paulo</v>
      </c>
      <c r="E1061" s="24" t="str">
        <f>VLOOKUP(revenue[customerID],customers[],9,FALSE)</f>
        <v>Brazil</v>
      </c>
      <c r="F1061" s="24">
        <v>45167.0</v>
      </c>
      <c r="G1061" s="6">
        <v>54.0</v>
      </c>
      <c r="H1061" s="9" t="str">
        <f>VLOOKUP(revenue[productID],products[],2,FALSE)</f>
        <v>Tourtière</v>
      </c>
      <c r="I1061" s="9" t="str">
        <f>VLOOKUP(revenue[productID],products[],12,FALSE)</f>
        <v>Meat/Poultry</v>
      </c>
      <c r="J1061" s="9">
        <f>VLOOKUP(revenue[productID],products[],IF(YEAR(revenue[orderDate])=2022,8,IF(YEAR(revenue[orderDate])=2023,9,IF(YEAR(revenue[orderDate])=2024,10,NA))),FALSE)</f>
        <v>4.924447797</v>
      </c>
      <c r="K1061" s="9">
        <v>7.45</v>
      </c>
      <c r="L1061" s="25">
        <f>(revenue[orderPrice]-revenue[productCost])/revenue[productCost]</f>
        <v>0.5128599808</v>
      </c>
      <c r="M1061" s="10">
        <v>30.0</v>
      </c>
      <c r="N1061" s="25">
        <v>0.0</v>
      </c>
      <c r="O1061" s="9">
        <f>revenue[orderPrice]*revenue[orderQuantity]</f>
        <v>223.5</v>
      </c>
      <c r="P1061" s="9">
        <f>revenue[orderTotal]*(1-revenue[discountApllied])</f>
        <v>223.5</v>
      </c>
      <c r="Q1061" s="9">
        <f>revenue[revenue]-(revenue[productCost]*revenue[orderQuantity])</f>
        <v>75.76656609</v>
      </c>
      <c r="R1061" s="25">
        <f>IFERROR(revenue[profit]/revenue[revenue], 0)</f>
        <v>0.3390002957</v>
      </c>
      <c r="S1061" s="9">
        <f>revenue[productCost]*revenue[orderQuantity]</f>
        <v>147.7334339</v>
      </c>
    </row>
    <row r="1062" ht="15.75" customHeight="1">
      <c r="A1062" s="6">
        <v>10651.0</v>
      </c>
      <c r="B1062" s="7" t="s">
        <v>50</v>
      </c>
      <c r="C1062" s="24" t="str">
        <f>VLOOKUP(revenue[customerID],customers[],2,FALSE)</f>
        <v>Die Wandernde Kuh</v>
      </c>
      <c r="D1062" s="24" t="str">
        <f>VLOOKUP(revenue[customerID],customers[],6,FALSE)</f>
        <v>Stuttgart</v>
      </c>
      <c r="E1062" s="24" t="str">
        <f>VLOOKUP(revenue[customerID],customers[],9,FALSE)</f>
        <v>Germany</v>
      </c>
      <c r="F1062" s="24">
        <v>45170.0</v>
      </c>
      <c r="G1062" s="6">
        <v>19.0</v>
      </c>
      <c r="H1062" s="9" t="str">
        <f>VLOOKUP(revenue[productID],products[],2,FALSE)</f>
        <v>Teatime Chocolate Biscuits</v>
      </c>
      <c r="I1062" s="9" t="str">
        <f>VLOOKUP(revenue[productID],products[],12,FALSE)</f>
        <v>Confections</v>
      </c>
      <c r="J1062" s="9">
        <f>VLOOKUP(revenue[productID],products[],IF(YEAR(revenue[orderDate])=2022,8,IF(YEAR(revenue[orderDate])=2023,9,IF(YEAR(revenue[orderDate])=2024,10,NA))),FALSE)</f>
        <v>5.901883682</v>
      </c>
      <c r="K1062" s="9">
        <v>9.2</v>
      </c>
      <c r="L1062" s="25">
        <f>(revenue[orderPrice]-revenue[productCost])/revenue[productCost]</f>
        <v>0.5588243508</v>
      </c>
      <c r="M1062" s="10">
        <v>12.0</v>
      </c>
      <c r="N1062" s="25">
        <v>0.25</v>
      </c>
      <c r="O1062" s="9">
        <f>revenue[orderPrice]*revenue[orderQuantity]</f>
        <v>110.4</v>
      </c>
      <c r="P1062" s="9">
        <f>revenue[orderTotal]*(1-revenue[discountApllied])</f>
        <v>82.8</v>
      </c>
      <c r="Q1062" s="9">
        <f>revenue[revenue]-(revenue[productCost]*revenue[orderQuantity])</f>
        <v>11.97739581</v>
      </c>
      <c r="R1062" s="25">
        <f>IFERROR(revenue[profit]/revenue[revenue], 0)</f>
        <v>0.1446545388</v>
      </c>
      <c r="S1062" s="9">
        <f>revenue[productCost]*revenue[orderQuantity]</f>
        <v>70.82260419</v>
      </c>
    </row>
    <row r="1063" ht="15.75" customHeight="1">
      <c r="A1063" s="6">
        <v>10651.0</v>
      </c>
      <c r="B1063" s="7" t="s">
        <v>50</v>
      </c>
      <c r="C1063" s="24" t="str">
        <f>VLOOKUP(revenue[customerID],customers[],2,FALSE)</f>
        <v>Die Wandernde Kuh</v>
      </c>
      <c r="D1063" s="24" t="str">
        <f>VLOOKUP(revenue[customerID],customers[],6,FALSE)</f>
        <v>Stuttgart</v>
      </c>
      <c r="E1063" s="24" t="str">
        <f>VLOOKUP(revenue[customerID],customers[],9,FALSE)</f>
        <v>Germany</v>
      </c>
      <c r="F1063" s="24">
        <v>45170.0</v>
      </c>
      <c r="G1063" s="6">
        <v>22.0</v>
      </c>
      <c r="H1063" s="9" t="str">
        <f>VLOOKUP(revenue[productID],products[],2,FALSE)</f>
        <v>Gustaf's Knäckebröd</v>
      </c>
      <c r="I1063" s="9" t="str">
        <f>VLOOKUP(revenue[productID],products[],12,FALSE)</f>
        <v>Grains/Cereals</v>
      </c>
      <c r="J1063" s="9">
        <f>VLOOKUP(revenue[productID],products[],IF(YEAR(revenue[orderDate])=2022,8,IF(YEAR(revenue[orderDate])=2023,9,IF(YEAR(revenue[orderDate])=2024,10,NA))),FALSE)</f>
        <v>14.56814822</v>
      </c>
      <c r="K1063" s="9">
        <v>21.0</v>
      </c>
      <c r="L1063" s="25">
        <f>(revenue[orderPrice]-revenue[productCost])/revenue[productCost]</f>
        <v>0.4415009841</v>
      </c>
      <c r="M1063" s="10">
        <v>20.0</v>
      </c>
      <c r="N1063" s="25">
        <v>0.25</v>
      </c>
      <c r="O1063" s="9">
        <f>revenue[orderPrice]*revenue[orderQuantity]</f>
        <v>420</v>
      </c>
      <c r="P1063" s="9">
        <f>revenue[orderTotal]*(1-revenue[discountApllied])</f>
        <v>315</v>
      </c>
      <c r="Q1063" s="9">
        <f>revenue[revenue]-(revenue[productCost]*revenue[orderQuantity])</f>
        <v>23.63703554</v>
      </c>
      <c r="R1063" s="25">
        <f>IFERROR(revenue[profit]/revenue[revenue], 0)</f>
        <v>0.07503820808</v>
      </c>
      <c r="S1063" s="9">
        <f>revenue[productCost]*revenue[orderQuantity]</f>
        <v>291.3629645</v>
      </c>
    </row>
    <row r="1064" ht="15.75" customHeight="1">
      <c r="A1064" s="6">
        <v>10652.0</v>
      </c>
      <c r="B1064" s="7" t="s">
        <v>86</v>
      </c>
      <c r="C1064" s="24" t="str">
        <f>VLOOKUP(revenue[customerID],customers[],2,FALSE)</f>
        <v>Gourmet Lanchonetes</v>
      </c>
      <c r="D1064" s="24" t="str">
        <f>VLOOKUP(revenue[customerID],customers[],6,FALSE)</f>
        <v>Campinas</v>
      </c>
      <c r="E1064" s="24" t="str">
        <f>VLOOKUP(revenue[customerID],customers[],9,FALSE)</f>
        <v>Brazil</v>
      </c>
      <c r="F1064" s="24">
        <v>45170.0</v>
      </c>
      <c r="G1064" s="6">
        <v>30.0</v>
      </c>
      <c r="H1064" s="9" t="str">
        <f>VLOOKUP(revenue[productID],products[],2,FALSE)</f>
        <v>Nord-Ost Matjeshering</v>
      </c>
      <c r="I1064" s="9" t="str">
        <f>VLOOKUP(revenue[productID],products[],12,FALSE)</f>
        <v>Seafood</v>
      </c>
      <c r="J1064" s="9">
        <f>VLOOKUP(revenue[productID],products[],IF(YEAR(revenue[orderDate])=2022,8,IF(YEAR(revenue[orderDate])=2023,9,IF(YEAR(revenue[orderDate])=2024,10,NA))),FALSE)</f>
        <v>16.03885249</v>
      </c>
      <c r="K1064" s="9">
        <v>25.89</v>
      </c>
      <c r="L1064" s="25">
        <f>(revenue[orderPrice]-revenue[productCost])/revenue[productCost]</f>
        <v>0.6142052564</v>
      </c>
      <c r="M1064" s="10">
        <v>2.0</v>
      </c>
      <c r="N1064" s="25">
        <v>0.25</v>
      </c>
      <c r="O1064" s="9">
        <f>revenue[orderPrice]*revenue[orderQuantity]</f>
        <v>51.78</v>
      </c>
      <c r="P1064" s="9">
        <f>revenue[orderTotal]*(1-revenue[discountApllied])</f>
        <v>38.835</v>
      </c>
      <c r="Q1064" s="9">
        <f>revenue[revenue]-(revenue[productCost]*revenue[orderQuantity])</f>
        <v>6.757295015</v>
      </c>
      <c r="R1064" s="25">
        <f>IFERROR(revenue[profit]/revenue[revenue], 0)</f>
        <v>0.1740001291</v>
      </c>
      <c r="S1064" s="9">
        <f>revenue[productCost]*revenue[orderQuantity]</f>
        <v>32.07770499</v>
      </c>
    </row>
    <row r="1065" ht="15.75" customHeight="1">
      <c r="A1065" s="6">
        <v>10652.0</v>
      </c>
      <c r="B1065" s="7" t="s">
        <v>86</v>
      </c>
      <c r="C1065" s="24" t="str">
        <f>VLOOKUP(revenue[customerID],customers[],2,FALSE)</f>
        <v>Gourmet Lanchonetes</v>
      </c>
      <c r="D1065" s="24" t="str">
        <f>VLOOKUP(revenue[customerID],customers[],6,FALSE)</f>
        <v>Campinas</v>
      </c>
      <c r="E1065" s="24" t="str">
        <f>VLOOKUP(revenue[customerID],customers[],9,FALSE)</f>
        <v>Brazil</v>
      </c>
      <c r="F1065" s="24">
        <v>45170.0</v>
      </c>
      <c r="G1065" s="6">
        <v>42.0</v>
      </c>
      <c r="H1065" s="9" t="str">
        <f>VLOOKUP(revenue[productID],products[],2,FALSE)</f>
        <v>Singaporean Hokkien Fried Mee</v>
      </c>
      <c r="I1065" s="9" t="str">
        <f>VLOOKUP(revenue[productID],products[],12,FALSE)</f>
        <v>Grains/Cereals</v>
      </c>
      <c r="J1065" s="9">
        <f>VLOOKUP(revenue[productID],products[],IF(YEAR(revenue[orderDate])=2022,8,IF(YEAR(revenue[orderDate])=2023,9,IF(YEAR(revenue[orderDate])=2024,10,NA))),FALSE)</f>
        <v>9.105641621</v>
      </c>
      <c r="K1065" s="9">
        <v>14.0</v>
      </c>
      <c r="L1065" s="25">
        <f>(revenue[orderPrice]-revenue[productCost])/revenue[productCost]</f>
        <v>0.5375083474</v>
      </c>
      <c r="M1065" s="10">
        <v>20.0</v>
      </c>
      <c r="N1065" s="25">
        <v>0.0</v>
      </c>
      <c r="O1065" s="9">
        <f>revenue[orderPrice]*revenue[orderQuantity]</f>
        <v>280</v>
      </c>
      <c r="P1065" s="9">
        <f>revenue[orderTotal]*(1-revenue[discountApllied])</f>
        <v>280</v>
      </c>
      <c r="Q1065" s="9">
        <f>revenue[revenue]-(revenue[productCost]*revenue[orderQuantity])</f>
        <v>97.88716758</v>
      </c>
      <c r="R1065" s="25">
        <f>IFERROR(revenue[profit]/revenue[revenue], 0)</f>
        <v>0.3495970271</v>
      </c>
      <c r="S1065" s="9">
        <f>revenue[productCost]*revenue[orderQuantity]</f>
        <v>182.1128324</v>
      </c>
    </row>
    <row r="1066" ht="15.75" customHeight="1">
      <c r="A1066" s="6">
        <v>10653.0</v>
      </c>
      <c r="B1066" s="7" t="s">
        <v>32</v>
      </c>
      <c r="C1066" s="24" t="str">
        <f>VLOOKUP(revenue[customerID],customers[],2,FALSE)</f>
        <v>Frankenversand</v>
      </c>
      <c r="D1066" s="24" t="str">
        <f>VLOOKUP(revenue[customerID],customers[],6,FALSE)</f>
        <v>München</v>
      </c>
      <c r="E1066" s="24" t="str">
        <f>VLOOKUP(revenue[customerID],customers[],9,FALSE)</f>
        <v>Germany</v>
      </c>
      <c r="F1066" s="24">
        <v>45171.0</v>
      </c>
      <c r="G1066" s="6">
        <v>16.0</v>
      </c>
      <c r="H1066" s="9" t="str">
        <f>VLOOKUP(revenue[productID],products[],2,FALSE)</f>
        <v>Pavlova</v>
      </c>
      <c r="I1066" s="9" t="str">
        <f>VLOOKUP(revenue[productID],products[],12,FALSE)</f>
        <v>Confections</v>
      </c>
      <c r="J1066" s="9">
        <f>VLOOKUP(revenue[productID],products[],IF(YEAR(revenue[orderDate])=2022,8,IF(YEAR(revenue[orderDate])=2023,9,IF(YEAR(revenue[orderDate])=2024,10,NA))),FALSE)</f>
        <v>11.98504839</v>
      </c>
      <c r="K1066" s="9">
        <v>17.45</v>
      </c>
      <c r="L1066" s="25">
        <f>(revenue[orderPrice]-revenue[productCost])/revenue[productCost]</f>
        <v>0.455980771</v>
      </c>
      <c r="M1066" s="10">
        <v>30.0</v>
      </c>
      <c r="N1066" s="25">
        <v>0.1</v>
      </c>
      <c r="O1066" s="9">
        <f>revenue[orderPrice]*revenue[orderQuantity]</f>
        <v>523.5</v>
      </c>
      <c r="P1066" s="9">
        <f>revenue[orderTotal]*(1-revenue[discountApllied])</f>
        <v>471.15</v>
      </c>
      <c r="Q1066" s="9">
        <f>revenue[revenue]-(revenue[productCost]*revenue[orderQuantity])</f>
        <v>111.5985482</v>
      </c>
      <c r="R1066" s="25">
        <f>IFERROR(revenue[profit]/revenue[revenue], 0)</f>
        <v>0.2368641584</v>
      </c>
      <c r="S1066" s="9">
        <f>revenue[productCost]*revenue[orderQuantity]</f>
        <v>359.5514518</v>
      </c>
    </row>
    <row r="1067" ht="15.75" customHeight="1">
      <c r="A1067" s="6">
        <v>10653.0</v>
      </c>
      <c r="B1067" s="7" t="s">
        <v>32</v>
      </c>
      <c r="C1067" s="24" t="str">
        <f>VLOOKUP(revenue[customerID],customers[],2,FALSE)</f>
        <v>Frankenversand</v>
      </c>
      <c r="D1067" s="24" t="str">
        <f>VLOOKUP(revenue[customerID],customers[],6,FALSE)</f>
        <v>München</v>
      </c>
      <c r="E1067" s="24" t="str">
        <f>VLOOKUP(revenue[customerID],customers[],9,FALSE)</f>
        <v>Germany</v>
      </c>
      <c r="F1067" s="24">
        <v>45171.0</v>
      </c>
      <c r="G1067" s="6">
        <v>60.0</v>
      </c>
      <c r="H1067" s="9" t="str">
        <f>VLOOKUP(revenue[productID],products[],2,FALSE)</f>
        <v>Camembert Pierrot</v>
      </c>
      <c r="I1067" s="9" t="str">
        <f>VLOOKUP(revenue[productID],products[],12,FALSE)</f>
        <v>Dairy Products</v>
      </c>
      <c r="J1067" s="9">
        <f>VLOOKUP(revenue[productID],products[],IF(YEAR(revenue[orderDate])=2022,8,IF(YEAR(revenue[orderDate])=2023,9,IF(YEAR(revenue[orderDate])=2024,10,NA))),FALSE)</f>
        <v>22.77098295</v>
      </c>
      <c r="K1067" s="9">
        <v>34.0</v>
      </c>
      <c r="L1067" s="25">
        <f>(revenue[orderPrice]-revenue[productCost])/revenue[productCost]</f>
        <v>0.4931283415</v>
      </c>
      <c r="M1067" s="10">
        <v>20.0</v>
      </c>
      <c r="N1067" s="25">
        <v>0.1</v>
      </c>
      <c r="O1067" s="9">
        <f>revenue[orderPrice]*revenue[orderQuantity]</f>
        <v>680</v>
      </c>
      <c r="P1067" s="9">
        <f>revenue[orderTotal]*(1-revenue[discountApllied])</f>
        <v>612</v>
      </c>
      <c r="Q1067" s="9">
        <f>revenue[revenue]-(revenue[productCost]*revenue[orderQuantity])</f>
        <v>156.5803411</v>
      </c>
      <c r="R1067" s="25">
        <f>IFERROR(revenue[profit]/revenue[revenue], 0)</f>
        <v>0.2558502305</v>
      </c>
      <c r="S1067" s="9">
        <f>revenue[productCost]*revenue[orderQuantity]</f>
        <v>455.4196589</v>
      </c>
    </row>
    <row r="1068" ht="15.75" customHeight="1">
      <c r="A1068" s="6">
        <v>10654.0</v>
      </c>
      <c r="B1068" s="7" t="s">
        <v>40</v>
      </c>
      <c r="C1068" s="24" t="str">
        <f>VLOOKUP(revenue[customerID],customers[],2,FALSE)</f>
        <v>Berglunds snabbköp</v>
      </c>
      <c r="D1068" s="24" t="str">
        <f>VLOOKUP(revenue[customerID],customers[],6,FALSE)</f>
        <v>Luleå</v>
      </c>
      <c r="E1068" s="24" t="str">
        <f>VLOOKUP(revenue[customerID],customers[],9,FALSE)</f>
        <v>Sweden</v>
      </c>
      <c r="F1068" s="24">
        <v>45171.0</v>
      </c>
      <c r="G1068" s="6">
        <v>4.0</v>
      </c>
      <c r="H1068" s="9" t="str">
        <f>VLOOKUP(revenue[productID],products[],2,FALSE)</f>
        <v>Chef Anton's Cajun Seasoning</v>
      </c>
      <c r="I1068" s="9" t="str">
        <f>VLOOKUP(revenue[productID],products[],12,FALSE)</f>
        <v>Condiments</v>
      </c>
      <c r="J1068" s="9">
        <f>VLOOKUP(revenue[productID],products[],IF(YEAR(revenue[orderDate])=2022,8,IF(YEAR(revenue[orderDate])=2023,9,IF(YEAR(revenue[orderDate])=2024,10,NA))),FALSE)</f>
        <v>13.81047124</v>
      </c>
      <c r="K1068" s="9">
        <v>22.0</v>
      </c>
      <c r="L1068" s="25">
        <f>(revenue[orderPrice]-revenue[productCost])/revenue[productCost]</f>
        <v>0.5929941577</v>
      </c>
      <c r="M1068" s="10">
        <v>12.0</v>
      </c>
      <c r="N1068" s="25">
        <v>0.1</v>
      </c>
      <c r="O1068" s="9">
        <f>revenue[orderPrice]*revenue[orderQuantity]</f>
        <v>264</v>
      </c>
      <c r="P1068" s="9">
        <f>revenue[orderTotal]*(1-revenue[discountApllied])</f>
        <v>237.6</v>
      </c>
      <c r="Q1068" s="9">
        <f>revenue[revenue]-(revenue[productCost]*revenue[orderQuantity])</f>
        <v>71.87434512</v>
      </c>
      <c r="R1068" s="25">
        <f>IFERROR(revenue[profit]/revenue[revenue], 0)</f>
        <v>0.3025014525</v>
      </c>
      <c r="S1068" s="9">
        <f>revenue[productCost]*revenue[orderQuantity]</f>
        <v>165.7256549</v>
      </c>
    </row>
    <row r="1069" ht="15.75" customHeight="1">
      <c r="A1069" s="6">
        <v>10654.0</v>
      </c>
      <c r="B1069" s="7" t="s">
        <v>40</v>
      </c>
      <c r="C1069" s="24" t="str">
        <f>VLOOKUP(revenue[customerID],customers[],2,FALSE)</f>
        <v>Berglunds snabbköp</v>
      </c>
      <c r="D1069" s="24" t="str">
        <f>VLOOKUP(revenue[customerID],customers[],6,FALSE)</f>
        <v>Luleå</v>
      </c>
      <c r="E1069" s="24" t="str">
        <f>VLOOKUP(revenue[customerID],customers[],9,FALSE)</f>
        <v>Sweden</v>
      </c>
      <c r="F1069" s="24">
        <v>45171.0</v>
      </c>
      <c r="G1069" s="6">
        <v>39.0</v>
      </c>
      <c r="H1069" s="9" t="str">
        <f>VLOOKUP(revenue[productID],products[],2,FALSE)</f>
        <v>Chartreuse verte</v>
      </c>
      <c r="I1069" s="9" t="str">
        <f>VLOOKUP(revenue[productID],products[],12,FALSE)</f>
        <v>Beverages</v>
      </c>
      <c r="J1069" s="9">
        <f>VLOOKUP(revenue[productID],products[],IF(YEAR(revenue[orderDate])=2022,8,IF(YEAR(revenue[orderDate])=2023,9,IF(YEAR(revenue[orderDate])=2024,10,NA))),FALSE)</f>
        <v>11.73311441</v>
      </c>
      <c r="K1069" s="9">
        <v>18.0</v>
      </c>
      <c r="L1069" s="25">
        <f>(revenue[orderPrice]-revenue[productCost])/revenue[productCost]</f>
        <v>0.5341195326</v>
      </c>
      <c r="M1069" s="10">
        <v>20.0</v>
      </c>
      <c r="N1069" s="25">
        <v>0.1</v>
      </c>
      <c r="O1069" s="9">
        <f>revenue[orderPrice]*revenue[orderQuantity]</f>
        <v>360</v>
      </c>
      <c r="P1069" s="9">
        <f>revenue[orderTotal]*(1-revenue[discountApllied])</f>
        <v>324</v>
      </c>
      <c r="Q1069" s="9">
        <f>revenue[revenue]-(revenue[productCost]*revenue[orderQuantity])</f>
        <v>89.33771174</v>
      </c>
      <c r="R1069" s="25">
        <f>IFERROR(revenue[profit]/revenue[revenue], 0)</f>
        <v>0.2757336782</v>
      </c>
      <c r="S1069" s="9">
        <f>revenue[productCost]*revenue[orderQuantity]</f>
        <v>234.6622883</v>
      </c>
    </row>
    <row r="1070" ht="15.75" customHeight="1">
      <c r="A1070" s="6">
        <v>10654.0</v>
      </c>
      <c r="B1070" s="7" t="s">
        <v>40</v>
      </c>
      <c r="C1070" s="24" t="str">
        <f>VLOOKUP(revenue[customerID],customers[],2,FALSE)</f>
        <v>Berglunds snabbköp</v>
      </c>
      <c r="D1070" s="24" t="str">
        <f>VLOOKUP(revenue[customerID],customers[],6,FALSE)</f>
        <v>Luleå</v>
      </c>
      <c r="E1070" s="24" t="str">
        <f>VLOOKUP(revenue[customerID],customers[],9,FALSE)</f>
        <v>Sweden</v>
      </c>
      <c r="F1070" s="24">
        <v>45171.0</v>
      </c>
      <c r="G1070" s="6">
        <v>54.0</v>
      </c>
      <c r="H1070" s="9" t="str">
        <f>VLOOKUP(revenue[productID],products[],2,FALSE)</f>
        <v>Tourtière</v>
      </c>
      <c r="I1070" s="9" t="str">
        <f>VLOOKUP(revenue[productID],products[],12,FALSE)</f>
        <v>Meat/Poultry</v>
      </c>
      <c r="J1070" s="9">
        <f>VLOOKUP(revenue[productID],products[],IF(YEAR(revenue[orderDate])=2022,8,IF(YEAR(revenue[orderDate])=2023,9,IF(YEAR(revenue[orderDate])=2024,10,NA))),FALSE)</f>
        <v>4.924447797</v>
      </c>
      <c r="K1070" s="9">
        <v>7.45</v>
      </c>
      <c r="L1070" s="25">
        <f>(revenue[orderPrice]-revenue[productCost])/revenue[productCost]</f>
        <v>0.5128599808</v>
      </c>
      <c r="M1070" s="10">
        <v>6.0</v>
      </c>
      <c r="N1070" s="25">
        <v>0.1</v>
      </c>
      <c r="O1070" s="9">
        <f>revenue[orderPrice]*revenue[orderQuantity]</f>
        <v>44.7</v>
      </c>
      <c r="P1070" s="9">
        <f>revenue[orderTotal]*(1-revenue[discountApllied])</f>
        <v>40.23</v>
      </c>
      <c r="Q1070" s="9">
        <f>revenue[revenue]-(revenue[productCost]*revenue[orderQuantity])</f>
        <v>10.68331322</v>
      </c>
      <c r="R1070" s="25">
        <f>IFERROR(revenue[profit]/revenue[revenue], 0)</f>
        <v>0.2655558841</v>
      </c>
      <c r="S1070" s="9">
        <f>revenue[productCost]*revenue[orderQuantity]</f>
        <v>29.54668678</v>
      </c>
    </row>
    <row r="1071" ht="15.75" customHeight="1">
      <c r="A1071" s="6">
        <v>10655.0</v>
      </c>
      <c r="B1071" s="7" t="s">
        <v>45</v>
      </c>
      <c r="C1071" s="24" t="str">
        <f>VLOOKUP(revenue[customerID],customers[],2,FALSE)</f>
        <v>Reggiani Caseifici</v>
      </c>
      <c r="D1071" s="24" t="str">
        <f>VLOOKUP(revenue[customerID],customers[],6,FALSE)</f>
        <v>Reggio Emilia</v>
      </c>
      <c r="E1071" s="24" t="str">
        <f>VLOOKUP(revenue[customerID],customers[],9,FALSE)</f>
        <v>Italy</v>
      </c>
      <c r="F1071" s="24">
        <v>45172.0</v>
      </c>
      <c r="G1071" s="6">
        <v>41.0</v>
      </c>
      <c r="H1071" s="9" t="str">
        <f>VLOOKUP(revenue[productID],products[],2,FALSE)</f>
        <v>Jack's New England Clam Chowder</v>
      </c>
      <c r="I1071" s="9" t="str">
        <f>VLOOKUP(revenue[productID],products[],12,FALSE)</f>
        <v>Seafood</v>
      </c>
      <c r="J1071" s="9">
        <f>VLOOKUP(revenue[productID],products[],IF(YEAR(revenue[orderDate])=2022,8,IF(YEAR(revenue[orderDate])=2023,9,IF(YEAR(revenue[orderDate])=2024,10,NA))),FALSE)</f>
        <v>6.549914856</v>
      </c>
      <c r="K1071" s="9">
        <v>9.65</v>
      </c>
      <c r="L1071" s="25">
        <f>(revenue[orderPrice]-revenue[productCost])/revenue[productCost]</f>
        <v>0.4733015943</v>
      </c>
      <c r="M1071" s="10">
        <v>20.0</v>
      </c>
      <c r="N1071" s="25">
        <v>0.2</v>
      </c>
      <c r="O1071" s="9">
        <f>revenue[orderPrice]*revenue[orderQuantity]</f>
        <v>193</v>
      </c>
      <c r="P1071" s="9">
        <f>revenue[orderTotal]*(1-revenue[discountApllied])</f>
        <v>154.4</v>
      </c>
      <c r="Q1071" s="9">
        <f>revenue[revenue]-(revenue[productCost]*revenue[orderQuantity])</f>
        <v>23.40170288</v>
      </c>
      <c r="R1071" s="25">
        <f>IFERROR(revenue[profit]/revenue[revenue], 0)</f>
        <v>0.1515654332</v>
      </c>
      <c r="S1071" s="9">
        <f>revenue[productCost]*revenue[orderQuantity]</f>
        <v>130.9982971</v>
      </c>
    </row>
    <row r="1072" ht="15.75" customHeight="1">
      <c r="A1072" s="6">
        <v>10656.0</v>
      </c>
      <c r="B1072" s="7" t="s">
        <v>94</v>
      </c>
      <c r="C1072" s="24" t="str">
        <f>VLOOKUP(revenue[customerID],customers[],2,FALSE)</f>
        <v>Great Lakes Food Market</v>
      </c>
      <c r="D1072" s="24" t="str">
        <f>VLOOKUP(revenue[customerID],customers[],6,FALSE)</f>
        <v>Eugene</v>
      </c>
      <c r="E1072" s="24" t="str">
        <f>VLOOKUP(revenue[customerID],customers[],9,FALSE)</f>
        <v>USA</v>
      </c>
      <c r="F1072" s="24">
        <v>45173.0</v>
      </c>
      <c r="G1072" s="6">
        <v>14.0</v>
      </c>
      <c r="H1072" s="9" t="str">
        <f>VLOOKUP(revenue[productID],products[],2,FALSE)</f>
        <v>Tofu</v>
      </c>
      <c r="I1072" s="9" t="str">
        <f>VLOOKUP(revenue[productID],products[],12,FALSE)</f>
        <v>Produce</v>
      </c>
      <c r="J1072" s="9">
        <f>VLOOKUP(revenue[productID],products[],IF(YEAR(revenue[orderDate])=2022,8,IF(YEAR(revenue[orderDate])=2023,9,IF(YEAR(revenue[orderDate])=2024,10,NA))),FALSE)</f>
        <v>15.38055417</v>
      </c>
      <c r="K1072" s="9">
        <v>23.25</v>
      </c>
      <c r="L1072" s="25">
        <f>(revenue[orderPrice]-revenue[productCost])/revenue[productCost]</f>
        <v>0.5116490437</v>
      </c>
      <c r="M1072" s="10">
        <v>3.0</v>
      </c>
      <c r="N1072" s="25">
        <v>0.1</v>
      </c>
      <c r="O1072" s="9">
        <f>revenue[orderPrice]*revenue[orderQuantity]</f>
        <v>69.75</v>
      </c>
      <c r="P1072" s="9">
        <f>revenue[orderTotal]*(1-revenue[discountApllied])</f>
        <v>62.775</v>
      </c>
      <c r="Q1072" s="9">
        <f>revenue[revenue]-(revenue[productCost]*revenue[orderQuantity])</f>
        <v>16.63333749</v>
      </c>
      <c r="R1072" s="25">
        <f>IFERROR(revenue[profit]/revenue[revenue], 0)</f>
        <v>0.2649675427</v>
      </c>
      <c r="S1072" s="9">
        <f>revenue[productCost]*revenue[orderQuantity]</f>
        <v>46.14166251</v>
      </c>
    </row>
    <row r="1073" ht="15.75" customHeight="1">
      <c r="A1073" s="6">
        <v>10656.0</v>
      </c>
      <c r="B1073" s="7" t="s">
        <v>94</v>
      </c>
      <c r="C1073" s="24" t="str">
        <f>VLOOKUP(revenue[customerID],customers[],2,FALSE)</f>
        <v>Great Lakes Food Market</v>
      </c>
      <c r="D1073" s="24" t="str">
        <f>VLOOKUP(revenue[customerID],customers[],6,FALSE)</f>
        <v>Eugene</v>
      </c>
      <c r="E1073" s="24" t="str">
        <f>VLOOKUP(revenue[customerID],customers[],9,FALSE)</f>
        <v>USA</v>
      </c>
      <c r="F1073" s="24">
        <v>45173.0</v>
      </c>
      <c r="G1073" s="6">
        <v>44.0</v>
      </c>
      <c r="H1073" s="9" t="str">
        <f>VLOOKUP(revenue[productID],products[],2,FALSE)</f>
        <v>Gula Malacca</v>
      </c>
      <c r="I1073" s="9" t="str">
        <f>VLOOKUP(revenue[productID],products[],12,FALSE)</f>
        <v>Condiments</v>
      </c>
      <c r="J1073" s="9">
        <f>VLOOKUP(revenue[productID],products[],IF(YEAR(revenue[orderDate])=2022,8,IF(YEAR(revenue[orderDate])=2023,9,IF(YEAR(revenue[orderDate])=2024,10,NA))),FALSE)</f>
        <v>13.06032103</v>
      </c>
      <c r="K1073" s="9">
        <v>19.45</v>
      </c>
      <c r="L1073" s="25">
        <f>(revenue[orderPrice]-revenue[productCost])/revenue[productCost]</f>
        <v>0.4892436379</v>
      </c>
      <c r="M1073" s="10">
        <v>28.0</v>
      </c>
      <c r="N1073" s="25">
        <v>0.1</v>
      </c>
      <c r="O1073" s="9">
        <f>revenue[orderPrice]*revenue[orderQuantity]</f>
        <v>544.6</v>
      </c>
      <c r="P1073" s="9">
        <f>revenue[orderTotal]*(1-revenue[discountApllied])</f>
        <v>490.14</v>
      </c>
      <c r="Q1073" s="9">
        <f>revenue[revenue]-(revenue[productCost]*revenue[orderQuantity])</f>
        <v>124.4510112</v>
      </c>
      <c r="R1073" s="25">
        <f>IFERROR(revenue[profit]/revenue[revenue], 0)</f>
        <v>0.2539091101</v>
      </c>
      <c r="S1073" s="9">
        <f>revenue[productCost]*revenue[orderQuantity]</f>
        <v>365.6889888</v>
      </c>
    </row>
    <row r="1074" ht="15.75" customHeight="1">
      <c r="A1074" s="6">
        <v>10656.0</v>
      </c>
      <c r="B1074" s="7" t="s">
        <v>94</v>
      </c>
      <c r="C1074" s="24" t="str">
        <f>VLOOKUP(revenue[customerID],customers[],2,FALSE)</f>
        <v>Great Lakes Food Market</v>
      </c>
      <c r="D1074" s="24" t="str">
        <f>VLOOKUP(revenue[customerID],customers[],6,FALSE)</f>
        <v>Eugene</v>
      </c>
      <c r="E1074" s="24" t="str">
        <f>VLOOKUP(revenue[customerID],customers[],9,FALSE)</f>
        <v>USA</v>
      </c>
      <c r="F1074" s="24">
        <v>45173.0</v>
      </c>
      <c r="G1074" s="6">
        <v>47.0</v>
      </c>
      <c r="H1074" s="9" t="str">
        <f>VLOOKUP(revenue[productID],products[],2,FALSE)</f>
        <v>Zaanse koeken</v>
      </c>
      <c r="I1074" s="9" t="str">
        <f>VLOOKUP(revenue[productID],products[],12,FALSE)</f>
        <v>Confections</v>
      </c>
      <c r="J1074" s="9">
        <f>VLOOKUP(revenue[productID],products[],IF(YEAR(revenue[orderDate])=2022,8,IF(YEAR(revenue[orderDate])=2023,9,IF(YEAR(revenue[orderDate])=2024,10,NA))),FALSE)</f>
        <v>6.57708833</v>
      </c>
      <c r="K1074" s="9">
        <v>9.5</v>
      </c>
      <c r="L1074" s="25">
        <f>(revenue[orderPrice]-revenue[productCost])/revenue[productCost]</f>
        <v>0.4444081519</v>
      </c>
      <c r="M1074" s="10">
        <v>6.0</v>
      </c>
      <c r="N1074" s="25">
        <v>0.1</v>
      </c>
      <c r="O1074" s="9">
        <f>revenue[orderPrice]*revenue[orderQuantity]</f>
        <v>57</v>
      </c>
      <c r="P1074" s="9">
        <f>revenue[orderTotal]*(1-revenue[discountApllied])</f>
        <v>51.3</v>
      </c>
      <c r="Q1074" s="9">
        <f>revenue[revenue]-(revenue[productCost]*revenue[orderQuantity])</f>
        <v>11.83747002</v>
      </c>
      <c r="R1074" s="25">
        <f>IFERROR(revenue[profit]/revenue[revenue], 0)</f>
        <v>0.2307499029</v>
      </c>
      <c r="S1074" s="9">
        <f>revenue[productCost]*revenue[orderQuantity]</f>
        <v>39.46252998</v>
      </c>
    </row>
    <row r="1075" ht="15.75" customHeight="1">
      <c r="A1075" s="6">
        <v>10657.0</v>
      </c>
      <c r="B1075" s="7" t="s">
        <v>60</v>
      </c>
      <c r="C1075" s="24" t="str">
        <f>VLOOKUP(revenue[customerID],customers[],2,FALSE)</f>
        <v>Save-a-lot Markets</v>
      </c>
      <c r="D1075" s="24" t="str">
        <f>VLOOKUP(revenue[customerID],customers[],6,FALSE)</f>
        <v>Boise</v>
      </c>
      <c r="E1075" s="24" t="str">
        <f>VLOOKUP(revenue[customerID],customers[],9,FALSE)</f>
        <v>USA</v>
      </c>
      <c r="F1075" s="24">
        <v>45173.0</v>
      </c>
      <c r="G1075" s="6">
        <v>15.0</v>
      </c>
      <c r="H1075" s="9" t="str">
        <f>VLOOKUP(revenue[productID],products[],2,FALSE)</f>
        <v>Genen Shouyu</v>
      </c>
      <c r="I1075" s="9" t="str">
        <f>VLOOKUP(revenue[productID],products[],12,FALSE)</f>
        <v>Condiments</v>
      </c>
      <c r="J1075" s="9">
        <f>VLOOKUP(revenue[productID],products[],IF(YEAR(revenue[orderDate])=2022,8,IF(YEAR(revenue[orderDate])=2023,9,IF(YEAR(revenue[orderDate])=2024,10,NA))),FALSE)</f>
        <v>10.78394742</v>
      </c>
      <c r="K1075" s="9">
        <v>15.5</v>
      </c>
      <c r="L1075" s="25">
        <f>(revenue[orderPrice]-revenue[productCost])/revenue[productCost]</f>
        <v>0.4373215478</v>
      </c>
      <c r="M1075" s="10">
        <v>50.0</v>
      </c>
      <c r="N1075" s="25">
        <v>0.0</v>
      </c>
      <c r="O1075" s="9">
        <f>revenue[orderPrice]*revenue[orderQuantity]</f>
        <v>775</v>
      </c>
      <c r="P1075" s="9">
        <f>revenue[orderTotal]*(1-revenue[discountApllied])</f>
        <v>775</v>
      </c>
      <c r="Q1075" s="9">
        <f>revenue[revenue]-(revenue[productCost]*revenue[orderQuantity])</f>
        <v>235.8026289</v>
      </c>
      <c r="R1075" s="25">
        <f>IFERROR(revenue[profit]/revenue[revenue], 0)</f>
        <v>0.3042614566</v>
      </c>
      <c r="S1075" s="9">
        <f>revenue[productCost]*revenue[orderQuantity]</f>
        <v>539.1973711</v>
      </c>
    </row>
    <row r="1076" ht="15.75" customHeight="1">
      <c r="A1076" s="6">
        <v>10657.0</v>
      </c>
      <c r="B1076" s="7" t="s">
        <v>60</v>
      </c>
      <c r="C1076" s="24" t="str">
        <f>VLOOKUP(revenue[customerID],customers[],2,FALSE)</f>
        <v>Save-a-lot Markets</v>
      </c>
      <c r="D1076" s="24" t="str">
        <f>VLOOKUP(revenue[customerID],customers[],6,FALSE)</f>
        <v>Boise</v>
      </c>
      <c r="E1076" s="24" t="str">
        <f>VLOOKUP(revenue[customerID],customers[],9,FALSE)</f>
        <v>USA</v>
      </c>
      <c r="F1076" s="24">
        <v>45173.0</v>
      </c>
      <c r="G1076" s="6">
        <v>41.0</v>
      </c>
      <c r="H1076" s="9" t="str">
        <f>VLOOKUP(revenue[productID],products[],2,FALSE)</f>
        <v>Jack's New England Clam Chowder</v>
      </c>
      <c r="I1076" s="9" t="str">
        <f>VLOOKUP(revenue[productID],products[],12,FALSE)</f>
        <v>Seafood</v>
      </c>
      <c r="J1076" s="9">
        <f>VLOOKUP(revenue[productID],products[],IF(YEAR(revenue[orderDate])=2022,8,IF(YEAR(revenue[orderDate])=2023,9,IF(YEAR(revenue[orderDate])=2024,10,NA))),FALSE)</f>
        <v>6.549914856</v>
      </c>
      <c r="K1076" s="9">
        <v>9.65</v>
      </c>
      <c r="L1076" s="25">
        <f>(revenue[orderPrice]-revenue[productCost])/revenue[productCost]</f>
        <v>0.4733015943</v>
      </c>
      <c r="M1076" s="10">
        <v>24.0</v>
      </c>
      <c r="N1076" s="25">
        <v>0.0</v>
      </c>
      <c r="O1076" s="9">
        <f>revenue[orderPrice]*revenue[orderQuantity]</f>
        <v>231.6</v>
      </c>
      <c r="P1076" s="9">
        <f>revenue[orderTotal]*(1-revenue[discountApllied])</f>
        <v>231.6</v>
      </c>
      <c r="Q1076" s="9">
        <f>revenue[revenue]-(revenue[productCost]*revenue[orderQuantity])</f>
        <v>74.40204346</v>
      </c>
      <c r="R1076" s="25">
        <f>IFERROR(revenue[profit]/revenue[revenue], 0)</f>
        <v>0.3212523465</v>
      </c>
      <c r="S1076" s="9">
        <f>revenue[productCost]*revenue[orderQuantity]</f>
        <v>157.1979565</v>
      </c>
    </row>
    <row r="1077" ht="15.75" customHeight="1">
      <c r="A1077" s="6">
        <v>10657.0</v>
      </c>
      <c r="B1077" s="7" t="s">
        <v>60</v>
      </c>
      <c r="C1077" s="24" t="str">
        <f>VLOOKUP(revenue[customerID],customers[],2,FALSE)</f>
        <v>Save-a-lot Markets</v>
      </c>
      <c r="D1077" s="24" t="str">
        <f>VLOOKUP(revenue[customerID],customers[],6,FALSE)</f>
        <v>Boise</v>
      </c>
      <c r="E1077" s="24" t="str">
        <f>VLOOKUP(revenue[customerID],customers[],9,FALSE)</f>
        <v>USA</v>
      </c>
      <c r="F1077" s="24">
        <v>45173.0</v>
      </c>
      <c r="G1077" s="6">
        <v>46.0</v>
      </c>
      <c r="H1077" s="9" t="str">
        <f>VLOOKUP(revenue[productID],products[],2,FALSE)</f>
        <v>Spegesild</v>
      </c>
      <c r="I1077" s="9" t="str">
        <f>VLOOKUP(revenue[productID],products[],12,FALSE)</f>
        <v>Seafood</v>
      </c>
      <c r="J1077" s="9">
        <f>VLOOKUP(revenue[productID],products[],IF(YEAR(revenue[orderDate])=2022,8,IF(YEAR(revenue[orderDate])=2023,9,IF(YEAR(revenue[orderDate])=2024,10,NA))),FALSE)</f>
        <v>7.087990753</v>
      </c>
      <c r="K1077" s="9">
        <v>12.0</v>
      </c>
      <c r="L1077" s="25">
        <f>(revenue[orderPrice]-revenue[productCost])/revenue[productCost]</f>
        <v>0.693004466</v>
      </c>
      <c r="M1077" s="10">
        <v>45.0</v>
      </c>
      <c r="N1077" s="25">
        <v>0.0</v>
      </c>
      <c r="O1077" s="9">
        <f>revenue[orderPrice]*revenue[orderQuantity]</f>
        <v>540</v>
      </c>
      <c r="P1077" s="9">
        <f>revenue[orderTotal]*(1-revenue[discountApllied])</f>
        <v>540</v>
      </c>
      <c r="Q1077" s="9">
        <f>revenue[revenue]-(revenue[productCost]*revenue[orderQuantity])</f>
        <v>221.0404161</v>
      </c>
      <c r="R1077" s="25">
        <f>IFERROR(revenue[profit]/revenue[revenue], 0)</f>
        <v>0.4093341039</v>
      </c>
      <c r="S1077" s="9">
        <f>revenue[productCost]*revenue[orderQuantity]</f>
        <v>318.9595839</v>
      </c>
    </row>
    <row r="1078" ht="15.75" customHeight="1">
      <c r="A1078" s="6">
        <v>10657.0</v>
      </c>
      <c r="B1078" s="7" t="s">
        <v>60</v>
      </c>
      <c r="C1078" s="24" t="str">
        <f>VLOOKUP(revenue[customerID],customers[],2,FALSE)</f>
        <v>Save-a-lot Markets</v>
      </c>
      <c r="D1078" s="24" t="str">
        <f>VLOOKUP(revenue[customerID],customers[],6,FALSE)</f>
        <v>Boise</v>
      </c>
      <c r="E1078" s="24" t="str">
        <f>VLOOKUP(revenue[customerID],customers[],9,FALSE)</f>
        <v>USA</v>
      </c>
      <c r="F1078" s="24">
        <v>45173.0</v>
      </c>
      <c r="G1078" s="6">
        <v>47.0</v>
      </c>
      <c r="H1078" s="9" t="str">
        <f>VLOOKUP(revenue[productID],products[],2,FALSE)</f>
        <v>Zaanse koeken</v>
      </c>
      <c r="I1078" s="9" t="str">
        <f>VLOOKUP(revenue[productID],products[],12,FALSE)</f>
        <v>Confections</v>
      </c>
      <c r="J1078" s="9">
        <f>VLOOKUP(revenue[productID],products[],IF(YEAR(revenue[orderDate])=2022,8,IF(YEAR(revenue[orderDate])=2023,9,IF(YEAR(revenue[orderDate])=2024,10,NA))),FALSE)</f>
        <v>6.57708833</v>
      </c>
      <c r="K1078" s="9">
        <v>9.5</v>
      </c>
      <c r="L1078" s="25">
        <f>(revenue[orderPrice]-revenue[productCost])/revenue[productCost]</f>
        <v>0.4444081519</v>
      </c>
      <c r="M1078" s="10">
        <v>10.0</v>
      </c>
      <c r="N1078" s="25">
        <v>0.0</v>
      </c>
      <c r="O1078" s="9">
        <f>revenue[orderPrice]*revenue[orderQuantity]</f>
        <v>95</v>
      </c>
      <c r="P1078" s="9">
        <f>revenue[orderTotal]*(1-revenue[discountApllied])</f>
        <v>95</v>
      </c>
      <c r="Q1078" s="9">
        <f>revenue[revenue]-(revenue[productCost]*revenue[orderQuantity])</f>
        <v>29.2291167</v>
      </c>
      <c r="R1078" s="25">
        <f>IFERROR(revenue[profit]/revenue[revenue], 0)</f>
        <v>0.3076749126</v>
      </c>
      <c r="S1078" s="9">
        <f>revenue[productCost]*revenue[orderQuantity]</f>
        <v>65.7708833</v>
      </c>
    </row>
    <row r="1079" ht="15.75" customHeight="1">
      <c r="A1079" s="6">
        <v>10657.0</v>
      </c>
      <c r="B1079" s="7" t="s">
        <v>60</v>
      </c>
      <c r="C1079" s="24" t="str">
        <f>VLOOKUP(revenue[customerID],customers[],2,FALSE)</f>
        <v>Save-a-lot Markets</v>
      </c>
      <c r="D1079" s="24" t="str">
        <f>VLOOKUP(revenue[customerID],customers[],6,FALSE)</f>
        <v>Boise</v>
      </c>
      <c r="E1079" s="24" t="str">
        <f>VLOOKUP(revenue[customerID],customers[],9,FALSE)</f>
        <v>USA</v>
      </c>
      <c r="F1079" s="24">
        <v>45173.0</v>
      </c>
      <c r="G1079" s="6">
        <v>56.0</v>
      </c>
      <c r="H1079" s="9" t="str">
        <f>VLOOKUP(revenue[productID],products[],2,FALSE)</f>
        <v>Gnocchi di nonna Alice</v>
      </c>
      <c r="I1079" s="9" t="str">
        <f>VLOOKUP(revenue[productID],products[],12,FALSE)</f>
        <v>Grains/Cereals</v>
      </c>
      <c r="J1079" s="9">
        <f>VLOOKUP(revenue[productID],products[],IF(YEAR(revenue[orderDate])=2022,8,IF(YEAR(revenue[orderDate])=2023,9,IF(YEAR(revenue[orderDate])=2024,10,NA))),FALSE)</f>
        <v>24.28342441</v>
      </c>
      <c r="K1079" s="9">
        <v>38.0</v>
      </c>
      <c r="L1079" s="25">
        <f>(revenue[orderPrice]-revenue[productCost])/revenue[productCost]</f>
        <v>0.5648534309</v>
      </c>
      <c r="M1079" s="10">
        <v>45.0</v>
      </c>
      <c r="N1079" s="25">
        <v>0.0</v>
      </c>
      <c r="O1079" s="9">
        <f>revenue[orderPrice]*revenue[orderQuantity]</f>
        <v>1710</v>
      </c>
      <c r="P1079" s="9">
        <f>revenue[orderTotal]*(1-revenue[discountApllied])</f>
        <v>1710</v>
      </c>
      <c r="Q1079" s="9">
        <f>revenue[revenue]-(revenue[productCost]*revenue[orderQuantity])</f>
        <v>617.2459016</v>
      </c>
      <c r="R1079" s="25">
        <f>IFERROR(revenue[profit]/revenue[revenue], 0)</f>
        <v>0.3609625156</v>
      </c>
      <c r="S1079" s="9">
        <f>revenue[productCost]*revenue[orderQuantity]</f>
        <v>1092.754098</v>
      </c>
    </row>
    <row r="1080" ht="15.75" customHeight="1">
      <c r="A1080" s="6">
        <v>10657.0</v>
      </c>
      <c r="B1080" s="7" t="s">
        <v>60</v>
      </c>
      <c r="C1080" s="24" t="str">
        <f>VLOOKUP(revenue[customerID],customers[],2,FALSE)</f>
        <v>Save-a-lot Markets</v>
      </c>
      <c r="D1080" s="24" t="str">
        <f>VLOOKUP(revenue[customerID],customers[],6,FALSE)</f>
        <v>Boise</v>
      </c>
      <c r="E1080" s="24" t="str">
        <f>VLOOKUP(revenue[customerID],customers[],9,FALSE)</f>
        <v>USA</v>
      </c>
      <c r="F1080" s="24">
        <v>45173.0</v>
      </c>
      <c r="G1080" s="6">
        <v>60.0</v>
      </c>
      <c r="H1080" s="9" t="str">
        <f>VLOOKUP(revenue[productID],products[],2,FALSE)</f>
        <v>Camembert Pierrot</v>
      </c>
      <c r="I1080" s="9" t="str">
        <f>VLOOKUP(revenue[productID],products[],12,FALSE)</f>
        <v>Dairy Products</v>
      </c>
      <c r="J1080" s="9">
        <f>VLOOKUP(revenue[productID],products[],IF(YEAR(revenue[orderDate])=2022,8,IF(YEAR(revenue[orderDate])=2023,9,IF(YEAR(revenue[orderDate])=2024,10,NA))),FALSE)</f>
        <v>22.77098295</v>
      </c>
      <c r="K1080" s="9">
        <v>34.0</v>
      </c>
      <c r="L1080" s="25">
        <f>(revenue[orderPrice]-revenue[productCost])/revenue[productCost]</f>
        <v>0.4931283415</v>
      </c>
      <c r="M1080" s="10">
        <v>30.0</v>
      </c>
      <c r="N1080" s="25">
        <v>0.0</v>
      </c>
      <c r="O1080" s="9">
        <f>revenue[orderPrice]*revenue[orderQuantity]</f>
        <v>1020</v>
      </c>
      <c r="P1080" s="9">
        <f>revenue[orderTotal]*(1-revenue[discountApllied])</f>
        <v>1020</v>
      </c>
      <c r="Q1080" s="9">
        <f>revenue[revenue]-(revenue[productCost]*revenue[orderQuantity])</f>
        <v>336.8705116</v>
      </c>
      <c r="R1080" s="25">
        <f>IFERROR(revenue[profit]/revenue[revenue], 0)</f>
        <v>0.3302652075</v>
      </c>
      <c r="S1080" s="9">
        <f>revenue[productCost]*revenue[orderQuantity]</f>
        <v>683.1294884</v>
      </c>
    </row>
    <row r="1081" ht="15.75" customHeight="1">
      <c r="A1081" s="6">
        <v>10658.0</v>
      </c>
      <c r="B1081" s="7" t="s">
        <v>36</v>
      </c>
      <c r="C1081" s="24" t="str">
        <f>VLOOKUP(revenue[customerID],customers[],2,FALSE)</f>
        <v>QUICK-Stop</v>
      </c>
      <c r="D1081" s="24" t="str">
        <f>VLOOKUP(revenue[customerID],customers[],6,FALSE)</f>
        <v>Cunewalde</v>
      </c>
      <c r="E1081" s="24" t="str">
        <f>VLOOKUP(revenue[customerID],customers[],9,FALSE)</f>
        <v>Germany</v>
      </c>
      <c r="F1081" s="24">
        <v>45174.0</v>
      </c>
      <c r="G1081" s="6">
        <v>21.0</v>
      </c>
      <c r="H1081" s="9" t="str">
        <f>VLOOKUP(revenue[productID],products[],2,FALSE)</f>
        <v>Sir Rodney's Scones</v>
      </c>
      <c r="I1081" s="9" t="str">
        <f>VLOOKUP(revenue[productID],products[],12,FALSE)</f>
        <v>Confections</v>
      </c>
      <c r="J1081" s="9">
        <f>VLOOKUP(revenue[productID],products[],IF(YEAR(revenue[orderDate])=2022,8,IF(YEAR(revenue[orderDate])=2023,9,IF(YEAR(revenue[orderDate])=2024,10,NA))),FALSE)</f>
        <v>6.725636111</v>
      </c>
      <c r="K1081" s="9">
        <v>10.0</v>
      </c>
      <c r="L1081" s="25">
        <f>(revenue[orderPrice]-revenue[productCost])/revenue[productCost]</f>
        <v>0.486848208</v>
      </c>
      <c r="M1081" s="10">
        <v>60.0</v>
      </c>
      <c r="N1081" s="25">
        <v>0.0</v>
      </c>
      <c r="O1081" s="9">
        <f>revenue[orderPrice]*revenue[orderQuantity]</f>
        <v>600</v>
      </c>
      <c r="P1081" s="9">
        <f>revenue[orderTotal]*(1-revenue[discountApllied])</f>
        <v>600</v>
      </c>
      <c r="Q1081" s="9">
        <f>revenue[revenue]-(revenue[productCost]*revenue[orderQuantity])</f>
        <v>196.4618333</v>
      </c>
      <c r="R1081" s="25">
        <f>IFERROR(revenue[profit]/revenue[revenue], 0)</f>
        <v>0.3274363889</v>
      </c>
      <c r="S1081" s="9">
        <f>revenue[productCost]*revenue[orderQuantity]</f>
        <v>403.5381667</v>
      </c>
    </row>
    <row r="1082" ht="15.75" customHeight="1">
      <c r="A1082" s="6">
        <v>10658.0</v>
      </c>
      <c r="B1082" s="7" t="s">
        <v>36</v>
      </c>
      <c r="C1082" s="24" t="str">
        <f>VLOOKUP(revenue[customerID],customers[],2,FALSE)</f>
        <v>QUICK-Stop</v>
      </c>
      <c r="D1082" s="24" t="str">
        <f>VLOOKUP(revenue[customerID],customers[],6,FALSE)</f>
        <v>Cunewalde</v>
      </c>
      <c r="E1082" s="24" t="str">
        <f>VLOOKUP(revenue[customerID],customers[],9,FALSE)</f>
        <v>Germany</v>
      </c>
      <c r="F1082" s="24">
        <v>45174.0</v>
      </c>
      <c r="G1082" s="6">
        <v>40.0</v>
      </c>
      <c r="H1082" s="9" t="str">
        <f>VLOOKUP(revenue[productID],products[],2,FALSE)</f>
        <v>Boston Crab Meat</v>
      </c>
      <c r="I1082" s="9" t="str">
        <f>VLOOKUP(revenue[productID],products[],12,FALSE)</f>
        <v>Seafood</v>
      </c>
      <c r="J1082" s="9">
        <f>VLOOKUP(revenue[productID],products[],IF(YEAR(revenue[orderDate])=2022,8,IF(YEAR(revenue[orderDate])=2023,9,IF(YEAR(revenue[orderDate])=2024,10,NA))),FALSE)</f>
        <v>11.40496523</v>
      </c>
      <c r="K1082" s="9">
        <v>18.4</v>
      </c>
      <c r="L1082" s="25">
        <f>(revenue[orderPrice]-revenue[productCost])/revenue[productCost]</f>
        <v>0.6133324069</v>
      </c>
      <c r="M1082" s="10">
        <v>70.0</v>
      </c>
      <c r="N1082" s="25">
        <v>0.05</v>
      </c>
      <c r="O1082" s="9">
        <f>revenue[orderPrice]*revenue[orderQuantity]</f>
        <v>1288</v>
      </c>
      <c r="P1082" s="9">
        <f>revenue[orderTotal]*(1-revenue[discountApllied])</f>
        <v>1223.6</v>
      </c>
      <c r="Q1082" s="9">
        <f>revenue[revenue]-(revenue[productCost]*revenue[orderQuantity])</f>
        <v>425.2524341</v>
      </c>
      <c r="R1082" s="25">
        <f>IFERROR(revenue[profit]/revenue[revenue], 0)</f>
        <v>0.3475420351</v>
      </c>
      <c r="S1082" s="9">
        <f>revenue[productCost]*revenue[orderQuantity]</f>
        <v>798.3475659</v>
      </c>
    </row>
    <row r="1083" ht="15.75" customHeight="1">
      <c r="A1083" s="6">
        <v>10658.0</v>
      </c>
      <c r="B1083" s="7" t="s">
        <v>36</v>
      </c>
      <c r="C1083" s="24" t="str">
        <f>VLOOKUP(revenue[customerID],customers[],2,FALSE)</f>
        <v>QUICK-Stop</v>
      </c>
      <c r="D1083" s="24" t="str">
        <f>VLOOKUP(revenue[customerID],customers[],6,FALSE)</f>
        <v>Cunewalde</v>
      </c>
      <c r="E1083" s="24" t="str">
        <f>VLOOKUP(revenue[customerID],customers[],9,FALSE)</f>
        <v>Germany</v>
      </c>
      <c r="F1083" s="24">
        <v>45174.0</v>
      </c>
      <c r="G1083" s="6">
        <v>60.0</v>
      </c>
      <c r="H1083" s="9" t="str">
        <f>VLOOKUP(revenue[productID],products[],2,FALSE)</f>
        <v>Camembert Pierrot</v>
      </c>
      <c r="I1083" s="9" t="str">
        <f>VLOOKUP(revenue[productID],products[],12,FALSE)</f>
        <v>Dairy Products</v>
      </c>
      <c r="J1083" s="9">
        <f>VLOOKUP(revenue[productID],products[],IF(YEAR(revenue[orderDate])=2022,8,IF(YEAR(revenue[orderDate])=2023,9,IF(YEAR(revenue[orderDate])=2024,10,NA))),FALSE)</f>
        <v>22.77098295</v>
      </c>
      <c r="K1083" s="9">
        <v>34.0</v>
      </c>
      <c r="L1083" s="25">
        <f>(revenue[orderPrice]-revenue[productCost])/revenue[productCost]</f>
        <v>0.4931283415</v>
      </c>
      <c r="M1083" s="10">
        <v>55.0</v>
      </c>
      <c r="N1083" s="25">
        <v>0.05</v>
      </c>
      <c r="O1083" s="9">
        <f>revenue[orderPrice]*revenue[orderQuantity]</f>
        <v>1870</v>
      </c>
      <c r="P1083" s="9">
        <f>revenue[orderTotal]*(1-revenue[discountApllied])</f>
        <v>1776.5</v>
      </c>
      <c r="Q1083" s="9">
        <f>revenue[revenue]-(revenue[productCost]*revenue[orderQuantity])</f>
        <v>524.095938</v>
      </c>
      <c r="R1083" s="25">
        <f>IFERROR(revenue[profit]/revenue[revenue], 0)</f>
        <v>0.2950160079</v>
      </c>
      <c r="S1083" s="9">
        <f>revenue[productCost]*revenue[orderQuantity]</f>
        <v>1252.404062</v>
      </c>
    </row>
    <row r="1084" ht="15.75" customHeight="1">
      <c r="A1084" s="6">
        <v>10658.0</v>
      </c>
      <c r="B1084" s="7" t="s">
        <v>36</v>
      </c>
      <c r="C1084" s="24" t="str">
        <f>VLOOKUP(revenue[customerID],customers[],2,FALSE)</f>
        <v>QUICK-Stop</v>
      </c>
      <c r="D1084" s="24" t="str">
        <f>VLOOKUP(revenue[customerID],customers[],6,FALSE)</f>
        <v>Cunewalde</v>
      </c>
      <c r="E1084" s="24" t="str">
        <f>VLOOKUP(revenue[customerID],customers[],9,FALSE)</f>
        <v>Germany</v>
      </c>
      <c r="F1084" s="24">
        <v>45174.0</v>
      </c>
      <c r="G1084" s="6">
        <v>77.0</v>
      </c>
      <c r="H1084" s="9" t="str">
        <f>VLOOKUP(revenue[productID],products[],2,FALSE)</f>
        <v>Original Frankfurter grüne Soße</v>
      </c>
      <c r="I1084" s="9" t="str">
        <f>VLOOKUP(revenue[productID],products[],12,FALSE)</f>
        <v>Condiments</v>
      </c>
      <c r="J1084" s="9">
        <f>VLOOKUP(revenue[productID],products[],IF(YEAR(revenue[orderDate])=2022,8,IF(YEAR(revenue[orderDate])=2023,9,IF(YEAR(revenue[orderDate])=2024,10,NA))),FALSE)</f>
        <v>7.539056452</v>
      </c>
      <c r="K1084" s="9">
        <v>13.0</v>
      </c>
      <c r="L1084" s="25">
        <f>(revenue[orderPrice]-revenue[productCost])/revenue[productCost]</f>
        <v>0.7243537149</v>
      </c>
      <c r="M1084" s="10">
        <v>70.0</v>
      </c>
      <c r="N1084" s="25">
        <v>0.05</v>
      </c>
      <c r="O1084" s="9">
        <f>revenue[orderPrice]*revenue[orderQuantity]</f>
        <v>910</v>
      </c>
      <c r="P1084" s="9">
        <f>revenue[orderTotal]*(1-revenue[discountApllied])</f>
        <v>864.5</v>
      </c>
      <c r="Q1084" s="9">
        <f>revenue[revenue]-(revenue[productCost]*revenue[orderQuantity])</f>
        <v>336.7660484</v>
      </c>
      <c r="R1084" s="25">
        <f>IFERROR(revenue[profit]/revenue[revenue], 0)</f>
        <v>0.3895500848</v>
      </c>
      <c r="S1084" s="9">
        <f>revenue[productCost]*revenue[orderQuantity]</f>
        <v>527.7339516</v>
      </c>
    </row>
    <row r="1085" ht="15.75" customHeight="1">
      <c r="A1085" s="6">
        <v>10659.0</v>
      </c>
      <c r="B1085" s="7" t="s">
        <v>77</v>
      </c>
      <c r="C1085" s="24" t="str">
        <f>VLOOKUP(revenue[customerID],customers[],2,FALSE)</f>
        <v>Queen Cozinha</v>
      </c>
      <c r="D1085" s="24" t="str">
        <f>VLOOKUP(revenue[customerID],customers[],6,FALSE)</f>
        <v>Sao Paulo</v>
      </c>
      <c r="E1085" s="24" t="str">
        <f>VLOOKUP(revenue[customerID],customers[],9,FALSE)</f>
        <v>Brazil</v>
      </c>
      <c r="F1085" s="24">
        <v>45174.0</v>
      </c>
      <c r="G1085" s="6">
        <v>31.0</v>
      </c>
      <c r="H1085" s="9" t="str">
        <f>VLOOKUP(revenue[productID],products[],2,FALSE)</f>
        <v>Gorgonzola Telino</v>
      </c>
      <c r="I1085" s="9" t="str">
        <f>VLOOKUP(revenue[productID],products[],12,FALSE)</f>
        <v>Dairy Products</v>
      </c>
      <c r="J1085" s="9">
        <f>VLOOKUP(revenue[productID],products[],IF(YEAR(revenue[orderDate])=2022,8,IF(YEAR(revenue[orderDate])=2023,9,IF(YEAR(revenue[orderDate])=2024,10,NA))),FALSE)</f>
        <v>7.937729254</v>
      </c>
      <c r="K1085" s="9">
        <v>12.5</v>
      </c>
      <c r="L1085" s="25">
        <f>(revenue[orderPrice]-revenue[productCost])/revenue[productCost]</f>
        <v>0.5747576668</v>
      </c>
      <c r="M1085" s="10">
        <v>20.0</v>
      </c>
      <c r="N1085" s="25">
        <v>0.05</v>
      </c>
      <c r="O1085" s="9">
        <f>revenue[orderPrice]*revenue[orderQuantity]</f>
        <v>250</v>
      </c>
      <c r="P1085" s="9">
        <f>revenue[orderTotal]*(1-revenue[discountApllied])</f>
        <v>237.5</v>
      </c>
      <c r="Q1085" s="9">
        <f>revenue[revenue]-(revenue[productCost]*revenue[orderQuantity])</f>
        <v>78.74541492</v>
      </c>
      <c r="R1085" s="25">
        <f>IFERROR(revenue[profit]/revenue[revenue], 0)</f>
        <v>0.3315596417</v>
      </c>
      <c r="S1085" s="9">
        <f>revenue[productCost]*revenue[orderQuantity]</f>
        <v>158.7545851</v>
      </c>
    </row>
    <row r="1086" ht="15.75" customHeight="1">
      <c r="A1086" s="6">
        <v>10659.0</v>
      </c>
      <c r="B1086" s="7" t="s">
        <v>77</v>
      </c>
      <c r="C1086" s="24" t="str">
        <f>VLOOKUP(revenue[customerID],customers[],2,FALSE)</f>
        <v>Queen Cozinha</v>
      </c>
      <c r="D1086" s="24" t="str">
        <f>VLOOKUP(revenue[customerID],customers[],6,FALSE)</f>
        <v>Sao Paulo</v>
      </c>
      <c r="E1086" s="24" t="str">
        <f>VLOOKUP(revenue[customerID],customers[],9,FALSE)</f>
        <v>Brazil</v>
      </c>
      <c r="F1086" s="24">
        <v>45174.0</v>
      </c>
      <c r="G1086" s="6">
        <v>40.0</v>
      </c>
      <c r="H1086" s="9" t="str">
        <f>VLOOKUP(revenue[productID],products[],2,FALSE)</f>
        <v>Boston Crab Meat</v>
      </c>
      <c r="I1086" s="9" t="str">
        <f>VLOOKUP(revenue[productID],products[],12,FALSE)</f>
        <v>Seafood</v>
      </c>
      <c r="J1086" s="9">
        <f>VLOOKUP(revenue[productID],products[],IF(YEAR(revenue[orderDate])=2022,8,IF(YEAR(revenue[orderDate])=2023,9,IF(YEAR(revenue[orderDate])=2024,10,NA))),FALSE)</f>
        <v>11.40496523</v>
      </c>
      <c r="K1086" s="9">
        <v>18.4</v>
      </c>
      <c r="L1086" s="25">
        <f>(revenue[orderPrice]-revenue[productCost])/revenue[productCost]</f>
        <v>0.6133324069</v>
      </c>
      <c r="M1086" s="10">
        <v>24.0</v>
      </c>
      <c r="N1086" s="25">
        <v>0.05</v>
      </c>
      <c r="O1086" s="9">
        <f>revenue[orderPrice]*revenue[orderQuantity]</f>
        <v>441.6</v>
      </c>
      <c r="P1086" s="9">
        <f>revenue[orderTotal]*(1-revenue[discountApllied])</f>
        <v>419.52</v>
      </c>
      <c r="Q1086" s="9">
        <f>revenue[revenue]-(revenue[productCost]*revenue[orderQuantity])</f>
        <v>145.8008346</v>
      </c>
      <c r="R1086" s="25">
        <f>IFERROR(revenue[profit]/revenue[revenue], 0)</f>
        <v>0.3475420351</v>
      </c>
      <c r="S1086" s="9">
        <f>revenue[productCost]*revenue[orderQuantity]</f>
        <v>273.7191654</v>
      </c>
    </row>
    <row r="1087" ht="15.75" customHeight="1">
      <c r="A1087" s="6">
        <v>10659.0</v>
      </c>
      <c r="B1087" s="7" t="s">
        <v>77</v>
      </c>
      <c r="C1087" s="24" t="str">
        <f>VLOOKUP(revenue[customerID],customers[],2,FALSE)</f>
        <v>Queen Cozinha</v>
      </c>
      <c r="D1087" s="24" t="str">
        <f>VLOOKUP(revenue[customerID],customers[],6,FALSE)</f>
        <v>Sao Paulo</v>
      </c>
      <c r="E1087" s="24" t="str">
        <f>VLOOKUP(revenue[customerID],customers[],9,FALSE)</f>
        <v>Brazil</v>
      </c>
      <c r="F1087" s="24">
        <v>45174.0</v>
      </c>
      <c r="G1087" s="6">
        <v>70.0</v>
      </c>
      <c r="H1087" s="9" t="str">
        <f>VLOOKUP(revenue[productID],products[],2,FALSE)</f>
        <v>Outback Lager</v>
      </c>
      <c r="I1087" s="9" t="str">
        <f>VLOOKUP(revenue[productID],products[],12,FALSE)</f>
        <v>Beverages</v>
      </c>
      <c r="J1087" s="9">
        <f>VLOOKUP(revenue[productID],products[],IF(YEAR(revenue[orderDate])=2022,8,IF(YEAR(revenue[orderDate])=2023,9,IF(YEAR(revenue[orderDate])=2024,10,NA))),FALSE)</f>
        <v>9.793094091</v>
      </c>
      <c r="K1087" s="9">
        <v>15.0</v>
      </c>
      <c r="L1087" s="25">
        <f>(revenue[orderPrice]-revenue[productCost])/revenue[productCost]</f>
        <v>0.5316916044</v>
      </c>
      <c r="M1087" s="10">
        <v>40.0</v>
      </c>
      <c r="N1087" s="25">
        <v>0.05</v>
      </c>
      <c r="O1087" s="9">
        <f>revenue[orderPrice]*revenue[orderQuantity]</f>
        <v>600</v>
      </c>
      <c r="P1087" s="9">
        <f>revenue[orderTotal]*(1-revenue[discountApllied])</f>
        <v>570</v>
      </c>
      <c r="Q1087" s="9">
        <f>revenue[revenue]-(revenue[productCost]*revenue[orderQuantity])</f>
        <v>178.2762364</v>
      </c>
      <c r="R1087" s="25">
        <f>IFERROR(revenue[profit]/revenue[revenue], 0)</f>
        <v>0.3127653269</v>
      </c>
      <c r="S1087" s="9">
        <f>revenue[productCost]*revenue[orderQuantity]</f>
        <v>391.7237636</v>
      </c>
    </row>
    <row r="1088" ht="15.75" customHeight="1">
      <c r="A1088" s="6">
        <v>10660.0</v>
      </c>
      <c r="B1088" s="7" t="s">
        <v>79</v>
      </c>
      <c r="C1088" s="24" t="str">
        <f>VLOOKUP(revenue[customerID],customers[],2,FALSE)</f>
        <v>Hungry Coyote Import Store</v>
      </c>
      <c r="D1088" s="24" t="str">
        <f>VLOOKUP(revenue[customerID],customers[],6,FALSE)</f>
        <v>Elgin</v>
      </c>
      <c r="E1088" s="24" t="str">
        <f>VLOOKUP(revenue[customerID],customers[],9,FALSE)</f>
        <v>USA</v>
      </c>
      <c r="F1088" s="24">
        <v>45177.0</v>
      </c>
      <c r="G1088" s="6">
        <v>20.0</v>
      </c>
      <c r="H1088" s="9" t="str">
        <f>VLOOKUP(revenue[productID],products[],2,FALSE)</f>
        <v>Sir Rodney's Marmalade</v>
      </c>
      <c r="I1088" s="9" t="str">
        <f>VLOOKUP(revenue[productID],products[],12,FALSE)</f>
        <v>Confections</v>
      </c>
      <c r="J1088" s="9">
        <f>VLOOKUP(revenue[productID],products[],IF(YEAR(revenue[orderDate])=2022,8,IF(YEAR(revenue[orderDate])=2023,9,IF(YEAR(revenue[orderDate])=2024,10,NA))),FALSE)</f>
        <v>57.29342071</v>
      </c>
      <c r="K1088" s="9">
        <v>81.0</v>
      </c>
      <c r="L1088" s="25">
        <f>(revenue[orderPrice]-revenue[productCost])/revenue[productCost]</f>
        <v>0.4137748976</v>
      </c>
      <c r="M1088" s="10">
        <v>21.0</v>
      </c>
      <c r="N1088" s="25">
        <v>0.0</v>
      </c>
      <c r="O1088" s="9">
        <f>revenue[orderPrice]*revenue[orderQuantity]</f>
        <v>1701</v>
      </c>
      <c r="P1088" s="9">
        <f>revenue[orderTotal]*(1-revenue[discountApllied])</f>
        <v>1701</v>
      </c>
      <c r="Q1088" s="9">
        <f>revenue[revenue]-(revenue[productCost]*revenue[orderQuantity])</f>
        <v>497.8381651</v>
      </c>
      <c r="R1088" s="25">
        <f>IFERROR(revenue[profit]/revenue[revenue], 0)</f>
        <v>0.2926738184</v>
      </c>
      <c r="S1088" s="9">
        <f>revenue[productCost]*revenue[orderQuantity]</f>
        <v>1203.161835</v>
      </c>
    </row>
    <row r="1089" ht="15.75" customHeight="1">
      <c r="A1089" s="6">
        <v>10661.0</v>
      </c>
      <c r="B1089" s="7" t="s">
        <v>49</v>
      </c>
      <c r="C1089" s="24" t="str">
        <f>VLOOKUP(revenue[customerID],customers[],2,FALSE)</f>
        <v>Hungry Owl All-Night Grocers</v>
      </c>
      <c r="D1089" s="24" t="str">
        <f>VLOOKUP(revenue[customerID],customers[],6,FALSE)</f>
        <v>Cork</v>
      </c>
      <c r="E1089" s="24" t="str">
        <f>VLOOKUP(revenue[customerID],customers[],9,FALSE)</f>
        <v>Ireland</v>
      </c>
      <c r="F1089" s="24">
        <v>45178.0</v>
      </c>
      <c r="G1089" s="6">
        <v>39.0</v>
      </c>
      <c r="H1089" s="9" t="str">
        <f>VLOOKUP(revenue[productID],products[],2,FALSE)</f>
        <v>Chartreuse verte</v>
      </c>
      <c r="I1089" s="9" t="str">
        <f>VLOOKUP(revenue[productID],products[],12,FALSE)</f>
        <v>Beverages</v>
      </c>
      <c r="J1089" s="9">
        <f>VLOOKUP(revenue[productID],products[],IF(YEAR(revenue[orderDate])=2022,8,IF(YEAR(revenue[orderDate])=2023,9,IF(YEAR(revenue[orderDate])=2024,10,NA))),FALSE)</f>
        <v>11.73311441</v>
      </c>
      <c r="K1089" s="9">
        <v>18.0</v>
      </c>
      <c r="L1089" s="25">
        <f>(revenue[orderPrice]-revenue[productCost])/revenue[productCost]</f>
        <v>0.5341195326</v>
      </c>
      <c r="M1089" s="10">
        <v>3.0</v>
      </c>
      <c r="N1089" s="25">
        <v>0.2</v>
      </c>
      <c r="O1089" s="9">
        <f>revenue[orderPrice]*revenue[orderQuantity]</f>
        <v>54</v>
      </c>
      <c r="P1089" s="9">
        <f>revenue[orderTotal]*(1-revenue[discountApllied])</f>
        <v>43.2</v>
      </c>
      <c r="Q1089" s="9">
        <f>revenue[revenue]-(revenue[productCost]*revenue[orderQuantity])</f>
        <v>8.00065676</v>
      </c>
      <c r="R1089" s="25">
        <f>IFERROR(revenue[profit]/revenue[revenue], 0)</f>
        <v>0.185200388</v>
      </c>
      <c r="S1089" s="9">
        <f>revenue[productCost]*revenue[orderQuantity]</f>
        <v>35.19934324</v>
      </c>
    </row>
    <row r="1090" ht="15.75" customHeight="1">
      <c r="A1090" s="6">
        <v>10661.0</v>
      </c>
      <c r="B1090" s="7" t="s">
        <v>49</v>
      </c>
      <c r="C1090" s="24" t="str">
        <f>VLOOKUP(revenue[customerID],customers[],2,FALSE)</f>
        <v>Hungry Owl All-Night Grocers</v>
      </c>
      <c r="D1090" s="24" t="str">
        <f>VLOOKUP(revenue[customerID],customers[],6,FALSE)</f>
        <v>Cork</v>
      </c>
      <c r="E1090" s="24" t="str">
        <f>VLOOKUP(revenue[customerID],customers[],9,FALSE)</f>
        <v>Ireland</v>
      </c>
      <c r="F1090" s="24">
        <v>45178.0</v>
      </c>
      <c r="G1090" s="6">
        <v>58.0</v>
      </c>
      <c r="H1090" s="9" t="str">
        <f>VLOOKUP(revenue[productID],products[],2,FALSE)</f>
        <v>Escargots de Bourgogne</v>
      </c>
      <c r="I1090" s="9" t="str">
        <f>VLOOKUP(revenue[productID],products[],12,FALSE)</f>
        <v>Seafood</v>
      </c>
      <c r="J1090" s="9">
        <f>VLOOKUP(revenue[productID],products[],IF(YEAR(revenue[orderDate])=2022,8,IF(YEAR(revenue[orderDate])=2023,9,IF(YEAR(revenue[orderDate])=2024,10,NA))),FALSE)</f>
        <v>8.208446365</v>
      </c>
      <c r="K1090" s="9">
        <v>13.25</v>
      </c>
      <c r="L1090" s="25">
        <f>(revenue[orderPrice]-revenue[productCost])/revenue[productCost]</f>
        <v>0.61419097</v>
      </c>
      <c r="M1090" s="10">
        <v>49.0</v>
      </c>
      <c r="N1090" s="25">
        <v>0.2</v>
      </c>
      <c r="O1090" s="9">
        <f>revenue[orderPrice]*revenue[orderQuantity]</f>
        <v>649.25</v>
      </c>
      <c r="P1090" s="9">
        <f>revenue[orderTotal]*(1-revenue[discountApllied])</f>
        <v>519.4</v>
      </c>
      <c r="Q1090" s="9">
        <f>revenue[revenue]-(revenue[productCost]*revenue[orderQuantity])</f>
        <v>117.1861281</v>
      </c>
      <c r="R1090" s="25">
        <f>IFERROR(revenue[profit]/revenue[revenue], 0)</f>
        <v>0.2256182675</v>
      </c>
      <c r="S1090" s="9">
        <f>revenue[productCost]*revenue[orderQuantity]</f>
        <v>402.2138719</v>
      </c>
    </row>
    <row r="1091" ht="15.75" customHeight="1">
      <c r="A1091" s="6">
        <v>10662.0</v>
      </c>
      <c r="B1091" s="7" t="s">
        <v>53</v>
      </c>
      <c r="C1091" s="24" t="str">
        <f>VLOOKUP(revenue[customerID],customers[],2,FALSE)</f>
        <v>Lonesome Pine Restaurant</v>
      </c>
      <c r="D1091" s="24" t="str">
        <f>VLOOKUP(revenue[customerID],customers[],6,FALSE)</f>
        <v>Portland</v>
      </c>
      <c r="E1091" s="24" t="str">
        <f>VLOOKUP(revenue[customerID],customers[],9,FALSE)</f>
        <v>USA</v>
      </c>
      <c r="F1091" s="24">
        <v>45178.0</v>
      </c>
      <c r="G1091" s="6">
        <v>68.0</v>
      </c>
      <c r="H1091" s="9" t="str">
        <f>VLOOKUP(revenue[productID],products[],2,FALSE)</f>
        <v>Scottish Longbreads</v>
      </c>
      <c r="I1091" s="9" t="str">
        <f>VLOOKUP(revenue[productID],products[],12,FALSE)</f>
        <v>Confections</v>
      </c>
      <c r="J1091" s="9">
        <f>VLOOKUP(revenue[productID],products[],IF(YEAR(revenue[orderDate])=2022,8,IF(YEAR(revenue[orderDate])=2023,9,IF(YEAR(revenue[orderDate])=2024,10,NA))),FALSE)</f>
        <v>8.500000387</v>
      </c>
      <c r="K1091" s="9">
        <v>12.5</v>
      </c>
      <c r="L1091" s="25">
        <f>(revenue[orderPrice]-revenue[productCost])/revenue[productCost]</f>
        <v>0.4705881684</v>
      </c>
      <c r="M1091" s="10">
        <v>10.0</v>
      </c>
      <c r="N1091" s="25">
        <v>0.0</v>
      </c>
      <c r="O1091" s="9">
        <f>revenue[orderPrice]*revenue[orderQuantity]</f>
        <v>125</v>
      </c>
      <c r="P1091" s="9">
        <f>revenue[orderTotal]*(1-revenue[discountApllied])</f>
        <v>125</v>
      </c>
      <c r="Q1091" s="9">
        <f>revenue[revenue]-(revenue[productCost]*revenue[orderQuantity])</f>
        <v>39.99999613</v>
      </c>
      <c r="R1091" s="25">
        <f>IFERROR(revenue[profit]/revenue[revenue], 0)</f>
        <v>0.3199999691</v>
      </c>
      <c r="S1091" s="9">
        <f>revenue[productCost]*revenue[orderQuantity]</f>
        <v>85.00000387</v>
      </c>
    </row>
    <row r="1092" ht="15.75" customHeight="1">
      <c r="A1092" s="6">
        <v>10663.0</v>
      </c>
      <c r="B1092" s="7" t="s">
        <v>63</v>
      </c>
      <c r="C1092" s="24" t="str">
        <f>VLOOKUP(revenue[customerID],customers[],2,FALSE)</f>
        <v>Bon app'</v>
      </c>
      <c r="D1092" s="24" t="str">
        <f>VLOOKUP(revenue[customerID],customers[],6,FALSE)</f>
        <v>Marseille</v>
      </c>
      <c r="E1092" s="24" t="str">
        <f>VLOOKUP(revenue[customerID],customers[],9,FALSE)</f>
        <v>France</v>
      </c>
      <c r="F1092" s="24">
        <v>45179.0</v>
      </c>
      <c r="G1092" s="6">
        <v>40.0</v>
      </c>
      <c r="H1092" s="9" t="str">
        <f>VLOOKUP(revenue[productID],products[],2,FALSE)</f>
        <v>Boston Crab Meat</v>
      </c>
      <c r="I1092" s="9" t="str">
        <f>VLOOKUP(revenue[productID],products[],12,FALSE)</f>
        <v>Seafood</v>
      </c>
      <c r="J1092" s="9">
        <f>VLOOKUP(revenue[productID],products[],IF(YEAR(revenue[orderDate])=2022,8,IF(YEAR(revenue[orderDate])=2023,9,IF(YEAR(revenue[orderDate])=2024,10,NA))),FALSE)</f>
        <v>11.40496523</v>
      </c>
      <c r="K1092" s="9">
        <v>18.4</v>
      </c>
      <c r="L1092" s="25">
        <f>(revenue[orderPrice]-revenue[productCost])/revenue[productCost]</f>
        <v>0.6133324069</v>
      </c>
      <c r="M1092" s="10">
        <v>30.0</v>
      </c>
      <c r="N1092" s="25">
        <v>0.05</v>
      </c>
      <c r="O1092" s="9">
        <f>revenue[orderPrice]*revenue[orderQuantity]</f>
        <v>552</v>
      </c>
      <c r="P1092" s="9">
        <f>revenue[orderTotal]*(1-revenue[discountApllied])</f>
        <v>524.4</v>
      </c>
      <c r="Q1092" s="9">
        <f>revenue[revenue]-(revenue[productCost]*revenue[orderQuantity])</f>
        <v>182.2510432</v>
      </c>
      <c r="R1092" s="25">
        <f>IFERROR(revenue[profit]/revenue[revenue], 0)</f>
        <v>0.3475420351</v>
      </c>
      <c r="S1092" s="9">
        <f>revenue[productCost]*revenue[orderQuantity]</f>
        <v>342.1489568</v>
      </c>
    </row>
    <row r="1093" ht="15.75" customHeight="1">
      <c r="A1093" s="6">
        <v>10663.0</v>
      </c>
      <c r="B1093" s="7" t="s">
        <v>63</v>
      </c>
      <c r="C1093" s="24" t="str">
        <f>VLOOKUP(revenue[customerID],customers[],2,FALSE)</f>
        <v>Bon app'</v>
      </c>
      <c r="D1093" s="24" t="str">
        <f>VLOOKUP(revenue[customerID],customers[],6,FALSE)</f>
        <v>Marseille</v>
      </c>
      <c r="E1093" s="24" t="str">
        <f>VLOOKUP(revenue[customerID],customers[],9,FALSE)</f>
        <v>France</v>
      </c>
      <c r="F1093" s="24">
        <v>45179.0</v>
      </c>
      <c r="G1093" s="6">
        <v>42.0</v>
      </c>
      <c r="H1093" s="9" t="str">
        <f>VLOOKUP(revenue[productID],products[],2,FALSE)</f>
        <v>Singaporean Hokkien Fried Mee</v>
      </c>
      <c r="I1093" s="9" t="str">
        <f>VLOOKUP(revenue[productID],products[],12,FALSE)</f>
        <v>Grains/Cereals</v>
      </c>
      <c r="J1093" s="9">
        <f>VLOOKUP(revenue[productID],products[],IF(YEAR(revenue[orderDate])=2022,8,IF(YEAR(revenue[orderDate])=2023,9,IF(YEAR(revenue[orderDate])=2024,10,NA))),FALSE)</f>
        <v>9.105641621</v>
      </c>
      <c r="K1093" s="9">
        <v>14.0</v>
      </c>
      <c r="L1093" s="25">
        <f>(revenue[orderPrice]-revenue[productCost])/revenue[productCost]</f>
        <v>0.5375083474</v>
      </c>
      <c r="M1093" s="10">
        <v>30.0</v>
      </c>
      <c r="N1093" s="25">
        <v>0.05</v>
      </c>
      <c r="O1093" s="9">
        <f>revenue[orderPrice]*revenue[orderQuantity]</f>
        <v>420</v>
      </c>
      <c r="P1093" s="9">
        <f>revenue[orderTotal]*(1-revenue[discountApllied])</f>
        <v>399</v>
      </c>
      <c r="Q1093" s="9">
        <f>revenue[revenue]-(revenue[productCost]*revenue[orderQuantity])</f>
        <v>125.8307514</v>
      </c>
      <c r="R1093" s="25">
        <f>IFERROR(revenue[profit]/revenue[revenue], 0)</f>
        <v>0.3153652917</v>
      </c>
      <c r="S1093" s="9">
        <f>revenue[productCost]*revenue[orderQuantity]</f>
        <v>273.1692486</v>
      </c>
    </row>
    <row r="1094" ht="15.75" customHeight="1">
      <c r="A1094" s="6">
        <v>10663.0</v>
      </c>
      <c r="B1094" s="7" t="s">
        <v>63</v>
      </c>
      <c r="C1094" s="24" t="str">
        <f>VLOOKUP(revenue[customerID],customers[],2,FALSE)</f>
        <v>Bon app'</v>
      </c>
      <c r="D1094" s="24" t="str">
        <f>VLOOKUP(revenue[customerID],customers[],6,FALSE)</f>
        <v>Marseille</v>
      </c>
      <c r="E1094" s="24" t="str">
        <f>VLOOKUP(revenue[customerID],customers[],9,FALSE)</f>
        <v>France</v>
      </c>
      <c r="F1094" s="24">
        <v>45179.0</v>
      </c>
      <c r="G1094" s="6">
        <v>51.0</v>
      </c>
      <c r="H1094" s="9" t="str">
        <f>VLOOKUP(revenue[productID],products[],2,FALSE)</f>
        <v>Manjimup Dried Apples</v>
      </c>
      <c r="I1094" s="9" t="str">
        <f>VLOOKUP(revenue[productID],products[],12,FALSE)</f>
        <v>Produce</v>
      </c>
      <c r="J1094" s="9">
        <f>VLOOKUP(revenue[productID],products[],IF(YEAR(revenue[orderDate])=2022,8,IF(YEAR(revenue[orderDate])=2023,9,IF(YEAR(revenue[orderDate])=2024,10,NA))),FALSE)</f>
        <v>36.88798027</v>
      </c>
      <c r="K1094" s="9">
        <v>53.0</v>
      </c>
      <c r="L1094" s="25">
        <f>(revenue[orderPrice]-revenue[productCost])/revenue[productCost]</f>
        <v>0.4367823779</v>
      </c>
      <c r="M1094" s="10">
        <v>20.0</v>
      </c>
      <c r="N1094" s="25">
        <v>0.05</v>
      </c>
      <c r="O1094" s="9">
        <f>revenue[orderPrice]*revenue[orderQuantity]</f>
        <v>1060</v>
      </c>
      <c r="P1094" s="9">
        <f>revenue[orderTotal]*(1-revenue[discountApllied])</f>
        <v>1007</v>
      </c>
      <c r="Q1094" s="9">
        <f>revenue[revenue]-(revenue[productCost]*revenue[orderQuantity])</f>
        <v>269.2403947</v>
      </c>
      <c r="R1094" s="25">
        <f>IFERROR(revenue[profit]/revenue[revenue], 0)</f>
        <v>0.267368813</v>
      </c>
      <c r="S1094" s="9">
        <f>revenue[productCost]*revenue[orderQuantity]</f>
        <v>737.7596053</v>
      </c>
    </row>
    <row r="1095" ht="15.75" customHeight="1">
      <c r="A1095" s="6">
        <v>10664.0</v>
      </c>
      <c r="B1095" s="7" t="s">
        <v>62</v>
      </c>
      <c r="C1095" s="24" t="str">
        <f>VLOOKUP(revenue[customerID],customers[],2,FALSE)</f>
        <v>Furia Bacalhau e Frutos do Mar</v>
      </c>
      <c r="D1095" s="24" t="str">
        <f>VLOOKUP(revenue[customerID],customers[],6,FALSE)</f>
        <v>Lisboa</v>
      </c>
      <c r="E1095" s="24" t="str">
        <f>VLOOKUP(revenue[customerID],customers[],9,FALSE)</f>
        <v>Portugal</v>
      </c>
      <c r="F1095" s="24">
        <v>45179.0</v>
      </c>
      <c r="G1095" s="6">
        <v>10.0</v>
      </c>
      <c r="H1095" s="9" t="str">
        <f>VLOOKUP(revenue[productID],products[],2,FALSE)</f>
        <v>Ikura</v>
      </c>
      <c r="I1095" s="9" t="str">
        <f>VLOOKUP(revenue[productID],products[],12,FALSE)</f>
        <v>Seafood</v>
      </c>
      <c r="J1095" s="9">
        <f>VLOOKUP(revenue[productID],products[],IF(YEAR(revenue[orderDate])=2022,8,IF(YEAR(revenue[orderDate])=2023,9,IF(YEAR(revenue[orderDate])=2024,10,NA))),FALSE)</f>
        <v>20.72721922</v>
      </c>
      <c r="K1095" s="9">
        <v>31.0</v>
      </c>
      <c r="L1095" s="25">
        <f>(revenue[orderPrice]-revenue[productCost])/revenue[productCost]</f>
        <v>0.4956178962</v>
      </c>
      <c r="M1095" s="10">
        <v>24.0</v>
      </c>
      <c r="N1095" s="25">
        <v>0.15</v>
      </c>
      <c r="O1095" s="9">
        <f>revenue[orderPrice]*revenue[orderQuantity]</f>
        <v>744</v>
      </c>
      <c r="P1095" s="9">
        <f>revenue[orderTotal]*(1-revenue[discountApllied])</f>
        <v>632.4</v>
      </c>
      <c r="Q1095" s="9">
        <f>revenue[revenue]-(revenue[productCost]*revenue[orderQuantity])</f>
        <v>134.9467388</v>
      </c>
      <c r="R1095" s="25">
        <f>IFERROR(revenue[profit]/revenue[revenue], 0)</f>
        <v>0.213388265</v>
      </c>
      <c r="S1095" s="9">
        <f>revenue[productCost]*revenue[orderQuantity]</f>
        <v>497.4532612</v>
      </c>
    </row>
    <row r="1096" ht="15.75" customHeight="1">
      <c r="A1096" s="6">
        <v>10664.0</v>
      </c>
      <c r="B1096" s="7" t="s">
        <v>62</v>
      </c>
      <c r="C1096" s="24" t="str">
        <f>VLOOKUP(revenue[customerID],customers[],2,FALSE)</f>
        <v>Furia Bacalhau e Frutos do Mar</v>
      </c>
      <c r="D1096" s="24" t="str">
        <f>VLOOKUP(revenue[customerID],customers[],6,FALSE)</f>
        <v>Lisboa</v>
      </c>
      <c r="E1096" s="24" t="str">
        <f>VLOOKUP(revenue[customerID],customers[],9,FALSE)</f>
        <v>Portugal</v>
      </c>
      <c r="F1096" s="24">
        <v>45179.0</v>
      </c>
      <c r="G1096" s="6">
        <v>56.0</v>
      </c>
      <c r="H1096" s="9" t="str">
        <f>VLOOKUP(revenue[productID],products[],2,FALSE)</f>
        <v>Gnocchi di nonna Alice</v>
      </c>
      <c r="I1096" s="9" t="str">
        <f>VLOOKUP(revenue[productID],products[],12,FALSE)</f>
        <v>Grains/Cereals</v>
      </c>
      <c r="J1096" s="9">
        <f>VLOOKUP(revenue[productID],products[],IF(YEAR(revenue[orderDate])=2022,8,IF(YEAR(revenue[orderDate])=2023,9,IF(YEAR(revenue[orderDate])=2024,10,NA))),FALSE)</f>
        <v>24.28342441</v>
      </c>
      <c r="K1096" s="9">
        <v>38.0</v>
      </c>
      <c r="L1096" s="25">
        <f>(revenue[orderPrice]-revenue[productCost])/revenue[productCost]</f>
        <v>0.5648534309</v>
      </c>
      <c r="M1096" s="10">
        <v>12.0</v>
      </c>
      <c r="N1096" s="25">
        <v>0.15</v>
      </c>
      <c r="O1096" s="9">
        <f>revenue[orderPrice]*revenue[orderQuantity]</f>
        <v>456</v>
      </c>
      <c r="P1096" s="9">
        <f>revenue[orderTotal]*(1-revenue[discountApllied])</f>
        <v>387.6</v>
      </c>
      <c r="Q1096" s="9">
        <f>revenue[revenue]-(revenue[productCost]*revenue[orderQuantity])</f>
        <v>96.1989071</v>
      </c>
      <c r="R1096" s="25">
        <f>IFERROR(revenue[profit]/revenue[revenue], 0)</f>
        <v>0.2481911948</v>
      </c>
      <c r="S1096" s="9">
        <f>revenue[productCost]*revenue[orderQuantity]</f>
        <v>291.4010929</v>
      </c>
    </row>
    <row r="1097" ht="15.75" customHeight="1">
      <c r="A1097" s="6">
        <v>10664.0</v>
      </c>
      <c r="B1097" s="7" t="s">
        <v>62</v>
      </c>
      <c r="C1097" s="24" t="str">
        <f>VLOOKUP(revenue[customerID],customers[],2,FALSE)</f>
        <v>Furia Bacalhau e Frutos do Mar</v>
      </c>
      <c r="D1097" s="24" t="str">
        <f>VLOOKUP(revenue[customerID],customers[],6,FALSE)</f>
        <v>Lisboa</v>
      </c>
      <c r="E1097" s="24" t="str">
        <f>VLOOKUP(revenue[customerID],customers[],9,FALSE)</f>
        <v>Portugal</v>
      </c>
      <c r="F1097" s="24">
        <v>45179.0</v>
      </c>
      <c r="G1097" s="6">
        <v>65.0</v>
      </c>
      <c r="H1097" s="9" t="str">
        <f>VLOOKUP(revenue[productID],products[],2,FALSE)</f>
        <v>Louisiana Fiery Hot Pepper Sauce</v>
      </c>
      <c r="I1097" s="9" t="str">
        <f>VLOOKUP(revenue[productID],products[],12,FALSE)</f>
        <v>Condiments</v>
      </c>
      <c r="J1097" s="9">
        <f>VLOOKUP(revenue[productID],products[],IF(YEAR(revenue[orderDate])=2022,8,IF(YEAR(revenue[orderDate])=2023,9,IF(YEAR(revenue[orderDate])=2024,10,NA))),FALSE)</f>
        <v>13.21122243</v>
      </c>
      <c r="K1097" s="9">
        <v>21.05</v>
      </c>
      <c r="L1097" s="25">
        <f>(revenue[orderPrice]-revenue[productCost])/revenue[productCost]</f>
        <v>0.593342335</v>
      </c>
      <c r="M1097" s="10">
        <v>15.0</v>
      </c>
      <c r="N1097" s="25">
        <v>0.15</v>
      </c>
      <c r="O1097" s="9">
        <f>revenue[orderPrice]*revenue[orderQuantity]</f>
        <v>315.75</v>
      </c>
      <c r="P1097" s="9">
        <f>revenue[orderTotal]*(1-revenue[discountApllied])</f>
        <v>268.3875</v>
      </c>
      <c r="Q1097" s="9">
        <f>revenue[revenue]-(revenue[productCost]*revenue[orderQuantity])</f>
        <v>70.2191635</v>
      </c>
      <c r="R1097" s="25">
        <f>IFERROR(revenue[profit]/revenue[revenue], 0)</f>
        <v>0.2616335094</v>
      </c>
      <c r="S1097" s="9">
        <f>revenue[productCost]*revenue[orderQuantity]</f>
        <v>198.1683365</v>
      </c>
    </row>
    <row r="1098" ht="15.75" customHeight="1">
      <c r="A1098" s="6">
        <v>10665.0</v>
      </c>
      <c r="B1098" s="7" t="s">
        <v>53</v>
      </c>
      <c r="C1098" s="24" t="str">
        <f>VLOOKUP(revenue[customerID],customers[],2,FALSE)</f>
        <v>Lonesome Pine Restaurant</v>
      </c>
      <c r="D1098" s="24" t="str">
        <f>VLOOKUP(revenue[customerID],customers[],6,FALSE)</f>
        <v>Portland</v>
      </c>
      <c r="E1098" s="24" t="str">
        <f>VLOOKUP(revenue[customerID],customers[],9,FALSE)</f>
        <v>USA</v>
      </c>
      <c r="F1098" s="24">
        <v>45180.0</v>
      </c>
      <c r="G1098" s="6">
        <v>51.0</v>
      </c>
      <c r="H1098" s="9" t="str">
        <f>VLOOKUP(revenue[productID],products[],2,FALSE)</f>
        <v>Manjimup Dried Apples</v>
      </c>
      <c r="I1098" s="9" t="str">
        <f>VLOOKUP(revenue[productID],products[],12,FALSE)</f>
        <v>Produce</v>
      </c>
      <c r="J1098" s="9">
        <f>VLOOKUP(revenue[productID],products[],IF(YEAR(revenue[orderDate])=2022,8,IF(YEAR(revenue[orderDate])=2023,9,IF(YEAR(revenue[orderDate])=2024,10,NA))),FALSE)</f>
        <v>36.88798027</v>
      </c>
      <c r="K1098" s="9">
        <v>53.0</v>
      </c>
      <c r="L1098" s="25">
        <f>(revenue[orderPrice]-revenue[productCost])/revenue[productCost]</f>
        <v>0.4367823779</v>
      </c>
      <c r="M1098" s="10">
        <v>20.0</v>
      </c>
      <c r="N1098" s="25">
        <v>0.0</v>
      </c>
      <c r="O1098" s="9">
        <f>revenue[orderPrice]*revenue[orderQuantity]</f>
        <v>1060</v>
      </c>
      <c r="P1098" s="9">
        <f>revenue[orderTotal]*(1-revenue[discountApllied])</f>
        <v>1060</v>
      </c>
      <c r="Q1098" s="9">
        <f>revenue[revenue]-(revenue[productCost]*revenue[orderQuantity])</f>
        <v>322.2403947</v>
      </c>
      <c r="R1098" s="25">
        <f>IFERROR(revenue[profit]/revenue[revenue], 0)</f>
        <v>0.3040003724</v>
      </c>
      <c r="S1098" s="9">
        <f>revenue[productCost]*revenue[orderQuantity]</f>
        <v>737.7596053</v>
      </c>
    </row>
    <row r="1099" ht="15.75" customHeight="1">
      <c r="A1099" s="6">
        <v>10665.0</v>
      </c>
      <c r="B1099" s="7" t="s">
        <v>53</v>
      </c>
      <c r="C1099" s="24" t="str">
        <f>VLOOKUP(revenue[customerID],customers[],2,FALSE)</f>
        <v>Lonesome Pine Restaurant</v>
      </c>
      <c r="D1099" s="24" t="str">
        <f>VLOOKUP(revenue[customerID],customers[],6,FALSE)</f>
        <v>Portland</v>
      </c>
      <c r="E1099" s="24" t="str">
        <f>VLOOKUP(revenue[customerID],customers[],9,FALSE)</f>
        <v>USA</v>
      </c>
      <c r="F1099" s="24">
        <v>45180.0</v>
      </c>
      <c r="G1099" s="6">
        <v>59.0</v>
      </c>
      <c r="H1099" s="9" t="str">
        <f>VLOOKUP(revenue[productID],products[],2,FALSE)</f>
        <v>Raclette Courdavault</v>
      </c>
      <c r="I1099" s="9" t="str">
        <f>VLOOKUP(revenue[productID],products[],12,FALSE)</f>
        <v>Dairy Products</v>
      </c>
      <c r="J1099" s="9">
        <f>VLOOKUP(revenue[productID],products[],IF(YEAR(revenue[orderDate])=2022,8,IF(YEAR(revenue[orderDate])=2023,9,IF(YEAR(revenue[orderDate])=2024,10,NA))),FALSE)</f>
        <v>35.20472566</v>
      </c>
      <c r="K1099" s="9">
        <v>55.0</v>
      </c>
      <c r="L1099" s="25">
        <f>(revenue[orderPrice]-revenue[productCost])/revenue[productCost]</f>
        <v>0.5622902598</v>
      </c>
      <c r="M1099" s="10">
        <v>1.0</v>
      </c>
      <c r="N1099" s="25">
        <v>0.0</v>
      </c>
      <c r="O1099" s="9">
        <f>revenue[orderPrice]*revenue[orderQuantity]</f>
        <v>55</v>
      </c>
      <c r="P1099" s="9">
        <f>revenue[orderTotal]*(1-revenue[discountApllied])</f>
        <v>55</v>
      </c>
      <c r="Q1099" s="9">
        <f>revenue[revenue]-(revenue[productCost]*revenue[orderQuantity])</f>
        <v>19.79527434</v>
      </c>
      <c r="R1099" s="25">
        <f>IFERROR(revenue[profit]/revenue[revenue], 0)</f>
        <v>0.3599140789</v>
      </c>
      <c r="S1099" s="9">
        <f>revenue[productCost]*revenue[orderQuantity]</f>
        <v>35.20472566</v>
      </c>
    </row>
    <row r="1100" ht="15.75" customHeight="1">
      <c r="A1100" s="6">
        <v>10665.0</v>
      </c>
      <c r="B1100" s="7" t="s">
        <v>53</v>
      </c>
      <c r="C1100" s="24" t="str">
        <f>VLOOKUP(revenue[customerID],customers[],2,FALSE)</f>
        <v>Lonesome Pine Restaurant</v>
      </c>
      <c r="D1100" s="24" t="str">
        <f>VLOOKUP(revenue[customerID],customers[],6,FALSE)</f>
        <v>Portland</v>
      </c>
      <c r="E1100" s="24" t="str">
        <f>VLOOKUP(revenue[customerID],customers[],9,FALSE)</f>
        <v>USA</v>
      </c>
      <c r="F1100" s="24">
        <v>45180.0</v>
      </c>
      <c r="G1100" s="6">
        <v>76.0</v>
      </c>
      <c r="H1100" s="9" t="str">
        <f>VLOOKUP(revenue[productID],products[],2,FALSE)</f>
        <v>Lakkalikööri</v>
      </c>
      <c r="I1100" s="9" t="str">
        <f>VLOOKUP(revenue[productID],products[],12,FALSE)</f>
        <v>Beverages</v>
      </c>
      <c r="J1100" s="9">
        <f>VLOOKUP(revenue[productID],products[],IF(YEAR(revenue[orderDate])=2022,8,IF(YEAR(revenue[orderDate])=2023,9,IF(YEAR(revenue[orderDate])=2024,10,NA))),FALSE)</f>
        <v>12.1154529</v>
      </c>
      <c r="K1100" s="9">
        <v>18.0</v>
      </c>
      <c r="L1100" s="25">
        <f>(revenue[orderPrice]-revenue[productCost])/revenue[productCost]</f>
        <v>0.4857059125</v>
      </c>
      <c r="M1100" s="10">
        <v>10.0</v>
      </c>
      <c r="N1100" s="25">
        <v>0.0</v>
      </c>
      <c r="O1100" s="9">
        <f>revenue[orderPrice]*revenue[orderQuantity]</f>
        <v>180</v>
      </c>
      <c r="P1100" s="9">
        <f>revenue[orderTotal]*(1-revenue[discountApllied])</f>
        <v>180</v>
      </c>
      <c r="Q1100" s="9">
        <f>revenue[revenue]-(revenue[productCost]*revenue[orderQuantity])</f>
        <v>58.84547105</v>
      </c>
      <c r="R1100" s="25">
        <f>IFERROR(revenue[profit]/revenue[revenue], 0)</f>
        <v>0.3269192836</v>
      </c>
      <c r="S1100" s="9">
        <f>revenue[productCost]*revenue[orderQuantity]</f>
        <v>121.154529</v>
      </c>
    </row>
    <row r="1101" ht="15.75" customHeight="1">
      <c r="A1101" s="6">
        <v>10666.0</v>
      </c>
      <c r="B1101" s="7" t="s">
        <v>21</v>
      </c>
      <c r="C1101" s="24" t="str">
        <f>VLOOKUP(revenue[customerID],customers[],2,FALSE)</f>
        <v>Richter Supermarkt</v>
      </c>
      <c r="D1101" s="24" t="str">
        <f>VLOOKUP(revenue[customerID],customers[],6,FALSE)</f>
        <v>Genève</v>
      </c>
      <c r="E1101" s="24" t="str">
        <f>VLOOKUP(revenue[customerID],customers[],9,FALSE)</f>
        <v>Switzerland</v>
      </c>
      <c r="F1101" s="24">
        <v>45181.0</v>
      </c>
      <c r="G1101" s="6">
        <v>29.0</v>
      </c>
      <c r="H1101" s="9" t="str">
        <f>VLOOKUP(revenue[productID],products[],2,FALSE)</f>
        <v>Thüringer Rostbratwurst</v>
      </c>
      <c r="I1101" s="9" t="str">
        <f>VLOOKUP(revenue[productID],products[],12,FALSE)</f>
        <v>Meat/Poultry</v>
      </c>
      <c r="J1101" s="9">
        <f>VLOOKUP(revenue[productID],products[],IF(YEAR(revenue[orderDate])=2022,8,IF(YEAR(revenue[orderDate])=2023,9,IF(YEAR(revenue[orderDate])=2024,10,NA))),FALSE)</f>
        <v>80.85619497</v>
      </c>
      <c r="K1101" s="9">
        <v>123.79</v>
      </c>
      <c r="L1101" s="25">
        <f>(revenue[orderPrice]-revenue[productCost])/revenue[productCost]</f>
        <v>0.5309896792</v>
      </c>
      <c r="M1101" s="10">
        <v>36.0</v>
      </c>
      <c r="N1101" s="25">
        <v>0.0</v>
      </c>
      <c r="O1101" s="9">
        <f>revenue[orderPrice]*revenue[orderQuantity]</f>
        <v>4456.44</v>
      </c>
      <c r="P1101" s="9">
        <f>revenue[orderTotal]*(1-revenue[discountApllied])</f>
        <v>4456.44</v>
      </c>
      <c r="Q1101" s="9">
        <f>revenue[revenue]-(revenue[productCost]*revenue[orderQuantity])</f>
        <v>1545.616981</v>
      </c>
      <c r="R1101" s="25">
        <f>IFERROR(revenue[profit]/revenue[revenue], 0)</f>
        <v>0.3468277327</v>
      </c>
      <c r="S1101" s="9">
        <f>revenue[productCost]*revenue[orderQuantity]</f>
        <v>2910.823019</v>
      </c>
    </row>
    <row r="1102" ht="15.75" customHeight="1">
      <c r="A1102" s="6">
        <v>10666.0</v>
      </c>
      <c r="B1102" s="7" t="s">
        <v>21</v>
      </c>
      <c r="C1102" s="24" t="str">
        <f>VLOOKUP(revenue[customerID],customers[],2,FALSE)</f>
        <v>Richter Supermarkt</v>
      </c>
      <c r="D1102" s="24" t="str">
        <f>VLOOKUP(revenue[customerID],customers[],6,FALSE)</f>
        <v>Genève</v>
      </c>
      <c r="E1102" s="24" t="str">
        <f>VLOOKUP(revenue[customerID],customers[],9,FALSE)</f>
        <v>Switzerland</v>
      </c>
      <c r="F1102" s="24">
        <v>45181.0</v>
      </c>
      <c r="G1102" s="6">
        <v>65.0</v>
      </c>
      <c r="H1102" s="9" t="str">
        <f>VLOOKUP(revenue[productID],products[],2,FALSE)</f>
        <v>Louisiana Fiery Hot Pepper Sauce</v>
      </c>
      <c r="I1102" s="9" t="str">
        <f>VLOOKUP(revenue[productID],products[],12,FALSE)</f>
        <v>Condiments</v>
      </c>
      <c r="J1102" s="9">
        <f>VLOOKUP(revenue[productID],products[],IF(YEAR(revenue[orderDate])=2022,8,IF(YEAR(revenue[orderDate])=2023,9,IF(YEAR(revenue[orderDate])=2024,10,NA))),FALSE)</f>
        <v>13.21122243</v>
      </c>
      <c r="K1102" s="9">
        <v>21.05</v>
      </c>
      <c r="L1102" s="25">
        <f>(revenue[orderPrice]-revenue[productCost])/revenue[productCost]</f>
        <v>0.593342335</v>
      </c>
      <c r="M1102" s="10">
        <v>10.0</v>
      </c>
      <c r="N1102" s="25">
        <v>0.0</v>
      </c>
      <c r="O1102" s="9">
        <f>revenue[orderPrice]*revenue[orderQuantity]</f>
        <v>210.5</v>
      </c>
      <c r="P1102" s="9">
        <f>revenue[orderTotal]*(1-revenue[discountApllied])</f>
        <v>210.5</v>
      </c>
      <c r="Q1102" s="9">
        <f>revenue[revenue]-(revenue[productCost]*revenue[orderQuantity])</f>
        <v>78.38777567</v>
      </c>
      <c r="R1102" s="25">
        <f>IFERROR(revenue[profit]/revenue[revenue], 0)</f>
        <v>0.372388483</v>
      </c>
      <c r="S1102" s="9">
        <f>revenue[productCost]*revenue[orderQuantity]</f>
        <v>132.1122243</v>
      </c>
    </row>
    <row r="1103" ht="15.75" customHeight="1">
      <c r="A1103" s="6">
        <v>10667.0</v>
      </c>
      <c r="B1103" s="7" t="s">
        <v>24</v>
      </c>
      <c r="C1103" s="24" t="str">
        <f>VLOOKUP(revenue[customerID],customers[],2,FALSE)</f>
        <v>Ernst Handel</v>
      </c>
      <c r="D1103" s="24" t="str">
        <f>VLOOKUP(revenue[customerID],customers[],6,FALSE)</f>
        <v>Graz</v>
      </c>
      <c r="E1103" s="24" t="str">
        <f>VLOOKUP(revenue[customerID],customers[],9,FALSE)</f>
        <v>Austria</v>
      </c>
      <c r="F1103" s="24">
        <v>45181.0</v>
      </c>
      <c r="G1103" s="6">
        <v>69.0</v>
      </c>
      <c r="H1103" s="9" t="str">
        <f>VLOOKUP(revenue[productID],products[],2,FALSE)</f>
        <v>Gudbrandsdalsost</v>
      </c>
      <c r="I1103" s="9" t="str">
        <f>VLOOKUP(revenue[productID],products[],12,FALSE)</f>
        <v>Dairy Products</v>
      </c>
      <c r="J1103" s="9">
        <f>VLOOKUP(revenue[productID],products[],IF(YEAR(revenue[orderDate])=2022,8,IF(YEAR(revenue[orderDate])=2023,9,IF(YEAR(revenue[orderDate])=2024,10,NA))),FALSE)</f>
        <v>21.82428612</v>
      </c>
      <c r="K1103" s="9">
        <v>36.0</v>
      </c>
      <c r="L1103" s="25">
        <f>(revenue[orderPrice]-revenue[productCost])/revenue[productCost]</f>
        <v>0.6495384916</v>
      </c>
      <c r="M1103" s="10">
        <v>45.0</v>
      </c>
      <c r="N1103" s="25">
        <v>0.2</v>
      </c>
      <c r="O1103" s="9">
        <f>revenue[orderPrice]*revenue[orderQuantity]</f>
        <v>1620</v>
      </c>
      <c r="P1103" s="9">
        <f>revenue[orderTotal]*(1-revenue[discountApllied])</f>
        <v>1296</v>
      </c>
      <c r="Q1103" s="9">
        <f>revenue[revenue]-(revenue[productCost]*revenue[orderQuantity])</f>
        <v>313.9071248</v>
      </c>
      <c r="R1103" s="25">
        <f>IFERROR(revenue[profit]/revenue[revenue], 0)</f>
        <v>0.2422122877</v>
      </c>
      <c r="S1103" s="9">
        <f>revenue[productCost]*revenue[orderQuantity]</f>
        <v>982.0928752</v>
      </c>
    </row>
    <row r="1104" ht="15.75" customHeight="1">
      <c r="A1104" s="6">
        <v>10667.0</v>
      </c>
      <c r="B1104" s="7" t="s">
        <v>24</v>
      </c>
      <c r="C1104" s="24" t="str">
        <f>VLOOKUP(revenue[customerID],customers[],2,FALSE)</f>
        <v>Ernst Handel</v>
      </c>
      <c r="D1104" s="24" t="str">
        <f>VLOOKUP(revenue[customerID],customers[],6,FALSE)</f>
        <v>Graz</v>
      </c>
      <c r="E1104" s="24" t="str">
        <f>VLOOKUP(revenue[customerID],customers[],9,FALSE)</f>
        <v>Austria</v>
      </c>
      <c r="F1104" s="24">
        <v>45181.0</v>
      </c>
      <c r="G1104" s="6">
        <v>71.0</v>
      </c>
      <c r="H1104" s="9" t="str">
        <f>VLOOKUP(revenue[productID],products[],2,FALSE)</f>
        <v>Flotemysost</v>
      </c>
      <c r="I1104" s="9" t="str">
        <f>VLOOKUP(revenue[productID],products[],12,FALSE)</f>
        <v>Dairy Products</v>
      </c>
      <c r="J1104" s="9">
        <f>VLOOKUP(revenue[productID],products[],IF(YEAR(revenue[orderDate])=2022,8,IF(YEAR(revenue[orderDate])=2023,9,IF(YEAR(revenue[orderDate])=2024,10,NA))),FALSE)</f>
        <v>13.4003664</v>
      </c>
      <c r="K1104" s="9">
        <v>21.5</v>
      </c>
      <c r="L1104" s="25">
        <f>(revenue[orderPrice]-revenue[productCost])/revenue[productCost]</f>
        <v>0.6044337411</v>
      </c>
      <c r="M1104" s="10">
        <v>14.0</v>
      </c>
      <c r="N1104" s="25">
        <v>0.2</v>
      </c>
      <c r="O1104" s="9">
        <f>revenue[orderPrice]*revenue[orderQuantity]</f>
        <v>301</v>
      </c>
      <c r="P1104" s="9">
        <f>revenue[orderTotal]*(1-revenue[discountApllied])</f>
        <v>240.8</v>
      </c>
      <c r="Q1104" s="9">
        <f>revenue[revenue]-(revenue[productCost]*revenue[orderQuantity])</f>
        <v>53.19487036</v>
      </c>
      <c r="R1104" s="25">
        <f>IFERROR(revenue[profit]/revenue[revenue], 0)</f>
        <v>0.2209089301</v>
      </c>
      <c r="S1104" s="9">
        <f>revenue[productCost]*revenue[orderQuantity]</f>
        <v>187.6051296</v>
      </c>
    </row>
    <row r="1105" ht="15.75" customHeight="1">
      <c r="A1105" s="6">
        <v>10668.0</v>
      </c>
      <c r="B1105" s="7" t="s">
        <v>50</v>
      </c>
      <c r="C1105" s="24" t="str">
        <f>VLOOKUP(revenue[customerID],customers[],2,FALSE)</f>
        <v>Die Wandernde Kuh</v>
      </c>
      <c r="D1105" s="24" t="str">
        <f>VLOOKUP(revenue[customerID],customers[],6,FALSE)</f>
        <v>Stuttgart</v>
      </c>
      <c r="E1105" s="24" t="str">
        <f>VLOOKUP(revenue[customerID],customers[],9,FALSE)</f>
        <v>Germany</v>
      </c>
      <c r="F1105" s="24">
        <v>45184.0</v>
      </c>
      <c r="G1105" s="6">
        <v>31.0</v>
      </c>
      <c r="H1105" s="9" t="str">
        <f>VLOOKUP(revenue[productID],products[],2,FALSE)</f>
        <v>Gorgonzola Telino</v>
      </c>
      <c r="I1105" s="9" t="str">
        <f>VLOOKUP(revenue[productID],products[],12,FALSE)</f>
        <v>Dairy Products</v>
      </c>
      <c r="J1105" s="9">
        <f>VLOOKUP(revenue[productID],products[],IF(YEAR(revenue[orderDate])=2022,8,IF(YEAR(revenue[orderDate])=2023,9,IF(YEAR(revenue[orderDate])=2024,10,NA))),FALSE)</f>
        <v>7.937729254</v>
      </c>
      <c r="K1105" s="9">
        <v>12.5</v>
      </c>
      <c r="L1105" s="25">
        <f>(revenue[orderPrice]-revenue[productCost])/revenue[productCost]</f>
        <v>0.5747576668</v>
      </c>
      <c r="M1105" s="10">
        <v>8.0</v>
      </c>
      <c r="N1105" s="25">
        <v>0.1</v>
      </c>
      <c r="O1105" s="9">
        <f>revenue[orderPrice]*revenue[orderQuantity]</f>
        <v>100</v>
      </c>
      <c r="P1105" s="9">
        <f>revenue[orderTotal]*(1-revenue[discountApllied])</f>
        <v>90</v>
      </c>
      <c r="Q1105" s="9">
        <f>revenue[revenue]-(revenue[productCost]*revenue[orderQuantity])</f>
        <v>26.49816597</v>
      </c>
      <c r="R1105" s="25">
        <f>IFERROR(revenue[profit]/revenue[revenue], 0)</f>
        <v>0.2944240663</v>
      </c>
      <c r="S1105" s="9">
        <f>revenue[productCost]*revenue[orderQuantity]</f>
        <v>63.50183403</v>
      </c>
    </row>
    <row r="1106" ht="15.75" customHeight="1">
      <c r="A1106" s="6">
        <v>10668.0</v>
      </c>
      <c r="B1106" s="7" t="s">
        <v>50</v>
      </c>
      <c r="C1106" s="24" t="str">
        <f>VLOOKUP(revenue[customerID],customers[],2,FALSE)</f>
        <v>Die Wandernde Kuh</v>
      </c>
      <c r="D1106" s="24" t="str">
        <f>VLOOKUP(revenue[customerID],customers[],6,FALSE)</f>
        <v>Stuttgart</v>
      </c>
      <c r="E1106" s="24" t="str">
        <f>VLOOKUP(revenue[customerID],customers[],9,FALSE)</f>
        <v>Germany</v>
      </c>
      <c r="F1106" s="24">
        <v>45184.0</v>
      </c>
      <c r="G1106" s="6">
        <v>55.0</v>
      </c>
      <c r="H1106" s="9" t="str">
        <f>VLOOKUP(revenue[productID],products[],2,FALSE)</f>
        <v>Pâté chinois</v>
      </c>
      <c r="I1106" s="9" t="str">
        <f>VLOOKUP(revenue[productID],products[],12,FALSE)</f>
        <v>Meat/Poultry</v>
      </c>
      <c r="J1106" s="9">
        <f>VLOOKUP(revenue[productID],products[],IF(YEAR(revenue[orderDate])=2022,8,IF(YEAR(revenue[orderDate])=2023,9,IF(YEAR(revenue[orderDate])=2024,10,NA))),FALSE)</f>
        <v>14.92398776</v>
      </c>
      <c r="K1106" s="9">
        <v>24.0</v>
      </c>
      <c r="L1106" s="25">
        <f>(revenue[orderPrice]-revenue[productCost])/revenue[productCost]</f>
        <v>0.6081492681</v>
      </c>
      <c r="M1106" s="10">
        <v>4.0</v>
      </c>
      <c r="N1106" s="25">
        <v>0.1</v>
      </c>
      <c r="O1106" s="9">
        <f>revenue[orderPrice]*revenue[orderQuantity]</f>
        <v>96</v>
      </c>
      <c r="P1106" s="9">
        <f>revenue[orderTotal]*(1-revenue[discountApllied])</f>
        <v>86.4</v>
      </c>
      <c r="Q1106" s="9">
        <f>revenue[revenue]-(revenue[productCost]*revenue[orderQuantity])</f>
        <v>26.70404894</v>
      </c>
      <c r="R1106" s="25">
        <f>IFERROR(revenue[profit]/revenue[revenue], 0)</f>
        <v>0.3090746406</v>
      </c>
      <c r="S1106" s="9">
        <f>revenue[productCost]*revenue[orderQuantity]</f>
        <v>59.69595106</v>
      </c>
    </row>
    <row r="1107" ht="15.75" customHeight="1">
      <c r="A1107" s="6">
        <v>10668.0</v>
      </c>
      <c r="B1107" s="7" t="s">
        <v>50</v>
      </c>
      <c r="C1107" s="24" t="str">
        <f>VLOOKUP(revenue[customerID],customers[],2,FALSE)</f>
        <v>Die Wandernde Kuh</v>
      </c>
      <c r="D1107" s="24" t="str">
        <f>VLOOKUP(revenue[customerID],customers[],6,FALSE)</f>
        <v>Stuttgart</v>
      </c>
      <c r="E1107" s="24" t="str">
        <f>VLOOKUP(revenue[customerID],customers[],9,FALSE)</f>
        <v>Germany</v>
      </c>
      <c r="F1107" s="24">
        <v>45184.0</v>
      </c>
      <c r="G1107" s="6">
        <v>64.0</v>
      </c>
      <c r="H1107" s="9" t="str">
        <f>VLOOKUP(revenue[productID],products[],2,FALSE)</f>
        <v>Lukas' leckere Sauerteigweggla</v>
      </c>
      <c r="I1107" s="9" t="str">
        <f>VLOOKUP(revenue[productID],products[],12,FALSE)</f>
        <v>Grains/Cereals</v>
      </c>
      <c r="J1107" s="9">
        <f>VLOOKUP(revenue[productID],products[],IF(YEAR(revenue[orderDate])=2022,8,IF(YEAR(revenue[orderDate])=2023,9,IF(YEAR(revenue[orderDate])=2024,10,NA))),FALSE)</f>
        <v>21.88572728</v>
      </c>
      <c r="K1107" s="9">
        <v>33.25</v>
      </c>
      <c r="L1107" s="25">
        <f>(revenue[orderPrice]-revenue[productCost])/revenue[productCost]</f>
        <v>0.5192549724</v>
      </c>
      <c r="M1107" s="10">
        <v>15.0</v>
      </c>
      <c r="N1107" s="25">
        <v>0.1</v>
      </c>
      <c r="O1107" s="9">
        <f>revenue[orderPrice]*revenue[orderQuantity]</f>
        <v>498.75</v>
      </c>
      <c r="P1107" s="9">
        <f>revenue[orderTotal]*(1-revenue[discountApllied])</f>
        <v>448.875</v>
      </c>
      <c r="Q1107" s="9">
        <f>revenue[revenue]-(revenue[productCost]*revenue[orderQuantity])</f>
        <v>120.5890908</v>
      </c>
      <c r="R1107" s="25">
        <f>IFERROR(revenue[profit]/revenue[revenue], 0)</f>
        <v>0.2686473757</v>
      </c>
      <c r="S1107" s="9">
        <f>revenue[productCost]*revenue[orderQuantity]</f>
        <v>328.2859092</v>
      </c>
    </row>
    <row r="1108" ht="15.75" customHeight="1">
      <c r="A1108" s="6">
        <v>10669.0</v>
      </c>
      <c r="B1108" s="7" t="s">
        <v>66</v>
      </c>
      <c r="C1108" s="24" t="str">
        <f>VLOOKUP(revenue[customerID],customers[],2,FALSE)</f>
        <v>Simons bistro</v>
      </c>
      <c r="D1108" s="24" t="str">
        <f>VLOOKUP(revenue[customerID],customers[],6,FALSE)</f>
        <v>Kobenhavn</v>
      </c>
      <c r="E1108" s="24" t="str">
        <f>VLOOKUP(revenue[customerID],customers[],9,FALSE)</f>
        <v>Denmark</v>
      </c>
      <c r="F1108" s="24">
        <v>45184.0</v>
      </c>
      <c r="G1108" s="6">
        <v>36.0</v>
      </c>
      <c r="H1108" s="9" t="str">
        <f>VLOOKUP(revenue[productID],products[],2,FALSE)</f>
        <v>Inlagd Sill</v>
      </c>
      <c r="I1108" s="9" t="str">
        <f>VLOOKUP(revenue[productID],products[],12,FALSE)</f>
        <v>Seafood</v>
      </c>
      <c r="J1108" s="9">
        <f>VLOOKUP(revenue[productID],products[],IF(YEAR(revenue[orderDate])=2022,8,IF(YEAR(revenue[orderDate])=2023,9,IF(YEAR(revenue[orderDate])=2024,10,NA))),FALSE)</f>
        <v>12.15246269</v>
      </c>
      <c r="K1108" s="9">
        <v>19.0</v>
      </c>
      <c r="L1108" s="25">
        <f>(revenue[orderPrice]-revenue[productCost])/revenue[productCost]</f>
        <v>0.5634691082</v>
      </c>
      <c r="M1108" s="10">
        <v>30.0</v>
      </c>
      <c r="N1108" s="25">
        <v>0.0</v>
      </c>
      <c r="O1108" s="9">
        <f>revenue[orderPrice]*revenue[orderQuantity]</f>
        <v>570</v>
      </c>
      <c r="P1108" s="9">
        <f>revenue[orderTotal]*(1-revenue[discountApllied])</f>
        <v>570</v>
      </c>
      <c r="Q1108" s="9">
        <f>revenue[revenue]-(revenue[productCost]*revenue[orderQuantity])</f>
        <v>205.4261194</v>
      </c>
      <c r="R1108" s="25">
        <f>IFERROR(revenue[profit]/revenue[revenue], 0)</f>
        <v>0.3603967007</v>
      </c>
      <c r="S1108" s="9">
        <f>revenue[productCost]*revenue[orderQuantity]</f>
        <v>364.5738806</v>
      </c>
    </row>
    <row r="1109" ht="15.75" customHeight="1">
      <c r="A1109" s="6">
        <v>10670.0</v>
      </c>
      <c r="B1109" s="7" t="s">
        <v>32</v>
      </c>
      <c r="C1109" s="24" t="str">
        <f>VLOOKUP(revenue[customerID],customers[],2,FALSE)</f>
        <v>Frankenversand</v>
      </c>
      <c r="D1109" s="24" t="str">
        <f>VLOOKUP(revenue[customerID],customers[],6,FALSE)</f>
        <v>München</v>
      </c>
      <c r="E1109" s="24" t="str">
        <f>VLOOKUP(revenue[customerID],customers[],9,FALSE)</f>
        <v>Germany</v>
      </c>
      <c r="F1109" s="24">
        <v>45185.0</v>
      </c>
      <c r="G1109" s="6">
        <v>23.0</v>
      </c>
      <c r="H1109" s="9" t="str">
        <f>VLOOKUP(revenue[productID],products[],2,FALSE)</f>
        <v>Tunnbröd</v>
      </c>
      <c r="I1109" s="9" t="str">
        <f>VLOOKUP(revenue[productID],products[],12,FALSE)</f>
        <v>Grains/Cereals</v>
      </c>
      <c r="J1109" s="9">
        <f>VLOOKUP(revenue[productID],products[],IF(YEAR(revenue[orderDate])=2022,8,IF(YEAR(revenue[orderDate])=2023,9,IF(YEAR(revenue[orderDate])=2024,10,NA))),FALSE)</f>
        <v>5.989059129</v>
      </c>
      <c r="K1109" s="9">
        <v>9.0</v>
      </c>
      <c r="L1109" s="25">
        <f>(revenue[orderPrice]-revenue[productCost])/revenue[productCost]</f>
        <v>0.5027402146</v>
      </c>
      <c r="M1109" s="10">
        <v>32.0</v>
      </c>
      <c r="N1109" s="25">
        <v>0.0</v>
      </c>
      <c r="O1109" s="9">
        <f>revenue[orderPrice]*revenue[orderQuantity]</f>
        <v>288</v>
      </c>
      <c r="P1109" s="9">
        <f>revenue[orderTotal]*(1-revenue[discountApllied])</f>
        <v>288</v>
      </c>
      <c r="Q1109" s="9">
        <f>revenue[revenue]-(revenue[productCost]*revenue[orderQuantity])</f>
        <v>96.35010789</v>
      </c>
      <c r="R1109" s="25">
        <f>IFERROR(revenue[profit]/revenue[revenue], 0)</f>
        <v>0.3345489857</v>
      </c>
      <c r="S1109" s="9">
        <f>revenue[productCost]*revenue[orderQuantity]</f>
        <v>191.6498921</v>
      </c>
    </row>
    <row r="1110" ht="15.75" customHeight="1">
      <c r="A1110" s="6">
        <v>10670.0</v>
      </c>
      <c r="B1110" s="7" t="s">
        <v>32</v>
      </c>
      <c r="C1110" s="24" t="str">
        <f>VLOOKUP(revenue[customerID],customers[],2,FALSE)</f>
        <v>Frankenversand</v>
      </c>
      <c r="D1110" s="24" t="str">
        <f>VLOOKUP(revenue[customerID],customers[],6,FALSE)</f>
        <v>München</v>
      </c>
      <c r="E1110" s="24" t="str">
        <f>VLOOKUP(revenue[customerID],customers[],9,FALSE)</f>
        <v>Germany</v>
      </c>
      <c r="F1110" s="24">
        <v>45185.0</v>
      </c>
      <c r="G1110" s="6">
        <v>46.0</v>
      </c>
      <c r="H1110" s="9" t="str">
        <f>VLOOKUP(revenue[productID],products[],2,FALSE)</f>
        <v>Spegesild</v>
      </c>
      <c r="I1110" s="9" t="str">
        <f>VLOOKUP(revenue[productID],products[],12,FALSE)</f>
        <v>Seafood</v>
      </c>
      <c r="J1110" s="9">
        <f>VLOOKUP(revenue[productID],products[],IF(YEAR(revenue[orderDate])=2022,8,IF(YEAR(revenue[orderDate])=2023,9,IF(YEAR(revenue[orderDate])=2024,10,NA))),FALSE)</f>
        <v>7.087990753</v>
      </c>
      <c r="K1110" s="9">
        <v>12.0</v>
      </c>
      <c r="L1110" s="25">
        <f>(revenue[orderPrice]-revenue[productCost])/revenue[productCost]</f>
        <v>0.693004466</v>
      </c>
      <c r="M1110" s="10">
        <v>60.0</v>
      </c>
      <c r="N1110" s="25">
        <v>0.0</v>
      </c>
      <c r="O1110" s="9">
        <f>revenue[orderPrice]*revenue[orderQuantity]</f>
        <v>720</v>
      </c>
      <c r="P1110" s="9">
        <f>revenue[orderTotal]*(1-revenue[discountApllied])</f>
        <v>720</v>
      </c>
      <c r="Q1110" s="9">
        <f>revenue[revenue]-(revenue[productCost]*revenue[orderQuantity])</f>
        <v>294.7205548</v>
      </c>
      <c r="R1110" s="25">
        <f>IFERROR(revenue[profit]/revenue[revenue], 0)</f>
        <v>0.4093341039</v>
      </c>
      <c r="S1110" s="9">
        <f>revenue[productCost]*revenue[orderQuantity]</f>
        <v>425.2794452</v>
      </c>
    </row>
    <row r="1111" ht="15.75" customHeight="1">
      <c r="A1111" s="6">
        <v>10670.0</v>
      </c>
      <c r="B1111" s="7" t="s">
        <v>32</v>
      </c>
      <c r="C1111" s="24" t="str">
        <f>VLOOKUP(revenue[customerID],customers[],2,FALSE)</f>
        <v>Frankenversand</v>
      </c>
      <c r="D1111" s="24" t="str">
        <f>VLOOKUP(revenue[customerID],customers[],6,FALSE)</f>
        <v>München</v>
      </c>
      <c r="E1111" s="24" t="str">
        <f>VLOOKUP(revenue[customerID],customers[],9,FALSE)</f>
        <v>Germany</v>
      </c>
      <c r="F1111" s="24">
        <v>45185.0</v>
      </c>
      <c r="G1111" s="6">
        <v>67.0</v>
      </c>
      <c r="H1111" s="9" t="str">
        <f>VLOOKUP(revenue[productID],products[],2,FALSE)</f>
        <v>Laughing Lumberjack Lager</v>
      </c>
      <c r="I1111" s="9" t="str">
        <f>VLOOKUP(revenue[productID],products[],12,FALSE)</f>
        <v>Beverages</v>
      </c>
      <c r="J1111" s="9">
        <f>VLOOKUP(revenue[productID],products[],IF(YEAR(revenue[orderDate])=2022,8,IF(YEAR(revenue[orderDate])=2023,9,IF(YEAR(revenue[orderDate])=2024,10,NA))),FALSE)</f>
        <v>10.35274539</v>
      </c>
      <c r="K1111" s="9">
        <v>14.0</v>
      </c>
      <c r="L1111" s="25">
        <f>(revenue[orderPrice]-revenue[productCost])/revenue[productCost]</f>
        <v>0.3522983009</v>
      </c>
      <c r="M1111" s="10">
        <v>25.0</v>
      </c>
      <c r="N1111" s="25">
        <v>0.0</v>
      </c>
      <c r="O1111" s="9">
        <f>revenue[orderPrice]*revenue[orderQuantity]</f>
        <v>350</v>
      </c>
      <c r="P1111" s="9">
        <f>revenue[orderTotal]*(1-revenue[discountApllied])</f>
        <v>350</v>
      </c>
      <c r="Q1111" s="9">
        <f>revenue[revenue]-(revenue[productCost]*revenue[orderQuantity])</f>
        <v>91.18136526</v>
      </c>
      <c r="R1111" s="25">
        <f>IFERROR(revenue[profit]/revenue[revenue], 0)</f>
        <v>0.2605181865</v>
      </c>
      <c r="S1111" s="9">
        <f>revenue[productCost]*revenue[orderQuantity]</f>
        <v>258.8186347</v>
      </c>
    </row>
    <row r="1112" ht="15.75" customHeight="1">
      <c r="A1112" s="6">
        <v>10670.0</v>
      </c>
      <c r="B1112" s="7" t="s">
        <v>32</v>
      </c>
      <c r="C1112" s="24" t="str">
        <f>VLOOKUP(revenue[customerID],customers[],2,FALSE)</f>
        <v>Frankenversand</v>
      </c>
      <c r="D1112" s="24" t="str">
        <f>VLOOKUP(revenue[customerID],customers[],6,FALSE)</f>
        <v>München</v>
      </c>
      <c r="E1112" s="24" t="str">
        <f>VLOOKUP(revenue[customerID],customers[],9,FALSE)</f>
        <v>Germany</v>
      </c>
      <c r="F1112" s="24">
        <v>45185.0</v>
      </c>
      <c r="G1112" s="6">
        <v>73.0</v>
      </c>
      <c r="H1112" s="9" t="str">
        <f>VLOOKUP(revenue[productID],products[],2,FALSE)</f>
        <v>Röd Kaviar</v>
      </c>
      <c r="I1112" s="9" t="str">
        <f>VLOOKUP(revenue[productID],products[],12,FALSE)</f>
        <v>Seafood</v>
      </c>
      <c r="J1112" s="9">
        <f>VLOOKUP(revenue[productID],products[],IF(YEAR(revenue[orderDate])=2022,8,IF(YEAR(revenue[orderDate])=2023,9,IF(YEAR(revenue[orderDate])=2024,10,NA))),FALSE)</f>
        <v>9.692999362</v>
      </c>
      <c r="K1112" s="9">
        <v>15.0</v>
      </c>
      <c r="L1112" s="25">
        <f>(revenue[orderPrice]-revenue[productCost])/revenue[productCost]</f>
        <v>0.5475086131</v>
      </c>
      <c r="M1112" s="10">
        <v>50.0</v>
      </c>
      <c r="N1112" s="25">
        <v>0.0</v>
      </c>
      <c r="O1112" s="9">
        <f>revenue[orderPrice]*revenue[orderQuantity]</f>
        <v>750</v>
      </c>
      <c r="P1112" s="9">
        <f>revenue[orderTotal]*(1-revenue[discountApllied])</f>
        <v>750</v>
      </c>
      <c r="Q1112" s="9">
        <f>revenue[revenue]-(revenue[productCost]*revenue[orderQuantity])</f>
        <v>265.3500319</v>
      </c>
      <c r="R1112" s="25">
        <f>IFERROR(revenue[profit]/revenue[revenue], 0)</f>
        <v>0.3538000425</v>
      </c>
      <c r="S1112" s="9">
        <f>revenue[productCost]*revenue[orderQuantity]</f>
        <v>484.6499681</v>
      </c>
    </row>
    <row r="1113" ht="15.75" customHeight="1">
      <c r="A1113" s="6">
        <v>10670.0</v>
      </c>
      <c r="B1113" s="7" t="s">
        <v>32</v>
      </c>
      <c r="C1113" s="24" t="str">
        <f>VLOOKUP(revenue[customerID],customers[],2,FALSE)</f>
        <v>Frankenversand</v>
      </c>
      <c r="D1113" s="24" t="str">
        <f>VLOOKUP(revenue[customerID],customers[],6,FALSE)</f>
        <v>München</v>
      </c>
      <c r="E1113" s="24" t="str">
        <f>VLOOKUP(revenue[customerID],customers[],9,FALSE)</f>
        <v>Germany</v>
      </c>
      <c r="F1113" s="24">
        <v>45185.0</v>
      </c>
      <c r="G1113" s="6">
        <v>75.0</v>
      </c>
      <c r="H1113" s="9" t="str">
        <f>VLOOKUP(revenue[productID],products[],2,FALSE)</f>
        <v>Rhönbräu Klosterbier</v>
      </c>
      <c r="I1113" s="9" t="str">
        <f>VLOOKUP(revenue[productID],products[],12,FALSE)</f>
        <v>Beverages</v>
      </c>
      <c r="J1113" s="9">
        <f>VLOOKUP(revenue[productID],products[],IF(YEAR(revenue[orderDate])=2022,8,IF(YEAR(revenue[orderDate])=2023,9,IF(YEAR(revenue[orderDate])=2024,10,NA))),FALSE)</f>
        <v>5.355290472</v>
      </c>
      <c r="K1113" s="9">
        <v>7.75</v>
      </c>
      <c r="L1113" s="25">
        <f>(revenue[orderPrice]-revenue[productCost])/revenue[productCost]</f>
        <v>0.4471670661</v>
      </c>
      <c r="M1113" s="10">
        <v>25.0</v>
      </c>
      <c r="N1113" s="25">
        <v>0.0</v>
      </c>
      <c r="O1113" s="9">
        <f>revenue[orderPrice]*revenue[orderQuantity]</f>
        <v>193.75</v>
      </c>
      <c r="P1113" s="9">
        <f>revenue[orderTotal]*(1-revenue[discountApllied])</f>
        <v>193.75</v>
      </c>
      <c r="Q1113" s="9">
        <f>revenue[revenue]-(revenue[productCost]*revenue[orderQuantity])</f>
        <v>59.86773821</v>
      </c>
      <c r="R1113" s="25">
        <f>IFERROR(revenue[profit]/revenue[revenue], 0)</f>
        <v>0.3089947778</v>
      </c>
      <c r="S1113" s="9">
        <f>revenue[productCost]*revenue[orderQuantity]</f>
        <v>133.8822618</v>
      </c>
    </row>
    <row r="1114" ht="15.75" customHeight="1">
      <c r="A1114" s="6">
        <v>10671.0</v>
      </c>
      <c r="B1114" s="7" t="s">
        <v>101</v>
      </c>
      <c r="C1114" s="24" t="str">
        <f>VLOOKUP(revenue[customerID],customers[],2,FALSE)</f>
        <v>France restauration</v>
      </c>
      <c r="D1114" s="24" t="str">
        <f>VLOOKUP(revenue[customerID],customers[],6,FALSE)</f>
        <v>Nantes</v>
      </c>
      <c r="E1114" s="24" t="str">
        <f>VLOOKUP(revenue[customerID],customers[],9,FALSE)</f>
        <v>France</v>
      </c>
      <c r="F1114" s="24">
        <v>45186.0</v>
      </c>
      <c r="G1114" s="6">
        <v>16.0</v>
      </c>
      <c r="H1114" s="9" t="str">
        <f>VLOOKUP(revenue[productID],products[],2,FALSE)</f>
        <v>Pavlova</v>
      </c>
      <c r="I1114" s="9" t="str">
        <f>VLOOKUP(revenue[productID],products[],12,FALSE)</f>
        <v>Confections</v>
      </c>
      <c r="J1114" s="9">
        <f>VLOOKUP(revenue[productID],products[],IF(YEAR(revenue[orderDate])=2022,8,IF(YEAR(revenue[orderDate])=2023,9,IF(YEAR(revenue[orderDate])=2024,10,NA))),FALSE)</f>
        <v>11.98504839</v>
      </c>
      <c r="K1114" s="9">
        <v>17.45</v>
      </c>
      <c r="L1114" s="25">
        <f>(revenue[orderPrice]-revenue[productCost])/revenue[productCost]</f>
        <v>0.455980771</v>
      </c>
      <c r="M1114" s="10">
        <v>10.0</v>
      </c>
      <c r="N1114" s="25">
        <v>0.0</v>
      </c>
      <c r="O1114" s="9">
        <f>revenue[orderPrice]*revenue[orderQuantity]</f>
        <v>174.5</v>
      </c>
      <c r="P1114" s="9">
        <f>revenue[orderTotal]*(1-revenue[discountApllied])</f>
        <v>174.5</v>
      </c>
      <c r="Q1114" s="9">
        <f>revenue[revenue]-(revenue[productCost]*revenue[orderQuantity])</f>
        <v>54.64951607</v>
      </c>
      <c r="R1114" s="25">
        <f>IFERROR(revenue[profit]/revenue[revenue], 0)</f>
        <v>0.3131777425</v>
      </c>
      <c r="S1114" s="9">
        <f>revenue[productCost]*revenue[orderQuantity]</f>
        <v>119.8504839</v>
      </c>
    </row>
    <row r="1115" ht="15.75" customHeight="1">
      <c r="A1115" s="6">
        <v>10671.0</v>
      </c>
      <c r="B1115" s="7" t="s">
        <v>101</v>
      </c>
      <c r="C1115" s="24" t="str">
        <f>VLOOKUP(revenue[customerID],customers[],2,FALSE)</f>
        <v>France restauration</v>
      </c>
      <c r="D1115" s="24" t="str">
        <f>VLOOKUP(revenue[customerID],customers[],6,FALSE)</f>
        <v>Nantes</v>
      </c>
      <c r="E1115" s="24" t="str">
        <f>VLOOKUP(revenue[customerID],customers[],9,FALSE)</f>
        <v>France</v>
      </c>
      <c r="F1115" s="24">
        <v>45186.0</v>
      </c>
      <c r="G1115" s="6">
        <v>62.0</v>
      </c>
      <c r="H1115" s="9" t="str">
        <f>VLOOKUP(revenue[productID],products[],2,FALSE)</f>
        <v>Tarte au sucre</v>
      </c>
      <c r="I1115" s="9" t="str">
        <f>VLOOKUP(revenue[productID],products[],12,FALSE)</f>
        <v>Confections</v>
      </c>
      <c r="J1115" s="9">
        <f>VLOOKUP(revenue[productID],products[],IF(YEAR(revenue[orderDate])=2022,8,IF(YEAR(revenue[orderDate])=2023,9,IF(YEAR(revenue[orderDate])=2024,10,NA))),FALSE)</f>
        <v>35.34792781</v>
      </c>
      <c r="K1115" s="9">
        <v>49.3</v>
      </c>
      <c r="L1115" s="25">
        <f>(revenue[orderPrice]-revenue[productCost])/revenue[productCost]</f>
        <v>0.3947069335</v>
      </c>
      <c r="M1115" s="10">
        <v>10.0</v>
      </c>
      <c r="N1115" s="25">
        <v>0.0</v>
      </c>
      <c r="O1115" s="9">
        <f>revenue[orderPrice]*revenue[orderQuantity]</f>
        <v>493</v>
      </c>
      <c r="P1115" s="9">
        <f>revenue[orderTotal]*(1-revenue[discountApllied])</f>
        <v>493</v>
      </c>
      <c r="Q1115" s="9">
        <f>revenue[revenue]-(revenue[productCost]*revenue[orderQuantity])</f>
        <v>139.5207219</v>
      </c>
      <c r="R1115" s="25">
        <f>IFERROR(revenue[profit]/revenue[revenue], 0)</f>
        <v>0.2830034927</v>
      </c>
      <c r="S1115" s="9">
        <f>revenue[productCost]*revenue[orderQuantity]</f>
        <v>353.4792781</v>
      </c>
    </row>
    <row r="1116" ht="15.75" customHeight="1">
      <c r="A1116" s="6">
        <v>10671.0</v>
      </c>
      <c r="B1116" s="7" t="s">
        <v>101</v>
      </c>
      <c r="C1116" s="24" t="str">
        <f>VLOOKUP(revenue[customerID],customers[],2,FALSE)</f>
        <v>France restauration</v>
      </c>
      <c r="D1116" s="24" t="str">
        <f>VLOOKUP(revenue[customerID],customers[],6,FALSE)</f>
        <v>Nantes</v>
      </c>
      <c r="E1116" s="24" t="str">
        <f>VLOOKUP(revenue[customerID],customers[],9,FALSE)</f>
        <v>France</v>
      </c>
      <c r="F1116" s="24">
        <v>45186.0</v>
      </c>
      <c r="G1116" s="6">
        <v>65.0</v>
      </c>
      <c r="H1116" s="9" t="str">
        <f>VLOOKUP(revenue[productID],products[],2,FALSE)</f>
        <v>Louisiana Fiery Hot Pepper Sauce</v>
      </c>
      <c r="I1116" s="9" t="str">
        <f>VLOOKUP(revenue[productID],products[],12,FALSE)</f>
        <v>Condiments</v>
      </c>
      <c r="J1116" s="9">
        <f>VLOOKUP(revenue[productID],products[],IF(YEAR(revenue[orderDate])=2022,8,IF(YEAR(revenue[orderDate])=2023,9,IF(YEAR(revenue[orderDate])=2024,10,NA))),FALSE)</f>
        <v>13.21122243</v>
      </c>
      <c r="K1116" s="9">
        <v>21.05</v>
      </c>
      <c r="L1116" s="25">
        <f>(revenue[orderPrice]-revenue[productCost])/revenue[productCost]</f>
        <v>0.593342335</v>
      </c>
      <c r="M1116" s="10">
        <v>12.0</v>
      </c>
      <c r="N1116" s="25">
        <v>0.0</v>
      </c>
      <c r="O1116" s="9">
        <f>revenue[orderPrice]*revenue[orderQuantity]</f>
        <v>252.6</v>
      </c>
      <c r="P1116" s="9">
        <f>revenue[orderTotal]*(1-revenue[discountApllied])</f>
        <v>252.6</v>
      </c>
      <c r="Q1116" s="9">
        <f>revenue[revenue]-(revenue[productCost]*revenue[orderQuantity])</f>
        <v>94.0653308</v>
      </c>
      <c r="R1116" s="25">
        <f>IFERROR(revenue[profit]/revenue[revenue], 0)</f>
        <v>0.372388483</v>
      </c>
      <c r="S1116" s="9">
        <f>revenue[productCost]*revenue[orderQuantity]</f>
        <v>158.5346692</v>
      </c>
    </row>
    <row r="1117" ht="15.75" customHeight="1">
      <c r="A1117" s="6">
        <v>10672.0</v>
      </c>
      <c r="B1117" s="7" t="s">
        <v>40</v>
      </c>
      <c r="C1117" s="24" t="str">
        <f>VLOOKUP(revenue[customerID],customers[],2,FALSE)</f>
        <v>Berglunds snabbköp</v>
      </c>
      <c r="D1117" s="24" t="str">
        <f>VLOOKUP(revenue[customerID],customers[],6,FALSE)</f>
        <v>Luleå</v>
      </c>
      <c r="E1117" s="24" t="str">
        <f>VLOOKUP(revenue[customerID],customers[],9,FALSE)</f>
        <v>Sweden</v>
      </c>
      <c r="F1117" s="24">
        <v>45186.0</v>
      </c>
      <c r="G1117" s="6">
        <v>38.0</v>
      </c>
      <c r="H1117" s="9" t="str">
        <f>VLOOKUP(revenue[productID],products[],2,FALSE)</f>
        <v>Côte de Blaye</v>
      </c>
      <c r="I1117" s="9" t="str">
        <f>VLOOKUP(revenue[productID],products[],12,FALSE)</f>
        <v>Beverages</v>
      </c>
      <c r="J1117" s="9">
        <f>VLOOKUP(revenue[productID],products[],IF(YEAR(revenue[orderDate])=2022,8,IF(YEAR(revenue[orderDate])=2023,9,IF(YEAR(revenue[orderDate])=2024,10,NA))),FALSE)</f>
        <v>175.9515711</v>
      </c>
      <c r="K1117" s="9">
        <v>263.5</v>
      </c>
      <c r="L1117" s="25">
        <f>(revenue[orderPrice]-revenue[productCost])/revenue[productCost]</f>
        <v>0.4975711688</v>
      </c>
      <c r="M1117" s="10">
        <v>15.0</v>
      </c>
      <c r="N1117" s="25">
        <v>0.1</v>
      </c>
      <c r="O1117" s="9">
        <f>revenue[orderPrice]*revenue[orderQuantity]</f>
        <v>3952.5</v>
      </c>
      <c r="P1117" s="9">
        <f>revenue[orderTotal]*(1-revenue[discountApllied])</f>
        <v>3557.25</v>
      </c>
      <c r="Q1117" s="9">
        <f>revenue[revenue]-(revenue[productCost]*revenue[orderQuantity])</f>
        <v>917.9764334</v>
      </c>
      <c r="R1117" s="25">
        <f>IFERROR(revenue[profit]/revenue[revenue], 0)</f>
        <v>0.2580578912</v>
      </c>
      <c r="S1117" s="9">
        <f>revenue[productCost]*revenue[orderQuantity]</f>
        <v>2639.273567</v>
      </c>
    </row>
    <row r="1118" ht="15.75" customHeight="1">
      <c r="A1118" s="6">
        <v>10672.0</v>
      </c>
      <c r="B1118" s="7" t="s">
        <v>40</v>
      </c>
      <c r="C1118" s="24" t="str">
        <f>VLOOKUP(revenue[customerID],customers[],2,FALSE)</f>
        <v>Berglunds snabbköp</v>
      </c>
      <c r="D1118" s="24" t="str">
        <f>VLOOKUP(revenue[customerID],customers[],6,FALSE)</f>
        <v>Luleå</v>
      </c>
      <c r="E1118" s="24" t="str">
        <f>VLOOKUP(revenue[customerID],customers[],9,FALSE)</f>
        <v>Sweden</v>
      </c>
      <c r="F1118" s="24">
        <v>45186.0</v>
      </c>
      <c r="G1118" s="6">
        <v>71.0</v>
      </c>
      <c r="H1118" s="9" t="str">
        <f>VLOOKUP(revenue[productID],products[],2,FALSE)</f>
        <v>Flotemysost</v>
      </c>
      <c r="I1118" s="9" t="str">
        <f>VLOOKUP(revenue[productID],products[],12,FALSE)</f>
        <v>Dairy Products</v>
      </c>
      <c r="J1118" s="9">
        <f>VLOOKUP(revenue[productID],products[],IF(YEAR(revenue[orderDate])=2022,8,IF(YEAR(revenue[orderDate])=2023,9,IF(YEAR(revenue[orderDate])=2024,10,NA))),FALSE)</f>
        <v>13.4003664</v>
      </c>
      <c r="K1118" s="9">
        <v>21.5</v>
      </c>
      <c r="L1118" s="25">
        <f>(revenue[orderPrice]-revenue[productCost])/revenue[productCost]</f>
        <v>0.6044337411</v>
      </c>
      <c r="M1118" s="10">
        <v>12.0</v>
      </c>
      <c r="N1118" s="25">
        <v>0.0</v>
      </c>
      <c r="O1118" s="9">
        <f>revenue[orderPrice]*revenue[orderQuantity]</f>
        <v>258</v>
      </c>
      <c r="P1118" s="9">
        <f>revenue[orderTotal]*(1-revenue[discountApllied])</f>
        <v>258</v>
      </c>
      <c r="Q1118" s="9">
        <f>revenue[revenue]-(revenue[productCost]*revenue[orderQuantity])</f>
        <v>97.19560316</v>
      </c>
      <c r="R1118" s="25">
        <f>IFERROR(revenue[profit]/revenue[revenue], 0)</f>
        <v>0.376727144</v>
      </c>
      <c r="S1118" s="9">
        <f>revenue[productCost]*revenue[orderQuantity]</f>
        <v>160.8043968</v>
      </c>
    </row>
    <row r="1119" ht="15.75" customHeight="1">
      <c r="A1119" s="6">
        <v>10673.0</v>
      </c>
      <c r="B1119" s="7" t="s">
        <v>98</v>
      </c>
      <c r="C1119" s="24" t="str">
        <f>VLOOKUP(revenue[customerID],customers[],2,FALSE)</f>
        <v>Wilman Kala</v>
      </c>
      <c r="D1119" s="24" t="str">
        <f>VLOOKUP(revenue[customerID],customers[],6,FALSE)</f>
        <v>Helsinki</v>
      </c>
      <c r="E1119" s="24" t="str">
        <f>VLOOKUP(revenue[customerID],customers[],9,FALSE)</f>
        <v>Finland</v>
      </c>
      <c r="F1119" s="24">
        <v>45187.0</v>
      </c>
      <c r="G1119" s="6">
        <v>16.0</v>
      </c>
      <c r="H1119" s="9" t="str">
        <f>VLOOKUP(revenue[productID],products[],2,FALSE)</f>
        <v>Pavlova</v>
      </c>
      <c r="I1119" s="9" t="str">
        <f>VLOOKUP(revenue[productID],products[],12,FALSE)</f>
        <v>Confections</v>
      </c>
      <c r="J1119" s="9">
        <f>VLOOKUP(revenue[productID],products[],IF(YEAR(revenue[orderDate])=2022,8,IF(YEAR(revenue[orderDate])=2023,9,IF(YEAR(revenue[orderDate])=2024,10,NA))),FALSE)</f>
        <v>11.98504839</v>
      </c>
      <c r="K1119" s="9">
        <v>17.45</v>
      </c>
      <c r="L1119" s="25">
        <f>(revenue[orderPrice]-revenue[productCost])/revenue[productCost]</f>
        <v>0.455980771</v>
      </c>
      <c r="M1119" s="10">
        <v>3.0</v>
      </c>
      <c r="N1119" s="25">
        <v>0.0</v>
      </c>
      <c r="O1119" s="9">
        <f>revenue[orderPrice]*revenue[orderQuantity]</f>
        <v>52.35</v>
      </c>
      <c r="P1119" s="9">
        <f>revenue[orderTotal]*(1-revenue[discountApllied])</f>
        <v>52.35</v>
      </c>
      <c r="Q1119" s="9">
        <f>revenue[revenue]-(revenue[productCost]*revenue[orderQuantity])</f>
        <v>16.39485482</v>
      </c>
      <c r="R1119" s="25">
        <f>IFERROR(revenue[profit]/revenue[revenue], 0)</f>
        <v>0.3131777425</v>
      </c>
      <c r="S1119" s="9">
        <f>revenue[productCost]*revenue[orderQuantity]</f>
        <v>35.95514518</v>
      </c>
    </row>
    <row r="1120" ht="15.75" customHeight="1">
      <c r="A1120" s="6">
        <v>10673.0</v>
      </c>
      <c r="B1120" s="7" t="s">
        <v>98</v>
      </c>
      <c r="C1120" s="24" t="str">
        <f>VLOOKUP(revenue[customerID],customers[],2,FALSE)</f>
        <v>Wilman Kala</v>
      </c>
      <c r="D1120" s="24" t="str">
        <f>VLOOKUP(revenue[customerID],customers[],6,FALSE)</f>
        <v>Helsinki</v>
      </c>
      <c r="E1120" s="24" t="str">
        <f>VLOOKUP(revenue[customerID],customers[],9,FALSE)</f>
        <v>Finland</v>
      </c>
      <c r="F1120" s="24">
        <v>45187.0</v>
      </c>
      <c r="G1120" s="6">
        <v>42.0</v>
      </c>
      <c r="H1120" s="9" t="str">
        <f>VLOOKUP(revenue[productID],products[],2,FALSE)</f>
        <v>Singaporean Hokkien Fried Mee</v>
      </c>
      <c r="I1120" s="9" t="str">
        <f>VLOOKUP(revenue[productID],products[],12,FALSE)</f>
        <v>Grains/Cereals</v>
      </c>
      <c r="J1120" s="9">
        <f>VLOOKUP(revenue[productID],products[],IF(YEAR(revenue[orderDate])=2022,8,IF(YEAR(revenue[orderDate])=2023,9,IF(YEAR(revenue[orderDate])=2024,10,NA))),FALSE)</f>
        <v>9.105641621</v>
      </c>
      <c r="K1120" s="9">
        <v>14.0</v>
      </c>
      <c r="L1120" s="25">
        <f>(revenue[orderPrice]-revenue[productCost])/revenue[productCost]</f>
        <v>0.5375083474</v>
      </c>
      <c r="M1120" s="10">
        <v>6.0</v>
      </c>
      <c r="N1120" s="25">
        <v>0.0</v>
      </c>
      <c r="O1120" s="9">
        <f>revenue[orderPrice]*revenue[orderQuantity]</f>
        <v>84</v>
      </c>
      <c r="P1120" s="9">
        <f>revenue[orderTotal]*(1-revenue[discountApllied])</f>
        <v>84</v>
      </c>
      <c r="Q1120" s="9">
        <f>revenue[revenue]-(revenue[productCost]*revenue[orderQuantity])</f>
        <v>29.36615028</v>
      </c>
      <c r="R1120" s="25">
        <f>IFERROR(revenue[profit]/revenue[revenue], 0)</f>
        <v>0.3495970271</v>
      </c>
      <c r="S1120" s="9">
        <f>revenue[productCost]*revenue[orderQuantity]</f>
        <v>54.63384972</v>
      </c>
    </row>
    <row r="1121" ht="15.75" customHeight="1">
      <c r="A1121" s="6">
        <v>10673.0</v>
      </c>
      <c r="B1121" s="7" t="s">
        <v>98</v>
      </c>
      <c r="C1121" s="24" t="str">
        <f>VLOOKUP(revenue[customerID],customers[],2,FALSE)</f>
        <v>Wilman Kala</v>
      </c>
      <c r="D1121" s="24" t="str">
        <f>VLOOKUP(revenue[customerID],customers[],6,FALSE)</f>
        <v>Helsinki</v>
      </c>
      <c r="E1121" s="24" t="str">
        <f>VLOOKUP(revenue[customerID],customers[],9,FALSE)</f>
        <v>Finland</v>
      </c>
      <c r="F1121" s="24">
        <v>45187.0</v>
      </c>
      <c r="G1121" s="6">
        <v>43.0</v>
      </c>
      <c r="H1121" s="9" t="str">
        <f>VLOOKUP(revenue[productID],products[],2,FALSE)</f>
        <v>Ipoh Coffee</v>
      </c>
      <c r="I1121" s="9" t="str">
        <f>VLOOKUP(revenue[productID],products[],12,FALSE)</f>
        <v>Beverages</v>
      </c>
      <c r="J1121" s="9">
        <f>VLOOKUP(revenue[productID],products[],IF(YEAR(revenue[orderDate])=2022,8,IF(YEAR(revenue[orderDate])=2023,9,IF(YEAR(revenue[orderDate])=2024,10,NA))),FALSE)</f>
        <v>30.96256564</v>
      </c>
      <c r="K1121" s="9">
        <v>46.0</v>
      </c>
      <c r="L1121" s="25">
        <f>(revenue[orderPrice]-revenue[productCost])/revenue[productCost]</f>
        <v>0.4856649976</v>
      </c>
      <c r="M1121" s="10">
        <v>6.0</v>
      </c>
      <c r="N1121" s="25">
        <v>0.0</v>
      </c>
      <c r="O1121" s="9">
        <f>revenue[orderPrice]*revenue[orderQuantity]</f>
        <v>276</v>
      </c>
      <c r="P1121" s="9">
        <f>revenue[orderTotal]*(1-revenue[discountApllied])</f>
        <v>276</v>
      </c>
      <c r="Q1121" s="9">
        <f>revenue[revenue]-(revenue[productCost]*revenue[orderQuantity])</f>
        <v>90.22460619</v>
      </c>
      <c r="R1121" s="25">
        <f>IFERROR(revenue[profit]/revenue[revenue], 0)</f>
        <v>0.3269007471</v>
      </c>
      <c r="S1121" s="9">
        <f>revenue[productCost]*revenue[orderQuantity]</f>
        <v>185.7753938</v>
      </c>
    </row>
    <row r="1122" ht="15.75" customHeight="1">
      <c r="A1122" s="6">
        <v>10674.0</v>
      </c>
      <c r="B1122" s="7" t="s">
        <v>57</v>
      </c>
      <c r="C1122" s="24" t="str">
        <f>VLOOKUP(revenue[customerID],customers[],2,FALSE)</f>
        <v>Island Trading</v>
      </c>
      <c r="D1122" s="24" t="str">
        <f>VLOOKUP(revenue[customerID],customers[],6,FALSE)</f>
        <v>Cowes</v>
      </c>
      <c r="E1122" s="24" t="str">
        <f>VLOOKUP(revenue[customerID],customers[],9,FALSE)</f>
        <v>UK</v>
      </c>
      <c r="F1122" s="24">
        <v>45187.0</v>
      </c>
      <c r="G1122" s="6">
        <v>23.0</v>
      </c>
      <c r="H1122" s="9" t="str">
        <f>VLOOKUP(revenue[productID],products[],2,FALSE)</f>
        <v>Tunnbröd</v>
      </c>
      <c r="I1122" s="9" t="str">
        <f>VLOOKUP(revenue[productID],products[],12,FALSE)</f>
        <v>Grains/Cereals</v>
      </c>
      <c r="J1122" s="9">
        <f>VLOOKUP(revenue[productID],products[],IF(YEAR(revenue[orderDate])=2022,8,IF(YEAR(revenue[orderDate])=2023,9,IF(YEAR(revenue[orderDate])=2024,10,NA))),FALSE)</f>
        <v>5.989059129</v>
      </c>
      <c r="K1122" s="9">
        <v>9.0</v>
      </c>
      <c r="L1122" s="25">
        <f>(revenue[orderPrice]-revenue[productCost])/revenue[productCost]</f>
        <v>0.5027402146</v>
      </c>
      <c r="M1122" s="10">
        <v>5.0</v>
      </c>
      <c r="N1122" s="25">
        <v>0.0</v>
      </c>
      <c r="O1122" s="9">
        <f>revenue[orderPrice]*revenue[orderQuantity]</f>
        <v>45</v>
      </c>
      <c r="P1122" s="9">
        <f>revenue[orderTotal]*(1-revenue[discountApllied])</f>
        <v>45</v>
      </c>
      <c r="Q1122" s="9">
        <f>revenue[revenue]-(revenue[productCost]*revenue[orderQuantity])</f>
        <v>15.05470436</v>
      </c>
      <c r="R1122" s="25">
        <f>IFERROR(revenue[profit]/revenue[revenue], 0)</f>
        <v>0.3345489857</v>
      </c>
      <c r="S1122" s="9">
        <f>revenue[productCost]*revenue[orderQuantity]</f>
        <v>29.94529564</v>
      </c>
    </row>
    <row r="1123" ht="15.75" customHeight="1">
      <c r="A1123" s="6">
        <v>10675.0</v>
      </c>
      <c r="B1123" s="7" t="s">
        <v>32</v>
      </c>
      <c r="C1123" s="24" t="str">
        <f>VLOOKUP(revenue[customerID],customers[],2,FALSE)</f>
        <v>Frankenversand</v>
      </c>
      <c r="D1123" s="24" t="str">
        <f>VLOOKUP(revenue[customerID],customers[],6,FALSE)</f>
        <v>München</v>
      </c>
      <c r="E1123" s="24" t="str">
        <f>VLOOKUP(revenue[customerID],customers[],9,FALSE)</f>
        <v>Germany</v>
      </c>
      <c r="F1123" s="24">
        <v>45188.0</v>
      </c>
      <c r="G1123" s="6">
        <v>14.0</v>
      </c>
      <c r="H1123" s="9" t="str">
        <f>VLOOKUP(revenue[productID],products[],2,FALSE)</f>
        <v>Tofu</v>
      </c>
      <c r="I1123" s="9" t="str">
        <f>VLOOKUP(revenue[productID],products[],12,FALSE)</f>
        <v>Produce</v>
      </c>
      <c r="J1123" s="9">
        <f>VLOOKUP(revenue[productID],products[],IF(YEAR(revenue[orderDate])=2022,8,IF(YEAR(revenue[orderDate])=2023,9,IF(YEAR(revenue[orderDate])=2024,10,NA))),FALSE)</f>
        <v>15.38055417</v>
      </c>
      <c r="K1123" s="9">
        <v>23.25</v>
      </c>
      <c r="L1123" s="25">
        <f>(revenue[orderPrice]-revenue[productCost])/revenue[productCost]</f>
        <v>0.5116490437</v>
      </c>
      <c r="M1123" s="10">
        <v>30.0</v>
      </c>
      <c r="N1123" s="25">
        <v>0.0</v>
      </c>
      <c r="O1123" s="9">
        <f>revenue[orderPrice]*revenue[orderQuantity]</f>
        <v>697.5</v>
      </c>
      <c r="P1123" s="9">
        <f>revenue[orderTotal]*(1-revenue[discountApllied])</f>
        <v>697.5</v>
      </c>
      <c r="Q1123" s="9">
        <f>revenue[revenue]-(revenue[productCost]*revenue[orderQuantity])</f>
        <v>236.0833749</v>
      </c>
      <c r="R1123" s="25">
        <f>IFERROR(revenue[profit]/revenue[revenue], 0)</f>
        <v>0.3384707885</v>
      </c>
      <c r="S1123" s="9">
        <f>revenue[productCost]*revenue[orderQuantity]</f>
        <v>461.4166251</v>
      </c>
    </row>
    <row r="1124" ht="15.75" customHeight="1">
      <c r="A1124" s="6">
        <v>10675.0</v>
      </c>
      <c r="B1124" s="7" t="s">
        <v>32</v>
      </c>
      <c r="C1124" s="24" t="str">
        <f>VLOOKUP(revenue[customerID],customers[],2,FALSE)</f>
        <v>Frankenversand</v>
      </c>
      <c r="D1124" s="24" t="str">
        <f>VLOOKUP(revenue[customerID],customers[],6,FALSE)</f>
        <v>München</v>
      </c>
      <c r="E1124" s="24" t="str">
        <f>VLOOKUP(revenue[customerID],customers[],9,FALSE)</f>
        <v>Germany</v>
      </c>
      <c r="F1124" s="24">
        <v>45188.0</v>
      </c>
      <c r="G1124" s="6">
        <v>53.0</v>
      </c>
      <c r="H1124" s="9" t="str">
        <f>VLOOKUP(revenue[productID],products[],2,FALSE)</f>
        <v>Perth Pasties</v>
      </c>
      <c r="I1124" s="9" t="str">
        <f>VLOOKUP(revenue[productID],products[],12,FALSE)</f>
        <v>Meat/Poultry</v>
      </c>
      <c r="J1124" s="9">
        <f>VLOOKUP(revenue[productID],products[],IF(YEAR(revenue[orderDate])=2022,8,IF(YEAR(revenue[orderDate])=2023,9,IF(YEAR(revenue[orderDate])=2024,10,NA))),FALSE)</f>
        <v>21.81491556</v>
      </c>
      <c r="K1124" s="9">
        <v>32.8</v>
      </c>
      <c r="L1124" s="25">
        <f>(revenue[orderPrice]-revenue[productCost])/revenue[productCost]</f>
        <v>0.5035584214</v>
      </c>
      <c r="M1124" s="10">
        <v>10.0</v>
      </c>
      <c r="N1124" s="25">
        <v>0.0</v>
      </c>
      <c r="O1124" s="9">
        <f>revenue[orderPrice]*revenue[orderQuantity]</f>
        <v>328</v>
      </c>
      <c r="P1124" s="9">
        <f>revenue[orderTotal]*(1-revenue[discountApllied])</f>
        <v>328</v>
      </c>
      <c r="Q1124" s="9">
        <f>revenue[revenue]-(revenue[productCost]*revenue[orderQuantity])</f>
        <v>109.8508444</v>
      </c>
      <c r="R1124" s="25">
        <f>IFERROR(revenue[profit]/revenue[revenue], 0)</f>
        <v>0.334911111</v>
      </c>
      <c r="S1124" s="9">
        <f>revenue[productCost]*revenue[orderQuantity]</f>
        <v>218.1491556</v>
      </c>
    </row>
    <row r="1125" ht="15.75" customHeight="1">
      <c r="A1125" s="6">
        <v>10675.0</v>
      </c>
      <c r="B1125" s="7" t="s">
        <v>32</v>
      </c>
      <c r="C1125" s="24" t="str">
        <f>VLOOKUP(revenue[customerID],customers[],2,FALSE)</f>
        <v>Frankenversand</v>
      </c>
      <c r="D1125" s="24" t="str">
        <f>VLOOKUP(revenue[customerID],customers[],6,FALSE)</f>
        <v>München</v>
      </c>
      <c r="E1125" s="24" t="str">
        <f>VLOOKUP(revenue[customerID],customers[],9,FALSE)</f>
        <v>Germany</v>
      </c>
      <c r="F1125" s="24">
        <v>45188.0</v>
      </c>
      <c r="G1125" s="6">
        <v>58.0</v>
      </c>
      <c r="H1125" s="9" t="str">
        <f>VLOOKUP(revenue[productID],products[],2,FALSE)</f>
        <v>Escargots de Bourgogne</v>
      </c>
      <c r="I1125" s="9" t="str">
        <f>VLOOKUP(revenue[productID],products[],12,FALSE)</f>
        <v>Seafood</v>
      </c>
      <c r="J1125" s="9">
        <f>VLOOKUP(revenue[productID],products[],IF(YEAR(revenue[orderDate])=2022,8,IF(YEAR(revenue[orderDate])=2023,9,IF(YEAR(revenue[orderDate])=2024,10,NA))),FALSE)</f>
        <v>8.208446365</v>
      </c>
      <c r="K1125" s="9">
        <v>13.25</v>
      </c>
      <c r="L1125" s="25">
        <f>(revenue[orderPrice]-revenue[productCost])/revenue[productCost]</f>
        <v>0.61419097</v>
      </c>
      <c r="M1125" s="10">
        <v>30.0</v>
      </c>
      <c r="N1125" s="25">
        <v>0.0</v>
      </c>
      <c r="O1125" s="9">
        <f>revenue[orderPrice]*revenue[orderQuantity]</f>
        <v>397.5</v>
      </c>
      <c r="P1125" s="9">
        <f>revenue[orderTotal]*(1-revenue[discountApllied])</f>
        <v>397.5</v>
      </c>
      <c r="Q1125" s="9">
        <f>revenue[revenue]-(revenue[productCost]*revenue[orderQuantity])</f>
        <v>151.2466091</v>
      </c>
      <c r="R1125" s="25">
        <f>IFERROR(revenue[profit]/revenue[revenue], 0)</f>
        <v>0.380494614</v>
      </c>
      <c r="S1125" s="9">
        <f>revenue[productCost]*revenue[orderQuantity]</f>
        <v>246.2533909</v>
      </c>
    </row>
    <row r="1126" ht="15.75" customHeight="1">
      <c r="A1126" s="6">
        <v>10676.0</v>
      </c>
      <c r="B1126" s="7" t="s">
        <v>38</v>
      </c>
      <c r="C1126" s="24" t="str">
        <f>VLOOKUP(revenue[customerID],customers[],2,FALSE)</f>
        <v>Tortuga Restaurante</v>
      </c>
      <c r="D1126" s="24" t="str">
        <f>VLOOKUP(revenue[customerID],customers[],6,FALSE)</f>
        <v>México D.F.</v>
      </c>
      <c r="E1126" s="24" t="str">
        <f>VLOOKUP(revenue[customerID],customers[],9,FALSE)</f>
        <v>Mexico</v>
      </c>
      <c r="F1126" s="24">
        <v>45191.0</v>
      </c>
      <c r="G1126" s="6">
        <v>10.0</v>
      </c>
      <c r="H1126" s="9" t="str">
        <f>VLOOKUP(revenue[productID],products[],2,FALSE)</f>
        <v>Ikura</v>
      </c>
      <c r="I1126" s="9" t="str">
        <f>VLOOKUP(revenue[productID],products[],12,FALSE)</f>
        <v>Seafood</v>
      </c>
      <c r="J1126" s="9">
        <f>VLOOKUP(revenue[productID],products[],IF(YEAR(revenue[orderDate])=2022,8,IF(YEAR(revenue[orderDate])=2023,9,IF(YEAR(revenue[orderDate])=2024,10,NA))),FALSE)</f>
        <v>20.72721922</v>
      </c>
      <c r="K1126" s="9">
        <v>31.0</v>
      </c>
      <c r="L1126" s="25">
        <f>(revenue[orderPrice]-revenue[productCost])/revenue[productCost]</f>
        <v>0.4956178962</v>
      </c>
      <c r="M1126" s="10">
        <v>2.0</v>
      </c>
      <c r="N1126" s="25">
        <v>0.0</v>
      </c>
      <c r="O1126" s="9">
        <f>revenue[orderPrice]*revenue[orderQuantity]</f>
        <v>62</v>
      </c>
      <c r="P1126" s="9">
        <f>revenue[orderTotal]*(1-revenue[discountApllied])</f>
        <v>62</v>
      </c>
      <c r="Q1126" s="9">
        <f>revenue[revenue]-(revenue[productCost]*revenue[orderQuantity])</f>
        <v>20.54556157</v>
      </c>
      <c r="R1126" s="25">
        <f>IFERROR(revenue[profit]/revenue[revenue], 0)</f>
        <v>0.3313800252</v>
      </c>
      <c r="S1126" s="9">
        <f>revenue[productCost]*revenue[orderQuantity]</f>
        <v>41.45443843</v>
      </c>
    </row>
    <row r="1127" ht="15.75" customHeight="1">
      <c r="A1127" s="6">
        <v>10676.0</v>
      </c>
      <c r="B1127" s="7" t="s">
        <v>38</v>
      </c>
      <c r="C1127" s="24" t="str">
        <f>VLOOKUP(revenue[customerID],customers[],2,FALSE)</f>
        <v>Tortuga Restaurante</v>
      </c>
      <c r="D1127" s="24" t="str">
        <f>VLOOKUP(revenue[customerID],customers[],6,FALSE)</f>
        <v>México D.F.</v>
      </c>
      <c r="E1127" s="24" t="str">
        <f>VLOOKUP(revenue[customerID],customers[],9,FALSE)</f>
        <v>Mexico</v>
      </c>
      <c r="F1127" s="24">
        <v>45191.0</v>
      </c>
      <c r="G1127" s="6">
        <v>19.0</v>
      </c>
      <c r="H1127" s="9" t="str">
        <f>VLOOKUP(revenue[productID],products[],2,FALSE)</f>
        <v>Teatime Chocolate Biscuits</v>
      </c>
      <c r="I1127" s="9" t="str">
        <f>VLOOKUP(revenue[productID],products[],12,FALSE)</f>
        <v>Confections</v>
      </c>
      <c r="J1127" s="9">
        <f>VLOOKUP(revenue[productID],products[],IF(YEAR(revenue[orderDate])=2022,8,IF(YEAR(revenue[orderDate])=2023,9,IF(YEAR(revenue[orderDate])=2024,10,NA))),FALSE)</f>
        <v>5.901883682</v>
      </c>
      <c r="K1127" s="9">
        <v>9.2</v>
      </c>
      <c r="L1127" s="25">
        <f>(revenue[orderPrice]-revenue[productCost])/revenue[productCost]</f>
        <v>0.5588243508</v>
      </c>
      <c r="M1127" s="10">
        <v>7.0</v>
      </c>
      <c r="N1127" s="25">
        <v>0.0</v>
      </c>
      <c r="O1127" s="9">
        <f>revenue[orderPrice]*revenue[orderQuantity]</f>
        <v>64.4</v>
      </c>
      <c r="P1127" s="9">
        <f>revenue[orderTotal]*(1-revenue[discountApllied])</f>
        <v>64.4</v>
      </c>
      <c r="Q1127" s="9">
        <f>revenue[revenue]-(revenue[productCost]*revenue[orderQuantity])</f>
        <v>23.08681422</v>
      </c>
      <c r="R1127" s="25">
        <f>IFERROR(revenue[profit]/revenue[revenue], 0)</f>
        <v>0.3584909041</v>
      </c>
      <c r="S1127" s="9">
        <f>revenue[productCost]*revenue[orderQuantity]</f>
        <v>41.31318578</v>
      </c>
    </row>
    <row r="1128" ht="15.75" customHeight="1">
      <c r="A1128" s="6">
        <v>10676.0</v>
      </c>
      <c r="B1128" s="7" t="s">
        <v>38</v>
      </c>
      <c r="C1128" s="24" t="str">
        <f>VLOOKUP(revenue[customerID],customers[],2,FALSE)</f>
        <v>Tortuga Restaurante</v>
      </c>
      <c r="D1128" s="24" t="str">
        <f>VLOOKUP(revenue[customerID],customers[],6,FALSE)</f>
        <v>México D.F.</v>
      </c>
      <c r="E1128" s="24" t="str">
        <f>VLOOKUP(revenue[customerID],customers[],9,FALSE)</f>
        <v>Mexico</v>
      </c>
      <c r="F1128" s="24">
        <v>45191.0</v>
      </c>
      <c r="G1128" s="6">
        <v>44.0</v>
      </c>
      <c r="H1128" s="9" t="str">
        <f>VLOOKUP(revenue[productID],products[],2,FALSE)</f>
        <v>Gula Malacca</v>
      </c>
      <c r="I1128" s="9" t="str">
        <f>VLOOKUP(revenue[productID],products[],12,FALSE)</f>
        <v>Condiments</v>
      </c>
      <c r="J1128" s="9">
        <f>VLOOKUP(revenue[productID],products[],IF(YEAR(revenue[orderDate])=2022,8,IF(YEAR(revenue[orderDate])=2023,9,IF(YEAR(revenue[orderDate])=2024,10,NA))),FALSE)</f>
        <v>13.06032103</v>
      </c>
      <c r="K1128" s="9">
        <v>19.45</v>
      </c>
      <c r="L1128" s="25">
        <f>(revenue[orderPrice]-revenue[productCost])/revenue[productCost]</f>
        <v>0.4892436379</v>
      </c>
      <c r="M1128" s="10">
        <v>21.0</v>
      </c>
      <c r="N1128" s="25">
        <v>0.0</v>
      </c>
      <c r="O1128" s="9">
        <f>revenue[orderPrice]*revenue[orderQuantity]</f>
        <v>408.45</v>
      </c>
      <c r="P1128" s="9">
        <f>revenue[orderTotal]*(1-revenue[discountApllied])</f>
        <v>408.45</v>
      </c>
      <c r="Q1128" s="9">
        <f>revenue[revenue]-(revenue[productCost]*revenue[orderQuantity])</f>
        <v>134.1832584</v>
      </c>
      <c r="R1128" s="25">
        <f>IFERROR(revenue[profit]/revenue[revenue], 0)</f>
        <v>0.3285181991</v>
      </c>
      <c r="S1128" s="9">
        <f>revenue[productCost]*revenue[orderQuantity]</f>
        <v>274.2667416</v>
      </c>
    </row>
    <row r="1129" ht="15.75" customHeight="1">
      <c r="A1129" s="6">
        <v>10677.0</v>
      </c>
      <c r="B1129" s="7" t="s">
        <v>74</v>
      </c>
      <c r="C1129" s="24" t="str">
        <f>VLOOKUP(revenue[customerID],customers[],2,FALSE)</f>
        <v>Antonio Moreno Taquería</v>
      </c>
      <c r="D1129" s="24" t="str">
        <f>VLOOKUP(revenue[customerID],customers[],6,FALSE)</f>
        <v>México D.F.</v>
      </c>
      <c r="E1129" s="24" t="str">
        <f>VLOOKUP(revenue[customerID],customers[],9,FALSE)</f>
        <v>Mexico</v>
      </c>
      <c r="F1129" s="24">
        <v>45191.0</v>
      </c>
      <c r="G1129" s="6">
        <v>26.0</v>
      </c>
      <c r="H1129" s="9" t="str">
        <f>VLOOKUP(revenue[productID],products[],2,FALSE)</f>
        <v>NuNuCa Nuß-Nougat-Creme</v>
      </c>
      <c r="I1129" s="9" t="str">
        <f>VLOOKUP(revenue[productID],products[],12,FALSE)</f>
        <v>Confections</v>
      </c>
      <c r="J1129" s="9">
        <f>VLOOKUP(revenue[productID],products[],IF(YEAR(revenue[orderDate])=2022,8,IF(YEAR(revenue[orderDate])=2023,9,IF(YEAR(revenue[orderDate])=2024,10,NA))),FALSE)</f>
        <v>21.20896201</v>
      </c>
      <c r="K1129" s="9">
        <v>31.23</v>
      </c>
      <c r="L1129" s="25">
        <f>(revenue[orderPrice]-revenue[productCost])/revenue[productCost]</f>
        <v>0.472490732</v>
      </c>
      <c r="M1129" s="10">
        <v>30.0</v>
      </c>
      <c r="N1129" s="25">
        <v>0.15</v>
      </c>
      <c r="O1129" s="9">
        <f>revenue[orderPrice]*revenue[orderQuantity]</f>
        <v>936.9</v>
      </c>
      <c r="P1129" s="9">
        <f>revenue[orderTotal]*(1-revenue[discountApllied])</f>
        <v>796.365</v>
      </c>
      <c r="Q1129" s="9">
        <f>revenue[revenue]-(revenue[productCost]*revenue[orderQuantity])</f>
        <v>160.0961396</v>
      </c>
      <c r="R1129" s="25">
        <f>IFERROR(revenue[profit]/revenue[revenue], 0)</f>
        <v>0.201033621</v>
      </c>
      <c r="S1129" s="9">
        <f>revenue[productCost]*revenue[orderQuantity]</f>
        <v>636.2688604</v>
      </c>
    </row>
    <row r="1130" ht="15.75" customHeight="1">
      <c r="A1130" s="6">
        <v>10677.0</v>
      </c>
      <c r="B1130" s="7" t="s">
        <v>74</v>
      </c>
      <c r="C1130" s="24" t="str">
        <f>VLOOKUP(revenue[customerID],customers[],2,FALSE)</f>
        <v>Antonio Moreno Taquería</v>
      </c>
      <c r="D1130" s="24" t="str">
        <f>VLOOKUP(revenue[customerID],customers[],6,FALSE)</f>
        <v>México D.F.</v>
      </c>
      <c r="E1130" s="24" t="str">
        <f>VLOOKUP(revenue[customerID],customers[],9,FALSE)</f>
        <v>Mexico</v>
      </c>
      <c r="F1130" s="24">
        <v>45191.0</v>
      </c>
      <c r="G1130" s="6">
        <v>33.0</v>
      </c>
      <c r="H1130" s="9" t="str">
        <f>VLOOKUP(revenue[productID],products[],2,FALSE)</f>
        <v>Geitost</v>
      </c>
      <c r="I1130" s="9" t="str">
        <f>VLOOKUP(revenue[productID],products[],12,FALSE)</f>
        <v>Dairy Products</v>
      </c>
      <c r="J1130" s="9">
        <f>VLOOKUP(revenue[productID],products[],IF(YEAR(revenue[orderDate])=2022,8,IF(YEAR(revenue[orderDate])=2023,9,IF(YEAR(revenue[orderDate])=2024,10,NA))),FALSE)</f>
        <v>1.559072298</v>
      </c>
      <c r="K1130" s="9">
        <v>2.5</v>
      </c>
      <c r="L1130" s="25">
        <f>(revenue[orderPrice]-revenue[productCost])/revenue[productCost]</f>
        <v>0.603517684</v>
      </c>
      <c r="M1130" s="10">
        <v>8.0</v>
      </c>
      <c r="N1130" s="25">
        <v>0.15</v>
      </c>
      <c r="O1130" s="9">
        <f>revenue[orderPrice]*revenue[orderQuantity]</f>
        <v>20</v>
      </c>
      <c r="P1130" s="9">
        <f>revenue[orderTotal]*(1-revenue[discountApllied])</f>
        <v>17</v>
      </c>
      <c r="Q1130" s="9">
        <f>revenue[revenue]-(revenue[productCost]*revenue[orderQuantity])</f>
        <v>4.527421619</v>
      </c>
      <c r="R1130" s="25">
        <f>IFERROR(revenue[profit]/revenue[revenue], 0)</f>
        <v>0.2663189187</v>
      </c>
      <c r="S1130" s="9">
        <f>revenue[productCost]*revenue[orderQuantity]</f>
        <v>12.47257838</v>
      </c>
    </row>
    <row r="1131" ht="15.75" customHeight="1">
      <c r="A1131" s="6">
        <v>10678.0</v>
      </c>
      <c r="B1131" s="7" t="s">
        <v>60</v>
      </c>
      <c r="C1131" s="24" t="str">
        <f>VLOOKUP(revenue[customerID],customers[],2,FALSE)</f>
        <v>Save-a-lot Markets</v>
      </c>
      <c r="D1131" s="24" t="str">
        <f>VLOOKUP(revenue[customerID],customers[],6,FALSE)</f>
        <v>Boise</v>
      </c>
      <c r="E1131" s="24" t="str">
        <f>VLOOKUP(revenue[customerID],customers[],9,FALSE)</f>
        <v>USA</v>
      </c>
      <c r="F1131" s="24">
        <v>45192.0</v>
      </c>
      <c r="G1131" s="6">
        <v>12.0</v>
      </c>
      <c r="H1131" s="9" t="str">
        <f>VLOOKUP(revenue[productID],products[],2,FALSE)</f>
        <v>Queso Manchego La Pastora</v>
      </c>
      <c r="I1131" s="9" t="str">
        <f>VLOOKUP(revenue[productID],products[],12,FALSE)</f>
        <v>Dairy Products</v>
      </c>
      <c r="J1131" s="9">
        <f>VLOOKUP(revenue[productID],products[],IF(YEAR(revenue[orderDate])=2022,8,IF(YEAR(revenue[orderDate])=2023,9,IF(YEAR(revenue[orderDate])=2024,10,NA))),FALSE)</f>
        <v>23.79216617</v>
      </c>
      <c r="K1131" s="9">
        <v>38.0</v>
      </c>
      <c r="L1131" s="25">
        <f>(revenue[orderPrice]-revenue[productCost])/revenue[productCost]</f>
        <v>0.5971643663</v>
      </c>
      <c r="M1131" s="10">
        <v>100.0</v>
      </c>
      <c r="N1131" s="25">
        <v>0.0</v>
      </c>
      <c r="O1131" s="9">
        <f>revenue[orderPrice]*revenue[orderQuantity]</f>
        <v>3800</v>
      </c>
      <c r="P1131" s="9">
        <f>revenue[orderTotal]*(1-revenue[discountApllied])</f>
        <v>3800</v>
      </c>
      <c r="Q1131" s="9">
        <f>revenue[revenue]-(revenue[productCost]*revenue[orderQuantity])</f>
        <v>1420.783383</v>
      </c>
      <c r="R1131" s="25">
        <f>IFERROR(revenue[profit]/revenue[revenue], 0)</f>
        <v>0.373890364</v>
      </c>
      <c r="S1131" s="9">
        <f>revenue[productCost]*revenue[orderQuantity]</f>
        <v>2379.216617</v>
      </c>
    </row>
    <row r="1132" ht="15.75" customHeight="1">
      <c r="A1132" s="6">
        <v>10678.0</v>
      </c>
      <c r="B1132" s="7" t="s">
        <v>60</v>
      </c>
      <c r="C1132" s="24" t="str">
        <f>VLOOKUP(revenue[customerID],customers[],2,FALSE)</f>
        <v>Save-a-lot Markets</v>
      </c>
      <c r="D1132" s="24" t="str">
        <f>VLOOKUP(revenue[customerID],customers[],6,FALSE)</f>
        <v>Boise</v>
      </c>
      <c r="E1132" s="24" t="str">
        <f>VLOOKUP(revenue[customerID],customers[],9,FALSE)</f>
        <v>USA</v>
      </c>
      <c r="F1132" s="24">
        <v>45192.0</v>
      </c>
      <c r="G1132" s="6">
        <v>33.0</v>
      </c>
      <c r="H1132" s="9" t="str">
        <f>VLOOKUP(revenue[productID],products[],2,FALSE)</f>
        <v>Geitost</v>
      </c>
      <c r="I1132" s="9" t="str">
        <f>VLOOKUP(revenue[productID],products[],12,FALSE)</f>
        <v>Dairy Products</v>
      </c>
      <c r="J1132" s="9">
        <f>VLOOKUP(revenue[productID],products[],IF(YEAR(revenue[orderDate])=2022,8,IF(YEAR(revenue[orderDate])=2023,9,IF(YEAR(revenue[orderDate])=2024,10,NA))),FALSE)</f>
        <v>1.559072298</v>
      </c>
      <c r="K1132" s="9">
        <v>2.5</v>
      </c>
      <c r="L1132" s="25">
        <f>(revenue[orderPrice]-revenue[productCost])/revenue[productCost]</f>
        <v>0.603517684</v>
      </c>
      <c r="M1132" s="10">
        <v>30.0</v>
      </c>
      <c r="N1132" s="25">
        <v>0.0</v>
      </c>
      <c r="O1132" s="9">
        <f>revenue[orderPrice]*revenue[orderQuantity]</f>
        <v>75</v>
      </c>
      <c r="P1132" s="9">
        <f>revenue[orderTotal]*(1-revenue[discountApllied])</f>
        <v>75</v>
      </c>
      <c r="Q1132" s="9">
        <f>revenue[revenue]-(revenue[productCost]*revenue[orderQuantity])</f>
        <v>28.22783107</v>
      </c>
      <c r="R1132" s="25">
        <f>IFERROR(revenue[profit]/revenue[revenue], 0)</f>
        <v>0.3763710809</v>
      </c>
      <c r="S1132" s="9">
        <f>revenue[productCost]*revenue[orderQuantity]</f>
        <v>46.77216893</v>
      </c>
    </row>
    <row r="1133" ht="15.75" customHeight="1">
      <c r="A1133" s="6">
        <v>10678.0</v>
      </c>
      <c r="B1133" s="7" t="s">
        <v>60</v>
      </c>
      <c r="C1133" s="24" t="str">
        <f>VLOOKUP(revenue[customerID],customers[],2,FALSE)</f>
        <v>Save-a-lot Markets</v>
      </c>
      <c r="D1133" s="24" t="str">
        <f>VLOOKUP(revenue[customerID],customers[],6,FALSE)</f>
        <v>Boise</v>
      </c>
      <c r="E1133" s="24" t="str">
        <f>VLOOKUP(revenue[customerID],customers[],9,FALSE)</f>
        <v>USA</v>
      </c>
      <c r="F1133" s="24">
        <v>45192.0</v>
      </c>
      <c r="G1133" s="6">
        <v>41.0</v>
      </c>
      <c r="H1133" s="9" t="str">
        <f>VLOOKUP(revenue[productID],products[],2,FALSE)</f>
        <v>Jack's New England Clam Chowder</v>
      </c>
      <c r="I1133" s="9" t="str">
        <f>VLOOKUP(revenue[productID],products[],12,FALSE)</f>
        <v>Seafood</v>
      </c>
      <c r="J1133" s="9">
        <f>VLOOKUP(revenue[productID],products[],IF(YEAR(revenue[orderDate])=2022,8,IF(YEAR(revenue[orderDate])=2023,9,IF(YEAR(revenue[orderDate])=2024,10,NA))),FALSE)</f>
        <v>6.549914856</v>
      </c>
      <c r="K1133" s="9">
        <v>9.65</v>
      </c>
      <c r="L1133" s="25">
        <f>(revenue[orderPrice]-revenue[productCost])/revenue[productCost]</f>
        <v>0.4733015943</v>
      </c>
      <c r="M1133" s="10">
        <v>120.0</v>
      </c>
      <c r="N1133" s="25">
        <v>0.0</v>
      </c>
      <c r="O1133" s="9">
        <f>revenue[orderPrice]*revenue[orderQuantity]</f>
        <v>1158</v>
      </c>
      <c r="P1133" s="9">
        <f>revenue[orderTotal]*(1-revenue[discountApllied])</f>
        <v>1158</v>
      </c>
      <c r="Q1133" s="9">
        <f>revenue[revenue]-(revenue[productCost]*revenue[orderQuantity])</f>
        <v>372.0102173</v>
      </c>
      <c r="R1133" s="25">
        <f>IFERROR(revenue[profit]/revenue[revenue], 0)</f>
        <v>0.3212523465</v>
      </c>
      <c r="S1133" s="9">
        <f>revenue[productCost]*revenue[orderQuantity]</f>
        <v>785.9897827</v>
      </c>
    </row>
    <row r="1134" ht="15.75" customHeight="1">
      <c r="A1134" s="6">
        <v>10678.0</v>
      </c>
      <c r="B1134" s="7" t="s">
        <v>60</v>
      </c>
      <c r="C1134" s="24" t="str">
        <f>VLOOKUP(revenue[customerID],customers[],2,FALSE)</f>
        <v>Save-a-lot Markets</v>
      </c>
      <c r="D1134" s="24" t="str">
        <f>VLOOKUP(revenue[customerID],customers[],6,FALSE)</f>
        <v>Boise</v>
      </c>
      <c r="E1134" s="24" t="str">
        <f>VLOOKUP(revenue[customerID],customers[],9,FALSE)</f>
        <v>USA</v>
      </c>
      <c r="F1134" s="24">
        <v>45192.0</v>
      </c>
      <c r="G1134" s="6">
        <v>54.0</v>
      </c>
      <c r="H1134" s="9" t="str">
        <f>VLOOKUP(revenue[productID],products[],2,FALSE)</f>
        <v>Tourtière</v>
      </c>
      <c r="I1134" s="9" t="str">
        <f>VLOOKUP(revenue[productID],products[],12,FALSE)</f>
        <v>Meat/Poultry</v>
      </c>
      <c r="J1134" s="9">
        <f>VLOOKUP(revenue[productID],products[],IF(YEAR(revenue[orderDate])=2022,8,IF(YEAR(revenue[orderDate])=2023,9,IF(YEAR(revenue[orderDate])=2024,10,NA))),FALSE)</f>
        <v>4.924447797</v>
      </c>
      <c r="K1134" s="9">
        <v>7.45</v>
      </c>
      <c r="L1134" s="25">
        <f>(revenue[orderPrice]-revenue[productCost])/revenue[productCost]</f>
        <v>0.5128599808</v>
      </c>
      <c r="M1134" s="10">
        <v>30.0</v>
      </c>
      <c r="N1134" s="25">
        <v>0.0</v>
      </c>
      <c r="O1134" s="9">
        <f>revenue[orderPrice]*revenue[orderQuantity]</f>
        <v>223.5</v>
      </c>
      <c r="P1134" s="9">
        <f>revenue[orderTotal]*(1-revenue[discountApllied])</f>
        <v>223.5</v>
      </c>
      <c r="Q1134" s="9">
        <f>revenue[revenue]-(revenue[productCost]*revenue[orderQuantity])</f>
        <v>75.76656609</v>
      </c>
      <c r="R1134" s="25">
        <f>IFERROR(revenue[profit]/revenue[revenue], 0)</f>
        <v>0.3390002957</v>
      </c>
      <c r="S1134" s="9">
        <f>revenue[productCost]*revenue[orderQuantity]</f>
        <v>147.7334339</v>
      </c>
    </row>
    <row r="1135" ht="15.75" customHeight="1">
      <c r="A1135" s="6">
        <v>10679.0</v>
      </c>
      <c r="B1135" s="7" t="s">
        <v>30</v>
      </c>
      <c r="C1135" s="24" t="str">
        <f>VLOOKUP(revenue[customerID],customers[],2,FALSE)</f>
        <v>Blondesddsl père et fils</v>
      </c>
      <c r="D1135" s="24" t="str">
        <f>VLOOKUP(revenue[customerID],customers[],6,FALSE)</f>
        <v>Strasbourg</v>
      </c>
      <c r="E1135" s="24" t="str">
        <f>VLOOKUP(revenue[customerID],customers[],9,FALSE)</f>
        <v>France</v>
      </c>
      <c r="F1135" s="24">
        <v>45192.0</v>
      </c>
      <c r="G1135" s="6">
        <v>59.0</v>
      </c>
      <c r="H1135" s="9" t="str">
        <f>VLOOKUP(revenue[productID],products[],2,FALSE)</f>
        <v>Raclette Courdavault</v>
      </c>
      <c r="I1135" s="9" t="str">
        <f>VLOOKUP(revenue[productID],products[],12,FALSE)</f>
        <v>Dairy Products</v>
      </c>
      <c r="J1135" s="9">
        <f>VLOOKUP(revenue[productID],products[],IF(YEAR(revenue[orderDate])=2022,8,IF(YEAR(revenue[orderDate])=2023,9,IF(YEAR(revenue[orderDate])=2024,10,NA))),FALSE)</f>
        <v>35.20472566</v>
      </c>
      <c r="K1135" s="9">
        <v>55.0</v>
      </c>
      <c r="L1135" s="25">
        <f>(revenue[orderPrice]-revenue[productCost])/revenue[productCost]</f>
        <v>0.5622902598</v>
      </c>
      <c r="M1135" s="10">
        <v>12.0</v>
      </c>
      <c r="N1135" s="25">
        <v>0.0</v>
      </c>
      <c r="O1135" s="9">
        <f>revenue[orderPrice]*revenue[orderQuantity]</f>
        <v>660</v>
      </c>
      <c r="P1135" s="9">
        <f>revenue[orderTotal]*(1-revenue[discountApllied])</f>
        <v>660</v>
      </c>
      <c r="Q1135" s="9">
        <f>revenue[revenue]-(revenue[productCost]*revenue[orderQuantity])</f>
        <v>237.5432921</v>
      </c>
      <c r="R1135" s="25">
        <f>IFERROR(revenue[profit]/revenue[revenue], 0)</f>
        <v>0.3599140789</v>
      </c>
      <c r="S1135" s="9">
        <f>revenue[productCost]*revenue[orderQuantity]</f>
        <v>422.4567079</v>
      </c>
    </row>
    <row r="1136" ht="15.75" customHeight="1">
      <c r="A1136" s="6">
        <v>10680.0</v>
      </c>
      <c r="B1136" s="7" t="s">
        <v>52</v>
      </c>
      <c r="C1136" s="24" t="str">
        <f>VLOOKUP(revenue[customerID],customers[],2,FALSE)</f>
        <v>Old World Delicatessen</v>
      </c>
      <c r="D1136" s="24" t="str">
        <f>VLOOKUP(revenue[customerID],customers[],6,FALSE)</f>
        <v>Anchorage</v>
      </c>
      <c r="E1136" s="24" t="str">
        <f>VLOOKUP(revenue[customerID],customers[],9,FALSE)</f>
        <v>USA</v>
      </c>
      <c r="F1136" s="24">
        <v>45193.0</v>
      </c>
      <c r="G1136" s="6">
        <v>16.0</v>
      </c>
      <c r="H1136" s="9" t="str">
        <f>VLOOKUP(revenue[productID],products[],2,FALSE)</f>
        <v>Pavlova</v>
      </c>
      <c r="I1136" s="9" t="str">
        <f>VLOOKUP(revenue[productID],products[],12,FALSE)</f>
        <v>Confections</v>
      </c>
      <c r="J1136" s="9">
        <f>VLOOKUP(revenue[productID],products[],IF(YEAR(revenue[orderDate])=2022,8,IF(YEAR(revenue[orderDate])=2023,9,IF(YEAR(revenue[orderDate])=2024,10,NA))),FALSE)</f>
        <v>11.98504839</v>
      </c>
      <c r="K1136" s="9">
        <v>17.45</v>
      </c>
      <c r="L1136" s="25">
        <f>(revenue[orderPrice]-revenue[productCost])/revenue[productCost]</f>
        <v>0.455980771</v>
      </c>
      <c r="M1136" s="10">
        <v>50.0</v>
      </c>
      <c r="N1136" s="25">
        <v>0.25</v>
      </c>
      <c r="O1136" s="9">
        <f>revenue[orderPrice]*revenue[orderQuantity]</f>
        <v>872.5</v>
      </c>
      <c r="P1136" s="9">
        <f>revenue[orderTotal]*(1-revenue[discountApllied])</f>
        <v>654.375</v>
      </c>
      <c r="Q1136" s="9">
        <f>revenue[revenue]-(revenue[productCost]*revenue[orderQuantity])</f>
        <v>55.12258036</v>
      </c>
      <c r="R1136" s="25">
        <f>IFERROR(revenue[profit]/revenue[revenue], 0)</f>
        <v>0.08423699004</v>
      </c>
      <c r="S1136" s="9">
        <f>revenue[productCost]*revenue[orderQuantity]</f>
        <v>599.2524196</v>
      </c>
    </row>
    <row r="1137" ht="15.75" customHeight="1">
      <c r="A1137" s="6">
        <v>10680.0</v>
      </c>
      <c r="B1137" s="7" t="s">
        <v>52</v>
      </c>
      <c r="C1137" s="24" t="str">
        <f>VLOOKUP(revenue[customerID],customers[],2,FALSE)</f>
        <v>Old World Delicatessen</v>
      </c>
      <c r="D1137" s="24" t="str">
        <f>VLOOKUP(revenue[customerID],customers[],6,FALSE)</f>
        <v>Anchorage</v>
      </c>
      <c r="E1137" s="24" t="str">
        <f>VLOOKUP(revenue[customerID],customers[],9,FALSE)</f>
        <v>USA</v>
      </c>
      <c r="F1137" s="24">
        <v>45193.0</v>
      </c>
      <c r="G1137" s="6">
        <v>31.0</v>
      </c>
      <c r="H1137" s="9" t="str">
        <f>VLOOKUP(revenue[productID],products[],2,FALSE)</f>
        <v>Gorgonzola Telino</v>
      </c>
      <c r="I1137" s="9" t="str">
        <f>VLOOKUP(revenue[productID],products[],12,FALSE)</f>
        <v>Dairy Products</v>
      </c>
      <c r="J1137" s="9">
        <f>VLOOKUP(revenue[productID],products[],IF(YEAR(revenue[orderDate])=2022,8,IF(YEAR(revenue[orderDate])=2023,9,IF(YEAR(revenue[orderDate])=2024,10,NA))),FALSE)</f>
        <v>7.937729254</v>
      </c>
      <c r="K1137" s="9">
        <v>12.5</v>
      </c>
      <c r="L1137" s="25">
        <f>(revenue[orderPrice]-revenue[productCost])/revenue[productCost]</f>
        <v>0.5747576668</v>
      </c>
      <c r="M1137" s="10">
        <v>20.0</v>
      </c>
      <c r="N1137" s="25">
        <v>0.25</v>
      </c>
      <c r="O1137" s="9">
        <f>revenue[orderPrice]*revenue[orderQuantity]</f>
        <v>250</v>
      </c>
      <c r="P1137" s="9">
        <f>revenue[orderTotal]*(1-revenue[discountApllied])</f>
        <v>187.5</v>
      </c>
      <c r="Q1137" s="9">
        <f>revenue[revenue]-(revenue[productCost]*revenue[orderQuantity])</f>
        <v>28.74541492</v>
      </c>
      <c r="R1137" s="25">
        <f>IFERROR(revenue[profit]/revenue[revenue], 0)</f>
        <v>0.1533088795</v>
      </c>
      <c r="S1137" s="9">
        <f>revenue[productCost]*revenue[orderQuantity]</f>
        <v>158.7545851</v>
      </c>
    </row>
    <row r="1138" ht="15.75" customHeight="1">
      <c r="A1138" s="6">
        <v>10680.0</v>
      </c>
      <c r="B1138" s="7" t="s">
        <v>52</v>
      </c>
      <c r="C1138" s="24" t="str">
        <f>VLOOKUP(revenue[customerID],customers[],2,FALSE)</f>
        <v>Old World Delicatessen</v>
      </c>
      <c r="D1138" s="24" t="str">
        <f>VLOOKUP(revenue[customerID],customers[],6,FALSE)</f>
        <v>Anchorage</v>
      </c>
      <c r="E1138" s="24" t="str">
        <f>VLOOKUP(revenue[customerID],customers[],9,FALSE)</f>
        <v>USA</v>
      </c>
      <c r="F1138" s="24">
        <v>45193.0</v>
      </c>
      <c r="G1138" s="6">
        <v>42.0</v>
      </c>
      <c r="H1138" s="9" t="str">
        <f>VLOOKUP(revenue[productID],products[],2,FALSE)</f>
        <v>Singaporean Hokkien Fried Mee</v>
      </c>
      <c r="I1138" s="9" t="str">
        <f>VLOOKUP(revenue[productID],products[],12,FALSE)</f>
        <v>Grains/Cereals</v>
      </c>
      <c r="J1138" s="9">
        <f>VLOOKUP(revenue[productID],products[],IF(YEAR(revenue[orderDate])=2022,8,IF(YEAR(revenue[orderDate])=2023,9,IF(YEAR(revenue[orderDate])=2024,10,NA))),FALSE)</f>
        <v>9.105641621</v>
      </c>
      <c r="K1138" s="9">
        <v>14.0</v>
      </c>
      <c r="L1138" s="25">
        <f>(revenue[orderPrice]-revenue[productCost])/revenue[productCost]</f>
        <v>0.5375083474</v>
      </c>
      <c r="M1138" s="10">
        <v>40.0</v>
      </c>
      <c r="N1138" s="25">
        <v>0.25</v>
      </c>
      <c r="O1138" s="9">
        <f>revenue[orderPrice]*revenue[orderQuantity]</f>
        <v>560</v>
      </c>
      <c r="P1138" s="9">
        <f>revenue[orderTotal]*(1-revenue[discountApllied])</f>
        <v>420</v>
      </c>
      <c r="Q1138" s="9">
        <f>revenue[revenue]-(revenue[productCost]*revenue[orderQuantity])</f>
        <v>55.77433517</v>
      </c>
      <c r="R1138" s="25">
        <f>IFERROR(revenue[profit]/revenue[revenue], 0)</f>
        <v>0.1327960361</v>
      </c>
      <c r="S1138" s="9">
        <f>revenue[productCost]*revenue[orderQuantity]</f>
        <v>364.2256648</v>
      </c>
    </row>
    <row r="1139" ht="15.75" customHeight="1">
      <c r="A1139" s="6">
        <v>10681.0</v>
      </c>
      <c r="B1139" s="7" t="s">
        <v>94</v>
      </c>
      <c r="C1139" s="24" t="str">
        <f>VLOOKUP(revenue[customerID],customers[],2,FALSE)</f>
        <v>Great Lakes Food Market</v>
      </c>
      <c r="D1139" s="24" t="str">
        <f>VLOOKUP(revenue[customerID],customers[],6,FALSE)</f>
        <v>Eugene</v>
      </c>
      <c r="E1139" s="24" t="str">
        <f>VLOOKUP(revenue[customerID],customers[],9,FALSE)</f>
        <v>USA</v>
      </c>
      <c r="F1139" s="24">
        <v>45194.0</v>
      </c>
      <c r="G1139" s="6">
        <v>19.0</v>
      </c>
      <c r="H1139" s="9" t="str">
        <f>VLOOKUP(revenue[productID],products[],2,FALSE)</f>
        <v>Teatime Chocolate Biscuits</v>
      </c>
      <c r="I1139" s="9" t="str">
        <f>VLOOKUP(revenue[productID],products[],12,FALSE)</f>
        <v>Confections</v>
      </c>
      <c r="J1139" s="9">
        <f>VLOOKUP(revenue[productID],products[],IF(YEAR(revenue[orderDate])=2022,8,IF(YEAR(revenue[orderDate])=2023,9,IF(YEAR(revenue[orderDate])=2024,10,NA))),FALSE)</f>
        <v>5.901883682</v>
      </c>
      <c r="K1139" s="9">
        <v>9.2</v>
      </c>
      <c r="L1139" s="25">
        <f>(revenue[orderPrice]-revenue[productCost])/revenue[productCost]</f>
        <v>0.5588243508</v>
      </c>
      <c r="M1139" s="10">
        <v>30.0</v>
      </c>
      <c r="N1139" s="25">
        <v>0.1</v>
      </c>
      <c r="O1139" s="9">
        <f>revenue[orderPrice]*revenue[orderQuantity]</f>
        <v>276</v>
      </c>
      <c r="P1139" s="9">
        <f>revenue[orderTotal]*(1-revenue[discountApllied])</f>
        <v>248.4</v>
      </c>
      <c r="Q1139" s="9">
        <f>revenue[revenue]-(revenue[productCost]*revenue[orderQuantity])</f>
        <v>71.34348953</v>
      </c>
      <c r="R1139" s="25">
        <f>IFERROR(revenue[profit]/revenue[revenue], 0)</f>
        <v>0.2872121157</v>
      </c>
      <c r="S1139" s="9">
        <f>revenue[productCost]*revenue[orderQuantity]</f>
        <v>177.0565105</v>
      </c>
    </row>
    <row r="1140" ht="15.75" customHeight="1">
      <c r="A1140" s="6">
        <v>10681.0</v>
      </c>
      <c r="B1140" s="7" t="s">
        <v>94</v>
      </c>
      <c r="C1140" s="24" t="str">
        <f>VLOOKUP(revenue[customerID],customers[],2,FALSE)</f>
        <v>Great Lakes Food Market</v>
      </c>
      <c r="D1140" s="24" t="str">
        <f>VLOOKUP(revenue[customerID],customers[],6,FALSE)</f>
        <v>Eugene</v>
      </c>
      <c r="E1140" s="24" t="str">
        <f>VLOOKUP(revenue[customerID],customers[],9,FALSE)</f>
        <v>USA</v>
      </c>
      <c r="F1140" s="24">
        <v>45194.0</v>
      </c>
      <c r="G1140" s="6">
        <v>21.0</v>
      </c>
      <c r="H1140" s="9" t="str">
        <f>VLOOKUP(revenue[productID],products[],2,FALSE)</f>
        <v>Sir Rodney's Scones</v>
      </c>
      <c r="I1140" s="9" t="str">
        <f>VLOOKUP(revenue[productID],products[],12,FALSE)</f>
        <v>Confections</v>
      </c>
      <c r="J1140" s="9">
        <f>VLOOKUP(revenue[productID],products[],IF(YEAR(revenue[orderDate])=2022,8,IF(YEAR(revenue[orderDate])=2023,9,IF(YEAR(revenue[orderDate])=2024,10,NA))),FALSE)</f>
        <v>6.725636111</v>
      </c>
      <c r="K1140" s="9">
        <v>10.0</v>
      </c>
      <c r="L1140" s="25">
        <f>(revenue[orderPrice]-revenue[productCost])/revenue[productCost]</f>
        <v>0.486848208</v>
      </c>
      <c r="M1140" s="10">
        <v>12.0</v>
      </c>
      <c r="N1140" s="25">
        <v>0.1</v>
      </c>
      <c r="O1140" s="9">
        <f>revenue[orderPrice]*revenue[orderQuantity]</f>
        <v>120</v>
      </c>
      <c r="P1140" s="9">
        <f>revenue[orderTotal]*(1-revenue[discountApllied])</f>
        <v>108</v>
      </c>
      <c r="Q1140" s="9">
        <f>revenue[revenue]-(revenue[productCost]*revenue[orderQuantity])</f>
        <v>27.29236666</v>
      </c>
      <c r="R1140" s="25">
        <f>IFERROR(revenue[profit]/revenue[revenue], 0)</f>
        <v>0.2527070987</v>
      </c>
      <c r="S1140" s="9">
        <f>revenue[productCost]*revenue[orderQuantity]</f>
        <v>80.70763334</v>
      </c>
    </row>
    <row r="1141" ht="15.75" customHeight="1">
      <c r="A1141" s="6">
        <v>10681.0</v>
      </c>
      <c r="B1141" s="7" t="s">
        <v>94</v>
      </c>
      <c r="C1141" s="24" t="str">
        <f>VLOOKUP(revenue[customerID],customers[],2,FALSE)</f>
        <v>Great Lakes Food Market</v>
      </c>
      <c r="D1141" s="24" t="str">
        <f>VLOOKUP(revenue[customerID],customers[],6,FALSE)</f>
        <v>Eugene</v>
      </c>
      <c r="E1141" s="24" t="str">
        <f>VLOOKUP(revenue[customerID],customers[],9,FALSE)</f>
        <v>USA</v>
      </c>
      <c r="F1141" s="24">
        <v>45194.0</v>
      </c>
      <c r="G1141" s="6">
        <v>64.0</v>
      </c>
      <c r="H1141" s="9" t="str">
        <f>VLOOKUP(revenue[productID],products[],2,FALSE)</f>
        <v>Lukas' leckere Sauerteigweggla</v>
      </c>
      <c r="I1141" s="9" t="str">
        <f>VLOOKUP(revenue[productID],products[],12,FALSE)</f>
        <v>Grains/Cereals</v>
      </c>
      <c r="J1141" s="9">
        <f>VLOOKUP(revenue[productID],products[],IF(YEAR(revenue[orderDate])=2022,8,IF(YEAR(revenue[orderDate])=2023,9,IF(YEAR(revenue[orderDate])=2024,10,NA))),FALSE)</f>
        <v>21.88572728</v>
      </c>
      <c r="K1141" s="9">
        <v>33.25</v>
      </c>
      <c r="L1141" s="25">
        <f>(revenue[orderPrice]-revenue[productCost])/revenue[productCost]</f>
        <v>0.5192549724</v>
      </c>
      <c r="M1141" s="10">
        <v>28.0</v>
      </c>
      <c r="N1141" s="25">
        <v>0.0</v>
      </c>
      <c r="O1141" s="9">
        <f>revenue[orderPrice]*revenue[orderQuantity]</f>
        <v>931</v>
      </c>
      <c r="P1141" s="9">
        <f>revenue[orderTotal]*(1-revenue[discountApllied])</f>
        <v>931</v>
      </c>
      <c r="Q1141" s="9">
        <f>revenue[revenue]-(revenue[productCost]*revenue[orderQuantity])</f>
        <v>318.1996361</v>
      </c>
      <c r="R1141" s="25">
        <f>IFERROR(revenue[profit]/revenue[revenue], 0)</f>
        <v>0.3417826381</v>
      </c>
      <c r="S1141" s="9">
        <f>revenue[productCost]*revenue[orderQuantity]</f>
        <v>612.8003639</v>
      </c>
    </row>
    <row r="1142" ht="15.75" customHeight="1">
      <c r="A1142" s="6">
        <v>10682.0</v>
      </c>
      <c r="B1142" s="7" t="s">
        <v>74</v>
      </c>
      <c r="C1142" s="24" t="str">
        <f>VLOOKUP(revenue[customerID],customers[],2,FALSE)</f>
        <v>Antonio Moreno Taquería</v>
      </c>
      <c r="D1142" s="24" t="str">
        <f>VLOOKUP(revenue[customerID],customers[],6,FALSE)</f>
        <v>México D.F.</v>
      </c>
      <c r="E1142" s="24" t="str">
        <f>VLOOKUP(revenue[customerID],customers[],9,FALSE)</f>
        <v>Mexico</v>
      </c>
      <c r="F1142" s="24">
        <v>45194.0</v>
      </c>
      <c r="G1142" s="6">
        <v>33.0</v>
      </c>
      <c r="H1142" s="9" t="str">
        <f>VLOOKUP(revenue[productID],products[],2,FALSE)</f>
        <v>Geitost</v>
      </c>
      <c r="I1142" s="9" t="str">
        <f>VLOOKUP(revenue[productID],products[],12,FALSE)</f>
        <v>Dairy Products</v>
      </c>
      <c r="J1142" s="9">
        <f>VLOOKUP(revenue[productID],products[],IF(YEAR(revenue[orderDate])=2022,8,IF(YEAR(revenue[orderDate])=2023,9,IF(YEAR(revenue[orderDate])=2024,10,NA))),FALSE)</f>
        <v>1.559072298</v>
      </c>
      <c r="K1142" s="9">
        <v>2.5</v>
      </c>
      <c r="L1142" s="25">
        <f>(revenue[orderPrice]-revenue[productCost])/revenue[productCost]</f>
        <v>0.603517684</v>
      </c>
      <c r="M1142" s="10">
        <v>30.0</v>
      </c>
      <c r="N1142" s="25">
        <v>0.0</v>
      </c>
      <c r="O1142" s="9">
        <f>revenue[orderPrice]*revenue[orderQuantity]</f>
        <v>75</v>
      </c>
      <c r="P1142" s="9">
        <f>revenue[orderTotal]*(1-revenue[discountApllied])</f>
        <v>75</v>
      </c>
      <c r="Q1142" s="9">
        <f>revenue[revenue]-(revenue[productCost]*revenue[orderQuantity])</f>
        <v>28.22783107</v>
      </c>
      <c r="R1142" s="25">
        <f>IFERROR(revenue[profit]/revenue[revenue], 0)</f>
        <v>0.3763710809</v>
      </c>
      <c r="S1142" s="9">
        <f>revenue[productCost]*revenue[orderQuantity]</f>
        <v>46.77216893</v>
      </c>
    </row>
    <row r="1143" ht="15.75" customHeight="1">
      <c r="A1143" s="6">
        <v>10682.0</v>
      </c>
      <c r="B1143" s="7" t="s">
        <v>74</v>
      </c>
      <c r="C1143" s="24" t="str">
        <f>VLOOKUP(revenue[customerID],customers[],2,FALSE)</f>
        <v>Antonio Moreno Taquería</v>
      </c>
      <c r="D1143" s="24" t="str">
        <f>VLOOKUP(revenue[customerID],customers[],6,FALSE)</f>
        <v>México D.F.</v>
      </c>
      <c r="E1143" s="24" t="str">
        <f>VLOOKUP(revenue[customerID],customers[],9,FALSE)</f>
        <v>Mexico</v>
      </c>
      <c r="F1143" s="24">
        <v>45194.0</v>
      </c>
      <c r="G1143" s="6">
        <v>66.0</v>
      </c>
      <c r="H1143" s="9" t="str">
        <f>VLOOKUP(revenue[productID],products[],2,FALSE)</f>
        <v>Louisiana Hot Spiced Okra</v>
      </c>
      <c r="I1143" s="9" t="str">
        <f>VLOOKUP(revenue[productID],products[],12,FALSE)</f>
        <v>Condiments</v>
      </c>
      <c r="J1143" s="9">
        <f>VLOOKUP(revenue[productID],products[],IF(YEAR(revenue[orderDate])=2022,8,IF(YEAR(revenue[orderDate])=2023,9,IF(YEAR(revenue[orderDate])=2024,10,NA))),FALSE)</f>
        <v>10.17313149</v>
      </c>
      <c r="K1143" s="9">
        <v>17.0</v>
      </c>
      <c r="L1143" s="25">
        <f>(revenue[orderPrice]-revenue[productCost])/revenue[productCost]</f>
        <v>0.6710685417</v>
      </c>
      <c r="M1143" s="10">
        <v>4.0</v>
      </c>
      <c r="N1143" s="25">
        <v>0.0</v>
      </c>
      <c r="O1143" s="9">
        <f>revenue[orderPrice]*revenue[orderQuantity]</f>
        <v>68</v>
      </c>
      <c r="P1143" s="9">
        <f>revenue[orderTotal]*(1-revenue[discountApllied])</f>
        <v>68</v>
      </c>
      <c r="Q1143" s="9">
        <f>revenue[revenue]-(revenue[productCost]*revenue[orderQuantity])</f>
        <v>27.30747405</v>
      </c>
      <c r="R1143" s="25">
        <f>IFERROR(revenue[profit]/revenue[revenue], 0)</f>
        <v>0.4015805007</v>
      </c>
      <c r="S1143" s="9">
        <f>revenue[productCost]*revenue[orderQuantity]</f>
        <v>40.69252595</v>
      </c>
    </row>
    <row r="1144" ht="15.75" customHeight="1">
      <c r="A1144" s="6">
        <v>10682.0</v>
      </c>
      <c r="B1144" s="7" t="s">
        <v>74</v>
      </c>
      <c r="C1144" s="24" t="str">
        <f>VLOOKUP(revenue[customerID],customers[],2,FALSE)</f>
        <v>Antonio Moreno Taquería</v>
      </c>
      <c r="D1144" s="24" t="str">
        <f>VLOOKUP(revenue[customerID],customers[],6,FALSE)</f>
        <v>México D.F.</v>
      </c>
      <c r="E1144" s="24" t="str">
        <f>VLOOKUP(revenue[customerID],customers[],9,FALSE)</f>
        <v>Mexico</v>
      </c>
      <c r="F1144" s="24">
        <v>45194.0</v>
      </c>
      <c r="G1144" s="6">
        <v>75.0</v>
      </c>
      <c r="H1144" s="9" t="str">
        <f>VLOOKUP(revenue[productID],products[],2,FALSE)</f>
        <v>Rhönbräu Klosterbier</v>
      </c>
      <c r="I1144" s="9" t="str">
        <f>VLOOKUP(revenue[productID],products[],12,FALSE)</f>
        <v>Beverages</v>
      </c>
      <c r="J1144" s="9">
        <f>VLOOKUP(revenue[productID],products[],IF(YEAR(revenue[orderDate])=2022,8,IF(YEAR(revenue[orderDate])=2023,9,IF(YEAR(revenue[orderDate])=2024,10,NA))),FALSE)</f>
        <v>5.355290472</v>
      </c>
      <c r="K1144" s="9">
        <v>7.75</v>
      </c>
      <c r="L1144" s="25">
        <f>(revenue[orderPrice]-revenue[productCost])/revenue[productCost]</f>
        <v>0.4471670661</v>
      </c>
      <c r="M1144" s="10">
        <v>30.0</v>
      </c>
      <c r="N1144" s="25">
        <v>0.0</v>
      </c>
      <c r="O1144" s="9">
        <f>revenue[orderPrice]*revenue[orderQuantity]</f>
        <v>232.5</v>
      </c>
      <c r="P1144" s="9">
        <f>revenue[orderTotal]*(1-revenue[discountApllied])</f>
        <v>232.5</v>
      </c>
      <c r="Q1144" s="9">
        <f>revenue[revenue]-(revenue[productCost]*revenue[orderQuantity])</f>
        <v>71.84128585</v>
      </c>
      <c r="R1144" s="25">
        <f>IFERROR(revenue[profit]/revenue[revenue], 0)</f>
        <v>0.3089947778</v>
      </c>
      <c r="S1144" s="9">
        <f>revenue[productCost]*revenue[orderQuantity]</f>
        <v>160.6587142</v>
      </c>
    </row>
    <row r="1145" ht="15.75" customHeight="1">
      <c r="A1145" s="6">
        <v>10683.0</v>
      </c>
      <c r="B1145" s="7" t="s">
        <v>56</v>
      </c>
      <c r="C1145" s="24" t="str">
        <f>VLOOKUP(revenue[customerID],customers[],2,FALSE)</f>
        <v>Du monde entier</v>
      </c>
      <c r="D1145" s="24" t="str">
        <f>VLOOKUP(revenue[customerID],customers[],6,FALSE)</f>
        <v>Nantes</v>
      </c>
      <c r="E1145" s="24" t="str">
        <f>VLOOKUP(revenue[customerID],customers[],9,FALSE)</f>
        <v>France</v>
      </c>
      <c r="F1145" s="24">
        <v>45195.0</v>
      </c>
      <c r="G1145" s="6">
        <v>52.0</v>
      </c>
      <c r="H1145" s="9" t="str">
        <f>VLOOKUP(revenue[productID],products[],2,FALSE)</f>
        <v>Filo Mix</v>
      </c>
      <c r="I1145" s="9" t="str">
        <f>VLOOKUP(revenue[productID],products[],12,FALSE)</f>
        <v>Grains/Cereals</v>
      </c>
      <c r="J1145" s="9">
        <f>VLOOKUP(revenue[productID],products[],IF(YEAR(revenue[orderDate])=2022,8,IF(YEAR(revenue[orderDate])=2023,9,IF(YEAR(revenue[orderDate])=2024,10,NA))),FALSE)</f>
        <v>5.001706713</v>
      </c>
      <c r="K1145" s="9">
        <v>7.0</v>
      </c>
      <c r="L1145" s="25">
        <f>(revenue[orderPrice]-revenue[productCost])/revenue[productCost]</f>
        <v>0.3995222835</v>
      </c>
      <c r="M1145" s="10">
        <v>9.0</v>
      </c>
      <c r="N1145" s="25">
        <v>0.0</v>
      </c>
      <c r="O1145" s="9">
        <f>revenue[orderPrice]*revenue[orderQuantity]</f>
        <v>63</v>
      </c>
      <c r="P1145" s="9">
        <f>revenue[orderTotal]*(1-revenue[discountApllied])</f>
        <v>63</v>
      </c>
      <c r="Q1145" s="9">
        <f>revenue[revenue]-(revenue[productCost]*revenue[orderQuantity])</f>
        <v>17.98463959</v>
      </c>
      <c r="R1145" s="25">
        <f>IFERROR(revenue[profit]/revenue[revenue], 0)</f>
        <v>0.2854704696</v>
      </c>
      <c r="S1145" s="9">
        <f>revenue[productCost]*revenue[orderQuantity]</f>
        <v>45.01536041</v>
      </c>
    </row>
    <row r="1146" ht="15.75" customHeight="1">
      <c r="A1146" s="6">
        <v>10684.0</v>
      </c>
      <c r="B1146" s="7" t="s">
        <v>26</v>
      </c>
      <c r="C1146" s="24" t="str">
        <f>VLOOKUP(revenue[customerID],customers[],2,FALSE)</f>
        <v>Ottilies Käseladen</v>
      </c>
      <c r="D1146" s="24" t="str">
        <f>VLOOKUP(revenue[customerID],customers[],6,FALSE)</f>
        <v>Köln</v>
      </c>
      <c r="E1146" s="24" t="str">
        <f>VLOOKUP(revenue[customerID],customers[],9,FALSE)</f>
        <v>Germany</v>
      </c>
      <c r="F1146" s="24">
        <v>45195.0</v>
      </c>
      <c r="G1146" s="6">
        <v>40.0</v>
      </c>
      <c r="H1146" s="9" t="str">
        <f>VLOOKUP(revenue[productID],products[],2,FALSE)</f>
        <v>Boston Crab Meat</v>
      </c>
      <c r="I1146" s="9" t="str">
        <f>VLOOKUP(revenue[productID],products[],12,FALSE)</f>
        <v>Seafood</v>
      </c>
      <c r="J1146" s="9">
        <f>VLOOKUP(revenue[productID],products[],IF(YEAR(revenue[orderDate])=2022,8,IF(YEAR(revenue[orderDate])=2023,9,IF(YEAR(revenue[orderDate])=2024,10,NA))),FALSE)</f>
        <v>11.40496523</v>
      </c>
      <c r="K1146" s="9">
        <v>18.4</v>
      </c>
      <c r="L1146" s="25">
        <f>(revenue[orderPrice]-revenue[productCost])/revenue[productCost]</f>
        <v>0.6133324069</v>
      </c>
      <c r="M1146" s="10">
        <v>20.0</v>
      </c>
      <c r="N1146" s="25">
        <v>0.0</v>
      </c>
      <c r="O1146" s="9">
        <f>revenue[orderPrice]*revenue[orderQuantity]</f>
        <v>368</v>
      </c>
      <c r="P1146" s="9">
        <f>revenue[orderTotal]*(1-revenue[discountApllied])</f>
        <v>368</v>
      </c>
      <c r="Q1146" s="9">
        <f>revenue[revenue]-(revenue[productCost]*revenue[orderQuantity])</f>
        <v>139.9006955</v>
      </c>
      <c r="R1146" s="25">
        <f>IFERROR(revenue[profit]/revenue[revenue], 0)</f>
        <v>0.3801649333</v>
      </c>
      <c r="S1146" s="9">
        <f>revenue[productCost]*revenue[orderQuantity]</f>
        <v>228.0993045</v>
      </c>
    </row>
    <row r="1147" ht="15.75" customHeight="1">
      <c r="A1147" s="6">
        <v>10684.0</v>
      </c>
      <c r="B1147" s="7" t="s">
        <v>26</v>
      </c>
      <c r="C1147" s="24" t="str">
        <f>VLOOKUP(revenue[customerID],customers[],2,FALSE)</f>
        <v>Ottilies Käseladen</v>
      </c>
      <c r="D1147" s="24" t="str">
        <f>VLOOKUP(revenue[customerID],customers[],6,FALSE)</f>
        <v>Köln</v>
      </c>
      <c r="E1147" s="24" t="str">
        <f>VLOOKUP(revenue[customerID],customers[],9,FALSE)</f>
        <v>Germany</v>
      </c>
      <c r="F1147" s="24">
        <v>45195.0</v>
      </c>
      <c r="G1147" s="6">
        <v>47.0</v>
      </c>
      <c r="H1147" s="9" t="str">
        <f>VLOOKUP(revenue[productID],products[],2,FALSE)</f>
        <v>Zaanse koeken</v>
      </c>
      <c r="I1147" s="9" t="str">
        <f>VLOOKUP(revenue[productID],products[],12,FALSE)</f>
        <v>Confections</v>
      </c>
      <c r="J1147" s="9">
        <f>VLOOKUP(revenue[productID],products[],IF(YEAR(revenue[orderDate])=2022,8,IF(YEAR(revenue[orderDate])=2023,9,IF(YEAR(revenue[orderDate])=2024,10,NA))),FALSE)</f>
        <v>6.57708833</v>
      </c>
      <c r="K1147" s="9">
        <v>9.5</v>
      </c>
      <c r="L1147" s="25">
        <f>(revenue[orderPrice]-revenue[productCost])/revenue[productCost]</f>
        <v>0.4444081519</v>
      </c>
      <c r="M1147" s="10">
        <v>40.0</v>
      </c>
      <c r="N1147" s="25">
        <v>0.0</v>
      </c>
      <c r="O1147" s="9">
        <f>revenue[orderPrice]*revenue[orderQuantity]</f>
        <v>380</v>
      </c>
      <c r="P1147" s="9">
        <f>revenue[orderTotal]*(1-revenue[discountApllied])</f>
        <v>380</v>
      </c>
      <c r="Q1147" s="9">
        <f>revenue[revenue]-(revenue[productCost]*revenue[orderQuantity])</f>
        <v>116.9164668</v>
      </c>
      <c r="R1147" s="25">
        <f>IFERROR(revenue[profit]/revenue[revenue], 0)</f>
        <v>0.3076749126</v>
      </c>
      <c r="S1147" s="9">
        <f>revenue[productCost]*revenue[orderQuantity]</f>
        <v>263.0835332</v>
      </c>
    </row>
    <row r="1148" ht="15.75" customHeight="1">
      <c r="A1148" s="6">
        <v>10684.0</v>
      </c>
      <c r="B1148" s="7" t="s">
        <v>26</v>
      </c>
      <c r="C1148" s="24" t="str">
        <f>VLOOKUP(revenue[customerID],customers[],2,FALSE)</f>
        <v>Ottilies Käseladen</v>
      </c>
      <c r="D1148" s="24" t="str">
        <f>VLOOKUP(revenue[customerID],customers[],6,FALSE)</f>
        <v>Köln</v>
      </c>
      <c r="E1148" s="24" t="str">
        <f>VLOOKUP(revenue[customerID],customers[],9,FALSE)</f>
        <v>Germany</v>
      </c>
      <c r="F1148" s="24">
        <v>45195.0</v>
      </c>
      <c r="G1148" s="6">
        <v>60.0</v>
      </c>
      <c r="H1148" s="9" t="str">
        <f>VLOOKUP(revenue[productID],products[],2,FALSE)</f>
        <v>Camembert Pierrot</v>
      </c>
      <c r="I1148" s="9" t="str">
        <f>VLOOKUP(revenue[productID],products[],12,FALSE)</f>
        <v>Dairy Products</v>
      </c>
      <c r="J1148" s="9">
        <f>VLOOKUP(revenue[productID],products[],IF(YEAR(revenue[orderDate])=2022,8,IF(YEAR(revenue[orderDate])=2023,9,IF(YEAR(revenue[orderDate])=2024,10,NA))),FALSE)</f>
        <v>22.77098295</v>
      </c>
      <c r="K1148" s="9">
        <v>34.0</v>
      </c>
      <c r="L1148" s="25">
        <f>(revenue[orderPrice]-revenue[productCost])/revenue[productCost]</f>
        <v>0.4931283415</v>
      </c>
      <c r="M1148" s="10">
        <v>30.0</v>
      </c>
      <c r="N1148" s="25">
        <v>0.0</v>
      </c>
      <c r="O1148" s="9">
        <f>revenue[orderPrice]*revenue[orderQuantity]</f>
        <v>1020</v>
      </c>
      <c r="P1148" s="9">
        <f>revenue[orderTotal]*(1-revenue[discountApllied])</f>
        <v>1020</v>
      </c>
      <c r="Q1148" s="9">
        <f>revenue[revenue]-(revenue[productCost]*revenue[orderQuantity])</f>
        <v>336.8705116</v>
      </c>
      <c r="R1148" s="25">
        <f>IFERROR(revenue[profit]/revenue[revenue], 0)</f>
        <v>0.3302652075</v>
      </c>
      <c r="S1148" s="9">
        <f>revenue[productCost]*revenue[orderQuantity]</f>
        <v>683.1294884</v>
      </c>
    </row>
    <row r="1149" ht="15.75" customHeight="1">
      <c r="A1149" s="6">
        <v>10685.0</v>
      </c>
      <c r="B1149" s="7" t="s">
        <v>86</v>
      </c>
      <c r="C1149" s="24" t="str">
        <f>VLOOKUP(revenue[customerID],customers[],2,FALSE)</f>
        <v>Gourmet Lanchonetes</v>
      </c>
      <c r="D1149" s="24" t="str">
        <f>VLOOKUP(revenue[customerID],customers[],6,FALSE)</f>
        <v>Campinas</v>
      </c>
      <c r="E1149" s="24" t="str">
        <f>VLOOKUP(revenue[customerID],customers[],9,FALSE)</f>
        <v>Brazil</v>
      </c>
      <c r="F1149" s="24">
        <v>45198.0</v>
      </c>
      <c r="G1149" s="6">
        <v>10.0</v>
      </c>
      <c r="H1149" s="9" t="str">
        <f>VLOOKUP(revenue[productID],products[],2,FALSE)</f>
        <v>Ikura</v>
      </c>
      <c r="I1149" s="9" t="str">
        <f>VLOOKUP(revenue[productID],products[],12,FALSE)</f>
        <v>Seafood</v>
      </c>
      <c r="J1149" s="9">
        <f>VLOOKUP(revenue[productID],products[],IF(YEAR(revenue[orderDate])=2022,8,IF(YEAR(revenue[orderDate])=2023,9,IF(YEAR(revenue[orderDate])=2024,10,NA))),FALSE)</f>
        <v>20.72721922</v>
      </c>
      <c r="K1149" s="9">
        <v>31.0</v>
      </c>
      <c r="L1149" s="25">
        <f>(revenue[orderPrice]-revenue[productCost])/revenue[productCost]</f>
        <v>0.4956178962</v>
      </c>
      <c r="M1149" s="10">
        <v>20.0</v>
      </c>
      <c r="N1149" s="25">
        <v>0.0</v>
      </c>
      <c r="O1149" s="9">
        <f>revenue[orderPrice]*revenue[orderQuantity]</f>
        <v>620</v>
      </c>
      <c r="P1149" s="9">
        <f>revenue[orderTotal]*(1-revenue[discountApllied])</f>
        <v>620</v>
      </c>
      <c r="Q1149" s="9">
        <f>revenue[revenue]-(revenue[productCost]*revenue[orderQuantity])</f>
        <v>205.4556157</v>
      </c>
      <c r="R1149" s="25">
        <f>IFERROR(revenue[profit]/revenue[revenue], 0)</f>
        <v>0.3313800252</v>
      </c>
      <c r="S1149" s="9">
        <f>revenue[productCost]*revenue[orderQuantity]</f>
        <v>414.5443843</v>
      </c>
    </row>
    <row r="1150" ht="15.75" customHeight="1">
      <c r="A1150" s="6">
        <v>10685.0</v>
      </c>
      <c r="B1150" s="7" t="s">
        <v>86</v>
      </c>
      <c r="C1150" s="24" t="str">
        <f>VLOOKUP(revenue[customerID],customers[],2,FALSE)</f>
        <v>Gourmet Lanchonetes</v>
      </c>
      <c r="D1150" s="24" t="str">
        <f>VLOOKUP(revenue[customerID],customers[],6,FALSE)</f>
        <v>Campinas</v>
      </c>
      <c r="E1150" s="24" t="str">
        <f>VLOOKUP(revenue[customerID],customers[],9,FALSE)</f>
        <v>Brazil</v>
      </c>
      <c r="F1150" s="24">
        <v>45198.0</v>
      </c>
      <c r="G1150" s="6">
        <v>41.0</v>
      </c>
      <c r="H1150" s="9" t="str">
        <f>VLOOKUP(revenue[productID],products[],2,FALSE)</f>
        <v>Jack's New England Clam Chowder</v>
      </c>
      <c r="I1150" s="9" t="str">
        <f>VLOOKUP(revenue[productID],products[],12,FALSE)</f>
        <v>Seafood</v>
      </c>
      <c r="J1150" s="9">
        <f>VLOOKUP(revenue[productID],products[],IF(YEAR(revenue[orderDate])=2022,8,IF(YEAR(revenue[orderDate])=2023,9,IF(YEAR(revenue[orderDate])=2024,10,NA))),FALSE)</f>
        <v>6.549914856</v>
      </c>
      <c r="K1150" s="9">
        <v>9.65</v>
      </c>
      <c r="L1150" s="25">
        <f>(revenue[orderPrice]-revenue[productCost])/revenue[productCost]</f>
        <v>0.4733015943</v>
      </c>
      <c r="M1150" s="10">
        <v>4.0</v>
      </c>
      <c r="N1150" s="25">
        <v>0.0</v>
      </c>
      <c r="O1150" s="9">
        <f>revenue[orderPrice]*revenue[orderQuantity]</f>
        <v>38.6</v>
      </c>
      <c r="P1150" s="9">
        <f>revenue[orderTotal]*(1-revenue[discountApllied])</f>
        <v>38.6</v>
      </c>
      <c r="Q1150" s="9">
        <f>revenue[revenue]-(revenue[productCost]*revenue[orderQuantity])</f>
        <v>12.40034058</v>
      </c>
      <c r="R1150" s="25">
        <f>IFERROR(revenue[profit]/revenue[revenue], 0)</f>
        <v>0.3212523465</v>
      </c>
      <c r="S1150" s="9">
        <f>revenue[productCost]*revenue[orderQuantity]</f>
        <v>26.19965942</v>
      </c>
    </row>
    <row r="1151" ht="15.75" customHeight="1">
      <c r="A1151" s="6">
        <v>10685.0</v>
      </c>
      <c r="B1151" s="7" t="s">
        <v>86</v>
      </c>
      <c r="C1151" s="24" t="str">
        <f>VLOOKUP(revenue[customerID],customers[],2,FALSE)</f>
        <v>Gourmet Lanchonetes</v>
      </c>
      <c r="D1151" s="24" t="str">
        <f>VLOOKUP(revenue[customerID],customers[],6,FALSE)</f>
        <v>Campinas</v>
      </c>
      <c r="E1151" s="24" t="str">
        <f>VLOOKUP(revenue[customerID],customers[],9,FALSE)</f>
        <v>Brazil</v>
      </c>
      <c r="F1151" s="24">
        <v>45198.0</v>
      </c>
      <c r="G1151" s="6">
        <v>47.0</v>
      </c>
      <c r="H1151" s="9" t="str">
        <f>VLOOKUP(revenue[productID],products[],2,FALSE)</f>
        <v>Zaanse koeken</v>
      </c>
      <c r="I1151" s="9" t="str">
        <f>VLOOKUP(revenue[productID],products[],12,FALSE)</f>
        <v>Confections</v>
      </c>
      <c r="J1151" s="9">
        <f>VLOOKUP(revenue[productID],products[],IF(YEAR(revenue[orderDate])=2022,8,IF(YEAR(revenue[orderDate])=2023,9,IF(YEAR(revenue[orderDate])=2024,10,NA))),FALSE)</f>
        <v>6.57708833</v>
      </c>
      <c r="K1151" s="9">
        <v>9.5</v>
      </c>
      <c r="L1151" s="25">
        <f>(revenue[orderPrice]-revenue[productCost])/revenue[productCost]</f>
        <v>0.4444081519</v>
      </c>
      <c r="M1151" s="10">
        <v>15.0</v>
      </c>
      <c r="N1151" s="25">
        <v>0.0</v>
      </c>
      <c r="O1151" s="9">
        <f>revenue[orderPrice]*revenue[orderQuantity]</f>
        <v>142.5</v>
      </c>
      <c r="P1151" s="9">
        <f>revenue[orderTotal]*(1-revenue[discountApllied])</f>
        <v>142.5</v>
      </c>
      <c r="Q1151" s="9">
        <f>revenue[revenue]-(revenue[productCost]*revenue[orderQuantity])</f>
        <v>43.84367504</v>
      </c>
      <c r="R1151" s="25">
        <f>IFERROR(revenue[profit]/revenue[revenue], 0)</f>
        <v>0.3076749126</v>
      </c>
      <c r="S1151" s="9">
        <f>revenue[productCost]*revenue[orderQuantity]</f>
        <v>98.65632496</v>
      </c>
    </row>
    <row r="1152" ht="15.75" customHeight="1">
      <c r="A1152" s="6">
        <v>10686.0</v>
      </c>
      <c r="B1152" s="7" t="s">
        <v>69</v>
      </c>
      <c r="C1152" s="24" t="str">
        <f>VLOOKUP(revenue[customerID],customers[],2,FALSE)</f>
        <v>Piccolo und mehr</v>
      </c>
      <c r="D1152" s="24" t="str">
        <f>VLOOKUP(revenue[customerID],customers[],6,FALSE)</f>
        <v>Salzburg</v>
      </c>
      <c r="E1152" s="24" t="str">
        <f>VLOOKUP(revenue[customerID],customers[],9,FALSE)</f>
        <v>Austria</v>
      </c>
      <c r="F1152" s="24">
        <v>45199.0</v>
      </c>
      <c r="G1152" s="6">
        <v>17.0</v>
      </c>
      <c r="H1152" s="9" t="str">
        <f>VLOOKUP(revenue[productID],products[],2,FALSE)</f>
        <v>Alice Mutton</v>
      </c>
      <c r="I1152" s="9" t="str">
        <f>VLOOKUP(revenue[productID],products[],12,FALSE)</f>
        <v>Meat/Poultry</v>
      </c>
      <c r="J1152" s="9">
        <f>VLOOKUP(revenue[productID],products[],IF(YEAR(revenue[orderDate])=2022,8,IF(YEAR(revenue[orderDate])=2023,9,IF(YEAR(revenue[orderDate])=2024,10,NA))),FALSE)</f>
        <v>24.83130504</v>
      </c>
      <c r="K1152" s="9">
        <v>39.0</v>
      </c>
      <c r="L1152" s="25">
        <f>(revenue[orderPrice]-revenue[productCost])/revenue[productCost]</f>
        <v>0.5705980792</v>
      </c>
      <c r="M1152" s="10">
        <v>30.0</v>
      </c>
      <c r="N1152" s="25">
        <v>0.2</v>
      </c>
      <c r="O1152" s="9">
        <f>revenue[orderPrice]*revenue[orderQuantity]</f>
        <v>1170</v>
      </c>
      <c r="P1152" s="9">
        <f>revenue[orderTotal]*(1-revenue[discountApllied])</f>
        <v>936</v>
      </c>
      <c r="Q1152" s="9">
        <f>revenue[revenue]-(revenue[productCost]*revenue[orderQuantity])</f>
        <v>191.0608488</v>
      </c>
      <c r="R1152" s="25">
        <f>IFERROR(revenue[profit]/revenue[revenue], 0)</f>
        <v>0.2041248385</v>
      </c>
      <c r="S1152" s="9">
        <f>revenue[productCost]*revenue[orderQuantity]</f>
        <v>744.9391512</v>
      </c>
    </row>
    <row r="1153" ht="15.75" customHeight="1">
      <c r="A1153" s="6">
        <v>10686.0</v>
      </c>
      <c r="B1153" s="7" t="s">
        <v>69</v>
      </c>
      <c r="C1153" s="24" t="str">
        <f>VLOOKUP(revenue[customerID],customers[],2,FALSE)</f>
        <v>Piccolo und mehr</v>
      </c>
      <c r="D1153" s="24" t="str">
        <f>VLOOKUP(revenue[customerID],customers[],6,FALSE)</f>
        <v>Salzburg</v>
      </c>
      <c r="E1153" s="24" t="str">
        <f>VLOOKUP(revenue[customerID],customers[],9,FALSE)</f>
        <v>Austria</v>
      </c>
      <c r="F1153" s="24">
        <v>45199.0</v>
      </c>
      <c r="G1153" s="6">
        <v>26.0</v>
      </c>
      <c r="H1153" s="9" t="str">
        <f>VLOOKUP(revenue[productID],products[],2,FALSE)</f>
        <v>NuNuCa Nuß-Nougat-Creme</v>
      </c>
      <c r="I1153" s="9" t="str">
        <f>VLOOKUP(revenue[productID],products[],12,FALSE)</f>
        <v>Confections</v>
      </c>
      <c r="J1153" s="9">
        <f>VLOOKUP(revenue[productID],products[],IF(YEAR(revenue[orderDate])=2022,8,IF(YEAR(revenue[orderDate])=2023,9,IF(YEAR(revenue[orderDate])=2024,10,NA))),FALSE)</f>
        <v>21.20896201</v>
      </c>
      <c r="K1153" s="9">
        <v>31.23</v>
      </c>
      <c r="L1153" s="25">
        <f>(revenue[orderPrice]-revenue[productCost])/revenue[productCost]</f>
        <v>0.472490732</v>
      </c>
      <c r="M1153" s="10">
        <v>15.0</v>
      </c>
      <c r="N1153" s="25">
        <v>0.0</v>
      </c>
      <c r="O1153" s="9">
        <f>revenue[orderPrice]*revenue[orderQuantity]</f>
        <v>468.45</v>
      </c>
      <c r="P1153" s="9">
        <f>revenue[orderTotal]*(1-revenue[discountApllied])</f>
        <v>468.45</v>
      </c>
      <c r="Q1153" s="9">
        <f>revenue[revenue]-(revenue[productCost]*revenue[orderQuantity])</f>
        <v>150.3155698</v>
      </c>
      <c r="R1153" s="25">
        <f>IFERROR(revenue[profit]/revenue[revenue], 0)</f>
        <v>0.3208785779</v>
      </c>
      <c r="S1153" s="9">
        <f>revenue[productCost]*revenue[orderQuantity]</f>
        <v>318.1344302</v>
      </c>
    </row>
    <row r="1154" ht="15.75" customHeight="1">
      <c r="A1154" s="6">
        <v>10687.0</v>
      </c>
      <c r="B1154" s="7" t="s">
        <v>49</v>
      </c>
      <c r="C1154" s="24" t="str">
        <f>VLOOKUP(revenue[customerID],customers[],2,FALSE)</f>
        <v>Hungry Owl All-Night Grocers</v>
      </c>
      <c r="D1154" s="24" t="str">
        <f>VLOOKUP(revenue[customerID],customers[],6,FALSE)</f>
        <v>Cork</v>
      </c>
      <c r="E1154" s="24" t="str">
        <f>VLOOKUP(revenue[customerID],customers[],9,FALSE)</f>
        <v>Ireland</v>
      </c>
      <c r="F1154" s="24">
        <v>45199.0</v>
      </c>
      <c r="G1154" s="6">
        <v>9.0</v>
      </c>
      <c r="H1154" s="9" t="str">
        <f>VLOOKUP(revenue[productID],products[],2,FALSE)</f>
        <v>Mishi Kobe Niku</v>
      </c>
      <c r="I1154" s="9" t="str">
        <f>VLOOKUP(revenue[productID],products[],12,FALSE)</f>
        <v>Meat/Poultry</v>
      </c>
      <c r="J1154" s="9">
        <f>VLOOKUP(revenue[productID],products[],IF(YEAR(revenue[orderDate])=2022,8,IF(YEAR(revenue[orderDate])=2023,9,IF(YEAR(revenue[orderDate])=2024,10,NA))),FALSE)</f>
        <v>59.95980959</v>
      </c>
      <c r="K1154" s="9">
        <v>97.0</v>
      </c>
      <c r="L1154" s="25">
        <f>(revenue[orderPrice]-revenue[productCost])/revenue[productCost]</f>
        <v>0.6177503007</v>
      </c>
      <c r="M1154" s="10">
        <v>50.0</v>
      </c>
      <c r="N1154" s="25">
        <v>0.25</v>
      </c>
      <c r="O1154" s="9">
        <f>revenue[orderPrice]*revenue[orderQuantity]</f>
        <v>4850</v>
      </c>
      <c r="P1154" s="9">
        <f>revenue[orderTotal]*(1-revenue[discountApllied])</f>
        <v>3637.5</v>
      </c>
      <c r="Q1154" s="9">
        <f>revenue[revenue]-(revenue[productCost]*revenue[orderQuantity])</f>
        <v>639.5095203</v>
      </c>
      <c r="R1154" s="25">
        <f>IFERROR(revenue[profit]/revenue[revenue], 0)</f>
        <v>0.1758101774</v>
      </c>
      <c r="S1154" s="9">
        <f>revenue[productCost]*revenue[orderQuantity]</f>
        <v>2997.99048</v>
      </c>
    </row>
    <row r="1155" ht="15.75" customHeight="1">
      <c r="A1155" s="6">
        <v>10687.0</v>
      </c>
      <c r="B1155" s="7" t="s">
        <v>49</v>
      </c>
      <c r="C1155" s="24" t="str">
        <f>VLOOKUP(revenue[customerID],customers[],2,FALSE)</f>
        <v>Hungry Owl All-Night Grocers</v>
      </c>
      <c r="D1155" s="24" t="str">
        <f>VLOOKUP(revenue[customerID],customers[],6,FALSE)</f>
        <v>Cork</v>
      </c>
      <c r="E1155" s="24" t="str">
        <f>VLOOKUP(revenue[customerID],customers[],9,FALSE)</f>
        <v>Ireland</v>
      </c>
      <c r="F1155" s="24">
        <v>45199.0</v>
      </c>
      <c r="G1155" s="6">
        <v>29.0</v>
      </c>
      <c r="H1155" s="9" t="str">
        <f>VLOOKUP(revenue[productID],products[],2,FALSE)</f>
        <v>Thüringer Rostbratwurst</v>
      </c>
      <c r="I1155" s="9" t="str">
        <f>VLOOKUP(revenue[productID],products[],12,FALSE)</f>
        <v>Meat/Poultry</v>
      </c>
      <c r="J1155" s="9">
        <f>VLOOKUP(revenue[productID],products[],IF(YEAR(revenue[orderDate])=2022,8,IF(YEAR(revenue[orderDate])=2023,9,IF(YEAR(revenue[orderDate])=2024,10,NA))),FALSE)</f>
        <v>80.85619497</v>
      </c>
      <c r="K1155" s="9">
        <v>123.79</v>
      </c>
      <c r="L1155" s="25">
        <f>(revenue[orderPrice]-revenue[productCost])/revenue[productCost]</f>
        <v>0.5309896792</v>
      </c>
      <c r="M1155" s="10">
        <v>10.0</v>
      </c>
      <c r="N1155" s="25">
        <v>0.0</v>
      </c>
      <c r="O1155" s="9">
        <f>revenue[orderPrice]*revenue[orderQuantity]</f>
        <v>1237.9</v>
      </c>
      <c r="P1155" s="9">
        <f>revenue[orderTotal]*(1-revenue[discountApllied])</f>
        <v>1237.9</v>
      </c>
      <c r="Q1155" s="9">
        <f>revenue[revenue]-(revenue[productCost]*revenue[orderQuantity])</f>
        <v>429.3380503</v>
      </c>
      <c r="R1155" s="25">
        <f>IFERROR(revenue[profit]/revenue[revenue], 0)</f>
        <v>0.3468277327</v>
      </c>
      <c r="S1155" s="9">
        <f>revenue[productCost]*revenue[orderQuantity]</f>
        <v>808.5619497</v>
      </c>
    </row>
    <row r="1156" ht="15.75" customHeight="1">
      <c r="A1156" s="6">
        <v>10687.0</v>
      </c>
      <c r="B1156" s="7" t="s">
        <v>49</v>
      </c>
      <c r="C1156" s="24" t="str">
        <f>VLOOKUP(revenue[customerID],customers[],2,FALSE)</f>
        <v>Hungry Owl All-Night Grocers</v>
      </c>
      <c r="D1156" s="24" t="str">
        <f>VLOOKUP(revenue[customerID],customers[],6,FALSE)</f>
        <v>Cork</v>
      </c>
      <c r="E1156" s="24" t="str">
        <f>VLOOKUP(revenue[customerID],customers[],9,FALSE)</f>
        <v>Ireland</v>
      </c>
      <c r="F1156" s="24">
        <v>45199.0</v>
      </c>
      <c r="G1156" s="6">
        <v>36.0</v>
      </c>
      <c r="H1156" s="9" t="str">
        <f>VLOOKUP(revenue[productID],products[],2,FALSE)</f>
        <v>Inlagd Sill</v>
      </c>
      <c r="I1156" s="9" t="str">
        <f>VLOOKUP(revenue[productID],products[],12,FALSE)</f>
        <v>Seafood</v>
      </c>
      <c r="J1156" s="9">
        <f>VLOOKUP(revenue[productID],products[],IF(YEAR(revenue[orderDate])=2022,8,IF(YEAR(revenue[orderDate])=2023,9,IF(YEAR(revenue[orderDate])=2024,10,NA))),FALSE)</f>
        <v>12.15246269</v>
      </c>
      <c r="K1156" s="9">
        <v>19.0</v>
      </c>
      <c r="L1156" s="25">
        <f>(revenue[orderPrice]-revenue[productCost])/revenue[productCost]</f>
        <v>0.5634691082</v>
      </c>
      <c r="M1156" s="10">
        <v>6.0</v>
      </c>
      <c r="N1156" s="25">
        <v>0.25</v>
      </c>
      <c r="O1156" s="9">
        <f>revenue[orderPrice]*revenue[orderQuantity]</f>
        <v>114</v>
      </c>
      <c r="P1156" s="9">
        <f>revenue[orderTotal]*(1-revenue[discountApllied])</f>
        <v>85.5</v>
      </c>
      <c r="Q1156" s="9">
        <f>revenue[revenue]-(revenue[productCost]*revenue[orderQuantity])</f>
        <v>12.58522388</v>
      </c>
      <c r="R1156" s="25">
        <f>IFERROR(revenue[profit]/revenue[revenue], 0)</f>
        <v>0.1471956009</v>
      </c>
      <c r="S1156" s="9">
        <f>revenue[productCost]*revenue[orderQuantity]</f>
        <v>72.91477612</v>
      </c>
    </row>
    <row r="1157" ht="15.75" customHeight="1">
      <c r="A1157" s="6">
        <v>10688.0</v>
      </c>
      <c r="B1157" s="7" t="s">
        <v>76</v>
      </c>
      <c r="C1157" s="24" t="str">
        <f>VLOOKUP(revenue[customerID],customers[],2,FALSE)</f>
        <v>Vaffeljernet</v>
      </c>
      <c r="D1157" s="24" t="str">
        <f>VLOOKUP(revenue[customerID],customers[],6,FALSE)</f>
        <v>Århus</v>
      </c>
      <c r="E1157" s="24" t="str">
        <f>VLOOKUP(revenue[customerID],customers[],9,FALSE)</f>
        <v>Denmark</v>
      </c>
      <c r="F1157" s="24">
        <v>45200.0</v>
      </c>
      <c r="G1157" s="6">
        <v>10.0</v>
      </c>
      <c r="H1157" s="9" t="str">
        <f>VLOOKUP(revenue[productID],products[],2,FALSE)</f>
        <v>Ikura</v>
      </c>
      <c r="I1157" s="9" t="str">
        <f>VLOOKUP(revenue[productID],products[],12,FALSE)</f>
        <v>Seafood</v>
      </c>
      <c r="J1157" s="9">
        <f>VLOOKUP(revenue[productID],products[],IF(YEAR(revenue[orderDate])=2022,8,IF(YEAR(revenue[orderDate])=2023,9,IF(YEAR(revenue[orderDate])=2024,10,NA))),FALSE)</f>
        <v>20.72721922</v>
      </c>
      <c r="K1157" s="9">
        <v>31.0</v>
      </c>
      <c r="L1157" s="25">
        <f>(revenue[orderPrice]-revenue[productCost])/revenue[productCost]</f>
        <v>0.4956178962</v>
      </c>
      <c r="M1157" s="10">
        <v>18.0</v>
      </c>
      <c r="N1157" s="25">
        <v>0.1</v>
      </c>
      <c r="O1157" s="9">
        <f>revenue[orderPrice]*revenue[orderQuantity]</f>
        <v>558</v>
      </c>
      <c r="P1157" s="9">
        <f>revenue[orderTotal]*(1-revenue[discountApllied])</f>
        <v>502.2</v>
      </c>
      <c r="Q1157" s="9">
        <f>revenue[revenue]-(revenue[productCost]*revenue[orderQuantity])</f>
        <v>129.1100541</v>
      </c>
      <c r="R1157" s="25">
        <f>IFERROR(revenue[profit]/revenue[revenue], 0)</f>
        <v>0.2570889169</v>
      </c>
      <c r="S1157" s="9">
        <f>revenue[productCost]*revenue[orderQuantity]</f>
        <v>373.0899459</v>
      </c>
    </row>
    <row r="1158" ht="15.75" customHeight="1">
      <c r="A1158" s="6">
        <v>10688.0</v>
      </c>
      <c r="B1158" s="7" t="s">
        <v>76</v>
      </c>
      <c r="C1158" s="24" t="str">
        <f>VLOOKUP(revenue[customerID],customers[],2,FALSE)</f>
        <v>Vaffeljernet</v>
      </c>
      <c r="D1158" s="24" t="str">
        <f>VLOOKUP(revenue[customerID],customers[],6,FALSE)</f>
        <v>Århus</v>
      </c>
      <c r="E1158" s="24" t="str">
        <f>VLOOKUP(revenue[customerID],customers[],9,FALSE)</f>
        <v>Denmark</v>
      </c>
      <c r="F1158" s="24">
        <v>45200.0</v>
      </c>
      <c r="G1158" s="6">
        <v>28.0</v>
      </c>
      <c r="H1158" s="9" t="str">
        <f>VLOOKUP(revenue[productID],products[],2,FALSE)</f>
        <v>Rössle Sauerkraut</v>
      </c>
      <c r="I1158" s="9" t="str">
        <f>VLOOKUP(revenue[productID],products[],12,FALSE)</f>
        <v>Produce</v>
      </c>
      <c r="J1158" s="9">
        <f>VLOOKUP(revenue[productID],products[],IF(YEAR(revenue[orderDate])=2022,8,IF(YEAR(revenue[orderDate])=2023,9,IF(YEAR(revenue[orderDate])=2024,10,NA))),FALSE)</f>
        <v>31.52644578</v>
      </c>
      <c r="K1158" s="9">
        <v>45.6</v>
      </c>
      <c r="L1158" s="25">
        <f>(revenue[orderPrice]-revenue[productCost])/revenue[productCost]</f>
        <v>0.4464047207</v>
      </c>
      <c r="M1158" s="10">
        <v>60.0</v>
      </c>
      <c r="N1158" s="25">
        <v>0.1</v>
      </c>
      <c r="O1158" s="9">
        <f>revenue[orderPrice]*revenue[orderQuantity]</f>
        <v>2736</v>
      </c>
      <c r="P1158" s="9">
        <f>revenue[orderTotal]*(1-revenue[discountApllied])</f>
        <v>2462.4</v>
      </c>
      <c r="Q1158" s="9">
        <f>revenue[revenue]-(revenue[productCost]*revenue[orderQuantity])</f>
        <v>570.8132533</v>
      </c>
      <c r="R1158" s="25">
        <f>IFERROR(revenue[profit]/revenue[revenue], 0)</f>
        <v>0.23181175</v>
      </c>
      <c r="S1158" s="9">
        <f>revenue[productCost]*revenue[orderQuantity]</f>
        <v>1891.586747</v>
      </c>
    </row>
    <row r="1159" ht="15.75" customHeight="1">
      <c r="A1159" s="6">
        <v>10688.0</v>
      </c>
      <c r="B1159" s="7" t="s">
        <v>76</v>
      </c>
      <c r="C1159" s="24" t="str">
        <f>VLOOKUP(revenue[customerID],customers[],2,FALSE)</f>
        <v>Vaffeljernet</v>
      </c>
      <c r="D1159" s="24" t="str">
        <f>VLOOKUP(revenue[customerID],customers[],6,FALSE)</f>
        <v>Århus</v>
      </c>
      <c r="E1159" s="24" t="str">
        <f>VLOOKUP(revenue[customerID],customers[],9,FALSE)</f>
        <v>Denmark</v>
      </c>
      <c r="F1159" s="24">
        <v>45200.0</v>
      </c>
      <c r="G1159" s="6">
        <v>34.0</v>
      </c>
      <c r="H1159" s="9" t="str">
        <f>VLOOKUP(revenue[productID],products[],2,FALSE)</f>
        <v>Sasquatch Ale</v>
      </c>
      <c r="I1159" s="9" t="str">
        <f>VLOOKUP(revenue[productID],products[],12,FALSE)</f>
        <v>Beverages</v>
      </c>
      <c r="J1159" s="9">
        <f>VLOOKUP(revenue[productID],products[],IF(YEAR(revenue[orderDate])=2022,8,IF(YEAR(revenue[orderDate])=2023,9,IF(YEAR(revenue[orderDate])=2024,10,NA))),FALSE)</f>
        <v>8.955654061</v>
      </c>
      <c r="K1159" s="9">
        <v>14.0</v>
      </c>
      <c r="L1159" s="25">
        <f>(revenue[orderPrice]-revenue[productCost])/revenue[productCost]</f>
        <v>0.5632582394</v>
      </c>
      <c r="M1159" s="10">
        <v>14.0</v>
      </c>
      <c r="N1159" s="25">
        <v>0.0</v>
      </c>
      <c r="O1159" s="9">
        <f>revenue[orderPrice]*revenue[orderQuantity]</f>
        <v>196</v>
      </c>
      <c r="P1159" s="9">
        <f>revenue[orderTotal]*(1-revenue[discountApllied])</f>
        <v>196</v>
      </c>
      <c r="Q1159" s="9">
        <f>revenue[revenue]-(revenue[productCost]*revenue[orderQuantity])</f>
        <v>70.62084315</v>
      </c>
      <c r="R1159" s="25">
        <f>IFERROR(revenue[profit]/revenue[revenue], 0)</f>
        <v>0.3603104242</v>
      </c>
      <c r="S1159" s="9">
        <f>revenue[productCost]*revenue[orderQuantity]</f>
        <v>125.3791569</v>
      </c>
    </row>
    <row r="1160" ht="15.75" customHeight="1">
      <c r="A1160" s="6">
        <v>10689.0</v>
      </c>
      <c r="B1160" s="7" t="s">
        <v>40</v>
      </c>
      <c r="C1160" s="24" t="str">
        <f>VLOOKUP(revenue[customerID],customers[],2,FALSE)</f>
        <v>Berglunds snabbköp</v>
      </c>
      <c r="D1160" s="24" t="str">
        <f>VLOOKUP(revenue[customerID],customers[],6,FALSE)</f>
        <v>Luleå</v>
      </c>
      <c r="E1160" s="24" t="str">
        <f>VLOOKUP(revenue[customerID],customers[],9,FALSE)</f>
        <v>Sweden</v>
      </c>
      <c r="F1160" s="24">
        <v>45200.0</v>
      </c>
      <c r="G1160" s="6">
        <v>1.0</v>
      </c>
      <c r="H1160" s="9" t="str">
        <f>VLOOKUP(revenue[productID],products[],2,FALSE)</f>
        <v>Chai</v>
      </c>
      <c r="I1160" s="9" t="str">
        <f>VLOOKUP(revenue[productID],products[],12,FALSE)</f>
        <v>Beverages</v>
      </c>
      <c r="J1160" s="9">
        <f>VLOOKUP(revenue[productID],products[],IF(YEAR(revenue[orderDate])=2022,8,IF(YEAR(revenue[orderDate])=2023,9,IF(YEAR(revenue[orderDate])=2024,10,NA))),FALSE)</f>
        <v>12.15847607</v>
      </c>
      <c r="K1160" s="9">
        <v>18.0</v>
      </c>
      <c r="L1160" s="25">
        <f>(revenue[orderPrice]-revenue[productCost])/revenue[productCost]</f>
        <v>0.4804486927</v>
      </c>
      <c r="M1160" s="10">
        <v>35.0</v>
      </c>
      <c r="N1160" s="25">
        <v>0.25</v>
      </c>
      <c r="O1160" s="9">
        <f>revenue[orderPrice]*revenue[orderQuantity]</f>
        <v>630</v>
      </c>
      <c r="P1160" s="9">
        <f>revenue[orderTotal]*(1-revenue[discountApllied])</f>
        <v>472.5</v>
      </c>
      <c r="Q1160" s="9">
        <f>revenue[revenue]-(revenue[productCost]*revenue[orderQuantity])</f>
        <v>46.95333762</v>
      </c>
      <c r="R1160" s="25">
        <f>IFERROR(revenue[profit]/revenue[revenue], 0)</f>
        <v>0.09937214312</v>
      </c>
      <c r="S1160" s="9">
        <f>revenue[productCost]*revenue[orderQuantity]</f>
        <v>425.5466624</v>
      </c>
    </row>
    <row r="1161" ht="15.75" customHeight="1">
      <c r="A1161" s="6">
        <v>10690.0</v>
      </c>
      <c r="B1161" s="7" t="s">
        <v>16</v>
      </c>
      <c r="C1161" s="24" t="str">
        <f>VLOOKUP(revenue[customerID],customers[],2,FALSE)</f>
        <v>Hanari Carnes</v>
      </c>
      <c r="D1161" s="24" t="str">
        <f>VLOOKUP(revenue[customerID],customers[],6,FALSE)</f>
        <v>Rio de Janeiro</v>
      </c>
      <c r="E1161" s="24" t="str">
        <f>VLOOKUP(revenue[customerID],customers[],9,FALSE)</f>
        <v>Brazil</v>
      </c>
      <c r="F1161" s="24">
        <v>45201.0</v>
      </c>
      <c r="G1161" s="6">
        <v>56.0</v>
      </c>
      <c r="H1161" s="9" t="str">
        <f>VLOOKUP(revenue[productID],products[],2,FALSE)</f>
        <v>Gnocchi di nonna Alice</v>
      </c>
      <c r="I1161" s="9" t="str">
        <f>VLOOKUP(revenue[productID],products[],12,FALSE)</f>
        <v>Grains/Cereals</v>
      </c>
      <c r="J1161" s="9">
        <f>VLOOKUP(revenue[productID],products[],IF(YEAR(revenue[orderDate])=2022,8,IF(YEAR(revenue[orderDate])=2023,9,IF(YEAR(revenue[orderDate])=2024,10,NA))),FALSE)</f>
        <v>24.28342441</v>
      </c>
      <c r="K1161" s="9">
        <v>38.0</v>
      </c>
      <c r="L1161" s="25">
        <f>(revenue[orderPrice]-revenue[productCost])/revenue[productCost]</f>
        <v>0.5648534309</v>
      </c>
      <c r="M1161" s="10">
        <v>20.0</v>
      </c>
      <c r="N1161" s="25">
        <v>0.25</v>
      </c>
      <c r="O1161" s="9">
        <f>revenue[orderPrice]*revenue[orderQuantity]</f>
        <v>760</v>
      </c>
      <c r="P1161" s="9">
        <f>revenue[orderTotal]*(1-revenue[discountApllied])</f>
        <v>570</v>
      </c>
      <c r="Q1161" s="9">
        <f>revenue[revenue]-(revenue[productCost]*revenue[orderQuantity])</f>
        <v>84.33151184</v>
      </c>
      <c r="R1161" s="25">
        <f>IFERROR(revenue[profit]/revenue[revenue], 0)</f>
        <v>0.1479500208</v>
      </c>
      <c r="S1161" s="9">
        <f>revenue[productCost]*revenue[orderQuantity]</f>
        <v>485.6684882</v>
      </c>
    </row>
    <row r="1162" ht="15.75" customHeight="1">
      <c r="A1162" s="6">
        <v>10690.0</v>
      </c>
      <c r="B1162" s="7" t="s">
        <v>16</v>
      </c>
      <c r="C1162" s="24" t="str">
        <f>VLOOKUP(revenue[customerID],customers[],2,FALSE)</f>
        <v>Hanari Carnes</v>
      </c>
      <c r="D1162" s="24" t="str">
        <f>VLOOKUP(revenue[customerID],customers[],6,FALSE)</f>
        <v>Rio de Janeiro</v>
      </c>
      <c r="E1162" s="24" t="str">
        <f>VLOOKUP(revenue[customerID],customers[],9,FALSE)</f>
        <v>Brazil</v>
      </c>
      <c r="F1162" s="24">
        <v>45201.0</v>
      </c>
      <c r="G1162" s="6">
        <v>77.0</v>
      </c>
      <c r="H1162" s="9" t="str">
        <f>VLOOKUP(revenue[productID],products[],2,FALSE)</f>
        <v>Original Frankfurter grüne Soße</v>
      </c>
      <c r="I1162" s="9" t="str">
        <f>VLOOKUP(revenue[productID],products[],12,FALSE)</f>
        <v>Condiments</v>
      </c>
      <c r="J1162" s="9">
        <f>VLOOKUP(revenue[productID],products[],IF(YEAR(revenue[orderDate])=2022,8,IF(YEAR(revenue[orderDate])=2023,9,IF(YEAR(revenue[orderDate])=2024,10,NA))),FALSE)</f>
        <v>7.539056452</v>
      </c>
      <c r="K1162" s="9">
        <v>13.0</v>
      </c>
      <c r="L1162" s="25">
        <f>(revenue[orderPrice]-revenue[productCost])/revenue[productCost]</f>
        <v>0.7243537149</v>
      </c>
      <c r="M1162" s="10">
        <v>30.0</v>
      </c>
      <c r="N1162" s="25">
        <v>0.25</v>
      </c>
      <c r="O1162" s="9">
        <f>revenue[orderPrice]*revenue[orderQuantity]</f>
        <v>390</v>
      </c>
      <c r="P1162" s="9">
        <f>revenue[orderTotal]*(1-revenue[discountApllied])</f>
        <v>292.5</v>
      </c>
      <c r="Q1162" s="9">
        <f>revenue[revenue]-(revenue[productCost]*revenue[orderQuantity])</f>
        <v>66.32830644</v>
      </c>
      <c r="R1162" s="25">
        <f>IFERROR(revenue[profit]/revenue[revenue], 0)</f>
        <v>0.2267634408</v>
      </c>
      <c r="S1162" s="9">
        <f>revenue[productCost]*revenue[orderQuantity]</f>
        <v>226.1716936</v>
      </c>
    </row>
    <row r="1163" ht="15.75" customHeight="1">
      <c r="A1163" s="6">
        <v>10691.0</v>
      </c>
      <c r="B1163" s="7" t="s">
        <v>36</v>
      </c>
      <c r="C1163" s="24" t="str">
        <f>VLOOKUP(revenue[customerID],customers[],2,FALSE)</f>
        <v>QUICK-Stop</v>
      </c>
      <c r="D1163" s="24" t="str">
        <f>VLOOKUP(revenue[customerID],customers[],6,FALSE)</f>
        <v>Cunewalde</v>
      </c>
      <c r="E1163" s="24" t="str">
        <f>VLOOKUP(revenue[customerID],customers[],9,FALSE)</f>
        <v>Germany</v>
      </c>
      <c r="F1163" s="24">
        <v>45202.0</v>
      </c>
      <c r="G1163" s="6">
        <v>1.0</v>
      </c>
      <c r="H1163" s="9" t="str">
        <f>VLOOKUP(revenue[productID],products[],2,FALSE)</f>
        <v>Chai</v>
      </c>
      <c r="I1163" s="9" t="str">
        <f>VLOOKUP(revenue[productID],products[],12,FALSE)</f>
        <v>Beverages</v>
      </c>
      <c r="J1163" s="9">
        <f>VLOOKUP(revenue[productID],products[],IF(YEAR(revenue[orderDate])=2022,8,IF(YEAR(revenue[orderDate])=2023,9,IF(YEAR(revenue[orderDate])=2024,10,NA))),FALSE)</f>
        <v>12.15847607</v>
      </c>
      <c r="K1163" s="9">
        <v>18.0</v>
      </c>
      <c r="L1163" s="25">
        <f>(revenue[orderPrice]-revenue[productCost])/revenue[productCost]</f>
        <v>0.4804486927</v>
      </c>
      <c r="M1163" s="10">
        <v>30.0</v>
      </c>
      <c r="N1163" s="25">
        <v>0.0</v>
      </c>
      <c r="O1163" s="9">
        <f>revenue[orderPrice]*revenue[orderQuantity]</f>
        <v>540</v>
      </c>
      <c r="P1163" s="9">
        <f>revenue[orderTotal]*(1-revenue[discountApllied])</f>
        <v>540</v>
      </c>
      <c r="Q1163" s="9">
        <f>revenue[revenue]-(revenue[productCost]*revenue[orderQuantity])</f>
        <v>175.245718</v>
      </c>
      <c r="R1163" s="25">
        <f>IFERROR(revenue[profit]/revenue[revenue], 0)</f>
        <v>0.3245291073</v>
      </c>
      <c r="S1163" s="9">
        <f>revenue[productCost]*revenue[orderQuantity]</f>
        <v>364.754282</v>
      </c>
    </row>
    <row r="1164" ht="15.75" customHeight="1">
      <c r="A1164" s="6">
        <v>10691.0</v>
      </c>
      <c r="B1164" s="7" t="s">
        <v>36</v>
      </c>
      <c r="C1164" s="24" t="str">
        <f>VLOOKUP(revenue[customerID],customers[],2,FALSE)</f>
        <v>QUICK-Stop</v>
      </c>
      <c r="D1164" s="24" t="str">
        <f>VLOOKUP(revenue[customerID],customers[],6,FALSE)</f>
        <v>Cunewalde</v>
      </c>
      <c r="E1164" s="24" t="str">
        <f>VLOOKUP(revenue[customerID],customers[],9,FALSE)</f>
        <v>Germany</v>
      </c>
      <c r="F1164" s="24">
        <v>45202.0</v>
      </c>
      <c r="G1164" s="6">
        <v>29.0</v>
      </c>
      <c r="H1164" s="9" t="str">
        <f>VLOOKUP(revenue[productID],products[],2,FALSE)</f>
        <v>Thüringer Rostbratwurst</v>
      </c>
      <c r="I1164" s="9" t="str">
        <f>VLOOKUP(revenue[productID],products[],12,FALSE)</f>
        <v>Meat/Poultry</v>
      </c>
      <c r="J1164" s="9">
        <f>VLOOKUP(revenue[productID],products[],IF(YEAR(revenue[orderDate])=2022,8,IF(YEAR(revenue[orderDate])=2023,9,IF(YEAR(revenue[orderDate])=2024,10,NA))),FALSE)</f>
        <v>80.85619497</v>
      </c>
      <c r="K1164" s="9">
        <v>123.79</v>
      </c>
      <c r="L1164" s="25">
        <f>(revenue[orderPrice]-revenue[productCost])/revenue[productCost]</f>
        <v>0.5309896792</v>
      </c>
      <c r="M1164" s="10">
        <v>40.0</v>
      </c>
      <c r="N1164" s="25">
        <v>0.0</v>
      </c>
      <c r="O1164" s="9">
        <f>revenue[orderPrice]*revenue[orderQuantity]</f>
        <v>4951.6</v>
      </c>
      <c r="P1164" s="9">
        <f>revenue[orderTotal]*(1-revenue[discountApllied])</f>
        <v>4951.6</v>
      </c>
      <c r="Q1164" s="9">
        <f>revenue[revenue]-(revenue[productCost]*revenue[orderQuantity])</f>
        <v>1717.352201</v>
      </c>
      <c r="R1164" s="25">
        <f>IFERROR(revenue[profit]/revenue[revenue], 0)</f>
        <v>0.3468277327</v>
      </c>
      <c r="S1164" s="9">
        <f>revenue[productCost]*revenue[orderQuantity]</f>
        <v>3234.247799</v>
      </c>
    </row>
    <row r="1165" ht="15.75" customHeight="1">
      <c r="A1165" s="6">
        <v>10691.0</v>
      </c>
      <c r="B1165" s="7" t="s">
        <v>36</v>
      </c>
      <c r="C1165" s="24" t="str">
        <f>VLOOKUP(revenue[customerID],customers[],2,FALSE)</f>
        <v>QUICK-Stop</v>
      </c>
      <c r="D1165" s="24" t="str">
        <f>VLOOKUP(revenue[customerID],customers[],6,FALSE)</f>
        <v>Cunewalde</v>
      </c>
      <c r="E1165" s="24" t="str">
        <f>VLOOKUP(revenue[customerID],customers[],9,FALSE)</f>
        <v>Germany</v>
      </c>
      <c r="F1165" s="24">
        <v>45202.0</v>
      </c>
      <c r="G1165" s="6">
        <v>43.0</v>
      </c>
      <c r="H1165" s="9" t="str">
        <f>VLOOKUP(revenue[productID],products[],2,FALSE)</f>
        <v>Ipoh Coffee</v>
      </c>
      <c r="I1165" s="9" t="str">
        <f>VLOOKUP(revenue[productID],products[],12,FALSE)</f>
        <v>Beverages</v>
      </c>
      <c r="J1165" s="9">
        <f>VLOOKUP(revenue[productID],products[],IF(YEAR(revenue[orderDate])=2022,8,IF(YEAR(revenue[orderDate])=2023,9,IF(YEAR(revenue[orderDate])=2024,10,NA))),FALSE)</f>
        <v>30.96256564</v>
      </c>
      <c r="K1165" s="9">
        <v>46.0</v>
      </c>
      <c r="L1165" s="25">
        <f>(revenue[orderPrice]-revenue[productCost])/revenue[productCost]</f>
        <v>0.4856649976</v>
      </c>
      <c r="M1165" s="10">
        <v>40.0</v>
      </c>
      <c r="N1165" s="25">
        <v>0.0</v>
      </c>
      <c r="O1165" s="9">
        <f>revenue[orderPrice]*revenue[orderQuantity]</f>
        <v>1840</v>
      </c>
      <c r="P1165" s="9">
        <f>revenue[orderTotal]*(1-revenue[discountApllied])</f>
        <v>1840</v>
      </c>
      <c r="Q1165" s="9">
        <f>revenue[revenue]-(revenue[productCost]*revenue[orderQuantity])</f>
        <v>601.4973746</v>
      </c>
      <c r="R1165" s="25">
        <f>IFERROR(revenue[profit]/revenue[revenue], 0)</f>
        <v>0.3269007471</v>
      </c>
      <c r="S1165" s="9">
        <f>revenue[productCost]*revenue[orderQuantity]</f>
        <v>1238.502625</v>
      </c>
    </row>
    <row r="1166" ht="15.75" customHeight="1">
      <c r="A1166" s="6">
        <v>10691.0</v>
      </c>
      <c r="B1166" s="7" t="s">
        <v>36</v>
      </c>
      <c r="C1166" s="24" t="str">
        <f>VLOOKUP(revenue[customerID],customers[],2,FALSE)</f>
        <v>QUICK-Stop</v>
      </c>
      <c r="D1166" s="24" t="str">
        <f>VLOOKUP(revenue[customerID],customers[],6,FALSE)</f>
        <v>Cunewalde</v>
      </c>
      <c r="E1166" s="24" t="str">
        <f>VLOOKUP(revenue[customerID],customers[],9,FALSE)</f>
        <v>Germany</v>
      </c>
      <c r="F1166" s="24">
        <v>45202.0</v>
      </c>
      <c r="G1166" s="6">
        <v>44.0</v>
      </c>
      <c r="H1166" s="9" t="str">
        <f>VLOOKUP(revenue[productID],products[],2,FALSE)</f>
        <v>Gula Malacca</v>
      </c>
      <c r="I1166" s="9" t="str">
        <f>VLOOKUP(revenue[productID],products[],12,FALSE)</f>
        <v>Condiments</v>
      </c>
      <c r="J1166" s="9">
        <f>VLOOKUP(revenue[productID],products[],IF(YEAR(revenue[orderDate])=2022,8,IF(YEAR(revenue[orderDate])=2023,9,IF(YEAR(revenue[orderDate])=2024,10,NA))),FALSE)</f>
        <v>13.06032103</v>
      </c>
      <c r="K1166" s="9">
        <v>19.45</v>
      </c>
      <c r="L1166" s="25">
        <f>(revenue[orderPrice]-revenue[productCost])/revenue[productCost]</f>
        <v>0.4892436379</v>
      </c>
      <c r="M1166" s="10">
        <v>24.0</v>
      </c>
      <c r="N1166" s="25">
        <v>0.0</v>
      </c>
      <c r="O1166" s="9">
        <f>revenue[orderPrice]*revenue[orderQuantity]</f>
        <v>466.8</v>
      </c>
      <c r="P1166" s="9">
        <f>revenue[orderTotal]*(1-revenue[discountApllied])</f>
        <v>466.8</v>
      </c>
      <c r="Q1166" s="9">
        <f>revenue[revenue]-(revenue[productCost]*revenue[orderQuantity])</f>
        <v>153.3522953</v>
      </c>
      <c r="R1166" s="25">
        <f>IFERROR(revenue[profit]/revenue[revenue], 0)</f>
        <v>0.3285181991</v>
      </c>
      <c r="S1166" s="9">
        <f>revenue[productCost]*revenue[orderQuantity]</f>
        <v>313.4477047</v>
      </c>
    </row>
    <row r="1167" ht="15.75" customHeight="1">
      <c r="A1167" s="6">
        <v>10691.0</v>
      </c>
      <c r="B1167" s="7" t="s">
        <v>36</v>
      </c>
      <c r="C1167" s="24" t="str">
        <f>VLOOKUP(revenue[customerID],customers[],2,FALSE)</f>
        <v>QUICK-Stop</v>
      </c>
      <c r="D1167" s="24" t="str">
        <f>VLOOKUP(revenue[customerID],customers[],6,FALSE)</f>
        <v>Cunewalde</v>
      </c>
      <c r="E1167" s="24" t="str">
        <f>VLOOKUP(revenue[customerID],customers[],9,FALSE)</f>
        <v>Germany</v>
      </c>
      <c r="F1167" s="24">
        <v>45202.0</v>
      </c>
      <c r="G1167" s="6">
        <v>62.0</v>
      </c>
      <c r="H1167" s="9" t="str">
        <f>VLOOKUP(revenue[productID],products[],2,FALSE)</f>
        <v>Tarte au sucre</v>
      </c>
      <c r="I1167" s="9" t="str">
        <f>VLOOKUP(revenue[productID],products[],12,FALSE)</f>
        <v>Confections</v>
      </c>
      <c r="J1167" s="9">
        <f>VLOOKUP(revenue[productID],products[],IF(YEAR(revenue[orderDate])=2022,8,IF(YEAR(revenue[orderDate])=2023,9,IF(YEAR(revenue[orderDate])=2024,10,NA))),FALSE)</f>
        <v>35.34792781</v>
      </c>
      <c r="K1167" s="9">
        <v>49.3</v>
      </c>
      <c r="L1167" s="25">
        <f>(revenue[orderPrice]-revenue[productCost])/revenue[productCost]</f>
        <v>0.3947069335</v>
      </c>
      <c r="M1167" s="10">
        <v>48.0</v>
      </c>
      <c r="N1167" s="25">
        <v>0.0</v>
      </c>
      <c r="O1167" s="9">
        <f>revenue[orderPrice]*revenue[orderQuantity]</f>
        <v>2366.4</v>
      </c>
      <c r="P1167" s="9">
        <f>revenue[orderTotal]*(1-revenue[discountApllied])</f>
        <v>2366.4</v>
      </c>
      <c r="Q1167" s="9">
        <f>revenue[revenue]-(revenue[productCost]*revenue[orderQuantity])</f>
        <v>669.6994652</v>
      </c>
      <c r="R1167" s="25">
        <f>IFERROR(revenue[profit]/revenue[revenue], 0)</f>
        <v>0.2830034927</v>
      </c>
      <c r="S1167" s="9">
        <f>revenue[productCost]*revenue[orderQuantity]</f>
        <v>1696.700535</v>
      </c>
    </row>
    <row r="1168" ht="15.75" customHeight="1">
      <c r="A1168" s="6">
        <v>10692.0</v>
      </c>
      <c r="B1168" s="7" t="s">
        <v>100</v>
      </c>
      <c r="C1168" s="24" t="str">
        <f>VLOOKUP(revenue[customerID],customers[],2,FALSE)</f>
        <v>Alfreds Futterkiste</v>
      </c>
      <c r="D1168" s="24" t="str">
        <f>VLOOKUP(revenue[customerID],customers[],6,FALSE)</f>
        <v>Berlin</v>
      </c>
      <c r="E1168" s="24" t="str">
        <f>VLOOKUP(revenue[customerID],customers[],9,FALSE)</f>
        <v>Germany</v>
      </c>
      <c r="F1168" s="24">
        <v>45202.0</v>
      </c>
      <c r="G1168" s="6">
        <v>63.0</v>
      </c>
      <c r="H1168" s="9" t="str">
        <f>VLOOKUP(revenue[productID],products[],2,FALSE)</f>
        <v>Vegie-spread</v>
      </c>
      <c r="I1168" s="9" t="str">
        <f>VLOOKUP(revenue[productID],products[],12,FALSE)</f>
        <v>Condiments</v>
      </c>
      <c r="J1168" s="9">
        <f>VLOOKUP(revenue[productID],products[],IF(YEAR(revenue[orderDate])=2022,8,IF(YEAR(revenue[orderDate])=2023,9,IF(YEAR(revenue[orderDate])=2024,10,NA))),FALSE)</f>
        <v>27.72225706</v>
      </c>
      <c r="K1168" s="9">
        <v>43.9</v>
      </c>
      <c r="L1168" s="25">
        <f>(revenue[orderPrice]-revenue[productCost])/revenue[productCost]</f>
        <v>0.5835651445</v>
      </c>
      <c r="M1168" s="10">
        <v>20.0</v>
      </c>
      <c r="N1168" s="25">
        <v>0.0</v>
      </c>
      <c r="O1168" s="9">
        <f>revenue[orderPrice]*revenue[orderQuantity]</f>
        <v>878</v>
      </c>
      <c r="P1168" s="9">
        <f>revenue[orderTotal]*(1-revenue[discountApllied])</f>
        <v>878</v>
      </c>
      <c r="Q1168" s="9">
        <f>revenue[revenue]-(revenue[productCost]*revenue[orderQuantity])</f>
        <v>323.5548589</v>
      </c>
      <c r="R1168" s="25">
        <f>IFERROR(revenue[profit]/revenue[revenue], 0)</f>
        <v>0.3685135067</v>
      </c>
      <c r="S1168" s="9">
        <f>revenue[productCost]*revenue[orderQuantity]</f>
        <v>554.4451411</v>
      </c>
    </row>
    <row r="1169" ht="15.75" customHeight="1">
      <c r="A1169" s="6">
        <v>10693.0</v>
      </c>
      <c r="B1169" s="7" t="s">
        <v>34</v>
      </c>
      <c r="C1169" s="24" t="str">
        <f>VLOOKUP(revenue[customerID],customers[],2,FALSE)</f>
        <v>White Clover Markets</v>
      </c>
      <c r="D1169" s="24" t="str">
        <f>VLOOKUP(revenue[customerID],customers[],6,FALSE)</f>
        <v>Seattle</v>
      </c>
      <c r="E1169" s="24" t="str">
        <f>VLOOKUP(revenue[customerID],customers[],9,FALSE)</f>
        <v>USA</v>
      </c>
      <c r="F1169" s="24">
        <v>45205.0</v>
      </c>
      <c r="G1169" s="6">
        <v>9.0</v>
      </c>
      <c r="H1169" s="9" t="str">
        <f>VLOOKUP(revenue[productID],products[],2,FALSE)</f>
        <v>Mishi Kobe Niku</v>
      </c>
      <c r="I1169" s="9" t="str">
        <f>VLOOKUP(revenue[productID],products[],12,FALSE)</f>
        <v>Meat/Poultry</v>
      </c>
      <c r="J1169" s="9">
        <f>VLOOKUP(revenue[productID],products[],IF(YEAR(revenue[orderDate])=2022,8,IF(YEAR(revenue[orderDate])=2023,9,IF(YEAR(revenue[orderDate])=2024,10,NA))),FALSE)</f>
        <v>59.95980959</v>
      </c>
      <c r="K1169" s="9">
        <v>97.0</v>
      </c>
      <c r="L1169" s="25">
        <f>(revenue[orderPrice]-revenue[productCost])/revenue[productCost]</f>
        <v>0.6177503007</v>
      </c>
      <c r="M1169" s="10">
        <v>6.0</v>
      </c>
      <c r="N1169" s="25">
        <v>0.0</v>
      </c>
      <c r="O1169" s="9">
        <f>revenue[orderPrice]*revenue[orderQuantity]</f>
        <v>582</v>
      </c>
      <c r="P1169" s="9">
        <f>revenue[orderTotal]*(1-revenue[discountApllied])</f>
        <v>582</v>
      </c>
      <c r="Q1169" s="9">
        <f>revenue[revenue]-(revenue[productCost]*revenue[orderQuantity])</f>
        <v>222.2411424</v>
      </c>
      <c r="R1169" s="25">
        <f>IFERROR(revenue[profit]/revenue[revenue], 0)</f>
        <v>0.3818576331</v>
      </c>
      <c r="S1169" s="9">
        <f>revenue[productCost]*revenue[orderQuantity]</f>
        <v>359.7588576</v>
      </c>
    </row>
    <row r="1170" ht="15.75" customHeight="1">
      <c r="A1170" s="6">
        <v>10693.0</v>
      </c>
      <c r="B1170" s="7" t="s">
        <v>34</v>
      </c>
      <c r="C1170" s="24" t="str">
        <f>VLOOKUP(revenue[customerID],customers[],2,FALSE)</f>
        <v>White Clover Markets</v>
      </c>
      <c r="D1170" s="24" t="str">
        <f>VLOOKUP(revenue[customerID],customers[],6,FALSE)</f>
        <v>Seattle</v>
      </c>
      <c r="E1170" s="24" t="str">
        <f>VLOOKUP(revenue[customerID],customers[],9,FALSE)</f>
        <v>USA</v>
      </c>
      <c r="F1170" s="24">
        <v>45205.0</v>
      </c>
      <c r="G1170" s="6">
        <v>54.0</v>
      </c>
      <c r="H1170" s="9" t="str">
        <f>VLOOKUP(revenue[productID],products[],2,FALSE)</f>
        <v>Tourtière</v>
      </c>
      <c r="I1170" s="9" t="str">
        <f>VLOOKUP(revenue[productID],products[],12,FALSE)</f>
        <v>Meat/Poultry</v>
      </c>
      <c r="J1170" s="9">
        <f>VLOOKUP(revenue[productID],products[],IF(YEAR(revenue[orderDate])=2022,8,IF(YEAR(revenue[orderDate])=2023,9,IF(YEAR(revenue[orderDate])=2024,10,NA))),FALSE)</f>
        <v>4.924447797</v>
      </c>
      <c r="K1170" s="9">
        <v>7.45</v>
      </c>
      <c r="L1170" s="25">
        <f>(revenue[orderPrice]-revenue[productCost])/revenue[productCost]</f>
        <v>0.5128599808</v>
      </c>
      <c r="M1170" s="10">
        <v>60.0</v>
      </c>
      <c r="N1170" s="25">
        <v>0.15</v>
      </c>
      <c r="O1170" s="9">
        <f>revenue[orderPrice]*revenue[orderQuantity]</f>
        <v>447</v>
      </c>
      <c r="P1170" s="9">
        <f>revenue[orderTotal]*(1-revenue[discountApllied])</f>
        <v>379.95</v>
      </c>
      <c r="Q1170" s="9">
        <f>revenue[revenue]-(revenue[productCost]*revenue[orderQuantity])</f>
        <v>84.48313217</v>
      </c>
      <c r="R1170" s="25">
        <f>IFERROR(revenue[profit]/revenue[revenue], 0)</f>
        <v>0.222353289</v>
      </c>
      <c r="S1170" s="9">
        <f>revenue[productCost]*revenue[orderQuantity]</f>
        <v>295.4668678</v>
      </c>
    </row>
    <row r="1171" ht="15.75" customHeight="1">
      <c r="A1171" s="6">
        <v>10693.0</v>
      </c>
      <c r="B1171" s="7" t="s">
        <v>34</v>
      </c>
      <c r="C1171" s="24" t="str">
        <f>VLOOKUP(revenue[customerID],customers[],2,FALSE)</f>
        <v>White Clover Markets</v>
      </c>
      <c r="D1171" s="24" t="str">
        <f>VLOOKUP(revenue[customerID],customers[],6,FALSE)</f>
        <v>Seattle</v>
      </c>
      <c r="E1171" s="24" t="str">
        <f>VLOOKUP(revenue[customerID],customers[],9,FALSE)</f>
        <v>USA</v>
      </c>
      <c r="F1171" s="24">
        <v>45205.0</v>
      </c>
      <c r="G1171" s="6">
        <v>69.0</v>
      </c>
      <c r="H1171" s="9" t="str">
        <f>VLOOKUP(revenue[productID],products[],2,FALSE)</f>
        <v>Gudbrandsdalsost</v>
      </c>
      <c r="I1171" s="9" t="str">
        <f>VLOOKUP(revenue[productID],products[],12,FALSE)</f>
        <v>Dairy Products</v>
      </c>
      <c r="J1171" s="9">
        <f>VLOOKUP(revenue[productID],products[],IF(YEAR(revenue[orderDate])=2022,8,IF(YEAR(revenue[orderDate])=2023,9,IF(YEAR(revenue[orderDate])=2024,10,NA))),FALSE)</f>
        <v>21.82428612</v>
      </c>
      <c r="K1171" s="9">
        <v>36.0</v>
      </c>
      <c r="L1171" s="25">
        <f>(revenue[orderPrice]-revenue[productCost])/revenue[productCost]</f>
        <v>0.6495384916</v>
      </c>
      <c r="M1171" s="10">
        <v>30.0</v>
      </c>
      <c r="N1171" s="25">
        <v>0.15</v>
      </c>
      <c r="O1171" s="9">
        <f>revenue[orderPrice]*revenue[orderQuantity]</f>
        <v>1080</v>
      </c>
      <c r="P1171" s="9">
        <f>revenue[orderTotal]*(1-revenue[discountApllied])</f>
        <v>918</v>
      </c>
      <c r="Q1171" s="9">
        <f>revenue[revenue]-(revenue[productCost]*revenue[orderQuantity])</f>
        <v>263.2714165</v>
      </c>
      <c r="R1171" s="25">
        <f>IFERROR(revenue[profit]/revenue[revenue], 0)</f>
        <v>0.2867880354</v>
      </c>
      <c r="S1171" s="9">
        <f>revenue[productCost]*revenue[orderQuantity]</f>
        <v>654.7285835</v>
      </c>
    </row>
    <row r="1172" ht="15.75" customHeight="1">
      <c r="A1172" s="6">
        <v>10693.0</v>
      </c>
      <c r="B1172" s="7" t="s">
        <v>34</v>
      </c>
      <c r="C1172" s="24" t="str">
        <f>VLOOKUP(revenue[customerID],customers[],2,FALSE)</f>
        <v>White Clover Markets</v>
      </c>
      <c r="D1172" s="24" t="str">
        <f>VLOOKUP(revenue[customerID],customers[],6,FALSE)</f>
        <v>Seattle</v>
      </c>
      <c r="E1172" s="24" t="str">
        <f>VLOOKUP(revenue[customerID],customers[],9,FALSE)</f>
        <v>USA</v>
      </c>
      <c r="F1172" s="24">
        <v>45205.0</v>
      </c>
      <c r="G1172" s="6">
        <v>73.0</v>
      </c>
      <c r="H1172" s="9" t="str">
        <f>VLOOKUP(revenue[productID],products[],2,FALSE)</f>
        <v>Röd Kaviar</v>
      </c>
      <c r="I1172" s="9" t="str">
        <f>VLOOKUP(revenue[productID],products[],12,FALSE)</f>
        <v>Seafood</v>
      </c>
      <c r="J1172" s="9">
        <f>VLOOKUP(revenue[productID],products[],IF(YEAR(revenue[orderDate])=2022,8,IF(YEAR(revenue[orderDate])=2023,9,IF(YEAR(revenue[orderDate])=2024,10,NA))),FALSE)</f>
        <v>9.692999362</v>
      </c>
      <c r="K1172" s="9">
        <v>15.0</v>
      </c>
      <c r="L1172" s="25">
        <f>(revenue[orderPrice]-revenue[productCost])/revenue[productCost]</f>
        <v>0.5475086131</v>
      </c>
      <c r="M1172" s="10">
        <v>15.0</v>
      </c>
      <c r="N1172" s="25">
        <v>0.15</v>
      </c>
      <c r="O1172" s="9">
        <f>revenue[orderPrice]*revenue[orderQuantity]</f>
        <v>225</v>
      </c>
      <c r="P1172" s="9">
        <f>revenue[orderTotal]*(1-revenue[discountApllied])</f>
        <v>191.25</v>
      </c>
      <c r="Q1172" s="9">
        <f>revenue[revenue]-(revenue[productCost]*revenue[orderQuantity])</f>
        <v>45.85500957</v>
      </c>
      <c r="R1172" s="25">
        <f>IFERROR(revenue[profit]/revenue[revenue], 0)</f>
        <v>0.2397647559</v>
      </c>
      <c r="S1172" s="9">
        <f>revenue[productCost]*revenue[orderQuantity]</f>
        <v>145.3949904</v>
      </c>
    </row>
    <row r="1173" ht="15.75" customHeight="1">
      <c r="A1173" s="6">
        <v>10694.0</v>
      </c>
      <c r="B1173" s="7" t="s">
        <v>36</v>
      </c>
      <c r="C1173" s="24" t="str">
        <f>VLOOKUP(revenue[customerID],customers[],2,FALSE)</f>
        <v>QUICK-Stop</v>
      </c>
      <c r="D1173" s="24" t="str">
        <f>VLOOKUP(revenue[customerID],customers[],6,FALSE)</f>
        <v>Cunewalde</v>
      </c>
      <c r="E1173" s="24" t="str">
        <f>VLOOKUP(revenue[customerID],customers[],9,FALSE)</f>
        <v>Germany</v>
      </c>
      <c r="F1173" s="24">
        <v>45205.0</v>
      </c>
      <c r="G1173" s="6">
        <v>7.0</v>
      </c>
      <c r="H1173" s="9" t="str">
        <f>VLOOKUP(revenue[productID],products[],2,FALSE)</f>
        <v>Uncle Bob's Organic Dried Pears</v>
      </c>
      <c r="I1173" s="9" t="str">
        <f>VLOOKUP(revenue[productID],products[],12,FALSE)</f>
        <v>Produce</v>
      </c>
      <c r="J1173" s="9">
        <f>VLOOKUP(revenue[productID],products[],IF(YEAR(revenue[orderDate])=2022,8,IF(YEAR(revenue[orderDate])=2023,9,IF(YEAR(revenue[orderDate])=2024,10,NA))),FALSE)</f>
        <v>21.39244625</v>
      </c>
      <c r="K1173" s="9">
        <v>30.0</v>
      </c>
      <c r="L1173" s="25">
        <f>(revenue[orderPrice]-revenue[productCost])/revenue[productCost]</f>
        <v>0.4023641636</v>
      </c>
      <c r="M1173" s="10">
        <v>90.0</v>
      </c>
      <c r="N1173" s="25">
        <v>0.0</v>
      </c>
      <c r="O1173" s="9">
        <f>revenue[orderPrice]*revenue[orderQuantity]</f>
        <v>2700</v>
      </c>
      <c r="P1173" s="9">
        <f>revenue[orderTotal]*(1-revenue[discountApllied])</f>
        <v>2700</v>
      </c>
      <c r="Q1173" s="9">
        <f>revenue[revenue]-(revenue[productCost]*revenue[orderQuantity])</f>
        <v>774.6798371</v>
      </c>
      <c r="R1173" s="25">
        <f>IFERROR(revenue[profit]/revenue[revenue], 0)</f>
        <v>0.2869184582</v>
      </c>
      <c r="S1173" s="9">
        <f>revenue[productCost]*revenue[orderQuantity]</f>
        <v>1925.320163</v>
      </c>
    </row>
    <row r="1174" ht="15.75" customHeight="1">
      <c r="A1174" s="6">
        <v>10694.0</v>
      </c>
      <c r="B1174" s="7" t="s">
        <v>36</v>
      </c>
      <c r="C1174" s="24" t="str">
        <f>VLOOKUP(revenue[customerID],customers[],2,FALSE)</f>
        <v>QUICK-Stop</v>
      </c>
      <c r="D1174" s="24" t="str">
        <f>VLOOKUP(revenue[customerID],customers[],6,FALSE)</f>
        <v>Cunewalde</v>
      </c>
      <c r="E1174" s="24" t="str">
        <f>VLOOKUP(revenue[customerID],customers[],9,FALSE)</f>
        <v>Germany</v>
      </c>
      <c r="F1174" s="24">
        <v>45205.0</v>
      </c>
      <c r="G1174" s="6">
        <v>59.0</v>
      </c>
      <c r="H1174" s="9" t="str">
        <f>VLOOKUP(revenue[productID],products[],2,FALSE)</f>
        <v>Raclette Courdavault</v>
      </c>
      <c r="I1174" s="9" t="str">
        <f>VLOOKUP(revenue[productID],products[],12,FALSE)</f>
        <v>Dairy Products</v>
      </c>
      <c r="J1174" s="9">
        <f>VLOOKUP(revenue[productID],products[],IF(YEAR(revenue[orderDate])=2022,8,IF(YEAR(revenue[orderDate])=2023,9,IF(YEAR(revenue[orderDate])=2024,10,NA))),FALSE)</f>
        <v>35.20472566</v>
      </c>
      <c r="K1174" s="9">
        <v>55.0</v>
      </c>
      <c r="L1174" s="25">
        <f>(revenue[orderPrice]-revenue[productCost])/revenue[productCost]</f>
        <v>0.5622902598</v>
      </c>
      <c r="M1174" s="10">
        <v>25.0</v>
      </c>
      <c r="N1174" s="25">
        <v>0.0</v>
      </c>
      <c r="O1174" s="9">
        <f>revenue[orderPrice]*revenue[orderQuantity]</f>
        <v>1375</v>
      </c>
      <c r="P1174" s="9">
        <f>revenue[orderTotal]*(1-revenue[discountApllied])</f>
        <v>1375</v>
      </c>
      <c r="Q1174" s="9">
        <f>revenue[revenue]-(revenue[productCost]*revenue[orderQuantity])</f>
        <v>494.8818585</v>
      </c>
      <c r="R1174" s="25">
        <f>IFERROR(revenue[profit]/revenue[revenue], 0)</f>
        <v>0.3599140789</v>
      </c>
      <c r="S1174" s="9">
        <f>revenue[productCost]*revenue[orderQuantity]</f>
        <v>880.1181415</v>
      </c>
    </row>
    <row r="1175" ht="15.75" customHeight="1">
      <c r="A1175" s="6">
        <v>10694.0</v>
      </c>
      <c r="B1175" s="7" t="s">
        <v>36</v>
      </c>
      <c r="C1175" s="24" t="str">
        <f>VLOOKUP(revenue[customerID],customers[],2,FALSE)</f>
        <v>QUICK-Stop</v>
      </c>
      <c r="D1175" s="24" t="str">
        <f>VLOOKUP(revenue[customerID],customers[],6,FALSE)</f>
        <v>Cunewalde</v>
      </c>
      <c r="E1175" s="24" t="str">
        <f>VLOOKUP(revenue[customerID],customers[],9,FALSE)</f>
        <v>Germany</v>
      </c>
      <c r="F1175" s="24">
        <v>45205.0</v>
      </c>
      <c r="G1175" s="6">
        <v>70.0</v>
      </c>
      <c r="H1175" s="9" t="str">
        <f>VLOOKUP(revenue[productID],products[],2,FALSE)</f>
        <v>Outback Lager</v>
      </c>
      <c r="I1175" s="9" t="str">
        <f>VLOOKUP(revenue[productID],products[],12,FALSE)</f>
        <v>Beverages</v>
      </c>
      <c r="J1175" s="9">
        <f>VLOOKUP(revenue[productID],products[],IF(YEAR(revenue[orderDate])=2022,8,IF(YEAR(revenue[orderDate])=2023,9,IF(YEAR(revenue[orderDate])=2024,10,NA))),FALSE)</f>
        <v>9.793094091</v>
      </c>
      <c r="K1175" s="9">
        <v>15.0</v>
      </c>
      <c r="L1175" s="25">
        <f>(revenue[orderPrice]-revenue[productCost])/revenue[productCost]</f>
        <v>0.5316916044</v>
      </c>
      <c r="M1175" s="10">
        <v>50.0</v>
      </c>
      <c r="N1175" s="25">
        <v>0.0</v>
      </c>
      <c r="O1175" s="9">
        <f>revenue[orderPrice]*revenue[orderQuantity]</f>
        <v>750</v>
      </c>
      <c r="P1175" s="9">
        <f>revenue[orderTotal]*(1-revenue[discountApllied])</f>
        <v>750</v>
      </c>
      <c r="Q1175" s="9">
        <f>revenue[revenue]-(revenue[productCost]*revenue[orderQuantity])</f>
        <v>260.3452954</v>
      </c>
      <c r="R1175" s="25">
        <f>IFERROR(revenue[profit]/revenue[revenue], 0)</f>
        <v>0.3471270606</v>
      </c>
      <c r="S1175" s="9">
        <f>revenue[productCost]*revenue[orderQuantity]</f>
        <v>489.6547046</v>
      </c>
    </row>
    <row r="1176" ht="15.75" customHeight="1">
      <c r="A1176" s="6">
        <v>10695.0</v>
      </c>
      <c r="B1176" s="7" t="s">
        <v>98</v>
      </c>
      <c r="C1176" s="24" t="str">
        <f>VLOOKUP(revenue[customerID],customers[],2,FALSE)</f>
        <v>Wilman Kala</v>
      </c>
      <c r="D1176" s="24" t="str">
        <f>VLOOKUP(revenue[customerID],customers[],6,FALSE)</f>
        <v>Helsinki</v>
      </c>
      <c r="E1176" s="24" t="str">
        <f>VLOOKUP(revenue[customerID],customers[],9,FALSE)</f>
        <v>Finland</v>
      </c>
      <c r="F1176" s="24">
        <v>45206.0</v>
      </c>
      <c r="G1176" s="6">
        <v>8.0</v>
      </c>
      <c r="H1176" s="9" t="str">
        <f>VLOOKUP(revenue[productID],products[],2,FALSE)</f>
        <v>Northwoods Cranberry Sauce</v>
      </c>
      <c r="I1176" s="9" t="str">
        <f>VLOOKUP(revenue[productID],products[],12,FALSE)</f>
        <v>Condiments</v>
      </c>
      <c r="J1176" s="9">
        <f>VLOOKUP(revenue[productID],products[],IF(YEAR(revenue[orderDate])=2022,8,IF(YEAR(revenue[orderDate])=2023,9,IF(YEAR(revenue[orderDate])=2024,10,NA))),FALSE)</f>
        <v>26.10620486</v>
      </c>
      <c r="K1176" s="9">
        <v>40.0</v>
      </c>
      <c r="L1176" s="25">
        <f>(revenue[orderPrice]-revenue[productCost])/revenue[productCost]</f>
        <v>0.5322027928</v>
      </c>
      <c r="M1176" s="10">
        <v>10.0</v>
      </c>
      <c r="N1176" s="25">
        <v>0.0</v>
      </c>
      <c r="O1176" s="9">
        <f>revenue[orderPrice]*revenue[orderQuantity]</f>
        <v>400</v>
      </c>
      <c r="P1176" s="9">
        <f>revenue[orderTotal]*(1-revenue[discountApllied])</f>
        <v>400</v>
      </c>
      <c r="Q1176" s="9">
        <f>revenue[revenue]-(revenue[productCost]*revenue[orderQuantity])</f>
        <v>138.9379514</v>
      </c>
      <c r="R1176" s="25">
        <f>IFERROR(revenue[profit]/revenue[revenue], 0)</f>
        <v>0.3473448784</v>
      </c>
      <c r="S1176" s="9">
        <f>revenue[productCost]*revenue[orderQuantity]</f>
        <v>261.0620486</v>
      </c>
    </row>
    <row r="1177" ht="15.75" customHeight="1">
      <c r="A1177" s="6">
        <v>10695.0</v>
      </c>
      <c r="B1177" s="7" t="s">
        <v>98</v>
      </c>
      <c r="C1177" s="24" t="str">
        <f>VLOOKUP(revenue[customerID],customers[],2,FALSE)</f>
        <v>Wilman Kala</v>
      </c>
      <c r="D1177" s="24" t="str">
        <f>VLOOKUP(revenue[customerID],customers[],6,FALSE)</f>
        <v>Helsinki</v>
      </c>
      <c r="E1177" s="24" t="str">
        <f>VLOOKUP(revenue[customerID],customers[],9,FALSE)</f>
        <v>Finland</v>
      </c>
      <c r="F1177" s="24">
        <v>45206.0</v>
      </c>
      <c r="G1177" s="6">
        <v>12.0</v>
      </c>
      <c r="H1177" s="9" t="str">
        <f>VLOOKUP(revenue[productID],products[],2,FALSE)</f>
        <v>Queso Manchego La Pastora</v>
      </c>
      <c r="I1177" s="9" t="str">
        <f>VLOOKUP(revenue[productID],products[],12,FALSE)</f>
        <v>Dairy Products</v>
      </c>
      <c r="J1177" s="9">
        <f>VLOOKUP(revenue[productID],products[],IF(YEAR(revenue[orderDate])=2022,8,IF(YEAR(revenue[orderDate])=2023,9,IF(YEAR(revenue[orderDate])=2024,10,NA))),FALSE)</f>
        <v>23.79216617</v>
      </c>
      <c r="K1177" s="9">
        <v>38.0</v>
      </c>
      <c r="L1177" s="25">
        <f>(revenue[orderPrice]-revenue[productCost])/revenue[productCost]</f>
        <v>0.5971643663</v>
      </c>
      <c r="M1177" s="10">
        <v>4.0</v>
      </c>
      <c r="N1177" s="25">
        <v>0.0</v>
      </c>
      <c r="O1177" s="9">
        <f>revenue[orderPrice]*revenue[orderQuantity]</f>
        <v>152</v>
      </c>
      <c r="P1177" s="9">
        <f>revenue[orderTotal]*(1-revenue[discountApllied])</f>
        <v>152</v>
      </c>
      <c r="Q1177" s="9">
        <f>revenue[revenue]-(revenue[productCost]*revenue[orderQuantity])</f>
        <v>56.83133533</v>
      </c>
      <c r="R1177" s="25">
        <f>IFERROR(revenue[profit]/revenue[revenue], 0)</f>
        <v>0.373890364</v>
      </c>
      <c r="S1177" s="9">
        <f>revenue[productCost]*revenue[orderQuantity]</f>
        <v>95.16866467</v>
      </c>
    </row>
    <row r="1178" ht="15.75" customHeight="1">
      <c r="A1178" s="6">
        <v>10695.0</v>
      </c>
      <c r="B1178" s="7" t="s">
        <v>98</v>
      </c>
      <c r="C1178" s="24" t="str">
        <f>VLOOKUP(revenue[customerID],customers[],2,FALSE)</f>
        <v>Wilman Kala</v>
      </c>
      <c r="D1178" s="24" t="str">
        <f>VLOOKUP(revenue[customerID],customers[],6,FALSE)</f>
        <v>Helsinki</v>
      </c>
      <c r="E1178" s="24" t="str">
        <f>VLOOKUP(revenue[customerID],customers[],9,FALSE)</f>
        <v>Finland</v>
      </c>
      <c r="F1178" s="24">
        <v>45206.0</v>
      </c>
      <c r="G1178" s="6">
        <v>24.0</v>
      </c>
      <c r="H1178" s="9" t="str">
        <f>VLOOKUP(revenue[productID],products[],2,FALSE)</f>
        <v>Brigadeiros Maravilhosos da Lilian</v>
      </c>
      <c r="I1178" s="9" t="str">
        <f>VLOOKUP(revenue[productID],products[],12,FALSE)</f>
        <v>Confections</v>
      </c>
      <c r="J1178" s="9">
        <f>VLOOKUP(revenue[productID],products[],IF(YEAR(revenue[orderDate])=2022,8,IF(YEAR(revenue[orderDate])=2023,9,IF(YEAR(revenue[orderDate])=2024,10,NA))),FALSE)</f>
        <v>3.131783363</v>
      </c>
      <c r="K1178" s="9">
        <v>4.5</v>
      </c>
      <c r="L1178" s="25">
        <f>(revenue[orderPrice]-revenue[productCost])/revenue[productCost]</f>
        <v>0.4368809967</v>
      </c>
      <c r="M1178" s="10">
        <v>20.0</v>
      </c>
      <c r="N1178" s="25">
        <v>0.0</v>
      </c>
      <c r="O1178" s="9">
        <f>revenue[orderPrice]*revenue[orderQuantity]</f>
        <v>90</v>
      </c>
      <c r="P1178" s="9">
        <f>revenue[orderTotal]*(1-revenue[discountApllied])</f>
        <v>90</v>
      </c>
      <c r="Q1178" s="9">
        <f>revenue[revenue]-(revenue[productCost]*revenue[orderQuantity])</f>
        <v>27.36433274</v>
      </c>
      <c r="R1178" s="25">
        <f>IFERROR(revenue[profit]/revenue[revenue], 0)</f>
        <v>0.3040481416</v>
      </c>
      <c r="S1178" s="9">
        <f>revenue[productCost]*revenue[orderQuantity]</f>
        <v>62.63566726</v>
      </c>
    </row>
    <row r="1179" ht="15.75" customHeight="1">
      <c r="A1179" s="6">
        <v>10696.0</v>
      </c>
      <c r="B1179" s="7" t="s">
        <v>34</v>
      </c>
      <c r="C1179" s="24" t="str">
        <f>VLOOKUP(revenue[customerID],customers[],2,FALSE)</f>
        <v>White Clover Markets</v>
      </c>
      <c r="D1179" s="24" t="str">
        <f>VLOOKUP(revenue[customerID],customers[],6,FALSE)</f>
        <v>Seattle</v>
      </c>
      <c r="E1179" s="24" t="str">
        <f>VLOOKUP(revenue[customerID],customers[],9,FALSE)</f>
        <v>USA</v>
      </c>
      <c r="F1179" s="24">
        <v>45207.0</v>
      </c>
      <c r="G1179" s="6">
        <v>17.0</v>
      </c>
      <c r="H1179" s="9" t="str">
        <f>VLOOKUP(revenue[productID],products[],2,FALSE)</f>
        <v>Alice Mutton</v>
      </c>
      <c r="I1179" s="9" t="str">
        <f>VLOOKUP(revenue[productID],products[],12,FALSE)</f>
        <v>Meat/Poultry</v>
      </c>
      <c r="J1179" s="9">
        <f>VLOOKUP(revenue[productID],products[],IF(YEAR(revenue[orderDate])=2022,8,IF(YEAR(revenue[orderDate])=2023,9,IF(YEAR(revenue[orderDate])=2024,10,NA))),FALSE)</f>
        <v>24.83130504</v>
      </c>
      <c r="K1179" s="9">
        <v>39.0</v>
      </c>
      <c r="L1179" s="25">
        <f>(revenue[orderPrice]-revenue[productCost])/revenue[productCost]</f>
        <v>0.5705980792</v>
      </c>
      <c r="M1179" s="10">
        <v>20.0</v>
      </c>
      <c r="N1179" s="25">
        <v>0.0</v>
      </c>
      <c r="O1179" s="9">
        <f>revenue[orderPrice]*revenue[orderQuantity]</f>
        <v>780</v>
      </c>
      <c r="P1179" s="9">
        <f>revenue[orderTotal]*(1-revenue[discountApllied])</f>
        <v>780</v>
      </c>
      <c r="Q1179" s="9">
        <f>revenue[revenue]-(revenue[productCost]*revenue[orderQuantity])</f>
        <v>283.3738992</v>
      </c>
      <c r="R1179" s="25">
        <f>IFERROR(revenue[profit]/revenue[revenue], 0)</f>
        <v>0.3632998708</v>
      </c>
      <c r="S1179" s="9">
        <f>revenue[productCost]*revenue[orderQuantity]</f>
        <v>496.6261008</v>
      </c>
    </row>
    <row r="1180" ht="15.75" customHeight="1">
      <c r="A1180" s="6">
        <v>10696.0</v>
      </c>
      <c r="B1180" s="7" t="s">
        <v>34</v>
      </c>
      <c r="C1180" s="24" t="str">
        <f>VLOOKUP(revenue[customerID],customers[],2,FALSE)</f>
        <v>White Clover Markets</v>
      </c>
      <c r="D1180" s="24" t="str">
        <f>VLOOKUP(revenue[customerID],customers[],6,FALSE)</f>
        <v>Seattle</v>
      </c>
      <c r="E1180" s="24" t="str">
        <f>VLOOKUP(revenue[customerID],customers[],9,FALSE)</f>
        <v>USA</v>
      </c>
      <c r="F1180" s="24">
        <v>45207.0</v>
      </c>
      <c r="G1180" s="6">
        <v>46.0</v>
      </c>
      <c r="H1180" s="9" t="str">
        <f>VLOOKUP(revenue[productID],products[],2,FALSE)</f>
        <v>Spegesild</v>
      </c>
      <c r="I1180" s="9" t="str">
        <f>VLOOKUP(revenue[productID],products[],12,FALSE)</f>
        <v>Seafood</v>
      </c>
      <c r="J1180" s="9">
        <f>VLOOKUP(revenue[productID],products[],IF(YEAR(revenue[orderDate])=2022,8,IF(YEAR(revenue[orderDate])=2023,9,IF(YEAR(revenue[orderDate])=2024,10,NA))),FALSE)</f>
        <v>7.087990753</v>
      </c>
      <c r="K1180" s="9">
        <v>12.0</v>
      </c>
      <c r="L1180" s="25">
        <f>(revenue[orderPrice]-revenue[productCost])/revenue[productCost]</f>
        <v>0.693004466</v>
      </c>
      <c r="M1180" s="10">
        <v>18.0</v>
      </c>
      <c r="N1180" s="25">
        <v>0.0</v>
      </c>
      <c r="O1180" s="9">
        <f>revenue[orderPrice]*revenue[orderQuantity]</f>
        <v>216</v>
      </c>
      <c r="P1180" s="9">
        <f>revenue[orderTotal]*(1-revenue[discountApllied])</f>
        <v>216</v>
      </c>
      <c r="Q1180" s="9">
        <f>revenue[revenue]-(revenue[productCost]*revenue[orderQuantity])</f>
        <v>88.41616644</v>
      </c>
      <c r="R1180" s="25">
        <f>IFERROR(revenue[profit]/revenue[revenue], 0)</f>
        <v>0.4093341039</v>
      </c>
      <c r="S1180" s="9">
        <f>revenue[productCost]*revenue[orderQuantity]</f>
        <v>127.5838336</v>
      </c>
    </row>
    <row r="1181" ht="15.75" customHeight="1">
      <c r="A1181" s="6">
        <v>10697.0</v>
      </c>
      <c r="B1181" s="7" t="s">
        <v>82</v>
      </c>
      <c r="C1181" s="24" t="str">
        <f>VLOOKUP(revenue[customerID],customers[],2,FALSE)</f>
        <v>LINO-Delicateses</v>
      </c>
      <c r="D1181" s="24" t="str">
        <f>VLOOKUP(revenue[customerID],customers[],6,FALSE)</f>
        <v>I. de Margarita</v>
      </c>
      <c r="E1181" s="24" t="str">
        <f>VLOOKUP(revenue[customerID],customers[],9,FALSE)</f>
        <v>Venezuela</v>
      </c>
      <c r="F1181" s="24">
        <v>45207.0</v>
      </c>
      <c r="G1181" s="6">
        <v>19.0</v>
      </c>
      <c r="H1181" s="9" t="str">
        <f>VLOOKUP(revenue[productID],products[],2,FALSE)</f>
        <v>Teatime Chocolate Biscuits</v>
      </c>
      <c r="I1181" s="9" t="str">
        <f>VLOOKUP(revenue[productID],products[],12,FALSE)</f>
        <v>Confections</v>
      </c>
      <c r="J1181" s="9">
        <f>VLOOKUP(revenue[productID],products[],IF(YEAR(revenue[orderDate])=2022,8,IF(YEAR(revenue[orderDate])=2023,9,IF(YEAR(revenue[orderDate])=2024,10,NA))),FALSE)</f>
        <v>5.901883682</v>
      </c>
      <c r="K1181" s="9">
        <v>9.2</v>
      </c>
      <c r="L1181" s="25">
        <f>(revenue[orderPrice]-revenue[productCost])/revenue[productCost]</f>
        <v>0.5588243508</v>
      </c>
      <c r="M1181" s="10">
        <v>7.0</v>
      </c>
      <c r="N1181" s="25">
        <v>0.25</v>
      </c>
      <c r="O1181" s="9">
        <f>revenue[orderPrice]*revenue[orderQuantity]</f>
        <v>64.4</v>
      </c>
      <c r="P1181" s="9">
        <f>revenue[orderTotal]*(1-revenue[discountApllied])</f>
        <v>48.3</v>
      </c>
      <c r="Q1181" s="9">
        <f>revenue[revenue]-(revenue[productCost]*revenue[orderQuantity])</f>
        <v>6.986814223</v>
      </c>
      <c r="R1181" s="25">
        <f>IFERROR(revenue[profit]/revenue[revenue], 0)</f>
        <v>0.1446545388</v>
      </c>
      <c r="S1181" s="9">
        <f>revenue[productCost]*revenue[orderQuantity]</f>
        <v>41.31318578</v>
      </c>
    </row>
    <row r="1182" ht="15.75" customHeight="1">
      <c r="A1182" s="6">
        <v>10697.0</v>
      </c>
      <c r="B1182" s="7" t="s">
        <v>82</v>
      </c>
      <c r="C1182" s="24" t="str">
        <f>VLOOKUP(revenue[customerID],customers[],2,FALSE)</f>
        <v>LINO-Delicateses</v>
      </c>
      <c r="D1182" s="24" t="str">
        <f>VLOOKUP(revenue[customerID],customers[],6,FALSE)</f>
        <v>I. de Margarita</v>
      </c>
      <c r="E1182" s="24" t="str">
        <f>VLOOKUP(revenue[customerID],customers[],9,FALSE)</f>
        <v>Venezuela</v>
      </c>
      <c r="F1182" s="24">
        <v>45207.0</v>
      </c>
      <c r="G1182" s="6">
        <v>35.0</v>
      </c>
      <c r="H1182" s="9" t="str">
        <f>VLOOKUP(revenue[productID],products[],2,FALSE)</f>
        <v>Cold Brew Nitro</v>
      </c>
      <c r="I1182" s="9" t="str">
        <f>VLOOKUP(revenue[productID],products[],12,FALSE)</f>
        <v>Beverages</v>
      </c>
      <c r="J1182" s="9">
        <f>VLOOKUP(revenue[productID],products[],IF(YEAR(revenue[orderDate])=2022,8,IF(YEAR(revenue[orderDate])=2023,9,IF(YEAR(revenue[orderDate])=2024,10,NA))),FALSE)</f>
        <v>11.7602531</v>
      </c>
      <c r="K1182" s="9">
        <v>18.0</v>
      </c>
      <c r="L1182" s="25">
        <f>(revenue[orderPrice]-revenue[productCost])/revenue[productCost]</f>
        <v>0.5305793033</v>
      </c>
      <c r="M1182" s="10">
        <v>9.0</v>
      </c>
      <c r="N1182" s="25">
        <v>0.25</v>
      </c>
      <c r="O1182" s="9">
        <f>revenue[orderPrice]*revenue[orderQuantity]</f>
        <v>162</v>
      </c>
      <c r="P1182" s="9">
        <f>revenue[orderTotal]*(1-revenue[discountApllied])</f>
        <v>121.5</v>
      </c>
      <c r="Q1182" s="9">
        <f>revenue[revenue]-(revenue[productCost]*revenue[orderQuantity])</f>
        <v>15.65772208</v>
      </c>
      <c r="R1182" s="25">
        <f>IFERROR(revenue[profit]/revenue[revenue], 0)</f>
        <v>0.1288701406</v>
      </c>
      <c r="S1182" s="9">
        <f>revenue[productCost]*revenue[orderQuantity]</f>
        <v>105.8422779</v>
      </c>
    </row>
    <row r="1183" ht="15.75" customHeight="1">
      <c r="A1183" s="6">
        <v>10697.0</v>
      </c>
      <c r="B1183" s="7" t="s">
        <v>82</v>
      </c>
      <c r="C1183" s="24" t="str">
        <f>VLOOKUP(revenue[customerID],customers[],2,FALSE)</f>
        <v>LINO-Delicateses</v>
      </c>
      <c r="D1183" s="24" t="str">
        <f>VLOOKUP(revenue[customerID],customers[],6,FALSE)</f>
        <v>I. de Margarita</v>
      </c>
      <c r="E1183" s="24" t="str">
        <f>VLOOKUP(revenue[customerID],customers[],9,FALSE)</f>
        <v>Venezuela</v>
      </c>
      <c r="F1183" s="24">
        <v>45207.0</v>
      </c>
      <c r="G1183" s="6">
        <v>58.0</v>
      </c>
      <c r="H1183" s="9" t="str">
        <f>VLOOKUP(revenue[productID],products[],2,FALSE)</f>
        <v>Escargots de Bourgogne</v>
      </c>
      <c r="I1183" s="9" t="str">
        <f>VLOOKUP(revenue[productID],products[],12,FALSE)</f>
        <v>Seafood</v>
      </c>
      <c r="J1183" s="9">
        <f>VLOOKUP(revenue[productID],products[],IF(YEAR(revenue[orderDate])=2022,8,IF(YEAR(revenue[orderDate])=2023,9,IF(YEAR(revenue[orderDate])=2024,10,NA))),FALSE)</f>
        <v>8.208446365</v>
      </c>
      <c r="K1183" s="9">
        <v>13.25</v>
      </c>
      <c r="L1183" s="25">
        <f>(revenue[orderPrice]-revenue[productCost])/revenue[productCost]</f>
        <v>0.61419097</v>
      </c>
      <c r="M1183" s="10">
        <v>30.0</v>
      </c>
      <c r="N1183" s="25">
        <v>0.25</v>
      </c>
      <c r="O1183" s="9">
        <f>revenue[orderPrice]*revenue[orderQuantity]</f>
        <v>397.5</v>
      </c>
      <c r="P1183" s="9">
        <f>revenue[orderTotal]*(1-revenue[discountApllied])</f>
        <v>298.125</v>
      </c>
      <c r="Q1183" s="9">
        <f>revenue[revenue]-(revenue[productCost]*revenue[orderQuantity])</f>
        <v>51.87160905</v>
      </c>
      <c r="R1183" s="25">
        <f>IFERROR(revenue[profit]/revenue[revenue], 0)</f>
        <v>0.1739928186</v>
      </c>
      <c r="S1183" s="9">
        <f>revenue[productCost]*revenue[orderQuantity]</f>
        <v>246.2533909</v>
      </c>
    </row>
    <row r="1184" ht="15.75" customHeight="1">
      <c r="A1184" s="6">
        <v>10697.0</v>
      </c>
      <c r="B1184" s="7" t="s">
        <v>82</v>
      </c>
      <c r="C1184" s="24" t="str">
        <f>VLOOKUP(revenue[customerID],customers[],2,FALSE)</f>
        <v>LINO-Delicateses</v>
      </c>
      <c r="D1184" s="24" t="str">
        <f>VLOOKUP(revenue[customerID],customers[],6,FALSE)</f>
        <v>I. de Margarita</v>
      </c>
      <c r="E1184" s="24" t="str">
        <f>VLOOKUP(revenue[customerID],customers[],9,FALSE)</f>
        <v>Venezuela</v>
      </c>
      <c r="F1184" s="24">
        <v>45207.0</v>
      </c>
      <c r="G1184" s="6">
        <v>70.0</v>
      </c>
      <c r="H1184" s="9" t="str">
        <f>VLOOKUP(revenue[productID],products[],2,FALSE)</f>
        <v>Outback Lager</v>
      </c>
      <c r="I1184" s="9" t="str">
        <f>VLOOKUP(revenue[productID],products[],12,FALSE)</f>
        <v>Beverages</v>
      </c>
      <c r="J1184" s="9">
        <f>VLOOKUP(revenue[productID],products[],IF(YEAR(revenue[orderDate])=2022,8,IF(YEAR(revenue[orderDate])=2023,9,IF(YEAR(revenue[orderDate])=2024,10,NA))),FALSE)</f>
        <v>9.793094091</v>
      </c>
      <c r="K1184" s="9">
        <v>15.0</v>
      </c>
      <c r="L1184" s="25">
        <f>(revenue[orderPrice]-revenue[productCost])/revenue[productCost]</f>
        <v>0.5316916044</v>
      </c>
      <c r="M1184" s="10">
        <v>30.0</v>
      </c>
      <c r="N1184" s="25">
        <v>0.25</v>
      </c>
      <c r="O1184" s="9">
        <f>revenue[orderPrice]*revenue[orderQuantity]</f>
        <v>450</v>
      </c>
      <c r="P1184" s="9">
        <f>revenue[orderTotal]*(1-revenue[discountApllied])</f>
        <v>337.5</v>
      </c>
      <c r="Q1184" s="9">
        <f>revenue[revenue]-(revenue[productCost]*revenue[orderQuantity])</f>
        <v>43.70717727</v>
      </c>
      <c r="R1184" s="25">
        <f>IFERROR(revenue[profit]/revenue[revenue], 0)</f>
        <v>0.1295027475</v>
      </c>
      <c r="S1184" s="9">
        <f>revenue[productCost]*revenue[orderQuantity]</f>
        <v>293.7928227</v>
      </c>
    </row>
    <row r="1185" ht="15.75" customHeight="1">
      <c r="A1185" s="6">
        <v>10698.0</v>
      </c>
      <c r="B1185" s="7" t="s">
        <v>24</v>
      </c>
      <c r="C1185" s="24" t="str">
        <f>VLOOKUP(revenue[customerID],customers[],2,FALSE)</f>
        <v>Ernst Handel</v>
      </c>
      <c r="D1185" s="24" t="str">
        <f>VLOOKUP(revenue[customerID],customers[],6,FALSE)</f>
        <v>Graz</v>
      </c>
      <c r="E1185" s="24" t="str">
        <f>VLOOKUP(revenue[customerID],customers[],9,FALSE)</f>
        <v>Austria</v>
      </c>
      <c r="F1185" s="24">
        <v>45208.0</v>
      </c>
      <c r="G1185" s="6">
        <v>11.0</v>
      </c>
      <c r="H1185" s="9" t="str">
        <f>VLOOKUP(revenue[productID],products[],2,FALSE)</f>
        <v>Queso Cabrales</v>
      </c>
      <c r="I1185" s="9" t="str">
        <f>VLOOKUP(revenue[productID],products[],12,FALSE)</f>
        <v>Dairy Products</v>
      </c>
      <c r="J1185" s="9">
        <f>VLOOKUP(revenue[productID],products[],IF(YEAR(revenue[orderDate])=2022,8,IF(YEAR(revenue[orderDate])=2023,9,IF(YEAR(revenue[orderDate])=2024,10,NA))),FALSE)</f>
        <v>12.90188125</v>
      </c>
      <c r="K1185" s="9">
        <v>21.0</v>
      </c>
      <c r="L1185" s="25">
        <f>(revenue[orderPrice]-revenue[productCost])/revenue[productCost]</f>
        <v>0.6276696079</v>
      </c>
      <c r="M1185" s="10">
        <v>15.0</v>
      </c>
      <c r="N1185" s="25">
        <v>0.0</v>
      </c>
      <c r="O1185" s="9">
        <f>revenue[orderPrice]*revenue[orderQuantity]</f>
        <v>315</v>
      </c>
      <c r="P1185" s="9">
        <f>revenue[orderTotal]*(1-revenue[discountApllied])</f>
        <v>315</v>
      </c>
      <c r="Q1185" s="9">
        <f>revenue[revenue]-(revenue[productCost]*revenue[orderQuantity])</f>
        <v>121.4717812</v>
      </c>
      <c r="R1185" s="25">
        <f>IFERROR(revenue[profit]/revenue[revenue], 0)</f>
        <v>0.3856247023</v>
      </c>
      <c r="S1185" s="9">
        <f>revenue[productCost]*revenue[orderQuantity]</f>
        <v>193.5282188</v>
      </c>
    </row>
    <row r="1186" ht="15.75" customHeight="1">
      <c r="A1186" s="6">
        <v>10698.0</v>
      </c>
      <c r="B1186" s="7" t="s">
        <v>24</v>
      </c>
      <c r="C1186" s="24" t="str">
        <f>VLOOKUP(revenue[customerID],customers[],2,FALSE)</f>
        <v>Ernst Handel</v>
      </c>
      <c r="D1186" s="24" t="str">
        <f>VLOOKUP(revenue[customerID],customers[],6,FALSE)</f>
        <v>Graz</v>
      </c>
      <c r="E1186" s="24" t="str">
        <f>VLOOKUP(revenue[customerID],customers[],9,FALSE)</f>
        <v>Austria</v>
      </c>
      <c r="F1186" s="24">
        <v>45208.0</v>
      </c>
      <c r="G1186" s="6">
        <v>17.0</v>
      </c>
      <c r="H1186" s="9" t="str">
        <f>VLOOKUP(revenue[productID],products[],2,FALSE)</f>
        <v>Alice Mutton</v>
      </c>
      <c r="I1186" s="9" t="str">
        <f>VLOOKUP(revenue[productID],products[],12,FALSE)</f>
        <v>Meat/Poultry</v>
      </c>
      <c r="J1186" s="9">
        <f>VLOOKUP(revenue[productID],products[],IF(YEAR(revenue[orderDate])=2022,8,IF(YEAR(revenue[orderDate])=2023,9,IF(YEAR(revenue[orderDate])=2024,10,NA))),FALSE)</f>
        <v>24.83130504</v>
      </c>
      <c r="K1186" s="9">
        <v>39.0</v>
      </c>
      <c r="L1186" s="25">
        <f>(revenue[orderPrice]-revenue[productCost])/revenue[productCost]</f>
        <v>0.5705980792</v>
      </c>
      <c r="M1186" s="10">
        <v>8.0</v>
      </c>
      <c r="N1186" s="25">
        <v>0.05</v>
      </c>
      <c r="O1186" s="9">
        <f>revenue[orderPrice]*revenue[orderQuantity]</f>
        <v>312</v>
      </c>
      <c r="P1186" s="9">
        <f>revenue[orderTotal]*(1-revenue[discountApllied])</f>
        <v>296.4</v>
      </c>
      <c r="Q1186" s="9">
        <f>revenue[revenue]-(revenue[productCost]*revenue[orderQuantity])</f>
        <v>97.74955968</v>
      </c>
      <c r="R1186" s="25">
        <f>IFERROR(revenue[profit]/revenue[revenue], 0)</f>
        <v>0.3297893377</v>
      </c>
      <c r="S1186" s="9">
        <f>revenue[productCost]*revenue[orderQuantity]</f>
        <v>198.6504403</v>
      </c>
    </row>
    <row r="1187" ht="15.75" customHeight="1">
      <c r="A1187" s="6">
        <v>10698.0</v>
      </c>
      <c r="B1187" s="7" t="s">
        <v>24</v>
      </c>
      <c r="C1187" s="24" t="str">
        <f>VLOOKUP(revenue[customerID],customers[],2,FALSE)</f>
        <v>Ernst Handel</v>
      </c>
      <c r="D1187" s="24" t="str">
        <f>VLOOKUP(revenue[customerID],customers[],6,FALSE)</f>
        <v>Graz</v>
      </c>
      <c r="E1187" s="24" t="str">
        <f>VLOOKUP(revenue[customerID],customers[],9,FALSE)</f>
        <v>Austria</v>
      </c>
      <c r="F1187" s="24">
        <v>45208.0</v>
      </c>
      <c r="G1187" s="6">
        <v>29.0</v>
      </c>
      <c r="H1187" s="9" t="str">
        <f>VLOOKUP(revenue[productID],products[],2,FALSE)</f>
        <v>Thüringer Rostbratwurst</v>
      </c>
      <c r="I1187" s="9" t="str">
        <f>VLOOKUP(revenue[productID],products[],12,FALSE)</f>
        <v>Meat/Poultry</v>
      </c>
      <c r="J1187" s="9">
        <f>VLOOKUP(revenue[productID],products[],IF(YEAR(revenue[orderDate])=2022,8,IF(YEAR(revenue[orderDate])=2023,9,IF(YEAR(revenue[orderDate])=2024,10,NA))),FALSE)</f>
        <v>80.85619497</v>
      </c>
      <c r="K1187" s="9">
        <v>123.79</v>
      </c>
      <c r="L1187" s="25">
        <f>(revenue[orderPrice]-revenue[productCost])/revenue[productCost]</f>
        <v>0.5309896792</v>
      </c>
      <c r="M1187" s="10">
        <v>12.0</v>
      </c>
      <c r="N1187" s="25">
        <v>0.05</v>
      </c>
      <c r="O1187" s="9">
        <f>revenue[orderPrice]*revenue[orderQuantity]</f>
        <v>1485.48</v>
      </c>
      <c r="P1187" s="9">
        <f>revenue[orderTotal]*(1-revenue[discountApllied])</f>
        <v>1411.206</v>
      </c>
      <c r="Q1187" s="9">
        <f>revenue[revenue]-(revenue[productCost]*revenue[orderQuantity])</f>
        <v>440.9316604</v>
      </c>
      <c r="R1187" s="25">
        <f>IFERROR(revenue[profit]/revenue[revenue], 0)</f>
        <v>0.3124502449</v>
      </c>
      <c r="S1187" s="9">
        <f>revenue[productCost]*revenue[orderQuantity]</f>
        <v>970.2743396</v>
      </c>
    </row>
    <row r="1188" ht="15.75" customHeight="1">
      <c r="A1188" s="6">
        <v>10698.0</v>
      </c>
      <c r="B1188" s="7" t="s">
        <v>24</v>
      </c>
      <c r="C1188" s="24" t="str">
        <f>VLOOKUP(revenue[customerID],customers[],2,FALSE)</f>
        <v>Ernst Handel</v>
      </c>
      <c r="D1188" s="24" t="str">
        <f>VLOOKUP(revenue[customerID],customers[],6,FALSE)</f>
        <v>Graz</v>
      </c>
      <c r="E1188" s="24" t="str">
        <f>VLOOKUP(revenue[customerID],customers[],9,FALSE)</f>
        <v>Austria</v>
      </c>
      <c r="F1188" s="24">
        <v>45208.0</v>
      </c>
      <c r="G1188" s="6">
        <v>65.0</v>
      </c>
      <c r="H1188" s="9" t="str">
        <f>VLOOKUP(revenue[productID],products[],2,FALSE)</f>
        <v>Louisiana Fiery Hot Pepper Sauce</v>
      </c>
      <c r="I1188" s="9" t="str">
        <f>VLOOKUP(revenue[productID],products[],12,FALSE)</f>
        <v>Condiments</v>
      </c>
      <c r="J1188" s="9">
        <f>VLOOKUP(revenue[productID],products[],IF(YEAR(revenue[orderDate])=2022,8,IF(YEAR(revenue[orderDate])=2023,9,IF(YEAR(revenue[orderDate])=2024,10,NA))),FALSE)</f>
        <v>13.21122243</v>
      </c>
      <c r="K1188" s="9">
        <v>21.05</v>
      </c>
      <c r="L1188" s="25">
        <f>(revenue[orderPrice]-revenue[productCost])/revenue[productCost]</f>
        <v>0.593342335</v>
      </c>
      <c r="M1188" s="10">
        <v>65.0</v>
      </c>
      <c r="N1188" s="25">
        <v>0.05</v>
      </c>
      <c r="O1188" s="9">
        <f>revenue[orderPrice]*revenue[orderQuantity]</f>
        <v>1368.25</v>
      </c>
      <c r="P1188" s="9">
        <f>revenue[orderTotal]*(1-revenue[discountApllied])</f>
        <v>1299.8375</v>
      </c>
      <c r="Q1188" s="9">
        <f>revenue[revenue]-(revenue[productCost]*revenue[orderQuantity])</f>
        <v>441.1080418</v>
      </c>
      <c r="R1188" s="25">
        <f>IFERROR(revenue[profit]/revenue[revenue], 0)</f>
        <v>0.3393562979</v>
      </c>
      <c r="S1188" s="9">
        <f>revenue[productCost]*revenue[orderQuantity]</f>
        <v>858.7294582</v>
      </c>
    </row>
    <row r="1189" ht="15.75" customHeight="1">
      <c r="A1189" s="6">
        <v>10698.0</v>
      </c>
      <c r="B1189" s="7" t="s">
        <v>24</v>
      </c>
      <c r="C1189" s="24" t="str">
        <f>VLOOKUP(revenue[customerID],customers[],2,FALSE)</f>
        <v>Ernst Handel</v>
      </c>
      <c r="D1189" s="24" t="str">
        <f>VLOOKUP(revenue[customerID],customers[],6,FALSE)</f>
        <v>Graz</v>
      </c>
      <c r="E1189" s="24" t="str">
        <f>VLOOKUP(revenue[customerID],customers[],9,FALSE)</f>
        <v>Austria</v>
      </c>
      <c r="F1189" s="24">
        <v>45208.0</v>
      </c>
      <c r="G1189" s="6">
        <v>70.0</v>
      </c>
      <c r="H1189" s="9" t="str">
        <f>VLOOKUP(revenue[productID],products[],2,FALSE)</f>
        <v>Outback Lager</v>
      </c>
      <c r="I1189" s="9" t="str">
        <f>VLOOKUP(revenue[productID],products[],12,FALSE)</f>
        <v>Beverages</v>
      </c>
      <c r="J1189" s="9">
        <f>VLOOKUP(revenue[productID],products[],IF(YEAR(revenue[orderDate])=2022,8,IF(YEAR(revenue[orderDate])=2023,9,IF(YEAR(revenue[orderDate])=2024,10,NA))),FALSE)</f>
        <v>9.793094091</v>
      </c>
      <c r="K1189" s="9">
        <v>15.0</v>
      </c>
      <c r="L1189" s="25">
        <f>(revenue[orderPrice]-revenue[productCost])/revenue[productCost]</f>
        <v>0.5316916044</v>
      </c>
      <c r="M1189" s="10">
        <v>8.0</v>
      </c>
      <c r="N1189" s="25">
        <v>0.05</v>
      </c>
      <c r="O1189" s="9">
        <f>revenue[orderPrice]*revenue[orderQuantity]</f>
        <v>120</v>
      </c>
      <c r="P1189" s="9">
        <f>revenue[orderTotal]*(1-revenue[discountApllied])</f>
        <v>114</v>
      </c>
      <c r="Q1189" s="9">
        <f>revenue[revenue]-(revenue[productCost]*revenue[orderQuantity])</f>
        <v>35.65524727</v>
      </c>
      <c r="R1189" s="25">
        <f>IFERROR(revenue[profit]/revenue[revenue], 0)</f>
        <v>0.3127653269</v>
      </c>
      <c r="S1189" s="9">
        <f>revenue[productCost]*revenue[orderQuantity]</f>
        <v>78.34475273</v>
      </c>
    </row>
    <row r="1190" ht="15.75" customHeight="1">
      <c r="A1190" s="6">
        <v>10699.0</v>
      </c>
      <c r="B1190" s="7" t="s">
        <v>39</v>
      </c>
      <c r="C1190" s="24" t="str">
        <f>VLOOKUP(revenue[customerID],customers[],2,FALSE)</f>
        <v>Morgenstern Gesundkost</v>
      </c>
      <c r="D1190" s="24" t="str">
        <f>VLOOKUP(revenue[customerID],customers[],6,FALSE)</f>
        <v>Leipzig</v>
      </c>
      <c r="E1190" s="24" t="str">
        <f>VLOOKUP(revenue[customerID],customers[],9,FALSE)</f>
        <v>Germany</v>
      </c>
      <c r="F1190" s="24">
        <v>45208.0</v>
      </c>
      <c r="G1190" s="6">
        <v>47.0</v>
      </c>
      <c r="H1190" s="9" t="str">
        <f>VLOOKUP(revenue[productID],products[],2,FALSE)</f>
        <v>Zaanse koeken</v>
      </c>
      <c r="I1190" s="9" t="str">
        <f>VLOOKUP(revenue[productID],products[],12,FALSE)</f>
        <v>Confections</v>
      </c>
      <c r="J1190" s="9">
        <f>VLOOKUP(revenue[productID],products[],IF(YEAR(revenue[orderDate])=2022,8,IF(YEAR(revenue[orderDate])=2023,9,IF(YEAR(revenue[orderDate])=2024,10,NA))),FALSE)</f>
        <v>6.57708833</v>
      </c>
      <c r="K1190" s="9">
        <v>9.5</v>
      </c>
      <c r="L1190" s="25">
        <f>(revenue[orderPrice]-revenue[productCost])/revenue[productCost]</f>
        <v>0.4444081519</v>
      </c>
      <c r="M1190" s="10">
        <v>12.0</v>
      </c>
      <c r="N1190" s="25">
        <v>0.0</v>
      </c>
      <c r="O1190" s="9">
        <f>revenue[orderPrice]*revenue[orderQuantity]</f>
        <v>114</v>
      </c>
      <c r="P1190" s="9">
        <f>revenue[orderTotal]*(1-revenue[discountApllied])</f>
        <v>114</v>
      </c>
      <c r="Q1190" s="9">
        <f>revenue[revenue]-(revenue[productCost]*revenue[orderQuantity])</f>
        <v>35.07494004</v>
      </c>
      <c r="R1190" s="25">
        <f>IFERROR(revenue[profit]/revenue[revenue], 0)</f>
        <v>0.3076749126</v>
      </c>
      <c r="S1190" s="9">
        <f>revenue[productCost]*revenue[orderQuantity]</f>
        <v>78.92505996</v>
      </c>
    </row>
    <row r="1191" ht="15.75" customHeight="1">
      <c r="A1191" s="6">
        <v>10700.0</v>
      </c>
      <c r="B1191" s="7" t="s">
        <v>60</v>
      </c>
      <c r="C1191" s="24" t="str">
        <f>VLOOKUP(revenue[customerID],customers[],2,FALSE)</f>
        <v>Save-a-lot Markets</v>
      </c>
      <c r="D1191" s="24" t="str">
        <f>VLOOKUP(revenue[customerID],customers[],6,FALSE)</f>
        <v>Boise</v>
      </c>
      <c r="E1191" s="24" t="str">
        <f>VLOOKUP(revenue[customerID],customers[],9,FALSE)</f>
        <v>USA</v>
      </c>
      <c r="F1191" s="24">
        <v>45209.0</v>
      </c>
      <c r="G1191" s="6">
        <v>1.0</v>
      </c>
      <c r="H1191" s="9" t="str">
        <f>VLOOKUP(revenue[productID],products[],2,FALSE)</f>
        <v>Chai</v>
      </c>
      <c r="I1191" s="9" t="str">
        <f>VLOOKUP(revenue[productID],products[],12,FALSE)</f>
        <v>Beverages</v>
      </c>
      <c r="J1191" s="9">
        <f>VLOOKUP(revenue[productID],products[],IF(YEAR(revenue[orderDate])=2022,8,IF(YEAR(revenue[orderDate])=2023,9,IF(YEAR(revenue[orderDate])=2024,10,NA))),FALSE)</f>
        <v>12.15847607</v>
      </c>
      <c r="K1191" s="9">
        <v>18.0</v>
      </c>
      <c r="L1191" s="25">
        <f>(revenue[orderPrice]-revenue[productCost])/revenue[productCost]</f>
        <v>0.4804486927</v>
      </c>
      <c r="M1191" s="10">
        <v>5.0</v>
      </c>
      <c r="N1191" s="25">
        <v>0.2</v>
      </c>
      <c r="O1191" s="9">
        <f>revenue[orderPrice]*revenue[orderQuantity]</f>
        <v>90</v>
      </c>
      <c r="P1191" s="9">
        <f>revenue[orderTotal]*(1-revenue[discountApllied])</f>
        <v>72</v>
      </c>
      <c r="Q1191" s="9">
        <f>revenue[revenue]-(revenue[productCost]*revenue[orderQuantity])</f>
        <v>11.20761966</v>
      </c>
      <c r="R1191" s="25">
        <f>IFERROR(revenue[profit]/revenue[revenue], 0)</f>
        <v>0.1556613842</v>
      </c>
      <c r="S1191" s="9">
        <f>revenue[productCost]*revenue[orderQuantity]</f>
        <v>60.79238034</v>
      </c>
    </row>
    <row r="1192" ht="15.75" customHeight="1">
      <c r="A1192" s="6">
        <v>10700.0</v>
      </c>
      <c r="B1192" s="7" t="s">
        <v>60</v>
      </c>
      <c r="C1192" s="24" t="str">
        <f>VLOOKUP(revenue[customerID],customers[],2,FALSE)</f>
        <v>Save-a-lot Markets</v>
      </c>
      <c r="D1192" s="24" t="str">
        <f>VLOOKUP(revenue[customerID],customers[],6,FALSE)</f>
        <v>Boise</v>
      </c>
      <c r="E1192" s="24" t="str">
        <f>VLOOKUP(revenue[customerID],customers[],9,FALSE)</f>
        <v>USA</v>
      </c>
      <c r="F1192" s="24">
        <v>45209.0</v>
      </c>
      <c r="G1192" s="6">
        <v>34.0</v>
      </c>
      <c r="H1192" s="9" t="str">
        <f>VLOOKUP(revenue[productID],products[],2,FALSE)</f>
        <v>Sasquatch Ale</v>
      </c>
      <c r="I1192" s="9" t="str">
        <f>VLOOKUP(revenue[productID],products[],12,FALSE)</f>
        <v>Beverages</v>
      </c>
      <c r="J1192" s="9">
        <f>VLOOKUP(revenue[productID],products[],IF(YEAR(revenue[orderDate])=2022,8,IF(YEAR(revenue[orderDate])=2023,9,IF(YEAR(revenue[orderDate])=2024,10,NA))),FALSE)</f>
        <v>8.955654061</v>
      </c>
      <c r="K1192" s="9">
        <v>14.0</v>
      </c>
      <c r="L1192" s="25">
        <f>(revenue[orderPrice]-revenue[productCost])/revenue[productCost]</f>
        <v>0.5632582394</v>
      </c>
      <c r="M1192" s="10">
        <v>12.0</v>
      </c>
      <c r="N1192" s="25">
        <v>0.2</v>
      </c>
      <c r="O1192" s="9">
        <f>revenue[orderPrice]*revenue[orderQuantity]</f>
        <v>168</v>
      </c>
      <c r="P1192" s="9">
        <f>revenue[orderTotal]*(1-revenue[discountApllied])</f>
        <v>134.4</v>
      </c>
      <c r="Q1192" s="9">
        <f>revenue[revenue]-(revenue[productCost]*revenue[orderQuantity])</f>
        <v>26.93215127</v>
      </c>
      <c r="R1192" s="25">
        <f>IFERROR(revenue[profit]/revenue[revenue], 0)</f>
        <v>0.2003880303</v>
      </c>
      <c r="S1192" s="9">
        <f>revenue[productCost]*revenue[orderQuantity]</f>
        <v>107.4678487</v>
      </c>
    </row>
    <row r="1193" ht="15.75" customHeight="1">
      <c r="A1193" s="6">
        <v>10700.0</v>
      </c>
      <c r="B1193" s="7" t="s">
        <v>60</v>
      </c>
      <c r="C1193" s="24" t="str">
        <f>VLOOKUP(revenue[customerID],customers[],2,FALSE)</f>
        <v>Save-a-lot Markets</v>
      </c>
      <c r="D1193" s="24" t="str">
        <f>VLOOKUP(revenue[customerID],customers[],6,FALSE)</f>
        <v>Boise</v>
      </c>
      <c r="E1193" s="24" t="str">
        <f>VLOOKUP(revenue[customerID],customers[],9,FALSE)</f>
        <v>USA</v>
      </c>
      <c r="F1193" s="24">
        <v>45209.0</v>
      </c>
      <c r="G1193" s="6">
        <v>68.0</v>
      </c>
      <c r="H1193" s="9" t="str">
        <f>VLOOKUP(revenue[productID],products[],2,FALSE)</f>
        <v>Scottish Longbreads</v>
      </c>
      <c r="I1193" s="9" t="str">
        <f>VLOOKUP(revenue[productID],products[],12,FALSE)</f>
        <v>Confections</v>
      </c>
      <c r="J1193" s="9">
        <f>VLOOKUP(revenue[productID],products[],IF(YEAR(revenue[orderDate])=2022,8,IF(YEAR(revenue[orderDate])=2023,9,IF(YEAR(revenue[orderDate])=2024,10,NA))),FALSE)</f>
        <v>8.500000387</v>
      </c>
      <c r="K1193" s="9">
        <v>12.5</v>
      </c>
      <c r="L1193" s="25">
        <f>(revenue[orderPrice]-revenue[productCost])/revenue[productCost]</f>
        <v>0.4705881684</v>
      </c>
      <c r="M1193" s="10">
        <v>40.0</v>
      </c>
      <c r="N1193" s="25">
        <v>0.2</v>
      </c>
      <c r="O1193" s="9">
        <f>revenue[orderPrice]*revenue[orderQuantity]</f>
        <v>500</v>
      </c>
      <c r="P1193" s="9">
        <f>revenue[orderTotal]*(1-revenue[discountApllied])</f>
        <v>400</v>
      </c>
      <c r="Q1193" s="9">
        <f>revenue[revenue]-(revenue[productCost]*revenue[orderQuantity])</f>
        <v>59.99998454</v>
      </c>
      <c r="R1193" s="25">
        <f>IFERROR(revenue[profit]/revenue[revenue], 0)</f>
        <v>0.1499999613</v>
      </c>
      <c r="S1193" s="9">
        <f>revenue[productCost]*revenue[orderQuantity]</f>
        <v>340.0000155</v>
      </c>
    </row>
    <row r="1194" ht="15.75" customHeight="1">
      <c r="A1194" s="6">
        <v>10700.0</v>
      </c>
      <c r="B1194" s="7" t="s">
        <v>60</v>
      </c>
      <c r="C1194" s="24" t="str">
        <f>VLOOKUP(revenue[customerID],customers[],2,FALSE)</f>
        <v>Save-a-lot Markets</v>
      </c>
      <c r="D1194" s="24" t="str">
        <f>VLOOKUP(revenue[customerID],customers[],6,FALSE)</f>
        <v>Boise</v>
      </c>
      <c r="E1194" s="24" t="str">
        <f>VLOOKUP(revenue[customerID],customers[],9,FALSE)</f>
        <v>USA</v>
      </c>
      <c r="F1194" s="24">
        <v>45209.0</v>
      </c>
      <c r="G1194" s="6">
        <v>71.0</v>
      </c>
      <c r="H1194" s="9" t="str">
        <f>VLOOKUP(revenue[productID],products[],2,FALSE)</f>
        <v>Flotemysost</v>
      </c>
      <c r="I1194" s="9" t="str">
        <f>VLOOKUP(revenue[productID],products[],12,FALSE)</f>
        <v>Dairy Products</v>
      </c>
      <c r="J1194" s="9">
        <f>VLOOKUP(revenue[productID],products[],IF(YEAR(revenue[orderDate])=2022,8,IF(YEAR(revenue[orderDate])=2023,9,IF(YEAR(revenue[orderDate])=2024,10,NA))),FALSE)</f>
        <v>13.4003664</v>
      </c>
      <c r="K1194" s="9">
        <v>21.5</v>
      </c>
      <c r="L1194" s="25">
        <f>(revenue[orderPrice]-revenue[productCost])/revenue[productCost]</f>
        <v>0.6044337411</v>
      </c>
      <c r="M1194" s="10">
        <v>60.0</v>
      </c>
      <c r="N1194" s="25">
        <v>0.2</v>
      </c>
      <c r="O1194" s="9">
        <f>revenue[orderPrice]*revenue[orderQuantity]</f>
        <v>1290</v>
      </c>
      <c r="P1194" s="9">
        <f>revenue[orderTotal]*(1-revenue[discountApllied])</f>
        <v>1032</v>
      </c>
      <c r="Q1194" s="9">
        <f>revenue[revenue]-(revenue[productCost]*revenue[orderQuantity])</f>
        <v>227.9780158</v>
      </c>
      <c r="R1194" s="25">
        <f>IFERROR(revenue[profit]/revenue[revenue], 0)</f>
        <v>0.2209089301</v>
      </c>
      <c r="S1194" s="9">
        <f>revenue[productCost]*revenue[orderQuantity]</f>
        <v>804.0219842</v>
      </c>
    </row>
    <row r="1195" ht="15.75" customHeight="1">
      <c r="A1195" s="6">
        <v>10701.0</v>
      </c>
      <c r="B1195" s="7" t="s">
        <v>49</v>
      </c>
      <c r="C1195" s="24" t="str">
        <f>VLOOKUP(revenue[customerID],customers[],2,FALSE)</f>
        <v>Hungry Owl All-Night Grocers</v>
      </c>
      <c r="D1195" s="24" t="str">
        <f>VLOOKUP(revenue[customerID],customers[],6,FALSE)</f>
        <v>Cork</v>
      </c>
      <c r="E1195" s="24" t="str">
        <f>VLOOKUP(revenue[customerID],customers[],9,FALSE)</f>
        <v>Ireland</v>
      </c>
      <c r="F1195" s="24">
        <v>45212.0</v>
      </c>
      <c r="G1195" s="6">
        <v>59.0</v>
      </c>
      <c r="H1195" s="9" t="str">
        <f>VLOOKUP(revenue[productID],products[],2,FALSE)</f>
        <v>Raclette Courdavault</v>
      </c>
      <c r="I1195" s="9" t="str">
        <f>VLOOKUP(revenue[productID],products[],12,FALSE)</f>
        <v>Dairy Products</v>
      </c>
      <c r="J1195" s="9">
        <f>VLOOKUP(revenue[productID],products[],IF(YEAR(revenue[orderDate])=2022,8,IF(YEAR(revenue[orderDate])=2023,9,IF(YEAR(revenue[orderDate])=2024,10,NA))),FALSE)</f>
        <v>35.20472566</v>
      </c>
      <c r="K1195" s="9">
        <v>55.0</v>
      </c>
      <c r="L1195" s="25">
        <f>(revenue[orderPrice]-revenue[productCost])/revenue[productCost]</f>
        <v>0.5622902598</v>
      </c>
      <c r="M1195" s="10">
        <v>42.0</v>
      </c>
      <c r="N1195" s="25">
        <v>0.15</v>
      </c>
      <c r="O1195" s="9">
        <f>revenue[orderPrice]*revenue[orderQuantity]</f>
        <v>2310</v>
      </c>
      <c r="P1195" s="9">
        <f>revenue[orderTotal]*(1-revenue[discountApllied])</f>
        <v>1963.5</v>
      </c>
      <c r="Q1195" s="9">
        <f>revenue[revenue]-(revenue[productCost]*revenue[orderQuantity])</f>
        <v>484.9015222</v>
      </c>
      <c r="R1195" s="25">
        <f>IFERROR(revenue[profit]/revenue[revenue], 0)</f>
        <v>0.2469577399</v>
      </c>
      <c r="S1195" s="9">
        <f>revenue[productCost]*revenue[orderQuantity]</f>
        <v>1478.598478</v>
      </c>
    </row>
    <row r="1196" ht="15.75" customHeight="1">
      <c r="A1196" s="6">
        <v>10701.0</v>
      </c>
      <c r="B1196" s="7" t="s">
        <v>49</v>
      </c>
      <c r="C1196" s="24" t="str">
        <f>VLOOKUP(revenue[customerID],customers[],2,FALSE)</f>
        <v>Hungry Owl All-Night Grocers</v>
      </c>
      <c r="D1196" s="24" t="str">
        <f>VLOOKUP(revenue[customerID],customers[],6,FALSE)</f>
        <v>Cork</v>
      </c>
      <c r="E1196" s="24" t="str">
        <f>VLOOKUP(revenue[customerID],customers[],9,FALSE)</f>
        <v>Ireland</v>
      </c>
      <c r="F1196" s="24">
        <v>45212.0</v>
      </c>
      <c r="G1196" s="6">
        <v>71.0</v>
      </c>
      <c r="H1196" s="9" t="str">
        <f>VLOOKUP(revenue[productID],products[],2,FALSE)</f>
        <v>Flotemysost</v>
      </c>
      <c r="I1196" s="9" t="str">
        <f>VLOOKUP(revenue[productID],products[],12,FALSE)</f>
        <v>Dairy Products</v>
      </c>
      <c r="J1196" s="9">
        <f>VLOOKUP(revenue[productID],products[],IF(YEAR(revenue[orderDate])=2022,8,IF(YEAR(revenue[orderDate])=2023,9,IF(YEAR(revenue[orderDate])=2024,10,NA))),FALSE)</f>
        <v>13.4003664</v>
      </c>
      <c r="K1196" s="9">
        <v>21.5</v>
      </c>
      <c r="L1196" s="25">
        <f>(revenue[orderPrice]-revenue[productCost])/revenue[productCost]</f>
        <v>0.6044337411</v>
      </c>
      <c r="M1196" s="10">
        <v>20.0</v>
      </c>
      <c r="N1196" s="25">
        <v>0.15</v>
      </c>
      <c r="O1196" s="9">
        <f>revenue[orderPrice]*revenue[orderQuantity]</f>
        <v>430</v>
      </c>
      <c r="P1196" s="9">
        <f>revenue[orderTotal]*(1-revenue[discountApllied])</f>
        <v>365.5</v>
      </c>
      <c r="Q1196" s="9">
        <f>revenue[revenue]-(revenue[productCost]*revenue[orderQuantity])</f>
        <v>97.49267194</v>
      </c>
      <c r="R1196" s="25">
        <f>IFERROR(revenue[profit]/revenue[revenue], 0)</f>
        <v>0.2667378165</v>
      </c>
      <c r="S1196" s="9">
        <f>revenue[productCost]*revenue[orderQuantity]</f>
        <v>268.0073281</v>
      </c>
    </row>
    <row r="1197" ht="15.75" customHeight="1">
      <c r="A1197" s="6">
        <v>10701.0</v>
      </c>
      <c r="B1197" s="7" t="s">
        <v>49</v>
      </c>
      <c r="C1197" s="24" t="str">
        <f>VLOOKUP(revenue[customerID],customers[],2,FALSE)</f>
        <v>Hungry Owl All-Night Grocers</v>
      </c>
      <c r="D1197" s="24" t="str">
        <f>VLOOKUP(revenue[customerID],customers[],6,FALSE)</f>
        <v>Cork</v>
      </c>
      <c r="E1197" s="24" t="str">
        <f>VLOOKUP(revenue[customerID],customers[],9,FALSE)</f>
        <v>Ireland</v>
      </c>
      <c r="F1197" s="24">
        <v>45212.0</v>
      </c>
      <c r="G1197" s="6">
        <v>76.0</v>
      </c>
      <c r="H1197" s="9" t="str">
        <f>VLOOKUP(revenue[productID],products[],2,FALSE)</f>
        <v>Lakkalikööri</v>
      </c>
      <c r="I1197" s="9" t="str">
        <f>VLOOKUP(revenue[productID],products[],12,FALSE)</f>
        <v>Beverages</v>
      </c>
      <c r="J1197" s="9">
        <f>VLOOKUP(revenue[productID],products[],IF(YEAR(revenue[orderDate])=2022,8,IF(YEAR(revenue[orderDate])=2023,9,IF(YEAR(revenue[orderDate])=2024,10,NA))),FALSE)</f>
        <v>12.1154529</v>
      </c>
      <c r="K1197" s="9">
        <v>18.0</v>
      </c>
      <c r="L1197" s="25">
        <f>(revenue[orderPrice]-revenue[productCost])/revenue[productCost]</f>
        <v>0.4857059125</v>
      </c>
      <c r="M1197" s="10">
        <v>35.0</v>
      </c>
      <c r="N1197" s="25">
        <v>0.15</v>
      </c>
      <c r="O1197" s="9">
        <f>revenue[orderPrice]*revenue[orderQuantity]</f>
        <v>630</v>
      </c>
      <c r="P1197" s="9">
        <f>revenue[orderTotal]*(1-revenue[discountApllied])</f>
        <v>535.5</v>
      </c>
      <c r="Q1197" s="9">
        <f>revenue[revenue]-(revenue[productCost]*revenue[orderQuantity])</f>
        <v>111.4591487</v>
      </c>
      <c r="R1197" s="25">
        <f>IFERROR(revenue[profit]/revenue[revenue], 0)</f>
        <v>0.2081403336</v>
      </c>
      <c r="S1197" s="9">
        <f>revenue[productCost]*revenue[orderQuantity]</f>
        <v>424.0408513</v>
      </c>
    </row>
    <row r="1198" ht="15.75" customHeight="1">
      <c r="A1198" s="6">
        <v>10702.0</v>
      </c>
      <c r="B1198" s="7" t="s">
        <v>100</v>
      </c>
      <c r="C1198" s="24" t="str">
        <f>VLOOKUP(revenue[customerID],customers[],2,FALSE)</f>
        <v>Alfreds Futterkiste</v>
      </c>
      <c r="D1198" s="24" t="str">
        <f>VLOOKUP(revenue[customerID],customers[],6,FALSE)</f>
        <v>Berlin</v>
      </c>
      <c r="E1198" s="24" t="str">
        <f>VLOOKUP(revenue[customerID],customers[],9,FALSE)</f>
        <v>Germany</v>
      </c>
      <c r="F1198" s="24">
        <v>45212.0</v>
      </c>
      <c r="G1198" s="6">
        <v>3.0</v>
      </c>
      <c r="H1198" s="9" t="str">
        <f>VLOOKUP(revenue[productID],products[],2,FALSE)</f>
        <v>Aniseed Syrup</v>
      </c>
      <c r="I1198" s="9" t="str">
        <f>VLOOKUP(revenue[productID],products[],12,FALSE)</f>
        <v>Condiments</v>
      </c>
      <c r="J1198" s="9">
        <f>VLOOKUP(revenue[productID],products[],IF(YEAR(revenue[orderDate])=2022,8,IF(YEAR(revenue[orderDate])=2023,9,IF(YEAR(revenue[orderDate])=2024,10,NA))),FALSE)</f>
        <v>6.399802633</v>
      </c>
      <c r="K1198" s="9">
        <v>10.0</v>
      </c>
      <c r="L1198" s="25">
        <f>(revenue[orderPrice]-revenue[productCost])/revenue[productCost]</f>
        <v>0.5625481867</v>
      </c>
      <c r="M1198" s="10">
        <v>6.0</v>
      </c>
      <c r="N1198" s="25">
        <v>0.0</v>
      </c>
      <c r="O1198" s="9">
        <f>revenue[orderPrice]*revenue[orderQuantity]</f>
        <v>60</v>
      </c>
      <c r="P1198" s="9">
        <f>revenue[orderTotal]*(1-revenue[discountApllied])</f>
        <v>60</v>
      </c>
      <c r="Q1198" s="9">
        <f>revenue[revenue]-(revenue[productCost]*revenue[orderQuantity])</f>
        <v>21.6011842</v>
      </c>
      <c r="R1198" s="25">
        <f>IFERROR(revenue[profit]/revenue[revenue], 0)</f>
        <v>0.3600197367</v>
      </c>
      <c r="S1198" s="9">
        <f>revenue[productCost]*revenue[orderQuantity]</f>
        <v>38.3988158</v>
      </c>
    </row>
    <row r="1199" ht="15.75" customHeight="1">
      <c r="A1199" s="6">
        <v>10702.0</v>
      </c>
      <c r="B1199" s="7" t="s">
        <v>100</v>
      </c>
      <c r="C1199" s="24" t="str">
        <f>VLOOKUP(revenue[customerID],customers[],2,FALSE)</f>
        <v>Alfreds Futterkiste</v>
      </c>
      <c r="D1199" s="24" t="str">
        <f>VLOOKUP(revenue[customerID],customers[],6,FALSE)</f>
        <v>Berlin</v>
      </c>
      <c r="E1199" s="24" t="str">
        <f>VLOOKUP(revenue[customerID],customers[],9,FALSE)</f>
        <v>Germany</v>
      </c>
      <c r="F1199" s="24">
        <v>45212.0</v>
      </c>
      <c r="G1199" s="6">
        <v>76.0</v>
      </c>
      <c r="H1199" s="9" t="str">
        <f>VLOOKUP(revenue[productID],products[],2,FALSE)</f>
        <v>Lakkalikööri</v>
      </c>
      <c r="I1199" s="9" t="str">
        <f>VLOOKUP(revenue[productID],products[],12,FALSE)</f>
        <v>Beverages</v>
      </c>
      <c r="J1199" s="9">
        <f>VLOOKUP(revenue[productID],products[],IF(YEAR(revenue[orderDate])=2022,8,IF(YEAR(revenue[orderDate])=2023,9,IF(YEAR(revenue[orderDate])=2024,10,NA))),FALSE)</f>
        <v>12.1154529</v>
      </c>
      <c r="K1199" s="9">
        <v>18.0</v>
      </c>
      <c r="L1199" s="25">
        <f>(revenue[orderPrice]-revenue[productCost])/revenue[productCost]</f>
        <v>0.4857059125</v>
      </c>
      <c r="M1199" s="10">
        <v>15.0</v>
      </c>
      <c r="N1199" s="25">
        <v>0.0</v>
      </c>
      <c r="O1199" s="9">
        <f>revenue[orderPrice]*revenue[orderQuantity]</f>
        <v>270</v>
      </c>
      <c r="P1199" s="9">
        <f>revenue[orderTotal]*(1-revenue[discountApllied])</f>
        <v>270</v>
      </c>
      <c r="Q1199" s="9">
        <f>revenue[revenue]-(revenue[productCost]*revenue[orderQuantity])</f>
        <v>88.26820657</v>
      </c>
      <c r="R1199" s="25">
        <f>IFERROR(revenue[profit]/revenue[revenue], 0)</f>
        <v>0.3269192836</v>
      </c>
      <c r="S1199" s="9">
        <f>revenue[productCost]*revenue[orderQuantity]</f>
        <v>181.7317934</v>
      </c>
    </row>
    <row r="1200" ht="15.75" customHeight="1">
      <c r="A1200" s="6">
        <v>10703.0</v>
      </c>
      <c r="B1200" s="7" t="s">
        <v>29</v>
      </c>
      <c r="C1200" s="24" t="str">
        <f>VLOOKUP(revenue[customerID],customers[],2,FALSE)</f>
        <v>Folk och fä HB</v>
      </c>
      <c r="D1200" s="24" t="str">
        <f>VLOOKUP(revenue[customerID],customers[],6,FALSE)</f>
        <v>Bräcke</v>
      </c>
      <c r="E1200" s="24" t="str">
        <f>VLOOKUP(revenue[customerID],customers[],9,FALSE)</f>
        <v>Sweden</v>
      </c>
      <c r="F1200" s="24">
        <v>45213.0</v>
      </c>
      <c r="G1200" s="6">
        <v>2.0</v>
      </c>
      <c r="H1200" s="9" t="str">
        <f>VLOOKUP(revenue[productID],products[],2,FALSE)</f>
        <v>Chang</v>
      </c>
      <c r="I1200" s="9" t="str">
        <f>VLOOKUP(revenue[productID],products[],12,FALSE)</f>
        <v>Beverages</v>
      </c>
      <c r="J1200" s="9">
        <f>VLOOKUP(revenue[productID],products[],IF(YEAR(revenue[orderDate])=2022,8,IF(YEAR(revenue[orderDate])=2023,9,IF(YEAR(revenue[orderDate])=2024,10,NA))),FALSE)</f>
        <v>12.14626904</v>
      </c>
      <c r="K1200" s="9">
        <v>19.0</v>
      </c>
      <c r="L1200" s="25">
        <f>(revenue[orderPrice]-revenue[productCost])/revenue[productCost]</f>
        <v>0.5642663547</v>
      </c>
      <c r="M1200" s="10">
        <v>5.0</v>
      </c>
      <c r="N1200" s="25">
        <v>0.0</v>
      </c>
      <c r="O1200" s="9">
        <f>revenue[orderPrice]*revenue[orderQuantity]</f>
        <v>95</v>
      </c>
      <c r="P1200" s="9">
        <f>revenue[orderTotal]*(1-revenue[discountApllied])</f>
        <v>95</v>
      </c>
      <c r="Q1200" s="9">
        <f>revenue[revenue]-(revenue[productCost]*revenue[orderQuantity])</f>
        <v>34.26865478</v>
      </c>
      <c r="R1200" s="25">
        <f>IFERROR(revenue[profit]/revenue[revenue], 0)</f>
        <v>0.3607226819</v>
      </c>
      <c r="S1200" s="9">
        <f>revenue[productCost]*revenue[orderQuantity]</f>
        <v>60.73134522</v>
      </c>
    </row>
    <row r="1201" ht="15.75" customHeight="1">
      <c r="A1201" s="6">
        <v>10703.0</v>
      </c>
      <c r="B1201" s="7" t="s">
        <v>29</v>
      </c>
      <c r="C1201" s="24" t="str">
        <f>VLOOKUP(revenue[customerID],customers[],2,FALSE)</f>
        <v>Folk och fä HB</v>
      </c>
      <c r="D1201" s="24" t="str">
        <f>VLOOKUP(revenue[customerID],customers[],6,FALSE)</f>
        <v>Bräcke</v>
      </c>
      <c r="E1201" s="24" t="str">
        <f>VLOOKUP(revenue[customerID],customers[],9,FALSE)</f>
        <v>Sweden</v>
      </c>
      <c r="F1201" s="24">
        <v>45213.0</v>
      </c>
      <c r="G1201" s="6">
        <v>59.0</v>
      </c>
      <c r="H1201" s="9" t="str">
        <f>VLOOKUP(revenue[productID],products[],2,FALSE)</f>
        <v>Raclette Courdavault</v>
      </c>
      <c r="I1201" s="9" t="str">
        <f>VLOOKUP(revenue[productID],products[],12,FALSE)</f>
        <v>Dairy Products</v>
      </c>
      <c r="J1201" s="9">
        <f>VLOOKUP(revenue[productID],products[],IF(YEAR(revenue[orderDate])=2022,8,IF(YEAR(revenue[orderDate])=2023,9,IF(YEAR(revenue[orderDate])=2024,10,NA))),FALSE)</f>
        <v>35.20472566</v>
      </c>
      <c r="K1201" s="9">
        <v>55.0</v>
      </c>
      <c r="L1201" s="25">
        <f>(revenue[orderPrice]-revenue[productCost])/revenue[productCost]</f>
        <v>0.5622902598</v>
      </c>
      <c r="M1201" s="10">
        <v>35.0</v>
      </c>
      <c r="N1201" s="25">
        <v>0.0</v>
      </c>
      <c r="O1201" s="9">
        <f>revenue[orderPrice]*revenue[orderQuantity]</f>
        <v>1925</v>
      </c>
      <c r="P1201" s="9">
        <f>revenue[orderTotal]*(1-revenue[discountApllied])</f>
        <v>1925</v>
      </c>
      <c r="Q1201" s="9">
        <f>revenue[revenue]-(revenue[productCost]*revenue[orderQuantity])</f>
        <v>692.8346018</v>
      </c>
      <c r="R1201" s="25">
        <f>IFERROR(revenue[profit]/revenue[revenue], 0)</f>
        <v>0.3599140789</v>
      </c>
      <c r="S1201" s="9">
        <f>revenue[productCost]*revenue[orderQuantity]</f>
        <v>1232.165398</v>
      </c>
    </row>
    <row r="1202" ht="15.75" customHeight="1">
      <c r="A1202" s="6">
        <v>10703.0</v>
      </c>
      <c r="B1202" s="7" t="s">
        <v>29</v>
      </c>
      <c r="C1202" s="24" t="str">
        <f>VLOOKUP(revenue[customerID],customers[],2,FALSE)</f>
        <v>Folk och fä HB</v>
      </c>
      <c r="D1202" s="24" t="str">
        <f>VLOOKUP(revenue[customerID],customers[],6,FALSE)</f>
        <v>Bräcke</v>
      </c>
      <c r="E1202" s="24" t="str">
        <f>VLOOKUP(revenue[customerID],customers[],9,FALSE)</f>
        <v>Sweden</v>
      </c>
      <c r="F1202" s="24">
        <v>45213.0</v>
      </c>
      <c r="G1202" s="6">
        <v>73.0</v>
      </c>
      <c r="H1202" s="9" t="str">
        <f>VLOOKUP(revenue[productID],products[],2,FALSE)</f>
        <v>Röd Kaviar</v>
      </c>
      <c r="I1202" s="9" t="str">
        <f>VLOOKUP(revenue[productID],products[],12,FALSE)</f>
        <v>Seafood</v>
      </c>
      <c r="J1202" s="9">
        <f>VLOOKUP(revenue[productID],products[],IF(YEAR(revenue[orderDate])=2022,8,IF(YEAR(revenue[orderDate])=2023,9,IF(YEAR(revenue[orderDate])=2024,10,NA))),FALSE)</f>
        <v>9.692999362</v>
      </c>
      <c r="K1202" s="9">
        <v>15.0</v>
      </c>
      <c r="L1202" s="25">
        <f>(revenue[orderPrice]-revenue[productCost])/revenue[productCost]</f>
        <v>0.5475086131</v>
      </c>
      <c r="M1202" s="10">
        <v>35.0</v>
      </c>
      <c r="N1202" s="25">
        <v>0.0</v>
      </c>
      <c r="O1202" s="9">
        <f>revenue[orderPrice]*revenue[orderQuantity]</f>
        <v>525</v>
      </c>
      <c r="P1202" s="9">
        <f>revenue[orderTotal]*(1-revenue[discountApllied])</f>
        <v>525</v>
      </c>
      <c r="Q1202" s="9">
        <f>revenue[revenue]-(revenue[productCost]*revenue[orderQuantity])</f>
        <v>185.7450223</v>
      </c>
      <c r="R1202" s="25">
        <f>IFERROR(revenue[profit]/revenue[revenue], 0)</f>
        <v>0.3538000425</v>
      </c>
      <c r="S1202" s="9">
        <f>revenue[productCost]*revenue[orderQuantity]</f>
        <v>339.2549777</v>
      </c>
    </row>
    <row r="1203" ht="15.75" customHeight="1">
      <c r="A1203" s="6">
        <v>10704.0</v>
      </c>
      <c r="B1203" s="7" t="s">
        <v>77</v>
      </c>
      <c r="C1203" s="24" t="str">
        <f>VLOOKUP(revenue[customerID],customers[],2,FALSE)</f>
        <v>Queen Cozinha</v>
      </c>
      <c r="D1203" s="24" t="str">
        <f>VLOOKUP(revenue[customerID],customers[],6,FALSE)</f>
        <v>Sao Paulo</v>
      </c>
      <c r="E1203" s="24" t="str">
        <f>VLOOKUP(revenue[customerID],customers[],9,FALSE)</f>
        <v>Brazil</v>
      </c>
      <c r="F1203" s="24">
        <v>45213.0</v>
      </c>
      <c r="G1203" s="6">
        <v>4.0</v>
      </c>
      <c r="H1203" s="9" t="str">
        <f>VLOOKUP(revenue[productID],products[],2,FALSE)</f>
        <v>Chef Anton's Cajun Seasoning</v>
      </c>
      <c r="I1203" s="9" t="str">
        <f>VLOOKUP(revenue[productID],products[],12,FALSE)</f>
        <v>Condiments</v>
      </c>
      <c r="J1203" s="9">
        <f>VLOOKUP(revenue[productID],products[],IF(YEAR(revenue[orderDate])=2022,8,IF(YEAR(revenue[orderDate])=2023,9,IF(YEAR(revenue[orderDate])=2024,10,NA))),FALSE)</f>
        <v>13.81047124</v>
      </c>
      <c r="K1203" s="9">
        <v>22.0</v>
      </c>
      <c r="L1203" s="25">
        <f>(revenue[orderPrice]-revenue[productCost])/revenue[productCost]</f>
        <v>0.5929941577</v>
      </c>
      <c r="M1203" s="10">
        <v>6.0</v>
      </c>
      <c r="N1203" s="25">
        <v>0.0</v>
      </c>
      <c r="O1203" s="9">
        <f>revenue[orderPrice]*revenue[orderQuantity]</f>
        <v>132</v>
      </c>
      <c r="P1203" s="9">
        <f>revenue[orderTotal]*(1-revenue[discountApllied])</f>
        <v>132</v>
      </c>
      <c r="Q1203" s="9">
        <f>revenue[revenue]-(revenue[productCost]*revenue[orderQuantity])</f>
        <v>49.13717256</v>
      </c>
      <c r="R1203" s="25">
        <f>IFERROR(revenue[profit]/revenue[revenue], 0)</f>
        <v>0.3722513073</v>
      </c>
      <c r="S1203" s="9">
        <f>revenue[productCost]*revenue[orderQuantity]</f>
        <v>82.86282744</v>
      </c>
    </row>
    <row r="1204" ht="15.75" customHeight="1">
      <c r="A1204" s="6">
        <v>10704.0</v>
      </c>
      <c r="B1204" s="7" t="s">
        <v>77</v>
      </c>
      <c r="C1204" s="24" t="str">
        <f>VLOOKUP(revenue[customerID],customers[],2,FALSE)</f>
        <v>Queen Cozinha</v>
      </c>
      <c r="D1204" s="24" t="str">
        <f>VLOOKUP(revenue[customerID],customers[],6,FALSE)</f>
        <v>Sao Paulo</v>
      </c>
      <c r="E1204" s="24" t="str">
        <f>VLOOKUP(revenue[customerID],customers[],9,FALSE)</f>
        <v>Brazil</v>
      </c>
      <c r="F1204" s="24">
        <v>45213.0</v>
      </c>
      <c r="G1204" s="6">
        <v>24.0</v>
      </c>
      <c r="H1204" s="9" t="str">
        <f>VLOOKUP(revenue[productID],products[],2,FALSE)</f>
        <v>Brigadeiros Maravilhosos da Lilian</v>
      </c>
      <c r="I1204" s="9" t="str">
        <f>VLOOKUP(revenue[productID],products[],12,FALSE)</f>
        <v>Confections</v>
      </c>
      <c r="J1204" s="9">
        <f>VLOOKUP(revenue[productID],products[],IF(YEAR(revenue[orderDate])=2022,8,IF(YEAR(revenue[orderDate])=2023,9,IF(YEAR(revenue[orderDate])=2024,10,NA))),FALSE)</f>
        <v>3.131783363</v>
      </c>
      <c r="K1204" s="9">
        <v>4.5</v>
      </c>
      <c r="L1204" s="25">
        <f>(revenue[orderPrice]-revenue[productCost])/revenue[productCost]</f>
        <v>0.4368809967</v>
      </c>
      <c r="M1204" s="10">
        <v>35.0</v>
      </c>
      <c r="N1204" s="25">
        <v>0.0</v>
      </c>
      <c r="O1204" s="9">
        <f>revenue[orderPrice]*revenue[orderQuantity]</f>
        <v>157.5</v>
      </c>
      <c r="P1204" s="9">
        <f>revenue[orderTotal]*(1-revenue[discountApllied])</f>
        <v>157.5</v>
      </c>
      <c r="Q1204" s="9">
        <f>revenue[revenue]-(revenue[productCost]*revenue[orderQuantity])</f>
        <v>47.8875823</v>
      </c>
      <c r="R1204" s="25">
        <f>IFERROR(revenue[profit]/revenue[revenue], 0)</f>
        <v>0.3040481416</v>
      </c>
      <c r="S1204" s="9">
        <f>revenue[productCost]*revenue[orderQuantity]</f>
        <v>109.6124177</v>
      </c>
    </row>
    <row r="1205" ht="15.75" customHeight="1">
      <c r="A1205" s="6">
        <v>10704.0</v>
      </c>
      <c r="B1205" s="7" t="s">
        <v>77</v>
      </c>
      <c r="C1205" s="24" t="str">
        <f>VLOOKUP(revenue[customerID],customers[],2,FALSE)</f>
        <v>Queen Cozinha</v>
      </c>
      <c r="D1205" s="24" t="str">
        <f>VLOOKUP(revenue[customerID],customers[],6,FALSE)</f>
        <v>Sao Paulo</v>
      </c>
      <c r="E1205" s="24" t="str">
        <f>VLOOKUP(revenue[customerID],customers[],9,FALSE)</f>
        <v>Brazil</v>
      </c>
      <c r="F1205" s="24">
        <v>45213.0</v>
      </c>
      <c r="G1205" s="6">
        <v>48.0</v>
      </c>
      <c r="H1205" s="9" t="str">
        <f>VLOOKUP(revenue[productID],products[],2,FALSE)</f>
        <v>Chocolade</v>
      </c>
      <c r="I1205" s="9" t="str">
        <f>VLOOKUP(revenue[productID],products[],12,FALSE)</f>
        <v>Confections</v>
      </c>
      <c r="J1205" s="9">
        <f>VLOOKUP(revenue[productID],products[],IF(YEAR(revenue[orderDate])=2022,8,IF(YEAR(revenue[orderDate])=2023,9,IF(YEAR(revenue[orderDate])=2024,10,NA))),FALSE)</f>
        <v>8.079671685</v>
      </c>
      <c r="K1205" s="9">
        <v>12.75</v>
      </c>
      <c r="L1205" s="25">
        <f>(revenue[orderPrice]-revenue[productCost])/revenue[productCost]</f>
        <v>0.5780344174</v>
      </c>
      <c r="M1205" s="10">
        <v>24.0</v>
      </c>
      <c r="N1205" s="25">
        <v>0.0</v>
      </c>
      <c r="O1205" s="9">
        <f>revenue[orderPrice]*revenue[orderQuantity]</f>
        <v>306</v>
      </c>
      <c r="P1205" s="9">
        <f>revenue[orderTotal]*(1-revenue[discountApllied])</f>
        <v>306</v>
      </c>
      <c r="Q1205" s="9">
        <f>revenue[revenue]-(revenue[productCost]*revenue[orderQuantity])</f>
        <v>112.0878796</v>
      </c>
      <c r="R1205" s="25">
        <f>IFERROR(revenue[profit]/revenue[revenue], 0)</f>
        <v>0.36630026</v>
      </c>
      <c r="S1205" s="9">
        <f>revenue[productCost]*revenue[orderQuantity]</f>
        <v>193.9121204</v>
      </c>
    </row>
    <row r="1206" ht="15.75" customHeight="1">
      <c r="A1206" s="6">
        <v>10705.0</v>
      </c>
      <c r="B1206" s="7" t="s">
        <v>23</v>
      </c>
      <c r="C1206" s="24" t="str">
        <f>VLOOKUP(revenue[customerID],customers[],2,FALSE)</f>
        <v>HILARION-Abastos</v>
      </c>
      <c r="D1206" s="24" t="str">
        <f>VLOOKUP(revenue[customerID],customers[],6,FALSE)</f>
        <v>San Cristóbal</v>
      </c>
      <c r="E1206" s="24" t="str">
        <f>VLOOKUP(revenue[customerID],customers[],9,FALSE)</f>
        <v>Venezuela</v>
      </c>
      <c r="F1206" s="24">
        <v>45214.0</v>
      </c>
      <c r="G1206" s="6">
        <v>31.0</v>
      </c>
      <c r="H1206" s="9" t="str">
        <f>VLOOKUP(revenue[productID],products[],2,FALSE)</f>
        <v>Gorgonzola Telino</v>
      </c>
      <c r="I1206" s="9" t="str">
        <f>VLOOKUP(revenue[productID],products[],12,FALSE)</f>
        <v>Dairy Products</v>
      </c>
      <c r="J1206" s="9">
        <f>VLOOKUP(revenue[productID],products[],IF(YEAR(revenue[orderDate])=2022,8,IF(YEAR(revenue[orderDate])=2023,9,IF(YEAR(revenue[orderDate])=2024,10,NA))),FALSE)</f>
        <v>7.937729254</v>
      </c>
      <c r="K1206" s="9">
        <v>12.5</v>
      </c>
      <c r="L1206" s="25">
        <f>(revenue[orderPrice]-revenue[productCost])/revenue[productCost]</f>
        <v>0.5747576668</v>
      </c>
      <c r="M1206" s="10">
        <v>20.0</v>
      </c>
      <c r="N1206" s="25">
        <v>0.0</v>
      </c>
      <c r="O1206" s="9">
        <f>revenue[orderPrice]*revenue[orderQuantity]</f>
        <v>250</v>
      </c>
      <c r="P1206" s="9">
        <f>revenue[orderTotal]*(1-revenue[discountApllied])</f>
        <v>250</v>
      </c>
      <c r="Q1206" s="9">
        <f>revenue[revenue]-(revenue[productCost]*revenue[orderQuantity])</f>
        <v>91.24541492</v>
      </c>
      <c r="R1206" s="25">
        <f>IFERROR(revenue[profit]/revenue[revenue], 0)</f>
        <v>0.3649816597</v>
      </c>
      <c r="S1206" s="9">
        <f>revenue[productCost]*revenue[orderQuantity]</f>
        <v>158.7545851</v>
      </c>
    </row>
    <row r="1207" ht="15.75" customHeight="1">
      <c r="A1207" s="6">
        <v>10705.0</v>
      </c>
      <c r="B1207" s="7" t="s">
        <v>23</v>
      </c>
      <c r="C1207" s="24" t="str">
        <f>VLOOKUP(revenue[customerID],customers[],2,FALSE)</f>
        <v>HILARION-Abastos</v>
      </c>
      <c r="D1207" s="24" t="str">
        <f>VLOOKUP(revenue[customerID],customers[],6,FALSE)</f>
        <v>San Cristóbal</v>
      </c>
      <c r="E1207" s="24" t="str">
        <f>VLOOKUP(revenue[customerID],customers[],9,FALSE)</f>
        <v>Venezuela</v>
      </c>
      <c r="F1207" s="24">
        <v>45214.0</v>
      </c>
      <c r="G1207" s="6">
        <v>32.0</v>
      </c>
      <c r="H1207" s="9" t="str">
        <f>VLOOKUP(revenue[productID],products[],2,FALSE)</f>
        <v>Mascarpone Fabioli</v>
      </c>
      <c r="I1207" s="9" t="str">
        <f>VLOOKUP(revenue[productID],products[],12,FALSE)</f>
        <v>Dairy Products</v>
      </c>
      <c r="J1207" s="9">
        <f>VLOOKUP(revenue[productID],products[],IF(YEAR(revenue[orderDate])=2022,8,IF(YEAR(revenue[orderDate])=2023,9,IF(YEAR(revenue[orderDate])=2024,10,NA))),FALSE)</f>
        <v>21.58120628</v>
      </c>
      <c r="K1207" s="9">
        <v>32.0</v>
      </c>
      <c r="L1207" s="25">
        <f>(revenue[orderPrice]-revenue[productCost])/revenue[productCost]</f>
        <v>0.4827716106</v>
      </c>
      <c r="M1207" s="10">
        <v>4.0</v>
      </c>
      <c r="N1207" s="25">
        <v>0.0</v>
      </c>
      <c r="O1207" s="9">
        <f>revenue[orderPrice]*revenue[orderQuantity]</f>
        <v>128</v>
      </c>
      <c r="P1207" s="9">
        <f>revenue[orderTotal]*(1-revenue[discountApllied])</f>
        <v>128</v>
      </c>
      <c r="Q1207" s="9">
        <f>revenue[revenue]-(revenue[productCost]*revenue[orderQuantity])</f>
        <v>41.67517487</v>
      </c>
      <c r="R1207" s="25">
        <f>IFERROR(revenue[profit]/revenue[revenue], 0)</f>
        <v>0.3255873036</v>
      </c>
      <c r="S1207" s="9">
        <f>revenue[productCost]*revenue[orderQuantity]</f>
        <v>86.32482513</v>
      </c>
    </row>
    <row r="1208" ht="15.75" customHeight="1">
      <c r="A1208" s="6">
        <v>10706.0</v>
      </c>
      <c r="B1208" s="7" t="s">
        <v>52</v>
      </c>
      <c r="C1208" s="24" t="str">
        <f>VLOOKUP(revenue[customerID],customers[],2,FALSE)</f>
        <v>Old World Delicatessen</v>
      </c>
      <c r="D1208" s="24" t="str">
        <f>VLOOKUP(revenue[customerID],customers[],6,FALSE)</f>
        <v>Anchorage</v>
      </c>
      <c r="E1208" s="24" t="str">
        <f>VLOOKUP(revenue[customerID],customers[],9,FALSE)</f>
        <v>USA</v>
      </c>
      <c r="F1208" s="24">
        <v>45215.0</v>
      </c>
      <c r="G1208" s="6">
        <v>16.0</v>
      </c>
      <c r="H1208" s="9" t="str">
        <f>VLOOKUP(revenue[productID],products[],2,FALSE)</f>
        <v>Pavlova</v>
      </c>
      <c r="I1208" s="9" t="str">
        <f>VLOOKUP(revenue[productID],products[],12,FALSE)</f>
        <v>Confections</v>
      </c>
      <c r="J1208" s="9">
        <f>VLOOKUP(revenue[productID],products[],IF(YEAR(revenue[orderDate])=2022,8,IF(YEAR(revenue[orderDate])=2023,9,IF(YEAR(revenue[orderDate])=2024,10,NA))),FALSE)</f>
        <v>11.98504839</v>
      </c>
      <c r="K1208" s="9">
        <v>17.45</v>
      </c>
      <c r="L1208" s="25">
        <f>(revenue[orderPrice]-revenue[productCost])/revenue[productCost]</f>
        <v>0.455980771</v>
      </c>
      <c r="M1208" s="10">
        <v>20.0</v>
      </c>
      <c r="N1208" s="25">
        <v>0.0</v>
      </c>
      <c r="O1208" s="9">
        <f>revenue[orderPrice]*revenue[orderQuantity]</f>
        <v>349</v>
      </c>
      <c r="P1208" s="9">
        <f>revenue[orderTotal]*(1-revenue[discountApllied])</f>
        <v>349</v>
      </c>
      <c r="Q1208" s="9">
        <f>revenue[revenue]-(revenue[productCost]*revenue[orderQuantity])</f>
        <v>109.2990321</v>
      </c>
      <c r="R1208" s="25">
        <f>IFERROR(revenue[profit]/revenue[revenue], 0)</f>
        <v>0.3131777425</v>
      </c>
      <c r="S1208" s="9">
        <f>revenue[productCost]*revenue[orderQuantity]</f>
        <v>239.7009679</v>
      </c>
    </row>
    <row r="1209" ht="15.75" customHeight="1">
      <c r="A1209" s="6">
        <v>10706.0</v>
      </c>
      <c r="B1209" s="7" t="s">
        <v>52</v>
      </c>
      <c r="C1209" s="24" t="str">
        <f>VLOOKUP(revenue[customerID],customers[],2,FALSE)</f>
        <v>Old World Delicatessen</v>
      </c>
      <c r="D1209" s="24" t="str">
        <f>VLOOKUP(revenue[customerID],customers[],6,FALSE)</f>
        <v>Anchorage</v>
      </c>
      <c r="E1209" s="24" t="str">
        <f>VLOOKUP(revenue[customerID],customers[],9,FALSE)</f>
        <v>USA</v>
      </c>
      <c r="F1209" s="24">
        <v>45215.0</v>
      </c>
      <c r="G1209" s="6">
        <v>43.0</v>
      </c>
      <c r="H1209" s="9" t="str">
        <f>VLOOKUP(revenue[productID],products[],2,FALSE)</f>
        <v>Ipoh Coffee</v>
      </c>
      <c r="I1209" s="9" t="str">
        <f>VLOOKUP(revenue[productID],products[],12,FALSE)</f>
        <v>Beverages</v>
      </c>
      <c r="J1209" s="9">
        <f>VLOOKUP(revenue[productID],products[],IF(YEAR(revenue[orderDate])=2022,8,IF(YEAR(revenue[orderDate])=2023,9,IF(YEAR(revenue[orderDate])=2024,10,NA))),FALSE)</f>
        <v>30.96256564</v>
      </c>
      <c r="K1209" s="9">
        <v>46.0</v>
      </c>
      <c r="L1209" s="25">
        <f>(revenue[orderPrice]-revenue[productCost])/revenue[productCost]</f>
        <v>0.4856649976</v>
      </c>
      <c r="M1209" s="10">
        <v>24.0</v>
      </c>
      <c r="N1209" s="25">
        <v>0.0</v>
      </c>
      <c r="O1209" s="9">
        <f>revenue[orderPrice]*revenue[orderQuantity]</f>
        <v>1104</v>
      </c>
      <c r="P1209" s="9">
        <f>revenue[orderTotal]*(1-revenue[discountApllied])</f>
        <v>1104</v>
      </c>
      <c r="Q1209" s="9">
        <f>revenue[revenue]-(revenue[productCost]*revenue[orderQuantity])</f>
        <v>360.8984248</v>
      </c>
      <c r="R1209" s="25">
        <f>IFERROR(revenue[profit]/revenue[revenue], 0)</f>
        <v>0.3269007471</v>
      </c>
      <c r="S1209" s="9">
        <f>revenue[productCost]*revenue[orderQuantity]</f>
        <v>743.1015752</v>
      </c>
    </row>
    <row r="1210" ht="15.75" customHeight="1">
      <c r="A1210" s="6">
        <v>10706.0</v>
      </c>
      <c r="B1210" s="7" t="s">
        <v>52</v>
      </c>
      <c r="C1210" s="24" t="str">
        <f>VLOOKUP(revenue[customerID],customers[],2,FALSE)</f>
        <v>Old World Delicatessen</v>
      </c>
      <c r="D1210" s="24" t="str">
        <f>VLOOKUP(revenue[customerID],customers[],6,FALSE)</f>
        <v>Anchorage</v>
      </c>
      <c r="E1210" s="24" t="str">
        <f>VLOOKUP(revenue[customerID],customers[],9,FALSE)</f>
        <v>USA</v>
      </c>
      <c r="F1210" s="24">
        <v>45215.0</v>
      </c>
      <c r="G1210" s="6">
        <v>59.0</v>
      </c>
      <c r="H1210" s="9" t="str">
        <f>VLOOKUP(revenue[productID],products[],2,FALSE)</f>
        <v>Raclette Courdavault</v>
      </c>
      <c r="I1210" s="9" t="str">
        <f>VLOOKUP(revenue[productID],products[],12,FALSE)</f>
        <v>Dairy Products</v>
      </c>
      <c r="J1210" s="9">
        <f>VLOOKUP(revenue[productID],products[],IF(YEAR(revenue[orderDate])=2022,8,IF(YEAR(revenue[orderDate])=2023,9,IF(YEAR(revenue[orderDate])=2024,10,NA))),FALSE)</f>
        <v>35.20472566</v>
      </c>
      <c r="K1210" s="9">
        <v>55.0</v>
      </c>
      <c r="L1210" s="25">
        <f>(revenue[orderPrice]-revenue[productCost])/revenue[productCost]</f>
        <v>0.5622902598</v>
      </c>
      <c r="M1210" s="10">
        <v>8.0</v>
      </c>
      <c r="N1210" s="25">
        <v>0.0</v>
      </c>
      <c r="O1210" s="9">
        <f>revenue[orderPrice]*revenue[orderQuantity]</f>
        <v>440</v>
      </c>
      <c r="P1210" s="9">
        <f>revenue[orderTotal]*(1-revenue[discountApllied])</f>
        <v>440</v>
      </c>
      <c r="Q1210" s="9">
        <f>revenue[revenue]-(revenue[productCost]*revenue[orderQuantity])</f>
        <v>158.3621947</v>
      </c>
      <c r="R1210" s="25">
        <f>IFERROR(revenue[profit]/revenue[revenue], 0)</f>
        <v>0.3599140789</v>
      </c>
      <c r="S1210" s="9">
        <f>revenue[productCost]*revenue[orderQuantity]</f>
        <v>281.6378053</v>
      </c>
    </row>
    <row r="1211" ht="15.75" customHeight="1">
      <c r="A1211" s="6">
        <v>10707.0</v>
      </c>
      <c r="B1211" s="7" t="s">
        <v>70</v>
      </c>
      <c r="C1211" s="24" t="str">
        <f>VLOOKUP(revenue[customerID],customers[],2,FALSE)</f>
        <v>Around the Horn</v>
      </c>
      <c r="D1211" s="24" t="str">
        <f>VLOOKUP(revenue[customerID],customers[],6,FALSE)</f>
        <v>London</v>
      </c>
      <c r="E1211" s="24" t="str">
        <f>VLOOKUP(revenue[customerID],customers[],9,FALSE)</f>
        <v>UK</v>
      </c>
      <c r="F1211" s="24">
        <v>45215.0</v>
      </c>
      <c r="G1211" s="6">
        <v>55.0</v>
      </c>
      <c r="H1211" s="9" t="str">
        <f>VLOOKUP(revenue[productID],products[],2,FALSE)</f>
        <v>Pâté chinois</v>
      </c>
      <c r="I1211" s="9" t="str">
        <f>VLOOKUP(revenue[productID],products[],12,FALSE)</f>
        <v>Meat/Poultry</v>
      </c>
      <c r="J1211" s="9">
        <f>VLOOKUP(revenue[productID],products[],IF(YEAR(revenue[orderDate])=2022,8,IF(YEAR(revenue[orderDate])=2023,9,IF(YEAR(revenue[orderDate])=2024,10,NA))),FALSE)</f>
        <v>14.92398776</v>
      </c>
      <c r="K1211" s="9">
        <v>24.0</v>
      </c>
      <c r="L1211" s="25">
        <f>(revenue[orderPrice]-revenue[productCost])/revenue[productCost]</f>
        <v>0.6081492681</v>
      </c>
      <c r="M1211" s="10">
        <v>21.0</v>
      </c>
      <c r="N1211" s="25">
        <v>0.0</v>
      </c>
      <c r="O1211" s="9">
        <f>revenue[orderPrice]*revenue[orderQuantity]</f>
        <v>504</v>
      </c>
      <c r="P1211" s="9">
        <f>revenue[orderTotal]*(1-revenue[discountApllied])</f>
        <v>504</v>
      </c>
      <c r="Q1211" s="9">
        <f>revenue[revenue]-(revenue[productCost]*revenue[orderQuantity])</f>
        <v>190.596257</v>
      </c>
      <c r="R1211" s="25">
        <f>IFERROR(revenue[profit]/revenue[revenue], 0)</f>
        <v>0.3781671765</v>
      </c>
      <c r="S1211" s="9">
        <f>revenue[productCost]*revenue[orderQuantity]</f>
        <v>313.403743</v>
      </c>
    </row>
    <row r="1212" ht="15.75" customHeight="1">
      <c r="A1212" s="6">
        <v>10707.0</v>
      </c>
      <c r="B1212" s="7" t="s">
        <v>70</v>
      </c>
      <c r="C1212" s="24" t="str">
        <f>VLOOKUP(revenue[customerID],customers[],2,FALSE)</f>
        <v>Around the Horn</v>
      </c>
      <c r="D1212" s="24" t="str">
        <f>VLOOKUP(revenue[customerID],customers[],6,FALSE)</f>
        <v>London</v>
      </c>
      <c r="E1212" s="24" t="str">
        <f>VLOOKUP(revenue[customerID],customers[],9,FALSE)</f>
        <v>UK</v>
      </c>
      <c r="F1212" s="24">
        <v>45215.0</v>
      </c>
      <c r="G1212" s="6">
        <v>57.0</v>
      </c>
      <c r="H1212" s="9" t="str">
        <f>VLOOKUP(revenue[productID],products[],2,FALSE)</f>
        <v>Ravioli Angelo</v>
      </c>
      <c r="I1212" s="9" t="str">
        <f>VLOOKUP(revenue[productID],products[],12,FALSE)</f>
        <v>Grains/Cereals</v>
      </c>
      <c r="J1212" s="9">
        <f>VLOOKUP(revenue[productID],products[],IF(YEAR(revenue[orderDate])=2022,8,IF(YEAR(revenue[orderDate])=2023,9,IF(YEAR(revenue[orderDate])=2024,10,NA))),FALSE)</f>
        <v>13.01870901</v>
      </c>
      <c r="K1212" s="9">
        <v>19.5</v>
      </c>
      <c r="L1212" s="25">
        <f>(revenue[orderPrice]-revenue[productCost])/revenue[productCost]</f>
        <v>0.4978443707</v>
      </c>
      <c r="M1212" s="10">
        <v>40.0</v>
      </c>
      <c r="N1212" s="25">
        <v>0.0</v>
      </c>
      <c r="O1212" s="9">
        <f>revenue[orderPrice]*revenue[orderQuantity]</f>
        <v>780</v>
      </c>
      <c r="P1212" s="9">
        <f>revenue[orderTotal]*(1-revenue[discountApllied])</f>
        <v>780</v>
      </c>
      <c r="Q1212" s="9">
        <f>revenue[revenue]-(revenue[productCost]*revenue[orderQuantity])</f>
        <v>259.2516397</v>
      </c>
      <c r="R1212" s="25">
        <f>IFERROR(revenue[profit]/revenue[revenue], 0)</f>
        <v>0.3323738971</v>
      </c>
      <c r="S1212" s="9">
        <f>revenue[productCost]*revenue[orderQuantity]</f>
        <v>520.7483603</v>
      </c>
    </row>
    <row r="1213" ht="15.75" customHeight="1">
      <c r="A1213" s="6">
        <v>10707.0</v>
      </c>
      <c r="B1213" s="7" t="s">
        <v>70</v>
      </c>
      <c r="C1213" s="24" t="str">
        <f>VLOOKUP(revenue[customerID],customers[],2,FALSE)</f>
        <v>Around the Horn</v>
      </c>
      <c r="D1213" s="24" t="str">
        <f>VLOOKUP(revenue[customerID],customers[],6,FALSE)</f>
        <v>London</v>
      </c>
      <c r="E1213" s="24" t="str">
        <f>VLOOKUP(revenue[customerID],customers[],9,FALSE)</f>
        <v>UK</v>
      </c>
      <c r="F1213" s="24">
        <v>45215.0</v>
      </c>
      <c r="G1213" s="6">
        <v>70.0</v>
      </c>
      <c r="H1213" s="9" t="str">
        <f>VLOOKUP(revenue[productID],products[],2,FALSE)</f>
        <v>Outback Lager</v>
      </c>
      <c r="I1213" s="9" t="str">
        <f>VLOOKUP(revenue[productID],products[],12,FALSE)</f>
        <v>Beverages</v>
      </c>
      <c r="J1213" s="9">
        <f>VLOOKUP(revenue[productID],products[],IF(YEAR(revenue[orderDate])=2022,8,IF(YEAR(revenue[orderDate])=2023,9,IF(YEAR(revenue[orderDate])=2024,10,NA))),FALSE)</f>
        <v>9.793094091</v>
      </c>
      <c r="K1213" s="9">
        <v>15.0</v>
      </c>
      <c r="L1213" s="25">
        <f>(revenue[orderPrice]-revenue[productCost])/revenue[productCost]</f>
        <v>0.5316916044</v>
      </c>
      <c r="M1213" s="10">
        <v>28.0</v>
      </c>
      <c r="N1213" s="25">
        <v>0.15</v>
      </c>
      <c r="O1213" s="9">
        <f>revenue[orderPrice]*revenue[orderQuantity]</f>
        <v>420</v>
      </c>
      <c r="P1213" s="9">
        <f>revenue[orderTotal]*(1-revenue[discountApllied])</f>
        <v>357</v>
      </c>
      <c r="Q1213" s="9">
        <f>revenue[revenue]-(revenue[productCost]*revenue[orderQuantity])</f>
        <v>82.79336545</v>
      </c>
      <c r="R1213" s="25">
        <f>IFERROR(revenue[profit]/revenue[revenue], 0)</f>
        <v>0.2319141889</v>
      </c>
      <c r="S1213" s="9">
        <f>revenue[productCost]*revenue[orderQuantity]</f>
        <v>274.2066346</v>
      </c>
    </row>
    <row r="1214" ht="15.75" customHeight="1">
      <c r="A1214" s="6">
        <v>10708.0</v>
      </c>
      <c r="B1214" s="7" t="s">
        <v>55</v>
      </c>
      <c r="C1214" s="24" t="str">
        <f>VLOOKUP(revenue[customerID],customers[],2,FALSE)</f>
        <v>The Big Cheese</v>
      </c>
      <c r="D1214" s="24" t="str">
        <f>VLOOKUP(revenue[customerID],customers[],6,FALSE)</f>
        <v>Portland</v>
      </c>
      <c r="E1214" s="24" t="str">
        <f>VLOOKUP(revenue[customerID],customers[],9,FALSE)</f>
        <v>USA</v>
      </c>
      <c r="F1214" s="24">
        <v>45216.0</v>
      </c>
      <c r="G1214" s="6">
        <v>5.0</v>
      </c>
      <c r="H1214" s="9" t="str">
        <f>VLOOKUP(revenue[productID],products[],2,FALSE)</f>
        <v>Chef Anton's Gumbo Mix</v>
      </c>
      <c r="I1214" s="9" t="str">
        <f>VLOOKUP(revenue[productID],products[],12,FALSE)</f>
        <v>Condiments</v>
      </c>
      <c r="J1214" s="9">
        <f>VLOOKUP(revenue[productID],products[],IF(YEAR(revenue[orderDate])=2022,8,IF(YEAR(revenue[orderDate])=2023,9,IF(YEAR(revenue[orderDate])=2024,10,NA))),FALSE)</f>
        <v>14.65258256</v>
      </c>
      <c r="K1214" s="9">
        <v>21.35</v>
      </c>
      <c r="L1214" s="25">
        <f>(revenue[orderPrice]-revenue[productCost])/revenue[productCost]</f>
        <v>0.4570810239</v>
      </c>
      <c r="M1214" s="10">
        <v>4.0</v>
      </c>
      <c r="N1214" s="25">
        <v>0.0</v>
      </c>
      <c r="O1214" s="9">
        <f>revenue[orderPrice]*revenue[orderQuantity]</f>
        <v>85.4</v>
      </c>
      <c r="P1214" s="9">
        <f>revenue[orderTotal]*(1-revenue[discountApllied])</f>
        <v>85.4</v>
      </c>
      <c r="Q1214" s="9">
        <f>revenue[revenue]-(revenue[productCost]*revenue[orderQuantity])</f>
        <v>26.78966976</v>
      </c>
      <c r="R1214" s="25">
        <f>IFERROR(revenue[profit]/revenue[revenue], 0)</f>
        <v>0.3136963672</v>
      </c>
      <c r="S1214" s="9">
        <f>revenue[productCost]*revenue[orderQuantity]</f>
        <v>58.61033024</v>
      </c>
    </row>
    <row r="1215" ht="15.75" customHeight="1">
      <c r="A1215" s="6">
        <v>10708.0</v>
      </c>
      <c r="B1215" s="7" t="s">
        <v>55</v>
      </c>
      <c r="C1215" s="24" t="str">
        <f>VLOOKUP(revenue[customerID],customers[],2,FALSE)</f>
        <v>The Big Cheese</v>
      </c>
      <c r="D1215" s="24" t="str">
        <f>VLOOKUP(revenue[customerID],customers[],6,FALSE)</f>
        <v>Portland</v>
      </c>
      <c r="E1215" s="24" t="str">
        <f>VLOOKUP(revenue[customerID],customers[],9,FALSE)</f>
        <v>USA</v>
      </c>
      <c r="F1215" s="24">
        <v>45216.0</v>
      </c>
      <c r="G1215" s="6">
        <v>36.0</v>
      </c>
      <c r="H1215" s="9" t="str">
        <f>VLOOKUP(revenue[productID],products[],2,FALSE)</f>
        <v>Inlagd Sill</v>
      </c>
      <c r="I1215" s="9" t="str">
        <f>VLOOKUP(revenue[productID],products[],12,FALSE)</f>
        <v>Seafood</v>
      </c>
      <c r="J1215" s="9">
        <f>VLOOKUP(revenue[productID],products[],IF(YEAR(revenue[orderDate])=2022,8,IF(YEAR(revenue[orderDate])=2023,9,IF(YEAR(revenue[orderDate])=2024,10,NA))),FALSE)</f>
        <v>12.15246269</v>
      </c>
      <c r="K1215" s="9">
        <v>19.0</v>
      </c>
      <c r="L1215" s="25">
        <f>(revenue[orderPrice]-revenue[productCost])/revenue[productCost]</f>
        <v>0.5634691082</v>
      </c>
      <c r="M1215" s="10">
        <v>5.0</v>
      </c>
      <c r="N1215" s="25">
        <v>0.0</v>
      </c>
      <c r="O1215" s="9">
        <f>revenue[orderPrice]*revenue[orderQuantity]</f>
        <v>95</v>
      </c>
      <c r="P1215" s="9">
        <f>revenue[orderTotal]*(1-revenue[discountApllied])</f>
        <v>95</v>
      </c>
      <c r="Q1215" s="9">
        <f>revenue[revenue]-(revenue[productCost]*revenue[orderQuantity])</f>
        <v>34.23768657</v>
      </c>
      <c r="R1215" s="25">
        <f>IFERROR(revenue[profit]/revenue[revenue], 0)</f>
        <v>0.3603967007</v>
      </c>
      <c r="S1215" s="9">
        <f>revenue[productCost]*revenue[orderQuantity]</f>
        <v>60.76231343</v>
      </c>
    </row>
    <row r="1216" ht="15.75" customHeight="1">
      <c r="A1216" s="6">
        <v>10709.0</v>
      </c>
      <c r="B1216" s="7" t="s">
        <v>86</v>
      </c>
      <c r="C1216" s="24" t="str">
        <f>VLOOKUP(revenue[customerID],customers[],2,FALSE)</f>
        <v>Gourmet Lanchonetes</v>
      </c>
      <c r="D1216" s="24" t="str">
        <f>VLOOKUP(revenue[customerID],customers[],6,FALSE)</f>
        <v>Campinas</v>
      </c>
      <c r="E1216" s="24" t="str">
        <f>VLOOKUP(revenue[customerID],customers[],9,FALSE)</f>
        <v>Brazil</v>
      </c>
      <c r="F1216" s="24">
        <v>45216.0</v>
      </c>
      <c r="G1216" s="6">
        <v>8.0</v>
      </c>
      <c r="H1216" s="9" t="str">
        <f>VLOOKUP(revenue[productID],products[],2,FALSE)</f>
        <v>Northwoods Cranberry Sauce</v>
      </c>
      <c r="I1216" s="9" t="str">
        <f>VLOOKUP(revenue[productID],products[],12,FALSE)</f>
        <v>Condiments</v>
      </c>
      <c r="J1216" s="9">
        <f>VLOOKUP(revenue[productID],products[],IF(YEAR(revenue[orderDate])=2022,8,IF(YEAR(revenue[orderDate])=2023,9,IF(YEAR(revenue[orderDate])=2024,10,NA))),FALSE)</f>
        <v>26.10620486</v>
      </c>
      <c r="K1216" s="9">
        <v>40.0</v>
      </c>
      <c r="L1216" s="25">
        <f>(revenue[orderPrice]-revenue[productCost])/revenue[productCost]</f>
        <v>0.5322027928</v>
      </c>
      <c r="M1216" s="10">
        <v>40.0</v>
      </c>
      <c r="N1216" s="25">
        <v>0.0</v>
      </c>
      <c r="O1216" s="9">
        <f>revenue[orderPrice]*revenue[orderQuantity]</f>
        <v>1600</v>
      </c>
      <c r="P1216" s="9">
        <f>revenue[orderTotal]*(1-revenue[discountApllied])</f>
        <v>1600</v>
      </c>
      <c r="Q1216" s="9">
        <f>revenue[revenue]-(revenue[productCost]*revenue[orderQuantity])</f>
        <v>555.7518055</v>
      </c>
      <c r="R1216" s="25">
        <f>IFERROR(revenue[profit]/revenue[revenue], 0)</f>
        <v>0.3473448784</v>
      </c>
      <c r="S1216" s="9">
        <f>revenue[productCost]*revenue[orderQuantity]</f>
        <v>1044.248195</v>
      </c>
    </row>
    <row r="1217" ht="15.75" customHeight="1">
      <c r="A1217" s="6">
        <v>10709.0</v>
      </c>
      <c r="B1217" s="7" t="s">
        <v>86</v>
      </c>
      <c r="C1217" s="24" t="str">
        <f>VLOOKUP(revenue[customerID],customers[],2,FALSE)</f>
        <v>Gourmet Lanchonetes</v>
      </c>
      <c r="D1217" s="24" t="str">
        <f>VLOOKUP(revenue[customerID],customers[],6,FALSE)</f>
        <v>Campinas</v>
      </c>
      <c r="E1217" s="24" t="str">
        <f>VLOOKUP(revenue[customerID],customers[],9,FALSE)</f>
        <v>Brazil</v>
      </c>
      <c r="F1217" s="24">
        <v>45216.0</v>
      </c>
      <c r="G1217" s="6">
        <v>51.0</v>
      </c>
      <c r="H1217" s="9" t="str">
        <f>VLOOKUP(revenue[productID],products[],2,FALSE)</f>
        <v>Manjimup Dried Apples</v>
      </c>
      <c r="I1217" s="9" t="str">
        <f>VLOOKUP(revenue[productID],products[],12,FALSE)</f>
        <v>Produce</v>
      </c>
      <c r="J1217" s="9">
        <f>VLOOKUP(revenue[productID],products[],IF(YEAR(revenue[orderDate])=2022,8,IF(YEAR(revenue[orderDate])=2023,9,IF(YEAR(revenue[orderDate])=2024,10,NA))),FALSE)</f>
        <v>36.88798027</v>
      </c>
      <c r="K1217" s="9">
        <v>53.0</v>
      </c>
      <c r="L1217" s="25">
        <f>(revenue[orderPrice]-revenue[productCost])/revenue[productCost]</f>
        <v>0.4367823779</v>
      </c>
      <c r="M1217" s="10">
        <v>28.0</v>
      </c>
      <c r="N1217" s="25">
        <v>0.0</v>
      </c>
      <c r="O1217" s="9">
        <f>revenue[orderPrice]*revenue[orderQuantity]</f>
        <v>1484</v>
      </c>
      <c r="P1217" s="9">
        <f>revenue[orderTotal]*(1-revenue[discountApllied])</f>
        <v>1484</v>
      </c>
      <c r="Q1217" s="9">
        <f>revenue[revenue]-(revenue[productCost]*revenue[orderQuantity])</f>
        <v>451.1365526</v>
      </c>
      <c r="R1217" s="25">
        <f>IFERROR(revenue[profit]/revenue[revenue], 0)</f>
        <v>0.3040003724</v>
      </c>
      <c r="S1217" s="9">
        <f>revenue[productCost]*revenue[orderQuantity]</f>
        <v>1032.863447</v>
      </c>
    </row>
    <row r="1218" ht="15.75" customHeight="1">
      <c r="A1218" s="6">
        <v>10709.0</v>
      </c>
      <c r="B1218" s="7" t="s">
        <v>86</v>
      </c>
      <c r="C1218" s="24" t="str">
        <f>VLOOKUP(revenue[customerID],customers[],2,FALSE)</f>
        <v>Gourmet Lanchonetes</v>
      </c>
      <c r="D1218" s="24" t="str">
        <f>VLOOKUP(revenue[customerID],customers[],6,FALSE)</f>
        <v>Campinas</v>
      </c>
      <c r="E1218" s="24" t="str">
        <f>VLOOKUP(revenue[customerID],customers[],9,FALSE)</f>
        <v>Brazil</v>
      </c>
      <c r="F1218" s="24">
        <v>45216.0</v>
      </c>
      <c r="G1218" s="6">
        <v>60.0</v>
      </c>
      <c r="H1218" s="9" t="str">
        <f>VLOOKUP(revenue[productID],products[],2,FALSE)</f>
        <v>Camembert Pierrot</v>
      </c>
      <c r="I1218" s="9" t="str">
        <f>VLOOKUP(revenue[productID],products[],12,FALSE)</f>
        <v>Dairy Products</v>
      </c>
      <c r="J1218" s="9">
        <f>VLOOKUP(revenue[productID],products[],IF(YEAR(revenue[orderDate])=2022,8,IF(YEAR(revenue[orderDate])=2023,9,IF(YEAR(revenue[orderDate])=2024,10,NA))),FALSE)</f>
        <v>22.77098295</v>
      </c>
      <c r="K1218" s="9">
        <v>34.0</v>
      </c>
      <c r="L1218" s="25">
        <f>(revenue[orderPrice]-revenue[productCost])/revenue[productCost]</f>
        <v>0.4931283415</v>
      </c>
      <c r="M1218" s="10">
        <v>10.0</v>
      </c>
      <c r="N1218" s="25">
        <v>0.0</v>
      </c>
      <c r="O1218" s="9">
        <f>revenue[orderPrice]*revenue[orderQuantity]</f>
        <v>340</v>
      </c>
      <c r="P1218" s="9">
        <f>revenue[orderTotal]*(1-revenue[discountApllied])</f>
        <v>340</v>
      </c>
      <c r="Q1218" s="9">
        <f>revenue[revenue]-(revenue[productCost]*revenue[orderQuantity])</f>
        <v>112.2901705</v>
      </c>
      <c r="R1218" s="25">
        <f>IFERROR(revenue[profit]/revenue[revenue], 0)</f>
        <v>0.3302652075</v>
      </c>
      <c r="S1218" s="9">
        <f>revenue[productCost]*revenue[orderQuantity]</f>
        <v>227.7098295</v>
      </c>
    </row>
    <row r="1219" ht="15.75" customHeight="1">
      <c r="A1219" s="6">
        <v>10710.0</v>
      </c>
      <c r="B1219" s="7" t="s">
        <v>85</v>
      </c>
      <c r="C1219" s="24" t="str">
        <f>VLOOKUP(revenue[customerID],customers[],2,FALSE)</f>
        <v>Franchi S.p.A.</v>
      </c>
      <c r="D1219" s="24" t="str">
        <f>VLOOKUP(revenue[customerID],customers[],6,FALSE)</f>
        <v>Torino</v>
      </c>
      <c r="E1219" s="24" t="str">
        <f>VLOOKUP(revenue[customerID],customers[],9,FALSE)</f>
        <v>Italy</v>
      </c>
      <c r="F1219" s="24">
        <v>45219.0</v>
      </c>
      <c r="G1219" s="6">
        <v>19.0</v>
      </c>
      <c r="H1219" s="9" t="str">
        <f>VLOOKUP(revenue[productID],products[],2,FALSE)</f>
        <v>Teatime Chocolate Biscuits</v>
      </c>
      <c r="I1219" s="9" t="str">
        <f>VLOOKUP(revenue[productID],products[],12,FALSE)</f>
        <v>Confections</v>
      </c>
      <c r="J1219" s="9">
        <f>VLOOKUP(revenue[productID],products[],IF(YEAR(revenue[orderDate])=2022,8,IF(YEAR(revenue[orderDate])=2023,9,IF(YEAR(revenue[orderDate])=2024,10,NA))),FALSE)</f>
        <v>5.901883682</v>
      </c>
      <c r="K1219" s="9">
        <v>9.2</v>
      </c>
      <c r="L1219" s="25">
        <f>(revenue[orderPrice]-revenue[productCost])/revenue[productCost]</f>
        <v>0.5588243508</v>
      </c>
      <c r="M1219" s="10">
        <v>5.0</v>
      </c>
      <c r="N1219" s="25">
        <v>0.0</v>
      </c>
      <c r="O1219" s="9">
        <f>revenue[orderPrice]*revenue[orderQuantity]</f>
        <v>46</v>
      </c>
      <c r="P1219" s="9">
        <f>revenue[orderTotal]*(1-revenue[discountApllied])</f>
        <v>46</v>
      </c>
      <c r="Q1219" s="9">
        <f>revenue[revenue]-(revenue[productCost]*revenue[orderQuantity])</f>
        <v>16.49058159</v>
      </c>
      <c r="R1219" s="25">
        <f>IFERROR(revenue[profit]/revenue[revenue], 0)</f>
        <v>0.3584909041</v>
      </c>
      <c r="S1219" s="9">
        <f>revenue[productCost]*revenue[orderQuantity]</f>
        <v>29.50941841</v>
      </c>
    </row>
    <row r="1220" ht="15.75" customHeight="1">
      <c r="A1220" s="6">
        <v>10710.0</v>
      </c>
      <c r="B1220" s="7" t="s">
        <v>85</v>
      </c>
      <c r="C1220" s="24" t="str">
        <f>VLOOKUP(revenue[customerID],customers[],2,FALSE)</f>
        <v>Franchi S.p.A.</v>
      </c>
      <c r="D1220" s="24" t="str">
        <f>VLOOKUP(revenue[customerID],customers[],6,FALSE)</f>
        <v>Torino</v>
      </c>
      <c r="E1220" s="24" t="str">
        <f>VLOOKUP(revenue[customerID],customers[],9,FALSE)</f>
        <v>Italy</v>
      </c>
      <c r="F1220" s="24">
        <v>45219.0</v>
      </c>
      <c r="G1220" s="6">
        <v>47.0</v>
      </c>
      <c r="H1220" s="9" t="str">
        <f>VLOOKUP(revenue[productID],products[],2,FALSE)</f>
        <v>Zaanse koeken</v>
      </c>
      <c r="I1220" s="9" t="str">
        <f>VLOOKUP(revenue[productID],products[],12,FALSE)</f>
        <v>Confections</v>
      </c>
      <c r="J1220" s="9">
        <f>VLOOKUP(revenue[productID],products[],IF(YEAR(revenue[orderDate])=2022,8,IF(YEAR(revenue[orderDate])=2023,9,IF(YEAR(revenue[orderDate])=2024,10,NA))),FALSE)</f>
        <v>6.57708833</v>
      </c>
      <c r="K1220" s="9">
        <v>9.5</v>
      </c>
      <c r="L1220" s="25">
        <f>(revenue[orderPrice]-revenue[productCost])/revenue[productCost]</f>
        <v>0.4444081519</v>
      </c>
      <c r="M1220" s="10">
        <v>5.0</v>
      </c>
      <c r="N1220" s="25">
        <v>0.0</v>
      </c>
      <c r="O1220" s="9">
        <f>revenue[orderPrice]*revenue[orderQuantity]</f>
        <v>47.5</v>
      </c>
      <c r="P1220" s="9">
        <f>revenue[orderTotal]*(1-revenue[discountApllied])</f>
        <v>47.5</v>
      </c>
      <c r="Q1220" s="9">
        <f>revenue[revenue]-(revenue[productCost]*revenue[orderQuantity])</f>
        <v>14.61455835</v>
      </c>
      <c r="R1220" s="25">
        <f>IFERROR(revenue[profit]/revenue[revenue], 0)</f>
        <v>0.3076749126</v>
      </c>
      <c r="S1220" s="9">
        <f>revenue[productCost]*revenue[orderQuantity]</f>
        <v>32.88544165</v>
      </c>
    </row>
    <row r="1221" ht="15.75" customHeight="1">
      <c r="A1221" s="6">
        <v>10711.0</v>
      </c>
      <c r="B1221" s="7" t="s">
        <v>60</v>
      </c>
      <c r="C1221" s="24" t="str">
        <f>VLOOKUP(revenue[customerID],customers[],2,FALSE)</f>
        <v>Save-a-lot Markets</v>
      </c>
      <c r="D1221" s="24" t="str">
        <f>VLOOKUP(revenue[customerID],customers[],6,FALSE)</f>
        <v>Boise</v>
      </c>
      <c r="E1221" s="24" t="str">
        <f>VLOOKUP(revenue[customerID],customers[],9,FALSE)</f>
        <v>USA</v>
      </c>
      <c r="F1221" s="24">
        <v>45220.0</v>
      </c>
      <c r="G1221" s="6">
        <v>19.0</v>
      </c>
      <c r="H1221" s="9" t="str">
        <f>VLOOKUP(revenue[productID],products[],2,FALSE)</f>
        <v>Teatime Chocolate Biscuits</v>
      </c>
      <c r="I1221" s="9" t="str">
        <f>VLOOKUP(revenue[productID],products[],12,FALSE)</f>
        <v>Confections</v>
      </c>
      <c r="J1221" s="9">
        <f>VLOOKUP(revenue[productID],products[],IF(YEAR(revenue[orderDate])=2022,8,IF(YEAR(revenue[orderDate])=2023,9,IF(YEAR(revenue[orderDate])=2024,10,NA))),FALSE)</f>
        <v>5.901883682</v>
      </c>
      <c r="K1221" s="9">
        <v>9.2</v>
      </c>
      <c r="L1221" s="25">
        <f>(revenue[orderPrice]-revenue[productCost])/revenue[productCost]</f>
        <v>0.5588243508</v>
      </c>
      <c r="M1221" s="10">
        <v>12.0</v>
      </c>
      <c r="N1221" s="25">
        <v>0.0</v>
      </c>
      <c r="O1221" s="9">
        <f>revenue[orderPrice]*revenue[orderQuantity]</f>
        <v>110.4</v>
      </c>
      <c r="P1221" s="9">
        <f>revenue[orderTotal]*(1-revenue[discountApllied])</f>
        <v>110.4</v>
      </c>
      <c r="Q1221" s="9">
        <f>revenue[revenue]-(revenue[productCost]*revenue[orderQuantity])</f>
        <v>39.57739581</v>
      </c>
      <c r="R1221" s="25">
        <f>IFERROR(revenue[profit]/revenue[revenue], 0)</f>
        <v>0.3584909041</v>
      </c>
      <c r="S1221" s="9">
        <f>revenue[productCost]*revenue[orderQuantity]</f>
        <v>70.82260419</v>
      </c>
    </row>
    <row r="1222" ht="15.75" customHeight="1">
      <c r="A1222" s="6">
        <v>10711.0</v>
      </c>
      <c r="B1222" s="7" t="s">
        <v>60</v>
      </c>
      <c r="C1222" s="24" t="str">
        <f>VLOOKUP(revenue[customerID],customers[],2,FALSE)</f>
        <v>Save-a-lot Markets</v>
      </c>
      <c r="D1222" s="24" t="str">
        <f>VLOOKUP(revenue[customerID],customers[],6,FALSE)</f>
        <v>Boise</v>
      </c>
      <c r="E1222" s="24" t="str">
        <f>VLOOKUP(revenue[customerID],customers[],9,FALSE)</f>
        <v>USA</v>
      </c>
      <c r="F1222" s="24">
        <v>45220.0</v>
      </c>
      <c r="G1222" s="6">
        <v>41.0</v>
      </c>
      <c r="H1222" s="9" t="str">
        <f>VLOOKUP(revenue[productID],products[],2,FALSE)</f>
        <v>Jack's New England Clam Chowder</v>
      </c>
      <c r="I1222" s="9" t="str">
        <f>VLOOKUP(revenue[productID],products[],12,FALSE)</f>
        <v>Seafood</v>
      </c>
      <c r="J1222" s="9">
        <f>VLOOKUP(revenue[productID],products[],IF(YEAR(revenue[orderDate])=2022,8,IF(YEAR(revenue[orderDate])=2023,9,IF(YEAR(revenue[orderDate])=2024,10,NA))),FALSE)</f>
        <v>6.549914856</v>
      </c>
      <c r="K1222" s="9">
        <v>9.65</v>
      </c>
      <c r="L1222" s="25">
        <f>(revenue[orderPrice]-revenue[productCost])/revenue[productCost]</f>
        <v>0.4733015943</v>
      </c>
      <c r="M1222" s="10">
        <v>42.0</v>
      </c>
      <c r="N1222" s="25">
        <v>0.0</v>
      </c>
      <c r="O1222" s="9">
        <f>revenue[orderPrice]*revenue[orderQuantity]</f>
        <v>405.3</v>
      </c>
      <c r="P1222" s="9">
        <f>revenue[orderTotal]*(1-revenue[discountApllied])</f>
        <v>405.3</v>
      </c>
      <c r="Q1222" s="9">
        <f>revenue[revenue]-(revenue[productCost]*revenue[orderQuantity])</f>
        <v>130.203576</v>
      </c>
      <c r="R1222" s="25">
        <f>IFERROR(revenue[profit]/revenue[revenue], 0)</f>
        <v>0.3212523465</v>
      </c>
      <c r="S1222" s="9">
        <f>revenue[productCost]*revenue[orderQuantity]</f>
        <v>275.096424</v>
      </c>
    </row>
    <row r="1223" ht="15.75" customHeight="1">
      <c r="A1223" s="6">
        <v>10711.0</v>
      </c>
      <c r="B1223" s="7" t="s">
        <v>60</v>
      </c>
      <c r="C1223" s="24" t="str">
        <f>VLOOKUP(revenue[customerID],customers[],2,FALSE)</f>
        <v>Save-a-lot Markets</v>
      </c>
      <c r="D1223" s="24" t="str">
        <f>VLOOKUP(revenue[customerID],customers[],6,FALSE)</f>
        <v>Boise</v>
      </c>
      <c r="E1223" s="24" t="str">
        <f>VLOOKUP(revenue[customerID],customers[],9,FALSE)</f>
        <v>USA</v>
      </c>
      <c r="F1223" s="24">
        <v>45220.0</v>
      </c>
      <c r="G1223" s="6">
        <v>53.0</v>
      </c>
      <c r="H1223" s="9" t="str">
        <f>VLOOKUP(revenue[productID],products[],2,FALSE)</f>
        <v>Perth Pasties</v>
      </c>
      <c r="I1223" s="9" t="str">
        <f>VLOOKUP(revenue[productID],products[],12,FALSE)</f>
        <v>Meat/Poultry</v>
      </c>
      <c r="J1223" s="9">
        <f>VLOOKUP(revenue[productID],products[],IF(YEAR(revenue[orderDate])=2022,8,IF(YEAR(revenue[orderDate])=2023,9,IF(YEAR(revenue[orderDate])=2024,10,NA))),FALSE)</f>
        <v>21.81491556</v>
      </c>
      <c r="K1223" s="9">
        <v>32.8</v>
      </c>
      <c r="L1223" s="25">
        <f>(revenue[orderPrice]-revenue[productCost])/revenue[productCost]</f>
        <v>0.5035584214</v>
      </c>
      <c r="M1223" s="10">
        <v>120.0</v>
      </c>
      <c r="N1223" s="25">
        <v>0.0</v>
      </c>
      <c r="O1223" s="9">
        <f>revenue[orderPrice]*revenue[orderQuantity]</f>
        <v>3936</v>
      </c>
      <c r="P1223" s="9">
        <f>revenue[orderTotal]*(1-revenue[discountApllied])</f>
        <v>3936</v>
      </c>
      <c r="Q1223" s="9">
        <f>revenue[revenue]-(revenue[productCost]*revenue[orderQuantity])</f>
        <v>1318.210133</v>
      </c>
      <c r="R1223" s="25">
        <f>IFERROR(revenue[profit]/revenue[revenue], 0)</f>
        <v>0.334911111</v>
      </c>
      <c r="S1223" s="9">
        <f>revenue[productCost]*revenue[orderQuantity]</f>
        <v>2617.789867</v>
      </c>
    </row>
    <row r="1224" ht="15.75" customHeight="1">
      <c r="A1224" s="6">
        <v>10712.0</v>
      </c>
      <c r="B1224" s="7" t="s">
        <v>49</v>
      </c>
      <c r="C1224" s="24" t="str">
        <f>VLOOKUP(revenue[customerID],customers[],2,FALSE)</f>
        <v>Hungry Owl All-Night Grocers</v>
      </c>
      <c r="D1224" s="24" t="str">
        <f>VLOOKUP(revenue[customerID],customers[],6,FALSE)</f>
        <v>Cork</v>
      </c>
      <c r="E1224" s="24" t="str">
        <f>VLOOKUP(revenue[customerID],customers[],9,FALSE)</f>
        <v>Ireland</v>
      </c>
      <c r="F1224" s="24">
        <v>45220.0</v>
      </c>
      <c r="G1224" s="6">
        <v>53.0</v>
      </c>
      <c r="H1224" s="9" t="str">
        <f>VLOOKUP(revenue[productID],products[],2,FALSE)</f>
        <v>Perth Pasties</v>
      </c>
      <c r="I1224" s="9" t="str">
        <f>VLOOKUP(revenue[productID],products[],12,FALSE)</f>
        <v>Meat/Poultry</v>
      </c>
      <c r="J1224" s="9">
        <f>VLOOKUP(revenue[productID],products[],IF(YEAR(revenue[orderDate])=2022,8,IF(YEAR(revenue[orderDate])=2023,9,IF(YEAR(revenue[orderDate])=2024,10,NA))),FALSE)</f>
        <v>21.81491556</v>
      </c>
      <c r="K1224" s="9">
        <v>32.8</v>
      </c>
      <c r="L1224" s="25">
        <f>(revenue[orderPrice]-revenue[productCost])/revenue[productCost]</f>
        <v>0.5035584214</v>
      </c>
      <c r="M1224" s="10">
        <v>3.0</v>
      </c>
      <c r="N1224" s="25">
        <v>0.05</v>
      </c>
      <c r="O1224" s="9">
        <f>revenue[orderPrice]*revenue[orderQuantity]</f>
        <v>98.4</v>
      </c>
      <c r="P1224" s="9">
        <f>revenue[orderTotal]*(1-revenue[discountApllied])</f>
        <v>93.48</v>
      </c>
      <c r="Q1224" s="9">
        <f>revenue[revenue]-(revenue[productCost]*revenue[orderQuantity])</f>
        <v>28.03525332</v>
      </c>
      <c r="R1224" s="25">
        <f>IFERROR(revenue[profit]/revenue[revenue], 0)</f>
        <v>0.2999064326</v>
      </c>
      <c r="S1224" s="9">
        <f>revenue[productCost]*revenue[orderQuantity]</f>
        <v>65.44474668</v>
      </c>
    </row>
    <row r="1225" ht="15.75" customHeight="1">
      <c r="A1225" s="6">
        <v>10712.0</v>
      </c>
      <c r="B1225" s="7" t="s">
        <v>49</v>
      </c>
      <c r="C1225" s="24" t="str">
        <f>VLOOKUP(revenue[customerID],customers[],2,FALSE)</f>
        <v>Hungry Owl All-Night Grocers</v>
      </c>
      <c r="D1225" s="24" t="str">
        <f>VLOOKUP(revenue[customerID],customers[],6,FALSE)</f>
        <v>Cork</v>
      </c>
      <c r="E1225" s="24" t="str">
        <f>VLOOKUP(revenue[customerID],customers[],9,FALSE)</f>
        <v>Ireland</v>
      </c>
      <c r="F1225" s="24">
        <v>45220.0</v>
      </c>
      <c r="G1225" s="6">
        <v>56.0</v>
      </c>
      <c r="H1225" s="9" t="str">
        <f>VLOOKUP(revenue[productID],products[],2,FALSE)</f>
        <v>Gnocchi di nonna Alice</v>
      </c>
      <c r="I1225" s="9" t="str">
        <f>VLOOKUP(revenue[productID],products[],12,FALSE)</f>
        <v>Grains/Cereals</v>
      </c>
      <c r="J1225" s="9">
        <f>VLOOKUP(revenue[productID],products[],IF(YEAR(revenue[orderDate])=2022,8,IF(YEAR(revenue[orderDate])=2023,9,IF(YEAR(revenue[orderDate])=2024,10,NA))),FALSE)</f>
        <v>24.28342441</v>
      </c>
      <c r="K1225" s="9">
        <v>38.0</v>
      </c>
      <c r="L1225" s="25">
        <f>(revenue[orderPrice]-revenue[productCost])/revenue[productCost]</f>
        <v>0.5648534309</v>
      </c>
      <c r="M1225" s="10">
        <v>30.0</v>
      </c>
      <c r="N1225" s="25">
        <v>0.0</v>
      </c>
      <c r="O1225" s="9">
        <f>revenue[orderPrice]*revenue[orderQuantity]</f>
        <v>1140</v>
      </c>
      <c r="P1225" s="9">
        <f>revenue[orderTotal]*(1-revenue[discountApllied])</f>
        <v>1140</v>
      </c>
      <c r="Q1225" s="9">
        <f>revenue[revenue]-(revenue[productCost]*revenue[orderQuantity])</f>
        <v>411.4972678</v>
      </c>
      <c r="R1225" s="25">
        <f>IFERROR(revenue[profit]/revenue[revenue], 0)</f>
        <v>0.3609625156</v>
      </c>
      <c r="S1225" s="9">
        <f>revenue[productCost]*revenue[orderQuantity]</f>
        <v>728.5027322</v>
      </c>
    </row>
    <row r="1226" ht="15.75" customHeight="1">
      <c r="A1226" s="6">
        <v>10713.0</v>
      </c>
      <c r="B1226" s="7" t="s">
        <v>60</v>
      </c>
      <c r="C1226" s="24" t="str">
        <f>VLOOKUP(revenue[customerID],customers[],2,FALSE)</f>
        <v>Save-a-lot Markets</v>
      </c>
      <c r="D1226" s="24" t="str">
        <f>VLOOKUP(revenue[customerID],customers[],6,FALSE)</f>
        <v>Boise</v>
      </c>
      <c r="E1226" s="24" t="str">
        <f>VLOOKUP(revenue[customerID],customers[],9,FALSE)</f>
        <v>USA</v>
      </c>
      <c r="F1226" s="24">
        <v>45221.0</v>
      </c>
      <c r="G1226" s="6">
        <v>10.0</v>
      </c>
      <c r="H1226" s="9" t="str">
        <f>VLOOKUP(revenue[productID],products[],2,FALSE)</f>
        <v>Ikura</v>
      </c>
      <c r="I1226" s="9" t="str">
        <f>VLOOKUP(revenue[productID],products[],12,FALSE)</f>
        <v>Seafood</v>
      </c>
      <c r="J1226" s="9">
        <f>VLOOKUP(revenue[productID],products[],IF(YEAR(revenue[orderDate])=2022,8,IF(YEAR(revenue[orderDate])=2023,9,IF(YEAR(revenue[orderDate])=2024,10,NA))),FALSE)</f>
        <v>20.72721922</v>
      </c>
      <c r="K1226" s="9">
        <v>31.0</v>
      </c>
      <c r="L1226" s="25">
        <f>(revenue[orderPrice]-revenue[productCost])/revenue[productCost]</f>
        <v>0.4956178962</v>
      </c>
      <c r="M1226" s="10">
        <v>18.0</v>
      </c>
      <c r="N1226" s="25">
        <v>0.0</v>
      </c>
      <c r="O1226" s="9">
        <f>revenue[orderPrice]*revenue[orderQuantity]</f>
        <v>558</v>
      </c>
      <c r="P1226" s="9">
        <f>revenue[orderTotal]*(1-revenue[discountApllied])</f>
        <v>558</v>
      </c>
      <c r="Q1226" s="9">
        <f>revenue[revenue]-(revenue[productCost]*revenue[orderQuantity])</f>
        <v>184.9100541</v>
      </c>
      <c r="R1226" s="25">
        <f>IFERROR(revenue[profit]/revenue[revenue], 0)</f>
        <v>0.3313800252</v>
      </c>
      <c r="S1226" s="9">
        <f>revenue[productCost]*revenue[orderQuantity]</f>
        <v>373.0899459</v>
      </c>
    </row>
    <row r="1227" ht="15.75" customHeight="1">
      <c r="A1227" s="6">
        <v>10713.0</v>
      </c>
      <c r="B1227" s="7" t="s">
        <v>60</v>
      </c>
      <c r="C1227" s="24" t="str">
        <f>VLOOKUP(revenue[customerID],customers[],2,FALSE)</f>
        <v>Save-a-lot Markets</v>
      </c>
      <c r="D1227" s="24" t="str">
        <f>VLOOKUP(revenue[customerID],customers[],6,FALSE)</f>
        <v>Boise</v>
      </c>
      <c r="E1227" s="24" t="str">
        <f>VLOOKUP(revenue[customerID],customers[],9,FALSE)</f>
        <v>USA</v>
      </c>
      <c r="F1227" s="24">
        <v>45221.0</v>
      </c>
      <c r="G1227" s="6">
        <v>26.0</v>
      </c>
      <c r="H1227" s="9" t="str">
        <f>VLOOKUP(revenue[productID],products[],2,FALSE)</f>
        <v>NuNuCa Nuß-Nougat-Creme</v>
      </c>
      <c r="I1227" s="9" t="str">
        <f>VLOOKUP(revenue[productID],products[],12,FALSE)</f>
        <v>Confections</v>
      </c>
      <c r="J1227" s="9">
        <f>VLOOKUP(revenue[productID],products[],IF(YEAR(revenue[orderDate])=2022,8,IF(YEAR(revenue[orderDate])=2023,9,IF(YEAR(revenue[orderDate])=2024,10,NA))),FALSE)</f>
        <v>21.20896201</v>
      </c>
      <c r="K1227" s="9">
        <v>31.23</v>
      </c>
      <c r="L1227" s="25">
        <f>(revenue[orderPrice]-revenue[productCost])/revenue[productCost]</f>
        <v>0.472490732</v>
      </c>
      <c r="M1227" s="10">
        <v>30.0</v>
      </c>
      <c r="N1227" s="25">
        <v>0.0</v>
      </c>
      <c r="O1227" s="9">
        <f>revenue[orderPrice]*revenue[orderQuantity]</f>
        <v>936.9</v>
      </c>
      <c r="P1227" s="9">
        <f>revenue[orderTotal]*(1-revenue[discountApllied])</f>
        <v>936.9</v>
      </c>
      <c r="Q1227" s="9">
        <f>revenue[revenue]-(revenue[productCost]*revenue[orderQuantity])</f>
        <v>300.6311396</v>
      </c>
      <c r="R1227" s="25">
        <f>IFERROR(revenue[profit]/revenue[revenue], 0)</f>
        <v>0.3208785779</v>
      </c>
      <c r="S1227" s="9">
        <f>revenue[productCost]*revenue[orderQuantity]</f>
        <v>636.2688604</v>
      </c>
    </row>
    <row r="1228" ht="15.75" customHeight="1">
      <c r="A1228" s="6">
        <v>10713.0</v>
      </c>
      <c r="B1228" s="7" t="s">
        <v>60</v>
      </c>
      <c r="C1228" s="24" t="str">
        <f>VLOOKUP(revenue[customerID],customers[],2,FALSE)</f>
        <v>Save-a-lot Markets</v>
      </c>
      <c r="D1228" s="24" t="str">
        <f>VLOOKUP(revenue[customerID],customers[],6,FALSE)</f>
        <v>Boise</v>
      </c>
      <c r="E1228" s="24" t="str">
        <f>VLOOKUP(revenue[customerID],customers[],9,FALSE)</f>
        <v>USA</v>
      </c>
      <c r="F1228" s="24">
        <v>45221.0</v>
      </c>
      <c r="G1228" s="6">
        <v>45.0</v>
      </c>
      <c r="H1228" s="9" t="str">
        <f>VLOOKUP(revenue[productID],products[],2,FALSE)</f>
        <v>Rogede sild</v>
      </c>
      <c r="I1228" s="9" t="str">
        <f>VLOOKUP(revenue[productID],products[],12,FALSE)</f>
        <v>Seafood</v>
      </c>
      <c r="J1228" s="9">
        <f>VLOOKUP(revenue[productID],products[],IF(YEAR(revenue[orderDate])=2022,8,IF(YEAR(revenue[orderDate])=2023,9,IF(YEAR(revenue[orderDate])=2024,10,NA))),FALSE)</f>
        <v>5.965769822</v>
      </c>
      <c r="K1228" s="9">
        <v>9.5</v>
      </c>
      <c r="L1228" s="25">
        <f>(revenue[orderPrice]-revenue[productCost])/revenue[productCost]</f>
        <v>0.5924181261</v>
      </c>
      <c r="M1228" s="10">
        <v>110.0</v>
      </c>
      <c r="N1228" s="25">
        <v>0.0</v>
      </c>
      <c r="O1228" s="9">
        <f>revenue[orderPrice]*revenue[orderQuantity]</f>
        <v>1045</v>
      </c>
      <c r="P1228" s="9">
        <f>revenue[orderTotal]*(1-revenue[discountApllied])</f>
        <v>1045</v>
      </c>
      <c r="Q1228" s="9">
        <f>revenue[revenue]-(revenue[productCost]*revenue[orderQuantity])</f>
        <v>388.7653196</v>
      </c>
      <c r="R1228" s="25">
        <f>IFERROR(revenue[profit]/revenue[revenue], 0)</f>
        <v>0.3720242293</v>
      </c>
      <c r="S1228" s="9">
        <f>revenue[productCost]*revenue[orderQuantity]</f>
        <v>656.2346804</v>
      </c>
    </row>
    <row r="1229" ht="15.75" customHeight="1">
      <c r="A1229" s="6">
        <v>10713.0</v>
      </c>
      <c r="B1229" s="7" t="s">
        <v>60</v>
      </c>
      <c r="C1229" s="24" t="str">
        <f>VLOOKUP(revenue[customerID],customers[],2,FALSE)</f>
        <v>Save-a-lot Markets</v>
      </c>
      <c r="D1229" s="24" t="str">
        <f>VLOOKUP(revenue[customerID],customers[],6,FALSE)</f>
        <v>Boise</v>
      </c>
      <c r="E1229" s="24" t="str">
        <f>VLOOKUP(revenue[customerID],customers[],9,FALSE)</f>
        <v>USA</v>
      </c>
      <c r="F1229" s="24">
        <v>45221.0</v>
      </c>
      <c r="G1229" s="6">
        <v>46.0</v>
      </c>
      <c r="H1229" s="9" t="str">
        <f>VLOOKUP(revenue[productID],products[],2,FALSE)</f>
        <v>Spegesild</v>
      </c>
      <c r="I1229" s="9" t="str">
        <f>VLOOKUP(revenue[productID],products[],12,FALSE)</f>
        <v>Seafood</v>
      </c>
      <c r="J1229" s="9">
        <f>VLOOKUP(revenue[productID],products[],IF(YEAR(revenue[orderDate])=2022,8,IF(YEAR(revenue[orderDate])=2023,9,IF(YEAR(revenue[orderDate])=2024,10,NA))),FALSE)</f>
        <v>7.087990753</v>
      </c>
      <c r="K1229" s="9">
        <v>12.0</v>
      </c>
      <c r="L1229" s="25">
        <f>(revenue[orderPrice]-revenue[productCost])/revenue[productCost]</f>
        <v>0.693004466</v>
      </c>
      <c r="M1229" s="10">
        <v>24.0</v>
      </c>
      <c r="N1229" s="25">
        <v>0.0</v>
      </c>
      <c r="O1229" s="9">
        <f>revenue[orderPrice]*revenue[orderQuantity]</f>
        <v>288</v>
      </c>
      <c r="P1229" s="9">
        <f>revenue[orderTotal]*(1-revenue[discountApllied])</f>
        <v>288</v>
      </c>
      <c r="Q1229" s="9">
        <f>revenue[revenue]-(revenue[productCost]*revenue[orderQuantity])</f>
        <v>117.8882219</v>
      </c>
      <c r="R1229" s="25">
        <f>IFERROR(revenue[profit]/revenue[revenue], 0)</f>
        <v>0.4093341039</v>
      </c>
      <c r="S1229" s="9">
        <f>revenue[productCost]*revenue[orderQuantity]</f>
        <v>170.1117781</v>
      </c>
    </row>
    <row r="1230" ht="15.75" customHeight="1">
      <c r="A1230" s="6">
        <v>10714.0</v>
      </c>
      <c r="B1230" s="7" t="s">
        <v>60</v>
      </c>
      <c r="C1230" s="24" t="str">
        <f>VLOOKUP(revenue[customerID],customers[],2,FALSE)</f>
        <v>Save-a-lot Markets</v>
      </c>
      <c r="D1230" s="24" t="str">
        <f>VLOOKUP(revenue[customerID],customers[],6,FALSE)</f>
        <v>Boise</v>
      </c>
      <c r="E1230" s="24" t="str">
        <f>VLOOKUP(revenue[customerID],customers[],9,FALSE)</f>
        <v>USA</v>
      </c>
      <c r="F1230" s="24">
        <v>45221.0</v>
      </c>
      <c r="G1230" s="6">
        <v>2.0</v>
      </c>
      <c r="H1230" s="9" t="str">
        <f>VLOOKUP(revenue[productID],products[],2,FALSE)</f>
        <v>Chang</v>
      </c>
      <c r="I1230" s="9" t="str">
        <f>VLOOKUP(revenue[productID],products[],12,FALSE)</f>
        <v>Beverages</v>
      </c>
      <c r="J1230" s="9">
        <f>VLOOKUP(revenue[productID],products[],IF(YEAR(revenue[orderDate])=2022,8,IF(YEAR(revenue[orderDate])=2023,9,IF(YEAR(revenue[orderDate])=2024,10,NA))),FALSE)</f>
        <v>12.14626904</v>
      </c>
      <c r="K1230" s="9">
        <v>19.0</v>
      </c>
      <c r="L1230" s="25">
        <f>(revenue[orderPrice]-revenue[productCost])/revenue[productCost]</f>
        <v>0.5642663547</v>
      </c>
      <c r="M1230" s="10">
        <v>30.0</v>
      </c>
      <c r="N1230" s="25">
        <v>0.25</v>
      </c>
      <c r="O1230" s="9">
        <f>revenue[orderPrice]*revenue[orderQuantity]</f>
        <v>570</v>
      </c>
      <c r="P1230" s="9">
        <f>revenue[orderTotal]*(1-revenue[discountApllied])</f>
        <v>427.5</v>
      </c>
      <c r="Q1230" s="9">
        <f>revenue[revenue]-(revenue[productCost]*revenue[orderQuantity])</f>
        <v>63.11192868</v>
      </c>
      <c r="R1230" s="25">
        <f>IFERROR(revenue[profit]/revenue[revenue], 0)</f>
        <v>0.1476302425</v>
      </c>
      <c r="S1230" s="9">
        <f>revenue[productCost]*revenue[orderQuantity]</f>
        <v>364.3880713</v>
      </c>
    </row>
    <row r="1231" ht="15.75" customHeight="1">
      <c r="A1231" s="6">
        <v>10714.0</v>
      </c>
      <c r="B1231" s="7" t="s">
        <v>60</v>
      </c>
      <c r="C1231" s="24" t="str">
        <f>VLOOKUP(revenue[customerID],customers[],2,FALSE)</f>
        <v>Save-a-lot Markets</v>
      </c>
      <c r="D1231" s="24" t="str">
        <f>VLOOKUP(revenue[customerID],customers[],6,FALSE)</f>
        <v>Boise</v>
      </c>
      <c r="E1231" s="24" t="str">
        <f>VLOOKUP(revenue[customerID],customers[],9,FALSE)</f>
        <v>USA</v>
      </c>
      <c r="F1231" s="24">
        <v>45221.0</v>
      </c>
      <c r="G1231" s="6">
        <v>17.0</v>
      </c>
      <c r="H1231" s="9" t="str">
        <f>VLOOKUP(revenue[productID],products[],2,FALSE)</f>
        <v>Alice Mutton</v>
      </c>
      <c r="I1231" s="9" t="str">
        <f>VLOOKUP(revenue[productID],products[],12,FALSE)</f>
        <v>Meat/Poultry</v>
      </c>
      <c r="J1231" s="9">
        <f>VLOOKUP(revenue[productID],products[],IF(YEAR(revenue[orderDate])=2022,8,IF(YEAR(revenue[orderDate])=2023,9,IF(YEAR(revenue[orderDate])=2024,10,NA))),FALSE)</f>
        <v>24.83130504</v>
      </c>
      <c r="K1231" s="9">
        <v>39.0</v>
      </c>
      <c r="L1231" s="25">
        <f>(revenue[orderPrice]-revenue[productCost])/revenue[productCost]</f>
        <v>0.5705980792</v>
      </c>
      <c r="M1231" s="10">
        <v>27.0</v>
      </c>
      <c r="N1231" s="25">
        <v>0.25</v>
      </c>
      <c r="O1231" s="9">
        <f>revenue[orderPrice]*revenue[orderQuantity]</f>
        <v>1053</v>
      </c>
      <c r="P1231" s="9">
        <f>revenue[orderTotal]*(1-revenue[discountApllied])</f>
        <v>789.75</v>
      </c>
      <c r="Q1231" s="9">
        <f>revenue[revenue]-(revenue[productCost]*revenue[orderQuantity])</f>
        <v>119.3047639</v>
      </c>
      <c r="R1231" s="25">
        <f>IFERROR(revenue[profit]/revenue[revenue], 0)</f>
        <v>0.1510664944</v>
      </c>
      <c r="S1231" s="9">
        <f>revenue[productCost]*revenue[orderQuantity]</f>
        <v>670.4452361</v>
      </c>
    </row>
    <row r="1232" ht="15.75" customHeight="1">
      <c r="A1232" s="6">
        <v>10714.0</v>
      </c>
      <c r="B1232" s="7" t="s">
        <v>60</v>
      </c>
      <c r="C1232" s="24" t="str">
        <f>VLOOKUP(revenue[customerID],customers[],2,FALSE)</f>
        <v>Save-a-lot Markets</v>
      </c>
      <c r="D1232" s="24" t="str">
        <f>VLOOKUP(revenue[customerID],customers[],6,FALSE)</f>
        <v>Boise</v>
      </c>
      <c r="E1232" s="24" t="str">
        <f>VLOOKUP(revenue[customerID],customers[],9,FALSE)</f>
        <v>USA</v>
      </c>
      <c r="F1232" s="24">
        <v>45221.0</v>
      </c>
      <c r="G1232" s="6">
        <v>47.0</v>
      </c>
      <c r="H1232" s="9" t="str">
        <f>VLOOKUP(revenue[productID],products[],2,FALSE)</f>
        <v>Zaanse koeken</v>
      </c>
      <c r="I1232" s="9" t="str">
        <f>VLOOKUP(revenue[productID],products[],12,FALSE)</f>
        <v>Confections</v>
      </c>
      <c r="J1232" s="9">
        <f>VLOOKUP(revenue[productID],products[],IF(YEAR(revenue[orderDate])=2022,8,IF(YEAR(revenue[orderDate])=2023,9,IF(YEAR(revenue[orderDate])=2024,10,NA))),FALSE)</f>
        <v>6.57708833</v>
      </c>
      <c r="K1232" s="9">
        <v>9.5</v>
      </c>
      <c r="L1232" s="25">
        <f>(revenue[orderPrice]-revenue[productCost])/revenue[productCost]</f>
        <v>0.4444081519</v>
      </c>
      <c r="M1232" s="10">
        <v>50.0</v>
      </c>
      <c r="N1232" s="25">
        <v>0.25</v>
      </c>
      <c r="O1232" s="9">
        <f>revenue[orderPrice]*revenue[orderQuantity]</f>
        <v>475</v>
      </c>
      <c r="P1232" s="9">
        <f>revenue[orderTotal]*(1-revenue[discountApllied])</f>
        <v>356.25</v>
      </c>
      <c r="Q1232" s="9">
        <f>revenue[revenue]-(revenue[productCost]*revenue[orderQuantity])</f>
        <v>27.39558348</v>
      </c>
      <c r="R1232" s="25">
        <f>IFERROR(revenue[profit]/revenue[revenue], 0)</f>
        <v>0.07689988345</v>
      </c>
      <c r="S1232" s="9">
        <f>revenue[productCost]*revenue[orderQuantity]</f>
        <v>328.8544165</v>
      </c>
    </row>
    <row r="1233" ht="15.75" customHeight="1">
      <c r="A1233" s="6">
        <v>10714.0</v>
      </c>
      <c r="B1233" s="7" t="s">
        <v>60</v>
      </c>
      <c r="C1233" s="24" t="str">
        <f>VLOOKUP(revenue[customerID],customers[],2,FALSE)</f>
        <v>Save-a-lot Markets</v>
      </c>
      <c r="D1233" s="24" t="str">
        <f>VLOOKUP(revenue[customerID],customers[],6,FALSE)</f>
        <v>Boise</v>
      </c>
      <c r="E1233" s="24" t="str">
        <f>VLOOKUP(revenue[customerID],customers[],9,FALSE)</f>
        <v>USA</v>
      </c>
      <c r="F1233" s="24">
        <v>45221.0</v>
      </c>
      <c r="G1233" s="6">
        <v>56.0</v>
      </c>
      <c r="H1233" s="9" t="str">
        <f>VLOOKUP(revenue[productID],products[],2,FALSE)</f>
        <v>Gnocchi di nonna Alice</v>
      </c>
      <c r="I1233" s="9" t="str">
        <f>VLOOKUP(revenue[productID],products[],12,FALSE)</f>
        <v>Grains/Cereals</v>
      </c>
      <c r="J1233" s="9">
        <f>VLOOKUP(revenue[productID],products[],IF(YEAR(revenue[orderDate])=2022,8,IF(YEAR(revenue[orderDate])=2023,9,IF(YEAR(revenue[orderDate])=2024,10,NA))),FALSE)</f>
        <v>24.28342441</v>
      </c>
      <c r="K1233" s="9">
        <v>38.0</v>
      </c>
      <c r="L1233" s="25">
        <f>(revenue[orderPrice]-revenue[productCost])/revenue[productCost]</f>
        <v>0.5648534309</v>
      </c>
      <c r="M1233" s="10">
        <v>18.0</v>
      </c>
      <c r="N1233" s="25">
        <v>0.25</v>
      </c>
      <c r="O1233" s="9">
        <f>revenue[orderPrice]*revenue[orderQuantity]</f>
        <v>684</v>
      </c>
      <c r="P1233" s="9">
        <f>revenue[orderTotal]*(1-revenue[discountApllied])</f>
        <v>513</v>
      </c>
      <c r="Q1233" s="9">
        <f>revenue[revenue]-(revenue[productCost]*revenue[orderQuantity])</f>
        <v>75.89836065</v>
      </c>
      <c r="R1233" s="25">
        <f>IFERROR(revenue[profit]/revenue[revenue], 0)</f>
        <v>0.1479500208</v>
      </c>
      <c r="S1233" s="9">
        <f>revenue[productCost]*revenue[orderQuantity]</f>
        <v>437.1016393</v>
      </c>
    </row>
    <row r="1234" ht="15.75" customHeight="1">
      <c r="A1234" s="6">
        <v>10714.0</v>
      </c>
      <c r="B1234" s="7" t="s">
        <v>60</v>
      </c>
      <c r="C1234" s="24" t="str">
        <f>VLOOKUP(revenue[customerID],customers[],2,FALSE)</f>
        <v>Save-a-lot Markets</v>
      </c>
      <c r="D1234" s="24" t="str">
        <f>VLOOKUP(revenue[customerID],customers[],6,FALSE)</f>
        <v>Boise</v>
      </c>
      <c r="E1234" s="24" t="str">
        <f>VLOOKUP(revenue[customerID],customers[],9,FALSE)</f>
        <v>USA</v>
      </c>
      <c r="F1234" s="24">
        <v>45221.0</v>
      </c>
      <c r="G1234" s="6">
        <v>58.0</v>
      </c>
      <c r="H1234" s="9" t="str">
        <f>VLOOKUP(revenue[productID],products[],2,FALSE)</f>
        <v>Escargots de Bourgogne</v>
      </c>
      <c r="I1234" s="9" t="str">
        <f>VLOOKUP(revenue[productID],products[],12,FALSE)</f>
        <v>Seafood</v>
      </c>
      <c r="J1234" s="9">
        <f>VLOOKUP(revenue[productID],products[],IF(YEAR(revenue[orderDate])=2022,8,IF(YEAR(revenue[orderDate])=2023,9,IF(YEAR(revenue[orderDate])=2024,10,NA))),FALSE)</f>
        <v>8.208446365</v>
      </c>
      <c r="K1234" s="9">
        <v>13.25</v>
      </c>
      <c r="L1234" s="25">
        <f>(revenue[orderPrice]-revenue[productCost])/revenue[productCost]</f>
        <v>0.61419097</v>
      </c>
      <c r="M1234" s="10">
        <v>12.0</v>
      </c>
      <c r="N1234" s="25">
        <v>0.25</v>
      </c>
      <c r="O1234" s="9">
        <f>revenue[orderPrice]*revenue[orderQuantity]</f>
        <v>159</v>
      </c>
      <c r="P1234" s="9">
        <f>revenue[orderTotal]*(1-revenue[discountApllied])</f>
        <v>119.25</v>
      </c>
      <c r="Q1234" s="9">
        <f>revenue[revenue]-(revenue[productCost]*revenue[orderQuantity])</f>
        <v>20.74864362</v>
      </c>
      <c r="R1234" s="25">
        <f>IFERROR(revenue[profit]/revenue[revenue], 0)</f>
        <v>0.1739928186</v>
      </c>
      <c r="S1234" s="9">
        <f>revenue[productCost]*revenue[orderQuantity]</f>
        <v>98.50135638</v>
      </c>
    </row>
    <row r="1235" ht="15.75" customHeight="1">
      <c r="A1235" s="6">
        <v>10715.0</v>
      </c>
      <c r="B1235" s="7" t="s">
        <v>63</v>
      </c>
      <c r="C1235" s="24" t="str">
        <f>VLOOKUP(revenue[customerID],customers[],2,FALSE)</f>
        <v>Bon app'</v>
      </c>
      <c r="D1235" s="24" t="str">
        <f>VLOOKUP(revenue[customerID],customers[],6,FALSE)</f>
        <v>Marseille</v>
      </c>
      <c r="E1235" s="24" t="str">
        <f>VLOOKUP(revenue[customerID],customers[],9,FALSE)</f>
        <v>France</v>
      </c>
      <c r="F1235" s="24">
        <v>45222.0</v>
      </c>
      <c r="G1235" s="6">
        <v>10.0</v>
      </c>
      <c r="H1235" s="9" t="str">
        <f>VLOOKUP(revenue[productID],products[],2,FALSE)</f>
        <v>Ikura</v>
      </c>
      <c r="I1235" s="9" t="str">
        <f>VLOOKUP(revenue[productID],products[],12,FALSE)</f>
        <v>Seafood</v>
      </c>
      <c r="J1235" s="9">
        <f>VLOOKUP(revenue[productID],products[],IF(YEAR(revenue[orderDate])=2022,8,IF(YEAR(revenue[orderDate])=2023,9,IF(YEAR(revenue[orderDate])=2024,10,NA))),FALSE)</f>
        <v>20.72721922</v>
      </c>
      <c r="K1235" s="9">
        <v>31.0</v>
      </c>
      <c r="L1235" s="25">
        <f>(revenue[orderPrice]-revenue[productCost])/revenue[productCost]</f>
        <v>0.4956178962</v>
      </c>
      <c r="M1235" s="10">
        <v>21.0</v>
      </c>
      <c r="N1235" s="25">
        <v>0.0</v>
      </c>
      <c r="O1235" s="9">
        <f>revenue[orderPrice]*revenue[orderQuantity]</f>
        <v>651</v>
      </c>
      <c r="P1235" s="9">
        <f>revenue[orderTotal]*(1-revenue[discountApllied])</f>
        <v>651</v>
      </c>
      <c r="Q1235" s="9">
        <f>revenue[revenue]-(revenue[productCost]*revenue[orderQuantity])</f>
        <v>215.7283964</v>
      </c>
      <c r="R1235" s="25">
        <f>IFERROR(revenue[profit]/revenue[revenue], 0)</f>
        <v>0.3313800252</v>
      </c>
      <c r="S1235" s="9">
        <f>revenue[productCost]*revenue[orderQuantity]</f>
        <v>435.2716036</v>
      </c>
    </row>
    <row r="1236" ht="15.75" customHeight="1">
      <c r="A1236" s="6">
        <v>10715.0</v>
      </c>
      <c r="B1236" s="7" t="s">
        <v>63</v>
      </c>
      <c r="C1236" s="24" t="str">
        <f>VLOOKUP(revenue[customerID],customers[],2,FALSE)</f>
        <v>Bon app'</v>
      </c>
      <c r="D1236" s="24" t="str">
        <f>VLOOKUP(revenue[customerID],customers[],6,FALSE)</f>
        <v>Marseille</v>
      </c>
      <c r="E1236" s="24" t="str">
        <f>VLOOKUP(revenue[customerID],customers[],9,FALSE)</f>
        <v>France</v>
      </c>
      <c r="F1236" s="24">
        <v>45222.0</v>
      </c>
      <c r="G1236" s="6">
        <v>71.0</v>
      </c>
      <c r="H1236" s="9" t="str">
        <f>VLOOKUP(revenue[productID],products[],2,FALSE)</f>
        <v>Flotemysost</v>
      </c>
      <c r="I1236" s="9" t="str">
        <f>VLOOKUP(revenue[productID],products[],12,FALSE)</f>
        <v>Dairy Products</v>
      </c>
      <c r="J1236" s="9">
        <f>VLOOKUP(revenue[productID],products[],IF(YEAR(revenue[orderDate])=2022,8,IF(YEAR(revenue[orderDate])=2023,9,IF(YEAR(revenue[orderDate])=2024,10,NA))),FALSE)</f>
        <v>13.4003664</v>
      </c>
      <c r="K1236" s="9">
        <v>21.5</v>
      </c>
      <c r="L1236" s="25">
        <f>(revenue[orderPrice]-revenue[productCost])/revenue[productCost]</f>
        <v>0.6044337411</v>
      </c>
      <c r="M1236" s="10">
        <v>30.0</v>
      </c>
      <c r="N1236" s="25">
        <v>0.0</v>
      </c>
      <c r="O1236" s="9">
        <f>revenue[orderPrice]*revenue[orderQuantity]</f>
        <v>645</v>
      </c>
      <c r="P1236" s="9">
        <f>revenue[orderTotal]*(1-revenue[discountApllied])</f>
        <v>645</v>
      </c>
      <c r="Q1236" s="9">
        <f>revenue[revenue]-(revenue[productCost]*revenue[orderQuantity])</f>
        <v>242.9890079</v>
      </c>
      <c r="R1236" s="25">
        <f>IFERROR(revenue[profit]/revenue[revenue], 0)</f>
        <v>0.376727144</v>
      </c>
      <c r="S1236" s="9">
        <f>revenue[productCost]*revenue[orderQuantity]</f>
        <v>402.0109921</v>
      </c>
    </row>
    <row r="1237" ht="15.75" customHeight="1">
      <c r="A1237" s="6">
        <v>10716.0</v>
      </c>
      <c r="B1237" s="7" t="s">
        <v>88</v>
      </c>
      <c r="C1237" s="24" t="str">
        <f>VLOOKUP(revenue[customerID],customers[],2,FALSE)</f>
        <v>Rancho grande</v>
      </c>
      <c r="D1237" s="24" t="str">
        <f>VLOOKUP(revenue[customerID],customers[],6,FALSE)</f>
        <v>Buenos Aires</v>
      </c>
      <c r="E1237" s="24" t="str">
        <f>VLOOKUP(revenue[customerID],customers[],9,FALSE)</f>
        <v>Argentina</v>
      </c>
      <c r="F1237" s="24">
        <v>45223.0</v>
      </c>
      <c r="G1237" s="6">
        <v>21.0</v>
      </c>
      <c r="H1237" s="9" t="str">
        <f>VLOOKUP(revenue[productID],products[],2,FALSE)</f>
        <v>Sir Rodney's Scones</v>
      </c>
      <c r="I1237" s="9" t="str">
        <f>VLOOKUP(revenue[productID],products[],12,FALSE)</f>
        <v>Confections</v>
      </c>
      <c r="J1237" s="9">
        <f>VLOOKUP(revenue[productID],products[],IF(YEAR(revenue[orderDate])=2022,8,IF(YEAR(revenue[orderDate])=2023,9,IF(YEAR(revenue[orderDate])=2024,10,NA))),FALSE)</f>
        <v>6.725636111</v>
      </c>
      <c r="K1237" s="9">
        <v>10.0</v>
      </c>
      <c r="L1237" s="25">
        <f>(revenue[orderPrice]-revenue[productCost])/revenue[productCost]</f>
        <v>0.486848208</v>
      </c>
      <c r="M1237" s="10">
        <v>5.0</v>
      </c>
      <c r="N1237" s="25">
        <v>0.0</v>
      </c>
      <c r="O1237" s="9">
        <f>revenue[orderPrice]*revenue[orderQuantity]</f>
        <v>50</v>
      </c>
      <c r="P1237" s="9">
        <f>revenue[orderTotal]*(1-revenue[discountApllied])</f>
        <v>50</v>
      </c>
      <c r="Q1237" s="9">
        <f>revenue[revenue]-(revenue[productCost]*revenue[orderQuantity])</f>
        <v>16.37181944</v>
      </c>
      <c r="R1237" s="25">
        <f>IFERROR(revenue[profit]/revenue[revenue], 0)</f>
        <v>0.3274363889</v>
      </c>
      <c r="S1237" s="9">
        <f>revenue[productCost]*revenue[orderQuantity]</f>
        <v>33.62818056</v>
      </c>
    </row>
    <row r="1238" ht="15.75" customHeight="1">
      <c r="A1238" s="6">
        <v>10716.0</v>
      </c>
      <c r="B1238" s="7" t="s">
        <v>88</v>
      </c>
      <c r="C1238" s="24" t="str">
        <f>VLOOKUP(revenue[customerID],customers[],2,FALSE)</f>
        <v>Rancho grande</v>
      </c>
      <c r="D1238" s="24" t="str">
        <f>VLOOKUP(revenue[customerID],customers[],6,FALSE)</f>
        <v>Buenos Aires</v>
      </c>
      <c r="E1238" s="24" t="str">
        <f>VLOOKUP(revenue[customerID],customers[],9,FALSE)</f>
        <v>Argentina</v>
      </c>
      <c r="F1238" s="24">
        <v>45223.0</v>
      </c>
      <c r="G1238" s="6">
        <v>51.0</v>
      </c>
      <c r="H1238" s="9" t="str">
        <f>VLOOKUP(revenue[productID],products[],2,FALSE)</f>
        <v>Manjimup Dried Apples</v>
      </c>
      <c r="I1238" s="9" t="str">
        <f>VLOOKUP(revenue[productID],products[],12,FALSE)</f>
        <v>Produce</v>
      </c>
      <c r="J1238" s="9">
        <f>VLOOKUP(revenue[productID],products[],IF(YEAR(revenue[orderDate])=2022,8,IF(YEAR(revenue[orderDate])=2023,9,IF(YEAR(revenue[orderDate])=2024,10,NA))),FALSE)</f>
        <v>36.88798027</v>
      </c>
      <c r="K1238" s="9">
        <v>53.0</v>
      </c>
      <c r="L1238" s="25">
        <f>(revenue[orderPrice]-revenue[productCost])/revenue[productCost]</f>
        <v>0.4367823779</v>
      </c>
      <c r="M1238" s="10">
        <v>7.0</v>
      </c>
      <c r="N1238" s="25">
        <v>0.0</v>
      </c>
      <c r="O1238" s="9">
        <f>revenue[orderPrice]*revenue[orderQuantity]</f>
        <v>371</v>
      </c>
      <c r="P1238" s="9">
        <f>revenue[orderTotal]*(1-revenue[discountApllied])</f>
        <v>371</v>
      </c>
      <c r="Q1238" s="9">
        <f>revenue[revenue]-(revenue[productCost]*revenue[orderQuantity])</f>
        <v>112.7841381</v>
      </c>
      <c r="R1238" s="25">
        <f>IFERROR(revenue[profit]/revenue[revenue], 0)</f>
        <v>0.3040003724</v>
      </c>
      <c r="S1238" s="9">
        <f>revenue[productCost]*revenue[orderQuantity]</f>
        <v>258.2158619</v>
      </c>
    </row>
    <row r="1239" ht="15.75" customHeight="1">
      <c r="A1239" s="6">
        <v>10716.0</v>
      </c>
      <c r="B1239" s="7" t="s">
        <v>88</v>
      </c>
      <c r="C1239" s="24" t="str">
        <f>VLOOKUP(revenue[customerID],customers[],2,FALSE)</f>
        <v>Rancho grande</v>
      </c>
      <c r="D1239" s="24" t="str">
        <f>VLOOKUP(revenue[customerID],customers[],6,FALSE)</f>
        <v>Buenos Aires</v>
      </c>
      <c r="E1239" s="24" t="str">
        <f>VLOOKUP(revenue[customerID],customers[],9,FALSE)</f>
        <v>Argentina</v>
      </c>
      <c r="F1239" s="24">
        <v>45223.0</v>
      </c>
      <c r="G1239" s="6">
        <v>61.0</v>
      </c>
      <c r="H1239" s="9" t="str">
        <f>VLOOKUP(revenue[productID],products[],2,FALSE)</f>
        <v>Sirop d'érable</v>
      </c>
      <c r="I1239" s="9" t="str">
        <f>VLOOKUP(revenue[productID],products[],12,FALSE)</f>
        <v>Condiments</v>
      </c>
      <c r="J1239" s="9">
        <f>VLOOKUP(revenue[productID],products[],IF(YEAR(revenue[orderDate])=2022,8,IF(YEAR(revenue[orderDate])=2023,9,IF(YEAR(revenue[orderDate])=2024,10,NA))),FALSE)</f>
        <v>17.19945448</v>
      </c>
      <c r="K1239" s="9">
        <v>28.5</v>
      </c>
      <c r="L1239" s="25">
        <f>(revenue[orderPrice]-revenue[productCost])/revenue[productCost]</f>
        <v>0.6570292986</v>
      </c>
      <c r="M1239" s="10">
        <v>10.0</v>
      </c>
      <c r="N1239" s="25">
        <v>0.0</v>
      </c>
      <c r="O1239" s="9">
        <f>revenue[orderPrice]*revenue[orderQuantity]</f>
        <v>285</v>
      </c>
      <c r="P1239" s="9">
        <f>revenue[orderTotal]*(1-revenue[discountApllied])</f>
        <v>285</v>
      </c>
      <c r="Q1239" s="9">
        <f>revenue[revenue]-(revenue[productCost]*revenue[orderQuantity])</f>
        <v>113.0054552</v>
      </c>
      <c r="R1239" s="25">
        <f>IFERROR(revenue[profit]/revenue[revenue], 0)</f>
        <v>0.396510369</v>
      </c>
      <c r="S1239" s="9">
        <f>revenue[productCost]*revenue[orderQuantity]</f>
        <v>171.9945448</v>
      </c>
    </row>
    <row r="1240" ht="15.75" customHeight="1">
      <c r="A1240" s="6">
        <v>10717.0</v>
      </c>
      <c r="B1240" s="7" t="s">
        <v>32</v>
      </c>
      <c r="C1240" s="24" t="str">
        <f>VLOOKUP(revenue[customerID],customers[],2,FALSE)</f>
        <v>Frankenversand</v>
      </c>
      <c r="D1240" s="24" t="str">
        <f>VLOOKUP(revenue[customerID],customers[],6,FALSE)</f>
        <v>München</v>
      </c>
      <c r="E1240" s="24" t="str">
        <f>VLOOKUP(revenue[customerID],customers[],9,FALSE)</f>
        <v>Germany</v>
      </c>
      <c r="F1240" s="24">
        <v>45223.0</v>
      </c>
      <c r="G1240" s="6">
        <v>21.0</v>
      </c>
      <c r="H1240" s="9" t="str">
        <f>VLOOKUP(revenue[productID],products[],2,FALSE)</f>
        <v>Sir Rodney's Scones</v>
      </c>
      <c r="I1240" s="9" t="str">
        <f>VLOOKUP(revenue[productID],products[],12,FALSE)</f>
        <v>Confections</v>
      </c>
      <c r="J1240" s="9">
        <f>VLOOKUP(revenue[productID],products[],IF(YEAR(revenue[orderDate])=2022,8,IF(YEAR(revenue[orderDate])=2023,9,IF(YEAR(revenue[orderDate])=2024,10,NA))),FALSE)</f>
        <v>6.725636111</v>
      </c>
      <c r="K1240" s="9">
        <v>10.0</v>
      </c>
      <c r="L1240" s="25">
        <f>(revenue[orderPrice]-revenue[productCost])/revenue[productCost]</f>
        <v>0.486848208</v>
      </c>
      <c r="M1240" s="10">
        <v>32.0</v>
      </c>
      <c r="N1240" s="25">
        <v>0.05</v>
      </c>
      <c r="O1240" s="9">
        <f>revenue[orderPrice]*revenue[orderQuantity]</f>
        <v>320</v>
      </c>
      <c r="P1240" s="9">
        <f>revenue[orderTotal]*(1-revenue[discountApllied])</f>
        <v>304</v>
      </c>
      <c r="Q1240" s="9">
        <f>revenue[revenue]-(revenue[productCost]*revenue[orderQuantity])</f>
        <v>88.77964443</v>
      </c>
      <c r="R1240" s="25">
        <f>IFERROR(revenue[profit]/revenue[revenue], 0)</f>
        <v>0.2920383041</v>
      </c>
      <c r="S1240" s="9">
        <f>revenue[productCost]*revenue[orderQuantity]</f>
        <v>215.2203556</v>
      </c>
    </row>
    <row r="1241" ht="15.75" customHeight="1">
      <c r="A1241" s="6">
        <v>10717.0</v>
      </c>
      <c r="B1241" s="7" t="s">
        <v>32</v>
      </c>
      <c r="C1241" s="24" t="str">
        <f>VLOOKUP(revenue[customerID],customers[],2,FALSE)</f>
        <v>Frankenversand</v>
      </c>
      <c r="D1241" s="24" t="str">
        <f>VLOOKUP(revenue[customerID],customers[],6,FALSE)</f>
        <v>München</v>
      </c>
      <c r="E1241" s="24" t="str">
        <f>VLOOKUP(revenue[customerID],customers[],9,FALSE)</f>
        <v>Germany</v>
      </c>
      <c r="F1241" s="24">
        <v>45223.0</v>
      </c>
      <c r="G1241" s="6">
        <v>54.0</v>
      </c>
      <c r="H1241" s="9" t="str">
        <f>VLOOKUP(revenue[productID],products[],2,FALSE)</f>
        <v>Tourtière</v>
      </c>
      <c r="I1241" s="9" t="str">
        <f>VLOOKUP(revenue[productID],products[],12,FALSE)</f>
        <v>Meat/Poultry</v>
      </c>
      <c r="J1241" s="9">
        <f>VLOOKUP(revenue[productID],products[],IF(YEAR(revenue[orderDate])=2022,8,IF(YEAR(revenue[orderDate])=2023,9,IF(YEAR(revenue[orderDate])=2024,10,NA))),FALSE)</f>
        <v>4.924447797</v>
      </c>
      <c r="K1241" s="9">
        <v>7.45</v>
      </c>
      <c r="L1241" s="25">
        <f>(revenue[orderPrice]-revenue[productCost])/revenue[productCost]</f>
        <v>0.5128599808</v>
      </c>
      <c r="M1241" s="10">
        <v>15.0</v>
      </c>
      <c r="N1241" s="25">
        <v>0.0</v>
      </c>
      <c r="O1241" s="9">
        <f>revenue[orderPrice]*revenue[orderQuantity]</f>
        <v>111.75</v>
      </c>
      <c r="P1241" s="9">
        <f>revenue[orderTotal]*(1-revenue[discountApllied])</f>
        <v>111.75</v>
      </c>
      <c r="Q1241" s="9">
        <f>revenue[revenue]-(revenue[productCost]*revenue[orderQuantity])</f>
        <v>37.88328304</v>
      </c>
      <c r="R1241" s="25">
        <f>IFERROR(revenue[profit]/revenue[revenue], 0)</f>
        <v>0.3390002957</v>
      </c>
      <c r="S1241" s="9">
        <f>revenue[productCost]*revenue[orderQuantity]</f>
        <v>73.86671696</v>
      </c>
    </row>
    <row r="1242" ht="15.75" customHeight="1">
      <c r="A1242" s="6">
        <v>10717.0</v>
      </c>
      <c r="B1242" s="7" t="s">
        <v>32</v>
      </c>
      <c r="C1242" s="24" t="str">
        <f>VLOOKUP(revenue[customerID],customers[],2,FALSE)</f>
        <v>Frankenversand</v>
      </c>
      <c r="D1242" s="24" t="str">
        <f>VLOOKUP(revenue[customerID],customers[],6,FALSE)</f>
        <v>München</v>
      </c>
      <c r="E1242" s="24" t="str">
        <f>VLOOKUP(revenue[customerID],customers[],9,FALSE)</f>
        <v>Germany</v>
      </c>
      <c r="F1242" s="24">
        <v>45223.0</v>
      </c>
      <c r="G1242" s="6">
        <v>69.0</v>
      </c>
      <c r="H1242" s="9" t="str">
        <f>VLOOKUP(revenue[productID],products[],2,FALSE)</f>
        <v>Gudbrandsdalsost</v>
      </c>
      <c r="I1242" s="9" t="str">
        <f>VLOOKUP(revenue[productID],products[],12,FALSE)</f>
        <v>Dairy Products</v>
      </c>
      <c r="J1242" s="9">
        <f>VLOOKUP(revenue[productID],products[],IF(YEAR(revenue[orderDate])=2022,8,IF(YEAR(revenue[orderDate])=2023,9,IF(YEAR(revenue[orderDate])=2024,10,NA))),FALSE)</f>
        <v>21.82428612</v>
      </c>
      <c r="K1242" s="9">
        <v>36.0</v>
      </c>
      <c r="L1242" s="25">
        <f>(revenue[orderPrice]-revenue[productCost])/revenue[productCost]</f>
        <v>0.6495384916</v>
      </c>
      <c r="M1242" s="10">
        <v>25.0</v>
      </c>
      <c r="N1242" s="25">
        <v>0.05</v>
      </c>
      <c r="O1242" s="9">
        <f>revenue[orderPrice]*revenue[orderQuantity]</f>
        <v>900</v>
      </c>
      <c r="P1242" s="9">
        <f>revenue[orderTotal]*(1-revenue[discountApllied])</f>
        <v>855</v>
      </c>
      <c r="Q1242" s="9">
        <f>revenue[revenue]-(revenue[productCost]*revenue[orderQuantity])</f>
        <v>309.3928471</v>
      </c>
      <c r="R1242" s="25">
        <f>IFERROR(revenue[profit]/revenue[revenue], 0)</f>
        <v>0.3618629791</v>
      </c>
      <c r="S1242" s="9">
        <f>revenue[productCost]*revenue[orderQuantity]</f>
        <v>545.6071529</v>
      </c>
    </row>
    <row r="1243" ht="15.75" customHeight="1">
      <c r="A1243" s="6">
        <v>10718.0</v>
      </c>
      <c r="B1243" s="7" t="s">
        <v>59</v>
      </c>
      <c r="C1243" s="24" t="str">
        <f>VLOOKUP(revenue[customerID],customers[],2,FALSE)</f>
        <v>Königlich Essen</v>
      </c>
      <c r="D1243" s="24" t="str">
        <f>VLOOKUP(revenue[customerID],customers[],6,FALSE)</f>
        <v>Brandenburg</v>
      </c>
      <c r="E1243" s="24" t="str">
        <f>VLOOKUP(revenue[customerID],customers[],9,FALSE)</f>
        <v>Germany</v>
      </c>
      <c r="F1243" s="24">
        <v>45226.0</v>
      </c>
      <c r="G1243" s="6">
        <v>12.0</v>
      </c>
      <c r="H1243" s="9" t="str">
        <f>VLOOKUP(revenue[productID],products[],2,FALSE)</f>
        <v>Queso Manchego La Pastora</v>
      </c>
      <c r="I1243" s="9" t="str">
        <f>VLOOKUP(revenue[productID],products[],12,FALSE)</f>
        <v>Dairy Products</v>
      </c>
      <c r="J1243" s="9">
        <f>VLOOKUP(revenue[productID],products[],IF(YEAR(revenue[orderDate])=2022,8,IF(YEAR(revenue[orderDate])=2023,9,IF(YEAR(revenue[orderDate])=2024,10,NA))),FALSE)</f>
        <v>23.79216617</v>
      </c>
      <c r="K1243" s="9">
        <v>38.0</v>
      </c>
      <c r="L1243" s="25">
        <f>(revenue[orderPrice]-revenue[productCost])/revenue[productCost]</f>
        <v>0.5971643663</v>
      </c>
      <c r="M1243" s="10">
        <v>36.0</v>
      </c>
      <c r="N1243" s="25">
        <v>0.0</v>
      </c>
      <c r="O1243" s="9">
        <f>revenue[orderPrice]*revenue[orderQuantity]</f>
        <v>1368</v>
      </c>
      <c r="P1243" s="9">
        <f>revenue[orderTotal]*(1-revenue[discountApllied])</f>
        <v>1368</v>
      </c>
      <c r="Q1243" s="9">
        <f>revenue[revenue]-(revenue[productCost]*revenue[orderQuantity])</f>
        <v>511.482018</v>
      </c>
      <c r="R1243" s="25">
        <f>IFERROR(revenue[profit]/revenue[revenue], 0)</f>
        <v>0.373890364</v>
      </c>
      <c r="S1243" s="9">
        <f>revenue[productCost]*revenue[orderQuantity]</f>
        <v>856.517982</v>
      </c>
    </row>
    <row r="1244" ht="15.75" customHeight="1">
      <c r="A1244" s="6">
        <v>10718.0</v>
      </c>
      <c r="B1244" s="7" t="s">
        <v>59</v>
      </c>
      <c r="C1244" s="24" t="str">
        <f>VLOOKUP(revenue[customerID],customers[],2,FALSE)</f>
        <v>Königlich Essen</v>
      </c>
      <c r="D1244" s="24" t="str">
        <f>VLOOKUP(revenue[customerID],customers[],6,FALSE)</f>
        <v>Brandenburg</v>
      </c>
      <c r="E1244" s="24" t="str">
        <f>VLOOKUP(revenue[customerID],customers[],9,FALSE)</f>
        <v>Germany</v>
      </c>
      <c r="F1244" s="24">
        <v>45226.0</v>
      </c>
      <c r="G1244" s="6">
        <v>16.0</v>
      </c>
      <c r="H1244" s="9" t="str">
        <f>VLOOKUP(revenue[productID],products[],2,FALSE)</f>
        <v>Pavlova</v>
      </c>
      <c r="I1244" s="9" t="str">
        <f>VLOOKUP(revenue[productID],products[],12,FALSE)</f>
        <v>Confections</v>
      </c>
      <c r="J1244" s="9">
        <f>VLOOKUP(revenue[productID],products[],IF(YEAR(revenue[orderDate])=2022,8,IF(YEAR(revenue[orderDate])=2023,9,IF(YEAR(revenue[orderDate])=2024,10,NA))),FALSE)</f>
        <v>11.98504839</v>
      </c>
      <c r="K1244" s="9">
        <v>17.45</v>
      </c>
      <c r="L1244" s="25">
        <f>(revenue[orderPrice]-revenue[productCost])/revenue[productCost]</f>
        <v>0.455980771</v>
      </c>
      <c r="M1244" s="10">
        <v>20.0</v>
      </c>
      <c r="N1244" s="25">
        <v>0.0</v>
      </c>
      <c r="O1244" s="9">
        <f>revenue[orderPrice]*revenue[orderQuantity]</f>
        <v>349</v>
      </c>
      <c r="P1244" s="9">
        <f>revenue[orderTotal]*(1-revenue[discountApllied])</f>
        <v>349</v>
      </c>
      <c r="Q1244" s="9">
        <f>revenue[revenue]-(revenue[productCost]*revenue[orderQuantity])</f>
        <v>109.2990321</v>
      </c>
      <c r="R1244" s="25">
        <f>IFERROR(revenue[profit]/revenue[revenue], 0)</f>
        <v>0.3131777425</v>
      </c>
      <c r="S1244" s="9">
        <f>revenue[productCost]*revenue[orderQuantity]</f>
        <v>239.7009679</v>
      </c>
    </row>
    <row r="1245" ht="15.75" customHeight="1">
      <c r="A1245" s="6">
        <v>10718.0</v>
      </c>
      <c r="B1245" s="7" t="s">
        <v>59</v>
      </c>
      <c r="C1245" s="24" t="str">
        <f>VLOOKUP(revenue[customerID],customers[],2,FALSE)</f>
        <v>Königlich Essen</v>
      </c>
      <c r="D1245" s="24" t="str">
        <f>VLOOKUP(revenue[customerID],customers[],6,FALSE)</f>
        <v>Brandenburg</v>
      </c>
      <c r="E1245" s="24" t="str">
        <f>VLOOKUP(revenue[customerID],customers[],9,FALSE)</f>
        <v>Germany</v>
      </c>
      <c r="F1245" s="24">
        <v>45226.0</v>
      </c>
      <c r="G1245" s="6">
        <v>36.0</v>
      </c>
      <c r="H1245" s="9" t="str">
        <f>VLOOKUP(revenue[productID],products[],2,FALSE)</f>
        <v>Inlagd Sill</v>
      </c>
      <c r="I1245" s="9" t="str">
        <f>VLOOKUP(revenue[productID],products[],12,FALSE)</f>
        <v>Seafood</v>
      </c>
      <c r="J1245" s="9">
        <f>VLOOKUP(revenue[productID],products[],IF(YEAR(revenue[orderDate])=2022,8,IF(YEAR(revenue[orderDate])=2023,9,IF(YEAR(revenue[orderDate])=2024,10,NA))),FALSE)</f>
        <v>12.15246269</v>
      </c>
      <c r="K1245" s="9">
        <v>19.0</v>
      </c>
      <c r="L1245" s="25">
        <f>(revenue[orderPrice]-revenue[productCost])/revenue[productCost]</f>
        <v>0.5634691082</v>
      </c>
      <c r="M1245" s="10">
        <v>40.0</v>
      </c>
      <c r="N1245" s="25">
        <v>0.0</v>
      </c>
      <c r="O1245" s="9">
        <f>revenue[orderPrice]*revenue[orderQuantity]</f>
        <v>760</v>
      </c>
      <c r="P1245" s="9">
        <f>revenue[orderTotal]*(1-revenue[discountApllied])</f>
        <v>760</v>
      </c>
      <c r="Q1245" s="9">
        <f>revenue[revenue]-(revenue[productCost]*revenue[orderQuantity])</f>
        <v>273.9014925</v>
      </c>
      <c r="R1245" s="25">
        <f>IFERROR(revenue[profit]/revenue[revenue], 0)</f>
        <v>0.3603967007</v>
      </c>
      <c r="S1245" s="9">
        <f>revenue[productCost]*revenue[orderQuantity]</f>
        <v>486.0985075</v>
      </c>
    </row>
    <row r="1246" ht="15.75" customHeight="1">
      <c r="A1246" s="6">
        <v>10718.0</v>
      </c>
      <c r="B1246" s="7" t="s">
        <v>59</v>
      </c>
      <c r="C1246" s="24" t="str">
        <f>VLOOKUP(revenue[customerID],customers[],2,FALSE)</f>
        <v>Königlich Essen</v>
      </c>
      <c r="D1246" s="24" t="str">
        <f>VLOOKUP(revenue[customerID],customers[],6,FALSE)</f>
        <v>Brandenburg</v>
      </c>
      <c r="E1246" s="24" t="str">
        <f>VLOOKUP(revenue[customerID],customers[],9,FALSE)</f>
        <v>Germany</v>
      </c>
      <c r="F1246" s="24">
        <v>45226.0</v>
      </c>
      <c r="G1246" s="6">
        <v>62.0</v>
      </c>
      <c r="H1246" s="9" t="str">
        <f>VLOOKUP(revenue[productID],products[],2,FALSE)</f>
        <v>Tarte au sucre</v>
      </c>
      <c r="I1246" s="9" t="str">
        <f>VLOOKUP(revenue[productID],products[],12,FALSE)</f>
        <v>Confections</v>
      </c>
      <c r="J1246" s="9">
        <f>VLOOKUP(revenue[productID],products[],IF(YEAR(revenue[orderDate])=2022,8,IF(YEAR(revenue[orderDate])=2023,9,IF(YEAR(revenue[orderDate])=2024,10,NA))),FALSE)</f>
        <v>35.34792781</v>
      </c>
      <c r="K1246" s="9">
        <v>49.3</v>
      </c>
      <c r="L1246" s="25">
        <f>(revenue[orderPrice]-revenue[productCost])/revenue[productCost]</f>
        <v>0.3947069335</v>
      </c>
      <c r="M1246" s="10">
        <v>20.0</v>
      </c>
      <c r="N1246" s="25">
        <v>0.0</v>
      </c>
      <c r="O1246" s="9">
        <f>revenue[orderPrice]*revenue[orderQuantity]</f>
        <v>986</v>
      </c>
      <c r="P1246" s="9">
        <f>revenue[orderTotal]*(1-revenue[discountApllied])</f>
        <v>986</v>
      </c>
      <c r="Q1246" s="9">
        <f>revenue[revenue]-(revenue[productCost]*revenue[orderQuantity])</f>
        <v>279.0414438</v>
      </c>
      <c r="R1246" s="25">
        <f>IFERROR(revenue[profit]/revenue[revenue], 0)</f>
        <v>0.2830034927</v>
      </c>
      <c r="S1246" s="9">
        <f>revenue[productCost]*revenue[orderQuantity]</f>
        <v>706.9585562</v>
      </c>
    </row>
    <row r="1247" ht="15.75" customHeight="1">
      <c r="A1247" s="6">
        <v>10719.0</v>
      </c>
      <c r="B1247" s="7" t="s">
        <v>97</v>
      </c>
      <c r="C1247" s="24" t="str">
        <f>VLOOKUP(revenue[customerID],customers[],2,FALSE)</f>
        <v>Let's Stop N Shop</v>
      </c>
      <c r="D1247" s="24" t="str">
        <f>VLOOKUP(revenue[customerID],customers[],6,FALSE)</f>
        <v>San Francisco</v>
      </c>
      <c r="E1247" s="24" t="str">
        <f>VLOOKUP(revenue[customerID],customers[],9,FALSE)</f>
        <v>USA</v>
      </c>
      <c r="F1247" s="24">
        <v>45226.0</v>
      </c>
      <c r="G1247" s="6">
        <v>18.0</v>
      </c>
      <c r="H1247" s="9" t="str">
        <f>VLOOKUP(revenue[productID],products[],2,FALSE)</f>
        <v>Carnarvon Tigers</v>
      </c>
      <c r="I1247" s="9" t="str">
        <f>VLOOKUP(revenue[productID],products[],12,FALSE)</f>
        <v>Seafood</v>
      </c>
      <c r="J1247" s="9">
        <f>VLOOKUP(revenue[productID],products[],IF(YEAR(revenue[orderDate])=2022,8,IF(YEAR(revenue[orderDate])=2023,9,IF(YEAR(revenue[orderDate])=2024,10,NA))),FALSE)</f>
        <v>39.51966651</v>
      </c>
      <c r="K1247" s="9">
        <v>62.5</v>
      </c>
      <c r="L1247" s="25">
        <f>(revenue[orderPrice]-revenue[productCost])/revenue[productCost]</f>
        <v>0.5814910784</v>
      </c>
      <c r="M1247" s="10">
        <v>12.0</v>
      </c>
      <c r="N1247" s="25">
        <v>0.25</v>
      </c>
      <c r="O1247" s="9">
        <f>revenue[orderPrice]*revenue[orderQuantity]</f>
        <v>750</v>
      </c>
      <c r="P1247" s="9">
        <f>revenue[orderTotal]*(1-revenue[discountApllied])</f>
        <v>562.5</v>
      </c>
      <c r="Q1247" s="9">
        <f>revenue[revenue]-(revenue[productCost]*revenue[orderQuantity])</f>
        <v>88.26400193</v>
      </c>
      <c r="R1247" s="25">
        <f>IFERROR(revenue[profit]/revenue[revenue], 0)</f>
        <v>0.1569137812</v>
      </c>
      <c r="S1247" s="9">
        <f>revenue[productCost]*revenue[orderQuantity]</f>
        <v>474.2359981</v>
      </c>
    </row>
    <row r="1248" ht="15.75" customHeight="1">
      <c r="A1248" s="6">
        <v>10719.0</v>
      </c>
      <c r="B1248" s="7" t="s">
        <v>97</v>
      </c>
      <c r="C1248" s="24" t="str">
        <f>VLOOKUP(revenue[customerID],customers[],2,FALSE)</f>
        <v>Let's Stop N Shop</v>
      </c>
      <c r="D1248" s="24" t="str">
        <f>VLOOKUP(revenue[customerID],customers[],6,FALSE)</f>
        <v>San Francisco</v>
      </c>
      <c r="E1248" s="24" t="str">
        <f>VLOOKUP(revenue[customerID],customers[],9,FALSE)</f>
        <v>USA</v>
      </c>
      <c r="F1248" s="24">
        <v>45226.0</v>
      </c>
      <c r="G1248" s="6">
        <v>30.0</v>
      </c>
      <c r="H1248" s="9" t="str">
        <f>VLOOKUP(revenue[productID],products[],2,FALSE)</f>
        <v>Nord-Ost Matjeshering</v>
      </c>
      <c r="I1248" s="9" t="str">
        <f>VLOOKUP(revenue[productID],products[],12,FALSE)</f>
        <v>Seafood</v>
      </c>
      <c r="J1248" s="9">
        <f>VLOOKUP(revenue[productID],products[],IF(YEAR(revenue[orderDate])=2022,8,IF(YEAR(revenue[orderDate])=2023,9,IF(YEAR(revenue[orderDate])=2024,10,NA))),FALSE)</f>
        <v>16.03885249</v>
      </c>
      <c r="K1248" s="9">
        <v>25.89</v>
      </c>
      <c r="L1248" s="25">
        <f>(revenue[orderPrice]-revenue[productCost])/revenue[productCost]</f>
        <v>0.6142052564</v>
      </c>
      <c r="M1248" s="10">
        <v>3.0</v>
      </c>
      <c r="N1248" s="25">
        <v>0.25</v>
      </c>
      <c r="O1248" s="9">
        <f>revenue[orderPrice]*revenue[orderQuantity]</f>
        <v>77.67</v>
      </c>
      <c r="P1248" s="9">
        <f>revenue[orderTotal]*(1-revenue[discountApllied])</f>
        <v>58.2525</v>
      </c>
      <c r="Q1248" s="9">
        <f>revenue[revenue]-(revenue[productCost]*revenue[orderQuantity])</f>
        <v>10.13594252</v>
      </c>
      <c r="R1248" s="25">
        <f>IFERROR(revenue[profit]/revenue[revenue], 0)</f>
        <v>0.1740001291</v>
      </c>
      <c r="S1248" s="9">
        <f>revenue[productCost]*revenue[orderQuantity]</f>
        <v>48.11655748</v>
      </c>
    </row>
    <row r="1249" ht="15.75" customHeight="1">
      <c r="A1249" s="6">
        <v>10719.0</v>
      </c>
      <c r="B1249" s="7" t="s">
        <v>97</v>
      </c>
      <c r="C1249" s="24" t="str">
        <f>VLOOKUP(revenue[customerID],customers[],2,FALSE)</f>
        <v>Let's Stop N Shop</v>
      </c>
      <c r="D1249" s="24" t="str">
        <f>VLOOKUP(revenue[customerID],customers[],6,FALSE)</f>
        <v>San Francisco</v>
      </c>
      <c r="E1249" s="24" t="str">
        <f>VLOOKUP(revenue[customerID],customers[],9,FALSE)</f>
        <v>USA</v>
      </c>
      <c r="F1249" s="24">
        <v>45226.0</v>
      </c>
      <c r="G1249" s="6">
        <v>54.0</v>
      </c>
      <c r="H1249" s="9" t="str">
        <f>VLOOKUP(revenue[productID],products[],2,FALSE)</f>
        <v>Tourtière</v>
      </c>
      <c r="I1249" s="9" t="str">
        <f>VLOOKUP(revenue[productID],products[],12,FALSE)</f>
        <v>Meat/Poultry</v>
      </c>
      <c r="J1249" s="9">
        <f>VLOOKUP(revenue[productID],products[],IF(YEAR(revenue[orderDate])=2022,8,IF(YEAR(revenue[orderDate])=2023,9,IF(YEAR(revenue[orderDate])=2024,10,NA))),FALSE)</f>
        <v>4.924447797</v>
      </c>
      <c r="K1249" s="9">
        <v>7.45</v>
      </c>
      <c r="L1249" s="25">
        <f>(revenue[orderPrice]-revenue[productCost])/revenue[productCost]</f>
        <v>0.5128599808</v>
      </c>
      <c r="M1249" s="10">
        <v>40.0</v>
      </c>
      <c r="N1249" s="25">
        <v>0.25</v>
      </c>
      <c r="O1249" s="9">
        <f>revenue[orderPrice]*revenue[orderQuantity]</f>
        <v>298</v>
      </c>
      <c r="P1249" s="9">
        <f>revenue[orderTotal]*(1-revenue[discountApllied])</f>
        <v>223.5</v>
      </c>
      <c r="Q1249" s="9">
        <f>revenue[revenue]-(revenue[productCost]*revenue[orderQuantity])</f>
        <v>26.52208812</v>
      </c>
      <c r="R1249" s="25">
        <f>IFERROR(revenue[profit]/revenue[revenue], 0)</f>
        <v>0.1186670609</v>
      </c>
      <c r="S1249" s="9">
        <f>revenue[productCost]*revenue[orderQuantity]</f>
        <v>196.9779119</v>
      </c>
    </row>
    <row r="1250" ht="15.75" customHeight="1">
      <c r="A1250" s="6">
        <v>10720.0</v>
      </c>
      <c r="B1250" s="7" t="s">
        <v>27</v>
      </c>
      <c r="C1250" s="24" t="str">
        <f>VLOOKUP(revenue[customerID],customers[],2,FALSE)</f>
        <v>Que Delícia</v>
      </c>
      <c r="D1250" s="24" t="str">
        <f>VLOOKUP(revenue[customerID],customers[],6,FALSE)</f>
        <v>Rio de Janeiro</v>
      </c>
      <c r="E1250" s="24" t="str">
        <f>VLOOKUP(revenue[customerID],customers[],9,FALSE)</f>
        <v>Brazil</v>
      </c>
      <c r="F1250" s="24">
        <v>45227.0</v>
      </c>
      <c r="G1250" s="6">
        <v>35.0</v>
      </c>
      <c r="H1250" s="9" t="str">
        <f>VLOOKUP(revenue[productID],products[],2,FALSE)</f>
        <v>Cold Brew Nitro</v>
      </c>
      <c r="I1250" s="9" t="str">
        <f>VLOOKUP(revenue[productID],products[],12,FALSE)</f>
        <v>Beverages</v>
      </c>
      <c r="J1250" s="9">
        <f>VLOOKUP(revenue[productID],products[],IF(YEAR(revenue[orderDate])=2022,8,IF(YEAR(revenue[orderDate])=2023,9,IF(YEAR(revenue[orderDate])=2024,10,NA))),FALSE)</f>
        <v>11.7602531</v>
      </c>
      <c r="K1250" s="9">
        <v>18.0</v>
      </c>
      <c r="L1250" s="25">
        <f>(revenue[orderPrice]-revenue[productCost])/revenue[productCost]</f>
        <v>0.5305793033</v>
      </c>
      <c r="M1250" s="10">
        <v>21.0</v>
      </c>
      <c r="N1250" s="25">
        <v>0.0</v>
      </c>
      <c r="O1250" s="9">
        <f>revenue[orderPrice]*revenue[orderQuantity]</f>
        <v>378</v>
      </c>
      <c r="P1250" s="9">
        <f>revenue[orderTotal]*(1-revenue[discountApllied])</f>
        <v>378</v>
      </c>
      <c r="Q1250" s="9">
        <f>revenue[revenue]-(revenue[productCost]*revenue[orderQuantity])</f>
        <v>131.0346848</v>
      </c>
      <c r="R1250" s="25">
        <f>IFERROR(revenue[profit]/revenue[revenue], 0)</f>
        <v>0.3466526054</v>
      </c>
      <c r="S1250" s="9">
        <f>revenue[productCost]*revenue[orderQuantity]</f>
        <v>246.9653152</v>
      </c>
    </row>
    <row r="1251" ht="15.75" customHeight="1">
      <c r="A1251" s="6">
        <v>10720.0</v>
      </c>
      <c r="B1251" s="7" t="s">
        <v>27</v>
      </c>
      <c r="C1251" s="24" t="str">
        <f>VLOOKUP(revenue[customerID],customers[],2,FALSE)</f>
        <v>Que Delícia</v>
      </c>
      <c r="D1251" s="24" t="str">
        <f>VLOOKUP(revenue[customerID],customers[],6,FALSE)</f>
        <v>Rio de Janeiro</v>
      </c>
      <c r="E1251" s="24" t="str">
        <f>VLOOKUP(revenue[customerID],customers[],9,FALSE)</f>
        <v>Brazil</v>
      </c>
      <c r="F1251" s="24">
        <v>45227.0</v>
      </c>
      <c r="G1251" s="6">
        <v>71.0</v>
      </c>
      <c r="H1251" s="9" t="str">
        <f>VLOOKUP(revenue[productID],products[],2,FALSE)</f>
        <v>Flotemysost</v>
      </c>
      <c r="I1251" s="9" t="str">
        <f>VLOOKUP(revenue[productID],products[],12,FALSE)</f>
        <v>Dairy Products</v>
      </c>
      <c r="J1251" s="9">
        <f>VLOOKUP(revenue[productID],products[],IF(YEAR(revenue[orderDate])=2022,8,IF(YEAR(revenue[orderDate])=2023,9,IF(YEAR(revenue[orderDate])=2024,10,NA))),FALSE)</f>
        <v>13.4003664</v>
      </c>
      <c r="K1251" s="9">
        <v>21.5</v>
      </c>
      <c r="L1251" s="25">
        <f>(revenue[orderPrice]-revenue[productCost])/revenue[productCost]</f>
        <v>0.6044337411</v>
      </c>
      <c r="M1251" s="10">
        <v>8.0</v>
      </c>
      <c r="N1251" s="25">
        <v>0.0</v>
      </c>
      <c r="O1251" s="9">
        <f>revenue[orderPrice]*revenue[orderQuantity]</f>
        <v>172</v>
      </c>
      <c r="P1251" s="9">
        <f>revenue[orderTotal]*(1-revenue[discountApllied])</f>
        <v>172</v>
      </c>
      <c r="Q1251" s="9">
        <f>revenue[revenue]-(revenue[productCost]*revenue[orderQuantity])</f>
        <v>64.79706878</v>
      </c>
      <c r="R1251" s="25">
        <f>IFERROR(revenue[profit]/revenue[revenue], 0)</f>
        <v>0.376727144</v>
      </c>
      <c r="S1251" s="9">
        <f>revenue[productCost]*revenue[orderQuantity]</f>
        <v>107.2029312</v>
      </c>
    </row>
    <row r="1252" ht="15.75" customHeight="1">
      <c r="A1252" s="6">
        <v>10721.0</v>
      </c>
      <c r="B1252" s="7" t="s">
        <v>36</v>
      </c>
      <c r="C1252" s="24" t="str">
        <f>VLOOKUP(revenue[customerID],customers[],2,FALSE)</f>
        <v>QUICK-Stop</v>
      </c>
      <c r="D1252" s="24" t="str">
        <f>VLOOKUP(revenue[customerID],customers[],6,FALSE)</f>
        <v>Cunewalde</v>
      </c>
      <c r="E1252" s="24" t="str">
        <f>VLOOKUP(revenue[customerID],customers[],9,FALSE)</f>
        <v>Germany</v>
      </c>
      <c r="F1252" s="24">
        <v>45228.0</v>
      </c>
      <c r="G1252" s="6">
        <v>44.0</v>
      </c>
      <c r="H1252" s="9" t="str">
        <f>VLOOKUP(revenue[productID],products[],2,FALSE)</f>
        <v>Gula Malacca</v>
      </c>
      <c r="I1252" s="9" t="str">
        <f>VLOOKUP(revenue[productID],products[],12,FALSE)</f>
        <v>Condiments</v>
      </c>
      <c r="J1252" s="9">
        <f>VLOOKUP(revenue[productID],products[],IF(YEAR(revenue[orderDate])=2022,8,IF(YEAR(revenue[orderDate])=2023,9,IF(YEAR(revenue[orderDate])=2024,10,NA))),FALSE)</f>
        <v>13.06032103</v>
      </c>
      <c r="K1252" s="9">
        <v>19.45</v>
      </c>
      <c r="L1252" s="25">
        <f>(revenue[orderPrice]-revenue[productCost])/revenue[productCost]</f>
        <v>0.4892436379</v>
      </c>
      <c r="M1252" s="10">
        <v>50.0</v>
      </c>
      <c r="N1252" s="25">
        <v>0.05</v>
      </c>
      <c r="O1252" s="9">
        <f>revenue[orderPrice]*revenue[orderQuantity]</f>
        <v>972.5</v>
      </c>
      <c r="P1252" s="9">
        <f>revenue[orderTotal]*(1-revenue[discountApllied])</f>
        <v>923.875</v>
      </c>
      <c r="Q1252" s="9">
        <f>revenue[revenue]-(revenue[productCost]*revenue[orderQuantity])</f>
        <v>270.8589486</v>
      </c>
      <c r="R1252" s="25">
        <f>IFERROR(revenue[profit]/revenue[revenue], 0)</f>
        <v>0.2931770516</v>
      </c>
      <c r="S1252" s="9">
        <f>revenue[productCost]*revenue[orderQuantity]</f>
        <v>653.0160514</v>
      </c>
    </row>
    <row r="1253" ht="15.75" customHeight="1">
      <c r="A1253" s="6">
        <v>10722.0</v>
      </c>
      <c r="B1253" s="7" t="s">
        <v>60</v>
      </c>
      <c r="C1253" s="24" t="str">
        <f>VLOOKUP(revenue[customerID],customers[],2,FALSE)</f>
        <v>Save-a-lot Markets</v>
      </c>
      <c r="D1253" s="24" t="str">
        <f>VLOOKUP(revenue[customerID],customers[],6,FALSE)</f>
        <v>Boise</v>
      </c>
      <c r="E1253" s="24" t="str">
        <f>VLOOKUP(revenue[customerID],customers[],9,FALSE)</f>
        <v>USA</v>
      </c>
      <c r="F1253" s="24">
        <v>45228.0</v>
      </c>
      <c r="G1253" s="6">
        <v>2.0</v>
      </c>
      <c r="H1253" s="9" t="str">
        <f>VLOOKUP(revenue[productID],products[],2,FALSE)</f>
        <v>Chang</v>
      </c>
      <c r="I1253" s="9" t="str">
        <f>VLOOKUP(revenue[productID],products[],12,FALSE)</f>
        <v>Beverages</v>
      </c>
      <c r="J1253" s="9">
        <f>VLOOKUP(revenue[productID],products[],IF(YEAR(revenue[orderDate])=2022,8,IF(YEAR(revenue[orderDate])=2023,9,IF(YEAR(revenue[orderDate])=2024,10,NA))),FALSE)</f>
        <v>12.14626904</v>
      </c>
      <c r="K1253" s="9">
        <v>19.0</v>
      </c>
      <c r="L1253" s="25">
        <f>(revenue[orderPrice]-revenue[productCost])/revenue[productCost]</f>
        <v>0.5642663547</v>
      </c>
      <c r="M1253" s="10">
        <v>3.0</v>
      </c>
      <c r="N1253" s="25">
        <v>0.0</v>
      </c>
      <c r="O1253" s="9">
        <f>revenue[orderPrice]*revenue[orderQuantity]</f>
        <v>57</v>
      </c>
      <c r="P1253" s="9">
        <f>revenue[orderTotal]*(1-revenue[discountApllied])</f>
        <v>57</v>
      </c>
      <c r="Q1253" s="9">
        <f>revenue[revenue]-(revenue[productCost]*revenue[orderQuantity])</f>
        <v>20.56119287</v>
      </c>
      <c r="R1253" s="25">
        <f>IFERROR(revenue[profit]/revenue[revenue], 0)</f>
        <v>0.3607226819</v>
      </c>
      <c r="S1253" s="9">
        <f>revenue[productCost]*revenue[orderQuantity]</f>
        <v>36.43880713</v>
      </c>
    </row>
    <row r="1254" ht="15.75" customHeight="1">
      <c r="A1254" s="6">
        <v>10722.0</v>
      </c>
      <c r="B1254" s="7" t="s">
        <v>60</v>
      </c>
      <c r="C1254" s="24" t="str">
        <f>VLOOKUP(revenue[customerID],customers[],2,FALSE)</f>
        <v>Save-a-lot Markets</v>
      </c>
      <c r="D1254" s="24" t="str">
        <f>VLOOKUP(revenue[customerID],customers[],6,FALSE)</f>
        <v>Boise</v>
      </c>
      <c r="E1254" s="24" t="str">
        <f>VLOOKUP(revenue[customerID],customers[],9,FALSE)</f>
        <v>USA</v>
      </c>
      <c r="F1254" s="24">
        <v>45228.0</v>
      </c>
      <c r="G1254" s="6">
        <v>31.0</v>
      </c>
      <c r="H1254" s="9" t="str">
        <f>VLOOKUP(revenue[productID],products[],2,FALSE)</f>
        <v>Gorgonzola Telino</v>
      </c>
      <c r="I1254" s="9" t="str">
        <f>VLOOKUP(revenue[productID],products[],12,FALSE)</f>
        <v>Dairy Products</v>
      </c>
      <c r="J1254" s="9">
        <f>VLOOKUP(revenue[productID],products[],IF(YEAR(revenue[orderDate])=2022,8,IF(YEAR(revenue[orderDate])=2023,9,IF(YEAR(revenue[orderDate])=2024,10,NA))),FALSE)</f>
        <v>7.937729254</v>
      </c>
      <c r="K1254" s="9">
        <v>12.5</v>
      </c>
      <c r="L1254" s="25">
        <f>(revenue[orderPrice]-revenue[productCost])/revenue[productCost]</f>
        <v>0.5747576668</v>
      </c>
      <c r="M1254" s="10">
        <v>50.0</v>
      </c>
      <c r="N1254" s="25">
        <v>0.0</v>
      </c>
      <c r="O1254" s="9">
        <f>revenue[orderPrice]*revenue[orderQuantity]</f>
        <v>625</v>
      </c>
      <c r="P1254" s="9">
        <f>revenue[orderTotal]*(1-revenue[discountApllied])</f>
        <v>625</v>
      </c>
      <c r="Q1254" s="9">
        <f>revenue[revenue]-(revenue[productCost]*revenue[orderQuantity])</f>
        <v>228.1135373</v>
      </c>
      <c r="R1254" s="25">
        <f>IFERROR(revenue[profit]/revenue[revenue], 0)</f>
        <v>0.3649816597</v>
      </c>
      <c r="S1254" s="9">
        <f>revenue[productCost]*revenue[orderQuantity]</f>
        <v>396.8864627</v>
      </c>
    </row>
    <row r="1255" ht="15.75" customHeight="1">
      <c r="A1255" s="6">
        <v>10722.0</v>
      </c>
      <c r="B1255" s="7" t="s">
        <v>60</v>
      </c>
      <c r="C1255" s="24" t="str">
        <f>VLOOKUP(revenue[customerID],customers[],2,FALSE)</f>
        <v>Save-a-lot Markets</v>
      </c>
      <c r="D1255" s="24" t="str">
        <f>VLOOKUP(revenue[customerID],customers[],6,FALSE)</f>
        <v>Boise</v>
      </c>
      <c r="E1255" s="24" t="str">
        <f>VLOOKUP(revenue[customerID],customers[],9,FALSE)</f>
        <v>USA</v>
      </c>
      <c r="F1255" s="24">
        <v>45228.0</v>
      </c>
      <c r="G1255" s="6">
        <v>68.0</v>
      </c>
      <c r="H1255" s="9" t="str">
        <f>VLOOKUP(revenue[productID],products[],2,FALSE)</f>
        <v>Scottish Longbreads</v>
      </c>
      <c r="I1255" s="9" t="str">
        <f>VLOOKUP(revenue[productID],products[],12,FALSE)</f>
        <v>Confections</v>
      </c>
      <c r="J1255" s="9">
        <f>VLOOKUP(revenue[productID],products[],IF(YEAR(revenue[orderDate])=2022,8,IF(YEAR(revenue[orderDate])=2023,9,IF(YEAR(revenue[orderDate])=2024,10,NA))),FALSE)</f>
        <v>8.500000387</v>
      </c>
      <c r="K1255" s="9">
        <v>12.5</v>
      </c>
      <c r="L1255" s="25">
        <f>(revenue[orderPrice]-revenue[productCost])/revenue[productCost]</f>
        <v>0.4705881684</v>
      </c>
      <c r="M1255" s="10">
        <v>45.0</v>
      </c>
      <c r="N1255" s="25">
        <v>0.0</v>
      </c>
      <c r="O1255" s="9">
        <f>revenue[orderPrice]*revenue[orderQuantity]</f>
        <v>562.5</v>
      </c>
      <c r="P1255" s="9">
        <f>revenue[orderTotal]*(1-revenue[discountApllied])</f>
        <v>562.5</v>
      </c>
      <c r="Q1255" s="9">
        <f>revenue[revenue]-(revenue[productCost]*revenue[orderQuantity])</f>
        <v>179.9999826</v>
      </c>
      <c r="R1255" s="25">
        <f>IFERROR(revenue[profit]/revenue[revenue], 0)</f>
        <v>0.3199999691</v>
      </c>
      <c r="S1255" s="9">
        <f>revenue[productCost]*revenue[orderQuantity]</f>
        <v>382.5000174</v>
      </c>
    </row>
    <row r="1256" ht="15.75" customHeight="1">
      <c r="A1256" s="6">
        <v>10722.0</v>
      </c>
      <c r="B1256" s="7" t="s">
        <v>60</v>
      </c>
      <c r="C1256" s="24" t="str">
        <f>VLOOKUP(revenue[customerID],customers[],2,FALSE)</f>
        <v>Save-a-lot Markets</v>
      </c>
      <c r="D1256" s="24" t="str">
        <f>VLOOKUP(revenue[customerID],customers[],6,FALSE)</f>
        <v>Boise</v>
      </c>
      <c r="E1256" s="24" t="str">
        <f>VLOOKUP(revenue[customerID],customers[],9,FALSE)</f>
        <v>USA</v>
      </c>
      <c r="F1256" s="24">
        <v>45228.0</v>
      </c>
      <c r="G1256" s="6">
        <v>75.0</v>
      </c>
      <c r="H1256" s="9" t="str">
        <f>VLOOKUP(revenue[productID],products[],2,FALSE)</f>
        <v>Rhönbräu Klosterbier</v>
      </c>
      <c r="I1256" s="9" t="str">
        <f>VLOOKUP(revenue[productID],products[],12,FALSE)</f>
        <v>Beverages</v>
      </c>
      <c r="J1256" s="9">
        <f>VLOOKUP(revenue[productID],products[],IF(YEAR(revenue[orderDate])=2022,8,IF(YEAR(revenue[orderDate])=2023,9,IF(YEAR(revenue[orderDate])=2024,10,NA))),FALSE)</f>
        <v>5.355290472</v>
      </c>
      <c r="K1256" s="9">
        <v>7.75</v>
      </c>
      <c r="L1256" s="25">
        <f>(revenue[orderPrice]-revenue[productCost])/revenue[productCost]</f>
        <v>0.4471670661</v>
      </c>
      <c r="M1256" s="10">
        <v>42.0</v>
      </c>
      <c r="N1256" s="25">
        <v>0.0</v>
      </c>
      <c r="O1256" s="9">
        <f>revenue[orderPrice]*revenue[orderQuantity]</f>
        <v>325.5</v>
      </c>
      <c r="P1256" s="9">
        <f>revenue[orderTotal]*(1-revenue[discountApllied])</f>
        <v>325.5</v>
      </c>
      <c r="Q1256" s="9">
        <f>revenue[revenue]-(revenue[productCost]*revenue[orderQuantity])</f>
        <v>100.5778002</v>
      </c>
      <c r="R1256" s="25">
        <f>IFERROR(revenue[profit]/revenue[revenue], 0)</f>
        <v>0.3089947778</v>
      </c>
      <c r="S1256" s="9">
        <f>revenue[productCost]*revenue[orderQuantity]</f>
        <v>224.9221998</v>
      </c>
    </row>
    <row r="1257" ht="15.75" customHeight="1">
      <c r="A1257" s="6">
        <v>10723.0</v>
      </c>
      <c r="B1257" s="7" t="s">
        <v>34</v>
      </c>
      <c r="C1257" s="24" t="str">
        <f>VLOOKUP(revenue[customerID],customers[],2,FALSE)</f>
        <v>White Clover Markets</v>
      </c>
      <c r="D1257" s="24" t="str">
        <f>VLOOKUP(revenue[customerID],customers[],6,FALSE)</f>
        <v>Seattle</v>
      </c>
      <c r="E1257" s="24" t="str">
        <f>VLOOKUP(revenue[customerID],customers[],9,FALSE)</f>
        <v>USA</v>
      </c>
      <c r="F1257" s="24">
        <v>45229.0</v>
      </c>
      <c r="G1257" s="6">
        <v>26.0</v>
      </c>
      <c r="H1257" s="9" t="str">
        <f>VLOOKUP(revenue[productID],products[],2,FALSE)</f>
        <v>NuNuCa Nuß-Nougat-Creme</v>
      </c>
      <c r="I1257" s="9" t="str">
        <f>VLOOKUP(revenue[productID],products[],12,FALSE)</f>
        <v>Confections</v>
      </c>
      <c r="J1257" s="9">
        <f>VLOOKUP(revenue[productID],products[],IF(YEAR(revenue[orderDate])=2022,8,IF(YEAR(revenue[orderDate])=2023,9,IF(YEAR(revenue[orderDate])=2024,10,NA))),FALSE)</f>
        <v>21.20896201</v>
      </c>
      <c r="K1257" s="9">
        <v>31.23</v>
      </c>
      <c r="L1257" s="25">
        <f>(revenue[orderPrice]-revenue[productCost])/revenue[productCost]</f>
        <v>0.472490732</v>
      </c>
      <c r="M1257" s="10">
        <v>15.0</v>
      </c>
      <c r="N1257" s="25">
        <v>0.0</v>
      </c>
      <c r="O1257" s="9">
        <f>revenue[orderPrice]*revenue[orderQuantity]</f>
        <v>468.45</v>
      </c>
      <c r="P1257" s="9">
        <f>revenue[orderTotal]*(1-revenue[discountApllied])</f>
        <v>468.45</v>
      </c>
      <c r="Q1257" s="9">
        <f>revenue[revenue]-(revenue[productCost]*revenue[orderQuantity])</f>
        <v>150.3155698</v>
      </c>
      <c r="R1257" s="25">
        <f>IFERROR(revenue[profit]/revenue[revenue], 0)</f>
        <v>0.3208785779</v>
      </c>
      <c r="S1257" s="9">
        <f>revenue[productCost]*revenue[orderQuantity]</f>
        <v>318.1344302</v>
      </c>
    </row>
    <row r="1258" ht="15.75" customHeight="1">
      <c r="A1258" s="6">
        <v>10724.0</v>
      </c>
      <c r="B1258" s="7" t="s">
        <v>64</v>
      </c>
      <c r="C1258" s="24" t="str">
        <f>VLOOKUP(revenue[customerID],customers[],2,FALSE)</f>
        <v>Mère Paillarde</v>
      </c>
      <c r="D1258" s="24" t="str">
        <f>VLOOKUP(revenue[customerID],customers[],6,FALSE)</f>
        <v>Montréal</v>
      </c>
      <c r="E1258" s="24" t="str">
        <f>VLOOKUP(revenue[customerID],customers[],9,FALSE)</f>
        <v>Canada</v>
      </c>
      <c r="F1258" s="24">
        <v>45229.0</v>
      </c>
      <c r="G1258" s="6">
        <v>10.0</v>
      </c>
      <c r="H1258" s="9" t="str">
        <f>VLOOKUP(revenue[productID],products[],2,FALSE)</f>
        <v>Ikura</v>
      </c>
      <c r="I1258" s="9" t="str">
        <f>VLOOKUP(revenue[productID],products[],12,FALSE)</f>
        <v>Seafood</v>
      </c>
      <c r="J1258" s="9">
        <f>VLOOKUP(revenue[productID],products[],IF(YEAR(revenue[orderDate])=2022,8,IF(YEAR(revenue[orderDate])=2023,9,IF(YEAR(revenue[orderDate])=2024,10,NA))),FALSE)</f>
        <v>20.72721922</v>
      </c>
      <c r="K1258" s="9">
        <v>31.0</v>
      </c>
      <c r="L1258" s="25">
        <f>(revenue[orderPrice]-revenue[productCost])/revenue[productCost]</f>
        <v>0.4956178962</v>
      </c>
      <c r="M1258" s="10">
        <v>16.0</v>
      </c>
      <c r="N1258" s="25">
        <v>0.0</v>
      </c>
      <c r="O1258" s="9">
        <f>revenue[orderPrice]*revenue[orderQuantity]</f>
        <v>496</v>
      </c>
      <c r="P1258" s="9">
        <f>revenue[orderTotal]*(1-revenue[discountApllied])</f>
        <v>496</v>
      </c>
      <c r="Q1258" s="9">
        <f>revenue[revenue]-(revenue[productCost]*revenue[orderQuantity])</f>
        <v>164.3644925</v>
      </c>
      <c r="R1258" s="25">
        <f>IFERROR(revenue[profit]/revenue[revenue], 0)</f>
        <v>0.3313800252</v>
      </c>
      <c r="S1258" s="9">
        <f>revenue[productCost]*revenue[orderQuantity]</f>
        <v>331.6355075</v>
      </c>
    </row>
    <row r="1259" ht="15.75" customHeight="1">
      <c r="A1259" s="6">
        <v>10724.0</v>
      </c>
      <c r="B1259" s="7" t="s">
        <v>64</v>
      </c>
      <c r="C1259" s="24" t="str">
        <f>VLOOKUP(revenue[customerID],customers[],2,FALSE)</f>
        <v>Mère Paillarde</v>
      </c>
      <c r="D1259" s="24" t="str">
        <f>VLOOKUP(revenue[customerID],customers[],6,FALSE)</f>
        <v>Montréal</v>
      </c>
      <c r="E1259" s="24" t="str">
        <f>VLOOKUP(revenue[customerID],customers[],9,FALSE)</f>
        <v>Canada</v>
      </c>
      <c r="F1259" s="24">
        <v>45229.0</v>
      </c>
      <c r="G1259" s="6">
        <v>61.0</v>
      </c>
      <c r="H1259" s="9" t="str">
        <f>VLOOKUP(revenue[productID],products[],2,FALSE)</f>
        <v>Sirop d'érable</v>
      </c>
      <c r="I1259" s="9" t="str">
        <f>VLOOKUP(revenue[productID],products[],12,FALSE)</f>
        <v>Condiments</v>
      </c>
      <c r="J1259" s="9">
        <f>VLOOKUP(revenue[productID],products[],IF(YEAR(revenue[orderDate])=2022,8,IF(YEAR(revenue[orderDate])=2023,9,IF(YEAR(revenue[orderDate])=2024,10,NA))),FALSE)</f>
        <v>17.19945448</v>
      </c>
      <c r="K1259" s="9">
        <v>28.5</v>
      </c>
      <c r="L1259" s="25">
        <f>(revenue[orderPrice]-revenue[productCost])/revenue[productCost]</f>
        <v>0.6570292986</v>
      </c>
      <c r="M1259" s="10">
        <v>5.0</v>
      </c>
      <c r="N1259" s="25">
        <v>0.0</v>
      </c>
      <c r="O1259" s="9">
        <f>revenue[orderPrice]*revenue[orderQuantity]</f>
        <v>142.5</v>
      </c>
      <c r="P1259" s="9">
        <f>revenue[orderTotal]*(1-revenue[discountApllied])</f>
        <v>142.5</v>
      </c>
      <c r="Q1259" s="9">
        <f>revenue[revenue]-(revenue[productCost]*revenue[orderQuantity])</f>
        <v>56.50272758</v>
      </c>
      <c r="R1259" s="25">
        <f>IFERROR(revenue[profit]/revenue[revenue], 0)</f>
        <v>0.396510369</v>
      </c>
      <c r="S1259" s="9">
        <f>revenue[productCost]*revenue[orderQuantity]</f>
        <v>85.99727242</v>
      </c>
    </row>
    <row r="1260" ht="15.75" customHeight="1">
      <c r="A1260" s="6">
        <v>10725.0</v>
      </c>
      <c r="B1260" s="7" t="s">
        <v>67</v>
      </c>
      <c r="C1260" s="24" t="str">
        <f>VLOOKUP(revenue[customerID],customers[],2,FALSE)</f>
        <v>Familia Arquibaldo</v>
      </c>
      <c r="D1260" s="24" t="str">
        <f>VLOOKUP(revenue[customerID],customers[],6,FALSE)</f>
        <v>Sao Paulo</v>
      </c>
      <c r="E1260" s="24" t="str">
        <f>VLOOKUP(revenue[customerID],customers[],9,FALSE)</f>
        <v>Brazil</v>
      </c>
      <c r="F1260" s="24">
        <v>45230.0</v>
      </c>
      <c r="G1260" s="6">
        <v>41.0</v>
      </c>
      <c r="H1260" s="9" t="str">
        <f>VLOOKUP(revenue[productID],products[],2,FALSE)</f>
        <v>Jack's New England Clam Chowder</v>
      </c>
      <c r="I1260" s="9" t="str">
        <f>VLOOKUP(revenue[productID],products[],12,FALSE)</f>
        <v>Seafood</v>
      </c>
      <c r="J1260" s="9">
        <f>VLOOKUP(revenue[productID],products[],IF(YEAR(revenue[orderDate])=2022,8,IF(YEAR(revenue[orderDate])=2023,9,IF(YEAR(revenue[orderDate])=2024,10,NA))),FALSE)</f>
        <v>6.549914856</v>
      </c>
      <c r="K1260" s="9">
        <v>9.65</v>
      </c>
      <c r="L1260" s="25">
        <f>(revenue[orderPrice]-revenue[productCost])/revenue[productCost]</f>
        <v>0.4733015943</v>
      </c>
      <c r="M1260" s="10">
        <v>12.0</v>
      </c>
      <c r="N1260" s="25">
        <v>0.0</v>
      </c>
      <c r="O1260" s="9">
        <f>revenue[orderPrice]*revenue[orderQuantity]</f>
        <v>115.8</v>
      </c>
      <c r="P1260" s="9">
        <f>revenue[orderTotal]*(1-revenue[discountApllied])</f>
        <v>115.8</v>
      </c>
      <c r="Q1260" s="9">
        <f>revenue[revenue]-(revenue[productCost]*revenue[orderQuantity])</f>
        <v>37.20102173</v>
      </c>
      <c r="R1260" s="25">
        <f>IFERROR(revenue[profit]/revenue[revenue], 0)</f>
        <v>0.3212523465</v>
      </c>
      <c r="S1260" s="9">
        <f>revenue[productCost]*revenue[orderQuantity]</f>
        <v>78.59897827</v>
      </c>
    </row>
    <row r="1261" ht="15.75" customHeight="1">
      <c r="A1261" s="6">
        <v>10725.0</v>
      </c>
      <c r="B1261" s="7" t="s">
        <v>67</v>
      </c>
      <c r="C1261" s="24" t="str">
        <f>VLOOKUP(revenue[customerID],customers[],2,FALSE)</f>
        <v>Familia Arquibaldo</v>
      </c>
      <c r="D1261" s="24" t="str">
        <f>VLOOKUP(revenue[customerID],customers[],6,FALSE)</f>
        <v>Sao Paulo</v>
      </c>
      <c r="E1261" s="24" t="str">
        <f>VLOOKUP(revenue[customerID],customers[],9,FALSE)</f>
        <v>Brazil</v>
      </c>
      <c r="F1261" s="24">
        <v>45230.0</v>
      </c>
      <c r="G1261" s="6">
        <v>52.0</v>
      </c>
      <c r="H1261" s="9" t="str">
        <f>VLOOKUP(revenue[productID],products[],2,FALSE)</f>
        <v>Filo Mix</v>
      </c>
      <c r="I1261" s="9" t="str">
        <f>VLOOKUP(revenue[productID],products[],12,FALSE)</f>
        <v>Grains/Cereals</v>
      </c>
      <c r="J1261" s="9">
        <f>VLOOKUP(revenue[productID],products[],IF(YEAR(revenue[orderDate])=2022,8,IF(YEAR(revenue[orderDate])=2023,9,IF(YEAR(revenue[orderDate])=2024,10,NA))),FALSE)</f>
        <v>5.001706713</v>
      </c>
      <c r="K1261" s="9">
        <v>7.0</v>
      </c>
      <c r="L1261" s="25">
        <f>(revenue[orderPrice]-revenue[productCost])/revenue[productCost]</f>
        <v>0.3995222835</v>
      </c>
      <c r="M1261" s="10">
        <v>4.0</v>
      </c>
      <c r="N1261" s="25">
        <v>0.0</v>
      </c>
      <c r="O1261" s="9">
        <f>revenue[orderPrice]*revenue[orderQuantity]</f>
        <v>28</v>
      </c>
      <c r="P1261" s="9">
        <f>revenue[orderTotal]*(1-revenue[discountApllied])</f>
        <v>28</v>
      </c>
      <c r="Q1261" s="9">
        <f>revenue[revenue]-(revenue[productCost]*revenue[orderQuantity])</f>
        <v>7.993173149</v>
      </c>
      <c r="R1261" s="25">
        <f>IFERROR(revenue[profit]/revenue[revenue], 0)</f>
        <v>0.2854704696</v>
      </c>
      <c r="S1261" s="9">
        <f>revenue[productCost]*revenue[orderQuantity]</f>
        <v>20.00682685</v>
      </c>
    </row>
    <row r="1262" ht="15.75" customHeight="1">
      <c r="A1262" s="6">
        <v>10725.0</v>
      </c>
      <c r="B1262" s="7" t="s">
        <v>67</v>
      </c>
      <c r="C1262" s="24" t="str">
        <f>VLOOKUP(revenue[customerID],customers[],2,FALSE)</f>
        <v>Familia Arquibaldo</v>
      </c>
      <c r="D1262" s="24" t="str">
        <f>VLOOKUP(revenue[customerID],customers[],6,FALSE)</f>
        <v>Sao Paulo</v>
      </c>
      <c r="E1262" s="24" t="str">
        <f>VLOOKUP(revenue[customerID],customers[],9,FALSE)</f>
        <v>Brazil</v>
      </c>
      <c r="F1262" s="24">
        <v>45230.0</v>
      </c>
      <c r="G1262" s="6">
        <v>55.0</v>
      </c>
      <c r="H1262" s="9" t="str">
        <f>VLOOKUP(revenue[productID],products[],2,FALSE)</f>
        <v>Pâté chinois</v>
      </c>
      <c r="I1262" s="9" t="str">
        <f>VLOOKUP(revenue[productID],products[],12,FALSE)</f>
        <v>Meat/Poultry</v>
      </c>
      <c r="J1262" s="9">
        <f>VLOOKUP(revenue[productID],products[],IF(YEAR(revenue[orderDate])=2022,8,IF(YEAR(revenue[orderDate])=2023,9,IF(YEAR(revenue[orderDate])=2024,10,NA))),FALSE)</f>
        <v>14.92398776</v>
      </c>
      <c r="K1262" s="9">
        <v>24.0</v>
      </c>
      <c r="L1262" s="25">
        <f>(revenue[orderPrice]-revenue[productCost])/revenue[productCost]</f>
        <v>0.6081492681</v>
      </c>
      <c r="M1262" s="10">
        <v>6.0</v>
      </c>
      <c r="N1262" s="25">
        <v>0.0</v>
      </c>
      <c r="O1262" s="9">
        <f>revenue[orderPrice]*revenue[orderQuantity]</f>
        <v>144</v>
      </c>
      <c r="P1262" s="9">
        <f>revenue[orderTotal]*(1-revenue[discountApllied])</f>
        <v>144</v>
      </c>
      <c r="Q1262" s="9">
        <f>revenue[revenue]-(revenue[productCost]*revenue[orderQuantity])</f>
        <v>54.45607342</v>
      </c>
      <c r="R1262" s="25">
        <f>IFERROR(revenue[profit]/revenue[revenue], 0)</f>
        <v>0.3781671765</v>
      </c>
      <c r="S1262" s="9">
        <f>revenue[productCost]*revenue[orderQuantity]</f>
        <v>89.54392658</v>
      </c>
    </row>
    <row r="1263" ht="15.75" customHeight="1">
      <c r="A1263" s="6">
        <v>10726.0</v>
      </c>
      <c r="B1263" s="7" t="s">
        <v>73</v>
      </c>
      <c r="C1263" s="24" t="str">
        <f>VLOOKUP(revenue[customerID],customers[],2,FALSE)</f>
        <v>Eastern Connection</v>
      </c>
      <c r="D1263" s="24" t="str">
        <f>VLOOKUP(revenue[customerID],customers[],6,FALSE)</f>
        <v>London</v>
      </c>
      <c r="E1263" s="24" t="str">
        <f>VLOOKUP(revenue[customerID],customers[],9,FALSE)</f>
        <v>UK</v>
      </c>
      <c r="F1263" s="24">
        <v>45233.0</v>
      </c>
      <c r="G1263" s="6">
        <v>4.0</v>
      </c>
      <c r="H1263" s="9" t="str">
        <f>VLOOKUP(revenue[productID],products[],2,FALSE)</f>
        <v>Chef Anton's Cajun Seasoning</v>
      </c>
      <c r="I1263" s="9" t="str">
        <f>VLOOKUP(revenue[productID],products[],12,FALSE)</f>
        <v>Condiments</v>
      </c>
      <c r="J1263" s="9">
        <f>VLOOKUP(revenue[productID],products[],IF(YEAR(revenue[orderDate])=2022,8,IF(YEAR(revenue[orderDate])=2023,9,IF(YEAR(revenue[orderDate])=2024,10,NA))),FALSE)</f>
        <v>13.81047124</v>
      </c>
      <c r="K1263" s="9">
        <v>22.0</v>
      </c>
      <c r="L1263" s="25">
        <f>(revenue[orderPrice]-revenue[productCost])/revenue[productCost]</f>
        <v>0.5929941577</v>
      </c>
      <c r="M1263" s="10">
        <v>25.0</v>
      </c>
      <c r="N1263" s="25">
        <v>0.0</v>
      </c>
      <c r="O1263" s="9">
        <f>revenue[orderPrice]*revenue[orderQuantity]</f>
        <v>550</v>
      </c>
      <c r="P1263" s="9">
        <f>revenue[orderTotal]*(1-revenue[discountApllied])</f>
        <v>550</v>
      </c>
      <c r="Q1263" s="9">
        <f>revenue[revenue]-(revenue[productCost]*revenue[orderQuantity])</f>
        <v>204.738219</v>
      </c>
      <c r="R1263" s="25">
        <f>IFERROR(revenue[profit]/revenue[revenue], 0)</f>
        <v>0.3722513073</v>
      </c>
      <c r="S1263" s="9">
        <f>revenue[productCost]*revenue[orderQuantity]</f>
        <v>345.261781</v>
      </c>
    </row>
    <row r="1264" ht="15.75" customHeight="1">
      <c r="A1264" s="6">
        <v>10726.0</v>
      </c>
      <c r="B1264" s="7" t="s">
        <v>73</v>
      </c>
      <c r="C1264" s="24" t="str">
        <f>VLOOKUP(revenue[customerID],customers[],2,FALSE)</f>
        <v>Eastern Connection</v>
      </c>
      <c r="D1264" s="24" t="str">
        <f>VLOOKUP(revenue[customerID],customers[],6,FALSE)</f>
        <v>London</v>
      </c>
      <c r="E1264" s="24" t="str">
        <f>VLOOKUP(revenue[customerID],customers[],9,FALSE)</f>
        <v>UK</v>
      </c>
      <c r="F1264" s="24">
        <v>45233.0</v>
      </c>
      <c r="G1264" s="6">
        <v>11.0</v>
      </c>
      <c r="H1264" s="9" t="str">
        <f>VLOOKUP(revenue[productID],products[],2,FALSE)</f>
        <v>Queso Cabrales</v>
      </c>
      <c r="I1264" s="9" t="str">
        <f>VLOOKUP(revenue[productID],products[],12,FALSE)</f>
        <v>Dairy Products</v>
      </c>
      <c r="J1264" s="9">
        <f>VLOOKUP(revenue[productID],products[],IF(YEAR(revenue[orderDate])=2022,8,IF(YEAR(revenue[orderDate])=2023,9,IF(YEAR(revenue[orderDate])=2024,10,NA))),FALSE)</f>
        <v>12.90188125</v>
      </c>
      <c r="K1264" s="9">
        <v>21.0</v>
      </c>
      <c r="L1264" s="25">
        <f>(revenue[orderPrice]-revenue[productCost])/revenue[productCost]</f>
        <v>0.6276696079</v>
      </c>
      <c r="M1264" s="10">
        <v>5.0</v>
      </c>
      <c r="N1264" s="25">
        <v>0.0</v>
      </c>
      <c r="O1264" s="9">
        <f>revenue[orderPrice]*revenue[orderQuantity]</f>
        <v>105</v>
      </c>
      <c r="P1264" s="9">
        <f>revenue[orderTotal]*(1-revenue[discountApllied])</f>
        <v>105</v>
      </c>
      <c r="Q1264" s="9">
        <f>revenue[revenue]-(revenue[productCost]*revenue[orderQuantity])</f>
        <v>40.49059374</v>
      </c>
      <c r="R1264" s="25">
        <f>IFERROR(revenue[profit]/revenue[revenue], 0)</f>
        <v>0.3856247023</v>
      </c>
      <c r="S1264" s="9">
        <f>revenue[productCost]*revenue[orderQuantity]</f>
        <v>64.50940626</v>
      </c>
    </row>
    <row r="1265" ht="15.75" customHeight="1">
      <c r="A1265" s="6">
        <v>10727.0</v>
      </c>
      <c r="B1265" s="7" t="s">
        <v>45</v>
      </c>
      <c r="C1265" s="24" t="str">
        <f>VLOOKUP(revenue[customerID],customers[],2,FALSE)</f>
        <v>Reggiani Caseifici</v>
      </c>
      <c r="D1265" s="24" t="str">
        <f>VLOOKUP(revenue[customerID],customers[],6,FALSE)</f>
        <v>Reggio Emilia</v>
      </c>
      <c r="E1265" s="24" t="str">
        <f>VLOOKUP(revenue[customerID],customers[],9,FALSE)</f>
        <v>Italy</v>
      </c>
      <c r="F1265" s="24">
        <v>45233.0</v>
      </c>
      <c r="G1265" s="6">
        <v>17.0</v>
      </c>
      <c r="H1265" s="9" t="str">
        <f>VLOOKUP(revenue[productID],products[],2,FALSE)</f>
        <v>Alice Mutton</v>
      </c>
      <c r="I1265" s="9" t="str">
        <f>VLOOKUP(revenue[productID],products[],12,FALSE)</f>
        <v>Meat/Poultry</v>
      </c>
      <c r="J1265" s="9">
        <f>VLOOKUP(revenue[productID],products[],IF(YEAR(revenue[orderDate])=2022,8,IF(YEAR(revenue[orderDate])=2023,9,IF(YEAR(revenue[orderDate])=2024,10,NA))),FALSE)</f>
        <v>24.83130504</v>
      </c>
      <c r="K1265" s="9">
        <v>39.0</v>
      </c>
      <c r="L1265" s="25">
        <f>(revenue[orderPrice]-revenue[productCost])/revenue[productCost]</f>
        <v>0.5705980792</v>
      </c>
      <c r="M1265" s="10">
        <v>20.0</v>
      </c>
      <c r="N1265" s="25">
        <v>0.05</v>
      </c>
      <c r="O1265" s="9">
        <f>revenue[orderPrice]*revenue[orderQuantity]</f>
        <v>780</v>
      </c>
      <c r="P1265" s="9">
        <f>revenue[orderTotal]*(1-revenue[discountApllied])</f>
        <v>741</v>
      </c>
      <c r="Q1265" s="9">
        <f>revenue[revenue]-(revenue[productCost]*revenue[orderQuantity])</f>
        <v>244.3738992</v>
      </c>
      <c r="R1265" s="25">
        <f>IFERROR(revenue[profit]/revenue[revenue], 0)</f>
        <v>0.3297893377</v>
      </c>
      <c r="S1265" s="9">
        <f>revenue[productCost]*revenue[orderQuantity]</f>
        <v>496.6261008</v>
      </c>
    </row>
    <row r="1266" ht="15.75" customHeight="1">
      <c r="A1266" s="6">
        <v>10727.0</v>
      </c>
      <c r="B1266" s="7" t="s">
        <v>45</v>
      </c>
      <c r="C1266" s="24" t="str">
        <f>VLOOKUP(revenue[customerID],customers[],2,FALSE)</f>
        <v>Reggiani Caseifici</v>
      </c>
      <c r="D1266" s="24" t="str">
        <f>VLOOKUP(revenue[customerID],customers[],6,FALSE)</f>
        <v>Reggio Emilia</v>
      </c>
      <c r="E1266" s="24" t="str">
        <f>VLOOKUP(revenue[customerID],customers[],9,FALSE)</f>
        <v>Italy</v>
      </c>
      <c r="F1266" s="24">
        <v>45233.0</v>
      </c>
      <c r="G1266" s="6">
        <v>56.0</v>
      </c>
      <c r="H1266" s="9" t="str">
        <f>VLOOKUP(revenue[productID],products[],2,FALSE)</f>
        <v>Gnocchi di nonna Alice</v>
      </c>
      <c r="I1266" s="9" t="str">
        <f>VLOOKUP(revenue[productID],products[],12,FALSE)</f>
        <v>Grains/Cereals</v>
      </c>
      <c r="J1266" s="9">
        <f>VLOOKUP(revenue[productID],products[],IF(YEAR(revenue[orderDate])=2022,8,IF(YEAR(revenue[orderDate])=2023,9,IF(YEAR(revenue[orderDate])=2024,10,NA))),FALSE)</f>
        <v>24.28342441</v>
      </c>
      <c r="K1266" s="9">
        <v>38.0</v>
      </c>
      <c r="L1266" s="25">
        <f>(revenue[orderPrice]-revenue[productCost])/revenue[productCost]</f>
        <v>0.5648534309</v>
      </c>
      <c r="M1266" s="10">
        <v>10.0</v>
      </c>
      <c r="N1266" s="25">
        <v>0.05</v>
      </c>
      <c r="O1266" s="9">
        <f>revenue[orderPrice]*revenue[orderQuantity]</f>
        <v>380</v>
      </c>
      <c r="P1266" s="9">
        <f>revenue[orderTotal]*(1-revenue[discountApllied])</f>
        <v>361</v>
      </c>
      <c r="Q1266" s="9">
        <f>revenue[revenue]-(revenue[productCost]*revenue[orderQuantity])</f>
        <v>118.1657559</v>
      </c>
      <c r="R1266" s="25">
        <f>IFERROR(revenue[profit]/revenue[revenue], 0)</f>
        <v>0.3273289638</v>
      </c>
      <c r="S1266" s="9">
        <f>revenue[productCost]*revenue[orderQuantity]</f>
        <v>242.8342441</v>
      </c>
    </row>
    <row r="1267" ht="15.75" customHeight="1">
      <c r="A1267" s="6">
        <v>10727.0</v>
      </c>
      <c r="B1267" s="7" t="s">
        <v>45</v>
      </c>
      <c r="C1267" s="24" t="str">
        <f>VLOOKUP(revenue[customerID],customers[],2,FALSE)</f>
        <v>Reggiani Caseifici</v>
      </c>
      <c r="D1267" s="24" t="str">
        <f>VLOOKUP(revenue[customerID],customers[],6,FALSE)</f>
        <v>Reggio Emilia</v>
      </c>
      <c r="E1267" s="24" t="str">
        <f>VLOOKUP(revenue[customerID],customers[],9,FALSE)</f>
        <v>Italy</v>
      </c>
      <c r="F1267" s="24">
        <v>45233.0</v>
      </c>
      <c r="G1267" s="6">
        <v>59.0</v>
      </c>
      <c r="H1267" s="9" t="str">
        <f>VLOOKUP(revenue[productID],products[],2,FALSE)</f>
        <v>Raclette Courdavault</v>
      </c>
      <c r="I1267" s="9" t="str">
        <f>VLOOKUP(revenue[productID],products[],12,FALSE)</f>
        <v>Dairy Products</v>
      </c>
      <c r="J1267" s="9">
        <f>VLOOKUP(revenue[productID],products[],IF(YEAR(revenue[orderDate])=2022,8,IF(YEAR(revenue[orderDate])=2023,9,IF(YEAR(revenue[orderDate])=2024,10,NA))),FALSE)</f>
        <v>35.20472566</v>
      </c>
      <c r="K1267" s="9">
        <v>55.0</v>
      </c>
      <c r="L1267" s="25">
        <f>(revenue[orderPrice]-revenue[productCost])/revenue[productCost]</f>
        <v>0.5622902598</v>
      </c>
      <c r="M1267" s="10">
        <v>10.0</v>
      </c>
      <c r="N1267" s="25">
        <v>0.05</v>
      </c>
      <c r="O1267" s="9">
        <f>revenue[orderPrice]*revenue[orderQuantity]</f>
        <v>550</v>
      </c>
      <c r="P1267" s="9">
        <f>revenue[orderTotal]*(1-revenue[discountApllied])</f>
        <v>522.5</v>
      </c>
      <c r="Q1267" s="9">
        <f>revenue[revenue]-(revenue[productCost]*revenue[orderQuantity])</f>
        <v>170.4527434</v>
      </c>
      <c r="R1267" s="25">
        <f>IFERROR(revenue[profit]/revenue[revenue], 0)</f>
        <v>0.3262253462</v>
      </c>
      <c r="S1267" s="9">
        <f>revenue[productCost]*revenue[orderQuantity]</f>
        <v>352.0472566</v>
      </c>
    </row>
    <row r="1268" ht="15.75" customHeight="1">
      <c r="A1268" s="6">
        <v>10728.0</v>
      </c>
      <c r="B1268" s="7" t="s">
        <v>77</v>
      </c>
      <c r="C1268" s="24" t="str">
        <f>VLOOKUP(revenue[customerID],customers[],2,FALSE)</f>
        <v>Queen Cozinha</v>
      </c>
      <c r="D1268" s="24" t="str">
        <f>VLOOKUP(revenue[customerID],customers[],6,FALSE)</f>
        <v>Sao Paulo</v>
      </c>
      <c r="E1268" s="24" t="str">
        <f>VLOOKUP(revenue[customerID],customers[],9,FALSE)</f>
        <v>Brazil</v>
      </c>
      <c r="F1268" s="24">
        <v>45234.0</v>
      </c>
      <c r="G1268" s="6">
        <v>30.0</v>
      </c>
      <c r="H1268" s="9" t="str">
        <f>VLOOKUP(revenue[productID],products[],2,FALSE)</f>
        <v>Nord-Ost Matjeshering</v>
      </c>
      <c r="I1268" s="9" t="str">
        <f>VLOOKUP(revenue[productID],products[],12,FALSE)</f>
        <v>Seafood</v>
      </c>
      <c r="J1268" s="9">
        <f>VLOOKUP(revenue[productID],products[],IF(YEAR(revenue[orderDate])=2022,8,IF(YEAR(revenue[orderDate])=2023,9,IF(YEAR(revenue[orderDate])=2024,10,NA))),FALSE)</f>
        <v>16.03885249</v>
      </c>
      <c r="K1268" s="9">
        <v>25.89</v>
      </c>
      <c r="L1268" s="25">
        <f>(revenue[orderPrice]-revenue[productCost])/revenue[productCost]</f>
        <v>0.6142052564</v>
      </c>
      <c r="M1268" s="10">
        <v>15.0</v>
      </c>
      <c r="N1268" s="25">
        <v>0.0</v>
      </c>
      <c r="O1268" s="9">
        <f>revenue[orderPrice]*revenue[orderQuantity]</f>
        <v>388.35</v>
      </c>
      <c r="P1268" s="9">
        <f>revenue[orderTotal]*(1-revenue[discountApllied])</f>
        <v>388.35</v>
      </c>
      <c r="Q1268" s="9">
        <f>revenue[revenue]-(revenue[productCost]*revenue[orderQuantity])</f>
        <v>147.7672126</v>
      </c>
      <c r="R1268" s="25">
        <f>IFERROR(revenue[profit]/revenue[revenue], 0)</f>
        <v>0.3805000968</v>
      </c>
      <c r="S1268" s="9">
        <f>revenue[productCost]*revenue[orderQuantity]</f>
        <v>240.5827874</v>
      </c>
    </row>
    <row r="1269" ht="15.75" customHeight="1">
      <c r="A1269" s="6">
        <v>10728.0</v>
      </c>
      <c r="B1269" s="7" t="s">
        <v>77</v>
      </c>
      <c r="C1269" s="24" t="str">
        <f>VLOOKUP(revenue[customerID],customers[],2,FALSE)</f>
        <v>Queen Cozinha</v>
      </c>
      <c r="D1269" s="24" t="str">
        <f>VLOOKUP(revenue[customerID],customers[],6,FALSE)</f>
        <v>Sao Paulo</v>
      </c>
      <c r="E1269" s="24" t="str">
        <f>VLOOKUP(revenue[customerID],customers[],9,FALSE)</f>
        <v>Brazil</v>
      </c>
      <c r="F1269" s="24">
        <v>45234.0</v>
      </c>
      <c r="G1269" s="6">
        <v>40.0</v>
      </c>
      <c r="H1269" s="9" t="str">
        <f>VLOOKUP(revenue[productID],products[],2,FALSE)</f>
        <v>Boston Crab Meat</v>
      </c>
      <c r="I1269" s="9" t="str">
        <f>VLOOKUP(revenue[productID],products[],12,FALSE)</f>
        <v>Seafood</v>
      </c>
      <c r="J1269" s="9">
        <f>VLOOKUP(revenue[productID],products[],IF(YEAR(revenue[orderDate])=2022,8,IF(YEAR(revenue[orderDate])=2023,9,IF(YEAR(revenue[orderDate])=2024,10,NA))),FALSE)</f>
        <v>11.40496523</v>
      </c>
      <c r="K1269" s="9">
        <v>18.4</v>
      </c>
      <c r="L1269" s="25">
        <f>(revenue[orderPrice]-revenue[productCost])/revenue[productCost]</f>
        <v>0.6133324069</v>
      </c>
      <c r="M1269" s="10">
        <v>6.0</v>
      </c>
      <c r="N1269" s="25">
        <v>0.0</v>
      </c>
      <c r="O1269" s="9">
        <f>revenue[orderPrice]*revenue[orderQuantity]</f>
        <v>110.4</v>
      </c>
      <c r="P1269" s="9">
        <f>revenue[orderTotal]*(1-revenue[discountApllied])</f>
        <v>110.4</v>
      </c>
      <c r="Q1269" s="9">
        <f>revenue[revenue]-(revenue[productCost]*revenue[orderQuantity])</f>
        <v>41.97020864</v>
      </c>
      <c r="R1269" s="25">
        <f>IFERROR(revenue[profit]/revenue[revenue], 0)</f>
        <v>0.3801649333</v>
      </c>
      <c r="S1269" s="9">
        <f>revenue[productCost]*revenue[orderQuantity]</f>
        <v>68.42979136</v>
      </c>
    </row>
    <row r="1270" ht="15.75" customHeight="1">
      <c r="A1270" s="6">
        <v>10728.0</v>
      </c>
      <c r="B1270" s="7" t="s">
        <v>77</v>
      </c>
      <c r="C1270" s="24" t="str">
        <f>VLOOKUP(revenue[customerID],customers[],2,FALSE)</f>
        <v>Queen Cozinha</v>
      </c>
      <c r="D1270" s="24" t="str">
        <f>VLOOKUP(revenue[customerID],customers[],6,FALSE)</f>
        <v>Sao Paulo</v>
      </c>
      <c r="E1270" s="24" t="str">
        <f>VLOOKUP(revenue[customerID],customers[],9,FALSE)</f>
        <v>Brazil</v>
      </c>
      <c r="F1270" s="24">
        <v>45234.0</v>
      </c>
      <c r="G1270" s="6">
        <v>55.0</v>
      </c>
      <c r="H1270" s="9" t="str">
        <f>VLOOKUP(revenue[productID],products[],2,FALSE)</f>
        <v>Pâté chinois</v>
      </c>
      <c r="I1270" s="9" t="str">
        <f>VLOOKUP(revenue[productID],products[],12,FALSE)</f>
        <v>Meat/Poultry</v>
      </c>
      <c r="J1270" s="9">
        <f>VLOOKUP(revenue[productID],products[],IF(YEAR(revenue[orderDate])=2022,8,IF(YEAR(revenue[orderDate])=2023,9,IF(YEAR(revenue[orderDate])=2024,10,NA))),FALSE)</f>
        <v>14.92398776</v>
      </c>
      <c r="K1270" s="9">
        <v>24.0</v>
      </c>
      <c r="L1270" s="25">
        <f>(revenue[orderPrice]-revenue[productCost])/revenue[productCost]</f>
        <v>0.6081492681</v>
      </c>
      <c r="M1270" s="10">
        <v>12.0</v>
      </c>
      <c r="N1270" s="25">
        <v>0.0</v>
      </c>
      <c r="O1270" s="9">
        <f>revenue[orderPrice]*revenue[orderQuantity]</f>
        <v>288</v>
      </c>
      <c r="P1270" s="9">
        <f>revenue[orderTotal]*(1-revenue[discountApllied])</f>
        <v>288</v>
      </c>
      <c r="Q1270" s="9">
        <f>revenue[revenue]-(revenue[productCost]*revenue[orderQuantity])</f>
        <v>108.9121468</v>
      </c>
      <c r="R1270" s="25">
        <f>IFERROR(revenue[profit]/revenue[revenue], 0)</f>
        <v>0.3781671765</v>
      </c>
      <c r="S1270" s="9">
        <f>revenue[productCost]*revenue[orderQuantity]</f>
        <v>179.0878532</v>
      </c>
    </row>
    <row r="1271" ht="15.75" customHeight="1">
      <c r="A1271" s="6">
        <v>10728.0</v>
      </c>
      <c r="B1271" s="7" t="s">
        <v>77</v>
      </c>
      <c r="C1271" s="24" t="str">
        <f>VLOOKUP(revenue[customerID],customers[],2,FALSE)</f>
        <v>Queen Cozinha</v>
      </c>
      <c r="D1271" s="24" t="str">
        <f>VLOOKUP(revenue[customerID],customers[],6,FALSE)</f>
        <v>Sao Paulo</v>
      </c>
      <c r="E1271" s="24" t="str">
        <f>VLOOKUP(revenue[customerID],customers[],9,FALSE)</f>
        <v>Brazil</v>
      </c>
      <c r="F1271" s="24">
        <v>45234.0</v>
      </c>
      <c r="G1271" s="6">
        <v>60.0</v>
      </c>
      <c r="H1271" s="9" t="str">
        <f>VLOOKUP(revenue[productID],products[],2,FALSE)</f>
        <v>Camembert Pierrot</v>
      </c>
      <c r="I1271" s="9" t="str">
        <f>VLOOKUP(revenue[productID],products[],12,FALSE)</f>
        <v>Dairy Products</v>
      </c>
      <c r="J1271" s="9">
        <f>VLOOKUP(revenue[productID],products[],IF(YEAR(revenue[orderDate])=2022,8,IF(YEAR(revenue[orderDate])=2023,9,IF(YEAR(revenue[orderDate])=2024,10,NA))),FALSE)</f>
        <v>22.77098295</v>
      </c>
      <c r="K1271" s="9">
        <v>34.0</v>
      </c>
      <c r="L1271" s="25">
        <f>(revenue[orderPrice]-revenue[productCost])/revenue[productCost]</f>
        <v>0.4931283415</v>
      </c>
      <c r="M1271" s="10">
        <v>15.0</v>
      </c>
      <c r="N1271" s="25">
        <v>0.0</v>
      </c>
      <c r="O1271" s="9">
        <f>revenue[orderPrice]*revenue[orderQuantity]</f>
        <v>510</v>
      </c>
      <c r="P1271" s="9">
        <f>revenue[orderTotal]*(1-revenue[discountApllied])</f>
        <v>510</v>
      </c>
      <c r="Q1271" s="9">
        <f>revenue[revenue]-(revenue[productCost]*revenue[orderQuantity])</f>
        <v>168.4352558</v>
      </c>
      <c r="R1271" s="25">
        <f>IFERROR(revenue[profit]/revenue[revenue], 0)</f>
        <v>0.3302652075</v>
      </c>
      <c r="S1271" s="9">
        <f>revenue[productCost]*revenue[orderQuantity]</f>
        <v>341.5647442</v>
      </c>
    </row>
    <row r="1272" ht="15.75" customHeight="1">
      <c r="A1272" s="6">
        <v>10729.0</v>
      </c>
      <c r="B1272" s="7" t="s">
        <v>82</v>
      </c>
      <c r="C1272" s="24" t="str">
        <f>VLOOKUP(revenue[customerID],customers[],2,FALSE)</f>
        <v>LINO-Delicateses</v>
      </c>
      <c r="D1272" s="24" t="str">
        <f>VLOOKUP(revenue[customerID],customers[],6,FALSE)</f>
        <v>I. de Margarita</v>
      </c>
      <c r="E1272" s="24" t="str">
        <f>VLOOKUP(revenue[customerID],customers[],9,FALSE)</f>
        <v>Venezuela</v>
      </c>
      <c r="F1272" s="24">
        <v>45234.0</v>
      </c>
      <c r="G1272" s="6">
        <v>1.0</v>
      </c>
      <c r="H1272" s="9" t="str">
        <f>VLOOKUP(revenue[productID],products[],2,FALSE)</f>
        <v>Chai</v>
      </c>
      <c r="I1272" s="9" t="str">
        <f>VLOOKUP(revenue[productID],products[],12,FALSE)</f>
        <v>Beverages</v>
      </c>
      <c r="J1272" s="9">
        <f>VLOOKUP(revenue[productID],products[],IF(YEAR(revenue[orderDate])=2022,8,IF(YEAR(revenue[orderDate])=2023,9,IF(YEAR(revenue[orderDate])=2024,10,NA))),FALSE)</f>
        <v>12.15847607</v>
      </c>
      <c r="K1272" s="9">
        <v>18.0</v>
      </c>
      <c r="L1272" s="25">
        <f>(revenue[orderPrice]-revenue[productCost])/revenue[productCost]</f>
        <v>0.4804486927</v>
      </c>
      <c r="M1272" s="10">
        <v>50.0</v>
      </c>
      <c r="N1272" s="25">
        <v>0.0</v>
      </c>
      <c r="O1272" s="9">
        <f>revenue[orderPrice]*revenue[orderQuantity]</f>
        <v>900</v>
      </c>
      <c r="P1272" s="9">
        <f>revenue[orderTotal]*(1-revenue[discountApllied])</f>
        <v>900</v>
      </c>
      <c r="Q1272" s="9">
        <f>revenue[revenue]-(revenue[productCost]*revenue[orderQuantity])</f>
        <v>292.0761966</v>
      </c>
      <c r="R1272" s="25">
        <f>IFERROR(revenue[profit]/revenue[revenue], 0)</f>
        <v>0.3245291073</v>
      </c>
      <c r="S1272" s="9">
        <f>revenue[productCost]*revenue[orderQuantity]</f>
        <v>607.9238034</v>
      </c>
    </row>
    <row r="1273" ht="15.75" customHeight="1">
      <c r="A1273" s="6">
        <v>10729.0</v>
      </c>
      <c r="B1273" s="7" t="s">
        <v>82</v>
      </c>
      <c r="C1273" s="24" t="str">
        <f>VLOOKUP(revenue[customerID],customers[],2,FALSE)</f>
        <v>LINO-Delicateses</v>
      </c>
      <c r="D1273" s="24" t="str">
        <f>VLOOKUP(revenue[customerID],customers[],6,FALSE)</f>
        <v>I. de Margarita</v>
      </c>
      <c r="E1273" s="24" t="str">
        <f>VLOOKUP(revenue[customerID],customers[],9,FALSE)</f>
        <v>Venezuela</v>
      </c>
      <c r="F1273" s="24">
        <v>45234.0</v>
      </c>
      <c r="G1273" s="6">
        <v>21.0</v>
      </c>
      <c r="H1273" s="9" t="str">
        <f>VLOOKUP(revenue[productID],products[],2,FALSE)</f>
        <v>Sir Rodney's Scones</v>
      </c>
      <c r="I1273" s="9" t="str">
        <f>VLOOKUP(revenue[productID],products[],12,FALSE)</f>
        <v>Confections</v>
      </c>
      <c r="J1273" s="9">
        <f>VLOOKUP(revenue[productID],products[],IF(YEAR(revenue[orderDate])=2022,8,IF(YEAR(revenue[orderDate])=2023,9,IF(YEAR(revenue[orderDate])=2024,10,NA))),FALSE)</f>
        <v>6.725636111</v>
      </c>
      <c r="K1273" s="9">
        <v>10.0</v>
      </c>
      <c r="L1273" s="25">
        <f>(revenue[orderPrice]-revenue[productCost])/revenue[productCost]</f>
        <v>0.486848208</v>
      </c>
      <c r="M1273" s="10">
        <v>30.0</v>
      </c>
      <c r="N1273" s="25">
        <v>0.0</v>
      </c>
      <c r="O1273" s="9">
        <f>revenue[orderPrice]*revenue[orderQuantity]</f>
        <v>300</v>
      </c>
      <c r="P1273" s="9">
        <f>revenue[orderTotal]*(1-revenue[discountApllied])</f>
        <v>300</v>
      </c>
      <c r="Q1273" s="9">
        <f>revenue[revenue]-(revenue[productCost]*revenue[orderQuantity])</f>
        <v>98.23091666</v>
      </c>
      <c r="R1273" s="25">
        <f>IFERROR(revenue[profit]/revenue[revenue], 0)</f>
        <v>0.3274363889</v>
      </c>
      <c r="S1273" s="9">
        <f>revenue[productCost]*revenue[orderQuantity]</f>
        <v>201.7690833</v>
      </c>
    </row>
    <row r="1274" ht="15.75" customHeight="1">
      <c r="A1274" s="6">
        <v>10729.0</v>
      </c>
      <c r="B1274" s="7" t="s">
        <v>82</v>
      </c>
      <c r="C1274" s="24" t="str">
        <f>VLOOKUP(revenue[customerID],customers[],2,FALSE)</f>
        <v>LINO-Delicateses</v>
      </c>
      <c r="D1274" s="24" t="str">
        <f>VLOOKUP(revenue[customerID],customers[],6,FALSE)</f>
        <v>I. de Margarita</v>
      </c>
      <c r="E1274" s="24" t="str">
        <f>VLOOKUP(revenue[customerID],customers[],9,FALSE)</f>
        <v>Venezuela</v>
      </c>
      <c r="F1274" s="24">
        <v>45234.0</v>
      </c>
      <c r="G1274" s="6">
        <v>50.0</v>
      </c>
      <c r="H1274" s="9" t="str">
        <f>VLOOKUP(revenue[productID],products[],2,FALSE)</f>
        <v>Valkoinen suklaa</v>
      </c>
      <c r="I1274" s="9" t="str">
        <f>VLOOKUP(revenue[productID],products[],12,FALSE)</f>
        <v>Confections</v>
      </c>
      <c r="J1274" s="9">
        <f>VLOOKUP(revenue[productID],products[],IF(YEAR(revenue[orderDate])=2022,8,IF(YEAR(revenue[orderDate])=2023,9,IF(YEAR(revenue[orderDate])=2024,10,NA))),FALSE)</f>
        <v>11.16021436</v>
      </c>
      <c r="K1274" s="9">
        <v>16.25</v>
      </c>
      <c r="L1274" s="25">
        <f>(revenue[orderPrice]-revenue[productCost])/revenue[productCost]</f>
        <v>0.4560652217</v>
      </c>
      <c r="M1274" s="10">
        <v>40.0</v>
      </c>
      <c r="N1274" s="25">
        <v>0.0</v>
      </c>
      <c r="O1274" s="9">
        <f>revenue[orderPrice]*revenue[orderQuantity]</f>
        <v>650</v>
      </c>
      <c r="P1274" s="9">
        <f>revenue[orderTotal]*(1-revenue[discountApllied])</f>
        <v>650</v>
      </c>
      <c r="Q1274" s="9">
        <f>revenue[revenue]-(revenue[productCost]*revenue[orderQuantity])</f>
        <v>203.5914255</v>
      </c>
      <c r="R1274" s="25">
        <f>IFERROR(revenue[profit]/revenue[revenue], 0)</f>
        <v>0.3132175777</v>
      </c>
      <c r="S1274" s="9">
        <f>revenue[productCost]*revenue[orderQuantity]</f>
        <v>446.4085745</v>
      </c>
    </row>
    <row r="1275" ht="15.75" customHeight="1">
      <c r="A1275" s="6">
        <v>10730.0</v>
      </c>
      <c r="B1275" s="7" t="s">
        <v>63</v>
      </c>
      <c r="C1275" s="24" t="str">
        <f>VLOOKUP(revenue[customerID],customers[],2,FALSE)</f>
        <v>Bon app'</v>
      </c>
      <c r="D1275" s="24" t="str">
        <f>VLOOKUP(revenue[customerID],customers[],6,FALSE)</f>
        <v>Marseille</v>
      </c>
      <c r="E1275" s="24" t="str">
        <f>VLOOKUP(revenue[customerID],customers[],9,FALSE)</f>
        <v>France</v>
      </c>
      <c r="F1275" s="24">
        <v>45235.0</v>
      </c>
      <c r="G1275" s="6">
        <v>16.0</v>
      </c>
      <c r="H1275" s="9" t="str">
        <f>VLOOKUP(revenue[productID],products[],2,FALSE)</f>
        <v>Pavlova</v>
      </c>
      <c r="I1275" s="9" t="str">
        <f>VLOOKUP(revenue[productID],products[],12,FALSE)</f>
        <v>Confections</v>
      </c>
      <c r="J1275" s="9">
        <f>VLOOKUP(revenue[productID],products[],IF(YEAR(revenue[orderDate])=2022,8,IF(YEAR(revenue[orderDate])=2023,9,IF(YEAR(revenue[orderDate])=2024,10,NA))),FALSE)</f>
        <v>11.98504839</v>
      </c>
      <c r="K1275" s="9">
        <v>17.45</v>
      </c>
      <c r="L1275" s="25">
        <f>(revenue[orderPrice]-revenue[productCost])/revenue[productCost]</f>
        <v>0.455980771</v>
      </c>
      <c r="M1275" s="10">
        <v>15.0</v>
      </c>
      <c r="N1275" s="25">
        <v>0.05</v>
      </c>
      <c r="O1275" s="9">
        <f>revenue[orderPrice]*revenue[orderQuantity]</f>
        <v>261.75</v>
      </c>
      <c r="P1275" s="9">
        <f>revenue[orderTotal]*(1-revenue[discountApllied])</f>
        <v>248.6625</v>
      </c>
      <c r="Q1275" s="9">
        <f>revenue[revenue]-(revenue[productCost]*revenue[orderQuantity])</f>
        <v>68.88677411</v>
      </c>
      <c r="R1275" s="25">
        <f>IFERROR(revenue[profit]/revenue[revenue], 0)</f>
        <v>0.2770292027</v>
      </c>
      <c r="S1275" s="9">
        <f>revenue[productCost]*revenue[orderQuantity]</f>
        <v>179.7757259</v>
      </c>
    </row>
    <row r="1276" ht="15.75" customHeight="1">
      <c r="A1276" s="6">
        <v>10730.0</v>
      </c>
      <c r="B1276" s="7" t="s">
        <v>63</v>
      </c>
      <c r="C1276" s="24" t="str">
        <f>VLOOKUP(revenue[customerID],customers[],2,FALSE)</f>
        <v>Bon app'</v>
      </c>
      <c r="D1276" s="24" t="str">
        <f>VLOOKUP(revenue[customerID],customers[],6,FALSE)</f>
        <v>Marseille</v>
      </c>
      <c r="E1276" s="24" t="str">
        <f>VLOOKUP(revenue[customerID],customers[],9,FALSE)</f>
        <v>France</v>
      </c>
      <c r="F1276" s="24">
        <v>45235.0</v>
      </c>
      <c r="G1276" s="6">
        <v>31.0</v>
      </c>
      <c r="H1276" s="9" t="str">
        <f>VLOOKUP(revenue[productID],products[],2,FALSE)</f>
        <v>Gorgonzola Telino</v>
      </c>
      <c r="I1276" s="9" t="str">
        <f>VLOOKUP(revenue[productID],products[],12,FALSE)</f>
        <v>Dairy Products</v>
      </c>
      <c r="J1276" s="9">
        <f>VLOOKUP(revenue[productID],products[],IF(YEAR(revenue[orderDate])=2022,8,IF(YEAR(revenue[orderDate])=2023,9,IF(YEAR(revenue[orderDate])=2024,10,NA))),FALSE)</f>
        <v>7.937729254</v>
      </c>
      <c r="K1276" s="9">
        <v>12.5</v>
      </c>
      <c r="L1276" s="25">
        <f>(revenue[orderPrice]-revenue[productCost])/revenue[productCost]</f>
        <v>0.5747576668</v>
      </c>
      <c r="M1276" s="10">
        <v>3.0</v>
      </c>
      <c r="N1276" s="25">
        <v>0.05</v>
      </c>
      <c r="O1276" s="9">
        <f>revenue[orderPrice]*revenue[orderQuantity]</f>
        <v>37.5</v>
      </c>
      <c r="P1276" s="9">
        <f>revenue[orderTotal]*(1-revenue[discountApllied])</f>
        <v>35.625</v>
      </c>
      <c r="Q1276" s="9">
        <f>revenue[revenue]-(revenue[productCost]*revenue[orderQuantity])</f>
        <v>11.81181224</v>
      </c>
      <c r="R1276" s="25">
        <f>IFERROR(revenue[profit]/revenue[revenue], 0)</f>
        <v>0.3315596417</v>
      </c>
      <c r="S1276" s="9">
        <f>revenue[productCost]*revenue[orderQuantity]</f>
        <v>23.81318776</v>
      </c>
    </row>
    <row r="1277" ht="15.75" customHeight="1">
      <c r="A1277" s="6">
        <v>10730.0</v>
      </c>
      <c r="B1277" s="7" t="s">
        <v>63</v>
      </c>
      <c r="C1277" s="24" t="str">
        <f>VLOOKUP(revenue[customerID],customers[],2,FALSE)</f>
        <v>Bon app'</v>
      </c>
      <c r="D1277" s="24" t="str">
        <f>VLOOKUP(revenue[customerID],customers[],6,FALSE)</f>
        <v>Marseille</v>
      </c>
      <c r="E1277" s="24" t="str">
        <f>VLOOKUP(revenue[customerID],customers[],9,FALSE)</f>
        <v>France</v>
      </c>
      <c r="F1277" s="24">
        <v>45235.0</v>
      </c>
      <c r="G1277" s="6">
        <v>65.0</v>
      </c>
      <c r="H1277" s="9" t="str">
        <f>VLOOKUP(revenue[productID],products[],2,FALSE)</f>
        <v>Louisiana Fiery Hot Pepper Sauce</v>
      </c>
      <c r="I1277" s="9" t="str">
        <f>VLOOKUP(revenue[productID],products[],12,FALSE)</f>
        <v>Condiments</v>
      </c>
      <c r="J1277" s="9">
        <f>VLOOKUP(revenue[productID],products[],IF(YEAR(revenue[orderDate])=2022,8,IF(YEAR(revenue[orderDate])=2023,9,IF(YEAR(revenue[orderDate])=2024,10,NA))),FALSE)</f>
        <v>13.21122243</v>
      </c>
      <c r="K1277" s="9">
        <v>21.05</v>
      </c>
      <c r="L1277" s="25">
        <f>(revenue[orderPrice]-revenue[productCost])/revenue[productCost]</f>
        <v>0.593342335</v>
      </c>
      <c r="M1277" s="10">
        <v>10.0</v>
      </c>
      <c r="N1277" s="25">
        <v>0.05</v>
      </c>
      <c r="O1277" s="9">
        <f>revenue[orderPrice]*revenue[orderQuantity]</f>
        <v>210.5</v>
      </c>
      <c r="P1277" s="9">
        <f>revenue[orderTotal]*(1-revenue[discountApllied])</f>
        <v>199.975</v>
      </c>
      <c r="Q1277" s="9">
        <f>revenue[revenue]-(revenue[productCost]*revenue[orderQuantity])</f>
        <v>67.86277567</v>
      </c>
      <c r="R1277" s="25">
        <f>IFERROR(revenue[profit]/revenue[revenue], 0)</f>
        <v>0.3393562979</v>
      </c>
      <c r="S1277" s="9">
        <f>revenue[productCost]*revenue[orderQuantity]</f>
        <v>132.1122243</v>
      </c>
    </row>
    <row r="1278" ht="15.75" customHeight="1">
      <c r="A1278" s="6">
        <v>10731.0</v>
      </c>
      <c r="B1278" s="7" t="s">
        <v>20</v>
      </c>
      <c r="C1278" s="24" t="str">
        <f>VLOOKUP(revenue[customerID],customers[],2,FALSE)</f>
        <v>Chop-suey Chinese</v>
      </c>
      <c r="D1278" s="24" t="str">
        <f>VLOOKUP(revenue[customerID],customers[],6,FALSE)</f>
        <v>Bern</v>
      </c>
      <c r="E1278" s="24" t="str">
        <f>VLOOKUP(revenue[customerID],customers[],9,FALSE)</f>
        <v>Switzerland</v>
      </c>
      <c r="F1278" s="24">
        <v>45236.0</v>
      </c>
      <c r="G1278" s="6">
        <v>21.0</v>
      </c>
      <c r="H1278" s="9" t="str">
        <f>VLOOKUP(revenue[productID],products[],2,FALSE)</f>
        <v>Sir Rodney's Scones</v>
      </c>
      <c r="I1278" s="9" t="str">
        <f>VLOOKUP(revenue[productID],products[],12,FALSE)</f>
        <v>Confections</v>
      </c>
      <c r="J1278" s="9">
        <f>VLOOKUP(revenue[productID],products[],IF(YEAR(revenue[orderDate])=2022,8,IF(YEAR(revenue[orderDate])=2023,9,IF(YEAR(revenue[orderDate])=2024,10,NA))),FALSE)</f>
        <v>6.725636111</v>
      </c>
      <c r="K1278" s="9">
        <v>10.0</v>
      </c>
      <c r="L1278" s="25">
        <f>(revenue[orderPrice]-revenue[productCost])/revenue[productCost]</f>
        <v>0.486848208</v>
      </c>
      <c r="M1278" s="10">
        <v>40.0</v>
      </c>
      <c r="N1278" s="25">
        <v>0.05</v>
      </c>
      <c r="O1278" s="9">
        <f>revenue[orderPrice]*revenue[orderQuantity]</f>
        <v>400</v>
      </c>
      <c r="P1278" s="9">
        <f>revenue[orderTotal]*(1-revenue[discountApllied])</f>
        <v>380</v>
      </c>
      <c r="Q1278" s="9">
        <f>revenue[revenue]-(revenue[productCost]*revenue[orderQuantity])</f>
        <v>110.9745555</v>
      </c>
      <c r="R1278" s="25">
        <f>IFERROR(revenue[profit]/revenue[revenue], 0)</f>
        <v>0.2920383041</v>
      </c>
      <c r="S1278" s="9">
        <f>revenue[productCost]*revenue[orderQuantity]</f>
        <v>269.0254445</v>
      </c>
    </row>
    <row r="1279" ht="15.75" customHeight="1">
      <c r="A1279" s="6">
        <v>10731.0</v>
      </c>
      <c r="B1279" s="7" t="s">
        <v>20</v>
      </c>
      <c r="C1279" s="24" t="str">
        <f>VLOOKUP(revenue[customerID],customers[],2,FALSE)</f>
        <v>Chop-suey Chinese</v>
      </c>
      <c r="D1279" s="24" t="str">
        <f>VLOOKUP(revenue[customerID],customers[],6,FALSE)</f>
        <v>Bern</v>
      </c>
      <c r="E1279" s="24" t="str">
        <f>VLOOKUP(revenue[customerID],customers[],9,FALSE)</f>
        <v>Switzerland</v>
      </c>
      <c r="F1279" s="24">
        <v>45236.0</v>
      </c>
      <c r="G1279" s="6">
        <v>51.0</v>
      </c>
      <c r="H1279" s="9" t="str">
        <f>VLOOKUP(revenue[productID],products[],2,FALSE)</f>
        <v>Manjimup Dried Apples</v>
      </c>
      <c r="I1279" s="9" t="str">
        <f>VLOOKUP(revenue[productID],products[],12,FALSE)</f>
        <v>Produce</v>
      </c>
      <c r="J1279" s="9">
        <f>VLOOKUP(revenue[productID],products[],IF(YEAR(revenue[orderDate])=2022,8,IF(YEAR(revenue[orderDate])=2023,9,IF(YEAR(revenue[orderDate])=2024,10,NA))),FALSE)</f>
        <v>36.88798027</v>
      </c>
      <c r="K1279" s="9">
        <v>53.0</v>
      </c>
      <c r="L1279" s="25">
        <f>(revenue[orderPrice]-revenue[productCost])/revenue[productCost]</f>
        <v>0.4367823779</v>
      </c>
      <c r="M1279" s="10">
        <v>30.0</v>
      </c>
      <c r="N1279" s="25">
        <v>0.05</v>
      </c>
      <c r="O1279" s="9">
        <f>revenue[orderPrice]*revenue[orderQuantity]</f>
        <v>1590</v>
      </c>
      <c r="P1279" s="9">
        <f>revenue[orderTotal]*(1-revenue[discountApllied])</f>
        <v>1510.5</v>
      </c>
      <c r="Q1279" s="9">
        <f>revenue[revenue]-(revenue[productCost]*revenue[orderQuantity])</f>
        <v>403.860592</v>
      </c>
      <c r="R1279" s="25">
        <f>IFERROR(revenue[profit]/revenue[revenue], 0)</f>
        <v>0.267368813</v>
      </c>
      <c r="S1279" s="9">
        <f>revenue[productCost]*revenue[orderQuantity]</f>
        <v>1106.639408</v>
      </c>
    </row>
    <row r="1280" ht="15.75" customHeight="1">
      <c r="A1280" s="6">
        <v>10732.0</v>
      </c>
      <c r="B1280" s="7" t="s">
        <v>63</v>
      </c>
      <c r="C1280" s="24" t="str">
        <f>VLOOKUP(revenue[customerID],customers[],2,FALSE)</f>
        <v>Bon app'</v>
      </c>
      <c r="D1280" s="24" t="str">
        <f>VLOOKUP(revenue[customerID],customers[],6,FALSE)</f>
        <v>Marseille</v>
      </c>
      <c r="E1280" s="24" t="str">
        <f>VLOOKUP(revenue[customerID],customers[],9,FALSE)</f>
        <v>France</v>
      </c>
      <c r="F1280" s="24">
        <v>45236.0</v>
      </c>
      <c r="G1280" s="6">
        <v>76.0</v>
      </c>
      <c r="H1280" s="9" t="str">
        <f>VLOOKUP(revenue[productID],products[],2,FALSE)</f>
        <v>Lakkalikööri</v>
      </c>
      <c r="I1280" s="9" t="str">
        <f>VLOOKUP(revenue[productID],products[],12,FALSE)</f>
        <v>Beverages</v>
      </c>
      <c r="J1280" s="9">
        <f>VLOOKUP(revenue[productID],products[],IF(YEAR(revenue[orderDate])=2022,8,IF(YEAR(revenue[orderDate])=2023,9,IF(YEAR(revenue[orderDate])=2024,10,NA))),FALSE)</f>
        <v>12.1154529</v>
      </c>
      <c r="K1280" s="9">
        <v>18.0</v>
      </c>
      <c r="L1280" s="25">
        <f>(revenue[orderPrice]-revenue[productCost])/revenue[productCost]</f>
        <v>0.4857059125</v>
      </c>
      <c r="M1280" s="10">
        <v>20.0</v>
      </c>
      <c r="N1280" s="25">
        <v>0.0</v>
      </c>
      <c r="O1280" s="9">
        <f>revenue[orderPrice]*revenue[orderQuantity]</f>
        <v>360</v>
      </c>
      <c r="P1280" s="9">
        <f>revenue[orderTotal]*(1-revenue[discountApllied])</f>
        <v>360</v>
      </c>
      <c r="Q1280" s="9">
        <f>revenue[revenue]-(revenue[productCost]*revenue[orderQuantity])</f>
        <v>117.6909421</v>
      </c>
      <c r="R1280" s="25">
        <f>IFERROR(revenue[profit]/revenue[revenue], 0)</f>
        <v>0.3269192836</v>
      </c>
      <c r="S1280" s="9">
        <f>revenue[productCost]*revenue[orderQuantity]</f>
        <v>242.3090579</v>
      </c>
    </row>
    <row r="1281" ht="15.75" customHeight="1">
      <c r="A1281" s="6">
        <v>10733.0</v>
      </c>
      <c r="B1281" s="7" t="s">
        <v>40</v>
      </c>
      <c r="C1281" s="24" t="str">
        <f>VLOOKUP(revenue[customerID],customers[],2,FALSE)</f>
        <v>Berglunds snabbköp</v>
      </c>
      <c r="D1281" s="24" t="str">
        <f>VLOOKUP(revenue[customerID],customers[],6,FALSE)</f>
        <v>Luleå</v>
      </c>
      <c r="E1281" s="24" t="str">
        <f>VLOOKUP(revenue[customerID],customers[],9,FALSE)</f>
        <v>Sweden</v>
      </c>
      <c r="F1281" s="24">
        <v>45237.0</v>
      </c>
      <c r="G1281" s="6">
        <v>14.0</v>
      </c>
      <c r="H1281" s="9" t="str">
        <f>VLOOKUP(revenue[productID],products[],2,FALSE)</f>
        <v>Tofu</v>
      </c>
      <c r="I1281" s="9" t="str">
        <f>VLOOKUP(revenue[productID],products[],12,FALSE)</f>
        <v>Produce</v>
      </c>
      <c r="J1281" s="9">
        <f>VLOOKUP(revenue[productID],products[],IF(YEAR(revenue[orderDate])=2022,8,IF(YEAR(revenue[orderDate])=2023,9,IF(YEAR(revenue[orderDate])=2024,10,NA))),FALSE)</f>
        <v>15.38055417</v>
      </c>
      <c r="K1281" s="9">
        <v>23.25</v>
      </c>
      <c r="L1281" s="25">
        <f>(revenue[orderPrice]-revenue[productCost])/revenue[productCost]</f>
        <v>0.5116490437</v>
      </c>
      <c r="M1281" s="10">
        <v>16.0</v>
      </c>
      <c r="N1281" s="25">
        <v>0.0</v>
      </c>
      <c r="O1281" s="9">
        <f>revenue[orderPrice]*revenue[orderQuantity]</f>
        <v>372</v>
      </c>
      <c r="P1281" s="9">
        <f>revenue[orderTotal]*(1-revenue[discountApllied])</f>
        <v>372</v>
      </c>
      <c r="Q1281" s="9">
        <f>revenue[revenue]-(revenue[productCost]*revenue[orderQuantity])</f>
        <v>125.9111333</v>
      </c>
      <c r="R1281" s="25">
        <f>IFERROR(revenue[profit]/revenue[revenue], 0)</f>
        <v>0.3384707885</v>
      </c>
      <c r="S1281" s="9">
        <f>revenue[productCost]*revenue[orderQuantity]</f>
        <v>246.0888667</v>
      </c>
    </row>
    <row r="1282" ht="15.75" customHeight="1">
      <c r="A1282" s="6">
        <v>10733.0</v>
      </c>
      <c r="B1282" s="7" t="s">
        <v>40</v>
      </c>
      <c r="C1282" s="24" t="str">
        <f>VLOOKUP(revenue[customerID],customers[],2,FALSE)</f>
        <v>Berglunds snabbköp</v>
      </c>
      <c r="D1282" s="24" t="str">
        <f>VLOOKUP(revenue[customerID],customers[],6,FALSE)</f>
        <v>Luleå</v>
      </c>
      <c r="E1282" s="24" t="str">
        <f>VLOOKUP(revenue[customerID],customers[],9,FALSE)</f>
        <v>Sweden</v>
      </c>
      <c r="F1282" s="24">
        <v>45237.0</v>
      </c>
      <c r="G1282" s="6">
        <v>28.0</v>
      </c>
      <c r="H1282" s="9" t="str">
        <f>VLOOKUP(revenue[productID],products[],2,FALSE)</f>
        <v>Rössle Sauerkraut</v>
      </c>
      <c r="I1282" s="9" t="str">
        <f>VLOOKUP(revenue[productID],products[],12,FALSE)</f>
        <v>Produce</v>
      </c>
      <c r="J1282" s="9">
        <f>VLOOKUP(revenue[productID],products[],IF(YEAR(revenue[orderDate])=2022,8,IF(YEAR(revenue[orderDate])=2023,9,IF(YEAR(revenue[orderDate])=2024,10,NA))),FALSE)</f>
        <v>31.52644578</v>
      </c>
      <c r="K1282" s="9">
        <v>45.6</v>
      </c>
      <c r="L1282" s="25">
        <f>(revenue[orderPrice]-revenue[productCost])/revenue[productCost]</f>
        <v>0.4464047207</v>
      </c>
      <c r="M1282" s="10">
        <v>20.0</v>
      </c>
      <c r="N1282" s="25">
        <v>0.0</v>
      </c>
      <c r="O1282" s="9">
        <f>revenue[orderPrice]*revenue[orderQuantity]</f>
        <v>912</v>
      </c>
      <c r="P1282" s="9">
        <f>revenue[orderTotal]*(1-revenue[discountApllied])</f>
        <v>912</v>
      </c>
      <c r="Q1282" s="9">
        <f>revenue[revenue]-(revenue[productCost]*revenue[orderQuantity])</f>
        <v>281.4710844</v>
      </c>
      <c r="R1282" s="25">
        <f>IFERROR(revenue[profit]/revenue[revenue], 0)</f>
        <v>0.308630575</v>
      </c>
      <c r="S1282" s="9">
        <f>revenue[productCost]*revenue[orderQuantity]</f>
        <v>630.5289156</v>
      </c>
    </row>
    <row r="1283" ht="15.75" customHeight="1">
      <c r="A1283" s="6">
        <v>10733.0</v>
      </c>
      <c r="B1283" s="7" t="s">
        <v>40</v>
      </c>
      <c r="C1283" s="24" t="str">
        <f>VLOOKUP(revenue[customerID],customers[],2,FALSE)</f>
        <v>Berglunds snabbköp</v>
      </c>
      <c r="D1283" s="24" t="str">
        <f>VLOOKUP(revenue[customerID],customers[],6,FALSE)</f>
        <v>Luleå</v>
      </c>
      <c r="E1283" s="24" t="str">
        <f>VLOOKUP(revenue[customerID],customers[],9,FALSE)</f>
        <v>Sweden</v>
      </c>
      <c r="F1283" s="24">
        <v>45237.0</v>
      </c>
      <c r="G1283" s="6">
        <v>52.0</v>
      </c>
      <c r="H1283" s="9" t="str">
        <f>VLOOKUP(revenue[productID],products[],2,FALSE)</f>
        <v>Filo Mix</v>
      </c>
      <c r="I1283" s="9" t="str">
        <f>VLOOKUP(revenue[productID],products[],12,FALSE)</f>
        <v>Grains/Cereals</v>
      </c>
      <c r="J1283" s="9">
        <f>VLOOKUP(revenue[productID],products[],IF(YEAR(revenue[orderDate])=2022,8,IF(YEAR(revenue[orderDate])=2023,9,IF(YEAR(revenue[orderDate])=2024,10,NA))),FALSE)</f>
        <v>5.001706713</v>
      </c>
      <c r="K1283" s="9">
        <v>7.0</v>
      </c>
      <c r="L1283" s="25">
        <f>(revenue[orderPrice]-revenue[productCost])/revenue[productCost]</f>
        <v>0.3995222835</v>
      </c>
      <c r="M1283" s="10">
        <v>25.0</v>
      </c>
      <c r="N1283" s="25">
        <v>0.0</v>
      </c>
      <c r="O1283" s="9">
        <f>revenue[orderPrice]*revenue[orderQuantity]</f>
        <v>175</v>
      </c>
      <c r="P1283" s="9">
        <f>revenue[orderTotal]*(1-revenue[discountApllied])</f>
        <v>175</v>
      </c>
      <c r="Q1283" s="9">
        <f>revenue[revenue]-(revenue[productCost]*revenue[orderQuantity])</f>
        <v>49.95733218</v>
      </c>
      <c r="R1283" s="25">
        <f>IFERROR(revenue[profit]/revenue[revenue], 0)</f>
        <v>0.2854704696</v>
      </c>
      <c r="S1283" s="9">
        <f>revenue[productCost]*revenue[orderQuantity]</f>
        <v>125.0426678</v>
      </c>
    </row>
    <row r="1284" ht="15.75" customHeight="1">
      <c r="A1284" s="6">
        <v>10734.0</v>
      </c>
      <c r="B1284" s="7" t="s">
        <v>86</v>
      </c>
      <c r="C1284" s="24" t="str">
        <f>VLOOKUP(revenue[customerID],customers[],2,FALSE)</f>
        <v>Gourmet Lanchonetes</v>
      </c>
      <c r="D1284" s="24" t="str">
        <f>VLOOKUP(revenue[customerID],customers[],6,FALSE)</f>
        <v>Campinas</v>
      </c>
      <c r="E1284" s="24" t="str">
        <f>VLOOKUP(revenue[customerID],customers[],9,FALSE)</f>
        <v>Brazil</v>
      </c>
      <c r="F1284" s="24">
        <v>45237.0</v>
      </c>
      <c r="G1284" s="6">
        <v>6.0</v>
      </c>
      <c r="H1284" s="9" t="str">
        <f>VLOOKUP(revenue[productID],products[],2,FALSE)</f>
        <v>Grandma's Boysenberry Spread</v>
      </c>
      <c r="I1284" s="9" t="str">
        <f>VLOOKUP(revenue[productID],products[],12,FALSE)</f>
        <v>Condiments</v>
      </c>
      <c r="J1284" s="9">
        <f>VLOOKUP(revenue[productID],products[],IF(YEAR(revenue[orderDate])=2022,8,IF(YEAR(revenue[orderDate])=2023,9,IF(YEAR(revenue[orderDate])=2024,10,NA))),FALSE)</f>
        <v>17.8511037</v>
      </c>
      <c r="K1284" s="9">
        <v>25.0</v>
      </c>
      <c r="L1284" s="25">
        <f>(revenue[orderPrice]-revenue[productCost])/revenue[productCost]</f>
        <v>0.4004736302</v>
      </c>
      <c r="M1284" s="10">
        <v>30.0</v>
      </c>
      <c r="N1284" s="25">
        <v>0.0</v>
      </c>
      <c r="O1284" s="9">
        <f>revenue[orderPrice]*revenue[orderQuantity]</f>
        <v>750</v>
      </c>
      <c r="P1284" s="9">
        <f>revenue[orderTotal]*(1-revenue[discountApllied])</f>
        <v>750</v>
      </c>
      <c r="Q1284" s="9">
        <f>revenue[revenue]-(revenue[productCost]*revenue[orderQuantity])</f>
        <v>214.466889</v>
      </c>
      <c r="R1284" s="25">
        <f>IFERROR(revenue[profit]/revenue[revenue], 0)</f>
        <v>0.285955852</v>
      </c>
      <c r="S1284" s="9">
        <f>revenue[productCost]*revenue[orderQuantity]</f>
        <v>535.533111</v>
      </c>
    </row>
    <row r="1285" ht="15.75" customHeight="1">
      <c r="A1285" s="6">
        <v>10734.0</v>
      </c>
      <c r="B1285" s="7" t="s">
        <v>86</v>
      </c>
      <c r="C1285" s="24" t="str">
        <f>VLOOKUP(revenue[customerID],customers[],2,FALSE)</f>
        <v>Gourmet Lanchonetes</v>
      </c>
      <c r="D1285" s="24" t="str">
        <f>VLOOKUP(revenue[customerID],customers[],6,FALSE)</f>
        <v>Campinas</v>
      </c>
      <c r="E1285" s="24" t="str">
        <f>VLOOKUP(revenue[customerID],customers[],9,FALSE)</f>
        <v>Brazil</v>
      </c>
      <c r="F1285" s="24">
        <v>45237.0</v>
      </c>
      <c r="G1285" s="6">
        <v>30.0</v>
      </c>
      <c r="H1285" s="9" t="str">
        <f>VLOOKUP(revenue[productID],products[],2,FALSE)</f>
        <v>Nord-Ost Matjeshering</v>
      </c>
      <c r="I1285" s="9" t="str">
        <f>VLOOKUP(revenue[productID],products[],12,FALSE)</f>
        <v>Seafood</v>
      </c>
      <c r="J1285" s="9">
        <f>VLOOKUP(revenue[productID],products[],IF(YEAR(revenue[orderDate])=2022,8,IF(YEAR(revenue[orderDate])=2023,9,IF(YEAR(revenue[orderDate])=2024,10,NA))),FALSE)</f>
        <v>16.03885249</v>
      </c>
      <c r="K1285" s="9">
        <v>25.89</v>
      </c>
      <c r="L1285" s="25">
        <f>(revenue[orderPrice]-revenue[productCost])/revenue[productCost]</f>
        <v>0.6142052564</v>
      </c>
      <c r="M1285" s="10">
        <v>15.0</v>
      </c>
      <c r="N1285" s="25">
        <v>0.0</v>
      </c>
      <c r="O1285" s="9">
        <f>revenue[orderPrice]*revenue[orderQuantity]</f>
        <v>388.35</v>
      </c>
      <c r="P1285" s="9">
        <f>revenue[orderTotal]*(1-revenue[discountApllied])</f>
        <v>388.35</v>
      </c>
      <c r="Q1285" s="9">
        <f>revenue[revenue]-(revenue[productCost]*revenue[orderQuantity])</f>
        <v>147.7672126</v>
      </c>
      <c r="R1285" s="25">
        <f>IFERROR(revenue[profit]/revenue[revenue], 0)</f>
        <v>0.3805000968</v>
      </c>
      <c r="S1285" s="9">
        <f>revenue[productCost]*revenue[orderQuantity]</f>
        <v>240.5827874</v>
      </c>
    </row>
    <row r="1286" ht="15.75" customHeight="1">
      <c r="A1286" s="6">
        <v>10734.0</v>
      </c>
      <c r="B1286" s="7" t="s">
        <v>86</v>
      </c>
      <c r="C1286" s="24" t="str">
        <f>VLOOKUP(revenue[customerID],customers[],2,FALSE)</f>
        <v>Gourmet Lanchonetes</v>
      </c>
      <c r="D1286" s="24" t="str">
        <f>VLOOKUP(revenue[customerID],customers[],6,FALSE)</f>
        <v>Campinas</v>
      </c>
      <c r="E1286" s="24" t="str">
        <f>VLOOKUP(revenue[customerID],customers[],9,FALSE)</f>
        <v>Brazil</v>
      </c>
      <c r="F1286" s="24">
        <v>45237.0</v>
      </c>
      <c r="G1286" s="6">
        <v>76.0</v>
      </c>
      <c r="H1286" s="9" t="str">
        <f>VLOOKUP(revenue[productID],products[],2,FALSE)</f>
        <v>Lakkalikööri</v>
      </c>
      <c r="I1286" s="9" t="str">
        <f>VLOOKUP(revenue[productID],products[],12,FALSE)</f>
        <v>Beverages</v>
      </c>
      <c r="J1286" s="9">
        <f>VLOOKUP(revenue[productID],products[],IF(YEAR(revenue[orderDate])=2022,8,IF(YEAR(revenue[orderDate])=2023,9,IF(YEAR(revenue[orderDate])=2024,10,NA))),FALSE)</f>
        <v>12.1154529</v>
      </c>
      <c r="K1286" s="9">
        <v>18.0</v>
      </c>
      <c r="L1286" s="25">
        <f>(revenue[orderPrice]-revenue[productCost])/revenue[productCost]</f>
        <v>0.4857059125</v>
      </c>
      <c r="M1286" s="10">
        <v>20.0</v>
      </c>
      <c r="N1286" s="25">
        <v>0.0</v>
      </c>
      <c r="O1286" s="9">
        <f>revenue[orderPrice]*revenue[orderQuantity]</f>
        <v>360</v>
      </c>
      <c r="P1286" s="9">
        <f>revenue[orderTotal]*(1-revenue[discountApllied])</f>
        <v>360</v>
      </c>
      <c r="Q1286" s="9">
        <f>revenue[revenue]-(revenue[productCost]*revenue[orderQuantity])</f>
        <v>117.6909421</v>
      </c>
      <c r="R1286" s="25">
        <f>IFERROR(revenue[profit]/revenue[revenue], 0)</f>
        <v>0.3269192836</v>
      </c>
      <c r="S1286" s="9">
        <f>revenue[productCost]*revenue[orderQuantity]</f>
        <v>242.3090579</v>
      </c>
    </row>
    <row r="1287" ht="15.75" customHeight="1">
      <c r="A1287" s="6">
        <v>10735.0</v>
      </c>
      <c r="B1287" s="7" t="s">
        <v>97</v>
      </c>
      <c r="C1287" s="24" t="str">
        <f>VLOOKUP(revenue[customerID],customers[],2,FALSE)</f>
        <v>Let's Stop N Shop</v>
      </c>
      <c r="D1287" s="24" t="str">
        <f>VLOOKUP(revenue[customerID],customers[],6,FALSE)</f>
        <v>San Francisco</v>
      </c>
      <c r="E1287" s="24" t="str">
        <f>VLOOKUP(revenue[customerID],customers[],9,FALSE)</f>
        <v>USA</v>
      </c>
      <c r="F1287" s="24">
        <v>45240.0</v>
      </c>
      <c r="G1287" s="6">
        <v>61.0</v>
      </c>
      <c r="H1287" s="9" t="str">
        <f>VLOOKUP(revenue[productID],products[],2,FALSE)</f>
        <v>Sirop d'érable</v>
      </c>
      <c r="I1287" s="9" t="str">
        <f>VLOOKUP(revenue[productID],products[],12,FALSE)</f>
        <v>Condiments</v>
      </c>
      <c r="J1287" s="9">
        <f>VLOOKUP(revenue[productID],products[],IF(YEAR(revenue[orderDate])=2022,8,IF(YEAR(revenue[orderDate])=2023,9,IF(YEAR(revenue[orderDate])=2024,10,NA))),FALSE)</f>
        <v>17.19945448</v>
      </c>
      <c r="K1287" s="9">
        <v>28.5</v>
      </c>
      <c r="L1287" s="25">
        <f>(revenue[orderPrice]-revenue[productCost])/revenue[productCost]</f>
        <v>0.6570292986</v>
      </c>
      <c r="M1287" s="10">
        <v>20.0</v>
      </c>
      <c r="N1287" s="25">
        <v>0.1</v>
      </c>
      <c r="O1287" s="9">
        <f>revenue[orderPrice]*revenue[orderQuantity]</f>
        <v>570</v>
      </c>
      <c r="P1287" s="9">
        <f>revenue[orderTotal]*(1-revenue[discountApllied])</f>
        <v>513</v>
      </c>
      <c r="Q1287" s="9">
        <f>revenue[revenue]-(revenue[productCost]*revenue[orderQuantity])</f>
        <v>169.0109103</v>
      </c>
      <c r="R1287" s="25">
        <f>IFERROR(revenue[profit]/revenue[revenue], 0)</f>
        <v>0.3294559655</v>
      </c>
      <c r="S1287" s="9">
        <f>revenue[productCost]*revenue[orderQuantity]</f>
        <v>343.9890897</v>
      </c>
    </row>
    <row r="1288" ht="15.75" customHeight="1">
      <c r="A1288" s="6">
        <v>10735.0</v>
      </c>
      <c r="B1288" s="7" t="s">
        <v>97</v>
      </c>
      <c r="C1288" s="24" t="str">
        <f>VLOOKUP(revenue[customerID],customers[],2,FALSE)</f>
        <v>Let's Stop N Shop</v>
      </c>
      <c r="D1288" s="24" t="str">
        <f>VLOOKUP(revenue[customerID],customers[],6,FALSE)</f>
        <v>San Francisco</v>
      </c>
      <c r="E1288" s="24" t="str">
        <f>VLOOKUP(revenue[customerID],customers[],9,FALSE)</f>
        <v>USA</v>
      </c>
      <c r="F1288" s="24">
        <v>45240.0</v>
      </c>
      <c r="G1288" s="6">
        <v>77.0</v>
      </c>
      <c r="H1288" s="9" t="str">
        <f>VLOOKUP(revenue[productID],products[],2,FALSE)</f>
        <v>Original Frankfurter grüne Soße</v>
      </c>
      <c r="I1288" s="9" t="str">
        <f>VLOOKUP(revenue[productID],products[],12,FALSE)</f>
        <v>Condiments</v>
      </c>
      <c r="J1288" s="9">
        <f>VLOOKUP(revenue[productID],products[],IF(YEAR(revenue[orderDate])=2022,8,IF(YEAR(revenue[orderDate])=2023,9,IF(YEAR(revenue[orderDate])=2024,10,NA))),FALSE)</f>
        <v>7.539056452</v>
      </c>
      <c r="K1288" s="9">
        <v>13.0</v>
      </c>
      <c r="L1288" s="25">
        <f>(revenue[orderPrice]-revenue[productCost])/revenue[productCost]</f>
        <v>0.7243537149</v>
      </c>
      <c r="M1288" s="10">
        <v>2.0</v>
      </c>
      <c r="N1288" s="25">
        <v>0.1</v>
      </c>
      <c r="O1288" s="9">
        <f>revenue[orderPrice]*revenue[orderQuantity]</f>
        <v>26</v>
      </c>
      <c r="P1288" s="9">
        <f>revenue[orderTotal]*(1-revenue[discountApllied])</f>
        <v>23.4</v>
      </c>
      <c r="Q1288" s="9">
        <f>revenue[revenue]-(revenue[productCost]*revenue[orderQuantity])</f>
        <v>8.321887096</v>
      </c>
      <c r="R1288" s="25">
        <f>IFERROR(revenue[profit]/revenue[revenue], 0)</f>
        <v>0.3556362007</v>
      </c>
      <c r="S1288" s="9">
        <f>revenue[productCost]*revenue[orderQuantity]</f>
        <v>15.0781129</v>
      </c>
    </row>
    <row r="1289" ht="15.75" customHeight="1">
      <c r="A1289" s="6">
        <v>10736.0</v>
      </c>
      <c r="B1289" s="7" t="s">
        <v>49</v>
      </c>
      <c r="C1289" s="24" t="str">
        <f>VLOOKUP(revenue[customerID],customers[],2,FALSE)</f>
        <v>Hungry Owl All-Night Grocers</v>
      </c>
      <c r="D1289" s="24" t="str">
        <f>VLOOKUP(revenue[customerID],customers[],6,FALSE)</f>
        <v>Cork</v>
      </c>
      <c r="E1289" s="24" t="str">
        <f>VLOOKUP(revenue[customerID],customers[],9,FALSE)</f>
        <v>Ireland</v>
      </c>
      <c r="F1289" s="24">
        <v>45241.0</v>
      </c>
      <c r="G1289" s="6">
        <v>65.0</v>
      </c>
      <c r="H1289" s="9" t="str">
        <f>VLOOKUP(revenue[productID],products[],2,FALSE)</f>
        <v>Louisiana Fiery Hot Pepper Sauce</v>
      </c>
      <c r="I1289" s="9" t="str">
        <f>VLOOKUP(revenue[productID],products[],12,FALSE)</f>
        <v>Condiments</v>
      </c>
      <c r="J1289" s="9">
        <f>VLOOKUP(revenue[productID],products[],IF(YEAR(revenue[orderDate])=2022,8,IF(YEAR(revenue[orderDate])=2023,9,IF(YEAR(revenue[orderDate])=2024,10,NA))),FALSE)</f>
        <v>13.21122243</v>
      </c>
      <c r="K1289" s="9">
        <v>21.05</v>
      </c>
      <c r="L1289" s="25">
        <f>(revenue[orderPrice]-revenue[productCost])/revenue[productCost]</f>
        <v>0.593342335</v>
      </c>
      <c r="M1289" s="10">
        <v>40.0</v>
      </c>
      <c r="N1289" s="25">
        <v>0.0</v>
      </c>
      <c r="O1289" s="9">
        <f>revenue[orderPrice]*revenue[orderQuantity]</f>
        <v>842</v>
      </c>
      <c r="P1289" s="9">
        <f>revenue[orderTotal]*(1-revenue[discountApllied])</f>
        <v>842</v>
      </c>
      <c r="Q1289" s="9">
        <f>revenue[revenue]-(revenue[productCost]*revenue[orderQuantity])</f>
        <v>313.5511027</v>
      </c>
      <c r="R1289" s="25">
        <f>IFERROR(revenue[profit]/revenue[revenue], 0)</f>
        <v>0.372388483</v>
      </c>
      <c r="S1289" s="9">
        <f>revenue[productCost]*revenue[orderQuantity]</f>
        <v>528.4488973</v>
      </c>
    </row>
    <row r="1290" ht="15.75" customHeight="1">
      <c r="A1290" s="6">
        <v>10736.0</v>
      </c>
      <c r="B1290" s="7" t="s">
        <v>49</v>
      </c>
      <c r="C1290" s="24" t="str">
        <f>VLOOKUP(revenue[customerID],customers[],2,FALSE)</f>
        <v>Hungry Owl All-Night Grocers</v>
      </c>
      <c r="D1290" s="24" t="str">
        <f>VLOOKUP(revenue[customerID],customers[],6,FALSE)</f>
        <v>Cork</v>
      </c>
      <c r="E1290" s="24" t="str">
        <f>VLOOKUP(revenue[customerID],customers[],9,FALSE)</f>
        <v>Ireland</v>
      </c>
      <c r="F1290" s="24">
        <v>45241.0</v>
      </c>
      <c r="G1290" s="6">
        <v>75.0</v>
      </c>
      <c r="H1290" s="9" t="str">
        <f>VLOOKUP(revenue[productID],products[],2,FALSE)</f>
        <v>Rhönbräu Klosterbier</v>
      </c>
      <c r="I1290" s="9" t="str">
        <f>VLOOKUP(revenue[productID],products[],12,FALSE)</f>
        <v>Beverages</v>
      </c>
      <c r="J1290" s="9">
        <f>VLOOKUP(revenue[productID],products[],IF(YEAR(revenue[orderDate])=2022,8,IF(YEAR(revenue[orderDate])=2023,9,IF(YEAR(revenue[orderDate])=2024,10,NA))),FALSE)</f>
        <v>5.355290472</v>
      </c>
      <c r="K1290" s="9">
        <v>7.75</v>
      </c>
      <c r="L1290" s="25">
        <f>(revenue[orderPrice]-revenue[productCost])/revenue[productCost]</f>
        <v>0.4471670661</v>
      </c>
      <c r="M1290" s="10">
        <v>20.0</v>
      </c>
      <c r="N1290" s="25">
        <v>0.0</v>
      </c>
      <c r="O1290" s="9">
        <f>revenue[orderPrice]*revenue[orderQuantity]</f>
        <v>155</v>
      </c>
      <c r="P1290" s="9">
        <f>revenue[orderTotal]*(1-revenue[discountApllied])</f>
        <v>155</v>
      </c>
      <c r="Q1290" s="9">
        <f>revenue[revenue]-(revenue[productCost]*revenue[orderQuantity])</f>
        <v>47.89419057</v>
      </c>
      <c r="R1290" s="25">
        <f>IFERROR(revenue[profit]/revenue[revenue], 0)</f>
        <v>0.3089947778</v>
      </c>
      <c r="S1290" s="9">
        <f>revenue[productCost]*revenue[orderQuantity]</f>
        <v>107.1058094</v>
      </c>
    </row>
    <row r="1291" ht="15.75" customHeight="1">
      <c r="A1291" s="6">
        <v>10737.0</v>
      </c>
      <c r="B1291" s="7" t="s">
        <v>12</v>
      </c>
      <c r="C1291" s="24" t="str">
        <f>VLOOKUP(revenue[customerID],customers[],2,FALSE)</f>
        <v>Vins et alcools Chevalier</v>
      </c>
      <c r="D1291" s="24" t="str">
        <f>VLOOKUP(revenue[customerID],customers[],6,FALSE)</f>
        <v>Reims</v>
      </c>
      <c r="E1291" s="24" t="str">
        <f>VLOOKUP(revenue[customerID],customers[],9,FALSE)</f>
        <v>France</v>
      </c>
      <c r="F1291" s="24">
        <v>45241.0</v>
      </c>
      <c r="G1291" s="6">
        <v>13.0</v>
      </c>
      <c r="H1291" s="9" t="str">
        <f>VLOOKUP(revenue[productID],products[],2,FALSE)</f>
        <v>Konbu</v>
      </c>
      <c r="I1291" s="9" t="str">
        <f>VLOOKUP(revenue[productID],products[],12,FALSE)</f>
        <v>Seafood</v>
      </c>
      <c r="J1291" s="9">
        <f>VLOOKUP(revenue[productID],products[],IF(YEAR(revenue[orderDate])=2022,8,IF(YEAR(revenue[orderDate])=2023,9,IF(YEAR(revenue[orderDate])=2024,10,NA))),FALSE)</f>
        <v>3.865774949</v>
      </c>
      <c r="K1291" s="9">
        <v>6.0</v>
      </c>
      <c r="L1291" s="25">
        <f>(revenue[orderPrice]-revenue[productCost])/revenue[productCost]</f>
        <v>0.5520820739</v>
      </c>
      <c r="M1291" s="10">
        <v>4.0</v>
      </c>
      <c r="N1291" s="25">
        <v>0.0</v>
      </c>
      <c r="O1291" s="9">
        <f>revenue[orderPrice]*revenue[orderQuantity]</f>
        <v>24</v>
      </c>
      <c r="P1291" s="9">
        <f>revenue[orderTotal]*(1-revenue[discountApllied])</f>
        <v>24</v>
      </c>
      <c r="Q1291" s="9">
        <f>revenue[revenue]-(revenue[productCost]*revenue[orderQuantity])</f>
        <v>8.536900204</v>
      </c>
      <c r="R1291" s="25">
        <f>IFERROR(revenue[profit]/revenue[revenue], 0)</f>
        <v>0.3557041752</v>
      </c>
      <c r="S1291" s="9">
        <f>revenue[productCost]*revenue[orderQuantity]</f>
        <v>15.4630998</v>
      </c>
    </row>
    <row r="1292" ht="15.75" customHeight="1">
      <c r="A1292" s="6">
        <v>10737.0</v>
      </c>
      <c r="B1292" s="7" t="s">
        <v>12</v>
      </c>
      <c r="C1292" s="24" t="str">
        <f>VLOOKUP(revenue[customerID],customers[],2,FALSE)</f>
        <v>Vins et alcools Chevalier</v>
      </c>
      <c r="D1292" s="24" t="str">
        <f>VLOOKUP(revenue[customerID],customers[],6,FALSE)</f>
        <v>Reims</v>
      </c>
      <c r="E1292" s="24" t="str">
        <f>VLOOKUP(revenue[customerID],customers[],9,FALSE)</f>
        <v>France</v>
      </c>
      <c r="F1292" s="24">
        <v>45241.0</v>
      </c>
      <c r="G1292" s="6">
        <v>41.0</v>
      </c>
      <c r="H1292" s="9" t="str">
        <f>VLOOKUP(revenue[productID],products[],2,FALSE)</f>
        <v>Jack's New England Clam Chowder</v>
      </c>
      <c r="I1292" s="9" t="str">
        <f>VLOOKUP(revenue[productID],products[],12,FALSE)</f>
        <v>Seafood</v>
      </c>
      <c r="J1292" s="9">
        <f>VLOOKUP(revenue[productID],products[],IF(YEAR(revenue[orderDate])=2022,8,IF(YEAR(revenue[orderDate])=2023,9,IF(YEAR(revenue[orderDate])=2024,10,NA))),FALSE)</f>
        <v>6.549914856</v>
      </c>
      <c r="K1292" s="9">
        <v>9.65</v>
      </c>
      <c r="L1292" s="25">
        <f>(revenue[orderPrice]-revenue[productCost])/revenue[productCost]</f>
        <v>0.4733015943</v>
      </c>
      <c r="M1292" s="10">
        <v>12.0</v>
      </c>
      <c r="N1292" s="25">
        <v>0.0</v>
      </c>
      <c r="O1292" s="9">
        <f>revenue[orderPrice]*revenue[orderQuantity]</f>
        <v>115.8</v>
      </c>
      <c r="P1292" s="9">
        <f>revenue[orderTotal]*(1-revenue[discountApllied])</f>
        <v>115.8</v>
      </c>
      <c r="Q1292" s="9">
        <f>revenue[revenue]-(revenue[productCost]*revenue[orderQuantity])</f>
        <v>37.20102173</v>
      </c>
      <c r="R1292" s="25">
        <f>IFERROR(revenue[profit]/revenue[revenue], 0)</f>
        <v>0.3212523465</v>
      </c>
      <c r="S1292" s="9">
        <f>revenue[productCost]*revenue[orderQuantity]</f>
        <v>78.59897827</v>
      </c>
    </row>
    <row r="1293" ht="15.75" customHeight="1">
      <c r="A1293" s="6">
        <v>10738.0</v>
      </c>
      <c r="B1293" s="7" t="s">
        <v>102</v>
      </c>
      <c r="C1293" s="24" t="str">
        <f>VLOOKUP(revenue[customerID],customers[],2,FALSE)</f>
        <v>Spécialités du monde</v>
      </c>
      <c r="D1293" s="24" t="str">
        <f>VLOOKUP(revenue[customerID],customers[],6,FALSE)</f>
        <v>Paris</v>
      </c>
      <c r="E1293" s="24" t="str">
        <f>VLOOKUP(revenue[customerID],customers[],9,FALSE)</f>
        <v>France</v>
      </c>
      <c r="F1293" s="24">
        <v>45242.0</v>
      </c>
      <c r="G1293" s="6">
        <v>16.0</v>
      </c>
      <c r="H1293" s="9" t="str">
        <f>VLOOKUP(revenue[productID],products[],2,FALSE)</f>
        <v>Pavlova</v>
      </c>
      <c r="I1293" s="9" t="str">
        <f>VLOOKUP(revenue[productID],products[],12,FALSE)</f>
        <v>Confections</v>
      </c>
      <c r="J1293" s="9">
        <f>VLOOKUP(revenue[productID],products[],IF(YEAR(revenue[orderDate])=2022,8,IF(YEAR(revenue[orderDate])=2023,9,IF(YEAR(revenue[orderDate])=2024,10,NA))),FALSE)</f>
        <v>11.98504839</v>
      </c>
      <c r="K1293" s="9">
        <v>17.45</v>
      </c>
      <c r="L1293" s="25">
        <f>(revenue[orderPrice]-revenue[productCost])/revenue[productCost]</f>
        <v>0.455980771</v>
      </c>
      <c r="M1293" s="10">
        <v>3.0</v>
      </c>
      <c r="N1293" s="25">
        <v>0.0</v>
      </c>
      <c r="O1293" s="9">
        <f>revenue[orderPrice]*revenue[orderQuantity]</f>
        <v>52.35</v>
      </c>
      <c r="P1293" s="9">
        <f>revenue[orderTotal]*(1-revenue[discountApllied])</f>
        <v>52.35</v>
      </c>
      <c r="Q1293" s="9">
        <f>revenue[revenue]-(revenue[productCost]*revenue[orderQuantity])</f>
        <v>16.39485482</v>
      </c>
      <c r="R1293" s="25">
        <f>IFERROR(revenue[profit]/revenue[revenue], 0)</f>
        <v>0.3131777425</v>
      </c>
      <c r="S1293" s="9">
        <f>revenue[productCost]*revenue[orderQuantity]</f>
        <v>35.95514518</v>
      </c>
    </row>
    <row r="1294" ht="15.75" customHeight="1">
      <c r="A1294" s="6">
        <v>10739.0</v>
      </c>
      <c r="B1294" s="7" t="s">
        <v>12</v>
      </c>
      <c r="C1294" s="24" t="str">
        <f>VLOOKUP(revenue[customerID],customers[],2,FALSE)</f>
        <v>Vins et alcools Chevalier</v>
      </c>
      <c r="D1294" s="24" t="str">
        <f>VLOOKUP(revenue[customerID],customers[],6,FALSE)</f>
        <v>Reims</v>
      </c>
      <c r="E1294" s="24" t="str">
        <f>VLOOKUP(revenue[customerID],customers[],9,FALSE)</f>
        <v>France</v>
      </c>
      <c r="F1294" s="24">
        <v>45242.0</v>
      </c>
      <c r="G1294" s="6">
        <v>36.0</v>
      </c>
      <c r="H1294" s="9" t="str">
        <f>VLOOKUP(revenue[productID],products[],2,FALSE)</f>
        <v>Inlagd Sill</v>
      </c>
      <c r="I1294" s="9" t="str">
        <f>VLOOKUP(revenue[productID],products[],12,FALSE)</f>
        <v>Seafood</v>
      </c>
      <c r="J1294" s="9">
        <f>VLOOKUP(revenue[productID],products[],IF(YEAR(revenue[orderDate])=2022,8,IF(YEAR(revenue[orderDate])=2023,9,IF(YEAR(revenue[orderDate])=2024,10,NA))),FALSE)</f>
        <v>12.15246269</v>
      </c>
      <c r="K1294" s="9">
        <v>19.0</v>
      </c>
      <c r="L1294" s="25">
        <f>(revenue[orderPrice]-revenue[productCost])/revenue[productCost]</f>
        <v>0.5634691082</v>
      </c>
      <c r="M1294" s="10">
        <v>6.0</v>
      </c>
      <c r="N1294" s="25">
        <v>0.0</v>
      </c>
      <c r="O1294" s="9">
        <f>revenue[orderPrice]*revenue[orderQuantity]</f>
        <v>114</v>
      </c>
      <c r="P1294" s="9">
        <f>revenue[orderTotal]*(1-revenue[discountApllied])</f>
        <v>114</v>
      </c>
      <c r="Q1294" s="9">
        <f>revenue[revenue]-(revenue[productCost]*revenue[orderQuantity])</f>
        <v>41.08522388</v>
      </c>
      <c r="R1294" s="25">
        <f>IFERROR(revenue[profit]/revenue[revenue], 0)</f>
        <v>0.3603967007</v>
      </c>
      <c r="S1294" s="9">
        <f>revenue[productCost]*revenue[orderQuantity]</f>
        <v>72.91477612</v>
      </c>
    </row>
    <row r="1295" ht="15.75" customHeight="1">
      <c r="A1295" s="6">
        <v>10739.0</v>
      </c>
      <c r="B1295" s="7" t="s">
        <v>12</v>
      </c>
      <c r="C1295" s="24" t="str">
        <f>VLOOKUP(revenue[customerID],customers[],2,FALSE)</f>
        <v>Vins et alcools Chevalier</v>
      </c>
      <c r="D1295" s="24" t="str">
        <f>VLOOKUP(revenue[customerID],customers[],6,FALSE)</f>
        <v>Reims</v>
      </c>
      <c r="E1295" s="24" t="str">
        <f>VLOOKUP(revenue[customerID],customers[],9,FALSE)</f>
        <v>France</v>
      </c>
      <c r="F1295" s="24">
        <v>45242.0</v>
      </c>
      <c r="G1295" s="6">
        <v>52.0</v>
      </c>
      <c r="H1295" s="9" t="str">
        <f>VLOOKUP(revenue[productID],products[],2,FALSE)</f>
        <v>Filo Mix</v>
      </c>
      <c r="I1295" s="9" t="str">
        <f>VLOOKUP(revenue[productID],products[],12,FALSE)</f>
        <v>Grains/Cereals</v>
      </c>
      <c r="J1295" s="9">
        <f>VLOOKUP(revenue[productID],products[],IF(YEAR(revenue[orderDate])=2022,8,IF(YEAR(revenue[orderDate])=2023,9,IF(YEAR(revenue[orderDate])=2024,10,NA))),FALSE)</f>
        <v>5.001706713</v>
      </c>
      <c r="K1295" s="9">
        <v>7.0</v>
      </c>
      <c r="L1295" s="25">
        <f>(revenue[orderPrice]-revenue[productCost])/revenue[productCost]</f>
        <v>0.3995222835</v>
      </c>
      <c r="M1295" s="10">
        <v>18.0</v>
      </c>
      <c r="N1295" s="25">
        <v>0.0</v>
      </c>
      <c r="O1295" s="9">
        <f>revenue[orderPrice]*revenue[orderQuantity]</f>
        <v>126</v>
      </c>
      <c r="P1295" s="9">
        <f>revenue[orderTotal]*(1-revenue[discountApllied])</f>
        <v>126</v>
      </c>
      <c r="Q1295" s="9">
        <f>revenue[revenue]-(revenue[productCost]*revenue[orderQuantity])</f>
        <v>35.96927917</v>
      </c>
      <c r="R1295" s="25">
        <f>IFERROR(revenue[profit]/revenue[revenue], 0)</f>
        <v>0.2854704696</v>
      </c>
      <c r="S1295" s="9">
        <f>revenue[productCost]*revenue[orderQuantity]</f>
        <v>90.03072083</v>
      </c>
    </row>
    <row r="1296" ht="15.75" customHeight="1">
      <c r="A1296" s="6">
        <v>10740.0</v>
      </c>
      <c r="B1296" s="7" t="s">
        <v>34</v>
      </c>
      <c r="C1296" s="24" t="str">
        <f>VLOOKUP(revenue[customerID],customers[],2,FALSE)</f>
        <v>White Clover Markets</v>
      </c>
      <c r="D1296" s="24" t="str">
        <f>VLOOKUP(revenue[customerID],customers[],6,FALSE)</f>
        <v>Seattle</v>
      </c>
      <c r="E1296" s="24" t="str">
        <f>VLOOKUP(revenue[customerID],customers[],9,FALSE)</f>
        <v>USA</v>
      </c>
      <c r="F1296" s="24">
        <v>45243.0</v>
      </c>
      <c r="G1296" s="6">
        <v>28.0</v>
      </c>
      <c r="H1296" s="9" t="str">
        <f>VLOOKUP(revenue[productID],products[],2,FALSE)</f>
        <v>Rössle Sauerkraut</v>
      </c>
      <c r="I1296" s="9" t="str">
        <f>VLOOKUP(revenue[productID],products[],12,FALSE)</f>
        <v>Produce</v>
      </c>
      <c r="J1296" s="9">
        <f>VLOOKUP(revenue[productID],products[],IF(YEAR(revenue[orderDate])=2022,8,IF(YEAR(revenue[orderDate])=2023,9,IF(YEAR(revenue[orderDate])=2024,10,NA))),FALSE)</f>
        <v>31.52644578</v>
      </c>
      <c r="K1296" s="9">
        <v>45.6</v>
      </c>
      <c r="L1296" s="25">
        <f>(revenue[orderPrice]-revenue[productCost])/revenue[productCost]</f>
        <v>0.4464047207</v>
      </c>
      <c r="M1296" s="10">
        <v>5.0</v>
      </c>
      <c r="N1296" s="25">
        <v>0.2</v>
      </c>
      <c r="O1296" s="9">
        <f>revenue[orderPrice]*revenue[orderQuantity]</f>
        <v>228</v>
      </c>
      <c r="P1296" s="9">
        <f>revenue[orderTotal]*(1-revenue[discountApllied])</f>
        <v>182.4</v>
      </c>
      <c r="Q1296" s="9">
        <f>revenue[revenue]-(revenue[productCost]*revenue[orderQuantity])</f>
        <v>24.76777111</v>
      </c>
      <c r="R1296" s="25">
        <f>IFERROR(revenue[profit]/revenue[revenue], 0)</f>
        <v>0.1357882188</v>
      </c>
      <c r="S1296" s="9">
        <f>revenue[productCost]*revenue[orderQuantity]</f>
        <v>157.6322289</v>
      </c>
    </row>
    <row r="1297" ht="15.75" customHeight="1">
      <c r="A1297" s="6">
        <v>10740.0</v>
      </c>
      <c r="B1297" s="7" t="s">
        <v>34</v>
      </c>
      <c r="C1297" s="24" t="str">
        <f>VLOOKUP(revenue[customerID],customers[],2,FALSE)</f>
        <v>White Clover Markets</v>
      </c>
      <c r="D1297" s="24" t="str">
        <f>VLOOKUP(revenue[customerID],customers[],6,FALSE)</f>
        <v>Seattle</v>
      </c>
      <c r="E1297" s="24" t="str">
        <f>VLOOKUP(revenue[customerID],customers[],9,FALSE)</f>
        <v>USA</v>
      </c>
      <c r="F1297" s="24">
        <v>45243.0</v>
      </c>
      <c r="G1297" s="6">
        <v>35.0</v>
      </c>
      <c r="H1297" s="9" t="str">
        <f>VLOOKUP(revenue[productID],products[],2,FALSE)</f>
        <v>Cold Brew Nitro</v>
      </c>
      <c r="I1297" s="9" t="str">
        <f>VLOOKUP(revenue[productID],products[],12,FALSE)</f>
        <v>Beverages</v>
      </c>
      <c r="J1297" s="9">
        <f>VLOOKUP(revenue[productID],products[],IF(YEAR(revenue[orderDate])=2022,8,IF(YEAR(revenue[orderDate])=2023,9,IF(YEAR(revenue[orderDate])=2024,10,NA))),FALSE)</f>
        <v>11.7602531</v>
      </c>
      <c r="K1297" s="9">
        <v>18.0</v>
      </c>
      <c r="L1297" s="25">
        <f>(revenue[orderPrice]-revenue[productCost])/revenue[productCost]</f>
        <v>0.5305793033</v>
      </c>
      <c r="M1297" s="10">
        <v>35.0</v>
      </c>
      <c r="N1297" s="25">
        <v>0.2</v>
      </c>
      <c r="O1297" s="9">
        <f>revenue[orderPrice]*revenue[orderQuantity]</f>
        <v>630</v>
      </c>
      <c r="P1297" s="9">
        <f>revenue[orderTotal]*(1-revenue[discountApllied])</f>
        <v>504</v>
      </c>
      <c r="Q1297" s="9">
        <f>revenue[revenue]-(revenue[productCost]*revenue[orderQuantity])</f>
        <v>92.39114142</v>
      </c>
      <c r="R1297" s="25">
        <f>IFERROR(revenue[profit]/revenue[revenue], 0)</f>
        <v>0.1833157568</v>
      </c>
      <c r="S1297" s="9">
        <f>revenue[productCost]*revenue[orderQuantity]</f>
        <v>411.6088586</v>
      </c>
    </row>
    <row r="1298" ht="15.75" customHeight="1">
      <c r="A1298" s="6">
        <v>10740.0</v>
      </c>
      <c r="B1298" s="7" t="s">
        <v>34</v>
      </c>
      <c r="C1298" s="24" t="str">
        <f>VLOOKUP(revenue[customerID],customers[],2,FALSE)</f>
        <v>White Clover Markets</v>
      </c>
      <c r="D1298" s="24" t="str">
        <f>VLOOKUP(revenue[customerID],customers[],6,FALSE)</f>
        <v>Seattle</v>
      </c>
      <c r="E1298" s="24" t="str">
        <f>VLOOKUP(revenue[customerID],customers[],9,FALSE)</f>
        <v>USA</v>
      </c>
      <c r="F1298" s="24">
        <v>45243.0</v>
      </c>
      <c r="G1298" s="6">
        <v>45.0</v>
      </c>
      <c r="H1298" s="9" t="str">
        <f>VLOOKUP(revenue[productID],products[],2,FALSE)</f>
        <v>Rogede sild</v>
      </c>
      <c r="I1298" s="9" t="str">
        <f>VLOOKUP(revenue[productID],products[],12,FALSE)</f>
        <v>Seafood</v>
      </c>
      <c r="J1298" s="9">
        <f>VLOOKUP(revenue[productID],products[],IF(YEAR(revenue[orderDate])=2022,8,IF(YEAR(revenue[orderDate])=2023,9,IF(YEAR(revenue[orderDate])=2024,10,NA))),FALSE)</f>
        <v>5.965769822</v>
      </c>
      <c r="K1298" s="9">
        <v>9.5</v>
      </c>
      <c r="L1298" s="25">
        <f>(revenue[orderPrice]-revenue[productCost])/revenue[productCost]</f>
        <v>0.5924181261</v>
      </c>
      <c r="M1298" s="10">
        <v>40.0</v>
      </c>
      <c r="N1298" s="25">
        <v>0.2</v>
      </c>
      <c r="O1298" s="9">
        <f>revenue[orderPrice]*revenue[orderQuantity]</f>
        <v>380</v>
      </c>
      <c r="P1298" s="9">
        <f>revenue[orderTotal]*(1-revenue[discountApllied])</f>
        <v>304</v>
      </c>
      <c r="Q1298" s="9">
        <f>revenue[revenue]-(revenue[productCost]*revenue[orderQuantity])</f>
        <v>65.36920713</v>
      </c>
      <c r="R1298" s="25">
        <f>IFERROR(revenue[profit]/revenue[revenue], 0)</f>
        <v>0.2150302866</v>
      </c>
      <c r="S1298" s="9">
        <f>revenue[productCost]*revenue[orderQuantity]</f>
        <v>238.6307929</v>
      </c>
    </row>
    <row r="1299" ht="15.75" customHeight="1">
      <c r="A1299" s="6">
        <v>10740.0</v>
      </c>
      <c r="B1299" s="7" t="s">
        <v>34</v>
      </c>
      <c r="C1299" s="24" t="str">
        <f>VLOOKUP(revenue[customerID],customers[],2,FALSE)</f>
        <v>White Clover Markets</v>
      </c>
      <c r="D1299" s="24" t="str">
        <f>VLOOKUP(revenue[customerID],customers[],6,FALSE)</f>
        <v>Seattle</v>
      </c>
      <c r="E1299" s="24" t="str">
        <f>VLOOKUP(revenue[customerID],customers[],9,FALSE)</f>
        <v>USA</v>
      </c>
      <c r="F1299" s="24">
        <v>45243.0</v>
      </c>
      <c r="G1299" s="6">
        <v>56.0</v>
      </c>
      <c r="H1299" s="9" t="str">
        <f>VLOOKUP(revenue[productID],products[],2,FALSE)</f>
        <v>Gnocchi di nonna Alice</v>
      </c>
      <c r="I1299" s="9" t="str">
        <f>VLOOKUP(revenue[productID],products[],12,FALSE)</f>
        <v>Grains/Cereals</v>
      </c>
      <c r="J1299" s="9">
        <f>VLOOKUP(revenue[productID],products[],IF(YEAR(revenue[orderDate])=2022,8,IF(YEAR(revenue[orderDate])=2023,9,IF(YEAR(revenue[orderDate])=2024,10,NA))),FALSE)</f>
        <v>24.28342441</v>
      </c>
      <c r="K1299" s="9">
        <v>38.0</v>
      </c>
      <c r="L1299" s="25">
        <f>(revenue[orderPrice]-revenue[productCost])/revenue[productCost]</f>
        <v>0.5648534309</v>
      </c>
      <c r="M1299" s="10">
        <v>14.0</v>
      </c>
      <c r="N1299" s="25">
        <v>0.2</v>
      </c>
      <c r="O1299" s="9">
        <f>revenue[orderPrice]*revenue[orderQuantity]</f>
        <v>532</v>
      </c>
      <c r="P1299" s="9">
        <f>revenue[orderTotal]*(1-revenue[discountApllied])</f>
        <v>425.6</v>
      </c>
      <c r="Q1299" s="9">
        <f>revenue[revenue]-(revenue[productCost]*revenue[orderQuantity])</f>
        <v>85.63205829</v>
      </c>
      <c r="R1299" s="25">
        <f>IFERROR(revenue[profit]/revenue[revenue], 0)</f>
        <v>0.2012031445</v>
      </c>
      <c r="S1299" s="9">
        <f>revenue[productCost]*revenue[orderQuantity]</f>
        <v>339.9679417</v>
      </c>
    </row>
    <row r="1300" ht="15.75" customHeight="1">
      <c r="A1300" s="6">
        <v>10741.0</v>
      </c>
      <c r="B1300" s="7" t="s">
        <v>70</v>
      </c>
      <c r="C1300" s="24" t="str">
        <f>VLOOKUP(revenue[customerID],customers[],2,FALSE)</f>
        <v>Around the Horn</v>
      </c>
      <c r="D1300" s="24" t="str">
        <f>VLOOKUP(revenue[customerID],customers[],6,FALSE)</f>
        <v>London</v>
      </c>
      <c r="E1300" s="24" t="str">
        <f>VLOOKUP(revenue[customerID],customers[],9,FALSE)</f>
        <v>UK</v>
      </c>
      <c r="F1300" s="24">
        <v>45244.0</v>
      </c>
      <c r="G1300" s="6">
        <v>2.0</v>
      </c>
      <c r="H1300" s="9" t="str">
        <f>VLOOKUP(revenue[productID],products[],2,FALSE)</f>
        <v>Chang</v>
      </c>
      <c r="I1300" s="9" t="str">
        <f>VLOOKUP(revenue[productID],products[],12,FALSE)</f>
        <v>Beverages</v>
      </c>
      <c r="J1300" s="9">
        <f>VLOOKUP(revenue[productID],products[],IF(YEAR(revenue[orderDate])=2022,8,IF(YEAR(revenue[orderDate])=2023,9,IF(YEAR(revenue[orderDate])=2024,10,NA))),FALSE)</f>
        <v>12.14626904</v>
      </c>
      <c r="K1300" s="9">
        <v>19.0</v>
      </c>
      <c r="L1300" s="25">
        <f>(revenue[orderPrice]-revenue[productCost])/revenue[productCost]</f>
        <v>0.5642663547</v>
      </c>
      <c r="M1300" s="10">
        <v>15.0</v>
      </c>
      <c r="N1300" s="25">
        <v>0.2</v>
      </c>
      <c r="O1300" s="9">
        <f>revenue[orderPrice]*revenue[orderQuantity]</f>
        <v>285</v>
      </c>
      <c r="P1300" s="9">
        <f>revenue[orderTotal]*(1-revenue[discountApllied])</f>
        <v>228</v>
      </c>
      <c r="Q1300" s="9">
        <f>revenue[revenue]-(revenue[productCost]*revenue[orderQuantity])</f>
        <v>45.80596434</v>
      </c>
      <c r="R1300" s="25">
        <f>IFERROR(revenue[profit]/revenue[revenue], 0)</f>
        <v>0.2009033524</v>
      </c>
      <c r="S1300" s="9">
        <f>revenue[productCost]*revenue[orderQuantity]</f>
        <v>182.1940357</v>
      </c>
    </row>
    <row r="1301" ht="15.75" customHeight="1">
      <c r="A1301" s="6">
        <v>10742.0</v>
      </c>
      <c r="B1301" s="7" t="s">
        <v>81</v>
      </c>
      <c r="C1301" s="24" t="str">
        <f>VLOOKUP(revenue[customerID],customers[],2,FALSE)</f>
        <v>Bottom-Dollar Markets</v>
      </c>
      <c r="D1301" s="24" t="str">
        <f>VLOOKUP(revenue[customerID],customers[],6,FALSE)</f>
        <v>Tsawassen</v>
      </c>
      <c r="E1301" s="24" t="str">
        <f>VLOOKUP(revenue[customerID],customers[],9,FALSE)</f>
        <v>Canada</v>
      </c>
      <c r="F1301" s="24">
        <v>45244.0</v>
      </c>
      <c r="G1301" s="6">
        <v>3.0</v>
      </c>
      <c r="H1301" s="9" t="str">
        <f>VLOOKUP(revenue[productID],products[],2,FALSE)</f>
        <v>Aniseed Syrup</v>
      </c>
      <c r="I1301" s="9" t="str">
        <f>VLOOKUP(revenue[productID],products[],12,FALSE)</f>
        <v>Condiments</v>
      </c>
      <c r="J1301" s="9">
        <f>VLOOKUP(revenue[productID],products[],IF(YEAR(revenue[orderDate])=2022,8,IF(YEAR(revenue[orderDate])=2023,9,IF(YEAR(revenue[orderDate])=2024,10,NA))),FALSE)</f>
        <v>6.399802633</v>
      </c>
      <c r="K1301" s="9">
        <v>10.0</v>
      </c>
      <c r="L1301" s="25">
        <f>(revenue[orderPrice]-revenue[productCost])/revenue[productCost]</f>
        <v>0.5625481867</v>
      </c>
      <c r="M1301" s="10">
        <v>20.0</v>
      </c>
      <c r="N1301" s="25">
        <v>0.0</v>
      </c>
      <c r="O1301" s="9">
        <f>revenue[orderPrice]*revenue[orderQuantity]</f>
        <v>200</v>
      </c>
      <c r="P1301" s="9">
        <f>revenue[orderTotal]*(1-revenue[discountApllied])</f>
        <v>200</v>
      </c>
      <c r="Q1301" s="9">
        <f>revenue[revenue]-(revenue[productCost]*revenue[orderQuantity])</f>
        <v>72.00394733</v>
      </c>
      <c r="R1301" s="25">
        <f>IFERROR(revenue[profit]/revenue[revenue], 0)</f>
        <v>0.3600197367</v>
      </c>
      <c r="S1301" s="9">
        <f>revenue[productCost]*revenue[orderQuantity]</f>
        <v>127.9960527</v>
      </c>
    </row>
    <row r="1302" ht="15.75" customHeight="1">
      <c r="A1302" s="6">
        <v>10742.0</v>
      </c>
      <c r="B1302" s="7" t="s">
        <v>81</v>
      </c>
      <c r="C1302" s="24" t="str">
        <f>VLOOKUP(revenue[customerID],customers[],2,FALSE)</f>
        <v>Bottom-Dollar Markets</v>
      </c>
      <c r="D1302" s="24" t="str">
        <f>VLOOKUP(revenue[customerID],customers[],6,FALSE)</f>
        <v>Tsawassen</v>
      </c>
      <c r="E1302" s="24" t="str">
        <f>VLOOKUP(revenue[customerID],customers[],9,FALSE)</f>
        <v>Canada</v>
      </c>
      <c r="F1302" s="24">
        <v>45244.0</v>
      </c>
      <c r="G1302" s="6">
        <v>60.0</v>
      </c>
      <c r="H1302" s="9" t="str">
        <f>VLOOKUP(revenue[productID],products[],2,FALSE)</f>
        <v>Camembert Pierrot</v>
      </c>
      <c r="I1302" s="9" t="str">
        <f>VLOOKUP(revenue[productID],products[],12,FALSE)</f>
        <v>Dairy Products</v>
      </c>
      <c r="J1302" s="9">
        <f>VLOOKUP(revenue[productID],products[],IF(YEAR(revenue[orderDate])=2022,8,IF(YEAR(revenue[orderDate])=2023,9,IF(YEAR(revenue[orderDate])=2024,10,NA))),FALSE)</f>
        <v>22.77098295</v>
      </c>
      <c r="K1302" s="9">
        <v>34.0</v>
      </c>
      <c r="L1302" s="25">
        <f>(revenue[orderPrice]-revenue[productCost])/revenue[productCost]</f>
        <v>0.4931283415</v>
      </c>
      <c r="M1302" s="10">
        <v>50.0</v>
      </c>
      <c r="N1302" s="25">
        <v>0.0</v>
      </c>
      <c r="O1302" s="9">
        <f>revenue[orderPrice]*revenue[orderQuantity]</f>
        <v>1700</v>
      </c>
      <c r="P1302" s="9">
        <f>revenue[orderTotal]*(1-revenue[discountApllied])</f>
        <v>1700</v>
      </c>
      <c r="Q1302" s="9">
        <f>revenue[revenue]-(revenue[productCost]*revenue[orderQuantity])</f>
        <v>561.4508527</v>
      </c>
      <c r="R1302" s="25">
        <f>IFERROR(revenue[profit]/revenue[revenue], 0)</f>
        <v>0.3302652075</v>
      </c>
      <c r="S1302" s="9">
        <f>revenue[productCost]*revenue[orderQuantity]</f>
        <v>1138.549147</v>
      </c>
    </row>
    <row r="1303" ht="15.75" customHeight="1">
      <c r="A1303" s="6">
        <v>10742.0</v>
      </c>
      <c r="B1303" s="7" t="s">
        <v>81</v>
      </c>
      <c r="C1303" s="24" t="str">
        <f>VLOOKUP(revenue[customerID],customers[],2,FALSE)</f>
        <v>Bottom-Dollar Markets</v>
      </c>
      <c r="D1303" s="24" t="str">
        <f>VLOOKUP(revenue[customerID],customers[],6,FALSE)</f>
        <v>Tsawassen</v>
      </c>
      <c r="E1303" s="24" t="str">
        <f>VLOOKUP(revenue[customerID],customers[],9,FALSE)</f>
        <v>Canada</v>
      </c>
      <c r="F1303" s="24">
        <v>45244.0</v>
      </c>
      <c r="G1303" s="6">
        <v>72.0</v>
      </c>
      <c r="H1303" s="9" t="str">
        <f>VLOOKUP(revenue[productID],products[],2,FALSE)</f>
        <v>Mozzarella di Giovanni</v>
      </c>
      <c r="I1303" s="9" t="str">
        <f>VLOOKUP(revenue[productID],products[],12,FALSE)</f>
        <v>Dairy Products</v>
      </c>
      <c r="J1303" s="9">
        <f>VLOOKUP(revenue[productID],products[],IF(YEAR(revenue[orderDate])=2022,8,IF(YEAR(revenue[orderDate])=2023,9,IF(YEAR(revenue[orderDate])=2024,10,NA))),FALSE)</f>
        <v>23.51933768</v>
      </c>
      <c r="K1303" s="9">
        <v>34.8</v>
      </c>
      <c r="L1303" s="25">
        <f>(revenue[orderPrice]-revenue[productCost])/revenue[productCost]</f>
        <v>0.4796335031</v>
      </c>
      <c r="M1303" s="10">
        <v>35.0</v>
      </c>
      <c r="N1303" s="25">
        <v>0.0</v>
      </c>
      <c r="O1303" s="9">
        <f>revenue[orderPrice]*revenue[orderQuantity]</f>
        <v>1218</v>
      </c>
      <c r="P1303" s="9">
        <f>revenue[orderTotal]*(1-revenue[discountApllied])</f>
        <v>1218</v>
      </c>
      <c r="Q1303" s="9">
        <f>revenue[revenue]-(revenue[productCost]*revenue[orderQuantity])</f>
        <v>394.8231812</v>
      </c>
      <c r="R1303" s="25">
        <f>IFERROR(revenue[profit]/revenue[revenue], 0)</f>
        <v>0.3241569633</v>
      </c>
      <c r="S1303" s="9">
        <f>revenue[productCost]*revenue[orderQuantity]</f>
        <v>823.1768188</v>
      </c>
    </row>
    <row r="1304" ht="15.75" customHeight="1">
      <c r="A1304" s="6">
        <v>10743.0</v>
      </c>
      <c r="B1304" s="7" t="s">
        <v>70</v>
      </c>
      <c r="C1304" s="24" t="str">
        <f>VLOOKUP(revenue[customerID],customers[],2,FALSE)</f>
        <v>Around the Horn</v>
      </c>
      <c r="D1304" s="24" t="str">
        <f>VLOOKUP(revenue[customerID],customers[],6,FALSE)</f>
        <v>London</v>
      </c>
      <c r="E1304" s="24" t="str">
        <f>VLOOKUP(revenue[customerID],customers[],9,FALSE)</f>
        <v>UK</v>
      </c>
      <c r="F1304" s="24">
        <v>45247.0</v>
      </c>
      <c r="G1304" s="6">
        <v>46.0</v>
      </c>
      <c r="H1304" s="9" t="str">
        <f>VLOOKUP(revenue[productID],products[],2,FALSE)</f>
        <v>Spegesild</v>
      </c>
      <c r="I1304" s="9" t="str">
        <f>VLOOKUP(revenue[productID],products[],12,FALSE)</f>
        <v>Seafood</v>
      </c>
      <c r="J1304" s="9">
        <f>VLOOKUP(revenue[productID],products[],IF(YEAR(revenue[orderDate])=2022,8,IF(YEAR(revenue[orderDate])=2023,9,IF(YEAR(revenue[orderDate])=2024,10,NA))),FALSE)</f>
        <v>7.087990753</v>
      </c>
      <c r="K1304" s="9">
        <v>12.0</v>
      </c>
      <c r="L1304" s="25">
        <f>(revenue[orderPrice]-revenue[productCost])/revenue[productCost]</f>
        <v>0.693004466</v>
      </c>
      <c r="M1304" s="10">
        <v>28.0</v>
      </c>
      <c r="N1304" s="25">
        <v>0.05</v>
      </c>
      <c r="O1304" s="9">
        <f>revenue[orderPrice]*revenue[orderQuantity]</f>
        <v>336</v>
      </c>
      <c r="P1304" s="9">
        <f>revenue[orderTotal]*(1-revenue[discountApllied])</f>
        <v>319.2</v>
      </c>
      <c r="Q1304" s="9">
        <f>revenue[revenue]-(revenue[productCost]*revenue[orderQuantity])</f>
        <v>120.7362589</v>
      </c>
      <c r="R1304" s="25">
        <f>IFERROR(revenue[profit]/revenue[revenue], 0)</f>
        <v>0.3782464252</v>
      </c>
      <c r="S1304" s="9">
        <f>revenue[productCost]*revenue[orderQuantity]</f>
        <v>198.4637411</v>
      </c>
    </row>
    <row r="1305" ht="15.75" customHeight="1">
      <c r="A1305" s="6">
        <v>10744.0</v>
      </c>
      <c r="B1305" s="7" t="s">
        <v>76</v>
      </c>
      <c r="C1305" s="24" t="str">
        <f>VLOOKUP(revenue[customerID],customers[],2,FALSE)</f>
        <v>Vaffeljernet</v>
      </c>
      <c r="D1305" s="24" t="str">
        <f>VLOOKUP(revenue[customerID],customers[],6,FALSE)</f>
        <v>Århus</v>
      </c>
      <c r="E1305" s="24" t="str">
        <f>VLOOKUP(revenue[customerID],customers[],9,FALSE)</f>
        <v>Denmark</v>
      </c>
      <c r="F1305" s="24">
        <v>45247.0</v>
      </c>
      <c r="G1305" s="6">
        <v>40.0</v>
      </c>
      <c r="H1305" s="9" t="str">
        <f>VLOOKUP(revenue[productID],products[],2,FALSE)</f>
        <v>Boston Crab Meat</v>
      </c>
      <c r="I1305" s="9" t="str">
        <f>VLOOKUP(revenue[productID],products[],12,FALSE)</f>
        <v>Seafood</v>
      </c>
      <c r="J1305" s="9">
        <f>VLOOKUP(revenue[productID],products[],IF(YEAR(revenue[orderDate])=2022,8,IF(YEAR(revenue[orderDate])=2023,9,IF(YEAR(revenue[orderDate])=2024,10,NA))),FALSE)</f>
        <v>11.40496523</v>
      </c>
      <c r="K1305" s="9">
        <v>18.4</v>
      </c>
      <c r="L1305" s="25">
        <f>(revenue[orderPrice]-revenue[productCost])/revenue[productCost]</f>
        <v>0.6133324069</v>
      </c>
      <c r="M1305" s="10">
        <v>50.0</v>
      </c>
      <c r="N1305" s="25">
        <v>0.2</v>
      </c>
      <c r="O1305" s="9">
        <f>revenue[orderPrice]*revenue[orderQuantity]</f>
        <v>920</v>
      </c>
      <c r="P1305" s="9">
        <f>revenue[orderTotal]*(1-revenue[discountApllied])</f>
        <v>736</v>
      </c>
      <c r="Q1305" s="9">
        <f>revenue[revenue]-(revenue[productCost]*revenue[orderQuantity])</f>
        <v>165.7517386</v>
      </c>
      <c r="R1305" s="25">
        <f>IFERROR(revenue[profit]/revenue[revenue], 0)</f>
        <v>0.2252061666</v>
      </c>
      <c r="S1305" s="9">
        <f>revenue[productCost]*revenue[orderQuantity]</f>
        <v>570.2482614</v>
      </c>
    </row>
    <row r="1306" ht="15.75" customHeight="1">
      <c r="A1306" s="6">
        <v>10745.0</v>
      </c>
      <c r="B1306" s="7" t="s">
        <v>36</v>
      </c>
      <c r="C1306" s="24" t="str">
        <f>VLOOKUP(revenue[customerID],customers[],2,FALSE)</f>
        <v>QUICK-Stop</v>
      </c>
      <c r="D1306" s="24" t="str">
        <f>VLOOKUP(revenue[customerID],customers[],6,FALSE)</f>
        <v>Cunewalde</v>
      </c>
      <c r="E1306" s="24" t="str">
        <f>VLOOKUP(revenue[customerID],customers[],9,FALSE)</f>
        <v>Germany</v>
      </c>
      <c r="F1306" s="24">
        <v>45248.0</v>
      </c>
      <c r="G1306" s="6">
        <v>18.0</v>
      </c>
      <c r="H1306" s="9" t="str">
        <f>VLOOKUP(revenue[productID],products[],2,FALSE)</f>
        <v>Carnarvon Tigers</v>
      </c>
      <c r="I1306" s="9" t="str">
        <f>VLOOKUP(revenue[productID],products[],12,FALSE)</f>
        <v>Seafood</v>
      </c>
      <c r="J1306" s="9">
        <f>VLOOKUP(revenue[productID],products[],IF(YEAR(revenue[orderDate])=2022,8,IF(YEAR(revenue[orderDate])=2023,9,IF(YEAR(revenue[orderDate])=2024,10,NA))),FALSE)</f>
        <v>39.51966651</v>
      </c>
      <c r="K1306" s="9">
        <v>62.5</v>
      </c>
      <c r="L1306" s="25">
        <f>(revenue[orderPrice]-revenue[productCost])/revenue[productCost]</f>
        <v>0.5814910784</v>
      </c>
      <c r="M1306" s="10">
        <v>24.0</v>
      </c>
      <c r="N1306" s="25">
        <v>0.0</v>
      </c>
      <c r="O1306" s="9">
        <f>revenue[orderPrice]*revenue[orderQuantity]</f>
        <v>1500</v>
      </c>
      <c r="P1306" s="9">
        <f>revenue[orderTotal]*(1-revenue[discountApllied])</f>
        <v>1500</v>
      </c>
      <c r="Q1306" s="9">
        <f>revenue[revenue]-(revenue[productCost]*revenue[orderQuantity])</f>
        <v>551.5280039</v>
      </c>
      <c r="R1306" s="25">
        <f>IFERROR(revenue[profit]/revenue[revenue], 0)</f>
        <v>0.3676853359</v>
      </c>
      <c r="S1306" s="9">
        <f>revenue[productCost]*revenue[orderQuantity]</f>
        <v>948.4719961</v>
      </c>
    </row>
    <row r="1307" ht="15.75" customHeight="1">
      <c r="A1307" s="6">
        <v>10745.0</v>
      </c>
      <c r="B1307" s="7" t="s">
        <v>36</v>
      </c>
      <c r="C1307" s="24" t="str">
        <f>VLOOKUP(revenue[customerID],customers[],2,FALSE)</f>
        <v>QUICK-Stop</v>
      </c>
      <c r="D1307" s="24" t="str">
        <f>VLOOKUP(revenue[customerID],customers[],6,FALSE)</f>
        <v>Cunewalde</v>
      </c>
      <c r="E1307" s="24" t="str">
        <f>VLOOKUP(revenue[customerID],customers[],9,FALSE)</f>
        <v>Germany</v>
      </c>
      <c r="F1307" s="24">
        <v>45248.0</v>
      </c>
      <c r="G1307" s="6">
        <v>44.0</v>
      </c>
      <c r="H1307" s="9" t="str">
        <f>VLOOKUP(revenue[productID],products[],2,FALSE)</f>
        <v>Gula Malacca</v>
      </c>
      <c r="I1307" s="9" t="str">
        <f>VLOOKUP(revenue[productID],products[],12,FALSE)</f>
        <v>Condiments</v>
      </c>
      <c r="J1307" s="9">
        <f>VLOOKUP(revenue[productID],products[],IF(YEAR(revenue[orderDate])=2022,8,IF(YEAR(revenue[orderDate])=2023,9,IF(YEAR(revenue[orderDate])=2024,10,NA))),FALSE)</f>
        <v>13.06032103</v>
      </c>
      <c r="K1307" s="9">
        <v>19.45</v>
      </c>
      <c r="L1307" s="25">
        <f>(revenue[orderPrice]-revenue[productCost])/revenue[productCost]</f>
        <v>0.4892436379</v>
      </c>
      <c r="M1307" s="10">
        <v>16.0</v>
      </c>
      <c r="N1307" s="25">
        <v>0.0</v>
      </c>
      <c r="O1307" s="9">
        <f>revenue[orderPrice]*revenue[orderQuantity]</f>
        <v>311.2</v>
      </c>
      <c r="P1307" s="9">
        <f>revenue[orderTotal]*(1-revenue[discountApllied])</f>
        <v>311.2</v>
      </c>
      <c r="Q1307" s="9">
        <f>revenue[revenue]-(revenue[productCost]*revenue[orderQuantity])</f>
        <v>102.2348635</v>
      </c>
      <c r="R1307" s="25">
        <f>IFERROR(revenue[profit]/revenue[revenue], 0)</f>
        <v>0.3285181991</v>
      </c>
      <c r="S1307" s="9">
        <f>revenue[productCost]*revenue[orderQuantity]</f>
        <v>208.9651365</v>
      </c>
    </row>
    <row r="1308" ht="15.75" customHeight="1">
      <c r="A1308" s="6">
        <v>10745.0</v>
      </c>
      <c r="B1308" s="7" t="s">
        <v>36</v>
      </c>
      <c r="C1308" s="24" t="str">
        <f>VLOOKUP(revenue[customerID],customers[],2,FALSE)</f>
        <v>QUICK-Stop</v>
      </c>
      <c r="D1308" s="24" t="str">
        <f>VLOOKUP(revenue[customerID],customers[],6,FALSE)</f>
        <v>Cunewalde</v>
      </c>
      <c r="E1308" s="24" t="str">
        <f>VLOOKUP(revenue[customerID],customers[],9,FALSE)</f>
        <v>Germany</v>
      </c>
      <c r="F1308" s="24">
        <v>45248.0</v>
      </c>
      <c r="G1308" s="6">
        <v>59.0</v>
      </c>
      <c r="H1308" s="9" t="str">
        <f>VLOOKUP(revenue[productID],products[],2,FALSE)</f>
        <v>Raclette Courdavault</v>
      </c>
      <c r="I1308" s="9" t="str">
        <f>VLOOKUP(revenue[productID],products[],12,FALSE)</f>
        <v>Dairy Products</v>
      </c>
      <c r="J1308" s="9">
        <f>VLOOKUP(revenue[productID],products[],IF(YEAR(revenue[orderDate])=2022,8,IF(YEAR(revenue[orderDate])=2023,9,IF(YEAR(revenue[orderDate])=2024,10,NA))),FALSE)</f>
        <v>35.20472566</v>
      </c>
      <c r="K1308" s="9">
        <v>55.0</v>
      </c>
      <c r="L1308" s="25">
        <f>(revenue[orderPrice]-revenue[productCost])/revenue[productCost]</f>
        <v>0.5622902598</v>
      </c>
      <c r="M1308" s="10">
        <v>45.0</v>
      </c>
      <c r="N1308" s="25">
        <v>0.0</v>
      </c>
      <c r="O1308" s="9">
        <f>revenue[orderPrice]*revenue[orderQuantity]</f>
        <v>2475</v>
      </c>
      <c r="P1308" s="9">
        <f>revenue[orderTotal]*(1-revenue[discountApllied])</f>
        <v>2475</v>
      </c>
      <c r="Q1308" s="9">
        <f>revenue[revenue]-(revenue[productCost]*revenue[orderQuantity])</f>
        <v>890.7873452</v>
      </c>
      <c r="R1308" s="25">
        <f>IFERROR(revenue[profit]/revenue[revenue], 0)</f>
        <v>0.3599140789</v>
      </c>
      <c r="S1308" s="9">
        <f>revenue[productCost]*revenue[orderQuantity]</f>
        <v>1584.212655</v>
      </c>
    </row>
    <row r="1309" ht="15.75" customHeight="1">
      <c r="A1309" s="6">
        <v>10745.0</v>
      </c>
      <c r="B1309" s="7" t="s">
        <v>36</v>
      </c>
      <c r="C1309" s="24" t="str">
        <f>VLOOKUP(revenue[customerID],customers[],2,FALSE)</f>
        <v>QUICK-Stop</v>
      </c>
      <c r="D1309" s="24" t="str">
        <f>VLOOKUP(revenue[customerID],customers[],6,FALSE)</f>
        <v>Cunewalde</v>
      </c>
      <c r="E1309" s="24" t="str">
        <f>VLOOKUP(revenue[customerID],customers[],9,FALSE)</f>
        <v>Germany</v>
      </c>
      <c r="F1309" s="24">
        <v>45248.0</v>
      </c>
      <c r="G1309" s="6">
        <v>72.0</v>
      </c>
      <c r="H1309" s="9" t="str">
        <f>VLOOKUP(revenue[productID],products[],2,FALSE)</f>
        <v>Mozzarella di Giovanni</v>
      </c>
      <c r="I1309" s="9" t="str">
        <f>VLOOKUP(revenue[productID],products[],12,FALSE)</f>
        <v>Dairy Products</v>
      </c>
      <c r="J1309" s="9">
        <f>VLOOKUP(revenue[productID],products[],IF(YEAR(revenue[orderDate])=2022,8,IF(YEAR(revenue[orderDate])=2023,9,IF(YEAR(revenue[orderDate])=2024,10,NA))),FALSE)</f>
        <v>23.51933768</v>
      </c>
      <c r="K1309" s="9">
        <v>34.8</v>
      </c>
      <c r="L1309" s="25">
        <f>(revenue[orderPrice]-revenue[productCost])/revenue[productCost]</f>
        <v>0.4796335031</v>
      </c>
      <c r="M1309" s="10">
        <v>7.0</v>
      </c>
      <c r="N1309" s="25">
        <v>0.0</v>
      </c>
      <c r="O1309" s="9">
        <f>revenue[orderPrice]*revenue[orderQuantity]</f>
        <v>243.6</v>
      </c>
      <c r="P1309" s="9">
        <f>revenue[orderTotal]*(1-revenue[discountApllied])</f>
        <v>243.6</v>
      </c>
      <c r="Q1309" s="9">
        <f>revenue[revenue]-(revenue[productCost]*revenue[orderQuantity])</f>
        <v>78.96463625</v>
      </c>
      <c r="R1309" s="25">
        <f>IFERROR(revenue[profit]/revenue[revenue], 0)</f>
        <v>0.3241569633</v>
      </c>
      <c r="S1309" s="9">
        <f>revenue[productCost]*revenue[orderQuantity]</f>
        <v>164.6353638</v>
      </c>
    </row>
    <row r="1310" ht="15.75" customHeight="1">
      <c r="A1310" s="6">
        <v>10746.0</v>
      </c>
      <c r="B1310" s="7" t="s">
        <v>20</v>
      </c>
      <c r="C1310" s="24" t="str">
        <f>VLOOKUP(revenue[customerID],customers[],2,FALSE)</f>
        <v>Chop-suey Chinese</v>
      </c>
      <c r="D1310" s="24" t="str">
        <f>VLOOKUP(revenue[customerID],customers[],6,FALSE)</f>
        <v>Bern</v>
      </c>
      <c r="E1310" s="24" t="str">
        <f>VLOOKUP(revenue[customerID],customers[],9,FALSE)</f>
        <v>Switzerland</v>
      </c>
      <c r="F1310" s="24">
        <v>45249.0</v>
      </c>
      <c r="G1310" s="6">
        <v>13.0</v>
      </c>
      <c r="H1310" s="9" t="str">
        <f>VLOOKUP(revenue[productID],products[],2,FALSE)</f>
        <v>Konbu</v>
      </c>
      <c r="I1310" s="9" t="str">
        <f>VLOOKUP(revenue[productID],products[],12,FALSE)</f>
        <v>Seafood</v>
      </c>
      <c r="J1310" s="9">
        <f>VLOOKUP(revenue[productID],products[],IF(YEAR(revenue[orderDate])=2022,8,IF(YEAR(revenue[orderDate])=2023,9,IF(YEAR(revenue[orderDate])=2024,10,NA))),FALSE)</f>
        <v>3.865774949</v>
      </c>
      <c r="K1310" s="9">
        <v>6.0</v>
      </c>
      <c r="L1310" s="25">
        <f>(revenue[orderPrice]-revenue[productCost])/revenue[productCost]</f>
        <v>0.5520820739</v>
      </c>
      <c r="M1310" s="10">
        <v>6.0</v>
      </c>
      <c r="N1310" s="25">
        <v>0.0</v>
      </c>
      <c r="O1310" s="9">
        <f>revenue[orderPrice]*revenue[orderQuantity]</f>
        <v>36</v>
      </c>
      <c r="P1310" s="9">
        <f>revenue[orderTotal]*(1-revenue[discountApllied])</f>
        <v>36</v>
      </c>
      <c r="Q1310" s="9">
        <f>revenue[revenue]-(revenue[productCost]*revenue[orderQuantity])</f>
        <v>12.80535031</v>
      </c>
      <c r="R1310" s="25">
        <f>IFERROR(revenue[profit]/revenue[revenue], 0)</f>
        <v>0.3557041752</v>
      </c>
      <c r="S1310" s="9">
        <f>revenue[productCost]*revenue[orderQuantity]</f>
        <v>23.19464969</v>
      </c>
    </row>
    <row r="1311" ht="15.75" customHeight="1">
      <c r="A1311" s="6">
        <v>10746.0</v>
      </c>
      <c r="B1311" s="7" t="s">
        <v>20</v>
      </c>
      <c r="C1311" s="24" t="str">
        <f>VLOOKUP(revenue[customerID],customers[],2,FALSE)</f>
        <v>Chop-suey Chinese</v>
      </c>
      <c r="D1311" s="24" t="str">
        <f>VLOOKUP(revenue[customerID],customers[],6,FALSE)</f>
        <v>Bern</v>
      </c>
      <c r="E1311" s="24" t="str">
        <f>VLOOKUP(revenue[customerID],customers[],9,FALSE)</f>
        <v>Switzerland</v>
      </c>
      <c r="F1311" s="24">
        <v>45249.0</v>
      </c>
      <c r="G1311" s="6">
        <v>42.0</v>
      </c>
      <c r="H1311" s="9" t="str">
        <f>VLOOKUP(revenue[productID],products[],2,FALSE)</f>
        <v>Singaporean Hokkien Fried Mee</v>
      </c>
      <c r="I1311" s="9" t="str">
        <f>VLOOKUP(revenue[productID],products[],12,FALSE)</f>
        <v>Grains/Cereals</v>
      </c>
      <c r="J1311" s="9">
        <f>VLOOKUP(revenue[productID],products[],IF(YEAR(revenue[orderDate])=2022,8,IF(YEAR(revenue[orderDate])=2023,9,IF(YEAR(revenue[orderDate])=2024,10,NA))),FALSE)</f>
        <v>9.105641621</v>
      </c>
      <c r="K1311" s="9">
        <v>14.0</v>
      </c>
      <c r="L1311" s="25">
        <f>(revenue[orderPrice]-revenue[productCost])/revenue[productCost]</f>
        <v>0.5375083474</v>
      </c>
      <c r="M1311" s="10">
        <v>28.0</v>
      </c>
      <c r="N1311" s="25">
        <v>0.0</v>
      </c>
      <c r="O1311" s="9">
        <f>revenue[orderPrice]*revenue[orderQuantity]</f>
        <v>392</v>
      </c>
      <c r="P1311" s="9">
        <f>revenue[orderTotal]*(1-revenue[discountApllied])</f>
        <v>392</v>
      </c>
      <c r="Q1311" s="9">
        <f>revenue[revenue]-(revenue[productCost]*revenue[orderQuantity])</f>
        <v>137.0420346</v>
      </c>
      <c r="R1311" s="25">
        <f>IFERROR(revenue[profit]/revenue[revenue], 0)</f>
        <v>0.3495970271</v>
      </c>
      <c r="S1311" s="9">
        <f>revenue[productCost]*revenue[orderQuantity]</f>
        <v>254.9579654</v>
      </c>
    </row>
    <row r="1312" ht="15.75" customHeight="1">
      <c r="A1312" s="6">
        <v>10746.0</v>
      </c>
      <c r="B1312" s="7" t="s">
        <v>20</v>
      </c>
      <c r="C1312" s="24" t="str">
        <f>VLOOKUP(revenue[customerID],customers[],2,FALSE)</f>
        <v>Chop-suey Chinese</v>
      </c>
      <c r="D1312" s="24" t="str">
        <f>VLOOKUP(revenue[customerID],customers[],6,FALSE)</f>
        <v>Bern</v>
      </c>
      <c r="E1312" s="24" t="str">
        <f>VLOOKUP(revenue[customerID],customers[],9,FALSE)</f>
        <v>Switzerland</v>
      </c>
      <c r="F1312" s="24">
        <v>45249.0</v>
      </c>
      <c r="G1312" s="6">
        <v>62.0</v>
      </c>
      <c r="H1312" s="9" t="str">
        <f>VLOOKUP(revenue[productID],products[],2,FALSE)</f>
        <v>Tarte au sucre</v>
      </c>
      <c r="I1312" s="9" t="str">
        <f>VLOOKUP(revenue[productID],products[],12,FALSE)</f>
        <v>Confections</v>
      </c>
      <c r="J1312" s="9">
        <f>VLOOKUP(revenue[productID],products[],IF(YEAR(revenue[orderDate])=2022,8,IF(YEAR(revenue[orderDate])=2023,9,IF(YEAR(revenue[orderDate])=2024,10,NA))),FALSE)</f>
        <v>35.34792781</v>
      </c>
      <c r="K1312" s="9">
        <v>49.3</v>
      </c>
      <c r="L1312" s="25">
        <f>(revenue[orderPrice]-revenue[productCost])/revenue[productCost]</f>
        <v>0.3947069335</v>
      </c>
      <c r="M1312" s="10">
        <v>9.0</v>
      </c>
      <c r="N1312" s="25">
        <v>0.0</v>
      </c>
      <c r="O1312" s="9">
        <f>revenue[orderPrice]*revenue[orderQuantity]</f>
        <v>443.7</v>
      </c>
      <c r="P1312" s="9">
        <f>revenue[orderTotal]*(1-revenue[discountApllied])</f>
        <v>443.7</v>
      </c>
      <c r="Q1312" s="9">
        <f>revenue[revenue]-(revenue[productCost]*revenue[orderQuantity])</f>
        <v>125.5686497</v>
      </c>
      <c r="R1312" s="25">
        <f>IFERROR(revenue[profit]/revenue[revenue], 0)</f>
        <v>0.2830034927</v>
      </c>
      <c r="S1312" s="9">
        <f>revenue[productCost]*revenue[orderQuantity]</f>
        <v>318.1313503</v>
      </c>
    </row>
    <row r="1313" ht="15.75" customHeight="1">
      <c r="A1313" s="6">
        <v>10746.0</v>
      </c>
      <c r="B1313" s="7" t="s">
        <v>20</v>
      </c>
      <c r="C1313" s="24" t="str">
        <f>VLOOKUP(revenue[customerID],customers[],2,FALSE)</f>
        <v>Chop-suey Chinese</v>
      </c>
      <c r="D1313" s="24" t="str">
        <f>VLOOKUP(revenue[customerID],customers[],6,FALSE)</f>
        <v>Bern</v>
      </c>
      <c r="E1313" s="24" t="str">
        <f>VLOOKUP(revenue[customerID],customers[],9,FALSE)</f>
        <v>Switzerland</v>
      </c>
      <c r="F1313" s="24">
        <v>45249.0</v>
      </c>
      <c r="G1313" s="6">
        <v>69.0</v>
      </c>
      <c r="H1313" s="9" t="str">
        <f>VLOOKUP(revenue[productID],products[],2,FALSE)</f>
        <v>Gudbrandsdalsost</v>
      </c>
      <c r="I1313" s="9" t="str">
        <f>VLOOKUP(revenue[productID],products[],12,FALSE)</f>
        <v>Dairy Products</v>
      </c>
      <c r="J1313" s="9">
        <f>VLOOKUP(revenue[productID],products[],IF(YEAR(revenue[orderDate])=2022,8,IF(YEAR(revenue[orderDate])=2023,9,IF(YEAR(revenue[orderDate])=2024,10,NA))),FALSE)</f>
        <v>21.82428612</v>
      </c>
      <c r="K1313" s="9">
        <v>36.0</v>
      </c>
      <c r="L1313" s="25">
        <f>(revenue[orderPrice]-revenue[productCost])/revenue[productCost]</f>
        <v>0.6495384916</v>
      </c>
      <c r="M1313" s="10">
        <v>40.0</v>
      </c>
      <c r="N1313" s="25">
        <v>0.0</v>
      </c>
      <c r="O1313" s="9">
        <f>revenue[orderPrice]*revenue[orderQuantity]</f>
        <v>1440</v>
      </c>
      <c r="P1313" s="9">
        <f>revenue[orderTotal]*(1-revenue[discountApllied])</f>
        <v>1440</v>
      </c>
      <c r="Q1313" s="9">
        <f>revenue[revenue]-(revenue[productCost]*revenue[orderQuantity])</f>
        <v>567.0285554</v>
      </c>
      <c r="R1313" s="25">
        <f>IFERROR(revenue[profit]/revenue[revenue], 0)</f>
        <v>0.3937698301</v>
      </c>
      <c r="S1313" s="9">
        <f>revenue[productCost]*revenue[orderQuantity]</f>
        <v>872.9714446</v>
      </c>
    </row>
    <row r="1314" ht="15.75" customHeight="1">
      <c r="A1314" s="6">
        <v>10747.0</v>
      </c>
      <c r="B1314" s="7" t="s">
        <v>69</v>
      </c>
      <c r="C1314" s="24" t="str">
        <f>VLOOKUP(revenue[customerID],customers[],2,FALSE)</f>
        <v>Piccolo und mehr</v>
      </c>
      <c r="D1314" s="24" t="str">
        <f>VLOOKUP(revenue[customerID],customers[],6,FALSE)</f>
        <v>Salzburg</v>
      </c>
      <c r="E1314" s="24" t="str">
        <f>VLOOKUP(revenue[customerID],customers[],9,FALSE)</f>
        <v>Austria</v>
      </c>
      <c r="F1314" s="24">
        <v>45249.0</v>
      </c>
      <c r="G1314" s="6">
        <v>31.0</v>
      </c>
      <c r="H1314" s="9" t="str">
        <f>VLOOKUP(revenue[productID],products[],2,FALSE)</f>
        <v>Gorgonzola Telino</v>
      </c>
      <c r="I1314" s="9" t="str">
        <f>VLOOKUP(revenue[productID],products[],12,FALSE)</f>
        <v>Dairy Products</v>
      </c>
      <c r="J1314" s="9">
        <f>VLOOKUP(revenue[productID],products[],IF(YEAR(revenue[orderDate])=2022,8,IF(YEAR(revenue[orderDate])=2023,9,IF(YEAR(revenue[orderDate])=2024,10,NA))),FALSE)</f>
        <v>7.937729254</v>
      </c>
      <c r="K1314" s="9">
        <v>12.5</v>
      </c>
      <c r="L1314" s="25">
        <f>(revenue[orderPrice]-revenue[productCost])/revenue[productCost]</f>
        <v>0.5747576668</v>
      </c>
      <c r="M1314" s="10">
        <v>8.0</v>
      </c>
      <c r="N1314" s="25">
        <v>0.0</v>
      </c>
      <c r="O1314" s="9">
        <f>revenue[orderPrice]*revenue[orderQuantity]</f>
        <v>100</v>
      </c>
      <c r="P1314" s="9">
        <f>revenue[orderTotal]*(1-revenue[discountApllied])</f>
        <v>100</v>
      </c>
      <c r="Q1314" s="9">
        <f>revenue[revenue]-(revenue[productCost]*revenue[orderQuantity])</f>
        <v>36.49816597</v>
      </c>
      <c r="R1314" s="25">
        <f>IFERROR(revenue[profit]/revenue[revenue], 0)</f>
        <v>0.3649816597</v>
      </c>
      <c r="S1314" s="9">
        <f>revenue[productCost]*revenue[orderQuantity]</f>
        <v>63.50183403</v>
      </c>
    </row>
    <row r="1315" ht="15.75" customHeight="1">
      <c r="A1315" s="6">
        <v>10747.0</v>
      </c>
      <c r="B1315" s="7" t="s">
        <v>69</v>
      </c>
      <c r="C1315" s="24" t="str">
        <f>VLOOKUP(revenue[customerID],customers[],2,FALSE)</f>
        <v>Piccolo und mehr</v>
      </c>
      <c r="D1315" s="24" t="str">
        <f>VLOOKUP(revenue[customerID],customers[],6,FALSE)</f>
        <v>Salzburg</v>
      </c>
      <c r="E1315" s="24" t="str">
        <f>VLOOKUP(revenue[customerID],customers[],9,FALSE)</f>
        <v>Austria</v>
      </c>
      <c r="F1315" s="24">
        <v>45249.0</v>
      </c>
      <c r="G1315" s="6">
        <v>41.0</v>
      </c>
      <c r="H1315" s="9" t="str">
        <f>VLOOKUP(revenue[productID],products[],2,FALSE)</f>
        <v>Jack's New England Clam Chowder</v>
      </c>
      <c r="I1315" s="9" t="str">
        <f>VLOOKUP(revenue[productID],products[],12,FALSE)</f>
        <v>Seafood</v>
      </c>
      <c r="J1315" s="9">
        <f>VLOOKUP(revenue[productID],products[],IF(YEAR(revenue[orderDate])=2022,8,IF(YEAR(revenue[orderDate])=2023,9,IF(YEAR(revenue[orderDate])=2024,10,NA))),FALSE)</f>
        <v>6.549914856</v>
      </c>
      <c r="K1315" s="9">
        <v>9.65</v>
      </c>
      <c r="L1315" s="25">
        <f>(revenue[orderPrice]-revenue[productCost])/revenue[productCost]</f>
        <v>0.4733015943</v>
      </c>
      <c r="M1315" s="10">
        <v>35.0</v>
      </c>
      <c r="N1315" s="25">
        <v>0.0</v>
      </c>
      <c r="O1315" s="9">
        <f>revenue[orderPrice]*revenue[orderQuantity]</f>
        <v>337.75</v>
      </c>
      <c r="P1315" s="9">
        <f>revenue[orderTotal]*(1-revenue[discountApllied])</f>
        <v>337.75</v>
      </c>
      <c r="Q1315" s="9">
        <f>revenue[revenue]-(revenue[productCost]*revenue[orderQuantity])</f>
        <v>108.50298</v>
      </c>
      <c r="R1315" s="25">
        <f>IFERROR(revenue[profit]/revenue[revenue], 0)</f>
        <v>0.3212523465</v>
      </c>
      <c r="S1315" s="9">
        <f>revenue[productCost]*revenue[orderQuantity]</f>
        <v>229.24702</v>
      </c>
    </row>
    <row r="1316" ht="15.75" customHeight="1">
      <c r="A1316" s="6">
        <v>10747.0</v>
      </c>
      <c r="B1316" s="7" t="s">
        <v>69</v>
      </c>
      <c r="C1316" s="24" t="str">
        <f>VLOOKUP(revenue[customerID],customers[],2,FALSE)</f>
        <v>Piccolo und mehr</v>
      </c>
      <c r="D1316" s="24" t="str">
        <f>VLOOKUP(revenue[customerID],customers[],6,FALSE)</f>
        <v>Salzburg</v>
      </c>
      <c r="E1316" s="24" t="str">
        <f>VLOOKUP(revenue[customerID],customers[],9,FALSE)</f>
        <v>Austria</v>
      </c>
      <c r="F1316" s="24">
        <v>45249.0</v>
      </c>
      <c r="G1316" s="6">
        <v>63.0</v>
      </c>
      <c r="H1316" s="9" t="str">
        <f>VLOOKUP(revenue[productID],products[],2,FALSE)</f>
        <v>Vegie-spread</v>
      </c>
      <c r="I1316" s="9" t="str">
        <f>VLOOKUP(revenue[productID],products[],12,FALSE)</f>
        <v>Condiments</v>
      </c>
      <c r="J1316" s="9">
        <f>VLOOKUP(revenue[productID],products[],IF(YEAR(revenue[orderDate])=2022,8,IF(YEAR(revenue[orderDate])=2023,9,IF(YEAR(revenue[orderDate])=2024,10,NA))),FALSE)</f>
        <v>27.72225706</v>
      </c>
      <c r="K1316" s="9">
        <v>43.9</v>
      </c>
      <c r="L1316" s="25">
        <f>(revenue[orderPrice]-revenue[productCost])/revenue[productCost]</f>
        <v>0.5835651445</v>
      </c>
      <c r="M1316" s="10">
        <v>9.0</v>
      </c>
      <c r="N1316" s="25">
        <v>0.0</v>
      </c>
      <c r="O1316" s="9">
        <f>revenue[orderPrice]*revenue[orderQuantity]</f>
        <v>395.1</v>
      </c>
      <c r="P1316" s="9">
        <f>revenue[orderTotal]*(1-revenue[discountApllied])</f>
        <v>395.1</v>
      </c>
      <c r="Q1316" s="9">
        <f>revenue[revenue]-(revenue[productCost]*revenue[orderQuantity])</f>
        <v>145.5996865</v>
      </c>
      <c r="R1316" s="25">
        <f>IFERROR(revenue[profit]/revenue[revenue], 0)</f>
        <v>0.3685135067</v>
      </c>
      <c r="S1316" s="9">
        <f>revenue[productCost]*revenue[orderQuantity]</f>
        <v>249.5003135</v>
      </c>
    </row>
    <row r="1317" ht="15.75" customHeight="1">
      <c r="A1317" s="6">
        <v>10747.0</v>
      </c>
      <c r="B1317" s="7" t="s">
        <v>69</v>
      </c>
      <c r="C1317" s="24" t="str">
        <f>VLOOKUP(revenue[customerID],customers[],2,FALSE)</f>
        <v>Piccolo und mehr</v>
      </c>
      <c r="D1317" s="24" t="str">
        <f>VLOOKUP(revenue[customerID],customers[],6,FALSE)</f>
        <v>Salzburg</v>
      </c>
      <c r="E1317" s="24" t="str">
        <f>VLOOKUP(revenue[customerID],customers[],9,FALSE)</f>
        <v>Austria</v>
      </c>
      <c r="F1317" s="24">
        <v>45249.0</v>
      </c>
      <c r="G1317" s="6">
        <v>69.0</v>
      </c>
      <c r="H1317" s="9" t="str">
        <f>VLOOKUP(revenue[productID],products[],2,FALSE)</f>
        <v>Gudbrandsdalsost</v>
      </c>
      <c r="I1317" s="9" t="str">
        <f>VLOOKUP(revenue[productID],products[],12,FALSE)</f>
        <v>Dairy Products</v>
      </c>
      <c r="J1317" s="9">
        <f>VLOOKUP(revenue[productID],products[],IF(YEAR(revenue[orderDate])=2022,8,IF(YEAR(revenue[orderDate])=2023,9,IF(YEAR(revenue[orderDate])=2024,10,NA))),FALSE)</f>
        <v>21.82428612</v>
      </c>
      <c r="K1317" s="9">
        <v>36.0</v>
      </c>
      <c r="L1317" s="25">
        <f>(revenue[orderPrice]-revenue[productCost])/revenue[productCost]</f>
        <v>0.6495384916</v>
      </c>
      <c r="M1317" s="10">
        <v>30.0</v>
      </c>
      <c r="N1317" s="25">
        <v>0.0</v>
      </c>
      <c r="O1317" s="9">
        <f>revenue[orderPrice]*revenue[orderQuantity]</f>
        <v>1080</v>
      </c>
      <c r="P1317" s="9">
        <f>revenue[orderTotal]*(1-revenue[discountApllied])</f>
        <v>1080</v>
      </c>
      <c r="Q1317" s="9">
        <f>revenue[revenue]-(revenue[productCost]*revenue[orderQuantity])</f>
        <v>425.2714165</v>
      </c>
      <c r="R1317" s="25">
        <f>IFERROR(revenue[profit]/revenue[revenue], 0)</f>
        <v>0.3937698301</v>
      </c>
      <c r="S1317" s="9">
        <f>revenue[productCost]*revenue[orderQuantity]</f>
        <v>654.7285835</v>
      </c>
    </row>
    <row r="1318" ht="15.75" customHeight="1">
      <c r="A1318" s="6">
        <v>10748.0</v>
      </c>
      <c r="B1318" s="7" t="s">
        <v>60</v>
      </c>
      <c r="C1318" s="24" t="str">
        <f>VLOOKUP(revenue[customerID],customers[],2,FALSE)</f>
        <v>Save-a-lot Markets</v>
      </c>
      <c r="D1318" s="24" t="str">
        <f>VLOOKUP(revenue[customerID],customers[],6,FALSE)</f>
        <v>Boise</v>
      </c>
      <c r="E1318" s="24" t="str">
        <f>VLOOKUP(revenue[customerID],customers[],9,FALSE)</f>
        <v>USA</v>
      </c>
      <c r="F1318" s="24">
        <v>45250.0</v>
      </c>
      <c r="G1318" s="6">
        <v>23.0</v>
      </c>
      <c r="H1318" s="9" t="str">
        <f>VLOOKUP(revenue[productID],products[],2,FALSE)</f>
        <v>Tunnbröd</v>
      </c>
      <c r="I1318" s="9" t="str">
        <f>VLOOKUP(revenue[productID],products[],12,FALSE)</f>
        <v>Grains/Cereals</v>
      </c>
      <c r="J1318" s="9">
        <f>VLOOKUP(revenue[productID],products[],IF(YEAR(revenue[orderDate])=2022,8,IF(YEAR(revenue[orderDate])=2023,9,IF(YEAR(revenue[orderDate])=2024,10,NA))),FALSE)</f>
        <v>5.989059129</v>
      </c>
      <c r="K1318" s="9">
        <v>9.0</v>
      </c>
      <c r="L1318" s="25">
        <f>(revenue[orderPrice]-revenue[productCost])/revenue[productCost]</f>
        <v>0.5027402146</v>
      </c>
      <c r="M1318" s="10">
        <v>44.0</v>
      </c>
      <c r="N1318" s="25">
        <v>0.0</v>
      </c>
      <c r="O1318" s="9">
        <f>revenue[orderPrice]*revenue[orderQuantity]</f>
        <v>396</v>
      </c>
      <c r="P1318" s="9">
        <f>revenue[orderTotal]*(1-revenue[discountApllied])</f>
        <v>396</v>
      </c>
      <c r="Q1318" s="9">
        <f>revenue[revenue]-(revenue[productCost]*revenue[orderQuantity])</f>
        <v>132.4813983</v>
      </c>
      <c r="R1318" s="25">
        <f>IFERROR(revenue[profit]/revenue[revenue], 0)</f>
        <v>0.3345489857</v>
      </c>
      <c r="S1318" s="9">
        <f>revenue[productCost]*revenue[orderQuantity]</f>
        <v>263.5186017</v>
      </c>
    </row>
    <row r="1319" ht="15.75" customHeight="1">
      <c r="A1319" s="6">
        <v>10748.0</v>
      </c>
      <c r="B1319" s="7" t="s">
        <v>60</v>
      </c>
      <c r="C1319" s="24" t="str">
        <f>VLOOKUP(revenue[customerID],customers[],2,FALSE)</f>
        <v>Save-a-lot Markets</v>
      </c>
      <c r="D1319" s="24" t="str">
        <f>VLOOKUP(revenue[customerID],customers[],6,FALSE)</f>
        <v>Boise</v>
      </c>
      <c r="E1319" s="24" t="str">
        <f>VLOOKUP(revenue[customerID],customers[],9,FALSE)</f>
        <v>USA</v>
      </c>
      <c r="F1319" s="24">
        <v>45250.0</v>
      </c>
      <c r="G1319" s="6">
        <v>40.0</v>
      </c>
      <c r="H1319" s="9" t="str">
        <f>VLOOKUP(revenue[productID],products[],2,FALSE)</f>
        <v>Boston Crab Meat</v>
      </c>
      <c r="I1319" s="9" t="str">
        <f>VLOOKUP(revenue[productID],products[],12,FALSE)</f>
        <v>Seafood</v>
      </c>
      <c r="J1319" s="9">
        <f>VLOOKUP(revenue[productID],products[],IF(YEAR(revenue[orderDate])=2022,8,IF(YEAR(revenue[orderDate])=2023,9,IF(YEAR(revenue[orderDate])=2024,10,NA))),FALSE)</f>
        <v>11.40496523</v>
      </c>
      <c r="K1319" s="9">
        <v>18.4</v>
      </c>
      <c r="L1319" s="25">
        <f>(revenue[orderPrice]-revenue[productCost])/revenue[productCost]</f>
        <v>0.6133324069</v>
      </c>
      <c r="M1319" s="10">
        <v>40.0</v>
      </c>
      <c r="N1319" s="25">
        <v>0.0</v>
      </c>
      <c r="O1319" s="9">
        <f>revenue[orderPrice]*revenue[orderQuantity]</f>
        <v>736</v>
      </c>
      <c r="P1319" s="9">
        <f>revenue[orderTotal]*(1-revenue[discountApllied])</f>
        <v>736</v>
      </c>
      <c r="Q1319" s="9">
        <f>revenue[revenue]-(revenue[productCost]*revenue[orderQuantity])</f>
        <v>279.8013909</v>
      </c>
      <c r="R1319" s="25">
        <f>IFERROR(revenue[profit]/revenue[revenue], 0)</f>
        <v>0.3801649333</v>
      </c>
      <c r="S1319" s="9">
        <f>revenue[productCost]*revenue[orderQuantity]</f>
        <v>456.1986091</v>
      </c>
    </row>
    <row r="1320" ht="15.75" customHeight="1">
      <c r="A1320" s="6">
        <v>10748.0</v>
      </c>
      <c r="B1320" s="7" t="s">
        <v>60</v>
      </c>
      <c r="C1320" s="24" t="str">
        <f>VLOOKUP(revenue[customerID],customers[],2,FALSE)</f>
        <v>Save-a-lot Markets</v>
      </c>
      <c r="D1320" s="24" t="str">
        <f>VLOOKUP(revenue[customerID],customers[],6,FALSE)</f>
        <v>Boise</v>
      </c>
      <c r="E1320" s="24" t="str">
        <f>VLOOKUP(revenue[customerID],customers[],9,FALSE)</f>
        <v>USA</v>
      </c>
      <c r="F1320" s="24">
        <v>45250.0</v>
      </c>
      <c r="G1320" s="6">
        <v>56.0</v>
      </c>
      <c r="H1320" s="9" t="str">
        <f>VLOOKUP(revenue[productID],products[],2,FALSE)</f>
        <v>Gnocchi di nonna Alice</v>
      </c>
      <c r="I1320" s="9" t="str">
        <f>VLOOKUP(revenue[productID],products[],12,FALSE)</f>
        <v>Grains/Cereals</v>
      </c>
      <c r="J1320" s="9">
        <f>VLOOKUP(revenue[productID],products[],IF(YEAR(revenue[orderDate])=2022,8,IF(YEAR(revenue[orderDate])=2023,9,IF(YEAR(revenue[orderDate])=2024,10,NA))),FALSE)</f>
        <v>24.28342441</v>
      </c>
      <c r="K1320" s="9">
        <v>38.0</v>
      </c>
      <c r="L1320" s="25">
        <f>(revenue[orderPrice]-revenue[productCost])/revenue[productCost]</f>
        <v>0.5648534309</v>
      </c>
      <c r="M1320" s="10">
        <v>28.0</v>
      </c>
      <c r="N1320" s="25">
        <v>0.0</v>
      </c>
      <c r="O1320" s="9">
        <f>revenue[orderPrice]*revenue[orderQuantity]</f>
        <v>1064</v>
      </c>
      <c r="P1320" s="9">
        <f>revenue[orderTotal]*(1-revenue[discountApllied])</f>
        <v>1064</v>
      </c>
      <c r="Q1320" s="9">
        <f>revenue[revenue]-(revenue[productCost]*revenue[orderQuantity])</f>
        <v>384.0641166</v>
      </c>
      <c r="R1320" s="25">
        <f>IFERROR(revenue[profit]/revenue[revenue], 0)</f>
        <v>0.3609625156</v>
      </c>
      <c r="S1320" s="9">
        <f>revenue[productCost]*revenue[orderQuantity]</f>
        <v>679.9358834</v>
      </c>
    </row>
    <row r="1321" ht="15.75" customHeight="1">
      <c r="A1321" s="6">
        <v>10749.0</v>
      </c>
      <c r="B1321" s="7" t="s">
        <v>57</v>
      </c>
      <c r="C1321" s="24" t="str">
        <f>VLOOKUP(revenue[customerID],customers[],2,FALSE)</f>
        <v>Island Trading</v>
      </c>
      <c r="D1321" s="24" t="str">
        <f>VLOOKUP(revenue[customerID],customers[],6,FALSE)</f>
        <v>Cowes</v>
      </c>
      <c r="E1321" s="24" t="str">
        <f>VLOOKUP(revenue[customerID],customers[],9,FALSE)</f>
        <v>UK</v>
      </c>
      <c r="F1321" s="24">
        <v>45250.0</v>
      </c>
      <c r="G1321" s="6">
        <v>56.0</v>
      </c>
      <c r="H1321" s="9" t="str">
        <f>VLOOKUP(revenue[productID],products[],2,FALSE)</f>
        <v>Gnocchi di nonna Alice</v>
      </c>
      <c r="I1321" s="9" t="str">
        <f>VLOOKUP(revenue[productID],products[],12,FALSE)</f>
        <v>Grains/Cereals</v>
      </c>
      <c r="J1321" s="9">
        <f>VLOOKUP(revenue[productID],products[],IF(YEAR(revenue[orderDate])=2022,8,IF(YEAR(revenue[orderDate])=2023,9,IF(YEAR(revenue[orderDate])=2024,10,NA))),FALSE)</f>
        <v>24.28342441</v>
      </c>
      <c r="K1321" s="9">
        <v>38.0</v>
      </c>
      <c r="L1321" s="25">
        <f>(revenue[orderPrice]-revenue[productCost])/revenue[productCost]</f>
        <v>0.5648534309</v>
      </c>
      <c r="M1321" s="10">
        <v>15.0</v>
      </c>
      <c r="N1321" s="25">
        <v>0.0</v>
      </c>
      <c r="O1321" s="9">
        <f>revenue[orderPrice]*revenue[orderQuantity]</f>
        <v>570</v>
      </c>
      <c r="P1321" s="9">
        <f>revenue[orderTotal]*(1-revenue[discountApllied])</f>
        <v>570</v>
      </c>
      <c r="Q1321" s="9">
        <f>revenue[revenue]-(revenue[productCost]*revenue[orderQuantity])</f>
        <v>205.7486339</v>
      </c>
      <c r="R1321" s="25">
        <f>IFERROR(revenue[profit]/revenue[revenue], 0)</f>
        <v>0.3609625156</v>
      </c>
      <c r="S1321" s="9">
        <f>revenue[productCost]*revenue[orderQuantity]</f>
        <v>364.2513661</v>
      </c>
    </row>
    <row r="1322" ht="15.75" customHeight="1">
      <c r="A1322" s="6">
        <v>10749.0</v>
      </c>
      <c r="B1322" s="7" t="s">
        <v>57</v>
      </c>
      <c r="C1322" s="24" t="str">
        <f>VLOOKUP(revenue[customerID],customers[],2,FALSE)</f>
        <v>Island Trading</v>
      </c>
      <c r="D1322" s="24" t="str">
        <f>VLOOKUP(revenue[customerID],customers[],6,FALSE)</f>
        <v>Cowes</v>
      </c>
      <c r="E1322" s="24" t="str">
        <f>VLOOKUP(revenue[customerID],customers[],9,FALSE)</f>
        <v>UK</v>
      </c>
      <c r="F1322" s="24">
        <v>45250.0</v>
      </c>
      <c r="G1322" s="6">
        <v>59.0</v>
      </c>
      <c r="H1322" s="9" t="str">
        <f>VLOOKUP(revenue[productID],products[],2,FALSE)</f>
        <v>Raclette Courdavault</v>
      </c>
      <c r="I1322" s="9" t="str">
        <f>VLOOKUP(revenue[productID],products[],12,FALSE)</f>
        <v>Dairy Products</v>
      </c>
      <c r="J1322" s="9">
        <f>VLOOKUP(revenue[productID],products[],IF(YEAR(revenue[orderDate])=2022,8,IF(YEAR(revenue[orderDate])=2023,9,IF(YEAR(revenue[orderDate])=2024,10,NA))),FALSE)</f>
        <v>35.20472566</v>
      </c>
      <c r="K1322" s="9">
        <v>55.0</v>
      </c>
      <c r="L1322" s="25">
        <f>(revenue[orderPrice]-revenue[productCost])/revenue[productCost]</f>
        <v>0.5622902598</v>
      </c>
      <c r="M1322" s="10">
        <v>6.0</v>
      </c>
      <c r="N1322" s="25">
        <v>0.0</v>
      </c>
      <c r="O1322" s="9">
        <f>revenue[orderPrice]*revenue[orderQuantity]</f>
        <v>330</v>
      </c>
      <c r="P1322" s="9">
        <f>revenue[orderTotal]*(1-revenue[discountApllied])</f>
        <v>330</v>
      </c>
      <c r="Q1322" s="9">
        <f>revenue[revenue]-(revenue[productCost]*revenue[orderQuantity])</f>
        <v>118.771646</v>
      </c>
      <c r="R1322" s="25">
        <f>IFERROR(revenue[profit]/revenue[revenue], 0)</f>
        <v>0.3599140789</v>
      </c>
      <c r="S1322" s="9">
        <f>revenue[productCost]*revenue[orderQuantity]</f>
        <v>211.228354</v>
      </c>
    </row>
    <row r="1323" ht="15.75" customHeight="1">
      <c r="A1323" s="6">
        <v>10749.0</v>
      </c>
      <c r="B1323" s="7" t="s">
        <v>57</v>
      </c>
      <c r="C1323" s="24" t="str">
        <f>VLOOKUP(revenue[customerID],customers[],2,FALSE)</f>
        <v>Island Trading</v>
      </c>
      <c r="D1323" s="24" t="str">
        <f>VLOOKUP(revenue[customerID],customers[],6,FALSE)</f>
        <v>Cowes</v>
      </c>
      <c r="E1323" s="24" t="str">
        <f>VLOOKUP(revenue[customerID],customers[],9,FALSE)</f>
        <v>UK</v>
      </c>
      <c r="F1323" s="24">
        <v>45250.0</v>
      </c>
      <c r="G1323" s="6">
        <v>76.0</v>
      </c>
      <c r="H1323" s="9" t="str">
        <f>VLOOKUP(revenue[productID],products[],2,FALSE)</f>
        <v>Lakkalikööri</v>
      </c>
      <c r="I1323" s="9" t="str">
        <f>VLOOKUP(revenue[productID],products[],12,FALSE)</f>
        <v>Beverages</v>
      </c>
      <c r="J1323" s="9">
        <f>VLOOKUP(revenue[productID],products[],IF(YEAR(revenue[orderDate])=2022,8,IF(YEAR(revenue[orderDate])=2023,9,IF(YEAR(revenue[orderDate])=2024,10,NA))),FALSE)</f>
        <v>12.1154529</v>
      </c>
      <c r="K1323" s="9">
        <v>18.0</v>
      </c>
      <c r="L1323" s="25">
        <f>(revenue[orderPrice]-revenue[productCost])/revenue[productCost]</f>
        <v>0.4857059125</v>
      </c>
      <c r="M1323" s="10">
        <v>10.0</v>
      </c>
      <c r="N1323" s="25">
        <v>0.0</v>
      </c>
      <c r="O1323" s="9">
        <f>revenue[orderPrice]*revenue[orderQuantity]</f>
        <v>180</v>
      </c>
      <c r="P1323" s="9">
        <f>revenue[orderTotal]*(1-revenue[discountApllied])</f>
        <v>180</v>
      </c>
      <c r="Q1323" s="9">
        <f>revenue[revenue]-(revenue[productCost]*revenue[orderQuantity])</f>
        <v>58.84547105</v>
      </c>
      <c r="R1323" s="25">
        <f>IFERROR(revenue[profit]/revenue[revenue], 0)</f>
        <v>0.3269192836</v>
      </c>
      <c r="S1323" s="9">
        <f>revenue[productCost]*revenue[orderQuantity]</f>
        <v>121.154529</v>
      </c>
    </row>
    <row r="1324" ht="15.75" customHeight="1">
      <c r="A1324" s="6">
        <v>10750.0</v>
      </c>
      <c r="B1324" s="7" t="s">
        <v>31</v>
      </c>
      <c r="C1324" s="24" t="str">
        <f>VLOOKUP(revenue[customerID],customers[],2,FALSE)</f>
        <v>Wartian Herkku</v>
      </c>
      <c r="D1324" s="24" t="str">
        <f>VLOOKUP(revenue[customerID],customers[],6,FALSE)</f>
        <v>Oulu</v>
      </c>
      <c r="E1324" s="24" t="str">
        <f>VLOOKUP(revenue[customerID],customers[],9,FALSE)</f>
        <v>Finland</v>
      </c>
      <c r="F1324" s="24">
        <v>45251.0</v>
      </c>
      <c r="G1324" s="6">
        <v>14.0</v>
      </c>
      <c r="H1324" s="9" t="str">
        <f>VLOOKUP(revenue[productID],products[],2,FALSE)</f>
        <v>Tofu</v>
      </c>
      <c r="I1324" s="9" t="str">
        <f>VLOOKUP(revenue[productID],products[],12,FALSE)</f>
        <v>Produce</v>
      </c>
      <c r="J1324" s="9">
        <f>VLOOKUP(revenue[productID],products[],IF(YEAR(revenue[orderDate])=2022,8,IF(YEAR(revenue[orderDate])=2023,9,IF(YEAR(revenue[orderDate])=2024,10,NA))),FALSE)</f>
        <v>15.38055417</v>
      </c>
      <c r="K1324" s="9">
        <v>23.25</v>
      </c>
      <c r="L1324" s="25">
        <f>(revenue[orderPrice]-revenue[productCost])/revenue[productCost]</f>
        <v>0.5116490437</v>
      </c>
      <c r="M1324" s="10">
        <v>5.0</v>
      </c>
      <c r="N1324" s="25">
        <v>0.15</v>
      </c>
      <c r="O1324" s="9">
        <f>revenue[orderPrice]*revenue[orderQuantity]</f>
        <v>116.25</v>
      </c>
      <c r="P1324" s="9">
        <f>revenue[orderTotal]*(1-revenue[discountApllied])</f>
        <v>98.8125</v>
      </c>
      <c r="Q1324" s="9">
        <f>revenue[revenue]-(revenue[productCost]*revenue[orderQuantity])</f>
        <v>21.90972916</v>
      </c>
      <c r="R1324" s="25">
        <f>IFERROR(revenue[profit]/revenue[revenue], 0)</f>
        <v>0.2217303394</v>
      </c>
      <c r="S1324" s="9">
        <f>revenue[productCost]*revenue[orderQuantity]</f>
        <v>76.90277084</v>
      </c>
    </row>
    <row r="1325" ht="15.75" customHeight="1">
      <c r="A1325" s="6">
        <v>10750.0</v>
      </c>
      <c r="B1325" s="7" t="s">
        <v>31</v>
      </c>
      <c r="C1325" s="24" t="str">
        <f>VLOOKUP(revenue[customerID],customers[],2,FALSE)</f>
        <v>Wartian Herkku</v>
      </c>
      <c r="D1325" s="24" t="str">
        <f>VLOOKUP(revenue[customerID],customers[],6,FALSE)</f>
        <v>Oulu</v>
      </c>
      <c r="E1325" s="24" t="str">
        <f>VLOOKUP(revenue[customerID],customers[],9,FALSE)</f>
        <v>Finland</v>
      </c>
      <c r="F1325" s="24">
        <v>45251.0</v>
      </c>
      <c r="G1325" s="6">
        <v>45.0</v>
      </c>
      <c r="H1325" s="9" t="str">
        <f>VLOOKUP(revenue[productID],products[],2,FALSE)</f>
        <v>Rogede sild</v>
      </c>
      <c r="I1325" s="9" t="str">
        <f>VLOOKUP(revenue[productID],products[],12,FALSE)</f>
        <v>Seafood</v>
      </c>
      <c r="J1325" s="9">
        <f>VLOOKUP(revenue[productID],products[],IF(YEAR(revenue[orderDate])=2022,8,IF(YEAR(revenue[orderDate])=2023,9,IF(YEAR(revenue[orderDate])=2024,10,NA))),FALSE)</f>
        <v>5.965769822</v>
      </c>
      <c r="K1325" s="9">
        <v>9.5</v>
      </c>
      <c r="L1325" s="25">
        <f>(revenue[orderPrice]-revenue[productCost])/revenue[productCost]</f>
        <v>0.5924181261</v>
      </c>
      <c r="M1325" s="10">
        <v>40.0</v>
      </c>
      <c r="N1325" s="25">
        <v>0.15</v>
      </c>
      <c r="O1325" s="9">
        <f>revenue[orderPrice]*revenue[orderQuantity]</f>
        <v>380</v>
      </c>
      <c r="P1325" s="9">
        <f>revenue[orderTotal]*(1-revenue[discountApllied])</f>
        <v>323</v>
      </c>
      <c r="Q1325" s="9">
        <f>revenue[revenue]-(revenue[productCost]*revenue[orderQuantity])</f>
        <v>84.36920713</v>
      </c>
      <c r="R1325" s="25">
        <f>IFERROR(revenue[profit]/revenue[revenue], 0)</f>
        <v>0.2612049756</v>
      </c>
      <c r="S1325" s="9">
        <f>revenue[productCost]*revenue[orderQuantity]</f>
        <v>238.6307929</v>
      </c>
    </row>
    <row r="1326" ht="15.75" customHeight="1">
      <c r="A1326" s="6">
        <v>10750.0</v>
      </c>
      <c r="B1326" s="7" t="s">
        <v>31</v>
      </c>
      <c r="C1326" s="24" t="str">
        <f>VLOOKUP(revenue[customerID],customers[],2,FALSE)</f>
        <v>Wartian Herkku</v>
      </c>
      <c r="D1326" s="24" t="str">
        <f>VLOOKUP(revenue[customerID],customers[],6,FALSE)</f>
        <v>Oulu</v>
      </c>
      <c r="E1326" s="24" t="str">
        <f>VLOOKUP(revenue[customerID],customers[],9,FALSE)</f>
        <v>Finland</v>
      </c>
      <c r="F1326" s="24">
        <v>45251.0</v>
      </c>
      <c r="G1326" s="6">
        <v>59.0</v>
      </c>
      <c r="H1326" s="9" t="str">
        <f>VLOOKUP(revenue[productID],products[],2,FALSE)</f>
        <v>Raclette Courdavault</v>
      </c>
      <c r="I1326" s="9" t="str">
        <f>VLOOKUP(revenue[productID],products[],12,FALSE)</f>
        <v>Dairy Products</v>
      </c>
      <c r="J1326" s="9">
        <f>VLOOKUP(revenue[productID],products[],IF(YEAR(revenue[orderDate])=2022,8,IF(YEAR(revenue[orderDate])=2023,9,IF(YEAR(revenue[orderDate])=2024,10,NA))),FALSE)</f>
        <v>35.20472566</v>
      </c>
      <c r="K1326" s="9">
        <v>55.0</v>
      </c>
      <c r="L1326" s="25">
        <f>(revenue[orderPrice]-revenue[productCost])/revenue[productCost]</f>
        <v>0.5622902598</v>
      </c>
      <c r="M1326" s="10">
        <v>25.0</v>
      </c>
      <c r="N1326" s="25">
        <v>0.15</v>
      </c>
      <c r="O1326" s="9">
        <f>revenue[orderPrice]*revenue[orderQuantity]</f>
        <v>1375</v>
      </c>
      <c r="P1326" s="9">
        <f>revenue[orderTotal]*(1-revenue[discountApllied])</f>
        <v>1168.75</v>
      </c>
      <c r="Q1326" s="9">
        <f>revenue[revenue]-(revenue[productCost]*revenue[orderQuantity])</f>
        <v>288.6318585</v>
      </c>
      <c r="R1326" s="25">
        <f>IFERROR(revenue[profit]/revenue[revenue], 0)</f>
        <v>0.2469577399</v>
      </c>
      <c r="S1326" s="9">
        <f>revenue[productCost]*revenue[orderQuantity]</f>
        <v>880.1181415</v>
      </c>
    </row>
    <row r="1327" ht="15.75" customHeight="1">
      <c r="A1327" s="6">
        <v>10751.0</v>
      </c>
      <c r="B1327" s="7" t="s">
        <v>21</v>
      </c>
      <c r="C1327" s="24" t="str">
        <f>VLOOKUP(revenue[customerID],customers[],2,FALSE)</f>
        <v>Richter Supermarkt</v>
      </c>
      <c r="D1327" s="24" t="str">
        <f>VLOOKUP(revenue[customerID],customers[],6,FALSE)</f>
        <v>Genève</v>
      </c>
      <c r="E1327" s="24" t="str">
        <f>VLOOKUP(revenue[customerID],customers[],9,FALSE)</f>
        <v>Switzerland</v>
      </c>
      <c r="F1327" s="24">
        <v>45254.0</v>
      </c>
      <c r="G1327" s="6">
        <v>26.0</v>
      </c>
      <c r="H1327" s="9" t="str">
        <f>VLOOKUP(revenue[productID],products[],2,FALSE)</f>
        <v>NuNuCa Nuß-Nougat-Creme</v>
      </c>
      <c r="I1327" s="9" t="str">
        <f>VLOOKUP(revenue[productID],products[],12,FALSE)</f>
        <v>Confections</v>
      </c>
      <c r="J1327" s="9">
        <f>VLOOKUP(revenue[productID],products[],IF(YEAR(revenue[orderDate])=2022,8,IF(YEAR(revenue[orderDate])=2023,9,IF(YEAR(revenue[orderDate])=2024,10,NA))),FALSE)</f>
        <v>21.20896201</v>
      </c>
      <c r="K1327" s="9">
        <v>31.23</v>
      </c>
      <c r="L1327" s="25">
        <f>(revenue[orderPrice]-revenue[productCost])/revenue[productCost]</f>
        <v>0.472490732</v>
      </c>
      <c r="M1327" s="10">
        <v>12.0</v>
      </c>
      <c r="N1327" s="25">
        <v>0.1</v>
      </c>
      <c r="O1327" s="9">
        <f>revenue[orderPrice]*revenue[orderQuantity]</f>
        <v>374.76</v>
      </c>
      <c r="P1327" s="9">
        <f>revenue[orderTotal]*(1-revenue[discountApllied])</f>
        <v>337.284</v>
      </c>
      <c r="Q1327" s="9">
        <f>revenue[revenue]-(revenue[productCost]*revenue[orderQuantity])</f>
        <v>82.77645585</v>
      </c>
      <c r="R1327" s="25">
        <f>IFERROR(revenue[profit]/revenue[revenue], 0)</f>
        <v>0.2454206421</v>
      </c>
      <c r="S1327" s="9">
        <f>revenue[productCost]*revenue[orderQuantity]</f>
        <v>254.5075442</v>
      </c>
    </row>
    <row r="1328" ht="15.75" customHeight="1">
      <c r="A1328" s="6">
        <v>10751.0</v>
      </c>
      <c r="B1328" s="7" t="s">
        <v>21</v>
      </c>
      <c r="C1328" s="24" t="str">
        <f>VLOOKUP(revenue[customerID],customers[],2,FALSE)</f>
        <v>Richter Supermarkt</v>
      </c>
      <c r="D1328" s="24" t="str">
        <f>VLOOKUP(revenue[customerID],customers[],6,FALSE)</f>
        <v>Genève</v>
      </c>
      <c r="E1328" s="24" t="str">
        <f>VLOOKUP(revenue[customerID],customers[],9,FALSE)</f>
        <v>Switzerland</v>
      </c>
      <c r="F1328" s="24">
        <v>45254.0</v>
      </c>
      <c r="G1328" s="6">
        <v>30.0</v>
      </c>
      <c r="H1328" s="9" t="str">
        <f>VLOOKUP(revenue[productID],products[],2,FALSE)</f>
        <v>Nord-Ost Matjeshering</v>
      </c>
      <c r="I1328" s="9" t="str">
        <f>VLOOKUP(revenue[productID],products[],12,FALSE)</f>
        <v>Seafood</v>
      </c>
      <c r="J1328" s="9">
        <f>VLOOKUP(revenue[productID],products[],IF(YEAR(revenue[orderDate])=2022,8,IF(YEAR(revenue[orderDate])=2023,9,IF(YEAR(revenue[orderDate])=2024,10,NA))),FALSE)</f>
        <v>16.03885249</v>
      </c>
      <c r="K1328" s="9">
        <v>25.89</v>
      </c>
      <c r="L1328" s="25">
        <f>(revenue[orderPrice]-revenue[productCost])/revenue[productCost]</f>
        <v>0.6142052564</v>
      </c>
      <c r="M1328" s="10">
        <v>30.0</v>
      </c>
      <c r="N1328" s="25">
        <v>0.0</v>
      </c>
      <c r="O1328" s="9">
        <f>revenue[orderPrice]*revenue[orderQuantity]</f>
        <v>776.7</v>
      </c>
      <c r="P1328" s="9">
        <f>revenue[orderTotal]*(1-revenue[discountApllied])</f>
        <v>776.7</v>
      </c>
      <c r="Q1328" s="9">
        <f>revenue[revenue]-(revenue[productCost]*revenue[orderQuantity])</f>
        <v>295.5344252</v>
      </c>
      <c r="R1328" s="25">
        <f>IFERROR(revenue[profit]/revenue[revenue], 0)</f>
        <v>0.3805000968</v>
      </c>
      <c r="S1328" s="9">
        <f>revenue[productCost]*revenue[orderQuantity]</f>
        <v>481.1655748</v>
      </c>
    </row>
    <row r="1329" ht="15.75" customHeight="1">
      <c r="A1329" s="6">
        <v>10751.0</v>
      </c>
      <c r="B1329" s="7" t="s">
        <v>21</v>
      </c>
      <c r="C1329" s="24" t="str">
        <f>VLOOKUP(revenue[customerID],customers[],2,FALSE)</f>
        <v>Richter Supermarkt</v>
      </c>
      <c r="D1329" s="24" t="str">
        <f>VLOOKUP(revenue[customerID],customers[],6,FALSE)</f>
        <v>Genève</v>
      </c>
      <c r="E1329" s="24" t="str">
        <f>VLOOKUP(revenue[customerID],customers[],9,FALSE)</f>
        <v>Switzerland</v>
      </c>
      <c r="F1329" s="24">
        <v>45254.0</v>
      </c>
      <c r="G1329" s="6">
        <v>50.0</v>
      </c>
      <c r="H1329" s="9" t="str">
        <f>VLOOKUP(revenue[productID],products[],2,FALSE)</f>
        <v>Valkoinen suklaa</v>
      </c>
      <c r="I1329" s="9" t="str">
        <f>VLOOKUP(revenue[productID],products[],12,FALSE)</f>
        <v>Confections</v>
      </c>
      <c r="J1329" s="9">
        <f>VLOOKUP(revenue[productID],products[],IF(YEAR(revenue[orderDate])=2022,8,IF(YEAR(revenue[orderDate])=2023,9,IF(YEAR(revenue[orderDate])=2024,10,NA))),FALSE)</f>
        <v>11.16021436</v>
      </c>
      <c r="K1329" s="9">
        <v>16.25</v>
      </c>
      <c r="L1329" s="25">
        <f>(revenue[orderPrice]-revenue[productCost])/revenue[productCost]</f>
        <v>0.4560652217</v>
      </c>
      <c r="M1329" s="10">
        <v>20.0</v>
      </c>
      <c r="N1329" s="25">
        <v>0.1</v>
      </c>
      <c r="O1329" s="9">
        <f>revenue[orderPrice]*revenue[orderQuantity]</f>
        <v>325</v>
      </c>
      <c r="P1329" s="9">
        <f>revenue[orderTotal]*(1-revenue[discountApllied])</f>
        <v>292.5</v>
      </c>
      <c r="Q1329" s="9">
        <f>revenue[revenue]-(revenue[productCost]*revenue[orderQuantity])</f>
        <v>69.29571275</v>
      </c>
      <c r="R1329" s="25">
        <f>IFERROR(revenue[profit]/revenue[revenue], 0)</f>
        <v>0.2369084196</v>
      </c>
      <c r="S1329" s="9">
        <f>revenue[productCost]*revenue[orderQuantity]</f>
        <v>223.2042873</v>
      </c>
    </row>
    <row r="1330" ht="15.75" customHeight="1">
      <c r="A1330" s="6">
        <v>10751.0</v>
      </c>
      <c r="B1330" s="7" t="s">
        <v>21</v>
      </c>
      <c r="C1330" s="24" t="str">
        <f>VLOOKUP(revenue[customerID],customers[],2,FALSE)</f>
        <v>Richter Supermarkt</v>
      </c>
      <c r="D1330" s="24" t="str">
        <f>VLOOKUP(revenue[customerID],customers[],6,FALSE)</f>
        <v>Genève</v>
      </c>
      <c r="E1330" s="24" t="str">
        <f>VLOOKUP(revenue[customerID],customers[],9,FALSE)</f>
        <v>Switzerland</v>
      </c>
      <c r="F1330" s="24">
        <v>45254.0</v>
      </c>
      <c r="G1330" s="6">
        <v>73.0</v>
      </c>
      <c r="H1330" s="9" t="str">
        <f>VLOOKUP(revenue[productID],products[],2,FALSE)</f>
        <v>Röd Kaviar</v>
      </c>
      <c r="I1330" s="9" t="str">
        <f>VLOOKUP(revenue[productID],products[],12,FALSE)</f>
        <v>Seafood</v>
      </c>
      <c r="J1330" s="9">
        <f>VLOOKUP(revenue[productID],products[],IF(YEAR(revenue[orderDate])=2022,8,IF(YEAR(revenue[orderDate])=2023,9,IF(YEAR(revenue[orderDate])=2024,10,NA))),FALSE)</f>
        <v>9.692999362</v>
      </c>
      <c r="K1330" s="9">
        <v>15.0</v>
      </c>
      <c r="L1330" s="25">
        <f>(revenue[orderPrice]-revenue[productCost])/revenue[productCost]</f>
        <v>0.5475086131</v>
      </c>
      <c r="M1330" s="10">
        <v>15.0</v>
      </c>
      <c r="N1330" s="25">
        <v>0.0</v>
      </c>
      <c r="O1330" s="9">
        <f>revenue[orderPrice]*revenue[orderQuantity]</f>
        <v>225</v>
      </c>
      <c r="P1330" s="9">
        <f>revenue[orderTotal]*(1-revenue[discountApllied])</f>
        <v>225</v>
      </c>
      <c r="Q1330" s="9">
        <f>revenue[revenue]-(revenue[productCost]*revenue[orderQuantity])</f>
        <v>79.60500957</v>
      </c>
      <c r="R1330" s="25">
        <f>IFERROR(revenue[profit]/revenue[revenue], 0)</f>
        <v>0.3538000425</v>
      </c>
      <c r="S1330" s="9">
        <f>revenue[productCost]*revenue[orderQuantity]</f>
        <v>145.3949904</v>
      </c>
    </row>
    <row r="1331" ht="15.75" customHeight="1">
      <c r="A1331" s="6">
        <v>10752.0</v>
      </c>
      <c r="B1331" s="7" t="s">
        <v>92</v>
      </c>
      <c r="C1331" s="24" t="str">
        <f>VLOOKUP(revenue[customerID],customers[],2,FALSE)</f>
        <v>North/South</v>
      </c>
      <c r="D1331" s="24" t="str">
        <f>VLOOKUP(revenue[customerID],customers[],6,FALSE)</f>
        <v>London</v>
      </c>
      <c r="E1331" s="24" t="str">
        <f>VLOOKUP(revenue[customerID],customers[],9,FALSE)</f>
        <v>UK</v>
      </c>
      <c r="F1331" s="24">
        <v>45254.0</v>
      </c>
      <c r="G1331" s="6">
        <v>1.0</v>
      </c>
      <c r="H1331" s="9" t="str">
        <f>VLOOKUP(revenue[productID],products[],2,FALSE)</f>
        <v>Chai</v>
      </c>
      <c r="I1331" s="9" t="str">
        <f>VLOOKUP(revenue[productID],products[],12,FALSE)</f>
        <v>Beverages</v>
      </c>
      <c r="J1331" s="9">
        <f>VLOOKUP(revenue[productID],products[],IF(YEAR(revenue[orderDate])=2022,8,IF(YEAR(revenue[orderDate])=2023,9,IF(YEAR(revenue[orderDate])=2024,10,NA))),FALSE)</f>
        <v>12.15847607</v>
      </c>
      <c r="K1331" s="9">
        <v>18.0</v>
      </c>
      <c r="L1331" s="25">
        <f>(revenue[orderPrice]-revenue[productCost])/revenue[productCost]</f>
        <v>0.4804486927</v>
      </c>
      <c r="M1331" s="10">
        <v>8.0</v>
      </c>
      <c r="N1331" s="25">
        <v>0.0</v>
      </c>
      <c r="O1331" s="9">
        <f>revenue[orderPrice]*revenue[orderQuantity]</f>
        <v>144</v>
      </c>
      <c r="P1331" s="9">
        <f>revenue[orderTotal]*(1-revenue[discountApllied])</f>
        <v>144</v>
      </c>
      <c r="Q1331" s="9">
        <f>revenue[revenue]-(revenue[productCost]*revenue[orderQuantity])</f>
        <v>46.73219146</v>
      </c>
      <c r="R1331" s="25">
        <f>IFERROR(revenue[profit]/revenue[revenue], 0)</f>
        <v>0.3245291073</v>
      </c>
      <c r="S1331" s="9">
        <f>revenue[productCost]*revenue[orderQuantity]</f>
        <v>97.26780854</v>
      </c>
    </row>
    <row r="1332" ht="15.75" customHeight="1">
      <c r="A1332" s="6">
        <v>10752.0</v>
      </c>
      <c r="B1332" s="7" t="s">
        <v>92</v>
      </c>
      <c r="C1332" s="24" t="str">
        <f>VLOOKUP(revenue[customerID],customers[],2,FALSE)</f>
        <v>North/South</v>
      </c>
      <c r="D1332" s="24" t="str">
        <f>VLOOKUP(revenue[customerID],customers[],6,FALSE)</f>
        <v>London</v>
      </c>
      <c r="E1332" s="24" t="str">
        <f>VLOOKUP(revenue[customerID],customers[],9,FALSE)</f>
        <v>UK</v>
      </c>
      <c r="F1332" s="24">
        <v>45254.0</v>
      </c>
      <c r="G1332" s="6">
        <v>69.0</v>
      </c>
      <c r="H1332" s="9" t="str">
        <f>VLOOKUP(revenue[productID],products[],2,FALSE)</f>
        <v>Gudbrandsdalsost</v>
      </c>
      <c r="I1332" s="9" t="str">
        <f>VLOOKUP(revenue[productID],products[],12,FALSE)</f>
        <v>Dairy Products</v>
      </c>
      <c r="J1332" s="9">
        <f>VLOOKUP(revenue[productID],products[],IF(YEAR(revenue[orderDate])=2022,8,IF(YEAR(revenue[orderDate])=2023,9,IF(YEAR(revenue[orderDate])=2024,10,NA))),FALSE)</f>
        <v>21.82428612</v>
      </c>
      <c r="K1332" s="9">
        <v>36.0</v>
      </c>
      <c r="L1332" s="25">
        <f>(revenue[orderPrice]-revenue[productCost])/revenue[productCost]</f>
        <v>0.6495384916</v>
      </c>
      <c r="M1332" s="10">
        <v>3.0</v>
      </c>
      <c r="N1332" s="25">
        <v>0.0</v>
      </c>
      <c r="O1332" s="9">
        <f>revenue[orderPrice]*revenue[orderQuantity]</f>
        <v>108</v>
      </c>
      <c r="P1332" s="9">
        <f>revenue[orderTotal]*(1-revenue[discountApllied])</f>
        <v>108</v>
      </c>
      <c r="Q1332" s="9">
        <f>revenue[revenue]-(revenue[productCost]*revenue[orderQuantity])</f>
        <v>42.52714165</v>
      </c>
      <c r="R1332" s="25">
        <f>IFERROR(revenue[profit]/revenue[revenue], 0)</f>
        <v>0.3937698301</v>
      </c>
      <c r="S1332" s="9">
        <f>revenue[productCost]*revenue[orderQuantity]</f>
        <v>65.47285835</v>
      </c>
    </row>
    <row r="1333" ht="15.75" customHeight="1">
      <c r="A1333" s="6">
        <v>10753.0</v>
      </c>
      <c r="B1333" s="7" t="s">
        <v>85</v>
      </c>
      <c r="C1333" s="24" t="str">
        <f>VLOOKUP(revenue[customerID],customers[],2,FALSE)</f>
        <v>Franchi S.p.A.</v>
      </c>
      <c r="D1333" s="24" t="str">
        <f>VLOOKUP(revenue[customerID],customers[],6,FALSE)</f>
        <v>Torino</v>
      </c>
      <c r="E1333" s="24" t="str">
        <f>VLOOKUP(revenue[customerID],customers[],9,FALSE)</f>
        <v>Italy</v>
      </c>
      <c r="F1333" s="24">
        <v>45255.0</v>
      </c>
      <c r="G1333" s="6">
        <v>45.0</v>
      </c>
      <c r="H1333" s="9" t="str">
        <f>VLOOKUP(revenue[productID],products[],2,FALSE)</f>
        <v>Rogede sild</v>
      </c>
      <c r="I1333" s="9" t="str">
        <f>VLOOKUP(revenue[productID],products[],12,FALSE)</f>
        <v>Seafood</v>
      </c>
      <c r="J1333" s="9">
        <f>VLOOKUP(revenue[productID],products[],IF(YEAR(revenue[orderDate])=2022,8,IF(YEAR(revenue[orderDate])=2023,9,IF(YEAR(revenue[orderDate])=2024,10,NA))),FALSE)</f>
        <v>5.965769822</v>
      </c>
      <c r="K1333" s="9">
        <v>9.5</v>
      </c>
      <c r="L1333" s="25">
        <f>(revenue[orderPrice]-revenue[productCost])/revenue[productCost]</f>
        <v>0.5924181261</v>
      </c>
      <c r="M1333" s="10">
        <v>4.0</v>
      </c>
      <c r="N1333" s="25">
        <v>0.0</v>
      </c>
      <c r="O1333" s="9">
        <f>revenue[orderPrice]*revenue[orderQuantity]</f>
        <v>38</v>
      </c>
      <c r="P1333" s="9">
        <f>revenue[orderTotal]*(1-revenue[discountApllied])</f>
        <v>38</v>
      </c>
      <c r="Q1333" s="9">
        <f>revenue[revenue]-(revenue[productCost]*revenue[orderQuantity])</f>
        <v>14.13692071</v>
      </c>
      <c r="R1333" s="25">
        <f>IFERROR(revenue[profit]/revenue[revenue], 0)</f>
        <v>0.3720242293</v>
      </c>
      <c r="S1333" s="9">
        <f>revenue[productCost]*revenue[orderQuantity]</f>
        <v>23.86307929</v>
      </c>
    </row>
    <row r="1334" ht="15.75" customHeight="1">
      <c r="A1334" s="6">
        <v>10753.0</v>
      </c>
      <c r="B1334" s="7" t="s">
        <v>85</v>
      </c>
      <c r="C1334" s="24" t="str">
        <f>VLOOKUP(revenue[customerID],customers[],2,FALSE)</f>
        <v>Franchi S.p.A.</v>
      </c>
      <c r="D1334" s="24" t="str">
        <f>VLOOKUP(revenue[customerID],customers[],6,FALSE)</f>
        <v>Torino</v>
      </c>
      <c r="E1334" s="24" t="str">
        <f>VLOOKUP(revenue[customerID],customers[],9,FALSE)</f>
        <v>Italy</v>
      </c>
      <c r="F1334" s="24">
        <v>45255.0</v>
      </c>
      <c r="G1334" s="6">
        <v>74.0</v>
      </c>
      <c r="H1334" s="9" t="str">
        <f>VLOOKUP(revenue[productID],products[],2,FALSE)</f>
        <v>Longlife Tofu</v>
      </c>
      <c r="I1334" s="9" t="str">
        <f>VLOOKUP(revenue[productID],products[],12,FALSE)</f>
        <v>Produce</v>
      </c>
      <c r="J1334" s="9">
        <f>VLOOKUP(revenue[productID],products[],IF(YEAR(revenue[orderDate])=2022,8,IF(YEAR(revenue[orderDate])=2023,9,IF(YEAR(revenue[orderDate])=2024,10,NA))),FALSE)</f>
        <v>6.510240467</v>
      </c>
      <c r="K1334" s="9">
        <v>10.0</v>
      </c>
      <c r="L1334" s="25">
        <f>(revenue[orderPrice]-revenue[productCost])/revenue[productCost]</f>
        <v>0.5360415719</v>
      </c>
      <c r="M1334" s="10">
        <v>5.0</v>
      </c>
      <c r="N1334" s="25">
        <v>0.0</v>
      </c>
      <c r="O1334" s="9">
        <f>revenue[orderPrice]*revenue[orderQuantity]</f>
        <v>50</v>
      </c>
      <c r="P1334" s="9">
        <f>revenue[orderTotal]*(1-revenue[discountApllied])</f>
        <v>50</v>
      </c>
      <c r="Q1334" s="9">
        <f>revenue[revenue]-(revenue[productCost]*revenue[orderQuantity])</f>
        <v>17.44879767</v>
      </c>
      <c r="R1334" s="25">
        <f>IFERROR(revenue[profit]/revenue[revenue], 0)</f>
        <v>0.3489759533</v>
      </c>
      <c r="S1334" s="9">
        <f>revenue[productCost]*revenue[orderQuantity]</f>
        <v>32.55120233</v>
      </c>
    </row>
    <row r="1335" ht="15.75" customHeight="1">
      <c r="A1335" s="6">
        <v>10754.0</v>
      </c>
      <c r="B1335" s="7" t="s">
        <v>37</v>
      </c>
      <c r="C1335" s="24" t="str">
        <f>VLOOKUP(revenue[customerID],customers[],2,FALSE)</f>
        <v>Magazzini Alimentari Riuniti</v>
      </c>
      <c r="D1335" s="24" t="str">
        <f>VLOOKUP(revenue[customerID],customers[],6,FALSE)</f>
        <v>Bergamo</v>
      </c>
      <c r="E1335" s="24" t="str">
        <f>VLOOKUP(revenue[customerID],customers[],9,FALSE)</f>
        <v>Italy</v>
      </c>
      <c r="F1335" s="24">
        <v>45255.0</v>
      </c>
      <c r="G1335" s="6">
        <v>40.0</v>
      </c>
      <c r="H1335" s="9" t="str">
        <f>VLOOKUP(revenue[productID],products[],2,FALSE)</f>
        <v>Boston Crab Meat</v>
      </c>
      <c r="I1335" s="9" t="str">
        <f>VLOOKUP(revenue[productID],products[],12,FALSE)</f>
        <v>Seafood</v>
      </c>
      <c r="J1335" s="9">
        <f>VLOOKUP(revenue[productID],products[],IF(YEAR(revenue[orderDate])=2022,8,IF(YEAR(revenue[orderDate])=2023,9,IF(YEAR(revenue[orderDate])=2024,10,NA))),FALSE)</f>
        <v>11.40496523</v>
      </c>
      <c r="K1335" s="9">
        <v>18.4</v>
      </c>
      <c r="L1335" s="25">
        <f>(revenue[orderPrice]-revenue[productCost])/revenue[productCost]</f>
        <v>0.6133324069</v>
      </c>
      <c r="M1335" s="10">
        <v>3.0</v>
      </c>
      <c r="N1335" s="25">
        <v>0.0</v>
      </c>
      <c r="O1335" s="9">
        <f>revenue[orderPrice]*revenue[orderQuantity]</f>
        <v>55.2</v>
      </c>
      <c r="P1335" s="9">
        <f>revenue[orderTotal]*(1-revenue[discountApllied])</f>
        <v>55.2</v>
      </c>
      <c r="Q1335" s="9">
        <f>revenue[revenue]-(revenue[productCost]*revenue[orderQuantity])</f>
        <v>20.98510432</v>
      </c>
      <c r="R1335" s="25">
        <f>IFERROR(revenue[profit]/revenue[revenue], 0)</f>
        <v>0.3801649333</v>
      </c>
      <c r="S1335" s="9">
        <f>revenue[productCost]*revenue[orderQuantity]</f>
        <v>34.21489568</v>
      </c>
    </row>
    <row r="1336" ht="15.75" customHeight="1">
      <c r="A1336" s="6">
        <v>10755.0</v>
      </c>
      <c r="B1336" s="7" t="s">
        <v>63</v>
      </c>
      <c r="C1336" s="24" t="str">
        <f>VLOOKUP(revenue[customerID],customers[],2,FALSE)</f>
        <v>Bon app'</v>
      </c>
      <c r="D1336" s="24" t="str">
        <f>VLOOKUP(revenue[customerID],customers[],6,FALSE)</f>
        <v>Marseille</v>
      </c>
      <c r="E1336" s="24" t="str">
        <f>VLOOKUP(revenue[customerID],customers[],9,FALSE)</f>
        <v>France</v>
      </c>
      <c r="F1336" s="24">
        <v>45256.0</v>
      </c>
      <c r="G1336" s="6">
        <v>47.0</v>
      </c>
      <c r="H1336" s="9" t="str">
        <f>VLOOKUP(revenue[productID],products[],2,FALSE)</f>
        <v>Zaanse koeken</v>
      </c>
      <c r="I1336" s="9" t="str">
        <f>VLOOKUP(revenue[productID],products[],12,FALSE)</f>
        <v>Confections</v>
      </c>
      <c r="J1336" s="9">
        <f>VLOOKUP(revenue[productID],products[],IF(YEAR(revenue[orderDate])=2022,8,IF(YEAR(revenue[orderDate])=2023,9,IF(YEAR(revenue[orderDate])=2024,10,NA))),FALSE)</f>
        <v>6.57708833</v>
      </c>
      <c r="K1336" s="9">
        <v>9.5</v>
      </c>
      <c r="L1336" s="25">
        <f>(revenue[orderPrice]-revenue[productCost])/revenue[productCost]</f>
        <v>0.4444081519</v>
      </c>
      <c r="M1336" s="10">
        <v>30.0</v>
      </c>
      <c r="N1336" s="25">
        <v>0.25</v>
      </c>
      <c r="O1336" s="9">
        <f>revenue[orderPrice]*revenue[orderQuantity]</f>
        <v>285</v>
      </c>
      <c r="P1336" s="9">
        <f>revenue[orderTotal]*(1-revenue[discountApllied])</f>
        <v>213.75</v>
      </c>
      <c r="Q1336" s="9">
        <f>revenue[revenue]-(revenue[productCost]*revenue[orderQuantity])</f>
        <v>16.43735009</v>
      </c>
      <c r="R1336" s="25">
        <f>IFERROR(revenue[profit]/revenue[revenue], 0)</f>
        <v>0.07689988345</v>
      </c>
      <c r="S1336" s="9">
        <f>revenue[productCost]*revenue[orderQuantity]</f>
        <v>197.3126499</v>
      </c>
    </row>
    <row r="1337" ht="15.75" customHeight="1">
      <c r="A1337" s="6">
        <v>10755.0</v>
      </c>
      <c r="B1337" s="7" t="s">
        <v>63</v>
      </c>
      <c r="C1337" s="24" t="str">
        <f>VLOOKUP(revenue[customerID],customers[],2,FALSE)</f>
        <v>Bon app'</v>
      </c>
      <c r="D1337" s="24" t="str">
        <f>VLOOKUP(revenue[customerID],customers[],6,FALSE)</f>
        <v>Marseille</v>
      </c>
      <c r="E1337" s="24" t="str">
        <f>VLOOKUP(revenue[customerID],customers[],9,FALSE)</f>
        <v>France</v>
      </c>
      <c r="F1337" s="24">
        <v>45256.0</v>
      </c>
      <c r="G1337" s="6">
        <v>56.0</v>
      </c>
      <c r="H1337" s="9" t="str">
        <f>VLOOKUP(revenue[productID],products[],2,FALSE)</f>
        <v>Gnocchi di nonna Alice</v>
      </c>
      <c r="I1337" s="9" t="str">
        <f>VLOOKUP(revenue[productID],products[],12,FALSE)</f>
        <v>Grains/Cereals</v>
      </c>
      <c r="J1337" s="9">
        <f>VLOOKUP(revenue[productID],products[],IF(YEAR(revenue[orderDate])=2022,8,IF(YEAR(revenue[orderDate])=2023,9,IF(YEAR(revenue[orderDate])=2024,10,NA))),FALSE)</f>
        <v>24.28342441</v>
      </c>
      <c r="K1337" s="9">
        <v>38.0</v>
      </c>
      <c r="L1337" s="25">
        <f>(revenue[orderPrice]-revenue[productCost])/revenue[productCost]</f>
        <v>0.5648534309</v>
      </c>
      <c r="M1337" s="10">
        <v>30.0</v>
      </c>
      <c r="N1337" s="25">
        <v>0.25</v>
      </c>
      <c r="O1337" s="9">
        <f>revenue[orderPrice]*revenue[orderQuantity]</f>
        <v>1140</v>
      </c>
      <c r="P1337" s="9">
        <f>revenue[orderTotal]*(1-revenue[discountApllied])</f>
        <v>855</v>
      </c>
      <c r="Q1337" s="9">
        <f>revenue[revenue]-(revenue[productCost]*revenue[orderQuantity])</f>
        <v>126.4972678</v>
      </c>
      <c r="R1337" s="25">
        <f>IFERROR(revenue[profit]/revenue[revenue], 0)</f>
        <v>0.1479500208</v>
      </c>
      <c r="S1337" s="9">
        <f>revenue[productCost]*revenue[orderQuantity]</f>
        <v>728.5027322</v>
      </c>
    </row>
    <row r="1338" ht="15.75" customHeight="1">
      <c r="A1338" s="6">
        <v>10755.0</v>
      </c>
      <c r="B1338" s="7" t="s">
        <v>63</v>
      </c>
      <c r="C1338" s="24" t="str">
        <f>VLOOKUP(revenue[customerID],customers[],2,FALSE)</f>
        <v>Bon app'</v>
      </c>
      <c r="D1338" s="24" t="str">
        <f>VLOOKUP(revenue[customerID],customers[],6,FALSE)</f>
        <v>Marseille</v>
      </c>
      <c r="E1338" s="24" t="str">
        <f>VLOOKUP(revenue[customerID],customers[],9,FALSE)</f>
        <v>France</v>
      </c>
      <c r="F1338" s="24">
        <v>45256.0</v>
      </c>
      <c r="G1338" s="6">
        <v>57.0</v>
      </c>
      <c r="H1338" s="9" t="str">
        <f>VLOOKUP(revenue[productID],products[],2,FALSE)</f>
        <v>Ravioli Angelo</v>
      </c>
      <c r="I1338" s="9" t="str">
        <f>VLOOKUP(revenue[productID],products[],12,FALSE)</f>
        <v>Grains/Cereals</v>
      </c>
      <c r="J1338" s="9">
        <f>VLOOKUP(revenue[productID],products[],IF(YEAR(revenue[orderDate])=2022,8,IF(YEAR(revenue[orderDate])=2023,9,IF(YEAR(revenue[orderDate])=2024,10,NA))),FALSE)</f>
        <v>13.01870901</v>
      </c>
      <c r="K1338" s="9">
        <v>19.5</v>
      </c>
      <c r="L1338" s="25">
        <f>(revenue[orderPrice]-revenue[productCost])/revenue[productCost]</f>
        <v>0.4978443707</v>
      </c>
      <c r="M1338" s="10">
        <v>14.0</v>
      </c>
      <c r="N1338" s="25">
        <v>0.25</v>
      </c>
      <c r="O1338" s="9">
        <f>revenue[orderPrice]*revenue[orderQuantity]</f>
        <v>273</v>
      </c>
      <c r="P1338" s="9">
        <f>revenue[orderTotal]*(1-revenue[discountApllied])</f>
        <v>204.75</v>
      </c>
      <c r="Q1338" s="9">
        <f>revenue[revenue]-(revenue[productCost]*revenue[orderQuantity])</f>
        <v>22.4880739</v>
      </c>
      <c r="R1338" s="25">
        <f>IFERROR(revenue[profit]/revenue[revenue], 0)</f>
        <v>0.1098318627</v>
      </c>
      <c r="S1338" s="9">
        <f>revenue[productCost]*revenue[orderQuantity]</f>
        <v>182.2619261</v>
      </c>
    </row>
    <row r="1339" ht="15.75" customHeight="1">
      <c r="A1339" s="6">
        <v>10755.0</v>
      </c>
      <c r="B1339" s="7" t="s">
        <v>63</v>
      </c>
      <c r="C1339" s="24" t="str">
        <f>VLOOKUP(revenue[customerID],customers[],2,FALSE)</f>
        <v>Bon app'</v>
      </c>
      <c r="D1339" s="24" t="str">
        <f>VLOOKUP(revenue[customerID],customers[],6,FALSE)</f>
        <v>Marseille</v>
      </c>
      <c r="E1339" s="24" t="str">
        <f>VLOOKUP(revenue[customerID],customers[],9,FALSE)</f>
        <v>France</v>
      </c>
      <c r="F1339" s="24">
        <v>45256.0</v>
      </c>
      <c r="G1339" s="6">
        <v>69.0</v>
      </c>
      <c r="H1339" s="9" t="str">
        <f>VLOOKUP(revenue[productID],products[],2,FALSE)</f>
        <v>Gudbrandsdalsost</v>
      </c>
      <c r="I1339" s="9" t="str">
        <f>VLOOKUP(revenue[productID],products[],12,FALSE)</f>
        <v>Dairy Products</v>
      </c>
      <c r="J1339" s="9">
        <f>VLOOKUP(revenue[productID],products[],IF(YEAR(revenue[orderDate])=2022,8,IF(YEAR(revenue[orderDate])=2023,9,IF(YEAR(revenue[orderDate])=2024,10,NA))),FALSE)</f>
        <v>21.82428612</v>
      </c>
      <c r="K1339" s="9">
        <v>36.0</v>
      </c>
      <c r="L1339" s="25">
        <f>(revenue[orderPrice]-revenue[productCost])/revenue[productCost]</f>
        <v>0.6495384916</v>
      </c>
      <c r="M1339" s="10">
        <v>25.0</v>
      </c>
      <c r="N1339" s="25">
        <v>0.25</v>
      </c>
      <c r="O1339" s="9">
        <f>revenue[orderPrice]*revenue[orderQuantity]</f>
        <v>900</v>
      </c>
      <c r="P1339" s="9">
        <f>revenue[orderTotal]*(1-revenue[discountApllied])</f>
        <v>675</v>
      </c>
      <c r="Q1339" s="9">
        <f>revenue[revenue]-(revenue[productCost]*revenue[orderQuantity])</f>
        <v>129.3928471</v>
      </c>
      <c r="R1339" s="25">
        <f>IFERROR(revenue[profit]/revenue[revenue], 0)</f>
        <v>0.1916931068</v>
      </c>
      <c r="S1339" s="9">
        <f>revenue[productCost]*revenue[orderQuantity]</f>
        <v>545.6071529</v>
      </c>
    </row>
    <row r="1340" ht="15.75" customHeight="1">
      <c r="A1340" s="6">
        <v>10756.0</v>
      </c>
      <c r="B1340" s="7" t="s">
        <v>35</v>
      </c>
      <c r="C1340" s="24" t="str">
        <f>VLOOKUP(revenue[customerID],customers[],2,FALSE)</f>
        <v>Split Rail Beer &amp; Ale</v>
      </c>
      <c r="D1340" s="24" t="str">
        <f>VLOOKUP(revenue[customerID],customers[],6,FALSE)</f>
        <v>Lander</v>
      </c>
      <c r="E1340" s="24" t="str">
        <f>VLOOKUP(revenue[customerID],customers[],9,FALSE)</f>
        <v>USA</v>
      </c>
      <c r="F1340" s="24">
        <v>45257.0</v>
      </c>
      <c r="G1340" s="6">
        <v>18.0</v>
      </c>
      <c r="H1340" s="9" t="str">
        <f>VLOOKUP(revenue[productID],products[],2,FALSE)</f>
        <v>Carnarvon Tigers</v>
      </c>
      <c r="I1340" s="9" t="str">
        <f>VLOOKUP(revenue[productID],products[],12,FALSE)</f>
        <v>Seafood</v>
      </c>
      <c r="J1340" s="9">
        <f>VLOOKUP(revenue[productID],products[],IF(YEAR(revenue[orderDate])=2022,8,IF(YEAR(revenue[orderDate])=2023,9,IF(YEAR(revenue[orderDate])=2024,10,NA))),FALSE)</f>
        <v>39.51966651</v>
      </c>
      <c r="K1340" s="9">
        <v>62.5</v>
      </c>
      <c r="L1340" s="25">
        <f>(revenue[orderPrice]-revenue[productCost])/revenue[productCost]</f>
        <v>0.5814910784</v>
      </c>
      <c r="M1340" s="10">
        <v>21.0</v>
      </c>
      <c r="N1340" s="25">
        <v>0.2</v>
      </c>
      <c r="O1340" s="9">
        <f>revenue[orderPrice]*revenue[orderQuantity]</f>
        <v>1312.5</v>
      </c>
      <c r="P1340" s="9">
        <f>revenue[orderTotal]*(1-revenue[discountApllied])</f>
        <v>1050</v>
      </c>
      <c r="Q1340" s="9">
        <f>revenue[revenue]-(revenue[productCost]*revenue[orderQuantity])</f>
        <v>220.0870034</v>
      </c>
      <c r="R1340" s="25">
        <f>IFERROR(revenue[profit]/revenue[revenue], 0)</f>
        <v>0.2096066699</v>
      </c>
      <c r="S1340" s="9">
        <f>revenue[productCost]*revenue[orderQuantity]</f>
        <v>829.9129966</v>
      </c>
    </row>
    <row r="1341" ht="15.75" customHeight="1">
      <c r="A1341" s="6">
        <v>10756.0</v>
      </c>
      <c r="B1341" s="7" t="s">
        <v>35</v>
      </c>
      <c r="C1341" s="24" t="str">
        <f>VLOOKUP(revenue[customerID],customers[],2,FALSE)</f>
        <v>Split Rail Beer &amp; Ale</v>
      </c>
      <c r="D1341" s="24" t="str">
        <f>VLOOKUP(revenue[customerID],customers[],6,FALSE)</f>
        <v>Lander</v>
      </c>
      <c r="E1341" s="24" t="str">
        <f>VLOOKUP(revenue[customerID],customers[],9,FALSE)</f>
        <v>USA</v>
      </c>
      <c r="F1341" s="24">
        <v>45257.0</v>
      </c>
      <c r="G1341" s="6">
        <v>36.0</v>
      </c>
      <c r="H1341" s="9" t="str">
        <f>VLOOKUP(revenue[productID],products[],2,FALSE)</f>
        <v>Inlagd Sill</v>
      </c>
      <c r="I1341" s="9" t="str">
        <f>VLOOKUP(revenue[productID],products[],12,FALSE)</f>
        <v>Seafood</v>
      </c>
      <c r="J1341" s="9">
        <f>VLOOKUP(revenue[productID],products[],IF(YEAR(revenue[orderDate])=2022,8,IF(YEAR(revenue[orderDate])=2023,9,IF(YEAR(revenue[orderDate])=2024,10,NA))),FALSE)</f>
        <v>12.15246269</v>
      </c>
      <c r="K1341" s="9">
        <v>19.0</v>
      </c>
      <c r="L1341" s="25">
        <f>(revenue[orderPrice]-revenue[productCost])/revenue[productCost]</f>
        <v>0.5634691082</v>
      </c>
      <c r="M1341" s="10">
        <v>20.0</v>
      </c>
      <c r="N1341" s="25">
        <v>0.2</v>
      </c>
      <c r="O1341" s="9">
        <f>revenue[orderPrice]*revenue[orderQuantity]</f>
        <v>380</v>
      </c>
      <c r="P1341" s="9">
        <f>revenue[orderTotal]*(1-revenue[discountApllied])</f>
        <v>304</v>
      </c>
      <c r="Q1341" s="9">
        <f>revenue[revenue]-(revenue[productCost]*revenue[orderQuantity])</f>
        <v>60.95074626</v>
      </c>
      <c r="R1341" s="25">
        <f>IFERROR(revenue[profit]/revenue[revenue], 0)</f>
        <v>0.2004958759</v>
      </c>
      <c r="S1341" s="9">
        <f>revenue[productCost]*revenue[orderQuantity]</f>
        <v>243.0492537</v>
      </c>
    </row>
    <row r="1342" ht="15.75" customHeight="1">
      <c r="A1342" s="6">
        <v>10756.0</v>
      </c>
      <c r="B1342" s="7" t="s">
        <v>35</v>
      </c>
      <c r="C1342" s="24" t="str">
        <f>VLOOKUP(revenue[customerID],customers[],2,FALSE)</f>
        <v>Split Rail Beer &amp; Ale</v>
      </c>
      <c r="D1342" s="24" t="str">
        <f>VLOOKUP(revenue[customerID],customers[],6,FALSE)</f>
        <v>Lander</v>
      </c>
      <c r="E1342" s="24" t="str">
        <f>VLOOKUP(revenue[customerID],customers[],9,FALSE)</f>
        <v>USA</v>
      </c>
      <c r="F1342" s="24">
        <v>45257.0</v>
      </c>
      <c r="G1342" s="6">
        <v>68.0</v>
      </c>
      <c r="H1342" s="9" t="str">
        <f>VLOOKUP(revenue[productID],products[],2,FALSE)</f>
        <v>Scottish Longbreads</v>
      </c>
      <c r="I1342" s="9" t="str">
        <f>VLOOKUP(revenue[productID],products[],12,FALSE)</f>
        <v>Confections</v>
      </c>
      <c r="J1342" s="9">
        <f>VLOOKUP(revenue[productID],products[],IF(YEAR(revenue[orderDate])=2022,8,IF(YEAR(revenue[orderDate])=2023,9,IF(YEAR(revenue[orderDate])=2024,10,NA))),FALSE)</f>
        <v>8.500000387</v>
      </c>
      <c r="K1342" s="9">
        <v>12.5</v>
      </c>
      <c r="L1342" s="25">
        <f>(revenue[orderPrice]-revenue[productCost])/revenue[productCost]</f>
        <v>0.4705881684</v>
      </c>
      <c r="M1342" s="10">
        <v>6.0</v>
      </c>
      <c r="N1342" s="25">
        <v>0.2</v>
      </c>
      <c r="O1342" s="9">
        <f>revenue[orderPrice]*revenue[orderQuantity]</f>
        <v>75</v>
      </c>
      <c r="P1342" s="9">
        <f>revenue[orderTotal]*(1-revenue[discountApllied])</f>
        <v>60</v>
      </c>
      <c r="Q1342" s="9">
        <f>revenue[revenue]-(revenue[productCost]*revenue[orderQuantity])</f>
        <v>8.999997681</v>
      </c>
      <c r="R1342" s="25">
        <f>IFERROR(revenue[profit]/revenue[revenue], 0)</f>
        <v>0.1499999613</v>
      </c>
      <c r="S1342" s="9">
        <f>revenue[productCost]*revenue[orderQuantity]</f>
        <v>51.00000232</v>
      </c>
    </row>
    <row r="1343" ht="15.75" customHeight="1">
      <c r="A1343" s="6">
        <v>10756.0</v>
      </c>
      <c r="B1343" s="7" t="s">
        <v>35</v>
      </c>
      <c r="C1343" s="24" t="str">
        <f>VLOOKUP(revenue[customerID],customers[],2,FALSE)</f>
        <v>Split Rail Beer &amp; Ale</v>
      </c>
      <c r="D1343" s="24" t="str">
        <f>VLOOKUP(revenue[customerID],customers[],6,FALSE)</f>
        <v>Lander</v>
      </c>
      <c r="E1343" s="24" t="str">
        <f>VLOOKUP(revenue[customerID],customers[],9,FALSE)</f>
        <v>USA</v>
      </c>
      <c r="F1343" s="24">
        <v>45257.0</v>
      </c>
      <c r="G1343" s="6">
        <v>69.0</v>
      </c>
      <c r="H1343" s="9" t="str">
        <f>VLOOKUP(revenue[productID],products[],2,FALSE)</f>
        <v>Gudbrandsdalsost</v>
      </c>
      <c r="I1343" s="9" t="str">
        <f>VLOOKUP(revenue[productID],products[],12,FALSE)</f>
        <v>Dairy Products</v>
      </c>
      <c r="J1343" s="9">
        <f>VLOOKUP(revenue[productID],products[],IF(YEAR(revenue[orderDate])=2022,8,IF(YEAR(revenue[orderDate])=2023,9,IF(YEAR(revenue[orderDate])=2024,10,NA))),FALSE)</f>
        <v>21.82428612</v>
      </c>
      <c r="K1343" s="9">
        <v>36.0</v>
      </c>
      <c r="L1343" s="25">
        <f>(revenue[orderPrice]-revenue[productCost])/revenue[productCost]</f>
        <v>0.6495384916</v>
      </c>
      <c r="M1343" s="10">
        <v>20.0</v>
      </c>
      <c r="N1343" s="25">
        <v>0.2</v>
      </c>
      <c r="O1343" s="9">
        <f>revenue[orderPrice]*revenue[orderQuantity]</f>
        <v>720</v>
      </c>
      <c r="P1343" s="9">
        <f>revenue[orderTotal]*(1-revenue[discountApllied])</f>
        <v>576</v>
      </c>
      <c r="Q1343" s="9">
        <f>revenue[revenue]-(revenue[productCost]*revenue[orderQuantity])</f>
        <v>139.5142777</v>
      </c>
      <c r="R1343" s="25">
        <f>IFERROR(revenue[profit]/revenue[revenue], 0)</f>
        <v>0.2422122877</v>
      </c>
      <c r="S1343" s="9">
        <f>revenue[productCost]*revenue[orderQuantity]</f>
        <v>436.4857223</v>
      </c>
    </row>
    <row r="1344" ht="15.75" customHeight="1">
      <c r="A1344" s="6">
        <v>10757.0</v>
      </c>
      <c r="B1344" s="7" t="s">
        <v>60</v>
      </c>
      <c r="C1344" s="24" t="str">
        <f>VLOOKUP(revenue[customerID],customers[],2,FALSE)</f>
        <v>Save-a-lot Markets</v>
      </c>
      <c r="D1344" s="24" t="str">
        <f>VLOOKUP(revenue[customerID],customers[],6,FALSE)</f>
        <v>Boise</v>
      </c>
      <c r="E1344" s="24" t="str">
        <f>VLOOKUP(revenue[customerID],customers[],9,FALSE)</f>
        <v>USA</v>
      </c>
      <c r="F1344" s="24">
        <v>45257.0</v>
      </c>
      <c r="G1344" s="6">
        <v>34.0</v>
      </c>
      <c r="H1344" s="9" t="str">
        <f>VLOOKUP(revenue[productID],products[],2,FALSE)</f>
        <v>Sasquatch Ale</v>
      </c>
      <c r="I1344" s="9" t="str">
        <f>VLOOKUP(revenue[productID],products[],12,FALSE)</f>
        <v>Beverages</v>
      </c>
      <c r="J1344" s="9">
        <f>VLOOKUP(revenue[productID],products[],IF(YEAR(revenue[orderDate])=2022,8,IF(YEAR(revenue[orderDate])=2023,9,IF(YEAR(revenue[orderDate])=2024,10,NA))),FALSE)</f>
        <v>8.955654061</v>
      </c>
      <c r="K1344" s="9">
        <v>14.0</v>
      </c>
      <c r="L1344" s="25">
        <f>(revenue[orderPrice]-revenue[productCost])/revenue[productCost]</f>
        <v>0.5632582394</v>
      </c>
      <c r="M1344" s="10">
        <v>30.0</v>
      </c>
      <c r="N1344" s="25">
        <v>0.0</v>
      </c>
      <c r="O1344" s="9">
        <f>revenue[orderPrice]*revenue[orderQuantity]</f>
        <v>420</v>
      </c>
      <c r="P1344" s="9">
        <f>revenue[orderTotal]*(1-revenue[discountApllied])</f>
        <v>420</v>
      </c>
      <c r="Q1344" s="9">
        <f>revenue[revenue]-(revenue[productCost]*revenue[orderQuantity])</f>
        <v>151.3303782</v>
      </c>
      <c r="R1344" s="25">
        <f>IFERROR(revenue[profit]/revenue[revenue], 0)</f>
        <v>0.3603104242</v>
      </c>
      <c r="S1344" s="9">
        <f>revenue[productCost]*revenue[orderQuantity]</f>
        <v>268.6696218</v>
      </c>
    </row>
    <row r="1345" ht="15.75" customHeight="1">
      <c r="A1345" s="6">
        <v>10757.0</v>
      </c>
      <c r="B1345" s="7" t="s">
        <v>60</v>
      </c>
      <c r="C1345" s="24" t="str">
        <f>VLOOKUP(revenue[customerID],customers[],2,FALSE)</f>
        <v>Save-a-lot Markets</v>
      </c>
      <c r="D1345" s="24" t="str">
        <f>VLOOKUP(revenue[customerID],customers[],6,FALSE)</f>
        <v>Boise</v>
      </c>
      <c r="E1345" s="24" t="str">
        <f>VLOOKUP(revenue[customerID],customers[],9,FALSE)</f>
        <v>USA</v>
      </c>
      <c r="F1345" s="24">
        <v>45257.0</v>
      </c>
      <c r="G1345" s="6">
        <v>59.0</v>
      </c>
      <c r="H1345" s="9" t="str">
        <f>VLOOKUP(revenue[productID],products[],2,FALSE)</f>
        <v>Raclette Courdavault</v>
      </c>
      <c r="I1345" s="9" t="str">
        <f>VLOOKUP(revenue[productID],products[],12,FALSE)</f>
        <v>Dairy Products</v>
      </c>
      <c r="J1345" s="9">
        <f>VLOOKUP(revenue[productID],products[],IF(YEAR(revenue[orderDate])=2022,8,IF(YEAR(revenue[orderDate])=2023,9,IF(YEAR(revenue[orderDate])=2024,10,NA))),FALSE)</f>
        <v>35.20472566</v>
      </c>
      <c r="K1345" s="9">
        <v>55.0</v>
      </c>
      <c r="L1345" s="25">
        <f>(revenue[orderPrice]-revenue[productCost])/revenue[productCost]</f>
        <v>0.5622902598</v>
      </c>
      <c r="M1345" s="10">
        <v>7.0</v>
      </c>
      <c r="N1345" s="25">
        <v>0.0</v>
      </c>
      <c r="O1345" s="9">
        <f>revenue[orderPrice]*revenue[orderQuantity]</f>
        <v>385</v>
      </c>
      <c r="P1345" s="9">
        <f>revenue[orderTotal]*(1-revenue[discountApllied])</f>
        <v>385</v>
      </c>
      <c r="Q1345" s="9">
        <f>revenue[revenue]-(revenue[productCost]*revenue[orderQuantity])</f>
        <v>138.5669204</v>
      </c>
      <c r="R1345" s="25">
        <f>IFERROR(revenue[profit]/revenue[revenue], 0)</f>
        <v>0.3599140789</v>
      </c>
      <c r="S1345" s="9">
        <f>revenue[productCost]*revenue[orderQuantity]</f>
        <v>246.4330796</v>
      </c>
    </row>
    <row r="1346" ht="15.75" customHeight="1">
      <c r="A1346" s="6">
        <v>10757.0</v>
      </c>
      <c r="B1346" s="7" t="s">
        <v>60</v>
      </c>
      <c r="C1346" s="24" t="str">
        <f>VLOOKUP(revenue[customerID],customers[],2,FALSE)</f>
        <v>Save-a-lot Markets</v>
      </c>
      <c r="D1346" s="24" t="str">
        <f>VLOOKUP(revenue[customerID],customers[],6,FALSE)</f>
        <v>Boise</v>
      </c>
      <c r="E1346" s="24" t="str">
        <f>VLOOKUP(revenue[customerID],customers[],9,FALSE)</f>
        <v>USA</v>
      </c>
      <c r="F1346" s="24">
        <v>45257.0</v>
      </c>
      <c r="G1346" s="6">
        <v>62.0</v>
      </c>
      <c r="H1346" s="9" t="str">
        <f>VLOOKUP(revenue[productID],products[],2,FALSE)</f>
        <v>Tarte au sucre</v>
      </c>
      <c r="I1346" s="9" t="str">
        <f>VLOOKUP(revenue[productID],products[],12,FALSE)</f>
        <v>Confections</v>
      </c>
      <c r="J1346" s="9">
        <f>VLOOKUP(revenue[productID],products[],IF(YEAR(revenue[orderDate])=2022,8,IF(YEAR(revenue[orderDate])=2023,9,IF(YEAR(revenue[orderDate])=2024,10,NA))),FALSE)</f>
        <v>35.34792781</v>
      </c>
      <c r="K1346" s="9">
        <v>49.3</v>
      </c>
      <c r="L1346" s="25">
        <f>(revenue[orderPrice]-revenue[productCost])/revenue[productCost]</f>
        <v>0.3947069335</v>
      </c>
      <c r="M1346" s="10">
        <v>30.0</v>
      </c>
      <c r="N1346" s="25">
        <v>0.0</v>
      </c>
      <c r="O1346" s="9">
        <f>revenue[orderPrice]*revenue[orderQuantity]</f>
        <v>1479</v>
      </c>
      <c r="P1346" s="9">
        <f>revenue[orderTotal]*(1-revenue[discountApllied])</f>
        <v>1479</v>
      </c>
      <c r="Q1346" s="9">
        <f>revenue[revenue]-(revenue[productCost]*revenue[orderQuantity])</f>
        <v>418.5621657</v>
      </c>
      <c r="R1346" s="25">
        <f>IFERROR(revenue[profit]/revenue[revenue], 0)</f>
        <v>0.2830034927</v>
      </c>
      <c r="S1346" s="9">
        <f>revenue[productCost]*revenue[orderQuantity]</f>
        <v>1060.437834</v>
      </c>
    </row>
    <row r="1347" ht="15.75" customHeight="1">
      <c r="A1347" s="6">
        <v>10757.0</v>
      </c>
      <c r="B1347" s="7" t="s">
        <v>60</v>
      </c>
      <c r="C1347" s="24" t="str">
        <f>VLOOKUP(revenue[customerID],customers[],2,FALSE)</f>
        <v>Save-a-lot Markets</v>
      </c>
      <c r="D1347" s="24" t="str">
        <f>VLOOKUP(revenue[customerID],customers[],6,FALSE)</f>
        <v>Boise</v>
      </c>
      <c r="E1347" s="24" t="str">
        <f>VLOOKUP(revenue[customerID],customers[],9,FALSE)</f>
        <v>USA</v>
      </c>
      <c r="F1347" s="24">
        <v>45257.0</v>
      </c>
      <c r="G1347" s="6">
        <v>64.0</v>
      </c>
      <c r="H1347" s="9" t="str">
        <f>VLOOKUP(revenue[productID],products[],2,FALSE)</f>
        <v>Lukas' leckere Sauerteigweggla</v>
      </c>
      <c r="I1347" s="9" t="str">
        <f>VLOOKUP(revenue[productID],products[],12,FALSE)</f>
        <v>Grains/Cereals</v>
      </c>
      <c r="J1347" s="9">
        <f>VLOOKUP(revenue[productID],products[],IF(YEAR(revenue[orderDate])=2022,8,IF(YEAR(revenue[orderDate])=2023,9,IF(YEAR(revenue[orderDate])=2024,10,NA))),FALSE)</f>
        <v>21.88572728</v>
      </c>
      <c r="K1347" s="9">
        <v>33.25</v>
      </c>
      <c r="L1347" s="25">
        <f>(revenue[orderPrice]-revenue[productCost])/revenue[productCost]</f>
        <v>0.5192549724</v>
      </c>
      <c r="M1347" s="10">
        <v>24.0</v>
      </c>
      <c r="N1347" s="25">
        <v>0.0</v>
      </c>
      <c r="O1347" s="9">
        <f>revenue[orderPrice]*revenue[orderQuantity]</f>
        <v>798</v>
      </c>
      <c r="P1347" s="9">
        <f>revenue[orderTotal]*(1-revenue[discountApllied])</f>
        <v>798</v>
      </c>
      <c r="Q1347" s="9">
        <f>revenue[revenue]-(revenue[productCost]*revenue[orderQuantity])</f>
        <v>272.7425452</v>
      </c>
      <c r="R1347" s="25">
        <f>IFERROR(revenue[profit]/revenue[revenue], 0)</f>
        <v>0.3417826381</v>
      </c>
      <c r="S1347" s="9">
        <f>revenue[productCost]*revenue[orderQuantity]</f>
        <v>525.2574548</v>
      </c>
    </row>
    <row r="1348" ht="15.75" customHeight="1">
      <c r="A1348" s="6">
        <v>10758.0</v>
      </c>
      <c r="B1348" s="7" t="s">
        <v>21</v>
      </c>
      <c r="C1348" s="24" t="str">
        <f>VLOOKUP(revenue[customerID],customers[],2,FALSE)</f>
        <v>Richter Supermarkt</v>
      </c>
      <c r="D1348" s="24" t="str">
        <f>VLOOKUP(revenue[customerID],customers[],6,FALSE)</f>
        <v>Genève</v>
      </c>
      <c r="E1348" s="24" t="str">
        <f>VLOOKUP(revenue[customerID],customers[],9,FALSE)</f>
        <v>Switzerland</v>
      </c>
      <c r="F1348" s="24">
        <v>45258.0</v>
      </c>
      <c r="G1348" s="6">
        <v>26.0</v>
      </c>
      <c r="H1348" s="9" t="str">
        <f>VLOOKUP(revenue[productID],products[],2,FALSE)</f>
        <v>NuNuCa Nuß-Nougat-Creme</v>
      </c>
      <c r="I1348" s="9" t="str">
        <f>VLOOKUP(revenue[productID],products[],12,FALSE)</f>
        <v>Confections</v>
      </c>
      <c r="J1348" s="9">
        <f>VLOOKUP(revenue[productID],products[],IF(YEAR(revenue[orderDate])=2022,8,IF(YEAR(revenue[orderDate])=2023,9,IF(YEAR(revenue[orderDate])=2024,10,NA))),FALSE)</f>
        <v>21.20896201</v>
      </c>
      <c r="K1348" s="9">
        <v>31.23</v>
      </c>
      <c r="L1348" s="25">
        <f>(revenue[orderPrice]-revenue[productCost])/revenue[productCost]</f>
        <v>0.472490732</v>
      </c>
      <c r="M1348" s="10">
        <v>20.0</v>
      </c>
      <c r="N1348" s="25">
        <v>0.0</v>
      </c>
      <c r="O1348" s="9">
        <f>revenue[orderPrice]*revenue[orderQuantity]</f>
        <v>624.6</v>
      </c>
      <c r="P1348" s="9">
        <f>revenue[orderTotal]*(1-revenue[discountApllied])</f>
        <v>624.6</v>
      </c>
      <c r="Q1348" s="9">
        <f>revenue[revenue]-(revenue[productCost]*revenue[orderQuantity])</f>
        <v>200.4207597</v>
      </c>
      <c r="R1348" s="25">
        <f>IFERROR(revenue[profit]/revenue[revenue], 0)</f>
        <v>0.3208785779</v>
      </c>
      <c r="S1348" s="9">
        <f>revenue[productCost]*revenue[orderQuantity]</f>
        <v>424.1792403</v>
      </c>
    </row>
    <row r="1349" ht="15.75" customHeight="1">
      <c r="A1349" s="6">
        <v>10758.0</v>
      </c>
      <c r="B1349" s="7" t="s">
        <v>21</v>
      </c>
      <c r="C1349" s="24" t="str">
        <f>VLOOKUP(revenue[customerID],customers[],2,FALSE)</f>
        <v>Richter Supermarkt</v>
      </c>
      <c r="D1349" s="24" t="str">
        <f>VLOOKUP(revenue[customerID],customers[],6,FALSE)</f>
        <v>Genève</v>
      </c>
      <c r="E1349" s="24" t="str">
        <f>VLOOKUP(revenue[customerID],customers[],9,FALSE)</f>
        <v>Switzerland</v>
      </c>
      <c r="F1349" s="24">
        <v>45258.0</v>
      </c>
      <c r="G1349" s="6">
        <v>52.0</v>
      </c>
      <c r="H1349" s="9" t="str">
        <f>VLOOKUP(revenue[productID],products[],2,FALSE)</f>
        <v>Filo Mix</v>
      </c>
      <c r="I1349" s="9" t="str">
        <f>VLOOKUP(revenue[productID],products[],12,FALSE)</f>
        <v>Grains/Cereals</v>
      </c>
      <c r="J1349" s="9">
        <f>VLOOKUP(revenue[productID],products[],IF(YEAR(revenue[orderDate])=2022,8,IF(YEAR(revenue[orderDate])=2023,9,IF(YEAR(revenue[orderDate])=2024,10,NA))),FALSE)</f>
        <v>5.001706713</v>
      </c>
      <c r="K1349" s="9">
        <v>7.0</v>
      </c>
      <c r="L1349" s="25">
        <f>(revenue[orderPrice]-revenue[productCost])/revenue[productCost]</f>
        <v>0.3995222835</v>
      </c>
      <c r="M1349" s="10">
        <v>60.0</v>
      </c>
      <c r="N1349" s="25">
        <v>0.0</v>
      </c>
      <c r="O1349" s="9">
        <f>revenue[orderPrice]*revenue[orderQuantity]</f>
        <v>420</v>
      </c>
      <c r="P1349" s="9">
        <f>revenue[orderTotal]*(1-revenue[discountApllied])</f>
        <v>420</v>
      </c>
      <c r="Q1349" s="9">
        <f>revenue[revenue]-(revenue[productCost]*revenue[orderQuantity])</f>
        <v>119.8975972</v>
      </c>
      <c r="R1349" s="25">
        <f>IFERROR(revenue[profit]/revenue[revenue], 0)</f>
        <v>0.2854704696</v>
      </c>
      <c r="S1349" s="9">
        <f>revenue[productCost]*revenue[orderQuantity]</f>
        <v>300.1024028</v>
      </c>
    </row>
    <row r="1350" ht="15.75" customHeight="1">
      <c r="A1350" s="6">
        <v>10758.0</v>
      </c>
      <c r="B1350" s="7" t="s">
        <v>21</v>
      </c>
      <c r="C1350" s="24" t="str">
        <f>VLOOKUP(revenue[customerID],customers[],2,FALSE)</f>
        <v>Richter Supermarkt</v>
      </c>
      <c r="D1350" s="24" t="str">
        <f>VLOOKUP(revenue[customerID],customers[],6,FALSE)</f>
        <v>Genève</v>
      </c>
      <c r="E1350" s="24" t="str">
        <f>VLOOKUP(revenue[customerID],customers[],9,FALSE)</f>
        <v>Switzerland</v>
      </c>
      <c r="F1350" s="24">
        <v>45258.0</v>
      </c>
      <c r="G1350" s="6">
        <v>70.0</v>
      </c>
      <c r="H1350" s="9" t="str">
        <f>VLOOKUP(revenue[productID],products[],2,FALSE)</f>
        <v>Outback Lager</v>
      </c>
      <c r="I1350" s="9" t="str">
        <f>VLOOKUP(revenue[productID],products[],12,FALSE)</f>
        <v>Beverages</v>
      </c>
      <c r="J1350" s="9">
        <f>VLOOKUP(revenue[productID],products[],IF(YEAR(revenue[orderDate])=2022,8,IF(YEAR(revenue[orderDate])=2023,9,IF(YEAR(revenue[orderDate])=2024,10,NA))),FALSE)</f>
        <v>9.793094091</v>
      </c>
      <c r="K1350" s="9">
        <v>15.0</v>
      </c>
      <c r="L1350" s="25">
        <f>(revenue[orderPrice]-revenue[productCost])/revenue[productCost]</f>
        <v>0.5316916044</v>
      </c>
      <c r="M1350" s="10">
        <v>40.0</v>
      </c>
      <c r="N1350" s="25">
        <v>0.0</v>
      </c>
      <c r="O1350" s="9">
        <f>revenue[orderPrice]*revenue[orderQuantity]</f>
        <v>600</v>
      </c>
      <c r="P1350" s="9">
        <f>revenue[orderTotal]*(1-revenue[discountApllied])</f>
        <v>600</v>
      </c>
      <c r="Q1350" s="9">
        <f>revenue[revenue]-(revenue[productCost]*revenue[orderQuantity])</f>
        <v>208.2762364</v>
      </c>
      <c r="R1350" s="25">
        <f>IFERROR(revenue[profit]/revenue[revenue], 0)</f>
        <v>0.3471270606</v>
      </c>
      <c r="S1350" s="9">
        <f>revenue[productCost]*revenue[orderQuantity]</f>
        <v>391.7237636</v>
      </c>
    </row>
    <row r="1351" ht="15.75" customHeight="1">
      <c r="A1351" s="6">
        <v>10759.0</v>
      </c>
      <c r="B1351" s="7" t="s">
        <v>54</v>
      </c>
      <c r="C1351" s="24" t="str">
        <f>VLOOKUP(revenue[customerID],customers[],2,FALSE)</f>
        <v>Ana Trujillo Emparedados y helados</v>
      </c>
      <c r="D1351" s="24" t="str">
        <f>VLOOKUP(revenue[customerID],customers[],6,FALSE)</f>
        <v>México D.F.</v>
      </c>
      <c r="E1351" s="24" t="str">
        <f>VLOOKUP(revenue[customerID],customers[],9,FALSE)</f>
        <v>Mexico</v>
      </c>
      <c r="F1351" s="24">
        <v>45258.0</v>
      </c>
      <c r="G1351" s="6">
        <v>32.0</v>
      </c>
      <c r="H1351" s="9" t="str">
        <f>VLOOKUP(revenue[productID],products[],2,FALSE)</f>
        <v>Mascarpone Fabioli</v>
      </c>
      <c r="I1351" s="9" t="str">
        <f>VLOOKUP(revenue[productID],products[],12,FALSE)</f>
        <v>Dairy Products</v>
      </c>
      <c r="J1351" s="9">
        <f>VLOOKUP(revenue[productID],products[],IF(YEAR(revenue[orderDate])=2022,8,IF(YEAR(revenue[orderDate])=2023,9,IF(YEAR(revenue[orderDate])=2024,10,NA))),FALSE)</f>
        <v>21.58120628</v>
      </c>
      <c r="K1351" s="9">
        <v>32.0</v>
      </c>
      <c r="L1351" s="25">
        <f>(revenue[orderPrice]-revenue[productCost])/revenue[productCost]</f>
        <v>0.4827716106</v>
      </c>
      <c r="M1351" s="10">
        <v>10.0</v>
      </c>
      <c r="N1351" s="25">
        <v>0.0</v>
      </c>
      <c r="O1351" s="9">
        <f>revenue[orderPrice]*revenue[orderQuantity]</f>
        <v>320</v>
      </c>
      <c r="P1351" s="9">
        <f>revenue[orderTotal]*(1-revenue[discountApllied])</f>
        <v>320</v>
      </c>
      <c r="Q1351" s="9">
        <f>revenue[revenue]-(revenue[productCost]*revenue[orderQuantity])</f>
        <v>104.1879372</v>
      </c>
      <c r="R1351" s="25">
        <f>IFERROR(revenue[profit]/revenue[revenue], 0)</f>
        <v>0.3255873036</v>
      </c>
      <c r="S1351" s="9">
        <f>revenue[productCost]*revenue[orderQuantity]</f>
        <v>215.8120628</v>
      </c>
    </row>
    <row r="1352" ht="15.75" customHeight="1">
      <c r="A1352" s="6">
        <v>10760.0</v>
      </c>
      <c r="B1352" s="7" t="s">
        <v>95</v>
      </c>
      <c r="C1352" s="24" t="str">
        <f>VLOOKUP(revenue[customerID],customers[],2,FALSE)</f>
        <v>Maison Dewey</v>
      </c>
      <c r="D1352" s="24" t="str">
        <f>VLOOKUP(revenue[customerID],customers[],6,FALSE)</f>
        <v>Bruxelles</v>
      </c>
      <c r="E1352" s="24" t="str">
        <f>VLOOKUP(revenue[customerID],customers[],9,FALSE)</f>
        <v>Belgium</v>
      </c>
      <c r="F1352" s="24">
        <v>45261.0</v>
      </c>
      <c r="G1352" s="6">
        <v>25.0</v>
      </c>
      <c r="H1352" s="9" t="str">
        <f>VLOOKUP(revenue[productID],products[],2,FALSE)</f>
        <v>HM Köstliche Kaiserschmarrn Knödelchen</v>
      </c>
      <c r="I1352" s="9" t="str">
        <f>VLOOKUP(revenue[productID],products[],12,FALSE)</f>
        <v>Confections</v>
      </c>
      <c r="J1352" s="9">
        <f>VLOOKUP(revenue[productID],products[],IF(YEAR(revenue[orderDate])=2022,8,IF(YEAR(revenue[orderDate])=2023,9,IF(YEAR(revenue[orderDate])=2024,10,NA))),FALSE)</f>
        <v>8.138200336</v>
      </c>
      <c r="K1352" s="9">
        <v>14.0</v>
      </c>
      <c r="L1352" s="25">
        <f>(revenue[orderPrice]-revenue[productCost])/revenue[productCost]</f>
        <v>0.7202820552</v>
      </c>
      <c r="M1352" s="10">
        <v>12.0</v>
      </c>
      <c r="N1352" s="25">
        <v>0.25</v>
      </c>
      <c r="O1352" s="9">
        <f>revenue[orderPrice]*revenue[orderQuantity]</f>
        <v>168</v>
      </c>
      <c r="P1352" s="9">
        <f>revenue[orderTotal]*(1-revenue[discountApllied])</f>
        <v>126</v>
      </c>
      <c r="Q1352" s="9">
        <f>revenue[revenue]-(revenue[productCost]*revenue[orderQuantity])</f>
        <v>28.34159597</v>
      </c>
      <c r="R1352" s="25">
        <f>IFERROR(revenue[profit]/revenue[revenue], 0)</f>
        <v>0.2249333013</v>
      </c>
      <c r="S1352" s="9">
        <f>revenue[productCost]*revenue[orderQuantity]</f>
        <v>97.65840403</v>
      </c>
    </row>
    <row r="1353" ht="15.75" customHeight="1">
      <c r="A1353" s="6">
        <v>10760.0</v>
      </c>
      <c r="B1353" s="7" t="s">
        <v>95</v>
      </c>
      <c r="C1353" s="24" t="str">
        <f>VLOOKUP(revenue[customerID],customers[],2,FALSE)</f>
        <v>Maison Dewey</v>
      </c>
      <c r="D1353" s="24" t="str">
        <f>VLOOKUP(revenue[customerID],customers[],6,FALSE)</f>
        <v>Bruxelles</v>
      </c>
      <c r="E1353" s="24" t="str">
        <f>VLOOKUP(revenue[customerID],customers[],9,FALSE)</f>
        <v>Belgium</v>
      </c>
      <c r="F1353" s="24">
        <v>45261.0</v>
      </c>
      <c r="G1353" s="6">
        <v>27.0</v>
      </c>
      <c r="H1353" s="9" t="str">
        <f>VLOOKUP(revenue[productID],products[],2,FALSE)</f>
        <v>Schoggi Schokolade</v>
      </c>
      <c r="I1353" s="9" t="str">
        <f>VLOOKUP(revenue[productID],products[],12,FALSE)</f>
        <v>Confections</v>
      </c>
      <c r="J1353" s="9">
        <f>VLOOKUP(revenue[productID],products[],IF(YEAR(revenue[orderDate])=2022,8,IF(YEAR(revenue[orderDate])=2023,9,IF(YEAR(revenue[orderDate])=2024,10,NA))),FALSE)</f>
        <v>32.29103982</v>
      </c>
      <c r="K1353" s="9">
        <v>43.9</v>
      </c>
      <c r="L1353" s="25">
        <f>(revenue[orderPrice]-revenue[productCost])/revenue[productCost]</f>
        <v>0.3595102619</v>
      </c>
      <c r="M1353" s="10">
        <v>40.0</v>
      </c>
      <c r="N1353" s="25">
        <v>0.0</v>
      </c>
      <c r="O1353" s="9">
        <f>revenue[orderPrice]*revenue[orderQuantity]</f>
        <v>1756</v>
      </c>
      <c r="P1353" s="9">
        <f>revenue[orderTotal]*(1-revenue[discountApllied])</f>
        <v>1756</v>
      </c>
      <c r="Q1353" s="9">
        <f>revenue[revenue]-(revenue[productCost]*revenue[orderQuantity])</f>
        <v>464.3584073</v>
      </c>
      <c r="R1353" s="25">
        <f>IFERROR(revenue[profit]/revenue[revenue], 0)</f>
        <v>0.2644410064</v>
      </c>
      <c r="S1353" s="9">
        <f>revenue[productCost]*revenue[orderQuantity]</f>
        <v>1291.641593</v>
      </c>
    </row>
    <row r="1354" ht="15.75" customHeight="1">
      <c r="A1354" s="6">
        <v>10760.0</v>
      </c>
      <c r="B1354" s="7" t="s">
        <v>95</v>
      </c>
      <c r="C1354" s="24" t="str">
        <f>VLOOKUP(revenue[customerID],customers[],2,FALSE)</f>
        <v>Maison Dewey</v>
      </c>
      <c r="D1354" s="24" t="str">
        <f>VLOOKUP(revenue[customerID],customers[],6,FALSE)</f>
        <v>Bruxelles</v>
      </c>
      <c r="E1354" s="24" t="str">
        <f>VLOOKUP(revenue[customerID],customers[],9,FALSE)</f>
        <v>Belgium</v>
      </c>
      <c r="F1354" s="24">
        <v>45261.0</v>
      </c>
      <c r="G1354" s="6">
        <v>43.0</v>
      </c>
      <c r="H1354" s="9" t="str">
        <f>VLOOKUP(revenue[productID],products[],2,FALSE)</f>
        <v>Ipoh Coffee</v>
      </c>
      <c r="I1354" s="9" t="str">
        <f>VLOOKUP(revenue[productID],products[],12,FALSE)</f>
        <v>Beverages</v>
      </c>
      <c r="J1354" s="9">
        <f>VLOOKUP(revenue[productID],products[],IF(YEAR(revenue[orderDate])=2022,8,IF(YEAR(revenue[orderDate])=2023,9,IF(YEAR(revenue[orderDate])=2024,10,NA))),FALSE)</f>
        <v>30.96256564</v>
      </c>
      <c r="K1354" s="9">
        <v>46.0</v>
      </c>
      <c r="L1354" s="25">
        <f>(revenue[orderPrice]-revenue[productCost])/revenue[productCost]</f>
        <v>0.4856649976</v>
      </c>
      <c r="M1354" s="10">
        <v>30.0</v>
      </c>
      <c r="N1354" s="25">
        <v>0.25</v>
      </c>
      <c r="O1354" s="9">
        <f>revenue[orderPrice]*revenue[orderQuantity]</f>
        <v>1380</v>
      </c>
      <c r="P1354" s="9">
        <f>revenue[orderTotal]*(1-revenue[discountApllied])</f>
        <v>1035</v>
      </c>
      <c r="Q1354" s="9">
        <f>revenue[revenue]-(revenue[productCost]*revenue[orderQuantity])</f>
        <v>106.1230309</v>
      </c>
      <c r="R1354" s="25">
        <f>IFERROR(revenue[profit]/revenue[revenue], 0)</f>
        <v>0.1025343294</v>
      </c>
      <c r="S1354" s="9">
        <f>revenue[productCost]*revenue[orderQuantity]</f>
        <v>928.8769691</v>
      </c>
    </row>
    <row r="1355" ht="15.75" customHeight="1">
      <c r="A1355" s="6">
        <v>10761.0</v>
      </c>
      <c r="B1355" s="7" t="s">
        <v>28</v>
      </c>
      <c r="C1355" s="24" t="str">
        <f>VLOOKUP(revenue[customerID],customers[],2,FALSE)</f>
        <v>Rattlesnake Canyon Grocery</v>
      </c>
      <c r="D1355" s="24" t="str">
        <f>VLOOKUP(revenue[customerID],customers[],6,FALSE)</f>
        <v>Albuquerque</v>
      </c>
      <c r="E1355" s="24" t="str">
        <f>VLOOKUP(revenue[customerID],customers[],9,FALSE)</f>
        <v>USA</v>
      </c>
      <c r="F1355" s="24">
        <v>45262.0</v>
      </c>
      <c r="G1355" s="6">
        <v>25.0</v>
      </c>
      <c r="H1355" s="9" t="str">
        <f>VLOOKUP(revenue[productID],products[],2,FALSE)</f>
        <v>HM Köstliche Kaiserschmarrn Knödelchen</v>
      </c>
      <c r="I1355" s="9" t="str">
        <f>VLOOKUP(revenue[productID],products[],12,FALSE)</f>
        <v>Confections</v>
      </c>
      <c r="J1355" s="9">
        <f>VLOOKUP(revenue[productID],products[],IF(YEAR(revenue[orderDate])=2022,8,IF(YEAR(revenue[orderDate])=2023,9,IF(YEAR(revenue[orderDate])=2024,10,NA))),FALSE)</f>
        <v>8.138200336</v>
      </c>
      <c r="K1355" s="9">
        <v>14.0</v>
      </c>
      <c r="L1355" s="25">
        <f>(revenue[orderPrice]-revenue[productCost])/revenue[productCost]</f>
        <v>0.7202820552</v>
      </c>
      <c r="M1355" s="10">
        <v>35.0</v>
      </c>
      <c r="N1355" s="25">
        <v>0.25</v>
      </c>
      <c r="O1355" s="9">
        <f>revenue[orderPrice]*revenue[orderQuantity]</f>
        <v>490</v>
      </c>
      <c r="P1355" s="9">
        <f>revenue[orderTotal]*(1-revenue[discountApllied])</f>
        <v>367.5</v>
      </c>
      <c r="Q1355" s="9">
        <f>revenue[revenue]-(revenue[productCost]*revenue[orderQuantity])</f>
        <v>82.66298823</v>
      </c>
      <c r="R1355" s="25">
        <f>IFERROR(revenue[profit]/revenue[revenue], 0)</f>
        <v>0.2249333013</v>
      </c>
      <c r="S1355" s="9">
        <f>revenue[productCost]*revenue[orderQuantity]</f>
        <v>284.8370118</v>
      </c>
    </row>
    <row r="1356" ht="15.75" customHeight="1">
      <c r="A1356" s="6">
        <v>10761.0</v>
      </c>
      <c r="B1356" s="7" t="s">
        <v>28</v>
      </c>
      <c r="C1356" s="24" t="str">
        <f>VLOOKUP(revenue[customerID],customers[],2,FALSE)</f>
        <v>Rattlesnake Canyon Grocery</v>
      </c>
      <c r="D1356" s="24" t="str">
        <f>VLOOKUP(revenue[customerID],customers[],6,FALSE)</f>
        <v>Albuquerque</v>
      </c>
      <c r="E1356" s="24" t="str">
        <f>VLOOKUP(revenue[customerID],customers[],9,FALSE)</f>
        <v>USA</v>
      </c>
      <c r="F1356" s="24">
        <v>45262.0</v>
      </c>
      <c r="G1356" s="6">
        <v>75.0</v>
      </c>
      <c r="H1356" s="9" t="str">
        <f>VLOOKUP(revenue[productID],products[],2,FALSE)</f>
        <v>Rhönbräu Klosterbier</v>
      </c>
      <c r="I1356" s="9" t="str">
        <f>VLOOKUP(revenue[productID],products[],12,FALSE)</f>
        <v>Beverages</v>
      </c>
      <c r="J1356" s="9">
        <f>VLOOKUP(revenue[productID],products[],IF(YEAR(revenue[orderDate])=2022,8,IF(YEAR(revenue[orderDate])=2023,9,IF(YEAR(revenue[orderDate])=2024,10,NA))),FALSE)</f>
        <v>5.355290472</v>
      </c>
      <c r="K1356" s="9">
        <v>7.75</v>
      </c>
      <c r="L1356" s="25">
        <f>(revenue[orderPrice]-revenue[productCost])/revenue[productCost]</f>
        <v>0.4471670661</v>
      </c>
      <c r="M1356" s="10">
        <v>18.0</v>
      </c>
      <c r="N1356" s="25">
        <v>0.0</v>
      </c>
      <c r="O1356" s="9">
        <f>revenue[orderPrice]*revenue[orderQuantity]</f>
        <v>139.5</v>
      </c>
      <c r="P1356" s="9">
        <f>revenue[orderTotal]*(1-revenue[discountApllied])</f>
        <v>139.5</v>
      </c>
      <c r="Q1356" s="9">
        <f>revenue[revenue]-(revenue[productCost]*revenue[orderQuantity])</f>
        <v>43.10477151</v>
      </c>
      <c r="R1356" s="25">
        <f>IFERROR(revenue[profit]/revenue[revenue], 0)</f>
        <v>0.3089947778</v>
      </c>
      <c r="S1356" s="9">
        <f>revenue[productCost]*revenue[orderQuantity]</f>
        <v>96.39522849</v>
      </c>
    </row>
    <row r="1357" ht="15.75" customHeight="1">
      <c r="A1357" s="6">
        <v>10762.0</v>
      </c>
      <c r="B1357" s="7" t="s">
        <v>29</v>
      </c>
      <c r="C1357" s="24" t="str">
        <f>VLOOKUP(revenue[customerID],customers[],2,FALSE)</f>
        <v>Folk och fä HB</v>
      </c>
      <c r="D1357" s="24" t="str">
        <f>VLOOKUP(revenue[customerID],customers[],6,FALSE)</f>
        <v>Bräcke</v>
      </c>
      <c r="E1357" s="24" t="str">
        <f>VLOOKUP(revenue[customerID],customers[],9,FALSE)</f>
        <v>Sweden</v>
      </c>
      <c r="F1357" s="24">
        <v>45262.0</v>
      </c>
      <c r="G1357" s="6">
        <v>39.0</v>
      </c>
      <c r="H1357" s="9" t="str">
        <f>VLOOKUP(revenue[productID],products[],2,FALSE)</f>
        <v>Chartreuse verte</v>
      </c>
      <c r="I1357" s="9" t="str">
        <f>VLOOKUP(revenue[productID],products[],12,FALSE)</f>
        <v>Beverages</v>
      </c>
      <c r="J1357" s="9">
        <f>VLOOKUP(revenue[productID],products[],IF(YEAR(revenue[orderDate])=2022,8,IF(YEAR(revenue[orderDate])=2023,9,IF(YEAR(revenue[orderDate])=2024,10,NA))),FALSE)</f>
        <v>11.73311441</v>
      </c>
      <c r="K1357" s="9">
        <v>18.0</v>
      </c>
      <c r="L1357" s="25">
        <f>(revenue[orderPrice]-revenue[productCost])/revenue[productCost]</f>
        <v>0.5341195326</v>
      </c>
      <c r="M1357" s="10">
        <v>16.0</v>
      </c>
      <c r="N1357" s="25">
        <v>0.0</v>
      </c>
      <c r="O1357" s="9">
        <f>revenue[orderPrice]*revenue[orderQuantity]</f>
        <v>288</v>
      </c>
      <c r="P1357" s="9">
        <f>revenue[orderTotal]*(1-revenue[discountApllied])</f>
        <v>288</v>
      </c>
      <c r="Q1357" s="9">
        <f>revenue[revenue]-(revenue[productCost]*revenue[orderQuantity])</f>
        <v>100.2701694</v>
      </c>
      <c r="R1357" s="25">
        <f>IFERROR(revenue[profit]/revenue[revenue], 0)</f>
        <v>0.3481603104</v>
      </c>
      <c r="S1357" s="9">
        <f>revenue[productCost]*revenue[orderQuantity]</f>
        <v>187.7298306</v>
      </c>
    </row>
    <row r="1358" ht="15.75" customHeight="1">
      <c r="A1358" s="6">
        <v>10762.0</v>
      </c>
      <c r="B1358" s="7" t="s">
        <v>29</v>
      </c>
      <c r="C1358" s="24" t="str">
        <f>VLOOKUP(revenue[customerID],customers[],2,FALSE)</f>
        <v>Folk och fä HB</v>
      </c>
      <c r="D1358" s="24" t="str">
        <f>VLOOKUP(revenue[customerID],customers[],6,FALSE)</f>
        <v>Bräcke</v>
      </c>
      <c r="E1358" s="24" t="str">
        <f>VLOOKUP(revenue[customerID],customers[],9,FALSE)</f>
        <v>Sweden</v>
      </c>
      <c r="F1358" s="24">
        <v>45262.0</v>
      </c>
      <c r="G1358" s="6">
        <v>47.0</v>
      </c>
      <c r="H1358" s="9" t="str">
        <f>VLOOKUP(revenue[productID],products[],2,FALSE)</f>
        <v>Zaanse koeken</v>
      </c>
      <c r="I1358" s="9" t="str">
        <f>VLOOKUP(revenue[productID],products[],12,FALSE)</f>
        <v>Confections</v>
      </c>
      <c r="J1358" s="9">
        <f>VLOOKUP(revenue[productID],products[],IF(YEAR(revenue[orderDate])=2022,8,IF(YEAR(revenue[orderDate])=2023,9,IF(YEAR(revenue[orderDate])=2024,10,NA))),FALSE)</f>
        <v>6.57708833</v>
      </c>
      <c r="K1358" s="9">
        <v>9.5</v>
      </c>
      <c r="L1358" s="25">
        <f>(revenue[orderPrice]-revenue[productCost])/revenue[productCost]</f>
        <v>0.4444081519</v>
      </c>
      <c r="M1358" s="10">
        <v>30.0</v>
      </c>
      <c r="N1358" s="25">
        <v>0.0</v>
      </c>
      <c r="O1358" s="9">
        <f>revenue[orderPrice]*revenue[orderQuantity]</f>
        <v>285</v>
      </c>
      <c r="P1358" s="9">
        <f>revenue[orderTotal]*(1-revenue[discountApllied])</f>
        <v>285</v>
      </c>
      <c r="Q1358" s="9">
        <f>revenue[revenue]-(revenue[productCost]*revenue[orderQuantity])</f>
        <v>87.68735009</v>
      </c>
      <c r="R1358" s="25">
        <f>IFERROR(revenue[profit]/revenue[revenue], 0)</f>
        <v>0.3076749126</v>
      </c>
      <c r="S1358" s="9">
        <f>revenue[productCost]*revenue[orderQuantity]</f>
        <v>197.3126499</v>
      </c>
    </row>
    <row r="1359" ht="15.75" customHeight="1">
      <c r="A1359" s="6">
        <v>10762.0</v>
      </c>
      <c r="B1359" s="7" t="s">
        <v>29</v>
      </c>
      <c r="C1359" s="24" t="str">
        <f>VLOOKUP(revenue[customerID],customers[],2,FALSE)</f>
        <v>Folk och fä HB</v>
      </c>
      <c r="D1359" s="24" t="str">
        <f>VLOOKUP(revenue[customerID],customers[],6,FALSE)</f>
        <v>Bräcke</v>
      </c>
      <c r="E1359" s="24" t="str">
        <f>VLOOKUP(revenue[customerID],customers[],9,FALSE)</f>
        <v>Sweden</v>
      </c>
      <c r="F1359" s="24">
        <v>45262.0</v>
      </c>
      <c r="G1359" s="6">
        <v>51.0</v>
      </c>
      <c r="H1359" s="9" t="str">
        <f>VLOOKUP(revenue[productID],products[],2,FALSE)</f>
        <v>Manjimup Dried Apples</v>
      </c>
      <c r="I1359" s="9" t="str">
        <f>VLOOKUP(revenue[productID],products[],12,FALSE)</f>
        <v>Produce</v>
      </c>
      <c r="J1359" s="9">
        <f>VLOOKUP(revenue[productID],products[],IF(YEAR(revenue[orderDate])=2022,8,IF(YEAR(revenue[orderDate])=2023,9,IF(YEAR(revenue[orderDate])=2024,10,NA))),FALSE)</f>
        <v>36.88798027</v>
      </c>
      <c r="K1359" s="9">
        <v>53.0</v>
      </c>
      <c r="L1359" s="25">
        <f>(revenue[orderPrice]-revenue[productCost])/revenue[productCost]</f>
        <v>0.4367823779</v>
      </c>
      <c r="M1359" s="10">
        <v>28.0</v>
      </c>
      <c r="N1359" s="25">
        <v>0.0</v>
      </c>
      <c r="O1359" s="9">
        <f>revenue[orderPrice]*revenue[orderQuantity]</f>
        <v>1484</v>
      </c>
      <c r="P1359" s="9">
        <f>revenue[orderTotal]*(1-revenue[discountApllied])</f>
        <v>1484</v>
      </c>
      <c r="Q1359" s="9">
        <f>revenue[revenue]-(revenue[productCost]*revenue[orderQuantity])</f>
        <v>451.1365526</v>
      </c>
      <c r="R1359" s="25">
        <f>IFERROR(revenue[profit]/revenue[revenue], 0)</f>
        <v>0.3040003724</v>
      </c>
      <c r="S1359" s="9">
        <f>revenue[productCost]*revenue[orderQuantity]</f>
        <v>1032.863447</v>
      </c>
    </row>
    <row r="1360" ht="15.75" customHeight="1">
      <c r="A1360" s="6">
        <v>10762.0</v>
      </c>
      <c r="B1360" s="7" t="s">
        <v>29</v>
      </c>
      <c r="C1360" s="24" t="str">
        <f>VLOOKUP(revenue[customerID],customers[],2,FALSE)</f>
        <v>Folk och fä HB</v>
      </c>
      <c r="D1360" s="24" t="str">
        <f>VLOOKUP(revenue[customerID],customers[],6,FALSE)</f>
        <v>Bräcke</v>
      </c>
      <c r="E1360" s="24" t="str">
        <f>VLOOKUP(revenue[customerID],customers[],9,FALSE)</f>
        <v>Sweden</v>
      </c>
      <c r="F1360" s="24">
        <v>45262.0</v>
      </c>
      <c r="G1360" s="6">
        <v>56.0</v>
      </c>
      <c r="H1360" s="9" t="str">
        <f>VLOOKUP(revenue[productID],products[],2,FALSE)</f>
        <v>Gnocchi di nonna Alice</v>
      </c>
      <c r="I1360" s="9" t="str">
        <f>VLOOKUP(revenue[productID],products[],12,FALSE)</f>
        <v>Grains/Cereals</v>
      </c>
      <c r="J1360" s="9">
        <f>VLOOKUP(revenue[productID],products[],IF(YEAR(revenue[orderDate])=2022,8,IF(YEAR(revenue[orderDate])=2023,9,IF(YEAR(revenue[orderDate])=2024,10,NA))),FALSE)</f>
        <v>24.28342441</v>
      </c>
      <c r="K1360" s="9">
        <v>38.0</v>
      </c>
      <c r="L1360" s="25">
        <f>(revenue[orderPrice]-revenue[productCost])/revenue[productCost]</f>
        <v>0.5648534309</v>
      </c>
      <c r="M1360" s="10">
        <v>60.0</v>
      </c>
      <c r="N1360" s="25">
        <v>0.0</v>
      </c>
      <c r="O1360" s="9">
        <f>revenue[orderPrice]*revenue[orderQuantity]</f>
        <v>2280</v>
      </c>
      <c r="P1360" s="9">
        <f>revenue[orderTotal]*(1-revenue[discountApllied])</f>
        <v>2280</v>
      </c>
      <c r="Q1360" s="9">
        <f>revenue[revenue]-(revenue[productCost]*revenue[orderQuantity])</f>
        <v>822.9945355</v>
      </c>
      <c r="R1360" s="25">
        <f>IFERROR(revenue[profit]/revenue[revenue], 0)</f>
        <v>0.3609625156</v>
      </c>
      <c r="S1360" s="9">
        <f>revenue[productCost]*revenue[orderQuantity]</f>
        <v>1457.005464</v>
      </c>
    </row>
    <row r="1361" ht="15.75" customHeight="1">
      <c r="A1361" s="6">
        <v>10763.0</v>
      </c>
      <c r="B1361" s="7" t="s">
        <v>83</v>
      </c>
      <c r="C1361" s="24" t="str">
        <f>VLOOKUP(revenue[customerID],customers[],2,FALSE)</f>
        <v>Folies gourmandes</v>
      </c>
      <c r="D1361" s="24" t="str">
        <f>VLOOKUP(revenue[customerID],customers[],6,FALSE)</f>
        <v>Lille</v>
      </c>
      <c r="E1361" s="24" t="str">
        <f>VLOOKUP(revenue[customerID],customers[],9,FALSE)</f>
        <v>France</v>
      </c>
      <c r="F1361" s="24">
        <v>45263.0</v>
      </c>
      <c r="G1361" s="6">
        <v>21.0</v>
      </c>
      <c r="H1361" s="9" t="str">
        <f>VLOOKUP(revenue[productID],products[],2,FALSE)</f>
        <v>Sir Rodney's Scones</v>
      </c>
      <c r="I1361" s="9" t="str">
        <f>VLOOKUP(revenue[productID],products[],12,FALSE)</f>
        <v>Confections</v>
      </c>
      <c r="J1361" s="9">
        <f>VLOOKUP(revenue[productID],products[],IF(YEAR(revenue[orderDate])=2022,8,IF(YEAR(revenue[orderDate])=2023,9,IF(YEAR(revenue[orderDate])=2024,10,NA))),FALSE)</f>
        <v>6.725636111</v>
      </c>
      <c r="K1361" s="9">
        <v>10.0</v>
      </c>
      <c r="L1361" s="25">
        <f>(revenue[orderPrice]-revenue[productCost])/revenue[productCost]</f>
        <v>0.486848208</v>
      </c>
      <c r="M1361" s="10">
        <v>40.0</v>
      </c>
      <c r="N1361" s="25">
        <v>0.0</v>
      </c>
      <c r="O1361" s="9">
        <f>revenue[orderPrice]*revenue[orderQuantity]</f>
        <v>400</v>
      </c>
      <c r="P1361" s="9">
        <f>revenue[orderTotal]*(1-revenue[discountApllied])</f>
        <v>400</v>
      </c>
      <c r="Q1361" s="9">
        <f>revenue[revenue]-(revenue[productCost]*revenue[orderQuantity])</f>
        <v>130.9745555</v>
      </c>
      <c r="R1361" s="25">
        <f>IFERROR(revenue[profit]/revenue[revenue], 0)</f>
        <v>0.3274363889</v>
      </c>
      <c r="S1361" s="9">
        <f>revenue[productCost]*revenue[orderQuantity]</f>
        <v>269.0254445</v>
      </c>
    </row>
    <row r="1362" ht="15.75" customHeight="1">
      <c r="A1362" s="6">
        <v>10763.0</v>
      </c>
      <c r="B1362" s="7" t="s">
        <v>83</v>
      </c>
      <c r="C1362" s="24" t="str">
        <f>VLOOKUP(revenue[customerID],customers[],2,FALSE)</f>
        <v>Folies gourmandes</v>
      </c>
      <c r="D1362" s="24" t="str">
        <f>VLOOKUP(revenue[customerID],customers[],6,FALSE)</f>
        <v>Lille</v>
      </c>
      <c r="E1362" s="24" t="str">
        <f>VLOOKUP(revenue[customerID],customers[],9,FALSE)</f>
        <v>France</v>
      </c>
      <c r="F1362" s="24">
        <v>45263.0</v>
      </c>
      <c r="G1362" s="6">
        <v>22.0</v>
      </c>
      <c r="H1362" s="9" t="str">
        <f>VLOOKUP(revenue[productID],products[],2,FALSE)</f>
        <v>Gustaf's Knäckebröd</v>
      </c>
      <c r="I1362" s="9" t="str">
        <f>VLOOKUP(revenue[productID],products[],12,FALSE)</f>
        <v>Grains/Cereals</v>
      </c>
      <c r="J1362" s="9">
        <f>VLOOKUP(revenue[productID],products[],IF(YEAR(revenue[orderDate])=2022,8,IF(YEAR(revenue[orderDate])=2023,9,IF(YEAR(revenue[orderDate])=2024,10,NA))),FALSE)</f>
        <v>14.56814822</v>
      </c>
      <c r="K1362" s="9">
        <v>21.0</v>
      </c>
      <c r="L1362" s="25">
        <f>(revenue[orderPrice]-revenue[productCost])/revenue[productCost]</f>
        <v>0.4415009841</v>
      </c>
      <c r="M1362" s="10">
        <v>6.0</v>
      </c>
      <c r="N1362" s="25">
        <v>0.0</v>
      </c>
      <c r="O1362" s="9">
        <f>revenue[orderPrice]*revenue[orderQuantity]</f>
        <v>126</v>
      </c>
      <c r="P1362" s="9">
        <f>revenue[orderTotal]*(1-revenue[discountApllied])</f>
        <v>126</v>
      </c>
      <c r="Q1362" s="9">
        <f>revenue[revenue]-(revenue[productCost]*revenue[orderQuantity])</f>
        <v>38.59111066</v>
      </c>
      <c r="R1362" s="25">
        <f>IFERROR(revenue[profit]/revenue[revenue], 0)</f>
        <v>0.3062786561</v>
      </c>
      <c r="S1362" s="9">
        <f>revenue[productCost]*revenue[orderQuantity]</f>
        <v>87.40888934</v>
      </c>
    </row>
    <row r="1363" ht="15.75" customHeight="1">
      <c r="A1363" s="6">
        <v>10763.0</v>
      </c>
      <c r="B1363" s="7" t="s">
        <v>83</v>
      </c>
      <c r="C1363" s="24" t="str">
        <f>VLOOKUP(revenue[customerID],customers[],2,FALSE)</f>
        <v>Folies gourmandes</v>
      </c>
      <c r="D1363" s="24" t="str">
        <f>VLOOKUP(revenue[customerID],customers[],6,FALSE)</f>
        <v>Lille</v>
      </c>
      <c r="E1363" s="24" t="str">
        <f>VLOOKUP(revenue[customerID],customers[],9,FALSE)</f>
        <v>France</v>
      </c>
      <c r="F1363" s="24">
        <v>45263.0</v>
      </c>
      <c r="G1363" s="6">
        <v>24.0</v>
      </c>
      <c r="H1363" s="9" t="str">
        <f>VLOOKUP(revenue[productID],products[],2,FALSE)</f>
        <v>Brigadeiros Maravilhosos da Lilian</v>
      </c>
      <c r="I1363" s="9" t="str">
        <f>VLOOKUP(revenue[productID],products[],12,FALSE)</f>
        <v>Confections</v>
      </c>
      <c r="J1363" s="9">
        <f>VLOOKUP(revenue[productID],products[],IF(YEAR(revenue[orderDate])=2022,8,IF(YEAR(revenue[orderDate])=2023,9,IF(YEAR(revenue[orderDate])=2024,10,NA))),FALSE)</f>
        <v>3.131783363</v>
      </c>
      <c r="K1363" s="9">
        <v>4.5</v>
      </c>
      <c r="L1363" s="25">
        <f>(revenue[orderPrice]-revenue[productCost])/revenue[productCost]</f>
        <v>0.4368809967</v>
      </c>
      <c r="M1363" s="10">
        <v>20.0</v>
      </c>
      <c r="N1363" s="25">
        <v>0.0</v>
      </c>
      <c r="O1363" s="9">
        <f>revenue[orderPrice]*revenue[orderQuantity]</f>
        <v>90</v>
      </c>
      <c r="P1363" s="9">
        <f>revenue[orderTotal]*(1-revenue[discountApllied])</f>
        <v>90</v>
      </c>
      <c r="Q1363" s="9">
        <f>revenue[revenue]-(revenue[productCost]*revenue[orderQuantity])</f>
        <v>27.36433274</v>
      </c>
      <c r="R1363" s="25">
        <f>IFERROR(revenue[profit]/revenue[revenue], 0)</f>
        <v>0.3040481416</v>
      </c>
      <c r="S1363" s="9">
        <f>revenue[productCost]*revenue[orderQuantity]</f>
        <v>62.63566726</v>
      </c>
    </row>
    <row r="1364" ht="15.75" customHeight="1">
      <c r="A1364" s="6">
        <v>10764.0</v>
      </c>
      <c r="B1364" s="7" t="s">
        <v>24</v>
      </c>
      <c r="C1364" s="24" t="str">
        <f>VLOOKUP(revenue[customerID],customers[],2,FALSE)</f>
        <v>Ernst Handel</v>
      </c>
      <c r="D1364" s="24" t="str">
        <f>VLOOKUP(revenue[customerID],customers[],6,FALSE)</f>
        <v>Graz</v>
      </c>
      <c r="E1364" s="24" t="str">
        <f>VLOOKUP(revenue[customerID],customers[],9,FALSE)</f>
        <v>Austria</v>
      </c>
      <c r="F1364" s="24">
        <v>45263.0</v>
      </c>
      <c r="G1364" s="6">
        <v>3.0</v>
      </c>
      <c r="H1364" s="9" t="str">
        <f>VLOOKUP(revenue[productID],products[],2,FALSE)</f>
        <v>Aniseed Syrup</v>
      </c>
      <c r="I1364" s="9" t="str">
        <f>VLOOKUP(revenue[productID],products[],12,FALSE)</f>
        <v>Condiments</v>
      </c>
      <c r="J1364" s="9">
        <f>VLOOKUP(revenue[productID],products[],IF(YEAR(revenue[orderDate])=2022,8,IF(YEAR(revenue[orderDate])=2023,9,IF(YEAR(revenue[orderDate])=2024,10,NA))),FALSE)</f>
        <v>6.399802633</v>
      </c>
      <c r="K1364" s="9">
        <v>10.0</v>
      </c>
      <c r="L1364" s="25">
        <f>(revenue[orderPrice]-revenue[productCost])/revenue[productCost]</f>
        <v>0.5625481867</v>
      </c>
      <c r="M1364" s="10">
        <v>20.0</v>
      </c>
      <c r="N1364" s="25">
        <v>0.1</v>
      </c>
      <c r="O1364" s="9">
        <f>revenue[orderPrice]*revenue[orderQuantity]</f>
        <v>200</v>
      </c>
      <c r="P1364" s="9">
        <f>revenue[orderTotal]*(1-revenue[discountApllied])</f>
        <v>180</v>
      </c>
      <c r="Q1364" s="9">
        <f>revenue[revenue]-(revenue[productCost]*revenue[orderQuantity])</f>
        <v>52.00394733</v>
      </c>
      <c r="R1364" s="25">
        <f>IFERROR(revenue[profit]/revenue[revenue], 0)</f>
        <v>0.2889108185</v>
      </c>
      <c r="S1364" s="9">
        <f>revenue[productCost]*revenue[orderQuantity]</f>
        <v>127.9960527</v>
      </c>
    </row>
    <row r="1365" ht="15.75" customHeight="1">
      <c r="A1365" s="6">
        <v>10764.0</v>
      </c>
      <c r="B1365" s="7" t="s">
        <v>24</v>
      </c>
      <c r="C1365" s="24" t="str">
        <f>VLOOKUP(revenue[customerID],customers[],2,FALSE)</f>
        <v>Ernst Handel</v>
      </c>
      <c r="D1365" s="24" t="str">
        <f>VLOOKUP(revenue[customerID],customers[],6,FALSE)</f>
        <v>Graz</v>
      </c>
      <c r="E1365" s="24" t="str">
        <f>VLOOKUP(revenue[customerID],customers[],9,FALSE)</f>
        <v>Austria</v>
      </c>
      <c r="F1365" s="24">
        <v>45263.0</v>
      </c>
      <c r="G1365" s="6">
        <v>39.0</v>
      </c>
      <c r="H1365" s="9" t="str">
        <f>VLOOKUP(revenue[productID],products[],2,FALSE)</f>
        <v>Chartreuse verte</v>
      </c>
      <c r="I1365" s="9" t="str">
        <f>VLOOKUP(revenue[productID],products[],12,FALSE)</f>
        <v>Beverages</v>
      </c>
      <c r="J1365" s="9">
        <f>VLOOKUP(revenue[productID],products[],IF(YEAR(revenue[orderDate])=2022,8,IF(YEAR(revenue[orderDate])=2023,9,IF(YEAR(revenue[orderDate])=2024,10,NA))),FALSE)</f>
        <v>11.73311441</v>
      </c>
      <c r="K1365" s="9">
        <v>18.0</v>
      </c>
      <c r="L1365" s="25">
        <f>(revenue[orderPrice]-revenue[productCost])/revenue[productCost]</f>
        <v>0.5341195326</v>
      </c>
      <c r="M1365" s="10">
        <v>130.0</v>
      </c>
      <c r="N1365" s="25">
        <v>0.1</v>
      </c>
      <c r="O1365" s="9">
        <f>revenue[orderPrice]*revenue[orderQuantity]</f>
        <v>2340</v>
      </c>
      <c r="P1365" s="9">
        <f>revenue[orderTotal]*(1-revenue[discountApllied])</f>
        <v>2106</v>
      </c>
      <c r="Q1365" s="9">
        <f>revenue[revenue]-(revenue[productCost]*revenue[orderQuantity])</f>
        <v>580.6951263</v>
      </c>
      <c r="R1365" s="25">
        <f>IFERROR(revenue[profit]/revenue[revenue], 0)</f>
        <v>0.2757336782</v>
      </c>
      <c r="S1365" s="9">
        <f>revenue[productCost]*revenue[orderQuantity]</f>
        <v>1525.304874</v>
      </c>
    </row>
    <row r="1366" ht="15.75" customHeight="1">
      <c r="A1366" s="6">
        <v>10765.0</v>
      </c>
      <c r="B1366" s="7" t="s">
        <v>36</v>
      </c>
      <c r="C1366" s="24" t="str">
        <f>VLOOKUP(revenue[customerID],customers[],2,FALSE)</f>
        <v>QUICK-Stop</v>
      </c>
      <c r="D1366" s="24" t="str">
        <f>VLOOKUP(revenue[customerID],customers[],6,FALSE)</f>
        <v>Cunewalde</v>
      </c>
      <c r="E1366" s="24" t="str">
        <f>VLOOKUP(revenue[customerID],customers[],9,FALSE)</f>
        <v>Germany</v>
      </c>
      <c r="F1366" s="24">
        <v>45264.0</v>
      </c>
      <c r="G1366" s="6">
        <v>65.0</v>
      </c>
      <c r="H1366" s="9" t="str">
        <f>VLOOKUP(revenue[productID],products[],2,FALSE)</f>
        <v>Louisiana Fiery Hot Pepper Sauce</v>
      </c>
      <c r="I1366" s="9" t="str">
        <f>VLOOKUP(revenue[productID],products[],12,FALSE)</f>
        <v>Condiments</v>
      </c>
      <c r="J1366" s="9">
        <f>VLOOKUP(revenue[productID],products[],IF(YEAR(revenue[orderDate])=2022,8,IF(YEAR(revenue[orderDate])=2023,9,IF(YEAR(revenue[orderDate])=2024,10,NA))),FALSE)</f>
        <v>13.21122243</v>
      </c>
      <c r="K1366" s="9">
        <v>21.05</v>
      </c>
      <c r="L1366" s="25">
        <f>(revenue[orderPrice]-revenue[productCost])/revenue[productCost]</f>
        <v>0.593342335</v>
      </c>
      <c r="M1366" s="10">
        <v>80.0</v>
      </c>
      <c r="N1366" s="25">
        <v>0.1</v>
      </c>
      <c r="O1366" s="9">
        <f>revenue[orderPrice]*revenue[orderQuantity]</f>
        <v>1684</v>
      </c>
      <c r="P1366" s="9">
        <f>revenue[orderTotal]*(1-revenue[discountApllied])</f>
        <v>1515.6</v>
      </c>
      <c r="Q1366" s="9">
        <f>revenue[revenue]-(revenue[productCost]*revenue[orderQuantity])</f>
        <v>458.7022054</v>
      </c>
      <c r="R1366" s="25">
        <f>IFERROR(revenue[profit]/revenue[revenue], 0)</f>
        <v>0.30265387</v>
      </c>
      <c r="S1366" s="9">
        <f>revenue[productCost]*revenue[orderQuantity]</f>
        <v>1056.897795</v>
      </c>
    </row>
    <row r="1367" ht="15.75" customHeight="1">
      <c r="A1367" s="6">
        <v>10766.0</v>
      </c>
      <c r="B1367" s="7" t="s">
        <v>26</v>
      </c>
      <c r="C1367" s="24" t="str">
        <f>VLOOKUP(revenue[customerID],customers[],2,FALSE)</f>
        <v>Ottilies Käseladen</v>
      </c>
      <c r="D1367" s="24" t="str">
        <f>VLOOKUP(revenue[customerID],customers[],6,FALSE)</f>
        <v>Köln</v>
      </c>
      <c r="E1367" s="24" t="str">
        <f>VLOOKUP(revenue[customerID],customers[],9,FALSE)</f>
        <v>Germany</v>
      </c>
      <c r="F1367" s="24">
        <v>45265.0</v>
      </c>
      <c r="G1367" s="6">
        <v>2.0</v>
      </c>
      <c r="H1367" s="9" t="str">
        <f>VLOOKUP(revenue[productID],products[],2,FALSE)</f>
        <v>Chang</v>
      </c>
      <c r="I1367" s="9" t="str">
        <f>VLOOKUP(revenue[productID],products[],12,FALSE)</f>
        <v>Beverages</v>
      </c>
      <c r="J1367" s="9">
        <f>VLOOKUP(revenue[productID],products[],IF(YEAR(revenue[orderDate])=2022,8,IF(YEAR(revenue[orderDate])=2023,9,IF(YEAR(revenue[orderDate])=2024,10,NA))),FALSE)</f>
        <v>12.14626904</v>
      </c>
      <c r="K1367" s="9">
        <v>19.0</v>
      </c>
      <c r="L1367" s="25">
        <f>(revenue[orderPrice]-revenue[productCost])/revenue[productCost]</f>
        <v>0.5642663547</v>
      </c>
      <c r="M1367" s="10">
        <v>40.0</v>
      </c>
      <c r="N1367" s="25">
        <v>0.0</v>
      </c>
      <c r="O1367" s="9">
        <f>revenue[orderPrice]*revenue[orderQuantity]</f>
        <v>760</v>
      </c>
      <c r="P1367" s="9">
        <f>revenue[orderTotal]*(1-revenue[discountApllied])</f>
        <v>760</v>
      </c>
      <c r="Q1367" s="9">
        <f>revenue[revenue]-(revenue[productCost]*revenue[orderQuantity])</f>
        <v>274.1492382</v>
      </c>
      <c r="R1367" s="25">
        <f>IFERROR(revenue[profit]/revenue[revenue], 0)</f>
        <v>0.3607226819</v>
      </c>
      <c r="S1367" s="9">
        <f>revenue[productCost]*revenue[orderQuantity]</f>
        <v>485.8507618</v>
      </c>
    </row>
    <row r="1368" ht="15.75" customHeight="1">
      <c r="A1368" s="6">
        <v>10766.0</v>
      </c>
      <c r="B1368" s="7" t="s">
        <v>26</v>
      </c>
      <c r="C1368" s="24" t="str">
        <f>VLOOKUP(revenue[customerID],customers[],2,FALSE)</f>
        <v>Ottilies Käseladen</v>
      </c>
      <c r="D1368" s="24" t="str">
        <f>VLOOKUP(revenue[customerID],customers[],6,FALSE)</f>
        <v>Köln</v>
      </c>
      <c r="E1368" s="24" t="str">
        <f>VLOOKUP(revenue[customerID],customers[],9,FALSE)</f>
        <v>Germany</v>
      </c>
      <c r="F1368" s="24">
        <v>45265.0</v>
      </c>
      <c r="G1368" s="6">
        <v>7.0</v>
      </c>
      <c r="H1368" s="9" t="str">
        <f>VLOOKUP(revenue[productID],products[],2,FALSE)</f>
        <v>Uncle Bob's Organic Dried Pears</v>
      </c>
      <c r="I1368" s="9" t="str">
        <f>VLOOKUP(revenue[productID],products[],12,FALSE)</f>
        <v>Produce</v>
      </c>
      <c r="J1368" s="9">
        <f>VLOOKUP(revenue[productID],products[],IF(YEAR(revenue[orderDate])=2022,8,IF(YEAR(revenue[orderDate])=2023,9,IF(YEAR(revenue[orderDate])=2024,10,NA))),FALSE)</f>
        <v>21.39244625</v>
      </c>
      <c r="K1368" s="9">
        <v>30.0</v>
      </c>
      <c r="L1368" s="25">
        <f>(revenue[orderPrice]-revenue[productCost])/revenue[productCost]</f>
        <v>0.4023641636</v>
      </c>
      <c r="M1368" s="10">
        <v>35.0</v>
      </c>
      <c r="N1368" s="25">
        <v>0.0</v>
      </c>
      <c r="O1368" s="9">
        <f>revenue[orderPrice]*revenue[orderQuantity]</f>
        <v>1050</v>
      </c>
      <c r="P1368" s="9">
        <f>revenue[orderTotal]*(1-revenue[discountApllied])</f>
        <v>1050</v>
      </c>
      <c r="Q1368" s="9">
        <f>revenue[revenue]-(revenue[productCost]*revenue[orderQuantity])</f>
        <v>301.2643811</v>
      </c>
      <c r="R1368" s="25">
        <f>IFERROR(revenue[profit]/revenue[revenue], 0)</f>
        <v>0.2869184582</v>
      </c>
      <c r="S1368" s="9">
        <f>revenue[productCost]*revenue[orderQuantity]</f>
        <v>748.7356189</v>
      </c>
    </row>
    <row r="1369" ht="15.75" customHeight="1">
      <c r="A1369" s="6">
        <v>10766.0</v>
      </c>
      <c r="B1369" s="7" t="s">
        <v>26</v>
      </c>
      <c r="C1369" s="24" t="str">
        <f>VLOOKUP(revenue[customerID],customers[],2,FALSE)</f>
        <v>Ottilies Käseladen</v>
      </c>
      <c r="D1369" s="24" t="str">
        <f>VLOOKUP(revenue[customerID],customers[],6,FALSE)</f>
        <v>Köln</v>
      </c>
      <c r="E1369" s="24" t="str">
        <f>VLOOKUP(revenue[customerID],customers[],9,FALSE)</f>
        <v>Germany</v>
      </c>
      <c r="F1369" s="24">
        <v>45265.0</v>
      </c>
      <c r="G1369" s="6">
        <v>68.0</v>
      </c>
      <c r="H1369" s="9" t="str">
        <f>VLOOKUP(revenue[productID],products[],2,FALSE)</f>
        <v>Scottish Longbreads</v>
      </c>
      <c r="I1369" s="9" t="str">
        <f>VLOOKUP(revenue[productID],products[],12,FALSE)</f>
        <v>Confections</v>
      </c>
      <c r="J1369" s="9">
        <f>VLOOKUP(revenue[productID],products[],IF(YEAR(revenue[orderDate])=2022,8,IF(YEAR(revenue[orderDate])=2023,9,IF(YEAR(revenue[orderDate])=2024,10,NA))),FALSE)</f>
        <v>8.500000387</v>
      </c>
      <c r="K1369" s="9">
        <v>12.5</v>
      </c>
      <c r="L1369" s="25">
        <f>(revenue[orderPrice]-revenue[productCost])/revenue[productCost]</f>
        <v>0.4705881684</v>
      </c>
      <c r="M1369" s="10">
        <v>40.0</v>
      </c>
      <c r="N1369" s="25">
        <v>0.0</v>
      </c>
      <c r="O1369" s="9">
        <f>revenue[orderPrice]*revenue[orderQuantity]</f>
        <v>500</v>
      </c>
      <c r="P1369" s="9">
        <f>revenue[orderTotal]*(1-revenue[discountApllied])</f>
        <v>500</v>
      </c>
      <c r="Q1369" s="9">
        <f>revenue[revenue]-(revenue[productCost]*revenue[orderQuantity])</f>
        <v>159.9999845</v>
      </c>
      <c r="R1369" s="25">
        <f>IFERROR(revenue[profit]/revenue[revenue], 0)</f>
        <v>0.3199999691</v>
      </c>
      <c r="S1369" s="9">
        <f>revenue[productCost]*revenue[orderQuantity]</f>
        <v>340.0000155</v>
      </c>
    </row>
    <row r="1370" ht="15.75" customHeight="1">
      <c r="A1370" s="6">
        <v>10767.0</v>
      </c>
      <c r="B1370" s="7" t="s">
        <v>19</v>
      </c>
      <c r="C1370" s="24" t="str">
        <f>VLOOKUP(revenue[customerID],customers[],2,FALSE)</f>
        <v>Suprêmes délices</v>
      </c>
      <c r="D1370" s="24" t="str">
        <f>VLOOKUP(revenue[customerID],customers[],6,FALSE)</f>
        <v>Charleroi</v>
      </c>
      <c r="E1370" s="24" t="str">
        <f>VLOOKUP(revenue[customerID],customers[],9,FALSE)</f>
        <v>Belgium</v>
      </c>
      <c r="F1370" s="24">
        <v>45265.0</v>
      </c>
      <c r="G1370" s="6">
        <v>42.0</v>
      </c>
      <c r="H1370" s="9" t="str">
        <f>VLOOKUP(revenue[productID],products[],2,FALSE)</f>
        <v>Singaporean Hokkien Fried Mee</v>
      </c>
      <c r="I1370" s="9" t="str">
        <f>VLOOKUP(revenue[productID],products[],12,FALSE)</f>
        <v>Grains/Cereals</v>
      </c>
      <c r="J1370" s="9">
        <f>VLOOKUP(revenue[productID],products[],IF(YEAR(revenue[orderDate])=2022,8,IF(YEAR(revenue[orderDate])=2023,9,IF(YEAR(revenue[orderDate])=2024,10,NA))),FALSE)</f>
        <v>9.105641621</v>
      </c>
      <c r="K1370" s="9">
        <v>14.0</v>
      </c>
      <c r="L1370" s="25">
        <f>(revenue[orderPrice]-revenue[productCost])/revenue[productCost]</f>
        <v>0.5375083474</v>
      </c>
      <c r="M1370" s="10">
        <v>2.0</v>
      </c>
      <c r="N1370" s="25">
        <v>0.0</v>
      </c>
      <c r="O1370" s="9">
        <f>revenue[orderPrice]*revenue[orderQuantity]</f>
        <v>28</v>
      </c>
      <c r="P1370" s="9">
        <f>revenue[orderTotal]*(1-revenue[discountApllied])</f>
        <v>28</v>
      </c>
      <c r="Q1370" s="9">
        <f>revenue[revenue]-(revenue[productCost]*revenue[orderQuantity])</f>
        <v>9.788716758</v>
      </c>
      <c r="R1370" s="25">
        <f>IFERROR(revenue[profit]/revenue[revenue], 0)</f>
        <v>0.3495970271</v>
      </c>
      <c r="S1370" s="9">
        <f>revenue[productCost]*revenue[orderQuantity]</f>
        <v>18.21128324</v>
      </c>
    </row>
    <row r="1371" ht="15.75" customHeight="1">
      <c r="A1371" s="6">
        <v>10768.0</v>
      </c>
      <c r="B1371" s="7" t="s">
        <v>70</v>
      </c>
      <c r="C1371" s="24" t="str">
        <f>VLOOKUP(revenue[customerID],customers[],2,FALSE)</f>
        <v>Around the Horn</v>
      </c>
      <c r="D1371" s="24" t="str">
        <f>VLOOKUP(revenue[customerID],customers[],6,FALSE)</f>
        <v>London</v>
      </c>
      <c r="E1371" s="24" t="str">
        <f>VLOOKUP(revenue[customerID],customers[],9,FALSE)</f>
        <v>UK</v>
      </c>
      <c r="F1371" s="24">
        <v>45268.0</v>
      </c>
      <c r="G1371" s="6">
        <v>22.0</v>
      </c>
      <c r="H1371" s="9" t="str">
        <f>VLOOKUP(revenue[productID],products[],2,FALSE)</f>
        <v>Gustaf's Knäckebröd</v>
      </c>
      <c r="I1371" s="9" t="str">
        <f>VLOOKUP(revenue[productID],products[],12,FALSE)</f>
        <v>Grains/Cereals</v>
      </c>
      <c r="J1371" s="9">
        <f>VLOOKUP(revenue[productID],products[],IF(YEAR(revenue[orderDate])=2022,8,IF(YEAR(revenue[orderDate])=2023,9,IF(YEAR(revenue[orderDate])=2024,10,NA))),FALSE)</f>
        <v>14.56814822</v>
      </c>
      <c r="K1371" s="9">
        <v>21.0</v>
      </c>
      <c r="L1371" s="25">
        <f>(revenue[orderPrice]-revenue[productCost])/revenue[productCost]</f>
        <v>0.4415009841</v>
      </c>
      <c r="M1371" s="10">
        <v>4.0</v>
      </c>
      <c r="N1371" s="25">
        <v>0.0</v>
      </c>
      <c r="O1371" s="9">
        <f>revenue[orderPrice]*revenue[orderQuantity]</f>
        <v>84</v>
      </c>
      <c r="P1371" s="9">
        <f>revenue[orderTotal]*(1-revenue[discountApllied])</f>
        <v>84</v>
      </c>
      <c r="Q1371" s="9">
        <f>revenue[revenue]-(revenue[productCost]*revenue[orderQuantity])</f>
        <v>25.72740711</v>
      </c>
      <c r="R1371" s="25">
        <f>IFERROR(revenue[profit]/revenue[revenue], 0)</f>
        <v>0.3062786561</v>
      </c>
      <c r="S1371" s="9">
        <f>revenue[productCost]*revenue[orderQuantity]</f>
        <v>58.27259289</v>
      </c>
    </row>
    <row r="1372" ht="15.75" customHeight="1">
      <c r="A1372" s="6">
        <v>10768.0</v>
      </c>
      <c r="B1372" s="7" t="s">
        <v>70</v>
      </c>
      <c r="C1372" s="24" t="str">
        <f>VLOOKUP(revenue[customerID],customers[],2,FALSE)</f>
        <v>Around the Horn</v>
      </c>
      <c r="D1372" s="24" t="str">
        <f>VLOOKUP(revenue[customerID],customers[],6,FALSE)</f>
        <v>London</v>
      </c>
      <c r="E1372" s="24" t="str">
        <f>VLOOKUP(revenue[customerID],customers[],9,FALSE)</f>
        <v>UK</v>
      </c>
      <c r="F1372" s="24">
        <v>45268.0</v>
      </c>
      <c r="G1372" s="6">
        <v>31.0</v>
      </c>
      <c r="H1372" s="9" t="str">
        <f>VLOOKUP(revenue[productID],products[],2,FALSE)</f>
        <v>Gorgonzola Telino</v>
      </c>
      <c r="I1372" s="9" t="str">
        <f>VLOOKUP(revenue[productID],products[],12,FALSE)</f>
        <v>Dairy Products</v>
      </c>
      <c r="J1372" s="9">
        <f>VLOOKUP(revenue[productID],products[],IF(YEAR(revenue[orderDate])=2022,8,IF(YEAR(revenue[orderDate])=2023,9,IF(YEAR(revenue[orderDate])=2024,10,NA))),FALSE)</f>
        <v>7.937729254</v>
      </c>
      <c r="K1372" s="9">
        <v>12.5</v>
      </c>
      <c r="L1372" s="25">
        <f>(revenue[orderPrice]-revenue[productCost])/revenue[productCost]</f>
        <v>0.5747576668</v>
      </c>
      <c r="M1372" s="10">
        <v>50.0</v>
      </c>
      <c r="N1372" s="25">
        <v>0.0</v>
      </c>
      <c r="O1372" s="9">
        <f>revenue[orderPrice]*revenue[orderQuantity]</f>
        <v>625</v>
      </c>
      <c r="P1372" s="9">
        <f>revenue[orderTotal]*(1-revenue[discountApllied])</f>
        <v>625</v>
      </c>
      <c r="Q1372" s="9">
        <f>revenue[revenue]-(revenue[productCost]*revenue[orderQuantity])</f>
        <v>228.1135373</v>
      </c>
      <c r="R1372" s="25">
        <f>IFERROR(revenue[profit]/revenue[revenue], 0)</f>
        <v>0.3649816597</v>
      </c>
      <c r="S1372" s="9">
        <f>revenue[productCost]*revenue[orderQuantity]</f>
        <v>396.8864627</v>
      </c>
    </row>
    <row r="1373" ht="15.75" customHeight="1">
      <c r="A1373" s="6">
        <v>10768.0</v>
      </c>
      <c r="B1373" s="7" t="s">
        <v>70</v>
      </c>
      <c r="C1373" s="24" t="str">
        <f>VLOOKUP(revenue[customerID],customers[],2,FALSE)</f>
        <v>Around the Horn</v>
      </c>
      <c r="D1373" s="24" t="str">
        <f>VLOOKUP(revenue[customerID],customers[],6,FALSE)</f>
        <v>London</v>
      </c>
      <c r="E1373" s="24" t="str">
        <f>VLOOKUP(revenue[customerID],customers[],9,FALSE)</f>
        <v>UK</v>
      </c>
      <c r="F1373" s="24">
        <v>45268.0</v>
      </c>
      <c r="G1373" s="6">
        <v>60.0</v>
      </c>
      <c r="H1373" s="9" t="str">
        <f>VLOOKUP(revenue[productID],products[],2,FALSE)</f>
        <v>Camembert Pierrot</v>
      </c>
      <c r="I1373" s="9" t="str">
        <f>VLOOKUP(revenue[productID],products[],12,FALSE)</f>
        <v>Dairy Products</v>
      </c>
      <c r="J1373" s="9">
        <f>VLOOKUP(revenue[productID],products[],IF(YEAR(revenue[orderDate])=2022,8,IF(YEAR(revenue[orderDate])=2023,9,IF(YEAR(revenue[orderDate])=2024,10,NA))),FALSE)</f>
        <v>22.77098295</v>
      </c>
      <c r="K1373" s="9">
        <v>34.0</v>
      </c>
      <c r="L1373" s="25">
        <f>(revenue[orderPrice]-revenue[productCost])/revenue[productCost]</f>
        <v>0.4931283415</v>
      </c>
      <c r="M1373" s="10">
        <v>15.0</v>
      </c>
      <c r="N1373" s="25">
        <v>0.0</v>
      </c>
      <c r="O1373" s="9">
        <f>revenue[orderPrice]*revenue[orderQuantity]</f>
        <v>510</v>
      </c>
      <c r="P1373" s="9">
        <f>revenue[orderTotal]*(1-revenue[discountApllied])</f>
        <v>510</v>
      </c>
      <c r="Q1373" s="9">
        <f>revenue[revenue]-(revenue[productCost]*revenue[orderQuantity])</f>
        <v>168.4352558</v>
      </c>
      <c r="R1373" s="25">
        <f>IFERROR(revenue[profit]/revenue[revenue], 0)</f>
        <v>0.3302652075</v>
      </c>
      <c r="S1373" s="9">
        <f>revenue[productCost]*revenue[orderQuantity]</f>
        <v>341.5647442</v>
      </c>
    </row>
    <row r="1374" ht="15.75" customHeight="1">
      <c r="A1374" s="6">
        <v>10768.0</v>
      </c>
      <c r="B1374" s="7" t="s">
        <v>70</v>
      </c>
      <c r="C1374" s="24" t="str">
        <f>VLOOKUP(revenue[customerID],customers[],2,FALSE)</f>
        <v>Around the Horn</v>
      </c>
      <c r="D1374" s="24" t="str">
        <f>VLOOKUP(revenue[customerID],customers[],6,FALSE)</f>
        <v>London</v>
      </c>
      <c r="E1374" s="24" t="str">
        <f>VLOOKUP(revenue[customerID],customers[],9,FALSE)</f>
        <v>UK</v>
      </c>
      <c r="F1374" s="24">
        <v>45268.0</v>
      </c>
      <c r="G1374" s="6">
        <v>71.0</v>
      </c>
      <c r="H1374" s="9" t="str">
        <f>VLOOKUP(revenue[productID],products[],2,FALSE)</f>
        <v>Flotemysost</v>
      </c>
      <c r="I1374" s="9" t="str">
        <f>VLOOKUP(revenue[productID],products[],12,FALSE)</f>
        <v>Dairy Products</v>
      </c>
      <c r="J1374" s="9">
        <f>VLOOKUP(revenue[productID],products[],IF(YEAR(revenue[orderDate])=2022,8,IF(YEAR(revenue[orderDate])=2023,9,IF(YEAR(revenue[orderDate])=2024,10,NA))),FALSE)</f>
        <v>13.4003664</v>
      </c>
      <c r="K1374" s="9">
        <v>21.5</v>
      </c>
      <c r="L1374" s="25">
        <f>(revenue[orderPrice]-revenue[productCost])/revenue[productCost]</f>
        <v>0.6044337411</v>
      </c>
      <c r="M1374" s="10">
        <v>12.0</v>
      </c>
      <c r="N1374" s="25">
        <v>0.0</v>
      </c>
      <c r="O1374" s="9">
        <f>revenue[orderPrice]*revenue[orderQuantity]</f>
        <v>258</v>
      </c>
      <c r="P1374" s="9">
        <f>revenue[orderTotal]*(1-revenue[discountApllied])</f>
        <v>258</v>
      </c>
      <c r="Q1374" s="9">
        <f>revenue[revenue]-(revenue[productCost]*revenue[orderQuantity])</f>
        <v>97.19560316</v>
      </c>
      <c r="R1374" s="25">
        <f>IFERROR(revenue[profit]/revenue[revenue], 0)</f>
        <v>0.376727144</v>
      </c>
      <c r="S1374" s="9">
        <f>revenue[productCost]*revenue[orderQuantity]</f>
        <v>160.8043968</v>
      </c>
    </row>
    <row r="1375" ht="15.75" customHeight="1">
      <c r="A1375" s="6">
        <v>10769.0</v>
      </c>
      <c r="B1375" s="7" t="s">
        <v>76</v>
      </c>
      <c r="C1375" s="24" t="str">
        <f>VLOOKUP(revenue[customerID],customers[],2,FALSE)</f>
        <v>Vaffeljernet</v>
      </c>
      <c r="D1375" s="24" t="str">
        <f>VLOOKUP(revenue[customerID],customers[],6,FALSE)</f>
        <v>Århus</v>
      </c>
      <c r="E1375" s="24" t="str">
        <f>VLOOKUP(revenue[customerID],customers[],9,FALSE)</f>
        <v>Denmark</v>
      </c>
      <c r="F1375" s="24">
        <v>45268.0</v>
      </c>
      <c r="G1375" s="6">
        <v>41.0</v>
      </c>
      <c r="H1375" s="9" t="str">
        <f>VLOOKUP(revenue[productID],products[],2,FALSE)</f>
        <v>Jack's New England Clam Chowder</v>
      </c>
      <c r="I1375" s="9" t="str">
        <f>VLOOKUP(revenue[productID],products[],12,FALSE)</f>
        <v>Seafood</v>
      </c>
      <c r="J1375" s="9">
        <f>VLOOKUP(revenue[productID],products[],IF(YEAR(revenue[orderDate])=2022,8,IF(YEAR(revenue[orderDate])=2023,9,IF(YEAR(revenue[orderDate])=2024,10,NA))),FALSE)</f>
        <v>6.549914856</v>
      </c>
      <c r="K1375" s="9">
        <v>9.65</v>
      </c>
      <c r="L1375" s="25">
        <f>(revenue[orderPrice]-revenue[productCost])/revenue[productCost]</f>
        <v>0.4733015943</v>
      </c>
      <c r="M1375" s="10">
        <v>30.0</v>
      </c>
      <c r="N1375" s="25">
        <v>0.05</v>
      </c>
      <c r="O1375" s="9">
        <f>revenue[orderPrice]*revenue[orderQuantity]</f>
        <v>289.5</v>
      </c>
      <c r="P1375" s="9">
        <f>revenue[orderTotal]*(1-revenue[discountApllied])</f>
        <v>275.025</v>
      </c>
      <c r="Q1375" s="9">
        <f>revenue[revenue]-(revenue[productCost]*revenue[orderQuantity])</f>
        <v>78.52755432</v>
      </c>
      <c r="R1375" s="25">
        <f>IFERROR(revenue[profit]/revenue[revenue], 0)</f>
        <v>0.2855287858</v>
      </c>
      <c r="S1375" s="9">
        <f>revenue[productCost]*revenue[orderQuantity]</f>
        <v>196.4974457</v>
      </c>
    </row>
    <row r="1376" ht="15.75" customHeight="1">
      <c r="A1376" s="6">
        <v>10769.0</v>
      </c>
      <c r="B1376" s="7" t="s">
        <v>76</v>
      </c>
      <c r="C1376" s="24" t="str">
        <f>VLOOKUP(revenue[customerID],customers[],2,FALSE)</f>
        <v>Vaffeljernet</v>
      </c>
      <c r="D1376" s="24" t="str">
        <f>VLOOKUP(revenue[customerID],customers[],6,FALSE)</f>
        <v>Århus</v>
      </c>
      <c r="E1376" s="24" t="str">
        <f>VLOOKUP(revenue[customerID],customers[],9,FALSE)</f>
        <v>Denmark</v>
      </c>
      <c r="F1376" s="24">
        <v>45268.0</v>
      </c>
      <c r="G1376" s="6">
        <v>52.0</v>
      </c>
      <c r="H1376" s="9" t="str">
        <f>VLOOKUP(revenue[productID],products[],2,FALSE)</f>
        <v>Filo Mix</v>
      </c>
      <c r="I1376" s="9" t="str">
        <f>VLOOKUP(revenue[productID],products[],12,FALSE)</f>
        <v>Grains/Cereals</v>
      </c>
      <c r="J1376" s="9">
        <f>VLOOKUP(revenue[productID],products[],IF(YEAR(revenue[orderDate])=2022,8,IF(YEAR(revenue[orderDate])=2023,9,IF(YEAR(revenue[orderDate])=2024,10,NA))),FALSE)</f>
        <v>5.001706713</v>
      </c>
      <c r="K1376" s="9">
        <v>7.0</v>
      </c>
      <c r="L1376" s="25">
        <f>(revenue[orderPrice]-revenue[productCost])/revenue[productCost]</f>
        <v>0.3995222835</v>
      </c>
      <c r="M1376" s="10">
        <v>15.0</v>
      </c>
      <c r="N1376" s="25">
        <v>0.05</v>
      </c>
      <c r="O1376" s="9">
        <f>revenue[orderPrice]*revenue[orderQuantity]</f>
        <v>105</v>
      </c>
      <c r="P1376" s="9">
        <f>revenue[orderTotal]*(1-revenue[discountApllied])</f>
        <v>99.75</v>
      </c>
      <c r="Q1376" s="9">
        <f>revenue[revenue]-(revenue[productCost]*revenue[orderQuantity])</f>
        <v>24.72439931</v>
      </c>
      <c r="R1376" s="25">
        <f>IFERROR(revenue[profit]/revenue[revenue], 0)</f>
        <v>0.2478636522</v>
      </c>
      <c r="S1376" s="9">
        <f>revenue[productCost]*revenue[orderQuantity]</f>
        <v>75.02560069</v>
      </c>
    </row>
    <row r="1377" ht="15.75" customHeight="1">
      <c r="A1377" s="6">
        <v>10769.0</v>
      </c>
      <c r="B1377" s="7" t="s">
        <v>76</v>
      </c>
      <c r="C1377" s="24" t="str">
        <f>VLOOKUP(revenue[customerID],customers[],2,FALSE)</f>
        <v>Vaffeljernet</v>
      </c>
      <c r="D1377" s="24" t="str">
        <f>VLOOKUP(revenue[customerID],customers[],6,FALSE)</f>
        <v>Århus</v>
      </c>
      <c r="E1377" s="24" t="str">
        <f>VLOOKUP(revenue[customerID],customers[],9,FALSE)</f>
        <v>Denmark</v>
      </c>
      <c r="F1377" s="24">
        <v>45268.0</v>
      </c>
      <c r="G1377" s="6">
        <v>61.0</v>
      </c>
      <c r="H1377" s="9" t="str">
        <f>VLOOKUP(revenue[productID],products[],2,FALSE)</f>
        <v>Sirop d'érable</v>
      </c>
      <c r="I1377" s="9" t="str">
        <f>VLOOKUP(revenue[productID],products[],12,FALSE)</f>
        <v>Condiments</v>
      </c>
      <c r="J1377" s="9">
        <f>VLOOKUP(revenue[productID],products[],IF(YEAR(revenue[orderDate])=2022,8,IF(YEAR(revenue[orderDate])=2023,9,IF(YEAR(revenue[orderDate])=2024,10,NA))),FALSE)</f>
        <v>17.19945448</v>
      </c>
      <c r="K1377" s="9">
        <v>28.5</v>
      </c>
      <c r="L1377" s="25">
        <f>(revenue[orderPrice]-revenue[productCost])/revenue[productCost]</f>
        <v>0.6570292986</v>
      </c>
      <c r="M1377" s="10">
        <v>20.0</v>
      </c>
      <c r="N1377" s="25">
        <v>0.0</v>
      </c>
      <c r="O1377" s="9">
        <f>revenue[orderPrice]*revenue[orderQuantity]</f>
        <v>570</v>
      </c>
      <c r="P1377" s="9">
        <f>revenue[orderTotal]*(1-revenue[discountApllied])</f>
        <v>570</v>
      </c>
      <c r="Q1377" s="9">
        <f>revenue[revenue]-(revenue[productCost]*revenue[orderQuantity])</f>
        <v>226.0109103</v>
      </c>
      <c r="R1377" s="25">
        <f>IFERROR(revenue[profit]/revenue[revenue], 0)</f>
        <v>0.396510369</v>
      </c>
      <c r="S1377" s="9">
        <f>revenue[productCost]*revenue[orderQuantity]</f>
        <v>343.9890897</v>
      </c>
    </row>
    <row r="1378" ht="15.75" customHeight="1">
      <c r="A1378" s="6">
        <v>10769.0</v>
      </c>
      <c r="B1378" s="7" t="s">
        <v>76</v>
      </c>
      <c r="C1378" s="24" t="str">
        <f>VLOOKUP(revenue[customerID],customers[],2,FALSE)</f>
        <v>Vaffeljernet</v>
      </c>
      <c r="D1378" s="24" t="str">
        <f>VLOOKUP(revenue[customerID],customers[],6,FALSE)</f>
        <v>Århus</v>
      </c>
      <c r="E1378" s="24" t="str">
        <f>VLOOKUP(revenue[customerID],customers[],9,FALSE)</f>
        <v>Denmark</v>
      </c>
      <c r="F1378" s="24">
        <v>45268.0</v>
      </c>
      <c r="G1378" s="6">
        <v>62.0</v>
      </c>
      <c r="H1378" s="9" t="str">
        <f>VLOOKUP(revenue[productID],products[],2,FALSE)</f>
        <v>Tarte au sucre</v>
      </c>
      <c r="I1378" s="9" t="str">
        <f>VLOOKUP(revenue[productID],products[],12,FALSE)</f>
        <v>Confections</v>
      </c>
      <c r="J1378" s="9">
        <f>VLOOKUP(revenue[productID],products[],IF(YEAR(revenue[orderDate])=2022,8,IF(YEAR(revenue[orderDate])=2023,9,IF(YEAR(revenue[orderDate])=2024,10,NA))),FALSE)</f>
        <v>35.34792781</v>
      </c>
      <c r="K1378" s="9">
        <v>49.3</v>
      </c>
      <c r="L1378" s="25">
        <f>(revenue[orderPrice]-revenue[productCost])/revenue[productCost]</f>
        <v>0.3947069335</v>
      </c>
      <c r="M1378" s="10">
        <v>15.0</v>
      </c>
      <c r="N1378" s="25">
        <v>0.0</v>
      </c>
      <c r="O1378" s="9">
        <f>revenue[orderPrice]*revenue[orderQuantity]</f>
        <v>739.5</v>
      </c>
      <c r="P1378" s="9">
        <f>revenue[orderTotal]*(1-revenue[discountApllied])</f>
        <v>739.5</v>
      </c>
      <c r="Q1378" s="9">
        <f>revenue[revenue]-(revenue[productCost]*revenue[orderQuantity])</f>
        <v>209.2810829</v>
      </c>
      <c r="R1378" s="25">
        <f>IFERROR(revenue[profit]/revenue[revenue], 0)</f>
        <v>0.2830034927</v>
      </c>
      <c r="S1378" s="9">
        <f>revenue[productCost]*revenue[orderQuantity]</f>
        <v>530.2189171</v>
      </c>
    </row>
    <row r="1379" ht="15.75" customHeight="1">
      <c r="A1379" s="6">
        <v>10770.0</v>
      </c>
      <c r="B1379" s="7" t="s">
        <v>16</v>
      </c>
      <c r="C1379" s="24" t="str">
        <f>VLOOKUP(revenue[customerID],customers[],2,FALSE)</f>
        <v>Hanari Carnes</v>
      </c>
      <c r="D1379" s="24" t="str">
        <f>VLOOKUP(revenue[customerID],customers[],6,FALSE)</f>
        <v>Rio de Janeiro</v>
      </c>
      <c r="E1379" s="24" t="str">
        <f>VLOOKUP(revenue[customerID],customers[],9,FALSE)</f>
        <v>Brazil</v>
      </c>
      <c r="F1379" s="24">
        <v>45269.0</v>
      </c>
      <c r="G1379" s="6">
        <v>11.0</v>
      </c>
      <c r="H1379" s="9" t="str">
        <f>VLOOKUP(revenue[productID],products[],2,FALSE)</f>
        <v>Queso Cabrales</v>
      </c>
      <c r="I1379" s="9" t="str">
        <f>VLOOKUP(revenue[productID],products[],12,FALSE)</f>
        <v>Dairy Products</v>
      </c>
      <c r="J1379" s="9">
        <f>VLOOKUP(revenue[productID],products[],IF(YEAR(revenue[orderDate])=2022,8,IF(YEAR(revenue[orderDate])=2023,9,IF(YEAR(revenue[orderDate])=2024,10,NA))),FALSE)</f>
        <v>12.90188125</v>
      </c>
      <c r="K1379" s="9">
        <v>21.0</v>
      </c>
      <c r="L1379" s="25">
        <f>(revenue[orderPrice]-revenue[productCost])/revenue[productCost]</f>
        <v>0.6276696079</v>
      </c>
      <c r="M1379" s="10">
        <v>15.0</v>
      </c>
      <c r="N1379" s="25">
        <v>0.25</v>
      </c>
      <c r="O1379" s="9">
        <f>revenue[orderPrice]*revenue[orderQuantity]</f>
        <v>315</v>
      </c>
      <c r="P1379" s="9">
        <f>revenue[orderTotal]*(1-revenue[discountApllied])</f>
        <v>236.25</v>
      </c>
      <c r="Q1379" s="9">
        <f>revenue[revenue]-(revenue[productCost]*revenue[orderQuantity])</f>
        <v>42.72178121</v>
      </c>
      <c r="R1379" s="25">
        <f>IFERROR(revenue[profit]/revenue[revenue], 0)</f>
        <v>0.1808329363</v>
      </c>
      <c r="S1379" s="9">
        <f>revenue[productCost]*revenue[orderQuantity]</f>
        <v>193.5282188</v>
      </c>
    </row>
    <row r="1380" ht="15.75" customHeight="1">
      <c r="A1380" s="6">
        <v>10771.0</v>
      </c>
      <c r="B1380" s="7" t="s">
        <v>24</v>
      </c>
      <c r="C1380" s="24" t="str">
        <f>VLOOKUP(revenue[customerID],customers[],2,FALSE)</f>
        <v>Ernst Handel</v>
      </c>
      <c r="D1380" s="24" t="str">
        <f>VLOOKUP(revenue[customerID],customers[],6,FALSE)</f>
        <v>Graz</v>
      </c>
      <c r="E1380" s="24" t="str">
        <f>VLOOKUP(revenue[customerID],customers[],9,FALSE)</f>
        <v>Austria</v>
      </c>
      <c r="F1380" s="24">
        <v>45270.0</v>
      </c>
      <c r="G1380" s="6">
        <v>71.0</v>
      </c>
      <c r="H1380" s="9" t="str">
        <f>VLOOKUP(revenue[productID],products[],2,FALSE)</f>
        <v>Flotemysost</v>
      </c>
      <c r="I1380" s="9" t="str">
        <f>VLOOKUP(revenue[productID],products[],12,FALSE)</f>
        <v>Dairy Products</v>
      </c>
      <c r="J1380" s="9">
        <f>VLOOKUP(revenue[productID],products[],IF(YEAR(revenue[orderDate])=2022,8,IF(YEAR(revenue[orderDate])=2023,9,IF(YEAR(revenue[orderDate])=2024,10,NA))),FALSE)</f>
        <v>13.4003664</v>
      </c>
      <c r="K1380" s="9">
        <v>21.5</v>
      </c>
      <c r="L1380" s="25">
        <f>(revenue[orderPrice]-revenue[productCost])/revenue[productCost]</f>
        <v>0.6044337411</v>
      </c>
      <c r="M1380" s="10">
        <v>16.0</v>
      </c>
      <c r="N1380" s="25">
        <v>0.0</v>
      </c>
      <c r="O1380" s="9">
        <f>revenue[orderPrice]*revenue[orderQuantity]</f>
        <v>344</v>
      </c>
      <c r="P1380" s="9">
        <f>revenue[orderTotal]*(1-revenue[discountApllied])</f>
        <v>344</v>
      </c>
      <c r="Q1380" s="9">
        <f>revenue[revenue]-(revenue[productCost]*revenue[orderQuantity])</f>
        <v>129.5941376</v>
      </c>
      <c r="R1380" s="25">
        <f>IFERROR(revenue[profit]/revenue[revenue], 0)</f>
        <v>0.376727144</v>
      </c>
      <c r="S1380" s="9">
        <f>revenue[productCost]*revenue[orderQuantity]</f>
        <v>214.4058624</v>
      </c>
    </row>
    <row r="1381" ht="15.75" customHeight="1">
      <c r="A1381" s="6">
        <v>10772.0</v>
      </c>
      <c r="B1381" s="7" t="s">
        <v>41</v>
      </c>
      <c r="C1381" s="24" t="str">
        <f>VLOOKUP(revenue[customerID],customers[],2,FALSE)</f>
        <v>Lehmanns Marktstand</v>
      </c>
      <c r="D1381" s="24" t="str">
        <f>VLOOKUP(revenue[customerID],customers[],6,FALSE)</f>
        <v>Frankfurt a.M.</v>
      </c>
      <c r="E1381" s="24" t="str">
        <f>VLOOKUP(revenue[customerID],customers[],9,FALSE)</f>
        <v>Germany</v>
      </c>
      <c r="F1381" s="24">
        <v>45270.0</v>
      </c>
      <c r="G1381" s="6">
        <v>29.0</v>
      </c>
      <c r="H1381" s="9" t="str">
        <f>VLOOKUP(revenue[productID],products[],2,FALSE)</f>
        <v>Thüringer Rostbratwurst</v>
      </c>
      <c r="I1381" s="9" t="str">
        <f>VLOOKUP(revenue[productID],products[],12,FALSE)</f>
        <v>Meat/Poultry</v>
      </c>
      <c r="J1381" s="9">
        <f>VLOOKUP(revenue[productID],products[],IF(YEAR(revenue[orderDate])=2022,8,IF(YEAR(revenue[orderDate])=2023,9,IF(YEAR(revenue[orderDate])=2024,10,NA))),FALSE)</f>
        <v>80.85619497</v>
      </c>
      <c r="K1381" s="9">
        <v>123.79</v>
      </c>
      <c r="L1381" s="25">
        <f>(revenue[orderPrice]-revenue[productCost])/revenue[productCost]</f>
        <v>0.5309896792</v>
      </c>
      <c r="M1381" s="10">
        <v>18.0</v>
      </c>
      <c r="N1381" s="25">
        <v>0.0</v>
      </c>
      <c r="O1381" s="9">
        <f>revenue[orderPrice]*revenue[orderQuantity]</f>
        <v>2228.22</v>
      </c>
      <c r="P1381" s="9">
        <f>revenue[orderTotal]*(1-revenue[discountApllied])</f>
        <v>2228.22</v>
      </c>
      <c r="Q1381" s="9">
        <f>revenue[revenue]-(revenue[productCost]*revenue[orderQuantity])</f>
        <v>772.8084905</v>
      </c>
      <c r="R1381" s="25">
        <f>IFERROR(revenue[profit]/revenue[revenue], 0)</f>
        <v>0.3468277327</v>
      </c>
      <c r="S1381" s="9">
        <f>revenue[productCost]*revenue[orderQuantity]</f>
        <v>1455.411509</v>
      </c>
    </row>
    <row r="1382" ht="15.75" customHeight="1">
      <c r="A1382" s="6">
        <v>10772.0</v>
      </c>
      <c r="B1382" s="7" t="s">
        <v>41</v>
      </c>
      <c r="C1382" s="24" t="str">
        <f>VLOOKUP(revenue[customerID],customers[],2,FALSE)</f>
        <v>Lehmanns Marktstand</v>
      </c>
      <c r="D1382" s="24" t="str">
        <f>VLOOKUP(revenue[customerID],customers[],6,FALSE)</f>
        <v>Frankfurt a.M.</v>
      </c>
      <c r="E1382" s="24" t="str">
        <f>VLOOKUP(revenue[customerID],customers[],9,FALSE)</f>
        <v>Germany</v>
      </c>
      <c r="F1382" s="24">
        <v>45270.0</v>
      </c>
      <c r="G1382" s="6">
        <v>59.0</v>
      </c>
      <c r="H1382" s="9" t="str">
        <f>VLOOKUP(revenue[productID],products[],2,FALSE)</f>
        <v>Raclette Courdavault</v>
      </c>
      <c r="I1382" s="9" t="str">
        <f>VLOOKUP(revenue[productID],products[],12,FALSE)</f>
        <v>Dairy Products</v>
      </c>
      <c r="J1382" s="9">
        <f>VLOOKUP(revenue[productID],products[],IF(YEAR(revenue[orderDate])=2022,8,IF(YEAR(revenue[orderDate])=2023,9,IF(YEAR(revenue[orderDate])=2024,10,NA))),FALSE)</f>
        <v>35.20472566</v>
      </c>
      <c r="K1382" s="9">
        <v>55.0</v>
      </c>
      <c r="L1382" s="25">
        <f>(revenue[orderPrice]-revenue[productCost])/revenue[productCost]</f>
        <v>0.5622902598</v>
      </c>
      <c r="M1382" s="10">
        <v>25.0</v>
      </c>
      <c r="N1382" s="25">
        <v>0.0</v>
      </c>
      <c r="O1382" s="9">
        <f>revenue[orderPrice]*revenue[orderQuantity]</f>
        <v>1375</v>
      </c>
      <c r="P1382" s="9">
        <f>revenue[orderTotal]*(1-revenue[discountApllied])</f>
        <v>1375</v>
      </c>
      <c r="Q1382" s="9">
        <f>revenue[revenue]-(revenue[productCost]*revenue[orderQuantity])</f>
        <v>494.8818585</v>
      </c>
      <c r="R1382" s="25">
        <f>IFERROR(revenue[profit]/revenue[revenue], 0)</f>
        <v>0.3599140789</v>
      </c>
      <c r="S1382" s="9">
        <f>revenue[productCost]*revenue[orderQuantity]</f>
        <v>880.1181415</v>
      </c>
    </row>
    <row r="1383" ht="15.75" customHeight="1">
      <c r="A1383" s="6">
        <v>10773.0</v>
      </c>
      <c r="B1383" s="7" t="s">
        <v>24</v>
      </c>
      <c r="C1383" s="24" t="str">
        <f>VLOOKUP(revenue[customerID],customers[],2,FALSE)</f>
        <v>Ernst Handel</v>
      </c>
      <c r="D1383" s="24" t="str">
        <f>VLOOKUP(revenue[customerID],customers[],6,FALSE)</f>
        <v>Graz</v>
      </c>
      <c r="E1383" s="24" t="str">
        <f>VLOOKUP(revenue[customerID],customers[],9,FALSE)</f>
        <v>Austria</v>
      </c>
      <c r="F1383" s="24">
        <v>45271.0</v>
      </c>
      <c r="G1383" s="6">
        <v>17.0</v>
      </c>
      <c r="H1383" s="9" t="str">
        <f>VLOOKUP(revenue[productID],products[],2,FALSE)</f>
        <v>Alice Mutton</v>
      </c>
      <c r="I1383" s="9" t="str">
        <f>VLOOKUP(revenue[productID],products[],12,FALSE)</f>
        <v>Meat/Poultry</v>
      </c>
      <c r="J1383" s="9">
        <f>VLOOKUP(revenue[productID],products[],IF(YEAR(revenue[orderDate])=2022,8,IF(YEAR(revenue[orderDate])=2023,9,IF(YEAR(revenue[orderDate])=2024,10,NA))),FALSE)</f>
        <v>24.83130504</v>
      </c>
      <c r="K1383" s="9">
        <v>39.0</v>
      </c>
      <c r="L1383" s="25">
        <f>(revenue[orderPrice]-revenue[productCost])/revenue[productCost]</f>
        <v>0.5705980792</v>
      </c>
      <c r="M1383" s="10">
        <v>33.0</v>
      </c>
      <c r="N1383" s="25">
        <v>0.0</v>
      </c>
      <c r="O1383" s="9">
        <f>revenue[orderPrice]*revenue[orderQuantity]</f>
        <v>1287</v>
      </c>
      <c r="P1383" s="9">
        <f>revenue[orderTotal]*(1-revenue[discountApllied])</f>
        <v>1287</v>
      </c>
      <c r="Q1383" s="9">
        <f>revenue[revenue]-(revenue[productCost]*revenue[orderQuantity])</f>
        <v>467.5669337</v>
      </c>
      <c r="R1383" s="25">
        <f>IFERROR(revenue[profit]/revenue[revenue], 0)</f>
        <v>0.3632998708</v>
      </c>
      <c r="S1383" s="9">
        <f>revenue[productCost]*revenue[orderQuantity]</f>
        <v>819.4330663</v>
      </c>
    </row>
    <row r="1384" ht="15.75" customHeight="1">
      <c r="A1384" s="6">
        <v>10773.0</v>
      </c>
      <c r="B1384" s="7" t="s">
        <v>24</v>
      </c>
      <c r="C1384" s="24" t="str">
        <f>VLOOKUP(revenue[customerID],customers[],2,FALSE)</f>
        <v>Ernst Handel</v>
      </c>
      <c r="D1384" s="24" t="str">
        <f>VLOOKUP(revenue[customerID],customers[],6,FALSE)</f>
        <v>Graz</v>
      </c>
      <c r="E1384" s="24" t="str">
        <f>VLOOKUP(revenue[customerID],customers[],9,FALSE)</f>
        <v>Austria</v>
      </c>
      <c r="F1384" s="24">
        <v>45271.0</v>
      </c>
      <c r="G1384" s="6">
        <v>31.0</v>
      </c>
      <c r="H1384" s="9" t="str">
        <f>VLOOKUP(revenue[productID],products[],2,FALSE)</f>
        <v>Gorgonzola Telino</v>
      </c>
      <c r="I1384" s="9" t="str">
        <f>VLOOKUP(revenue[productID],products[],12,FALSE)</f>
        <v>Dairy Products</v>
      </c>
      <c r="J1384" s="9">
        <f>VLOOKUP(revenue[productID],products[],IF(YEAR(revenue[orderDate])=2022,8,IF(YEAR(revenue[orderDate])=2023,9,IF(YEAR(revenue[orderDate])=2024,10,NA))),FALSE)</f>
        <v>7.937729254</v>
      </c>
      <c r="K1384" s="9">
        <v>12.5</v>
      </c>
      <c r="L1384" s="25">
        <f>(revenue[orderPrice]-revenue[productCost])/revenue[productCost]</f>
        <v>0.5747576668</v>
      </c>
      <c r="M1384" s="10">
        <v>70.0</v>
      </c>
      <c r="N1384" s="25">
        <v>0.2</v>
      </c>
      <c r="O1384" s="9">
        <f>revenue[orderPrice]*revenue[orderQuantity]</f>
        <v>875</v>
      </c>
      <c r="P1384" s="9">
        <f>revenue[orderTotal]*(1-revenue[discountApllied])</f>
        <v>700</v>
      </c>
      <c r="Q1384" s="9">
        <f>revenue[revenue]-(revenue[productCost]*revenue[orderQuantity])</f>
        <v>144.3589522</v>
      </c>
      <c r="R1384" s="25">
        <f>IFERROR(revenue[profit]/revenue[revenue], 0)</f>
        <v>0.2062270746</v>
      </c>
      <c r="S1384" s="9">
        <f>revenue[productCost]*revenue[orderQuantity]</f>
        <v>555.6410478</v>
      </c>
    </row>
    <row r="1385" ht="15.75" customHeight="1">
      <c r="A1385" s="6">
        <v>10773.0</v>
      </c>
      <c r="B1385" s="7" t="s">
        <v>24</v>
      </c>
      <c r="C1385" s="24" t="str">
        <f>VLOOKUP(revenue[customerID],customers[],2,FALSE)</f>
        <v>Ernst Handel</v>
      </c>
      <c r="D1385" s="24" t="str">
        <f>VLOOKUP(revenue[customerID],customers[],6,FALSE)</f>
        <v>Graz</v>
      </c>
      <c r="E1385" s="24" t="str">
        <f>VLOOKUP(revenue[customerID],customers[],9,FALSE)</f>
        <v>Austria</v>
      </c>
      <c r="F1385" s="24">
        <v>45271.0</v>
      </c>
      <c r="G1385" s="6">
        <v>75.0</v>
      </c>
      <c r="H1385" s="9" t="str">
        <f>VLOOKUP(revenue[productID],products[],2,FALSE)</f>
        <v>Rhönbräu Klosterbier</v>
      </c>
      <c r="I1385" s="9" t="str">
        <f>VLOOKUP(revenue[productID],products[],12,FALSE)</f>
        <v>Beverages</v>
      </c>
      <c r="J1385" s="9">
        <f>VLOOKUP(revenue[productID],products[],IF(YEAR(revenue[orderDate])=2022,8,IF(YEAR(revenue[orderDate])=2023,9,IF(YEAR(revenue[orderDate])=2024,10,NA))),FALSE)</f>
        <v>5.355290472</v>
      </c>
      <c r="K1385" s="9">
        <v>7.75</v>
      </c>
      <c r="L1385" s="25">
        <f>(revenue[orderPrice]-revenue[productCost])/revenue[productCost]</f>
        <v>0.4471670661</v>
      </c>
      <c r="M1385" s="10">
        <v>7.0</v>
      </c>
      <c r="N1385" s="25">
        <v>0.2</v>
      </c>
      <c r="O1385" s="9">
        <f>revenue[orderPrice]*revenue[orderQuantity]</f>
        <v>54.25</v>
      </c>
      <c r="P1385" s="9">
        <f>revenue[orderTotal]*(1-revenue[discountApllied])</f>
        <v>43.4</v>
      </c>
      <c r="Q1385" s="9">
        <f>revenue[revenue]-(revenue[productCost]*revenue[orderQuantity])</f>
        <v>5.912966698</v>
      </c>
      <c r="R1385" s="25">
        <f>IFERROR(revenue[profit]/revenue[revenue], 0)</f>
        <v>0.1362434723</v>
      </c>
      <c r="S1385" s="9">
        <f>revenue[productCost]*revenue[orderQuantity]</f>
        <v>37.4870333</v>
      </c>
    </row>
    <row r="1386" ht="15.75" customHeight="1">
      <c r="A1386" s="6">
        <v>10774.0</v>
      </c>
      <c r="B1386" s="7" t="s">
        <v>29</v>
      </c>
      <c r="C1386" s="24" t="str">
        <f>VLOOKUP(revenue[customerID],customers[],2,FALSE)</f>
        <v>Folk och fä HB</v>
      </c>
      <c r="D1386" s="24" t="str">
        <f>VLOOKUP(revenue[customerID],customers[],6,FALSE)</f>
        <v>Bräcke</v>
      </c>
      <c r="E1386" s="24" t="str">
        <f>VLOOKUP(revenue[customerID],customers[],9,FALSE)</f>
        <v>Sweden</v>
      </c>
      <c r="F1386" s="24">
        <v>45271.0</v>
      </c>
      <c r="G1386" s="6">
        <v>31.0</v>
      </c>
      <c r="H1386" s="9" t="str">
        <f>VLOOKUP(revenue[productID],products[],2,FALSE)</f>
        <v>Gorgonzola Telino</v>
      </c>
      <c r="I1386" s="9" t="str">
        <f>VLOOKUP(revenue[productID],products[],12,FALSE)</f>
        <v>Dairy Products</v>
      </c>
      <c r="J1386" s="9">
        <f>VLOOKUP(revenue[productID],products[],IF(YEAR(revenue[orderDate])=2022,8,IF(YEAR(revenue[orderDate])=2023,9,IF(YEAR(revenue[orderDate])=2024,10,NA))),FALSE)</f>
        <v>7.937729254</v>
      </c>
      <c r="K1386" s="9">
        <v>12.5</v>
      </c>
      <c r="L1386" s="25">
        <f>(revenue[orderPrice]-revenue[productCost])/revenue[productCost]</f>
        <v>0.5747576668</v>
      </c>
      <c r="M1386" s="10">
        <v>2.0</v>
      </c>
      <c r="N1386" s="25">
        <v>0.25</v>
      </c>
      <c r="O1386" s="9">
        <f>revenue[orderPrice]*revenue[orderQuantity]</f>
        <v>25</v>
      </c>
      <c r="P1386" s="9">
        <f>revenue[orderTotal]*(1-revenue[discountApllied])</f>
        <v>18.75</v>
      </c>
      <c r="Q1386" s="9">
        <f>revenue[revenue]-(revenue[productCost]*revenue[orderQuantity])</f>
        <v>2.874541492</v>
      </c>
      <c r="R1386" s="25">
        <f>IFERROR(revenue[profit]/revenue[revenue], 0)</f>
        <v>0.1533088795</v>
      </c>
      <c r="S1386" s="9">
        <f>revenue[productCost]*revenue[orderQuantity]</f>
        <v>15.87545851</v>
      </c>
    </row>
    <row r="1387" ht="15.75" customHeight="1">
      <c r="A1387" s="6">
        <v>10774.0</v>
      </c>
      <c r="B1387" s="7" t="s">
        <v>29</v>
      </c>
      <c r="C1387" s="24" t="str">
        <f>VLOOKUP(revenue[customerID],customers[],2,FALSE)</f>
        <v>Folk och fä HB</v>
      </c>
      <c r="D1387" s="24" t="str">
        <f>VLOOKUP(revenue[customerID],customers[],6,FALSE)</f>
        <v>Bräcke</v>
      </c>
      <c r="E1387" s="24" t="str">
        <f>VLOOKUP(revenue[customerID],customers[],9,FALSE)</f>
        <v>Sweden</v>
      </c>
      <c r="F1387" s="24">
        <v>45271.0</v>
      </c>
      <c r="G1387" s="6">
        <v>66.0</v>
      </c>
      <c r="H1387" s="9" t="str">
        <f>VLOOKUP(revenue[productID],products[],2,FALSE)</f>
        <v>Louisiana Hot Spiced Okra</v>
      </c>
      <c r="I1387" s="9" t="str">
        <f>VLOOKUP(revenue[productID],products[],12,FALSE)</f>
        <v>Condiments</v>
      </c>
      <c r="J1387" s="9">
        <f>VLOOKUP(revenue[productID],products[],IF(YEAR(revenue[orderDate])=2022,8,IF(YEAR(revenue[orderDate])=2023,9,IF(YEAR(revenue[orderDate])=2024,10,NA))),FALSE)</f>
        <v>10.17313149</v>
      </c>
      <c r="K1387" s="9">
        <v>17.0</v>
      </c>
      <c r="L1387" s="25">
        <f>(revenue[orderPrice]-revenue[productCost])/revenue[productCost]</f>
        <v>0.6710685417</v>
      </c>
      <c r="M1387" s="10">
        <v>50.0</v>
      </c>
      <c r="N1387" s="25">
        <v>0.0</v>
      </c>
      <c r="O1387" s="9">
        <f>revenue[orderPrice]*revenue[orderQuantity]</f>
        <v>850</v>
      </c>
      <c r="P1387" s="9">
        <f>revenue[orderTotal]*(1-revenue[discountApllied])</f>
        <v>850</v>
      </c>
      <c r="Q1387" s="9">
        <f>revenue[revenue]-(revenue[productCost]*revenue[orderQuantity])</f>
        <v>341.3434256</v>
      </c>
      <c r="R1387" s="25">
        <f>IFERROR(revenue[profit]/revenue[revenue], 0)</f>
        <v>0.4015805007</v>
      </c>
      <c r="S1387" s="9">
        <f>revenue[productCost]*revenue[orderQuantity]</f>
        <v>508.6565744</v>
      </c>
    </row>
    <row r="1388" ht="15.75" customHeight="1">
      <c r="A1388" s="6">
        <v>10775.0</v>
      </c>
      <c r="B1388" s="7" t="s">
        <v>99</v>
      </c>
      <c r="C1388" s="24" t="str">
        <f>VLOOKUP(revenue[customerID],customers[],2,FALSE)</f>
        <v>The Cracker Box</v>
      </c>
      <c r="D1388" s="24" t="str">
        <f>VLOOKUP(revenue[customerID],customers[],6,FALSE)</f>
        <v>Butte</v>
      </c>
      <c r="E1388" s="24" t="str">
        <f>VLOOKUP(revenue[customerID],customers[],9,FALSE)</f>
        <v>USA</v>
      </c>
      <c r="F1388" s="24">
        <v>45272.0</v>
      </c>
      <c r="G1388" s="6">
        <v>10.0</v>
      </c>
      <c r="H1388" s="9" t="str">
        <f>VLOOKUP(revenue[productID],products[],2,FALSE)</f>
        <v>Ikura</v>
      </c>
      <c r="I1388" s="9" t="str">
        <f>VLOOKUP(revenue[productID],products[],12,FALSE)</f>
        <v>Seafood</v>
      </c>
      <c r="J1388" s="9">
        <f>VLOOKUP(revenue[productID],products[],IF(YEAR(revenue[orderDate])=2022,8,IF(YEAR(revenue[orderDate])=2023,9,IF(YEAR(revenue[orderDate])=2024,10,NA))),FALSE)</f>
        <v>20.72721922</v>
      </c>
      <c r="K1388" s="9">
        <v>31.0</v>
      </c>
      <c r="L1388" s="25">
        <f>(revenue[orderPrice]-revenue[productCost])/revenue[productCost]</f>
        <v>0.4956178962</v>
      </c>
      <c r="M1388" s="10">
        <v>6.0</v>
      </c>
      <c r="N1388" s="25">
        <v>0.0</v>
      </c>
      <c r="O1388" s="9">
        <f>revenue[orderPrice]*revenue[orderQuantity]</f>
        <v>186</v>
      </c>
      <c r="P1388" s="9">
        <f>revenue[orderTotal]*(1-revenue[discountApllied])</f>
        <v>186</v>
      </c>
      <c r="Q1388" s="9">
        <f>revenue[revenue]-(revenue[productCost]*revenue[orderQuantity])</f>
        <v>61.6366847</v>
      </c>
      <c r="R1388" s="25">
        <f>IFERROR(revenue[profit]/revenue[revenue], 0)</f>
        <v>0.3313800252</v>
      </c>
      <c r="S1388" s="9">
        <f>revenue[productCost]*revenue[orderQuantity]</f>
        <v>124.3633153</v>
      </c>
    </row>
    <row r="1389" ht="15.75" customHeight="1">
      <c r="A1389" s="6">
        <v>10775.0</v>
      </c>
      <c r="B1389" s="7" t="s">
        <v>99</v>
      </c>
      <c r="C1389" s="24" t="str">
        <f>VLOOKUP(revenue[customerID],customers[],2,FALSE)</f>
        <v>The Cracker Box</v>
      </c>
      <c r="D1389" s="24" t="str">
        <f>VLOOKUP(revenue[customerID],customers[],6,FALSE)</f>
        <v>Butte</v>
      </c>
      <c r="E1389" s="24" t="str">
        <f>VLOOKUP(revenue[customerID],customers[],9,FALSE)</f>
        <v>USA</v>
      </c>
      <c r="F1389" s="24">
        <v>45272.0</v>
      </c>
      <c r="G1389" s="6">
        <v>67.0</v>
      </c>
      <c r="H1389" s="9" t="str">
        <f>VLOOKUP(revenue[productID],products[],2,FALSE)</f>
        <v>Laughing Lumberjack Lager</v>
      </c>
      <c r="I1389" s="9" t="str">
        <f>VLOOKUP(revenue[productID],products[],12,FALSE)</f>
        <v>Beverages</v>
      </c>
      <c r="J1389" s="9">
        <f>VLOOKUP(revenue[productID],products[],IF(YEAR(revenue[orderDate])=2022,8,IF(YEAR(revenue[orderDate])=2023,9,IF(YEAR(revenue[orderDate])=2024,10,NA))),FALSE)</f>
        <v>10.35274539</v>
      </c>
      <c r="K1389" s="9">
        <v>14.0</v>
      </c>
      <c r="L1389" s="25">
        <f>(revenue[orderPrice]-revenue[productCost])/revenue[productCost]</f>
        <v>0.3522983009</v>
      </c>
      <c r="M1389" s="10">
        <v>3.0</v>
      </c>
      <c r="N1389" s="25">
        <v>0.0</v>
      </c>
      <c r="O1389" s="9">
        <f>revenue[orderPrice]*revenue[orderQuantity]</f>
        <v>42</v>
      </c>
      <c r="P1389" s="9">
        <f>revenue[orderTotal]*(1-revenue[discountApllied])</f>
        <v>42</v>
      </c>
      <c r="Q1389" s="9">
        <f>revenue[revenue]-(revenue[productCost]*revenue[orderQuantity])</f>
        <v>10.94176383</v>
      </c>
      <c r="R1389" s="25">
        <f>IFERROR(revenue[profit]/revenue[revenue], 0)</f>
        <v>0.2605181865</v>
      </c>
      <c r="S1389" s="9">
        <f>revenue[productCost]*revenue[orderQuantity]</f>
        <v>31.05823617</v>
      </c>
    </row>
    <row r="1390" ht="15.75" customHeight="1">
      <c r="A1390" s="6">
        <v>10776.0</v>
      </c>
      <c r="B1390" s="7" t="s">
        <v>24</v>
      </c>
      <c r="C1390" s="24" t="str">
        <f>VLOOKUP(revenue[customerID],customers[],2,FALSE)</f>
        <v>Ernst Handel</v>
      </c>
      <c r="D1390" s="24" t="str">
        <f>VLOOKUP(revenue[customerID],customers[],6,FALSE)</f>
        <v>Graz</v>
      </c>
      <c r="E1390" s="24" t="str">
        <f>VLOOKUP(revenue[customerID],customers[],9,FALSE)</f>
        <v>Austria</v>
      </c>
      <c r="F1390" s="24">
        <v>45275.0</v>
      </c>
      <c r="G1390" s="6">
        <v>31.0</v>
      </c>
      <c r="H1390" s="9" t="str">
        <f>VLOOKUP(revenue[productID],products[],2,FALSE)</f>
        <v>Gorgonzola Telino</v>
      </c>
      <c r="I1390" s="9" t="str">
        <f>VLOOKUP(revenue[productID],products[],12,FALSE)</f>
        <v>Dairy Products</v>
      </c>
      <c r="J1390" s="9">
        <f>VLOOKUP(revenue[productID],products[],IF(YEAR(revenue[orderDate])=2022,8,IF(YEAR(revenue[orderDate])=2023,9,IF(YEAR(revenue[orderDate])=2024,10,NA))),FALSE)</f>
        <v>7.937729254</v>
      </c>
      <c r="K1390" s="9">
        <v>12.5</v>
      </c>
      <c r="L1390" s="25">
        <f>(revenue[orderPrice]-revenue[productCost])/revenue[productCost]</f>
        <v>0.5747576668</v>
      </c>
      <c r="M1390" s="10">
        <v>16.0</v>
      </c>
      <c r="N1390" s="25">
        <v>0.05</v>
      </c>
      <c r="O1390" s="9">
        <f>revenue[orderPrice]*revenue[orderQuantity]</f>
        <v>200</v>
      </c>
      <c r="P1390" s="9">
        <f>revenue[orderTotal]*(1-revenue[discountApllied])</f>
        <v>190</v>
      </c>
      <c r="Q1390" s="9">
        <f>revenue[revenue]-(revenue[productCost]*revenue[orderQuantity])</f>
        <v>62.99633193</v>
      </c>
      <c r="R1390" s="25">
        <f>IFERROR(revenue[profit]/revenue[revenue], 0)</f>
        <v>0.3315596417</v>
      </c>
      <c r="S1390" s="9">
        <f>revenue[productCost]*revenue[orderQuantity]</f>
        <v>127.0036681</v>
      </c>
    </row>
    <row r="1391" ht="15.75" customHeight="1">
      <c r="A1391" s="6">
        <v>10776.0</v>
      </c>
      <c r="B1391" s="7" t="s">
        <v>24</v>
      </c>
      <c r="C1391" s="24" t="str">
        <f>VLOOKUP(revenue[customerID],customers[],2,FALSE)</f>
        <v>Ernst Handel</v>
      </c>
      <c r="D1391" s="24" t="str">
        <f>VLOOKUP(revenue[customerID],customers[],6,FALSE)</f>
        <v>Graz</v>
      </c>
      <c r="E1391" s="24" t="str">
        <f>VLOOKUP(revenue[customerID],customers[],9,FALSE)</f>
        <v>Austria</v>
      </c>
      <c r="F1391" s="24">
        <v>45275.0</v>
      </c>
      <c r="G1391" s="6">
        <v>42.0</v>
      </c>
      <c r="H1391" s="9" t="str">
        <f>VLOOKUP(revenue[productID],products[],2,FALSE)</f>
        <v>Singaporean Hokkien Fried Mee</v>
      </c>
      <c r="I1391" s="9" t="str">
        <f>VLOOKUP(revenue[productID],products[],12,FALSE)</f>
        <v>Grains/Cereals</v>
      </c>
      <c r="J1391" s="9">
        <f>VLOOKUP(revenue[productID],products[],IF(YEAR(revenue[orderDate])=2022,8,IF(YEAR(revenue[orderDate])=2023,9,IF(YEAR(revenue[orderDate])=2024,10,NA))),FALSE)</f>
        <v>9.105641621</v>
      </c>
      <c r="K1391" s="9">
        <v>14.0</v>
      </c>
      <c r="L1391" s="25">
        <f>(revenue[orderPrice]-revenue[productCost])/revenue[productCost]</f>
        <v>0.5375083474</v>
      </c>
      <c r="M1391" s="10">
        <v>12.0</v>
      </c>
      <c r="N1391" s="25">
        <v>0.05</v>
      </c>
      <c r="O1391" s="9">
        <f>revenue[orderPrice]*revenue[orderQuantity]</f>
        <v>168</v>
      </c>
      <c r="P1391" s="9">
        <f>revenue[orderTotal]*(1-revenue[discountApllied])</f>
        <v>159.6</v>
      </c>
      <c r="Q1391" s="9">
        <f>revenue[revenue]-(revenue[productCost]*revenue[orderQuantity])</f>
        <v>50.33230055</v>
      </c>
      <c r="R1391" s="25">
        <f>IFERROR(revenue[profit]/revenue[revenue], 0)</f>
        <v>0.3153652917</v>
      </c>
      <c r="S1391" s="9">
        <f>revenue[productCost]*revenue[orderQuantity]</f>
        <v>109.2676994</v>
      </c>
    </row>
    <row r="1392" ht="15.75" customHeight="1">
      <c r="A1392" s="6">
        <v>10776.0</v>
      </c>
      <c r="B1392" s="7" t="s">
        <v>24</v>
      </c>
      <c r="C1392" s="24" t="str">
        <f>VLOOKUP(revenue[customerID],customers[],2,FALSE)</f>
        <v>Ernst Handel</v>
      </c>
      <c r="D1392" s="24" t="str">
        <f>VLOOKUP(revenue[customerID],customers[],6,FALSE)</f>
        <v>Graz</v>
      </c>
      <c r="E1392" s="24" t="str">
        <f>VLOOKUP(revenue[customerID],customers[],9,FALSE)</f>
        <v>Austria</v>
      </c>
      <c r="F1392" s="24">
        <v>45275.0</v>
      </c>
      <c r="G1392" s="6">
        <v>45.0</v>
      </c>
      <c r="H1392" s="9" t="str">
        <f>VLOOKUP(revenue[productID],products[],2,FALSE)</f>
        <v>Rogede sild</v>
      </c>
      <c r="I1392" s="9" t="str">
        <f>VLOOKUP(revenue[productID],products[],12,FALSE)</f>
        <v>Seafood</v>
      </c>
      <c r="J1392" s="9">
        <f>VLOOKUP(revenue[productID],products[],IF(YEAR(revenue[orderDate])=2022,8,IF(YEAR(revenue[orderDate])=2023,9,IF(YEAR(revenue[orderDate])=2024,10,NA))),FALSE)</f>
        <v>5.965769822</v>
      </c>
      <c r="K1392" s="9">
        <v>9.5</v>
      </c>
      <c r="L1392" s="25">
        <f>(revenue[orderPrice]-revenue[productCost])/revenue[productCost]</f>
        <v>0.5924181261</v>
      </c>
      <c r="M1392" s="10">
        <v>27.0</v>
      </c>
      <c r="N1392" s="25">
        <v>0.05</v>
      </c>
      <c r="O1392" s="9">
        <f>revenue[orderPrice]*revenue[orderQuantity]</f>
        <v>256.5</v>
      </c>
      <c r="P1392" s="9">
        <f>revenue[orderTotal]*(1-revenue[discountApllied])</f>
        <v>243.675</v>
      </c>
      <c r="Q1392" s="9">
        <f>revenue[revenue]-(revenue[productCost]*revenue[orderQuantity])</f>
        <v>82.59921481</v>
      </c>
      <c r="R1392" s="25">
        <f>IFERROR(revenue[profit]/revenue[revenue], 0)</f>
        <v>0.3389728729</v>
      </c>
      <c r="S1392" s="9">
        <f>revenue[productCost]*revenue[orderQuantity]</f>
        <v>161.0757852</v>
      </c>
    </row>
    <row r="1393" ht="15.75" customHeight="1">
      <c r="A1393" s="6">
        <v>10776.0</v>
      </c>
      <c r="B1393" s="7" t="s">
        <v>24</v>
      </c>
      <c r="C1393" s="24" t="str">
        <f>VLOOKUP(revenue[customerID],customers[],2,FALSE)</f>
        <v>Ernst Handel</v>
      </c>
      <c r="D1393" s="24" t="str">
        <f>VLOOKUP(revenue[customerID],customers[],6,FALSE)</f>
        <v>Graz</v>
      </c>
      <c r="E1393" s="24" t="str">
        <f>VLOOKUP(revenue[customerID],customers[],9,FALSE)</f>
        <v>Austria</v>
      </c>
      <c r="F1393" s="24">
        <v>45275.0</v>
      </c>
      <c r="G1393" s="6">
        <v>51.0</v>
      </c>
      <c r="H1393" s="9" t="str">
        <f>VLOOKUP(revenue[productID],products[],2,FALSE)</f>
        <v>Manjimup Dried Apples</v>
      </c>
      <c r="I1393" s="9" t="str">
        <f>VLOOKUP(revenue[productID],products[],12,FALSE)</f>
        <v>Produce</v>
      </c>
      <c r="J1393" s="9">
        <f>VLOOKUP(revenue[productID],products[],IF(YEAR(revenue[orderDate])=2022,8,IF(YEAR(revenue[orderDate])=2023,9,IF(YEAR(revenue[orderDate])=2024,10,NA))),FALSE)</f>
        <v>36.88798027</v>
      </c>
      <c r="K1393" s="9">
        <v>53.0</v>
      </c>
      <c r="L1393" s="25">
        <f>(revenue[orderPrice]-revenue[productCost])/revenue[productCost]</f>
        <v>0.4367823779</v>
      </c>
      <c r="M1393" s="10">
        <v>120.0</v>
      </c>
      <c r="N1393" s="25">
        <v>0.05</v>
      </c>
      <c r="O1393" s="9">
        <f>revenue[orderPrice]*revenue[orderQuantity]</f>
        <v>6360</v>
      </c>
      <c r="P1393" s="9">
        <f>revenue[orderTotal]*(1-revenue[discountApllied])</f>
        <v>6042</v>
      </c>
      <c r="Q1393" s="9">
        <f>revenue[revenue]-(revenue[productCost]*revenue[orderQuantity])</f>
        <v>1615.442368</v>
      </c>
      <c r="R1393" s="25">
        <f>IFERROR(revenue[profit]/revenue[revenue], 0)</f>
        <v>0.267368813</v>
      </c>
      <c r="S1393" s="9">
        <f>revenue[productCost]*revenue[orderQuantity]</f>
        <v>4426.557632</v>
      </c>
    </row>
    <row r="1394" ht="15.75" customHeight="1">
      <c r="A1394" s="6">
        <v>10777.0</v>
      </c>
      <c r="B1394" s="7" t="s">
        <v>86</v>
      </c>
      <c r="C1394" s="24" t="str">
        <f>VLOOKUP(revenue[customerID],customers[],2,FALSE)</f>
        <v>Gourmet Lanchonetes</v>
      </c>
      <c r="D1394" s="24" t="str">
        <f>VLOOKUP(revenue[customerID],customers[],6,FALSE)</f>
        <v>Campinas</v>
      </c>
      <c r="E1394" s="24" t="str">
        <f>VLOOKUP(revenue[customerID],customers[],9,FALSE)</f>
        <v>Brazil</v>
      </c>
      <c r="F1394" s="24">
        <v>45275.0</v>
      </c>
      <c r="G1394" s="6">
        <v>42.0</v>
      </c>
      <c r="H1394" s="9" t="str">
        <f>VLOOKUP(revenue[productID],products[],2,FALSE)</f>
        <v>Singaporean Hokkien Fried Mee</v>
      </c>
      <c r="I1394" s="9" t="str">
        <f>VLOOKUP(revenue[productID],products[],12,FALSE)</f>
        <v>Grains/Cereals</v>
      </c>
      <c r="J1394" s="9">
        <f>VLOOKUP(revenue[productID],products[],IF(YEAR(revenue[orderDate])=2022,8,IF(YEAR(revenue[orderDate])=2023,9,IF(YEAR(revenue[orderDate])=2024,10,NA))),FALSE)</f>
        <v>9.105641621</v>
      </c>
      <c r="K1394" s="9">
        <v>14.0</v>
      </c>
      <c r="L1394" s="25">
        <f>(revenue[orderPrice]-revenue[productCost])/revenue[productCost]</f>
        <v>0.5375083474</v>
      </c>
      <c r="M1394" s="10">
        <v>20.0</v>
      </c>
      <c r="N1394" s="25">
        <v>0.2</v>
      </c>
      <c r="O1394" s="9">
        <f>revenue[orderPrice]*revenue[orderQuantity]</f>
        <v>280</v>
      </c>
      <c r="P1394" s="9">
        <f>revenue[orderTotal]*(1-revenue[discountApllied])</f>
        <v>224</v>
      </c>
      <c r="Q1394" s="9">
        <f>revenue[revenue]-(revenue[productCost]*revenue[orderQuantity])</f>
        <v>41.88716758</v>
      </c>
      <c r="R1394" s="25">
        <f>IFERROR(revenue[profit]/revenue[revenue], 0)</f>
        <v>0.1869962839</v>
      </c>
      <c r="S1394" s="9">
        <f>revenue[productCost]*revenue[orderQuantity]</f>
        <v>182.1128324</v>
      </c>
    </row>
    <row r="1395" ht="15.75" customHeight="1">
      <c r="A1395" s="6">
        <v>10778.0</v>
      </c>
      <c r="B1395" s="7" t="s">
        <v>40</v>
      </c>
      <c r="C1395" s="24" t="str">
        <f>VLOOKUP(revenue[customerID],customers[],2,FALSE)</f>
        <v>Berglunds snabbköp</v>
      </c>
      <c r="D1395" s="24" t="str">
        <f>VLOOKUP(revenue[customerID],customers[],6,FALSE)</f>
        <v>Luleå</v>
      </c>
      <c r="E1395" s="24" t="str">
        <f>VLOOKUP(revenue[customerID],customers[],9,FALSE)</f>
        <v>Sweden</v>
      </c>
      <c r="F1395" s="24">
        <v>45276.0</v>
      </c>
      <c r="G1395" s="6">
        <v>41.0</v>
      </c>
      <c r="H1395" s="9" t="str">
        <f>VLOOKUP(revenue[productID],products[],2,FALSE)</f>
        <v>Jack's New England Clam Chowder</v>
      </c>
      <c r="I1395" s="9" t="str">
        <f>VLOOKUP(revenue[productID],products[],12,FALSE)</f>
        <v>Seafood</v>
      </c>
      <c r="J1395" s="9">
        <f>VLOOKUP(revenue[productID],products[],IF(YEAR(revenue[orderDate])=2022,8,IF(YEAR(revenue[orderDate])=2023,9,IF(YEAR(revenue[orderDate])=2024,10,NA))),FALSE)</f>
        <v>6.549914856</v>
      </c>
      <c r="K1395" s="9">
        <v>9.65</v>
      </c>
      <c r="L1395" s="25">
        <f>(revenue[orderPrice]-revenue[productCost])/revenue[productCost]</f>
        <v>0.4733015943</v>
      </c>
      <c r="M1395" s="10">
        <v>10.0</v>
      </c>
      <c r="N1395" s="25">
        <v>0.0</v>
      </c>
      <c r="O1395" s="9">
        <f>revenue[orderPrice]*revenue[orderQuantity]</f>
        <v>96.5</v>
      </c>
      <c r="P1395" s="9">
        <f>revenue[orderTotal]*(1-revenue[discountApllied])</f>
        <v>96.5</v>
      </c>
      <c r="Q1395" s="9">
        <f>revenue[revenue]-(revenue[productCost]*revenue[orderQuantity])</f>
        <v>31.00085144</v>
      </c>
      <c r="R1395" s="25">
        <f>IFERROR(revenue[profit]/revenue[revenue], 0)</f>
        <v>0.3212523465</v>
      </c>
      <c r="S1395" s="9">
        <f>revenue[productCost]*revenue[orderQuantity]</f>
        <v>65.49914856</v>
      </c>
    </row>
    <row r="1396" ht="15.75" customHeight="1">
      <c r="A1396" s="6">
        <v>10779.0</v>
      </c>
      <c r="B1396" s="7" t="s">
        <v>39</v>
      </c>
      <c r="C1396" s="24" t="str">
        <f>VLOOKUP(revenue[customerID],customers[],2,FALSE)</f>
        <v>Morgenstern Gesundkost</v>
      </c>
      <c r="D1396" s="24" t="str">
        <f>VLOOKUP(revenue[customerID],customers[],6,FALSE)</f>
        <v>Leipzig</v>
      </c>
      <c r="E1396" s="24" t="str">
        <f>VLOOKUP(revenue[customerID],customers[],9,FALSE)</f>
        <v>Germany</v>
      </c>
      <c r="F1396" s="24">
        <v>45276.0</v>
      </c>
      <c r="G1396" s="6">
        <v>16.0</v>
      </c>
      <c r="H1396" s="9" t="str">
        <f>VLOOKUP(revenue[productID],products[],2,FALSE)</f>
        <v>Pavlova</v>
      </c>
      <c r="I1396" s="9" t="str">
        <f>VLOOKUP(revenue[productID],products[],12,FALSE)</f>
        <v>Confections</v>
      </c>
      <c r="J1396" s="9">
        <f>VLOOKUP(revenue[productID],products[],IF(YEAR(revenue[orderDate])=2022,8,IF(YEAR(revenue[orderDate])=2023,9,IF(YEAR(revenue[orderDate])=2024,10,NA))),FALSE)</f>
        <v>11.98504839</v>
      </c>
      <c r="K1396" s="9">
        <v>17.45</v>
      </c>
      <c r="L1396" s="25">
        <f>(revenue[orderPrice]-revenue[productCost])/revenue[productCost]</f>
        <v>0.455980771</v>
      </c>
      <c r="M1396" s="10">
        <v>20.0</v>
      </c>
      <c r="N1396" s="25">
        <v>0.0</v>
      </c>
      <c r="O1396" s="9">
        <f>revenue[orderPrice]*revenue[orderQuantity]</f>
        <v>349</v>
      </c>
      <c r="P1396" s="9">
        <f>revenue[orderTotal]*(1-revenue[discountApllied])</f>
        <v>349</v>
      </c>
      <c r="Q1396" s="9">
        <f>revenue[revenue]-(revenue[productCost]*revenue[orderQuantity])</f>
        <v>109.2990321</v>
      </c>
      <c r="R1396" s="25">
        <f>IFERROR(revenue[profit]/revenue[revenue], 0)</f>
        <v>0.3131777425</v>
      </c>
      <c r="S1396" s="9">
        <f>revenue[productCost]*revenue[orderQuantity]</f>
        <v>239.7009679</v>
      </c>
    </row>
    <row r="1397" ht="15.75" customHeight="1">
      <c r="A1397" s="6">
        <v>10779.0</v>
      </c>
      <c r="B1397" s="7" t="s">
        <v>39</v>
      </c>
      <c r="C1397" s="24" t="str">
        <f>VLOOKUP(revenue[customerID],customers[],2,FALSE)</f>
        <v>Morgenstern Gesundkost</v>
      </c>
      <c r="D1397" s="24" t="str">
        <f>VLOOKUP(revenue[customerID],customers[],6,FALSE)</f>
        <v>Leipzig</v>
      </c>
      <c r="E1397" s="24" t="str">
        <f>VLOOKUP(revenue[customerID],customers[],9,FALSE)</f>
        <v>Germany</v>
      </c>
      <c r="F1397" s="24">
        <v>45276.0</v>
      </c>
      <c r="G1397" s="6">
        <v>62.0</v>
      </c>
      <c r="H1397" s="9" t="str">
        <f>VLOOKUP(revenue[productID],products[],2,FALSE)</f>
        <v>Tarte au sucre</v>
      </c>
      <c r="I1397" s="9" t="str">
        <f>VLOOKUP(revenue[productID],products[],12,FALSE)</f>
        <v>Confections</v>
      </c>
      <c r="J1397" s="9">
        <f>VLOOKUP(revenue[productID],products[],IF(YEAR(revenue[orderDate])=2022,8,IF(YEAR(revenue[orderDate])=2023,9,IF(YEAR(revenue[orderDate])=2024,10,NA))),FALSE)</f>
        <v>35.34792781</v>
      </c>
      <c r="K1397" s="9">
        <v>49.3</v>
      </c>
      <c r="L1397" s="25">
        <f>(revenue[orderPrice]-revenue[productCost])/revenue[productCost]</f>
        <v>0.3947069335</v>
      </c>
      <c r="M1397" s="10">
        <v>20.0</v>
      </c>
      <c r="N1397" s="25">
        <v>0.0</v>
      </c>
      <c r="O1397" s="9">
        <f>revenue[orderPrice]*revenue[orderQuantity]</f>
        <v>986</v>
      </c>
      <c r="P1397" s="9">
        <f>revenue[orderTotal]*(1-revenue[discountApllied])</f>
        <v>986</v>
      </c>
      <c r="Q1397" s="9">
        <f>revenue[revenue]-(revenue[productCost]*revenue[orderQuantity])</f>
        <v>279.0414438</v>
      </c>
      <c r="R1397" s="25">
        <f>IFERROR(revenue[profit]/revenue[revenue], 0)</f>
        <v>0.2830034927</v>
      </c>
      <c r="S1397" s="9">
        <f>revenue[productCost]*revenue[orderQuantity]</f>
        <v>706.9585562</v>
      </c>
    </row>
    <row r="1398" ht="15.75" customHeight="1">
      <c r="A1398" s="6">
        <v>10780.0</v>
      </c>
      <c r="B1398" s="7" t="s">
        <v>43</v>
      </c>
      <c r="C1398" s="24" t="str">
        <f>VLOOKUP(revenue[customerID],customers[],2,FALSE)</f>
        <v>LILA-Supermercado</v>
      </c>
      <c r="D1398" s="24" t="str">
        <f>VLOOKUP(revenue[customerID],customers[],6,FALSE)</f>
        <v>Barquisimeto</v>
      </c>
      <c r="E1398" s="24" t="str">
        <f>VLOOKUP(revenue[customerID],customers[],9,FALSE)</f>
        <v>Venezuela</v>
      </c>
      <c r="F1398" s="24">
        <v>45276.0</v>
      </c>
      <c r="G1398" s="6">
        <v>70.0</v>
      </c>
      <c r="H1398" s="9" t="str">
        <f>VLOOKUP(revenue[productID],products[],2,FALSE)</f>
        <v>Outback Lager</v>
      </c>
      <c r="I1398" s="9" t="str">
        <f>VLOOKUP(revenue[productID],products[],12,FALSE)</f>
        <v>Beverages</v>
      </c>
      <c r="J1398" s="9">
        <f>VLOOKUP(revenue[productID],products[],IF(YEAR(revenue[orderDate])=2022,8,IF(YEAR(revenue[orderDate])=2023,9,IF(YEAR(revenue[orderDate])=2024,10,NA))),FALSE)</f>
        <v>9.793094091</v>
      </c>
      <c r="K1398" s="9">
        <v>15.0</v>
      </c>
      <c r="L1398" s="25">
        <f>(revenue[orderPrice]-revenue[productCost])/revenue[productCost]</f>
        <v>0.5316916044</v>
      </c>
      <c r="M1398" s="10">
        <v>35.0</v>
      </c>
      <c r="N1398" s="25">
        <v>0.0</v>
      </c>
      <c r="O1398" s="9">
        <f>revenue[orderPrice]*revenue[orderQuantity]</f>
        <v>525</v>
      </c>
      <c r="P1398" s="9">
        <f>revenue[orderTotal]*(1-revenue[discountApllied])</f>
        <v>525</v>
      </c>
      <c r="Q1398" s="9">
        <f>revenue[revenue]-(revenue[productCost]*revenue[orderQuantity])</f>
        <v>182.2417068</v>
      </c>
      <c r="R1398" s="25">
        <f>IFERROR(revenue[profit]/revenue[revenue], 0)</f>
        <v>0.3471270606</v>
      </c>
      <c r="S1398" s="9">
        <f>revenue[productCost]*revenue[orderQuantity]</f>
        <v>342.7582932</v>
      </c>
    </row>
    <row r="1399" ht="15.75" customHeight="1">
      <c r="A1399" s="6">
        <v>10780.0</v>
      </c>
      <c r="B1399" s="7" t="s">
        <v>43</v>
      </c>
      <c r="C1399" s="24" t="str">
        <f>VLOOKUP(revenue[customerID],customers[],2,FALSE)</f>
        <v>LILA-Supermercado</v>
      </c>
      <c r="D1399" s="24" t="str">
        <f>VLOOKUP(revenue[customerID],customers[],6,FALSE)</f>
        <v>Barquisimeto</v>
      </c>
      <c r="E1399" s="24" t="str">
        <f>VLOOKUP(revenue[customerID],customers[],9,FALSE)</f>
        <v>Venezuela</v>
      </c>
      <c r="F1399" s="24">
        <v>45276.0</v>
      </c>
      <c r="G1399" s="6">
        <v>77.0</v>
      </c>
      <c r="H1399" s="9" t="str">
        <f>VLOOKUP(revenue[productID],products[],2,FALSE)</f>
        <v>Original Frankfurter grüne Soße</v>
      </c>
      <c r="I1399" s="9" t="str">
        <f>VLOOKUP(revenue[productID],products[],12,FALSE)</f>
        <v>Condiments</v>
      </c>
      <c r="J1399" s="9">
        <f>VLOOKUP(revenue[productID],products[],IF(YEAR(revenue[orderDate])=2022,8,IF(YEAR(revenue[orderDate])=2023,9,IF(YEAR(revenue[orderDate])=2024,10,NA))),FALSE)</f>
        <v>7.539056452</v>
      </c>
      <c r="K1399" s="9">
        <v>13.0</v>
      </c>
      <c r="L1399" s="25">
        <f>(revenue[orderPrice]-revenue[productCost])/revenue[productCost]</f>
        <v>0.7243537149</v>
      </c>
      <c r="M1399" s="10">
        <v>15.0</v>
      </c>
      <c r="N1399" s="25">
        <v>0.0</v>
      </c>
      <c r="O1399" s="9">
        <f>revenue[orderPrice]*revenue[orderQuantity]</f>
        <v>195</v>
      </c>
      <c r="P1399" s="9">
        <f>revenue[orderTotal]*(1-revenue[discountApllied])</f>
        <v>195</v>
      </c>
      <c r="Q1399" s="9">
        <f>revenue[revenue]-(revenue[productCost]*revenue[orderQuantity])</f>
        <v>81.91415322</v>
      </c>
      <c r="R1399" s="25">
        <f>IFERROR(revenue[profit]/revenue[revenue], 0)</f>
        <v>0.4200725806</v>
      </c>
      <c r="S1399" s="9">
        <f>revenue[productCost]*revenue[orderQuantity]</f>
        <v>113.0858468</v>
      </c>
    </row>
    <row r="1400" ht="15.75" customHeight="1">
      <c r="A1400" s="6">
        <v>10781.0</v>
      </c>
      <c r="B1400" s="7" t="s">
        <v>31</v>
      </c>
      <c r="C1400" s="24" t="str">
        <f>VLOOKUP(revenue[customerID],customers[],2,FALSE)</f>
        <v>Wartian Herkku</v>
      </c>
      <c r="D1400" s="24" t="str">
        <f>VLOOKUP(revenue[customerID],customers[],6,FALSE)</f>
        <v>Oulu</v>
      </c>
      <c r="E1400" s="24" t="str">
        <f>VLOOKUP(revenue[customerID],customers[],9,FALSE)</f>
        <v>Finland</v>
      </c>
      <c r="F1400" s="24">
        <v>45277.0</v>
      </c>
      <c r="G1400" s="6">
        <v>54.0</v>
      </c>
      <c r="H1400" s="9" t="str">
        <f>VLOOKUP(revenue[productID],products[],2,FALSE)</f>
        <v>Tourtière</v>
      </c>
      <c r="I1400" s="9" t="str">
        <f>VLOOKUP(revenue[productID],products[],12,FALSE)</f>
        <v>Meat/Poultry</v>
      </c>
      <c r="J1400" s="9">
        <f>VLOOKUP(revenue[productID],products[],IF(YEAR(revenue[orderDate])=2022,8,IF(YEAR(revenue[orderDate])=2023,9,IF(YEAR(revenue[orderDate])=2024,10,NA))),FALSE)</f>
        <v>4.924447797</v>
      </c>
      <c r="K1400" s="9">
        <v>7.45</v>
      </c>
      <c r="L1400" s="25">
        <f>(revenue[orderPrice]-revenue[productCost])/revenue[productCost]</f>
        <v>0.5128599808</v>
      </c>
      <c r="M1400" s="10">
        <v>3.0</v>
      </c>
      <c r="N1400" s="25">
        <v>0.2</v>
      </c>
      <c r="O1400" s="9">
        <f>revenue[orderPrice]*revenue[orderQuantity]</f>
        <v>22.35</v>
      </c>
      <c r="P1400" s="9">
        <f>revenue[orderTotal]*(1-revenue[discountApllied])</f>
        <v>17.88</v>
      </c>
      <c r="Q1400" s="9">
        <f>revenue[revenue]-(revenue[productCost]*revenue[orderQuantity])</f>
        <v>3.106656609</v>
      </c>
      <c r="R1400" s="25">
        <f>IFERROR(revenue[profit]/revenue[revenue], 0)</f>
        <v>0.1737503696</v>
      </c>
      <c r="S1400" s="9">
        <f>revenue[productCost]*revenue[orderQuantity]</f>
        <v>14.77334339</v>
      </c>
    </row>
    <row r="1401" ht="15.75" customHeight="1">
      <c r="A1401" s="6">
        <v>10781.0</v>
      </c>
      <c r="B1401" s="7" t="s">
        <v>31</v>
      </c>
      <c r="C1401" s="24" t="str">
        <f>VLOOKUP(revenue[customerID],customers[],2,FALSE)</f>
        <v>Wartian Herkku</v>
      </c>
      <c r="D1401" s="24" t="str">
        <f>VLOOKUP(revenue[customerID],customers[],6,FALSE)</f>
        <v>Oulu</v>
      </c>
      <c r="E1401" s="24" t="str">
        <f>VLOOKUP(revenue[customerID],customers[],9,FALSE)</f>
        <v>Finland</v>
      </c>
      <c r="F1401" s="24">
        <v>45277.0</v>
      </c>
      <c r="G1401" s="6">
        <v>56.0</v>
      </c>
      <c r="H1401" s="9" t="str">
        <f>VLOOKUP(revenue[productID],products[],2,FALSE)</f>
        <v>Gnocchi di nonna Alice</v>
      </c>
      <c r="I1401" s="9" t="str">
        <f>VLOOKUP(revenue[productID],products[],12,FALSE)</f>
        <v>Grains/Cereals</v>
      </c>
      <c r="J1401" s="9">
        <f>VLOOKUP(revenue[productID],products[],IF(YEAR(revenue[orderDate])=2022,8,IF(YEAR(revenue[orderDate])=2023,9,IF(YEAR(revenue[orderDate])=2024,10,NA))),FALSE)</f>
        <v>24.28342441</v>
      </c>
      <c r="K1401" s="9">
        <v>38.0</v>
      </c>
      <c r="L1401" s="25">
        <f>(revenue[orderPrice]-revenue[productCost])/revenue[productCost]</f>
        <v>0.5648534309</v>
      </c>
      <c r="M1401" s="10">
        <v>20.0</v>
      </c>
      <c r="N1401" s="25">
        <v>0.2</v>
      </c>
      <c r="O1401" s="9">
        <f>revenue[orderPrice]*revenue[orderQuantity]</f>
        <v>760</v>
      </c>
      <c r="P1401" s="9">
        <f>revenue[orderTotal]*(1-revenue[discountApllied])</f>
        <v>608</v>
      </c>
      <c r="Q1401" s="9">
        <f>revenue[revenue]-(revenue[productCost]*revenue[orderQuantity])</f>
        <v>122.3315118</v>
      </c>
      <c r="R1401" s="25">
        <f>IFERROR(revenue[profit]/revenue[revenue], 0)</f>
        <v>0.2012031445</v>
      </c>
      <c r="S1401" s="9">
        <f>revenue[productCost]*revenue[orderQuantity]</f>
        <v>485.6684882</v>
      </c>
    </row>
    <row r="1402" ht="15.75" customHeight="1">
      <c r="A1402" s="6">
        <v>10781.0</v>
      </c>
      <c r="B1402" s="7" t="s">
        <v>31</v>
      </c>
      <c r="C1402" s="24" t="str">
        <f>VLOOKUP(revenue[customerID],customers[],2,FALSE)</f>
        <v>Wartian Herkku</v>
      </c>
      <c r="D1402" s="24" t="str">
        <f>VLOOKUP(revenue[customerID],customers[],6,FALSE)</f>
        <v>Oulu</v>
      </c>
      <c r="E1402" s="24" t="str">
        <f>VLOOKUP(revenue[customerID],customers[],9,FALSE)</f>
        <v>Finland</v>
      </c>
      <c r="F1402" s="24">
        <v>45277.0</v>
      </c>
      <c r="G1402" s="6">
        <v>74.0</v>
      </c>
      <c r="H1402" s="9" t="str">
        <f>VLOOKUP(revenue[productID],products[],2,FALSE)</f>
        <v>Longlife Tofu</v>
      </c>
      <c r="I1402" s="9" t="str">
        <f>VLOOKUP(revenue[productID],products[],12,FALSE)</f>
        <v>Produce</v>
      </c>
      <c r="J1402" s="9">
        <f>VLOOKUP(revenue[productID],products[],IF(YEAR(revenue[orderDate])=2022,8,IF(YEAR(revenue[orderDate])=2023,9,IF(YEAR(revenue[orderDate])=2024,10,NA))),FALSE)</f>
        <v>6.510240467</v>
      </c>
      <c r="K1402" s="9">
        <v>10.0</v>
      </c>
      <c r="L1402" s="25">
        <f>(revenue[orderPrice]-revenue[productCost])/revenue[productCost]</f>
        <v>0.5360415719</v>
      </c>
      <c r="M1402" s="10">
        <v>35.0</v>
      </c>
      <c r="N1402" s="25">
        <v>0.0</v>
      </c>
      <c r="O1402" s="9">
        <f>revenue[orderPrice]*revenue[orderQuantity]</f>
        <v>350</v>
      </c>
      <c r="P1402" s="9">
        <f>revenue[orderTotal]*(1-revenue[discountApllied])</f>
        <v>350</v>
      </c>
      <c r="Q1402" s="9">
        <f>revenue[revenue]-(revenue[productCost]*revenue[orderQuantity])</f>
        <v>122.1415837</v>
      </c>
      <c r="R1402" s="25">
        <f>IFERROR(revenue[profit]/revenue[revenue], 0)</f>
        <v>0.3489759533</v>
      </c>
      <c r="S1402" s="9">
        <f>revenue[productCost]*revenue[orderQuantity]</f>
        <v>227.8584163</v>
      </c>
    </row>
    <row r="1403" ht="15.75" customHeight="1">
      <c r="A1403" s="6">
        <v>10782.0</v>
      </c>
      <c r="B1403" s="7" t="s">
        <v>93</v>
      </c>
      <c r="C1403" s="24" t="str">
        <f>VLOOKUP(revenue[customerID],customers[],2,FALSE)</f>
        <v>Cactus Comidas para llevar</v>
      </c>
      <c r="D1403" s="24" t="str">
        <f>VLOOKUP(revenue[customerID],customers[],6,FALSE)</f>
        <v>Buenos Aires</v>
      </c>
      <c r="E1403" s="24" t="str">
        <f>VLOOKUP(revenue[customerID],customers[],9,FALSE)</f>
        <v>Argentina</v>
      </c>
      <c r="F1403" s="24">
        <v>45277.0</v>
      </c>
      <c r="G1403" s="6">
        <v>31.0</v>
      </c>
      <c r="H1403" s="9" t="str">
        <f>VLOOKUP(revenue[productID],products[],2,FALSE)</f>
        <v>Gorgonzola Telino</v>
      </c>
      <c r="I1403" s="9" t="str">
        <f>VLOOKUP(revenue[productID],products[],12,FALSE)</f>
        <v>Dairy Products</v>
      </c>
      <c r="J1403" s="9">
        <f>VLOOKUP(revenue[productID],products[],IF(YEAR(revenue[orderDate])=2022,8,IF(YEAR(revenue[orderDate])=2023,9,IF(YEAR(revenue[orderDate])=2024,10,NA))),FALSE)</f>
        <v>7.937729254</v>
      </c>
      <c r="K1403" s="9">
        <v>12.5</v>
      </c>
      <c r="L1403" s="25">
        <f>(revenue[orderPrice]-revenue[productCost])/revenue[productCost]</f>
        <v>0.5747576668</v>
      </c>
      <c r="M1403" s="10">
        <v>1.0</v>
      </c>
      <c r="N1403" s="25">
        <v>0.0</v>
      </c>
      <c r="O1403" s="9">
        <f>revenue[orderPrice]*revenue[orderQuantity]</f>
        <v>12.5</v>
      </c>
      <c r="P1403" s="9">
        <f>revenue[orderTotal]*(1-revenue[discountApllied])</f>
        <v>12.5</v>
      </c>
      <c r="Q1403" s="9">
        <f>revenue[revenue]-(revenue[productCost]*revenue[orderQuantity])</f>
        <v>4.562270746</v>
      </c>
      <c r="R1403" s="25">
        <f>IFERROR(revenue[profit]/revenue[revenue], 0)</f>
        <v>0.3649816597</v>
      </c>
      <c r="S1403" s="9">
        <f>revenue[productCost]*revenue[orderQuantity]</f>
        <v>7.937729254</v>
      </c>
    </row>
    <row r="1404" ht="15.75" customHeight="1">
      <c r="A1404" s="6">
        <v>10783.0</v>
      </c>
      <c r="B1404" s="7" t="s">
        <v>16</v>
      </c>
      <c r="C1404" s="24" t="str">
        <f>VLOOKUP(revenue[customerID],customers[],2,FALSE)</f>
        <v>Hanari Carnes</v>
      </c>
      <c r="D1404" s="24" t="str">
        <f>VLOOKUP(revenue[customerID],customers[],6,FALSE)</f>
        <v>Rio de Janeiro</v>
      </c>
      <c r="E1404" s="24" t="str">
        <f>VLOOKUP(revenue[customerID],customers[],9,FALSE)</f>
        <v>Brazil</v>
      </c>
      <c r="F1404" s="24">
        <v>45278.0</v>
      </c>
      <c r="G1404" s="6">
        <v>31.0</v>
      </c>
      <c r="H1404" s="9" t="str">
        <f>VLOOKUP(revenue[productID],products[],2,FALSE)</f>
        <v>Gorgonzola Telino</v>
      </c>
      <c r="I1404" s="9" t="str">
        <f>VLOOKUP(revenue[productID],products[],12,FALSE)</f>
        <v>Dairy Products</v>
      </c>
      <c r="J1404" s="9">
        <f>VLOOKUP(revenue[productID],products[],IF(YEAR(revenue[orderDate])=2022,8,IF(YEAR(revenue[orderDate])=2023,9,IF(YEAR(revenue[orderDate])=2024,10,NA))),FALSE)</f>
        <v>7.937729254</v>
      </c>
      <c r="K1404" s="9">
        <v>12.5</v>
      </c>
      <c r="L1404" s="25">
        <f>(revenue[orderPrice]-revenue[productCost])/revenue[productCost]</f>
        <v>0.5747576668</v>
      </c>
      <c r="M1404" s="10">
        <v>10.0</v>
      </c>
      <c r="N1404" s="25">
        <v>0.0</v>
      </c>
      <c r="O1404" s="9">
        <f>revenue[orderPrice]*revenue[orderQuantity]</f>
        <v>125</v>
      </c>
      <c r="P1404" s="9">
        <f>revenue[orderTotal]*(1-revenue[discountApllied])</f>
        <v>125</v>
      </c>
      <c r="Q1404" s="9">
        <f>revenue[revenue]-(revenue[productCost]*revenue[orderQuantity])</f>
        <v>45.62270746</v>
      </c>
      <c r="R1404" s="25">
        <f>IFERROR(revenue[profit]/revenue[revenue], 0)</f>
        <v>0.3649816597</v>
      </c>
      <c r="S1404" s="9">
        <f>revenue[productCost]*revenue[orderQuantity]</f>
        <v>79.37729254</v>
      </c>
    </row>
    <row r="1405" ht="15.75" customHeight="1">
      <c r="A1405" s="6">
        <v>10783.0</v>
      </c>
      <c r="B1405" s="7" t="s">
        <v>16</v>
      </c>
      <c r="C1405" s="24" t="str">
        <f>VLOOKUP(revenue[customerID],customers[],2,FALSE)</f>
        <v>Hanari Carnes</v>
      </c>
      <c r="D1405" s="24" t="str">
        <f>VLOOKUP(revenue[customerID],customers[],6,FALSE)</f>
        <v>Rio de Janeiro</v>
      </c>
      <c r="E1405" s="24" t="str">
        <f>VLOOKUP(revenue[customerID],customers[],9,FALSE)</f>
        <v>Brazil</v>
      </c>
      <c r="F1405" s="24">
        <v>45278.0</v>
      </c>
      <c r="G1405" s="6">
        <v>38.0</v>
      </c>
      <c r="H1405" s="9" t="str">
        <f>VLOOKUP(revenue[productID],products[],2,FALSE)</f>
        <v>Côte de Blaye</v>
      </c>
      <c r="I1405" s="9" t="str">
        <f>VLOOKUP(revenue[productID],products[],12,FALSE)</f>
        <v>Beverages</v>
      </c>
      <c r="J1405" s="9">
        <f>VLOOKUP(revenue[productID],products[],IF(YEAR(revenue[orderDate])=2022,8,IF(YEAR(revenue[orderDate])=2023,9,IF(YEAR(revenue[orderDate])=2024,10,NA))),FALSE)</f>
        <v>175.9515711</v>
      </c>
      <c r="K1405" s="9">
        <v>263.5</v>
      </c>
      <c r="L1405" s="25">
        <f>(revenue[orderPrice]-revenue[productCost])/revenue[productCost]</f>
        <v>0.4975711688</v>
      </c>
      <c r="M1405" s="10">
        <v>5.0</v>
      </c>
      <c r="N1405" s="25">
        <v>0.0</v>
      </c>
      <c r="O1405" s="9">
        <f>revenue[orderPrice]*revenue[orderQuantity]</f>
        <v>1317.5</v>
      </c>
      <c r="P1405" s="9">
        <f>revenue[orderTotal]*(1-revenue[discountApllied])</f>
        <v>1317.5</v>
      </c>
      <c r="Q1405" s="9">
        <f>revenue[revenue]-(revenue[productCost]*revenue[orderQuantity])</f>
        <v>437.7421445</v>
      </c>
      <c r="R1405" s="25">
        <f>IFERROR(revenue[profit]/revenue[revenue], 0)</f>
        <v>0.3322521021</v>
      </c>
      <c r="S1405" s="9">
        <f>revenue[productCost]*revenue[orderQuantity]</f>
        <v>879.7578555</v>
      </c>
    </row>
    <row r="1406" ht="15.75" customHeight="1">
      <c r="A1406" s="6">
        <v>10784.0</v>
      </c>
      <c r="B1406" s="7" t="s">
        <v>37</v>
      </c>
      <c r="C1406" s="24" t="str">
        <f>VLOOKUP(revenue[customerID],customers[],2,FALSE)</f>
        <v>Magazzini Alimentari Riuniti</v>
      </c>
      <c r="D1406" s="24" t="str">
        <f>VLOOKUP(revenue[customerID],customers[],6,FALSE)</f>
        <v>Bergamo</v>
      </c>
      <c r="E1406" s="24" t="str">
        <f>VLOOKUP(revenue[customerID],customers[],9,FALSE)</f>
        <v>Italy</v>
      </c>
      <c r="F1406" s="24">
        <v>45278.0</v>
      </c>
      <c r="G1406" s="6">
        <v>36.0</v>
      </c>
      <c r="H1406" s="9" t="str">
        <f>VLOOKUP(revenue[productID],products[],2,FALSE)</f>
        <v>Inlagd Sill</v>
      </c>
      <c r="I1406" s="9" t="str">
        <f>VLOOKUP(revenue[productID],products[],12,FALSE)</f>
        <v>Seafood</v>
      </c>
      <c r="J1406" s="9">
        <f>VLOOKUP(revenue[productID],products[],IF(YEAR(revenue[orderDate])=2022,8,IF(YEAR(revenue[orderDate])=2023,9,IF(YEAR(revenue[orderDate])=2024,10,NA))),FALSE)</f>
        <v>12.15246269</v>
      </c>
      <c r="K1406" s="9">
        <v>19.0</v>
      </c>
      <c r="L1406" s="25">
        <f>(revenue[orderPrice]-revenue[productCost])/revenue[productCost]</f>
        <v>0.5634691082</v>
      </c>
      <c r="M1406" s="10">
        <v>30.0</v>
      </c>
      <c r="N1406" s="25">
        <v>0.0</v>
      </c>
      <c r="O1406" s="9">
        <f>revenue[orderPrice]*revenue[orderQuantity]</f>
        <v>570</v>
      </c>
      <c r="P1406" s="9">
        <f>revenue[orderTotal]*(1-revenue[discountApllied])</f>
        <v>570</v>
      </c>
      <c r="Q1406" s="9">
        <f>revenue[revenue]-(revenue[productCost]*revenue[orderQuantity])</f>
        <v>205.4261194</v>
      </c>
      <c r="R1406" s="25">
        <f>IFERROR(revenue[profit]/revenue[revenue], 0)</f>
        <v>0.3603967007</v>
      </c>
      <c r="S1406" s="9">
        <f>revenue[productCost]*revenue[orderQuantity]</f>
        <v>364.5738806</v>
      </c>
    </row>
    <row r="1407" ht="15.75" customHeight="1">
      <c r="A1407" s="6">
        <v>10784.0</v>
      </c>
      <c r="B1407" s="7" t="s">
        <v>37</v>
      </c>
      <c r="C1407" s="24" t="str">
        <f>VLOOKUP(revenue[customerID],customers[],2,FALSE)</f>
        <v>Magazzini Alimentari Riuniti</v>
      </c>
      <c r="D1407" s="24" t="str">
        <f>VLOOKUP(revenue[customerID],customers[],6,FALSE)</f>
        <v>Bergamo</v>
      </c>
      <c r="E1407" s="24" t="str">
        <f>VLOOKUP(revenue[customerID],customers[],9,FALSE)</f>
        <v>Italy</v>
      </c>
      <c r="F1407" s="24">
        <v>45278.0</v>
      </c>
      <c r="G1407" s="6">
        <v>39.0</v>
      </c>
      <c r="H1407" s="9" t="str">
        <f>VLOOKUP(revenue[productID],products[],2,FALSE)</f>
        <v>Chartreuse verte</v>
      </c>
      <c r="I1407" s="9" t="str">
        <f>VLOOKUP(revenue[productID],products[],12,FALSE)</f>
        <v>Beverages</v>
      </c>
      <c r="J1407" s="9">
        <f>VLOOKUP(revenue[productID],products[],IF(YEAR(revenue[orderDate])=2022,8,IF(YEAR(revenue[orderDate])=2023,9,IF(YEAR(revenue[orderDate])=2024,10,NA))),FALSE)</f>
        <v>11.73311441</v>
      </c>
      <c r="K1407" s="9">
        <v>18.0</v>
      </c>
      <c r="L1407" s="25">
        <f>(revenue[orderPrice]-revenue[productCost])/revenue[productCost]</f>
        <v>0.5341195326</v>
      </c>
      <c r="M1407" s="10">
        <v>2.0</v>
      </c>
      <c r="N1407" s="25">
        <v>0.15</v>
      </c>
      <c r="O1407" s="9">
        <f>revenue[orderPrice]*revenue[orderQuantity]</f>
        <v>36</v>
      </c>
      <c r="P1407" s="9">
        <f>revenue[orderTotal]*(1-revenue[discountApllied])</f>
        <v>30.6</v>
      </c>
      <c r="Q1407" s="9">
        <f>revenue[revenue]-(revenue[productCost]*revenue[orderQuantity])</f>
        <v>7.133771174</v>
      </c>
      <c r="R1407" s="25">
        <f>IFERROR(revenue[profit]/revenue[revenue], 0)</f>
        <v>0.2331297769</v>
      </c>
      <c r="S1407" s="9">
        <f>revenue[productCost]*revenue[orderQuantity]</f>
        <v>23.46622883</v>
      </c>
    </row>
    <row r="1408" ht="15.75" customHeight="1">
      <c r="A1408" s="6">
        <v>10784.0</v>
      </c>
      <c r="B1408" s="7" t="s">
        <v>37</v>
      </c>
      <c r="C1408" s="24" t="str">
        <f>VLOOKUP(revenue[customerID],customers[],2,FALSE)</f>
        <v>Magazzini Alimentari Riuniti</v>
      </c>
      <c r="D1408" s="24" t="str">
        <f>VLOOKUP(revenue[customerID],customers[],6,FALSE)</f>
        <v>Bergamo</v>
      </c>
      <c r="E1408" s="24" t="str">
        <f>VLOOKUP(revenue[customerID],customers[],9,FALSE)</f>
        <v>Italy</v>
      </c>
      <c r="F1408" s="24">
        <v>45278.0</v>
      </c>
      <c r="G1408" s="6">
        <v>72.0</v>
      </c>
      <c r="H1408" s="9" t="str">
        <f>VLOOKUP(revenue[productID],products[],2,FALSE)</f>
        <v>Mozzarella di Giovanni</v>
      </c>
      <c r="I1408" s="9" t="str">
        <f>VLOOKUP(revenue[productID],products[],12,FALSE)</f>
        <v>Dairy Products</v>
      </c>
      <c r="J1408" s="9">
        <f>VLOOKUP(revenue[productID],products[],IF(YEAR(revenue[orderDate])=2022,8,IF(YEAR(revenue[orderDate])=2023,9,IF(YEAR(revenue[orderDate])=2024,10,NA))),FALSE)</f>
        <v>23.51933768</v>
      </c>
      <c r="K1408" s="9">
        <v>34.8</v>
      </c>
      <c r="L1408" s="25">
        <f>(revenue[orderPrice]-revenue[productCost])/revenue[productCost]</f>
        <v>0.4796335031</v>
      </c>
      <c r="M1408" s="10">
        <v>30.0</v>
      </c>
      <c r="N1408" s="25">
        <v>0.15</v>
      </c>
      <c r="O1408" s="9">
        <f>revenue[orderPrice]*revenue[orderQuantity]</f>
        <v>1044</v>
      </c>
      <c r="P1408" s="9">
        <f>revenue[orderTotal]*(1-revenue[discountApllied])</f>
        <v>887.4</v>
      </c>
      <c r="Q1408" s="9">
        <f>revenue[revenue]-(revenue[productCost]*revenue[orderQuantity])</f>
        <v>181.8198696</v>
      </c>
      <c r="R1408" s="25">
        <f>IFERROR(revenue[profit]/revenue[revenue], 0)</f>
        <v>0.204890545</v>
      </c>
      <c r="S1408" s="9">
        <f>revenue[productCost]*revenue[orderQuantity]</f>
        <v>705.5801304</v>
      </c>
    </row>
    <row r="1409" ht="15.75" customHeight="1">
      <c r="A1409" s="6">
        <v>10785.0</v>
      </c>
      <c r="B1409" s="7" t="s">
        <v>33</v>
      </c>
      <c r="C1409" s="24" t="str">
        <f>VLOOKUP(revenue[customerID],customers[],2,FALSE)</f>
        <v>GROSELLA-Restaurante</v>
      </c>
      <c r="D1409" s="24" t="str">
        <f>VLOOKUP(revenue[customerID],customers[],6,FALSE)</f>
        <v>Caracas</v>
      </c>
      <c r="E1409" s="24" t="str">
        <f>VLOOKUP(revenue[customerID],customers[],9,FALSE)</f>
        <v>Venezuela</v>
      </c>
      <c r="F1409" s="24">
        <v>45278.0</v>
      </c>
      <c r="G1409" s="6">
        <v>10.0</v>
      </c>
      <c r="H1409" s="9" t="str">
        <f>VLOOKUP(revenue[productID],products[],2,FALSE)</f>
        <v>Ikura</v>
      </c>
      <c r="I1409" s="9" t="str">
        <f>VLOOKUP(revenue[productID],products[],12,FALSE)</f>
        <v>Seafood</v>
      </c>
      <c r="J1409" s="9">
        <f>VLOOKUP(revenue[productID],products[],IF(YEAR(revenue[orderDate])=2022,8,IF(YEAR(revenue[orderDate])=2023,9,IF(YEAR(revenue[orderDate])=2024,10,NA))),FALSE)</f>
        <v>20.72721922</v>
      </c>
      <c r="K1409" s="9">
        <v>31.0</v>
      </c>
      <c r="L1409" s="25">
        <f>(revenue[orderPrice]-revenue[productCost])/revenue[productCost]</f>
        <v>0.4956178962</v>
      </c>
      <c r="M1409" s="10">
        <v>10.0</v>
      </c>
      <c r="N1409" s="25">
        <v>0.0</v>
      </c>
      <c r="O1409" s="9">
        <f>revenue[orderPrice]*revenue[orderQuantity]</f>
        <v>310</v>
      </c>
      <c r="P1409" s="9">
        <f>revenue[orderTotal]*(1-revenue[discountApllied])</f>
        <v>310</v>
      </c>
      <c r="Q1409" s="9">
        <f>revenue[revenue]-(revenue[productCost]*revenue[orderQuantity])</f>
        <v>102.7278078</v>
      </c>
      <c r="R1409" s="25">
        <f>IFERROR(revenue[profit]/revenue[revenue], 0)</f>
        <v>0.3313800252</v>
      </c>
      <c r="S1409" s="9">
        <f>revenue[productCost]*revenue[orderQuantity]</f>
        <v>207.2721922</v>
      </c>
    </row>
    <row r="1410" ht="15.75" customHeight="1">
      <c r="A1410" s="6">
        <v>10785.0</v>
      </c>
      <c r="B1410" s="7" t="s">
        <v>33</v>
      </c>
      <c r="C1410" s="24" t="str">
        <f>VLOOKUP(revenue[customerID],customers[],2,FALSE)</f>
        <v>GROSELLA-Restaurante</v>
      </c>
      <c r="D1410" s="24" t="str">
        <f>VLOOKUP(revenue[customerID],customers[],6,FALSE)</f>
        <v>Caracas</v>
      </c>
      <c r="E1410" s="24" t="str">
        <f>VLOOKUP(revenue[customerID],customers[],9,FALSE)</f>
        <v>Venezuela</v>
      </c>
      <c r="F1410" s="24">
        <v>45278.0</v>
      </c>
      <c r="G1410" s="6">
        <v>75.0</v>
      </c>
      <c r="H1410" s="9" t="str">
        <f>VLOOKUP(revenue[productID],products[],2,FALSE)</f>
        <v>Rhönbräu Klosterbier</v>
      </c>
      <c r="I1410" s="9" t="str">
        <f>VLOOKUP(revenue[productID],products[],12,FALSE)</f>
        <v>Beverages</v>
      </c>
      <c r="J1410" s="9">
        <f>VLOOKUP(revenue[productID],products[],IF(YEAR(revenue[orderDate])=2022,8,IF(YEAR(revenue[orderDate])=2023,9,IF(YEAR(revenue[orderDate])=2024,10,NA))),FALSE)</f>
        <v>5.355290472</v>
      </c>
      <c r="K1410" s="9">
        <v>7.75</v>
      </c>
      <c r="L1410" s="25">
        <f>(revenue[orderPrice]-revenue[productCost])/revenue[productCost]</f>
        <v>0.4471670661</v>
      </c>
      <c r="M1410" s="10">
        <v>10.0</v>
      </c>
      <c r="N1410" s="25">
        <v>0.0</v>
      </c>
      <c r="O1410" s="9">
        <f>revenue[orderPrice]*revenue[orderQuantity]</f>
        <v>77.5</v>
      </c>
      <c r="P1410" s="9">
        <f>revenue[orderTotal]*(1-revenue[discountApllied])</f>
        <v>77.5</v>
      </c>
      <c r="Q1410" s="9">
        <f>revenue[revenue]-(revenue[productCost]*revenue[orderQuantity])</f>
        <v>23.94709528</v>
      </c>
      <c r="R1410" s="25">
        <f>IFERROR(revenue[profit]/revenue[revenue], 0)</f>
        <v>0.3089947778</v>
      </c>
      <c r="S1410" s="9">
        <f>revenue[productCost]*revenue[orderQuantity]</f>
        <v>53.55290472</v>
      </c>
    </row>
    <row r="1411" ht="15.75" customHeight="1">
      <c r="A1411" s="6">
        <v>10786.0</v>
      </c>
      <c r="B1411" s="7" t="s">
        <v>77</v>
      </c>
      <c r="C1411" s="24" t="str">
        <f>VLOOKUP(revenue[customerID],customers[],2,FALSE)</f>
        <v>Queen Cozinha</v>
      </c>
      <c r="D1411" s="24" t="str">
        <f>VLOOKUP(revenue[customerID],customers[],6,FALSE)</f>
        <v>Sao Paulo</v>
      </c>
      <c r="E1411" s="24" t="str">
        <f>VLOOKUP(revenue[customerID],customers[],9,FALSE)</f>
        <v>Brazil</v>
      </c>
      <c r="F1411" s="24">
        <v>45279.0</v>
      </c>
      <c r="G1411" s="6">
        <v>8.0</v>
      </c>
      <c r="H1411" s="9" t="str">
        <f>VLOOKUP(revenue[productID],products[],2,FALSE)</f>
        <v>Northwoods Cranberry Sauce</v>
      </c>
      <c r="I1411" s="9" t="str">
        <f>VLOOKUP(revenue[productID],products[],12,FALSE)</f>
        <v>Condiments</v>
      </c>
      <c r="J1411" s="9">
        <f>VLOOKUP(revenue[productID],products[],IF(YEAR(revenue[orderDate])=2022,8,IF(YEAR(revenue[orderDate])=2023,9,IF(YEAR(revenue[orderDate])=2024,10,NA))),FALSE)</f>
        <v>26.10620486</v>
      </c>
      <c r="K1411" s="9">
        <v>40.0</v>
      </c>
      <c r="L1411" s="25">
        <f>(revenue[orderPrice]-revenue[productCost])/revenue[productCost]</f>
        <v>0.5322027928</v>
      </c>
      <c r="M1411" s="10">
        <v>30.0</v>
      </c>
      <c r="N1411" s="25">
        <v>0.2</v>
      </c>
      <c r="O1411" s="9">
        <f>revenue[orderPrice]*revenue[orderQuantity]</f>
        <v>1200</v>
      </c>
      <c r="P1411" s="9">
        <f>revenue[orderTotal]*(1-revenue[discountApllied])</f>
        <v>960</v>
      </c>
      <c r="Q1411" s="9">
        <f>revenue[revenue]-(revenue[productCost]*revenue[orderQuantity])</f>
        <v>176.8138541</v>
      </c>
      <c r="R1411" s="25">
        <f>IFERROR(revenue[profit]/revenue[revenue], 0)</f>
        <v>0.184181098</v>
      </c>
      <c r="S1411" s="9">
        <f>revenue[productCost]*revenue[orderQuantity]</f>
        <v>783.1861459</v>
      </c>
    </row>
    <row r="1412" ht="15.75" customHeight="1">
      <c r="A1412" s="6">
        <v>10786.0</v>
      </c>
      <c r="B1412" s="7" t="s">
        <v>77</v>
      </c>
      <c r="C1412" s="24" t="str">
        <f>VLOOKUP(revenue[customerID],customers[],2,FALSE)</f>
        <v>Queen Cozinha</v>
      </c>
      <c r="D1412" s="24" t="str">
        <f>VLOOKUP(revenue[customerID],customers[],6,FALSE)</f>
        <v>Sao Paulo</v>
      </c>
      <c r="E1412" s="24" t="str">
        <f>VLOOKUP(revenue[customerID],customers[],9,FALSE)</f>
        <v>Brazil</v>
      </c>
      <c r="F1412" s="24">
        <v>45279.0</v>
      </c>
      <c r="G1412" s="6">
        <v>30.0</v>
      </c>
      <c r="H1412" s="9" t="str">
        <f>VLOOKUP(revenue[productID],products[],2,FALSE)</f>
        <v>Nord-Ost Matjeshering</v>
      </c>
      <c r="I1412" s="9" t="str">
        <f>VLOOKUP(revenue[productID],products[],12,FALSE)</f>
        <v>Seafood</v>
      </c>
      <c r="J1412" s="9">
        <f>VLOOKUP(revenue[productID],products[],IF(YEAR(revenue[orderDate])=2022,8,IF(YEAR(revenue[orderDate])=2023,9,IF(YEAR(revenue[orderDate])=2024,10,NA))),FALSE)</f>
        <v>16.03885249</v>
      </c>
      <c r="K1412" s="9">
        <v>25.89</v>
      </c>
      <c r="L1412" s="25">
        <f>(revenue[orderPrice]-revenue[productCost])/revenue[productCost]</f>
        <v>0.6142052564</v>
      </c>
      <c r="M1412" s="10">
        <v>15.0</v>
      </c>
      <c r="N1412" s="25">
        <v>0.2</v>
      </c>
      <c r="O1412" s="9">
        <f>revenue[orderPrice]*revenue[orderQuantity]</f>
        <v>388.35</v>
      </c>
      <c r="P1412" s="9">
        <f>revenue[orderTotal]*(1-revenue[discountApllied])</f>
        <v>310.68</v>
      </c>
      <c r="Q1412" s="9">
        <f>revenue[revenue]-(revenue[productCost]*revenue[orderQuantity])</f>
        <v>70.09721261</v>
      </c>
      <c r="R1412" s="25">
        <f>IFERROR(revenue[profit]/revenue[revenue], 0)</f>
        <v>0.2256251211</v>
      </c>
      <c r="S1412" s="9">
        <f>revenue[productCost]*revenue[orderQuantity]</f>
        <v>240.5827874</v>
      </c>
    </row>
    <row r="1413" ht="15.75" customHeight="1">
      <c r="A1413" s="6">
        <v>10786.0</v>
      </c>
      <c r="B1413" s="7" t="s">
        <v>77</v>
      </c>
      <c r="C1413" s="24" t="str">
        <f>VLOOKUP(revenue[customerID],customers[],2,FALSE)</f>
        <v>Queen Cozinha</v>
      </c>
      <c r="D1413" s="24" t="str">
        <f>VLOOKUP(revenue[customerID],customers[],6,FALSE)</f>
        <v>Sao Paulo</v>
      </c>
      <c r="E1413" s="24" t="str">
        <f>VLOOKUP(revenue[customerID],customers[],9,FALSE)</f>
        <v>Brazil</v>
      </c>
      <c r="F1413" s="24">
        <v>45279.0</v>
      </c>
      <c r="G1413" s="6">
        <v>75.0</v>
      </c>
      <c r="H1413" s="9" t="str">
        <f>VLOOKUP(revenue[productID],products[],2,FALSE)</f>
        <v>Rhönbräu Klosterbier</v>
      </c>
      <c r="I1413" s="9" t="str">
        <f>VLOOKUP(revenue[productID],products[],12,FALSE)</f>
        <v>Beverages</v>
      </c>
      <c r="J1413" s="9">
        <f>VLOOKUP(revenue[productID],products[],IF(YEAR(revenue[orderDate])=2022,8,IF(YEAR(revenue[orderDate])=2023,9,IF(YEAR(revenue[orderDate])=2024,10,NA))),FALSE)</f>
        <v>5.355290472</v>
      </c>
      <c r="K1413" s="9">
        <v>7.75</v>
      </c>
      <c r="L1413" s="25">
        <f>(revenue[orderPrice]-revenue[productCost])/revenue[productCost]</f>
        <v>0.4471670661</v>
      </c>
      <c r="M1413" s="10">
        <v>42.0</v>
      </c>
      <c r="N1413" s="25">
        <v>0.2</v>
      </c>
      <c r="O1413" s="9">
        <f>revenue[orderPrice]*revenue[orderQuantity]</f>
        <v>325.5</v>
      </c>
      <c r="P1413" s="9">
        <f>revenue[orderTotal]*(1-revenue[discountApllied])</f>
        <v>260.4</v>
      </c>
      <c r="Q1413" s="9">
        <f>revenue[revenue]-(revenue[productCost]*revenue[orderQuantity])</f>
        <v>35.47780019</v>
      </c>
      <c r="R1413" s="25">
        <f>IFERROR(revenue[profit]/revenue[revenue], 0)</f>
        <v>0.1362434723</v>
      </c>
      <c r="S1413" s="9">
        <f>revenue[productCost]*revenue[orderQuantity]</f>
        <v>224.9221998</v>
      </c>
    </row>
    <row r="1414" ht="15.75" customHeight="1">
      <c r="A1414" s="6">
        <v>10787.0</v>
      </c>
      <c r="B1414" s="7" t="s">
        <v>68</v>
      </c>
      <c r="C1414" s="24" t="str">
        <f>VLOOKUP(revenue[customerID],customers[],2,FALSE)</f>
        <v>La maison d'Asie</v>
      </c>
      <c r="D1414" s="24" t="str">
        <f>VLOOKUP(revenue[customerID],customers[],6,FALSE)</f>
        <v>Toulouse</v>
      </c>
      <c r="E1414" s="24" t="str">
        <f>VLOOKUP(revenue[customerID],customers[],9,FALSE)</f>
        <v>France</v>
      </c>
      <c r="F1414" s="24">
        <v>45279.0</v>
      </c>
      <c r="G1414" s="6">
        <v>2.0</v>
      </c>
      <c r="H1414" s="9" t="str">
        <f>VLOOKUP(revenue[productID],products[],2,FALSE)</f>
        <v>Chang</v>
      </c>
      <c r="I1414" s="9" t="str">
        <f>VLOOKUP(revenue[productID],products[],12,FALSE)</f>
        <v>Beverages</v>
      </c>
      <c r="J1414" s="9">
        <f>VLOOKUP(revenue[productID],products[],IF(YEAR(revenue[orderDate])=2022,8,IF(YEAR(revenue[orderDate])=2023,9,IF(YEAR(revenue[orderDate])=2024,10,NA))),FALSE)</f>
        <v>12.14626904</v>
      </c>
      <c r="K1414" s="9">
        <v>19.0</v>
      </c>
      <c r="L1414" s="25">
        <f>(revenue[orderPrice]-revenue[productCost])/revenue[productCost]</f>
        <v>0.5642663547</v>
      </c>
      <c r="M1414" s="10">
        <v>15.0</v>
      </c>
      <c r="N1414" s="25">
        <v>0.05</v>
      </c>
      <c r="O1414" s="9">
        <f>revenue[orderPrice]*revenue[orderQuantity]</f>
        <v>285</v>
      </c>
      <c r="P1414" s="9">
        <f>revenue[orderTotal]*(1-revenue[discountApllied])</f>
        <v>270.75</v>
      </c>
      <c r="Q1414" s="9">
        <f>revenue[revenue]-(revenue[productCost]*revenue[orderQuantity])</f>
        <v>88.55596434</v>
      </c>
      <c r="R1414" s="25">
        <f>IFERROR(revenue[profit]/revenue[revenue], 0)</f>
        <v>0.3270765073</v>
      </c>
      <c r="S1414" s="9">
        <f>revenue[productCost]*revenue[orderQuantity]</f>
        <v>182.1940357</v>
      </c>
    </row>
    <row r="1415" ht="15.75" customHeight="1">
      <c r="A1415" s="6">
        <v>10787.0</v>
      </c>
      <c r="B1415" s="7" t="s">
        <v>68</v>
      </c>
      <c r="C1415" s="24" t="str">
        <f>VLOOKUP(revenue[customerID],customers[],2,FALSE)</f>
        <v>La maison d'Asie</v>
      </c>
      <c r="D1415" s="24" t="str">
        <f>VLOOKUP(revenue[customerID],customers[],6,FALSE)</f>
        <v>Toulouse</v>
      </c>
      <c r="E1415" s="24" t="str">
        <f>VLOOKUP(revenue[customerID],customers[],9,FALSE)</f>
        <v>France</v>
      </c>
      <c r="F1415" s="24">
        <v>45279.0</v>
      </c>
      <c r="G1415" s="6">
        <v>29.0</v>
      </c>
      <c r="H1415" s="9" t="str">
        <f>VLOOKUP(revenue[productID],products[],2,FALSE)</f>
        <v>Thüringer Rostbratwurst</v>
      </c>
      <c r="I1415" s="9" t="str">
        <f>VLOOKUP(revenue[productID],products[],12,FALSE)</f>
        <v>Meat/Poultry</v>
      </c>
      <c r="J1415" s="9">
        <f>VLOOKUP(revenue[productID],products[],IF(YEAR(revenue[orderDate])=2022,8,IF(YEAR(revenue[orderDate])=2023,9,IF(YEAR(revenue[orderDate])=2024,10,NA))),FALSE)</f>
        <v>80.85619497</v>
      </c>
      <c r="K1415" s="9">
        <v>123.79</v>
      </c>
      <c r="L1415" s="25">
        <f>(revenue[orderPrice]-revenue[productCost])/revenue[productCost]</f>
        <v>0.5309896792</v>
      </c>
      <c r="M1415" s="10">
        <v>20.0</v>
      </c>
      <c r="N1415" s="25">
        <v>0.05</v>
      </c>
      <c r="O1415" s="9">
        <f>revenue[orderPrice]*revenue[orderQuantity]</f>
        <v>2475.8</v>
      </c>
      <c r="P1415" s="9">
        <f>revenue[orderTotal]*(1-revenue[discountApllied])</f>
        <v>2352.01</v>
      </c>
      <c r="Q1415" s="9">
        <f>revenue[revenue]-(revenue[productCost]*revenue[orderQuantity])</f>
        <v>734.8861006</v>
      </c>
      <c r="R1415" s="25">
        <f>IFERROR(revenue[profit]/revenue[revenue], 0)</f>
        <v>0.3124502449</v>
      </c>
      <c r="S1415" s="9">
        <f>revenue[productCost]*revenue[orderQuantity]</f>
        <v>1617.123899</v>
      </c>
    </row>
    <row r="1416" ht="15.75" customHeight="1">
      <c r="A1416" s="6">
        <v>10788.0</v>
      </c>
      <c r="B1416" s="7" t="s">
        <v>36</v>
      </c>
      <c r="C1416" s="24" t="str">
        <f>VLOOKUP(revenue[customerID],customers[],2,FALSE)</f>
        <v>QUICK-Stop</v>
      </c>
      <c r="D1416" s="24" t="str">
        <f>VLOOKUP(revenue[customerID],customers[],6,FALSE)</f>
        <v>Cunewalde</v>
      </c>
      <c r="E1416" s="24" t="str">
        <f>VLOOKUP(revenue[customerID],customers[],9,FALSE)</f>
        <v>Germany</v>
      </c>
      <c r="F1416" s="24">
        <v>45282.0</v>
      </c>
      <c r="G1416" s="6">
        <v>19.0</v>
      </c>
      <c r="H1416" s="9" t="str">
        <f>VLOOKUP(revenue[productID],products[],2,FALSE)</f>
        <v>Teatime Chocolate Biscuits</v>
      </c>
      <c r="I1416" s="9" t="str">
        <f>VLOOKUP(revenue[productID],products[],12,FALSE)</f>
        <v>Confections</v>
      </c>
      <c r="J1416" s="9">
        <f>VLOOKUP(revenue[productID],products[],IF(YEAR(revenue[orderDate])=2022,8,IF(YEAR(revenue[orderDate])=2023,9,IF(YEAR(revenue[orderDate])=2024,10,NA))),FALSE)</f>
        <v>5.901883682</v>
      </c>
      <c r="K1416" s="9">
        <v>9.2</v>
      </c>
      <c r="L1416" s="25">
        <f>(revenue[orderPrice]-revenue[productCost])/revenue[productCost]</f>
        <v>0.5588243508</v>
      </c>
      <c r="M1416" s="10">
        <v>50.0</v>
      </c>
      <c r="N1416" s="25">
        <v>0.05</v>
      </c>
      <c r="O1416" s="9">
        <f>revenue[orderPrice]*revenue[orderQuantity]</f>
        <v>460</v>
      </c>
      <c r="P1416" s="9">
        <f>revenue[orderTotal]*(1-revenue[discountApllied])</f>
        <v>437</v>
      </c>
      <c r="Q1416" s="9">
        <f>revenue[revenue]-(revenue[productCost]*revenue[orderQuantity])</f>
        <v>141.9058159</v>
      </c>
      <c r="R1416" s="25">
        <f>IFERROR(revenue[profit]/revenue[revenue], 0)</f>
        <v>0.3247272675</v>
      </c>
      <c r="S1416" s="9">
        <f>revenue[productCost]*revenue[orderQuantity]</f>
        <v>295.0941841</v>
      </c>
    </row>
    <row r="1417" ht="15.75" customHeight="1">
      <c r="A1417" s="6">
        <v>10788.0</v>
      </c>
      <c r="B1417" s="7" t="s">
        <v>36</v>
      </c>
      <c r="C1417" s="24" t="str">
        <f>VLOOKUP(revenue[customerID],customers[],2,FALSE)</f>
        <v>QUICK-Stop</v>
      </c>
      <c r="D1417" s="24" t="str">
        <f>VLOOKUP(revenue[customerID],customers[],6,FALSE)</f>
        <v>Cunewalde</v>
      </c>
      <c r="E1417" s="24" t="str">
        <f>VLOOKUP(revenue[customerID],customers[],9,FALSE)</f>
        <v>Germany</v>
      </c>
      <c r="F1417" s="24">
        <v>45282.0</v>
      </c>
      <c r="G1417" s="6">
        <v>75.0</v>
      </c>
      <c r="H1417" s="9" t="str">
        <f>VLOOKUP(revenue[productID],products[],2,FALSE)</f>
        <v>Rhönbräu Klosterbier</v>
      </c>
      <c r="I1417" s="9" t="str">
        <f>VLOOKUP(revenue[productID],products[],12,FALSE)</f>
        <v>Beverages</v>
      </c>
      <c r="J1417" s="9">
        <f>VLOOKUP(revenue[productID],products[],IF(YEAR(revenue[orderDate])=2022,8,IF(YEAR(revenue[orderDate])=2023,9,IF(YEAR(revenue[orderDate])=2024,10,NA))),FALSE)</f>
        <v>5.355290472</v>
      </c>
      <c r="K1417" s="9">
        <v>7.75</v>
      </c>
      <c r="L1417" s="25">
        <f>(revenue[orderPrice]-revenue[productCost])/revenue[productCost]</f>
        <v>0.4471670661</v>
      </c>
      <c r="M1417" s="10">
        <v>40.0</v>
      </c>
      <c r="N1417" s="25">
        <v>0.05</v>
      </c>
      <c r="O1417" s="9">
        <f>revenue[orderPrice]*revenue[orderQuantity]</f>
        <v>310</v>
      </c>
      <c r="P1417" s="9">
        <f>revenue[orderTotal]*(1-revenue[discountApllied])</f>
        <v>294.5</v>
      </c>
      <c r="Q1417" s="9">
        <f>revenue[revenue]-(revenue[productCost]*revenue[orderQuantity])</f>
        <v>80.28838113</v>
      </c>
      <c r="R1417" s="25">
        <f>IFERROR(revenue[profit]/revenue[revenue], 0)</f>
        <v>0.2726260819</v>
      </c>
      <c r="S1417" s="9">
        <f>revenue[productCost]*revenue[orderQuantity]</f>
        <v>214.2116189</v>
      </c>
    </row>
    <row r="1418" ht="15.75" customHeight="1">
      <c r="A1418" s="6">
        <v>10789.0</v>
      </c>
      <c r="B1418" s="7" t="s">
        <v>83</v>
      </c>
      <c r="C1418" s="24" t="str">
        <f>VLOOKUP(revenue[customerID],customers[],2,FALSE)</f>
        <v>Folies gourmandes</v>
      </c>
      <c r="D1418" s="24" t="str">
        <f>VLOOKUP(revenue[customerID],customers[],6,FALSE)</f>
        <v>Lille</v>
      </c>
      <c r="E1418" s="24" t="str">
        <f>VLOOKUP(revenue[customerID],customers[],9,FALSE)</f>
        <v>France</v>
      </c>
      <c r="F1418" s="24">
        <v>45282.0</v>
      </c>
      <c r="G1418" s="6">
        <v>18.0</v>
      </c>
      <c r="H1418" s="9" t="str">
        <f>VLOOKUP(revenue[productID],products[],2,FALSE)</f>
        <v>Carnarvon Tigers</v>
      </c>
      <c r="I1418" s="9" t="str">
        <f>VLOOKUP(revenue[productID],products[],12,FALSE)</f>
        <v>Seafood</v>
      </c>
      <c r="J1418" s="9">
        <f>VLOOKUP(revenue[productID],products[],IF(YEAR(revenue[orderDate])=2022,8,IF(YEAR(revenue[orderDate])=2023,9,IF(YEAR(revenue[orderDate])=2024,10,NA))),FALSE)</f>
        <v>39.51966651</v>
      </c>
      <c r="K1418" s="9">
        <v>62.5</v>
      </c>
      <c r="L1418" s="25">
        <f>(revenue[orderPrice]-revenue[productCost])/revenue[productCost]</f>
        <v>0.5814910784</v>
      </c>
      <c r="M1418" s="10">
        <v>30.0</v>
      </c>
      <c r="N1418" s="25">
        <v>0.0</v>
      </c>
      <c r="O1418" s="9">
        <f>revenue[orderPrice]*revenue[orderQuantity]</f>
        <v>1875</v>
      </c>
      <c r="P1418" s="9">
        <f>revenue[orderTotal]*(1-revenue[discountApllied])</f>
        <v>1875</v>
      </c>
      <c r="Q1418" s="9">
        <f>revenue[revenue]-(revenue[productCost]*revenue[orderQuantity])</f>
        <v>689.4100048</v>
      </c>
      <c r="R1418" s="25">
        <f>IFERROR(revenue[profit]/revenue[revenue], 0)</f>
        <v>0.3676853359</v>
      </c>
      <c r="S1418" s="9">
        <f>revenue[productCost]*revenue[orderQuantity]</f>
        <v>1185.589995</v>
      </c>
    </row>
    <row r="1419" ht="15.75" customHeight="1">
      <c r="A1419" s="6">
        <v>10789.0</v>
      </c>
      <c r="B1419" s="7" t="s">
        <v>83</v>
      </c>
      <c r="C1419" s="24" t="str">
        <f>VLOOKUP(revenue[customerID],customers[],2,FALSE)</f>
        <v>Folies gourmandes</v>
      </c>
      <c r="D1419" s="24" t="str">
        <f>VLOOKUP(revenue[customerID],customers[],6,FALSE)</f>
        <v>Lille</v>
      </c>
      <c r="E1419" s="24" t="str">
        <f>VLOOKUP(revenue[customerID],customers[],9,FALSE)</f>
        <v>France</v>
      </c>
      <c r="F1419" s="24">
        <v>45282.0</v>
      </c>
      <c r="G1419" s="6">
        <v>35.0</v>
      </c>
      <c r="H1419" s="9" t="str">
        <f>VLOOKUP(revenue[productID],products[],2,FALSE)</f>
        <v>Cold Brew Nitro</v>
      </c>
      <c r="I1419" s="9" t="str">
        <f>VLOOKUP(revenue[productID],products[],12,FALSE)</f>
        <v>Beverages</v>
      </c>
      <c r="J1419" s="9">
        <f>VLOOKUP(revenue[productID],products[],IF(YEAR(revenue[orderDate])=2022,8,IF(YEAR(revenue[orderDate])=2023,9,IF(YEAR(revenue[orderDate])=2024,10,NA))),FALSE)</f>
        <v>11.7602531</v>
      </c>
      <c r="K1419" s="9">
        <v>18.0</v>
      </c>
      <c r="L1419" s="25">
        <f>(revenue[orderPrice]-revenue[productCost])/revenue[productCost]</f>
        <v>0.5305793033</v>
      </c>
      <c r="M1419" s="10">
        <v>15.0</v>
      </c>
      <c r="N1419" s="25">
        <v>0.0</v>
      </c>
      <c r="O1419" s="9">
        <f>revenue[orderPrice]*revenue[orderQuantity]</f>
        <v>270</v>
      </c>
      <c r="P1419" s="9">
        <f>revenue[orderTotal]*(1-revenue[discountApllied])</f>
        <v>270</v>
      </c>
      <c r="Q1419" s="9">
        <f>revenue[revenue]-(revenue[productCost]*revenue[orderQuantity])</f>
        <v>93.59620346</v>
      </c>
      <c r="R1419" s="25">
        <f>IFERROR(revenue[profit]/revenue[revenue], 0)</f>
        <v>0.3466526054</v>
      </c>
      <c r="S1419" s="9">
        <f>revenue[productCost]*revenue[orderQuantity]</f>
        <v>176.4037965</v>
      </c>
    </row>
    <row r="1420" ht="15.75" customHeight="1">
      <c r="A1420" s="6">
        <v>10789.0</v>
      </c>
      <c r="B1420" s="7" t="s">
        <v>83</v>
      </c>
      <c r="C1420" s="24" t="str">
        <f>VLOOKUP(revenue[customerID],customers[],2,FALSE)</f>
        <v>Folies gourmandes</v>
      </c>
      <c r="D1420" s="24" t="str">
        <f>VLOOKUP(revenue[customerID],customers[],6,FALSE)</f>
        <v>Lille</v>
      </c>
      <c r="E1420" s="24" t="str">
        <f>VLOOKUP(revenue[customerID],customers[],9,FALSE)</f>
        <v>France</v>
      </c>
      <c r="F1420" s="24">
        <v>45282.0</v>
      </c>
      <c r="G1420" s="6">
        <v>63.0</v>
      </c>
      <c r="H1420" s="9" t="str">
        <f>VLOOKUP(revenue[productID],products[],2,FALSE)</f>
        <v>Vegie-spread</v>
      </c>
      <c r="I1420" s="9" t="str">
        <f>VLOOKUP(revenue[productID],products[],12,FALSE)</f>
        <v>Condiments</v>
      </c>
      <c r="J1420" s="9">
        <f>VLOOKUP(revenue[productID],products[],IF(YEAR(revenue[orderDate])=2022,8,IF(YEAR(revenue[orderDate])=2023,9,IF(YEAR(revenue[orderDate])=2024,10,NA))),FALSE)</f>
        <v>27.72225706</v>
      </c>
      <c r="K1420" s="9">
        <v>43.9</v>
      </c>
      <c r="L1420" s="25">
        <f>(revenue[orderPrice]-revenue[productCost])/revenue[productCost]</f>
        <v>0.5835651445</v>
      </c>
      <c r="M1420" s="10">
        <v>30.0</v>
      </c>
      <c r="N1420" s="25">
        <v>0.0</v>
      </c>
      <c r="O1420" s="9">
        <f>revenue[orderPrice]*revenue[orderQuantity]</f>
        <v>1317</v>
      </c>
      <c r="P1420" s="9">
        <f>revenue[orderTotal]*(1-revenue[discountApllied])</f>
        <v>1317</v>
      </c>
      <c r="Q1420" s="9">
        <f>revenue[revenue]-(revenue[productCost]*revenue[orderQuantity])</f>
        <v>485.3322883</v>
      </c>
      <c r="R1420" s="25">
        <f>IFERROR(revenue[profit]/revenue[revenue], 0)</f>
        <v>0.3685135067</v>
      </c>
      <c r="S1420" s="9">
        <f>revenue[productCost]*revenue[orderQuantity]</f>
        <v>831.6677117</v>
      </c>
    </row>
    <row r="1421" ht="15.75" customHeight="1">
      <c r="A1421" s="6">
        <v>10789.0</v>
      </c>
      <c r="B1421" s="7" t="s">
        <v>83</v>
      </c>
      <c r="C1421" s="24" t="str">
        <f>VLOOKUP(revenue[customerID],customers[],2,FALSE)</f>
        <v>Folies gourmandes</v>
      </c>
      <c r="D1421" s="24" t="str">
        <f>VLOOKUP(revenue[customerID],customers[],6,FALSE)</f>
        <v>Lille</v>
      </c>
      <c r="E1421" s="24" t="str">
        <f>VLOOKUP(revenue[customerID],customers[],9,FALSE)</f>
        <v>France</v>
      </c>
      <c r="F1421" s="24">
        <v>45282.0</v>
      </c>
      <c r="G1421" s="6">
        <v>68.0</v>
      </c>
      <c r="H1421" s="9" t="str">
        <f>VLOOKUP(revenue[productID],products[],2,FALSE)</f>
        <v>Scottish Longbreads</v>
      </c>
      <c r="I1421" s="9" t="str">
        <f>VLOOKUP(revenue[productID],products[],12,FALSE)</f>
        <v>Confections</v>
      </c>
      <c r="J1421" s="9">
        <f>VLOOKUP(revenue[productID],products[],IF(YEAR(revenue[orderDate])=2022,8,IF(YEAR(revenue[orderDate])=2023,9,IF(YEAR(revenue[orderDate])=2024,10,NA))),FALSE)</f>
        <v>8.500000387</v>
      </c>
      <c r="K1421" s="9">
        <v>12.5</v>
      </c>
      <c r="L1421" s="25">
        <f>(revenue[orderPrice]-revenue[productCost])/revenue[productCost]</f>
        <v>0.4705881684</v>
      </c>
      <c r="M1421" s="10">
        <v>18.0</v>
      </c>
      <c r="N1421" s="25">
        <v>0.0</v>
      </c>
      <c r="O1421" s="9">
        <f>revenue[orderPrice]*revenue[orderQuantity]</f>
        <v>225</v>
      </c>
      <c r="P1421" s="9">
        <f>revenue[orderTotal]*(1-revenue[discountApllied])</f>
        <v>225</v>
      </c>
      <c r="Q1421" s="9">
        <f>revenue[revenue]-(revenue[productCost]*revenue[orderQuantity])</f>
        <v>71.99999304</v>
      </c>
      <c r="R1421" s="25">
        <f>IFERROR(revenue[profit]/revenue[revenue], 0)</f>
        <v>0.3199999691</v>
      </c>
      <c r="S1421" s="9">
        <f>revenue[productCost]*revenue[orderQuantity]</f>
        <v>153.000007</v>
      </c>
    </row>
    <row r="1422" ht="15.75" customHeight="1">
      <c r="A1422" s="6">
        <v>10790.0</v>
      </c>
      <c r="B1422" s="7" t="s">
        <v>86</v>
      </c>
      <c r="C1422" s="24" t="str">
        <f>VLOOKUP(revenue[customerID],customers[],2,FALSE)</f>
        <v>Gourmet Lanchonetes</v>
      </c>
      <c r="D1422" s="24" t="str">
        <f>VLOOKUP(revenue[customerID],customers[],6,FALSE)</f>
        <v>Campinas</v>
      </c>
      <c r="E1422" s="24" t="str">
        <f>VLOOKUP(revenue[customerID],customers[],9,FALSE)</f>
        <v>Brazil</v>
      </c>
      <c r="F1422" s="24">
        <v>45282.0</v>
      </c>
      <c r="G1422" s="6">
        <v>7.0</v>
      </c>
      <c r="H1422" s="9" t="str">
        <f>VLOOKUP(revenue[productID],products[],2,FALSE)</f>
        <v>Uncle Bob's Organic Dried Pears</v>
      </c>
      <c r="I1422" s="9" t="str">
        <f>VLOOKUP(revenue[productID],products[],12,FALSE)</f>
        <v>Produce</v>
      </c>
      <c r="J1422" s="9">
        <f>VLOOKUP(revenue[productID],products[],IF(YEAR(revenue[orderDate])=2022,8,IF(YEAR(revenue[orderDate])=2023,9,IF(YEAR(revenue[orderDate])=2024,10,NA))),FALSE)</f>
        <v>21.39244625</v>
      </c>
      <c r="K1422" s="9">
        <v>30.0</v>
      </c>
      <c r="L1422" s="25">
        <f>(revenue[orderPrice]-revenue[productCost])/revenue[productCost]</f>
        <v>0.4023641636</v>
      </c>
      <c r="M1422" s="10">
        <v>3.0</v>
      </c>
      <c r="N1422" s="25">
        <v>0.15</v>
      </c>
      <c r="O1422" s="9">
        <f>revenue[orderPrice]*revenue[orderQuantity]</f>
        <v>90</v>
      </c>
      <c r="P1422" s="9">
        <f>revenue[orderTotal]*(1-revenue[discountApllied])</f>
        <v>76.5</v>
      </c>
      <c r="Q1422" s="9">
        <f>revenue[revenue]-(revenue[productCost]*revenue[orderQuantity])</f>
        <v>12.32266124</v>
      </c>
      <c r="R1422" s="25">
        <f>IFERROR(revenue[profit]/revenue[revenue], 0)</f>
        <v>0.161080539</v>
      </c>
      <c r="S1422" s="9">
        <f>revenue[productCost]*revenue[orderQuantity]</f>
        <v>64.17733876</v>
      </c>
    </row>
    <row r="1423" ht="15.75" customHeight="1">
      <c r="A1423" s="6">
        <v>10790.0</v>
      </c>
      <c r="B1423" s="7" t="s">
        <v>86</v>
      </c>
      <c r="C1423" s="24" t="str">
        <f>VLOOKUP(revenue[customerID],customers[],2,FALSE)</f>
        <v>Gourmet Lanchonetes</v>
      </c>
      <c r="D1423" s="24" t="str">
        <f>VLOOKUP(revenue[customerID],customers[],6,FALSE)</f>
        <v>Campinas</v>
      </c>
      <c r="E1423" s="24" t="str">
        <f>VLOOKUP(revenue[customerID],customers[],9,FALSE)</f>
        <v>Brazil</v>
      </c>
      <c r="F1423" s="24">
        <v>45282.0</v>
      </c>
      <c r="G1423" s="6">
        <v>56.0</v>
      </c>
      <c r="H1423" s="9" t="str">
        <f>VLOOKUP(revenue[productID],products[],2,FALSE)</f>
        <v>Gnocchi di nonna Alice</v>
      </c>
      <c r="I1423" s="9" t="str">
        <f>VLOOKUP(revenue[productID],products[],12,FALSE)</f>
        <v>Grains/Cereals</v>
      </c>
      <c r="J1423" s="9">
        <f>VLOOKUP(revenue[productID],products[],IF(YEAR(revenue[orderDate])=2022,8,IF(YEAR(revenue[orderDate])=2023,9,IF(YEAR(revenue[orderDate])=2024,10,NA))),FALSE)</f>
        <v>24.28342441</v>
      </c>
      <c r="K1423" s="9">
        <v>38.0</v>
      </c>
      <c r="L1423" s="25">
        <f>(revenue[orderPrice]-revenue[productCost])/revenue[productCost]</f>
        <v>0.5648534309</v>
      </c>
      <c r="M1423" s="10">
        <v>20.0</v>
      </c>
      <c r="N1423" s="25">
        <v>0.15</v>
      </c>
      <c r="O1423" s="9">
        <f>revenue[orderPrice]*revenue[orderQuantity]</f>
        <v>760</v>
      </c>
      <c r="P1423" s="9">
        <f>revenue[orderTotal]*(1-revenue[discountApllied])</f>
        <v>646</v>
      </c>
      <c r="Q1423" s="9">
        <f>revenue[revenue]-(revenue[productCost]*revenue[orderQuantity])</f>
        <v>160.3315118</v>
      </c>
      <c r="R1423" s="25">
        <f>IFERROR(revenue[profit]/revenue[revenue], 0)</f>
        <v>0.2481911948</v>
      </c>
      <c r="S1423" s="9">
        <f>revenue[productCost]*revenue[orderQuantity]</f>
        <v>485.6684882</v>
      </c>
    </row>
    <row r="1424" ht="15.75" customHeight="1">
      <c r="A1424" s="6">
        <v>10791.0</v>
      </c>
      <c r="B1424" s="7" t="s">
        <v>32</v>
      </c>
      <c r="C1424" s="24" t="str">
        <f>VLOOKUP(revenue[customerID],customers[],2,FALSE)</f>
        <v>Frankenversand</v>
      </c>
      <c r="D1424" s="24" t="str">
        <f>VLOOKUP(revenue[customerID],customers[],6,FALSE)</f>
        <v>München</v>
      </c>
      <c r="E1424" s="24" t="str">
        <f>VLOOKUP(revenue[customerID],customers[],9,FALSE)</f>
        <v>Germany</v>
      </c>
      <c r="F1424" s="24">
        <v>45283.0</v>
      </c>
      <c r="G1424" s="6">
        <v>29.0</v>
      </c>
      <c r="H1424" s="9" t="str">
        <f>VLOOKUP(revenue[productID],products[],2,FALSE)</f>
        <v>Thüringer Rostbratwurst</v>
      </c>
      <c r="I1424" s="9" t="str">
        <f>VLOOKUP(revenue[productID],products[],12,FALSE)</f>
        <v>Meat/Poultry</v>
      </c>
      <c r="J1424" s="9">
        <f>VLOOKUP(revenue[productID],products[],IF(YEAR(revenue[orderDate])=2022,8,IF(YEAR(revenue[orderDate])=2023,9,IF(YEAR(revenue[orderDate])=2024,10,NA))),FALSE)</f>
        <v>80.85619497</v>
      </c>
      <c r="K1424" s="9">
        <v>123.79</v>
      </c>
      <c r="L1424" s="25">
        <f>(revenue[orderPrice]-revenue[productCost])/revenue[productCost]</f>
        <v>0.5309896792</v>
      </c>
      <c r="M1424" s="10">
        <v>14.0</v>
      </c>
      <c r="N1424" s="25">
        <v>0.05</v>
      </c>
      <c r="O1424" s="9">
        <f>revenue[orderPrice]*revenue[orderQuantity]</f>
        <v>1733.06</v>
      </c>
      <c r="P1424" s="9">
        <f>revenue[orderTotal]*(1-revenue[discountApllied])</f>
        <v>1646.407</v>
      </c>
      <c r="Q1424" s="9">
        <f>revenue[revenue]-(revenue[productCost]*revenue[orderQuantity])</f>
        <v>514.4202704</v>
      </c>
      <c r="R1424" s="25">
        <f>IFERROR(revenue[profit]/revenue[revenue], 0)</f>
        <v>0.3124502449</v>
      </c>
      <c r="S1424" s="9">
        <f>revenue[productCost]*revenue[orderQuantity]</f>
        <v>1131.98673</v>
      </c>
    </row>
    <row r="1425" ht="15.75" customHeight="1">
      <c r="A1425" s="6">
        <v>10791.0</v>
      </c>
      <c r="B1425" s="7" t="s">
        <v>32</v>
      </c>
      <c r="C1425" s="24" t="str">
        <f>VLOOKUP(revenue[customerID],customers[],2,FALSE)</f>
        <v>Frankenversand</v>
      </c>
      <c r="D1425" s="24" t="str">
        <f>VLOOKUP(revenue[customerID],customers[],6,FALSE)</f>
        <v>München</v>
      </c>
      <c r="E1425" s="24" t="str">
        <f>VLOOKUP(revenue[customerID],customers[],9,FALSE)</f>
        <v>Germany</v>
      </c>
      <c r="F1425" s="24">
        <v>45283.0</v>
      </c>
      <c r="G1425" s="6">
        <v>41.0</v>
      </c>
      <c r="H1425" s="9" t="str">
        <f>VLOOKUP(revenue[productID],products[],2,FALSE)</f>
        <v>Jack's New England Clam Chowder</v>
      </c>
      <c r="I1425" s="9" t="str">
        <f>VLOOKUP(revenue[productID],products[],12,FALSE)</f>
        <v>Seafood</v>
      </c>
      <c r="J1425" s="9">
        <f>VLOOKUP(revenue[productID],products[],IF(YEAR(revenue[orderDate])=2022,8,IF(YEAR(revenue[orderDate])=2023,9,IF(YEAR(revenue[orderDate])=2024,10,NA))),FALSE)</f>
        <v>6.549914856</v>
      </c>
      <c r="K1425" s="9">
        <v>9.65</v>
      </c>
      <c r="L1425" s="25">
        <f>(revenue[orderPrice]-revenue[productCost])/revenue[productCost]</f>
        <v>0.4733015943</v>
      </c>
      <c r="M1425" s="10">
        <v>20.0</v>
      </c>
      <c r="N1425" s="25">
        <v>0.05</v>
      </c>
      <c r="O1425" s="9">
        <f>revenue[orderPrice]*revenue[orderQuantity]</f>
        <v>193</v>
      </c>
      <c r="P1425" s="9">
        <f>revenue[orderTotal]*(1-revenue[discountApllied])</f>
        <v>183.35</v>
      </c>
      <c r="Q1425" s="9">
        <f>revenue[revenue]-(revenue[productCost]*revenue[orderQuantity])</f>
        <v>52.35170288</v>
      </c>
      <c r="R1425" s="25">
        <f>IFERROR(revenue[profit]/revenue[revenue], 0)</f>
        <v>0.2855287858</v>
      </c>
      <c r="S1425" s="9">
        <f>revenue[productCost]*revenue[orderQuantity]</f>
        <v>130.9982971</v>
      </c>
    </row>
    <row r="1426" ht="15.75" customHeight="1">
      <c r="A1426" s="6">
        <v>10792.0</v>
      </c>
      <c r="B1426" s="7" t="s">
        <v>78</v>
      </c>
      <c r="C1426" s="24" t="str">
        <f>VLOOKUP(revenue[customerID],customers[],2,FALSE)</f>
        <v>Wolski  Zajazd</v>
      </c>
      <c r="D1426" s="24" t="str">
        <f>VLOOKUP(revenue[customerID],customers[],6,FALSE)</f>
        <v>Warszawa</v>
      </c>
      <c r="E1426" s="24" t="str">
        <f>VLOOKUP(revenue[customerID],customers[],9,FALSE)</f>
        <v>Poland</v>
      </c>
      <c r="F1426" s="24">
        <v>45283.0</v>
      </c>
      <c r="G1426" s="6">
        <v>2.0</v>
      </c>
      <c r="H1426" s="9" t="str">
        <f>VLOOKUP(revenue[productID],products[],2,FALSE)</f>
        <v>Chang</v>
      </c>
      <c r="I1426" s="9" t="str">
        <f>VLOOKUP(revenue[productID],products[],12,FALSE)</f>
        <v>Beverages</v>
      </c>
      <c r="J1426" s="9">
        <f>VLOOKUP(revenue[productID],products[],IF(YEAR(revenue[orderDate])=2022,8,IF(YEAR(revenue[orderDate])=2023,9,IF(YEAR(revenue[orderDate])=2024,10,NA))),FALSE)</f>
        <v>12.14626904</v>
      </c>
      <c r="K1426" s="9">
        <v>19.0</v>
      </c>
      <c r="L1426" s="25">
        <f>(revenue[orderPrice]-revenue[productCost])/revenue[productCost]</f>
        <v>0.5642663547</v>
      </c>
      <c r="M1426" s="10">
        <v>10.0</v>
      </c>
      <c r="N1426" s="25">
        <v>0.0</v>
      </c>
      <c r="O1426" s="9">
        <f>revenue[orderPrice]*revenue[orderQuantity]</f>
        <v>190</v>
      </c>
      <c r="P1426" s="9">
        <f>revenue[orderTotal]*(1-revenue[discountApllied])</f>
        <v>190</v>
      </c>
      <c r="Q1426" s="9">
        <f>revenue[revenue]-(revenue[productCost]*revenue[orderQuantity])</f>
        <v>68.53730956</v>
      </c>
      <c r="R1426" s="25">
        <f>IFERROR(revenue[profit]/revenue[revenue], 0)</f>
        <v>0.3607226819</v>
      </c>
      <c r="S1426" s="9">
        <f>revenue[productCost]*revenue[orderQuantity]</f>
        <v>121.4626904</v>
      </c>
    </row>
    <row r="1427" ht="15.75" customHeight="1">
      <c r="A1427" s="6">
        <v>10792.0</v>
      </c>
      <c r="B1427" s="7" t="s">
        <v>78</v>
      </c>
      <c r="C1427" s="24" t="str">
        <f>VLOOKUP(revenue[customerID],customers[],2,FALSE)</f>
        <v>Wolski  Zajazd</v>
      </c>
      <c r="D1427" s="24" t="str">
        <f>VLOOKUP(revenue[customerID],customers[],6,FALSE)</f>
        <v>Warszawa</v>
      </c>
      <c r="E1427" s="24" t="str">
        <f>VLOOKUP(revenue[customerID],customers[],9,FALSE)</f>
        <v>Poland</v>
      </c>
      <c r="F1427" s="24">
        <v>45283.0</v>
      </c>
      <c r="G1427" s="6">
        <v>54.0</v>
      </c>
      <c r="H1427" s="9" t="str">
        <f>VLOOKUP(revenue[productID],products[],2,FALSE)</f>
        <v>Tourtière</v>
      </c>
      <c r="I1427" s="9" t="str">
        <f>VLOOKUP(revenue[productID],products[],12,FALSE)</f>
        <v>Meat/Poultry</v>
      </c>
      <c r="J1427" s="9">
        <f>VLOOKUP(revenue[productID],products[],IF(YEAR(revenue[orderDate])=2022,8,IF(YEAR(revenue[orderDate])=2023,9,IF(YEAR(revenue[orderDate])=2024,10,NA))),FALSE)</f>
        <v>4.924447797</v>
      </c>
      <c r="K1427" s="9">
        <v>7.45</v>
      </c>
      <c r="L1427" s="25">
        <f>(revenue[orderPrice]-revenue[productCost])/revenue[productCost]</f>
        <v>0.5128599808</v>
      </c>
      <c r="M1427" s="10">
        <v>3.0</v>
      </c>
      <c r="N1427" s="25">
        <v>0.0</v>
      </c>
      <c r="O1427" s="9">
        <f>revenue[orderPrice]*revenue[orderQuantity]</f>
        <v>22.35</v>
      </c>
      <c r="P1427" s="9">
        <f>revenue[orderTotal]*(1-revenue[discountApllied])</f>
        <v>22.35</v>
      </c>
      <c r="Q1427" s="9">
        <f>revenue[revenue]-(revenue[productCost]*revenue[orderQuantity])</f>
        <v>7.576656609</v>
      </c>
      <c r="R1427" s="25">
        <f>IFERROR(revenue[profit]/revenue[revenue], 0)</f>
        <v>0.3390002957</v>
      </c>
      <c r="S1427" s="9">
        <f>revenue[productCost]*revenue[orderQuantity]</f>
        <v>14.77334339</v>
      </c>
    </row>
    <row r="1428" ht="15.75" customHeight="1">
      <c r="A1428" s="6">
        <v>10792.0</v>
      </c>
      <c r="B1428" s="7" t="s">
        <v>78</v>
      </c>
      <c r="C1428" s="24" t="str">
        <f>VLOOKUP(revenue[customerID],customers[],2,FALSE)</f>
        <v>Wolski  Zajazd</v>
      </c>
      <c r="D1428" s="24" t="str">
        <f>VLOOKUP(revenue[customerID],customers[],6,FALSE)</f>
        <v>Warszawa</v>
      </c>
      <c r="E1428" s="24" t="str">
        <f>VLOOKUP(revenue[customerID],customers[],9,FALSE)</f>
        <v>Poland</v>
      </c>
      <c r="F1428" s="24">
        <v>45283.0</v>
      </c>
      <c r="G1428" s="6">
        <v>68.0</v>
      </c>
      <c r="H1428" s="9" t="str">
        <f>VLOOKUP(revenue[productID],products[],2,FALSE)</f>
        <v>Scottish Longbreads</v>
      </c>
      <c r="I1428" s="9" t="str">
        <f>VLOOKUP(revenue[productID],products[],12,FALSE)</f>
        <v>Confections</v>
      </c>
      <c r="J1428" s="9">
        <f>VLOOKUP(revenue[productID],products[],IF(YEAR(revenue[orderDate])=2022,8,IF(YEAR(revenue[orderDate])=2023,9,IF(YEAR(revenue[orderDate])=2024,10,NA))),FALSE)</f>
        <v>8.500000387</v>
      </c>
      <c r="K1428" s="9">
        <v>12.5</v>
      </c>
      <c r="L1428" s="25">
        <f>(revenue[orderPrice]-revenue[productCost])/revenue[productCost]</f>
        <v>0.4705881684</v>
      </c>
      <c r="M1428" s="10">
        <v>15.0</v>
      </c>
      <c r="N1428" s="25">
        <v>0.0</v>
      </c>
      <c r="O1428" s="9">
        <f>revenue[orderPrice]*revenue[orderQuantity]</f>
        <v>187.5</v>
      </c>
      <c r="P1428" s="9">
        <f>revenue[orderTotal]*(1-revenue[discountApllied])</f>
        <v>187.5</v>
      </c>
      <c r="Q1428" s="9">
        <f>revenue[revenue]-(revenue[productCost]*revenue[orderQuantity])</f>
        <v>59.9999942</v>
      </c>
      <c r="R1428" s="25">
        <f>IFERROR(revenue[profit]/revenue[revenue], 0)</f>
        <v>0.3199999691</v>
      </c>
      <c r="S1428" s="9">
        <f>revenue[productCost]*revenue[orderQuantity]</f>
        <v>127.5000058</v>
      </c>
    </row>
    <row r="1429" ht="15.75" customHeight="1">
      <c r="A1429" s="6">
        <v>10793.0</v>
      </c>
      <c r="B1429" s="7" t="s">
        <v>70</v>
      </c>
      <c r="C1429" s="24" t="str">
        <f>VLOOKUP(revenue[customerID],customers[],2,FALSE)</f>
        <v>Around the Horn</v>
      </c>
      <c r="D1429" s="24" t="str">
        <f>VLOOKUP(revenue[customerID],customers[],6,FALSE)</f>
        <v>London</v>
      </c>
      <c r="E1429" s="24" t="str">
        <f>VLOOKUP(revenue[customerID],customers[],9,FALSE)</f>
        <v>UK</v>
      </c>
      <c r="F1429" s="24">
        <v>45284.0</v>
      </c>
      <c r="G1429" s="6">
        <v>41.0</v>
      </c>
      <c r="H1429" s="9" t="str">
        <f>VLOOKUP(revenue[productID],products[],2,FALSE)</f>
        <v>Jack's New England Clam Chowder</v>
      </c>
      <c r="I1429" s="9" t="str">
        <f>VLOOKUP(revenue[productID],products[],12,FALSE)</f>
        <v>Seafood</v>
      </c>
      <c r="J1429" s="9">
        <f>VLOOKUP(revenue[productID],products[],IF(YEAR(revenue[orderDate])=2022,8,IF(YEAR(revenue[orderDate])=2023,9,IF(YEAR(revenue[orderDate])=2024,10,NA))),FALSE)</f>
        <v>6.549914856</v>
      </c>
      <c r="K1429" s="9">
        <v>9.65</v>
      </c>
      <c r="L1429" s="25">
        <f>(revenue[orderPrice]-revenue[productCost])/revenue[productCost]</f>
        <v>0.4733015943</v>
      </c>
      <c r="M1429" s="10">
        <v>14.0</v>
      </c>
      <c r="N1429" s="25">
        <v>0.0</v>
      </c>
      <c r="O1429" s="9">
        <f>revenue[orderPrice]*revenue[orderQuantity]</f>
        <v>135.1</v>
      </c>
      <c r="P1429" s="9">
        <f>revenue[orderTotal]*(1-revenue[discountApllied])</f>
        <v>135.1</v>
      </c>
      <c r="Q1429" s="9">
        <f>revenue[revenue]-(revenue[productCost]*revenue[orderQuantity])</f>
        <v>43.40119202</v>
      </c>
      <c r="R1429" s="25">
        <f>IFERROR(revenue[profit]/revenue[revenue], 0)</f>
        <v>0.3212523465</v>
      </c>
      <c r="S1429" s="9">
        <f>revenue[productCost]*revenue[orderQuantity]</f>
        <v>91.69880798</v>
      </c>
    </row>
    <row r="1430" ht="15.75" customHeight="1">
      <c r="A1430" s="6">
        <v>10793.0</v>
      </c>
      <c r="B1430" s="7" t="s">
        <v>70</v>
      </c>
      <c r="C1430" s="24" t="str">
        <f>VLOOKUP(revenue[customerID],customers[],2,FALSE)</f>
        <v>Around the Horn</v>
      </c>
      <c r="D1430" s="24" t="str">
        <f>VLOOKUP(revenue[customerID],customers[],6,FALSE)</f>
        <v>London</v>
      </c>
      <c r="E1430" s="24" t="str">
        <f>VLOOKUP(revenue[customerID],customers[],9,FALSE)</f>
        <v>UK</v>
      </c>
      <c r="F1430" s="24">
        <v>45284.0</v>
      </c>
      <c r="G1430" s="6">
        <v>52.0</v>
      </c>
      <c r="H1430" s="9" t="str">
        <f>VLOOKUP(revenue[productID],products[],2,FALSE)</f>
        <v>Filo Mix</v>
      </c>
      <c r="I1430" s="9" t="str">
        <f>VLOOKUP(revenue[productID],products[],12,FALSE)</f>
        <v>Grains/Cereals</v>
      </c>
      <c r="J1430" s="9">
        <f>VLOOKUP(revenue[productID],products[],IF(YEAR(revenue[orderDate])=2022,8,IF(YEAR(revenue[orderDate])=2023,9,IF(YEAR(revenue[orderDate])=2024,10,NA))),FALSE)</f>
        <v>5.001706713</v>
      </c>
      <c r="K1430" s="9">
        <v>7.0</v>
      </c>
      <c r="L1430" s="25">
        <f>(revenue[orderPrice]-revenue[productCost])/revenue[productCost]</f>
        <v>0.3995222835</v>
      </c>
      <c r="M1430" s="10">
        <v>8.0</v>
      </c>
      <c r="N1430" s="25">
        <v>0.0</v>
      </c>
      <c r="O1430" s="9">
        <f>revenue[orderPrice]*revenue[orderQuantity]</f>
        <v>56</v>
      </c>
      <c r="P1430" s="9">
        <f>revenue[orderTotal]*(1-revenue[discountApllied])</f>
        <v>56</v>
      </c>
      <c r="Q1430" s="9">
        <f>revenue[revenue]-(revenue[productCost]*revenue[orderQuantity])</f>
        <v>15.9863463</v>
      </c>
      <c r="R1430" s="25">
        <f>IFERROR(revenue[profit]/revenue[revenue], 0)</f>
        <v>0.2854704696</v>
      </c>
      <c r="S1430" s="9">
        <f>revenue[productCost]*revenue[orderQuantity]</f>
        <v>40.0136537</v>
      </c>
    </row>
    <row r="1431" ht="15.75" customHeight="1">
      <c r="A1431" s="6">
        <v>10794.0</v>
      </c>
      <c r="B1431" s="7" t="s">
        <v>27</v>
      </c>
      <c r="C1431" s="24" t="str">
        <f>VLOOKUP(revenue[customerID],customers[],2,FALSE)</f>
        <v>Que Delícia</v>
      </c>
      <c r="D1431" s="24" t="str">
        <f>VLOOKUP(revenue[customerID],customers[],6,FALSE)</f>
        <v>Rio de Janeiro</v>
      </c>
      <c r="E1431" s="24" t="str">
        <f>VLOOKUP(revenue[customerID],customers[],9,FALSE)</f>
        <v>Brazil</v>
      </c>
      <c r="F1431" s="24">
        <v>45284.0</v>
      </c>
      <c r="G1431" s="6">
        <v>14.0</v>
      </c>
      <c r="H1431" s="9" t="str">
        <f>VLOOKUP(revenue[productID],products[],2,FALSE)</f>
        <v>Tofu</v>
      </c>
      <c r="I1431" s="9" t="str">
        <f>VLOOKUP(revenue[productID],products[],12,FALSE)</f>
        <v>Produce</v>
      </c>
      <c r="J1431" s="9">
        <f>VLOOKUP(revenue[productID],products[],IF(YEAR(revenue[orderDate])=2022,8,IF(YEAR(revenue[orderDate])=2023,9,IF(YEAR(revenue[orderDate])=2024,10,NA))),FALSE)</f>
        <v>15.38055417</v>
      </c>
      <c r="K1431" s="9">
        <v>23.25</v>
      </c>
      <c r="L1431" s="25">
        <f>(revenue[orderPrice]-revenue[productCost])/revenue[productCost]</f>
        <v>0.5116490437</v>
      </c>
      <c r="M1431" s="10">
        <v>15.0</v>
      </c>
      <c r="N1431" s="25">
        <v>0.2</v>
      </c>
      <c r="O1431" s="9">
        <f>revenue[orderPrice]*revenue[orderQuantity]</f>
        <v>348.75</v>
      </c>
      <c r="P1431" s="9">
        <f>revenue[orderTotal]*(1-revenue[discountApllied])</f>
        <v>279</v>
      </c>
      <c r="Q1431" s="9">
        <f>revenue[revenue]-(revenue[productCost]*revenue[orderQuantity])</f>
        <v>48.29168747</v>
      </c>
      <c r="R1431" s="25">
        <f>IFERROR(revenue[profit]/revenue[revenue], 0)</f>
        <v>0.1730884856</v>
      </c>
      <c r="S1431" s="9">
        <f>revenue[productCost]*revenue[orderQuantity]</f>
        <v>230.7083125</v>
      </c>
    </row>
    <row r="1432" ht="15.75" customHeight="1">
      <c r="A1432" s="6">
        <v>10794.0</v>
      </c>
      <c r="B1432" s="7" t="s">
        <v>27</v>
      </c>
      <c r="C1432" s="24" t="str">
        <f>VLOOKUP(revenue[customerID],customers[],2,FALSE)</f>
        <v>Que Delícia</v>
      </c>
      <c r="D1432" s="24" t="str">
        <f>VLOOKUP(revenue[customerID],customers[],6,FALSE)</f>
        <v>Rio de Janeiro</v>
      </c>
      <c r="E1432" s="24" t="str">
        <f>VLOOKUP(revenue[customerID],customers[],9,FALSE)</f>
        <v>Brazil</v>
      </c>
      <c r="F1432" s="24">
        <v>45284.0</v>
      </c>
      <c r="G1432" s="6">
        <v>54.0</v>
      </c>
      <c r="H1432" s="9" t="str">
        <f>VLOOKUP(revenue[productID],products[],2,FALSE)</f>
        <v>Tourtière</v>
      </c>
      <c r="I1432" s="9" t="str">
        <f>VLOOKUP(revenue[productID],products[],12,FALSE)</f>
        <v>Meat/Poultry</v>
      </c>
      <c r="J1432" s="9">
        <f>VLOOKUP(revenue[productID],products[],IF(YEAR(revenue[orderDate])=2022,8,IF(YEAR(revenue[orderDate])=2023,9,IF(YEAR(revenue[orderDate])=2024,10,NA))),FALSE)</f>
        <v>4.924447797</v>
      </c>
      <c r="K1432" s="9">
        <v>7.45</v>
      </c>
      <c r="L1432" s="25">
        <f>(revenue[orderPrice]-revenue[productCost])/revenue[productCost]</f>
        <v>0.5128599808</v>
      </c>
      <c r="M1432" s="10">
        <v>6.0</v>
      </c>
      <c r="N1432" s="25">
        <v>0.2</v>
      </c>
      <c r="O1432" s="9">
        <f>revenue[orderPrice]*revenue[orderQuantity]</f>
        <v>44.7</v>
      </c>
      <c r="P1432" s="9">
        <f>revenue[orderTotal]*(1-revenue[discountApllied])</f>
        <v>35.76</v>
      </c>
      <c r="Q1432" s="9">
        <f>revenue[revenue]-(revenue[productCost]*revenue[orderQuantity])</f>
        <v>6.213313217</v>
      </c>
      <c r="R1432" s="25">
        <f>IFERROR(revenue[profit]/revenue[revenue], 0)</f>
        <v>0.1737503696</v>
      </c>
      <c r="S1432" s="9">
        <f>revenue[productCost]*revenue[orderQuantity]</f>
        <v>29.54668678</v>
      </c>
    </row>
    <row r="1433" ht="15.75" customHeight="1">
      <c r="A1433" s="6">
        <v>10795.0</v>
      </c>
      <c r="B1433" s="7" t="s">
        <v>24</v>
      </c>
      <c r="C1433" s="24" t="str">
        <f>VLOOKUP(revenue[customerID],customers[],2,FALSE)</f>
        <v>Ernst Handel</v>
      </c>
      <c r="D1433" s="24" t="str">
        <f>VLOOKUP(revenue[customerID],customers[],6,FALSE)</f>
        <v>Graz</v>
      </c>
      <c r="E1433" s="24" t="str">
        <f>VLOOKUP(revenue[customerID],customers[],9,FALSE)</f>
        <v>Austria</v>
      </c>
      <c r="F1433" s="24">
        <v>45284.0</v>
      </c>
      <c r="G1433" s="6">
        <v>16.0</v>
      </c>
      <c r="H1433" s="9" t="str">
        <f>VLOOKUP(revenue[productID],products[],2,FALSE)</f>
        <v>Pavlova</v>
      </c>
      <c r="I1433" s="9" t="str">
        <f>VLOOKUP(revenue[productID],products[],12,FALSE)</f>
        <v>Confections</v>
      </c>
      <c r="J1433" s="9">
        <f>VLOOKUP(revenue[productID],products[],IF(YEAR(revenue[orderDate])=2022,8,IF(YEAR(revenue[orderDate])=2023,9,IF(YEAR(revenue[orderDate])=2024,10,NA))),FALSE)</f>
        <v>11.98504839</v>
      </c>
      <c r="K1433" s="9">
        <v>17.45</v>
      </c>
      <c r="L1433" s="25">
        <f>(revenue[orderPrice]-revenue[productCost])/revenue[productCost]</f>
        <v>0.455980771</v>
      </c>
      <c r="M1433" s="10">
        <v>65.0</v>
      </c>
      <c r="N1433" s="25">
        <v>0.0</v>
      </c>
      <c r="O1433" s="9">
        <f>revenue[orderPrice]*revenue[orderQuantity]</f>
        <v>1134.25</v>
      </c>
      <c r="P1433" s="9">
        <f>revenue[orderTotal]*(1-revenue[discountApllied])</f>
        <v>1134.25</v>
      </c>
      <c r="Q1433" s="9">
        <f>revenue[revenue]-(revenue[productCost]*revenue[orderQuantity])</f>
        <v>355.2218545</v>
      </c>
      <c r="R1433" s="25">
        <f>IFERROR(revenue[profit]/revenue[revenue], 0)</f>
        <v>0.3131777425</v>
      </c>
      <c r="S1433" s="9">
        <f>revenue[productCost]*revenue[orderQuantity]</f>
        <v>779.0281455</v>
      </c>
    </row>
    <row r="1434" ht="15.75" customHeight="1">
      <c r="A1434" s="6">
        <v>10795.0</v>
      </c>
      <c r="B1434" s="7" t="s">
        <v>24</v>
      </c>
      <c r="C1434" s="24" t="str">
        <f>VLOOKUP(revenue[customerID],customers[],2,FALSE)</f>
        <v>Ernst Handel</v>
      </c>
      <c r="D1434" s="24" t="str">
        <f>VLOOKUP(revenue[customerID],customers[],6,FALSE)</f>
        <v>Graz</v>
      </c>
      <c r="E1434" s="24" t="str">
        <f>VLOOKUP(revenue[customerID],customers[],9,FALSE)</f>
        <v>Austria</v>
      </c>
      <c r="F1434" s="24">
        <v>45284.0</v>
      </c>
      <c r="G1434" s="6">
        <v>17.0</v>
      </c>
      <c r="H1434" s="9" t="str">
        <f>VLOOKUP(revenue[productID],products[],2,FALSE)</f>
        <v>Alice Mutton</v>
      </c>
      <c r="I1434" s="9" t="str">
        <f>VLOOKUP(revenue[productID],products[],12,FALSE)</f>
        <v>Meat/Poultry</v>
      </c>
      <c r="J1434" s="9">
        <f>VLOOKUP(revenue[productID],products[],IF(YEAR(revenue[orderDate])=2022,8,IF(YEAR(revenue[orderDate])=2023,9,IF(YEAR(revenue[orderDate])=2024,10,NA))),FALSE)</f>
        <v>24.83130504</v>
      </c>
      <c r="K1434" s="9">
        <v>39.0</v>
      </c>
      <c r="L1434" s="25">
        <f>(revenue[orderPrice]-revenue[productCost])/revenue[productCost]</f>
        <v>0.5705980792</v>
      </c>
      <c r="M1434" s="10">
        <v>35.0</v>
      </c>
      <c r="N1434" s="25">
        <v>0.25</v>
      </c>
      <c r="O1434" s="9">
        <f>revenue[orderPrice]*revenue[orderQuantity]</f>
        <v>1365</v>
      </c>
      <c r="P1434" s="9">
        <f>revenue[orderTotal]*(1-revenue[discountApllied])</f>
        <v>1023.75</v>
      </c>
      <c r="Q1434" s="9">
        <f>revenue[revenue]-(revenue[productCost]*revenue[orderQuantity])</f>
        <v>154.6543236</v>
      </c>
      <c r="R1434" s="25">
        <f>IFERROR(revenue[profit]/revenue[revenue], 0)</f>
        <v>0.1510664944</v>
      </c>
      <c r="S1434" s="9">
        <f>revenue[productCost]*revenue[orderQuantity]</f>
        <v>869.0956764</v>
      </c>
    </row>
    <row r="1435" ht="15.75" customHeight="1">
      <c r="A1435" s="6">
        <v>10796.0</v>
      </c>
      <c r="B1435" s="7" t="s">
        <v>23</v>
      </c>
      <c r="C1435" s="24" t="str">
        <f>VLOOKUP(revenue[customerID],customers[],2,FALSE)</f>
        <v>HILARION-Abastos</v>
      </c>
      <c r="D1435" s="24" t="str">
        <f>VLOOKUP(revenue[customerID],customers[],6,FALSE)</f>
        <v>San Cristóbal</v>
      </c>
      <c r="E1435" s="24" t="str">
        <f>VLOOKUP(revenue[customerID],customers[],9,FALSE)</f>
        <v>Venezuela</v>
      </c>
      <c r="F1435" s="24">
        <v>45285.0</v>
      </c>
      <c r="G1435" s="6">
        <v>26.0</v>
      </c>
      <c r="H1435" s="9" t="str">
        <f>VLOOKUP(revenue[productID],products[],2,FALSE)</f>
        <v>NuNuCa Nuß-Nougat-Creme</v>
      </c>
      <c r="I1435" s="9" t="str">
        <f>VLOOKUP(revenue[productID],products[],12,FALSE)</f>
        <v>Confections</v>
      </c>
      <c r="J1435" s="9">
        <f>VLOOKUP(revenue[productID],products[],IF(YEAR(revenue[orderDate])=2022,8,IF(YEAR(revenue[orderDate])=2023,9,IF(YEAR(revenue[orderDate])=2024,10,NA))),FALSE)</f>
        <v>21.20896201</v>
      </c>
      <c r="K1435" s="9">
        <v>31.23</v>
      </c>
      <c r="L1435" s="25">
        <f>(revenue[orderPrice]-revenue[productCost])/revenue[productCost]</f>
        <v>0.472490732</v>
      </c>
      <c r="M1435" s="10">
        <v>21.0</v>
      </c>
      <c r="N1435" s="25">
        <v>0.2</v>
      </c>
      <c r="O1435" s="9">
        <f>revenue[orderPrice]*revenue[orderQuantity]</f>
        <v>655.83</v>
      </c>
      <c r="P1435" s="9">
        <f>revenue[orderTotal]*(1-revenue[discountApllied])</f>
        <v>524.664</v>
      </c>
      <c r="Q1435" s="9">
        <f>revenue[revenue]-(revenue[productCost]*revenue[orderQuantity])</f>
        <v>79.27579773</v>
      </c>
      <c r="R1435" s="25">
        <f>IFERROR(revenue[profit]/revenue[revenue], 0)</f>
        <v>0.1510982224</v>
      </c>
      <c r="S1435" s="9">
        <f>revenue[productCost]*revenue[orderQuantity]</f>
        <v>445.3882023</v>
      </c>
    </row>
    <row r="1436" ht="15.75" customHeight="1">
      <c r="A1436" s="6">
        <v>10796.0</v>
      </c>
      <c r="B1436" s="7" t="s">
        <v>23</v>
      </c>
      <c r="C1436" s="24" t="str">
        <f>VLOOKUP(revenue[customerID],customers[],2,FALSE)</f>
        <v>HILARION-Abastos</v>
      </c>
      <c r="D1436" s="24" t="str">
        <f>VLOOKUP(revenue[customerID],customers[],6,FALSE)</f>
        <v>San Cristóbal</v>
      </c>
      <c r="E1436" s="24" t="str">
        <f>VLOOKUP(revenue[customerID],customers[],9,FALSE)</f>
        <v>Venezuela</v>
      </c>
      <c r="F1436" s="24">
        <v>45285.0</v>
      </c>
      <c r="G1436" s="6">
        <v>44.0</v>
      </c>
      <c r="H1436" s="9" t="str">
        <f>VLOOKUP(revenue[productID],products[],2,FALSE)</f>
        <v>Gula Malacca</v>
      </c>
      <c r="I1436" s="9" t="str">
        <f>VLOOKUP(revenue[productID],products[],12,FALSE)</f>
        <v>Condiments</v>
      </c>
      <c r="J1436" s="9">
        <f>VLOOKUP(revenue[productID],products[],IF(YEAR(revenue[orderDate])=2022,8,IF(YEAR(revenue[orderDate])=2023,9,IF(YEAR(revenue[orderDate])=2024,10,NA))),FALSE)</f>
        <v>13.06032103</v>
      </c>
      <c r="K1436" s="9">
        <v>19.45</v>
      </c>
      <c r="L1436" s="25">
        <f>(revenue[orderPrice]-revenue[productCost])/revenue[productCost]</f>
        <v>0.4892436379</v>
      </c>
      <c r="M1436" s="10">
        <v>10.0</v>
      </c>
      <c r="N1436" s="25">
        <v>0.0</v>
      </c>
      <c r="O1436" s="9">
        <f>revenue[orderPrice]*revenue[orderQuantity]</f>
        <v>194.5</v>
      </c>
      <c r="P1436" s="9">
        <f>revenue[orderTotal]*(1-revenue[discountApllied])</f>
        <v>194.5</v>
      </c>
      <c r="Q1436" s="9">
        <f>revenue[revenue]-(revenue[productCost]*revenue[orderQuantity])</f>
        <v>63.89678972</v>
      </c>
      <c r="R1436" s="25">
        <f>IFERROR(revenue[profit]/revenue[revenue], 0)</f>
        <v>0.3285181991</v>
      </c>
      <c r="S1436" s="9">
        <f>revenue[productCost]*revenue[orderQuantity]</f>
        <v>130.6032103</v>
      </c>
    </row>
    <row r="1437" ht="15.75" customHeight="1">
      <c r="A1437" s="6">
        <v>10796.0</v>
      </c>
      <c r="B1437" s="7" t="s">
        <v>23</v>
      </c>
      <c r="C1437" s="24" t="str">
        <f>VLOOKUP(revenue[customerID],customers[],2,FALSE)</f>
        <v>HILARION-Abastos</v>
      </c>
      <c r="D1437" s="24" t="str">
        <f>VLOOKUP(revenue[customerID],customers[],6,FALSE)</f>
        <v>San Cristóbal</v>
      </c>
      <c r="E1437" s="24" t="str">
        <f>VLOOKUP(revenue[customerID],customers[],9,FALSE)</f>
        <v>Venezuela</v>
      </c>
      <c r="F1437" s="24">
        <v>45285.0</v>
      </c>
      <c r="G1437" s="6">
        <v>64.0</v>
      </c>
      <c r="H1437" s="9" t="str">
        <f>VLOOKUP(revenue[productID],products[],2,FALSE)</f>
        <v>Lukas' leckere Sauerteigweggla</v>
      </c>
      <c r="I1437" s="9" t="str">
        <f>VLOOKUP(revenue[productID],products[],12,FALSE)</f>
        <v>Grains/Cereals</v>
      </c>
      <c r="J1437" s="9">
        <f>VLOOKUP(revenue[productID],products[],IF(YEAR(revenue[orderDate])=2022,8,IF(YEAR(revenue[orderDate])=2023,9,IF(YEAR(revenue[orderDate])=2024,10,NA))),FALSE)</f>
        <v>21.88572728</v>
      </c>
      <c r="K1437" s="9">
        <v>33.25</v>
      </c>
      <c r="L1437" s="25">
        <f>(revenue[orderPrice]-revenue[productCost])/revenue[productCost]</f>
        <v>0.5192549724</v>
      </c>
      <c r="M1437" s="10">
        <v>35.0</v>
      </c>
      <c r="N1437" s="25">
        <v>0.2</v>
      </c>
      <c r="O1437" s="9">
        <f>revenue[orderPrice]*revenue[orderQuantity]</f>
        <v>1163.75</v>
      </c>
      <c r="P1437" s="9">
        <f>revenue[orderTotal]*(1-revenue[discountApllied])</f>
        <v>931</v>
      </c>
      <c r="Q1437" s="9">
        <f>revenue[revenue]-(revenue[productCost]*revenue[orderQuantity])</f>
        <v>164.9995451</v>
      </c>
      <c r="R1437" s="25">
        <f>IFERROR(revenue[profit]/revenue[revenue], 0)</f>
        <v>0.1772282976</v>
      </c>
      <c r="S1437" s="9">
        <f>revenue[productCost]*revenue[orderQuantity]</f>
        <v>766.0004549</v>
      </c>
    </row>
    <row r="1438" ht="15.75" customHeight="1">
      <c r="A1438" s="6">
        <v>10796.0</v>
      </c>
      <c r="B1438" s="7" t="s">
        <v>23</v>
      </c>
      <c r="C1438" s="24" t="str">
        <f>VLOOKUP(revenue[customerID],customers[],2,FALSE)</f>
        <v>HILARION-Abastos</v>
      </c>
      <c r="D1438" s="24" t="str">
        <f>VLOOKUP(revenue[customerID],customers[],6,FALSE)</f>
        <v>San Cristóbal</v>
      </c>
      <c r="E1438" s="24" t="str">
        <f>VLOOKUP(revenue[customerID],customers[],9,FALSE)</f>
        <v>Venezuela</v>
      </c>
      <c r="F1438" s="24">
        <v>45285.0</v>
      </c>
      <c r="G1438" s="6">
        <v>69.0</v>
      </c>
      <c r="H1438" s="9" t="str">
        <f>VLOOKUP(revenue[productID],products[],2,FALSE)</f>
        <v>Gudbrandsdalsost</v>
      </c>
      <c r="I1438" s="9" t="str">
        <f>VLOOKUP(revenue[productID],products[],12,FALSE)</f>
        <v>Dairy Products</v>
      </c>
      <c r="J1438" s="9">
        <f>VLOOKUP(revenue[productID],products[],IF(YEAR(revenue[orderDate])=2022,8,IF(YEAR(revenue[orderDate])=2023,9,IF(YEAR(revenue[orderDate])=2024,10,NA))),FALSE)</f>
        <v>21.82428612</v>
      </c>
      <c r="K1438" s="9">
        <v>36.0</v>
      </c>
      <c r="L1438" s="25">
        <f>(revenue[orderPrice]-revenue[productCost])/revenue[productCost]</f>
        <v>0.6495384916</v>
      </c>
      <c r="M1438" s="10">
        <v>24.0</v>
      </c>
      <c r="N1438" s="25">
        <v>0.2</v>
      </c>
      <c r="O1438" s="9">
        <f>revenue[orderPrice]*revenue[orderQuantity]</f>
        <v>864</v>
      </c>
      <c r="P1438" s="9">
        <f>revenue[orderTotal]*(1-revenue[discountApllied])</f>
        <v>691.2</v>
      </c>
      <c r="Q1438" s="9">
        <f>revenue[revenue]-(revenue[productCost]*revenue[orderQuantity])</f>
        <v>167.4171332</v>
      </c>
      <c r="R1438" s="25">
        <f>IFERROR(revenue[profit]/revenue[revenue], 0)</f>
        <v>0.2422122877</v>
      </c>
      <c r="S1438" s="9">
        <f>revenue[productCost]*revenue[orderQuantity]</f>
        <v>523.7828668</v>
      </c>
    </row>
    <row r="1439" ht="15.75" customHeight="1">
      <c r="A1439" s="6">
        <v>10797.0</v>
      </c>
      <c r="B1439" s="7" t="s">
        <v>72</v>
      </c>
      <c r="C1439" s="24" t="str">
        <f>VLOOKUP(revenue[customerID],customers[],2,FALSE)</f>
        <v>Drachenblut Delikatessen</v>
      </c>
      <c r="D1439" s="24" t="str">
        <f>VLOOKUP(revenue[customerID],customers[],6,FALSE)</f>
        <v>Aachen</v>
      </c>
      <c r="E1439" s="24" t="str">
        <f>VLOOKUP(revenue[customerID],customers[],9,FALSE)</f>
        <v>Germany</v>
      </c>
      <c r="F1439" s="24">
        <v>45285.0</v>
      </c>
      <c r="G1439" s="6">
        <v>11.0</v>
      </c>
      <c r="H1439" s="9" t="str">
        <f>VLOOKUP(revenue[productID],products[],2,FALSE)</f>
        <v>Queso Cabrales</v>
      </c>
      <c r="I1439" s="9" t="str">
        <f>VLOOKUP(revenue[productID],products[],12,FALSE)</f>
        <v>Dairy Products</v>
      </c>
      <c r="J1439" s="9">
        <f>VLOOKUP(revenue[productID],products[],IF(YEAR(revenue[orderDate])=2022,8,IF(YEAR(revenue[orderDate])=2023,9,IF(YEAR(revenue[orderDate])=2024,10,NA))),FALSE)</f>
        <v>12.90188125</v>
      </c>
      <c r="K1439" s="9">
        <v>21.0</v>
      </c>
      <c r="L1439" s="25">
        <f>(revenue[orderPrice]-revenue[productCost])/revenue[productCost]</f>
        <v>0.6276696079</v>
      </c>
      <c r="M1439" s="10">
        <v>20.0</v>
      </c>
      <c r="N1439" s="25">
        <v>0.0</v>
      </c>
      <c r="O1439" s="9">
        <f>revenue[orderPrice]*revenue[orderQuantity]</f>
        <v>420</v>
      </c>
      <c r="P1439" s="9">
        <f>revenue[orderTotal]*(1-revenue[discountApllied])</f>
        <v>420</v>
      </c>
      <c r="Q1439" s="9">
        <f>revenue[revenue]-(revenue[productCost]*revenue[orderQuantity])</f>
        <v>161.9623749</v>
      </c>
      <c r="R1439" s="25">
        <f>IFERROR(revenue[profit]/revenue[revenue], 0)</f>
        <v>0.3856247023</v>
      </c>
      <c r="S1439" s="9">
        <f>revenue[productCost]*revenue[orderQuantity]</f>
        <v>258.0376251</v>
      </c>
    </row>
    <row r="1440" ht="15.75" customHeight="1">
      <c r="A1440" s="6">
        <v>10798.0</v>
      </c>
      <c r="B1440" s="7" t="s">
        <v>57</v>
      </c>
      <c r="C1440" s="24" t="str">
        <f>VLOOKUP(revenue[customerID],customers[],2,FALSE)</f>
        <v>Island Trading</v>
      </c>
      <c r="D1440" s="24" t="str">
        <f>VLOOKUP(revenue[customerID],customers[],6,FALSE)</f>
        <v>Cowes</v>
      </c>
      <c r="E1440" s="24" t="str">
        <f>VLOOKUP(revenue[customerID],customers[],9,FALSE)</f>
        <v>UK</v>
      </c>
      <c r="F1440" s="24">
        <v>45286.0</v>
      </c>
      <c r="G1440" s="6">
        <v>62.0</v>
      </c>
      <c r="H1440" s="9" t="str">
        <f>VLOOKUP(revenue[productID],products[],2,FALSE)</f>
        <v>Tarte au sucre</v>
      </c>
      <c r="I1440" s="9" t="str">
        <f>VLOOKUP(revenue[productID],products[],12,FALSE)</f>
        <v>Confections</v>
      </c>
      <c r="J1440" s="9">
        <f>VLOOKUP(revenue[productID],products[],IF(YEAR(revenue[orderDate])=2022,8,IF(YEAR(revenue[orderDate])=2023,9,IF(YEAR(revenue[orderDate])=2024,10,NA))),FALSE)</f>
        <v>35.34792781</v>
      </c>
      <c r="K1440" s="9">
        <v>49.3</v>
      </c>
      <c r="L1440" s="25">
        <f>(revenue[orderPrice]-revenue[productCost])/revenue[productCost]</f>
        <v>0.3947069335</v>
      </c>
      <c r="M1440" s="10">
        <v>2.0</v>
      </c>
      <c r="N1440" s="25">
        <v>0.0</v>
      </c>
      <c r="O1440" s="9">
        <f>revenue[orderPrice]*revenue[orderQuantity]</f>
        <v>98.6</v>
      </c>
      <c r="P1440" s="9">
        <f>revenue[orderTotal]*(1-revenue[discountApllied])</f>
        <v>98.6</v>
      </c>
      <c r="Q1440" s="9">
        <f>revenue[revenue]-(revenue[productCost]*revenue[orderQuantity])</f>
        <v>27.90414438</v>
      </c>
      <c r="R1440" s="25">
        <f>IFERROR(revenue[profit]/revenue[revenue], 0)</f>
        <v>0.2830034927</v>
      </c>
      <c r="S1440" s="9">
        <f>revenue[productCost]*revenue[orderQuantity]</f>
        <v>70.69585562</v>
      </c>
    </row>
    <row r="1441" ht="15.75" customHeight="1">
      <c r="A1441" s="6">
        <v>10798.0</v>
      </c>
      <c r="B1441" s="7" t="s">
        <v>57</v>
      </c>
      <c r="C1441" s="24" t="str">
        <f>VLOOKUP(revenue[customerID],customers[],2,FALSE)</f>
        <v>Island Trading</v>
      </c>
      <c r="D1441" s="24" t="str">
        <f>VLOOKUP(revenue[customerID],customers[],6,FALSE)</f>
        <v>Cowes</v>
      </c>
      <c r="E1441" s="24" t="str">
        <f>VLOOKUP(revenue[customerID],customers[],9,FALSE)</f>
        <v>UK</v>
      </c>
      <c r="F1441" s="24">
        <v>45286.0</v>
      </c>
      <c r="G1441" s="6">
        <v>72.0</v>
      </c>
      <c r="H1441" s="9" t="str">
        <f>VLOOKUP(revenue[productID],products[],2,FALSE)</f>
        <v>Mozzarella di Giovanni</v>
      </c>
      <c r="I1441" s="9" t="str">
        <f>VLOOKUP(revenue[productID],products[],12,FALSE)</f>
        <v>Dairy Products</v>
      </c>
      <c r="J1441" s="9">
        <f>VLOOKUP(revenue[productID],products[],IF(YEAR(revenue[orderDate])=2022,8,IF(YEAR(revenue[orderDate])=2023,9,IF(YEAR(revenue[orderDate])=2024,10,NA))),FALSE)</f>
        <v>23.51933768</v>
      </c>
      <c r="K1441" s="9">
        <v>34.8</v>
      </c>
      <c r="L1441" s="25">
        <f>(revenue[orderPrice]-revenue[productCost])/revenue[productCost]</f>
        <v>0.4796335031</v>
      </c>
      <c r="M1441" s="10">
        <v>10.0</v>
      </c>
      <c r="N1441" s="25">
        <v>0.0</v>
      </c>
      <c r="O1441" s="9">
        <f>revenue[orderPrice]*revenue[orderQuantity]</f>
        <v>348</v>
      </c>
      <c r="P1441" s="9">
        <f>revenue[orderTotal]*(1-revenue[discountApllied])</f>
        <v>348</v>
      </c>
      <c r="Q1441" s="9">
        <f>revenue[revenue]-(revenue[productCost]*revenue[orderQuantity])</f>
        <v>112.8066232</v>
      </c>
      <c r="R1441" s="25">
        <f>IFERROR(revenue[profit]/revenue[revenue], 0)</f>
        <v>0.3241569633</v>
      </c>
      <c r="S1441" s="9">
        <f>revenue[productCost]*revenue[orderQuantity]</f>
        <v>235.1933768</v>
      </c>
    </row>
    <row r="1442" ht="15.75" customHeight="1">
      <c r="A1442" s="6">
        <v>10799.0</v>
      </c>
      <c r="B1442" s="7" t="s">
        <v>59</v>
      </c>
      <c r="C1442" s="24" t="str">
        <f>VLOOKUP(revenue[customerID],customers[],2,FALSE)</f>
        <v>Königlich Essen</v>
      </c>
      <c r="D1442" s="24" t="str">
        <f>VLOOKUP(revenue[customerID],customers[],6,FALSE)</f>
        <v>Brandenburg</v>
      </c>
      <c r="E1442" s="24" t="str">
        <f>VLOOKUP(revenue[customerID],customers[],9,FALSE)</f>
        <v>Germany</v>
      </c>
      <c r="F1442" s="24">
        <v>45286.0</v>
      </c>
      <c r="G1442" s="6">
        <v>13.0</v>
      </c>
      <c r="H1442" s="9" t="str">
        <f>VLOOKUP(revenue[productID],products[],2,FALSE)</f>
        <v>Konbu</v>
      </c>
      <c r="I1442" s="9" t="str">
        <f>VLOOKUP(revenue[productID],products[],12,FALSE)</f>
        <v>Seafood</v>
      </c>
      <c r="J1442" s="9">
        <f>VLOOKUP(revenue[productID],products[],IF(YEAR(revenue[orderDate])=2022,8,IF(YEAR(revenue[orderDate])=2023,9,IF(YEAR(revenue[orderDate])=2024,10,NA))),FALSE)</f>
        <v>3.865774949</v>
      </c>
      <c r="K1442" s="9">
        <v>6.0</v>
      </c>
      <c r="L1442" s="25">
        <f>(revenue[orderPrice]-revenue[productCost])/revenue[productCost]</f>
        <v>0.5520820739</v>
      </c>
      <c r="M1442" s="10">
        <v>20.0</v>
      </c>
      <c r="N1442" s="25">
        <v>0.15</v>
      </c>
      <c r="O1442" s="9">
        <f>revenue[orderPrice]*revenue[orderQuantity]</f>
        <v>120</v>
      </c>
      <c r="P1442" s="9">
        <f>revenue[orderTotal]*(1-revenue[discountApllied])</f>
        <v>102</v>
      </c>
      <c r="Q1442" s="9">
        <f>revenue[revenue]-(revenue[productCost]*revenue[orderQuantity])</f>
        <v>24.68450102</v>
      </c>
      <c r="R1442" s="25">
        <f>IFERROR(revenue[profit]/revenue[revenue], 0)</f>
        <v>0.242004912</v>
      </c>
      <c r="S1442" s="9">
        <f>revenue[productCost]*revenue[orderQuantity]</f>
        <v>77.31549898</v>
      </c>
    </row>
    <row r="1443" ht="15.75" customHeight="1">
      <c r="A1443" s="6">
        <v>10799.0</v>
      </c>
      <c r="B1443" s="7" t="s">
        <v>59</v>
      </c>
      <c r="C1443" s="24" t="str">
        <f>VLOOKUP(revenue[customerID],customers[],2,FALSE)</f>
        <v>Königlich Essen</v>
      </c>
      <c r="D1443" s="24" t="str">
        <f>VLOOKUP(revenue[customerID],customers[],6,FALSE)</f>
        <v>Brandenburg</v>
      </c>
      <c r="E1443" s="24" t="str">
        <f>VLOOKUP(revenue[customerID],customers[],9,FALSE)</f>
        <v>Germany</v>
      </c>
      <c r="F1443" s="24">
        <v>45286.0</v>
      </c>
      <c r="G1443" s="6">
        <v>24.0</v>
      </c>
      <c r="H1443" s="9" t="str">
        <f>VLOOKUP(revenue[productID],products[],2,FALSE)</f>
        <v>Brigadeiros Maravilhosos da Lilian</v>
      </c>
      <c r="I1443" s="9" t="str">
        <f>VLOOKUP(revenue[productID],products[],12,FALSE)</f>
        <v>Confections</v>
      </c>
      <c r="J1443" s="9">
        <f>VLOOKUP(revenue[productID],products[],IF(YEAR(revenue[orderDate])=2022,8,IF(YEAR(revenue[orderDate])=2023,9,IF(YEAR(revenue[orderDate])=2024,10,NA))),FALSE)</f>
        <v>3.131783363</v>
      </c>
      <c r="K1443" s="9">
        <v>4.5</v>
      </c>
      <c r="L1443" s="25">
        <f>(revenue[orderPrice]-revenue[productCost])/revenue[productCost]</f>
        <v>0.4368809967</v>
      </c>
      <c r="M1443" s="10">
        <v>20.0</v>
      </c>
      <c r="N1443" s="25">
        <v>0.15</v>
      </c>
      <c r="O1443" s="9">
        <f>revenue[orderPrice]*revenue[orderQuantity]</f>
        <v>90</v>
      </c>
      <c r="P1443" s="9">
        <f>revenue[orderTotal]*(1-revenue[discountApllied])</f>
        <v>76.5</v>
      </c>
      <c r="Q1443" s="9">
        <f>revenue[revenue]-(revenue[productCost]*revenue[orderQuantity])</f>
        <v>13.86433274</v>
      </c>
      <c r="R1443" s="25">
        <f>IFERROR(revenue[profit]/revenue[revenue], 0)</f>
        <v>0.1812331077</v>
      </c>
      <c r="S1443" s="9">
        <f>revenue[productCost]*revenue[orderQuantity]</f>
        <v>62.63566726</v>
      </c>
    </row>
    <row r="1444" ht="15.75" customHeight="1">
      <c r="A1444" s="6">
        <v>10799.0</v>
      </c>
      <c r="B1444" s="7" t="s">
        <v>59</v>
      </c>
      <c r="C1444" s="24" t="str">
        <f>VLOOKUP(revenue[customerID],customers[],2,FALSE)</f>
        <v>Königlich Essen</v>
      </c>
      <c r="D1444" s="24" t="str">
        <f>VLOOKUP(revenue[customerID],customers[],6,FALSE)</f>
        <v>Brandenburg</v>
      </c>
      <c r="E1444" s="24" t="str">
        <f>VLOOKUP(revenue[customerID],customers[],9,FALSE)</f>
        <v>Germany</v>
      </c>
      <c r="F1444" s="24">
        <v>45286.0</v>
      </c>
      <c r="G1444" s="6">
        <v>59.0</v>
      </c>
      <c r="H1444" s="9" t="str">
        <f>VLOOKUP(revenue[productID],products[],2,FALSE)</f>
        <v>Raclette Courdavault</v>
      </c>
      <c r="I1444" s="9" t="str">
        <f>VLOOKUP(revenue[productID],products[],12,FALSE)</f>
        <v>Dairy Products</v>
      </c>
      <c r="J1444" s="9">
        <f>VLOOKUP(revenue[productID],products[],IF(YEAR(revenue[orderDate])=2022,8,IF(YEAR(revenue[orderDate])=2023,9,IF(YEAR(revenue[orderDate])=2024,10,NA))),FALSE)</f>
        <v>35.20472566</v>
      </c>
      <c r="K1444" s="9">
        <v>55.0</v>
      </c>
      <c r="L1444" s="25">
        <f>(revenue[orderPrice]-revenue[productCost])/revenue[productCost]</f>
        <v>0.5622902598</v>
      </c>
      <c r="M1444" s="10">
        <v>25.0</v>
      </c>
      <c r="N1444" s="25">
        <v>0.0</v>
      </c>
      <c r="O1444" s="9">
        <f>revenue[orderPrice]*revenue[orderQuantity]</f>
        <v>1375</v>
      </c>
      <c r="P1444" s="9">
        <f>revenue[orderTotal]*(1-revenue[discountApllied])</f>
        <v>1375</v>
      </c>
      <c r="Q1444" s="9">
        <f>revenue[revenue]-(revenue[productCost]*revenue[orderQuantity])</f>
        <v>494.8818585</v>
      </c>
      <c r="R1444" s="25">
        <f>IFERROR(revenue[profit]/revenue[revenue], 0)</f>
        <v>0.3599140789</v>
      </c>
      <c r="S1444" s="9">
        <f>revenue[productCost]*revenue[orderQuantity]</f>
        <v>880.1181415</v>
      </c>
    </row>
    <row r="1445" ht="15.75" customHeight="1">
      <c r="A1445" s="6">
        <v>10800.0</v>
      </c>
      <c r="B1445" s="7" t="s">
        <v>71</v>
      </c>
      <c r="C1445" s="24" t="str">
        <f>VLOOKUP(revenue[customerID],customers[],2,FALSE)</f>
        <v>Seven Seas Imports</v>
      </c>
      <c r="D1445" s="24" t="str">
        <f>VLOOKUP(revenue[customerID],customers[],6,FALSE)</f>
        <v>London</v>
      </c>
      <c r="E1445" s="24" t="str">
        <f>VLOOKUP(revenue[customerID],customers[],9,FALSE)</f>
        <v>UK</v>
      </c>
      <c r="F1445" s="24">
        <v>45286.0</v>
      </c>
      <c r="G1445" s="6">
        <v>11.0</v>
      </c>
      <c r="H1445" s="9" t="str">
        <f>VLOOKUP(revenue[productID],products[],2,FALSE)</f>
        <v>Queso Cabrales</v>
      </c>
      <c r="I1445" s="9" t="str">
        <f>VLOOKUP(revenue[productID],products[],12,FALSE)</f>
        <v>Dairy Products</v>
      </c>
      <c r="J1445" s="9">
        <f>VLOOKUP(revenue[productID],products[],IF(YEAR(revenue[orderDate])=2022,8,IF(YEAR(revenue[orderDate])=2023,9,IF(YEAR(revenue[orderDate])=2024,10,NA))),FALSE)</f>
        <v>12.90188125</v>
      </c>
      <c r="K1445" s="9">
        <v>21.0</v>
      </c>
      <c r="L1445" s="25">
        <f>(revenue[orderPrice]-revenue[productCost])/revenue[productCost]</f>
        <v>0.6276696079</v>
      </c>
      <c r="M1445" s="10">
        <v>50.0</v>
      </c>
      <c r="N1445" s="25">
        <v>0.1</v>
      </c>
      <c r="O1445" s="9">
        <f>revenue[orderPrice]*revenue[orderQuantity]</f>
        <v>1050</v>
      </c>
      <c r="P1445" s="9">
        <f>revenue[orderTotal]*(1-revenue[discountApllied])</f>
        <v>945</v>
      </c>
      <c r="Q1445" s="9">
        <f>revenue[revenue]-(revenue[productCost]*revenue[orderQuantity])</f>
        <v>299.9059374</v>
      </c>
      <c r="R1445" s="25">
        <f>IFERROR(revenue[profit]/revenue[revenue], 0)</f>
        <v>0.3173607803</v>
      </c>
      <c r="S1445" s="9">
        <f>revenue[productCost]*revenue[orderQuantity]</f>
        <v>645.0940626</v>
      </c>
    </row>
    <row r="1446" ht="15.75" customHeight="1">
      <c r="A1446" s="6">
        <v>10800.0</v>
      </c>
      <c r="B1446" s="7" t="s">
        <v>71</v>
      </c>
      <c r="C1446" s="24" t="str">
        <f>VLOOKUP(revenue[customerID],customers[],2,FALSE)</f>
        <v>Seven Seas Imports</v>
      </c>
      <c r="D1446" s="24" t="str">
        <f>VLOOKUP(revenue[customerID],customers[],6,FALSE)</f>
        <v>London</v>
      </c>
      <c r="E1446" s="24" t="str">
        <f>VLOOKUP(revenue[customerID],customers[],9,FALSE)</f>
        <v>UK</v>
      </c>
      <c r="F1446" s="24">
        <v>45286.0</v>
      </c>
      <c r="G1446" s="6">
        <v>51.0</v>
      </c>
      <c r="H1446" s="9" t="str">
        <f>VLOOKUP(revenue[productID],products[],2,FALSE)</f>
        <v>Manjimup Dried Apples</v>
      </c>
      <c r="I1446" s="9" t="str">
        <f>VLOOKUP(revenue[productID],products[],12,FALSE)</f>
        <v>Produce</v>
      </c>
      <c r="J1446" s="9">
        <f>VLOOKUP(revenue[productID],products[],IF(YEAR(revenue[orderDate])=2022,8,IF(YEAR(revenue[orderDate])=2023,9,IF(YEAR(revenue[orderDate])=2024,10,NA))),FALSE)</f>
        <v>36.88798027</v>
      </c>
      <c r="K1446" s="9">
        <v>53.0</v>
      </c>
      <c r="L1446" s="25">
        <f>(revenue[orderPrice]-revenue[productCost])/revenue[productCost]</f>
        <v>0.4367823779</v>
      </c>
      <c r="M1446" s="10">
        <v>10.0</v>
      </c>
      <c r="N1446" s="25">
        <v>0.1</v>
      </c>
      <c r="O1446" s="9">
        <f>revenue[orderPrice]*revenue[orderQuantity]</f>
        <v>530</v>
      </c>
      <c r="P1446" s="9">
        <f>revenue[orderTotal]*(1-revenue[discountApllied])</f>
        <v>477</v>
      </c>
      <c r="Q1446" s="9">
        <f>revenue[revenue]-(revenue[productCost]*revenue[orderQuantity])</f>
        <v>108.1201973</v>
      </c>
      <c r="R1446" s="25">
        <f>IFERROR(revenue[profit]/revenue[revenue], 0)</f>
        <v>0.2266670804</v>
      </c>
      <c r="S1446" s="9">
        <f>revenue[productCost]*revenue[orderQuantity]</f>
        <v>368.8798027</v>
      </c>
    </row>
    <row r="1447" ht="15.75" customHeight="1">
      <c r="A1447" s="6">
        <v>10800.0</v>
      </c>
      <c r="B1447" s="7" t="s">
        <v>71</v>
      </c>
      <c r="C1447" s="24" t="str">
        <f>VLOOKUP(revenue[customerID],customers[],2,FALSE)</f>
        <v>Seven Seas Imports</v>
      </c>
      <c r="D1447" s="24" t="str">
        <f>VLOOKUP(revenue[customerID],customers[],6,FALSE)</f>
        <v>London</v>
      </c>
      <c r="E1447" s="24" t="str">
        <f>VLOOKUP(revenue[customerID],customers[],9,FALSE)</f>
        <v>UK</v>
      </c>
      <c r="F1447" s="24">
        <v>45286.0</v>
      </c>
      <c r="G1447" s="6">
        <v>54.0</v>
      </c>
      <c r="H1447" s="9" t="str">
        <f>VLOOKUP(revenue[productID],products[],2,FALSE)</f>
        <v>Tourtière</v>
      </c>
      <c r="I1447" s="9" t="str">
        <f>VLOOKUP(revenue[productID],products[],12,FALSE)</f>
        <v>Meat/Poultry</v>
      </c>
      <c r="J1447" s="9">
        <f>VLOOKUP(revenue[productID],products[],IF(YEAR(revenue[orderDate])=2022,8,IF(YEAR(revenue[orderDate])=2023,9,IF(YEAR(revenue[orderDate])=2024,10,NA))),FALSE)</f>
        <v>4.924447797</v>
      </c>
      <c r="K1447" s="9">
        <v>7.45</v>
      </c>
      <c r="L1447" s="25">
        <f>(revenue[orderPrice]-revenue[productCost])/revenue[productCost]</f>
        <v>0.5128599808</v>
      </c>
      <c r="M1447" s="10">
        <v>7.0</v>
      </c>
      <c r="N1447" s="25">
        <v>0.1</v>
      </c>
      <c r="O1447" s="9">
        <f>revenue[orderPrice]*revenue[orderQuantity]</f>
        <v>52.15</v>
      </c>
      <c r="P1447" s="9">
        <f>revenue[orderTotal]*(1-revenue[discountApllied])</f>
        <v>46.935</v>
      </c>
      <c r="Q1447" s="9">
        <f>revenue[revenue]-(revenue[productCost]*revenue[orderQuantity])</f>
        <v>12.46386542</v>
      </c>
      <c r="R1447" s="25">
        <f>IFERROR(revenue[profit]/revenue[revenue], 0)</f>
        <v>0.2655558841</v>
      </c>
      <c r="S1447" s="9">
        <f>revenue[productCost]*revenue[orderQuantity]</f>
        <v>34.47113458</v>
      </c>
    </row>
    <row r="1448" ht="15.75" customHeight="1">
      <c r="A1448" s="6">
        <v>10801.0</v>
      </c>
      <c r="B1448" s="7" t="s">
        <v>61</v>
      </c>
      <c r="C1448" s="24" t="str">
        <f>VLOOKUP(revenue[customerID],customers[],2,FALSE)</f>
        <v>Bólido Comidas preparadas</v>
      </c>
      <c r="D1448" s="24" t="str">
        <f>VLOOKUP(revenue[customerID],customers[],6,FALSE)</f>
        <v>Madrid</v>
      </c>
      <c r="E1448" s="24" t="str">
        <f>VLOOKUP(revenue[customerID],customers[],9,FALSE)</f>
        <v>Spain</v>
      </c>
      <c r="F1448" s="24">
        <v>45289.0</v>
      </c>
      <c r="G1448" s="6">
        <v>17.0</v>
      </c>
      <c r="H1448" s="9" t="str">
        <f>VLOOKUP(revenue[productID],products[],2,FALSE)</f>
        <v>Alice Mutton</v>
      </c>
      <c r="I1448" s="9" t="str">
        <f>VLOOKUP(revenue[productID],products[],12,FALSE)</f>
        <v>Meat/Poultry</v>
      </c>
      <c r="J1448" s="9">
        <f>VLOOKUP(revenue[productID],products[],IF(YEAR(revenue[orderDate])=2022,8,IF(YEAR(revenue[orderDate])=2023,9,IF(YEAR(revenue[orderDate])=2024,10,NA))),FALSE)</f>
        <v>24.83130504</v>
      </c>
      <c r="K1448" s="9">
        <v>39.0</v>
      </c>
      <c r="L1448" s="25">
        <f>(revenue[orderPrice]-revenue[productCost])/revenue[productCost]</f>
        <v>0.5705980792</v>
      </c>
      <c r="M1448" s="10">
        <v>40.0</v>
      </c>
      <c r="N1448" s="25">
        <v>0.25</v>
      </c>
      <c r="O1448" s="9">
        <f>revenue[orderPrice]*revenue[orderQuantity]</f>
        <v>1560</v>
      </c>
      <c r="P1448" s="9">
        <f>revenue[orderTotal]*(1-revenue[discountApllied])</f>
        <v>1170</v>
      </c>
      <c r="Q1448" s="9">
        <f>revenue[revenue]-(revenue[productCost]*revenue[orderQuantity])</f>
        <v>176.7477984</v>
      </c>
      <c r="R1448" s="25">
        <f>IFERROR(revenue[profit]/revenue[revenue], 0)</f>
        <v>0.1510664944</v>
      </c>
      <c r="S1448" s="9">
        <f>revenue[productCost]*revenue[orderQuantity]</f>
        <v>993.2522016</v>
      </c>
    </row>
    <row r="1449" ht="15.75" customHeight="1">
      <c r="A1449" s="6">
        <v>10801.0</v>
      </c>
      <c r="B1449" s="7" t="s">
        <v>61</v>
      </c>
      <c r="C1449" s="24" t="str">
        <f>VLOOKUP(revenue[customerID],customers[],2,FALSE)</f>
        <v>Bólido Comidas preparadas</v>
      </c>
      <c r="D1449" s="24" t="str">
        <f>VLOOKUP(revenue[customerID],customers[],6,FALSE)</f>
        <v>Madrid</v>
      </c>
      <c r="E1449" s="24" t="str">
        <f>VLOOKUP(revenue[customerID],customers[],9,FALSE)</f>
        <v>Spain</v>
      </c>
      <c r="F1449" s="24">
        <v>45289.0</v>
      </c>
      <c r="G1449" s="6">
        <v>29.0</v>
      </c>
      <c r="H1449" s="9" t="str">
        <f>VLOOKUP(revenue[productID],products[],2,FALSE)</f>
        <v>Thüringer Rostbratwurst</v>
      </c>
      <c r="I1449" s="9" t="str">
        <f>VLOOKUP(revenue[productID],products[],12,FALSE)</f>
        <v>Meat/Poultry</v>
      </c>
      <c r="J1449" s="9">
        <f>VLOOKUP(revenue[productID],products[],IF(YEAR(revenue[orderDate])=2022,8,IF(YEAR(revenue[orderDate])=2023,9,IF(YEAR(revenue[orderDate])=2024,10,NA))),FALSE)</f>
        <v>80.85619497</v>
      </c>
      <c r="K1449" s="9">
        <v>123.79</v>
      </c>
      <c r="L1449" s="25">
        <f>(revenue[orderPrice]-revenue[productCost])/revenue[productCost]</f>
        <v>0.5309896792</v>
      </c>
      <c r="M1449" s="10">
        <v>20.0</v>
      </c>
      <c r="N1449" s="25">
        <v>0.25</v>
      </c>
      <c r="O1449" s="9">
        <f>revenue[orderPrice]*revenue[orderQuantity]</f>
        <v>2475.8</v>
      </c>
      <c r="P1449" s="9">
        <f>revenue[orderTotal]*(1-revenue[discountApllied])</f>
        <v>1856.85</v>
      </c>
      <c r="Q1449" s="9">
        <f>revenue[revenue]-(revenue[productCost]*revenue[orderQuantity])</f>
        <v>239.7261006</v>
      </c>
      <c r="R1449" s="25">
        <f>IFERROR(revenue[profit]/revenue[revenue], 0)</f>
        <v>0.1291036436</v>
      </c>
      <c r="S1449" s="9">
        <f>revenue[productCost]*revenue[orderQuantity]</f>
        <v>1617.123899</v>
      </c>
    </row>
    <row r="1450" ht="15.75" customHeight="1">
      <c r="A1450" s="6">
        <v>10802.0</v>
      </c>
      <c r="B1450" s="7" t="s">
        <v>66</v>
      </c>
      <c r="C1450" s="24" t="str">
        <f>VLOOKUP(revenue[customerID],customers[],2,FALSE)</f>
        <v>Simons bistro</v>
      </c>
      <c r="D1450" s="24" t="str">
        <f>VLOOKUP(revenue[customerID],customers[],6,FALSE)</f>
        <v>Kobenhavn</v>
      </c>
      <c r="E1450" s="24" t="str">
        <f>VLOOKUP(revenue[customerID],customers[],9,FALSE)</f>
        <v>Denmark</v>
      </c>
      <c r="F1450" s="24">
        <v>45289.0</v>
      </c>
      <c r="G1450" s="6">
        <v>30.0</v>
      </c>
      <c r="H1450" s="9" t="str">
        <f>VLOOKUP(revenue[productID],products[],2,FALSE)</f>
        <v>Nord-Ost Matjeshering</v>
      </c>
      <c r="I1450" s="9" t="str">
        <f>VLOOKUP(revenue[productID],products[],12,FALSE)</f>
        <v>Seafood</v>
      </c>
      <c r="J1450" s="9">
        <f>VLOOKUP(revenue[productID],products[],IF(YEAR(revenue[orderDate])=2022,8,IF(YEAR(revenue[orderDate])=2023,9,IF(YEAR(revenue[orderDate])=2024,10,NA))),FALSE)</f>
        <v>16.03885249</v>
      </c>
      <c r="K1450" s="9">
        <v>25.89</v>
      </c>
      <c r="L1450" s="25">
        <f>(revenue[orderPrice]-revenue[productCost])/revenue[productCost]</f>
        <v>0.6142052564</v>
      </c>
      <c r="M1450" s="10">
        <v>25.0</v>
      </c>
      <c r="N1450" s="25">
        <v>0.25</v>
      </c>
      <c r="O1450" s="9">
        <f>revenue[orderPrice]*revenue[orderQuantity]</f>
        <v>647.25</v>
      </c>
      <c r="P1450" s="9">
        <f>revenue[orderTotal]*(1-revenue[discountApllied])</f>
        <v>485.4375</v>
      </c>
      <c r="Q1450" s="9">
        <f>revenue[revenue]-(revenue[productCost]*revenue[orderQuantity])</f>
        <v>84.46618768</v>
      </c>
      <c r="R1450" s="25">
        <f>IFERROR(revenue[profit]/revenue[revenue], 0)</f>
        <v>0.1740001291</v>
      </c>
      <c r="S1450" s="9">
        <f>revenue[productCost]*revenue[orderQuantity]</f>
        <v>400.9713123</v>
      </c>
    </row>
    <row r="1451" ht="15.75" customHeight="1">
      <c r="A1451" s="6">
        <v>10802.0</v>
      </c>
      <c r="B1451" s="7" t="s">
        <v>66</v>
      </c>
      <c r="C1451" s="24" t="str">
        <f>VLOOKUP(revenue[customerID],customers[],2,FALSE)</f>
        <v>Simons bistro</v>
      </c>
      <c r="D1451" s="24" t="str">
        <f>VLOOKUP(revenue[customerID],customers[],6,FALSE)</f>
        <v>Kobenhavn</v>
      </c>
      <c r="E1451" s="24" t="str">
        <f>VLOOKUP(revenue[customerID],customers[],9,FALSE)</f>
        <v>Denmark</v>
      </c>
      <c r="F1451" s="24">
        <v>45289.0</v>
      </c>
      <c r="G1451" s="6">
        <v>51.0</v>
      </c>
      <c r="H1451" s="9" t="str">
        <f>VLOOKUP(revenue[productID],products[],2,FALSE)</f>
        <v>Manjimup Dried Apples</v>
      </c>
      <c r="I1451" s="9" t="str">
        <f>VLOOKUP(revenue[productID],products[],12,FALSE)</f>
        <v>Produce</v>
      </c>
      <c r="J1451" s="9">
        <f>VLOOKUP(revenue[productID],products[],IF(YEAR(revenue[orderDate])=2022,8,IF(YEAR(revenue[orderDate])=2023,9,IF(YEAR(revenue[orderDate])=2024,10,NA))),FALSE)</f>
        <v>36.88798027</v>
      </c>
      <c r="K1451" s="9">
        <v>53.0</v>
      </c>
      <c r="L1451" s="25">
        <f>(revenue[orderPrice]-revenue[productCost])/revenue[productCost]</f>
        <v>0.4367823779</v>
      </c>
      <c r="M1451" s="10">
        <v>30.0</v>
      </c>
      <c r="N1451" s="25">
        <v>0.25</v>
      </c>
      <c r="O1451" s="9">
        <f>revenue[orderPrice]*revenue[orderQuantity]</f>
        <v>1590</v>
      </c>
      <c r="P1451" s="9">
        <f>revenue[orderTotal]*(1-revenue[discountApllied])</f>
        <v>1192.5</v>
      </c>
      <c r="Q1451" s="9">
        <f>revenue[revenue]-(revenue[productCost]*revenue[orderQuantity])</f>
        <v>85.86059204</v>
      </c>
      <c r="R1451" s="25">
        <f>IFERROR(revenue[profit]/revenue[revenue], 0)</f>
        <v>0.07200049647</v>
      </c>
      <c r="S1451" s="9">
        <f>revenue[productCost]*revenue[orderQuantity]</f>
        <v>1106.639408</v>
      </c>
    </row>
    <row r="1452" ht="15.75" customHeight="1">
      <c r="A1452" s="6">
        <v>10802.0</v>
      </c>
      <c r="B1452" s="7" t="s">
        <v>66</v>
      </c>
      <c r="C1452" s="24" t="str">
        <f>VLOOKUP(revenue[customerID],customers[],2,FALSE)</f>
        <v>Simons bistro</v>
      </c>
      <c r="D1452" s="24" t="str">
        <f>VLOOKUP(revenue[customerID],customers[],6,FALSE)</f>
        <v>Kobenhavn</v>
      </c>
      <c r="E1452" s="24" t="str">
        <f>VLOOKUP(revenue[customerID],customers[],9,FALSE)</f>
        <v>Denmark</v>
      </c>
      <c r="F1452" s="24">
        <v>45289.0</v>
      </c>
      <c r="G1452" s="6">
        <v>55.0</v>
      </c>
      <c r="H1452" s="9" t="str">
        <f>VLOOKUP(revenue[productID],products[],2,FALSE)</f>
        <v>Pâté chinois</v>
      </c>
      <c r="I1452" s="9" t="str">
        <f>VLOOKUP(revenue[productID],products[],12,FALSE)</f>
        <v>Meat/Poultry</v>
      </c>
      <c r="J1452" s="9">
        <f>VLOOKUP(revenue[productID],products[],IF(YEAR(revenue[orderDate])=2022,8,IF(YEAR(revenue[orderDate])=2023,9,IF(YEAR(revenue[orderDate])=2024,10,NA))),FALSE)</f>
        <v>14.92398776</v>
      </c>
      <c r="K1452" s="9">
        <v>24.0</v>
      </c>
      <c r="L1452" s="25">
        <f>(revenue[orderPrice]-revenue[productCost])/revenue[productCost]</f>
        <v>0.6081492681</v>
      </c>
      <c r="M1452" s="10">
        <v>60.0</v>
      </c>
      <c r="N1452" s="25">
        <v>0.25</v>
      </c>
      <c r="O1452" s="9">
        <f>revenue[orderPrice]*revenue[orderQuantity]</f>
        <v>1440</v>
      </c>
      <c r="P1452" s="9">
        <f>revenue[orderTotal]*(1-revenue[discountApllied])</f>
        <v>1080</v>
      </c>
      <c r="Q1452" s="9">
        <f>revenue[revenue]-(revenue[productCost]*revenue[orderQuantity])</f>
        <v>184.5607342</v>
      </c>
      <c r="R1452" s="25">
        <f>IFERROR(revenue[profit]/revenue[revenue], 0)</f>
        <v>0.1708895687</v>
      </c>
      <c r="S1452" s="9">
        <f>revenue[productCost]*revenue[orderQuantity]</f>
        <v>895.4392658</v>
      </c>
    </row>
    <row r="1453" ht="15.75" customHeight="1">
      <c r="A1453" s="6">
        <v>10802.0</v>
      </c>
      <c r="B1453" s="7" t="s">
        <v>66</v>
      </c>
      <c r="C1453" s="24" t="str">
        <f>VLOOKUP(revenue[customerID],customers[],2,FALSE)</f>
        <v>Simons bistro</v>
      </c>
      <c r="D1453" s="24" t="str">
        <f>VLOOKUP(revenue[customerID],customers[],6,FALSE)</f>
        <v>Kobenhavn</v>
      </c>
      <c r="E1453" s="24" t="str">
        <f>VLOOKUP(revenue[customerID],customers[],9,FALSE)</f>
        <v>Denmark</v>
      </c>
      <c r="F1453" s="24">
        <v>45289.0</v>
      </c>
      <c r="G1453" s="6">
        <v>62.0</v>
      </c>
      <c r="H1453" s="9" t="str">
        <f>VLOOKUP(revenue[productID],products[],2,FALSE)</f>
        <v>Tarte au sucre</v>
      </c>
      <c r="I1453" s="9" t="str">
        <f>VLOOKUP(revenue[productID],products[],12,FALSE)</f>
        <v>Confections</v>
      </c>
      <c r="J1453" s="9">
        <f>VLOOKUP(revenue[productID],products[],IF(YEAR(revenue[orderDate])=2022,8,IF(YEAR(revenue[orderDate])=2023,9,IF(YEAR(revenue[orderDate])=2024,10,NA))),FALSE)</f>
        <v>35.34792781</v>
      </c>
      <c r="K1453" s="9">
        <v>49.3</v>
      </c>
      <c r="L1453" s="25">
        <f>(revenue[orderPrice]-revenue[productCost])/revenue[productCost]</f>
        <v>0.3947069335</v>
      </c>
      <c r="M1453" s="10">
        <v>5.0</v>
      </c>
      <c r="N1453" s="25">
        <v>0.25</v>
      </c>
      <c r="O1453" s="9">
        <f>revenue[orderPrice]*revenue[orderQuantity]</f>
        <v>246.5</v>
      </c>
      <c r="P1453" s="9">
        <f>revenue[orderTotal]*(1-revenue[discountApllied])</f>
        <v>184.875</v>
      </c>
      <c r="Q1453" s="9">
        <f>revenue[revenue]-(revenue[productCost]*revenue[orderQuantity])</f>
        <v>8.135360953</v>
      </c>
      <c r="R1453" s="25">
        <f>IFERROR(revenue[profit]/revenue[revenue], 0)</f>
        <v>0.04400465695</v>
      </c>
      <c r="S1453" s="9">
        <f>revenue[productCost]*revenue[orderQuantity]</f>
        <v>176.739639</v>
      </c>
    </row>
    <row r="1454" ht="15.75" customHeight="1">
      <c r="A1454" s="6">
        <v>10803.0</v>
      </c>
      <c r="B1454" s="7" t="s">
        <v>22</v>
      </c>
      <c r="C1454" s="24" t="str">
        <f>VLOOKUP(revenue[customerID],customers[],2,FALSE)</f>
        <v>Wellington Importadora</v>
      </c>
      <c r="D1454" s="24" t="str">
        <f>VLOOKUP(revenue[customerID],customers[],6,FALSE)</f>
        <v>Resende</v>
      </c>
      <c r="E1454" s="24" t="str">
        <f>VLOOKUP(revenue[customerID],customers[],9,FALSE)</f>
        <v>Brazil</v>
      </c>
      <c r="F1454" s="24">
        <v>45290.0</v>
      </c>
      <c r="G1454" s="6">
        <v>19.0</v>
      </c>
      <c r="H1454" s="9" t="str">
        <f>VLOOKUP(revenue[productID],products[],2,FALSE)</f>
        <v>Teatime Chocolate Biscuits</v>
      </c>
      <c r="I1454" s="9" t="str">
        <f>VLOOKUP(revenue[productID],products[],12,FALSE)</f>
        <v>Confections</v>
      </c>
      <c r="J1454" s="9">
        <f>VLOOKUP(revenue[productID],products[],IF(YEAR(revenue[orderDate])=2022,8,IF(YEAR(revenue[orderDate])=2023,9,IF(YEAR(revenue[orderDate])=2024,10,NA))),FALSE)</f>
        <v>5.901883682</v>
      </c>
      <c r="K1454" s="9">
        <v>9.2</v>
      </c>
      <c r="L1454" s="25">
        <f>(revenue[orderPrice]-revenue[productCost])/revenue[productCost]</f>
        <v>0.5588243508</v>
      </c>
      <c r="M1454" s="10">
        <v>24.0</v>
      </c>
      <c r="N1454" s="25">
        <v>0.05</v>
      </c>
      <c r="O1454" s="9">
        <f>revenue[orderPrice]*revenue[orderQuantity]</f>
        <v>220.8</v>
      </c>
      <c r="P1454" s="9">
        <f>revenue[orderTotal]*(1-revenue[discountApllied])</f>
        <v>209.76</v>
      </c>
      <c r="Q1454" s="9">
        <f>revenue[revenue]-(revenue[productCost]*revenue[orderQuantity])</f>
        <v>68.11479162</v>
      </c>
      <c r="R1454" s="25">
        <f>IFERROR(revenue[profit]/revenue[revenue], 0)</f>
        <v>0.3247272675</v>
      </c>
      <c r="S1454" s="9">
        <f>revenue[productCost]*revenue[orderQuantity]</f>
        <v>141.6452084</v>
      </c>
    </row>
    <row r="1455" ht="15.75" customHeight="1">
      <c r="A1455" s="6">
        <v>10803.0</v>
      </c>
      <c r="B1455" s="7" t="s">
        <v>22</v>
      </c>
      <c r="C1455" s="24" t="str">
        <f>VLOOKUP(revenue[customerID],customers[],2,FALSE)</f>
        <v>Wellington Importadora</v>
      </c>
      <c r="D1455" s="24" t="str">
        <f>VLOOKUP(revenue[customerID],customers[],6,FALSE)</f>
        <v>Resende</v>
      </c>
      <c r="E1455" s="24" t="str">
        <f>VLOOKUP(revenue[customerID],customers[],9,FALSE)</f>
        <v>Brazil</v>
      </c>
      <c r="F1455" s="24">
        <v>45290.0</v>
      </c>
      <c r="G1455" s="6">
        <v>25.0</v>
      </c>
      <c r="H1455" s="9" t="str">
        <f>VLOOKUP(revenue[productID],products[],2,FALSE)</f>
        <v>HM Köstliche Kaiserschmarrn Knödelchen</v>
      </c>
      <c r="I1455" s="9" t="str">
        <f>VLOOKUP(revenue[productID],products[],12,FALSE)</f>
        <v>Confections</v>
      </c>
      <c r="J1455" s="9">
        <f>VLOOKUP(revenue[productID],products[],IF(YEAR(revenue[orderDate])=2022,8,IF(YEAR(revenue[orderDate])=2023,9,IF(YEAR(revenue[orderDate])=2024,10,NA))),FALSE)</f>
        <v>8.138200336</v>
      </c>
      <c r="K1455" s="9">
        <v>14.0</v>
      </c>
      <c r="L1455" s="25">
        <f>(revenue[orderPrice]-revenue[productCost])/revenue[productCost]</f>
        <v>0.7202820552</v>
      </c>
      <c r="M1455" s="10">
        <v>15.0</v>
      </c>
      <c r="N1455" s="25">
        <v>0.05</v>
      </c>
      <c r="O1455" s="9">
        <f>revenue[orderPrice]*revenue[orderQuantity]</f>
        <v>210</v>
      </c>
      <c r="P1455" s="9">
        <f>revenue[orderTotal]*(1-revenue[discountApllied])</f>
        <v>199.5</v>
      </c>
      <c r="Q1455" s="9">
        <f>revenue[revenue]-(revenue[productCost]*revenue[orderQuantity])</f>
        <v>77.42699496</v>
      </c>
      <c r="R1455" s="25">
        <f>IFERROR(revenue[profit]/revenue[revenue], 0)</f>
        <v>0.3881052379</v>
      </c>
      <c r="S1455" s="9">
        <f>revenue[productCost]*revenue[orderQuantity]</f>
        <v>122.073005</v>
      </c>
    </row>
    <row r="1456" ht="15.75" customHeight="1">
      <c r="A1456" s="6">
        <v>10803.0</v>
      </c>
      <c r="B1456" s="7" t="s">
        <v>22</v>
      </c>
      <c r="C1456" s="24" t="str">
        <f>VLOOKUP(revenue[customerID],customers[],2,FALSE)</f>
        <v>Wellington Importadora</v>
      </c>
      <c r="D1456" s="24" t="str">
        <f>VLOOKUP(revenue[customerID],customers[],6,FALSE)</f>
        <v>Resende</v>
      </c>
      <c r="E1456" s="24" t="str">
        <f>VLOOKUP(revenue[customerID],customers[],9,FALSE)</f>
        <v>Brazil</v>
      </c>
      <c r="F1456" s="24">
        <v>45290.0</v>
      </c>
      <c r="G1456" s="6">
        <v>59.0</v>
      </c>
      <c r="H1456" s="9" t="str">
        <f>VLOOKUP(revenue[productID],products[],2,FALSE)</f>
        <v>Raclette Courdavault</v>
      </c>
      <c r="I1456" s="9" t="str">
        <f>VLOOKUP(revenue[productID],products[],12,FALSE)</f>
        <v>Dairy Products</v>
      </c>
      <c r="J1456" s="9">
        <f>VLOOKUP(revenue[productID],products[],IF(YEAR(revenue[orderDate])=2022,8,IF(YEAR(revenue[orderDate])=2023,9,IF(YEAR(revenue[orderDate])=2024,10,NA))),FALSE)</f>
        <v>35.20472566</v>
      </c>
      <c r="K1456" s="9">
        <v>55.0</v>
      </c>
      <c r="L1456" s="25">
        <f>(revenue[orderPrice]-revenue[productCost])/revenue[productCost]</f>
        <v>0.5622902598</v>
      </c>
      <c r="M1456" s="10">
        <v>15.0</v>
      </c>
      <c r="N1456" s="25">
        <v>0.05</v>
      </c>
      <c r="O1456" s="9">
        <f>revenue[orderPrice]*revenue[orderQuantity]</f>
        <v>825</v>
      </c>
      <c r="P1456" s="9">
        <f>revenue[orderTotal]*(1-revenue[discountApllied])</f>
        <v>783.75</v>
      </c>
      <c r="Q1456" s="9">
        <f>revenue[revenue]-(revenue[productCost]*revenue[orderQuantity])</f>
        <v>255.6791151</v>
      </c>
      <c r="R1456" s="25">
        <f>IFERROR(revenue[profit]/revenue[revenue], 0)</f>
        <v>0.3262253462</v>
      </c>
      <c r="S1456" s="9">
        <f>revenue[productCost]*revenue[orderQuantity]</f>
        <v>528.0708849</v>
      </c>
    </row>
    <row r="1457" ht="15.75" customHeight="1">
      <c r="A1457" s="6">
        <v>10804.0</v>
      </c>
      <c r="B1457" s="7" t="s">
        <v>71</v>
      </c>
      <c r="C1457" s="24" t="str">
        <f>VLOOKUP(revenue[customerID],customers[],2,FALSE)</f>
        <v>Seven Seas Imports</v>
      </c>
      <c r="D1457" s="24" t="str">
        <f>VLOOKUP(revenue[customerID],customers[],6,FALSE)</f>
        <v>London</v>
      </c>
      <c r="E1457" s="24" t="str">
        <f>VLOOKUP(revenue[customerID],customers[],9,FALSE)</f>
        <v>UK</v>
      </c>
      <c r="F1457" s="24">
        <v>45290.0</v>
      </c>
      <c r="G1457" s="6">
        <v>10.0</v>
      </c>
      <c r="H1457" s="9" t="str">
        <f>VLOOKUP(revenue[productID],products[],2,FALSE)</f>
        <v>Ikura</v>
      </c>
      <c r="I1457" s="9" t="str">
        <f>VLOOKUP(revenue[productID],products[],12,FALSE)</f>
        <v>Seafood</v>
      </c>
      <c r="J1457" s="9">
        <f>VLOOKUP(revenue[productID],products[],IF(YEAR(revenue[orderDate])=2022,8,IF(YEAR(revenue[orderDate])=2023,9,IF(YEAR(revenue[orderDate])=2024,10,NA))),FALSE)</f>
        <v>20.72721922</v>
      </c>
      <c r="K1457" s="9">
        <v>31.0</v>
      </c>
      <c r="L1457" s="25">
        <f>(revenue[orderPrice]-revenue[productCost])/revenue[productCost]</f>
        <v>0.4956178962</v>
      </c>
      <c r="M1457" s="10">
        <v>36.0</v>
      </c>
      <c r="N1457" s="25">
        <v>0.0</v>
      </c>
      <c r="O1457" s="9">
        <f>revenue[orderPrice]*revenue[orderQuantity]</f>
        <v>1116</v>
      </c>
      <c r="P1457" s="9">
        <f>revenue[orderTotal]*(1-revenue[discountApllied])</f>
        <v>1116</v>
      </c>
      <c r="Q1457" s="9">
        <f>revenue[revenue]-(revenue[productCost]*revenue[orderQuantity])</f>
        <v>369.8201082</v>
      </c>
      <c r="R1457" s="25">
        <f>IFERROR(revenue[profit]/revenue[revenue], 0)</f>
        <v>0.3313800252</v>
      </c>
      <c r="S1457" s="9">
        <f>revenue[productCost]*revenue[orderQuantity]</f>
        <v>746.1798918</v>
      </c>
    </row>
    <row r="1458" ht="15.75" customHeight="1">
      <c r="A1458" s="6">
        <v>10804.0</v>
      </c>
      <c r="B1458" s="7" t="s">
        <v>71</v>
      </c>
      <c r="C1458" s="24" t="str">
        <f>VLOOKUP(revenue[customerID],customers[],2,FALSE)</f>
        <v>Seven Seas Imports</v>
      </c>
      <c r="D1458" s="24" t="str">
        <f>VLOOKUP(revenue[customerID],customers[],6,FALSE)</f>
        <v>London</v>
      </c>
      <c r="E1458" s="24" t="str">
        <f>VLOOKUP(revenue[customerID],customers[],9,FALSE)</f>
        <v>UK</v>
      </c>
      <c r="F1458" s="24">
        <v>45290.0</v>
      </c>
      <c r="G1458" s="6">
        <v>28.0</v>
      </c>
      <c r="H1458" s="9" t="str">
        <f>VLOOKUP(revenue[productID],products[],2,FALSE)</f>
        <v>Rössle Sauerkraut</v>
      </c>
      <c r="I1458" s="9" t="str">
        <f>VLOOKUP(revenue[productID],products[],12,FALSE)</f>
        <v>Produce</v>
      </c>
      <c r="J1458" s="9">
        <f>VLOOKUP(revenue[productID],products[],IF(YEAR(revenue[orderDate])=2022,8,IF(YEAR(revenue[orderDate])=2023,9,IF(YEAR(revenue[orderDate])=2024,10,NA))),FALSE)</f>
        <v>31.52644578</v>
      </c>
      <c r="K1458" s="9">
        <v>45.6</v>
      </c>
      <c r="L1458" s="25">
        <f>(revenue[orderPrice]-revenue[productCost])/revenue[productCost]</f>
        <v>0.4464047207</v>
      </c>
      <c r="M1458" s="10">
        <v>24.0</v>
      </c>
      <c r="N1458" s="25">
        <v>0.0</v>
      </c>
      <c r="O1458" s="9">
        <f>revenue[orderPrice]*revenue[orderQuantity]</f>
        <v>1094.4</v>
      </c>
      <c r="P1458" s="9">
        <f>revenue[orderTotal]*(1-revenue[discountApllied])</f>
        <v>1094.4</v>
      </c>
      <c r="Q1458" s="9">
        <f>revenue[revenue]-(revenue[productCost]*revenue[orderQuantity])</f>
        <v>337.7653013</v>
      </c>
      <c r="R1458" s="25">
        <f>IFERROR(revenue[profit]/revenue[revenue], 0)</f>
        <v>0.308630575</v>
      </c>
      <c r="S1458" s="9">
        <f>revenue[productCost]*revenue[orderQuantity]</f>
        <v>756.6346987</v>
      </c>
    </row>
    <row r="1459" ht="15.75" customHeight="1">
      <c r="A1459" s="6">
        <v>10804.0</v>
      </c>
      <c r="B1459" s="7" t="s">
        <v>71</v>
      </c>
      <c r="C1459" s="24" t="str">
        <f>VLOOKUP(revenue[customerID],customers[],2,FALSE)</f>
        <v>Seven Seas Imports</v>
      </c>
      <c r="D1459" s="24" t="str">
        <f>VLOOKUP(revenue[customerID],customers[],6,FALSE)</f>
        <v>London</v>
      </c>
      <c r="E1459" s="24" t="str">
        <f>VLOOKUP(revenue[customerID],customers[],9,FALSE)</f>
        <v>UK</v>
      </c>
      <c r="F1459" s="24">
        <v>45290.0</v>
      </c>
      <c r="G1459" s="6">
        <v>49.0</v>
      </c>
      <c r="H1459" s="9" t="str">
        <f>VLOOKUP(revenue[productID],products[],2,FALSE)</f>
        <v>Maxilaku</v>
      </c>
      <c r="I1459" s="9" t="str">
        <f>VLOOKUP(revenue[productID],products[],12,FALSE)</f>
        <v>Confections</v>
      </c>
      <c r="J1459" s="9">
        <f>VLOOKUP(revenue[productID],products[],IF(YEAR(revenue[orderDate])=2022,8,IF(YEAR(revenue[orderDate])=2023,9,IF(YEAR(revenue[orderDate])=2024,10,NA))),FALSE)</f>
        <v>13.04112285</v>
      </c>
      <c r="K1459" s="9">
        <v>20.0</v>
      </c>
      <c r="L1459" s="25">
        <f>(revenue[orderPrice]-revenue[productCost])/revenue[productCost]</f>
        <v>0.5336102746</v>
      </c>
      <c r="M1459" s="10">
        <v>4.0</v>
      </c>
      <c r="N1459" s="25">
        <v>0.15</v>
      </c>
      <c r="O1459" s="9">
        <f>revenue[orderPrice]*revenue[orderQuantity]</f>
        <v>80</v>
      </c>
      <c r="P1459" s="9">
        <f>revenue[orderTotal]*(1-revenue[discountApllied])</f>
        <v>68</v>
      </c>
      <c r="Q1459" s="9">
        <f>revenue[revenue]-(revenue[productCost]*revenue[orderQuantity])</f>
        <v>15.83550859</v>
      </c>
      <c r="R1459" s="25">
        <f>IFERROR(revenue[profit]/revenue[revenue], 0)</f>
        <v>0.2328751263</v>
      </c>
      <c r="S1459" s="9">
        <f>revenue[productCost]*revenue[orderQuantity]</f>
        <v>52.16449141</v>
      </c>
    </row>
    <row r="1460" ht="15.75" customHeight="1">
      <c r="A1460" s="6">
        <v>10805.0</v>
      </c>
      <c r="B1460" s="7" t="s">
        <v>55</v>
      </c>
      <c r="C1460" s="24" t="str">
        <f>VLOOKUP(revenue[customerID],customers[],2,FALSE)</f>
        <v>The Big Cheese</v>
      </c>
      <c r="D1460" s="24" t="str">
        <f>VLOOKUP(revenue[customerID],customers[],6,FALSE)</f>
        <v>Portland</v>
      </c>
      <c r="E1460" s="24" t="str">
        <f>VLOOKUP(revenue[customerID],customers[],9,FALSE)</f>
        <v>USA</v>
      </c>
      <c r="F1460" s="24">
        <v>45290.0</v>
      </c>
      <c r="G1460" s="6">
        <v>34.0</v>
      </c>
      <c r="H1460" s="9" t="str">
        <f>VLOOKUP(revenue[productID],products[],2,FALSE)</f>
        <v>Sasquatch Ale</v>
      </c>
      <c r="I1460" s="9" t="str">
        <f>VLOOKUP(revenue[productID],products[],12,FALSE)</f>
        <v>Beverages</v>
      </c>
      <c r="J1460" s="9">
        <f>VLOOKUP(revenue[productID],products[],IF(YEAR(revenue[orderDate])=2022,8,IF(YEAR(revenue[orderDate])=2023,9,IF(YEAR(revenue[orderDate])=2024,10,NA))),FALSE)</f>
        <v>8.955654061</v>
      </c>
      <c r="K1460" s="9">
        <v>14.0</v>
      </c>
      <c r="L1460" s="25">
        <f>(revenue[orderPrice]-revenue[productCost])/revenue[productCost]</f>
        <v>0.5632582394</v>
      </c>
      <c r="M1460" s="10">
        <v>10.0</v>
      </c>
      <c r="N1460" s="25">
        <v>0.0</v>
      </c>
      <c r="O1460" s="9">
        <f>revenue[orderPrice]*revenue[orderQuantity]</f>
        <v>140</v>
      </c>
      <c r="P1460" s="9">
        <f>revenue[orderTotal]*(1-revenue[discountApllied])</f>
        <v>140</v>
      </c>
      <c r="Q1460" s="9">
        <f>revenue[revenue]-(revenue[productCost]*revenue[orderQuantity])</f>
        <v>50.44345939</v>
      </c>
      <c r="R1460" s="25">
        <f>IFERROR(revenue[profit]/revenue[revenue], 0)</f>
        <v>0.3603104242</v>
      </c>
      <c r="S1460" s="9">
        <f>revenue[productCost]*revenue[orderQuantity]</f>
        <v>89.55654061</v>
      </c>
    </row>
    <row r="1461" ht="15.75" customHeight="1">
      <c r="A1461" s="6">
        <v>10805.0</v>
      </c>
      <c r="B1461" s="7" t="s">
        <v>55</v>
      </c>
      <c r="C1461" s="24" t="str">
        <f>VLOOKUP(revenue[customerID],customers[],2,FALSE)</f>
        <v>The Big Cheese</v>
      </c>
      <c r="D1461" s="24" t="str">
        <f>VLOOKUP(revenue[customerID],customers[],6,FALSE)</f>
        <v>Portland</v>
      </c>
      <c r="E1461" s="24" t="str">
        <f>VLOOKUP(revenue[customerID],customers[],9,FALSE)</f>
        <v>USA</v>
      </c>
      <c r="F1461" s="24">
        <v>45290.0</v>
      </c>
      <c r="G1461" s="6">
        <v>38.0</v>
      </c>
      <c r="H1461" s="9" t="str">
        <f>VLOOKUP(revenue[productID],products[],2,FALSE)</f>
        <v>Côte de Blaye</v>
      </c>
      <c r="I1461" s="9" t="str">
        <f>VLOOKUP(revenue[productID],products[],12,FALSE)</f>
        <v>Beverages</v>
      </c>
      <c r="J1461" s="9">
        <f>VLOOKUP(revenue[productID],products[],IF(YEAR(revenue[orderDate])=2022,8,IF(YEAR(revenue[orderDate])=2023,9,IF(YEAR(revenue[orderDate])=2024,10,NA))),FALSE)</f>
        <v>175.9515711</v>
      </c>
      <c r="K1461" s="9">
        <v>263.5</v>
      </c>
      <c r="L1461" s="25">
        <f>(revenue[orderPrice]-revenue[productCost])/revenue[productCost]</f>
        <v>0.4975711688</v>
      </c>
      <c r="M1461" s="10">
        <v>10.0</v>
      </c>
      <c r="N1461" s="25">
        <v>0.0</v>
      </c>
      <c r="O1461" s="9">
        <f>revenue[orderPrice]*revenue[orderQuantity]</f>
        <v>2635</v>
      </c>
      <c r="P1461" s="9">
        <f>revenue[orderTotal]*(1-revenue[discountApllied])</f>
        <v>2635</v>
      </c>
      <c r="Q1461" s="9">
        <f>revenue[revenue]-(revenue[productCost]*revenue[orderQuantity])</f>
        <v>875.4842889</v>
      </c>
      <c r="R1461" s="25">
        <f>IFERROR(revenue[profit]/revenue[revenue], 0)</f>
        <v>0.3322521021</v>
      </c>
      <c r="S1461" s="9">
        <f>revenue[productCost]*revenue[orderQuantity]</f>
        <v>1759.515711</v>
      </c>
    </row>
    <row r="1462" ht="15.75" customHeight="1">
      <c r="A1462" s="6">
        <v>10806.0</v>
      </c>
      <c r="B1462" s="7" t="s">
        <v>18</v>
      </c>
      <c r="C1462" s="24" t="str">
        <f>VLOOKUP(revenue[customerID],customers[],2,FALSE)</f>
        <v>Victuailles en stock</v>
      </c>
      <c r="D1462" s="24" t="str">
        <f>VLOOKUP(revenue[customerID],customers[],6,FALSE)</f>
        <v>Lyon</v>
      </c>
      <c r="E1462" s="24" t="str">
        <f>VLOOKUP(revenue[customerID],customers[],9,FALSE)</f>
        <v>France</v>
      </c>
      <c r="F1462" s="24">
        <v>45291.0</v>
      </c>
      <c r="G1462" s="6">
        <v>2.0</v>
      </c>
      <c r="H1462" s="9" t="str">
        <f>VLOOKUP(revenue[productID],products[],2,FALSE)</f>
        <v>Chang</v>
      </c>
      <c r="I1462" s="9" t="str">
        <f>VLOOKUP(revenue[productID],products[],12,FALSE)</f>
        <v>Beverages</v>
      </c>
      <c r="J1462" s="9">
        <f>VLOOKUP(revenue[productID],products[],IF(YEAR(revenue[orderDate])=2022,8,IF(YEAR(revenue[orderDate])=2023,9,IF(YEAR(revenue[orderDate])=2024,10,NA))),FALSE)</f>
        <v>12.14626904</v>
      </c>
      <c r="K1462" s="9">
        <v>19.0</v>
      </c>
      <c r="L1462" s="25">
        <f>(revenue[orderPrice]-revenue[productCost])/revenue[productCost]</f>
        <v>0.5642663547</v>
      </c>
      <c r="M1462" s="10">
        <v>20.0</v>
      </c>
      <c r="N1462" s="25">
        <v>0.25</v>
      </c>
      <c r="O1462" s="9">
        <f>revenue[orderPrice]*revenue[orderQuantity]</f>
        <v>380</v>
      </c>
      <c r="P1462" s="9">
        <f>revenue[orderTotal]*(1-revenue[discountApllied])</f>
        <v>285</v>
      </c>
      <c r="Q1462" s="9">
        <f>revenue[revenue]-(revenue[productCost]*revenue[orderQuantity])</f>
        <v>42.07461912</v>
      </c>
      <c r="R1462" s="25">
        <f>IFERROR(revenue[profit]/revenue[revenue], 0)</f>
        <v>0.1476302425</v>
      </c>
      <c r="S1462" s="9">
        <f>revenue[productCost]*revenue[orderQuantity]</f>
        <v>242.9253809</v>
      </c>
    </row>
    <row r="1463" ht="15.75" customHeight="1">
      <c r="A1463" s="6">
        <v>10806.0</v>
      </c>
      <c r="B1463" s="7" t="s">
        <v>18</v>
      </c>
      <c r="C1463" s="24" t="str">
        <f>VLOOKUP(revenue[customerID],customers[],2,FALSE)</f>
        <v>Victuailles en stock</v>
      </c>
      <c r="D1463" s="24" t="str">
        <f>VLOOKUP(revenue[customerID],customers[],6,FALSE)</f>
        <v>Lyon</v>
      </c>
      <c r="E1463" s="24" t="str">
        <f>VLOOKUP(revenue[customerID],customers[],9,FALSE)</f>
        <v>France</v>
      </c>
      <c r="F1463" s="24">
        <v>45291.0</v>
      </c>
      <c r="G1463" s="6">
        <v>65.0</v>
      </c>
      <c r="H1463" s="9" t="str">
        <f>VLOOKUP(revenue[productID],products[],2,FALSE)</f>
        <v>Louisiana Fiery Hot Pepper Sauce</v>
      </c>
      <c r="I1463" s="9" t="str">
        <f>VLOOKUP(revenue[productID],products[],12,FALSE)</f>
        <v>Condiments</v>
      </c>
      <c r="J1463" s="9">
        <f>VLOOKUP(revenue[productID],products[],IF(YEAR(revenue[orderDate])=2022,8,IF(YEAR(revenue[orderDate])=2023,9,IF(YEAR(revenue[orderDate])=2024,10,NA))),FALSE)</f>
        <v>13.21122243</v>
      </c>
      <c r="K1463" s="9">
        <v>21.05</v>
      </c>
      <c r="L1463" s="25">
        <f>(revenue[orderPrice]-revenue[productCost])/revenue[productCost]</f>
        <v>0.593342335</v>
      </c>
      <c r="M1463" s="10">
        <v>2.0</v>
      </c>
      <c r="N1463" s="25">
        <v>0.0</v>
      </c>
      <c r="O1463" s="9">
        <f>revenue[orderPrice]*revenue[orderQuantity]</f>
        <v>42.1</v>
      </c>
      <c r="P1463" s="9">
        <f>revenue[orderTotal]*(1-revenue[discountApllied])</f>
        <v>42.1</v>
      </c>
      <c r="Q1463" s="9">
        <f>revenue[revenue]-(revenue[productCost]*revenue[orderQuantity])</f>
        <v>15.67755513</v>
      </c>
      <c r="R1463" s="25">
        <f>IFERROR(revenue[profit]/revenue[revenue], 0)</f>
        <v>0.372388483</v>
      </c>
      <c r="S1463" s="9">
        <f>revenue[productCost]*revenue[orderQuantity]</f>
        <v>26.42244487</v>
      </c>
    </row>
    <row r="1464" ht="15.75" customHeight="1">
      <c r="A1464" s="6">
        <v>10806.0</v>
      </c>
      <c r="B1464" s="7" t="s">
        <v>18</v>
      </c>
      <c r="C1464" s="24" t="str">
        <f>VLOOKUP(revenue[customerID],customers[],2,FALSE)</f>
        <v>Victuailles en stock</v>
      </c>
      <c r="D1464" s="24" t="str">
        <f>VLOOKUP(revenue[customerID],customers[],6,FALSE)</f>
        <v>Lyon</v>
      </c>
      <c r="E1464" s="24" t="str">
        <f>VLOOKUP(revenue[customerID],customers[],9,FALSE)</f>
        <v>France</v>
      </c>
      <c r="F1464" s="24">
        <v>45291.0</v>
      </c>
      <c r="G1464" s="6">
        <v>74.0</v>
      </c>
      <c r="H1464" s="9" t="str">
        <f>VLOOKUP(revenue[productID],products[],2,FALSE)</f>
        <v>Longlife Tofu</v>
      </c>
      <c r="I1464" s="9" t="str">
        <f>VLOOKUP(revenue[productID],products[],12,FALSE)</f>
        <v>Produce</v>
      </c>
      <c r="J1464" s="9">
        <f>VLOOKUP(revenue[productID],products[],IF(YEAR(revenue[orderDate])=2022,8,IF(YEAR(revenue[orderDate])=2023,9,IF(YEAR(revenue[orderDate])=2024,10,NA))),FALSE)</f>
        <v>6.510240467</v>
      </c>
      <c r="K1464" s="9">
        <v>10.0</v>
      </c>
      <c r="L1464" s="25">
        <f>(revenue[orderPrice]-revenue[productCost])/revenue[productCost]</f>
        <v>0.5360415719</v>
      </c>
      <c r="M1464" s="10">
        <v>15.0</v>
      </c>
      <c r="N1464" s="25">
        <v>0.25</v>
      </c>
      <c r="O1464" s="9">
        <f>revenue[orderPrice]*revenue[orderQuantity]</f>
        <v>150</v>
      </c>
      <c r="P1464" s="9">
        <f>revenue[orderTotal]*(1-revenue[discountApllied])</f>
        <v>112.5</v>
      </c>
      <c r="Q1464" s="9">
        <f>revenue[revenue]-(revenue[productCost]*revenue[orderQuantity])</f>
        <v>14.846393</v>
      </c>
      <c r="R1464" s="25">
        <f>IFERROR(revenue[profit]/revenue[revenue], 0)</f>
        <v>0.1319679378</v>
      </c>
      <c r="S1464" s="9">
        <f>revenue[productCost]*revenue[orderQuantity]</f>
        <v>97.653607</v>
      </c>
    </row>
    <row r="1465" ht="15.75" customHeight="1">
      <c r="A1465" s="6">
        <v>10807.0</v>
      </c>
      <c r="B1465" s="7" t="s">
        <v>85</v>
      </c>
      <c r="C1465" s="24" t="str">
        <f>VLOOKUP(revenue[customerID],customers[],2,FALSE)</f>
        <v>Franchi S.p.A.</v>
      </c>
      <c r="D1465" s="24" t="str">
        <f>VLOOKUP(revenue[customerID],customers[],6,FALSE)</f>
        <v>Torino</v>
      </c>
      <c r="E1465" s="24" t="str">
        <f>VLOOKUP(revenue[customerID],customers[],9,FALSE)</f>
        <v>Italy</v>
      </c>
      <c r="F1465" s="24">
        <v>45291.0</v>
      </c>
      <c r="G1465" s="6">
        <v>40.0</v>
      </c>
      <c r="H1465" s="9" t="str">
        <f>VLOOKUP(revenue[productID],products[],2,FALSE)</f>
        <v>Boston Crab Meat</v>
      </c>
      <c r="I1465" s="9" t="str">
        <f>VLOOKUP(revenue[productID],products[],12,FALSE)</f>
        <v>Seafood</v>
      </c>
      <c r="J1465" s="9">
        <f>VLOOKUP(revenue[productID],products[],IF(YEAR(revenue[orderDate])=2022,8,IF(YEAR(revenue[orderDate])=2023,9,IF(YEAR(revenue[orderDate])=2024,10,NA))),FALSE)</f>
        <v>11.40496523</v>
      </c>
      <c r="K1465" s="9">
        <v>18.4</v>
      </c>
      <c r="L1465" s="25">
        <f>(revenue[orderPrice]-revenue[productCost])/revenue[productCost]</f>
        <v>0.6133324069</v>
      </c>
      <c r="M1465" s="10">
        <v>1.0</v>
      </c>
      <c r="N1465" s="25">
        <v>0.0</v>
      </c>
      <c r="O1465" s="9">
        <f>revenue[orderPrice]*revenue[orderQuantity]</f>
        <v>18.4</v>
      </c>
      <c r="P1465" s="9">
        <f>revenue[orderTotal]*(1-revenue[discountApllied])</f>
        <v>18.4</v>
      </c>
      <c r="Q1465" s="9">
        <f>revenue[revenue]-(revenue[productCost]*revenue[orderQuantity])</f>
        <v>6.995034773</v>
      </c>
      <c r="R1465" s="25">
        <f>IFERROR(revenue[profit]/revenue[revenue], 0)</f>
        <v>0.3801649333</v>
      </c>
      <c r="S1465" s="9">
        <f>revenue[productCost]*revenue[orderQuantity]</f>
        <v>11.40496523</v>
      </c>
    </row>
    <row r="1466" ht="15.75" customHeight="1">
      <c r="A1466" s="6">
        <v>10808.0</v>
      </c>
      <c r="B1466" s="7" t="s">
        <v>52</v>
      </c>
      <c r="C1466" s="24" t="str">
        <f>VLOOKUP(revenue[customerID],customers[],2,FALSE)</f>
        <v>Old World Delicatessen</v>
      </c>
      <c r="D1466" s="24" t="str">
        <f>VLOOKUP(revenue[customerID],customers[],6,FALSE)</f>
        <v>Anchorage</v>
      </c>
      <c r="E1466" s="24" t="str">
        <f>VLOOKUP(revenue[customerID],customers[],9,FALSE)</f>
        <v>USA</v>
      </c>
      <c r="F1466" s="24">
        <v>45292.0</v>
      </c>
      <c r="G1466" s="6">
        <v>56.0</v>
      </c>
      <c r="H1466" s="9" t="str">
        <f>VLOOKUP(revenue[productID],products[],2,FALSE)</f>
        <v>Gnocchi di nonna Alice</v>
      </c>
      <c r="I1466" s="9" t="str">
        <f>VLOOKUP(revenue[productID],products[],12,FALSE)</f>
        <v>Grains/Cereals</v>
      </c>
      <c r="J1466" s="9">
        <f>VLOOKUP(revenue[productID],products[],IF(YEAR(revenue[orderDate])=2022,8,IF(YEAR(revenue[orderDate])=2023,9,IF(YEAR(revenue[orderDate])=2024,10,NA))),FALSE)</f>
        <v>27.53915851</v>
      </c>
      <c r="K1466" s="9">
        <v>38.0</v>
      </c>
      <c r="L1466" s="25">
        <f>(revenue[orderPrice]-revenue[productCost])/revenue[productCost]</f>
        <v>0.3798533452</v>
      </c>
      <c r="M1466" s="10">
        <v>20.0</v>
      </c>
      <c r="N1466" s="25">
        <v>0.15</v>
      </c>
      <c r="O1466" s="9">
        <f>revenue[orderPrice]*revenue[orderQuantity]</f>
        <v>760</v>
      </c>
      <c r="P1466" s="9">
        <f>revenue[orderTotal]*(1-revenue[discountApllied])</f>
        <v>646</v>
      </c>
      <c r="Q1466" s="9">
        <f>revenue[revenue]-(revenue[productCost]*revenue[orderQuantity])</f>
        <v>95.21682972</v>
      </c>
      <c r="R1466" s="25">
        <f>IFERROR(revenue[profit]/revenue[revenue], 0)</f>
        <v>0.1473944733</v>
      </c>
      <c r="S1466" s="9">
        <f>revenue[productCost]*revenue[orderQuantity]</f>
        <v>550.7831703</v>
      </c>
    </row>
    <row r="1467" ht="15.75" customHeight="1">
      <c r="A1467" s="6">
        <v>10808.0</v>
      </c>
      <c r="B1467" s="7" t="s">
        <v>52</v>
      </c>
      <c r="C1467" s="24" t="str">
        <f>VLOOKUP(revenue[customerID],customers[],2,FALSE)</f>
        <v>Old World Delicatessen</v>
      </c>
      <c r="D1467" s="24" t="str">
        <f>VLOOKUP(revenue[customerID],customers[],6,FALSE)</f>
        <v>Anchorage</v>
      </c>
      <c r="E1467" s="24" t="str">
        <f>VLOOKUP(revenue[customerID],customers[],9,FALSE)</f>
        <v>USA</v>
      </c>
      <c r="F1467" s="24">
        <v>45292.0</v>
      </c>
      <c r="G1467" s="6">
        <v>76.0</v>
      </c>
      <c r="H1467" s="9" t="str">
        <f>VLOOKUP(revenue[productID],products[],2,FALSE)</f>
        <v>Lakkalikööri</v>
      </c>
      <c r="I1467" s="9" t="str">
        <f>VLOOKUP(revenue[productID],products[],12,FALSE)</f>
        <v>Beverages</v>
      </c>
      <c r="J1467" s="9">
        <f>VLOOKUP(revenue[productID],products[],IF(YEAR(revenue[orderDate])=2022,8,IF(YEAR(revenue[orderDate])=2023,9,IF(YEAR(revenue[orderDate])=2024,10,NA))),FALSE)</f>
        <v>12.15832249</v>
      </c>
      <c r="K1467" s="9">
        <v>18.0</v>
      </c>
      <c r="L1467" s="25">
        <f>(revenue[orderPrice]-revenue[productCost])/revenue[productCost]</f>
        <v>0.4804673928</v>
      </c>
      <c r="M1467" s="10">
        <v>50.0</v>
      </c>
      <c r="N1467" s="25">
        <v>0.15</v>
      </c>
      <c r="O1467" s="9">
        <f>revenue[orderPrice]*revenue[orderQuantity]</f>
        <v>900</v>
      </c>
      <c r="P1467" s="9">
        <f>revenue[orderTotal]*(1-revenue[discountApllied])</f>
        <v>765</v>
      </c>
      <c r="Q1467" s="9">
        <f>revenue[revenue]-(revenue[productCost]*revenue[orderQuantity])</f>
        <v>157.0838754</v>
      </c>
      <c r="R1467" s="25">
        <f>IFERROR(revenue[profit]/revenue[revenue], 0)</f>
        <v>0.2053383993</v>
      </c>
      <c r="S1467" s="9">
        <f>revenue[productCost]*revenue[orderQuantity]</f>
        <v>607.9161246</v>
      </c>
    </row>
    <row r="1468" ht="15.75" customHeight="1">
      <c r="A1468" s="6">
        <v>10809.0</v>
      </c>
      <c r="B1468" s="7" t="s">
        <v>22</v>
      </c>
      <c r="C1468" s="24" t="str">
        <f>VLOOKUP(revenue[customerID],customers[],2,FALSE)</f>
        <v>Wellington Importadora</v>
      </c>
      <c r="D1468" s="24" t="str">
        <f>VLOOKUP(revenue[customerID],customers[],6,FALSE)</f>
        <v>Resende</v>
      </c>
      <c r="E1468" s="24" t="str">
        <f>VLOOKUP(revenue[customerID],customers[],9,FALSE)</f>
        <v>Brazil</v>
      </c>
      <c r="F1468" s="24">
        <v>45292.0</v>
      </c>
      <c r="G1468" s="6">
        <v>52.0</v>
      </c>
      <c r="H1468" s="9" t="str">
        <f>VLOOKUP(revenue[productID],products[],2,FALSE)</f>
        <v>Filo Mix</v>
      </c>
      <c r="I1468" s="9" t="str">
        <f>VLOOKUP(revenue[productID],products[],12,FALSE)</f>
        <v>Grains/Cereals</v>
      </c>
      <c r="J1468" s="9">
        <f>VLOOKUP(revenue[productID],products[],IF(YEAR(revenue[orderDate])=2022,8,IF(YEAR(revenue[orderDate])=2023,9,IF(YEAR(revenue[orderDate])=2024,10,NA))),FALSE)</f>
        <v>5.222223442</v>
      </c>
      <c r="K1468" s="9">
        <v>7.0</v>
      </c>
      <c r="L1468" s="25">
        <f>(revenue[orderPrice]-revenue[productCost])/revenue[productCost]</f>
        <v>0.3404252188</v>
      </c>
      <c r="M1468" s="10">
        <v>20.0</v>
      </c>
      <c r="N1468" s="25">
        <v>0.0</v>
      </c>
      <c r="O1468" s="9">
        <f>revenue[orderPrice]*revenue[orderQuantity]</f>
        <v>140</v>
      </c>
      <c r="P1468" s="9">
        <f>revenue[orderTotal]*(1-revenue[discountApllied])</f>
        <v>140</v>
      </c>
      <c r="Q1468" s="9">
        <f>revenue[revenue]-(revenue[productCost]*revenue[orderQuantity])</f>
        <v>35.55553116</v>
      </c>
      <c r="R1468" s="25">
        <f>IFERROR(revenue[profit]/revenue[revenue], 0)</f>
        <v>0.2539680797</v>
      </c>
      <c r="S1468" s="9">
        <f>revenue[productCost]*revenue[orderQuantity]</f>
        <v>104.4444688</v>
      </c>
    </row>
    <row r="1469" ht="15.75" customHeight="1">
      <c r="A1469" s="6">
        <v>10810.0</v>
      </c>
      <c r="B1469" s="7" t="s">
        <v>90</v>
      </c>
      <c r="C1469" s="24" t="str">
        <f>VLOOKUP(revenue[customerID],customers[],2,FALSE)</f>
        <v>Laughing Bacchus Wine Cellars</v>
      </c>
      <c r="D1469" s="24" t="str">
        <f>VLOOKUP(revenue[customerID],customers[],6,FALSE)</f>
        <v>Vancouver</v>
      </c>
      <c r="E1469" s="24" t="str">
        <f>VLOOKUP(revenue[customerID],customers[],9,FALSE)</f>
        <v>Canada</v>
      </c>
      <c r="F1469" s="24">
        <v>45292.0</v>
      </c>
      <c r="G1469" s="6">
        <v>13.0</v>
      </c>
      <c r="H1469" s="9" t="str">
        <f>VLOOKUP(revenue[productID],products[],2,FALSE)</f>
        <v>Konbu</v>
      </c>
      <c r="I1469" s="9" t="str">
        <f>VLOOKUP(revenue[productID],products[],12,FALSE)</f>
        <v>Seafood</v>
      </c>
      <c r="J1469" s="9">
        <f>VLOOKUP(revenue[productID],products[],IF(YEAR(revenue[orderDate])=2022,8,IF(YEAR(revenue[orderDate])=2023,9,IF(YEAR(revenue[orderDate])=2024,10,NA))),FALSE)</f>
        <v>3.966387047</v>
      </c>
      <c r="K1469" s="9">
        <v>6.0</v>
      </c>
      <c r="L1469" s="25">
        <f>(revenue[orderPrice]-revenue[productCost])/revenue[productCost]</f>
        <v>0.5127116768</v>
      </c>
      <c r="M1469" s="10">
        <v>7.0</v>
      </c>
      <c r="N1469" s="25">
        <v>0.0</v>
      </c>
      <c r="O1469" s="9">
        <f>revenue[orderPrice]*revenue[orderQuantity]</f>
        <v>42</v>
      </c>
      <c r="P1469" s="9">
        <f>revenue[orderTotal]*(1-revenue[discountApllied])</f>
        <v>42</v>
      </c>
      <c r="Q1469" s="9">
        <f>revenue[revenue]-(revenue[productCost]*revenue[orderQuantity])</f>
        <v>14.23529067</v>
      </c>
      <c r="R1469" s="25">
        <f>IFERROR(revenue[profit]/revenue[revenue], 0)</f>
        <v>0.3389354922</v>
      </c>
      <c r="S1469" s="9">
        <f>revenue[productCost]*revenue[orderQuantity]</f>
        <v>27.76470933</v>
      </c>
    </row>
    <row r="1470" ht="15.75" customHeight="1">
      <c r="A1470" s="6">
        <v>10810.0</v>
      </c>
      <c r="B1470" s="7" t="s">
        <v>90</v>
      </c>
      <c r="C1470" s="24" t="str">
        <f>VLOOKUP(revenue[customerID],customers[],2,FALSE)</f>
        <v>Laughing Bacchus Wine Cellars</v>
      </c>
      <c r="D1470" s="24" t="str">
        <f>VLOOKUP(revenue[customerID],customers[],6,FALSE)</f>
        <v>Vancouver</v>
      </c>
      <c r="E1470" s="24" t="str">
        <f>VLOOKUP(revenue[customerID],customers[],9,FALSE)</f>
        <v>Canada</v>
      </c>
      <c r="F1470" s="24">
        <v>45292.0</v>
      </c>
      <c r="G1470" s="6">
        <v>25.0</v>
      </c>
      <c r="H1470" s="9" t="str">
        <f>VLOOKUP(revenue[productID],products[],2,FALSE)</f>
        <v>HM Köstliche Kaiserschmarrn Knödelchen</v>
      </c>
      <c r="I1470" s="9" t="str">
        <f>VLOOKUP(revenue[productID],products[],12,FALSE)</f>
        <v>Confections</v>
      </c>
      <c r="J1470" s="9">
        <f>VLOOKUP(revenue[productID],products[],IF(YEAR(revenue[orderDate])=2022,8,IF(YEAR(revenue[orderDate])=2023,9,IF(YEAR(revenue[orderDate])=2024,10,NA))),FALSE)</f>
        <v>8.782270815</v>
      </c>
      <c r="K1470" s="9">
        <v>14.0</v>
      </c>
      <c r="L1470" s="25">
        <f>(revenue[orderPrice]-revenue[productCost])/revenue[productCost]</f>
        <v>0.5941207342</v>
      </c>
      <c r="M1470" s="10">
        <v>5.0</v>
      </c>
      <c r="N1470" s="25">
        <v>0.0</v>
      </c>
      <c r="O1470" s="9">
        <f>revenue[orderPrice]*revenue[orderQuantity]</f>
        <v>70</v>
      </c>
      <c r="P1470" s="9">
        <f>revenue[orderTotal]*(1-revenue[discountApllied])</f>
        <v>70</v>
      </c>
      <c r="Q1470" s="9">
        <f>revenue[revenue]-(revenue[productCost]*revenue[orderQuantity])</f>
        <v>26.08864592</v>
      </c>
      <c r="R1470" s="25">
        <f>IFERROR(revenue[profit]/revenue[revenue], 0)</f>
        <v>0.3726949418</v>
      </c>
      <c r="S1470" s="9">
        <f>revenue[productCost]*revenue[orderQuantity]</f>
        <v>43.91135408</v>
      </c>
    </row>
    <row r="1471" ht="15.75" customHeight="1">
      <c r="A1471" s="6">
        <v>10810.0</v>
      </c>
      <c r="B1471" s="7" t="s">
        <v>90</v>
      </c>
      <c r="C1471" s="24" t="str">
        <f>VLOOKUP(revenue[customerID],customers[],2,FALSE)</f>
        <v>Laughing Bacchus Wine Cellars</v>
      </c>
      <c r="D1471" s="24" t="str">
        <f>VLOOKUP(revenue[customerID],customers[],6,FALSE)</f>
        <v>Vancouver</v>
      </c>
      <c r="E1471" s="24" t="str">
        <f>VLOOKUP(revenue[customerID],customers[],9,FALSE)</f>
        <v>Canada</v>
      </c>
      <c r="F1471" s="24">
        <v>45292.0</v>
      </c>
      <c r="G1471" s="6">
        <v>70.0</v>
      </c>
      <c r="H1471" s="9" t="str">
        <f>VLOOKUP(revenue[productID],products[],2,FALSE)</f>
        <v>Outback Lager</v>
      </c>
      <c r="I1471" s="9" t="str">
        <f>VLOOKUP(revenue[productID],products[],12,FALSE)</f>
        <v>Beverages</v>
      </c>
      <c r="J1471" s="9">
        <f>VLOOKUP(revenue[productID],products[],IF(YEAR(revenue[orderDate])=2022,8,IF(YEAR(revenue[orderDate])=2023,9,IF(YEAR(revenue[orderDate])=2024,10,NA))),FALSE)</f>
        <v>10.03280812</v>
      </c>
      <c r="K1471" s="9">
        <v>15.0</v>
      </c>
      <c r="L1471" s="25">
        <f>(revenue[orderPrice]-revenue[productCost])/revenue[productCost]</f>
        <v>0.4950948747</v>
      </c>
      <c r="M1471" s="10">
        <v>5.0</v>
      </c>
      <c r="N1471" s="25">
        <v>0.0</v>
      </c>
      <c r="O1471" s="9">
        <f>revenue[orderPrice]*revenue[orderQuantity]</f>
        <v>75</v>
      </c>
      <c r="P1471" s="9">
        <f>revenue[orderTotal]*(1-revenue[discountApllied])</f>
        <v>75</v>
      </c>
      <c r="Q1471" s="9">
        <f>revenue[revenue]-(revenue[productCost]*revenue[orderQuantity])</f>
        <v>24.8359594</v>
      </c>
      <c r="R1471" s="25">
        <f>IFERROR(revenue[profit]/revenue[revenue], 0)</f>
        <v>0.3311461253</v>
      </c>
      <c r="S1471" s="9">
        <f>revenue[productCost]*revenue[orderQuantity]</f>
        <v>50.1640406</v>
      </c>
    </row>
    <row r="1472" ht="15.75" customHeight="1">
      <c r="A1472" s="6">
        <v>10811.0</v>
      </c>
      <c r="B1472" s="7" t="s">
        <v>82</v>
      </c>
      <c r="C1472" s="24" t="str">
        <f>VLOOKUP(revenue[customerID],customers[],2,FALSE)</f>
        <v>LINO-Delicateses</v>
      </c>
      <c r="D1472" s="24" t="str">
        <f>VLOOKUP(revenue[customerID],customers[],6,FALSE)</f>
        <v>I. de Margarita</v>
      </c>
      <c r="E1472" s="24" t="str">
        <f>VLOOKUP(revenue[customerID],customers[],9,FALSE)</f>
        <v>Venezuela</v>
      </c>
      <c r="F1472" s="24">
        <v>45293.0</v>
      </c>
      <c r="G1472" s="6">
        <v>19.0</v>
      </c>
      <c r="H1472" s="9" t="str">
        <f>VLOOKUP(revenue[productID],products[],2,FALSE)</f>
        <v>Teatime Chocolate Biscuits</v>
      </c>
      <c r="I1472" s="9" t="str">
        <f>VLOOKUP(revenue[productID],products[],12,FALSE)</f>
        <v>Confections</v>
      </c>
      <c r="J1472" s="9">
        <f>VLOOKUP(revenue[productID],products[],IF(YEAR(revenue[orderDate])=2022,8,IF(YEAR(revenue[orderDate])=2023,9,IF(YEAR(revenue[orderDate])=2024,10,NA))),FALSE)</f>
        <v>6.769656984</v>
      </c>
      <c r="K1472" s="9">
        <v>9.2</v>
      </c>
      <c r="L1472" s="25">
        <f>(revenue[orderPrice]-revenue[productCost])/revenue[productCost]</f>
        <v>0.3590053413</v>
      </c>
      <c r="M1472" s="10">
        <v>15.0</v>
      </c>
      <c r="N1472" s="25">
        <v>0.0</v>
      </c>
      <c r="O1472" s="9">
        <f>revenue[orderPrice]*revenue[orderQuantity]</f>
        <v>138</v>
      </c>
      <c r="P1472" s="9">
        <f>revenue[orderTotal]*(1-revenue[discountApllied])</f>
        <v>138</v>
      </c>
      <c r="Q1472" s="9">
        <f>revenue[revenue]-(revenue[productCost]*revenue[orderQuantity])</f>
        <v>36.45514524</v>
      </c>
      <c r="R1472" s="25">
        <f>IFERROR(revenue[profit]/revenue[revenue], 0)</f>
        <v>0.2641677191</v>
      </c>
      <c r="S1472" s="9">
        <f>revenue[productCost]*revenue[orderQuantity]</f>
        <v>101.5448548</v>
      </c>
    </row>
    <row r="1473" ht="15.75" customHeight="1">
      <c r="A1473" s="6">
        <v>10811.0</v>
      </c>
      <c r="B1473" s="7" t="s">
        <v>82</v>
      </c>
      <c r="C1473" s="24" t="str">
        <f>VLOOKUP(revenue[customerID],customers[],2,FALSE)</f>
        <v>LINO-Delicateses</v>
      </c>
      <c r="D1473" s="24" t="str">
        <f>VLOOKUP(revenue[customerID],customers[],6,FALSE)</f>
        <v>I. de Margarita</v>
      </c>
      <c r="E1473" s="24" t="str">
        <f>VLOOKUP(revenue[customerID],customers[],9,FALSE)</f>
        <v>Venezuela</v>
      </c>
      <c r="F1473" s="24">
        <v>45293.0</v>
      </c>
      <c r="G1473" s="6">
        <v>23.0</v>
      </c>
      <c r="H1473" s="9" t="str">
        <f>VLOOKUP(revenue[productID],products[],2,FALSE)</f>
        <v>Tunnbröd</v>
      </c>
      <c r="I1473" s="9" t="str">
        <f>VLOOKUP(revenue[productID],products[],12,FALSE)</f>
        <v>Grains/Cereals</v>
      </c>
      <c r="J1473" s="9">
        <f>VLOOKUP(revenue[productID],products[],IF(YEAR(revenue[orderDate])=2022,8,IF(YEAR(revenue[orderDate])=2023,9,IF(YEAR(revenue[orderDate])=2024,10,NA))),FALSE)</f>
        <v>6.224885622</v>
      </c>
      <c r="K1473" s="9">
        <v>9.0</v>
      </c>
      <c r="L1473" s="25">
        <f>(revenue[orderPrice]-revenue[productCost])/revenue[productCost]</f>
        <v>0.4458096979</v>
      </c>
      <c r="M1473" s="10">
        <v>18.0</v>
      </c>
      <c r="N1473" s="25">
        <v>0.0</v>
      </c>
      <c r="O1473" s="9">
        <f>revenue[orderPrice]*revenue[orderQuantity]</f>
        <v>162</v>
      </c>
      <c r="P1473" s="9">
        <f>revenue[orderTotal]*(1-revenue[discountApllied])</f>
        <v>162</v>
      </c>
      <c r="Q1473" s="9">
        <f>revenue[revenue]-(revenue[productCost]*revenue[orderQuantity])</f>
        <v>49.95205881</v>
      </c>
      <c r="R1473" s="25">
        <f>IFERROR(revenue[profit]/revenue[revenue], 0)</f>
        <v>0.308346042</v>
      </c>
      <c r="S1473" s="9">
        <f>revenue[productCost]*revenue[orderQuantity]</f>
        <v>112.0479412</v>
      </c>
    </row>
    <row r="1474" ht="15.75" customHeight="1">
      <c r="A1474" s="6">
        <v>10811.0</v>
      </c>
      <c r="B1474" s="7" t="s">
        <v>82</v>
      </c>
      <c r="C1474" s="24" t="str">
        <f>VLOOKUP(revenue[customerID],customers[],2,FALSE)</f>
        <v>LINO-Delicateses</v>
      </c>
      <c r="D1474" s="24" t="str">
        <f>VLOOKUP(revenue[customerID],customers[],6,FALSE)</f>
        <v>I. de Margarita</v>
      </c>
      <c r="E1474" s="24" t="str">
        <f>VLOOKUP(revenue[customerID],customers[],9,FALSE)</f>
        <v>Venezuela</v>
      </c>
      <c r="F1474" s="24">
        <v>45293.0</v>
      </c>
      <c r="G1474" s="6">
        <v>40.0</v>
      </c>
      <c r="H1474" s="9" t="str">
        <f>VLOOKUP(revenue[productID],products[],2,FALSE)</f>
        <v>Boston Crab Meat</v>
      </c>
      <c r="I1474" s="9" t="str">
        <f>VLOOKUP(revenue[productID],products[],12,FALSE)</f>
        <v>Seafood</v>
      </c>
      <c r="J1474" s="9">
        <f>VLOOKUP(revenue[productID],products[],IF(YEAR(revenue[orderDate])=2022,8,IF(YEAR(revenue[orderDate])=2023,9,IF(YEAR(revenue[orderDate])=2024,10,NA))),FALSE)</f>
        <v>12.44307</v>
      </c>
      <c r="K1474" s="9">
        <v>18.4</v>
      </c>
      <c r="L1474" s="25">
        <f>(revenue[orderPrice]-revenue[productCost])/revenue[productCost]</f>
        <v>0.4787347499</v>
      </c>
      <c r="M1474" s="10">
        <v>30.0</v>
      </c>
      <c r="N1474" s="25">
        <v>0.0</v>
      </c>
      <c r="O1474" s="9">
        <f>revenue[orderPrice]*revenue[orderQuantity]</f>
        <v>552</v>
      </c>
      <c r="P1474" s="9">
        <f>revenue[orderTotal]*(1-revenue[discountApllied])</f>
        <v>552</v>
      </c>
      <c r="Q1474" s="9">
        <f>revenue[revenue]-(revenue[productCost]*revenue[orderQuantity])</f>
        <v>178.7079001</v>
      </c>
      <c r="R1474" s="25">
        <f>IFERROR(revenue[profit]/revenue[revenue], 0)</f>
        <v>0.3237461958</v>
      </c>
      <c r="S1474" s="9">
        <f>revenue[productCost]*revenue[orderQuantity]</f>
        <v>373.2920999</v>
      </c>
    </row>
    <row r="1475" ht="15.75" customHeight="1">
      <c r="A1475" s="6">
        <v>10812.0</v>
      </c>
      <c r="B1475" s="7" t="s">
        <v>45</v>
      </c>
      <c r="C1475" s="24" t="str">
        <f>VLOOKUP(revenue[customerID],customers[],2,FALSE)</f>
        <v>Reggiani Caseifici</v>
      </c>
      <c r="D1475" s="24" t="str">
        <f>VLOOKUP(revenue[customerID],customers[],6,FALSE)</f>
        <v>Reggio Emilia</v>
      </c>
      <c r="E1475" s="24" t="str">
        <f>VLOOKUP(revenue[customerID],customers[],9,FALSE)</f>
        <v>Italy</v>
      </c>
      <c r="F1475" s="24">
        <v>45293.0</v>
      </c>
      <c r="G1475" s="6">
        <v>31.0</v>
      </c>
      <c r="H1475" s="9" t="str">
        <f>VLOOKUP(revenue[productID],products[],2,FALSE)</f>
        <v>Gorgonzola Telino</v>
      </c>
      <c r="I1475" s="9" t="str">
        <f>VLOOKUP(revenue[productID],products[],12,FALSE)</f>
        <v>Dairy Products</v>
      </c>
      <c r="J1475" s="9">
        <f>VLOOKUP(revenue[productID],products[],IF(YEAR(revenue[orderDate])=2022,8,IF(YEAR(revenue[orderDate])=2023,9,IF(YEAR(revenue[orderDate])=2024,10,NA))),FALSE)</f>
        <v>8.203054392</v>
      </c>
      <c r="K1475" s="9">
        <v>12.5</v>
      </c>
      <c r="L1475" s="25">
        <f>(revenue[orderPrice]-revenue[productCost])/revenue[productCost]</f>
        <v>0.52382264</v>
      </c>
      <c r="M1475" s="10">
        <v>16.0</v>
      </c>
      <c r="N1475" s="25">
        <v>0.1</v>
      </c>
      <c r="O1475" s="9">
        <f>revenue[orderPrice]*revenue[orderQuantity]</f>
        <v>200</v>
      </c>
      <c r="P1475" s="9">
        <f>revenue[orderTotal]*(1-revenue[discountApllied])</f>
        <v>180</v>
      </c>
      <c r="Q1475" s="9">
        <f>revenue[revenue]-(revenue[productCost]*revenue[orderQuantity])</f>
        <v>48.75112973</v>
      </c>
      <c r="R1475" s="25">
        <f>IFERROR(revenue[profit]/revenue[revenue], 0)</f>
        <v>0.2708396096</v>
      </c>
      <c r="S1475" s="9">
        <f>revenue[productCost]*revenue[orderQuantity]</f>
        <v>131.2488703</v>
      </c>
    </row>
    <row r="1476" ht="15.75" customHeight="1">
      <c r="A1476" s="6">
        <v>10812.0</v>
      </c>
      <c r="B1476" s="7" t="s">
        <v>45</v>
      </c>
      <c r="C1476" s="24" t="str">
        <f>VLOOKUP(revenue[customerID],customers[],2,FALSE)</f>
        <v>Reggiani Caseifici</v>
      </c>
      <c r="D1476" s="24" t="str">
        <f>VLOOKUP(revenue[customerID],customers[],6,FALSE)</f>
        <v>Reggio Emilia</v>
      </c>
      <c r="E1476" s="24" t="str">
        <f>VLOOKUP(revenue[customerID],customers[],9,FALSE)</f>
        <v>Italy</v>
      </c>
      <c r="F1476" s="24">
        <v>45293.0</v>
      </c>
      <c r="G1476" s="6">
        <v>72.0</v>
      </c>
      <c r="H1476" s="9" t="str">
        <f>VLOOKUP(revenue[productID],products[],2,FALSE)</f>
        <v>Mozzarella di Giovanni</v>
      </c>
      <c r="I1476" s="9" t="str">
        <f>VLOOKUP(revenue[productID],products[],12,FALSE)</f>
        <v>Dairy Products</v>
      </c>
      <c r="J1476" s="9">
        <f>VLOOKUP(revenue[productID],products[],IF(YEAR(revenue[orderDate])=2022,8,IF(YEAR(revenue[orderDate])=2023,9,IF(YEAR(revenue[orderDate])=2024,10,NA))),FALSE)</f>
        <v>24.35057898</v>
      </c>
      <c r="K1476" s="9">
        <v>34.8</v>
      </c>
      <c r="L1476" s="25">
        <f>(revenue[orderPrice]-revenue[productCost])/revenue[productCost]</f>
        <v>0.4291241297</v>
      </c>
      <c r="M1476" s="10">
        <v>40.0</v>
      </c>
      <c r="N1476" s="25">
        <v>0.1</v>
      </c>
      <c r="O1476" s="9">
        <f>revenue[orderPrice]*revenue[orderQuantity]</f>
        <v>1392</v>
      </c>
      <c r="P1476" s="9">
        <f>revenue[orderTotal]*(1-revenue[discountApllied])</f>
        <v>1252.8</v>
      </c>
      <c r="Q1476" s="9">
        <f>revenue[revenue]-(revenue[productCost]*revenue[orderQuantity])</f>
        <v>278.7768406</v>
      </c>
      <c r="R1476" s="25">
        <f>IFERROR(revenue[profit]/revenue[revenue], 0)</f>
        <v>0.2225230209</v>
      </c>
      <c r="S1476" s="9">
        <f>revenue[productCost]*revenue[orderQuantity]</f>
        <v>974.0231594</v>
      </c>
    </row>
    <row r="1477" ht="15.75" customHeight="1">
      <c r="A1477" s="6">
        <v>10812.0</v>
      </c>
      <c r="B1477" s="7" t="s">
        <v>45</v>
      </c>
      <c r="C1477" s="24" t="str">
        <f>VLOOKUP(revenue[customerID],customers[],2,FALSE)</f>
        <v>Reggiani Caseifici</v>
      </c>
      <c r="D1477" s="24" t="str">
        <f>VLOOKUP(revenue[customerID],customers[],6,FALSE)</f>
        <v>Reggio Emilia</v>
      </c>
      <c r="E1477" s="24" t="str">
        <f>VLOOKUP(revenue[customerID],customers[],9,FALSE)</f>
        <v>Italy</v>
      </c>
      <c r="F1477" s="24">
        <v>45293.0</v>
      </c>
      <c r="G1477" s="6">
        <v>77.0</v>
      </c>
      <c r="H1477" s="9" t="str">
        <f>VLOOKUP(revenue[productID],products[],2,FALSE)</f>
        <v>Original Frankfurter grüne Soße</v>
      </c>
      <c r="I1477" s="9" t="str">
        <f>VLOOKUP(revenue[productID],products[],12,FALSE)</f>
        <v>Condiments</v>
      </c>
      <c r="J1477" s="9">
        <f>VLOOKUP(revenue[productID],products[],IF(YEAR(revenue[orderDate])=2022,8,IF(YEAR(revenue[orderDate])=2023,9,IF(YEAR(revenue[orderDate])=2024,10,NA))),FALSE)</f>
        <v>9.299025151</v>
      </c>
      <c r="K1477" s="9">
        <v>13.0</v>
      </c>
      <c r="L1477" s="25">
        <f>(revenue[orderPrice]-revenue[productCost])/revenue[productCost]</f>
        <v>0.3979960037</v>
      </c>
      <c r="M1477" s="10">
        <v>20.0</v>
      </c>
      <c r="N1477" s="25">
        <v>0.0</v>
      </c>
      <c r="O1477" s="9">
        <f>revenue[orderPrice]*revenue[orderQuantity]</f>
        <v>260</v>
      </c>
      <c r="P1477" s="9">
        <f>revenue[orderTotal]*(1-revenue[discountApllied])</f>
        <v>260</v>
      </c>
      <c r="Q1477" s="9">
        <f>revenue[revenue]-(revenue[productCost]*revenue[orderQuantity])</f>
        <v>74.01949697</v>
      </c>
      <c r="R1477" s="25">
        <f>IFERROR(revenue[profit]/revenue[revenue], 0)</f>
        <v>0.284690373</v>
      </c>
      <c r="S1477" s="9">
        <f>revenue[productCost]*revenue[orderQuantity]</f>
        <v>185.980503</v>
      </c>
    </row>
    <row r="1478" ht="15.75" customHeight="1">
      <c r="A1478" s="6">
        <v>10813.0</v>
      </c>
      <c r="B1478" s="7" t="s">
        <v>44</v>
      </c>
      <c r="C1478" s="24" t="str">
        <f>VLOOKUP(revenue[customerID],customers[],2,FALSE)</f>
        <v>Ricardo Adocicados</v>
      </c>
      <c r="D1478" s="24" t="str">
        <f>VLOOKUP(revenue[customerID],customers[],6,FALSE)</f>
        <v>Rio de Janeiro</v>
      </c>
      <c r="E1478" s="24" t="str">
        <f>VLOOKUP(revenue[customerID],customers[],9,FALSE)</f>
        <v>Brazil</v>
      </c>
      <c r="F1478" s="24">
        <v>45296.0</v>
      </c>
      <c r="G1478" s="6">
        <v>2.0</v>
      </c>
      <c r="H1478" s="9" t="str">
        <f>VLOOKUP(revenue[productID],products[],2,FALSE)</f>
        <v>Chang</v>
      </c>
      <c r="I1478" s="9" t="str">
        <f>VLOOKUP(revenue[productID],products[],12,FALSE)</f>
        <v>Beverages</v>
      </c>
      <c r="J1478" s="9">
        <f>VLOOKUP(revenue[productID],products[],IF(YEAR(revenue[orderDate])=2022,8,IF(YEAR(revenue[orderDate])=2023,9,IF(YEAR(revenue[orderDate])=2024,10,NA))),FALSE)</f>
        <v>11.93843713</v>
      </c>
      <c r="K1478" s="9">
        <v>19.0</v>
      </c>
      <c r="L1478" s="25">
        <f>(revenue[orderPrice]-revenue[productCost])/revenue[productCost]</f>
        <v>0.591498099</v>
      </c>
      <c r="M1478" s="10">
        <v>12.0</v>
      </c>
      <c r="N1478" s="25">
        <v>0.2</v>
      </c>
      <c r="O1478" s="9">
        <f>revenue[orderPrice]*revenue[orderQuantity]</f>
        <v>228</v>
      </c>
      <c r="P1478" s="9">
        <f>revenue[orderTotal]*(1-revenue[discountApllied])</f>
        <v>182.4</v>
      </c>
      <c r="Q1478" s="9">
        <f>revenue[revenue]-(revenue[productCost]*revenue[orderQuantity])</f>
        <v>39.13875442</v>
      </c>
      <c r="R1478" s="25">
        <f>IFERROR(revenue[profit]/revenue[revenue], 0)</f>
        <v>0.2145765045</v>
      </c>
      <c r="S1478" s="9">
        <f>revenue[productCost]*revenue[orderQuantity]</f>
        <v>143.2612456</v>
      </c>
    </row>
    <row r="1479" ht="15.75" customHeight="1">
      <c r="A1479" s="6">
        <v>10813.0</v>
      </c>
      <c r="B1479" s="7" t="s">
        <v>44</v>
      </c>
      <c r="C1479" s="24" t="str">
        <f>VLOOKUP(revenue[customerID],customers[],2,FALSE)</f>
        <v>Ricardo Adocicados</v>
      </c>
      <c r="D1479" s="24" t="str">
        <f>VLOOKUP(revenue[customerID],customers[],6,FALSE)</f>
        <v>Rio de Janeiro</v>
      </c>
      <c r="E1479" s="24" t="str">
        <f>VLOOKUP(revenue[customerID],customers[],9,FALSE)</f>
        <v>Brazil</v>
      </c>
      <c r="F1479" s="24">
        <v>45296.0</v>
      </c>
      <c r="G1479" s="6">
        <v>46.0</v>
      </c>
      <c r="H1479" s="9" t="str">
        <f>VLOOKUP(revenue[productID],products[],2,FALSE)</f>
        <v>Spegesild</v>
      </c>
      <c r="I1479" s="9" t="str">
        <f>VLOOKUP(revenue[productID],products[],12,FALSE)</f>
        <v>Seafood</v>
      </c>
      <c r="J1479" s="9">
        <f>VLOOKUP(revenue[productID],products[],IF(YEAR(revenue[orderDate])=2022,8,IF(YEAR(revenue[orderDate])=2023,9,IF(YEAR(revenue[orderDate])=2024,10,NA))),FALSE)</f>
        <v>8.247981557</v>
      </c>
      <c r="K1479" s="9">
        <v>12.0</v>
      </c>
      <c r="L1479" s="25">
        <f>(revenue[orderPrice]-revenue[productCost])/revenue[productCost]</f>
        <v>0.4549014105</v>
      </c>
      <c r="M1479" s="10">
        <v>35.0</v>
      </c>
      <c r="N1479" s="25">
        <v>0.0</v>
      </c>
      <c r="O1479" s="9">
        <f>revenue[orderPrice]*revenue[orderQuantity]</f>
        <v>420</v>
      </c>
      <c r="P1479" s="9">
        <f>revenue[orderTotal]*(1-revenue[discountApllied])</f>
        <v>420</v>
      </c>
      <c r="Q1479" s="9">
        <f>revenue[revenue]-(revenue[productCost]*revenue[orderQuantity])</f>
        <v>131.3206455</v>
      </c>
      <c r="R1479" s="25">
        <f>IFERROR(revenue[profit]/revenue[revenue], 0)</f>
        <v>0.3126682036</v>
      </c>
      <c r="S1479" s="9">
        <f>revenue[productCost]*revenue[orderQuantity]</f>
        <v>288.6793545</v>
      </c>
    </row>
    <row r="1480" ht="15.75" customHeight="1">
      <c r="A1480" s="6">
        <v>10814.0</v>
      </c>
      <c r="B1480" s="7" t="s">
        <v>18</v>
      </c>
      <c r="C1480" s="24" t="str">
        <f>VLOOKUP(revenue[customerID],customers[],2,FALSE)</f>
        <v>Victuailles en stock</v>
      </c>
      <c r="D1480" s="24" t="str">
        <f>VLOOKUP(revenue[customerID],customers[],6,FALSE)</f>
        <v>Lyon</v>
      </c>
      <c r="E1480" s="24" t="str">
        <f>VLOOKUP(revenue[customerID],customers[],9,FALSE)</f>
        <v>France</v>
      </c>
      <c r="F1480" s="24">
        <v>45296.0</v>
      </c>
      <c r="G1480" s="6">
        <v>41.0</v>
      </c>
      <c r="H1480" s="9" t="str">
        <f>VLOOKUP(revenue[productID],products[],2,FALSE)</f>
        <v>Jack's New England Clam Chowder</v>
      </c>
      <c r="I1480" s="9" t="str">
        <f>VLOOKUP(revenue[productID],products[],12,FALSE)</f>
        <v>Seafood</v>
      </c>
      <c r="J1480" s="9">
        <f>VLOOKUP(revenue[productID],products[],IF(YEAR(revenue[orderDate])=2022,8,IF(YEAR(revenue[orderDate])=2023,9,IF(YEAR(revenue[orderDate])=2024,10,NA))),FALSE)</f>
        <v>6.611787882</v>
      </c>
      <c r="K1480" s="9">
        <v>9.65</v>
      </c>
      <c r="L1480" s="25">
        <f>(revenue[orderPrice]-revenue[productCost])/revenue[productCost]</f>
        <v>0.459514457</v>
      </c>
      <c r="M1480" s="10">
        <v>20.0</v>
      </c>
      <c r="N1480" s="25">
        <v>0.0</v>
      </c>
      <c r="O1480" s="9">
        <f>revenue[orderPrice]*revenue[orderQuantity]</f>
        <v>193</v>
      </c>
      <c r="P1480" s="9">
        <f>revenue[orderTotal]*(1-revenue[discountApllied])</f>
        <v>193</v>
      </c>
      <c r="Q1480" s="9">
        <f>revenue[revenue]-(revenue[productCost]*revenue[orderQuantity])</f>
        <v>60.76424236</v>
      </c>
      <c r="R1480" s="25">
        <f>IFERROR(revenue[profit]/revenue[revenue], 0)</f>
        <v>0.314840634</v>
      </c>
      <c r="S1480" s="9">
        <f>revenue[productCost]*revenue[orderQuantity]</f>
        <v>132.2357576</v>
      </c>
    </row>
    <row r="1481" ht="15.75" customHeight="1">
      <c r="A1481" s="6">
        <v>10814.0</v>
      </c>
      <c r="B1481" s="7" t="s">
        <v>18</v>
      </c>
      <c r="C1481" s="24" t="str">
        <f>VLOOKUP(revenue[customerID],customers[],2,FALSE)</f>
        <v>Victuailles en stock</v>
      </c>
      <c r="D1481" s="24" t="str">
        <f>VLOOKUP(revenue[customerID],customers[],6,FALSE)</f>
        <v>Lyon</v>
      </c>
      <c r="E1481" s="24" t="str">
        <f>VLOOKUP(revenue[customerID],customers[],9,FALSE)</f>
        <v>France</v>
      </c>
      <c r="F1481" s="24">
        <v>45296.0</v>
      </c>
      <c r="G1481" s="6">
        <v>43.0</v>
      </c>
      <c r="H1481" s="9" t="str">
        <f>VLOOKUP(revenue[productID],products[],2,FALSE)</f>
        <v>Ipoh Coffee</v>
      </c>
      <c r="I1481" s="9" t="str">
        <f>VLOOKUP(revenue[productID],products[],12,FALSE)</f>
        <v>Beverages</v>
      </c>
      <c r="J1481" s="9">
        <f>VLOOKUP(revenue[productID],products[],IF(YEAR(revenue[orderDate])=2022,8,IF(YEAR(revenue[orderDate])=2023,9,IF(YEAR(revenue[orderDate])=2024,10,NA))),FALSE)</f>
        <v>30.97984738</v>
      </c>
      <c r="K1481" s="9">
        <v>46.0</v>
      </c>
      <c r="L1481" s="25">
        <f>(revenue[orderPrice]-revenue[productCost])/revenue[productCost]</f>
        <v>0.484836237</v>
      </c>
      <c r="M1481" s="10">
        <v>20.0</v>
      </c>
      <c r="N1481" s="25">
        <v>0.15</v>
      </c>
      <c r="O1481" s="9">
        <f>revenue[orderPrice]*revenue[orderQuantity]</f>
        <v>920</v>
      </c>
      <c r="P1481" s="9">
        <f>revenue[orderTotal]*(1-revenue[discountApllied])</f>
        <v>782</v>
      </c>
      <c r="Q1481" s="9">
        <f>revenue[revenue]-(revenue[productCost]*revenue[orderQuantity])</f>
        <v>162.4030525</v>
      </c>
      <c r="R1481" s="25">
        <f>IFERROR(revenue[profit]/revenue[revenue], 0)</f>
        <v>0.2076765377</v>
      </c>
      <c r="S1481" s="9">
        <f>revenue[productCost]*revenue[orderQuantity]</f>
        <v>619.5969475</v>
      </c>
    </row>
    <row r="1482" ht="15.75" customHeight="1">
      <c r="A1482" s="6">
        <v>10814.0</v>
      </c>
      <c r="B1482" s="7" t="s">
        <v>18</v>
      </c>
      <c r="C1482" s="24" t="str">
        <f>VLOOKUP(revenue[customerID],customers[],2,FALSE)</f>
        <v>Victuailles en stock</v>
      </c>
      <c r="D1482" s="24" t="str">
        <f>VLOOKUP(revenue[customerID],customers[],6,FALSE)</f>
        <v>Lyon</v>
      </c>
      <c r="E1482" s="24" t="str">
        <f>VLOOKUP(revenue[customerID],customers[],9,FALSE)</f>
        <v>France</v>
      </c>
      <c r="F1482" s="24">
        <v>45296.0</v>
      </c>
      <c r="G1482" s="6">
        <v>48.0</v>
      </c>
      <c r="H1482" s="9" t="str">
        <f>VLOOKUP(revenue[productID],products[],2,FALSE)</f>
        <v>Chocolade</v>
      </c>
      <c r="I1482" s="9" t="str">
        <f>VLOOKUP(revenue[productID],products[],12,FALSE)</f>
        <v>Confections</v>
      </c>
      <c r="J1482" s="9">
        <f>VLOOKUP(revenue[productID],products[],IF(YEAR(revenue[orderDate])=2022,8,IF(YEAR(revenue[orderDate])=2023,9,IF(YEAR(revenue[orderDate])=2024,10,NA))),FALSE)</f>
        <v>8.207115976</v>
      </c>
      <c r="K1482" s="9">
        <v>12.75</v>
      </c>
      <c r="L1482" s="25">
        <f>(revenue[orderPrice]-revenue[productCost])/revenue[productCost]</f>
        <v>0.5535298924</v>
      </c>
      <c r="M1482" s="10">
        <v>8.0</v>
      </c>
      <c r="N1482" s="25">
        <v>0.15</v>
      </c>
      <c r="O1482" s="9">
        <f>revenue[orderPrice]*revenue[orderQuantity]</f>
        <v>102</v>
      </c>
      <c r="P1482" s="9">
        <f>revenue[orderTotal]*(1-revenue[discountApllied])</f>
        <v>86.7</v>
      </c>
      <c r="Q1482" s="9">
        <f>revenue[revenue]-(revenue[productCost]*revenue[orderQuantity])</f>
        <v>21.04307219</v>
      </c>
      <c r="R1482" s="25">
        <f>IFERROR(revenue[profit]/revenue[revenue], 0)</f>
        <v>0.2427113286</v>
      </c>
      <c r="S1482" s="9">
        <f>revenue[productCost]*revenue[orderQuantity]</f>
        <v>65.65692781</v>
      </c>
    </row>
    <row r="1483" ht="15.75" customHeight="1">
      <c r="A1483" s="6">
        <v>10814.0</v>
      </c>
      <c r="B1483" s="7" t="s">
        <v>18</v>
      </c>
      <c r="C1483" s="24" t="str">
        <f>VLOOKUP(revenue[customerID],customers[],2,FALSE)</f>
        <v>Victuailles en stock</v>
      </c>
      <c r="D1483" s="24" t="str">
        <f>VLOOKUP(revenue[customerID],customers[],6,FALSE)</f>
        <v>Lyon</v>
      </c>
      <c r="E1483" s="24" t="str">
        <f>VLOOKUP(revenue[customerID],customers[],9,FALSE)</f>
        <v>France</v>
      </c>
      <c r="F1483" s="24">
        <v>45296.0</v>
      </c>
      <c r="G1483" s="6">
        <v>61.0</v>
      </c>
      <c r="H1483" s="9" t="str">
        <f>VLOOKUP(revenue[productID],products[],2,FALSE)</f>
        <v>Sirop d'érable</v>
      </c>
      <c r="I1483" s="9" t="str">
        <f>VLOOKUP(revenue[productID],products[],12,FALSE)</f>
        <v>Condiments</v>
      </c>
      <c r="J1483" s="9">
        <f>VLOOKUP(revenue[productID],products[],IF(YEAR(revenue[orderDate])=2022,8,IF(YEAR(revenue[orderDate])=2023,9,IF(YEAR(revenue[orderDate])=2024,10,NA))),FALSE)</f>
        <v>18.74487379</v>
      </c>
      <c r="K1483" s="9">
        <v>28.5</v>
      </c>
      <c r="L1483" s="25">
        <f>(revenue[orderPrice]-revenue[productCost])/revenue[productCost]</f>
        <v>0.5204156786</v>
      </c>
      <c r="M1483" s="10">
        <v>30.0</v>
      </c>
      <c r="N1483" s="25">
        <v>0.15</v>
      </c>
      <c r="O1483" s="9">
        <f>revenue[orderPrice]*revenue[orderQuantity]</f>
        <v>855</v>
      </c>
      <c r="P1483" s="9">
        <f>revenue[orderTotal]*(1-revenue[discountApllied])</f>
        <v>726.75</v>
      </c>
      <c r="Q1483" s="9">
        <f>revenue[revenue]-(revenue[productCost]*revenue[orderQuantity])</f>
        <v>164.4037864</v>
      </c>
      <c r="R1483" s="25">
        <f>IFERROR(revenue[profit]/revenue[revenue], 0)</f>
        <v>0.2262178003</v>
      </c>
      <c r="S1483" s="9">
        <f>revenue[productCost]*revenue[orderQuantity]</f>
        <v>562.3462136</v>
      </c>
    </row>
    <row r="1484" ht="15.75" customHeight="1">
      <c r="A1484" s="6">
        <v>10815.0</v>
      </c>
      <c r="B1484" s="7" t="s">
        <v>60</v>
      </c>
      <c r="C1484" s="24" t="str">
        <f>VLOOKUP(revenue[customerID],customers[],2,FALSE)</f>
        <v>Save-a-lot Markets</v>
      </c>
      <c r="D1484" s="24" t="str">
        <f>VLOOKUP(revenue[customerID],customers[],6,FALSE)</f>
        <v>Boise</v>
      </c>
      <c r="E1484" s="24" t="str">
        <f>VLOOKUP(revenue[customerID],customers[],9,FALSE)</f>
        <v>USA</v>
      </c>
      <c r="F1484" s="24">
        <v>45296.0</v>
      </c>
      <c r="G1484" s="6">
        <v>33.0</v>
      </c>
      <c r="H1484" s="9" t="str">
        <f>VLOOKUP(revenue[productID],products[],2,FALSE)</f>
        <v>Geitost</v>
      </c>
      <c r="I1484" s="9" t="str">
        <f>VLOOKUP(revenue[productID],products[],12,FALSE)</f>
        <v>Dairy Products</v>
      </c>
      <c r="J1484" s="9">
        <f>VLOOKUP(revenue[productID],products[],IF(YEAR(revenue[orderDate])=2022,8,IF(YEAR(revenue[orderDate])=2023,9,IF(YEAR(revenue[orderDate])=2024,10,NA))),FALSE)</f>
        <v>1.670163437</v>
      </c>
      <c r="K1484" s="9">
        <v>2.5</v>
      </c>
      <c r="L1484" s="25">
        <f>(revenue[orderPrice]-revenue[productCost])/revenue[productCost]</f>
        <v>0.4968594957</v>
      </c>
      <c r="M1484" s="10">
        <v>16.0</v>
      </c>
      <c r="N1484" s="25">
        <v>0.0</v>
      </c>
      <c r="O1484" s="9">
        <f>revenue[orderPrice]*revenue[orderQuantity]</f>
        <v>40</v>
      </c>
      <c r="P1484" s="9">
        <f>revenue[orderTotal]*(1-revenue[discountApllied])</f>
        <v>40</v>
      </c>
      <c r="Q1484" s="9">
        <f>revenue[revenue]-(revenue[productCost]*revenue[orderQuantity])</f>
        <v>13.27738501</v>
      </c>
      <c r="R1484" s="25">
        <f>IFERROR(revenue[profit]/revenue[revenue], 0)</f>
        <v>0.3319346252</v>
      </c>
      <c r="S1484" s="9">
        <f>revenue[productCost]*revenue[orderQuantity]</f>
        <v>26.72261499</v>
      </c>
    </row>
    <row r="1485" ht="15.75" customHeight="1">
      <c r="A1485" s="6">
        <v>10816.0</v>
      </c>
      <c r="B1485" s="7" t="s">
        <v>94</v>
      </c>
      <c r="C1485" s="24" t="str">
        <f>VLOOKUP(revenue[customerID],customers[],2,FALSE)</f>
        <v>Great Lakes Food Market</v>
      </c>
      <c r="D1485" s="24" t="str">
        <f>VLOOKUP(revenue[customerID],customers[],6,FALSE)</f>
        <v>Eugene</v>
      </c>
      <c r="E1485" s="24" t="str">
        <f>VLOOKUP(revenue[customerID],customers[],9,FALSE)</f>
        <v>USA</v>
      </c>
      <c r="F1485" s="24">
        <v>45297.0</v>
      </c>
      <c r="G1485" s="6">
        <v>38.0</v>
      </c>
      <c r="H1485" s="9" t="str">
        <f>VLOOKUP(revenue[productID],products[],2,FALSE)</f>
        <v>Côte de Blaye</v>
      </c>
      <c r="I1485" s="9" t="str">
        <f>VLOOKUP(revenue[productID],products[],12,FALSE)</f>
        <v>Beverages</v>
      </c>
      <c r="J1485" s="9">
        <f>VLOOKUP(revenue[productID],products[],IF(YEAR(revenue[orderDate])=2022,8,IF(YEAR(revenue[orderDate])=2023,9,IF(YEAR(revenue[orderDate])=2024,10,NA))),FALSE)</f>
        <v>192.1798413</v>
      </c>
      <c r="K1485" s="9">
        <v>263.5</v>
      </c>
      <c r="L1485" s="25">
        <f>(revenue[orderPrice]-revenue[productCost])/revenue[productCost]</f>
        <v>0.3711115493</v>
      </c>
      <c r="M1485" s="10">
        <v>30.0</v>
      </c>
      <c r="N1485" s="25">
        <v>0.05</v>
      </c>
      <c r="O1485" s="9">
        <f>revenue[orderPrice]*revenue[orderQuantity]</f>
        <v>7905</v>
      </c>
      <c r="P1485" s="9">
        <f>revenue[orderTotal]*(1-revenue[discountApllied])</f>
        <v>7509.75</v>
      </c>
      <c r="Q1485" s="9">
        <f>revenue[revenue]-(revenue[productCost]*revenue[orderQuantity])</f>
        <v>1744.35476</v>
      </c>
      <c r="R1485" s="25">
        <f>IFERROR(revenue[profit]/revenue[revenue], 0)</f>
        <v>0.2322786724</v>
      </c>
      <c r="S1485" s="9">
        <f>revenue[productCost]*revenue[orderQuantity]</f>
        <v>5765.39524</v>
      </c>
    </row>
    <row r="1486" ht="15.75" customHeight="1">
      <c r="A1486" s="6">
        <v>10816.0</v>
      </c>
      <c r="B1486" s="7" t="s">
        <v>94</v>
      </c>
      <c r="C1486" s="24" t="str">
        <f>VLOOKUP(revenue[customerID],customers[],2,FALSE)</f>
        <v>Great Lakes Food Market</v>
      </c>
      <c r="D1486" s="24" t="str">
        <f>VLOOKUP(revenue[customerID],customers[],6,FALSE)</f>
        <v>Eugene</v>
      </c>
      <c r="E1486" s="24" t="str">
        <f>VLOOKUP(revenue[customerID],customers[],9,FALSE)</f>
        <v>USA</v>
      </c>
      <c r="F1486" s="24">
        <v>45297.0</v>
      </c>
      <c r="G1486" s="6">
        <v>62.0</v>
      </c>
      <c r="H1486" s="9" t="str">
        <f>VLOOKUP(revenue[productID],products[],2,FALSE)</f>
        <v>Tarte au sucre</v>
      </c>
      <c r="I1486" s="9" t="str">
        <f>VLOOKUP(revenue[productID],products[],12,FALSE)</f>
        <v>Confections</v>
      </c>
      <c r="J1486" s="9">
        <f>VLOOKUP(revenue[productID],products[],IF(YEAR(revenue[orderDate])=2022,8,IF(YEAR(revenue[orderDate])=2023,9,IF(YEAR(revenue[orderDate])=2024,10,NA))),FALSE)</f>
        <v>34.88145014</v>
      </c>
      <c r="K1486" s="9">
        <v>49.3</v>
      </c>
      <c r="L1486" s="25">
        <f>(revenue[orderPrice]-revenue[productCost])/revenue[productCost]</f>
        <v>0.4133586705</v>
      </c>
      <c r="M1486" s="10">
        <v>20.0</v>
      </c>
      <c r="N1486" s="25">
        <v>0.05</v>
      </c>
      <c r="O1486" s="9">
        <f>revenue[orderPrice]*revenue[orderQuantity]</f>
        <v>986</v>
      </c>
      <c r="P1486" s="9">
        <f>revenue[orderTotal]*(1-revenue[discountApllied])</f>
        <v>936.7</v>
      </c>
      <c r="Q1486" s="9">
        <f>revenue[revenue]-(revenue[productCost]*revenue[orderQuantity])</f>
        <v>239.0709971</v>
      </c>
      <c r="R1486" s="25">
        <f>IFERROR(revenue[profit]/revenue[revenue], 0)</f>
        <v>0.2552268572</v>
      </c>
      <c r="S1486" s="9">
        <f>revenue[productCost]*revenue[orderQuantity]</f>
        <v>697.6290029</v>
      </c>
    </row>
    <row r="1487" ht="15.75" customHeight="1">
      <c r="A1487" s="6">
        <v>10817.0</v>
      </c>
      <c r="B1487" s="7" t="s">
        <v>59</v>
      </c>
      <c r="C1487" s="24" t="str">
        <f>VLOOKUP(revenue[customerID],customers[],2,FALSE)</f>
        <v>Königlich Essen</v>
      </c>
      <c r="D1487" s="24" t="str">
        <f>VLOOKUP(revenue[customerID],customers[],6,FALSE)</f>
        <v>Brandenburg</v>
      </c>
      <c r="E1487" s="24" t="str">
        <f>VLOOKUP(revenue[customerID],customers[],9,FALSE)</f>
        <v>Germany</v>
      </c>
      <c r="F1487" s="24">
        <v>45297.0</v>
      </c>
      <c r="G1487" s="6">
        <v>26.0</v>
      </c>
      <c r="H1487" s="9" t="str">
        <f>VLOOKUP(revenue[productID],products[],2,FALSE)</f>
        <v>NuNuCa Nuß-Nougat-Creme</v>
      </c>
      <c r="I1487" s="9" t="str">
        <f>VLOOKUP(revenue[productID],products[],12,FALSE)</f>
        <v>Confections</v>
      </c>
      <c r="J1487" s="9">
        <f>VLOOKUP(revenue[productID],products[],IF(YEAR(revenue[orderDate])=2022,8,IF(YEAR(revenue[orderDate])=2023,9,IF(YEAR(revenue[orderDate])=2024,10,NA))),FALSE)</f>
        <v>22.79977195</v>
      </c>
      <c r="K1487" s="9">
        <v>31.23</v>
      </c>
      <c r="L1487" s="25">
        <f>(revenue[orderPrice]-revenue[productCost])/revenue[productCost]</f>
        <v>0.3697505427</v>
      </c>
      <c r="M1487" s="10">
        <v>40.0</v>
      </c>
      <c r="N1487" s="25">
        <v>0.15</v>
      </c>
      <c r="O1487" s="9">
        <f>revenue[orderPrice]*revenue[orderQuantity]</f>
        <v>1249.2</v>
      </c>
      <c r="P1487" s="9">
        <f>revenue[orderTotal]*(1-revenue[discountApllied])</f>
        <v>1061.82</v>
      </c>
      <c r="Q1487" s="9">
        <f>revenue[revenue]-(revenue[productCost]*revenue[orderQuantity])</f>
        <v>149.8291221</v>
      </c>
      <c r="R1487" s="25">
        <f>IFERROR(revenue[profit]/revenue[revenue], 0)</f>
        <v>0.1411059521</v>
      </c>
      <c r="S1487" s="9">
        <f>revenue[productCost]*revenue[orderQuantity]</f>
        <v>911.9908779</v>
      </c>
    </row>
    <row r="1488" ht="15.75" customHeight="1">
      <c r="A1488" s="6">
        <v>10817.0</v>
      </c>
      <c r="B1488" s="7" t="s">
        <v>59</v>
      </c>
      <c r="C1488" s="24" t="str">
        <f>VLOOKUP(revenue[customerID],customers[],2,FALSE)</f>
        <v>Königlich Essen</v>
      </c>
      <c r="D1488" s="24" t="str">
        <f>VLOOKUP(revenue[customerID],customers[],6,FALSE)</f>
        <v>Brandenburg</v>
      </c>
      <c r="E1488" s="24" t="str">
        <f>VLOOKUP(revenue[customerID],customers[],9,FALSE)</f>
        <v>Germany</v>
      </c>
      <c r="F1488" s="24">
        <v>45297.0</v>
      </c>
      <c r="G1488" s="6">
        <v>38.0</v>
      </c>
      <c r="H1488" s="9" t="str">
        <f>VLOOKUP(revenue[productID],products[],2,FALSE)</f>
        <v>Côte de Blaye</v>
      </c>
      <c r="I1488" s="9" t="str">
        <f>VLOOKUP(revenue[productID],products[],12,FALSE)</f>
        <v>Beverages</v>
      </c>
      <c r="J1488" s="9">
        <f>VLOOKUP(revenue[productID],products[],IF(YEAR(revenue[orderDate])=2022,8,IF(YEAR(revenue[orderDate])=2023,9,IF(YEAR(revenue[orderDate])=2024,10,NA))),FALSE)</f>
        <v>192.1798413</v>
      </c>
      <c r="K1488" s="9">
        <v>263.5</v>
      </c>
      <c r="L1488" s="25">
        <f>(revenue[orderPrice]-revenue[productCost])/revenue[productCost]</f>
        <v>0.3711115493</v>
      </c>
      <c r="M1488" s="10">
        <v>30.0</v>
      </c>
      <c r="N1488" s="25">
        <v>0.0</v>
      </c>
      <c r="O1488" s="9">
        <f>revenue[orderPrice]*revenue[orderQuantity]</f>
        <v>7905</v>
      </c>
      <c r="P1488" s="9">
        <f>revenue[orderTotal]*(1-revenue[discountApllied])</f>
        <v>7905</v>
      </c>
      <c r="Q1488" s="9">
        <f>revenue[revenue]-(revenue[productCost]*revenue[orderQuantity])</f>
        <v>2139.60476</v>
      </c>
      <c r="R1488" s="25">
        <f>IFERROR(revenue[profit]/revenue[revenue], 0)</f>
        <v>0.2706647388</v>
      </c>
      <c r="S1488" s="9">
        <f>revenue[productCost]*revenue[orderQuantity]</f>
        <v>5765.39524</v>
      </c>
    </row>
    <row r="1489" ht="15.75" customHeight="1">
      <c r="A1489" s="6">
        <v>10817.0</v>
      </c>
      <c r="B1489" s="7" t="s">
        <v>59</v>
      </c>
      <c r="C1489" s="24" t="str">
        <f>VLOOKUP(revenue[customerID],customers[],2,FALSE)</f>
        <v>Königlich Essen</v>
      </c>
      <c r="D1489" s="24" t="str">
        <f>VLOOKUP(revenue[customerID],customers[],6,FALSE)</f>
        <v>Brandenburg</v>
      </c>
      <c r="E1489" s="24" t="str">
        <f>VLOOKUP(revenue[customerID],customers[],9,FALSE)</f>
        <v>Germany</v>
      </c>
      <c r="F1489" s="24">
        <v>45297.0</v>
      </c>
      <c r="G1489" s="6">
        <v>40.0</v>
      </c>
      <c r="H1489" s="9" t="str">
        <f>VLOOKUP(revenue[productID],products[],2,FALSE)</f>
        <v>Boston Crab Meat</v>
      </c>
      <c r="I1489" s="9" t="str">
        <f>VLOOKUP(revenue[productID],products[],12,FALSE)</f>
        <v>Seafood</v>
      </c>
      <c r="J1489" s="9">
        <f>VLOOKUP(revenue[productID],products[],IF(YEAR(revenue[orderDate])=2022,8,IF(YEAR(revenue[orderDate])=2023,9,IF(YEAR(revenue[orderDate])=2024,10,NA))),FALSE)</f>
        <v>12.44307</v>
      </c>
      <c r="K1489" s="9">
        <v>18.4</v>
      </c>
      <c r="L1489" s="25">
        <f>(revenue[orderPrice]-revenue[productCost])/revenue[productCost]</f>
        <v>0.4787347499</v>
      </c>
      <c r="M1489" s="10">
        <v>60.0</v>
      </c>
      <c r="N1489" s="25">
        <v>0.15</v>
      </c>
      <c r="O1489" s="9">
        <f>revenue[orderPrice]*revenue[orderQuantity]</f>
        <v>1104</v>
      </c>
      <c r="P1489" s="9">
        <f>revenue[orderTotal]*(1-revenue[discountApllied])</f>
        <v>938.4</v>
      </c>
      <c r="Q1489" s="9">
        <f>revenue[revenue]-(revenue[productCost]*revenue[orderQuantity])</f>
        <v>191.8158002</v>
      </c>
      <c r="R1489" s="25">
        <f>IFERROR(revenue[profit]/revenue[revenue], 0)</f>
        <v>0.2044072892</v>
      </c>
      <c r="S1489" s="9">
        <f>revenue[productCost]*revenue[orderQuantity]</f>
        <v>746.5841998</v>
      </c>
    </row>
    <row r="1490" ht="15.75" customHeight="1">
      <c r="A1490" s="6">
        <v>10817.0</v>
      </c>
      <c r="B1490" s="7" t="s">
        <v>59</v>
      </c>
      <c r="C1490" s="24" t="str">
        <f>VLOOKUP(revenue[customerID],customers[],2,FALSE)</f>
        <v>Königlich Essen</v>
      </c>
      <c r="D1490" s="24" t="str">
        <f>VLOOKUP(revenue[customerID],customers[],6,FALSE)</f>
        <v>Brandenburg</v>
      </c>
      <c r="E1490" s="24" t="str">
        <f>VLOOKUP(revenue[customerID],customers[],9,FALSE)</f>
        <v>Germany</v>
      </c>
      <c r="F1490" s="24">
        <v>45297.0</v>
      </c>
      <c r="G1490" s="6">
        <v>62.0</v>
      </c>
      <c r="H1490" s="9" t="str">
        <f>VLOOKUP(revenue[productID],products[],2,FALSE)</f>
        <v>Tarte au sucre</v>
      </c>
      <c r="I1490" s="9" t="str">
        <f>VLOOKUP(revenue[productID],products[],12,FALSE)</f>
        <v>Confections</v>
      </c>
      <c r="J1490" s="9">
        <f>VLOOKUP(revenue[productID],products[],IF(YEAR(revenue[orderDate])=2022,8,IF(YEAR(revenue[orderDate])=2023,9,IF(YEAR(revenue[orderDate])=2024,10,NA))),FALSE)</f>
        <v>34.88145014</v>
      </c>
      <c r="K1490" s="9">
        <v>49.3</v>
      </c>
      <c r="L1490" s="25">
        <f>(revenue[orderPrice]-revenue[productCost])/revenue[productCost]</f>
        <v>0.4133586705</v>
      </c>
      <c r="M1490" s="10">
        <v>25.0</v>
      </c>
      <c r="N1490" s="25">
        <v>0.15</v>
      </c>
      <c r="O1490" s="9">
        <f>revenue[orderPrice]*revenue[orderQuantity]</f>
        <v>1232.5</v>
      </c>
      <c r="P1490" s="9">
        <f>revenue[orderTotal]*(1-revenue[discountApllied])</f>
        <v>1047.625</v>
      </c>
      <c r="Q1490" s="9">
        <f>revenue[revenue]-(revenue[productCost]*revenue[orderQuantity])</f>
        <v>175.5887464</v>
      </c>
      <c r="R1490" s="25">
        <f>IFERROR(revenue[profit]/revenue[revenue], 0)</f>
        <v>0.1676064875</v>
      </c>
      <c r="S1490" s="9">
        <f>revenue[productCost]*revenue[orderQuantity]</f>
        <v>872.0362536</v>
      </c>
    </row>
    <row r="1491" ht="15.75" customHeight="1">
      <c r="A1491" s="6">
        <v>10818.0</v>
      </c>
      <c r="B1491" s="7" t="s">
        <v>37</v>
      </c>
      <c r="C1491" s="24" t="str">
        <f>VLOOKUP(revenue[customerID],customers[],2,FALSE)</f>
        <v>Magazzini Alimentari Riuniti</v>
      </c>
      <c r="D1491" s="24" t="str">
        <f>VLOOKUP(revenue[customerID],customers[],6,FALSE)</f>
        <v>Bergamo</v>
      </c>
      <c r="E1491" s="24" t="str">
        <f>VLOOKUP(revenue[customerID],customers[],9,FALSE)</f>
        <v>Italy</v>
      </c>
      <c r="F1491" s="24">
        <v>45298.0</v>
      </c>
      <c r="G1491" s="6">
        <v>32.0</v>
      </c>
      <c r="H1491" s="9" t="str">
        <f>VLOOKUP(revenue[productID],products[],2,FALSE)</f>
        <v>Mascarpone Fabioli</v>
      </c>
      <c r="I1491" s="9" t="str">
        <f>VLOOKUP(revenue[productID],products[],12,FALSE)</f>
        <v>Dairy Products</v>
      </c>
      <c r="J1491" s="9">
        <f>VLOOKUP(revenue[productID],products[],IF(YEAR(revenue[orderDate])=2022,8,IF(YEAR(revenue[orderDate])=2023,9,IF(YEAR(revenue[orderDate])=2024,10,NA))),FALSE)</f>
        <v>21.42783354</v>
      </c>
      <c r="K1491" s="9">
        <v>32.0</v>
      </c>
      <c r="L1491" s="25">
        <f>(revenue[orderPrice]-revenue[productCost])/revenue[productCost]</f>
        <v>0.4933847575</v>
      </c>
      <c r="M1491" s="10">
        <v>20.0</v>
      </c>
      <c r="N1491" s="25">
        <v>0.0</v>
      </c>
      <c r="O1491" s="9">
        <f>revenue[orderPrice]*revenue[orderQuantity]</f>
        <v>640</v>
      </c>
      <c r="P1491" s="9">
        <f>revenue[orderTotal]*(1-revenue[discountApllied])</f>
        <v>640</v>
      </c>
      <c r="Q1491" s="9">
        <f>revenue[revenue]-(revenue[productCost]*revenue[orderQuantity])</f>
        <v>211.4433291</v>
      </c>
      <c r="R1491" s="25">
        <f>IFERROR(revenue[profit]/revenue[revenue], 0)</f>
        <v>0.3303802018</v>
      </c>
      <c r="S1491" s="9">
        <f>revenue[productCost]*revenue[orderQuantity]</f>
        <v>428.5566709</v>
      </c>
    </row>
    <row r="1492" ht="15.75" customHeight="1">
      <c r="A1492" s="6">
        <v>10818.0</v>
      </c>
      <c r="B1492" s="7" t="s">
        <v>37</v>
      </c>
      <c r="C1492" s="24" t="str">
        <f>VLOOKUP(revenue[customerID],customers[],2,FALSE)</f>
        <v>Magazzini Alimentari Riuniti</v>
      </c>
      <c r="D1492" s="24" t="str">
        <f>VLOOKUP(revenue[customerID],customers[],6,FALSE)</f>
        <v>Bergamo</v>
      </c>
      <c r="E1492" s="24" t="str">
        <f>VLOOKUP(revenue[customerID],customers[],9,FALSE)</f>
        <v>Italy</v>
      </c>
      <c r="F1492" s="24">
        <v>45298.0</v>
      </c>
      <c r="G1492" s="6">
        <v>41.0</v>
      </c>
      <c r="H1492" s="9" t="str">
        <f>VLOOKUP(revenue[productID],products[],2,FALSE)</f>
        <v>Jack's New England Clam Chowder</v>
      </c>
      <c r="I1492" s="9" t="str">
        <f>VLOOKUP(revenue[productID],products[],12,FALSE)</f>
        <v>Seafood</v>
      </c>
      <c r="J1492" s="9">
        <f>VLOOKUP(revenue[productID],products[],IF(YEAR(revenue[orderDate])=2022,8,IF(YEAR(revenue[orderDate])=2023,9,IF(YEAR(revenue[orderDate])=2024,10,NA))),FALSE)</f>
        <v>6.611787882</v>
      </c>
      <c r="K1492" s="9">
        <v>9.65</v>
      </c>
      <c r="L1492" s="25">
        <f>(revenue[orderPrice]-revenue[productCost])/revenue[productCost]</f>
        <v>0.459514457</v>
      </c>
      <c r="M1492" s="10">
        <v>20.0</v>
      </c>
      <c r="N1492" s="25">
        <v>0.0</v>
      </c>
      <c r="O1492" s="9">
        <f>revenue[orderPrice]*revenue[orderQuantity]</f>
        <v>193</v>
      </c>
      <c r="P1492" s="9">
        <f>revenue[orderTotal]*(1-revenue[discountApllied])</f>
        <v>193</v>
      </c>
      <c r="Q1492" s="9">
        <f>revenue[revenue]-(revenue[productCost]*revenue[orderQuantity])</f>
        <v>60.76424236</v>
      </c>
      <c r="R1492" s="25">
        <f>IFERROR(revenue[profit]/revenue[revenue], 0)</f>
        <v>0.314840634</v>
      </c>
      <c r="S1492" s="9">
        <f>revenue[productCost]*revenue[orderQuantity]</f>
        <v>132.2357576</v>
      </c>
    </row>
    <row r="1493" ht="15.75" customHeight="1">
      <c r="A1493" s="6">
        <v>10819.0</v>
      </c>
      <c r="B1493" s="7" t="s">
        <v>93</v>
      </c>
      <c r="C1493" s="24" t="str">
        <f>VLOOKUP(revenue[customerID],customers[],2,FALSE)</f>
        <v>Cactus Comidas para llevar</v>
      </c>
      <c r="D1493" s="24" t="str">
        <f>VLOOKUP(revenue[customerID],customers[],6,FALSE)</f>
        <v>Buenos Aires</v>
      </c>
      <c r="E1493" s="24" t="str">
        <f>VLOOKUP(revenue[customerID],customers[],9,FALSE)</f>
        <v>Argentina</v>
      </c>
      <c r="F1493" s="24">
        <v>45298.0</v>
      </c>
      <c r="G1493" s="6">
        <v>43.0</v>
      </c>
      <c r="H1493" s="9" t="str">
        <f>VLOOKUP(revenue[productID],products[],2,FALSE)</f>
        <v>Ipoh Coffee</v>
      </c>
      <c r="I1493" s="9" t="str">
        <f>VLOOKUP(revenue[productID],products[],12,FALSE)</f>
        <v>Beverages</v>
      </c>
      <c r="J1493" s="9">
        <f>VLOOKUP(revenue[productID],products[],IF(YEAR(revenue[orderDate])=2022,8,IF(YEAR(revenue[orderDate])=2023,9,IF(YEAR(revenue[orderDate])=2024,10,NA))),FALSE)</f>
        <v>30.97984738</v>
      </c>
      <c r="K1493" s="9">
        <v>46.0</v>
      </c>
      <c r="L1493" s="25">
        <f>(revenue[orderPrice]-revenue[productCost])/revenue[productCost]</f>
        <v>0.484836237</v>
      </c>
      <c r="M1493" s="10">
        <v>7.0</v>
      </c>
      <c r="N1493" s="25">
        <v>0.0</v>
      </c>
      <c r="O1493" s="9">
        <f>revenue[orderPrice]*revenue[orderQuantity]</f>
        <v>322</v>
      </c>
      <c r="P1493" s="9">
        <f>revenue[orderTotal]*(1-revenue[discountApllied])</f>
        <v>322</v>
      </c>
      <c r="Q1493" s="9">
        <f>revenue[revenue]-(revenue[productCost]*revenue[orderQuantity])</f>
        <v>105.1410684</v>
      </c>
      <c r="R1493" s="25">
        <f>IFERROR(revenue[profit]/revenue[revenue], 0)</f>
        <v>0.3265250571</v>
      </c>
      <c r="S1493" s="9">
        <f>revenue[productCost]*revenue[orderQuantity]</f>
        <v>216.8589316</v>
      </c>
    </row>
    <row r="1494" ht="15.75" customHeight="1">
      <c r="A1494" s="6">
        <v>10819.0</v>
      </c>
      <c r="B1494" s="7" t="s">
        <v>93</v>
      </c>
      <c r="C1494" s="24" t="str">
        <f>VLOOKUP(revenue[customerID],customers[],2,FALSE)</f>
        <v>Cactus Comidas para llevar</v>
      </c>
      <c r="D1494" s="24" t="str">
        <f>VLOOKUP(revenue[customerID],customers[],6,FALSE)</f>
        <v>Buenos Aires</v>
      </c>
      <c r="E1494" s="24" t="str">
        <f>VLOOKUP(revenue[customerID],customers[],9,FALSE)</f>
        <v>Argentina</v>
      </c>
      <c r="F1494" s="24">
        <v>45298.0</v>
      </c>
      <c r="G1494" s="6">
        <v>75.0</v>
      </c>
      <c r="H1494" s="9" t="str">
        <f>VLOOKUP(revenue[productID],products[],2,FALSE)</f>
        <v>Rhönbräu Klosterbier</v>
      </c>
      <c r="I1494" s="9" t="str">
        <f>VLOOKUP(revenue[productID],products[],12,FALSE)</f>
        <v>Beverages</v>
      </c>
      <c r="J1494" s="9">
        <f>VLOOKUP(revenue[productID],products[],IF(YEAR(revenue[orderDate])=2022,8,IF(YEAR(revenue[orderDate])=2023,9,IF(YEAR(revenue[orderDate])=2024,10,NA))),FALSE)</f>
        <v>5.374051525</v>
      </c>
      <c r="K1494" s="9">
        <v>7.75</v>
      </c>
      <c r="L1494" s="25">
        <f>(revenue[orderPrice]-revenue[productCost])/revenue[productCost]</f>
        <v>0.4421149413</v>
      </c>
      <c r="M1494" s="10">
        <v>20.0</v>
      </c>
      <c r="N1494" s="25">
        <v>0.0</v>
      </c>
      <c r="O1494" s="9">
        <f>revenue[orderPrice]*revenue[orderQuantity]</f>
        <v>155</v>
      </c>
      <c r="P1494" s="9">
        <f>revenue[orderTotal]*(1-revenue[discountApllied])</f>
        <v>155</v>
      </c>
      <c r="Q1494" s="9">
        <f>revenue[revenue]-(revenue[productCost]*revenue[orderQuantity])</f>
        <v>47.51896949</v>
      </c>
      <c r="R1494" s="25">
        <f>IFERROR(revenue[profit]/revenue[revenue], 0)</f>
        <v>0.3065739967</v>
      </c>
      <c r="S1494" s="9">
        <f>revenue[productCost]*revenue[orderQuantity]</f>
        <v>107.4810305</v>
      </c>
    </row>
    <row r="1495" ht="15.75" customHeight="1">
      <c r="A1495" s="6">
        <v>10820.0</v>
      </c>
      <c r="B1495" s="7" t="s">
        <v>28</v>
      </c>
      <c r="C1495" s="24" t="str">
        <f>VLOOKUP(revenue[customerID],customers[],2,FALSE)</f>
        <v>Rattlesnake Canyon Grocery</v>
      </c>
      <c r="D1495" s="24" t="str">
        <f>VLOOKUP(revenue[customerID],customers[],6,FALSE)</f>
        <v>Albuquerque</v>
      </c>
      <c r="E1495" s="24" t="str">
        <f>VLOOKUP(revenue[customerID],customers[],9,FALSE)</f>
        <v>USA</v>
      </c>
      <c r="F1495" s="24">
        <v>45298.0</v>
      </c>
      <c r="G1495" s="6">
        <v>56.0</v>
      </c>
      <c r="H1495" s="9" t="str">
        <f>VLOOKUP(revenue[productID],products[],2,FALSE)</f>
        <v>Gnocchi di nonna Alice</v>
      </c>
      <c r="I1495" s="9" t="str">
        <f>VLOOKUP(revenue[productID],products[],12,FALSE)</f>
        <v>Grains/Cereals</v>
      </c>
      <c r="J1495" s="9">
        <f>VLOOKUP(revenue[productID],products[],IF(YEAR(revenue[orderDate])=2022,8,IF(YEAR(revenue[orderDate])=2023,9,IF(YEAR(revenue[orderDate])=2024,10,NA))),FALSE)</f>
        <v>27.53915851</v>
      </c>
      <c r="K1495" s="9">
        <v>38.0</v>
      </c>
      <c r="L1495" s="25">
        <f>(revenue[orderPrice]-revenue[productCost])/revenue[productCost]</f>
        <v>0.3798533452</v>
      </c>
      <c r="M1495" s="10">
        <v>30.0</v>
      </c>
      <c r="N1495" s="25">
        <v>0.0</v>
      </c>
      <c r="O1495" s="9">
        <f>revenue[orderPrice]*revenue[orderQuantity]</f>
        <v>1140</v>
      </c>
      <c r="P1495" s="9">
        <f>revenue[orderTotal]*(1-revenue[discountApllied])</f>
        <v>1140</v>
      </c>
      <c r="Q1495" s="9">
        <f>revenue[revenue]-(revenue[productCost]*revenue[orderQuantity])</f>
        <v>313.8252446</v>
      </c>
      <c r="R1495" s="25">
        <f>IFERROR(revenue[profit]/revenue[revenue], 0)</f>
        <v>0.2752853023</v>
      </c>
      <c r="S1495" s="9">
        <f>revenue[productCost]*revenue[orderQuantity]</f>
        <v>826.1747554</v>
      </c>
    </row>
    <row r="1496" ht="15.75" customHeight="1">
      <c r="A1496" s="6">
        <v>10821.0</v>
      </c>
      <c r="B1496" s="7" t="s">
        <v>35</v>
      </c>
      <c r="C1496" s="24" t="str">
        <f>VLOOKUP(revenue[customerID],customers[],2,FALSE)</f>
        <v>Split Rail Beer &amp; Ale</v>
      </c>
      <c r="D1496" s="24" t="str">
        <f>VLOOKUP(revenue[customerID],customers[],6,FALSE)</f>
        <v>Lander</v>
      </c>
      <c r="E1496" s="24" t="str">
        <f>VLOOKUP(revenue[customerID],customers[],9,FALSE)</f>
        <v>USA</v>
      </c>
      <c r="F1496" s="24">
        <v>45299.0</v>
      </c>
      <c r="G1496" s="6">
        <v>35.0</v>
      </c>
      <c r="H1496" s="9" t="str">
        <f>VLOOKUP(revenue[productID],products[],2,FALSE)</f>
        <v>Cold Brew Nitro</v>
      </c>
      <c r="I1496" s="9" t="str">
        <f>VLOOKUP(revenue[productID],products[],12,FALSE)</f>
        <v>Beverages</v>
      </c>
      <c r="J1496" s="9">
        <f>VLOOKUP(revenue[productID],products[],IF(YEAR(revenue[orderDate])=2022,8,IF(YEAR(revenue[orderDate])=2023,9,IF(YEAR(revenue[orderDate])=2024,10,NA))),FALSE)</f>
        <v>12.9261692</v>
      </c>
      <c r="K1496" s="9">
        <v>18.0</v>
      </c>
      <c r="L1496" s="25">
        <f>(revenue[orderPrice]-revenue[productCost])/revenue[productCost]</f>
        <v>0.3925239355</v>
      </c>
      <c r="M1496" s="10">
        <v>20.0</v>
      </c>
      <c r="N1496" s="25">
        <v>0.0</v>
      </c>
      <c r="O1496" s="9">
        <f>revenue[orderPrice]*revenue[orderQuantity]</f>
        <v>360</v>
      </c>
      <c r="P1496" s="9">
        <f>revenue[orderTotal]*(1-revenue[discountApllied])</f>
        <v>360</v>
      </c>
      <c r="Q1496" s="9">
        <f>revenue[revenue]-(revenue[productCost]*revenue[orderQuantity])</f>
        <v>101.4766161</v>
      </c>
      <c r="R1496" s="25">
        <f>IFERROR(revenue[profit]/revenue[revenue], 0)</f>
        <v>0.2818794891</v>
      </c>
      <c r="S1496" s="9">
        <f>revenue[productCost]*revenue[orderQuantity]</f>
        <v>258.5233839</v>
      </c>
    </row>
    <row r="1497" ht="15.75" customHeight="1">
      <c r="A1497" s="6">
        <v>10821.0</v>
      </c>
      <c r="B1497" s="7" t="s">
        <v>35</v>
      </c>
      <c r="C1497" s="24" t="str">
        <f>VLOOKUP(revenue[customerID],customers[],2,FALSE)</f>
        <v>Split Rail Beer &amp; Ale</v>
      </c>
      <c r="D1497" s="24" t="str">
        <f>VLOOKUP(revenue[customerID],customers[],6,FALSE)</f>
        <v>Lander</v>
      </c>
      <c r="E1497" s="24" t="str">
        <f>VLOOKUP(revenue[customerID],customers[],9,FALSE)</f>
        <v>USA</v>
      </c>
      <c r="F1497" s="24">
        <v>45299.0</v>
      </c>
      <c r="G1497" s="6">
        <v>51.0</v>
      </c>
      <c r="H1497" s="9" t="str">
        <f>VLOOKUP(revenue[productID],products[],2,FALSE)</f>
        <v>Manjimup Dried Apples</v>
      </c>
      <c r="I1497" s="9" t="str">
        <f>VLOOKUP(revenue[productID],products[],12,FALSE)</f>
        <v>Produce</v>
      </c>
      <c r="J1497" s="9">
        <f>VLOOKUP(revenue[productID],products[],IF(YEAR(revenue[orderDate])=2022,8,IF(YEAR(revenue[orderDate])=2023,9,IF(YEAR(revenue[orderDate])=2024,10,NA))),FALSE)</f>
        <v>39.51416462</v>
      </c>
      <c r="K1497" s="9">
        <v>53.0</v>
      </c>
      <c r="L1497" s="25">
        <f>(revenue[orderPrice]-revenue[productCost])/revenue[productCost]</f>
        <v>0.3412911677</v>
      </c>
      <c r="M1497" s="10">
        <v>6.0</v>
      </c>
      <c r="N1497" s="25">
        <v>0.0</v>
      </c>
      <c r="O1497" s="9">
        <f>revenue[orderPrice]*revenue[orderQuantity]</f>
        <v>318</v>
      </c>
      <c r="P1497" s="9">
        <f>revenue[orderTotal]*(1-revenue[discountApllied])</f>
        <v>318</v>
      </c>
      <c r="Q1497" s="9">
        <f>revenue[revenue]-(revenue[productCost]*revenue[orderQuantity])</f>
        <v>80.91501229</v>
      </c>
      <c r="R1497" s="25">
        <f>IFERROR(revenue[profit]/revenue[revenue], 0)</f>
        <v>0.2544497242</v>
      </c>
      <c r="S1497" s="9">
        <f>revenue[productCost]*revenue[orderQuantity]</f>
        <v>237.0849877</v>
      </c>
    </row>
    <row r="1498" ht="15.75" customHeight="1">
      <c r="A1498" s="6">
        <v>10822.0</v>
      </c>
      <c r="B1498" s="7" t="s">
        <v>96</v>
      </c>
      <c r="C1498" s="24" t="str">
        <f>VLOOKUP(revenue[customerID],customers[],2,FALSE)</f>
        <v>Trail's Head Gourmet Provisioners</v>
      </c>
      <c r="D1498" s="24" t="str">
        <f>VLOOKUP(revenue[customerID],customers[],6,FALSE)</f>
        <v>Kirkland</v>
      </c>
      <c r="E1498" s="24" t="str">
        <f>VLOOKUP(revenue[customerID],customers[],9,FALSE)</f>
        <v>USA</v>
      </c>
      <c r="F1498" s="24">
        <v>45299.0</v>
      </c>
      <c r="G1498" s="6">
        <v>62.0</v>
      </c>
      <c r="H1498" s="9" t="str">
        <f>VLOOKUP(revenue[productID],products[],2,FALSE)</f>
        <v>Tarte au sucre</v>
      </c>
      <c r="I1498" s="9" t="str">
        <f>VLOOKUP(revenue[productID],products[],12,FALSE)</f>
        <v>Confections</v>
      </c>
      <c r="J1498" s="9">
        <f>VLOOKUP(revenue[productID],products[],IF(YEAR(revenue[orderDate])=2022,8,IF(YEAR(revenue[orderDate])=2023,9,IF(YEAR(revenue[orderDate])=2024,10,NA))),FALSE)</f>
        <v>34.88145014</v>
      </c>
      <c r="K1498" s="9">
        <v>49.3</v>
      </c>
      <c r="L1498" s="25">
        <f>(revenue[orderPrice]-revenue[productCost])/revenue[productCost]</f>
        <v>0.4133586705</v>
      </c>
      <c r="M1498" s="10">
        <v>3.0</v>
      </c>
      <c r="N1498" s="25">
        <v>0.0</v>
      </c>
      <c r="O1498" s="9">
        <f>revenue[orderPrice]*revenue[orderQuantity]</f>
        <v>147.9</v>
      </c>
      <c r="P1498" s="9">
        <f>revenue[orderTotal]*(1-revenue[discountApllied])</f>
        <v>147.9</v>
      </c>
      <c r="Q1498" s="9">
        <f>revenue[revenue]-(revenue[productCost]*revenue[orderQuantity])</f>
        <v>43.25564957</v>
      </c>
      <c r="R1498" s="25">
        <f>IFERROR(revenue[profit]/revenue[revenue], 0)</f>
        <v>0.2924655143</v>
      </c>
      <c r="S1498" s="9">
        <f>revenue[productCost]*revenue[orderQuantity]</f>
        <v>104.6443504</v>
      </c>
    </row>
    <row r="1499" ht="15.75" customHeight="1">
      <c r="A1499" s="6">
        <v>10822.0</v>
      </c>
      <c r="B1499" s="7" t="s">
        <v>96</v>
      </c>
      <c r="C1499" s="24" t="str">
        <f>VLOOKUP(revenue[customerID],customers[],2,FALSE)</f>
        <v>Trail's Head Gourmet Provisioners</v>
      </c>
      <c r="D1499" s="24" t="str">
        <f>VLOOKUP(revenue[customerID],customers[],6,FALSE)</f>
        <v>Kirkland</v>
      </c>
      <c r="E1499" s="24" t="str">
        <f>VLOOKUP(revenue[customerID],customers[],9,FALSE)</f>
        <v>USA</v>
      </c>
      <c r="F1499" s="24">
        <v>45299.0</v>
      </c>
      <c r="G1499" s="6">
        <v>70.0</v>
      </c>
      <c r="H1499" s="9" t="str">
        <f>VLOOKUP(revenue[productID],products[],2,FALSE)</f>
        <v>Outback Lager</v>
      </c>
      <c r="I1499" s="9" t="str">
        <f>VLOOKUP(revenue[productID],products[],12,FALSE)</f>
        <v>Beverages</v>
      </c>
      <c r="J1499" s="9">
        <f>VLOOKUP(revenue[productID],products[],IF(YEAR(revenue[orderDate])=2022,8,IF(YEAR(revenue[orderDate])=2023,9,IF(YEAR(revenue[orderDate])=2024,10,NA))),FALSE)</f>
        <v>10.03280812</v>
      </c>
      <c r="K1499" s="9">
        <v>15.0</v>
      </c>
      <c r="L1499" s="25">
        <f>(revenue[orderPrice]-revenue[productCost])/revenue[productCost]</f>
        <v>0.4950948747</v>
      </c>
      <c r="M1499" s="10">
        <v>6.0</v>
      </c>
      <c r="N1499" s="25">
        <v>0.0</v>
      </c>
      <c r="O1499" s="9">
        <f>revenue[orderPrice]*revenue[orderQuantity]</f>
        <v>90</v>
      </c>
      <c r="P1499" s="9">
        <f>revenue[orderTotal]*(1-revenue[discountApllied])</f>
        <v>90</v>
      </c>
      <c r="Q1499" s="9">
        <f>revenue[revenue]-(revenue[productCost]*revenue[orderQuantity])</f>
        <v>29.80315127</v>
      </c>
      <c r="R1499" s="25">
        <f>IFERROR(revenue[profit]/revenue[revenue], 0)</f>
        <v>0.3311461253</v>
      </c>
      <c r="S1499" s="9">
        <f>revenue[productCost]*revenue[orderQuantity]</f>
        <v>60.19684873</v>
      </c>
    </row>
    <row r="1500" ht="15.75" customHeight="1">
      <c r="A1500" s="6">
        <v>10823.0</v>
      </c>
      <c r="B1500" s="7" t="s">
        <v>43</v>
      </c>
      <c r="C1500" s="24" t="str">
        <f>VLOOKUP(revenue[customerID],customers[],2,FALSE)</f>
        <v>LILA-Supermercado</v>
      </c>
      <c r="D1500" s="24" t="str">
        <f>VLOOKUP(revenue[customerID],customers[],6,FALSE)</f>
        <v>Barquisimeto</v>
      </c>
      <c r="E1500" s="24" t="str">
        <f>VLOOKUP(revenue[customerID],customers[],9,FALSE)</f>
        <v>Venezuela</v>
      </c>
      <c r="F1500" s="24">
        <v>45300.0</v>
      </c>
      <c r="G1500" s="6">
        <v>11.0</v>
      </c>
      <c r="H1500" s="9" t="str">
        <f>VLOOKUP(revenue[productID],products[],2,FALSE)</f>
        <v>Queso Cabrales</v>
      </c>
      <c r="I1500" s="9" t="str">
        <f>VLOOKUP(revenue[productID],products[],12,FALSE)</f>
        <v>Dairy Products</v>
      </c>
      <c r="J1500" s="9">
        <f>VLOOKUP(revenue[productID],products[],IF(YEAR(revenue[orderDate])=2022,8,IF(YEAR(revenue[orderDate])=2023,9,IF(YEAR(revenue[orderDate])=2024,10,NA))),FALSE)</f>
        <v>13.86836261</v>
      </c>
      <c r="K1500" s="9">
        <v>21.0</v>
      </c>
      <c r="L1500" s="25">
        <f>(revenue[orderPrice]-revenue[productCost])/revenue[productCost]</f>
        <v>0.51423788</v>
      </c>
      <c r="M1500" s="10">
        <v>20.0</v>
      </c>
      <c r="N1500" s="25">
        <v>0.1</v>
      </c>
      <c r="O1500" s="9">
        <f>revenue[orderPrice]*revenue[orderQuantity]</f>
        <v>420</v>
      </c>
      <c r="P1500" s="9">
        <f>revenue[orderTotal]*(1-revenue[discountApllied])</f>
        <v>378</v>
      </c>
      <c r="Q1500" s="9">
        <f>revenue[revenue]-(revenue[productCost]*revenue[orderQuantity])</f>
        <v>100.6327478</v>
      </c>
      <c r="R1500" s="25">
        <f>IFERROR(revenue[profit]/revenue[revenue], 0)</f>
        <v>0.2662242005</v>
      </c>
      <c r="S1500" s="9">
        <f>revenue[productCost]*revenue[orderQuantity]</f>
        <v>277.3672522</v>
      </c>
    </row>
    <row r="1501" ht="15.75" customHeight="1">
      <c r="A1501" s="6">
        <v>10823.0</v>
      </c>
      <c r="B1501" s="7" t="s">
        <v>43</v>
      </c>
      <c r="C1501" s="24" t="str">
        <f>VLOOKUP(revenue[customerID],customers[],2,FALSE)</f>
        <v>LILA-Supermercado</v>
      </c>
      <c r="D1501" s="24" t="str">
        <f>VLOOKUP(revenue[customerID],customers[],6,FALSE)</f>
        <v>Barquisimeto</v>
      </c>
      <c r="E1501" s="24" t="str">
        <f>VLOOKUP(revenue[customerID],customers[],9,FALSE)</f>
        <v>Venezuela</v>
      </c>
      <c r="F1501" s="24">
        <v>45300.0</v>
      </c>
      <c r="G1501" s="6">
        <v>57.0</v>
      </c>
      <c r="H1501" s="9" t="str">
        <f>VLOOKUP(revenue[productID],products[],2,FALSE)</f>
        <v>Ravioli Angelo</v>
      </c>
      <c r="I1501" s="9" t="str">
        <f>VLOOKUP(revenue[productID],products[],12,FALSE)</f>
        <v>Grains/Cereals</v>
      </c>
      <c r="J1501" s="9">
        <f>VLOOKUP(revenue[productID],products[],IF(YEAR(revenue[orderDate])=2022,8,IF(YEAR(revenue[orderDate])=2023,9,IF(YEAR(revenue[orderDate])=2024,10,NA))),FALSE)</f>
        <v>14.29534762</v>
      </c>
      <c r="K1501" s="9">
        <v>19.5</v>
      </c>
      <c r="L1501" s="25">
        <f>(revenue[orderPrice]-revenue[productCost])/revenue[productCost]</f>
        <v>0.3640801552</v>
      </c>
      <c r="M1501" s="10">
        <v>15.0</v>
      </c>
      <c r="N1501" s="25">
        <v>0.0</v>
      </c>
      <c r="O1501" s="9">
        <f>revenue[orderPrice]*revenue[orderQuantity]</f>
        <v>292.5</v>
      </c>
      <c r="P1501" s="9">
        <f>revenue[orderTotal]*(1-revenue[discountApllied])</f>
        <v>292.5</v>
      </c>
      <c r="Q1501" s="9">
        <f>revenue[revenue]-(revenue[productCost]*revenue[orderQuantity])</f>
        <v>78.06978571</v>
      </c>
      <c r="R1501" s="25">
        <f>IFERROR(revenue[profit]/revenue[revenue], 0)</f>
        <v>0.2669052503</v>
      </c>
      <c r="S1501" s="9">
        <f>revenue[productCost]*revenue[orderQuantity]</f>
        <v>214.4302143</v>
      </c>
    </row>
    <row r="1502" ht="15.75" customHeight="1">
      <c r="A1502" s="6">
        <v>10823.0</v>
      </c>
      <c r="B1502" s="7" t="s">
        <v>43</v>
      </c>
      <c r="C1502" s="24" t="str">
        <f>VLOOKUP(revenue[customerID],customers[],2,FALSE)</f>
        <v>LILA-Supermercado</v>
      </c>
      <c r="D1502" s="24" t="str">
        <f>VLOOKUP(revenue[customerID],customers[],6,FALSE)</f>
        <v>Barquisimeto</v>
      </c>
      <c r="E1502" s="24" t="str">
        <f>VLOOKUP(revenue[customerID],customers[],9,FALSE)</f>
        <v>Venezuela</v>
      </c>
      <c r="F1502" s="24">
        <v>45300.0</v>
      </c>
      <c r="G1502" s="6">
        <v>59.0</v>
      </c>
      <c r="H1502" s="9" t="str">
        <f>VLOOKUP(revenue[productID],products[],2,FALSE)</f>
        <v>Raclette Courdavault</v>
      </c>
      <c r="I1502" s="9" t="str">
        <f>VLOOKUP(revenue[productID],products[],12,FALSE)</f>
        <v>Dairy Products</v>
      </c>
      <c r="J1502" s="9">
        <f>VLOOKUP(revenue[productID],products[],IF(YEAR(revenue[orderDate])=2022,8,IF(YEAR(revenue[orderDate])=2023,9,IF(YEAR(revenue[orderDate])=2024,10,NA))),FALSE)</f>
        <v>36.74863711</v>
      </c>
      <c r="K1502" s="9">
        <v>55.0</v>
      </c>
      <c r="L1502" s="25">
        <f>(revenue[orderPrice]-revenue[productCost])/revenue[productCost]</f>
        <v>0.4966541435</v>
      </c>
      <c r="M1502" s="10">
        <v>40.0</v>
      </c>
      <c r="N1502" s="25">
        <v>0.1</v>
      </c>
      <c r="O1502" s="9">
        <f>revenue[orderPrice]*revenue[orderQuantity]</f>
        <v>2200</v>
      </c>
      <c r="P1502" s="9">
        <f>revenue[orderTotal]*(1-revenue[discountApllied])</f>
        <v>1980</v>
      </c>
      <c r="Q1502" s="9">
        <f>revenue[revenue]-(revenue[productCost]*revenue[orderQuantity])</f>
        <v>510.0545156</v>
      </c>
      <c r="R1502" s="25">
        <f>IFERROR(revenue[profit]/revenue[revenue], 0)</f>
        <v>0.2576032907</v>
      </c>
      <c r="S1502" s="9">
        <f>revenue[productCost]*revenue[orderQuantity]</f>
        <v>1469.945484</v>
      </c>
    </row>
    <row r="1503" ht="15.75" customHeight="1">
      <c r="A1503" s="6">
        <v>10823.0</v>
      </c>
      <c r="B1503" s="7" t="s">
        <v>43</v>
      </c>
      <c r="C1503" s="24" t="str">
        <f>VLOOKUP(revenue[customerID],customers[],2,FALSE)</f>
        <v>LILA-Supermercado</v>
      </c>
      <c r="D1503" s="24" t="str">
        <f>VLOOKUP(revenue[customerID],customers[],6,FALSE)</f>
        <v>Barquisimeto</v>
      </c>
      <c r="E1503" s="24" t="str">
        <f>VLOOKUP(revenue[customerID],customers[],9,FALSE)</f>
        <v>Venezuela</v>
      </c>
      <c r="F1503" s="24">
        <v>45300.0</v>
      </c>
      <c r="G1503" s="6">
        <v>77.0</v>
      </c>
      <c r="H1503" s="9" t="str">
        <f>VLOOKUP(revenue[productID],products[],2,FALSE)</f>
        <v>Original Frankfurter grüne Soße</v>
      </c>
      <c r="I1503" s="9" t="str">
        <f>VLOOKUP(revenue[productID],products[],12,FALSE)</f>
        <v>Condiments</v>
      </c>
      <c r="J1503" s="9">
        <f>VLOOKUP(revenue[productID],products[],IF(YEAR(revenue[orderDate])=2022,8,IF(YEAR(revenue[orderDate])=2023,9,IF(YEAR(revenue[orderDate])=2024,10,NA))),FALSE)</f>
        <v>9.299025151</v>
      </c>
      <c r="K1503" s="9">
        <v>13.0</v>
      </c>
      <c r="L1503" s="25">
        <f>(revenue[orderPrice]-revenue[productCost])/revenue[productCost]</f>
        <v>0.3979960037</v>
      </c>
      <c r="M1503" s="10">
        <v>15.0</v>
      </c>
      <c r="N1503" s="25">
        <v>0.1</v>
      </c>
      <c r="O1503" s="9">
        <f>revenue[orderPrice]*revenue[orderQuantity]</f>
        <v>195</v>
      </c>
      <c r="P1503" s="9">
        <f>revenue[orderTotal]*(1-revenue[discountApllied])</f>
        <v>175.5</v>
      </c>
      <c r="Q1503" s="9">
        <f>revenue[revenue]-(revenue[productCost]*revenue[orderQuantity])</f>
        <v>36.01462273</v>
      </c>
      <c r="R1503" s="25">
        <f>IFERROR(revenue[profit]/revenue[revenue], 0)</f>
        <v>0.2052115255</v>
      </c>
      <c r="S1503" s="9">
        <f>revenue[productCost]*revenue[orderQuantity]</f>
        <v>139.4853773</v>
      </c>
    </row>
    <row r="1504" ht="15.75" customHeight="1">
      <c r="A1504" s="6">
        <v>10824.0</v>
      </c>
      <c r="B1504" s="7" t="s">
        <v>29</v>
      </c>
      <c r="C1504" s="24" t="str">
        <f>VLOOKUP(revenue[customerID],customers[],2,FALSE)</f>
        <v>Folk och fä HB</v>
      </c>
      <c r="D1504" s="24" t="str">
        <f>VLOOKUP(revenue[customerID],customers[],6,FALSE)</f>
        <v>Bräcke</v>
      </c>
      <c r="E1504" s="24" t="str">
        <f>VLOOKUP(revenue[customerID],customers[],9,FALSE)</f>
        <v>Sweden</v>
      </c>
      <c r="F1504" s="24">
        <v>45300.0</v>
      </c>
      <c r="G1504" s="6">
        <v>41.0</v>
      </c>
      <c r="H1504" s="9" t="str">
        <f>VLOOKUP(revenue[productID],products[],2,FALSE)</f>
        <v>Jack's New England Clam Chowder</v>
      </c>
      <c r="I1504" s="9" t="str">
        <f>VLOOKUP(revenue[productID],products[],12,FALSE)</f>
        <v>Seafood</v>
      </c>
      <c r="J1504" s="9">
        <f>VLOOKUP(revenue[productID],products[],IF(YEAR(revenue[orderDate])=2022,8,IF(YEAR(revenue[orderDate])=2023,9,IF(YEAR(revenue[orderDate])=2024,10,NA))),FALSE)</f>
        <v>6.611787882</v>
      </c>
      <c r="K1504" s="9">
        <v>9.65</v>
      </c>
      <c r="L1504" s="25">
        <f>(revenue[orderPrice]-revenue[productCost])/revenue[productCost]</f>
        <v>0.459514457</v>
      </c>
      <c r="M1504" s="10">
        <v>12.0</v>
      </c>
      <c r="N1504" s="25">
        <v>0.0</v>
      </c>
      <c r="O1504" s="9">
        <f>revenue[orderPrice]*revenue[orderQuantity]</f>
        <v>115.8</v>
      </c>
      <c r="P1504" s="9">
        <f>revenue[orderTotal]*(1-revenue[discountApllied])</f>
        <v>115.8</v>
      </c>
      <c r="Q1504" s="9">
        <f>revenue[revenue]-(revenue[productCost]*revenue[orderQuantity])</f>
        <v>36.45854542</v>
      </c>
      <c r="R1504" s="25">
        <f>IFERROR(revenue[profit]/revenue[revenue], 0)</f>
        <v>0.314840634</v>
      </c>
      <c r="S1504" s="9">
        <f>revenue[productCost]*revenue[orderQuantity]</f>
        <v>79.34145458</v>
      </c>
    </row>
    <row r="1505" ht="15.75" customHeight="1">
      <c r="A1505" s="6">
        <v>10824.0</v>
      </c>
      <c r="B1505" s="7" t="s">
        <v>29</v>
      </c>
      <c r="C1505" s="24" t="str">
        <f>VLOOKUP(revenue[customerID],customers[],2,FALSE)</f>
        <v>Folk och fä HB</v>
      </c>
      <c r="D1505" s="24" t="str">
        <f>VLOOKUP(revenue[customerID],customers[],6,FALSE)</f>
        <v>Bräcke</v>
      </c>
      <c r="E1505" s="24" t="str">
        <f>VLOOKUP(revenue[customerID],customers[],9,FALSE)</f>
        <v>Sweden</v>
      </c>
      <c r="F1505" s="24">
        <v>45300.0</v>
      </c>
      <c r="G1505" s="6">
        <v>70.0</v>
      </c>
      <c r="H1505" s="9" t="str">
        <f>VLOOKUP(revenue[productID],products[],2,FALSE)</f>
        <v>Outback Lager</v>
      </c>
      <c r="I1505" s="9" t="str">
        <f>VLOOKUP(revenue[productID],products[],12,FALSE)</f>
        <v>Beverages</v>
      </c>
      <c r="J1505" s="9">
        <f>VLOOKUP(revenue[productID],products[],IF(YEAR(revenue[orderDate])=2022,8,IF(YEAR(revenue[orderDate])=2023,9,IF(YEAR(revenue[orderDate])=2024,10,NA))),FALSE)</f>
        <v>10.03280812</v>
      </c>
      <c r="K1505" s="9">
        <v>15.0</v>
      </c>
      <c r="L1505" s="25">
        <f>(revenue[orderPrice]-revenue[productCost])/revenue[productCost]</f>
        <v>0.4950948747</v>
      </c>
      <c r="M1505" s="10">
        <v>9.0</v>
      </c>
      <c r="N1505" s="25">
        <v>0.0</v>
      </c>
      <c r="O1505" s="9">
        <f>revenue[orderPrice]*revenue[orderQuantity]</f>
        <v>135</v>
      </c>
      <c r="P1505" s="9">
        <f>revenue[orderTotal]*(1-revenue[discountApllied])</f>
        <v>135</v>
      </c>
      <c r="Q1505" s="9">
        <f>revenue[revenue]-(revenue[productCost]*revenue[orderQuantity])</f>
        <v>44.70472691</v>
      </c>
      <c r="R1505" s="25">
        <f>IFERROR(revenue[profit]/revenue[revenue], 0)</f>
        <v>0.3311461253</v>
      </c>
      <c r="S1505" s="9">
        <f>revenue[productCost]*revenue[orderQuantity]</f>
        <v>90.29527309</v>
      </c>
    </row>
    <row r="1506" ht="15.75" customHeight="1">
      <c r="A1506" s="6">
        <v>10825.0</v>
      </c>
      <c r="B1506" s="7" t="s">
        <v>72</v>
      </c>
      <c r="C1506" s="24" t="str">
        <f>VLOOKUP(revenue[customerID],customers[],2,FALSE)</f>
        <v>Drachenblut Delikatessen</v>
      </c>
      <c r="D1506" s="24" t="str">
        <f>VLOOKUP(revenue[customerID],customers[],6,FALSE)</f>
        <v>Aachen</v>
      </c>
      <c r="E1506" s="24" t="str">
        <f>VLOOKUP(revenue[customerID],customers[],9,FALSE)</f>
        <v>Germany</v>
      </c>
      <c r="F1506" s="24">
        <v>45300.0</v>
      </c>
      <c r="G1506" s="6">
        <v>26.0</v>
      </c>
      <c r="H1506" s="9" t="str">
        <f>VLOOKUP(revenue[productID],products[],2,FALSE)</f>
        <v>NuNuCa Nuß-Nougat-Creme</v>
      </c>
      <c r="I1506" s="9" t="str">
        <f>VLOOKUP(revenue[productID],products[],12,FALSE)</f>
        <v>Confections</v>
      </c>
      <c r="J1506" s="9">
        <f>VLOOKUP(revenue[productID],products[],IF(YEAR(revenue[orderDate])=2022,8,IF(YEAR(revenue[orderDate])=2023,9,IF(YEAR(revenue[orderDate])=2024,10,NA))),FALSE)</f>
        <v>22.79977195</v>
      </c>
      <c r="K1506" s="9">
        <v>31.23</v>
      </c>
      <c r="L1506" s="25">
        <f>(revenue[orderPrice]-revenue[productCost])/revenue[productCost]</f>
        <v>0.3697505427</v>
      </c>
      <c r="M1506" s="10">
        <v>12.0</v>
      </c>
      <c r="N1506" s="25">
        <v>0.0</v>
      </c>
      <c r="O1506" s="9">
        <f>revenue[orderPrice]*revenue[orderQuantity]</f>
        <v>374.76</v>
      </c>
      <c r="P1506" s="9">
        <f>revenue[orderTotal]*(1-revenue[discountApllied])</f>
        <v>374.76</v>
      </c>
      <c r="Q1506" s="9">
        <f>revenue[revenue]-(revenue[productCost]*revenue[orderQuantity])</f>
        <v>101.1627366</v>
      </c>
      <c r="R1506" s="25">
        <f>IFERROR(revenue[profit]/revenue[revenue], 0)</f>
        <v>0.2699400593</v>
      </c>
      <c r="S1506" s="9">
        <f>revenue[productCost]*revenue[orderQuantity]</f>
        <v>273.5972634</v>
      </c>
    </row>
    <row r="1507" ht="15.75" customHeight="1">
      <c r="A1507" s="6">
        <v>10825.0</v>
      </c>
      <c r="B1507" s="7" t="s">
        <v>72</v>
      </c>
      <c r="C1507" s="24" t="str">
        <f>VLOOKUP(revenue[customerID],customers[],2,FALSE)</f>
        <v>Drachenblut Delikatessen</v>
      </c>
      <c r="D1507" s="24" t="str">
        <f>VLOOKUP(revenue[customerID],customers[],6,FALSE)</f>
        <v>Aachen</v>
      </c>
      <c r="E1507" s="24" t="str">
        <f>VLOOKUP(revenue[customerID],customers[],9,FALSE)</f>
        <v>Germany</v>
      </c>
      <c r="F1507" s="24">
        <v>45300.0</v>
      </c>
      <c r="G1507" s="6">
        <v>53.0</v>
      </c>
      <c r="H1507" s="9" t="str">
        <f>VLOOKUP(revenue[productID],products[],2,FALSE)</f>
        <v>Perth Pasties</v>
      </c>
      <c r="I1507" s="9" t="str">
        <f>VLOOKUP(revenue[productID],products[],12,FALSE)</f>
        <v>Meat/Poultry</v>
      </c>
      <c r="J1507" s="9">
        <f>VLOOKUP(revenue[productID],products[],IF(YEAR(revenue[orderDate])=2022,8,IF(YEAR(revenue[orderDate])=2023,9,IF(YEAR(revenue[orderDate])=2024,10,NA))),FALSE)</f>
        <v>22.92637057</v>
      </c>
      <c r="K1507" s="9">
        <v>32.8</v>
      </c>
      <c r="L1507" s="25">
        <f>(revenue[orderPrice]-revenue[productCost])/revenue[productCost]</f>
        <v>0.4306669216</v>
      </c>
      <c r="M1507" s="10">
        <v>20.0</v>
      </c>
      <c r="N1507" s="25">
        <v>0.0</v>
      </c>
      <c r="O1507" s="9">
        <f>revenue[orderPrice]*revenue[orderQuantity]</f>
        <v>656</v>
      </c>
      <c r="P1507" s="9">
        <f>revenue[orderTotal]*(1-revenue[discountApllied])</f>
        <v>656</v>
      </c>
      <c r="Q1507" s="9">
        <f>revenue[revenue]-(revenue[productCost]*revenue[orderQuantity])</f>
        <v>197.4725887</v>
      </c>
      <c r="R1507" s="25">
        <f>IFERROR(revenue[profit]/revenue[revenue], 0)</f>
        <v>0.3010252876</v>
      </c>
      <c r="S1507" s="9">
        <f>revenue[productCost]*revenue[orderQuantity]</f>
        <v>458.5274113</v>
      </c>
    </row>
    <row r="1508" ht="15.75" customHeight="1">
      <c r="A1508" s="6">
        <v>10826.0</v>
      </c>
      <c r="B1508" s="7" t="s">
        <v>30</v>
      </c>
      <c r="C1508" s="24" t="str">
        <f>VLOOKUP(revenue[customerID],customers[],2,FALSE)</f>
        <v>Blondesddsl père et fils</v>
      </c>
      <c r="D1508" s="24" t="str">
        <f>VLOOKUP(revenue[customerID],customers[],6,FALSE)</f>
        <v>Strasbourg</v>
      </c>
      <c r="E1508" s="24" t="str">
        <f>VLOOKUP(revenue[customerID],customers[],9,FALSE)</f>
        <v>France</v>
      </c>
      <c r="F1508" s="24">
        <v>45303.0</v>
      </c>
      <c r="G1508" s="6">
        <v>31.0</v>
      </c>
      <c r="H1508" s="9" t="str">
        <f>VLOOKUP(revenue[productID],products[],2,FALSE)</f>
        <v>Gorgonzola Telino</v>
      </c>
      <c r="I1508" s="9" t="str">
        <f>VLOOKUP(revenue[productID],products[],12,FALSE)</f>
        <v>Dairy Products</v>
      </c>
      <c r="J1508" s="9">
        <f>VLOOKUP(revenue[productID],products[],IF(YEAR(revenue[orderDate])=2022,8,IF(YEAR(revenue[orderDate])=2023,9,IF(YEAR(revenue[orderDate])=2024,10,NA))),FALSE)</f>
        <v>8.203054392</v>
      </c>
      <c r="K1508" s="9">
        <v>12.5</v>
      </c>
      <c r="L1508" s="25">
        <f>(revenue[orderPrice]-revenue[productCost])/revenue[productCost]</f>
        <v>0.52382264</v>
      </c>
      <c r="M1508" s="10">
        <v>35.0</v>
      </c>
      <c r="N1508" s="25">
        <v>0.0</v>
      </c>
      <c r="O1508" s="9">
        <f>revenue[orderPrice]*revenue[orderQuantity]</f>
        <v>437.5</v>
      </c>
      <c r="P1508" s="9">
        <f>revenue[orderTotal]*(1-revenue[discountApllied])</f>
        <v>437.5</v>
      </c>
      <c r="Q1508" s="9">
        <f>revenue[revenue]-(revenue[productCost]*revenue[orderQuantity])</f>
        <v>150.3930963</v>
      </c>
      <c r="R1508" s="25">
        <f>IFERROR(revenue[profit]/revenue[revenue], 0)</f>
        <v>0.3437556486</v>
      </c>
      <c r="S1508" s="9">
        <f>revenue[productCost]*revenue[orderQuantity]</f>
        <v>287.1069037</v>
      </c>
    </row>
    <row r="1509" ht="15.75" customHeight="1">
      <c r="A1509" s="6">
        <v>10826.0</v>
      </c>
      <c r="B1509" s="7" t="s">
        <v>30</v>
      </c>
      <c r="C1509" s="24" t="str">
        <f>VLOOKUP(revenue[customerID],customers[],2,FALSE)</f>
        <v>Blondesddsl père et fils</v>
      </c>
      <c r="D1509" s="24" t="str">
        <f>VLOOKUP(revenue[customerID],customers[],6,FALSE)</f>
        <v>Strasbourg</v>
      </c>
      <c r="E1509" s="24" t="str">
        <f>VLOOKUP(revenue[customerID],customers[],9,FALSE)</f>
        <v>France</v>
      </c>
      <c r="F1509" s="24">
        <v>45303.0</v>
      </c>
      <c r="G1509" s="6">
        <v>57.0</v>
      </c>
      <c r="H1509" s="9" t="str">
        <f>VLOOKUP(revenue[productID],products[],2,FALSE)</f>
        <v>Ravioli Angelo</v>
      </c>
      <c r="I1509" s="9" t="str">
        <f>VLOOKUP(revenue[productID],products[],12,FALSE)</f>
        <v>Grains/Cereals</v>
      </c>
      <c r="J1509" s="9">
        <f>VLOOKUP(revenue[productID],products[],IF(YEAR(revenue[orderDate])=2022,8,IF(YEAR(revenue[orderDate])=2023,9,IF(YEAR(revenue[orderDate])=2024,10,NA))),FALSE)</f>
        <v>14.29534762</v>
      </c>
      <c r="K1509" s="9">
        <v>19.5</v>
      </c>
      <c r="L1509" s="25">
        <f>(revenue[orderPrice]-revenue[productCost])/revenue[productCost]</f>
        <v>0.3640801552</v>
      </c>
      <c r="M1509" s="10">
        <v>15.0</v>
      </c>
      <c r="N1509" s="25">
        <v>0.0</v>
      </c>
      <c r="O1509" s="9">
        <f>revenue[orderPrice]*revenue[orderQuantity]</f>
        <v>292.5</v>
      </c>
      <c r="P1509" s="9">
        <f>revenue[orderTotal]*(1-revenue[discountApllied])</f>
        <v>292.5</v>
      </c>
      <c r="Q1509" s="9">
        <f>revenue[revenue]-(revenue[productCost]*revenue[orderQuantity])</f>
        <v>78.06978571</v>
      </c>
      <c r="R1509" s="25">
        <f>IFERROR(revenue[profit]/revenue[revenue], 0)</f>
        <v>0.2669052503</v>
      </c>
      <c r="S1509" s="9">
        <f>revenue[productCost]*revenue[orderQuantity]</f>
        <v>214.4302143</v>
      </c>
    </row>
    <row r="1510" ht="15.75" customHeight="1">
      <c r="A1510" s="6">
        <v>10827.0</v>
      </c>
      <c r="B1510" s="7" t="s">
        <v>63</v>
      </c>
      <c r="C1510" s="24" t="str">
        <f>VLOOKUP(revenue[customerID],customers[],2,FALSE)</f>
        <v>Bon app'</v>
      </c>
      <c r="D1510" s="24" t="str">
        <f>VLOOKUP(revenue[customerID],customers[],6,FALSE)</f>
        <v>Marseille</v>
      </c>
      <c r="E1510" s="24" t="str">
        <f>VLOOKUP(revenue[customerID],customers[],9,FALSE)</f>
        <v>France</v>
      </c>
      <c r="F1510" s="24">
        <v>45303.0</v>
      </c>
      <c r="G1510" s="6">
        <v>10.0</v>
      </c>
      <c r="H1510" s="9" t="str">
        <f>VLOOKUP(revenue[productID],products[],2,FALSE)</f>
        <v>Ikura</v>
      </c>
      <c r="I1510" s="9" t="str">
        <f>VLOOKUP(revenue[productID],products[],12,FALSE)</f>
        <v>Seafood</v>
      </c>
      <c r="J1510" s="9">
        <f>VLOOKUP(revenue[productID],products[],IF(YEAR(revenue[orderDate])=2022,8,IF(YEAR(revenue[orderDate])=2023,9,IF(YEAR(revenue[orderDate])=2024,10,NA))),FALSE)</f>
        <v>20.90394627</v>
      </c>
      <c r="K1510" s="9">
        <v>31.0</v>
      </c>
      <c r="L1510" s="25">
        <f>(revenue[orderPrice]-revenue[productCost])/revenue[productCost]</f>
        <v>0.4829735786</v>
      </c>
      <c r="M1510" s="10">
        <v>15.0</v>
      </c>
      <c r="N1510" s="25">
        <v>0.0</v>
      </c>
      <c r="O1510" s="9">
        <f>revenue[orderPrice]*revenue[orderQuantity]</f>
        <v>465</v>
      </c>
      <c r="P1510" s="9">
        <f>revenue[orderTotal]*(1-revenue[discountApllied])</f>
        <v>465</v>
      </c>
      <c r="Q1510" s="9">
        <f>revenue[revenue]-(revenue[productCost]*revenue[orderQuantity])</f>
        <v>151.440806</v>
      </c>
      <c r="R1510" s="25">
        <f>IFERROR(revenue[profit]/revenue[revenue], 0)</f>
        <v>0.3256791527</v>
      </c>
      <c r="S1510" s="9">
        <f>revenue[productCost]*revenue[orderQuantity]</f>
        <v>313.559194</v>
      </c>
    </row>
    <row r="1511" ht="15.75" customHeight="1">
      <c r="A1511" s="6">
        <v>10827.0</v>
      </c>
      <c r="B1511" s="7" t="s">
        <v>63</v>
      </c>
      <c r="C1511" s="24" t="str">
        <f>VLOOKUP(revenue[customerID],customers[],2,FALSE)</f>
        <v>Bon app'</v>
      </c>
      <c r="D1511" s="24" t="str">
        <f>VLOOKUP(revenue[customerID],customers[],6,FALSE)</f>
        <v>Marseille</v>
      </c>
      <c r="E1511" s="24" t="str">
        <f>VLOOKUP(revenue[customerID],customers[],9,FALSE)</f>
        <v>France</v>
      </c>
      <c r="F1511" s="24">
        <v>45303.0</v>
      </c>
      <c r="G1511" s="6">
        <v>39.0</v>
      </c>
      <c r="H1511" s="9" t="str">
        <f>VLOOKUP(revenue[productID],products[],2,FALSE)</f>
        <v>Chartreuse verte</v>
      </c>
      <c r="I1511" s="9" t="str">
        <f>VLOOKUP(revenue[productID],products[],12,FALSE)</f>
        <v>Beverages</v>
      </c>
      <c r="J1511" s="9">
        <f>VLOOKUP(revenue[productID],products[],IF(YEAR(revenue[orderDate])=2022,8,IF(YEAR(revenue[orderDate])=2023,9,IF(YEAR(revenue[orderDate])=2024,10,NA))),FALSE)</f>
        <v>12.3017224</v>
      </c>
      <c r="K1511" s="9">
        <v>18.0</v>
      </c>
      <c r="L1511" s="25">
        <f>(revenue[orderPrice]-revenue[productCost])/revenue[productCost]</f>
        <v>0.4632097374</v>
      </c>
      <c r="M1511" s="10">
        <v>21.0</v>
      </c>
      <c r="N1511" s="25">
        <v>0.0</v>
      </c>
      <c r="O1511" s="9">
        <f>revenue[orderPrice]*revenue[orderQuantity]</f>
        <v>378</v>
      </c>
      <c r="P1511" s="9">
        <f>revenue[orderTotal]*(1-revenue[discountApllied])</f>
        <v>378</v>
      </c>
      <c r="Q1511" s="9">
        <f>revenue[revenue]-(revenue[productCost]*revenue[orderQuantity])</f>
        <v>119.6638296</v>
      </c>
      <c r="R1511" s="25">
        <f>IFERROR(revenue[profit]/revenue[revenue], 0)</f>
        <v>0.3165709779</v>
      </c>
      <c r="S1511" s="9">
        <f>revenue[productCost]*revenue[orderQuantity]</f>
        <v>258.3361704</v>
      </c>
    </row>
    <row r="1512" ht="15.75" customHeight="1">
      <c r="A1512" s="6">
        <v>10828.0</v>
      </c>
      <c r="B1512" s="7" t="s">
        <v>88</v>
      </c>
      <c r="C1512" s="24" t="str">
        <f>VLOOKUP(revenue[customerID],customers[],2,FALSE)</f>
        <v>Rancho grande</v>
      </c>
      <c r="D1512" s="24" t="str">
        <f>VLOOKUP(revenue[customerID],customers[],6,FALSE)</f>
        <v>Buenos Aires</v>
      </c>
      <c r="E1512" s="24" t="str">
        <f>VLOOKUP(revenue[customerID],customers[],9,FALSE)</f>
        <v>Argentina</v>
      </c>
      <c r="F1512" s="24">
        <v>45304.0</v>
      </c>
      <c r="G1512" s="6">
        <v>20.0</v>
      </c>
      <c r="H1512" s="9" t="str">
        <f>VLOOKUP(revenue[productID],products[],2,FALSE)</f>
        <v>Sir Rodney's Marmalade</v>
      </c>
      <c r="I1512" s="9" t="str">
        <f>VLOOKUP(revenue[productID],products[],12,FALSE)</f>
        <v>Confections</v>
      </c>
      <c r="J1512" s="9">
        <f>VLOOKUP(revenue[productID],products[],IF(YEAR(revenue[orderDate])=2022,8,IF(YEAR(revenue[orderDate])=2023,9,IF(YEAR(revenue[orderDate])=2024,10,NA))),FALSE)</f>
        <v>62.82537598</v>
      </c>
      <c r="K1512" s="9">
        <v>81.0</v>
      </c>
      <c r="L1512" s="25">
        <f>(revenue[orderPrice]-revenue[productCost])/revenue[productCost]</f>
        <v>0.2892879468</v>
      </c>
      <c r="M1512" s="10">
        <v>5.0</v>
      </c>
      <c r="N1512" s="25">
        <v>0.0</v>
      </c>
      <c r="O1512" s="9">
        <f>revenue[orderPrice]*revenue[orderQuantity]</f>
        <v>405</v>
      </c>
      <c r="P1512" s="9">
        <f>revenue[orderTotal]*(1-revenue[discountApllied])</f>
        <v>405</v>
      </c>
      <c r="Q1512" s="9">
        <f>revenue[revenue]-(revenue[productCost]*revenue[orderQuantity])</f>
        <v>90.87312012</v>
      </c>
      <c r="R1512" s="25">
        <f>IFERROR(revenue[profit]/revenue[revenue], 0)</f>
        <v>0.2243780744</v>
      </c>
      <c r="S1512" s="9">
        <f>revenue[productCost]*revenue[orderQuantity]</f>
        <v>314.1268799</v>
      </c>
    </row>
    <row r="1513" ht="15.75" customHeight="1">
      <c r="A1513" s="6">
        <v>10828.0</v>
      </c>
      <c r="B1513" s="7" t="s">
        <v>88</v>
      </c>
      <c r="C1513" s="24" t="str">
        <f>VLOOKUP(revenue[customerID],customers[],2,FALSE)</f>
        <v>Rancho grande</v>
      </c>
      <c r="D1513" s="24" t="str">
        <f>VLOOKUP(revenue[customerID],customers[],6,FALSE)</f>
        <v>Buenos Aires</v>
      </c>
      <c r="E1513" s="24" t="str">
        <f>VLOOKUP(revenue[customerID],customers[],9,FALSE)</f>
        <v>Argentina</v>
      </c>
      <c r="F1513" s="24">
        <v>45304.0</v>
      </c>
      <c r="G1513" s="6">
        <v>38.0</v>
      </c>
      <c r="H1513" s="9" t="str">
        <f>VLOOKUP(revenue[productID],products[],2,FALSE)</f>
        <v>Côte de Blaye</v>
      </c>
      <c r="I1513" s="9" t="str">
        <f>VLOOKUP(revenue[productID],products[],12,FALSE)</f>
        <v>Beverages</v>
      </c>
      <c r="J1513" s="9">
        <f>VLOOKUP(revenue[productID],products[],IF(YEAR(revenue[orderDate])=2022,8,IF(YEAR(revenue[orderDate])=2023,9,IF(YEAR(revenue[orderDate])=2024,10,NA))),FALSE)</f>
        <v>192.1798413</v>
      </c>
      <c r="K1513" s="9">
        <v>263.5</v>
      </c>
      <c r="L1513" s="25">
        <f>(revenue[orderPrice]-revenue[productCost])/revenue[productCost]</f>
        <v>0.3711115493</v>
      </c>
      <c r="M1513" s="10">
        <v>2.0</v>
      </c>
      <c r="N1513" s="25">
        <v>0.0</v>
      </c>
      <c r="O1513" s="9">
        <f>revenue[orderPrice]*revenue[orderQuantity]</f>
        <v>527</v>
      </c>
      <c r="P1513" s="9">
        <f>revenue[orderTotal]*(1-revenue[discountApllied])</f>
        <v>527</v>
      </c>
      <c r="Q1513" s="9">
        <f>revenue[revenue]-(revenue[productCost]*revenue[orderQuantity])</f>
        <v>142.6403173</v>
      </c>
      <c r="R1513" s="25">
        <f>IFERROR(revenue[profit]/revenue[revenue], 0)</f>
        <v>0.2706647388</v>
      </c>
      <c r="S1513" s="9">
        <f>revenue[productCost]*revenue[orderQuantity]</f>
        <v>384.3596827</v>
      </c>
    </row>
    <row r="1514" ht="15.75" customHeight="1">
      <c r="A1514" s="6">
        <v>10829.0</v>
      </c>
      <c r="B1514" s="7" t="s">
        <v>57</v>
      </c>
      <c r="C1514" s="24" t="str">
        <f>VLOOKUP(revenue[customerID],customers[],2,FALSE)</f>
        <v>Island Trading</v>
      </c>
      <c r="D1514" s="24" t="str">
        <f>VLOOKUP(revenue[customerID],customers[],6,FALSE)</f>
        <v>Cowes</v>
      </c>
      <c r="E1514" s="24" t="str">
        <f>VLOOKUP(revenue[customerID],customers[],9,FALSE)</f>
        <v>UK</v>
      </c>
      <c r="F1514" s="24">
        <v>45304.0</v>
      </c>
      <c r="G1514" s="6">
        <v>2.0</v>
      </c>
      <c r="H1514" s="9" t="str">
        <f>VLOOKUP(revenue[productID],products[],2,FALSE)</f>
        <v>Chang</v>
      </c>
      <c r="I1514" s="9" t="str">
        <f>VLOOKUP(revenue[productID],products[],12,FALSE)</f>
        <v>Beverages</v>
      </c>
      <c r="J1514" s="9">
        <f>VLOOKUP(revenue[productID],products[],IF(YEAR(revenue[orderDate])=2022,8,IF(YEAR(revenue[orderDate])=2023,9,IF(YEAR(revenue[orderDate])=2024,10,NA))),FALSE)</f>
        <v>11.93843713</v>
      </c>
      <c r="K1514" s="9">
        <v>19.0</v>
      </c>
      <c r="L1514" s="25">
        <f>(revenue[orderPrice]-revenue[productCost])/revenue[productCost]</f>
        <v>0.591498099</v>
      </c>
      <c r="M1514" s="10">
        <v>10.0</v>
      </c>
      <c r="N1514" s="25">
        <v>0.0</v>
      </c>
      <c r="O1514" s="9">
        <f>revenue[orderPrice]*revenue[orderQuantity]</f>
        <v>190</v>
      </c>
      <c r="P1514" s="9">
        <f>revenue[orderTotal]*(1-revenue[discountApllied])</f>
        <v>190</v>
      </c>
      <c r="Q1514" s="9">
        <f>revenue[revenue]-(revenue[productCost]*revenue[orderQuantity])</f>
        <v>70.61562868</v>
      </c>
      <c r="R1514" s="25">
        <f>IFERROR(revenue[profit]/revenue[revenue], 0)</f>
        <v>0.3716612036</v>
      </c>
      <c r="S1514" s="9">
        <f>revenue[productCost]*revenue[orderQuantity]</f>
        <v>119.3843713</v>
      </c>
    </row>
    <row r="1515" ht="15.75" customHeight="1">
      <c r="A1515" s="6">
        <v>10829.0</v>
      </c>
      <c r="B1515" s="7" t="s">
        <v>57</v>
      </c>
      <c r="C1515" s="24" t="str">
        <f>VLOOKUP(revenue[customerID],customers[],2,FALSE)</f>
        <v>Island Trading</v>
      </c>
      <c r="D1515" s="24" t="str">
        <f>VLOOKUP(revenue[customerID],customers[],6,FALSE)</f>
        <v>Cowes</v>
      </c>
      <c r="E1515" s="24" t="str">
        <f>VLOOKUP(revenue[customerID],customers[],9,FALSE)</f>
        <v>UK</v>
      </c>
      <c r="F1515" s="24">
        <v>45304.0</v>
      </c>
      <c r="G1515" s="6">
        <v>8.0</v>
      </c>
      <c r="H1515" s="9" t="str">
        <f>VLOOKUP(revenue[productID],products[],2,FALSE)</f>
        <v>Northwoods Cranberry Sauce</v>
      </c>
      <c r="I1515" s="9" t="str">
        <f>VLOOKUP(revenue[productID],products[],12,FALSE)</f>
        <v>Condiments</v>
      </c>
      <c r="J1515" s="9">
        <f>VLOOKUP(revenue[productID],products[],IF(YEAR(revenue[orderDate])=2022,8,IF(YEAR(revenue[orderDate])=2023,9,IF(YEAR(revenue[orderDate])=2024,10,NA))),FALSE)</f>
        <v>27.41770867</v>
      </c>
      <c r="K1515" s="9">
        <v>40.0</v>
      </c>
      <c r="L1515" s="25">
        <f>(revenue[orderPrice]-revenue[productCost])/revenue[productCost]</f>
        <v>0.4589111179</v>
      </c>
      <c r="M1515" s="10">
        <v>20.0</v>
      </c>
      <c r="N1515" s="25">
        <v>0.0</v>
      </c>
      <c r="O1515" s="9">
        <f>revenue[orderPrice]*revenue[orderQuantity]</f>
        <v>800</v>
      </c>
      <c r="P1515" s="9">
        <f>revenue[orderTotal]*(1-revenue[discountApllied])</f>
        <v>800</v>
      </c>
      <c r="Q1515" s="9">
        <f>revenue[revenue]-(revenue[productCost]*revenue[orderQuantity])</f>
        <v>251.6458267</v>
      </c>
      <c r="R1515" s="25">
        <f>IFERROR(revenue[profit]/revenue[revenue], 0)</f>
        <v>0.3145572833</v>
      </c>
      <c r="S1515" s="9">
        <f>revenue[productCost]*revenue[orderQuantity]</f>
        <v>548.3541733</v>
      </c>
    </row>
    <row r="1516" ht="15.75" customHeight="1">
      <c r="A1516" s="6">
        <v>10829.0</v>
      </c>
      <c r="B1516" s="7" t="s">
        <v>57</v>
      </c>
      <c r="C1516" s="24" t="str">
        <f>VLOOKUP(revenue[customerID],customers[],2,FALSE)</f>
        <v>Island Trading</v>
      </c>
      <c r="D1516" s="24" t="str">
        <f>VLOOKUP(revenue[customerID],customers[],6,FALSE)</f>
        <v>Cowes</v>
      </c>
      <c r="E1516" s="24" t="str">
        <f>VLOOKUP(revenue[customerID],customers[],9,FALSE)</f>
        <v>UK</v>
      </c>
      <c r="F1516" s="24">
        <v>45304.0</v>
      </c>
      <c r="G1516" s="6">
        <v>13.0</v>
      </c>
      <c r="H1516" s="9" t="str">
        <f>VLOOKUP(revenue[productID],products[],2,FALSE)</f>
        <v>Konbu</v>
      </c>
      <c r="I1516" s="9" t="str">
        <f>VLOOKUP(revenue[productID],products[],12,FALSE)</f>
        <v>Seafood</v>
      </c>
      <c r="J1516" s="9">
        <f>VLOOKUP(revenue[productID],products[],IF(YEAR(revenue[orderDate])=2022,8,IF(YEAR(revenue[orderDate])=2023,9,IF(YEAR(revenue[orderDate])=2024,10,NA))),FALSE)</f>
        <v>3.966387047</v>
      </c>
      <c r="K1516" s="9">
        <v>6.0</v>
      </c>
      <c r="L1516" s="25">
        <f>(revenue[orderPrice]-revenue[productCost])/revenue[productCost]</f>
        <v>0.5127116768</v>
      </c>
      <c r="M1516" s="10">
        <v>10.0</v>
      </c>
      <c r="N1516" s="25">
        <v>0.0</v>
      </c>
      <c r="O1516" s="9">
        <f>revenue[orderPrice]*revenue[orderQuantity]</f>
        <v>60</v>
      </c>
      <c r="P1516" s="9">
        <f>revenue[orderTotal]*(1-revenue[discountApllied])</f>
        <v>60</v>
      </c>
      <c r="Q1516" s="9">
        <f>revenue[revenue]-(revenue[productCost]*revenue[orderQuantity])</f>
        <v>20.33612953</v>
      </c>
      <c r="R1516" s="25">
        <f>IFERROR(revenue[profit]/revenue[revenue], 0)</f>
        <v>0.3389354922</v>
      </c>
      <c r="S1516" s="9">
        <f>revenue[productCost]*revenue[orderQuantity]</f>
        <v>39.66387047</v>
      </c>
    </row>
    <row r="1517" ht="15.75" customHeight="1">
      <c r="A1517" s="6">
        <v>10829.0</v>
      </c>
      <c r="B1517" s="7" t="s">
        <v>57</v>
      </c>
      <c r="C1517" s="24" t="str">
        <f>VLOOKUP(revenue[customerID],customers[],2,FALSE)</f>
        <v>Island Trading</v>
      </c>
      <c r="D1517" s="24" t="str">
        <f>VLOOKUP(revenue[customerID],customers[],6,FALSE)</f>
        <v>Cowes</v>
      </c>
      <c r="E1517" s="24" t="str">
        <f>VLOOKUP(revenue[customerID],customers[],9,FALSE)</f>
        <v>UK</v>
      </c>
      <c r="F1517" s="24">
        <v>45304.0</v>
      </c>
      <c r="G1517" s="6">
        <v>60.0</v>
      </c>
      <c r="H1517" s="9" t="str">
        <f>VLOOKUP(revenue[productID],products[],2,FALSE)</f>
        <v>Camembert Pierrot</v>
      </c>
      <c r="I1517" s="9" t="str">
        <f>VLOOKUP(revenue[productID],products[],12,FALSE)</f>
        <v>Dairy Products</v>
      </c>
      <c r="J1517" s="9">
        <f>VLOOKUP(revenue[productID],products[],IF(YEAR(revenue[orderDate])=2022,8,IF(YEAR(revenue[orderDate])=2023,9,IF(YEAR(revenue[orderDate])=2024,10,NA))),FALSE)</f>
        <v>22.49091154</v>
      </c>
      <c r="K1517" s="9">
        <v>34.0</v>
      </c>
      <c r="L1517" s="25">
        <f>(revenue[orderPrice]-revenue[productCost])/revenue[productCost]</f>
        <v>0.5117217431</v>
      </c>
      <c r="M1517" s="10">
        <v>21.0</v>
      </c>
      <c r="N1517" s="25">
        <v>0.0</v>
      </c>
      <c r="O1517" s="9">
        <f>revenue[orderPrice]*revenue[orderQuantity]</f>
        <v>714</v>
      </c>
      <c r="P1517" s="9">
        <f>revenue[orderTotal]*(1-revenue[discountApllied])</f>
        <v>714</v>
      </c>
      <c r="Q1517" s="9">
        <f>revenue[revenue]-(revenue[productCost]*revenue[orderQuantity])</f>
        <v>241.6908576</v>
      </c>
      <c r="R1517" s="25">
        <f>IFERROR(revenue[profit]/revenue[revenue], 0)</f>
        <v>0.3385026017</v>
      </c>
      <c r="S1517" s="9">
        <f>revenue[productCost]*revenue[orderQuantity]</f>
        <v>472.3091424</v>
      </c>
    </row>
    <row r="1518" ht="15.75" customHeight="1">
      <c r="A1518" s="6">
        <v>10830.0</v>
      </c>
      <c r="B1518" s="7" t="s">
        <v>48</v>
      </c>
      <c r="C1518" s="24" t="str">
        <f>VLOOKUP(revenue[customerID],customers[],2,FALSE)</f>
        <v>Tradição Hipermercados</v>
      </c>
      <c r="D1518" s="24" t="str">
        <f>VLOOKUP(revenue[customerID],customers[],6,FALSE)</f>
        <v>Sao Paulo</v>
      </c>
      <c r="E1518" s="24" t="str">
        <f>VLOOKUP(revenue[customerID],customers[],9,FALSE)</f>
        <v>Brazil</v>
      </c>
      <c r="F1518" s="24">
        <v>45304.0</v>
      </c>
      <c r="G1518" s="6">
        <v>6.0</v>
      </c>
      <c r="H1518" s="9" t="str">
        <f>VLOOKUP(revenue[productID],products[],2,FALSE)</f>
        <v>Grandma's Boysenberry Spread</v>
      </c>
      <c r="I1518" s="9" t="str">
        <f>VLOOKUP(revenue[productID],products[],12,FALSE)</f>
        <v>Condiments</v>
      </c>
      <c r="J1518" s="9">
        <f>VLOOKUP(revenue[productID],products[],IF(YEAR(revenue[orderDate])=2022,8,IF(YEAR(revenue[orderDate])=2023,9,IF(YEAR(revenue[orderDate])=2024,10,NA))),FALSE)</f>
        <v>17.2416593</v>
      </c>
      <c r="K1518" s="9">
        <v>25.0</v>
      </c>
      <c r="L1518" s="25">
        <f>(revenue[orderPrice]-revenue[productCost])/revenue[productCost]</f>
        <v>0.4499764532</v>
      </c>
      <c r="M1518" s="10">
        <v>6.0</v>
      </c>
      <c r="N1518" s="25">
        <v>0.0</v>
      </c>
      <c r="O1518" s="9">
        <f>revenue[orderPrice]*revenue[orderQuantity]</f>
        <v>150</v>
      </c>
      <c r="P1518" s="9">
        <f>revenue[orderTotal]*(1-revenue[discountApllied])</f>
        <v>150</v>
      </c>
      <c r="Q1518" s="9">
        <f>revenue[revenue]-(revenue[productCost]*revenue[orderQuantity])</f>
        <v>46.5500442</v>
      </c>
      <c r="R1518" s="25">
        <f>IFERROR(revenue[profit]/revenue[revenue], 0)</f>
        <v>0.310333628</v>
      </c>
      <c r="S1518" s="9">
        <f>revenue[productCost]*revenue[orderQuantity]</f>
        <v>103.4499558</v>
      </c>
    </row>
    <row r="1519" ht="15.75" customHeight="1">
      <c r="A1519" s="6">
        <v>10830.0</v>
      </c>
      <c r="B1519" s="7" t="s">
        <v>48</v>
      </c>
      <c r="C1519" s="24" t="str">
        <f>VLOOKUP(revenue[customerID],customers[],2,FALSE)</f>
        <v>Tradição Hipermercados</v>
      </c>
      <c r="D1519" s="24" t="str">
        <f>VLOOKUP(revenue[customerID],customers[],6,FALSE)</f>
        <v>Sao Paulo</v>
      </c>
      <c r="E1519" s="24" t="str">
        <f>VLOOKUP(revenue[customerID],customers[],9,FALSE)</f>
        <v>Brazil</v>
      </c>
      <c r="F1519" s="24">
        <v>45304.0</v>
      </c>
      <c r="G1519" s="6">
        <v>39.0</v>
      </c>
      <c r="H1519" s="9" t="str">
        <f>VLOOKUP(revenue[productID],products[],2,FALSE)</f>
        <v>Chartreuse verte</v>
      </c>
      <c r="I1519" s="9" t="str">
        <f>VLOOKUP(revenue[productID],products[],12,FALSE)</f>
        <v>Beverages</v>
      </c>
      <c r="J1519" s="9">
        <f>VLOOKUP(revenue[productID],products[],IF(YEAR(revenue[orderDate])=2022,8,IF(YEAR(revenue[orderDate])=2023,9,IF(YEAR(revenue[orderDate])=2024,10,NA))),FALSE)</f>
        <v>12.3017224</v>
      </c>
      <c r="K1519" s="9">
        <v>18.0</v>
      </c>
      <c r="L1519" s="25">
        <f>(revenue[orderPrice]-revenue[productCost])/revenue[productCost]</f>
        <v>0.4632097374</v>
      </c>
      <c r="M1519" s="10">
        <v>28.0</v>
      </c>
      <c r="N1519" s="25">
        <v>0.0</v>
      </c>
      <c r="O1519" s="9">
        <f>revenue[orderPrice]*revenue[orderQuantity]</f>
        <v>504</v>
      </c>
      <c r="P1519" s="9">
        <f>revenue[orderTotal]*(1-revenue[discountApllied])</f>
        <v>504</v>
      </c>
      <c r="Q1519" s="9">
        <f>revenue[revenue]-(revenue[productCost]*revenue[orderQuantity])</f>
        <v>159.5517728</v>
      </c>
      <c r="R1519" s="25">
        <f>IFERROR(revenue[profit]/revenue[revenue], 0)</f>
        <v>0.3165709779</v>
      </c>
      <c r="S1519" s="9">
        <f>revenue[productCost]*revenue[orderQuantity]</f>
        <v>344.4482272</v>
      </c>
    </row>
    <row r="1520" ht="15.75" customHeight="1">
      <c r="A1520" s="6">
        <v>10830.0</v>
      </c>
      <c r="B1520" s="7" t="s">
        <v>48</v>
      </c>
      <c r="C1520" s="24" t="str">
        <f>VLOOKUP(revenue[customerID],customers[],2,FALSE)</f>
        <v>Tradição Hipermercados</v>
      </c>
      <c r="D1520" s="24" t="str">
        <f>VLOOKUP(revenue[customerID],customers[],6,FALSE)</f>
        <v>Sao Paulo</v>
      </c>
      <c r="E1520" s="24" t="str">
        <f>VLOOKUP(revenue[customerID],customers[],9,FALSE)</f>
        <v>Brazil</v>
      </c>
      <c r="F1520" s="24">
        <v>45304.0</v>
      </c>
      <c r="G1520" s="6">
        <v>60.0</v>
      </c>
      <c r="H1520" s="9" t="str">
        <f>VLOOKUP(revenue[productID],products[],2,FALSE)</f>
        <v>Camembert Pierrot</v>
      </c>
      <c r="I1520" s="9" t="str">
        <f>VLOOKUP(revenue[productID],products[],12,FALSE)</f>
        <v>Dairy Products</v>
      </c>
      <c r="J1520" s="9">
        <f>VLOOKUP(revenue[productID],products[],IF(YEAR(revenue[orderDate])=2022,8,IF(YEAR(revenue[orderDate])=2023,9,IF(YEAR(revenue[orderDate])=2024,10,NA))),FALSE)</f>
        <v>22.49091154</v>
      </c>
      <c r="K1520" s="9">
        <v>34.0</v>
      </c>
      <c r="L1520" s="25">
        <f>(revenue[orderPrice]-revenue[productCost])/revenue[productCost]</f>
        <v>0.5117217431</v>
      </c>
      <c r="M1520" s="10">
        <v>30.0</v>
      </c>
      <c r="N1520" s="25">
        <v>0.0</v>
      </c>
      <c r="O1520" s="9">
        <f>revenue[orderPrice]*revenue[orderQuantity]</f>
        <v>1020</v>
      </c>
      <c r="P1520" s="9">
        <f>revenue[orderTotal]*(1-revenue[discountApllied])</f>
        <v>1020</v>
      </c>
      <c r="Q1520" s="9">
        <f>revenue[revenue]-(revenue[productCost]*revenue[orderQuantity])</f>
        <v>345.2726537</v>
      </c>
      <c r="R1520" s="25">
        <f>IFERROR(revenue[profit]/revenue[revenue], 0)</f>
        <v>0.3385026017</v>
      </c>
      <c r="S1520" s="9">
        <f>revenue[productCost]*revenue[orderQuantity]</f>
        <v>674.7273463</v>
      </c>
    </row>
    <row r="1521" ht="15.75" customHeight="1">
      <c r="A1521" s="6">
        <v>10830.0</v>
      </c>
      <c r="B1521" s="7" t="s">
        <v>48</v>
      </c>
      <c r="C1521" s="24" t="str">
        <f>VLOOKUP(revenue[customerID],customers[],2,FALSE)</f>
        <v>Tradição Hipermercados</v>
      </c>
      <c r="D1521" s="24" t="str">
        <f>VLOOKUP(revenue[customerID],customers[],6,FALSE)</f>
        <v>Sao Paulo</v>
      </c>
      <c r="E1521" s="24" t="str">
        <f>VLOOKUP(revenue[customerID],customers[],9,FALSE)</f>
        <v>Brazil</v>
      </c>
      <c r="F1521" s="24">
        <v>45304.0</v>
      </c>
      <c r="G1521" s="6">
        <v>68.0</v>
      </c>
      <c r="H1521" s="9" t="str">
        <f>VLOOKUP(revenue[productID],products[],2,FALSE)</f>
        <v>Scottish Longbreads</v>
      </c>
      <c r="I1521" s="9" t="str">
        <f>VLOOKUP(revenue[productID],products[],12,FALSE)</f>
        <v>Confections</v>
      </c>
      <c r="J1521" s="9">
        <f>VLOOKUP(revenue[productID],products[],IF(YEAR(revenue[orderDate])=2022,8,IF(YEAR(revenue[orderDate])=2023,9,IF(YEAR(revenue[orderDate])=2024,10,NA))),FALSE)</f>
        <v>9.555031708</v>
      </c>
      <c r="K1521" s="9">
        <v>12.5</v>
      </c>
      <c r="L1521" s="25">
        <f>(revenue[orderPrice]-revenue[productCost])/revenue[productCost]</f>
        <v>0.3082112527</v>
      </c>
      <c r="M1521" s="10">
        <v>24.0</v>
      </c>
      <c r="N1521" s="25">
        <v>0.0</v>
      </c>
      <c r="O1521" s="9">
        <f>revenue[orderPrice]*revenue[orderQuantity]</f>
        <v>300</v>
      </c>
      <c r="P1521" s="9">
        <f>revenue[orderTotal]*(1-revenue[discountApllied])</f>
        <v>300</v>
      </c>
      <c r="Q1521" s="9">
        <f>revenue[revenue]-(revenue[productCost]*revenue[orderQuantity])</f>
        <v>70.67923902</v>
      </c>
      <c r="R1521" s="25">
        <f>IFERROR(revenue[profit]/revenue[revenue], 0)</f>
        <v>0.2355974634</v>
      </c>
      <c r="S1521" s="9">
        <f>revenue[productCost]*revenue[orderQuantity]</f>
        <v>229.320761</v>
      </c>
    </row>
    <row r="1522" ht="15.75" customHeight="1">
      <c r="A1522" s="6">
        <v>10831.0</v>
      </c>
      <c r="B1522" s="7" t="s">
        <v>80</v>
      </c>
      <c r="C1522" s="24" t="str">
        <f>VLOOKUP(revenue[customerID],customers[],2,FALSE)</f>
        <v>Santé Gourmet</v>
      </c>
      <c r="D1522" s="24" t="str">
        <f>VLOOKUP(revenue[customerID],customers[],6,FALSE)</f>
        <v>Stavern</v>
      </c>
      <c r="E1522" s="24" t="str">
        <f>VLOOKUP(revenue[customerID],customers[],9,FALSE)</f>
        <v>Norway</v>
      </c>
      <c r="F1522" s="24">
        <v>45305.0</v>
      </c>
      <c r="G1522" s="6">
        <v>19.0</v>
      </c>
      <c r="H1522" s="9" t="str">
        <f>VLOOKUP(revenue[productID],products[],2,FALSE)</f>
        <v>Teatime Chocolate Biscuits</v>
      </c>
      <c r="I1522" s="9" t="str">
        <f>VLOOKUP(revenue[productID],products[],12,FALSE)</f>
        <v>Confections</v>
      </c>
      <c r="J1522" s="9">
        <f>VLOOKUP(revenue[productID],products[],IF(YEAR(revenue[orderDate])=2022,8,IF(YEAR(revenue[orderDate])=2023,9,IF(YEAR(revenue[orderDate])=2024,10,NA))),FALSE)</f>
        <v>6.769656984</v>
      </c>
      <c r="K1522" s="9">
        <v>9.2</v>
      </c>
      <c r="L1522" s="25">
        <f>(revenue[orderPrice]-revenue[productCost])/revenue[productCost]</f>
        <v>0.3590053413</v>
      </c>
      <c r="M1522" s="10">
        <v>2.0</v>
      </c>
      <c r="N1522" s="25">
        <v>0.0</v>
      </c>
      <c r="O1522" s="9">
        <f>revenue[orderPrice]*revenue[orderQuantity]</f>
        <v>18.4</v>
      </c>
      <c r="P1522" s="9">
        <f>revenue[orderTotal]*(1-revenue[discountApllied])</f>
        <v>18.4</v>
      </c>
      <c r="Q1522" s="9">
        <f>revenue[revenue]-(revenue[productCost]*revenue[orderQuantity])</f>
        <v>4.860686032</v>
      </c>
      <c r="R1522" s="25">
        <f>IFERROR(revenue[profit]/revenue[revenue], 0)</f>
        <v>0.2641677191</v>
      </c>
      <c r="S1522" s="9">
        <f>revenue[productCost]*revenue[orderQuantity]</f>
        <v>13.53931397</v>
      </c>
    </row>
    <row r="1523" ht="15.75" customHeight="1">
      <c r="A1523" s="6">
        <v>10831.0</v>
      </c>
      <c r="B1523" s="7" t="s">
        <v>80</v>
      </c>
      <c r="C1523" s="24" t="str">
        <f>VLOOKUP(revenue[customerID],customers[],2,FALSE)</f>
        <v>Santé Gourmet</v>
      </c>
      <c r="D1523" s="24" t="str">
        <f>VLOOKUP(revenue[customerID],customers[],6,FALSE)</f>
        <v>Stavern</v>
      </c>
      <c r="E1523" s="24" t="str">
        <f>VLOOKUP(revenue[customerID],customers[],9,FALSE)</f>
        <v>Norway</v>
      </c>
      <c r="F1523" s="24">
        <v>45305.0</v>
      </c>
      <c r="G1523" s="6">
        <v>35.0</v>
      </c>
      <c r="H1523" s="9" t="str">
        <f>VLOOKUP(revenue[productID],products[],2,FALSE)</f>
        <v>Cold Brew Nitro</v>
      </c>
      <c r="I1523" s="9" t="str">
        <f>VLOOKUP(revenue[productID],products[],12,FALSE)</f>
        <v>Beverages</v>
      </c>
      <c r="J1523" s="9">
        <f>VLOOKUP(revenue[productID],products[],IF(YEAR(revenue[orderDate])=2022,8,IF(YEAR(revenue[orderDate])=2023,9,IF(YEAR(revenue[orderDate])=2024,10,NA))),FALSE)</f>
        <v>12.9261692</v>
      </c>
      <c r="K1523" s="9">
        <v>18.0</v>
      </c>
      <c r="L1523" s="25">
        <f>(revenue[orderPrice]-revenue[productCost])/revenue[productCost]</f>
        <v>0.3925239355</v>
      </c>
      <c r="M1523" s="10">
        <v>8.0</v>
      </c>
      <c r="N1523" s="25">
        <v>0.0</v>
      </c>
      <c r="O1523" s="9">
        <f>revenue[orderPrice]*revenue[orderQuantity]</f>
        <v>144</v>
      </c>
      <c r="P1523" s="9">
        <f>revenue[orderTotal]*(1-revenue[discountApllied])</f>
        <v>144</v>
      </c>
      <c r="Q1523" s="9">
        <f>revenue[revenue]-(revenue[productCost]*revenue[orderQuantity])</f>
        <v>40.59064643</v>
      </c>
      <c r="R1523" s="25">
        <f>IFERROR(revenue[profit]/revenue[revenue], 0)</f>
        <v>0.2818794891</v>
      </c>
      <c r="S1523" s="9">
        <f>revenue[productCost]*revenue[orderQuantity]</f>
        <v>103.4093536</v>
      </c>
    </row>
    <row r="1524" ht="15.75" customHeight="1">
      <c r="A1524" s="6">
        <v>10831.0</v>
      </c>
      <c r="B1524" s="7" t="s">
        <v>80</v>
      </c>
      <c r="C1524" s="24" t="str">
        <f>VLOOKUP(revenue[customerID],customers[],2,FALSE)</f>
        <v>Santé Gourmet</v>
      </c>
      <c r="D1524" s="24" t="str">
        <f>VLOOKUP(revenue[customerID],customers[],6,FALSE)</f>
        <v>Stavern</v>
      </c>
      <c r="E1524" s="24" t="str">
        <f>VLOOKUP(revenue[customerID],customers[],9,FALSE)</f>
        <v>Norway</v>
      </c>
      <c r="F1524" s="24">
        <v>45305.0</v>
      </c>
      <c r="G1524" s="6">
        <v>38.0</v>
      </c>
      <c r="H1524" s="9" t="str">
        <f>VLOOKUP(revenue[productID],products[],2,FALSE)</f>
        <v>Côte de Blaye</v>
      </c>
      <c r="I1524" s="9" t="str">
        <f>VLOOKUP(revenue[productID],products[],12,FALSE)</f>
        <v>Beverages</v>
      </c>
      <c r="J1524" s="9">
        <f>VLOOKUP(revenue[productID],products[],IF(YEAR(revenue[orderDate])=2022,8,IF(YEAR(revenue[orderDate])=2023,9,IF(YEAR(revenue[orderDate])=2024,10,NA))),FALSE)</f>
        <v>192.1798413</v>
      </c>
      <c r="K1524" s="9">
        <v>263.5</v>
      </c>
      <c r="L1524" s="25">
        <f>(revenue[orderPrice]-revenue[productCost])/revenue[productCost]</f>
        <v>0.3711115493</v>
      </c>
      <c r="M1524" s="10">
        <v>8.0</v>
      </c>
      <c r="N1524" s="25">
        <v>0.0</v>
      </c>
      <c r="O1524" s="9">
        <f>revenue[orderPrice]*revenue[orderQuantity]</f>
        <v>2108</v>
      </c>
      <c r="P1524" s="9">
        <f>revenue[orderTotal]*(1-revenue[discountApllied])</f>
        <v>2108</v>
      </c>
      <c r="Q1524" s="9">
        <f>revenue[revenue]-(revenue[productCost]*revenue[orderQuantity])</f>
        <v>570.5612693</v>
      </c>
      <c r="R1524" s="25">
        <f>IFERROR(revenue[profit]/revenue[revenue], 0)</f>
        <v>0.2706647388</v>
      </c>
      <c r="S1524" s="9">
        <f>revenue[productCost]*revenue[orderQuantity]</f>
        <v>1537.438731</v>
      </c>
    </row>
    <row r="1525" ht="15.75" customHeight="1">
      <c r="A1525" s="6">
        <v>10831.0</v>
      </c>
      <c r="B1525" s="7" t="s">
        <v>80</v>
      </c>
      <c r="C1525" s="24" t="str">
        <f>VLOOKUP(revenue[customerID],customers[],2,FALSE)</f>
        <v>Santé Gourmet</v>
      </c>
      <c r="D1525" s="24" t="str">
        <f>VLOOKUP(revenue[customerID],customers[],6,FALSE)</f>
        <v>Stavern</v>
      </c>
      <c r="E1525" s="24" t="str">
        <f>VLOOKUP(revenue[customerID],customers[],9,FALSE)</f>
        <v>Norway</v>
      </c>
      <c r="F1525" s="24">
        <v>45305.0</v>
      </c>
      <c r="G1525" s="6">
        <v>43.0</v>
      </c>
      <c r="H1525" s="9" t="str">
        <f>VLOOKUP(revenue[productID],products[],2,FALSE)</f>
        <v>Ipoh Coffee</v>
      </c>
      <c r="I1525" s="9" t="str">
        <f>VLOOKUP(revenue[productID],products[],12,FALSE)</f>
        <v>Beverages</v>
      </c>
      <c r="J1525" s="9">
        <f>VLOOKUP(revenue[productID],products[],IF(YEAR(revenue[orderDate])=2022,8,IF(YEAR(revenue[orderDate])=2023,9,IF(YEAR(revenue[orderDate])=2024,10,NA))),FALSE)</f>
        <v>30.97984738</v>
      </c>
      <c r="K1525" s="9">
        <v>46.0</v>
      </c>
      <c r="L1525" s="25">
        <f>(revenue[orderPrice]-revenue[productCost])/revenue[productCost]</f>
        <v>0.484836237</v>
      </c>
      <c r="M1525" s="10">
        <v>9.0</v>
      </c>
      <c r="N1525" s="25">
        <v>0.0</v>
      </c>
      <c r="O1525" s="9">
        <f>revenue[orderPrice]*revenue[orderQuantity]</f>
        <v>414</v>
      </c>
      <c r="P1525" s="9">
        <f>revenue[orderTotal]*(1-revenue[discountApllied])</f>
        <v>414</v>
      </c>
      <c r="Q1525" s="9">
        <f>revenue[revenue]-(revenue[productCost]*revenue[orderQuantity])</f>
        <v>135.1813736</v>
      </c>
      <c r="R1525" s="25">
        <f>IFERROR(revenue[profit]/revenue[revenue], 0)</f>
        <v>0.3265250571</v>
      </c>
      <c r="S1525" s="9">
        <f>revenue[productCost]*revenue[orderQuantity]</f>
        <v>278.8186264</v>
      </c>
    </row>
    <row r="1526" ht="15.75" customHeight="1">
      <c r="A1526" s="6">
        <v>10832.0</v>
      </c>
      <c r="B1526" s="7" t="s">
        <v>68</v>
      </c>
      <c r="C1526" s="24" t="str">
        <f>VLOOKUP(revenue[customerID],customers[],2,FALSE)</f>
        <v>La maison d'Asie</v>
      </c>
      <c r="D1526" s="24" t="str">
        <f>VLOOKUP(revenue[customerID],customers[],6,FALSE)</f>
        <v>Toulouse</v>
      </c>
      <c r="E1526" s="24" t="str">
        <f>VLOOKUP(revenue[customerID],customers[],9,FALSE)</f>
        <v>France</v>
      </c>
      <c r="F1526" s="24">
        <v>45305.0</v>
      </c>
      <c r="G1526" s="6">
        <v>13.0</v>
      </c>
      <c r="H1526" s="9" t="str">
        <f>VLOOKUP(revenue[productID],products[],2,FALSE)</f>
        <v>Konbu</v>
      </c>
      <c r="I1526" s="9" t="str">
        <f>VLOOKUP(revenue[productID],products[],12,FALSE)</f>
        <v>Seafood</v>
      </c>
      <c r="J1526" s="9">
        <f>VLOOKUP(revenue[productID],products[],IF(YEAR(revenue[orderDate])=2022,8,IF(YEAR(revenue[orderDate])=2023,9,IF(YEAR(revenue[orderDate])=2024,10,NA))),FALSE)</f>
        <v>3.966387047</v>
      </c>
      <c r="K1526" s="9">
        <v>6.0</v>
      </c>
      <c r="L1526" s="25">
        <f>(revenue[orderPrice]-revenue[productCost])/revenue[productCost]</f>
        <v>0.5127116768</v>
      </c>
      <c r="M1526" s="10">
        <v>3.0</v>
      </c>
      <c r="N1526" s="25">
        <v>0.2</v>
      </c>
      <c r="O1526" s="9">
        <f>revenue[orderPrice]*revenue[orderQuantity]</f>
        <v>18</v>
      </c>
      <c r="P1526" s="9">
        <f>revenue[orderTotal]*(1-revenue[discountApllied])</f>
        <v>14.4</v>
      </c>
      <c r="Q1526" s="9">
        <f>revenue[revenue]-(revenue[productCost]*revenue[orderQuantity])</f>
        <v>2.50083886</v>
      </c>
      <c r="R1526" s="25">
        <f>IFERROR(revenue[profit]/revenue[revenue], 0)</f>
        <v>0.1736693653</v>
      </c>
      <c r="S1526" s="9">
        <f>revenue[productCost]*revenue[orderQuantity]</f>
        <v>11.89916114</v>
      </c>
    </row>
    <row r="1527" ht="15.75" customHeight="1">
      <c r="A1527" s="6">
        <v>10832.0</v>
      </c>
      <c r="B1527" s="7" t="s">
        <v>68</v>
      </c>
      <c r="C1527" s="24" t="str">
        <f>VLOOKUP(revenue[customerID],customers[],2,FALSE)</f>
        <v>La maison d'Asie</v>
      </c>
      <c r="D1527" s="24" t="str">
        <f>VLOOKUP(revenue[customerID],customers[],6,FALSE)</f>
        <v>Toulouse</v>
      </c>
      <c r="E1527" s="24" t="str">
        <f>VLOOKUP(revenue[customerID],customers[],9,FALSE)</f>
        <v>France</v>
      </c>
      <c r="F1527" s="24">
        <v>45305.0</v>
      </c>
      <c r="G1527" s="6">
        <v>25.0</v>
      </c>
      <c r="H1527" s="9" t="str">
        <f>VLOOKUP(revenue[productID],products[],2,FALSE)</f>
        <v>HM Köstliche Kaiserschmarrn Knödelchen</v>
      </c>
      <c r="I1527" s="9" t="str">
        <f>VLOOKUP(revenue[productID],products[],12,FALSE)</f>
        <v>Confections</v>
      </c>
      <c r="J1527" s="9">
        <f>VLOOKUP(revenue[productID],products[],IF(YEAR(revenue[orderDate])=2022,8,IF(YEAR(revenue[orderDate])=2023,9,IF(YEAR(revenue[orderDate])=2024,10,NA))),FALSE)</f>
        <v>8.782270815</v>
      </c>
      <c r="K1527" s="9">
        <v>14.0</v>
      </c>
      <c r="L1527" s="25">
        <f>(revenue[orderPrice]-revenue[productCost])/revenue[productCost]</f>
        <v>0.5941207342</v>
      </c>
      <c r="M1527" s="10">
        <v>10.0</v>
      </c>
      <c r="N1527" s="25">
        <v>0.2</v>
      </c>
      <c r="O1527" s="9">
        <f>revenue[orderPrice]*revenue[orderQuantity]</f>
        <v>140</v>
      </c>
      <c r="P1527" s="9">
        <f>revenue[orderTotal]*(1-revenue[discountApllied])</f>
        <v>112</v>
      </c>
      <c r="Q1527" s="9">
        <f>revenue[revenue]-(revenue[productCost]*revenue[orderQuantity])</f>
        <v>24.17729185</v>
      </c>
      <c r="R1527" s="25">
        <f>IFERROR(revenue[profit]/revenue[revenue], 0)</f>
        <v>0.2158686772</v>
      </c>
      <c r="S1527" s="9">
        <f>revenue[productCost]*revenue[orderQuantity]</f>
        <v>87.82270815</v>
      </c>
    </row>
    <row r="1528" ht="15.75" customHeight="1">
      <c r="A1528" s="6">
        <v>10832.0</v>
      </c>
      <c r="B1528" s="7" t="s">
        <v>68</v>
      </c>
      <c r="C1528" s="24" t="str">
        <f>VLOOKUP(revenue[customerID],customers[],2,FALSE)</f>
        <v>La maison d'Asie</v>
      </c>
      <c r="D1528" s="24" t="str">
        <f>VLOOKUP(revenue[customerID],customers[],6,FALSE)</f>
        <v>Toulouse</v>
      </c>
      <c r="E1528" s="24" t="str">
        <f>VLOOKUP(revenue[customerID],customers[],9,FALSE)</f>
        <v>France</v>
      </c>
      <c r="F1528" s="24">
        <v>45305.0</v>
      </c>
      <c r="G1528" s="6">
        <v>44.0</v>
      </c>
      <c r="H1528" s="9" t="str">
        <f>VLOOKUP(revenue[productID],products[],2,FALSE)</f>
        <v>Gula Malacca</v>
      </c>
      <c r="I1528" s="9" t="str">
        <f>VLOOKUP(revenue[productID],products[],12,FALSE)</f>
        <v>Condiments</v>
      </c>
      <c r="J1528" s="9">
        <f>VLOOKUP(revenue[productID],products[],IF(YEAR(revenue[orderDate])=2022,8,IF(YEAR(revenue[orderDate])=2023,9,IF(YEAR(revenue[orderDate])=2024,10,NA))),FALSE)</f>
        <v>12.27831512</v>
      </c>
      <c r="K1528" s="9">
        <v>19.45</v>
      </c>
      <c r="L1528" s="25">
        <f>(revenue[orderPrice]-revenue[productCost])/revenue[productCost]</f>
        <v>0.5840935672</v>
      </c>
      <c r="M1528" s="10">
        <v>16.0</v>
      </c>
      <c r="N1528" s="25">
        <v>0.2</v>
      </c>
      <c r="O1528" s="9">
        <f>revenue[orderPrice]*revenue[orderQuantity]</f>
        <v>311.2</v>
      </c>
      <c r="P1528" s="9">
        <f>revenue[orderTotal]*(1-revenue[discountApllied])</f>
        <v>248.96</v>
      </c>
      <c r="Q1528" s="9">
        <f>revenue[revenue]-(revenue[productCost]*revenue[orderQuantity])</f>
        <v>52.50695806</v>
      </c>
      <c r="R1528" s="25">
        <f>IFERROR(revenue[profit]/revenue[revenue], 0)</f>
        <v>0.2109051978</v>
      </c>
      <c r="S1528" s="9">
        <f>revenue[productCost]*revenue[orderQuantity]</f>
        <v>196.4530419</v>
      </c>
    </row>
    <row r="1529" ht="15.75" customHeight="1">
      <c r="A1529" s="6">
        <v>10832.0</v>
      </c>
      <c r="B1529" s="7" t="s">
        <v>68</v>
      </c>
      <c r="C1529" s="24" t="str">
        <f>VLOOKUP(revenue[customerID],customers[],2,FALSE)</f>
        <v>La maison d'Asie</v>
      </c>
      <c r="D1529" s="24" t="str">
        <f>VLOOKUP(revenue[customerID],customers[],6,FALSE)</f>
        <v>Toulouse</v>
      </c>
      <c r="E1529" s="24" t="str">
        <f>VLOOKUP(revenue[customerID],customers[],9,FALSE)</f>
        <v>France</v>
      </c>
      <c r="F1529" s="24">
        <v>45305.0</v>
      </c>
      <c r="G1529" s="6">
        <v>64.0</v>
      </c>
      <c r="H1529" s="9" t="str">
        <f>VLOOKUP(revenue[productID],products[],2,FALSE)</f>
        <v>Lukas' leckere Sauerteigweggla</v>
      </c>
      <c r="I1529" s="9" t="str">
        <f>VLOOKUP(revenue[productID],products[],12,FALSE)</f>
        <v>Grains/Cereals</v>
      </c>
      <c r="J1529" s="9">
        <f>VLOOKUP(revenue[productID],products[],IF(YEAR(revenue[orderDate])=2022,8,IF(YEAR(revenue[orderDate])=2023,9,IF(YEAR(revenue[orderDate])=2024,10,NA))),FALSE)</f>
        <v>22.72434276</v>
      </c>
      <c r="K1529" s="9">
        <v>33.25</v>
      </c>
      <c r="L1529" s="25">
        <f>(revenue[orderPrice]-revenue[productCost])/revenue[productCost]</f>
        <v>0.4631886324</v>
      </c>
      <c r="M1529" s="10">
        <v>3.0</v>
      </c>
      <c r="N1529" s="25">
        <v>0.0</v>
      </c>
      <c r="O1529" s="9">
        <f>revenue[orderPrice]*revenue[orderQuantity]</f>
        <v>99.75</v>
      </c>
      <c r="P1529" s="9">
        <f>revenue[orderTotal]*(1-revenue[discountApllied])</f>
        <v>99.75</v>
      </c>
      <c r="Q1529" s="9">
        <f>revenue[revenue]-(revenue[productCost]*revenue[orderQuantity])</f>
        <v>31.57697173</v>
      </c>
      <c r="R1529" s="25">
        <f>IFERROR(revenue[profit]/revenue[revenue], 0)</f>
        <v>0.3165611201</v>
      </c>
      <c r="S1529" s="9">
        <f>revenue[productCost]*revenue[orderQuantity]</f>
        <v>68.17302827</v>
      </c>
    </row>
    <row r="1530" ht="15.75" customHeight="1">
      <c r="A1530" s="6">
        <v>10833.0</v>
      </c>
      <c r="B1530" s="7" t="s">
        <v>26</v>
      </c>
      <c r="C1530" s="24" t="str">
        <f>VLOOKUP(revenue[customerID],customers[],2,FALSE)</f>
        <v>Ottilies Käseladen</v>
      </c>
      <c r="D1530" s="24" t="str">
        <f>VLOOKUP(revenue[customerID],customers[],6,FALSE)</f>
        <v>Köln</v>
      </c>
      <c r="E1530" s="24" t="str">
        <f>VLOOKUP(revenue[customerID],customers[],9,FALSE)</f>
        <v>Germany</v>
      </c>
      <c r="F1530" s="24">
        <v>45306.0</v>
      </c>
      <c r="G1530" s="6">
        <v>7.0</v>
      </c>
      <c r="H1530" s="9" t="str">
        <f>VLOOKUP(revenue[productID],products[],2,FALSE)</f>
        <v>Uncle Bob's Organic Dried Pears</v>
      </c>
      <c r="I1530" s="9" t="str">
        <f>VLOOKUP(revenue[productID],products[],12,FALSE)</f>
        <v>Produce</v>
      </c>
      <c r="J1530" s="9">
        <f>VLOOKUP(revenue[productID],products[],IF(YEAR(revenue[orderDate])=2022,8,IF(YEAR(revenue[orderDate])=2023,9,IF(YEAR(revenue[orderDate])=2024,10,NA))),FALSE)</f>
        <v>23.52222246</v>
      </c>
      <c r="K1530" s="9">
        <v>30.0</v>
      </c>
      <c r="L1530" s="25">
        <f>(revenue[orderPrice]-revenue[productCost])/revenue[productCost]</f>
        <v>0.2753896894</v>
      </c>
      <c r="M1530" s="10">
        <v>20.0</v>
      </c>
      <c r="N1530" s="25">
        <v>0.1</v>
      </c>
      <c r="O1530" s="9">
        <f>revenue[orderPrice]*revenue[orderQuantity]</f>
        <v>600</v>
      </c>
      <c r="P1530" s="9">
        <f>revenue[orderTotal]*(1-revenue[discountApllied])</f>
        <v>540</v>
      </c>
      <c r="Q1530" s="9">
        <f>revenue[revenue]-(revenue[productCost]*revenue[orderQuantity])</f>
        <v>69.55555074</v>
      </c>
      <c r="R1530" s="25">
        <f>IFERROR(revenue[profit]/revenue[revenue], 0)</f>
        <v>0.1288065754</v>
      </c>
      <c r="S1530" s="9">
        <f>revenue[productCost]*revenue[orderQuantity]</f>
        <v>470.4444493</v>
      </c>
    </row>
    <row r="1531" ht="15.75" customHeight="1">
      <c r="A1531" s="6">
        <v>10833.0</v>
      </c>
      <c r="B1531" s="7" t="s">
        <v>26</v>
      </c>
      <c r="C1531" s="24" t="str">
        <f>VLOOKUP(revenue[customerID],customers[],2,FALSE)</f>
        <v>Ottilies Käseladen</v>
      </c>
      <c r="D1531" s="24" t="str">
        <f>VLOOKUP(revenue[customerID],customers[],6,FALSE)</f>
        <v>Köln</v>
      </c>
      <c r="E1531" s="24" t="str">
        <f>VLOOKUP(revenue[customerID],customers[],9,FALSE)</f>
        <v>Germany</v>
      </c>
      <c r="F1531" s="24">
        <v>45306.0</v>
      </c>
      <c r="G1531" s="6">
        <v>31.0</v>
      </c>
      <c r="H1531" s="9" t="str">
        <f>VLOOKUP(revenue[productID],products[],2,FALSE)</f>
        <v>Gorgonzola Telino</v>
      </c>
      <c r="I1531" s="9" t="str">
        <f>VLOOKUP(revenue[productID],products[],12,FALSE)</f>
        <v>Dairy Products</v>
      </c>
      <c r="J1531" s="9">
        <f>VLOOKUP(revenue[productID],products[],IF(YEAR(revenue[orderDate])=2022,8,IF(YEAR(revenue[orderDate])=2023,9,IF(YEAR(revenue[orderDate])=2024,10,NA))),FALSE)</f>
        <v>8.203054392</v>
      </c>
      <c r="K1531" s="9">
        <v>12.5</v>
      </c>
      <c r="L1531" s="25">
        <f>(revenue[orderPrice]-revenue[productCost])/revenue[productCost]</f>
        <v>0.52382264</v>
      </c>
      <c r="M1531" s="10">
        <v>9.0</v>
      </c>
      <c r="N1531" s="25">
        <v>0.1</v>
      </c>
      <c r="O1531" s="9">
        <f>revenue[orderPrice]*revenue[orderQuantity]</f>
        <v>112.5</v>
      </c>
      <c r="P1531" s="9">
        <f>revenue[orderTotal]*(1-revenue[discountApllied])</f>
        <v>101.25</v>
      </c>
      <c r="Q1531" s="9">
        <f>revenue[revenue]-(revenue[productCost]*revenue[orderQuantity])</f>
        <v>27.42251047</v>
      </c>
      <c r="R1531" s="25">
        <f>IFERROR(revenue[profit]/revenue[revenue], 0)</f>
        <v>0.2708396096</v>
      </c>
      <c r="S1531" s="9">
        <f>revenue[productCost]*revenue[orderQuantity]</f>
        <v>73.82748953</v>
      </c>
    </row>
    <row r="1532" ht="15.75" customHeight="1">
      <c r="A1532" s="6">
        <v>10833.0</v>
      </c>
      <c r="B1532" s="7" t="s">
        <v>26</v>
      </c>
      <c r="C1532" s="24" t="str">
        <f>VLOOKUP(revenue[customerID],customers[],2,FALSE)</f>
        <v>Ottilies Käseladen</v>
      </c>
      <c r="D1532" s="24" t="str">
        <f>VLOOKUP(revenue[customerID],customers[],6,FALSE)</f>
        <v>Köln</v>
      </c>
      <c r="E1532" s="24" t="str">
        <f>VLOOKUP(revenue[customerID],customers[],9,FALSE)</f>
        <v>Germany</v>
      </c>
      <c r="F1532" s="24">
        <v>45306.0</v>
      </c>
      <c r="G1532" s="6">
        <v>53.0</v>
      </c>
      <c r="H1532" s="9" t="str">
        <f>VLOOKUP(revenue[productID],products[],2,FALSE)</f>
        <v>Perth Pasties</v>
      </c>
      <c r="I1532" s="9" t="str">
        <f>VLOOKUP(revenue[productID],products[],12,FALSE)</f>
        <v>Meat/Poultry</v>
      </c>
      <c r="J1532" s="9">
        <f>VLOOKUP(revenue[productID],products[],IF(YEAR(revenue[orderDate])=2022,8,IF(YEAR(revenue[orderDate])=2023,9,IF(YEAR(revenue[orderDate])=2024,10,NA))),FALSE)</f>
        <v>22.92637057</v>
      </c>
      <c r="K1532" s="9">
        <v>32.8</v>
      </c>
      <c r="L1532" s="25">
        <f>(revenue[orderPrice]-revenue[productCost])/revenue[productCost]</f>
        <v>0.4306669216</v>
      </c>
      <c r="M1532" s="10">
        <v>9.0</v>
      </c>
      <c r="N1532" s="25">
        <v>0.1</v>
      </c>
      <c r="O1532" s="9">
        <f>revenue[orderPrice]*revenue[orderQuantity]</f>
        <v>295.2</v>
      </c>
      <c r="P1532" s="9">
        <f>revenue[orderTotal]*(1-revenue[discountApllied])</f>
        <v>265.68</v>
      </c>
      <c r="Q1532" s="9">
        <f>revenue[revenue]-(revenue[productCost]*revenue[orderQuantity])</f>
        <v>59.34266491</v>
      </c>
      <c r="R1532" s="25">
        <f>IFERROR(revenue[profit]/revenue[revenue], 0)</f>
        <v>0.2233614307</v>
      </c>
      <c r="S1532" s="9">
        <f>revenue[productCost]*revenue[orderQuantity]</f>
        <v>206.3373351</v>
      </c>
    </row>
    <row r="1533" ht="15.75" customHeight="1">
      <c r="A1533" s="6">
        <v>10834.0</v>
      </c>
      <c r="B1533" s="7" t="s">
        <v>48</v>
      </c>
      <c r="C1533" s="24" t="str">
        <f>VLOOKUP(revenue[customerID],customers[],2,FALSE)</f>
        <v>Tradição Hipermercados</v>
      </c>
      <c r="D1533" s="24" t="str">
        <f>VLOOKUP(revenue[customerID],customers[],6,FALSE)</f>
        <v>Sao Paulo</v>
      </c>
      <c r="E1533" s="24" t="str">
        <f>VLOOKUP(revenue[customerID],customers[],9,FALSE)</f>
        <v>Brazil</v>
      </c>
      <c r="F1533" s="24">
        <v>45306.0</v>
      </c>
      <c r="G1533" s="6">
        <v>29.0</v>
      </c>
      <c r="H1533" s="9" t="str">
        <f>VLOOKUP(revenue[productID],products[],2,FALSE)</f>
        <v>Thüringer Rostbratwurst</v>
      </c>
      <c r="I1533" s="9" t="str">
        <f>VLOOKUP(revenue[productID],products[],12,FALSE)</f>
        <v>Meat/Poultry</v>
      </c>
      <c r="J1533" s="9">
        <f>VLOOKUP(revenue[productID],products[],IF(YEAR(revenue[orderDate])=2022,8,IF(YEAR(revenue[orderDate])=2023,9,IF(YEAR(revenue[orderDate])=2024,10,NA))),FALSE)</f>
        <v>80.14595973</v>
      </c>
      <c r="K1533" s="9">
        <v>123.79</v>
      </c>
      <c r="L1533" s="25">
        <f>(revenue[orderPrice]-revenue[productCost])/revenue[productCost]</f>
        <v>0.544556961</v>
      </c>
      <c r="M1533" s="10">
        <v>8.0</v>
      </c>
      <c r="N1533" s="25">
        <v>0.05</v>
      </c>
      <c r="O1533" s="9">
        <f>revenue[orderPrice]*revenue[orderQuantity]</f>
        <v>990.32</v>
      </c>
      <c r="P1533" s="9">
        <f>revenue[orderTotal]*(1-revenue[discountApllied])</f>
        <v>940.804</v>
      </c>
      <c r="Q1533" s="9">
        <f>revenue[revenue]-(revenue[productCost]*revenue[orderQuantity])</f>
        <v>299.6363221</v>
      </c>
      <c r="R1533" s="25">
        <f>IFERROR(revenue[profit]/revenue[revenue], 0)</f>
        <v>0.3184896345</v>
      </c>
      <c r="S1533" s="9">
        <f>revenue[productCost]*revenue[orderQuantity]</f>
        <v>641.1676779</v>
      </c>
    </row>
    <row r="1534" ht="15.75" customHeight="1">
      <c r="A1534" s="6">
        <v>10834.0</v>
      </c>
      <c r="B1534" s="7" t="s">
        <v>48</v>
      </c>
      <c r="C1534" s="24" t="str">
        <f>VLOOKUP(revenue[customerID],customers[],2,FALSE)</f>
        <v>Tradição Hipermercados</v>
      </c>
      <c r="D1534" s="24" t="str">
        <f>VLOOKUP(revenue[customerID],customers[],6,FALSE)</f>
        <v>Sao Paulo</v>
      </c>
      <c r="E1534" s="24" t="str">
        <f>VLOOKUP(revenue[customerID],customers[],9,FALSE)</f>
        <v>Brazil</v>
      </c>
      <c r="F1534" s="24">
        <v>45306.0</v>
      </c>
      <c r="G1534" s="6">
        <v>30.0</v>
      </c>
      <c r="H1534" s="9" t="str">
        <f>VLOOKUP(revenue[productID],products[],2,FALSE)</f>
        <v>Nord-Ost Matjeshering</v>
      </c>
      <c r="I1534" s="9" t="str">
        <f>VLOOKUP(revenue[productID],products[],12,FALSE)</f>
        <v>Seafood</v>
      </c>
      <c r="J1534" s="9">
        <f>VLOOKUP(revenue[productID],products[],IF(YEAR(revenue[orderDate])=2022,8,IF(YEAR(revenue[orderDate])=2023,9,IF(YEAR(revenue[orderDate])=2024,10,NA))),FALSE)</f>
        <v>17.0327851</v>
      </c>
      <c r="K1534" s="9">
        <v>25.89</v>
      </c>
      <c r="L1534" s="25">
        <f>(revenue[orderPrice]-revenue[productCost])/revenue[productCost]</f>
        <v>0.5200097842</v>
      </c>
      <c r="M1534" s="10">
        <v>20.0</v>
      </c>
      <c r="N1534" s="25">
        <v>0.05</v>
      </c>
      <c r="O1534" s="9">
        <f>revenue[orderPrice]*revenue[orderQuantity]</f>
        <v>517.8</v>
      </c>
      <c r="P1534" s="9">
        <f>revenue[orderTotal]*(1-revenue[discountApllied])</f>
        <v>491.91</v>
      </c>
      <c r="Q1534" s="9">
        <f>revenue[revenue]-(revenue[productCost]*revenue[orderQuantity])</f>
        <v>151.2542981</v>
      </c>
      <c r="R1534" s="25">
        <f>IFERROR(revenue[profit]/revenue[revenue], 0)</f>
        <v>0.3074836821</v>
      </c>
      <c r="S1534" s="9">
        <f>revenue[productCost]*revenue[orderQuantity]</f>
        <v>340.6557019</v>
      </c>
    </row>
    <row r="1535" ht="15.75" customHeight="1">
      <c r="A1535" s="6">
        <v>10835.0</v>
      </c>
      <c r="B1535" s="7" t="s">
        <v>100</v>
      </c>
      <c r="C1535" s="24" t="str">
        <f>VLOOKUP(revenue[customerID],customers[],2,FALSE)</f>
        <v>Alfreds Futterkiste</v>
      </c>
      <c r="D1535" s="24" t="str">
        <f>VLOOKUP(revenue[customerID],customers[],6,FALSE)</f>
        <v>Berlin</v>
      </c>
      <c r="E1535" s="24" t="str">
        <f>VLOOKUP(revenue[customerID],customers[],9,FALSE)</f>
        <v>Germany</v>
      </c>
      <c r="F1535" s="24">
        <v>45306.0</v>
      </c>
      <c r="G1535" s="6">
        <v>59.0</v>
      </c>
      <c r="H1535" s="9" t="str">
        <f>VLOOKUP(revenue[productID],products[],2,FALSE)</f>
        <v>Raclette Courdavault</v>
      </c>
      <c r="I1535" s="9" t="str">
        <f>VLOOKUP(revenue[productID],products[],12,FALSE)</f>
        <v>Dairy Products</v>
      </c>
      <c r="J1535" s="9">
        <f>VLOOKUP(revenue[productID],products[],IF(YEAR(revenue[orderDate])=2022,8,IF(YEAR(revenue[orderDate])=2023,9,IF(YEAR(revenue[orderDate])=2024,10,NA))),FALSE)</f>
        <v>36.74863711</v>
      </c>
      <c r="K1535" s="9">
        <v>55.0</v>
      </c>
      <c r="L1535" s="25">
        <f>(revenue[orderPrice]-revenue[productCost])/revenue[productCost]</f>
        <v>0.4966541435</v>
      </c>
      <c r="M1535" s="10">
        <v>15.0</v>
      </c>
      <c r="N1535" s="25">
        <v>0.0</v>
      </c>
      <c r="O1535" s="9">
        <f>revenue[orderPrice]*revenue[orderQuantity]</f>
        <v>825</v>
      </c>
      <c r="P1535" s="9">
        <f>revenue[orderTotal]*(1-revenue[discountApllied])</f>
        <v>825</v>
      </c>
      <c r="Q1535" s="9">
        <f>revenue[revenue]-(revenue[productCost]*revenue[orderQuantity])</f>
        <v>273.7704433</v>
      </c>
      <c r="R1535" s="25">
        <f>IFERROR(revenue[profit]/revenue[revenue], 0)</f>
        <v>0.3318429616</v>
      </c>
      <c r="S1535" s="9">
        <f>revenue[productCost]*revenue[orderQuantity]</f>
        <v>551.2295567</v>
      </c>
    </row>
    <row r="1536" ht="15.75" customHeight="1">
      <c r="A1536" s="6">
        <v>10835.0</v>
      </c>
      <c r="B1536" s="7" t="s">
        <v>100</v>
      </c>
      <c r="C1536" s="24" t="str">
        <f>VLOOKUP(revenue[customerID],customers[],2,FALSE)</f>
        <v>Alfreds Futterkiste</v>
      </c>
      <c r="D1536" s="24" t="str">
        <f>VLOOKUP(revenue[customerID],customers[],6,FALSE)</f>
        <v>Berlin</v>
      </c>
      <c r="E1536" s="24" t="str">
        <f>VLOOKUP(revenue[customerID],customers[],9,FALSE)</f>
        <v>Germany</v>
      </c>
      <c r="F1536" s="24">
        <v>45306.0</v>
      </c>
      <c r="G1536" s="6">
        <v>77.0</v>
      </c>
      <c r="H1536" s="9" t="str">
        <f>VLOOKUP(revenue[productID],products[],2,FALSE)</f>
        <v>Original Frankfurter grüne Soße</v>
      </c>
      <c r="I1536" s="9" t="str">
        <f>VLOOKUP(revenue[productID],products[],12,FALSE)</f>
        <v>Condiments</v>
      </c>
      <c r="J1536" s="9">
        <f>VLOOKUP(revenue[productID],products[],IF(YEAR(revenue[orderDate])=2022,8,IF(YEAR(revenue[orderDate])=2023,9,IF(YEAR(revenue[orderDate])=2024,10,NA))),FALSE)</f>
        <v>9.299025151</v>
      </c>
      <c r="K1536" s="9">
        <v>13.0</v>
      </c>
      <c r="L1536" s="25">
        <f>(revenue[orderPrice]-revenue[productCost])/revenue[productCost]</f>
        <v>0.3979960037</v>
      </c>
      <c r="M1536" s="10">
        <v>2.0</v>
      </c>
      <c r="N1536" s="25">
        <v>0.2</v>
      </c>
      <c r="O1536" s="9">
        <f>revenue[orderPrice]*revenue[orderQuantity]</f>
        <v>26</v>
      </c>
      <c r="P1536" s="9">
        <f>revenue[orderTotal]*(1-revenue[discountApllied])</f>
        <v>20.8</v>
      </c>
      <c r="Q1536" s="9">
        <f>revenue[revenue]-(revenue[productCost]*revenue[orderQuantity])</f>
        <v>2.201949697</v>
      </c>
      <c r="R1536" s="25">
        <f>IFERROR(revenue[profit]/revenue[revenue], 0)</f>
        <v>0.1058629662</v>
      </c>
      <c r="S1536" s="9">
        <f>revenue[productCost]*revenue[orderQuantity]</f>
        <v>18.5980503</v>
      </c>
    </row>
    <row r="1537" ht="15.75" customHeight="1">
      <c r="A1537" s="6">
        <v>10836.0</v>
      </c>
      <c r="B1537" s="7" t="s">
        <v>24</v>
      </c>
      <c r="C1537" s="24" t="str">
        <f>VLOOKUP(revenue[customerID],customers[],2,FALSE)</f>
        <v>Ernst Handel</v>
      </c>
      <c r="D1537" s="24" t="str">
        <f>VLOOKUP(revenue[customerID],customers[],6,FALSE)</f>
        <v>Graz</v>
      </c>
      <c r="E1537" s="24" t="str">
        <f>VLOOKUP(revenue[customerID],customers[],9,FALSE)</f>
        <v>Austria</v>
      </c>
      <c r="F1537" s="24">
        <v>45307.0</v>
      </c>
      <c r="G1537" s="6">
        <v>22.0</v>
      </c>
      <c r="H1537" s="9" t="str">
        <f>VLOOKUP(revenue[productID],products[],2,FALSE)</f>
        <v>Gustaf's Knäckebröd</v>
      </c>
      <c r="I1537" s="9" t="str">
        <f>VLOOKUP(revenue[productID],products[],12,FALSE)</f>
        <v>Grains/Cereals</v>
      </c>
      <c r="J1537" s="9">
        <f>VLOOKUP(revenue[productID],products[],IF(YEAR(revenue[orderDate])=2022,8,IF(YEAR(revenue[orderDate])=2023,9,IF(YEAR(revenue[orderDate])=2024,10,NA))),FALSE)</f>
        <v>16.3916268</v>
      </c>
      <c r="K1537" s="9">
        <v>21.0</v>
      </c>
      <c r="L1537" s="25">
        <f>(revenue[orderPrice]-revenue[productCost])/revenue[productCost]</f>
        <v>0.2811419062</v>
      </c>
      <c r="M1537" s="10">
        <v>52.0</v>
      </c>
      <c r="N1537" s="25">
        <v>0.0</v>
      </c>
      <c r="O1537" s="9">
        <f>revenue[orderPrice]*revenue[orderQuantity]</f>
        <v>1092</v>
      </c>
      <c r="P1537" s="9">
        <f>revenue[orderTotal]*(1-revenue[discountApllied])</f>
        <v>1092</v>
      </c>
      <c r="Q1537" s="9">
        <f>revenue[revenue]-(revenue[productCost]*revenue[orderQuantity])</f>
        <v>239.6354066</v>
      </c>
      <c r="R1537" s="25">
        <f>IFERROR(revenue[profit]/revenue[revenue], 0)</f>
        <v>0.219446343</v>
      </c>
      <c r="S1537" s="9">
        <f>revenue[productCost]*revenue[orderQuantity]</f>
        <v>852.3645934</v>
      </c>
    </row>
    <row r="1538" ht="15.75" customHeight="1">
      <c r="A1538" s="6">
        <v>10836.0</v>
      </c>
      <c r="B1538" s="7" t="s">
        <v>24</v>
      </c>
      <c r="C1538" s="24" t="str">
        <f>VLOOKUP(revenue[customerID],customers[],2,FALSE)</f>
        <v>Ernst Handel</v>
      </c>
      <c r="D1538" s="24" t="str">
        <f>VLOOKUP(revenue[customerID],customers[],6,FALSE)</f>
        <v>Graz</v>
      </c>
      <c r="E1538" s="24" t="str">
        <f>VLOOKUP(revenue[customerID],customers[],9,FALSE)</f>
        <v>Austria</v>
      </c>
      <c r="F1538" s="24">
        <v>45307.0</v>
      </c>
      <c r="G1538" s="6">
        <v>35.0</v>
      </c>
      <c r="H1538" s="9" t="str">
        <f>VLOOKUP(revenue[productID],products[],2,FALSE)</f>
        <v>Cold Brew Nitro</v>
      </c>
      <c r="I1538" s="9" t="str">
        <f>VLOOKUP(revenue[productID],products[],12,FALSE)</f>
        <v>Beverages</v>
      </c>
      <c r="J1538" s="9">
        <f>VLOOKUP(revenue[productID],products[],IF(YEAR(revenue[orderDate])=2022,8,IF(YEAR(revenue[orderDate])=2023,9,IF(YEAR(revenue[orderDate])=2024,10,NA))),FALSE)</f>
        <v>12.9261692</v>
      </c>
      <c r="K1538" s="9">
        <v>18.0</v>
      </c>
      <c r="L1538" s="25">
        <f>(revenue[orderPrice]-revenue[productCost])/revenue[productCost]</f>
        <v>0.3925239355</v>
      </c>
      <c r="M1538" s="10">
        <v>6.0</v>
      </c>
      <c r="N1538" s="25">
        <v>0.0</v>
      </c>
      <c r="O1538" s="9">
        <f>revenue[orderPrice]*revenue[orderQuantity]</f>
        <v>108</v>
      </c>
      <c r="P1538" s="9">
        <f>revenue[orderTotal]*(1-revenue[discountApllied])</f>
        <v>108</v>
      </c>
      <c r="Q1538" s="9">
        <f>revenue[revenue]-(revenue[productCost]*revenue[orderQuantity])</f>
        <v>30.44298482</v>
      </c>
      <c r="R1538" s="25">
        <f>IFERROR(revenue[profit]/revenue[revenue], 0)</f>
        <v>0.2818794891</v>
      </c>
      <c r="S1538" s="9">
        <f>revenue[productCost]*revenue[orderQuantity]</f>
        <v>77.55701518</v>
      </c>
    </row>
    <row r="1539" ht="15.75" customHeight="1">
      <c r="A1539" s="6">
        <v>10836.0</v>
      </c>
      <c r="B1539" s="7" t="s">
        <v>24</v>
      </c>
      <c r="C1539" s="24" t="str">
        <f>VLOOKUP(revenue[customerID],customers[],2,FALSE)</f>
        <v>Ernst Handel</v>
      </c>
      <c r="D1539" s="24" t="str">
        <f>VLOOKUP(revenue[customerID],customers[],6,FALSE)</f>
        <v>Graz</v>
      </c>
      <c r="E1539" s="24" t="str">
        <f>VLOOKUP(revenue[customerID],customers[],9,FALSE)</f>
        <v>Austria</v>
      </c>
      <c r="F1539" s="24">
        <v>45307.0</v>
      </c>
      <c r="G1539" s="6">
        <v>57.0</v>
      </c>
      <c r="H1539" s="9" t="str">
        <f>VLOOKUP(revenue[productID],products[],2,FALSE)</f>
        <v>Ravioli Angelo</v>
      </c>
      <c r="I1539" s="9" t="str">
        <f>VLOOKUP(revenue[productID],products[],12,FALSE)</f>
        <v>Grains/Cereals</v>
      </c>
      <c r="J1539" s="9">
        <f>VLOOKUP(revenue[productID],products[],IF(YEAR(revenue[orderDate])=2022,8,IF(YEAR(revenue[orderDate])=2023,9,IF(YEAR(revenue[orderDate])=2024,10,NA))),FALSE)</f>
        <v>14.29534762</v>
      </c>
      <c r="K1539" s="9">
        <v>19.5</v>
      </c>
      <c r="L1539" s="25">
        <f>(revenue[orderPrice]-revenue[productCost])/revenue[productCost]</f>
        <v>0.3640801552</v>
      </c>
      <c r="M1539" s="10">
        <v>24.0</v>
      </c>
      <c r="N1539" s="25">
        <v>0.0</v>
      </c>
      <c r="O1539" s="9">
        <f>revenue[orderPrice]*revenue[orderQuantity]</f>
        <v>468</v>
      </c>
      <c r="P1539" s="9">
        <f>revenue[orderTotal]*(1-revenue[discountApllied])</f>
        <v>468</v>
      </c>
      <c r="Q1539" s="9">
        <f>revenue[revenue]-(revenue[productCost]*revenue[orderQuantity])</f>
        <v>124.9116571</v>
      </c>
      <c r="R1539" s="25">
        <f>IFERROR(revenue[profit]/revenue[revenue], 0)</f>
        <v>0.2669052503</v>
      </c>
      <c r="S1539" s="9">
        <f>revenue[productCost]*revenue[orderQuantity]</f>
        <v>343.0883429</v>
      </c>
    </row>
    <row r="1540" ht="15.75" customHeight="1">
      <c r="A1540" s="6">
        <v>10836.0</v>
      </c>
      <c r="B1540" s="7" t="s">
        <v>24</v>
      </c>
      <c r="C1540" s="24" t="str">
        <f>VLOOKUP(revenue[customerID],customers[],2,FALSE)</f>
        <v>Ernst Handel</v>
      </c>
      <c r="D1540" s="24" t="str">
        <f>VLOOKUP(revenue[customerID],customers[],6,FALSE)</f>
        <v>Graz</v>
      </c>
      <c r="E1540" s="24" t="str">
        <f>VLOOKUP(revenue[customerID],customers[],9,FALSE)</f>
        <v>Austria</v>
      </c>
      <c r="F1540" s="24">
        <v>45307.0</v>
      </c>
      <c r="G1540" s="6">
        <v>60.0</v>
      </c>
      <c r="H1540" s="9" t="str">
        <f>VLOOKUP(revenue[productID],products[],2,FALSE)</f>
        <v>Camembert Pierrot</v>
      </c>
      <c r="I1540" s="9" t="str">
        <f>VLOOKUP(revenue[productID],products[],12,FALSE)</f>
        <v>Dairy Products</v>
      </c>
      <c r="J1540" s="9">
        <f>VLOOKUP(revenue[productID],products[],IF(YEAR(revenue[orderDate])=2022,8,IF(YEAR(revenue[orderDate])=2023,9,IF(YEAR(revenue[orderDate])=2024,10,NA))),FALSE)</f>
        <v>22.49091154</v>
      </c>
      <c r="K1540" s="9">
        <v>34.0</v>
      </c>
      <c r="L1540" s="25">
        <f>(revenue[orderPrice]-revenue[productCost])/revenue[productCost]</f>
        <v>0.5117217431</v>
      </c>
      <c r="M1540" s="10">
        <v>60.0</v>
      </c>
      <c r="N1540" s="25">
        <v>0.0</v>
      </c>
      <c r="O1540" s="9">
        <f>revenue[orderPrice]*revenue[orderQuantity]</f>
        <v>2040</v>
      </c>
      <c r="P1540" s="9">
        <f>revenue[orderTotal]*(1-revenue[discountApllied])</f>
        <v>2040</v>
      </c>
      <c r="Q1540" s="9">
        <f>revenue[revenue]-(revenue[productCost]*revenue[orderQuantity])</f>
        <v>690.5453075</v>
      </c>
      <c r="R1540" s="25">
        <f>IFERROR(revenue[profit]/revenue[revenue], 0)</f>
        <v>0.3385026017</v>
      </c>
      <c r="S1540" s="9">
        <f>revenue[productCost]*revenue[orderQuantity]</f>
        <v>1349.454693</v>
      </c>
    </row>
    <row r="1541" ht="15.75" customHeight="1">
      <c r="A1541" s="6">
        <v>10836.0</v>
      </c>
      <c r="B1541" s="7" t="s">
        <v>24</v>
      </c>
      <c r="C1541" s="24" t="str">
        <f>VLOOKUP(revenue[customerID],customers[],2,FALSE)</f>
        <v>Ernst Handel</v>
      </c>
      <c r="D1541" s="24" t="str">
        <f>VLOOKUP(revenue[customerID],customers[],6,FALSE)</f>
        <v>Graz</v>
      </c>
      <c r="E1541" s="24" t="str">
        <f>VLOOKUP(revenue[customerID],customers[],9,FALSE)</f>
        <v>Austria</v>
      </c>
      <c r="F1541" s="24">
        <v>45307.0</v>
      </c>
      <c r="G1541" s="6">
        <v>64.0</v>
      </c>
      <c r="H1541" s="9" t="str">
        <f>VLOOKUP(revenue[productID],products[],2,FALSE)</f>
        <v>Lukas' leckere Sauerteigweggla</v>
      </c>
      <c r="I1541" s="9" t="str">
        <f>VLOOKUP(revenue[productID],products[],12,FALSE)</f>
        <v>Grains/Cereals</v>
      </c>
      <c r="J1541" s="9">
        <f>VLOOKUP(revenue[productID],products[],IF(YEAR(revenue[orderDate])=2022,8,IF(YEAR(revenue[orderDate])=2023,9,IF(YEAR(revenue[orderDate])=2024,10,NA))),FALSE)</f>
        <v>22.72434276</v>
      </c>
      <c r="K1541" s="9">
        <v>33.25</v>
      </c>
      <c r="L1541" s="25">
        <f>(revenue[orderPrice]-revenue[productCost])/revenue[productCost]</f>
        <v>0.4631886324</v>
      </c>
      <c r="M1541" s="10">
        <v>30.0</v>
      </c>
      <c r="N1541" s="25">
        <v>0.0</v>
      </c>
      <c r="O1541" s="9">
        <f>revenue[orderPrice]*revenue[orderQuantity]</f>
        <v>997.5</v>
      </c>
      <c r="P1541" s="9">
        <f>revenue[orderTotal]*(1-revenue[discountApllied])</f>
        <v>997.5</v>
      </c>
      <c r="Q1541" s="9">
        <f>revenue[revenue]-(revenue[productCost]*revenue[orderQuantity])</f>
        <v>315.7697173</v>
      </c>
      <c r="R1541" s="25">
        <f>IFERROR(revenue[profit]/revenue[revenue], 0)</f>
        <v>0.3165611201</v>
      </c>
      <c r="S1541" s="9">
        <f>revenue[productCost]*revenue[orderQuantity]</f>
        <v>681.7302827</v>
      </c>
    </row>
    <row r="1542" ht="15.75" customHeight="1">
      <c r="A1542" s="6">
        <v>10837.0</v>
      </c>
      <c r="B1542" s="7" t="s">
        <v>40</v>
      </c>
      <c r="C1542" s="24" t="str">
        <f>VLOOKUP(revenue[customerID],customers[],2,FALSE)</f>
        <v>Berglunds snabbköp</v>
      </c>
      <c r="D1542" s="24" t="str">
        <f>VLOOKUP(revenue[customerID],customers[],6,FALSE)</f>
        <v>Luleå</v>
      </c>
      <c r="E1542" s="24" t="str">
        <f>VLOOKUP(revenue[customerID],customers[],9,FALSE)</f>
        <v>Sweden</v>
      </c>
      <c r="F1542" s="24">
        <v>45307.0</v>
      </c>
      <c r="G1542" s="6">
        <v>13.0</v>
      </c>
      <c r="H1542" s="9" t="str">
        <f>VLOOKUP(revenue[productID],products[],2,FALSE)</f>
        <v>Konbu</v>
      </c>
      <c r="I1542" s="9" t="str">
        <f>VLOOKUP(revenue[productID],products[],12,FALSE)</f>
        <v>Seafood</v>
      </c>
      <c r="J1542" s="9">
        <f>VLOOKUP(revenue[productID],products[],IF(YEAR(revenue[orderDate])=2022,8,IF(YEAR(revenue[orderDate])=2023,9,IF(YEAR(revenue[orderDate])=2024,10,NA))),FALSE)</f>
        <v>3.966387047</v>
      </c>
      <c r="K1542" s="9">
        <v>6.0</v>
      </c>
      <c r="L1542" s="25">
        <f>(revenue[orderPrice]-revenue[productCost])/revenue[productCost]</f>
        <v>0.5127116768</v>
      </c>
      <c r="M1542" s="10">
        <v>6.0</v>
      </c>
      <c r="N1542" s="25">
        <v>0.0</v>
      </c>
      <c r="O1542" s="9">
        <f>revenue[orderPrice]*revenue[orderQuantity]</f>
        <v>36</v>
      </c>
      <c r="P1542" s="9">
        <f>revenue[orderTotal]*(1-revenue[discountApllied])</f>
        <v>36</v>
      </c>
      <c r="Q1542" s="9">
        <f>revenue[revenue]-(revenue[productCost]*revenue[orderQuantity])</f>
        <v>12.20167772</v>
      </c>
      <c r="R1542" s="25">
        <f>IFERROR(revenue[profit]/revenue[revenue], 0)</f>
        <v>0.3389354922</v>
      </c>
      <c r="S1542" s="9">
        <f>revenue[productCost]*revenue[orderQuantity]</f>
        <v>23.79832228</v>
      </c>
    </row>
    <row r="1543" ht="15.75" customHeight="1">
      <c r="A1543" s="6">
        <v>10837.0</v>
      </c>
      <c r="B1543" s="7" t="s">
        <v>40</v>
      </c>
      <c r="C1543" s="24" t="str">
        <f>VLOOKUP(revenue[customerID],customers[],2,FALSE)</f>
        <v>Berglunds snabbköp</v>
      </c>
      <c r="D1543" s="24" t="str">
        <f>VLOOKUP(revenue[customerID],customers[],6,FALSE)</f>
        <v>Luleå</v>
      </c>
      <c r="E1543" s="24" t="str">
        <f>VLOOKUP(revenue[customerID],customers[],9,FALSE)</f>
        <v>Sweden</v>
      </c>
      <c r="F1543" s="24">
        <v>45307.0</v>
      </c>
      <c r="G1543" s="6">
        <v>40.0</v>
      </c>
      <c r="H1543" s="9" t="str">
        <f>VLOOKUP(revenue[productID],products[],2,FALSE)</f>
        <v>Boston Crab Meat</v>
      </c>
      <c r="I1543" s="9" t="str">
        <f>VLOOKUP(revenue[productID],products[],12,FALSE)</f>
        <v>Seafood</v>
      </c>
      <c r="J1543" s="9">
        <f>VLOOKUP(revenue[productID],products[],IF(YEAR(revenue[orderDate])=2022,8,IF(YEAR(revenue[orderDate])=2023,9,IF(YEAR(revenue[orderDate])=2024,10,NA))),FALSE)</f>
        <v>12.44307</v>
      </c>
      <c r="K1543" s="9">
        <v>18.4</v>
      </c>
      <c r="L1543" s="25">
        <f>(revenue[orderPrice]-revenue[productCost])/revenue[productCost]</f>
        <v>0.4787347499</v>
      </c>
      <c r="M1543" s="10">
        <v>25.0</v>
      </c>
      <c r="N1543" s="25">
        <v>0.0</v>
      </c>
      <c r="O1543" s="9">
        <f>revenue[orderPrice]*revenue[orderQuantity]</f>
        <v>460</v>
      </c>
      <c r="P1543" s="9">
        <f>revenue[orderTotal]*(1-revenue[discountApllied])</f>
        <v>460</v>
      </c>
      <c r="Q1543" s="9">
        <f>revenue[revenue]-(revenue[productCost]*revenue[orderQuantity])</f>
        <v>148.9232501</v>
      </c>
      <c r="R1543" s="25">
        <f>IFERROR(revenue[profit]/revenue[revenue], 0)</f>
        <v>0.3237461958</v>
      </c>
      <c r="S1543" s="9">
        <f>revenue[productCost]*revenue[orderQuantity]</f>
        <v>311.0767499</v>
      </c>
    </row>
    <row r="1544" ht="15.75" customHeight="1">
      <c r="A1544" s="6">
        <v>10837.0</v>
      </c>
      <c r="B1544" s="7" t="s">
        <v>40</v>
      </c>
      <c r="C1544" s="24" t="str">
        <f>VLOOKUP(revenue[customerID],customers[],2,FALSE)</f>
        <v>Berglunds snabbköp</v>
      </c>
      <c r="D1544" s="24" t="str">
        <f>VLOOKUP(revenue[customerID],customers[],6,FALSE)</f>
        <v>Luleå</v>
      </c>
      <c r="E1544" s="24" t="str">
        <f>VLOOKUP(revenue[customerID],customers[],9,FALSE)</f>
        <v>Sweden</v>
      </c>
      <c r="F1544" s="24">
        <v>45307.0</v>
      </c>
      <c r="G1544" s="6">
        <v>47.0</v>
      </c>
      <c r="H1544" s="9" t="str">
        <f>VLOOKUP(revenue[productID],products[],2,FALSE)</f>
        <v>Zaanse koeken</v>
      </c>
      <c r="I1544" s="9" t="str">
        <f>VLOOKUP(revenue[productID],products[],12,FALSE)</f>
        <v>Confections</v>
      </c>
      <c r="J1544" s="9">
        <f>VLOOKUP(revenue[productID],products[],IF(YEAR(revenue[orderDate])=2022,8,IF(YEAR(revenue[orderDate])=2023,9,IF(YEAR(revenue[orderDate])=2024,10,NA))),FALSE)</f>
        <v>6.635130774</v>
      </c>
      <c r="K1544" s="9">
        <v>9.5</v>
      </c>
      <c r="L1544" s="25">
        <f>(revenue[orderPrice]-revenue[productCost])/revenue[productCost]</f>
        <v>0.4317728351</v>
      </c>
      <c r="M1544" s="10">
        <v>40.0</v>
      </c>
      <c r="N1544" s="25">
        <v>0.25</v>
      </c>
      <c r="O1544" s="9">
        <f>revenue[orderPrice]*revenue[orderQuantity]</f>
        <v>380</v>
      </c>
      <c r="P1544" s="9">
        <f>revenue[orderTotal]*(1-revenue[discountApllied])</f>
        <v>285</v>
      </c>
      <c r="Q1544" s="9">
        <f>revenue[revenue]-(revenue[productCost]*revenue[orderQuantity])</f>
        <v>19.59476903</v>
      </c>
      <c r="R1544" s="25">
        <f>IFERROR(revenue[profit]/revenue[revenue], 0)</f>
        <v>0.06875357555</v>
      </c>
      <c r="S1544" s="9">
        <f>revenue[productCost]*revenue[orderQuantity]</f>
        <v>265.405231</v>
      </c>
    </row>
    <row r="1545" ht="15.75" customHeight="1">
      <c r="A1545" s="6">
        <v>10837.0</v>
      </c>
      <c r="B1545" s="7" t="s">
        <v>40</v>
      </c>
      <c r="C1545" s="24" t="str">
        <f>VLOOKUP(revenue[customerID],customers[],2,FALSE)</f>
        <v>Berglunds snabbköp</v>
      </c>
      <c r="D1545" s="24" t="str">
        <f>VLOOKUP(revenue[customerID],customers[],6,FALSE)</f>
        <v>Luleå</v>
      </c>
      <c r="E1545" s="24" t="str">
        <f>VLOOKUP(revenue[customerID],customers[],9,FALSE)</f>
        <v>Sweden</v>
      </c>
      <c r="F1545" s="24">
        <v>45307.0</v>
      </c>
      <c r="G1545" s="6">
        <v>76.0</v>
      </c>
      <c r="H1545" s="9" t="str">
        <f>VLOOKUP(revenue[productID],products[],2,FALSE)</f>
        <v>Lakkalikööri</v>
      </c>
      <c r="I1545" s="9" t="str">
        <f>VLOOKUP(revenue[productID],products[],12,FALSE)</f>
        <v>Beverages</v>
      </c>
      <c r="J1545" s="9">
        <f>VLOOKUP(revenue[productID],products[],IF(YEAR(revenue[orderDate])=2022,8,IF(YEAR(revenue[orderDate])=2023,9,IF(YEAR(revenue[orderDate])=2024,10,NA))),FALSE)</f>
        <v>12.15832249</v>
      </c>
      <c r="K1545" s="9">
        <v>18.0</v>
      </c>
      <c r="L1545" s="25">
        <f>(revenue[orderPrice]-revenue[productCost])/revenue[productCost]</f>
        <v>0.4804673928</v>
      </c>
      <c r="M1545" s="10">
        <v>21.0</v>
      </c>
      <c r="N1545" s="25">
        <v>0.25</v>
      </c>
      <c r="O1545" s="9">
        <f>revenue[orderPrice]*revenue[orderQuantity]</f>
        <v>378</v>
      </c>
      <c r="P1545" s="9">
        <f>revenue[orderTotal]*(1-revenue[discountApllied])</f>
        <v>283.5</v>
      </c>
      <c r="Q1545" s="9">
        <f>revenue[revenue]-(revenue[productCost]*revenue[orderQuantity])</f>
        <v>28.17522768</v>
      </c>
      <c r="R1545" s="25">
        <f>IFERROR(revenue[profit]/revenue[revenue], 0)</f>
        <v>0.09938351916</v>
      </c>
      <c r="S1545" s="9">
        <f>revenue[productCost]*revenue[orderQuantity]</f>
        <v>255.3247723</v>
      </c>
    </row>
    <row r="1546" ht="15.75" customHeight="1">
      <c r="A1546" s="6">
        <v>10838.0</v>
      </c>
      <c r="B1546" s="7" t="s">
        <v>82</v>
      </c>
      <c r="C1546" s="24" t="str">
        <f>VLOOKUP(revenue[customerID],customers[],2,FALSE)</f>
        <v>LINO-Delicateses</v>
      </c>
      <c r="D1546" s="24" t="str">
        <f>VLOOKUP(revenue[customerID],customers[],6,FALSE)</f>
        <v>I. de Margarita</v>
      </c>
      <c r="E1546" s="24" t="str">
        <f>VLOOKUP(revenue[customerID],customers[],9,FALSE)</f>
        <v>Venezuela</v>
      </c>
      <c r="F1546" s="24">
        <v>45310.0</v>
      </c>
      <c r="G1546" s="6">
        <v>1.0</v>
      </c>
      <c r="H1546" s="9" t="str">
        <f>VLOOKUP(revenue[productID],products[],2,FALSE)</f>
        <v>Chai</v>
      </c>
      <c r="I1546" s="9" t="str">
        <f>VLOOKUP(revenue[productID],products[],12,FALSE)</f>
        <v>Beverages</v>
      </c>
      <c r="J1546" s="9">
        <f>VLOOKUP(revenue[productID],products[],IF(YEAR(revenue[orderDate])=2022,8,IF(YEAR(revenue[orderDate])=2023,9,IF(YEAR(revenue[orderDate])=2024,10,NA))),FALSE)</f>
        <v>12.17757454</v>
      </c>
      <c r="K1546" s="9">
        <v>18.0</v>
      </c>
      <c r="L1546" s="25">
        <f>(revenue[orderPrice]-revenue[productCost])/revenue[productCost]</f>
        <v>0.4781268584</v>
      </c>
      <c r="M1546" s="10">
        <v>4.0</v>
      </c>
      <c r="N1546" s="25">
        <v>0.25</v>
      </c>
      <c r="O1546" s="9">
        <f>revenue[orderPrice]*revenue[orderQuantity]</f>
        <v>72</v>
      </c>
      <c r="P1546" s="9">
        <f>revenue[orderTotal]*(1-revenue[discountApllied])</f>
        <v>54</v>
      </c>
      <c r="Q1546" s="9">
        <f>revenue[revenue]-(revenue[productCost]*revenue[orderQuantity])</f>
        <v>5.289701833</v>
      </c>
      <c r="R1546" s="25">
        <f>IFERROR(revenue[profit]/revenue[revenue], 0)</f>
        <v>0.09795744134</v>
      </c>
      <c r="S1546" s="9">
        <f>revenue[productCost]*revenue[orderQuantity]</f>
        <v>48.71029817</v>
      </c>
    </row>
    <row r="1547" ht="15.75" customHeight="1">
      <c r="A1547" s="6">
        <v>10838.0</v>
      </c>
      <c r="B1547" s="7" t="s">
        <v>82</v>
      </c>
      <c r="C1547" s="24" t="str">
        <f>VLOOKUP(revenue[customerID],customers[],2,FALSE)</f>
        <v>LINO-Delicateses</v>
      </c>
      <c r="D1547" s="24" t="str">
        <f>VLOOKUP(revenue[customerID],customers[],6,FALSE)</f>
        <v>I. de Margarita</v>
      </c>
      <c r="E1547" s="24" t="str">
        <f>VLOOKUP(revenue[customerID],customers[],9,FALSE)</f>
        <v>Venezuela</v>
      </c>
      <c r="F1547" s="24">
        <v>45310.0</v>
      </c>
      <c r="G1547" s="6">
        <v>18.0</v>
      </c>
      <c r="H1547" s="9" t="str">
        <f>VLOOKUP(revenue[productID],products[],2,FALSE)</f>
        <v>Carnarvon Tigers</v>
      </c>
      <c r="I1547" s="9" t="str">
        <f>VLOOKUP(revenue[productID],products[],12,FALSE)</f>
        <v>Seafood</v>
      </c>
      <c r="J1547" s="9">
        <f>VLOOKUP(revenue[productID],products[],IF(YEAR(revenue[orderDate])=2022,8,IF(YEAR(revenue[orderDate])=2023,9,IF(YEAR(revenue[orderDate])=2024,10,NA))),FALSE)</f>
        <v>41.27004985</v>
      </c>
      <c r="K1547" s="9">
        <v>62.5</v>
      </c>
      <c r="L1547" s="25">
        <f>(revenue[orderPrice]-revenue[productCost])/revenue[productCost]</f>
        <v>0.5144154231</v>
      </c>
      <c r="M1547" s="10">
        <v>25.0</v>
      </c>
      <c r="N1547" s="25">
        <v>0.25</v>
      </c>
      <c r="O1547" s="9">
        <f>revenue[orderPrice]*revenue[orderQuantity]</f>
        <v>1562.5</v>
      </c>
      <c r="P1547" s="9">
        <f>revenue[orderTotal]*(1-revenue[discountApllied])</f>
        <v>1171.875</v>
      </c>
      <c r="Q1547" s="9">
        <f>revenue[revenue]-(revenue[productCost]*revenue[orderQuantity])</f>
        <v>140.1237539</v>
      </c>
      <c r="R1547" s="25">
        <f>IFERROR(revenue[profit]/revenue[revenue], 0)</f>
        <v>0.11957227</v>
      </c>
      <c r="S1547" s="9">
        <f>revenue[productCost]*revenue[orderQuantity]</f>
        <v>1031.751246</v>
      </c>
    </row>
    <row r="1548" ht="15.75" customHeight="1">
      <c r="A1548" s="6">
        <v>10838.0</v>
      </c>
      <c r="B1548" s="7" t="s">
        <v>82</v>
      </c>
      <c r="C1548" s="24" t="str">
        <f>VLOOKUP(revenue[customerID],customers[],2,FALSE)</f>
        <v>LINO-Delicateses</v>
      </c>
      <c r="D1548" s="24" t="str">
        <f>VLOOKUP(revenue[customerID],customers[],6,FALSE)</f>
        <v>I. de Margarita</v>
      </c>
      <c r="E1548" s="24" t="str">
        <f>VLOOKUP(revenue[customerID],customers[],9,FALSE)</f>
        <v>Venezuela</v>
      </c>
      <c r="F1548" s="24">
        <v>45310.0</v>
      </c>
      <c r="G1548" s="6">
        <v>36.0</v>
      </c>
      <c r="H1548" s="9" t="str">
        <f>VLOOKUP(revenue[productID],products[],2,FALSE)</f>
        <v>Inlagd Sill</v>
      </c>
      <c r="I1548" s="9" t="str">
        <f>VLOOKUP(revenue[productID],products[],12,FALSE)</f>
        <v>Seafood</v>
      </c>
      <c r="J1548" s="9">
        <f>VLOOKUP(revenue[productID],products[],IF(YEAR(revenue[orderDate])=2022,8,IF(YEAR(revenue[orderDate])=2023,9,IF(YEAR(revenue[orderDate])=2024,10,NA))),FALSE)</f>
        <v>11.68525366</v>
      </c>
      <c r="K1548" s="9">
        <v>19.0</v>
      </c>
      <c r="L1548" s="25">
        <f>(revenue[orderPrice]-revenue[productCost])/revenue[productCost]</f>
        <v>0.6259809637</v>
      </c>
      <c r="M1548" s="10">
        <v>50.0</v>
      </c>
      <c r="N1548" s="25">
        <v>0.25</v>
      </c>
      <c r="O1548" s="9">
        <f>revenue[orderPrice]*revenue[orderQuantity]</f>
        <v>950</v>
      </c>
      <c r="P1548" s="9">
        <f>revenue[orderTotal]*(1-revenue[discountApllied])</f>
        <v>712.5</v>
      </c>
      <c r="Q1548" s="9">
        <f>revenue[revenue]-(revenue[productCost]*revenue[orderQuantity])</f>
        <v>128.2373172</v>
      </c>
      <c r="R1548" s="25">
        <f>IFERROR(revenue[profit]/revenue[revenue], 0)</f>
        <v>0.1799821996</v>
      </c>
      <c r="S1548" s="9">
        <f>revenue[productCost]*revenue[orderQuantity]</f>
        <v>584.2626828</v>
      </c>
    </row>
    <row r="1549" ht="15.75" customHeight="1">
      <c r="A1549" s="6">
        <v>10839.0</v>
      </c>
      <c r="B1549" s="7" t="s">
        <v>48</v>
      </c>
      <c r="C1549" s="24" t="str">
        <f>VLOOKUP(revenue[customerID],customers[],2,FALSE)</f>
        <v>Tradição Hipermercados</v>
      </c>
      <c r="D1549" s="24" t="str">
        <f>VLOOKUP(revenue[customerID],customers[],6,FALSE)</f>
        <v>Sao Paulo</v>
      </c>
      <c r="E1549" s="24" t="str">
        <f>VLOOKUP(revenue[customerID],customers[],9,FALSE)</f>
        <v>Brazil</v>
      </c>
      <c r="F1549" s="24">
        <v>45310.0</v>
      </c>
      <c r="G1549" s="6">
        <v>58.0</v>
      </c>
      <c r="H1549" s="9" t="str">
        <f>VLOOKUP(revenue[productID],products[],2,FALSE)</f>
        <v>Escargots de Bourgogne</v>
      </c>
      <c r="I1549" s="9" t="str">
        <f>VLOOKUP(revenue[productID],products[],12,FALSE)</f>
        <v>Seafood</v>
      </c>
      <c r="J1549" s="9">
        <f>VLOOKUP(revenue[productID],products[],IF(YEAR(revenue[orderDate])=2022,8,IF(YEAR(revenue[orderDate])=2023,9,IF(YEAR(revenue[orderDate])=2024,10,NA))),FALSE)</f>
        <v>8.683102193</v>
      </c>
      <c r="K1549" s="9">
        <v>13.25</v>
      </c>
      <c r="L1549" s="25">
        <f>(revenue[orderPrice]-revenue[productCost])/revenue[productCost]</f>
        <v>0.5259523274</v>
      </c>
      <c r="M1549" s="10">
        <v>30.0</v>
      </c>
      <c r="N1549" s="25">
        <v>0.1</v>
      </c>
      <c r="O1549" s="9">
        <f>revenue[orderPrice]*revenue[orderQuantity]</f>
        <v>397.5</v>
      </c>
      <c r="P1549" s="9">
        <f>revenue[orderTotal]*(1-revenue[discountApllied])</f>
        <v>357.75</v>
      </c>
      <c r="Q1549" s="9">
        <f>revenue[revenue]-(revenue[productCost]*revenue[orderQuantity])</f>
        <v>97.25693422</v>
      </c>
      <c r="R1549" s="25">
        <f>IFERROR(revenue[profit]/revenue[revenue], 0)</f>
        <v>0.2718572585</v>
      </c>
      <c r="S1549" s="9">
        <f>revenue[productCost]*revenue[orderQuantity]</f>
        <v>260.4930658</v>
      </c>
    </row>
    <row r="1550" ht="15.75" customHeight="1">
      <c r="A1550" s="6">
        <v>10839.0</v>
      </c>
      <c r="B1550" s="7" t="s">
        <v>48</v>
      </c>
      <c r="C1550" s="24" t="str">
        <f>VLOOKUP(revenue[customerID],customers[],2,FALSE)</f>
        <v>Tradição Hipermercados</v>
      </c>
      <c r="D1550" s="24" t="str">
        <f>VLOOKUP(revenue[customerID],customers[],6,FALSE)</f>
        <v>Sao Paulo</v>
      </c>
      <c r="E1550" s="24" t="str">
        <f>VLOOKUP(revenue[customerID],customers[],9,FALSE)</f>
        <v>Brazil</v>
      </c>
      <c r="F1550" s="24">
        <v>45310.0</v>
      </c>
      <c r="G1550" s="6">
        <v>72.0</v>
      </c>
      <c r="H1550" s="9" t="str">
        <f>VLOOKUP(revenue[productID],products[],2,FALSE)</f>
        <v>Mozzarella di Giovanni</v>
      </c>
      <c r="I1550" s="9" t="str">
        <f>VLOOKUP(revenue[productID],products[],12,FALSE)</f>
        <v>Dairy Products</v>
      </c>
      <c r="J1550" s="9">
        <f>VLOOKUP(revenue[productID],products[],IF(YEAR(revenue[orderDate])=2022,8,IF(YEAR(revenue[orderDate])=2023,9,IF(YEAR(revenue[orderDate])=2024,10,NA))),FALSE)</f>
        <v>24.35057898</v>
      </c>
      <c r="K1550" s="9">
        <v>34.8</v>
      </c>
      <c r="L1550" s="25">
        <f>(revenue[orderPrice]-revenue[productCost])/revenue[productCost]</f>
        <v>0.4291241297</v>
      </c>
      <c r="M1550" s="10">
        <v>15.0</v>
      </c>
      <c r="N1550" s="25">
        <v>0.1</v>
      </c>
      <c r="O1550" s="9">
        <f>revenue[orderPrice]*revenue[orderQuantity]</f>
        <v>522</v>
      </c>
      <c r="P1550" s="9">
        <f>revenue[orderTotal]*(1-revenue[discountApllied])</f>
        <v>469.8</v>
      </c>
      <c r="Q1550" s="9">
        <f>revenue[revenue]-(revenue[productCost]*revenue[orderQuantity])</f>
        <v>104.5413152</v>
      </c>
      <c r="R1550" s="25">
        <f>IFERROR(revenue[profit]/revenue[revenue], 0)</f>
        <v>0.2225230209</v>
      </c>
      <c r="S1550" s="9">
        <f>revenue[productCost]*revenue[orderQuantity]</f>
        <v>365.2586848</v>
      </c>
    </row>
    <row r="1551" ht="15.75" customHeight="1">
      <c r="A1551" s="6">
        <v>10840.0</v>
      </c>
      <c r="B1551" s="7" t="s">
        <v>82</v>
      </c>
      <c r="C1551" s="24" t="str">
        <f>VLOOKUP(revenue[customerID],customers[],2,FALSE)</f>
        <v>LINO-Delicateses</v>
      </c>
      <c r="D1551" s="24" t="str">
        <f>VLOOKUP(revenue[customerID],customers[],6,FALSE)</f>
        <v>I. de Margarita</v>
      </c>
      <c r="E1551" s="24" t="str">
        <f>VLOOKUP(revenue[customerID],customers[],9,FALSE)</f>
        <v>Venezuela</v>
      </c>
      <c r="F1551" s="24">
        <v>45310.0</v>
      </c>
      <c r="G1551" s="6">
        <v>25.0</v>
      </c>
      <c r="H1551" s="9" t="str">
        <f>VLOOKUP(revenue[productID],products[],2,FALSE)</f>
        <v>HM Köstliche Kaiserschmarrn Knödelchen</v>
      </c>
      <c r="I1551" s="9" t="str">
        <f>VLOOKUP(revenue[productID],products[],12,FALSE)</f>
        <v>Confections</v>
      </c>
      <c r="J1551" s="9">
        <f>VLOOKUP(revenue[productID],products[],IF(YEAR(revenue[orderDate])=2022,8,IF(YEAR(revenue[orderDate])=2023,9,IF(YEAR(revenue[orderDate])=2024,10,NA))),FALSE)</f>
        <v>8.782270815</v>
      </c>
      <c r="K1551" s="9">
        <v>14.0</v>
      </c>
      <c r="L1551" s="25">
        <f>(revenue[orderPrice]-revenue[productCost])/revenue[productCost]</f>
        <v>0.5941207342</v>
      </c>
      <c r="M1551" s="10">
        <v>6.0</v>
      </c>
      <c r="N1551" s="25">
        <v>0.2</v>
      </c>
      <c r="O1551" s="9">
        <f>revenue[orderPrice]*revenue[orderQuantity]</f>
        <v>84</v>
      </c>
      <c r="P1551" s="9">
        <f>revenue[orderTotal]*(1-revenue[discountApllied])</f>
        <v>67.2</v>
      </c>
      <c r="Q1551" s="9">
        <f>revenue[revenue]-(revenue[productCost]*revenue[orderQuantity])</f>
        <v>14.50637511</v>
      </c>
      <c r="R1551" s="25">
        <f>IFERROR(revenue[profit]/revenue[revenue], 0)</f>
        <v>0.2158686772</v>
      </c>
      <c r="S1551" s="9">
        <f>revenue[productCost]*revenue[orderQuantity]</f>
        <v>52.69362489</v>
      </c>
    </row>
    <row r="1552" ht="15.75" customHeight="1">
      <c r="A1552" s="6">
        <v>10840.0</v>
      </c>
      <c r="B1552" s="7" t="s">
        <v>82</v>
      </c>
      <c r="C1552" s="24" t="str">
        <f>VLOOKUP(revenue[customerID],customers[],2,FALSE)</f>
        <v>LINO-Delicateses</v>
      </c>
      <c r="D1552" s="24" t="str">
        <f>VLOOKUP(revenue[customerID],customers[],6,FALSE)</f>
        <v>I. de Margarita</v>
      </c>
      <c r="E1552" s="24" t="str">
        <f>VLOOKUP(revenue[customerID],customers[],9,FALSE)</f>
        <v>Venezuela</v>
      </c>
      <c r="F1552" s="24">
        <v>45310.0</v>
      </c>
      <c r="G1552" s="6">
        <v>39.0</v>
      </c>
      <c r="H1552" s="9" t="str">
        <f>VLOOKUP(revenue[productID],products[],2,FALSE)</f>
        <v>Chartreuse verte</v>
      </c>
      <c r="I1552" s="9" t="str">
        <f>VLOOKUP(revenue[productID],products[],12,FALSE)</f>
        <v>Beverages</v>
      </c>
      <c r="J1552" s="9">
        <f>VLOOKUP(revenue[productID],products[],IF(YEAR(revenue[orderDate])=2022,8,IF(YEAR(revenue[orderDate])=2023,9,IF(YEAR(revenue[orderDate])=2024,10,NA))),FALSE)</f>
        <v>12.3017224</v>
      </c>
      <c r="K1552" s="9">
        <v>18.0</v>
      </c>
      <c r="L1552" s="25">
        <f>(revenue[orderPrice]-revenue[productCost])/revenue[productCost]</f>
        <v>0.4632097374</v>
      </c>
      <c r="M1552" s="10">
        <v>10.0</v>
      </c>
      <c r="N1552" s="25">
        <v>0.2</v>
      </c>
      <c r="O1552" s="9">
        <f>revenue[orderPrice]*revenue[orderQuantity]</f>
        <v>180</v>
      </c>
      <c r="P1552" s="9">
        <f>revenue[orderTotal]*(1-revenue[discountApllied])</f>
        <v>144</v>
      </c>
      <c r="Q1552" s="9">
        <f>revenue[revenue]-(revenue[productCost]*revenue[orderQuantity])</f>
        <v>20.98277602</v>
      </c>
      <c r="R1552" s="25">
        <f>IFERROR(revenue[profit]/revenue[revenue], 0)</f>
        <v>0.1457137223</v>
      </c>
      <c r="S1552" s="9">
        <f>revenue[productCost]*revenue[orderQuantity]</f>
        <v>123.017224</v>
      </c>
    </row>
    <row r="1553" ht="15.75" customHeight="1">
      <c r="A1553" s="6">
        <v>10841.0</v>
      </c>
      <c r="B1553" s="7" t="s">
        <v>19</v>
      </c>
      <c r="C1553" s="24" t="str">
        <f>VLOOKUP(revenue[customerID],customers[],2,FALSE)</f>
        <v>Suprêmes délices</v>
      </c>
      <c r="D1553" s="24" t="str">
        <f>VLOOKUP(revenue[customerID],customers[],6,FALSE)</f>
        <v>Charleroi</v>
      </c>
      <c r="E1553" s="24" t="str">
        <f>VLOOKUP(revenue[customerID],customers[],9,FALSE)</f>
        <v>Belgium</v>
      </c>
      <c r="F1553" s="24">
        <v>45311.0</v>
      </c>
      <c r="G1553" s="6">
        <v>10.0</v>
      </c>
      <c r="H1553" s="9" t="str">
        <f>VLOOKUP(revenue[productID],products[],2,FALSE)</f>
        <v>Ikura</v>
      </c>
      <c r="I1553" s="9" t="str">
        <f>VLOOKUP(revenue[productID],products[],12,FALSE)</f>
        <v>Seafood</v>
      </c>
      <c r="J1553" s="9">
        <f>VLOOKUP(revenue[productID],products[],IF(YEAR(revenue[orderDate])=2022,8,IF(YEAR(revenue[orderDate])=2023,9,IF(YEAR(revenue[orderDate])=2024,10,NA))),FALSE)</f>
        <v>20.90394627</v>
      </c>
      <c r="K1553" s="9">
        <v>31.0</v>
      </c>
      <c r="L1553" s="25">
        <f>(revenue[orderPrice]-revenue[productCost])/revenue[productCost]</f>
        <v>0.4829735786</v>
      </c>
      <c r="M1553" s="10">
        <v>16.0</v>
      </c>
      <c r="N1553" s="25">
        <v>0.0</v>
      </c>
      <c r="O1553" s="9">
        <f>revenue[orderPrice]*revenue[orderQuantity]</f>
        <v>496</v>
      </c>
      <c r="P1553" s="9">
        <f>revenue[orderTotal]*(1-revenue[discountApllied])</f>
        <v>496</v>
      </c>
      <c r="Q1553" s="9">
        <f>revenue[revenue]-(revenue[productCost]*revenue[orderQuantity])</f>
        <v>161.5368598</v>
      </c>
      <c r="R1553" s="25">
        <f>IFERROR(revenue[profit]/revenue[revenue], 0)</f>
        <v>0.3256791527</v>
      </c>
      <c r="S1553" s="9">
        <f>revenue[productCost]*revenue[orderQuantity]</f>
        <v>334.4631402</v>
      </c>
    </row>
    <row r="1554" ht="15.75" customHeight="1">
      <c r="A1554" s="6">
        <v>10841.0</v>
      </c>
      <c r="B1554" s="7" t="s">
        <v>19</v>
      </c>
      <c r="C1554" s="24" t="str">
        <f>VLOOKUP(revenue[customerID],customers[],2,FALSE)</f>
        <v>Suprêmes délices</v>
      </c>
      <c r="D1554" s="24" t="str">
        <f>VLOOKUP(revenue[customerID],customers[],6,FALSE)</f>
        <v>Charleroi</v>
      </c>
      <c r="E1554" s="24" t="str">
        <f>VLOOKUP(revenue[customerID],customers[],9,FALSE)</f>
        <v>Belgium</v>
      </c>
      <c r="F1554" s="24">
        <v>45311.0</v>
      </c>
      <c r="G1554" s="6">
        <v>56.0</v>
      </c>
      <c r="H1554" s="9" t="str">
        <f>VLOOKUP(revenue[productID],products[],2,FALSE)</f>
        <v>Gnocchi di nonna Alice</v>
      </c>
      <c r="I1554" s="9" t="str">
        <f>VLOOKUP(revenue[productID],products[],12,FALSE)</f>
        <v>Grains/Cereals</v>
      </c>
      <c r="J1554" s="9">
        <f>VLOOKUP(revenue[productID],products[],IF(YEAR(revenue[orderDate])=2022,8,IF(YEAR(revenue[orderDate])=2023,9,IF(YEAR(revenue[orderDate])=2024,10,NA))),FALSE)</f>
        <v>27.53915851</v>
      </c>
      <c r="K1554" s="9">
        <v>38.0</v>
      </c>
      <c r="L1554" s="25">
        <f>(revenue[orderPrice]-revenue[productCost])/revenue[productCost]</f>
        <v>0.3798533452</v>
      </c>
      <c r="M1554" s="10">
        <v>30.0</v>
      </c>
      <c r="N1554" s="25">
        <v>0.0</v>
      </c>
      <c r="O1554" s="9">
        <f>revenue[orderPrice]*revenue[orderQuantity]</f>
        <v>1140</v>
      </c>
      <c r="P1554" s="9">
        <f>revenue[orderTotal]*(1-revenue[discountApllied])</f>
        <v>1140</v>
      </c>
      <c r="Q1554" s="9">
        <f>revenue[revenue]-(revenue[productCost]*revenue[orderQuantity])</f>
        <v>313.8252446</v>
      </c>
      <c r="R1554" s="25">
        <f>IFERROR(revenue[profit]/revenue[revenue], 0)</f>
        <v>0.2752853023</v>
      </c>
      <c r="S1554" s="9">
        <f>revenue[productCost]*revenue[orderQuantity]</f>
        <v>826.1747554</v>
      </c>
    </row>
    <row r="1555" ht="15.75" customHeight="1">
      <c r="A1555" s="6">
        <v>10841.0</v>
      </c>
      <c r="B1555" s="7" t="s">
        <v>19</v>
      </c>
      <c r="C1555" s="24" t="str">
        <f>VLOOKUP(revenue[customerID],customers[],2,FALSE)</f>
        <v>Suprêmes délices</v>
      </c>
      <c r="D1555" s="24" t="str">
        <f>VLOOKUP(revenue[customerID],customers[],6,FALSE)</f>
        <v>Charleroi</v>
      </c>
      <c r="E1555" s="24" t="str">
        <f>VLOOKUP(revenue[customerID],customers[],9,FALSE)</f>
        <v>Belgium</v>
      </c>
      <c r="F1555" s="24">
        <v>45311.0</v>
      </c>
      <c r="G1555" s="6">
        <v>59.0</v>
      </c>
      <c r="H1555" s="9" t="str">
        <f>VLOOKUP(revenue[productID],products[],2,FALSE)</f>
        <v>Raclette Courdavault</v>
      </c>
      <c r="I1555" s="9" t="str">
        <f>VLOOKUP(revenue[productID],products[],12,FALSE)</f>
        <v>Dairy Products</v>
      </c>
      <c r="J1555" s="9">
        <f>VLOOKUP(revenue[productID],products[],IF(YEAR(revenue[orderDate])=2022,8,IF(YEAR(revenue[orderDate])=2023,9,IF(YEAR(revenue[orderDate])=2024,10,NA))),FALSE)</f>
        <v>36.74863711</v>
      </c>
      <c r="K1555" s="9">
        <v>55.0</v>
      </c>
      <c r="L1555" s="25">
        <f>(revenue[orderPrice]-revenue[productCost])/revenue[productCost]</f>
        <v>0.4966541435</v>
      </c>
      <c r="M1555" s="10">
        <v>50.0</v>
      </c>
      <c r="N1555" s="25">
        <v>0.0</v>
      </c>
      <c r="O1555" s="9">
        <f>revenue[orderPrice]*revenue[orderQuantity]</f>
        <v>2750</v>
      </c>
      <c r="P1555" s="9">
        <f>revenue[orderTotal]*(1-revenue[discountApllied])</f>
        <v>2750</v>
      </c>
      <c r="Q1555" s="9">
        <f>revenue[revenue]-(revenue[productCost]*revenue[orderQuantity])</f>
        <v>912.5681445</v>
      </c>
      <c r="R1555" s="25">
        <f>IFERROR(revenue[profit]/revenue[revenue], 0)</f>
        <v>0.3318429616</v>
      </c>
      <c r="S1555" s="9">
        <f>revenue[productCost]*revenue[orderQuantity]</f>
        <v>1837.431856</v>
      </c>
    </row>
    <row r="1556" ht="15.75" customHeight="1">
      <c r="A1556" s="6">
        <v>10841.0</v>
      </c>
      <c r="B1556" s="7" t="s">
        <v>19</v>
      </c>
      <c r="C1556" s="24" t="str">
        <f>VLOOKUP(revenue[customerID],customers[],2,FALSE)</f>
        <v>Suprêmes délices</v>
      </c>
      <c r="D1556" s="24" t="str">
        <f>VLOOKUP(revenue[customerID],customers[],6,FALSE)</f>
        <v>Charleroi</v>
      </c>
      <c r="E1556" s="24" t="str">
        <f>VLOOKUP(revenue[customerID],customers[],9,FALSE)</f>
        <v>Belgium</v>
      </c>
      <c r="F1556" s="24">
        <v>45311.0</v>
      </c>
      <c r="G1556" s="6">
        <v>77.0</v>
      </c>
      <c r="H1556" s="9" t="str">
        <f>VLOOKUP(revenue[productID],products[],2,FALSE)</f>
        <v>Original Frankfurter grüne Soße</v>
      </c>
      <c r="I1556" s="9" t="str">
        <f>VLOOKUP(revenue[productID],products[],12,FALSE)</f>
        <v>Condiments</v>
      </c>
      <c r="J1556" s="9">
        <f>VLOOKUP(revenue[productID],products[],IF(YEAR(revenue[orderDate])=2022,8,IF(YEAR(revenue[orderDate])=2023,9,IF(YEAR(revenue[orderDate])=2024,10,NA))),FALSE)</f>
        <v>9.299025151</v>
      </c>
      <c r="K1556" s="9">
        <v>13.0</v>
      </c>
      <c r="L1556" s="25">
        <f>(revenue[orderPrice]-revenue[productCost])/revenue[productCost]</f>
        <v>0.3979960037</v>
      </c>
      <c r="M1556" s="10">
        <v>15.0</v>
      </c>
      <c r="N1556" s="25">
        <v>0.0</v>
      </c>
      <c r="O1556" s="9">
        <f>revenue[orderPrice]*revenue[orderQuantity]</f>
        <v>195</v>
      </c>
      <c r="P1556" s="9">
        <f>revenue[orderTotal]*(1-revenue[discountApllied])</f>
        <v>195</v>
      </c>
      <c r="Q1556" s="9">
        <f>revenue[revenue]-(revenue[productCost]*revenue[orderQuantity])</f>
        <v>55.51462273</v>
      </c>
      <c r="R1556" s="25">
        <f>IFERROR(revenue[profit]/revenue[revenue], 0)</f>
        <v>0.284690373</v>
      </c>
      <c r="S1556" s="9">
        <f>revenue[productCost]*revenue[orderQuantity]</f>
        <v>139.4853773</v>
      </c>
    </row>
    <row r="1557" ht="15.75" customHeight="1">
      <c r="A1557" s="6">
        <v>10842.0</v>
      </c>
      <c r="B1557" s="7" t="s">
        <v>38</v>
      </c>
      <c r="C1557" s="24" t="str">
        <f>VLOOKUP(revenue[customerID],customers[],2,FALSE)</f>
        <v>Tortuga Restaurante</v>
      </c>
      <c r="D1557" s="24" t="str">
        <f>VLOOKUP(revenue[customerID],customers[],6,FALSE)</f>
        <v>México D.F.</v>
      </c>
      <c r="E1557" s="24" t="str">
        <f>VLOOKUP(revenue[customerID],customers[],9,FALSE)</f>
        <v>Mexico</v>
      </c>
      <c r="F1557" s="24">
        <v>45311.0</v>
      </c>
      <c r="G1557" s="6">
        <v>11.0</v>
      </c>
      <c r="H1557" s="9" t="str">
        <f>VLOOKUP(revenue[productID],products[],2,FALSE)</f>
        <v>Queso Cabrales</v>
      </c>
      <c r="I1557" s="9" t="str">
        <f>VLOOKUP(revenue[productID],products[],12,FALSE)</f>
        <v>Dairy Products</v>
      </c>
      <c r="J1557" s="9">
        <f>VLOOKUP(revenue[productID],products[],IF(YEAR(revenue[orderDate])=2022,8,IF(YEAR(revenue[orderDate])=2023,9,IF(YEAR(revenue[orderDate])=2024,10,NA))),FALSE)</f>
        <v>13.86836261</v>
      </c>
      <c r="K1557" s="9">
        <v>21.0</v>
      </c>
      <c r="L1557" s="25">
        <f>(revenue[orderPrice]-revenue[productCost])/revenue[productCost]</f>
        <v>0.51423788</v>
      </c>
      <c r="M1557" s="10">
        <v>15.0</v>
      </c>
      <c r="N1557" s="25">
        <v>0.0</v>
      </c>
      <c r="O1557" s="9">
        <f>revenue[orderPrice]*revenue[orderQuantity]</f>
        <v>315</v>
      </c>
      <c r="P1557" s="9">
        <f>revenue[orderTotal]*(1-revenue[discountApllied])</f>
        <v>315</v>
      </c>
      <c r="Q1557" s="9">
        <f>revenue[revenue]-(revenue[productCost]*revenue[orderQuantity])</f>
        <v>106.9745608</v>
      </c>
      <c r="R1557" s="25">
        <f>IFERROR(revenue[profit]/revenue[revenue], 0)</f>
        <v>0.3396017804</v>
      </c>
      <c r="S1557" s="9">
        <f>revenue[productCost]*revenue[orderQuantity]</f>
        <v>208.0254392</v>
      </c>
    </row>
    <row r="1558" ht="15.75" customHeight="1">
      <c r="A1558" s="6">
        <v>10842.0</v>
      </c>
      <c r="B1558" s="7" t="s">
        <v>38</v>
      </c>
      <c r="C1558" s="24" t="str">
        <f>VLOOKUP(revenue[customerID],customers[],2,FALSE)</f>
        <v>Tortuga Restaurante</v>
      </c>
      <c r="D1558" s="24" t="str">
        <f>VLOOKUP(revenue[customerID],customers[],6,FALSE)</f>
        <v>México D.F.</v>
      </c>
      <c r="E1558" s="24" t="str">
        <f>VLOOKUP(revenue[customerID],customers[],9,FALSE)</f>
        <v>Mexico</v>
      </c>
      <c r="F1558" s="24">
        <v>45311.0</v>
      </c>
      <c r="G1558" s="6">
        <v>43.0</v>
      </c>
      <c r="H1558" s="9" t="str">
        <f>VLOOKUP(revenue[productID],products[],2,FALSE)</f>
        <v>Ipoh Coffee</v>
      </c>
      <c r="I1558" s="9" t="str">
        <f>VLOOKUP(revenue[productID],products[],12,FALSE)</f>
        <v>Beverages</v>
      </c>
      <c r="J1558" s="9">
        <f>VLOOKUP(revenue[productID],products[],IF(YEAR(revenue[orderDate])=2022,8,IF(YEAR(revenue[orderDate])=2023,9,IF(YEAR(revenue[orderDate])=2024,10,NA))),FALSE)</f>
        <v>30.97984738</v>
      </c>
      <c r="K1558" s="9">
        <v>46.0</v>
      </c>
      <c r="L1558" s="25">
        <f>(revenue[orderPrice]-revenue[productCost])/revenue[productCost]</f>
        <v>0.484836237</v>
      </c>
      <c r="M1558" s="10">
        <v>5.0</v>
      </c>
      <c r="N1558" s="25">
        <v>0.0</v>
      </c>
      <c r="O1558" s="9">
        <f>revenue[orderPrice]*revenue[orderQuantity]</f>
        <v>230</v>
      </c>
      <c r="P1558" s="9">
        <f>revenue[orderTotal]*(1-revenue[discountApllied])</f>
        <v>230</v>
      </c>
      <c r="Q1558" s="9">
        <f>revenue[revenue]-(revenue[productCost]*revenue[orderQuantity])</f>
        <v>75.10076312</v>
      </c>
      <c r="R1558" s="25">
        <f>IFERROR(revenue[profit]/revenue[revenue], 0)</f>
        <v>0.3265250571</v>
      </c>
      <c r="S1558" s="9">
        <f>revenue[productCost]*revenue[orderQuantity]</f>
        <v>154.8992369</v>
      </c>
    </row>
    <row r="1559" ht="15.75" customHeight="1">
      <c r="A1559" s="6">
        <v>10842.0</v>
      </c>
      <c r="B1559" s="7" t="s">
        <v>38</v>
      </c>
      <c r="C1559" s="24" t="str">
        <f>VLOOKUP(revenue[customerID],customers[],2,FALSE)</f>
        <v>Tortuga Restaurante</v>
      </c>
      <c r="D1559" s="24" t="str">
        <f>VLOOKUP(revenue[customerID],customers[],6,FALSE)</f>
        <v>México D.F.</v>
      </c>
      <c r="E1559" s="24" t="str">
        <f>VLOOKUP(revenue[customerID],customers[],9,FALSE)</f>
        <v>Mexico</v>
      </c>
      <c r="F1559" s="24">
        <v>45311.0</v>
      </c>
      <c r="G1559" s="6">
        <v>68.0</v>
      </c>
      <c r="H1559" s="9" t="str">
        <f>VLOOKUP(revenue[productID],products[],2,FALSE)</f>
        <v>Scottish Longbreads</v>
      </c>
      <c r="I1559" s="9" t="str">
        <f>VLOOKUP(revenue[productID],products[],12,FALSE)</f>
        <v>Confections</v>
      </c>
      <c r="J1559" s="9">
        <f>VLOOKUP(revenue[productID],products[],IF(YEAR(revenue[orderDate])=2022,8,IF(YEAR(revenue[orderDate])=2023,9,IF(YEAR(revenue[orderDate])=2024,10,NA))),FALSE)</f>
        <v>9.555031708</v>
      </c>
      <c r="K1559" s="9">
        <v>12.5</v>
      </c>
      <c r="L1559" s="25">
        <f>(revenue[orderPrice]-revenue[productCost])/revenue[productCost]</f>
        <v>0.3082112527</v>
      </c>
      <c r="M1559" s="10">
        <v>20.0</v>
      </c>
      <c r="N1559" s="25">
        <v>0.0</v>
      </c>
      <c r="O1559" s="9">
        <f>revenue[orderPrice]*revenue[orderQuantity]</f>
        <v>250</v>
      </c>
      <c r="P1559" s="9">
        <f>revenue[orderTotal]*(1-revenue[discountApllied])</f>
        <v>250</v>
      </c>
      <c r="Q1559" s="9">
        <f>revenue[revenue]-(revenue[productCost]*revenue[orderQuantity])</f>
        <v>58.89936585</v>
      </c>
      <c r="R1559" s="25">
        <f>IFERROR(revenue[profit]/revenue[revenue], 0)</f>
        <v>0.2355974634</v>
      </c>
      <c r="S1559" s="9">
        <f>revenue[productCost]*revenue[orderQuantity]</f>
        <v>191.1006342</v>
      </c>
    </row>
    <row r="1560" ht="15.75" customHeight="1">
      <c r="A1560" s="6">
        <v>10842.0</v>
      </c>
      <c r="B1560" s="7" t="s">
        <v>38</v>
      </c>
      <c r="C1560" s="24" t="str">
        <f>VLOOKUP(revenue[customerID],customers[],2,FALSE)</f>
        <v>Tortuga Restaurante</v>
      </c>
      <c r="D1560" s="24" t="str">
        <f>VLOOKUP(revenue[customerID],customers[],6,FALSE)</f>
        <v>México D.F.</v>
      </c>
      <c r="E1560" s="24" t="str">
        <f>VLOOKUP(revenue[customerID],customers[],9,FALSE)</f>
        <v>Mexico</v>
      </c>
      <c r="F1560" s="24">
        <v>45311.0</v>
      </c>
      <c r="G1560" s="6">
        <v>70.0</v>
      </c>
      <c r="H1560" s="9" t="str">
        <f>VLOOKUP(revenue[productID],products[],2,FALSE)</f>
        <v>Outback Lager</v>
      </c>
      <c r="I1560" s="9" t="str">
        <f>VLOOKUP(revenue[productID],products[],12,FALSE)</f>
        <v>Beverages</v>
      </c>
      <c r="J1560" s="9">
        <f>VLOOKUP(revenue[productID],products[],IF(YEAR(revenue[orderDate])=2022,8,IF(YEAR(revenue[orderDate])=2023,9,IF(YEAR(revenue[orderDate])=2024,10,NA))),FALSE)</f>
        <v>10.03280812</v>
      </c>
      <c r="K1560" s="9">
        <v>15.0</v>
      </c>
      <c r="L1560" s="25">
        <f>(revenue[orderPrice]-revenue[productCost])/revenue[productCost]</f>
        <v>0.4950948747</v>
      </c>
      <c r="M1560" s="10">
        <v>12.0</v>
      </c>
      <c r="N1560" s="25">
        <v>0.0</v>
      </c>
      <c r="O1560" s="9">
        <f>revenue[orderPrice]*revenue[orderQuantity]</f>
        <v>180</v>
      </c>
      <c r="P1560" s="9">
        <f>revenue[orderTotal]*(1-revenue[discountApllied])</f>
        <v>180</v>
      </c>
      <c r="Q1560" s="9">
        <f>revenue[revenue]-(revenue[productCost]*revenue[orderQuantity])</f>
        <v>59.60630255</v>
      </c>
      <c r="R1560" s="25">
        <f>IFERROR(revenue[profit]/revenue[revenue], 0)</f>
        <v>0.3311461253</v>
      </c>
      <c r="S1560" s="9">
        <f>revenue[productCost]*revenue[orderQuantity]</f>
        <v>120.3936975</v>
      </c>
    </row>
    <row r="1561" ht="15.75" customHeight="1">
      <c r="A1561" s="6">
        <v>10843.0</v>
      </c>
      <c r="B1561" s="7" t="s">
        <v>18</v>
      </c>
      <c r="C1561" s="24" t="str">
        <f>VLOOKUP(revenue[customerID],customers[],2,FALSE)</f>
        <v>Victuailles en stock</v>
      </c>
      <c r="D1561" s="24" t="str">
        <f>VLOOKUP(revenue[customerID],customers[],6,FALSE)</f>
        <v>Lyon</v>
      </c>
      <c r="E1561" s="24" t="str">
        <f>VLOOKUP(revenue[customerID],customers[],9,FALSE)</f>
        <v>France</v>
      </c>
      <c r="F1561" s="24">
        <v>45312.0</v>
      </c>
      <c r="G1561" s="6">
        <v>51.0</v>
      </c>
      <c r="H1561" s="9" t="str">
        <f>VLOOKUP(revenue[productID],products[],2,FALSE)</f>
        <v>Manjimup Dried Apples</v>
      </c>
      <c r="I1561" s="9" t="str">
        <f>VLOOKUP(revenue[productID],products[],12,FALSE)</f>
        <v>Produce</v>
      </c>
      <c r="J1561" s="9">
        <f>VLOOKUP(revenue[productID],products[],IF(YEAR(revenue[orderDate])=2022,8,IF(YEAR(revenue[orderDate])=2023,9,IF(YEAR(revenue[orderDate])=2024,10,NA))),FALSE)</f>
        <v>39.51416462</v>
      </c>
      <c r="K1561" s="9">
        <v>53.0</v>
      </c>
      <c r="L1561" s="25">
        <f>(revenue[orderPrice]-revenue[productCost])/revenue[productCost]</f>
        <v>0.3412911677</v>
      </c>
      <c r="M1561" s="10">
        <v>4.0</v>
      </c>
      <c r="N1561" s="25">
        <v>0.25</v>
      </c>
      <c r="O1561" s="9">
        <f>revenue[orderPrice]*revenue[orderQuantity]</f>
        <v>212</v>
      </c>
      <c r="P1561" s="9">
        <f>revenue[orderTotal]*(1-revenue[discountApllied])</f>
        <v>159</v>
      </c>
      <c r="Q1561" s="9">
        <f>revenue[revenue]-(revenue[productCost]*revenue[orderQuantity])</f>
        <v>0.9433415264</v>
      </c>
      <c r="R1561" s="25">
        <f>IFERROR(revenue[profit]/revenue[revenue], 0)</f>
        <v>0.005932965575</v>
      </c>
      <c r="S1561" s="9">
        <f>revenue[productCost]*revenue[orderQuantity]</f>
        <v>158.0566585</v>
      </c>
    </row>
    <row r="1562" ht="15.75" customHeight="1">
      <c r="A1562" s="6">
        <v>10844.0</v>
      </c>
      <c r="B1562" s="7" t="s">
        <v>69</v>
      </c>
      <c r="C1562" s="24" t="str">
        <f>VLOOKUP(revenue[customerID],customers[],2,FALSE)</f>
        <v>Piccolo und mehr</v>
      </c>
      <c r="D1562" s="24" t="str">
        <f>VLOOKUP(revenue[customerID],customers[],6,FALSE)</f>
        <v>Salzburg</v>
      </c>
      <c r="E1562" s="24" t="str">
        <f>VLOOKUP(revenue[customerID],customers[],9,FALSE)</f>
        <v>Austria</v>
      </c>
      <c r="F1562" s="24">
        <v>45312.0</v>
      </c>
      <c r="G1562" s="6">
        <v>22.0</v>
      </c>
      <c r="H1562" s="9" t="str">
        <f>VLOOKUP(revenue[productID],products[],2,FALSE)</f>
        <v>Gustaf's Knäckebröd</v>
      </c>
      <c r="I1562" s="9" t="str">
        <f>VLOOKUP(revenue[productID],products[],12,FALSE)</f>
        <v>Grains/Cereals</v>
      </c>
      <c r="J1562" s="9">
        <f>VLOOKUP(revenue[productID],products[],IF(YEAR(revenue[orderDate])=2022,8,IF(YEAR(revenue[orderDate])=2023,9,IF(YEAR(revenue[orderDate])=2024,10,NA))),FALSE)</f>
        <v>16.3916268</v>
      </c>
      <c r="K1562" s="9">
        <v>21.0</v>
      </c>
      <c r="L1562" s="25">
        <f>(revenue[orderPrice]-revenue[productCost])/revenue[productCost]</f>
        <v>0.2811419062</v>
      </c>
      <c r="M1562" s="10">
        <v>35.0</v>
      </c>
      <c r="N1562" s="25">
        <v>0.0</v>
      </c>
      <c r="O1562" s="9">
        <f>revenue[orderPrice]*revenue[orderQuantity]</f>
        <v>735</v>
      </c>
      <c r="P1562" s="9">
        <f>revenue[orderTotal]*(1-revenue[discountApllied])</f>
        <v>735</v>
      </c>
      <c r="Q1562" s="9">
        <f>revenue[revenue]-(revenue[productCost]*revenue[orderQuantity])</f>
        <v>161.2930621</v>
      </c>
      <c r="R1562" s="25">
        <f>IFERROR(revenue[profit]/revenue[revenue], 0)</f>
        <v>0.219446343</v>
      </c>
      <c r="S1562" s="9">
        <f>revenue[productCost]*revenue[orderQuantity]</f>
        <v>573.7069379</v>
      </c>
    </row>
    <row r="1563" ht="15.75" customHeight="1">
      <c r="A1563" s="6">
        <v>10845.0</v>
      </c>
      <c r="B1563" s="7" t="s">
        <v>36</v>
      </c>
      <c r="C1563" s="24" t="str">
        <f>VLOOKUP(revenue[customerID],customers[],2,FALSE)</f>
        <v>QUICK-Stop</v>
      </c>
      <c r="D1563" s="24" t="str">
        <f>VLOOKUP(revenue[customerID],customers[],6,FALSE)</f>
        <v>Cunewalde</v>
      </c>
      <c r="E1563" s="24" t="str">
        <f>VLOOKUP(revenue[customerID],customers[],9,FALSE)</f>
        <v>Germany</v>
      </c>
      <c r="F1563" s="24">
        <v>45312.0</v>
      </c>
      <c r="G1563" s="6">
        <v>23.0</v>
      </c>
      <c r="H1563" s="9" t="str">
        <f>VLOOKUP(revenue[productID],products[],2,FALSE)</f>
        <v>Tunnbröd</v>
      </c>
      <c r="I1563" s="9" t="str">
        <f>VLOOKUP(revenue[productID],products[],12,FALSE)</f>
        <v>Grains/Cereals</v>
      </c>
      <c r="J1563" s="9">
        <f>VLOOKUP(revenue[productID],products[],IF(YEAR(revenue[orderDate])=2022,8,IF(YEAR(revenue[orderDate])=2023,9,IF(YEAR(revenue[orderDate])=2024,10,NA))),FALSE)</f>
        <v>6.224885622</v>
      </c>
      <c r="K1563" s="9">
        <v>9.0</v>
      </c>
      <c r="L1563" s="25">
        <f>(revenue[orderPrice]-revenue[productCost])/revenue[productCost]</f>
        <v>0.4458096979</v>
      </c>
      <c r="M1563" s="10">
        <v>70.0</v>
      </c>
      <c r="N1563" s="25">
        <v>0.1</v>
      </c>
      <c r="O1563" s="9">
        <f>revenue[orderPrice]*revenue[orderQuantity]</f>
        <v>630</v>
      </c>
      <c r="P1563" s="9">
        <f>revenue[orderTotal]*(1-revenue[discountApllied])</f>
        <v>567</v>
      </c>
      <c r="Q1563" s="9">
        <f>revenue[revenue]-(revenue[productCost]*revenue[orderQuantity])</f>
        <v>131.2580065</v>
      </c>
      <c r="R1563" s="25">
        <f>IFERROR(revenue[profit]/revenue[revenue], 0)</f>
        <v>0.2314956023</v>
      </c>
      <c r="S1563" s="9">
        <f>revenue[productCost]*revenue[orderQuantity]</f>
        <v>435.7419935</v>
      </c>
    </row>
    <row r="1564" ht="15.75" customHeight="1">
      <c r="A1564" s="6">
        <v>10845.0</v>
      </c>
      <c r="B1564" s="7" t="s">
        <v>36</v>
      </c>
      <c r="C1564" s="24" t="str">
        <f>VLOOKUP(revenue[customerID],customers[],2,FALSE)</f>
        <v>QUICK-Stop</v>
      </c>
      <c r="D1564" s="24" t="str">
        <f>VLOOKUP(revenue[customerID],customers[],6,FALSE)</f>
        <v>Cunewalde</v>
      </c>
      <c r="E1564" s="24" t="str">
        <f>VLOOKUP(revenue[customerID],customers[],9,FALSE)</f>
        <v>Germany</v>
      </c>
      <c r="F1564" s="24">
        <v>45312.0</v>
      </c>
      <c r="G1564" s="6">
        <v>35.0</v>
      </c>
      <c r="H1564" s="9" t="str">
        <f>VLOOKUP(revenue[productID],products[],2,FALSE)</f>
        <v>Cold Brew Nitro</v>
      </c>
      <c r="I1564" s="9" t="str">
        <f>VLOOKUP(revenue[productID],products[],12,FALSE)</f>
        <v>Beverages</v>
      </c>
      <c r="J1564" s="9">
        <f>VLOOKUP(revenue[productID],products[],IF(YEAR(revenue[orderDate])=2022,8,IF(YEAR(revenue[orderDate])=2023,9,IF(YEAR(revenue[orderDate])=2024,10,NA))),FALSE)</f>
        <v>12.9261692</v>
      </c>
      <c r="K1564" s="9">
        <v>18.0</v>
      </c>
      <c r="L1564" s="25">
        <f>(revenue[orderPrice]-revenue[productCost])/revenue[productCost]</f>
        <v>0.3925239355</v>
      </c>
      <c r="M1564" s="10">
        <v>25.0</v>
      </c>
      <c r="N1564" s="25">
        <v>0.1</v>
      </c>
      <c r="O1564" s="9">
        <f>revenue[orderPrice]*revenue[orderQuantity]</f>
        <v>450</v>
      </c>
      <c r="P1564" s="9">
        <f>revenue[orderTotal]*(1-revenue[discountApllied])</f>
        <v>405</v>
      </c>
      <c r="Q1564" s="9">
        <f>revenue[revenue]-(revenue[productCost]*revenue[orderQuantity])</f>
        <v>81.8457701</v>
      </c>
      <c r="R1564" s="25">
        <f>IFERROR(revenue[profit]/revenue[revenue], 0)</f>
        <v>0.2020883212</v>
      </c>
      <c r="S1564" s="9">
        <f>revenue[productCost]*revenue[orderQuantity]</f>
        <v>323.1542299</v>
      </c>
    </row>
    <row r="1565" ht="15.75" customHeight="1">
      <c r="A1565" s="6">
        <v>10845.0</v>
      </c>
      <c r="B1565" s="7" t="s">
        <v>36</v>
      </c>
      <c r="C1565" s="24" t="str">
        <f>VLOOKUP(revenue[customerID],customers[],2,FALSE)</f>
        <v>QUICK-Stop</v>
      </c>
      <c r="D1565" s="24" t="str">
        <f>VLOOKUP(revenue[customerID],customers[],6,FALSE)</f>
        <v>Cunewalde</v>
      </c>
      <c r="E1565" s="24" t="str">
        <f>VLOOKUP(revenue[customerID],customers[],9,FALSE)</f>
        <v>Germany</v>
      </c>
      <c r="F1565" s="24">
        <v>45312.0</v>
      </c>
      <c r="G1565" s="6">
        <v>42.0</v>
      </c>
      <c r="H1565" s="9" t="str">
        <f>VLOOKUP(revenue[productID],products[],2,FALSE)</f>
        <v>Singaporean Hokkien Fried Mee</v>
      </c>
      <c r="I1565" s="9" t="str">
        <f>VLOOKUP(revenue[productID],products[],12,FALSE)</f>
        <v>Grains/Cereals</v>
      </c>
      <c r="J1565" s="9">
        <f>VLOOKUP(revenue[productID],products[],IF(YEAR(revenue[orderDate])=2022,8,IF(YEAR(revenue[orderDate])=2023,9,IF(YEAR(revenue[orderDate])=2024,10,NA))),FALSE)</f>
        <v>9.64736714</v>
      </c>
      <c r="K1565" s="9">
        <v>14.0</v>
      </c>
      <c r="L1565" s="25">
        <f>(revenue[orderPrice]-revenue[productCost])/revenue[productCost]</f>
        <v>0.4511731333</v>
      </c>
      <c r="M1565" s="10">
        <v>42.0</v>
      </c>
      <c r="N1565" s="25">
        <v>0.1</v>
      </c>
      <c r="O1565" s="9">
        <f>revenue[orderPrice]*revenue[orderQuantity]</f>
        <v>588</v>
      </c>
      <c r="P1565" s="9">
        <f>revenue[orderTotal]*(1-revenue[discountApllied])</f>
        <v>529.2</v>
      </c>
      <c r="Q1565" s="9">
        <f>revenue[revenue]-(revenue[productCost]*revenue[orderQuantity])</f>
        <v>124.0105801</v>
      </c>
      <c r="R1565" s="25">
        <f>IFERROR(revenue[profit]/revenue[revenue], 0)</f>
        <v>0.2343359413</v>
      </c>
      <c r="S1565" s="9">
        <f>revenue[productCost]*revenue[orderQuantity]</f>
        <v>405.1894199</v>
      </c>
    </row>
    <row r="1566" ht="15.75" customHeight="1">
      <c r="A1566" s="6">
        <v>10845.0</v>
      </c>
      <c r="B1566" s="7" t="s">
        <v>36</v>
      </c>
      <c r="C1566" s="24" t="str">
        <f>VLOOKUP(revenue[customerID],customers[],2,FALSE)</f>
        <v>QUICK-Stop</v>
      </c>
      <c r="D1566" s="24" t="str">
        <f>VLOOKUP(revenue[customerID],customers[],6,FALSE)</f>
        <v>Cunewalde</v>
      </c>
      <c r="E1566" s="24" t="str">
        <f>VLOOKUP(revenue[customerID],customers[],9,FALSE)</f>
        <v>Germany</v>
      </c>
      <c r="F1566" s="24">
        <v>45312.0</v>
      </c>
      <c r="G1566" s="6">
        <v>58.0</v>
      </c>
      <c r="H1566" s="9" t="str">
        <f>VLOOKUP(revenue[productID],products[],2,FALSE)</f>
        <v>Escargots de Bourgogne</v>
      </c>
      <c r="I1566" s="9" t="str">
        <f>VLOOKUP(revenue[productID],products[],12,FALSE)</f>
        <v>Seafood</v>
      </c>
      <c r="J1566" s="9">
        <f>VLOOKUP(revenue[productID],products[],IF(YEAR(revenue[orderDate])=2022,8,IF(YEAR(revenue[orderDate])=2023,9,IF(YEAR(revenue[orderDate])=2024,10,NA))),FALSE)</f>
        <v>8.683102193</v>
      </c>
      <c r="K1566" s="9">
        <v>13.25</v>
      </c>
      <c r="L1566" s="25">
        <f>(revenue[orderPrice]-revenue[productCost])/revenue[productCost]</f>
        <v>0.5259523274</v>
      </c>
      <c r="M1566" s="10">
        <v>60.0</v>
      </c>
      <c r="N1566" s="25">
        <v>0.1</v>
      </c>
      <c r="O1566" s="9">
        <f>revenue[orderPrice]*revenue[orderQuantity]</f>
        <v>795</v>
      </c>
      <c r="P1566" s="9">
        <f>revenue[orderTotal]*(1-revenue[discountApllied])</f>
        <v>715.5</v>
      </c>
      <c r="Q1566" s="9">
        <f>revenue[revenue]-(revenue[productCost]*revenue[orderQuantity])</f>
        <v>194.5138684</v>
      </c>
      <c r="R1566" s="25">
        <f>IFERROR(revenue[profit]/revenue[revenue], 0)</f>
        <v>0.2718572585</v>
      </c>
      <c r="S1566" s="9">
        <f>revenue[productCost]*revenue[orderQuantity]</f>
        <v>520.9861316</v>
      </c>
    </row>
    <row r="1567" ht="15.75" customHeight="1">
      <c r="A1567" s="6">
        <v>10845.0</v>
      </c>
      <c r="B1567" s="7" t="s">
        <v>36</v>
      </c>
      <c r="C1567" s="24" t="str">
        <f>VLOOKUP(revenue[customerID],customers[],2,FALSE)</f>
        <v>QUICK-Stop</v>
      </c>
      <c r="D1567" s="24" t="str">
        <f>VLOOKUP(revenue[customerID],customers[],6,FALSE)</f>
        <v>Cunewalde</v>
      </c>
      <c r="E1567" s="24" t="str">
        <f>VLOOKUP(revenue[customerID],customers[],9,FALSE)</f>
        <v>Germany</v>
      </c>
      <c r="F1567" s="24">
        <v>45312.0</v>
      </c>
      <c r="G1567" s="6">
        <v>64.0</v>
      </c>
      <c r="H1567" s="9" t="str">
        <f>VLOOKUP(revenue[productID],products[],2,FALSE)</f>
        <v>Lukas' leckere Sauerteigweggla</v>
      </c>
      <c r="I1567" s="9" t="str">
        <f>VLOOKUP(revenue[productID],products[],12,FALSE)</f>
        <v>Grains/Cereals</v>
      </c>
      <c r="J1567" s="9">
        <f>VLOOKUP(revenue[productID],products[],IF(YEAR(revenue[orderDate])=2022,8,IF(YEAR(revenue[orderDate])=2023,9,IF(YEAR(revenue[orderDate])=2024,10,NA))),FALSE)</f>
        <v>22.72434276</v>
      </c>
      <c r="K1567" s="9">
        <v>33.25</v>
      </c>
      <c r="L1567" s="25">
        <f>(revenue[orderPrice]-revenue[productCost])/revenue[productCost]</f>
        <v>0.4631886324</v>
      </c>
      <c r="M1567" s="10">
        <v>48.0</v>
      </c>
      <c r="N1567" s="25">
        <v>0.0</v>
      </c>
      <c r="O1567" s="9">
        <f>revenue[orderPrice]*revenue[orderQuantity]</f>
        <v>1596</v>
      </c>
      <c r="P1567" s="9">
        <f>revenue[orderTotal]*(1-revenue[discountApllied])</f>
        <v>1596</v>
      </c>
      <c r="Q1567" s="9">
        <f>revenue[revenue]-(revenue[productCost]*revenue[orderQuantity])</f>
        <v>505.2315477</v>
      </c>
      <c r="R1567" s="25">
        <f>IFERROR(revenue[profit]/revenue[revenue], 0)</f>
        <v>0.3165611201</v>
      </c>
      <c r="S1567" s="9">
        <f>revenue[productCost]*revenue[orderQuantity]</f>
        <v>1090.768452</v>
      </c>
    </row>
    <row r="1568" ht="15.75" customHeight="1">
      <c r="A1568" s="6">
        <v>10846.0</v>
      </c>
      <c r="B1568" s="7" t="s">
        <v>19</v>
      </c>
      <c r="C1568" s="24" t="str">
        <f>VLOOKUP(revenue[customerID],customers[],2,FALSE)</f>
        <v>Suprêmes délices</v>
      </c>
      <c r="D1568" s="24" t="str">
        <f>VLOOKUP(revenue[customerID],customers[],6,FALSE)</f>
        <v>Charleroi</v>
      </c>
      <c r="E1568" s="24" t="str">
        <f>VLOOKUP(revenue[customerID],customers[],9,FALSE)</f>
        <v>Belgium</v>
      </c>
      <c r="F1568" s="24">
        <v>45313.0</v>
      </c>
      <c r="G1568" s="6">
        <v>4.0</v>
      </c>
      <c r="H1568" s="9" t="str">
        <f>VLOOKUP(revenue[productID],products[],2,FALSE)</f>
        <v>Chef Anton's Cajun Seasoning</v>
      </c>
      <c r="I1568" s="9" t="str">
        <f>VLOOKUP(revenue[productID],products[],12,FALSE)</f>
        <v>Condiments</v>
      </c>
      <c r="J1568" s="9">
        <f>VLOOKUP(revenue[productID],products[],IF(YEAR(revenue[orderDate])=2022,8,IF(YEAR(revenue[orderDate])=2023,9,IF(YEAR(revenue[orderDate])=2024,10,NA))),FALSE)</f>
        <v>14.37280157</v>
      </c>
      <c r="K1568" s="9">
        <v>22.0</v>
      </c>
      <c r="L1568" s="25">
        <f>(revenue[orderPrice]-revenue[productCost])/revenue[productCost]</f>
        <v>0.5306688748</v>
      </c>
      <c r="M1568" s="10">
        <v>21.0</v>
      </c>
      <c r="N1568" s="25">
        <v>0.0</v>
      </c>
      <c r="O1568" s="9">
        <f>revenue[orderPrice]*revenue[orderQuantity]</f>
        <v>462</v>
      </c>
      <c r="P1568" s="9">
        <f>revenue[orderTotal]*(1-revenue[discountApllied])</f>
        <v>462</v>
      </c>
      <c r="Q1568" s="9">
        <f>revenue[revenue]-(revenue[productCost]*revenue[orderQuantity])</f>
        <v>160.1711671</v>
      </c>
      <c r="R1568" s="25">
        <f>IFERROR(revenue[profit]/revenue[revenue], 0)</f>
        <v>0.346690838</v>
      </c>
      <c r="S1568" s="9">
        <f>revenue[productCost]*revenue[orderQuantity]</f>
        <v>301.8288329</v>
      </c>
    </row>
    <row r="1569" ht="15.75" customHeight="1">
      <c r="A1569" s="6">
        <v>10846.0</v>
      </c>
      <c r="B1569" s="7" t="s">
        <v>19</v>
      </c>
      <c r="C1569" s="24" t="str">
        <f>VLOOKUP(revenue[customerID],customers[],2,FALSE)</f>
        <v>Suprêmes délices</v>
      </c>
      <c r="D1569" s="24" t="str">
        <f>VLOOKUP(revenue[customerID],customers[],6,FALSE)</f>
        <v>Charleroi</v>
      </c>
      <c r="E1569" s="24" t="str">
        <f>VLOOKUP(revenue[customerID],customers[],9,FALSE)</f>
        <v>Belgium</v>
      </c>
      <c r="F1569" s="24">
        <v>45313.0</v>
      </c>
      <c r="G1569" s="6">
        <v>70.0</v>
      </c>
      <c r="H1569" s="9" t="str">
        <f>VLOOKUP(revenue[productID],products[],2,FALSE)</f>
        <v>Outback Lager</v>
      </c>
      <c r="I1569" s="9" t="str">
        <f>VLOOKUP(revenue[productID],products[],12,FALSE)</f>
        <v>Beverages</v>
      </c>
      <c r="J1569" s="9">
        <f>VLOOKUP(revenue[productID],products[],IF(YEAR(revenue[orderDate])=2022,8,IF(YEAR(revenue[orderDate])=2023,9,IF(YEAR(revenue[orderDate])=2024,10,NA))),FALSE)</f>
        <v>10.03280812</v>
      </c>
      <c r="K1569" s="9">
        <v>15.0</v>
      </c>
      <c r="L1569" s="25">
        <f>(revenue[orderPrice]-revenue[productCost])/revenue[productCost]</f>
        <v>0.4950948747</v>
      </c>
      <c r="M1569" s="10">
        <v>30.0</v>
      </c>
      <c r="N1569" s="25">
        <v>0.0</v>
      </c>
      <c r="O1569" s="9">
        <f>revenue[orderPrice]*revenue[orderQuantity]</f>
        <v>450</v>
      </c>
      <c r="P1569" s="9">
        <f>revenue[orderTotal]*(1-revenue[discountApllied])</f>
        <v>450</v>
      </c>
      <c r="Q1569" s="9">
        <f>revenue[revenue]-(revenue[productCost]*revenue[orderQuantity])</f>
        <v>149.0157564</v>
      </c>
      <c r="R1569" s="25">
        <f>IFERROR(revenue[profit]/revenue[revenue], 0)</f>
        <v>0.3311461253</v>
      </c>
      <c r="S1569" s="9">
        <f>revenue[productCost]*revenue[orderQuantity]</f>
        <v>300.9842436</v>
      </c>
    </row>
    <row r="1570" ht="15.75" customHeight="1">
      <c r="A1570" s="6">
        <v>10846.0</v>
      </c>
      <c r="B1570" s="7" t="s">
        <v>19</v>
      </c>
      <c r="C1570" s="24" t="str">
        <f>VLOOKUP(revenue[customerID],customers[],2,FALSE)</f>
        <v>Suprêmes délices</v>
      </c>
      <c r="D1570" s="24" t="str">
        <f>VLOOKUP(revenue[customerID],customers[],6,FALSE)</f>
        <v>Charleroi</v>
      </c>
      <c r="E1570" s="24" t="str">
        <f>VLOOKUP(revenue[customerID],customers[],9,FALSE)</f>
        <v>Belgium</v>
      </c>
      <c r="F1570" s="24">
        <v>45313.0</v>
      </c>
      <c r="G1570" s="6">
        <v>74.0</v>
      </c>
      <c r="H1570" s="9" t="str">
        <f>VLOOKUP(revenue[productID],products[],2,FALSE)</f>
        <v>Longlife Tofu</v>
      </c>
      <c r="I1570" s="9" t="str">
        <f>VLOOKUP(revenue[productID],products[],12,FALSE)</f>
        <v>Produce</v>
      </c>
      <c r="J1570" s="9">
        <f>VLOOKUP(revenue[productID],products[],IF(YEAR(revenue[orderDate])=2022,8,IF(YEAR(revenue[orderDate])=2023,9,IF(YEAR(revenue[orderDate])=2024,10,NA))),FALSE)</f>
        <v>7.717719033</v>
      </c>
      <c r="K1570" s="9">
        <v>10.0</v>
      </c>
      <c r="L1570" s="25">
        <f>(revenue[orderPrice]-revenue[productCost])/revenue[productCost]</f>
        <v>0.2957196235</v>
      </c>
      <c r="M1570" s="10">
        <v>20.0</v>
      </c>
      <c r="N1570" s="25">
        <v>0.0</v>
      </c>
      <c r="O1570" s="9">
        <f>revenue[orderPrice]*revenue[orderQuantity]</f>
        <v>200</v>
      </c>
      <c r="P1570" s="9">
        <f>revenue[orderTotal]*(1-revenue[discountApllied])</f>
        <v>200</v>
      </c>
      <c r="Q1570" s="9">
        <f>revenue[revenue]-(revenue[productCost]*revenue[orderQuantity])</f>
        <v>45.64561934</v>
      </c>
      <c r="R1570" s="25">
        <f>IFERROR(revenue[profit]/revenue[revenue], 0)</f>
        <v>0.2282280967</v>
      </c>
      <c r="S1570" s="9">
        <f>revenue[productCost]*revenue[orderQuantity]</f>
        <v>154.3543807</v>
      </c>
    </row>
    <row r="1571" ht="15.75" customHeight="1">
      <c r="A1571" s="6">
        <v>10847.0</v>
      </c>
      <c r="B1571" s="7" t="s">
        <v>60</v>
      </c>
      <c r="C1571" s="24" t="str">
        <f>VLOOKUP(revenue[customerID],customers[],2,FALSE)</f>
        <v>Save-a-lot Markets</v>
      </c>
      <c r="D1571" s="24" t="str">
        <f>VLOOKUP(revenue[customerID],customers[],6,FALSE)</f>
        <v>Boise</v>
      </c>
      <c r="E1571" s="24" t="str">
        <f>VLOOKUP(revenue[customerID],customers[],9,FALSE)</f>
        <v>USA</v>
      </c>
      <c r="F1571" s="24">
        <v>45313.0</v>
      </c>
      <c r="G1571" s="6">
        <v>1.0</v>
      </c>
      <c r="H1571" s="9" t="str">
        <f>VLOOKUP(revenue[productID],products[],2,FALSE)</f>
        <v>Chai</v>
      </c>
      <c r="I1571" s="9" t="str">
        <f>VLOOKUP(revenue[productID],products[],12,FALSE)</f>
        <v>Beverages</v>
      </c>
      <c r="J1571" s="9">
        <f>VLOOKUP(revenue[productID],products[],IF(YEAR(revenue[orderDate])=2022,8,IF(YEAR(revenue[orderDate])=2023,9,IF(YEAR(revenue[orderDate])=2024,10,NA))),FALSE)</f>
        <v>12.17757454</v>
      </c>
      <c r="K1571" s="9">
        <v>18.0</v>
      </c>
      <c r="L1571" s="25">
        <f>(revenue[orderPrice]-revenue[productCost])/revenue[productCost]</f>
        <v>0.4781268584</v>
      </c>
      <c r="M1571" s="10">
        <v>80.0</v>
      </c>
      <c r="N1571" s="25">
        <v>0.2</v>
      </c>
      <c r="O1571" s="9">
        <f>revenue[orderPrice]*revenue[orderQuantity]</f>
        <v>1440</v>
      </c>
      <c r="P1571" s="9">
        <f>revenue[orderTotal]*(1-revenue[discountApllied])</f>
        <v>1152</v>
      </c>
      <c r="Q1571" s="9">
        <f>revenue[revenue]-(revenue[productCost]*revenue[orderQuantity])</f>
        <v>177.7940367</v>
      </c>
      <c r="R1571" s="25">
        <f>IFERROR(revenue[profit]/revenue[revenue], 0)</f>
        <v>0.1543351013</v>
      </c>
      <c r="S1571" s="9">
        <f>revenue[productCost]*revenue[orderQuantity]</f>
        <v>974.2059633</v>
      </c>
    </row>
    <row r="1572" ht="15.75" customHeight="1">
      <c r="A1572" s="6">
        <v>10847.0</v>
      </c>
      <c r="B1572" s="7" t="s">
        <v>60</v>
      </c>
      <c r="C1572" s="24" t="str">
        <f>VLOOKUP(revenue[customerID],customers[],2,FALSE)</f>
        <v>Save-a-lot Markets</v>
      </c>
      <c r="D1572" s="24" t="str">
        <f>VLOOKUP(revenue[customerID],customers[],6,FALSE)</f>
        <v>Boise</v>
      </c>
      <c r="E1572" s="24" t="str">
        <f>VLOOKUP(revenue[customerID],customers[],9,FALSE)</f>
        <v>USA</v>
      </c>
      <c r="F1572" s="24">
        <v>45313.0</v>
      </c>
      <c r="G1572" s="6">
        <v>19.0</v>
      </c>
      <c r="H1572" s="9" t="str">
        <f>VLOOKUP(revenue[productID],products[],2,FALSE)</f>
        <v>Teatime Chocolate Biscuits</v>
      </c>
      <c r="I1572" s="9" t="str">
        <f>VLOOKUP(revenue[productID],products[],12,FALSE)</f>
        <v>Confections</v>
      </c>
      <c r="J1572" s="9">
        <f>VLOOKUP(revenue[productID],products[],IF(YEAR(revenue[orderDate])=2022,8,IF(YEAR(revenue[orderDate])=2023,9,IF(YEAR(revenue[orderDate])=2024,10,NA))),FALSE)</f>
        <v>6.769656984</v>
      </c>
      <c r="K1572" s="9">
        <v>9.2</v>
      </c>
      <c r="L1572" s="25">
        <f>(revenue[orderPrice]-revenue[productCost])/revenue[productCost]</f>
        <v>0.3590053413</v>
      </c>
      <c r="M1572" s="10">
        <v>12.0</v>
      </c>
      <c r="N1572" s="25">
        <v>0.2</v>
      </c>
      <c r="O1572" s="9">
        <f>revenue[orderPrice]*revenue[orderQuantity]</f>
        <v>110.4</v>
      </c>
      <c r="P1572" s="9">
        <f>revenue[orderTotal]*(1-revenue[discountApllied])</f>
        <v>88.32</v>
      </c>
      <c r="Q1572" s="9">
        <f>revenue[revenue]-(revenue[productCost]*revenue[orderQuantity])</f>
        <v>7.084116192</v>
      </c>
      <c r="R1572" s="25">
        <f>IFERROR(revenue[profit]/revenue[revenue], 0)</f>
        <v>0.08020964891</v>
      </c>
      <c r="S1572" s="9">
        <f>revenue[productCost]*revenue[orderQuantity]</f>
        <v>81.23588381</v>
      </c>
    </row>
    <row r="1573" ht="15.75" customHeight="1">
      <c r="A1573" s="6">
        <v>10847.0</v>
      </c>
      <c r="B1573" s="7" t="s">
        <v>60</v>
      </c>
      <c r="C1573" s="24" t="str">
        <f>VLOOKUP(revenue[customerID],customers[],2,FALSE)</f>
        <v>Save-a-lot Markets</v>
      </c>
      <c r="D1573" s="24" t="str">
        <f>VLOOKUP(revenue[customerID],customers[],6,FALSE)</f>
        <v>Boise</v>
      </c>
      <c r="E1573" s="24" t="str">
        <f>VLOOKUP(revenue[customerID],customers[],9,FALSE)</f>
        <v>USA</v>
      </c>
      <c r="F1573" s="24">
        <v>45313.0</v>
      </c>
      <c r="G1573" s="6">
        <v>37.0</v>
      </c>
      <c r="H1573" s="9" t="str">
        <f>VLOOKUP(revenue[productID],products[],2,FALSE)</f>
        <v>Gravad lax</v>
      </c>
      <c r="I1573" s="9" t="str">
        <f>VLOOKUP(revenue[productID],products[],12,FALSE)</f>
        <v>Seafood</v>
      </c>
      <c r="J1573" s="9">
        <f>VLOOKUP(revenue[productID],products[],IF(YEAR(revenue[orderDate])=2022,8,IF(YEAR(revenue[orderDate])=2023,9,IF(YEAR(revenue[orderDate])=2024,10,NA))),FALSE)</f>
        <v>16.5764923</v>
      </c>
      <c r="K1573" s="9">
        <v>26.0</v>
      </c>
      <c r="L1573" s="25">
        <f>(revenue[orderPrice]-revenue[productCost])/revenue[productCost]</f>
        <v>0.5684862348</v>
      </c>
      <c r="M1573" s="10">
        <v>60.0</v>
      </c>
      <c r="N1573" s="25">
        <v>0.2</v>
      </c>
      <c r="O1573" s="9">
        <f>revenue[orderPrice]*revenue[orderQuantity]</f>
        <v>1560</v>
      </c>
      <c r="P1573" s="9">
        <f>revenue[orderTotal]*(1-revenue[discountApllied])</f>
        <v>1248</v>
      </c>
      <c r="Q1573" s="9">
        <f>revenue[revenue]-(revenue[productCost]*revenue[orderQuantity])</f>
        <v>253.4104618</v>
      </c>
      <c r="R1573" s="25">
        <f>IFERROR(revenue[profit]/revenue[revenue], 0)</f>
        <v>0.2030532546</v>
      </c>
      <c r="S1573" s="9">
        <f>revenue[productCost]*revenue[orderQuantity]</f>
        <v>994.5895382</v>
      </c>
    </row>
    <row r="1574" ht="15.75" customHeight="1">
      <c r="A1574" s="6">
        <v>10847.0</v>
      </c>
      <c r="B1574" s="7" t="s">
        <v>60</v>
      </c>
      <c r="C1574" s="24" t="str">
        <f>VLOOKUP(revenue[customerID],customers[],2,FALSE)</f>
        <v>Save-a-lot Markets</v>
      </c>
      <c r="D1574" s="24" t="str">
        <f>VLOOKUP(revenue[customerID],customers[],6,FALSE)</f>
        <v>Boise</v>
      </c>
      <c r="E1574" s="24" t="str">
        <f>VLOOKUP(revenue[customerID],customers[],9,FALSE)</f>
        <v>USA</v>
      </c>
      <c r="F1574" s="24">
        <v>45313.0</v>
      </c>
      <c r="G1574" s="6">
        <v>45.0</v>
      </c>
      <c r="H1574" s="9" t="str">
        <f>VLOOKUP(revenue[productID],products[],2,FALSE)</f>
        <v>Rogede sild</v>
      </c>
      <c r="I1574" s="9" t="str">
        <f>VLOOKUP(revenue[productID],products[],12,FALSE)</f>
        <v>Seafood</v>
      </c>
      <c r="J1574" s="9">
        <f>VLOOKUP(revenue[productID],products[],IF(YEAR(revenue[orderDate])=2022,8,IF(YEAR(revenue[orderDate])=2023,9,IF(YEAR(revenue[orderDate])=2024,10,NA))),FALSE)</f>
        <v>6.510592171</v>
      </c>
      <c r="K1574" s="9">
        <v>9.5</v>
      </c>
      <c r="L1574" s="25">
        <f>(revenue[orderPrice]-revenue[productCost])/revenue[productCost]</f>
        <v>0.4591606648</v>
      </c>
      <c r="M1574" s="10">
        <v>36.0</v>
      </c>
      <c r="N1574" s="25">
        <v>0.2</v>
      </c>
      <c r="O1574" s="9">
        <f>revenue[orderPrice]*revenue[orderQuantity]</f>
        <v>342</v>
      </c>
      <c r="P1574" s="9">
        <f>revenue[orderTotal]*(1-revenue[discountApllied])</f>
        <v>273.6</v>
      </c>
      <c r="Q1574" s="9">
        <f>revenue[revenue]-(revenue[productCost]*revenue[orderQuantity])</f>
        <v>39.21868185</v>
      </c>
      <c r="R1574" s="25">
        <f>IFERROR(revenue[profit]/revenue[revenue], 0)</f>
        <v>0.1433431354</v>
      </c>
      <c r="S1574" s="9">
        <f>revenue[productCost]*revenue[orderQuantity]</f>
        <v>234.3813181</v>
      </c>
    </row>
    <row r="1575" ht="15.75" customHeight="1">
      <c r="A1575" s="6">
        <v>10847.0</v>
      </c>
      <c r="B1575" s="7" t="s">
        <v>60</v>
      </c>
      <c r="C1575" s="24" t="str">
        <f>VLOOKUP(revenue[customerID],customers[],2,FALSE)</f>
        <v>Save-a-lot Markets</v>
      </c>
      <c r="D1575" s="24" t="str">
        <f>VLOOKUP(revenue[customerID],customers[],6,FALSE)</f>
        <v>Boise</v>
      </c>
      <c r="E1575" s="24" t="str">
        <f>VLOOKUP(revenue[customerID],customers[],9,FALSE)</f>
        <v>USA</v>
      </c>
      <c r="F1575" s="24">
        <v>45313.0</v>
      </c>
      <c r="G1575" s="6">
        <v>60.0</v>
      </c>
      <c r="H1575" s="9" t="str">
        <f>VLOOKUP(revenue[productID],products[],2,FALSE)</f>
        <v>Camembert Pierrot</v>
      </c>
      <c r="I1575" s="9" t="str">
        <f>VLOOKUP(revenue[productID],products[],12,FALSE)</f>
        <v>Dairy Products</v>
      </c>
      <c r="J1575" s="9">
        <f>VLOOKUP(revenue[productID],products[],IF(YEAR(revenue[orderDate])=2022,8,IF(YEAR(revenue[orderDate])=2023,9,IF(YEAR(revenue[orderDate])=2024,10,NA))),FALSE)</f>
        <v>22.49091154</v>
      </c>
      <c r="K1575" s="9">
        <v>34.0</v>
      </c>
      <c r="L1575" s="25">
        <f>(revenue[orderPrice]-revenue[productCost])/revenue[productCost]</f>
        <v>0.5117217431</v>
      </c>
      <c r="M1575" s="10">
        <v>45.0</v>
      </c>
      <c r="N1575" s="25">
        <v>0.2</v>
      </c>
      <c r="O1575" s="9">
        <f>revenue[orderPrice]*revenue[orderQuantity]</f>
        <v>1530</v>
      </c>
      <c r="P1575" s="9">
        <f>revenue[orderTotal]*(1-revenue[discountApllied])</f>
        <v>1224</v>
      </c>
      <c r="Q1575" s="9">
        <f>revenue[revenue]-(revenue[productCost]*revenue[orderQuantity])</f>
        <v>211.9089806</v>
      </c>
      <c r="R1575" s="25">
        <f>IFERROR(revenue[profit]/revenue[revenue], 0)</f>
        <v>0.1731282521</v>
      </c>
      <c r="S1575" s="9">
        <f>revenue[productCost]*revenue[orderQuantity]</f>
        <v>1012.091019</v>
      </c>
    </row>
    <row r="1576" ht="15.75" customHeight="1">
      <c r="A1576" s="6">
        <v>10847.0</v>
      </c>
      <c r="B1576" s="7" t="s">
        <v>60</v>
      </c>
      <c r="C1576" s="24" t="str">
        <f>VLOOKUP(revenue[customerID],customers[],2,FALSE)</f>
        <v>Save-a-lot Markets</v>
      </c>
      <c r="D1576" s="24" t="str">
        <f>VLOOKUP(revenue[customerID],customers[],6,FALSE)</f>
        <v>Boise</v>
      </c>
      <c r="E1576" s="24" t="str">
        <f>VLOOKUP(revenue[customerID],customers[],9,FALSE)</f>
        <v>USA</v>
      </c>
      <c r="F1576" s="24">
        <v>45313.0</v>
      </c>
      <c r="G1576" s="6">
        <v>71.0</v>
      </c>
      <c r="H1576" s="9" t="str">
        <f>VLOOKUP(revenue[productID],products[],2,FALSE)</f>
        <v>Flotemysost</v>
      </c>
      <c r="I1576" s="9" t="str">
        <f>VLOOKUP(revenue[productID],products[],12,FALSE)</f>
        <v>Dairy Products</v>
      </c>
      <c r="J1576" s="9">
        <f>VLOOKUP(revenue[productID],products[],IF(YEAR(revenue[orderDate])=2022,8,IF(YEAR(revenue[orderDate])=2023,9,IF(YEAR(revenue[orderDate])=2024,10,NA))),FALSE)</f>
        <v>14.20977576</v>
      </c>
      <c r="K1576" s="9">
        <v>21.5</v>
      </c>
      <c r="L1576" s="25">
        <f>(revenue[orderPrice]-revenue[productCost])/revenue[productCost]</f>
        <v>0.5130428769</v>
      </c>
      <c r="M1576" s="10">
        <v>55.0</v>
      </c>
      <c r="N1576" s="25">
        <v>0.2</v>
      </c>
      <c r="O1576" s="9">
        <f>revenue[orderPrice]*revenue[orderQuantity]</f>
        <v>1182.5</v>
      </c>
      <c r="P1576" s="9">
        <f>revenue[orderTotal]*(1-revenue[discountApllied])</f>
        <v>946</v>
      </c>
      <c r="Q1576" s="9">
        <f>revenue[revenue]-(revenue[productCost]*revenue[orderQuantity])</f>
        <v>164.4623331</v>
      </c>
      <c r="R1576" s="25">
        <f>IFERROR(revenue[profit]/revenue[revenue], 0)</f>
        <v>0.1738502464</v>
      </c>
      <c r="S1576" s="9">
        <f>revenue[productCost]*revenue[orderQuantity]</f>
        <v>781.5376669</v>
      </c>
    </row>
    <row r="1577" ht="15.75" customHeight="1">
      <c r="A1577" s="6">
        <v>10848.0</v>
      </c>
      <c r="B1577" s="7" t="s">
        <v>87</v>
      </c>
      <c r="C1577" s="24" t="str">
        <f>VLOOKUP(revenue[customerID],customers[],2,FALSE)</f>
        <v>Consolidated Holdings</v>
      </c>
      <c r="D1577" s="24" t="str">
        <f>VLOOKUP(revenue[customerID],customers[],6,FALSE)</f>
        <v>London</v>
      </c>
      <c r="E1577" s="24" t="str">
        <f>VLOOKUP(revenue[customerID],customers[],9,FALSE)</f>
        <v>UK</v>
      </c>
      <c r="F1577" s="24">
        <v>45314.0</v>
      </c>
      <c r="G1577" s="6">
        <v>5.0</v>
      </c>
      <c r="H1577" s="9" t="str">
        <f>VLOOKUP(revenue[productID],products[],2,FALSE)</f>
        <v>Chef Anton's Gumbo Mix</v>
      </c>
      <c r="I1577" s="9" t="str">
        <f>VLOOKUP(revenue[productID],products[],12,FALSE)</f>
        <v>Condiments</v>
      </c>
      <c r="J1577" s="9">
        <f>VLOOKUP(revenue[productID],products[],IF(YEAR(revenue[orderDate])=2022,8,IF(YEAR(revenue[orderDate])=2023,9,IF(YEAR(revenue[orderDate])=2024,10,NA))),FALSE)</f>
        <v>13.96337378</v>
      </c>
      <c r="K1577" s="9">
        <v>21.35</v>
      </c>
      <c r="L1577" s="25">
        <f>(revenue[orderPrice]-revenue[productCost])/revenue[productCost]</f>
        <v>0.5290001069</v>
      </c>
      <c r="M1577" s="10">
        <v>30.0</v>
      </c>
      <c r="N1577" s="25">
        <v>0.0</v>
      </c>
      <c r="O1577" s="9">
        <f>revenue[orderPrice]*revenue[orderQuantity]</f>
        <v>640.5</v>
      </c>
      <c r="P1577" s="9">
        <f>revenue[orderTotal]*(1-revenue[discountApllied])</f>
        <v>640.5</v>
      </c>
      <c r="Q1577" s="9">
        <f>revenue[revenue]-(revenue[productCost]*revenue[orderQuantity])</f>
        <v>221.5987867</v>
      </c>
      <c r="R1577" s="25">
        <f>IFERROR(revenue[profit]/revenue[revenue], 0)</f>
        <v>0.345977809</v>
      </c>
      <c r="S1577" s="9">
        <f>revenue[productCost]*revenue[orderQuantity]</f>
        <v>418.9012133</v>
      </c>
    </row>
    <row r="1578" ht="15.75" customHeight="1">
      <c r="A1578" s="6">
        <v>10848.0</v>
      </c>
      <c r="B1578" s="7" t="s">
        <v>87</v>
      </c>
      <c r="C1578" s="24" t="str">
        <f>VLOOKUP(revenue[customerID],customers[],2,FALSE)</f>
        <v>Consolidated Holdings</v>
      </c>
      <c r="D1578" s="24" t="str">
        <f>VLOOKUP(revenue[customerID],customers[],6,FALSE)</f>
        <v>London</v>
      </c>
      <c r="E1578" s="24" t="str">
        <f>VLOOKUP(revenue[customerID],customers[],9,FALSE)</f>
        <v>UK</v>
      </c>
      <c r="F1578" s="24">
        <v>45314.0</v>
      </c>
      <c r="G1578" s="6">
        <v>9.0</v>
      </c>
      <c r="H1578" s="9" t="str">
        <f>VLOOKUP(revenue[productID],products[],2,FALSE)</f>
        <v>Mishi Kobe Niku</v>
      </c>
      <c r="I1578" s="9" t="str">
        <f>VLOOKUP(revenue[productID],products[],12,FALSE)</f>
        <v>Meat/Poultry</v>
      </c>
      <c r="J1578" s="9">
        <f>VLOOKUP(revenue[productID],products[],IF(YEAR(revenue[orderDate])=2022,8,IF(YEAR(revenue[orderDate])=2023,9,IF(YEAR(revenue[orderDate])=2024,10,NA))),FALSE)</f>
        <v>72.66863294</v>
      </c>
      <c r="K1578" s="9">
        <v>97.0</v>
      </c>
      <c r="L1578" s="25">
        <f>(revenue[orderPrice]-revenue[productCost])/revenue[productCost]</f>
        <v>0.3348262665</v>
      </c>
      <c r="M1578" s="10">
        <v>3.0</v>
      </c>
      <c r="N1578" s="25">
        <v>0.0</v>
      </c>
      <c r="O1578" s="9">
        <f>revenue[orderPrice]*revenue[orderQuantity]</f>
        <v>291</v>
      </c>
      <c r="P1578" s="9">
        <f>revenue[orderTotal]*(1-revenue[discountApllied])</f>
        <v>291</v>
      </c>
      <c r="Q1578" s="9">
        <f>revenue[revenue]-(revenue[productCost]*revenue[orderQuantity])</f>
        <v>72.99410117</v>
      </c>
      <c r="R1578" s="25">
        <f>IFERROR(revenue[profit]/revenue[revenue], 0)</f>
        <v>0.2508388356</v>
      </c>
      <c r="S1578" s="9">
        <f>revenue[productCost]*revenue[orderQuantity]</f>
        <v>218.0058988</v>
      </c>
    </row>
    <row r="1579" ht="15.75" customHeight="1">
      <c r="A1579" s="6">
        <v>10849.0</v>
      </c>
      <c r="B1579" s="7" t="s">
        <v>59</v>
      </c>
      <c r="C1579" s="24" t="str">
        <f>VLOOKUP(revenue[customerID],customers[],2,FALSE)</f>
        <v>Königlich Essen</v>
      </c>
      <c r="D1579" s="24" t="str">
        <f>VLOOKUP(revenue[customerID],customers[],6,FALSE)</f>
        <v>Brandenburg</v>
      </c>
      <c r="E1579" s="24" t="str">
        <f>VLOOKUP(revenue[customerID],customers[],9,FALSE)</f>
        <v>Germany</v>
      </c>
      <c r="F1579" s="24">
        <v>45314.0</v>
      </c>
      <c r="G1579" s="6">
        <v>3.0</v>
      </c>
      <c r="H1579" s="9" t="str">
        <f>VLOOKUP(revenue[productID],products[],2,FALSE)</f>
        <v>Aniseed Syrup</v>
      </c>
      <c r="I1579" s="9" t="str">
        <f>VLOOKUP(revenue[productID],products[],12,FALSE)</f>
        <v>Condiments</v>
      </c>
      <c r="J1579" s="9">
        <f>VLOOKUP(revenue[productID],products[],IF(YEAR(revenue[orderDate])=2022,8,IF(YEAR(revenue[orderDate])=2023,9,IF(YEAR(revenue[orderDate])=2024,10,NA))),FALSE)</f>
        <v>7.205917693</v>
      </c>
      <c r="K1579" s="9">
        <v>10.0</v>
      </c>
      <c r="L1579" s="25">
        <f>(revenue[orderPrice]-revenue[productCost])/revenue[productCost]</f>
        <v>0.3877482961</v>
      </c>
      <c r="M1579" s="10">
        <v>49.0</v>
      </c>
      <c r="N1579" s="25">
        <v>0.0</v>
      </c>
      <c r="O1579" s="9">
        <f>revenue[orderPrice]*revenue[orderQuantity]</f>
        <v>490</v>
      </c>
      <c r="P1579" s="9">
        <f>revenue[orderTotal]*(1-revenue[discountApllied])</f>
        <v>490</v>
      </c>
      <c r="Q1579" s="9">
        <f>revenue[revenue]-(revenue[productCost]*revenue[orderQuantity])</f>
        <v>136.910033</v>
      </c>
      <c r="R1579" s="25">
        <f>IFERROR(revenue[profit]/revenue[revenue], 0)</f>
        <v>0.2794082307</v>
      </c>
      <c r="S1579" s="9">
        <f>revenue[productCost]*revenue[orderQuantity]</f>
        <v>353.089967</v>
      </c>
    </row>
    <row r="1580" ht="15.75" customHeight="1">
      <c r="A1580" s="6">
        <v>10849.0</v>
      </c>
      <c r="B1580" s="7" t="s">
        <v>59</v>
      </c>
      <c r="C1580" s="24" t="str">
        <f>VLOOKUP(revenue[customerID],customers[],2,FALSE)</f>
        <v>Königlich Essen</v>
      </c>
      <c r="D1580" s="24" t="str">
        <f>VLOOKUP(revenue[customerID],customers[],6,FALSE)</f>
        <v>Brandenburg</v>
      </c>
      <c r="E1580" s="24" t="str">
        <f>VLOOKUP(revenue[customerID],customers[],9,FALSE)</f>
        <v>Germany</v>
      </c>
      <c r="F1580" s="24">
        <v>45314.0</v>
      </c>
      <c r="G1580" s="6">
        <v>26.0</v>
      </c>
      <c r="H1580" s="9" t="str">
        <f>VLOOKUP(revenue[productID],products[],2,FALSE)</f>
        <v>NuNuCa Nuß-Nougat-Creme</v>
      </c>
      <c r="I1580" s="9" t="str">
        <f>VLOOKUP(revenue[productID],products[],12,FALSE)</f>
        <v>Confections</v>
      </c>
      <c r="J1580" s="9">
        <f>VLOOKUP(revenue[productID],products[],IF(YEAR(revenue[orderDate])=2022,8,IF(YEAR(revenue[orderDate])=2023,9,IF(YEAR(revenue[orderDate])=2024,10,NA))),FALSE)</f>
        <v>22.79977195</v>
      </c>
      <c r="K1580" s="9">
        <v>31.23</v>
      </c>
      <c r="L1580" s="25">
        <f>(revenue[orderPrice]-revenue[productCost])/revenue[productCost]</f>
        <v>0.3697505427</v>
      </c>
      <c r="M1580" s="10">
        <v>18.0</v>
      </c>
      <c r="N1580" s="25">
        <v>0.15</v>
      </c>
      <c r="O1580" s="9">
        <f>revenue[orderPrice]*revenue[orderQuantity]</f>
        <v>562.14</v>
      </c>
      <c r="P1580" s="9">
        <f>revenue[orderTotal]*(1-revenue[discountApllied])</f>
        <v>477.819</v>
      </c>
      <c r="Q1580" s="9">
        <f>revenue[revenue]-(revenue[productCost]*revenue[orderQuantity])</f>
        <v>67.42310494</v>
      </c>
      <c r="R1580" s="25">
        <f>IFERROR(revenue[profit]/revenue[revenue], 0)</f>
        <v>0.1411059521</v>
      </c>
      <c r="S1580" s="9">
        <f>revenue[productCost]*revenue[orderQuantity]</f>
        <v>410.3958951</v>
      </c>
    </row>
    <row r="1581" ht="15.75" customHeight="1">
      <c r="A1581" s="6">
        <v>10850.0</v>
      </c>
      <c r="B1581" s="7" t="s">
        <v>18</v>
      </c>
      <c r="C1581" s="24" t="str">
        <f>VLOOKUP(revenue[customerID],customers[],2,FALSE)</f>
        <v>Victuailles en stock</v>
      </c>
      <c r="D1581" s="24" t="str">
        <f>VLOOKUP(revenue[customerID],customers[],6,FALSE)</f>
        <v>Lyon</v>
      </c>
      <c r="E1581" s="24" t="str">
        <f>VLOOKUP(revenue[customerID],customers[],9,FALSE)</f>
        <v>France</v>
      </c>
      <c r="F1581" s="24">
        <v>45314.0</v>
      </c>
      <c r="G1581" s="6">
        <v>25.0</v>
      </c>
      <c r="H1581" s="9" t="str">
        <f>VLOOKUP(revenue[productID],products[],2,FALSE)</f>
        <v>HM Köstliche Kaiserschmarrn Knödelchen</v>
      </c>
      <c r="I1581" s="9" t="str">
        <f>VLOOKUP(revenue[productID],products[],12,FALSE)</f>
        <v>Confections</v>
      </c>
      <c r="J1581" s="9">
        <f>VLOOKUP(revenue[productID],products[],IF(YEAR(revenue[orderDate])=2022,8,IF(YEAR(revenue[orderDate])=2023,9,IF(YEAR(revenue[orderDate])=2024,10,NA))),FALSE)</f>
        <v>8.782270815</v>
      </c>
      <c r="K1581" s="9">
        <v>14.0</v>
      </c>
      <c r="L1581" s="25">
        <f>(revenue[orderPrice]-revenue[productCost])/revenue[productCost]</f>
        <v>0.5941207342</v>
      </c>
      <c r="M1581" s="10">
        <v>20.0</v>
      </c>
      <c r="N1581" s="25">
        <v>0.15</v>
      </c>
      <c r="O1581" s="9">
        <f>revenue[orderPrice]*revenue[orderQuantity]</f>
        <v>280</v>
      </c>
      <c r="P1581" s="9">
        <f>revenue[orderTotal]*(1-revenue[discountApllied])</f>
        <v>238</v>
      </c>
      <c r="Q1581" s="9">
        <f>revenue[revenue]-(revenue[productCost]*revenue[orderQuantity])</f>
        <v>62.3545837</v>
      </c>
      <c r="R1581" s="25">
        <f>IFERROR(revenue[profit]/revenue[revenue], 0)</f>
        <v>0.2619940492</v>
      </c>
      <c r="S1581" s="9">
        <f>revenue[productCost]*revenue[orderQuantity]</f>
        <v>175.6454163</v>
      </c>
    </row>
    <row r="1582" ht="15.75" customHeight="1">
      <c r="A1582" s="6">
        <v>10850.0</v>
      </c>
      <c r="B1582" s="7" t="s">
        <v>18</v>
      </c>
      <c r="C1582" s="24" t="str">
        <f>VLOOKUP(revenue[customerID],customers[],2,FALSE)</f>
        <v>Victuailles en stock</v>
      </c>
      <c r="D1582" s="24" t="str">
        <f>VLOOKUP(revenue[customerID],customers[],6,FALSE)</f>
        <v>Lyon</v>
      </c>
      <c r="E1582" s="24" t="str">
        <f>VLOOKUP(revenue[customerID],customers[],9,FALSE)</f>
        <v>France</v>
      </c>
      <c r="F1582" s="24">
        <v>45314.0</v>
      </c>
      <c r="G1582" s="6">
        <v>33.0</v>
      </c>
      <c r="H1582" s="9" t="str">
        <f>VLOOKUP(revenue[productID],products[],2,FALSE)</f>
        <v>Geitost</v>
      </c>
      <c r="I1582" s="9" t="str">
        <f>VLOOKUP(revenue[productID],products[],12,FALSE)</f>
        <v>Dairy Products</v>
      </c>
      <c r="J1582" s="9">
        <f>VLOOKUP(revenue[productID],products[],IF(YEAR(revenue[orderDate])=2022,8,IF(YEAR(revenue[orderDate])=2023,9,IF(YEAR(revenue[orderDate])=2024,10,NA))),FALSE)</f>
        <v>1.670163437</v>
      </c>
      <c r="K1582" s="9">
        <v>2.5</v>
      </c>
      <c r="L1582" s="25">
        <f>(revenue[orderPrice]-revenue[productCost])/revenue[productCost]</f>
        <v>0.4968594957</v>
      </c>
      <c r="M1582" s="10">
        <v>4.0</v>
      </c>
      <c r="N1582" s="25">
        <v>0.15</v>
      </c>
      <c r="O1582" s="9">
        <f>revenue[orderPrice]*revenue[orderQuantity]</f>
        <v>10</v>
      </c>
      <c r="P1582" s="9">
        <f>revenue[orderTotal]*(1-revenue[discountApllied])</f>
        <v>8.5</v>
      </c>
      <c r="Q1582" s="9">
        <f>revenue[revenue]-(revenue[productCost]*revenue[orderQuantity])</f>
        <v>1.819346252</v>
      </c>
      <c r="R1582" s="25">
        <f>IFERROR(revenue[profit]/revenue[revenue], 0)</f>
        <v>0.2140407355</v>
      </c>
      <c r="S1582" s="9">
        <f>revenue[productCost]*revenue[orderQuantity]</f>
        <v>6.680653748</v>
      </c>
    </row>
    <row r="1583" ht="15.75" customHeight="1">
      <c r="A1583" s="6">
        <v>10850.0</v>
      </c>
      <c r="B1583" s="7" t="s">
        <v>18</v>
      </c>
      <c r="C1583" s="24" t="str">
        <f>VLOOKUP(revenue[customerID],customers[],2,FALSE)</f>
        <v>Victuailles en stock</v>
      </c>
      <c r="D1583" s="24" t="str">
        <f>VLOOKUP(revenue[customerID],customers[],6,FALSE)</f>
        <v>Lyon</v>
      </c>
      <c r="E1583" s="24" t="str">
        <f>VLOOKUP(revenue[customerID],customers[],9,FALSE)</f>
        <v>France</v>
      </c>
      <c r="F1583" s="24">
        <v>45314.0</v>
      </c>
      <c r="G1583" s="6">
        <v>70.0</v>
      </c>
      <c r="H1583" s="9" t="str">
        <f>VLOOKUP(revenue[productID],products[],2,FALSE)</f>
        <v>Outback Lager</v>
      </c>
      <c r="I1583" s="9" t="str">
        <f>VLOOKUP(revenue[productID],products[],12,FALSE)</f>
        <v>Beverages</v>
      </c>
      <c r="J1583" s="9">
        <f>VLOOKUP(revenue[productID],products[],IF(YEAR(revenue[orderDate])=2022,8,IF(YEAR(revenue[orderDate])=2023,9,IF(YEAR(revenue[orderDate])=2024,10,NA))),FALSE)</f>
        <v>10.03280812</v>
      </c>
      <c r="K1583" s="9">
        <v>15.0</v>
      </c>
      <c r="L1583" s="25">
        <f>(revenue[orderPrice]-revenue[productCost])/revenue[productCost]</f>
        <v>0.4950948747</v>
      </c>
      <c r="M1583" s="10">
        <v>30.0</v>
      </c>
      <c r="N1583" s="25">
        <v>0.15</v>
      </c>
      <c r="O1583" s="9">
        <f>revenue[orderPrice]*revenue[orderQuantity]</f>
        <v>450</v>
      </c>
      <c r="P1583" s="9">
        <f>revenue[orderTotal]*(1-revenue[discountApllied])</f>
        <v>382.5</v>
      </c>
      <c r="Q1583" s="9">
        <f>revenue[revenue]-(revenue[productCost]*revenue[orderQuantity])</f>
        <v>81.51575637</v>
      </c>
      <c r="R1583" s="25">
        <f>IFERROR(revenue[profit]/revenue[revenue], 0)</f>
        <v>0.2131130886</v>
      </c>
      <c r="S1583" s="9">
        <f>revenue[productCost]*revenue[orderQuantity]</f>
        <v>300.9842436</v>
      </c>
    </row>
    <row r="1584" ht="15.75" customHeight="1">
      <c r="A1584" s="6">
        <v>10851.0</v>
      </c>
      <c r="B1584" s="7" t="s">
        <v>44</v>
      </c>
      <c r="C1584" s="24" t="str">
        <f>VLOOKUP(revenue[customerID],customers[],2,FALSE)</f>
        <v>Ricardo Adocicados</v>
      </c>
      <c r="D1584" s="24" t="str">
        <f>VLOOKUP(revenue[customerID],customers[],6,FALSE)</f>
        <v>Rio de Janeiro</v>
      </c>
      <c r="E1584" s="24" t="str">
        <f>VLOOKUP(revenue[customerID],customers[],9,FALSE)</f>
        <v>Brazil</v>
      </c>
      <c r="F1584" s="24">
        <v>45317.0</v>
      </c>
      <c r="G1584" s="6">
        <v>2.0</v>
      </c>
      <c r="H1584" s="9" t="str">
        <f>VLOOKUP(revenue[productID],products[],2,FALSE)</f>
        <v>Chang</v>
      </c>
      <c r="I1584" s="9" t="str">
        <f>VLOOKUP(revenue[productID],products[],12,FALSE)</f>
        <v>Beverages</v>
      </c>
      <c r="J1584" s="9">
        <f>VLOOKUP(revenue[productID],products[],IF(YEAR(revenue[orderDate])=2022,8,IF(YEAR(revenue[orderDate])=2023,9,IF(YEAR(revenue[orderDate])=2024,10,NA))),FALSE)</f>
        <v>11.93843713</v>
      </c>
      <c r="K1584" s="9">
        <v>19.0</v>
      </c>
      <c r="L1584" s="25">
        <f>(revenue[orderPrice]-revenue[productCost])/revenue[productCost]</f>
        <v>0.591498099</v>
      </c>
      <c r="M1584" s="10">
        <v>5.0</v>
      </c>
      <c r="N1584" s="25">
        <v>0.05</v>
      </c>
      <c r="O1584" s="9">
        <f>revenue[orderPrice]*revenue[orderQuantity]</f>
        <v>95</v>
      </c>
      <c r="P1584" s="9">
        <f>revenue[orderTotal]*(1-revenue[discountApllied])</f>
        <v>90.25</v>
      </c>
      <c r="Q1584" s="9">
        <f>revenue[revenue]-(revenue[productCost]*revenue[orderQuantity])</f>
        <v>30.55781434</v>
      </c>
      <c r="R1584" s="25">
        <f>IFERROR(revenue[profit]/revenue[revenue], 0)</f>
        <v>0.3385907406</v>
      </c>
      <c r="S1584" s="9">
        <f>revenue[productCost]*revenue[orderQuantity]</f>
        <v>59.69218566</v>
      </c>
    </row>
    <row r="1585" ht="15.75" customHeight="1">
      <c r="A1585" s="6">
        <v>10851.0</v>
      </c>
      <c r="B1585" s="7" t="s">
        <v>44</v>
      </c>
      <c r="C1585" s="24" t="str">
        <f>VLOOKUP(revenue[customerID],customers[],2,FALSE)</f>
        <v>Ricardo Adocicados</v>
      </c>
      <c r="D1585" s="24" t="str">
        <f>VLOOKUP(revenue[customerID],customers[],6,FALSE)</f>
        <v>Rio de Janeiro</v>
      </c>
      <c r="E1585" s="24" t="str">
        <f>VLOOKUP(revenue[customerID],customers[],9,FALSE)</f>
        <v>Brazil</v>
      </c>
      <c r="F1585" s="24">
        <v>45317.0</v>
      </c>
      <c r="G1585" s="6">
        <v>25.0</v>
      </c>
      <c r="H1585" s="9" t="str">
        <f>VLOOKUP(revenue[productID],products[],2,FALSE)</f>
        <v>HM Köstliche Kaiserschmarrn Knödelchen</v>
      </c>
      <c r="I1585" s="9" t="str">
        <f>VLOOKUP(revenue[productID],products[],12,FALSE)</f>
        <v>Confections</v>
      </c>
      <c r="J1585" s="9">
        <f>VLOOKUP(revenue[productID],products[],IF(YEAR(revenue[orderDate])=2022,8,IF(YEAR(revenue[orderDate])=2023,9,IF(YEAR(revenue[orderDate])=2024,10,NA))),FALSE)</f>
        <v>8.782270815</v>
      </c>
      <c r="K1585" s="9">
        <v>14.0</v>
      </c>
      <c r="L1585" s="25">
        <f>(revenue[orderPrice]-revenue[productCost])/revenue[productCost]</f>
        <v>0.5941207342</v>
      </c>
      <c r="M1585" s="10">
        <v>10.0</v>
      </c>
      <c r="N1585" s="25">
        <v>0.05</v>
      </c>
      <c r="O1585" s="9">
        <f>revenue[orderPrice]*revenue[orderQuantity]</f>
        <v>140</v>
      </c>
      <c r="P1585" s="9">
        <f>revenue[orderTotal]*(1-revenue[discountApllied])</f>
        <v>133</v>
      </c>
      <c r="Q1585" s="9">
        <f>revenue[revenue]-(revenue[productCost]*revenue[orderQuantity])</f>
        <v>45.17729185</v>
      </c>
      <c r="R1585" s="25">
        <f>IFERROR(revenue[profit]/revenue[revenue], 0)</f>
        <v>0.3396788861</v>
      </c>
      <c r="S1585" s="9">
        <f>revenue[productCost]*revenue[orderQuantity]</f>
        <v>87.82270815</v>
      </c>
    </row>
    <row r="1586" ht="15.75" customHeight="1">
      <c r="A1586" s="6">
        <v>10851.0</v>
      </c>
      <c r="B1586" s="7" t="s">
        <v>44</v>
      </c>
      <c r="C1586" s="24" t="str">
        <f>VLOOKUP(revenue[customerID],customers[],2,FALSE)</f>
        <v>Ricardo Adocicados</v>
      </c>
      <c r="D1586" s="24" t="str">
        <f>VLOOKUP(revenue[customerID],customers[],6,FALSE)</f>
        <v>Rio de Janeiro</v>
      </c>
      <c r="E1586" s="24" t="str">
        <f>VLOOKUP(revenue[customerID],customers[],9,FALSE)</f>
        <v>Brazil</v>
      </c>
      <c r="F1586" s="24">
        <v>45317.0</v>
      </c>
      <c r="G1586" s="6">
        <v>57.0</v>
      </c>
      <c r="H1586" s="9" t="str">
        <f>VLOOKUP(revenue[productID],products[],2,FALSE)</f>
        <v>Ravioli Angelo</v>
      </c>
      <c r="I1586" s="9" t="str">
        <f>VLOOKUP(revenue[productID],products[],12,FALSE)</f>
        <v>Grains/Cereals</v>
      </c>
      <c r="J1586" s="9">
        <f>VLOOKUP(revenue[productID],products[],IF(YEAR(revenue[orderDate])=2022,8,IF(YEAR(revenue[orderDate])=2023,9,IF(YEAR(revenue[orderDate])=2024,10,NA))),FALSE)</f>
        <v>14.29534762</v>
      </c>
      <c r="K1586" s="9">
        <v>19.5</v>
      </c>
      <c r="L1586" s="25">
        <f>(revenue[orderPrice]-revenue[productCost])/revenue[productCost]</f>
        <v>0.3640801552</v>
      </c>
      <c r="M1586" s="10">
        <v>10.0</v>
      </c>
      <c r="N1586" s="25">
        <v>0.05</v>
      </c>
      <c r="O1586" s="9">
        <f>revenue[orderPrice]*revenue[orderQuantity]</f>
        <v>195</v>
      </c>
      <c r="P1586" s="9">
        <f>revenue[orderTotal]*(1-revenue[discountApllied])</f>
        <v>185.25</v>
      </c>
      <c r="Q1586" s="9">
        <f>revenue[revenue]-(revenue[productCost]*revenue[orderQuantity])</f>
        <v>42.2965238</v>
      </c>
      <c r="R1586" s="25">
        <f>IFERROR(revenue[profit]/revenue[revenue], 0)</f>
        <v>0.2283213161</v>
      </c>
      <c r="S1586" s="9">
        <f>revenue[productCost]*revenue[orderQuantity]</f>
        <v>142.9534762</v>
      </c>
    </row>
    <row r="1587" ht="15.75" customHeight="1">
      <c r="A1587" s="6">
        <v>10851.0</v>
      </c>
      <c r="B1587" s="7" t="s">
        <v>44</v>
      </c>
      <c r="C1587" s="24" t="str">
        <f>VLOOKUP(revenue[customerID],customers[],2,FALSE)</f>
        <v>Ricardo Adocicados</v>
      </c>
      <c r="D1587" s="24" t="str">
        <f>VLOOKUP(revenue[customerID],customers[],6,FALSE)</f>
        <v>Rio de Janeiro</v>
      </c>
      <c r="E1587" s="24" t="str">
        <f>VLOOKUP(revenue[customerID],customers[],9,FALSE)</f>
        <v>Brazil</v>
      </c>
      <c r="F1587" s="24">
        <v>45317.0</v>
      </c>
      <c r="G1587" s="6">
        <v>59.0</v>
      </c>
      <c r="H1587" s="9" t="str">
        <f>VLOOKUP(revenue[productID],products[],2,FALSE)</f>
        <v>Raclette Courdavault</v>
      </c>
      <c r="I1587" s="9" t="str">
        <f>VLOOKUP(revenue[productID],products[],12,FALSE)</f>
        <v>Dairy Products</v>
      </c>
      <c r="J1587" s="9">
        <f>VLOOKUP(revenue[productID],products[],IF(YEAR(revenue[orderDate])=2022,8,IF(YEAR(revenue[orderDate])=2023,9,IF(YEAR(revenue[orderDate])=2024,10,NA))),FALSE)</f>
        <v>36.74863711</v>
      </c>
      <c r="K1587" s="9">
        <v>55.0</v>
      </c>
      <c r="L1587" s="25">
        <f>(revenue[orderPrice]-revenue[productCost])/revenue[productCost]</f>
        <v>0.4966541435</v>
      </c>
      <c r="M1587" s="10">
        <v>42.0</v>
      </c>
      <c r="N1587" s="25">
        <v>0.05</v>
      </c>
      <c r="O1587" s="9">
        <f>revenue[orderPrice]*revenue[orderQuantity]</f>
        <v>2310</v>
      </c>
      <c r="P1587" s="9">
        <f>revenue[orderTotal]*(1-revenue[discountApllied])</f>
        <v>2194.5</v>
      </c>
      <c r="Q1587" s="9">
        <f>revenue[revenue]-(revenue[productCost]*revenue[orderQuantity])</f>
        <v>651.0572414</v>
      </c>
      <c r="R1587" s="25">
        <f>IFERROR(revenue[profit]/revenue[revenue], 0)</f>
        <v>0.2966768017</v>
      </c>
      <c r="S1587" s="9">
        <f>revenue[productCost]*revenue[orderQuantity]</f>
        <v>1543.442759</v>
      </c>
    </row>
    <row r="1588" ht="15.75" customHeight="1">
      <c r="A1588" s="6">
        <v>10852.0</v>
      </c>
      <c r="B1588" s="7" t="s">
        <v>28</v>
      </c>
      <c r="C1588" s="24" t="str">
        <f>VLOOKUP(revenue[customerID],customers[],2,FALSE)</f>
        <v>Rattlesnake Canyon Grocery</v>
      </c>
      <c r="D1588" s="24" t="str">
        <f>VLOOKUP(revenue[customerID],customers[],6,FALSE)</f>
        <v>Albuquerque</v>
      </c>
      <c r="E1588" s="24" t="str">
        <f>VLOOKUP(revenue[customerID],customers[],9,FALSE)</f>
        <v>USA</v>
      </c>
      <c r="F1588" s="24">
        <v>45317.0</v>
      </c>
      <c r="G1588" s="6">
        <v>2.0</v>
      </c>
      <c r="H1588" s="9" t="str">
        <f>VLOOKUP(revenue[productID],products[],2,FALSE)</f>
        <v>Chang</v>
      </c>
      <c r="I1588" s="9" t="str">
        <f>VLOOKUP(revenue[productID],products[],12,FALSE)</f>
        <v>Beverages</v>
      </c>
      <c r="J1588" s="9">
        <f>VLOOKUP(revenue[productID],products[],IF(YEAR(revenue[orderDate])=2022,8,IF(YEAR(revenue[orderDate])=2023,9,IF(YEAR(revenue[orderDate])=2024,10,NA))),FALSE)</f>
        <v>11.93843713</v>
      </c>
      <c r="K1588" s="9">
        <v>19.0</v>
      </c>
      <c r="L1588" s="25">
        <f>(revenue[orderPrice]-revenue[productCost])/revenue[productCost]</f>
        <v>0.591498099</v>
      </c>
      <c r="M1588" s="10">
        <v>15.0</v>
      </c>
      <c r="N1588" s="25">
        <v>0.0</v>
      </c>
      <c r="O1588" s="9">
        <f>revenue[orderPrice]*revenue[orderQuantity]</f>
        <v>285</v>
      </c>
      <c r="P1588" s="9">
        <f>revenue[orderTotal]*(1-revenue[discountApllied])</f>
        <v>285</v>
      </c>
      <c r="Q1588" s="9">
        <f>revenue[revenue]-(revenue[productCost]*revenue[orderQuantity])</f>
        <v>105.923443</v>
      </c>
      <c r="R1588" s="25">
        <f>IFERROR(revenue[profit]/revenue[revenue], 0)</f>
        <v>0.3716612036</v>
      </c>
      <c r="S1588" s="9">
        <f>revenue[productCost]*revenue[orderQuantity]</f>
        <v>179.076557</v>
      </c>
    </row>
    <row r="1589" ht="15.75" customHeight="1">
      <c r="A1589" s="6">
        <v>10852.0</v>
      </c>
      <c r="B1589" s="7" t="s">
        <v>28</v>
      </c>
      <c r="C1589" s="24" t="str">
        <f>VLOOKUP(revenue[customerID],customers[],2,FALSE)</f>
        <v>Rattlesnake Canyon Grocery</v>
      </c>
      <c r="D1589" s="24" t="str">
        <f>VLOOKUP(revenue[customerID],customers[],6,FALSE)</f>
        <v>Albuquerque</v>
      </c>
      <c r="E1589" s="24" t="str">
        <f>VLOOKUP(revenue[customerID],customers[],9,FALSE)</f>
        <v>USA</v>
      </c>
      <c r="F1589" s="24">
        <v>45317.0</v>
      </c>
      <c r="G1589" s="6">
        <v>17.0</v>
      </c>
      <c r="H1589" s="9" t="str">
        <f>VLOOKUP(revenue[productID],products[],2,FALSE)</f>
        <v>Alice Mutton</v>
      </c>
      <c r="I1589" s="9" t="str">
        <f>VLOOKUP(revenue[productID],products[],12,FALSE)</f>
        <v>Meat/Poultry</v>
      </c>
      <c r="J1589" s="9">
        <f>VLOOKUP(revenue[productID],products[],IF(YEAR(revenue[orderDate])=2022,8,IF(YEAR(revenue[orderDate])=2023,9,IF(YEAR(revenue[orderDate])=2024,10,NA))),FALSE)</f>
        <v>28.51916263</v>
      </c>
      <c r="K1589" s="9">
        <v>39.0</v>
      </c>
      <c r="L1589" s="25">
        <f>(revenue[orderPrice]-revenue[productCost])/revenue[productCost]</f>
        <v>0.3675015816</v>
      </c>
      <c r="M1589" s="10">
        <v>6.0</v>
      </c>
      <c r="N1589" s="25">
        <v>0.0</v>
      </c>
      <c r="O1589" s="9">
        <f>revenue[orderPrice]*revenue[orderQuantity]</f>
        <v>234</v>
      </c>
      <c r="P1589" s="9">
        <f>revenue[orderTotal]*(1-revenue[discountApllied])</f>
        <v>234</v>
      </c>
      <c r="Q1589" s="9">
        <f>revenue[revenue]-(revenue[productCost]*revenue[orderQuantity])</f>
        <v>62.88502423</v>
      </c>
      <c r="R1589" s="25">
        <f>IFERROR(revenue[profit]/revenue[revenue], 0)</f>
        <v>0.2687394198</v>
      </c>
      <c r="S1589" s="9">
        <f>revenue[productCost]*revenue[orderQuantity]</f>
        <v>171.1149758</v>
      </c>
    </row>
    <row r="1590" ht="15.75" customHeight="1">
      <c r="A1590" s="6">
        <v>10852.0</v>
      </c>
      <c r="B1590" s="7" t="s">
        <v>28</v>
      </c>
      <c r="C1590" s="24" t="str">
        <f>VLOOKUP(revenue[customerID],customers[],2,FALSE)</f>
        <v>Rattlesnake Canyon Grocery</v>
      </c>
      <c r="D1590" s="24" t="str">
        <f>VLOOKUP(revenue[customerID],customers[],6,FALSE)</f>
        <v>Albuquerque</v>
      </c>
      <c r="E1590" s="24" t="str">
        <f>VLOOKUP(revenue[customerID],customers[],9,FALSE)</f>
        <v>USA</v>
      </c>
      <c r="F1590" s="24">
        <v>45317.0</v>
      </c>
      <c r="G1590" s="6">
        <v>62.0</v>
      </c>
      <c r="H1590" s="9" t="str">
        <f>VLOOKUP(revenue[productID],products[],2,FALSE)</f>
        <v>Tarte au sucre</v>
      </c>
      <c r="I1590" s="9" t="str">
        <f>VLOOKUP(revenue[productID],products[],12,FALSE)</f>
        <v>Confections</v>
      </c>
      <c r="J1590" s="9">
        <f>VLOOKUP(revenue[productID],products[],IF(YEAR(revenue[orderDate])=2022,8,IF(YEAR(revenue[orderDate])=2023,9,IF(YEAR(revenue[orderDate])=2024,10,NA))),FALSE)</f>
        <v>34.88145014</v>
      </c>
      <c r="K1590" s="9">
        <v>49.3</v>
      </c>
      <c r="L1590" s="25">
        <f>(revenue[orderPrice]-revenue[productCost])/revenue[productCost]</f>
        <v>0.4133586705</v>
      </c>
      <c r="M1590" s="10">
        <v>50.0</v>
      </c>
      <c r="N1590" s="25">
        <v>0.0</v>
      </c>
      <c r="O1590" s="9">
        <f>revenue[orderPrice]*revenue[orderQuantity]</f>
        <v>2465</v>
      </c>
      <c r="P1590" s="9">
        <f>revenue[orderTotal]*(1-revenue[discountApllied])</f>
        <v>2465</v>
      </c>
      <c r="Q1590" s="9">
        <f>revenue[revenue]-(revenue[productCost]*revenue[orderQuantity])</f>
        <v>720.9274928</v>
      </c>
      <c r="R1590" s="25">
        <f>IFERROR(revenue[profit]/revenue[revenue], 0)</f>
        <v>0.2924655143</v>
      </c>
      <c r="S1590" s="9">
        <f>revenue[productCost]*revenue[orderQuantity]</f>
        <v>1744.072507</v>
      </c>
    </row>
    <row r="1591" ht="15.75" customHeight="1">
      <c r="A1591" s="6">
        <v>10853.0</v>
      </c>
      <c r="B1591" s="7" t="s">
        <v>91</v>
      </c>
      <c r="C1591" s="24" t="str">
        <f>VLOOKUP(revenue[customerID],customers[],2,FALSE)</f>
        <v>Blauer See Delikatessen</v>
      </c>
      <c r="D1591" s="24" t="str">
        <f>VLOOKUP(revenue[customerID],customers[],6,FALSE)</f>
        <v>Mannheim</v>
      </c>
      <c r="E1591" s="24" t="str">
        <f>VLOOKUP(revenue[customerID],customers[],9,FALSE)</f>
        <v>Germany</v>
      </c>
      <c r="F1591" s="24">
        <v>45318.0</v>
      </c>
      <c r="G1591" s="6">
        <v>18.0</v>
      </c>
      <c r="H1591" s="9" t="str">
        <f>VLOOKUP(revenue[productID],products[],2,FALSE)</f>
        <v>Carnarvon Tigers</v>
      </c>
      <c r="I1591" s="9" t="str">
        <f>VLOOKUP(revenue[productID],products[],12,FALSE)</f>
        <v>Seafood</v>
      </c>
      <c r="J1591" s="9">
        <f>VLOOKUP(revenue[productID],products[],IF(YEAR(revenue[orderDate])=2022,8,IF(YEAR(revenue[orderDate])=2023,9,IF(YEAR(revenue[orderDate])=2024,10,NA))),FALSE)</f>
        <v>41.27004985</v>
      </c>
      <c r="K1591" s="9">
        <v>62.5</v>
      </c>
      <c r="L1591" s="25">
        <f>(revenue[orderPrice]-revenue[productCost])/revenue[productCost]</f>
        <v>0.5144154231</v>
      </c>
      <c r="M1591" s="10">
        <v>10.0</v>
      </c>
      <c r="N1591" s="25">
        <v>0.0</v>
      </c>
      <c r="O1591" s="9">
        <f>revenue[orderPrice]*revenue[orderQuantity]</f>
        <v>625</v>
      </c>
      <c r="P1591" s="9">
        <f>revenue[orderTotal]*(1-revenue[discountApllied])</f>
        <v>625</v>
      </c>
      <c r="Q1591" s="9">
        <f>revenue[revenue]-(revenue[productCost]*revenue[orderQuantity])</f>
        <v>212.2995015</v>
      </c>
      <c r="R1591" s="25">
        <f>IFERROR(revenue[profit]/revenue[revenue], 0)</f>
        <v>0.3396792025</v>
      </c>
      <c r="S1591" s="9">
        <f>revenue[productCost]*revenue[orderQuantity]</f>
        <v>412.7004985</v>
      </c>
    </row>
    <row r="1592" ht="15.75" customHeight="1">
      <c r="A1592" s="6">
        <v>10854.0</v>
      </c>
      <c r="B1592" s="7" t="s">
        <v>24</v>
      </c>
      <c r="C1592" s="24" t="str">
        <f>VLOOKUP(revenue[customerID],customers[],2,FALSE)</f>
        <v>Ernst Handel</v>
      </c>
      <c r="D1592" s="24" t="str">
        <f>VLOOKUP(revenue[customerID],customers[],6,FALSE)</f>
        <v>Graz</v>
      </c>
      <c r="E1592" s="24" t="str">
        <f>VLOOKUP(revenue[customerID],customers[],9,FALSE)</f>
        <v>Austria</v>
      </c>
      <c r="F1592" s="24">
        <v>45318.0</v>
      </c>
      <c r="G1592" s="6">
        <v>10.0</v>
      </c>
      <c r="H1592" s="9" t="str">
        <f>VLOOKUP(revenue[productID],products[],2,FALSE)</f>
        <v>Ikura</v>
      </c>
      <c r="I1592" s="9" t="str">
        <f>VLOOKUP(revenue[productID],products[],12,FALSE)</f>
        <v>Seafood</v>
      </c>
      <c r="J1592" s="9">
        <f>VLOOKUP(revenue[productID],products[],IF(YEAR(revenue[orderDate])=2022,8,IF(YEAR(revenue[orderDate])=2023,9,IF(YEAR(revenue[orderDate])=2024,10,NA))),FALSE)</f>
        <v>20.90394627</v>
      </c>
      <c r="K1592" s="9">
        <v>31.0</v>
      </c>
      <c r="L1592" s="25">
        <f>(revenue[orderPrice]-revenue[productCost])/revenue[productCost]</f>
        <v>0.4829735786</v>
      </c>
      <c r="M1592" s="10">
        <v>100.0</v>
      </c>
      <c r="N1592" s="25">
        <v>0.15</v>
      </c>
      <c r="O1592" s="9">
        <f>revenue[orderPrice]*revenue[orderQuantity]</f>
        <v>3100</v>
      </c>
      <c r="P1592" s="9">
        <f>revenue[orderTotal]*(1-revenue[discountApllied])</f>
        <v>2635</v>
      </c>
      <c r="Q1592" s="9">
        <f>revenue[revenue]-(revenue[productCost]*revenue[orderQuantity])</f>
        <v>544.6053734</v>
      </c>
      <c r="R1592" s="25">
        <f>IFERROR(revenue[profit]/revenue[revenue], 0)</f>
        <v>0.2066813561</v>
      </c>
      <c r="S1592" s="9">
        <f>revenue[productCost]*revenue[orderQuantity]</f>
        <v>2090.394627</v>
      </c>
    </row>
    <row r="1593" ht="15.75" customHeight="1">
      <c r="A1593" s="6">
        <v>10854.0</v>
      </c>
      <c r="B1593" s="7" t="s">
        <v>24</v>
      </c>
      <c r="C1593" s="24" t="str">
        <f>VLOOKUP(revenue[customerID],customers[],2,FALSE)</f>
        <v>Ernst Handel</v>
      </c>
      <c r="D1593" s="24" t="str">
        <f>VLOOKUP(revenue[customerID],customers[],6,FALSE)</f>
        <v>Graz</v>
      </c>
      <c r="E1593" s="24" t="str">
        <f>VLOOKUP(revenue[customerID],customers[],9,FALSE)</f>
        <v>Austria</v>
      </c>
      <c r="F1593" s="24">
        <v>45318.0</v>
      </c>
      <c r="G1593" s="6">
        <v>13.0</v>
      </c>
      <c r="H1593" s="9" t="str">
        <f>VLOOKUP(revenue[productID],products[],2,FALSE)</f>
        <v>Konbu</v>
      </c>
      <c r="I1593" s="9" t="str">
        <f>VLOOKUP(revenue[productID],products[],12,FALSE)</f>
        <v>Seafood</v>
      </c>
      <c r="J1593" s="9">
        <f>VLOOKUP(revenue[productID],products[],IF(YEAR(revenue[orderDate])=2022,8,IF(YEAR(revenue[orderDate])=2023,9,IF(YEAR(revenue[orderDate])=2024,10,NA))),FALSE)</f>
        <v>3.966387047</v>
      </c>
      <c r="K1593" s="9">
        <v>6.0</v>
      </c>
      <c r="L1593" s="25">
        <f>(revenue[orderPrice]-revenue[productCost])/revenue[productCost]</f>
        <v>0.5127116768</v>
      </c>
      <c r="M1593" s="10">
        <v>65.0</v>
      </c>
      <c r="N1593" s="25">
        <v>0.15</v>
      </c>
      <c r="O1593" s="9">
        <f>revenue[orderPrice]*revenue[orderQuantity]</f>
        <v>390</v>
      </c>
      <c r="P1593" s="9">
        <f>revenue[orderTotal]*(1-revenue[discountApllied])</f>
        <v>331.5</v>
      </c>
      <c r="Q1593" s="9">
        <f>revenue[revenue]-(revenue[productCost]*revenue[orderQuantity])</f>
        <v>73.68484197</v>
      </c>
      <c r="R1593" s="25">
        <f>IFERROR(revenue[profit]/revenue[revenue], 0)</f>
        <v>0.2222770497</v>
      </c>
      <c r="S1593" s="9">
        <f>revenue[productCost]*revenue[orderQuantity]</f>
        <v>257.815158</v>
      </c>
    </row>
    <row r="1594" ht="15.75" customHeight="1">
      <c r="A1594" s="6">
        <v>10855.0</v>
      </c>
      <c r="B1594" s="7" t="s">
        <v>52</v>
      </c>
      <c r="C1594" s="24" t="str">
        <f>VLOOKUP(revenue[customerID],customers[],2,FALSE)</f>
        <v>Old World Delicatessen</v>
      </c>
      <c r="D1594" s="24" t="str">
        <f>VLOOKUP(revenue[customerID],customers[],6,FALSE)</f>
        <v>Anchorage</v>
      </c>
      <c r="E1594" s="24" t="str">
        <f>VLOOKUP(revenue[customerID],customers[],9,FALSE)</f>
        <v>USA</v>
      </c>
      <c r="F1594" s="24">
        <v>45318.0</v>
      </c>
      <c r="G1594" s="6">
        <v>16.0</v>
      </c>
      <c r="H1594" s="9" t="str">
        <f>VLOOKUP(revenue[productID],products[],2,FALSE)</f>
        <v>Pavlova</v>
      </c>
      <c r="I1594" s="9" t="str">
        <f>VLOOKUP(revenue[productID],products[],12,FALSE)</f>
        <v>Confections</v>
      </c>
      <c r="J1594" s="9">
        <f>VLOOKUP(revenue[productID],products[],IF(YEAR(revenue[orderDate])=2022,8,IF(YEAR(revenue[orderDate])=2023,9,IF(YEAR(revenue[orderDate])=2024,10,NA))),FALSE)</f>
        <v>12.68283974</v>
      </c>
      <c r="K1594" s="9">
        <v>17.45</v>
      </c>
      <c r="L1594" s="25">
        <f>(revenue[orderPrice]-revenue[productCost])/revenue[productCost]</f>
        <v>0.3758748323</v>
      </c>
      <c r="M1594" s="10">
        <v>50.0</v>
      </c>
      <c r="N1594" s="25">
        <v>0.0</v>
      </c>
      <c r="O1594" s="9">
        <f>revenue[orderPrice]*revenue[orderQuantity]</f>
        <v>872.5</v>
      </c>
      <c r="P1594" s="9">
        <f>revenue[orderTotal]*(1-revenue[discountApllied])</f>
        <v>872.5</v>
      </c>
      <c r="Q1594" s="9">
        <f>revenue[revenue]-(revenue[productCost]*revenue[orderQuantity])</f>
        <v>238.358013</v>
      </c>
      <c r="R1594" s="25">
        <f>IFERROR(revenue[profit]/revenue[revenue], 0)</f>
        <v>0.2731896997</v>
      </c>
      <c r="S1594" s="9">
        <f>revenue[productCost]*revenue[orderQuantity]</f>
        <v>634.141987</v>
      </c>
    </row>
    <row r="1595" ht="15.75" customHeight="1">
      <c r="A1595" s="6">
        <v>10855.0</v>
      </c>
      <c r="B1595" s="7" t="s">
        <v>52</v>
      </c>
      <c r="C1595" s="24" t="str">
        <f>VLOOKUP(revenue[customerID],customers[],2,FALSE)</f>
        <v>Old World Delicatessen</v>
      </c>
      <c r="D1595" s="24" t="str">
        <f>VLOOKUP(revenue[customerID],customers[],6,FALSE)</f>
        <v>Anchorage</v>
      </c>
      <c r="E1595" s="24" t="str">
        <f>VLOOKUP(revenue[customerID],customers[],9,FALSE)</f>
        <v>USA</v>
      </c>
      <c r="F1595" s="24">
        <v>45318.0</v>
      </c>
      <c r="G1595" s="6">
        <v>31.0</v>
      </c>
      <c r="H1595" s="9" t="str">
        <f>VLOOKUP(revenue[productID],products[],2,FALSE)</f>
        <v>Gorgonzola Telino</v>
      </c>
      <c r="I1595" s="9" t="str">
        <f>VLOOKUP(revenue[productID],products[],12,FALSE)</f>
        <v>Dairy Products</v>
      </c>
      <c r="J1595" s="9">
        <f>VLOOKUP(revenue[productID],products[],IF(YEAR(revenue[orderDate])=2022,8,IF(YEAR(revenue[orderDate])=2023,9,IF(YEAR(revenue[orderDate])=2024,10,NA))),FALSE)</f>
        <v>8.203054392</v>
      </c>
      <c r="K1595" s="9">
        <v>12.5</v>
      </c>
      <c r="L1595" s="25">
        <f>(revenue[orderPrice]-revenue[productCost])/revenue[productCost]</f>
        <v>0.52382264</v>
      </c>
      <c r="M1595" s="10">
        <v>14.0</v>
      </c>
      <c r="N1595" s="25">
        <v>0.0</v>
      </c>
      <c r="O1595" s="9">
        <f>revenue[orderPrice]*revenue[orderQuantity]</f>
        <v>175</v>
      </c>
      <c r="P1595" s="9">
        <f>revenue[orderTotal]*(1-revenue[discountApllied])</f>
        <v>175</v>
      </c>
      <c r="Q1595" s="9">
        <f>revenue[revenue]-(revenue[productCost]*revenue[orderQuantity])</f>
        <v>60.15723851</v>
      </c>
      <c r="R1595" s="25">
        <f>IFERROR(revenue[profit]/revenue[revenue], 0)</f>
        <v>0.3437556486</v>
      </c>
      <c r="S1595" s="9">
        <f>revenue[productCost]*revenue[orderQuantity]</f>
        <v>114.8427615</v>
      </c>
    </row>
    <row r="1596" ht="15.75" customHeight="1">
      <c r="A1596" s="6">
        <v>10855.0</v>
      </c>
      <c r="B1596" s="7" t="s">
        <v>52</v>
      </c>
      <c r="C1596" s="24" t="str">
        <f>VLOOKUP(revenue[customerID],customers[],2,FALSE)</f>
        <v>Old World Delicatessen</v>
      </c>
      <c r="D1596" s="24" t="str">
        <f>VLOOKUP(revenue[customerID],customers[],6,FALSE)</f>
        <v>Anchorage</v>
      </c>
      <c r="E1596" s="24" t="str">
        <f>VLOOKUP(revenue[customerID],customers[],9,FALSE)</f>
        <v>USA</v>
      </c>
      <c r="F1596" s="24">
        <v>45318.0</v>
      </c>
      <c r="G1596" s="6">
        <v>56.0</v>
      </c>
      <c r="H1596" s="9" t="str">
        <f>VLOOKUP(revenue[productID],products[],2,FALSE)</f>
        <v>Gnocchi di nonna Alice</v>
      </c>
      <c r="I1596" s="9" t="str">
        <f>VLOOKUP(revenue[productID],products[],12,FALSE)</f>
        <v>Grains/Cereals</v>
      </c>
      <c r="J1596" s="9">
        <f>VLOOKUP(revenue[productID],products[],IF(YEAR(revenue[orderDate])=2022,8,IF(YEAR(revenue[orderDate])=2023,9,IF(YEAR(revenue[orderDate])=2024,10,NA))),FALSE)</f>
        <v>27.53915851</v>
      </c>
      <c r="K1596" s="9">
        <v>38.0</v>
      </c>
      <c r="L1596" s="25">
        <f>(revenue[orderPrice]-revenue[productCost])/revenue[productCost]</f>
        <v>0.3798533452</v>
      </c>
      <c r="M1596" s="10">
        <v>24.0</v>
      </c>
      <c r="N1596" s="25">
        <v>0.0</v>
      </c>
      <c r="O1596" s="9">
        <f>revenue[orderPrice]*revenue[orderQuantity]</f>
        <v>912</v>
      </c>
      <c r="P1596" s="9">
        <f>revenue[orderTotal]*(1-revenue[discountApllied])</f>
        <v>912</v>
      </c>
      <c r="Q1596" s="9">
        <f>revenue[revenue]-(revenue[productCost]*revenue[orderQuantity])</f>
        <v>251.0601957</v>
      </c>
      <c r="R1596" s="25">
        <f>IFERROR(revenue[profit]/revenue[revenue], 0)</f>
        <v>0.2752853023</v>
      </c>
      <c r="S1596" s="9">
        <f>revenue[productCost]*revenue[orderQuantity]</f>
        <v>660.9398043</v>
      </c>
    </row>
    <row r="1597" ht="15.75" customHeight="1">
      <c r="A1597" s="6">
        <v>10855.0</v>
      </c>
      <c r="B1597" s="7" t="s">
        <v>52</v>
      </c>
      <c r="C1597" s="24" t="str">
        <f>VLOOKUP(revenue[customerID],customers[],2,FALSE)</f>
        <v>Old World Delicatessen</v>
      </c>
      <c r="D1597" s="24" t="str">
        <f>VLOOKUP(revenue[customerID],customers[],6,FALSE)</f>
        <v>Anchorage</v>
      </c>
      <c r="E1597" s="24" t="str">
        <f>VLOOKUP(revenue[customerID],customers[],9,FALSE)</f>
        <v>USA</v>
      </c>
      <c r="F1597" s="24">
        <v>45318.0</v>
      </c>
      <c r="G1597" s="6">
        <v>65.0</v>
      </c>
      <c r="H1597" s="9" t="str">
        <f>VLOOKUP(revenue[productID],products[],2,FALSE)</f>
        <v>Louisiana Fiery Hot Pepper Sauce</v>
      </c>
      <c r="I1597" s="9" t="str">
        <f>VLOOKUP(revenue[productID],products[],12,FALSE)</f>
        <v>Condiments</v>
      </c>
      <c r="J1597" s="9">
        <f>VLOOKUP(revenue[productID],products[],IF(YEAR(revenue[orderDate])=2022,8,IF(YEAR(revenue[orderDate])=2023,9,IF(YEAR(revenue[orderDate])=2024,10,NA))),FALSE)</f>
        <v>14.50738168</v>
      </c>
      <c r="K1597" s="9">
        <v>21.05</v>
      </c>
      <c r="L1597" s="25">
        <f>(revenue[orderPrice]-revenue[productCost])/revenue[productCost]</f>
        <v>0.4509854685</v>
      </c>
      <c r="M1597" s="10">
        <v>15.0</v>
      </c>
      <c r="N1597" s="25">
        <v>0.15</v>
      </c>
      <c r="O1597" s="9">
        <f>revenue[orderPrice]*revenue[orderQuantity]</f>
        <v>315.75</v>
      </c>
      <c r="P1597" s="9">
        <f>revenue[orderTotal]*(1-revenue[discountApllied])</f>
        <v>268.3875</v>
      </c>
      <c r="Q1597" s="9">
        <f>revenue[revenue]-(revenue[productCost]*revenue[orderQuantity])</f>
        <v>50.77677484</v>
      </c>
      <c r="R1597" s="25">
        <f>IFERROR(revenue[profit]/revenue[revenue], 0)</f>
        <v>0.1891920259</v>
      </c>
      <c r="S1597" s="9">
        <f>revenue[productCost]*revenue[orderQuantity]</f>
        <v>217.6107252</v>
      </c>
    </row>
    <row r="1598" ht="15.75" customHeight="1">
      <c r="A1598" s="6">
        <v>10856.0</v>
      </c>
      <c r="B1598" s="7" t="s">
        <v>74</v>
      </c>
      <c r="C1598" s="24" t="str">
        <f>VLOOKUP(revenue[customerID],customers[],2,FALSE)</f>
        <v>Antonio Moreno Taquería</v>
      </c>
      <c r="D1598" s="24" t="str">
        <f>VLOOKUP(revenue[customerID],customers[],6,FALSE)</f>
        <v>México D.F.</v>
      </c>
      <c r="E1598" s="24" t="str">
        <f>VLOOKUP(revenue[customerID],customers[],9,FALSE)</f>
        <v>Mexico</v>
      </c>
      <c r="F1598" s="24">
        <v>45319.0</v>
      </c>
      <c r="G1598" s="6">
        <v>2.0</v>
      </c>
      <c r="H1598" s="9" t="str">
        <f>VLOOKUP(revenue[productID],products[],2,FALSE)</f>
        <v>Chang</v>
      </c>
      <c r="I1598" s="9" t="str">
        <f>VLOOKUP(revenue[productID],products[],12,FALSE)</f>
        <v>Beverages</v>
      </c>
      <c r="J1598" s="9">
        <f>VLOOKUP(revenue[productID],products[],IF(YEAR(revenue[orderDate])=2022,8,IF(YEAR(revenue[orderDate])=2023,9,IF(YEAR(revenue[orderDate])=2024,10,NA))),FALSE)</f>
        <v>11.93843713</v>
      </c>
      <c r="K1598" s="9">
        <v>19.0</v>
      </c>
      <c r="L1598" s="25">
        <f>(revenue[orderPrice]-revenue[productCost])/revenue[productCost]</f>
        <v>0.591498099</v>
      </c>
      <c r="M1598" s="10">
        <v>20.0</v>
      </c>
      <c r="N1598" s="25">
        <v>0.0</v>
      </c>
      <c r="O1598" s="9">
        <f>revenue[orderPrice]*revenue[orderQuantity]</f>
        <v>380</v>
      </c>
      <c r="P1598" s="9">
        <f>revenue[orderTotal]*(1-revenue[discountApllied])</f>
        <v>380</v>
      </c>
      <c r="Q1598" s="9">
        <f>revenue[revenue]-(revenue[productCost]*revenue[orderQuantity])</f>
        <v>141.2312574</v>
      </c>
      <c r="R1598" s="25">
        <f>IFERROR(revenue[profit]/revenue[revenue], 0)</f>
        <v>0.3716612036</v>
      </c>
      <c r="S1598" s="9">
        <f>revenue[productCost]*revenue[orderQuantity]</f>
        <v>238.7687426</v>
      </c>
    </row>
    <row r="1599" ht="15.75" customHeight="1">
      <c r="A1599" s="6">
        <v>10856.0</v>
      </c>
      <c r="B1599" s="7" t="s">
        <v>74</v>
      </c>
      <c r="C1599" s="24" t="str">
        <f>VLOOKUP(revenue[customerID],customers[],2,FALSE)</f>
        <v>Antonio Moreno Taquería</v>
      </c>
      <c r="D1599" s="24" t="str">
        <f>VLOOKUP(revenue[customerID],customers[],6,FALSE)</f>
        <v>México D.F.</v>
      </c>
      <c r="E1599" s="24" t="str">
        <f>VLOOKUP(revenue[customerID],customers[],9,FALSE)</f>
        <v>Mexico</v>
      </c>
      <c r="F1599" s="24">
        <v>45319.0</v>
      </c>
      <c r="G1599" s="6">
        <v>42.0</v>
      </c>
      <c r="H1599" s="9" t="str">
        <f>VLOOKUP(revenue[productID],products[],2,FALSE)</f>
        <v>Singaporean Hokkien Fried Mee</v>
      </c>
      <c r="I1599" s="9" t="str">
        <f>VLOOKUP(revenue[productID],products[],12,FALSE)</f>
        <v>Grains/Cereals</v>
      </c>
      <c r="J1599" s="9">
        <f>VLOOKUP(revenue[productID],products[],IF(YEAR(revenue[orderDate])=2022,8,IF(YEAR(revenue[orderDate])=2023,9,IF(YEAR(revenue[orderDate])=2024,10,NA))),FALSE)</f>
        <v>9.64736714</v>
      </c>
      <c r="K1599" s="9">
        <v>14.0</v>
      </c>
      <c r="L1599" s="25">
        <f>(revenue[orderPrice]-revenue[productCost])/revenue[productCost]</f>
        <v>0.4511731333</v>
      </c>
      <c r="M1599" s="10">
        <v>20.0</v>
      </c>
      <c r="N1599" s="25">
        <v>0.0</v>
      </c>
      <c r="O1599" s="9">
        <f>revenue[orderPrice]*revenue[orderQuantity]</f>
        <v>280</v>
      </c>
      <c r="P1599" s="9">
        <f>revenue[orderTotal]*(1-revenue[discountApllied])</f>
        <v>280</v>
      </c>
      <c r="Q1599" s="9">
        <f>revenue[revenue]-(revenue[productCost]*revenue[orderQuantity])</f>
        <v>87.0526572</v>
      </c>
      <c r="R1599" s="25">
        <f>IFERROR(revenue[profit]/revenue[revenue], 0)</f>
        <v>0.3109023472</v>
      </c>
      <c r="S1599" s="9">
        <f>revenue[productCost]*revenue[orderQuantity]</f>
        <v>192.9473428</v>
      </c>
    </row>
    <row r="1600" ht="15.75" customHeight="1">
      <c r="A1600" s="6">
        <v>10857.0</v>
      </c>
      <c r="B1600" s="7" t="s">
        <v>40</v>
      </c>
      <c r="C1600" s="24" t="str">
        <f>VLOOKUP(revenue[customerID],customers[],2,FALSE)</f>
        <v>Berglunds snabbköp</v>
      </c>
      <c r="D1600" s="24" t="str">
        <f>VLOOKUP(revenue[customerID],customers[],6,FALSE)</f>
        <v>Luleå</v>
      </c>
      <c r="E1600" s="24" t="str">
        <f>VLOOKUP(revenue[customerID],customers[],9,FALSE)</f>
        <v>Sweden</v>
      </c>
      <c r="F1600" s="24">
        <v>45319.0</v>
      </c>
      <c r="G1600" s="6">
        <v>3.0</v>
      </c>
      <c r="H1600" s="9" t="str">
        <f>VLOOKUP(revenue[productID],products[],2,FALSE)</f>
        <v>Aniseed Syrup</v>
      </c>
      <c r="I1600" s="9" t="str">
        <f>VLOOKUP(revenue[productID],products[],12,FALSE)</f>
        <v>Condiments</v>
      </c>
      <c r="J1600" s="9">
        <f>VLOOKUP(revenue[productID],products[],IF(YEAR(revenue[orderDate])=2022,8,IF(YEAR(revenue[orderDate])=2023,9,IF(YEAR(revenue[orderDate])=2024,10,NA))),FALSE)</f>
        <v>7.205917693</v>
      </c>
      <c r="K1600" s="9">
        <v>10.0</v>
      </c>
      <c r="L1600" s="25">
        <f>(revenue[orderPrice]-revenue[productCost])/revenue[productCost]</f>
        <v>0.3877482961</v>
      </c>
      <c r="M1600" s="10">
        <v>30.0</v>
      </c>
      <c r="N1600" s="25">
        <v>0.0</v>
      </c>
      <c r="O1600" s="9">
        <f>revenue[orderPrice]*revenue[orderQuantity]</f>
        <v>300</v>
      </c>
      <c r="P1600" s="9">
        <f>revenue[orderTotal]*(1-revenue[discountApllied])</f>
        <v>300</v>
      </c>
      <c r="Q1600" s="9">
        <f>revenue[revenue]-(revenue[productCost]*revenue[orderQuantity])</f>
        <v>83.82246921</v>
      </c>
      <c r="R1600" s="25">
        <f>IFERROR(revenue[profit]/revenue[revenue], 0)</f>
        <v>0.2794082307</v>
      </c>
      <c r="S1600" s="9">
        <f>revenue[productCost]*revenue[orderQuantity]</f>
        <v>216.1775308</v>
      </c>
    </row>
    <row r="1601" ht="15.75" customHeight="1">
      <c r="A1601" s="6">
        <v>10857.0</v>
      </c>
      <c r="B1601" s="7" t="s">
        <v>40</v>
      </c>
      <c r="C1601" s="24" t="str">
        <f>VLOOKUP(revenue[customerID],customers[],2,FALSE)</f>
        <v>Berglunds snabbköp</v>
      </c>
      <c r="D1601" s="24" t="str">
        <f>VLOOKUP(revenue[customerID],customers[],6,FALSE)</f>
        <v>Luleå</v>
      </c>
      <c r="E1601" s="24" t="str">
        <f>VLOOKUP(revenue[customerID],customers[],9,FALSE)</f>
        <v>Sweden</v>
      </c>
      <c r="F1601" s="24">
        <v>45319.0</v>
      </c>
      <c r="G1601" s="6">
        <v>26.0</v>
      </c>
      <c r="H1601" s="9" t="str">
        <f>VLOOKUP(revenue[productID],products[],2,FALSE)</f>
        <v>NuNuCa Nuß-Nougat-Creme</v>
      </c>
      <c r="I1601" s="9" t="str">
        <f>VLOOKUP(revenue[productID],products[],12,FALSE)</f>
        <v>Confections</v>
      </c>
      <c r="J1601" s="9">
        <f>VLOOKUP(revenue[productID],products[],IF(YEAR(revenue[orderDate])=2022,8,IF(YEAR(revenue[orderDate])=2023,9,IF(YEAR(revenue[orderDate])=2024,10,NA))),FALSE)</f>
        <v>22.79977195</v>
      </c>
      <c r="K1601" s="9">
        <v>31.23</v>
      </c>
      <c r="L1601" s="25">
        <f>(revenue[orderPrice]-revenue[productCost])/revenue[productCost]</f>
        <v>0.3697505427</v>
      </c>
      <c r="M1601" s="10">
        <v>35.0</v>
      </c>
      <c r="N1601" s="25">
        <v>0.25</v>
      </c>
      <c r="O1601" s="9">
        <f>revenue[orderPrice]*revenue[orderQuantity]</f>
        <v>1093.05</v>
      </c>
      <c r="P1601" s="9">
        <f>revenue[orderTotal]*(1-revenue[discountApllied])</f>
        <v>819.7875</v>
      </c>
      <c r="Q1601" s="9">
        <f>revenue[revenue]-(revenue[productCost]*revenue[orderQuantity])</f>
        <v>21.79548183</v>
      </c>
      <c r="R1601" s="25">
        <f>IFERROR(revenue[profit]/revenue[revenue], 0)</f>
        <v>0.02658674574</v>
      </c>
      <c r="S1601" s="9">
        <f>revenue[productCost]*revenue[orderQuantity]</f>
        <v>797.9920182</v>
      </c>
    </row>
    <row r="1602" ht="15.75" customHeight="1">
      <c r="A1602" s="6">
        <v>10857.0</v>
      </c>
      <c r="B1602" s="7" t="s">
        <v>40</v>
      </c>
      <c r="C1602" s="24" t="str">
        <f>VLOOKUP(revenue[customerID],customers[],2,FALSE)</f>
        <v>Berglunds snabbköp</v>
      </c>
      <c r="D1602" s="24" t="str">
        <f>VLOOKUP(revenue[customerID],customers[],6,FALSE)</f>
        <v>Luleå</v>
      </c>
      <c r="E1602" s="24" t="str">
        <f>VLOOKUP(revenue[customerID],customers[],9,FALSE)</f>
        <v>Sweden</v>
      </c>
      <c r="F1602" s="24">
        <v>45319.0</v>
      </c>
      <c r="G1602" s="6">
        <v>29.0</v>
      </c>
      <c r="H1602" s="9" t="str">
        <f>VLOOKUP(revenue[productID],products[],2,FALSE)</f>
        <v>Thüringer Rostbratwurst</v>
      </c>
      <c r="I1602" s="9" t="str">
        <f>VLOOKUP(revenue[productID],products[],12,FALSE)</f>
        <v>Meat/Poultry</v>
      </c>
      <c r="J1602" s="9">
        <f>VLOOKUP(revenue[productID],products[],IF(YEAR(revenue[orderDate])=2022,8,IF(YEAR(revenue[orderDate])=2023,9,IF(YEAR(revenue[orderDate])=2024,10,NA))),FALSE)</f>
        <v>80.14595973</v>
      </c>
      <c r="K1602" s="9">
        <v>123.79</v>
      </c>
      <c r="L1602" s="25">
        <f>(revenue[orderPrice]-revenue[productCost])/revenue[productCost]</f>
        <v>0.544556961</v>
      </c>
      <c r="M1602" s="10">
        <v>10.0</v>
      </c>
      <c r="N1602" s="25">
        <v>0.25</v>
      </c>
      <c r="O1602" s="9">
        <f>revenue[orderPrice]*revenue[orderQuantity]</f>
        <v>1237.9</v>
      </c>
      <c r="P1602" s="9">
        <f>revenue[orderTotal]*(1-revenue[discountApllied])</f>
        <v>928.425</v>
      </c>
      <c r="Q1602" s="9">
        <f>revenue[revenue]-(revenue[productCost]*revenue[orderQuantity])</f>
        <v>126.9654027</v>
      </c>
      <c r="R1602" s="25">
        <f>IFERROR(revenue[profit]/revenue[revenue], 0)</f>
        <v>0.1367535371</v>
      </c>
      <c r="S1602" s="9">
        <f>revenue[productCost]*revenue[orderQuantity]</f>
        <v>801.4595973</v>
      </c>
    </row>
    <row r="1603" ht="15.75" customHeight="1">
      <c r="A1603" s="6">
        <v>10858.0</v>
      </c>
      <c r="B1603" s="7" t="s">
        <v>103</v>
      </c>
      <c r="C1603" s="24" t="str">
        <f>VLOOKUP(revenue[customerID],customers[],2,FALSE)</f>
        <v>La corne d'abondance</v>
      </c>
      <c r="D1603" s="24" t="str">
        <f>VLOOKUP(revenue[customerID],customers[],6,FALSE)</f>
        <v>Versailles</v>
      </c>
      <c r="E1603" s="24" t="str">
        <f>VLOOKUP(revenue[customerID],customers[],9,FALSE)</f>
        <v>France</v>
      </c>
      <c r="F1603" s="24">
        <v>45320.0</v>
      </c>
      <c r="G1603" s="6">
        <v>7.0</v>
      </c>
      <c r="H1603" s="9" t="str">
        <f>VLOOKUP(revenue[productID],products[],2,FALSE)</f>
        <v>Uncle Bob's Organic Dried Pears</v>
      </c>
      <c r="I1603" s="9" t="str">
        <f>VLOOKUP(revenue[productID],products[],12,FALSE)</f>
        <v>Produce</v>
      </c>
      <c r="J1603" s="9">
        <f>VLOOKUP(revenue[productID],products[],IF(YEAR(revenue[orderDate])=2022,8,IF(YEAR(revenue[orderDate])=2023,9,IF(YEAR(revenue[orderDate])=2024,10,NA))),FALSE)</f>
        <v>23.52222246</v>
      </c>
      <c r="K1603" s="9">
        <v>30.0</v>
      </c>
      <c r="L1603" s="25">
        <f>(revenue[orderPrice]-revenue[productCost])/revenue[productCost]</f>
        <v>0.2753896894</v>
      </c>
      <c r="M1603" s="10">
        <v>5.0</v>
      </c>
      <c r="N1603" s="25">
        <v>0.0</v>
      </c>
      <c r="O1603" s="9">
        <f>revenue[orderPrice]*revenue[orderQuantity]</f>
        <v>150</v>
      </c>
      <c r="P1603" s="9">
        <f>revenue[orderTotal]*(1-revenue[discountApllied])</f>
        <v>150</v>
      </c>
      <c r="Q1603" s="9">
        <f>revenue[revenue]-(revenue[productCost]*revenue[orderQuantity])</f>
        <v>32.38888769</v>
      </c>
      <c r="R1603" s="25">
        <f>IFERROR(revenue[profit]/revenue[revenue], 0)</f>
        <v>0.2159259179</v>
      </c>
      <c r="S1603" s="9">
        <f>revenue[productCost]*revenue[orderQuantity]</f>
        <v>117.6111123</v>
      </c>
    </row>
    <row r="1604" ht="15.75" customHeight="1">
      <c r="A1604" s="6">
        <v>10858.0</v>
      </c>
      <c r="B1604" s="7" t="s">
        <v>103</v>
      </c>
      <c r="C1604" s="24" t="str">
        <f>VLOOKUP(revenue[customerID],customers[],2,FALSE)</f>
        <v>La corne d'abondance</v>
      </c>
      <c r="D1604" s="24" t="str">
        <f>VLOOKUP(revenue[customerID],customers[],6,FALSE)</f>
        <v>Versailles</v>
      </c>
      <c r="E1604" s="24" t="str">
        <f>VLOOKUP(revenue[customerID],customers[],9,FALSE)</f>
        <v>France</v>
      </c>
      <c r="F1604" s="24">
        <v>45320.0</v>
      </c>
      <c r="G1604" s="6">
        <v>27.0</v>
      </c>
      <c r="H1604" s="9" t="str">
        <f>VLOOKUP(revenue[productID],products[],2,FALSE)</f>
        <v>Schoggi Schokolade</v>
      </c>
      <c r="I1604" s="9" t="str">
        <f>VLOOKUP(revenue[productID],products[],12,FALSE)</f>
        <v>Confections</v>
      </c>
      <c r="J1604" s="9">
        <f>VLOOKUP(revenue[productID],products[],IF(YEAR(revenue[orderDate])=2022,8,IF(YEAR(revenue[orderDate])=2023,9,IF(YEAR(revenue[orderDate])=2024,10,NA))),FALSE)</f>
        <v>33.69297986</v>
      </c>
      <c r="K1604" s="9">
        <v>43.9</v>
      </c>
      <c r="L1604" s="25">
        <f>(revenue[orderPrice]-revenue[productCost])/revenue[productCost]</f>
        <v>0.3029420426</v>
      </c>
      <c r="M1604" s="10">
        <v>10.0</v>
      </c>
      <c r="N1604" s="25">
        <v>0.0</v>
      </c>
      <c r="O1604" s="9">
        <f>revenue[orderPrice]*revenue[orderQuantity]</f>
        <v>439</v>
      </c>
      <c r="P1604" s="9">
        <f>revenue[orderTotal]*(1-revenue[discountApllied])</f>
        <v>439</v>
      </c>
      <c r="Q1604" s="9">
        <f>revenue[revenue]-(revenue[productCost]*revenue[orderQuantity])</f>
        <v>102.0702014</v>
      </c>
      <c r="R1604" s="25">
        <f>IFERROR(revenue[profit]/revenue[revenue], 0)</f>
        <v>0.2325061535</v>
      </c>
      <c r="S1604" s="9">
        <f>revenue[productCost]*revenue[orderQuantity]</f>
        <v>336.9297986</v>
      </c>
    </row>
    <row r="1605" ht="15.75" customHeight="1">
      <c r="A1605" s="6">
        <v>10858.0</v>
      </c>
      <c r="B1605" s="7" t="s">
        <v>103</v>
      </c>
      <c r="C1605" s="24" t="str">
        <f>VLOOKUP(revenue[customerID],customers[],2,FALSE)</f>
        <v>La corne d'abondance</v>
      </c>
      <c r="D1605" s="24" t="str">
        <f>VLOOKUP(revenue[customerID],customers[],6,FALSE)</f>
        <v>Versailles</v>
      </c>
      <c r="E1605" s="24" t="str">
        <f>VLOOKUP(revenue[customerID],customers[],9,FALSE)</f>
        <v>France</v>
      </c>
      <c r="F1605" s="24">
        <v>45320.0</v>
      </c>
      <c r="G1605" s="6">
        <v>70.0</v>
      </c>
      <c r="H1605" s="9" t="str">
        <f>VLOOKUP(revenue[productID],products[],2,FALSE)</f>
        <v>Outback Lager</v>
      </c>
      <c r="I1605" s="9" t="str">
        <f>VLOOKUP(revenue[productID],products[],12,FALSE)</f>
        <v>Beverages</v>
      </c>
      <c r="J1605" s="9">
        <f>VLOOKUP(revenue[productID],products[],IF(YEAR(revenue[orderDate])=2022,8,IF(YEAR(revenue[orderDate])=2023,9,IF(YEAR(revenue[orderDate])=2024,10,NA))),FALSE)</f>
        <v>10.03280812</v>
      </c>
      <c r="K1605" s="9">
        <v>15.0</v>
      </c>
      <c r="L1605" s="25">
        <f>(revenue[orderPrice]-revenue[productCost])/revenue[productCost]</f>
        <v>0.4950948747</v>
      </c>
      <c r="M1605" s="10">
        <v>4.0</v>
      </c>
      <c r="N1605" s="25">
        <v>0.0</v>
      </c>
      <c r="O1605" s="9">
        <f>revenue[orderPrice]*revenue[orderQuantity]</f>
        <v>60</v>
      </c>
      <c r="P1605" s="9">
        <f>revenue[orderTotal]*(1-revenue[discountApllied])</f>
        <v>60</v>
      </c>
      <c r="Q1605" s="9">
        <f>revenue[revenue]-(revenue[productCost]*revenue[orderQuantity])</f>
        <v>19.86876752</v>
      </c>
      <c r="R1605" s="25">
        <f>IFERROR(revenue[profit]/revenue[revenue], 0)</f>
        <v>0.3311461253</v>
      </c>
      <c r="S1605" s="9">
        <f>revenue[productCost]*revenue[orderQuantity]</f>
        <v>40.13123248</v>
      </c>
    </row>
    <row r="1606" ht="15.75" customHeight="1">
      <c r="A1606" s="6">
        <v>10859.0</v>
      </c>
      <c r="B1606" s="7" t="s">
        <v>32</v>
      </c>
      <c r="C1606" s="24" t="str">
        <f>VLOOKUP(revenue[customerID],customers[],2,FALSE)</f>
        <v>Frankenversand</v>
      </c>
      <c r="D1606" s="24" t="str">
        <f>VLOOKUP(revenue[customerID],customers[],6,FALSE)</f>
        <v>München</v>
      </c>
      <c r="E1606" s="24" t="str">
        <f>VLOOKUP(revenue[customerID],customers[],9,FALSE)</f>
        <v>Germany</v>
      </c>
      <c r="F1606" s="24">
        <v>45320.0</v>
      </c>
      <c r="G1606" s="6">
        <v>24.0</v>
      </c>
      <c r="H1606" s="9" t="str">
        <f>VLOOKUP(revenue[productID],products[],2,FALSE)</f>
        <v>Brigadeiros Maravilhosos da Lilian</v>
      </c>
      <c r="I1606" s="9" t="str">
        <f>VLOOKUP(revenue[productID],products[],12,FALSE)</f>
        <v>Confections</v>
      </c>
      <c r="J1606" s="9">
        <f>VLOOKUP(revenue[productID],products[],IF(YEAR(revenue[orderDate])=2022,8,IF(YEAR(revenue[orderDate])=2023,9,IF(YEAR(revenue[orderDate])=2024,10,NA))),FALSE)</f>
        <v>3.177326315</v>
      </c>
      <c r="K1606" s="9">
        <v>4.5</v>
      </c>
      <c r="L1606" s="25">
        <f>(revenue[orderPrice]-revenue[productCost])/revenue[productCost]</f>
        <v>0.416285126</v>
      </c>
      <c r="M1606" s="10">
        <v>40.0</v>
      </c>
      <c r="N1606" s="25">
        <v>0.25</v>
      </c>
      <c r="O1606" s="9">
        <f>revenue[orderPrice]*revenue[orderQuantity]</f>
        <v>180</v>
      </c>
      <c r="P1606" s="9">
        <f>revenue[orderTotal]*(1-revenue[discountApllied])</f>
        <v>135</v>
      </c>
      <c r="Q1606" s="9">
        <f>revenue[revenue]-(revenue[productCost]*revenue[orderQuantity])</f>
        <v>7.906947413</v>
      </c>
      <c r="R1606" s="25">
        <f>IFERROR(revenue[profit]/revenue[revenue], 0)</f>
        <v>0.05856998083</v>
      </c>
      <c r="S1606" s="9">
        <f>revenue[productCost]*revenue[orderQuantity]</f>
        <v>127.0930526</v>
      </c>
    </row>
    <row r="1607" ht="15.75" customHeight="1">
      <c r="A1607" s="6">
        <v>10859.0</v>
      </c>
      <c r="B1607" s="7" t="s">
        <v>32</v>
      </c>
      <c r="C1607" s="24" t="str">
        <f>VLOOKUP(revenue[customerID],customers[],2,FALSE)</f>
        <v>Frankenversand</v>
      </c>
      <c r="D1607" s="24" t="str">
        <f>VLOOKUP(revenue[customerID],customers[],6,FALSE)</f>
        <v>München</v>
      </c>
      <c r="E1607" s="24" t="str">
        <f>VLOOKUP(revenue[customerID],customers[],9,FALSE)</f>
        <v>Germany</v>
      </c>
      <c r="F1607" s="24">
        <v>45320.0</v>
      </c>
      <c r="G1607" s="6">
        <v>54.0</v>
      </c>
      <c r="H1607" s="9" t="str">
        <f>VLOOKUP(revenue[productID],products[],2,FALSE)</f>
        <v>Tourtière</v>
      </c>
      <c r="I1607" s="9" t="str">
        <f>VLOOKUP(revenue[productID],products[],12,FALSE)</f>
        <v>Meat/Poultry</v>
      </c>
      <c r="J1607" s="9">
        <f>VLOOKUP(revenue[productID],products[],IF(YEAR(revenue[orderDate])=2022,8,IF(YEAR(revenue[orderDate])=2023,9,IF(YEAR(revenue[orderDate])=2024,10,NA))),FALSE)</f>
        <v>4.884716455</v>
      </c>
      <c r="K1607" s="9">
        <v>7.45</v>
      </c>
      <c r="L1607" s="25">
        <f>(revenue[orderPrice]-revenue[productCost])/revenue[productCost]</f>
        <v>0.5251652923</v>
      </c>
      <c r="M1607" s="10">
        <v>35.0</v>
      </c>
      <c r="N1607" s="25">
        <v>0.25</v>
      </c>
      <c r="O1607" s="9">
        <f>revenue[orderPrice]*revenue[orderQuantity]</f>
        <v>260.75</v>
      </c>
      <c r="P1607" s="9">
        <f>revenue[orderTotal]*(1-revenue[discountApllied])</f>
        <v>195.5625</v>
      </c>
      <c r="Q1607" s="9">
        <f>revenue[revenue]-(revenue[productCost]*revenue[orderQuantity])</f>
        <v>24.59742408</v>
      </c>
      <c r="R1607" s="25">
        <f>IFERROR(revenue[profit]/revenue[revenue], 0)</f>
        <v>0.1257778157</v>
      </c>
      <c r="S1607" s="9">
        <f>revenue[productCost]*revenue[orderQuantity]</f>
        <v>170.9650759</v>
      </c>
    </row>
    <row r="1608" ht="15.75" customHeight="1">
      <c r="A1608" s="6">
        <v>10859.0</v>
      </c>
      <c r="B1608" s="7" t="s">
        <v>32</v>
      </c>
      <c r="C1608" s="24" t="str">
        <f>VLOOKUP(revenue[customerID],customers[],2,FALSE)</f>
        <v>Frankenversand</v>
      </c>
      <c r="D1608" s="24" t="str">
        <f>VLOOKUP(revenue[customerID],customers[],6,FALSE)</f>
        <v>München</v>
      </c>
      <c r="E1608" s="24" t="str">
        <f>VLOOKUP(revenue[customerID],customers[],9,FALSE)</f>
        <v>Germany</v>
      </c>
      <c r="F1608" s="24">
        <v>45320.0</v>
      </c>
      <c r="G1608" s="6">
        <v>64.0</v>
      </c>
      <c r="H1608" s="9" t="str">
        <f>VLOOKUP(revenue[productID],products[],2,FALSE)</f>
        <v>Lukas' leckere Sauerteigweggla</v>
      </c>
      <c r="I1608" s="9" t="str">
        <f>VLOOKUP(revenue[productID],products[],12,FALSE)</f>
        <v>Grains/Cereals</v>
      </c>
      <c r="J1608" s="9">
        <f>VLOOKUP(revenue[productID],products[],IF(YEAR(revenue[orderDate])=2022,8,IF(YEAR(revenue[orderDate])=2023,9,IF(YEAR(revenue[orderDate])=2024,10,NA))),FALSE)</f>
        <v>22.72434276</v>
      </c>
      <c r="K1608" s="9">
        <v>33.25</v>
      </c>
      <c r="L1608" s="25">
        <f>(revenue[orderPrice]-revenue[productCost])/revenue[productCost]</f>
        <v>0.4631886324</v>
      </c>
      <c r="M1608" s="10">
        <v>30.0</v>
      </c>
      <c r="N1608" s="25">
        <v>0.25</v>
      </c>
      <c r="O1608" s="9">
        <f>revenue[orderPrice]*revenue[orderQuantity]</f>
        <v>997.5</v>
      </c>
      <c r="P1608" s="9">
        <f>revenue[orderTotal]*(1-revenue[discountApllied])</f>
        <v>748.125</v>
      </c>
      <c r="Q1608" s="9">
        <f>revenue[revenue]-(revenue[productCost]*revenue[orderQuantity])</f>
        <v>66.39471732</v>
      </c>
      <c r="R1608" s="25">
        <f>IFERROR(revenue[profit]/revenue[revenue], 0)</f>
        <v>0.08874816016</v>
      </c>
      <c r="S1608" s="9">
        <f>revenue[productCost]*revenue[orderQuantity]</f>
        <v>681.7302827</v>
      </c>
    </row>
    <row r="1609" ht="15.75" customHeight="1">
      <c r="A1609" s="6">
        <v>10860.0</v>
      </c>
      <c r="B1609" s="7" t="s">
        <v>101</v>
      </c>
      <c r="C1609" s="24" t="str">
        <f>VLOOKUP(revenue[customerID],customers[],2,FALSE)</f>
        <v>France restauration</v>
      </c>
      <c r="D1609" s="24" t="str">
        <f>VLOOKUP(revenue[customerID],customers[],6,FALSE)</f>
        <v>Nantes</v>
      </c>
      <c r="E1609" s="24" t="str">
        <f>VLOOKUP(revenue[customerID],customers[],9,FALSE)</f>
        <v>France</v>
      </c>
      <c r="F1609" s="24">
        <v>45320.0</v>
      </c>
      <c r="G1609" s="6">
        <v>51.0</v>
      </c>
      <c r="H1609" s="9" t="str">
        <f>VLOOKUP(revenue[productID],products[],2,FALSE)</f>
        <v>Manjimup Dried Apples</v>
      </c>
      <c r="I1609" s="9" t="str">
        <f>VLOOKUP(revenue[productID],products[],12,FALSE)</f>
        <v>Produce</v>
      </c>
      <c r="J1609" s="9">
        <f>VLOOKUP(revenue[productID],products[],IF(YEAR(revenue[orderDate])=2022,8,IF(YEAR(revenue[orderDate])=2023,9,IF(YEAR(revenue[orderDate])=2024,10,NA))),FALSE)</f>
        <v>39.51416462</v>
      </c>
      <c r="K1609" s="9">
        <v>53.0</v>
      </c>
      <c r="L1609" s="25">
        <f>(revenue[orderPrice]-revenue[productCost])/revenue[productCost]</f>
        <v>0.3412911677</v>
      </c>
      <c r="M1609" s="10">
        <v>3.0</v>
      </c>
      <c r="N1609" s="25">
        <v>0.0</v>
      </c>
      <c r="O1609" s="9">
        <f>revenue[orderPrice]*revenue[orderQuantity]</f>
        <v>159</v>
      </c>
      <c r="P1609" s="9">
        <f>revenue[orderTotal]*(1-revenue[discountApllied])</f>
        <v>159</v>
      </c>
      <c r="Q1609" s="9">
        <f>revenue[revenue]-(revenue[productCost]*revenue[orderQuantity])</f>
        <v>40.45750614</v>
      </c>
      <c r="R1609" s="25">
        <f>IFERROR(revenue[profit]/revenue[revenue], 0)</f>
        <v>0.2544497242</v>
      </c>
      <c r="S1609" s="9">
        <f>revenue[productCost]*revenue[orderQuantity]</f>
        <v>118.5424939</v>
      </c>
    </row>
    <row r="1610" ht="15.75" customHeight="1">
      <c r="A1610" s="6">
        <v>10860.0</v>
      </c>
      <c r="B1610" s="7" t="s">
        <v>101</v>
      </c>
      <c r="C1610" s="24" t="str">
        <f>VLOOKUP(revenue[customerID],customers[],2,FALSE)</f>
        <v>France restauration</v>
      </c>
      <c r="D1610" s="24" t="str">
        <f>VLOOKUP(revenue[customerID],customers[],6,FALSE)</f>
        <v>Nantes</v>
      </c>
      <c r="E1610" s="24" t="str">
        <f>VLOOKUP(revenue[customerID],customers[],9,FALSE)</f>
        <v>France</v>
      </c>
      <c r="F1610" s="24">
        <v>45320.0</v>
      </c>
      <c r="G1610" s="6">
        <v>76.0</v>
      </c>
      <c r="H1610" s="9" t="str">
        <f>VLOOKUP(revenue[productID],products[],2,FALSE)</f>
        <v>Lakkalikööri</v>
      </c>
      <c r="I1610" s="9" t="str">
        <f>VLOOKUP(revenue[productID],products[],12,FALSE)</f>
        <v>Beverages</v>
      </c>
      <c r="J1610" s="9">
        <f>VLOOKUP(revenue[productID],products[],IF(YEAR(revenue[orderDate])=2022,8,IF(YEAR(revenue[orderDate])=2023,9,IF(YEAR(revenue[orderDate])=2024,10,NA))),FALSE)</f>
        <v>12.15832249</v>
      </c>
      <c r="K1610" s="9">
        <v>18.0</v>
      </c>
      <c r="L1610" s="25">
        <f>(revenue[orderPrice]-revenue[productCost])/revenue[productCost]</f>
        <v>0.4804673928</v>
      </c>
      <c r="M1610" s="10">
        <v>20.0</v>
      </c>
      <c r="N1610" s="25">
        <v>0.0</v>
      </c>
      <c r="O1610" s="9">
        <f>revenue[orderPrice]*revenue[orderQuantity]</f>
        <v>360</v>
      </c>
      <c r="P1610" s="9">
        <f>revenue[orderTotal]*(1-revenue[discountApllied])</f>
        <v>360</v>
      </c>
      <c r="Q1610" s="9">
        <f>revenue[revenue]-(revenue[productCost]*revenue[orderQuantity])</f>
        <v>116.8335502</v>
      </c>
      <c r="R1610" s="25">
        <f>IFERROR(revenue[profit]/revenue[revenue], 0)</f>
        <v>0.3245376394</v>
      </c>
      <c r="S1610" s="9">
        <f>revenue[productCost]*revenue[orderQuantity]</f>
        <v>243.1664498</v>
      </c>
    </row>
    <row r="1611" ht="15.75" customHeight="1">
      <c r="A1611" s="6">
        <v>10861.0</v>
      </c>
      <c r="B1611" s="7" t="s">
        <v>34</v>
      </c>
      <c r="C1611" s="24" t="str">
        <f>VLOOKUP(revenue[customerID],customers[],2,FALSE)</f>
        <v>White Clover Markets</v>
      </c>
      <c r="D1611" s="24" t="str">
        <f>VLOOKUP(revenue[customerID],customers[],6,FALSE)</f>
        <v>Seattle</v>
      </c>
      <c r="E1611" s="24" t="str">
        <f>VLOOKUP(revenue[customerID],customers[],9,FALSE)</f>
        <v>USA</v>
      </c>
      <c r="F1611" s="24">
        <v>45321.0</v>
      </c>
      <c r="G1611" s="6">
        <v>17.0</v>
      </c>
      <c r="H1611" s="9" t="str">
        <f>VLOOKUP(revenue[productID],products[],2,FALSE)</f>
        <v>Alice Mutton</v>
      </c>
      <c r="I1611" s="9" t="str">
        <f>VLOOKUP(revenue[productID],products[],12,FALSE)</f>
        <v>Meat/Poultry</v>
      </c>
      <c r="J1611" s="9">
        <f>VLOOKUP(revenue[productID],products[],IF(YEAR(revenue[orderDate])=2022,8,IF(YEAR(revenue[orderDate])=2023,9,IF(YEAR(revenue[orderDate])=2024,10,NA))),FALSE)</f>
        <v>28.51916263</v>
      </c>
      <c r="K1611" s="9">
        <v>39.0</v>
      </c>
      <c r="L1611" s="25">
        <f>(revenue[orderPrice]-revenue[productCost])/revenue[productCost]</f>
        <v>0.3675015816</v>
      </c>
      <c r="M1611" s="10">
        <v>42.0</v>
      </c>
      <c r="N1611" s="25">
        <v>0.0</v>
      </c>
      <c r="O1611" s="9">
        <f>revenue[orderPrice]*revenue[orderQuantity]</f>
        <v>1638</v>
      </c>
      <c r="P1611" s="9">
        <f>revenue[orderTotal]*(1-revenue[discountApllied])</f>
        <v>1638</v>
      </c>
      <c r="Q1611" s="9">
        <f>revenue[revenue]-(revenue[productCost]*revenue[orderQuantity])</f>
        <v>440.1951696</v>
      </c>
      <c r="R1611" s="25">
        <f>IFERROR(revenue[profit]/revenue[revenue], 0)</f>
        <v>0.2687394198</v>
      </c>
      <c r="S1611" s="9">
        <f>revenue[productCost]*revenue[orderQuantity]</f>
        <v>1197.80483</v>
      </c>
    </row>
    <row r="1612" ht="15.75" customHeight="1">
      <c r="A1612" s="6">
        <v>10861.0</v>
      </c>
      <c r="B1612" s="7" t="s">
        <v>34</v>
      </c>
      <c r="C1612" s="24" t="str">
        <f>VLOOKUP(revenue[customerID],customers[],2,FALSE)</f>
        <v>White Clover Markets</v>
      </c>
      <c r="D1612" s="24" t="str">
        <f>VLOOKUP(revenue[customerID],customers[],6,FALSE)</f>
        <v>Seattle</v>
      </c>
      <c r="E1612" s="24" t="str">
        <f>VLOOKUP(revenue[customerID],customers[],9,FALSE)</f>
        <v>USA</v>
      </c>
      <c r="F1612" s="24">
        <v>45321.0</v>
      </c>
      <c r="G1612" s="6">
        <v>18.0</v>
      </c>
      <c r="H1612" s="9" t="str">
        <f>VLOOKUP(revenue[productID],products[],2,FALSE)</f>
        <v>Carnarvon Tigers</v>
      </c>
      <c r="I1612" s="9" t="str">
        <f>VLOOKUP(revenue[productID],products[],12,FALSE)</f>
        <v>Seafood</v>
      </c>
      <c r="J1612" s="9">
        <f>VLOOKUP(revenue[productID],products[],IF(YEAR(revenue[orderDate])=2022,8,IF(YEAR(revenue[orderDate])=2023,9,IF(YEAR(revenue[orderDate])=2024,10,NA))),FALSE)</f>
        <v>41.27004985</v>
      </c>
      <c r="K1612" s="9">
        <v>62.5</v>
      </c>
      <c r="L1612" s="25">
        <f>(revenue[orderPrice]-revenue[productCost])/revenue[productCost]</f>
        <v>0.5144154231</v>
      </c>
      <c r="M1612" s="10">
        <v>20.0</v>
      </c>
      <c r="N1612" s="25">
        <v>0.0</v>
      </c>
      <c r="O1612" s="9">
        <f>revenue[orderPrice]*revenue[orderQuantity]</f>
        <v>1250</v>
      </c>
      <c r="P1612" s="9">
        <f>revenue[orderTotal]*(1-revenue[discountApllied])</f>
        <v>1250</v>
      </c>
      <c r="Q1612" s="9">
        <f>revenue[revenue]-(revenue[productCost]*revenue[orderQuantity])</f>
        <v>424.5990031</v>
      </c>
      <c r="R1612" s="25">
        <f>IFERROR(revenue[profit]/revenue[revenue], 0)</f>
        <v>0.3396792025</v>
      </c>
      <c r="S1612" s="9">
        <f>revenue[productCost]*revenue[orderQuantity]</f>
        <v>825.4009969</v>
      </c>
    </row>
    <row r="1613" ht="15.75" customHeight="1">
      <c r="A1613" s="6">
        <v>10861.0</v>
      </c>
      <c r="B1613" s="7" t="s">
        <v>34</v>
      </c>
      <c r="C1613" s="24" t="str">
        <f>VLOOKUP(revenue[customerID],customers[],2,FALSE)</f>
        <v>White Clover Markets</v>
      </c>
      <c r="D1613" s="24" t="str">
        <f>VLOOKUP(revenue[customerID],customers[],6,FALSE)</f>
        <v>Seattle</v>
      </c>
      <c r="E1613" s="24" t="str">
        <f>VLOOKUP(revenue[customerID],customers[],9,FALSE)</f>
        <v>USA</v>
      </c>
      <c r="F1613" s="24">
        <v>45321.0</v>
      </c>
      <c r="G1613" s="6">
        <v>21.0</v>
      </c>
      <c r="H1613" s="9" t="str">
        <f>VLOOKUP(revenue[productID],products[],2,FALSE)</f>
        <v>Sir Rodney's Scones</v>
      </c>
      <c r="I1613" s="9" t="str">
        <f>VLOOKUP(revenue[productID],products[],12,FALSE)</f>
        <v>Confections</v>
      </c>
      <c r="J1613" s="9">
        <f>VLOOKUP(revenue[productID],products[],IF(YEAR(revenue[orderDate])=2022,8,IF(YEAR(revenue[orderDate])=2023,9,IF(YEAR(revenue[orderDate])=2024,10,NA))),FALSE)</f>
        <v>7.459897593</v>
      </c>
      <c r="K1613" s="9">
        <v>10.0</v>
      </c>
      <c r="L1613" s="25">
        <f>(revenue[orderPrice]-revenue[productCost])/revenue[productCost]</f>
        <v>0.3405009753</v>
      </c>
      <c r="M1613" s="10">
        <v>40.0</v>
      </c>
      <c r="N1613" s="25">
        <v>0.0</v>
      </c>
      <c r="O1613" s="9">
        <f>revenue[orderPrice]*revenue[orderQuantity]</f>
        <v>400</v>
      </c>
      <c r="P1613" s="9">
        <f>revenue[orderTotal]*(1-revenue[discountApllied])</f>
        <v>400</v>
      </c>
      <c r="Q1613" s="9">
        <f>revenue[revenue]-(revenue[productCost]*revenue[orderQuantity])</f>
        <v>101.6040963</v>
      </c>
      <c r="R1613" s="25">
        <f>IFERROR(revenue[profit]/revenue[revenue], 0)</f>
        <v>0.2540102407</v>
      </c>
      <c r="S1613" s="9">
        <f>revenue[productCost]*revenue[orderQuantity]</f>
        <v>298.3959037</v>
      </c>
    </row>
    <row r="1614" ht="15.75" customHeight="1">
      <c r="A1614" s="6">
        <v>10861.0</v>
      </c>
      <c r="B1614" s="7" t="s">
        <v>34</v>
      </c>
      <c r="C1614" s="24" t="str">
        <f>VLOOKUP(revenue[customerID],customers[],2,FALSE)</f>
        <v>White Clover Markets</v>
      </c>
      <c r="D1614" s="24" t="str">
        <f>VLOOKUP(revenue[customerID],customers[],6,FALSE)</f>
        <v>Seattle</v>
      </c>
      <c r="E1614" s="24" t="str">
        <f>VLOOKUP(revenue[customerID],customers[],9,FALSE)</f>
        <v>USA</v>
      </c>
      <c r="F1614" s="24">
        <v>45321.0</v>
      </c>
      <c r="G1614" s="6">
        <v>33.0</v>
      </c>
      <c r="H1614" s="9" t="str">
        <f>VLOOKUP(revenue[productID],products[],2,FALSE)</f>
        <v>Geitost</v>
      </c>
      <c r="I1614" s="9" t="str">
        <f>VLOOKUP(revenue[productID],products[],12,FALSE)</f>
        <v>Dairy Products</v>
      </c>
      <c r="J1614" s="9">
        <f>VLOOKUP(revenue[productID],products[],IF(YEAR(revenue[orderDate])=2022,8,IF(YEAR(revenue[orderDate])=2023,9,IF(YEAR(revenue[orderDate])=2024,10,NA))),FALSE)</f>
        <v>1.670163437</v>
      </c>
      <c r="K1614" s="9">
        <v>2.5</v>
      </c>
      <c r="L1614" s="25">
        <f>(revenue[orderPrice]-revenue[productCost])/revenue[productCost]</f>
        <v>0.4968594957</v>
      </c>
      <c r="M1614" s="10">
        <v>35.0</v>
      </c>
      <c r="N1614" s="25">
        <v>0.0</v>
      </c>
      <c r="O1614" s="9">
        <f>revenue[orderPrice]*revenue[orderQuantity]</f>
        <v>87.5</v>
      </c>
      <c r="P1614" s="9">
        <f>revenue[orderTotal]*(1-revenue[discountApllied])</f>
        <v>87.5</v>
      </c>
      <c r="Q1614" s="9">
        <f>revenue[revenue]-(revenue[productCost]*revenue[orderQuantity])</f>
        <v>29.0442797</v>
      </c>
      <c r="R1614" s="25">
        <f>IFERROR(revenue[profit]/revenue[revenue], 0)</f>
        <v>0.3319346252</v>
      </c>
      <c r="S1614" s="9">
        <f>revenue[productCost]*revenue[orderQuantity]</f>
        <v>58.4557203</v>
      </c>
    </row>
    <row r="1615" ht="15.75" customHeight="1">
      <c r="A1615" s="6">
        <v>10861.0</v>
      </c>
      <c r="B1615" s="7" t="s">
        <v>34</v>
      </c>
      <c r="C1615" s="24" t="str">
        <f>VLOOKUP(revenue[customerID],customers[],2,FALSE)</f>
        <v>White Clover Markets</v>
      </c>
      <c r="D1615" s="24" t="str">
        <f>VLOOKUP(revenue[customerID],customers[],6,FALSE)</f>
        <v>Seattle</v>
      </c>
      <c r="E1615" s="24" t="str">
        <f>VLOOKUP(revenue[customerID],customers[],9,FALSE)</f>
        <v>USA</v>
      </c>
      <c r="F1615" s="24">
        <v>45321.0</v>
      </c>
      <c r="G1615" s="6">
        <v>62.0</v>
      </c>
      <c r="H1615" s="9" t="str">
        <f>VLOOKUP(revenue[productID],products[],2,FALSE)</f>
        <v>Tarte au sucre</v>
      </c>
      <c r="I1615" s="9" t="str">
        <f>VLOOKUP(revenue[productID],products[],12,FALSE)</f>
        <v>Confections</v>
      </c>
      <c r="J1615" s="9">
        <f>VLOOKUP(revenue[productID],products[],IF(YEAR(revenue[orderDate])=2022,8,IF(YEAR(revenue[orderDate])=2023,9,IF(YEAR(revenue[orderDate])=2024,10,NA))),FALSE)</f>
        <v>34.88145014</v>
      </c>
      <c r="K1615" s="9">
        <v>49.3</v>
      </c>
      <c r="L1615" s="25">
        <f>(revenue[orderPrice]-revenue[productCost])/revenue[productCost]</f>
        <v>0.4133586705</v>
      </c>
      <c r="M1615" s="10">
        <v>3.0</v>
      </c>
      <c r="N1615" s="25">
        <v>0.0</v>
      </c>
      <c r="O1615" s="9">
        <f>revenue[orderPrice]*revenue[orderQuantity]</f>
        <v>147.9</v>
      </c>
      <c r="P1615" s="9">
        <f>revenue[orderTotal]*(1-revenue[discountApllied])</f>
        <v>147.9</v>
      </c>
      <c r="Q1615" s="9">
        <f>revenue[revenue]-(revenue[productCost]*revenue[orderQuantity])</f>
        <v>43.25564957</v>
      </c>
      <c r="R1615" s="25">
        <f>IFERROR(revenue[profit]/revenue[revenue], 0)</f>
        <v>0.2924655143</v>
      </c>
      <c r="S1615" s="9">
        <f>revenue[productCost]*revenue[orderQuantity]</f>
        <v>104.6443504</v>
      </c>
    </row>
    <row r="1616" ht="15.75" customHeight="1">
      <c r="A1616" s="6">
        <v>10862.0</v>
      </c>
      <c r="B1616" s="7" t="s">
        <v>41</v>
      </c>
      <c r="C1616" s="24" t="str">
        <f>VLOOKUP(revenue[customerID],customers[],2,FALSE)</f>
        <v>Lehmanns Marktstand</v>
      </c>
      <c r="D1616" s="24" t="str">
        <f>VLOOKUP(revenue[customerID],customers[],6,FALSE)</f>
        <v>Frankfurt a.M.</v>
      </c>
      <c r="E1616" s="24" t="str">
        <f>VLOOKUP(revenue[customerID],customers[],9,FALSE)</f>
        <v>Germany</v>
      </c>
      <c r="F1616" s="24">
        <v>45321.0</v>
      </c>
      <c r="G1616" s="6">
        <v>11.0</v>
      </c>
      <c r="H1616" s="9" t="str">
        <f>VLOOKUP(revenue[productID],products[],2,FALSE)</f>
        <v>Queso Cabrales</v>
      </c>
      <c r="I1616" s="9" t="str">
        <f>VLOOKUP(revenue[productID],products[],12,FALSE)</f>
        <v>Dairy Products</v>
      </c>
      <c r="J1616" s="9">
        <f>VLOOKUP(revenue[productID],products[],IF(YEAR(revenue[orderDate])=2022,8,IF(YEAR(revenue[orderDate])=2023,9,IF(YEAR(revenue[orderDate])=2024,10,NA))),FALSE)</f>
        <v>13.86836261</v>
      </c>
      <c r="K1616" s="9">
        <v>21.0</v>
      </c>
      <c r="L1616" s="25">
        <f>(revenue[orderPrice]-revenue[productCost])/revenue[productCost]</f>
        <v>0.51423788</v>
      </c>
      <c r="M1616" s="10">
        <v>25.0</v>
      </c>
      <c r="N1616" s="25">
        <v>0.0</v>
      </c>
      <c r="O1616" s="9">
        <f>revenue[orderPrice]*revenue[orderQuantity]</f>
        <v>525</v>
      </c>
      <c r="P1616" s="9">
        <f>revenue[orderTotal]*(1-revenue[discountApllied])</f>
        <v>525</v>
      </c>
      <c r="Q1616" s="9">
        <f>revenue[revenue]-(revenue[productCost]*revenue[orderQuantity])</f>
        <v>178.2909347</v>
      </c>
      <c r="R1616" s="25">
        <f>IFERROR(revenue[profit]/revenue[revenue], 0)</f>
        <v>0.3396017804</v>
      </c>
      <c r="S1616" s="9">
        <f>revenue[productCost]*revenue[orderQuantity]</f>
        <v>346.7090653</v>
      </c>
    </row>
    <row r="1617" ht="15.75" customHeight="1">
      <c r="A1617" s="6">
        <v>10862.0</v>
      </c>
      <c r="B1617" s="7" t="s">
        <v>41</v>
      </c>
      <c r="C1617" s="24" t="str">
        <f>VLOOKUP(revenue[customerID],customers[],2,FALSE)</f>
        <v>Lehmanns Marktstand</v>
      </c>
      <c r="D1617" s="24" t="str">
        <f>VLOOKUP(revenue[customerID],customers[],6,FALSE)</f>
        <v>Frankfurt a.M.</v>
      </c>
      <c r="E1617" s="24" t="str">
        <f>VLOOKUP(revenue[customerID],customers[],9,FALSE)</f>
        <v>Germany</v>
      </c>
      <c r="F1617" s="24">
        <v>45321.0</v>
      </c>
      <c r="G1617" s="6">
        <v>52.0</v>
      </c>
      <c r="H1617" s="9" t="str">
        <f>VLOOKUP(revenue[productID],products[],2,FALSE)</f>
        <v>Filo Mix</v>
      </c>
      <c r="I1617" s="9" t="str">
        <f>VLOOKUP(revenue[productID],products[],12,FALSE)</f>
        <v>Grains/Cereals</v>
      </c>
      <c r="J1617" s="9">
        <f>VLOOKUP(revenue[productID],products[],IF(YEAR(revenue[orderDate])=2022,8,IF(YEAR(revenue[orderDate])=2023,9,IF(YEAR(revenue[orderDate])=2024,10,NA))),FALSE)</f>
        <v>5.222223442</v>
      </c>
      <c r="K1617" s="9">
        <v>7.0</v>
      </c>
      <c r="L1617" s="25">
        <f>(revenue[orderPrice]-revenue[productCost])/revenue[productCost]</f>
        <v>0.3404252188</v>
      </c>
      <c r="M1617" s="10">
        <v>8.0</v>
      </c>
      <c r="N1617" s="25">
        <v>0.0</v>
      </c>
      <c r="O1617" s="9">
        <f>revenue[orderPrice]*revenue[orderQuantity]</f>
        <v>56</v>
      </c>
      <c r="P1617" s="9">
        <f>revenue[orderTotal]*(1-revenue[discountApllied])</f>
        <v>56</v>
      </c>
      <c r="Q1617" s="9">
        <f>revenue[revenue]-(revenue[productCost]*revenue[orderQuantity])</f>
        <v>14.22221246</v>
      </c>
      <c r="R1617" s="25">
        <f>IFERROR(revenue[profit]/revenue[revenue], 0)</f>
        <v>0.2539680797</v>
      </c>
      <c r="S1617" s="9">
        <f>revenue[productCost]*revenue[orderQuantity]</f>
        <v>41.77778754</v>
      </c>
    </row>
    <row r="1618" ht="15.75" customHeight="1">
      <c r="A1618" s="6">
        <v>10863.0</v>
      </c>
      <c r="B1618" s="7" t="s">
        <v>23</v>
      </c>
      <c r="C1618" s="24" t="str">
        <f>VLOOKUP(revenue[customerID],customers[],2,FALSE)</f>
        <v>HILARION-Abastos</v>
      </c>
      <c r="D1618" s="24" t="str">
        <f>VLOOKUP(revenue[customerID],customers[],6,FALSE)</f>
        <v>San Cristóbal</v>
      </c>
      <c r="E1618" s="24" t="str">
        <f>VLOOKUP(revenue[customerID],customers[],9,FALSE)</f>
        <v>Venezuela</v>
      </c>
      <c r="F1618" s="24">
        <v>45324.0</v>
      </c>
      <c r="G1618" s="6">
        <v>1.0</v>
      </c>
      <c r="H1618" s="9" t="str">
        <f>VLOOKUP(revenue[productID],products[],2,FALSE)</f>
        <v>Chai</v>
      </c>
      <c r="I1618" s="9" t="str">
        <f>VLOOKUP(revenue[productID],products[],12,FALSE)</f>
        <v>Beverages</v>
      </c>
      <c r="J1618" s="9">
        <f>VLOOKUP(revenue[productID],products[],IF(YEAR(revenue[orderDate])=2022,8,IF(YEAR(revenue[orderDate])=2023,9,IF(YEAR(revenue[orderDate])=2024,10,NA))),FALSE)</f>
        <v>12.17757454</v>
      </c>
      <c r="K1618" s="9">
        <v>18.0</v>
      </c>
      <c r="L1618" s="25">
        <f>(revenue[orderPrice]-revenue[productCost])/revenue[productCost]</f>
        <v>0.4781268584</v>
      </c>
      <c r="M1618" s="10">
        <v>20.0</v>
      </c>
      <c r="N1618" s="25">
        <v>0.15</v>
      </c>
      <c r="O1618" s="9">
        <f>revenue[orderPrice]*revenue[orderQuantity]</f>
        <v>360</v>
      </c>
      <c r="P1618" s="9">
        <f>revenue[orderTotal]*(1-revenue[discountApllied])</f>
        <v>306</v>
      </c>
      <c r="Q1618" s="9">
        <f>revenue[revenue]-(revenue[productCost]*revenue[orderQuantity])</f>
        <v>62.44850916</v>
      </c>
      <c r="R1618" s="25">
        <f>IFERROR(revenue[profit]/revenue[revenue], 0)</f>
        <v>0.2040800953</v>
      </c>
      <c r="S1618" s="9">
        <f>revenue[productCost]*revenue[orderQuantity]</f>
        <v>243.5514908</v>
      </c>
    </row>
    <row r="1619" ht="15.75" customHeight="1">
      <c r="A1619" s="6">
        <v>10863.0</v>
      </c>
      <c r="B1619" s="7" t="s">
        <v>23</v>
      </c>
      <c r="C1619" s="24" t="str">
        <f>VLOOKUP(revenue[customerID],customers[],2,FALSE)</f>
        <v>HILARION-Abastos</v>
      </c>
      <c r="D1619" s="24" t="str">
        <f>VLOOKUP(revenue[customerID],customers[],6,FALSE)</f>
        <v>San Cristóbal</v>
      </c>
      <c r="E1619" s="24" t="str">
        <f>VLOOKUP(revenue[customerID],customers[],9,FALSE)</f>
        <v>Venezuela</v>
      </c>
      <c r="F1619" s="24">
        <v>45324.0</v>
      </c>
      <c r="G1619" s="6">
        <v>58.0</v>
      </c>
      <c r="H1619" s="9" t="str">
        <f>VLOOKUP(revenue[productID],products[],2,FALSE)</f>
        <v>Escargots de Bourgogne</v>
      </c>
      <c r="I1619" s="9" t="str">
        <f>VLOOKUP(revenue[productID],products[],12,FALSE)</f>
        <v>Seafood</v>
      </c>
      <c r="J1619" s="9">
        <f>VLOOKUP(revenue[productID],products[],IF(YEAR(revenue[orderDate])=2022,8,IF(YEAR(revenue[orderDate])=2023,9,IF(YEAR(revenue[orderDate])=2024,10,NA))),FALSE)</f>
        <v>8.683102193</v>
      </c>
      <c r="K1619" s="9">
        <v>13.25</v>
      </c>
      <c r="L1619" s="25">
        <f>(revenue[orderPrice]-revenue[productCost])/revenue[productCost]</f>
        <v>0.5259523274</v>
      </c>
      <c r="M1619" s="10">
        <v>12.0</v>
      </c>
      <c r="N1619" s="25">
        <v>0.15</v>
      </c>
      <c r="O1619" s="9">
        <f>revenue[orderPrice]*revenue[orderQuantity]</f>
        <v>159</v>
      </c>
      <c r="P1619" s="9">
        <f>revenue[orderTotal]*(1-revenue[discountApllied])</f>
        <v>135.15</v>
      </c>
      <c r="Q1619" s="9">
        <f>revenue[revenue]-(revenue[productCost]*revenue[orderQuantity])</f>
        <v>30.95277369</v>
      </c>
      <c r="R1619" s="25">
        <f>IFERROR(revenue[profit]/revenue[revenue], 0)</f>
        <v>0.2290253325</v>
      </c>
      <c r="S1619" s="9">
        <f>revenue[productCost]*revenue[orderQuantity]</f>
        <v>104.1972263</v>
      </c>
    </row>
    <row r="1620" ht="15.75" customHeight="1">
      <c r="A1620" s="6">
        <v>10864.0</v>
      </c>
      <c r="B1620" s="7" t="s">
        <v>70</v>
      </c>
      <c r="C1620" s="24" t="str">
        <f>VLOOKUP(revenue[customerID],customers[],2,FALSE)</f>
        <v>Around the Horn</v>
      </c>
      <c r="D1620" s="24" t="str">
        <f>VLOOKUP(revenue[customerID],customers[],6,FALSE)</f>
        <v>London</v>
      </c>
      <c r="E1620" s="24" t="str">
        <f>VLOOKUP(revenue[customerID],customers[],9,FALSE)</f>
        <v>UK</v>
      </c>
      <c r="F1620" s="24">
        <v>45324.0</v>
      </c>
      <c r="G1620" s="6">
        <v>35.0</v>
      </c>
      <c r="H1620" s="9" t="str">
        <f>VLOOKUP(revenue[productID],products[],2,FALSE)</f>
        <v>Cold Brew Nitro</v>
      </c>
      <c r="I1620" s="9" t="str">
        <f>VLOOKUP(revenue[productID],products[],12,FALSE)</f>
        <v>Beverages</v>
      </c>
      <c r="J1620" s="9">
        <f>VLOOKUP(revenue[productID],products[],IF(YEAR(revenue[orderDate])=2022,8,IF(YEAR(revenue[orderDate])=2023,9,IF(YEAR(revenue[orderDate])=2024,10,NA))),FALSE)</f>
        <v>12.9261692</v>
      </c>
      <c r="K1620" s="9">
        <v>18.0</v>
      </c>
      <c r="L1620" s="25">
        <f>(revenue[orderPrice]-revenue[productCost])/revenue[productCost]</f>
        <v>0.3925239355</v>
      </c>
      <c r="M1620" s="10">
        <v>4.0</v>
      </c>
      <c r="N1620" s="25">
        <v>0.0</v>
      </c>
      <c r="O1620" s="9">
        <f>revenue[orderPrice]*revenue[orderQuantity]</f>
        <v>72</v>
      </c>
      <c r="P1620" s="9">
        <f>revenue[orderTotal]*(1-revenue[discountApllied])</f>
        <v>72</v>
      </c>
      <c r="Q1620" s="9">
        <f>revenue[revenue]-(revenue[productCost]*revenue[orderQuantity])</f>
        <v>20.29532322</v>
      </c>
      <c r="R1620" s="25">
        <f>IFERROR(revenue[profit]/revenue[revenue], 0)</f>
        <v>0.2818794891</v>
      </c>
      <c r="S1620" s="9">
        <f>revenue[productCost]*revenue[orderQuantity]</f>
        <v>51.70467678</v>
      </c>
    </row>
    <row r="1621" ht="15.75" customHeight="1">
      <c r="A1621" s="6">
        <v>10864.0</v>
      </c>
      <c r="B1621" s="7" t="s">
        <v>70</v>
      </c>
      <c r="C1621" s="24" t="str">
        <f>VLOOKUP(revenue[customerID],customers[],2,FALSE)</f>
        <v>Around the Horn</v>
      </c>
      <c r="D1621" s="24" t="str">
        <f>VLOOKUP(revenue[customerID],customers[],6,FALSE)</f>
        <v>London</v>
      </c>
      <c r="E1621" s="24" t="str">
        <f>VLOOKUP(revenue[customerID],customers[],9,FALSE)</f>
        <v>UK</v>
      </c>
      <c r="F1621" s="24">
        <v>45324.0</v>
      </c>
      <c r="G1621" s="6">
        <v>67.0</v>
      </c>
      <c r="H1621" s="9" t="str">
        <f>VLOOKUP(revenue[productID],products[],2,FALSE)</f>
        <v>Laughing Lumberjack Lager</v>
      </c>
      <c r="I1621" s="9" t="str">
        <f>VLOOKUP(revenue[productID],products[],12,FALSE)</f>
        <v>Beverages</v>
      </c>
      <c r="J1621" s="9">
        <f>VLOOKUP(revenue[productID],products[],IF(YEAR(revenue[orderDate])=2022,8,IF(YEAR(revenue[orderDate])=2023,9,IF(YEAR(revenue[orderDate])=2024,10,NA))),FALSE)</f>
        <v>9.443192754</v>
      </c>
      <c r="K1621" s="9">
        <v>14.0</v>
      </c>
      <c r="L1621" s="25">
        <f>(revenue[orderPrice]-revenue[productCost])/revenue[productCost]</f>
        <v>0.4825494263</v>
      </c>
      <c r="M1621" s="10">
        <v>15.0</v>
      </c>
      <c r="N1621" s="25">
        <v>0.0</v>
      </c>
      <c r="O1621" s="9">
        <f>revenue[orderPrice]*revenue[orderQuantity]</f>
        <v>210</v>
      </c>
      <c r="P1621" s="9">
        <f>revenue[orderTotal]*(1-revenue[discountApllied])</f>
        <v>210</v>
      </c>
      <c r="Q1621" s="9">
        <f>revenue[revenue]-(revenue[productCost]*revenue[orderQuantity])</f>
        <v>68.35210869</v>
      </c>
      <c r="R1621" s="25">
        <f>IFERROR(revenue[profit]/revenue[revenue], 0)</f>
        <v>0.3254862318</v>
      </c>
      <c r="S1621" s="9">
        <f>revenue[productCost]*revenue[orderQuantity]</f>
        <v>141.6478913</v>
      </c>
    </row>
    <row r="1622" ht="15.75" customHeight="1">
      <c r="A1622" s="6">
        <v>10865.0</v>
      </c>
      <c r="B1622" s="7" t="s">
        <v>36</v>
      </c>
      <c r="C1622" s="24" t="str">
        <f>VLOOKUP(revenue[customerID],customers[],2,FALSE)</f>
        <v>QUICK-Stop</v>
      </c>
      <c r="D1622" s="24" t="str">
        <f>VLOOKUP(revenue[customerID],customers[],6,FALSE)</f>
        <v>Cunewalde</v>
      </c>
      <c r="E1622" s="24" t="str">
        <f>VLOOKUP(revenue[customerID],customers[],9,FALSE)</f>
        <v>Germany</v>
      </c>
      <c r="F1622" s="24">
        <v>45324.0</v>
      </c>
      <c r="G1622" s="6">
        <v>38.0</v>
      </c>
      <c r="H1622" s="9" t="str">
        <f>VLOOKUP(revenue[productID],products[],2,FALSE)</f>
        <v>Côte de Blaye</v>
      </c>
      <c r="I1622" s="9" t="str">
        <f>VLOOKUP(revenue[productID],products[],12,FALSE)</f>
        <v>Beverages</v>
      </c>
      <c r="J1622" s="9">
        <f>VLOOKUP(revenue[productID],products[],IF(YEAR(revenue[orderDate])=2022,8,IF(YEAR(revenue[orderDate])=2023,9,IF(YEAR(revenue[orderDate])=2024,10,NA))),FALSE)</f>
        <v>192.1798413</v>
      </c>
      <c r="K1622" s="9">
        <v>263.5</v>
      </c>
      <c r="L1622" s="25">
        <f>(revenue[orderPrice]-revenue[productCost])/revenue[productCost]</f>
        <v>0.3711115493</v>
      </c>
      <c r="M1622" s="10">
        <v>60.0</v>
      </c>
      <c r="N1622" s="25">
        <v>0.05</v>
      </c>
      <c r="O1622" s="9">
        <f>revenue[orderPrice]*revenue[orderQuantity]</f>
        <v>15810</v>
      </c>
      <c r="P1622" s="9">
        <f>revenue[orderTotal]*(1-revenue[discountApllied])</f>
        <v>15019.5</v>
      </c>
      <c r="Q1622" s="9">
        <f>revenue[revenue]-(revenue[productCost]*revenue[orderQuantity])</f>
        <v>3488.70952</v>
      </c>
      <c r="R1622" s="25">
        <f>IFERROR(revenue[profit]/revenue[revenue], 0)</f>
        <v>0.2322786724</v>
      </c>
      <c r="S1622" s="9">
        <f>revenue[productCost]*revenue[orderQuantity]</f>
        <v>11530.79048</v>
      </c>
    </row>
    <row r="1623" ht="15.75" customHeight="1">
      <c r="A1623" s="6">
        <v>10865.0</v>
      </c>
      <c r="B1623" s="7" t="s">
        <v>36</v>
      </c>
      <c r="C1623" s="24" t="str">
        <f>VLOOKUP(revenue[customerID],customers[],2,FALSE)</f>
        <v>QUICK-Stop</v>
      </c>
      <c r="D1623" s="24" t="str">
        <f>VLOOKUP(revenue[customerID],customers[],6,FALSE)</f>
        <v>Cunewalde</v>
      </c>
      <c r="E1623" s="24" t="str">
        <f>VLOOKUP(revenue[customerID],customers[],9,FALSE)</f>
        <v>Germany</v>
      </c>
      <c r="F1623" s="24">
        <v>45324.0</v>
      </c>
      <c r="G1623" s="6">
        <v>39.0</v>
      </c>
      <c r="H1623" s="9" t="str">
        <f>VLOOKUP(revenue[productID],products[],2,FALSE)</f>
        <v>Chartreuse verte</v>
      </c>
      <c r="I1623" s="9" t="str">
        <f>VLOOKUP(revenue[productID],products[],12,FALSE)</f>
        <v>Beverages</v>
      </c>
      <c r="J1623" s="9">
        <f>VLOOKUP(revenue[productID],products[],IF(YEAR(revenue[orderDate])=2022,8,IF(YEAR(revenue[orderDate])=2023,9,IF(YEAR(revenue[orderDate])=2024,10,NA))),FALSE)</f>
        <v>12.3017224</v>
      </c>
      <c r="K1623" s="9">
        <v>18.0</v>
      </c>
      <c r="L1623" s="25">
        <f>(revenue[orderPrice]-revenue[productCost])/revenue[productCost]</f>
        <v>0.4632097374</v>
      </c>
      <c r="M1623" s="10">
        <v>80.0</v>
      </c>
      <c r="N1623" s="25">
        <v>0.05</v>
      </c>
      <c r="O1623" s="9">
        <f>revenue[orderPrice]*revenue[orderQuantity]</f>
        <v>1440</v>
      </c>
      <c r="P1623" s="9">
        <f>revenue[orderTotal]*(1-revenue[discountApllied])</f>
        <v>1368</v>
      </c>
      <c r="Q1623" s="9">
        <f>revenue[revenue]-(revenue[productCost]*revenue[orderQuantity])</f>
        <v>383.8622081</v>
      </c>
      <c r="R1623" s="25">
        <f>IFERROR(revenue[profit]/revenue[revenue], 0)</f>
        <v>0.2806010293</v>
      </c>
      <c r="S1623" s="9">
        <f>revenue[productCost]*revenue[orderQuantity]</f>
        <v>984.1377919</v>
      </c>
    </row>
    <row r="1624" ht="15.75" customHeight="1">
      <c r="A1624" s="6">
        <v>10866.0</v>
      </c>
      <c r="B1624" s="7" t="s">
        <v>40</v>
      </c>
      <c r="C1624" s="24" t="str">
        <f>VLOOKUP(revenue[customerID],customers[],2,FALSE)</f>
        <v>Berglunds snabbköp</v>
      </c>
      <c r="D1624" s="24" t="str">
        <f>VLOOKUP(revenue[customerID],customers[],6,FALSE)</f>
        <v>Luleå</v>
      </c>
      <c r="E1624" s="24" t="str">
        <f>VLOOKUP(revenue[customerID],customers[],9,FALSE)</f>
        <v>Sweden</v>
      </c>
      <c r="F1624" s="24">
        <v>45325.0</v>
      </c>
      <c r="G1624" s="6">
        <v>2.0</v>
      </c>
      <c r="H1624" s="9" t="str">
        <f>VLOOKUP(revenue[productID],products[],2,FALSE)</f>
        <v>Chang</v>
      </c>
      <c r="I1624" s="9" t="str">
        <f>VLOOKUP(revenue[productID],products[],12,FALSE)</f>
        <v>Beverages</v>
      </c>
      <c r="J1624" s="9">
        <f>VLOOKUP(revenue[productID],products[],IF(YEAR(revenue[orderDate])=2022,8,IF(YEAR(revenue[orderDate])=2023,9,IF(YEAR(revenue[orderDate])=2024,10,NA))),FALSE)</f>
        <v>11.93843713</v>
      </c>
      <c r="K1624" s="9">
        <v>19.0</v>
      </c>
      <c r="L1624" s="25">
        <f>(revenue[orderPrice]-revenue[productCost])/revenue[productCost]</f>
        <v>0.591498099</v>
      </c>
      <c r="M1624" s="10">
        <v>21.0</v>
      </c>
      <c r="N1624" s="25">
        <v>0.25</v>
      </c>
      <c r="O1624" s="9">
        <f>revenue[orderPrice]*revenue[orderQuantity]</f>
        <v>399</v>
      </c>
      <c r="P1624" s="9">
        <f>revenue[orderTotal]*(1-revenue[discountApllied])</f>
        <v>299.25</v>
      </c>
      <c r="Q1624" s="9">
        <f>revenue[revenue]-(revenue[productCost]*revenue[orderQuantity])</f>
        <v>48.54282023</v>
      </c>
      <c r="R1624" s="25">
        <f>IFERROR(revenue[profit]/revenue[revenue], 0)</f>
        <v>0.1622149381</v>
      </c>
      <c r="S1624" s="9">
        <f>revenue[productCost]*revenue[orderQuantity]</f>
        <v>250.7071798</v>
      </c>
    </row>
    <row r="1625" ht="15.75" customHeight="1">
      <c r="A1625" s="6">
        <v>10866.0</v>
      </c>
      <c r="B1625" s="7" t="s">
        <v>40</v>
      </c>
      <c r="C1625" s="24" t="str">
        <f>VLOOKUP(revenue[customerID],customers[],2,FALSE)</f>
        <v>Berglunds snabbköp</v>
      </c>
      <c r="D1625" s="24" t="str">
        <f>VLOOKUP(revenue[customerID],customers[],6,FALSE)</f>
        <v>Luleå</v>
      </c>
      <c r="E1625" s="24" t="str">
        <f>VLOOKUP(revenue[customerID],customers[],9,FALSE)</f>
        <v>Sweden</v>
      </c>
      <c r="F1625" s="24">
        <v>45325.0</v>
      </c>
      <c r="G1625" s="6">
        <v>24.0</v>
      </c>
      <c r="H1625" s="9" t="str">
        <f>VLOOKUP(revenue[productID],products[],2,FALSE)</f>
        <v>Brigadeiros Maravilhosos da Lilian</v>
      </c>
      <c r="I1625" s="9" t="str">
        <f>VLOOKUP(revenue[productID],products[],12,FALSE)</f>
        <v>Confections</v>
      </c>
      <c r="J1625" s="9">
        <f>VLOOKUP(revenue[productID],products[],IF(YEAR(revenue[orderDate])=2022,8,IF(YEAR(revenue[orderDate])=2023,9,IF(YEAR(revenue[orderDate])=2024,10,NA))),FALSE)</f>
        <v>3.177326315</v>
      </c>
      <c r="K1625" s="9">
        <v>4.5</v>
      </c>
      <c r="L1625" s="25">
        <f>(revenue[orderPrice]-revenue[productCost])/revenue[productCost]</f>
        <v>0.416285126</v>
      </c>
      <c r="M1625" s="10">
        <v>6.0</v>
      </c>
      <c r="N1625" s="25">
        <v>0.25</v>
      </c>
      <c r="O1625" s="9">
        <f>revenue[orderPrice]*revenue[orderQuantity]</f>
        <v>27</v>
      </c>
      <c r="P1625" s="9">
        <f>revenue[orderTotal]*(1-revenue[discountApllied])</f>
        <v>20.25</v>
      </c>
      <c r="Q1625" s="9">
        <f>revenue[revenue]-(revenue[productCost]*revenue[orderQuantity])</f>
        <v>1.186042112</v>
      </c>
      <c r="R1625" s="25">
        <f>IFERROR(revenue[profit]/revenue[revenue], 0)</f>
        <v>0.05856998083</v>
      </c>
      <c r="S1625" s="9">
        <f>revenue[productCost]*revenue[orderQuantity]</f>
        <v>19.06395789</v>
      </c>
    </row>
    <row r="1626" ht="15.75" customHeight="1">
      <c r="A1626" s="6">
        <v>10866.0</v>
      </c>
      <c r="B1626" s="7" t="s">
        <v>40</v>
      </c>
      <c r="C1626" s="24" t="str">
        <f>VLOOKUP(revenue[customerID],customers[],2,FALSE)</f>
        <v>Berglunds snabbköp</v>
      </c>
      <c r="D1626" s="24" t="str">
        <f>VLOOKUP(revenue[customerID],customers[],6,FALSE)</f>
        <v>Luleå</v>
      </c>
      <c r="E1626" s="24" t="str">
        <f>VLOOKUP(revenue[customerID],customers[],9,FALSE)</f>
        <v>Sweden</v>
      </c>
      <c r="F1626" s="24">
        <v>45325.0</v>
      </c>
      <c r="G1626" s="6">
        <v>30.0</v>
      </c>
      <c r="H1626" s="9" t="str">
        <f>VLOOKUP(revenue[productID],products[],2,FALSE)</f>
        <v>Nord-Ost Matjeshering</v>
      </c>
      <c r="I1626" s="9" t="str">
        <f>VLOOKUP(revenue[productID],products[],12,FALSE)</f>
        <v>Seafood</v>
      </c>
      <c r="J1626" s="9">
        <f>VLOOKUP(revenue[productID],products[],IF(YEAR(revenue[orderDate])=2022,8,IF(YEAR(revenue[orderDate])=2023,9,IF(YEAR(revenue[orderDate])=2024,10,NA))),FALSE)</f>
        <v>17.0327851</v>
      </c>
      <c r="K1626" s="9">
        <v>25.89</v>
      </c>
      <c r="L1626" s="25">
        <f>(revenue[orderPrice]-revenue[productCost])/revenue[productCost]</f>
        <v>0.5200097842</v>
      </c>
      <c r="M1626" s="10">
        <v>40.0</v>
      </c>
      <c r="N1626" s="25">
        <v>0.25</v>
      </c>
      <c r="O1626" s="9">
        <f>revenue[orderPrice]*revenue[orderQuantity]</f>
        <v>1035.6</v>
      </c>
      <c r="P1626" s="9">
        <f>revenue[orderTotal]*(1-revenue[discountApllied])</f>
        <v>776.7</v>
      </c>
      <c r="Q1626" s="9">
        <f>revenue[revenue]-(revenue[productCost]*revenue[orderQuantity])</f>
        <v>95.38859612</v>
      </c>
      <c r="R1626" s="25">
        <f>IFERROR(revenue[profit]/revenue[revenue], 0)</f>
        <v>0.122812664</v>
      </c>
      <c r="S1626" s="9">
        <f>revenue[productCost]*revenue[orderQuantity]</f>
        <v>681.3114039</v>
      </c>
    </row>
    <row r="1627" ht="15.75" customHeight="1">
      <c r="A1627" s="6">
        <v>10867.0</v>
      </c>
      <c r="B1627" s="7" t="s">
        <v>53</v>
      </c>
      <c r="C1627" s="24" t="str">
        <f>VLOOKUP(revenue[customerID],customers[],2,FALSE)</f>
        <v>Lonesome Pine Restaurant</v>
      </c>
      <c r="D1627" s="24" t="str">
        <f>VLOOKUP(revenue[customerID],customers[],6,FALSE)</f>
        <v>Portland</v>
      </c>
      <c r="E1627" s="24" t="str">
        <f>VLOOKUP(revenue[customerID],customers[],9,FALSE)</f>
        <v>USA</v>
      </c>
      <c r="F1627" s="24">
        <v>45325.0</v>
      </c>
      <c r="G1627" s="6">
        <v>53.0</v>
      </c>
      <c r="H1627" s="9" t="str">
        <f>VLOOKUP(revenue[productID],products[],2,FALSE)</f>
        <v>Perth Pasties</v>
      </c>
      <c r="I1627" s="9" t="str">
        <f>VLOOKUP(revenue[productID],products[],12,FALSE)</f>
        <v>Meat/Poultry</v>
      </c>
      <c r="J1627" s="9">
        <f>VLOOKUP(revenue[productID],products[],IF(YEAR(revenue[orderDate])=2022,8,IF(YEAR(revenue[orderDate])=2023,9,IF(YEAR(revenue[orderDate])=2024,10,NA))),FALSE)</f>
        <v>22.92637057</v>
      </c>
      <c r="K1627" s="9">
        <v>32.8</v>
      </c>
      <c r="L1627" s="25">
        <f>(revenue[orderPrice]-revenue[productCost])/revenue[productCost]</f>
        <v>0.4306669216</v>
      </c>
      <c r="M1627" s="10">
        <v>3.0</v>
      </c>
      <c r="N1627" s="25">
        <v>0.0</v>
      </c>
      <c r="O1627" s="9">
        <f>revenue[orderPrice]*revenue[orderQuantity]</f>
        <v>98.4</v>
      </c>
      <c r="P1627" s="9">
        <f>revenue[orderTotal]*(1-revenue[discountApllied])</f>
        <v>98.4</v>
      </c>
      <c r="Q1627" s="9">
        <f>revenue[revenue]-(revenue[productCost]*revenue[orderQuantity])</f>
        <v>29.6208883</v>
      </c>
      <c r="R1627" s="25">
        <f>IFERROR(revenue[profit]/revenue[revenue], 0)</f>
        <v>0.3010252876</v>
      </c>
      <c r="S1627" s="9">
        <f>revenue[productCost]*revenue[orderQuantity]</f>
        <v>68.7791117</v>
      </c>
    </row>
    <row r="1628" ht="15.75" customHeight="1">
      <c r="A1628" s="6">
        <v>10868.0</v>
      </c>
      <c r="B1628" s="7" t="s">
        <v>77</v>
      </c>
      <c r="C1628" s="24" t="str">
        <f>VLOOKUP(revenue[customerID],customers[],2,FALSE)</f>
        <v>Queen Cozinha</v>
      </c>
      <c r="D1628" s="24" t="str">
        <f>VLOOKUP(revenue[customerID],customers[],6,FALSE)</f>
        <v>Sao Paulo</v>
      </c>
      <c r="E1628" s="24" t="str">
        <f>VLOOKUP(revenue[customerID],customers[],9,FALSE)</f>
        <v>Brazil</v>
      </c>
      <c r="F1628" s="24">
        <v>45326.0</v>
      </c>
      <c r="G1628" s="6">
        <v>26.0</v>
      </c>
      <c r="H1628" s="9" t="str">
        <f>VLOOKUP(revenue[productID],products[],2,FALSE)</f>
        <v>NuNuCa Nuß-Nougat-Creme</v>
      </c>
      <c r="I1628" s="9" t="str">
        <f>VLOOKUP(revenue[productID],products[],12,FALSE)</f>
        <v>Confections</v>
      </c>
      <c r="J1628" s="9">
        <f>VLOOKUP(revenue[productID],products[],IF(YEAR(revenue[orderDate])=2022,8,IF(YEAR(revenue[orderDate])=2023,9,IF(YEAR(revenue[orderDate])=2024,10,NA))),FALSE)</f>
        <v>22.79977195</v>
      </c>
      <c r="K1628" s="9">
        <v>31.23</v>
      </c>
      <c r="L1628" s="25">
        <f>(revenue[orderPrice]-revenue[productCost])/revenue[productCost]</f>
        <v>0.3697505427</v>
      </c>
      <c r="M1628" s="10">
        <v>20.0</v>
      </c>
      <c r="N1628" s="25">
        <v>0.0</v>
      </c>
      <c r="O1628" s="9">
        <f>revenue[orderPrice]*revenue[orderQuantity]</f>
        <v>624.6</v>
      </c>
      <c r="P1628" s="9">
        <f>revenue[orderTotal]*(1-revenue[discountApllied])</f>
        <v>624.6</v>
      </c>
      <c r="Q1628" s="9">
        <f>revenue[revenue]-(revenue[productCost]*revenue[orderQuantity])</f>
        <v>168.604561</v>
      </c>
      <c r="R1628" s="25">
        <f>IFERROR(revenue[profit]/revenue[revenue], 0)</f>
        <v>0.2699400593</v>
      </c>
      <c r="S1628" s="9">
        <f>revenue[productCost]*revenue[orderQuantity]</f>
        <v>455.995439</v>
      </c>
    </row>
    <row r="1629" ht="15.75" customHeight="1">
      <c r="A1629" s="6">
        <v>10868.0</v>
      </c>
      <c r="B1629" s="7" t="s">
        <v>77</v>
      </c>
      <c r="C1629" s="24" t="str">
        <f>VLOOKUP(revenue[customerID],customers[],2,FALSE)</f>
        <v>Queen Cozinha</v>
      </c>
      <c r="D1629" s="24" t="str">
        <f>VLOOKUP(revenue[customerID],customers[],6,FALSE)</f>
        <v>Sao Paulo</v>
      </c>
      <c r="E1629" s="24" t="str">
        <f>VLOOKUP(revenue[customerID],customers[],9,FALSE)</f>
        <v>Brazil</v>
      </c>
      <c r="F1629" s="24">
        <v>45326.0</v>
      </c>
      <c r="G1629" s="6">
        <v>35.0</v>
      </c>
      <c r="H1629" s="9" t="str">
        <f>VLOOKUP(revenue[productID],products[],2,FALSE)</f>
        <v>Cold Brew Nitro</v>
      </c>
      <c r="I1629" s="9" t="str">
        <f>VLOOKUP(revenue[productID],products[],12,FALSE)</f>
        <v>Beverages</v>
      </c>
      <c r="J1629" s="9">
        <f>VLOOKUP(revenue[productID],products[],IF(YEAR(revenue[orderDate])=2022,8,IF(YEAR(revenue[orderDate])=2023,9,IF(YEAR(revenue[orderDate])=2024,10,NA))),FALSE)</f>
        <v>12.9261692</v>
      </c>
      <c r="K1629" s="9">
        <v>18.0</v>
      </c>
      <c r="L1629" s="25">
        <f>(revenue[orderPrice]-revenue[productCost])/revenue[productCost]</f>
        <v>0.3925239355</v>
      </c>
      <c r="M1629" s="10">
        <v>30.0</v>
      </c>
      <c r="N1629" s="25">
        <v>0.0</v>
      </c>
      <c r="O1629" s="9">
        <f>revenue[orderPrice]*revenue[orderQuantity]</f>
        <v>540</v>
      </c>
      <c r="P1629" s="9">
        <f>revenue[orderTotal]*(1-revenue[discountApllied])</f>
        <v>540</v>
      </c>
      <c r="Q1629" s="9">
        <f>revenue[revenue]-(revenue[productCost]*revenue[orderQuantity])</f>
        <v>152.2149241</v>
      </c>
      <c r="R1629" s="25">
        <f>IFERROR(revenue[profit]/revenue[revenue], 0)</f>
        <v>0.2818794891</v>
      </c>
      <c r="S1629" s="9">
        <f>revenue[productCost]*revenue[orderQuantity]</f>
        <v>387.7850759</v>
      </c>
    </row>
    <row r="1630" ht="15.75" customHeight="1">
      <c r="A1630" s="6">
        <v>10868.0</v>
      </c>
      <c r="B1630" s="7" t="s">
        <v>77</v>
      </c>
      <c r="C1630" s="24" t="str">
        <f>VLOOKUP(revenue[customerID],customers[],2,FALSE)</f>
        <v>Queen Cozinha</v>
      </c>
      <c r="D1630" s="24" t="str">
        <f>VLOOKUP(revenue[customerID],customers[],6,FALSE)</f>
        <v>Sao Paulo</v>
      </c>
      <c r="E1630" s="24" t="str">
        <f>VLOOKUP(revenue[customerID],customers[],9,FALSE)</f>
        <v>Brazil</v>
      </c>
      <c r="F1630" s="24">
        <v>45326.0</v>
      </c>
      <c r="G1630" s="6">
        <v>49.0</v>
      </c>
      <c r="H1630" s="9" t="str">
        <f>VLOOKUP(revenue[productID],products[],2,FALSE)</f>
        <v>Maxilaku</v>
      </c>
      <c r="I1630" s="9" t="str">
        <f>VLOOKUP(revenue[productID],products[],12,FALSE)</f>
        <v>Confections</v>
      </c>
      <c r="J1630" s="9">
        <f>VLOOKUP(revenue[productID],products[],IF(YEAR(revenue[orderDate])=2022,8,IF(YEAR(revenue[orderDate])=2023,9,IF(YEAR(revenue[orderDate])=2024,10,NA))),FALSE)</f>
        <v>15.07459899</v>
      </c>
      <c r="K1630" s="9">
        <v>20.0</v>
      </c>
      <c r="L1630" s="25">
        <f>(revenue[orderPrice]-revenue[productCost])/revenue[productCost]</f>
        <v>0.3267351269</v>
      </c>
      <c r="M1630" s="10">
        <v>42.0</v>
      </c>
      <c r="N1630" s="25">
        <v>0.1</v>
      </c>
      <c r="O1630" s="9">
        <f>revenue[orderPrice]*revenue[orderQuantity]</f>
        <v>840</v>
      </c>
      <c r="P1630" s="9">
        <f>revenue[orderTotal]*(1-revenue[discountApllied])</f>
        <v>756</v>
      </c>
      <c r="Q1630" s="9">
        <f>revenue[revenue]-(revenue[productCost]*revenue[orderQuantity])</f>
        <v>122.8668426</v>
      </c>
      <c r="R1630" s="25">
        <f>IFERROR(revenue[profit]/revenue[revenue], 0)</f>
        <v>0.1625222785</v>
      </c>
      <c r="S1630" s="9">
        <f>revenue[productCost]*revenue[orderQuantity]</f>
        <v>633.1331574</v>
      </c>
    </row>
    <row r="1631" ht="15.75" customHeight="1">
      <c r="A1631" s="6">
        <v>10869.0</v>
      </c>
      <c r="B1631" s="7" t="s">
        <v>71</v>
      </c>
      <c r="C1631" s="24" t="str">
        <f>VLOOKUP(revenue[customerID],customers[],2,FALSE)</f>
        <v>Seven Seas Imports</v>
      </c>
      <c r="D1631" s="24" t="str">
        <f>VLOOKUP(revenue[customerID],customers[],6,FALSE)</f>
        <v>London</v>
      </c>
      <c r="E1631" s="24" t="str">
        <f>VLOOKUP(revenue[customerID],customers[],9,FALSE)</f>
        <v>UK</v>
      </c>
      <c r="F1631" s="24">
        <v>45326.0</v>
      </c>
      <c r="G1631" s="6">
        <v>1.0</v>
      </c>
      <c r="H1631" s="9" t="str">
        <f>VLOOKUP(revenue[productID],products[],2,FALSE)</f>
        <v>Chai</v>
      </c>
      <c r="I1631" s="9" t="str">
        <f>VLOOKUP(revenue[productID],products[],12,FALSE)</f>
        <v>Beverages</v>
      </c>
      <c r="J1631" s="9">
        <f>VLOOKUP(revenue[productID],products[],IF(YEAR(revenue[orderDate])=2022,8,IF(YEAR(revenue[orderDate])=2023,9,IF(YEAR(revenue[orderDate])=2024,10,NA))),FALSE)</f>
        <v>12.17757454</v>
      </c>
      <c r="K1631" s="9">
        <v>18.0</v>
      </c>
      <c r="L1631" s="25">
        <f>(revenue[orderPrice]-revenue[productCost])/revenue[productCost]</f>
        <v>0.4781268584</v>
      </c>
      <c r="M1631" s="10">
        <v>40.0</v>
      </c>
      <c r="N1631" s="25">
        <v>0.0</v>
      </c>
      <c r="O1631" s="9">
        <f>revenue[orderPrice]*revenue[orderQuantity]</f>
        <v>720</v>
      </c>
      <c r="P1631" s="9">
        <f>revenue[orderTotal]*(1-revenue[discountApllied])</f>
        <v>720</v>
      </c>
      <c r="Q1631" s="9">
        <f>revenue[revenue]-(revenue[productCost]*revenue[orderQuantity])</f>
        <v>232.8970183</v>
      </c>
      <c r="R1631" s="25">
        <f>IFERROR(revenue[profit]/revenue[revenue], 0)</f>
        <v>0.323468081</v>
      </c>
      <c r="S1631" s="9">
        <f>revenue[productCost]*revenue[orderQuantity]</f>
        <v>487.1029817</v>
      </c>
    </row>
    <row r="1632" ht="15.75" customHeight="1">
      <c r="A1632" s="6">
        <v>10869.0</v>
      </c>
      <c r="B1632" s="7" t="s">
        <v>71</v>
      </c>
      <c r="C1632" s="24" t="str">
        <f>VLOOKUP(revenue[customerID],customers[],2,FALSE)</f>
        <v>Seven Seas Imports</v>
      </c>
      <c r="D1632" s="24" t="str">
        <f>VLOOKUP(revenue[customerID],customers[],6,FALSE)</f>
        <v>London</v>
      </c>
      <c r="E1632" s="24" t="str">
        <f>VLOOKUP(revenue[customerID],customers[],9,FALSE)</f>
        <v>UK</v>
      </c>
      <c r="F1632" s="24">
        <v>45326.0</v>
      </c>
      <c r="G1632" s="6">
        <v>11.0</v>
      </c>
      <c r="H1632" s="9" t="str">
        <f>VLOOKUP(revenue[productID],products[],2,FALSE)</f>
        <v>Queso Cabrales</v>
      </c>
      <c r="I1632" s="9" t="str">
        <f>VLOOKUP(revenue[productID],products[],12,FALSE)</f>
        <v>Dairy Products</v>
      </c>
      <c r="J1632" s="9">
        <f>VLOOKUP(revenue[productID],products[],IF(YEAR(revenue[orderDate])=2022,8,IF(YEAR(revenue[orderDate])=2023,9,IF(YEAR(revenue[orderDate])=2024,10,NA))),FALSE)</f>
        <v>13.86836261</v>
      </c>
      <c r="K1632" s="9">
        <v>21.0</v>
      </c>
      <c r="L1632" s="25">
        <f>(revenue[orderPrice]-revenue[productCost])/revenue[productCost]</f>
        <v>0.51423788</v>
      </c>
      <c r="M1632" s="10">
        <v>10.0</v>
      </c>
      <c r="N1632" s="25">
        <v>0.0</v>
      </c>
      <c r="O1632" s="9">
        <f>revenue[orderPrice]*revenue[orderQuantity]</f>
        <v>210</v>
      </c>
      <c r="P1632" s="9">
        <f>revenue[orderTotal]*(1-revenue[discountApllied])</f>
        <v>210</v>
      </c>
      <c r="Q1632" s="9">
        <f>revenue[revenue]-(revenue[productCost]*revenue[orderQuantity])</f>
        <v>71.31637389</v>
      </c>
      <c r="R1632" s="25">
        <f>IFERROR(revenue[profit]/revenue[revenue], 0)</f>
        <v>0.3396017804</v>
      </c>
      <c r="S1632" s="9">
        <f>revenue[productCost]*revenue[orderQuantity]</f>
        <v>138.6836261</v>
      </c>
    </row>
    <row r="1633" ht="15.75" customHeight="1">
      <c r="A1633" s="6">
        <v>10869.0</v>
      </c>
      <c r="B1633" s="7" t="s">
        <v>71</v>
      </c>
      <c r="C1633" s="24" t="str">
        <f>VLOOKUP(revenue[customerID],customers[],2,FALSE)</f>
        <v>Seven Seas Imports</v>
      </c>
      <c r="D1633" s="24" t="str">
        <f>VLOOKUP(revenue[customerID],customers[],6,FALSE)</f>
        <v>London</v>
      </c>
      <c r="E1633" s="24" t="str">
        <f>VLOOKUP(revenue[customerID],customers[],9,FALSE)</f>
        <v>UK</v>
      </c>
      <c r="F1633" s="24">
        <v>45326.0</v>
      </c>
      <c r="G1633" s="6">
        <v>23.0</v>
      </c>
      <c r="H1633" s="9" t="str">
        <f>VLOOKUP(revenue[productID],products[],2,FALSE)</f>
        <v>Tunnbröd</v>
      </c>
      <c r="I1633" s="9" t="str">
        <f>VLOOKUP(revenue[productID],products[],12,FALSE)</f>
        <v>Grains/Cereals</v>
      </c>
      <c r="J1633" s="9">
        <f>VLOOKUP(revenue[productID],products[],IF(YEAR(revenue[orderDate])=2022,8,IF(YEAR(revenue[orderDate])=2023,9,IF(YEAR(revenue[orderDate])=2024,10,NA))),FALSE)</f>
        <v>6.224885622</v>
      </c>
      <c r="K1633" s="9">
        <v>9.0</v>
      </c>
      <c r="L1633" s="25">
        <f>(revenue[orderPrice]-revenue[productCost])/revenue[productCost]</f>
        <v>0.4458096979</v>
      </c>
      <c r="M1633" s="10">
        <v>50.0</v>
      </c>
      <c r="N1633" s="25">
        <v>0.0</v>
      </c>
      <c r="O1633" s="9">
        <f>revenue[orderPrice]*revenue[orderQuantity]</f>
        <v>450</v>
      </c>
      <c r="P1633" s="9">
        <f>revenue[orderTotal]*(1-revenue[discountApllied])</f>
        <v>450</v>
      </c>
      <c r="Q1633" s="9">
        <f>revenue[revenue]-(revenue[productCost]*revenue[orderQuantity])</f>
        <v>138.7557189</v>
      </c>
      <c r="R1633" s="25">
        <f>IFERROR(revenue[profit]/revenue[revenue], 0)</f>
        <v>0.308346042</v>
      </c>
      <c r="S1633" s="9">
        <f>revenue[productCost]*revenue[orderQuantity]</f>
        <v>311.2442811</v>
      </c>
    </row>
    <row r="1634" ht="15.75" customHeight="1">
      <c r="A1634" s="6">
        <v>10869.0</v>
      </c>
      <c r="B1634" s="7" t="s">
        <v>71</v>
      </c>
      <c r="C1634" s="24" t="str">
        <f>VLOOKUP(revenue[customerID],customers[],2,FALSE)</f>
        <v>Seven Seas Imports</v>
      </c>
      <c r="D1634" s="24" t="str">
        <f>VLOOKUP(revenue[customerID],customers[],6,FALSE)</f>
        <v>London</v>
      </c>
      <c r="E1634" s="24" t="str">
        <f>VLOOKUP(revenue[customerID],customers[],9,FALSE)</f>
        <v>UK</v>
      </c>
      <c r="F1634" s="24">
        <v>45326.0</v>
      </c>
      <c r="G1634" s="6">
        <v>68.0</v>
      </c>
      <c r="H1634" s="9" t="str">
        <f>VLOOKUP(revenue[productID],products[],2,FALSE)</f>
        <v>Scottish Longbreads</v>
      </c>
      <c r="I1634" s="9" t="str">
        <f>VLOOKUP(revenue[productID],products[],12,FALSE)</f>
        <v>Confections</v>
      </c>
      <c r="J1634" s="9">
        <f>VLOOKUP(revenue[productID],products[],IF(YEAR(revenue[orderDate])=2022,8,IF(YEAR(revenue[orderDate])=2023,9,IF(YEAR(revenue[orderDate])=2024,10,NA))),FALSE)</f>
        <v>9.555031708</v>
      </c>
      <c r="K1634" s="9">
        <v>12.5</v>
      </c>
      <c r="L1634" s="25">
        <f>(revenue[orderPrice]-revenue[productCost])/revenue[productCost]</f>
        <v>0.3082112527</v>
      </c>
      <c r="M1634" s="10">
        <v>20.0</v>
      </c>
      <c r="N1634" s="25">
        <v>0.0</v>
      </c>
      <c r="O1634" s="9">
        <f>revenue[orderPrice]*revenue[orderQuantity]</f>
        <v>250</v>
      </c>
      <c r="P1634" s="9">
        <f>revenue[orderTotal]*(1-revenue[discountApllied])</f>
        <v>250</v>
      </c>
      <c r="Q1634" s="9">
        <f>revenue[revenue]-(revenue[productCost]*revenue[orderQuantity])</f>
        <v>58.89936585</v>
      </c>
      <c r="R1634" s="25">
        <f>IFERROR(revenue[profit]/revenue[revenue], 0)</f>
        <v>0.2355974634</v>
      </c>
      <c r="S1634" s="9">
        <f>revenue[productCost]*revenue[orderQuantity]</f>
        <v>191.1006342</v>
      </c>
    </row>
    <row r="1635" ht="15.75" customHeight="1">
      <c r="A1635" s="6">
        <v>10870.0</v>
      </c>
      <c r="B1635" s="7" t="s">
        <v>78</v>
      </c>
      <c r="C1635" s="24" t="str">
        <f>VLOOKUP(revenue[customerID],customers[],2,FALSE)</f>
        <v>Wolski  Zajazd</v>
      </c>
      <c r="D1635" s="24" t="str">
        <f>VLOOKUP(revenue[customerID],customers[],6,FALSE)</f>
        <v>Warszawa</v>
      </c>
      <c r="E1635" s="24" t="str">
        <f>VLOOKUP(revenue[customerID],customers[],9,FALSE)</f>
        <v>Poland</v>
      </c>
      <c r="F1635" s="24">
        <v>45326.0</v>
      </c>
      <c r="G1635" s="6">
        <v>35.0</v>
      </c>
      <c r="H1635" s="9" t="str">
        <f>VLOOKUP(revenue[productID],products[],2,FALSE)</f>
        <v>Cold Brew Nitro</v>
      </c>
      <c r="I1635" s="9" t="str">
        <f>VLOOKUP(revenue[productID],products[],12,FALSE)</f>
        <v>Beverages</v>
      </c>
      <c r="J1635" s="9">
        <f>VLOOKUP(revenue[productID],products[],IF(YEAR(revenue[orderDate])=2022,8,IF(YEAR(revenue[orderDate])=2023,9,IF(YEAR(revenue[orderDate])=2024,10,NA))),FALSE)</f>
        <v>12.9261692</v>
      </c>
      <c r="K1635" s="9">
        <v>18.0</v>
      </c>
      <c r="L1635" s="25">
        <f>(revenue[orderPrice]-revenue[productCost])/revenue[productCost]</f>
        <v>0.3925239355</v>
      </c>
      <c r="M1635" s="10">
        <v>3.0</v>
      </c>
      <c r="N1635" s="25">
        <v>0.0</v>
      </c>
      <c r="O1635" s="9">
        <f>revenue[orderPrice]*revenue[orderQuantity]</f>
        <v>54</v>
      </c>
      <c r="P1635" s="9">
        <f>revenue[orderTotal]*(1-revenue[discountApllied])</f>
        <v>54</v>
      </c>
      <c r="Q1635" s="9">
        <f>revenue[revenue]-(revenue[productCost]*revenue[orderQuantity])</f>
        <v>15.22149241</v>
      </c>
      <c r="R1635" s="25">
        <f>IFERROR(revenue[profit]/revenue[revenue], 0)</f>
        <v>0.2818794891</v>
      </c>
      <c r="S1635" s="9">
        <f>revenue[productCost]*revenue[orderQuantity]</f>
        <v>38.77850759</v>
      </c>
    </row>
    <row r="1636" ht="15.75" customHeight="1">
      <c r="A1636" s="6">
        <v>10870.0</v>
      </c>
      <c r="B1636" s="7" t="s">
        <v>78</v>
      </c>
      <c r="C1636" s="24" t="str">
        <f>VLOOKUP(revenue[customerID],customers[],2,FALSE)</f>
        <v>Wolski  Zajazd</v>
      </c>
      <c r="D1636" s="24" t="str">
        <f>VLOOKUP(revenue[customerID],customers[],6,FALSE)</f>
        <v>Warszawa</v>
      </c>
      <c r="E1636" s="24" t="str">
        <f>VLOOKUP(revenue[customerID],customers[],9,FALSE)</f>
        <v>Poland</v>
      </c>
      <c r="F1636" s="24">
        <v>45326.0</v>
      </c>
      <c r="G1636" s="6">
        <v>51.0</v>
      </c>
      <c r="H1636" s="9" t="str">
        <f>VLOOKUP(revenue[productID],products[],2,FALSE)</f>
        <v>Manjimup Dried Apples</v>
      </c>
      <c r="I1636" s="9" t="str">
        <f>VLOOKUP(revenue[productID],products[],12,FALSE)</f>
        <v>Produce</v>
      </c>
      <c r="J1636" s="9">
        <f>VLOOKUP(revenue[productID],products[],IF(YEAR(revenue[orderDate])=2022,8,IF(YEAR(revenue[orderDate])=2023,9,IF(YEAR(revenue[orderDate])=2024,10,NA))),FALSE)</f>
        <v>39.51416462</v>
      </c>
      <c r="K1636" s="9">
        <v>53.0</v>
      </c>
      <c r="L1636" s="25">
        <f>(revenue[orderPrice]-revenue[productCost])/revenue[productCost]</f>
        <v>0.3412911677</v>
      </c>
      <c r="M1636" s="10">
        <v>2.0</v>
      </c>
      <c r="N1636" s="25">
        <v>0.0</v>
      </c>
      <c r="O1636" s="9">
        <f>revenue[orderPrice]*revenue[orderQuantity]</f>
        <v>106</v>
      </c>
      <c r="P1636" s="9">
        <f>revenue[orderTotal]*(1-revenue[discountApllied])</f>
        <v>106</v>
      </c>
      <c r="Q1636" s="9">
        <f>revenue[revenue]-(revenue[productCost]*revenue[orderQuantity])</f>
        <v>26.97167076</v>
      </c>
      <c r="R1636" s="25">
        <f>IFERROR(revenue[profit]/revenue[revenue], 0)</f>
        <v>0.2544497242</v>
      </c>
      <c r="S1636" s="9">
        <f>revenue[productCost]*revenue[orderQuantity]</f>
        <v>79.02832924</v>
      </c>
    </row>
    <row r="1637" ht="15.75" customHeight="1">
      <c r="A1637" s="6">
        <v>10871.0</v>
      </c>
      <c r="B1637" s="7" t="s">
        <v>63</v>
      </c>
      <c r="C1637" s="24" t="str">
        <f>VLOOKUP(revenue[customerID],customers[],2,FALSE)</f>
        <v>Bon app'</v>
      </c>
      <c r="D1637" s="24" t="str">
        <f>VLOOKUP(revenue[customerID],customers[],6,FALSE)</f>
        <v>Marseille</v>
      </c>
      <c r="E1637" s="24" t="str">
        <f>VLOOKUP(revenue[customerID],customers[],9,FALSE)</f>
        <v>France</v>
      </c>
      <c r="F1637" s="24">
        <v>45327.0</v>
      </c>
      <c r="G1637" s="6">
        <v>6.0</v>
      </c>
      <c r="H1637" s="9" t="str">
        <f>VLOOKUP(revenue[productID],products[],2,FALSE)</f>
        <v>Grandma's Boysenberry Spread</v>
      </c>
      <c r="I1637" s="9" t="str">
        <f>VLOOKUP(revenue[productID],products[],12,FALSE)</f>
        <v>Condiments</v>
      </c>
      <c r="J1637" s="9">
        <f>VLOOKUP(revenue[productID],products[],IF(YEAR(revenue[orderDate])=2022,8,IF(YEAR(revenue[orderDate])=2023,9,IF(YEAR(revenue[orderDate])=2024,10,NA))),FALSE)</f>
        <v>17.2416593</v>
      </c>
      <c r="K1637" s="9">
        <v>25.0</v>
      </c>
      <c r="L1637" s="25">
        <f>(revenue[orderPrice]-revenue[productCost])/revenue[productCost]</f>
        <v>0.4499764532</v>
      </c>
      <c r="M1637" s="10">
        <v>50.0</v>
      </c>
      <c r="N1637" s="25">
        <v>0.05</v>
      </c>
      <c r="O1637" s="9">
        <f>revenue[orderPrice]*revenue[orderQuantity]</f>
        <v>1250</v>
      </c>
      <c r="P1637" s="9">
        <f>revenue[orderTotal]*(1-revenue[discountApllied])</f>
        <v>1187.5</v>
      </c>
      <c r="Q1637" s="9">
        <f>revenue[revenue]-(revenue[productCost]*revenue[orderQuantity])</f>
        <v>325.417035</v>
      </c>
      <c r="R1637" s="25">
        <f>IFERROR(revenue[profit]/revenue[revenue], 0)</f>
        <v>0.2740353979</v>
      </c>
      <c r="S1637" s="9">
        <f>revenue[productCost]*revenue[orderQuantity]</f>
        <v>862.082965</v>
      </c>
    </row>
    <row r="1638" ht="15.75" customHeight="1">
      <c r="A1638" s="6">
        <v>10871.0</v>
      </c>
      <c r="B1638" s="7" t="s">
        <v>63</v>
      </c>
      <c r="C1638" s="24" t="str">
        <f>VLOOKUP(revenue[customerID],customers[],2,FALSE)</f>
        <v>Bon app'</v>
      </c>
      <c r="D1638" s="24" t="str">
        <f>VLOOKUP(revenue[customerID],customers[],6,FALSE)</f>
        <v>Marseille</v>
      </c>
      <c r="E1638" s="24" t="str">
        <f>VLOOKUP(revenue[customerID],customers[],9,FALSE)</f>
        <v>France</v>
      </c>
      <c r="F1638" s="24">
        <v>45327.0</v>
      </c>
      <c r="G1638" s="6">
        <v>16.0</v>
      </c>
      <c r="H1638" s="9" t="str">
        <f>VLOOKUP(revenue[productID],products[],2,FALSE)</f>
        <v>Pavlova</v>
      </c>
      <c r="I1638" s="9" t="str">
        <f>VLOOKUP(revenue[productID],products[],12,FALSE)</f>
        <v>Confections</v>
      </c>
      <c r="J1638" s="9">
        <f>VLOOKUP(revenue[productID],products[],IF(YEAR(revenue[orderDate])=2022,8,IF(YEAR(revenue[orderDate])=2023,9,IF(YEAR(revenue[orderDate])=2024,10,NA))),FALSE)</f>
        <v>12.68283974</v>
      </c>
      <c r="K1638" s="9">
        <v>17.45</v>
      </c>
      <c r="L1638" s="25">
        <f>(revenue[orderPrice]-revenue[productCost])/revenue[productCost]</f>
        <v>0.3758748323</v>
      </c>
      <c r="M1638" s="10">
        <v>12.0</v>
      </c>
      <c r="N1638" s="25">
        <v>0.05</v>
      </c>
      <c r="O1638" s="9">
        <f>revenue[orderPrice]*revenue[orderQuantity]</f>
        <v>209.4</v>
      </c>
      <c r="P1638" s="9">
        <f>revenue[orderTotal]*(1-revenue[discountApllied])</f>
        <v>198.93</v>
      </c>
      <c r="Q1638" s="9">
        <f>revenue[revenue]-(revenue[productCost]*revenue[orderQuantity])</f>
        <v>46.73592312</v>
      </c>
      <c r="R1638" s="25">
        <f>IFERROR(revenue[profit]/revenue[revenue], 0)</f>
        <v>0.234936526</v>
      </c>
      <c r="S1638" s="9">
        <f>revenue[productCost]*revenue[orderQuantity]</f>
        <v>152.1940769</v>
      </c>
    </row>
    <row r="1639" ht="15.75" customHeight="1">
      <c r="A1639" s="6">
        <v>10871.0</v>
      </c>
      <c r="B1639" s="7" t="s">
        <v>63</v>
      </c>
      <c r="C1639" s="24" t="str">
        <f>VLOOKUP(revenue[customerID],customers[],2,FALSE)</f>
        <v>Bon app'</v>
      </c>
      <c r="D1639" s="24" t="str">
        <f>VLOOKUP(revenue[customerID],customers[],6,FALSE)</f>
        <v>Marseille</v>
      </c>
      <c r="E1639" s="24" t="str">
        <f>VLOOKUP(revenue[customerID],customers[],9,FALSE)</f>
        <v>France</v>
      </c>
      <c r="F1639" s="24">
        <v>45327.0</v>
      </c>
      <c r="G1639" s="6">
        <v>17.0</v>
      </c>
      <c r="H1639" s="9" t="str">
        <f>VLOOKUP(revenue[productID],products[],2,FALSE)</f>
        <v>Alice Mutton</v>
      </c>
      <c r="I1639" s="9" t="str">
        <f>VLOOKUP(revenue[productID],products[],12,FALSE)</f>
        <v>Meat/Poultry</v>
      </c>
      <c r="J1639" s="9">
        <f>VLOOKUP(revenue[productID],products[],IF(YEAR(revenue[orderDate])=2022,8,IF(YEAR(revenue[orderDate])=2023,9,IF(YEAR(revenue[orderDate])=2024,10,NA))),FALSE)</f>
        <v>28.51916263</v>
      </c>
      <c r="K1639" s="9">
        <v>39.0</v>
      </c>
      <c r="L1639" s="25">
        <f>(revenue[orderPrice]-revenue[productCost])/revenue[productCost]</f>
        <v>0.3675015816</v>
      </c>
      <c r="M1639" s="10">
        <v>16.0</v>
      </c>
      <c r="N1639" s="25">
        <v>0.05</v>
      </c>
      <c r="O1639" s="9">
        <f>revenue[orderPrice]*revenue[orderQuantity]</f>
        <v>624</v>
      </c>
      <c r="P1639" s="9">
        <f>revenue[orderTotal]*(1-revenue[discountApllied])</f>
        <v>592.8</v>
      </c>
      <c r="Q1639" s="9">
        <f>revenue[revenue]-(revenue[productCost]*revenue[orderQuantity])</f>
        <v>136.4933979</v>
      </c>
      <c r="R1639" s="25">
        <f>IFERROR(revenue[profit]/revenue[revenue], 0)</f>
        <v>0.2302520208</v>
      </c>
      <c r="S1639" s="9">
        <f>revenue[productCost]*revenue[orderQuantity]</f>
        <v>456.3066021</v>
      </c>
    </row>
    <row r="1640" ht="15.75" customHeight="1">
      <c r="A1640" s="6">
        <v>10872.0</v>
      </c>
      <c r="B1640" s="7" t="s">
        <v>51</v>
      </c>
      <c r="C1640" s="24" t="str">
        <f>VLOOKUP(revenue[customerID],customers[],2,FALSE)</f>
        <v>Godos Cocina Típica</v>
      </c>
      <c r="D1640" s="24" t="str">
        <f>VLOOKUP(revenue[customerID],customers[],6,FALSE)</f>
        <v>Sevilla</v>
      </c>
      <c r="E1640" s="24" t="str">
        <f>VLOOKUP(revenue[customerID],customers[],9,FALSE)</f>
        <v>Spain</v>
      </c>
      <c r="F1640" s="24">
        <v>45327.0</v>
      </c>
      <c r="G1640" s="6">
        <v>55.0</v>
      </c>
      <c r="H1640" s="9" t="str">
        <f>VLOOKUP(revenue[productID],products[],2,FALSE)</f>
        <v>Pâté chinois</v>
      </c>
      <c r="I1640" s="9" t="str">
        <f>VLOOKUP(revenue[productID],products[],12,FALSE)</f>
        <v>Meat/Poultry</v>
      </c>
      <c r="J1640" s="9">
        <f>VLOOKUP(revenue[productID],products[],IF(YEAR(revenue[orderDate])=2022,8,IF(YEAR(revenue[orderDate])=2023,9,IF(YEAR(revenue[orderDate])=2024,10,NA))),FALSE)</f>
        <v>16.95998522</v>
      </c>
      <c r="K1640" s="9">
        <v>24.0</v>
      </c>
      <c r="L1640" s="25">
        <f>(revenue[orderPrice]-revenue[productCost])/revenue[productCost]</f>
        <v>0.4150955727</v>
      </c>
      <c r="M1640" s="10">
        <v>10.0</v>
      </c>
      <c r="N1640" s="25">
        <v>0.05</v>
      </c>
      <c r="O1640" s="9">
        <f>revenue[orderPrice]*revenue[orderQuantity]</f>
        <v>240</v>
      </c>
      <c r="P1640" s="9">
        <f>revenue[orderTotal]*(1-revenue[discountApllied])</f>
        <v>228</v>
      </c>
      <c r="Q1640" s="9">
        <f>revenue[revenue]-(revenue[productCost]*revenue[orderQuantity])</f>
        <v>58.40014779</v>
      </c>
      <c r="R1640" s="25">
        <f>IFERROR(revenue[profit]/revenue[revenue], 0)</f>
        <v>0.2561409991</v>
      </c>
      <c r="S1640" s="9">
        <f>revenue[productCost]*revenue[orderQuantity]</f>
        <v>169.5998522</v>
      </c>
    </row>
    <row r="1641" ht="15.75" customHeight="1">
      <c r="A1641" s="6">
        <v>10872.0</v>
      </c>
      <c r="B1641" s="7" t="s">
        <v>51</v>
      </c>
      <c r="C1641" s="24" t="str">
        <f>VLOOKUP(revenue[customerID],customers[],2,FALSE)</f>
        <v>Godos Cocina Típica</v>
      </c>
      <c r="D1641" s="24" t="str">
        <f>VLOOKUP(revenue[customerID],customers[],6,FALSE)</f>
        <v>Sevilla</v>
      </c>
      <c r="E1641" s="24" t="str">
        <f>VLOOKUP(revenue[customerID],customers[],9,FALSE)</f>
        <v>Spain</v>
      </c>
      <c r="F1641" s="24">
        <v>45327.0</v>
      </c>
      <c r="G1641" s="6">
        <v>62.0</v>
      </c>
      <c r="H1641" s="9" t="str">
        <f>VLOOKUP(revenue[productID],products[],2,FALSE)</f>
        <v>Tarte au sucre</v>
      </c>
      <c r="I1641" s="9" t="str">
        <f>VLOOKUP(revenue[productID],products[],12,FALSE)</f>
        <v>Confections</v>
      </c>
      <c r="J1641" s="9">
        <f>VLOOKUP(revenue[productID],products[],IF(YEAR(revenue[orderDate])=2022,8,IF(YEAR(revenue[orderDate])=2023,9,IF(YEAR(revenue[orderDate])=2024,10,NA))),FALSE)</f>
        <v>34.88145014</v>
      </c>
      <c r="K1641" s="9">
        <v>49.3</v>
      </c>
      <c r="L1641" s="25">
        <f>(revenue[orderPrice]-revenue[productCost])/revenue[productCost]</f>
        <v>0.4133586705</v>
      </c>
      <c r="M1641" s="10">
        <v>20.0</v>
      </c>
      <c r="N1641" s="25">
        <v>0.05</v>
      </c>
      <c r="O1641" s="9">
        <f>revenue[orderPrice]*revenue[orderQuantity]</f>
        <v>986</v>
      </c>
      <c r="P1641" s="9">
        <f>revenue[orderTotal]*(1-revenue[discountApllied])</f>
        <v>936.7</v>
      </c>
      <c r="Q1641" s="9">
        <f>revenue[revenue]-(revenue[productCost]*revenue[orderQuantity])</f>
        <v>239.0709971</v>
      </c>
      <c r="R1641" s="25">
        <f>IFERROR(revenue[profit]/revenue[revenue], 0)</f>
        <v>0.2552268572</v>
      </c>
      <c r="S1641" s="9">
        <f>revenue[productCost]*revenue[orderQuantity]</f>
        <v>697.6290029</v>
      </c>
    </row>
    <row r="1642" ht="15.75" customHeight="1">
      <c r="A1642" s="6">
        <v>10872.0</v>
      </c>
      <c r="B1642" s="7" t="s">
        <v>51</v>
      </c>
      <c r="C1642" s="24" t="str">
        <f>VLOOKUP(revenue[customerID],customers[],2,FALSE)</f>
        <v>Godos Cocina Típica</v>
      </c>
      <c r="D1642" s="24" t="str">
        <f>VLOOKUP(revenue[customerID],customers[],6,FALSE)</f>
        <v>Sevilla</v>
      </c>
      <c r="E1642" s="24" t="str">
        <f>VLOOKUP(revenue[customerID],customers[],9,FALSE)</f>
        <v>Spain</v>
      </c>
      <c r="F1642" s="24">
        <v>45327.0</v>
      </c>
      <c r="G1642" s="6">
        <v>64.0</v>
      </c>
      <c r="H1642" s="9" t="str">
        <f>VLOOKUP(revenue[productID],products[],2,FALSE)</f>
        <v>Lukas' leckere Sauerteigweggla</v>
      </c>
      <c r="I1642" s="9" t="str">
        <f>VLOOKUP(revenue[productID],products[],12,FALSE)</f>
        <v>Grains/Cereals</v>
      </c>
      <c r="J1642" s="9">
        <f>VLOOKUP(revenue[productID],products[],IF(YEAR(revenue[orderDate])=2022,8,IF(YEAR(revenue[orderDate])=2023,9,IF(YEAR(revenue[orderDate])=2024,10,NA))),FALSE)</f>
        <v>22.72434276</v>
      </c>
      <c r="K1642" s="9">
        <v>33.25</v>
      </c>
      <c r="L1642" s="25">
        <f>(revenue[orderPrice]-revenue[productCost])/revenue[productCost]</f>
        <v>0.4631886324</v>
      </c>
      <c r="M1642" s="10">
        <v>15.0</v>
      </c>
      <c r="N1642" s="25">
        <v>0.05</v>
      </c>
      <c r="O1642" s="9">
        <f>revenue[orderPrice]*revenue[orderQuantity]</f>
        <v>498.75</v>
      </c>
      <c r="P1642" s="9">
        <f>revenue[orderTotal]*(1-revenue[discountApllied])</f>
        <v>473.8125</v>
      </c>
      <c r="Q1642" s="9">
        <f>revenue[revenue]-(revenue[productCost]*revenue[orderQuantity])</f>
        <v>132.9473587</v>
      </c>
      <c r="R1642" s="25">
        <f>IFERROR(revenue[profit]/revenue[revenue], 0)</f>
        <v>0.2805906528</v>
      </c>
      <c r="S1642" s="9">
        <f>revenue[productCost]*revenue[orderQuantity]</f>
        <v>340.8651413</v>
      </c>
    </row>
    <row r="1643" ht="15.75" customHeight="1">
      <c r="A1643" s="6">
        <v>10872.0</v>
      </c>
      <c r="B1643" s="7" t="s">
        <v>51</v>
      </c>
      <c r="C1643" s="24" t="str">
        <f>VLOOKUP(revenue[customerID],customers[],2,FALSE)</f>
        <v>Godos Cocina Típica</v>
      </c>
      <c r="D1643" s="24" t="str">
        <f>VLOOKUP(revenue[customerID],customers[],6,FALSE)</f>
        <v>Sevilla</v>
      </c>
      <c r="E1643" s="24" t="str">
        <f>VLOOKUP(revenue[customerID],customers[],9,FALSE)</f>
        <v>Spain</v>
      </c>
      <c r="F1643" s="24">
        <v>45327.0</v>
      </c>
      <c r="G1643" s="6">
        <v>65.0</v>
      </c>
      <c r="H1643" s="9" t="str">
        <f>VLOOKUP(revenue[productID],products[],2,FALSE)</f>
        <v>Louisiana Fiery Hot Pepper Sauce</v>
      </c>
      <c r="I1643" s="9" t="str">
        <f>VLOOKUP(revenue[productID],products[],12,FALSE)</f>
        <v>Condiments</v>
      </c>
      <c r="J1643" s="9">
        <f>VLOOKUP(revenue[productID],products[],IF(YEAR(revenue[orderDate])=2022,8,IF(YEAR(revenue[orderDate])=2023,9,IF(YEAR(revenue[orderDate])=2024,10,NA))),FALSE)</f>
        <v>14.50738168</v>
      </c>
      <c r="K1643" s="9">
        <v>21.05</v>
      </c>
      <c r="L1643" s="25">
        <f>(revenue[orderPrice]-revenue[productCost])/revenue[productCost]</f>
        <v>0.4509854685</v>
      </c>
      <c r="M1643" s="10">
        <v>21.0</v>
      </c>
      <c r="N1643" s="25">
        <v>0.05</v>
      </c>
      <c r="O1643" s="9">
        <f>revenue[orderPrice]*revenue[orderQuantity]</f>
        <v>442.05</v>
      </c>
      <c r="P1643" s="9">
        <f>revenue[orderTotal]*(1-revenue[discountApllied])</f>
        <v>419.9475</v>
      </c>
      <c r="Q1643" s="9">
        <f>revenue[revenue]-(revenue[productCost]*revenue[orderQuantity])</f>
        <v>115.2924848</v>
      </c>
      <c r="R1643" s="25">
        <f>IFERROR(revenue[profit]/revenue[revenue], 0)</f>
        <v>0.2745402337</v>
      </c>
      <c r="S1643" s="9">
        <f>revenue[productCost]*revenue[orderQuantity]</f>
        <v>304.6550152</v>
      </c>
    </row>
    <row r="1644" ht="15.75" customHeight="1">
      <c r="A1644" s="6">
        <v>10873.0</v>
      </c>
      <c r="B1644" s="7" t="s">
        <v>98</v>
      </c>
      <c r="C1644" s="24" t="str">
        <f>VLOOKUP(revenue[customerID],customers[],2,FALSE)</f>
        <v>Wilman Kala</v>
      </c>
      <c r="D1644" s="24" t="str">
        <f>VLOOKUP(revenue[customerID],customers[],6,FALSE)</f>
        <v>Helsinki</v>
      </c>
      <c r="E1644" s="24" t="str">
        <f>VLOOKUP(revenue[customerID],customers[],9,FALSE)</f>
        <v>Finland</v>
      </c>
      <c r="F1644" s="24">
        <v>45328.0</v>
      </c>
      <c r="G1644" s="6">
        <v>21.0</v>
      </c>
      <c r="H1644" s="9" t="str">
        <f>VLOOKUP(revenue[productID],products[],2,FALSE)</f>
        <v>Sir Rodney's Scones</v>
      </c>
      <c r="I1644" s="9" t="str">
        <f>VLOOKUP(revenue[productID],products[],12,FALSE)</f>
        <v>Confections</v>
      </c>
      <c r="J1644" s="9">
        <f>VLOOKUP(revenue[productID],products[],IF(YEAR(revenue[orderDate])=2022,8,IF(YEAR(revenue[orderDate])=2023,9,IF(YEAR(revenue[orderDate])=2024,10,NA))),FALSE)</f>
        <v>7.459897593</v>
      </c>
      <c r="K1644" s="9">
        <v>10.0</v>
      </c>
      <c r="L1644" s="25">
        <f>(revenue[orderPrice]-revenue[productCost])/revenue[productCost]</f>
        <v>0.3405009753</v>
      </c>
      <c r="M1644" s="10">
        <v>20.0</v>
      </c>
      <c r="N1644" s="25">
        <v>0.0</v>
      </c>
      <c r="O1644" s="9">
        <f>revenue[orderPrice]*revenue[orderQuantity]</f>
        <v>200</v>
      </c>
      <c r="P1644" s="9">
        <f>revenue[orderTotal]*(1-revenue[discountApllied])</f>
        <v>200</v>
      </c>
      <c r="Q1644" s="9">
        <f>revenue[revenue]-(revenue[productCost]*revenue[orderQuantity])</f>
        <v>50.80204813</v>
      </c>
      <c r="R1644" s="25">
        <f>IFERROR(revenue[profit]/revenue[revenue], 0)</f>
        <v>0.2540102407</v>
      </c>
      <c r="S1644" s="9">
        <f>revenue[productCost]*revenue[orderQuantity]</f>
        <v>149.1979519</v>
      </c>
    </row>
    <row r="1645" ht="15.75" customHeight="1">
      <c r="A1645" s="6">
        <v>10873.0</v>
      </c>
      <c r="B1645" s="7" t="s">
        <v>98</v>
      </c>
      <c r="C1645" s="24" t="str">
        <f>VLOOKUP(revenue[customerID],customers[],2,FALSE)</f>
        <v>Wilman Kala</v>
      </c>
      <c r="D1645" s="24" t="str">
        <f>VLOOKUP(revenue[customerID],customers[],6,FALSE)</f>
        <v>Helsinki</v>
      </c>
      <c r="E1645" s="24" t="str">
        <f>VLOOKUP(revenue[customerID],customers[],9,FALSE)</f>
        <v>Finland</v>
      </c>
      <c r="F1645" s="24">
        <v>45328.0</v>
      </c>
      <c r="G1645" s="6">
        <v>28.0</v>
      </c>
      <c r="H1645" s="9" t="str">
        <f>VLOOKUP(revenue[productID],products[],2,FALSE)</f>
        <v>Rössle Sauerkraut</v>
      </c>
      <c r="I1645" s="9" t="str">
        <f>VLOOKUP(revenue[productID],products[],12,FALSE)</f>
        <v>Produce</v>
      </c>
      <c r="J1645" s="9">
        <f>VLOOKUP(revenue[productID],products[],IF(YEAR(revenue[orderDate])=2022,8,IF(YEAR(revenue[orderDate])=2023,9,IF(YEAR(revenue[orderDate])=2024,10,NA))),FALSE)</f>
        <v>34.18502761</v>
      </c>
      <c r="K1645" s="9">
        <v>45.6</v>
      </c>
      <c r="L1645" s="25">
        <f>(revenue[orderPrice]-revenue[productCost])/revenue[productCost]</f>
        <v>0.3339173079</v>
      </c>
      <c r="M1645" s="10">
        <v>3.0</v>
      </c>
      <c r="N1645" s="25">
        <v>0.0</v>
      </c>
      <c r="O1645" s="9">
        <f>revenue[orderPrice]*revenue[orderQuantity]</f>
        <v>136.8</v>
      </c>
      <c r="P1645" s="9">
        <f>revenue[orderTotal]*(1-revenue[discountApllied])</f>
        <v>136.8</v>
      </c>
      <c r="Q1645" s="9">
        <f>revenue[revenue]-(revenue[productCost]*revenue[orderQuantity])</f>
        <v>34.24491717</v>
      </c>
      <c r="R1645" s="25">
        <f>IFERROR(revenue[profit]/revenue[revenue], 0)</f>
        <v>0.2503283419</v>
      </c>
      <c r="S1645" s="9">
        <f>revenue[productCost]*revenue[orderQuantity]</f>
        <v>102.5550828</v>
      </c>
    </row>
    <row r="1646" ht="15.75" customHeight="1">
      <c r="A1646" s="6">
        <v>10874.0</v>
      </c>
      <c r="B1646" s="7" t="s">
        <v>51</v>
      </c>
      <c r="C1646" s="24" t="str">
        <f>VLOOKUP(revenue[customerID],customers[],2,FALSE)</f>
        <v>Godos Cocina Típica</v>
      </c>
      <c r="D1646" s="24" t="str">
        <f>VLOOKUP(revenue[customerID],customers[],6,FALSE)</f>
        <v>Sevilla</v>
      </c>
      <c r="E1646" s="24" t="str">
        <f>VLOOKUP(revenue[customerID],customers[],9,FALSE)</f>
        <v>Spain</v>
      </c>
      <c r="F1646" s="24">
        <v>45328.0</v>
      </c>
      <c r="G1646" s="6">
        <v>10.0</v>
      </c>
      <c r="H1646" s="9" t="str">
        <f>VLOOKUP(revenue[productID],products[],2,FALSE)</f>
        <v>Ikura</v>
      </c>
      <c r="I1646" s="9" t="str">
        <f>VLOOKUP(revenue[productID],products[],12,FALSE)</f>
        <v>Seafood</v>
      </c>
      <c r="J1646" s="9">
        <f>VLOOKUP(revenue[productID],products[],IF(YEAR(revenue[orderDate])=2022,8,IF(YEAR(revenue[orderDate])=2023,9,IF(YEAR(revenue[orderDate])=2024,10,NA))),FALSE)</f>
        <v>20.90394627</v>
      </c>
      <c r="K1646" s="9">
        <v>31.0</v>
      </c>
      <c r="L1646" s="25">
        <f>(revenue[orderPrice]-revenue[productCost])/revenue[productCost]</f>
        <v>0.4829735786</v>
      </c>
      <c r="M1646" s="10">
        <v>10.0</v>
      </c>
      <c r="N1646" s="25">
        <v>0.0</v>
      </c>
      <c r="O1646" s="9">
        <f>revenue[orderPrice]*revenue[orderQuantity]</f>
        <v>310</v>
      </c>
      <c r="P1646" s="9">
        <f>revenue[orderTotal]*(1-revenue[discountApllied])</f>
        <v>310</v>
      </c>
      <c r="Q1646" s="9">
        <f>revenue[revenue]-(revenue[productCost]*revenue[orderQuantity])</f>
        <v>100.9605373</v>
      </c>
      <c r="R1646" s="25">
        <f>IFERROR(revenue[profit]/revenue[revenue], 0)</f>
        <v>0.3256791527</v>
      </c>
      <c r="S1646" s="9">
        <f>revenue[productCost]*revenue[orderQuantity]</f>
        <v>209.0394627</v>
      </c>
    </row>
    <row r="1647" ht="15.75" customHeight="1">
      <c r="A1647" s="6">
        <v>10875.0</v>
      </c>
      <c r="B1647" s="7" t="s">
        <v>40</v>
      </c>
      <c r="C1647" s="24" t="str">
        <f>VLOOKUP(revenue[customerID],customers[],2,FALSE)</f>
        <v>Berglunds snabbköp</v>
      </c>
      <c r="D1647" s="24" t="str">
        <f>VLOOKUP(revenue[customerID],customers[],6,FALSE)</f>
        <v>Luleå</v>
      </c>
      <c r="E1647" s="24" t="str">
        <f>VLOOKUP(revenue[customerID],customers[],9,FALSE)</f>
        <v>Sweden</v>
      </c>
      <c r="F1647" s="24">
        <v>45328.0</v>
      </c>
      <c r="G1647" s="6">
        <v>19.0</v>
      </c>
      <c r="H1647" s="9" t="str">
        <f>VLOOKUP(revenue[productID],products[],2,FALSE)</f>
        <v>Teatime Chocolate Biscuits</v>
      </c>
      <c r="I1647" s="9" t="str">
        <f>VLOOKUP(revenue[productID],products[],12,FALSE)</f>
        <v>Confections</v>
      </c>
      <c r="J1647" s="9">
        <f>VLOOKUP(revenue[productID],products[],IF(YEAR(revenue[orderDate])=2022,8,IF(YEAR(revenue[orderDate])=2023,9,IF(YEAR(revenue[orderDate])=2024,10,NA))),FALSE)</f>
        <v>6.769656984</v>
      </c>
      <c r="K1647" s="9">
        <v>9.2</v>
      </c>
      <c r="L1647" s="25">
        <f>(revenue[orderPrice]-revenue[productCost])/revenue[productCost]</f>
        <v>0.3590053413</v>
      </c>
      <c r="M1647" s="10">
        <v>25.0</v>
      </c>
      <c r="N1647" s="25">
        <v>0.0</v>
      </c>
      <c r="O1647" s="9">
        <f>revenue[orderPrice]*revenue[orderQuantity]</f>
        <v>230</v>
      </c>
      <c r="P1647" s="9">
        <f>revenue[orderTotal]*(1-revenue[discountApllied])</f>
        <v>230</v>
      </c>
      <c r="Q1647" s="9">
        <f>revenue[revenue]-(revenue[productCost]*revenue[orderQuantity])</f>
        <v>60.7585754</v>
      </c>
      <c r="R1647" s="25">
        <f>IFERROR(revenue[profit]/revenue[revenue], 0)</f>
        <v>0.2641677191</v>
      </c>
      <c r="S1647" s="9">
        <f>revenue[productCost]*revenue[orderQuantity]</f>
        <v>169.2414246</v>
      </c>
    </row>
    <row r="1648" ht="15.75" customHeight="1">
      <c r="A1648" s="6">
        <v>10875.0</v>
      </c>
      <c r="B1648" s="7" t="s">
        <v>40</v>
      </c>
      <c r="C1648" s="24" t="str">
        <f>VLOOKUP(revenue[customerID],customers[],2,FALSE)</f>
        <v>Berglunds snabbköp</v>
      </c>
      <c r="D1648" s="24" t="str">
        <f>VLOOKUP(revenue[customerID],customers[],6,FALSE)</f>
        <v>Luleå</v>
      </c>
      <c r="E1648" s="24" t="str">
        <f>VLOOKUP(revenue[customerID],customers[],9,FALSE)</f>
        <v>Sweden</v>
      </c>
      <c r="F1648" s="24">
        <v>45328.0</v>
      </c>
      <c r="G1648" s="6">
        <v>47.0</v>
      </c>
      <c r="H1648" s="9" t="str">
        <f>VLOOKUP(revenue[productID],products[],2,FALSE)</f>
        <v>Zaanse koeken</v>
      </c>
      <c r="I1648" s="9" t="str">
        <f>VLOOKUP(revenue[productID],products[],12,FALSE)</f>
        <v>Confections</v>
      </c>
      <c r="J1648" s="9">
        <f>VLOOKUP(revenue[productID],products[],IF(YEAR(revenue[orderDate])=2022,8,IF(YEAR(revenue[orderDate])=2023,9,IF(YEAR(revenue[orderDate])=2024,10,NA))),FALSE)</f>
        <v>6.635130774</v>
      </c>
      <c r="K1648" s="9">
        <v>9.5</v>
      </c>
      <c r="L1648" s="25">
        <f>(revenue[orderPrice]-revenue[productCost])/revenue[productCost]</f>
        <v>0.4317728351</v>
      </c>
      <c r="M1648" s="10">
        <v>21.0</v>
      </c>
      <c r="N1648" s="25">
        <v>0.1</v>
      </c>
      <c r="O1648" s="9">
        <f>revenue[orderPrice]*revenue[orderQuantity]</f>
        <v>199.5</v>
      </c>
      <c r="P1648" s="9">
        <f>revenue[orderTotal]*(1-revenue[discountApllied])</f>
        <v>179.55</v>
      </c>
      <c r="Q1648" s="9">
        <f>revenue[revenue]-(revenue[productCost]*revenue[orderQuantity])</f>
        <v>40.21225374</v>
      </c>
      <c r="R1648" s="25">
        <f>IFERROR(revenue[profit]/revenue[revenue], 0)</f>
        <v>0.223961313</v>
      </c>
      <c r="S1648" s="9">
        <f>revenue[productCost]*revenue[orderQuantity]</f>
        <v>139.3377463</v>
      </c>
    </row>
    <row r="1649" ht="15.75" customHeight="1">
      <c r="A1649" s="6">
        <v>10875.0</v>
      </c>
      <c r="B1649" s="7" t="s">
        <v>40</v>
      </c>
      <c r="C1649" s="24" t="str">
        <f>VLOOKUP(revenue[customerID],customers[],2,FALSE)</f>
        <v>Berglunds snabbköp</v>
      </c>
      <c r="D1649" s="24" t="str">
        <f>VLOOKUP(revenue[customerID],customers[],6,FALSE)</f>
        <v>Luleå</v>
      </c>
      <c r="E1649" s="24" t="str">
        <f>VLOOKUP(revenue[customerID],customers[],9,FALSE)</f>
        <v>Sweden</v>
      </c>
      <c r="F1649" s="24">
        <v>45328.0</v>
      </c>
      <c r="G1649" s="6">
        <v>49.0</v>
      </c>
      <c r="H1649" s="9" t="str">
        <f>VLOOKUP(revenue[productID],products[],2,FALSE)</f>
        <v>Maxilaku</v>
      </c>
      <c r="I1649" s="9" t="str">
        <f>VLOOKUP(revenue[productID],products[],12,FALSE)</f>
        <v>Confections</v>
      </c>
      <c r="J1649" s="9">
        <f>VLOOKUP(revenue[productID],products[],IF(YEAR(revenue[orderDate])=2022,8,IF(YEAR(revenue[orderDate])=2023,9,IF(YEAR(revenue[orderDate])=2024,10,NA))),FALSE)</f>
        <v>15.07459899</v>
      </c>
      <c r="K1649" s="9">
        <v>20.0</v>
      </c>
      <c r="L1649" s="25">
        <f>(revenue[orderPrice]-revenue[productCost])/revenue[productCost]</f>
        <v>0.3267351269</v>
      </c>
      <c r="M1649" s="10">
        <v>15.0</v>
      </c>
      <c r="N1649" s="25">
        <v>0.0</v>
      </c>
      <c r="O1649" s="9">
        <f>revenue[orderPrice]*revenue[orderQuantity]</f>
        <v>300</v>
      </c>
      <c r="P1649" s="9">
        <f>revenue[orderTotal]*(1-revenue[discountApllied])</f>
        <v>300</v>
      </c>
      <c r="Q1649" s="9">
        <f>revenue[revenue]-(revenue[productCost]*revenue[orderQuantity])</f>
        <v>73.8810152</v>
      </c>
      <c r="R1649" s="25">
        <f>IFERROR(revenue[profit]/revenue[revenue], 0)</f>
        <v>0.2462700507</v>
      </c>
      <c r="S1649" s="9">
        <f>revenue[productCost]*revenue[orderQuantity]</f>
        <v>226.1189848</v>
      </c>
    </row>
    <row r="1650" ht="15.75" customHeight="1">
      <c r="A1650" s="6">
        <v>10876.0</v>
      </c>
      <c r="B1650" s="7" t="s">
        <v>63</v>
      </c>
      <c r="C1650" s="24" t="str">
        <f>VLOOKUP(revenue[customerID],customers[],2,FALSE)</f>
        <v>Bon app'</v>
      </c>
      <c r="D1650" s="24" t="str">
        <f>VLOOKUP(revenue[customerID],customers[],6,FALSE)</f>
        <v>Marseille</v>
      </c>
      <c r="E1650" s="24" t="str">
        <f>VLOOKUP(revenue[customerID],customers[],9,FALSE)</f>
        <v>France</v>
      </c>
      <c r="F1650" s="24">
        <v>45331.0</v>
      </c>
      <c r="G1650" s="6">
        <v>46.0</v>
      </c>
      <c r="H1650" s="9" t="str">
        <f>VLOOKUP(revenue[productID],products[],2,FALSE)</f>
        <v>Spegesild</v>
      </c>
      <c r="I1650" s="9" t="str">
        <f>VLOOKUP(revenue[productID],products[],12,FALSE)</f>
        <v>Seafood</v>
      </c>
      <c r="J1650" s="9">
        <f>VLOOKUP(revenue[productID],products[],IF(YEAR(revenue[orderDate])=2022,8,IF(YEAR(revenue[orderDate])=2023,9,IF(YEAR(revenue[orderDate])=2024,10,NA))),FALSE)</f>
        <v>8.247981557</v>
      </c>
      <c r="K1650" s="9">
        <v>12.0</v>
      </c>
      <c r="L1650" s="25">
        <f>(revenue[orderPrice]-revenue[productCost])/revenue[productCost]</f>
        <v>0.4549014105</v>
      </c>
      <c r="M1650" s="10">
        <v>21.0</v>
      </c>
      <c r="N1650" s="25">
        <v>0.0</v>
      </c>
      <c r="O1650" s="9">
        <f>revenue[orderPrice]*revenue[orderQuantity]</f>
        <v>252</v>
      </c>
      <c r="P1650" s="9">
        <f>revenue[orderTotal]*(1-revenue[discountApllied])</f>
        <v>252</v>
      </c>
      <c r="Q1650" s="9">
        <f>revenue[revenue]-(revenue[productCost]*revenue[orderQuantity])</f>
        <v>78.79238731</v>
      </c>
      <c r="R1650" s="25">
        <f>IFERROR(revenue[profit]/revenue[revenue], 0)</f>
        <v>0.3126682036</v>
      </c>
      <c r="S1650" s="9">
        <f>revenue[productCost]*revenue[orderQuantity]</f>
        <v>173.2076127</v>
      </c>
    </row>
    <row r="1651" ht="15.75" customHeight="1">
      <c r="A1651" s="6">
        <v>10876.0</v>
      </c>
      <c r="B1651" s="7" t="s">
        <v>63</v>
      </c>
      <c r="C1651" s="24" t="str">
        <f>VLOOKUP(revenue[customerID],customers[],2,FALSE)</f>
        <v>Bon app'</v>
      </c>
      <c r="D1651" s="24" t="str">
        <f>VLOOKUP(revenue[customerID],customers[],6,FALSE)</f>
        <v>Marseille</v>
      </c>
      <c r="E1651" s="24" t="str">
        <f>VLOOKUP(revenue[customerID],customers[],9,FALSE)</f>
        <v>France</v>
      </c>
      <c r="F1651" s="24">
        <v>45331.0</v>
      </c>
      <c r="G1651" s="6">
        <v>64.0</v>
      </c>
      <c r="H1651" s="9" t="str">
        <f>VLOOKUP(revenue[productID],products[],2,FALSE)</f>
        <v>Lukas' leckere Sauerteigweggla</v>
      </c>
      <c r="I1651" s="9" t="str">
        <f>VLOOKUP(revenue[productID],products[],12,FALSE)</f>
        <v>Grains/Cereals</v>
      </c>
      <c r="J1651" s="9">
        <f>VLOOKUP(revenue[productID],products[],IF(YEAR(revenue[orderDate])=2022,8,IF(YEAR(revenue[orderDate])=2023,9,IF(YEAR(revenue[orderDate])=2024,10,NA))),FALSE)</f>
        <v>22.72434276</v>
      </c>
      <c r="K1651" s="9">
        <v>33.25</v>
      </c>
      <c r="L1651" s="25">
        <f>(revenue[orderPrice]-revenue[productCost])/revenue[productCost]</f>
        <v>0.4631886324</v>
      </c>
      <c r="M1651" s="10">
        <v>20.0</v>
      </c>
      <c r="N1651" s="25">
        <v>0.0</v>
      </c>
      <c r="O1651" s="9">
        <f>revenue[orderPrice]*revenue[orderQuantity]</f>
        <v>665</v>
      </c>
      <c r="P1651" s="9">
        <f>revenue[orderTotal]*(1-revenue[discountApllied])</f>
        <v>665</v>
      </c>
      <c r="Q1651" s="9">
        <f>revenue[revenue]-(revenue[productCost]*revenue[orderQuantity])</f>
        <v>210.5131449</v>
      </c>
      <c r="R1651" s="25">
        <f>IFERROR(revenue[profit]/revenue[revenue], 0)</f>
        <v>0.3165611201</v>
      </c>
      <c r="S1651" s="9">
        <f>revenue[productCost]*revenue[orderQuantity]</f>
        <v>454.4868551</v>
      </c>
    </row>
    <row r="1652" ht="15.75" customHeight="1">
      <c r="A1652" s="6">
        <v>10877.0</v>
      </c>
      <c r="B1652" s="7" t="s">
        <v>44</v>
      </c>
      <c r="C1652" s="24" t="str">
        <f>VLOOKUP(revenue[customerID],customers[],2,FALSE)</f>
        <v>Ricardo Adocicados</v>
      </c>
      <c r="D1652" s="24" t="str">
        <f>VLOOKUP(revenue[customerID],customers[],6,FALSE)</f>
        <v>Rio de Janeiro</v>
      </c>
      <c r="E1652" s="24" t="str">
        <f>VLOOKUP(revenue[customerID],customers[],9,FALSE)</f>
        <v>Brazil</v>
      </c>
      <c r="F1652" s="24">
        <v>45331.0</v>
      </c>
      <c r="G1652" s="6">
        <v>16.0</v>
      </c>
      <c r="H1652" s="9" t="str">
        <f>VLOOKUP(revenue[productID],products[],2,FALSE)</f>
        <v>Pavlova</v>
      </c>
      <c r="I1652" s="9" t="str">
        <f>VLOOKUP(revenue[productID],products[],12,FALSE)</f>
        <v>Confections</v>
      </c>
      <c r="J1652" s="9">
        <f>VLOOKUP(revenue[productID],products[],IF(YEAR(revenue[orderDate])=2022,8,IF(YEAR(revenue[orderDate])=2023,9,IF(YEAR(revenue[orderDate])=2024,10,NA))),FALSE)</f>
        <v>12.68283974</v>
      </c>
      <c r="K1652" s="9">
        <v>17.45</v>
      </c>
      <c r="L1652" s="25">
        <f>(revenue[orderPrice]-revenue[productCost])/revenue[productCost]</f>
        <v>0.3758748323</v>
      </c>
      <c r="M1652" s="10">
        <v>30.0</v>
      </c>
      <c r="N1652" s="25">
        <v>0.25</v>
      </c>
      <c r="O1652" s="9">
        <f>revenue[orderPrice]*revenue[orderQuantity]</f>
        <v>523.5</v>
      </c>
      <c r="P1652" s="9">
        <f>revenue[orderTotal]*(1-revenue[discountApllied])</f>
        <v>392.625</v>
      </c>
      <c r="Q1652" s="9">
        <f>revenue[revenue]-(revenue[productCost]*revenue[orderQuantity])</f>
        <v>12.13980781</v>
      </c>
      <c r="R1652" s="25">
        <f>IFERROR(revenue[profit]/revenue[revenue], 0)</f>
        <v>0.03091959965</v>
      </c>
      <c r="S1652" s="9">
        <f>revenue[productCost]*revenue[orderQuantity]</f>
        <v>380.4851922</v>
      </c>
    </row>
    <row r="1653" ht="15.75" customHeight="1">
      <c r="A1653" s="6">
        <v>10877.0</v>
      </c>
      <c r="B1653" s="7" t="s">
        <v>44</v>
      </c>
      <c r="C1653" s="24" t="str">
        <f>VLOOKUP(revenue[customerID],customers[],2,FALSE)</f>
        <v>Ricardo Adocicados</v>
      </c>
      <c r="D1653" s="24" t="str">
        <f>VLOOKUP(revenue[customerID],customers[],6,FALSE)</f>
        <v>Rio de Janeiro</v>
      </c>
      <c r="E1653" s="24" t="str">
        <f>VLOOKUP(revenue[customerID],customers[],9,FALSE)</f>
        <v>Brazil</v>
      </c>
      <c r="F1653" s="24">
        <v>45331.0</v>
      </c>
      <c r="G1653" s="6">
        <v>18.0</v>
      </c>
      <c r="H1653" s="9" t="str">
        <f>VLOOKUP(revenue[productID],products[],2,FALSE)</f>
        <v>Carnarvon Tigers</v>
      </c>
      <c r="I1653" s="9" t="str">
        <f>VLOOKUP(revenue[productID],products[],12,FALSE)</f>
        <v>Seafood</v>
      </c>
      <c r="J1653" s="9">
        <f>VLOOKUP(revenue[productID],products[],IF(YEAR(revenue[orderDate])=2022,8,IF(YEAR(revenue[orderDate])=2023,9,IF(YEAR(revenue[orderDate])=2024,10,NA))),FALSE)</f>
        <v>41.27004985</v>
      </c>
      <c r="K1653" s="9">
        <v>62.5</v>
      </c>
      <c r="L1653" s="25">
        <f>(revenue[orderPrice]-revenue[productCost])/revenue[productCost]</f>
        <v>0.5144154231</v>
      </c>
      <c r="M1653" s="10">
        <v>25.0</v>
      </c>
      <c r="N1653" s="25">
        <v>0.0</v>
      </c>
      <c r="O1653" s="9">
        <f>revenue[orderPrice]*revenue[orderQuantity]</f>
        <v>1562.5</v>
      </c>
      <c r="P1653" s="9">
        <f>revenue[orderTotal]*(1-revenue[discountApllied])</f>
        <v>1562.5</v>
      </c>
      <c r="Q1653" s="9">
        <f>revenue[revenue]-(revenue[productCost]*revenue[orderQuantity])</f>
        <v>530.7487539</v>
      </c>
      <c r="R1653" s="25">
        <f>IFERROR(revenue[profit]/revenue[revenue], 0)</f>
        <v>0.3396792025</v>
      </c>
      <c r="S1653" s="9">
        <f>revenue[productCost]*revenue[orderQuantity]</f>
        <v>1031.751246</v>
      </c>
    </row>
    <row r="1654" ht="15.75" customHeight="1">
      <c r="A1654" s="6">
        <v>10878.0</v>
      </c>
      <c r="B1654" s="7" t="s">
        <v>36</v>
      </c>
      <c r="C1654" s="24" t="str">
        <f>VLOOKUP(revenue[customerID],customers[],2,FALSE)</f>
        <v>QUICK-Stop</v>
      </c>
      <c r="D1654" s="24" t="str">
        <f>VLOOKUP(revenue[customerID],customers[],6,FALSE)</f>
        <v>Cunewalde</v>
      </c>
      <c r="E1654" s="24" t="str">
        <f>VLOOKUP(revenue[customerID],customers[],9,FALSE)</f>
        <v>Germany</v>
      </c>
      <c r="F1654" s="24">
        <v>45332.0</v>
      </c>
      <c r="G1654" s="6">
        <v>20.0</v>
      </c>
      <c r="H1654" s="9" t="str">
        <f>VLOOKUP(revenue[productID],products[],2,FALSE)</f>
        <v>Sir Rodney's Marmalade</v>
      </c>
      <c r="I1654" s="9" t="str">
        <f>VLOOKUP(revenue[productID],products[],12,FALSE)</f>
        <v>Confections</v>
      </c>
      <c r="J1654" s="9">
        <f>VLOOKUP(revenue[productID],products[],IF(YEAR(revenue[orderDate])=2022,8,IF(YEAR(revenue[orderDate])=2023,9,IF(YEAR(revenue[orderDate])=2024,10,NA))),FALSE)</f>
        <v>62.82537598</v>
      </c>
      <c r="K1654" s="9">
        <v>81.0</v>
      </c>
      <c r="L1654" s="25">
        <f>(revenue[orderPrice]-revenue[productCost])/revenue[productCost]</f>
        <v>0.2892879468</v>
      </c>
      <c r="M1654" s="10">
        <v>20.0</v>
      </c>
      <c r="N1654" s="25">
        <v>0.05</v>
      </c>
      <c r="O1654" s="9">
        <f>revenue[orderPrice]*revenue[orderQuantity]</f>
        <v>1620</v>
      </c>
      <c r="P1654" s="9">
        <f>revenue[orderTotal]*(1-revenue[discountApllied])</f>
        <v>1539</v>
      </c>
      <c r="Q1654" s="9">
        <f>revenue[revenue]-(revenue[productCost]*revenue[orderQuantity])</f>
        <v>282.4924805</v>
      </c>
      <c r="R1654" s="25">
        <f>IFERROR(revenue[profit]/revenue[revenue], 0)</f>
        <v>0.1835558678</v>
      </c>
      <c r="S1654" s="9">
        <f>revenue[productCost]*revenue[orderQuantity]</f>
        <v>1256.50752</v>
      </c>
    </row>
    <row r="1655" ht="15.75" customHeight="1">
      <c r="A1655" s="6">
        <v>10879.0</v>
      </c>
      <c r="B1655" s="7" t="s">
        <v>98</v>
      </c>
      <c r="C1655" s="24" t="str">
        <f>VLOOKUP(revenue[customerID],customers[],2,FALSE)</f>
        <v>Wilman Kala</v>
      </c>
      <c r="D1655" s="24" t="str">
        <f>VLOOKUP(revenue[customerID],customers[],6,FALSE)</f>
        <v>Helsinki</v>
      </c>
      <c r="E1655" s="24" t="str">
        <f>VLOOKUP(revenue[customerID],customers[],9,FALSE)</f>
        <v>Finland</v>
      </c>
      <c r="F1655" s="24">
        <v>45332.0</v>
      </c>
      <c r="G1655" s="6">
        <v>40.0</v>
      </c>
      <c r="H1655" s="9" t="str">
        <f>VLOOKUP(revenue[productID],products[],2,FALSE)</f>
        <v>Boston Crab Meat</v>
      </c>
      <c r="I1655" s="9" t="str">
        <f>VLOOKUP(revenue[productID],products[],12,FALSE)</f>
        <v>Seafood</v>
      </c>
      <c r="J1655" s="9">
        <f>VLOOKUP(revenue[productID],products[],IF(YEAR(revenue[orderDate])=2022,8,IF(YEAR(revenue[orderDate])=2023,9,IF(YEAR(revenue[orderDate])=2024,10,NA))),FALSE)</f>
        <v>12.44307</v>
      </c>
      <c r="K1655" s="9">
        <v>18.4</v>
      </c>
      <c r="L1655" s="25">
        <f>(revenue[orderPrice]-revenue[productCost])/revenue[productCost]</f>
        <v>0.4787347499</v>
      </c>
      <c r="M1655" s="10">
        <v>12.0</v>
      </c>
      <c r="N1655" s="25">
        <v>0.0</v>
      </c>
      <c r="O1655" s="9">
        <f>revenue[orderPrice]*revenue[orderQuantity]</f>
        <v>220.8</v>
      </c>
      <c r="P1655" s="9">
        <f>revenue[orderTotal]*(1-revenue[discountApllied])</f>
        <v>220.8</v>
      </c>
      <c r="Q1655" s="9">
        <f>revenue[revenue]-(revenue[productCost]*revenue[orderQuantity])</f>
        <v>71.48316003</v>
      </c>
      <c r="R1655" s="25">
        <f>IFERROR(revenue[profit]/revenue[revenue], 0)</f>
        <v>0.3237461958</v>
      </c>
      <c r="S1655" s="9">
        <f>revenue[productCost]*revenue[orderQuantity]</f>
        <v>149.31684</v>
      </c>
    </row>
    <row r="1656" ht="15.75" customHeight="1">
      <c r="A1656" s="6">
        <v>10879.0</v>
      </c>
      <c r="B1656" s="7" t="s">
        <v>98</v>
      </c>
      <c r="C1656" s="24" t="str">
        <f>VLOOKUP(revenue[customerID],customers[],2,FALSE)</f>
        <v>Wilman Kala</v>
      </c>
      <c r="D1656" s="24" t="str">
        <f>VLOOKUP(revenue[customerID],customers[],6,FALSE)</f>
        <v>Helsinki</v>
      </c>
      <c r="E1656" s="24" t="str">
        <f>VLOOKUP(revenue[customerID],customers[],9,FALSE)</f>
        <v>Finland</v>
      </c>
      <c r="F1656" s="24">
        <v>45332.0</v>
      </c>
      <c r="G1656" s="6">
        <v>65.0</v>
      </c>
      <c r="H1656" s="9" t="str">
        <f>VLOOKUP(revenue[productID],products[],2,FALSE)</f>
        <v>Louisiana Fiery Hot Pepper Sauce</v>
      </c>
      <c r="I1656" s="9" t="str">
        <f>VLOOKUP(revenue[productID],products[],12,FALSE)</f>
        <v>Condiments</v>
      </c>
      <c r="J1656" s="9">
        <f>VLOOKUP(revenue[productID],products[],IF(YEAR(revenue[orderDate])=2022,8,IF(YEAR(revenue[orderDate])=2023,9,IF(YEAR(revenue[orderDate])=2024,10,NA))),FALSE)</f>
        <v>14.50738168</v>
      </c>
      <c r="K1656" s="9">
        <v>21.05</v>
      </c>
      <c r="L1656" s="25">
        <f>(revenue[orderPrice]-revenue[productCost])/revenue[productCost]</f>
        <v>0.4509854685</v>
      </c>
      <c r="M1656" s="10">
        <v>10.0</v>
      </c>
      <c r="N1656" s="25">
        <v>0.0</v>
      </c>
      <c r="O1656" s="9">
        <f>revenue[orderPrice]*revenue[orderQuantity]</f>
        <v>210.5</v>
      </c>
      <c r="P1656" s="9">
        <f>revenue[orderTotal]*(1-revenue[discountApllied])</f>
        <v>210.5</v>
      </c>
      <c r="Q1656" s="9">
        <f>revenue[revenue]-(revenue[productCost]*revenue[orderQuantity])</f>
        <v>65.42618323</v>
      </c>
      <c r="R1656" s="25">
        <f>IFERROR(revenue[profit]/revenue[revenue], 0)</f>
        <v>0.310813222</v>
      </c>
      <c r="S1656" s="9">
        <f>revenue[productCost]*revenue[orderQuantity]</f>
        <v>145.0738168</v>
      </c>
    </row>
    <row r="1657" ht="15.75" customHeight="1">
      <c r="A1657" s="6">
        <v>10879.0</v>
      </c>
      <c r="B1657" s="7" t="s">
        <v>98</v>
      </c>
      <c r="C1657" s="24" t="str">
        <f>VLOOKUP(revenue[customerID],customers[],2,FALSE)</f>
        <v>Wilman Kala</v>
      </c>
      <c r="D1657" s="24" t="str">
        <f>VLOOKUP(revenue[customerID],customers[],6,FALSE)</f>
        <v>Helsinki</v>
      </c>
      <c r="E1657" s="24" t="str">
        <f>VLOOKUP(revenue[customerID],customers[],9,FALSE)</f>
        <v>Finland</v>
      </c>
      <c r="F1657" s="24">
        <v>45332.0</v>
      </c>
      <c r="G1657" s="6">
        <v>76.0</v>
      </c>
      <c r="H1657" s="9" t="str">
        <f>VLOOKUP(revenue[productID],products[],2,FALSE)</f>
        <v>Lakkalikööri</v>
      </c>
      <c r="I1657" s="9" t="str">
        <f>VLOOKUP(revenue[productID],products[],12,FALSE)</f>
        <v>Beverages</v>
      </c>
      <c r="J1657" s="9">
        <f>VLOOKUP(revenue[productID],products[],IF(YEAR(revenue[orderDate])=2022,8,IF(YEAR(revenue[orderDate])=2023,9,IF(YEAR(revenue[orderDate])=2024,10,NA))),FALSE)</f>
        <v>12.15832249</v>
      </c>
      <c r="K1657" s="9">
        <v>18.0</v>
      </c>
      <c r="L1657" s="25">
        <f>(revenue[orderPrice]-revenue[productCost])/revenue[productCost]</f>
        <v>0.4804673928</v>
      </c>
      <c r="M1657" s="10">
        <v>10.0</v>
      </c>
      <c r="N1657" s="25">
        <v>0.0</v>
      </c>
      <c r="O1657" s="9">
        <f>revenue[orderPrice]*revenue[orderQuantity]</f>
        <v>180</v>
      </c>
      <c r="P1657" s="9">
        <f>revenue[orderTotal]*(1-revenue[discountApllied])</f>
        <v>180</v>
      </c>
      <c r="Q1657" s="9">
        <f>revenue[revenue]-(revenue[productCost]*revenue[orderQuantity])</f>
        <v>58.41677509</v>
      </c>
      <c r="R1657" s="25">
        <f>IFERROR(revenue[profit]/revenue[revenue], 0)</f>
        <v>0.3245376394</v>
      </c>
      <c r="S1657" s="9">
        <f>revenue[productCost]*revenue[orderQuantity]</f>
        <v>121.5832249</v>
      </c>
    </row>
    <row r="1658" ht="15.75" customHeight="1">
      <c r="A1658" s="6">
        <v>10880.0</v>
      </c>
      <c r="B1658" s="7" t="s">
        <v>29</v>
      </c>
      <c r="C1658" s="24" t="str">
        <f>VLOOKUP(revenue[customerID],customers[],2,FALSE)</f>
        <v>Folk och fä HB</v>
      </c>
      <c r="D1658" s="24" t="str">
        <f>VLOOKUP(revenue[customerID],customers[],6,FALSE)</f>
        <v>Bräcke</v>
      </c>
      <c r="E1658" s="24" t="str">
        <f>VLOOKUP(revenue[customerID],customers[],9,FALSE)</f>
        <v>Sweden</v>
      </c>
      <c r="F1658" s="24">
        <v>45332.0</v>
      </c>
      <c r="G1658" s="6">
        <v>23.0</v>
      </c>
      <c r="H1658" s="9" t="str">
        <f>VLOOKUP(revenue[productID],products[],2,FALSE)</f>
        <v>Tunnbröd</v>
      </c>
      <c r="I1658" s="9" t="str">
        <f>VLOOKUP(revenue[productID],products[],12,FALSE)</f>
        <v>Grains/Cereals</v>
      </c>
      <c r="J1658" s="9">
        <f>VLOOKUP(revenue[productID],products[],IF(YEAR(revenue[orderDate])=2022,8,IF(YEAR(revenue[orderDate])=2023,9,IF(YEAR(revenue[orderDate])=2024,10,NA))),FALSE)</f>
        <v>6.224885622</v>
      </c>
      <c r="K1658" s="9">
        <v>9.0</v>
      </c>
      <c r="L1658" s="25">
        <f>(revenue[orderPrice]-revenue[productCost])/revenue[productCost]</f>
        <v>0.4458096979</v>
      </c>
      <c r="M1658" s="10">
        <v>30.0</v>
      </c>
      <c r="N1658" s="25">
        <v>0.2</v>
      </c>
      <c r="O1658" s="9">
        <f>revenue[orderPrice]*revenue[orderQuantity]</f>
        <v>270</v>
      </c>
      <c r="P1658" s="9">
        <f>revenue[orderTotal]*(1-revenue[discountApllied])</f>
        <v>216</v>
      </c>
      <c r="Q1658" s="9">
        <f>revenue[revenue]-(revenue[productCost]*revenue[orderQuantity])</f>
        <v>29.25343135</v>
      </c>
      <c r="R1658" s="25">
        <f>IFERROR(revenue[profit]/revenue[revenue], 0)</f>
        <v>0.1354325525</v>
      </c>
      <c r="S1658" s="9">
        <f>revenue[productCost]*revenue[orderQuantity]</f>
        <v>186.7465686</v>
      </c>
    </row>
    <row r="1659" ht="15.75" customHeight="1">
      <c r="A1659" s="6">
        <v>10880.0</v>
      </c>
      <c r="B1659" s="7" t="s">
        <v>29</v>
      </c>
      <c r="C1659" s="24" t="str">
        <f>VLOOKUP(revenue[customerID],customers[],2,FALSE)</f>
        <v>Folk och fä HB</v>
      </c>
      <c r="D1659" s="24" t="str">
        <f>VLOOKUP(revenue[customerID],customers[],6,FALSE)</f>
        <v>Bräcke</v>
      </c>
      <c r="E1659" s="24" t="str">
        <f>VLOOKUP(revenue[customerID],customers[],9,FALSE)</f>
        <v>Sweden</v>
      </c>
      <c r="F1659" s="24">
        <v>45332.0</v>
      </c>
      <c r="G1659" s="6">
        <v>61.0</v>
      </c>
      <c r="H1659" s="9" t="str">
        <f>VLOOKUP(revenue[productID],products[],2,FALSE)</f>
        <v>Sirop d'érable</v>
      </c>
      <c r="I1659" s="9" t="str">
        <f>VLOOKUP(revenue[productID],products[],12,FALSE)</f>
        <v>Condiments</v>
      </c>
      <c r="J1659" s="9">
        <f>VLOOKUP(revenue[productID],products[],IF(YEAR(revenue[orderDate])=2022,8,IF(YEAR(revenue[orderDate])=2023,9,IF(YEAR(revenue[orderDate])=2024,10,NA))),FALSE)</f>
        <v>18.74487379</v>
      </c>
      <c r="K1659" s="9">
        <v>28.5</v>
      </c>
      <c r="L1659" s="25">
        <f>(revenue[orderPrice]-revenue[productCost])/revenue[productCost]</f>
        <v>0.5204156786</v>
      </c>
      <c r="M1659" s="10">
        <v>30.0</v>
      </c>
      <c r="N1659" s="25">
        <v>0.2</v>
      </c>
      <c r="O1659" s="9">
        <f>revenue[orderPrice]*revenue[orderQuantity]</f>
        <v>855</v>
      </c>
      <c r="P1659" s="9">
        <f>revenue[orderTotal]*(1-revenue[discountApllied])</f>
        <v>684</v>
      </c>
      <c r="Q1659" s="9">
        <f>revenue[revenue]-(revenue[productCost]*revenue[orderQuantity])</f>
        <v>121.6537864</v>
      </c>
      <c r="R1659" s="25">
        <f>IFERROR(revenue[profit]/revenue[revenue], 0)</f>
        <v>0.1778564128</v>
      </c>
      <c r="S1659" s="9">
        <f>revenue[productCost]*revenue[orderQuantity]</f>
        <v>562.3462136</v>
      </c>
    </row>
    <row r="1660" ht="15.75" customHeight="1">
      <c r="A1660" s="6">
        <v>10880.0</v>
      </c>
      <c r="B1660" s="7" t="s">
        <v>29</v>
      </c>
      <c r="C1660" s="24" t="str">
        <f>VLOOKUP(revenue[customerID],customers[],2,FALSE)</f>
        <v>Folk och fä HB</v>
      </c>
      <c r="D1660" s="24" t="str">
        <f>VLOOKUP(revenue[customerID],customers[],6,FALSE)</f>
        <v>Bräcke</v>
      </c>
      <c r="E1660" s="24" t="str">
        <f>VLOOKUP(revenue[customerID],customers[],9,FALSE)</f>
        <v>Sweden</v>
      </c>
      <c r="F1660" s="24">
        <v>45332.0</v>
      </c>
      <c r="G1660" s="6">
        <v>70.0</v>
      </c>
      <c r="H1660" s="9" t="str">
        <f>VLOOKUP(revenue[productID],products[],2,FALSE)</f>
        <v>Outback Lager</v>
      </c>
      <c r="I1660" s="9" t="str">
        <f>VLOOKUP(revenue[productID],products[],12,FALSE)</f>
        <v>Beverages</v>
      </c>
      <c r="J1660" s="9">
        <f>VLOOKUP(revenue[productID],products[],IF(YEAR(revenue[orderDate])=2022,8,IF(YEAR(revenue[orderDate])=2023,9,IF(YEAR(revenue[orderDate])=2024,10,NA))),FALSE)</f>
        <v>10.03280812</v>
      </c>
      <c r="K1660" s="9">
        <v>15.0</v>
      </c>
      <c r="L1660" s="25">
        <f>(revenue[orderPrice]-revenue[productCost])/revenue[productCost]</f>
        <v>0.4950948747</v>
      </c>
      <c r="M1660" s="10">
        <v>50.0</v>
      </c>
      <c r="N1660" s="25">
        <v>0.2</v>
      </c>
      <c r="O1660" s="9">
        <f>revenue[orderPrice]*revenue[orderQuantity]</f>
        <v>750</v>
      </c>
      <c r="P1660" s="9">
        <f>revenue[orderTotal]*(1-revenue[discountApllied])</f>
        <v>600</v>
      </c>
      <c r="Q1660" s="9">
        <f>revenue[revenue]-(revenue[productCost]*revenue[orderQuantity])</f>
        <v>98.35959395</v>
      </c>
      <c r="R1660" s="25">
        <f>IFERROR(revenue[profit]/revenue[revenue], 0)</f>
        <v>0.1639326566</v>
      </c>
      <c r="S1660" s="9">
        <f>revenue[productCost]*revenue[orderQuantity]</f>
        <v>501.640406</v>
      </c>
    </row>
    <row r="1661" ht="15.75" customHeight="1">
      <c r="A1661" s="6">
        <v>10881.0</v>
      </c>
      <c r="B1661" s="7" t="s">
        <v>93</v>
      </c>
      <c r="C1661" s="24" t="str">
        <f>VLOOKUP(revenue[customerID],customers[],2,FALSE)</f>
        <v>Cactus Comidas para llevar</v>
      </c>
      <c r="D1661" s="24" t="str">
        <f>VLOOKUP(revenue[customerID],customers[],6,FALSE)</f>
        <v>Buenos Aires</v>
      </c>
      <c r="E1661" s="24" t="str">
        <f>VLOOKUP(revenue[customerID],customers[],9,FALSE)</f>
        <v>Argentina</v>
      </c>
      <c r="F1661" s="24">
        <v>45333.0</v>
      </c>
      <c r="G1661" s="6">
        <v>73.0</v>
      </c>
      <c r="H1661" s="9" t="str">
        <f>VLOOKUP(revenue[productID],products[],2,FALSE)</f>
        <v>Röd Kaviar</v>
      </c>
      <c r="I1661" s="9" t="str">
        <f>VLOOKUP(revenue[productID],products[],12,FALSE)</f>
        <v>Seafood</v>
      </c>
      <c r="J1661" s="9">
        <f>VLOOKUP(revenue[productID],products[],IF(YEAR(revenue[orderDate])=2022,8,IF(YEAR(revenue[orderDate])=2023,9,IF(YEAR(revenue[orderDate])=2024,10,NA))),FALSE)</f>
        <v>10.38017757</v>
      </c>
      <c r="K1661" s="9">
        <v>15.0</v>
      </c>
      <c r="L1661" s="25">
        <f>(revenue[orderPrice]-revenue[productCost])/revenue[productCost]</f>
        <v>0.445061984</v>
      </c>
      <c r="M1661" s="10">
        <v>10.0</v>
      </c>
      <c r="N1661" s="25">
        <v>0.0</v>
      </c>
      <c r="O1661" s="9">
        <f>revenue[orderPrice]*revenue[orderQuantity]</f>
        <v>150</v>
      </c>
      <c r="P1661" s="9">
        <f>revenue[orderTotal]*(1-revenue[discountApllied])</f>
        <v>150</v>
      </c>
      <c r="Q1661" s="9">
        <f>revenue[revenue]-(revenue[productCost]*revenue[orderQuantity])</f>
        <v>46.19822425</v>
      </c>
      <c r="R1661" s="25">
        <f>IFERROR(revenue[profit]/revenue[revenue], 0)</f>
        <v>0.3079881617</v>
      </c>
      <c r="S1661" s="9">
        <f>revenue[productCost]*revenue[orderQuantity]</f>
        <v>103.8017757</v>
      </c>
    </row>
    <row r="1662" ht="15.75" customHeight="1">
      <c r="A1662" s="6">
        <v>10882.0</v>
      </c>
      <c r="B1662" s="7" t="s">
        <v>60</v>
      </c>
      <c r="C1662" s="24" t="str">
        <f>VLOOKUP(revenue[customerID],customers[],2,FALSE)</f>
        <v>Save-a-lot Markets</v>
      </c>
      <c r="D1662" s="24" t="str">
        <f>VLOOKUP(revenue[customerID],customers[],6,FALSE)</f>
        <v>Boise</v>
      </c>
      <c r="E1662" s="24" t="str">
        <f>VLOOKUP(revenue[customerID],customers[],9,FALSE)</f>
        <v>USA</v>
      </c>
      <c r="F1662" s="24">
        <v>45333.0</v>
      </c>
      <c r="G1662" s="6">
        <v>42.0</v>
      </c>
      <c r="H1662" s="9" t="str">
        <f>VLOOKUP(revenue[productID],products[],2,FALSE)</f>
        <v>Singaporean Hokkien Fried Mee</v>
      </c>
      <c r="I1662" s="9" t="str">
        <f>VLOOKUP(revenue[productID],products[],12,FALSE)</f>
        <v>Grains/Cereals</v>
      </c>
      <c r="J1662" s="9">
        <f>VLOOKUP(revenue[productID],products[],IF(YEAR(revenue[orderDate])=2022,8,IF(YEAR(revenue[orderDate])=2023,9,IF(YEAR(revenue[orderDate])=2024,10,NA))),FALSE)</f>
        <v>9.64736714</v>
      </c>
      <c r="K1662" s="9">
        <v>14.0</v>
      </c>
      <c r="L1662" s="25">
        <f>(revenue[orderPrice]-revenue[productCost])/revenue[productCost]</f>
        <v>0.4511731333</v>
      </c>
      <c r="M1662" s="10">
        <v>25.0</v>
      </c>
      <c r="N1662" s="25">
        <v>0.0</v>
      </c>
      <c r="O1662" s="9">
        <f>revenue[orderPrice]*revenue[orderQuantity]</f>
        <v>350</v>
      </c>
      <c r="P1662" s="9">
        <f>revenue[orderTotal]*(1-revenue[discountApllied])</f>
        <v>350</v>
      </c>
      <c r="Q1662" s="9">
        <f>revenue[revenue]-(revenue[productCost]*revenue[orderQuantity])</f>
        <v>108.8158215</v>
      </c>
      <c r="R1662" s="25">
        <f>IFERROR(revenue[profit]/revenue[revenue], 0)</f>
        <v>0.3109023472</v>
      </c>
      <c r="S1662" s="9">
        <f>revenue[productCost]*revenue[orderQuantity]</f>
        <v>241.1841785</v>
      </c>
    </row>
    <row r="1663" ht="15.75" customHeight="1">
      <c r="A1663" s="6">
        <v>10882.0</v>
      </c>
      <c r="B1663" s="7" t="s">
        <v>60</v>
      </c>
      <c r="C1663" s="24" t="str">
        <f>VLOOKUP(revenue[customerID],customers[],2,FALSE)</f>
        <v>Save-a-lot Markets</v>
      </c>
      <c r="D1663" s="24" t="str">
        <f>VLOOKUP(revenue[customerID],customers[],6,FALSE)</f>
        <v>Boise</v>
      </c>
      <c r="E1663" s="24" t="str">
        <f>VLOOKUP(revenue[customerID],customers[],9,FALSE)</f>
        <v>USA</v>
      </c>
      <c r="F1663" s="24">
        <v>45333.0</v>
      </c>
      <c r="G1663" s="6">
        <v>49.0</v>
      </c>
      <c r="H1663" s="9" t="str">
        <f>VLOOKUP(revenue[productID],products[],2,FALSE)</f>
        <v>Maxilaku</v>
      </c>
      <c r="I1663" s="9" t="str">
        <f>VLOOKUP(revenue[productID],products[],12,FALSE)</f>
        <v>Confections</v>
      </c>
      <c r="J1663" s="9">
        <f>VLOOKUP(revenue[productID],products[],IF(YEAR(revenue[orderDate])=2022,8,IF(YEAR(revenue[orderDate])=2023,9,IF(YEAR(revenue[orderDate])=2024,10,NA))),FALSE)</f>
        <v>15.07459899</v>
      </c>
      <c r="K1663" s="9">
        <v>20.0</v>
      </c>
      <c r="L1663" s="25">
        <f>(revenue[orderPrice]-revenue[productCost])/revenue[productCost]</f>
        <v>0.3267351269</v>
      </c>
      <c r="M1663" s="10">
        <v>20.0</v>
      </c>
      <c r="N1663" s="25">
        <v>0.15</v>
      </c>
      <c r="O1663" s="9">
        <f>revenue[orderPrice]*revenue[orderQuantity]</f>
        <v>400</v>
      </c>
      <c r="P1663" s="9">
        <f>revenue[orderTotal]*(1-revenue[discountApllied])</f>
        <v>340</v>
      </c>
      <c r="Q1663" s="9">
        <f>revenue[revenue]-(revenue[productCost]*revenue[orderQuantity])</f>
        <v>38.50802027</v>
      </c>
      <c r="R1663" s="25">
        <f>IFERROR(revenue[profit]/revenue[revenue], 0)</f>
        <v>0.1132588831</v>
      </c>
      <c r="S1663" s="9">
        <f>revenue[productCost]*revenue[orderQuantity]</f>
        <v>301.4919797</v>
      </c>
    </row>
    <row r="1664" ht="15.75" customHeight="1">
      <c r="A1664" s="6">
        <v>10882.0</v>
      </c>
      <c r="B1664" s="7" t="s">
        <v>60</v>
      </c>
      <c r="C1664" s="24" t="str">
        <f>VLOOKUP(revenue[customerID],customers[],2,FALSE)</f>
        <v>Save-a-lot Markets</v>
      </c>
      <c r="D1664" s="24" t="str">
        <f>VLOOKUP(revenue[customerID],customers[],6,FALSE)</f>
        <v>Boise</v>
      </c>
      <c r="E1664" s="24" t="str">
        <f>VLOOKUP(revenue[customerID],customers[],9,FALSE)</f>
        <v>USA</v>
      </c>
      <c r="F1664" s="24">
        <v>45333.0</v>
      </c>
      <c r="G1664" s="6">
        <v>54.0</v>
      </c>
      <c r="H1664" s="9" t="str">
        <f>VLOOKUP(revenue[productID],products[],2,FALSE)</f>
        <v>Tourtière</v>
      </c>
      <c r="I1664" s="9" t="str">
        <f>VLOOKUP(revenue[productID],products[],12,FALSE)</f>
        <v>Meat/Poultry</v>
      </c>
      <c r="J1664" s="9">
        <f>VLOOKUP(revenue[productID],products[],IF(YEAR(revenue[orderDate])=2022,8,IF(YEAR(revenue[orderDate])=2023,9,IF(YEAR(revenue[orderDate])=2024,10,NA))),FALSE)</f>
        <v>4.884716455</v>
      </c>
      <c r="K1664" s="9">
        <v>7.45</v>
      </c>
      <c r="L1664" s="25">
        <f>(revenue[orderPrice]-revenue[productCost])/revenue[productCost]</f>
        <v>0.5251652923</v>
      </c>
      <c r="M1664" s="10">
        <v>32.0</v>
      </c>
      <c r="N1664" s="25">
        <v>0.15</v>
      </c>
      <c r="O1664" s="9">
        <f>revenue[orderPrice]*revenue[orderQuantity]</f>
        <v>238.4</v>
      </c>
      <c r="P1664" s="9">
        <f>revenue[orderTotal]*(1-revenue[discountApllied])</f>
        <v>202.64</v>
      </c>
      <c r="Q1664" s="9">
        <f>revenue[revenue]-(revenue[productCost]*revenue[orderQuantity])</f>
        <v>46.32907344</v>
      </c>
      <c r="R1664" s="25">
        <f>IFERROR(revenue[profit]/revenue[revenue], 0)</f>
        <v>0.2286274844</v>
      </c>
      <c r="S1664" s="9">
        <f>revenue[productCost]*revenue[orderQuantity]</f>
        <v>156.3109266</v>
      </c>
    </row>
    <row r="1665" ht="15.75" customHeight="1">
      <c r="A1665" s="6">
        <v>10883.0</v>
      </c>
      <c r="B1665" s="7" t="s">
        <v>53</v>
      </c>
      <c r="C1665" s="24" t="str">
        <f>VLOOKUP(revenue[customerID],customers[],2,FALSE)</f>
        <v>Lonesome Pine Restaurant</v>
      </c>
      <c r="D1665" s="24" t="str">
        <f>VLOOKUP(revenue[customerID],customers[],6,FALSE)</f>
        <v>Portland</v>
      </c>
      <c r="E1665" s="24" t="str">
        <f>VLOOKUP(revenue[customerID],customers[],9,FALSE)</f>
        <v>USA</v>
      </c>
      <c r="F1665" s="24">
        <v>45334.0</v>
      </c>
      <c r="G1665" s="6">
        <v>24.0</v>
      </c>
      <c r="H1665" s="9" t="str">
        <f>VLOOKUP(revenue[productID],products[],2,FALSE)</f>
        <v>Brigadeiros Maravilhosos da Lilian</v>
      </c>
      <c r="I1665" s="9" t="str">
        <f>VLOOKUP(revenue[productID],products[],12,FALSE)</f>
        <v>Confections</v>
      </c>
      <c r="J1665" s="9">
        <f>VLOOKUP(revenue[productID],products[],IF(YEAR(revenue[orderDate])=2022,8,IF(YEAR(revenue[orderDate])=2023,9,IF(YEAR(revenue[orderDate])=2024,10,NA))),FALSE)</f>
        <v>3.177326315</v>
      </c>
      <c r="K1665" s="9">
        <v>4.5</v>
      </c>
      <c r="L1665" s="25">
        <f>(revenue[orderPrice]-revenue[productCost])/revenue[productCost]</f>
        <v>0.416285126</v>
      </c>
      <c r="M1665" s="10">
        <v>8.0</v>
      </c>
      <c r="N1665" s="25">
        <v>0.0</v>
      </c>
      <c r="O1665" s="9">
        <f>revenue[orderPrice]*revenue[orderQuantity]</f>
        <v>36</v>
      </c>
      <c r="P1665" s="9">
        <f>revenue[orderTotal]*(1-revenue[discountApllied])</f>
        <v>36</v>
      </c>
      <c r="Q1665" s="9">
        <f>revenue[revenue]-(revenue[productCost]*revenue[orderQuantity])</f>
        <v>10.58138948</v>
      </c>
      <c r="R1665" s="25">
        <f>IFERROR(revenue[profit]/revenue[revenue], 0)</f>
        <v>0.2939274856</v>
      </c>
      <c r="S1665" s="9">
        <f>revenue[productCost]*revenue[orderQuantity]</f>
        <v>25.41861052</v>
      </c>
    </row>
    <row r="1666" ht="15.75" customHeight="1">
      <c r="A1666" s="6">
        <v>10884.0</v>
      </c>
      <c r="B1666" s="7" t="s">
        <v>97</v>
      </c>
      <c r="C1666" s="24" t="str">
        <f>VLOOKUP(revenue[customerID],customers[],2,FALSE)</f>
        <v>Let's Stop N Shop</v>
      </c>
      <c r="D1666" s="24" t="str">
        <f>VLOOKUP(revenue[customerID],customers[],6,FALSE)</f>
        <v>San Francisco</v>
      </c>
      <c r="E1666" s="24" t="str">
        <f>VLOOKUP(revenue[customerID],customers[],9,FALSE)</f>
        <v>USA</v>
      </c>
      <c r="F1666" s="24">
        <v>45334.0</v>
      </c>
      <c r="G1666" s="6">
        <v>21.0</v>
      </c>
      <c r="H1666" s="9" t="str">
        <f>VLOOKUP(revenue[productID],products[],2,FALSE)</f>
        <v>Sir Rodney's Scones</v>
      </c>
      <c r="I1666" s="9" t="str">
        <f>VLOOKUP(revenue[productID],products[],12,FALSE)</f>
        <v>Confections</v>
      </c>
      <c r="J1666" s="9">
        <f>VLOOKUP(revenue[productID],products[],IF(YEAR(revenue[orderDate])=2022,8,IF(YEAR(revenue[orderDate])=2023,9,IF(YEAR(revenue[orderDate])=2024,10,NA))),FALSE)</f>
        <v>7.459897593</v>
      </c>
      <c r="K1666" s="9">
        <v>10.0</v>
      </c>
      <c r="L1666" s="25">
        <f>(revenue[orderPrice]-revenue[productCost])/revenue[productCost]</f>
        <v>0.3405009753</v>
      </c>
      <c r="M1666" s="10">
        <v>40.0</v>
      </c>
      <c r="N1666" s="25">
        <v>0.05</v>
      </c>
      <c r="O1666" s="9">
        <f>revenue[orderPrice]*revenue[orderQuantity]</f>
        <v>400</v>
      </c>
      <c r="P1666" s="9">
        <f>revenue[orderTotal]*(1-revenue[discountApllied])</f>
        <v>380</v>
      </c>
      <c r="Q1666" s="9">
        <f>revenue[revenue]-(revenue[productCost]*revenue[orderQuantity])</f>
        <v>81.60409626</v>
      </c>
      <c r="R1666" s="25">
        <f>IFERROR(revenue[profit]/revenue[revenue], 0)</f>
        <v>0.2147476217</v>
      </c>
      <c r="S1666" s="9">
        <f>revenue[productCost]*revenue[orderQuantity]</f>
        <v>298.3959037</v>
      </c>
    </row>
    <row r="1667" ht="15.75" customHeight="1">
      <c r="A1667" s="6">
        <v>10884.0</v>
      </c>
      <c r="B1667" s="7" t="s">
        <v>97</v>
      </c>
      <c r="C1667" s="24" t="str">
        <f>VLOOKUP(revenue[customerID],customers[],2,FALSE)</f>
        <v>Let's Stop N Shop</v>
      </c>
      <c r="D1667" s="24" t="str">
        <f>VLOOKUP(revenue[customerID],customers[],6,FALSE)</f>
        <v>San Francisco</v>
      </c>
      <c r="E1667" s="24" t="str">
        <f>VLOOKUP(revenue[customerID],customers[],9,FALSE)</f>
        <v>USA</v>
      </c>
      <c r="F1667" s="24">
        <v>45334.0</v>
      </c>
      <c r="G1667" s="6">
        <v>56.0</v>
      </c>
      <c r="H1667" s="9" t="str">
        <f>VLOOKUP(revenue[productID],products[],2,FALSE)</f>
        <v>Gnocchi di nonna Alice</v>
      </c>
      <c r="I1667" s="9" t="str">
        <f>VLOOKUP(revenue[productID],products[],12,FALSE)</f>
        <v>Grains/Cereals</v>
      </c>
      <c r="J1667" s="9">
        <f>VLOOKUP(revenue[productID],products[],IF(YEAR(revenue[orderDate])=2022,8,IF(YEAR(revenue[orderDate])=2023,9,IF(YEAR(revenue[orderDate])=2024,10,NA))),FALSE)</f>
        <v>27.53915851</v>
      </c>
      <c r="K1667" s="9">
        <v>38.0</v>
      </c>
      <c r="L1667" s="25">
        <f>(revenue[orderPrice]-revenue[productCost])/revenue[productCost]</f>
        <v>0.3798533452</v>
      </c>
      <c r="M1667" s="10">
        <v>21.0</v>
      </c>
      <c r="N1667" s="25">
        <v>0.05</v>
      </c>
      <c r="O1667" s="9">
        <f>revenue[orderPrice]*revenue[orderQuantity]</f>
        <v>798</v>
      </c>
      <c r="P1667" s="9">
        <f>revenue[orderTotal]*(1-revenue[discountApllied])</f>
        <v>758.1</v>
      </c>
      <c r="Q1667" s="9">
        <f>revenue[revenue]-(revenue[productCost]*revenue[orderQuantity])</f>
        <v>179.7776712</v>
      </c>
      <c r="R1667" s="25">
        <f>IFERROR(revenue[profit]/revenue[revenue], 0)</f>
        <v>0.2371424234</v>
      </c>
      <c r="S1667" s="9">
        <f>revenue[productCost]*revenue[orderQuantity]</f>
        <v>578.3223288</v>
      </c>
    </row>
    <row r="1668" ht="15.75" customHeight="1">
      <c r="A1668" s="6">
        <v>10884.0</v>
      </c>
      <c r="B1668" s="7" t="s">
        <v>97</v>
      </c>
      <c r="C1668" s="24" t="str">
        <f>VLOOKUP(revenue[customerID],customers[],2,FALSE)</f>
        <v>Let's Stop N Shop</v>
      </c>
      <c r="D1668" s="24" t="str">
        <f>VLOOKUP(revenue[customerID],customers[],6,FALSE)</f>
        <v>San Francisco</v>
      </c>
      <c r="E1668" s="24" t="str">
        <f>VLOOKUP(revenue[customerID],customers[],9,FALSE)</f>
        <v>USA</v>
      </c>
      <c r="F1668" s="24">
        <v>45334.0</v>
      </c>
      <c r="G1668" s="6">
        <v>65.0</v>
      </c>
      <c r="H1668" s="9" t="str">
        <f>VLOOKUP(revenue[productID],products[],2,FALSE)</f>
        <v>Louisiana Fiery Hot Pepper Sauce</v>
      </c>
      <c r="I1668" s="9" t="str">
        <f>VLOOKUP(revenue[productID],products[],12,FALSE)</f>
        <v>Condiments</v>
      </c>
      <c r="J1668" s="9">
        <f>VLOOKUP(revenue[productID],products[],IF(YEAR(revenue[orderDate])=2022,8,IF(YEAR(revenue[orderDate])=2023,9,IF(YEAR(revenue[orderDate])=2024,10,NA))),FALSE)</f>
        <v>14.50738168</v>
      </c>
      <c r="K1668" s="9">
        <v>21.05</v>
      </c>
      <c r="L1668" s="25">
        <f>(revenue[orderPrice]-revenue[productCost])/revenue[productCost]</f>
        <v>0.4509854685</v>
      </c>
      <c r="M1668" s="10">
        <v>12.0</v>
      </c>
      <c r="N1668" s="25">
        <v>0.05</v>
      </c>
      <c r="O1668" s="9">
        <f>revenue[orderPrice]*revenue[orderQuantity]</f>
        <v>252.6</v>
      </c>
      <c r="P1668" s="9">
        <f>revenue[orderTotal]*(1-revenue[discountApllied])</f>
        <v>239.97</v>
      </c>
      <c r="Q1668" s="9">
        <f>revenue[revenue]-(revenue[productCost]*revenue[orderQuantity])</f>
        <v>65.88141987</v>
      </c>
      <c r="R1668" s="25">
        <f>IFERROR(revenue[profit]/revenue[revenue], 0)</f>
        <v>0.2745402337</v>
      </c>
      <c r="S1668" s="9">
        <f>revenue[productCost]*revenue[orderQuantity]</f>
        <v>174.0885801</v>
      </c>
    </row>
    <row r="1669" ht="15.75" customHeight="1">
      <c r="A1669" s="6">
        <v>10885.0</v>
      </c>
      <c r="B1669" s="7" t="s">
        <v>19</v>
      </c>
      <c r="C1669" s="24" t="str">
        <f>VLOOKUP(revenue[customerID],customers[],2,FALSE)</f>
        <v>Suprêmes délices</v>
      </c>
      <c r="D1669" s="24" t="str">
        <f>VLOOKUP(revenue[customerID],customers[],6,FALSE)</f>
        <v>Charleroi</v>
      </c>
      <c r="E1669" s="24" t="str">
        <f>VLOOKUP(revenue[customerID],customers[],9,FALSE)</f>
        <v>Belgium</v>
      </c>
      <c r="F1669" s="24">
        <v>45334.0</v>
      </c>
      <c r="G1669" s="6">
        <v>2.0</v>
      </c>
      <c r="H1669" s="9" t="str">
        <f>VLOOKUP(revenue[productID],products[],2,FALSE)</f>
        <v>Chang</v>
      </c>
      <c r="I1669" s="9" t="str">
        <f>VLOOKUP(revenue[productID],products[],12,FALSE)</f>
        <v>Beverages</v>
      </c>
      <c r="J1669" s="9">
        <f>VLOOKUP(revenue[productID],products[],IF(YEAR(revenue[orderDate])=2022,8,IF(YEAR(revenue[orderDate])=2023,9,IF(YEAR(revenue[orderDate])=2024,10,NA))),FALSE)</f>
        <v>11.93843713</v>
      </c>
      <c r="K1669" s="9">
        <v>19.0</v>
      </c>
      <c r="L1669" s="25">
        <f>(revenue[orderPrice]-revenue[productCost])/revenue[productCost]</f>
        <v>0.591498099</v>
      </c>
      <c r="M1669" s="10">
        <v>20.0</v>
      </c>
      <c r="N1669" s="25">
        <v>0.0</v>
      </c>
      <c r="O1669" s="9">
        <f>revenue[orderPrice]*revenue[orderQuantity]</f>
        <v>380</v>
      </c>
      <c r="P1669" s="9">
        <f>revenue[orderTotal]*(1-revenue[discountApllied])</f>
        <v>380</v>
      </c>
      <c r="Q1669" s="9">
        <f>revenue[revenue]-(revenue[productCost]*revenue[orderQuantity])</f>
        <v>141.2312574</v>
      </c>
      <c r="R1669" s="25">
        <f>IFERROR(revenue[profit]/revenue[revenue], 0)</f>
        <v>0.3716612036</v>
      </c>
      <c r="S1669" s="9">
        <f>revenue[productCost]*revenue[orderQuantity]</f>
        <v>238.7687426</v>
      </c>
    </row>
    <row r="1670" ht="15.75" customHeight="1">
      <c r="A1670" s="6">
        <v>10885.0</v>
      </c>
      <c r="B1670" s="7" t="s">
        <v>19</v>
      </c>
      <c r="C1670" s="24" t="str">
        <f>VLOOKUP(revenue[customerID],customers[],2,FALSE)</f>
        <v>Suprêmes délices</v>
      </c>
      <c r="D1670" s="24" t="str">
        <f>VLOOKUP(revenue[customerID],customers[],6,FALSE)</f>
        <v>Charleroi</v>
      </c>
      <c r="E1670" s="24" t="str">
        <f>VLOOKUP(revenue[customerID],customers[],9,FALSE)</f>
        <v>Belgium</v>
      </c>
      <c r="F1670" s="24">
        <v>45334.0</v>
      </c>
      <c r="G1670" s="6">
        <v>24.0</v>
      </c>
      <c r="H1670" s="9" t="str">
        <f>VLOOKUP(revenue[productID],products[],2,FALSE)</f>
        <v>Brigadeiros Maravilhosos da Lilian</v>
      </c>
      <c r="I1670" s="9" t="str">
        <f>VLOOKUP(revenue[productID],products[],12,FALSE)</f>
        <v>Confections</v>
      </c>
      <c r="J1670" s="9">
        <f>VLOOKUP(revenue[productID],products[],IF(YEAR(revenue[orderDate])=2022,8,IF(YEAR(revenue[orderDate])=2023,9,IF(YEAR(revenue[orderDate])=2024,10,NA))),FALSE)</f>
        <v>3.177326315</v>
      </c>
      <c r="K1670" s="9">
        <v>4.5</v>
      </c>
      <c r="L1670" s="25">
        <f>(revenue[orderPrice]-revenue[productCost])/revenue[productCost]</f>
        <v>0.416285126</v>
      </c>
      <c r="M1670" s="10">
        <v>12.0</v>
      </c>
      <c r="N1670" s="25">
        <v>0.0</v>
      </c>
      <c r="O1670" s="9">
        <f>revenue[orderPrice]*revenue[orderQuantity]</f>
        <v>54</v>
      </c>
      <c r="P1670" s="9">
        <f>revenue[orderTotal]*(1-revenue[discountApllied])</f>
        <v>54</v>
      </c>
      <c r="Q1670" s="9">
        <f>revenue[revenue]-(revenue[productCost]*revenue[orderQuantity])</f>
        <v>15.87208422</v>
      </c>
      <c r="R1670" s="25">
        <f>IFERROR(revenue[profit]/revenue[revenue], 0)</f>
        <v>0.2939274856</v>
      </c>
      <c r="S1670" s="9">
        <f>revenue[productCost]*revenue[orderQuantity]</f>
        <v>38.12791578</v>
      </c>
    </row>
    <row r="1671" ht="15.75" customHeight="1">
      <c r="A1671" s="6">
        <v>10885.0</v>
      </c>
      <c r="B1671" s="7" t="s">
        <v>19</v>
      </c>
      <c r="C1671" s="24" t="str">
        <f>VLOOKUP(revenue[customerID],customers[],2,FALSE)</f>
        <v>Suprêmes délices</v>
      </c>
      <c r="D1671" s="24" t="str">
        <f>VLOOKUP(revenue[customerID],customers[],6,FALSE)</f>
        <v>Charleroi</v>
      </c>
      <c r="E1671" s="24" t="str">
        <f>VLOOKUP(revenue[customerID],customers[],9,FALSE)</f>
        <v>Belgium</v>
      </c>
      <c r="F1671" s="24">
        <v>45334.0</v>
      </c>
      <c r="G1671" s="6">
        <v>70.0</v>
      </c>
      <c r="H1671" s="9" t="str">
        <f>VLOOKUP(revenue[productID],products[],2,FALSE)</f>
        <v>Outback Lager</v>
      </c>
      <c r="I1671" s="9" t="str">
        <f>VLOOKUP(revenue[productID],products[],12,FALSE)</f>
        <v>Beverages</v>
      </c>
      <c r="J1671" s="9">
        <f>VLOOKUP(revenue[productID],products[],IF(YEAR(revenue[orderDate])=2022,8,IF(YEAR(revenue[orderDate])=2023,9,IF(YEAR(revenue[orderDate])=2024,10,NA))),FALSE)</f>
        <v>10.03280812</v>
      </c>
      <c r="K1671" s="9">
        <v>15.0</v>
      </c>
      <c r="L1671" s="25">
        <f>(revenue[orderPrice]-revenue[productCost])/revenue[productCost]</f>
        <v>0.4950948747</v>
      </c>
      <c r="M1671" s="10">
        <v>30.0</v>
      </c>
      <c r="N1671" s="25">
        <v>0.0</v>
      </c>
      <c r="O1671" s="9">
        <f>revenue[orderPrice]*revenue[orderQuantity]</f>
        <v>450</v>
      </c>
      <c r="P1671" s="9">
        <f>revenue[orderTotal]*(1-revenue[discountApllied])</f>
        <v>450</v>
      </c>
      <c r="Q1671" s="9">
        <f>revenue[revenue]-(revenue[productCost]*revenue[orderQuantity])</f>
        <v>149.0157564</v>
      </c>
      <c r="R1671" s="25">
        <f>IFERROR(revenue[profit]/revenue[revenue], 0)</f>
        <v>0.3311461253</v>
      </c>
      <c r="S1671" s="9">
        <f>revenue[productCost]*revenue[orderQuantity]</f>
        <v>300.9842436</v>
      </c>
    </row>
    <row r="1672" ht="15.75" customHeight="1">
      <c r="A1672" s="6">
        <v>10885.0</v>
      </c>
      <c r="B1672" s="7" t="s">
        <v>19</v>
      </c>
      <c r="C1672" s="24" t="str">
        <f>VLOOKUP(revenue[customerID],customers[],2,FALSE)</f>
        <v>Suprêmes délices</v>
      </c>
      <c r="D1672" s="24" t="str">
        <f>VLOOKUP(revenue[customerID],customers[],6,FALSE)</f>
        <v>Charleroi</v>
      </c>
      <c r="E1672" s="24" t="str">
        <f>VLOOKUP(revenue[customerID],customers[],9,FALSE)</f>
        <v>Belgium</v>
      </c>
      <c r="F1672" s="24">
        <v>45334.0</v>
      </c>
      <c r="G1672" s="6">
        <v>77.0</v>
      </c>
      <c r="H1672" s="9" t="str">
        <f>VLOOKUP(revenue[productID],products[],2,FALSE)</f>
        <v>Original Frankfurter grüne Soße</v>
      </c>
      <c r="I1672" s="9" t="str">
        <f>VLOOKUP(revenue[productID],products[],12,FALSE)</f>
        <v>Condiments</v>
      </c>
      <c r="J1672" s="9">
        <f>VLOOKUP(revenue[productID],products[],IF(YEAR(revenue[orderDate])=2022,8,IF(YEAR(revenue[orderDate])=2023,9,IF(YEAR(revenue[orderDate])=2024,10,NA))),FALSE)</f>
        <v>9.299025151</v>
      </c>
      <c r="K1672" s="9">
        <v>13.0</v>
      </c>
      <c r="L1672" s="25">
        <f>(revenue[orderPrice]-revenue[productCost])/revenue[productCost]</f>
        <v>0.3979960037</v>
      </c>
      <c r="M1672" s="10">
        <v>25.0</v>
      </c>
      <c r="N1672" s="25">
        <v>0.0</v>
      </c>
      <c r="O1672" s="9">
        <f>revenue[orderPrice]*revenue[orderQuantity]</f>
        <v>325</v>
      </c>
      <c r="P1672" s="9">
        <f>revenue[orderTotal]*(1-revenue[discountApllied])</f>
        <v>325</v>
      </c>
      <c r="Q1672" s="9">
        <f>revenue[revenue]-(revenue[productCost]*revenue[orderQuantity])</f>
        <v>92.52437122</v>
      </c>
      <c r="R1672" s="25">
        <f>IFERROR(revenue[profit]/revenue[revenue], 0)</f>
        <v>0.284690373</v>
      </c>
      <c r="S1672" s="9">
        <f>revenue[productCost]*revenue[orderQuantity]</f>
        <v>232.4756288</v>
      </c>
    </row>
    <row r="1673" ht="15.75" customHeight="1">
      <c r="A1673" s="6">
        <v>10886.0</v>
      </c>
      <c r="B1673" s="7" t="s">
        <v>16</v>
      </c>
      <c r="C1673" s="24" t="str">
        <f>VLOOKUP(revenue[customerID],customers[],2,FALSE)</f>
        <v>Hanari Carnes</v>
      </c>
      <c r="D1673" s="24" t="str">
        <f>VLOOKUP(revenue[customerID],customers[],6,FALSE)</f>
        <v>Rio de Janeiro</v>
      </c>
      <c r="E1673" s="24" t="str">
        <f>VLOOKUP(revenue[customerID],customers[],9,FALSE)</f>
        <v>Brazil</v>
      </c>
      <c r="F1673" s="24">
        <v>45335.0</v>
      </c>
      <c r="G1673" s="6">
        <v>10.0</v>
      </c>
      <c r="H1673" s="9" t="str">
        <f>VLOOKUP(revenue[productID],products[],2,FALSE)</f>
        <v>Ikura</v>
      </c>
      <c r="I1673" s="9" t="str">
        <f>VLOOKUP(revenue[productID],products[],12,FALSE)</f>
        <v>Seafood</v>
      </c>
      <c r="J1673" s="9">
        <f>VLOOKUP(revenue[productID],products[],IF(YEAR(revenue[orderDate])=2022,8,IF(YEAR(revenue[orderDate])=2023,9,IF(YEAR(revenue[orderDate])=2024,10,NA))),FALSE)</f>
        <v>20.90394627</v>
      </c>
      <c r="K1673" s="9">
        <v>31.0</v>
      </c>
      <c r="L1673" s="25">
        <f>(revenue[orderPrice]-revenue[productCost])/revenue[productCost]</f>
        <v>0.4829735786</v>
      </c>
      <c r="M1673" s="10">
        <v>70.0</v>
      </c>
      <c r="N1673" s="25">
        <v>0.0</v>
      </c>
      <c r="O1673" s="9">
        <f>revenue[orderPrice]*revenue[orderQuantity]</f>
        <v>2170</v>
      </c>
      <c r="P1673" s="9">
        <f>revenue[orderTotal]*(1-revenue[discountApllied])</f>
        <v>2170</v>
      </c>
      <c r="Q1673" s="9">
        <f>revenue[revenue]-(revenue[productCost]*revenue[orderQuantity])</f>
        <v>706.7237614</v>
      </c>
      <c r="R1673" s="25">
        <f>IFERROR(revenue[profit]/revenue[revenue], 0)</f>
        <v>0.3256791527</v>
      </c>
      <c r="S1673" s="9">
        <f>revenue[productCost]*revenue[orderQuantity]</f>
        <v>1463.276239</v>
      </c>
    </row>
    <row r="1674" ht="15.75" customHeight="1">
      <c r="A1674" s="6">
        <v>10886.0</v>
      </c>
      <c r="B1674" s="7" t="s">
        <v>16</v>
      </c>
      <c r="C1674" s="24" t="str">
        <f>VLOOKUP(revenue[customerID],customers[],2,FALSE)</f>
        <v>Hanari Carnes</v>
      </c>
      <c r="D1674" s="24" t="str">
        <f>VLOOKUP(revenue[customerID],customers[],6,FALSE)</f>
        <v>Rio de Janeiro</v>
      </c>
      <c r="E1674" s="24" t="str">
        <f>VLOOKUP(revenue[customerID],customers[],9,FALSE)</f>
        <v>Brazil</v>
      </c>
      <c r="F1674" s="24">
        <v>45335.0</v>
      </c>
      <c r="G1674" s="6">
        <v>31.0</v>
      </c>
      <c r="H1674" s="9" t="str">
        <f>VLOOKUP(revenue[productID],products[],2,FALSE)</f>
        <v>Gorgonzola Telino</v>
      </c>
      <c r="I1674" s="9" t="str">
        <f>VLOOKUP(revenue[productID],products[],12,FALSE)</f>
        <v>Dairy Products</v>
      </c>
      <c r="J1674" s="9">
        <f>VLOOKUP(revenue[productID],products[],IF(YEAR(revenue[orderDate])=2022,8,IF(YEAR(revenue[orderDate])=2023,9,IF(YEAR(revenue[orderDate])=2024,10,NA))),FALSE)</f>
        <v>8.203054392</v>
      </c>
      <c r="K1674" s="9">
        <v>12.5</v>
      </c>
      <c r="L1674" s="25">
        <f>(revenue[orderPrice]-revenue[productCost])/revenue[productCost]</f>
        <v>0.52382264</v>
      </c>
      <c r="M1674" s="10">
        <v>35.0</v>
      </c>
      <c r="N1674" s="25">
        <v>0.0</v>
      </c>
      <c r="O1674" s="9">
        <f>revenue[orderPrice]*revenue[orderQuantity]</f>
        <v>437.5</v>
      </c>
      <c r="P1674" s="9">
        <f>revenue[orderTotal]*(1-revenue[discountApllied])</f>
        <v>437.5</v>
      </c>
      <c r="Q1674" s="9">
        <f>revenue[revenue]-(revenue[productCost]*revenue[orderQuantity])</f>
        <v>150.3930963</v>
      </c>
      <c r="R1674" s="25">
        <f>IFERROR(revenue[profit]/revenue[revenue], 0)</f>
        <v>0.3437556486</v>
      </c>
      <c r="S1674" s="9">
        <f>revenue[productCost]*revenue[orderQuantity]</f>
        <v>287.1069037</v>
      </c>
    </row>
    <row r="1675" ht="15.75" customHeight="1">
      <c r="A1675" s="6">
        <v>10886.0</v>
      </c>
      <c r="B1675" s="7" t="s">
        <v>16</v>
      </c>
      <c r="C1675" s="24" t="str">
        <f>VLOOKUP(revenue[customerID],customers[],2,FALSE)</f>
        <v>Hanari Carnes</v>
      </c>
      <c r="D1675" s="24" t="str">
        <f>VLOOKUP(revenue[customerID],customers[],6,FALSE)</f>
        <v>Rio de Janeiro</v>
      </c>
      <c r="E1675" s="24" t="str">
        <f>VLOOKUP(revenue[customerID],customers[],9,FALSE)</f>
        <v>Brazil</v>
      </c>
      <c r="F1675" s="24">
        <v>45335.0</v>
      </c>
      <c r="G1675" s="6">
        <v>77.0</v>
      </c>
      <c r="H1675" s="9" t="str">
        <f>VLOOKUP(revenue[productID],products[],2,FALSE)</f>
        <v>Original Frankfurter grüne Soße</v>
      </c>
      <c r="I1675" s="9" t="str">
        <f>VLOOKUP(revenue[productID],products[],12,FALSE)</f>
        <v>Condiments</v>
      </c>
      <c r="J1675" s="9">
        <f>VLOOKUP(revenue[productID],products[],IF(YEAR(revenue[orderDate])=2022,8,IF(YEAR(revenue[orderDate])=2023,9,IF(YEAR(revenue[orderDate])=2024,10,NA))),FALSE)</f>
        <v>9.299025151</v>
      </c>
      <c r="K1675" s="9">
        <v>13.0</v>
      </c>
      <c r="L1675" s="25">
        <f>(revenue[orderPrice]-revenue[productCost])/revenue[productCost]</f>
        <v>0.3979960037</v>
      </c>
      <c r="M1675" s="10">
        <v>40.0</v>
      </c>
      <c r="N1675" s="25">
        <v>0.0</v>
      </c>
      <c r="O1675" s="9">
        <f>revenue[orderPrice]*revenue[orderQuantity]</f>
        <v>520</v>
      </c>
      <c r="P1675" s="9">
        <f>revenue[orderTotal]*(1-revenue[discountApllied])</f>
        <v>520</v>
      </c>
      <c r="Q1675" s="9">
        <f>revenue[revenue]-(revenue[productCost]*revenue[orderQuantity])</f>
        <v>148.0389939</v>
      </c>
      <c r="R1675" s="25">
        <f>IFERROR(revenue[profit]/revenue[revenue], 0)</f>
        <v>0.284690373</v>
      </c>
      <c r="S1675" s="9">
        <f>revenue[productCost]*revenue[orderQuantity]</f>
        <v>371.9610061</v>
      </c>
    </row>
    <row r="1676" ht="15.75" customHeight="1">
      <c r="A1676" s="6">
        <v>10887.0</v>
      </c>
      <c r="B1676" s="7" t="s">
        <v>75</v>
      </c>
      <c r="C1676" s="24" t="str">
        <f>VLOOKUP(revenue[customerID],customers[],2,FALSE)</f>
        <v>Galería del gastrónomo</v>
      </c>
      <c r="D1676" s="24" t="str">
        <f>VLOOKUP(revenue[customerID],customers[],6,FALSE)</f>
        <v>Barcelona</v>
      </c>
      <c r="E1676" s="24" t="str">
        <f>VLOOKUP(revenue[customerID],customers[],9,FALSE)</f>
        <v>Spain</v>
      </c>
      <c r="F1676" s="24">
        <v>45335.0</v>
      </c>
      <c r="G1676" s="6">
        <v>25.0</v>
      </c>
      <c r="H1676" s="9" t="str">
        <f>VLOOKUP(revenue[productID],products[],2,FALSE)</f>
        <v>HM Köstliche Kaiserschmarrn Knödelchen</v>
      </c>
      <c r="I1676" s="9" t="str">
        <f>VLOOKUP(revenue[productID],products[],12,FALSE)</f>
        <v>Confections</v>
      </c>
      <c r="J1676" s="9">
        <f>VLOOKUP(revenue[productID],products[],IF(YEAR(revenue[orderDate])=2022,8,IF(YEAR(revenue[orderDate])=2023,9,IF(YEAR(revenue[orderDate])=2024,10,NA))),FALSE)</f>
        <v>8.782270815</v>
      </c>
      <c r="K1676" s="9">
        <v>14.0</v>
      </c>
      <c r="L1676" s="25">
        <f>(revenue[orderPrice]-revenue[productCost])/revenue[productCost]</f>
        <v>0.5941207342</v>
      </c>
      <c r="M1676" s="10">
        <v>5.0</v>
      </c>
      <c r="N1676" s="25">
        <v>0.0</v>
      </c>
      <c r="O1676" s="9">
        <f>revenue[orderPrice]*revenue[orderQuantity]</f>
        <v>70</v>
      </c>
      <c r="P1676" s="9">
        <f>revenue[orderTotal]*(1-revenue[discountApllied])</f>
        <v>70</v>
      </c>
      <c r="Q1676" s="9">
        <f>revenue[revenue]-(revenue[productCost]*revenue[orderQuantity])</f>
        <v>26.08864592</v>
      </c>
      <c r="R1676" s="25">
        <f>IFERROR(revenue[profit]/revenue[revenue], 0)</f>
        <v>0.3726949418</v>
      </c>
      <c r="S1676" s="9">
        <f>revenue[productCost]*revenue[orderQuantity]</f>
        <v>43.91135408</v>
      </c>
    </row>
    <row r="1677" ht="15.75" customHeight="1">
      <c r="A1677" s="6">
        <v>10888.0</v>
      </c>
      <c r="B1677" s="7" t="s">
        <v>51</v>
      </c>
      <c r="C1677" s="24" t="str">
        <f>VLOOKUP(revenue[customerID],customers[],2,FALSE)</f>
        <v>Godos Cocina Típica</v>
      </c>
      <c r="D1677" s="24" t="str">
        <f>VLOOKUP(revenue[customerID],customers[],6,FALSE)</f>
        <v>Sevilla</v>
      </c>
      <c r="E1677" s="24" t="str">
        <f>VLOOKUP(revenue[customerID],customers[],9,FALSE)</f>
        <v>Spain</v>
      </c>
      <c r="F1677" s="24">
        <v>45338.0</v>
      </c>
      <c r="G1677" s="6">
        <v>2.0</v>
      </c>
      <c r="H1677" s="9" t="str">
        <f>VLOOKUP(revenue[productID],products[],2,FALSE)</f>
        <v>Chang</v>
      </c>
      <c r="I1677" s="9" t="str">
        <f>VLOOKUP(revenue[productID],products[],12,FALSE)</f>
        <v>Beverages</v>
      </c>
      <c r="J1677" s="9">
        <f>VLOOKUP(revenue[productID],products[],IF(YEAR(revenue[orderDate])=2022,8,IF(YEAR(revenue[orderDate])=2023,9,IF(YEAR(revenue[orderDate])=2024,10,NA))),FALSE)</f>
        <v>11.93843713</v>
      </c>
      <c r="K1677" s="9">
        <v>19.0</v>
      </c>
      <c r="L1677" s="25">
        <f>(revenue[orderPrice]-revenue[productCost])/revenue[productCost]</f>
        <v>0.591498099</v>
      </c>
      <c r="M1677" s="10">
        <v>20.0</v>
      </c>
      <c r="N1677" s="25">
        <v>0.0</v>
      </c>
      <c r="O1677" s="9">
        <f>revenue[orderPrice]*revenue[orderQuantity]</f>
        <v>380</v>
      </c>
      <c r="P1677" s="9">
        <f>revenue[orderTotal]*(1-revenue[discountApllied])</f>
        <v>380</v>
      </c>
      <c r="Q1677" s="9">
        <f>revenue[revenue]-(revenue[productCost]*revenue[orderQuantity])</f>
        <v>141.2312574</v>
      </c>
      <c r="R1677" s="25">
        <f>IFERROR(revenue[profit]/revenue[revenue], 0)</f>
        <v>0.3716612036</v>
      </c>
      <c r="S1677" s="9">
        <f>revenue[productCost]*revenue[orderQuantity]</f>
        <v>238.7687426</v>
      </c>
    </row>
    <row r="1678" ht="15.75" customHeight="1">
      <c r="A1678" s="6">
        <v>10888.0</v>
      </c>
      <c r="B1678" s="7" t="s">
        <v>51</v>
      </c>
      <c r="C1678" s="24" t="str">
        <f>VLOOKUP(revenue[customerID],customers[],2,FALSE)</f>
        <v>Godos Cocina Típica</v>
      </c>
      <c r="D1678" s="24" t="str">
        <f>VLOOKUP(revenue[customerID],customers[],6,FALSE)</f>
        <v>Sevilla</v>
      </c>
      <c r="E1678" s="24" t="str">
        <f>VLOOKUP(revenue[customerID],customers[],9,FALSE)</f>
        <v>Spain</v>
      </c>
      <c r="F1678" s="24">
        <v>45338.0</v>
      </c>
      <c r="G1678" s="6">
        <v>68.0</v>
      </c>
      <c r="H1678" s="9" t="str">
        <f>VLOOKUP(revenue[productID],products[],2,FALSE)</f>
        <v>Scottish Longbreads</v>
      </c>
      <c r="I1678" s="9" t="str">
        <f>VLOOKUP(revenue[productID],products[],12,FALSE)</f>
        <v>Confections</v>
      </c>
      <c r="J1678" s="9">
        <f>VLOOKUP(revenue[productID],products[],IF(YEAR(revenue[orderDate])=2022,8,IF(YEAR(revenue[orderDate])=2023,9,IF(YEAR(revenue[orderDate])=2024,10,NA))),FALSE)</f>
        <v>9.555031708</v>
      </c>
      <c r="K1678" s="9">
        <v>12.5</v>
      </c>
      <c r="L1678" s="25">
        <f>(revenue[orderPrice]-revenue[productCost])/revenue[productCost]</f>
        <v>0.3082112527</v>
      </c>
      <c r="M1678" s="10">
        <v>18.0</v>
      </c>
      <c r="N1678" s="25">
        <v>0.0</v>
      </c>
      <c r="O1678" s="9">
        <f>revenue[orderPrice]*revenue[orderQuantity]</f>
        <v>225</v>
      </c>
      <c r="P1678" s="9">
        <f>revenue[orderTotal]*(1-revenue[discountApllied])</f>
        <v>225</v>
      </c>
      <c r="Q1678" s="9">
        <f>revenue[revenue]-(revenue[productCost]*revenue[orderQuantity])</f>
        <v>53.00942926</v>
      </c>
      <c r="R1678" s="25">
        <f>IFERROR(revenue[profit]/revenue[revenue], 0)</f>
        <v>0.2355974634</v>
      </c>
      <c r="S1678" s="9">
        <f>revenue[productCost]*revenue[orderQuantity]</f>
        <v>171.9905707</v>
      </c>
    </row>
    <row r="1679" ht="15.75" customHeight="1">
      <c r="A1679" s="6">
        <v>10889.0</v>
      </c>
      <c r="B1679" s="7" t="s">
        <v>28</v>
      </c>
      <c r="C1679" s="24" t="str">
        <f>VLOOKUP(revenue[customerID],customers[],2,FALSE)</f>
        <v>Rattlesnake Canyon Grocery</v>
      </c>
      <c r="D1679" s="24" t="str">
        <f>VLOOKUP(revenue[customerID],customers[],6,FALSE)</f>
        <v>Albuquerque</v>
      </c>
      <c r="E1679" s="24" t="str">
        <f>VLOOKUP(revenue[customerID],customers[],9,FALSE)</f>
        <v>USA</v>
      </c>
      <c r="F1679" s="24">
        <v>45338.0</v>
      </c>
      <c r="G1679" s="6">
        <v>11.0</v>
      </c>
      <c r="H1679" s="9" t="str">
        <f>VLOOKUP(revenue[productID],products[],2,FALSE)</f>
        <v>Queso Cabrales</v>
      </c>
      <c r="I1679" s="9" t="str">
        <f>VLOOKUP(revenue[productID],products[],12,FALSE)</f>
        <v>Dairy Products</v>
      </c>
      <c r="J1679" s="9">
        <f>VLOOKUP(revenue[productID],products[],IF(YEAR(revenue[orderDate])=2022,8,IF(YEAR(revenue[orderDate])=2023,9,IF(YEAR(revenue[orderDate])=2024,10,NA))),FALSE)</f>
        <v>13.86836261</v>
      </c>
      <c r="K1679" s="9">
        <v>21.0</v>
      </c>
      <c r="L1679" s="25">
        <f>(revenue[orderPrice]-revenue[productCost])/revenue[productCost]</f>
        <v>0.51423788</v>
      </c>
      <c r="M1679" s="10">
        <v>40.0</v>
      </c>
      <c r="N1679" s="25">
        <v>0.0</v>
      </c>
      <c r="O1679" s="9">
        <f>revenue[orderPrice]*revenue[orderQuantity]</f>
        <v>840</v>
      </c>
      <c r="P1679" s="9">
        <f>revenue[orderTotal]*(1-revenue[discountApllied])</f>
        <v>840</v>
      </c>
      <c r="Q1679" s="9">
        <f>revenue[revenue]-(revenue[productCost]*revenue[orderQuantity])</f>
        <v>285.2654955</v>
      </c>
      <c r="R1679" s="25">
        <f>IFERROR(revenue[profit]/revenue[revenue], 0)</f>
        <v>0.3396017804</v>
      </c>
      <c r="S1679" s="9">
        <f>revenue[productCost]*revenue[orderQuantity]</f>
        <v>554.7345045</v>
      </c>
    </row>
    <row r="1680" ht="15.75" customHeight="1">
      <c r="A1680" s="6">
        <v>10889.0</v>
      </c>
      <c r="B1680" s="7" t="s">
        <v>28</v>
      </c>
      <c r="C1680" s="24" t="str">
        <f>VLOOKUP(revenue[customerID],customers[],2,FALSE)</f>
        <v>Rattlesnake Canyon Grocery</v>
      </c>
      <c r="D1680" s="24" t="str">
        <f>VLOOKUP(revenue[customerID],customers[],6,FALSE)</f>
        <v>Albuquerque</v>
      </c>
      <c r="E1680" s="24" t="str">
        <f>VLOOKUP(revenue[customerID],customers[],9,FALSE)</f>
        <v>USA</v>
      </c>
      <c r="F1680" s="24">
        <v>45338.0</v>
      </c>
      <c r="G1680" s="6">
        <v>38.0</v>
      </c>
      <c r="H1680" s="9" t="str">
        <f>VLOOKUP(revenue[productID],products[],2,FALSE)</f>
        <v>Côte de Blaye</v>
      </c>
      <c r="I1680" s="9" t="str">
        <f>VLOOKUP(revenue[productID],products[],12,FALSE)</f>
        <v>Beverages</v>
      </c>
      <c r="J1680" s="9">
        <f>VLOOKUP(revenue[productID],products[],IF(YEAR(revenue[orderDate])=2022,8,IF(YEAR(revenue[orderDate])=2023,9,IF(YEAR(revenue[orderDate])=2024,10,NA))),FALSE)</f>
        <v>192.1798413</v>
      </c>
      <c r="K1680" s="9">
        <v>263.5</v>
      </c>
      <c r="L1680" s="25">
        <f>(revenue[orderPrice]-revenue[productCost])/revenue[productCost]</f>
        <v>0.3711115493</v>
      </c>
      <c r="M1680" s="10">
        <v>40.0</v>
      </c>
      <c r="N1680" s="25">
        <v>0.0</v>
      </c>
      <c r="O1680" s="9">
        <f>revenue[orderPrice]*revenue[orderQuantity]</f>
        <v>10540</v>
      </c>
      <c r="P1680" s="9">
        <f>revenue[orderTotal]*(1-revenue[discountApllied])</f>
        <v>10540</v>
      </c>
      <c r="Q1680" s="9">
        <f>revenue[revenue]-(revenue[productCost]*revenue[orderQuantity])</f>
        <v>2852.806346</v>
      </c>
      <c r="R1680" s="25">
        <f>IFERROR(revenue[profit]/revenue[revenue], 0)</f>
        <v>0.2706647388</v>
      </c>
      <c r="S1680" s="9">
        <f>revenue[productCost]*revenue[orderQuantity]</f>
        <v>7687.193654</v>
      </c>
    </row>
    <row r="1681" ht="15.75" customHeight="1">
      <c r="A1681" s="6">
        <v>10890.0</v>
      </c>
      <c r="B1681" s="7" t="s">
        <v>56</v>
      </c>
      <c r="C1681" s="24" t="str">
        <f>VLOOKUP(revenue[customerID],customers[],2,FALSE)</f>
        <v>Du monde entier</v>
      </c>
      <c r="D1681" s="24" t="str">
        <f>VLOOKUP(revenue[customerID],customers[],6,FALSE)</f>
        <v>Nantes</v>
      </c>
      <c r="E1681" s="24" t="str">
        <f>VLOOKUP(revenue[customerID],customers[],9,FALSE)</f>
        <v>France</v>
      </c>
      <c r="F1681" s="24">
        <v>45338.0</v>
      </c>
      <c r="G1681" s="6">
        <v>17.0</v>
      </c>
      <c r="H1681" s="9" t="str">
        <f>VLOOKUP(revenue[productID],products[],2,FALSE)</f>
        <v>Alice Mutton</v>
      </c>
      <c r="I1681" s="9" t="str">
        <f>VLOOKUP(revenue[productID],products[],12,FALSE)</f>
        <v>Meat/Poultry</v>
      </c>
      <c r="J1681" s="9">
        <f>VLOOKUP(revenue[productID],products[],IF(YEAR(revenue[orderDate])=2022,8,IF(YEAR(revenue[orderDate])=2023,9,IF(YEAR(revenue[orderDate])=2024,10,NA))),FALSE)</f>
        <v>28.51916263</v>
      </c>
      <c r="K1681" s="9">
        <v>39.0</v>
      </c>
      <c r="L1681" s="25">
        <f>(revenue[orderPrice]-revenue[productCost])/revenue[productCost]</f>
        <v>0.3675015816</v>
      </c>
      <c r="M1681" s="10">
        <v>15.0</v>
      </c>
      <c r="N1681" s="25">
        <v>0.0</v>
      </c>
      <c r="O1681" s="9">
        <f>revenue[orderPrice]*revenue[orderQuantity]</f>
        <v>585</v>
      </c>
      <c r="P1681" s="9">
        <f>revenue[orderTotal]*(1-revenue[discountApllied])</f>
        <v>585</v>
      </c>
      <c r="Q1681" s="9">
        <f>revenue[revenue]-(revenue[productCost]*revenue[orderQuantity])</f>
        <v>157.2125606</v>
      </c>
      <c r="R1681" s="25">
        <f>IFERROR(revenue[profit]/revenue[revenue], 0)</f>
        <v>0.2687394198</v>
      </c>
      <c r="S1681" s="9">
        <f>revenue[productCost]*revenue[orderQuantity]</f>
        <v>427.7874394</v>
      </c>
    </row>
    <row r="1682" ht="15.75" customHeight="1">
      <c r="A1682" s="6">
        <v>10890.0</v>
      </c>
      <c r="B1682" s="7" t="s">
        <v>56</v>
      </c>
      <c r="C1682" s="24" t="str">
        <f>VLOOKUP(revenue[customerID],customers[],2,FALSE)</f>
        <v>Du monde entier</v>
      </c>
      <c r="D1682" s="24" t="str">
        <f>VLOOKUP(revenue[customerID],customers[],6,FALSE)</f>
        <v>Nantes</v>
      </c>
      <c r="E1682" s="24" t="str">
        <f>VLOOKUP(revenue[customerID],customers[],9,FALSE)</f>
        <v>France</v>
      </c>
      <c r="F1682" s="24">
        <v>45338.0</v>
      </c>
      <c r="G1682" s="6">
        <v>34.0</v>
      </c>
      <c r="H1682" s="9" t="str">
        <f>VLOOKUP(revenue[productID],products[],2,FALSE)</f>
        <v>Sasquatch Ale</v>
      </c>
      <c r="I1682" s="9" t="str">
        <f>VLOOKUP(revenue[productID],products[],12,FALSE)</f>
        <v>Beverages</v>
      </c>
      <c r="J1682" s="9">
        <f>VLOOKUP(revenue[productID],products[],IF(YEAR(revenue[orderDate])=2022,8,IF(YEAR(revenue[orderDate])=2023,9,IF(YEAR(revenue[orderDate])=2024,10,NA))),FALSE)</f>
        <v>10.07231561</v>
      </c>
      <c r="K1682" s="9">
        <v>14.0</v>
      </c>
      <c r="L1682" s="25">
        <f>(revenue[orderPrice]-revenue[productCost])/revenue[productCost]</f>
        <v>0.389948503</v>
      </c>
      <c r="M1682" s="10">
        <v>10.0</v>
      </c>
      <c r="N1682" s="25">
        <v>0.0</v>
      </c>
      <c r="O1682" s="9">
        <f>revenue[orderPrice]*revenue[orderQuantity]</f>
        <v>140</v>
      </c>
      <c r="P1682" s="9">
        <f>revenue[orderTotal]*(1-revenue[discountApllied])</f>
        <v>140</v>
      </c>
      <c r="Q1682" s="9">
        <f>revenue[revenue]-(revenue[productCost]*revenue[orderQuantity])</f>
        <v>39.27684392</v>
      </c>
      <c r="R1682" s="25">
        <f>IFERROR(revenue[profit]/revenue[revenue], 0)</f>
        <v>0.2805488852</v>
      </c>
      <c r="S1682" s="9">
        <f>revenue[productCost]*revenue[orderQuantity]</f>
        <v>100.7231561</v>
      </c>
    </row>
    <row r="1683" ht="15.75" customHeight="1">
      <c r="A1683" s="6">
        <v>10890.0</v>
      </c>
      <c r="B1683" s="7" t="s">
        <v>56</v>
      </c>
      <c r="C1683" s="24" t="str">
        <f>VLOOKUP(revenue[customerID],customers[],2,FALSE)</f>
        <v>Du monde entier</v>
      </c>
      <c r="D1683" s="24" t="str">
        <f>VLOOKUP(revenue[customerID],customers[],6,FALSE)</f>
        <v>Nantes</v>
      </c>
      <c r="E1683" s="24" t="str">
        <f>VLOOKUP(revenue[customerID],customers[],9,FALSE)</f>
        <v>France</v>
      </c>
      <c r="F1683" s="24">
        <v>45338.0</v>
      </c>
      <c r="G1683" s="6">
        <v>41.0</v>
      </c>
      <c r="H1683" s="9" t="str">
        <f>VLOOKUP(revenue[productID],products[],2,FALSE)</f>
        <v>Jack's New England Clam Chowder</v>
      </c>
      <c r="I1683" s="9" t="str">
        <f>VLOOKUP(revenue[productID],products[],12,FALSE)</f>
        <v>Seafood</v>
      </c>
      <c r="J1683" s="9">
        <f>VLOOKUP(revenue[productID],products[],IF(YEAR(revenue[orderDate])=2022,8,IF(YEAR(revenue[orderDate])=2023,9,IF(YEAR(revenue[orderDate])=2024,10,NA))),FALSE)</f>
        <v>6.611787882</v>
      </c>
      <c r="K1683" s="9">
        <v>9.65</v>
      </c>
      <c r="L1683" s="25">
        <f>(revenue[orderPrice]-revenue[productCost])/revenue[productCost]</f>
        <v>0.459514457</v>
      </c>
      <c r="M1683" s="10">
        <v>14.0</v>
      </c>
      <c r="N1683" s="25">
        <v>0.0</v>
      </c>
      <c r="O1683" s="9">
        <f>revenue[orderPrice]*revenue[orderQuantity]</f>
        <v>135.1</v>
      </c>
      <c r="P1683" s="9">
        <f>revenue[orderTotal]*(1-revenue[discountApllied])</f>
        <v>135.1</v>
      </c>
      <c r="Q1683" s="9">
        <f>revenue[revenue]-(revenue[productCost]*revenue[orderQuantity])</f>
        <v>42.53496965</v>
      </c>
      <c r="R1683" s="25">
        <f>IFERROR(revenue[profit]/revenue[revenue], 0)</f>
        <v>0.314840634</v>
      </c>
      <c r="S1683" s="9">
        <f>revenue[productCost]*revenue[orderQuantity]</f>
        <v>92.56503035</v>
      </c>
    </row>
    <row r="1684" ht="15.75" customHeight="1">
      <c r="A1684" s="6">
        <v>10891.0</v>
      </c>
      <c r="B1684" s="7" t="s">
        <v>41</v>
      </c>
      <c r="C1684" s="24" t="str">
        <f>VLOOKUP(revenue[customerID],customers[],2,FALSE)</f>
        <v>Lehmanns Marktstand</v>
      </c>
      <c r="D1684" s="24" t="str">
        <f>VLOOKUP(revenue[customerID],customers[],6,FALSE)</f>
        <v>Frankfurt a.M.</v>
      </c>
      <c r="E1684" s="24" t="str">
        <f>VLOOKUP(revenue[customerID],customers[],9,FALSE)</f>
        <v>Germany</v>
      </c>
      <c r="F1684" s="24">
        <v>45339.0</v>
      </c>
      <c r="G1684" s="6">
        <v>30.0</v>
      </c>
      <c r="H1684" s="9" t="str">
        <f>VLOOKUP(revenue[productID],products[],2,FALSE)</f>
        <v>Nord-Ost Matjeshering</v>
      </c>
      <c r="I1684" s="9" t="str">
        <f>VLOOKUP(revenue[productID],products[],12,FALSE)</f>
        <v>Seafood</v>
      </c>
      <c r="J1684" s="9">
        <f>VLOOKUP(revenue[productID],products[],IF(YEAR(revenue[orderDate])=2022,8,IF(YEAR(revenue[orderDate])=2023,9,IF(YEAR(revenue[orderDate])=2024,10,NA))),FALSE)</f>
        <v>17.0327851</v>
      </c>
      <c r="K1684" s="9">
        <v>25.89</v>
      </c>
      <c r="L1684" s="25">
        <f>(revenue[orderPrice]-revenue[productCost])/revenue[productCost]</f>
        <v>0.5200097842</v>
      </c>
      <c r="M1684" s="10">
        <v>15.0</v>
      </c>
      <c r="N1684" s="25">
        <v>0.05</v>
      </c>
      <c r="O1684" s="9">
        <f>revenue[orderPrice]*revenue[orderQuantity]</f>
        <v>388.35</v>
      </c>
      <c r="P1684" s="9">
        <f>revenue[orderTotal]*(1-revenue[discountApllied])</f>
        <v>368.9325</v>
      </c>
      <c r="Q1684" s="9">
        <f>revenue[revenue]-(revenue[productCost]*revenue[orderQuantity])</f>
        <v>113.4407235</v>
      </c>
      <c r="R1684" s="25">
        <f>IFERROR(revenue[profit]/revenue[revenue], 0)</f>
        <v>0.3074836821</v>
      </c>
      <c r="S1684" s="9">
        <f>revenue[productCost]*revenue[orderQuantity]</f>
        <v>255.4917765</v>
      </c>
    </row>
    <row r="1685" ht="15.75" customHeight="1">
      <c r="A1685" s="6">
        <v>10892.0</v>
      </c>
      <c r="B1685" s="7" t="s">
        <v>95</v>
      </c>
      <c r="C1685" s="24" t="str">
        <f>VLOOKUP(revenue[customerID],customers[],2,FALSE)</f>
        <v>Maison Dewey</v>
      </c>
      <c r="D1685" s="24" t="str">
        <f>VLOOKUP(revenue[customerID],customers[],6,FALSE)</f>
        <v>Bruxelles</v>
      </c>
      <c r="E1685" s="24" t="str">
        <f>VLOOKUP(revenue[customerID],customers[],9,FALSE)</f>
        <v>Belgium</v>
      </c>
      <c r="F1685" s="24">
        <v>45339.0</v>
      </c>
      <c r="G1685" s="6">
        <v>59.0</v>
      </c>
      <c r="H1685" s="9" t="str">
        <f>VLOOKUP(revenue[productID],products[],2,FALSE)</f>
        <v>Raclette Courdavault</v>
      </c>
      <c r="I1685" s="9" t="str">
        <f>VLOOKUP(revenue[productID],products[],12,FALSE)</f>
        <v>Dairy Products</v>
      </c>
      <c r="J1685" s="9">
        <f>VLOOKUP(revenue[productID],products[],IF(YEAR(revenue[orderDate])=2022,8,IF(YEAR(revenue[orderDate])=2023,9,IF(YEAR(revenue[orderDate])=2024,10,NA))),FALSE)</f>
        <v>36.74863711</v>
      </c>
      <c r="K1685" s="9">
        <v>55.0</v>
      </c>
      <c r="L1685" s="25">
        <f>(revenue[orderPrice]-revenue[productCost])/revenue[productCost]</f>
        <v>0.4966541435</v>
      </c>
      <c r="M1685" s="10">
        <v>40.0</v>
      </c>
      <c r="N1685" s="25">
        <v>0.05</v>
      </c>
      <c r="O1685" s="9">
        <f>revenue[orderPrice]*revenue[orderQuantity]</f>
        <v>2200</v>
      </c>
      <c r="P1685" s="9">
        <f>revenue[orderTotal]*(1-revenue[discountApllied])</f>
        <v>2090</v>
      </c>
      <c r="Q1685" s="9">
        <f>revenue[revenue]-(revenue[productCost]*revenue[orderQuantity])</f>
        <v>620.0545156</v>
      </c>
      <c r="R1685" s="25">
        <f>IFERROR(revenue[profit]/revenue[revenue], 0)</f>
        <v>0.2966768017</v>
      </c>
      <c r="S1685" s="9">
        <f>revenue[productCost]*revenue[orderQuantity]</f>
        <v>1469.945484</v>
      </c>
    </row>
    <row r="1686" ht="15.75" customHeight="1">
      <c r="A1686" s="6">
        <v>10893.0</v>
      </c>
      <c r="B1686" s="7" t="s">
        <v>59</v>
      </c>
      <c r="C1686" s="24" t="str">
        <f>VLOOKUP(revenue[customerID],customers[],2,FALSE)</f>
        <v>Königlich Essen</v>
      </c>
      <c r="D1686" s="24" t="str">
        <f>VLOOKUP(revenue[customerID],customers[],6,FALSE)</f>
        <v>Brandenburg</v>
      </c>
      <c r="E1686" s="24" t="str">
        <f>VLOOKUP(revenue[customerID],customers[],9,FALSE)</f>
        <v>Germany</v>
      </c>
      <c r="F1686" s="24">
        <v>45340.0</v>
      </c>
      <c r="G1686" s="6">
        <v>8.0</v>
      </c>
      <c r="H1686" s="9" t="str">
        <f>VLOOKUP(revenue[productID],products[],2,FALSE)</f>
        <v>Northwoods Cranberry Sauce</v>
      </c>
      <c r="I1686" s="9" t="str">
        <f>VLOOKUP(revenue[productID],products[],12,FALSE)</f>
        <v>Condiments</v>
      </c>
      <c r="J1686" s="9">
        <f>VLOOKUP(revenue[productID],products[],IF(YEAR(revenue[orderDate])=2022,8,IF(YEAR(revenue[orderDate])=2023,9,IF(YEAR(revenue[orderDate])=2024,10,NA))),FALSE)</f>
        <v>27.41770867</v>
      </c>
      <c r="K1686" s="9">
        <v>40.0</v>
      </c>
      <c r="L1686" s="25">
        <f>(revenue[orderPrice]-revenue[productCost])/revenue[productCost]</f>
        <v>0.4589111179</v>
      </c>
      <c r="M1686" s="10">
        <v>30.0</v>
      </c>
      <c r="N1686" s="25">
        <v>0.0</v>
      </c>
      <c r="O1686" s="9">
        <f>revenue[orderPrice]*revenue[orderQuantity]</f>
        <v>1200</v>
      </c>
      <c r="P1686" s="9">
        <f>revenue[orderTotal]*(1-revenue[discountApllied])</f>
        <v>1200</v>
      </c>
      <c r="Q1686" s="9">
        <f>revenue[revenue]-(revenue[productCost]*revenue[orderQuantity])</f>
        <v>377.46874</v>
      </c>
      <c r="R1686" s="25">
        <f>IFERROR(revenue[profit]/revenue[revenue], 0)</f>
        <v>0.3145572833</v>
      </c>
      <c r="S1686" s="9">
        <f>revenue[productCost]*revenue[orderQuantity]</f>
        <v>822.53126</v>
      </c>
    </row>
    <row r="1687" ht="15.75" customHeight="1">
      <c r="A1687" s="6">
        <v>10893.0</v>
      </c>
      <c r="B1687" s="7" t="s">
        <v>59</v>
      </c>
      <c r="C1687" s="24" t="str">
        <f>VLOOKUP(revenue[customerID],customers[],2,FALSE)</f>
        <v>Königlich Essen</v>
      </c>
      <c r="D1687" s="24" t="str">
        <f>VLOOKUP(revenue[customerID],customers[],6,FALSE)</f>
        <v>Brandenburg</v>
      </c>
      <c r="E1687" s="24" t="str">
        <f>VLOOKUP(revenue[customerID],customers[],9,FALSE)</f>
        <v>Germany</v>
      </c>
      <c r="F1687" s="24">
        <v>45340.0</v>
      </c>
      <c r="G1687" s="6">
        <v>24.0</v>
      </c>
      <c r="H1687" s="9" t="str">
        <f>VLOOKUP(revenue[productID],products[],2,FALSE)</f>
        <v>Brigadeiros Maravilhosos da Lilian</v>
      </c>
      <c r="I1687" s="9" t="str">
        <f>VLOOKUP(revenue[productID],products[],12,FALSE)</f>
        <v>Confections</v>
      </c>
      <c r="J1687" s="9">
        <f>VLOOKUP(revenue[productID],products[],IF(YEAR(revenue[orderDate])=2022,8,IF(YEAR(revenue[orderDate])=2023,9,IF(YEAR(revenue[orderDate])=2024,10,NA))),FALSE)</f>
        <v>3.177326315</v>
      </c>
      <c r="K1687" s="9">
        <v>4.5</v>
      </c>
      <c r="L1687" s="25">
        <f>(revenue[orderPrice]-revenue[productCost])/revenue[productCost]</f>
        <v>0.416285126</v>
      </c>
      <c r="M1687" s="10">
        <v>10.0</v>
      </c>
      <c r="N1687" s="25">
        <v>0.0</v>
      </c>
      <c r="O1687" s="9">
        <f>revenue[orderPrice]*revenue[orderQuantity]</f>
        <v>45</v>
      </c>
      <c r="P1687" s="9">
        <f>revenue[orderTotal]*(1-revenue[discountApllied])</f>
        <v>45</v>
      </c>
      <c r="Q1687" s="9">
        <f>revenue[revenue]-(revenue[productCost]*revenue[orderQuantity])</f>
        <v>13.22673685</v>
      </c>
      <c r="R1687" s="25">
        <f>IFERROR(revenue[profit]/revenue[revenue], 0)</f>
        <v>0.2939274856</v>
      </c>
      <c r="S1687" s="9">
        <f>revenue[productCost]*revenue[orderQuantity]</f>
        <v>31.77326315</v>
      </c>
    </row>
    <row r="1688" ht="15.75" customHeight="1">
      <c r="A1688" s="6">
        <v>10893.0</v>
      </c>
      <c r="B1688" s="7" t="s">
        <v>59</v>
      </c>
      <c r="C1688" s="24" t="str">
        <f>VLOOKUP(revenue[customerID],customers[],2,FALSE)</f>
        <v>Königlich Essen</v>
      </c>
      <c r="D1688" s="24" t="str">
        <f>VLOOKUP(revenue[customerID],customers[],6,FALSE)</f>
        <v>Brandenburg</v>
      </c>
      <c r="E1688" s="24" t="str">
        <f>VLOOKUP(revenue[customerID],customers[],9,FALSE)</f>
        <v>Germany</v>
      </c>
      <c r="F1688" s="24">
        <v>45340.0</v>
      </c>
      <c r="G1688" s="6">
        <v>29.0</v>
      </c>
      <c r="H1688" s="9" t="str">
        <f>VLOOKUP(revenue[productID],products[],2,FALSE)</f>
        <v>Thüringer Rostbratwurst</v>
      </c>
      <c r="I1688" s="9" t="str">
        <f>VLOOKUP(revenue[productID],products[],12,FALSE)</f>
        <v>Meat/Poultry</v>
      </c>
      <c r="J1688" s="9">
        <f>VLOOKUP(revenue[productID],products[],IF(YEAR(revenue[orderDate])=2022,8,IF(YEAR(revenue[orderDate])=2023,9,IF(YEAR(revenue[orderDate])=2024,10,NA))),FALSE)</f>
        <v>80.14595973</v>
      </c>
      <c r="K1688" s="9">
        <v>123.79</v>
      </c>
      <c r="L1688" s="25">
        <f>(revenue[orderPrice]-revenue[productCost])/revenue[productCost]</f>
        <v>0.544556961</v>
      </c>
      <c r="M1688" s="10">
        <v>24.0</v>
      </c>
      <c r="N1688" s="25">
        <v>0.0</v>
      </c>
      <c r="O1688" s="9">
        <f>revenue[orderPrice]*revenue[orderQuantity]</f>
        <v>2970.96</v>
      </c>
      <c r="P1688" s="9">
        <f>revenue[orderTotal]*(1-revenue[discountApllied])</f>
        <v>2970.96</v>
      </c>
      <c r="Q1688" s="9">
        <f>revenue[revenue]-(revenue[productCost]*revenue[orderQuantity])</f>
        <v>1047.456966</v>
      </c>
      <c r="R1688" s="25">
        <f>IFERROR(revenue[profit]/revenue[revenue], 0)</f>
        <v>0.3525651528</v>
      </c>
      <c r="S1688" s="9">
        <f>revenue[productCost]*revenue[orderQuantity]</f>
        <v>1923.503034</v>
      </c>
    </row>
    <row r="1689" ht="15.75" customHeight="1">
      <c r="A1689" s="6">
        <v>10893.0</v>
      </c>
      <c r="B1689" s="7" t="s">
        <v>59</v>
      </c>
      <c r="C1689" s="24" t="str">
        <f>VLOOKUP(revenue[customerID],customers[],2,FALSE)</f>
        <v>Königlich Essen</v>
      </c>
      <c r="D1689" s="24" t="str">
        <f>VLOOKUP(revenue[customerID],customers[],6,FALSE)</f>
        <v>Brandenburg</v>
      </c>
      <c r="E1689" s="24" t="str">
        <f>VLOOKUP(revenue[customerID],customers[],9,FALSE)</f>
        <v>Germany</v>
      </c>
      <c r="F1689" s="24">
        <v>45340.0</v>
      </c>
      <c r="G1689" s="6">
        <v>30.0</v>
      </c>
      <c r="H1689" s="9" t="str">
        <f>VLOOKUP(revenue[productID],products[],2,FALSE)</f>
        <v>Nord-Ost Matjeshering</v>
      </c>
      <c r="I1689" s="9" t="str">
        <f>VLOOKUP(revenue[productID],products[],12,FALSE)</f>
        <v>Seafood</v>
      </c>
      <c r="J1689" s="9">
        <f>VLOOKUP(revenue[productID],products[],IF(YEAR(revenue[orderDate])=2022,8,IF(YEAR(revenue[orderDate])=2023,9,IF(YEAR(revenue[orderDate])=2024,10,NA))),FALSE)</f>
        <v>17.0327851</v>
      </c>
      <c r="K1689" s="9">
        <v>25.89</v>
      </c>
      <c r="L1689" s="25">
        <f>(revenue[orderPrice]-revenue[productCost])/revenue[productCost]</f>
        <v>0.5200097842</v>
      </c>
      <c r="M1689" s="10">
        <v>35.0</v>
      </c>
      <c r="N1689" s="25">
        <v>0.0</v>
      </c>
      <c r="O1689" s="9">
        <f>revenue[orderPrice]*revenue[orderQuantity]</f>
        <v>906.15</v>
      </c>
      <c r="P1689" s="9">
        <f>revenue[orderTotal]*(1-revenue[discountApllied])</f>
        <v>906.15</v>
      </c>
      <c r="Q1689" s="9">
        <f>revenue[revenue]-(revenue[productCost]*revenue[orderQuantity])</f>
        <v>310.0025216</v>
      </c>
      <c r="R1689" s="25">
        <f>IFERROR(revenue[profit]/revenue[revenue], 0)</f>
        <v>0.342109498</v>
      </c>
      <c r="S1689" s="9">
        <f>revenue[productCost]*revenue[orderQuantity]</f>
        <v>596.1474784</v>
      </c>
    </row>
    <row r="1690" ht="15.75" customHeight="1">
      <c r="A1690" s="6">
        <v>10893.0</v>
      </c>
      <c r="B1690" s="7" t="s">
        <v>59</v>
      </c>
      <c r="C1690" s="24" t="str">
        <f>VLOOKUP(revenue[customerID],customers[],2,FALSE)</f>
        <v>Königlich Essen</v>
      </c>
      <c r="D1690" s="24" t="str">
        <f>VLOOKUP(revenue[customerID],customers[],6,FALSE)</f>
        <v>Brandenburg</v>
      </c>
      <c r="E1690" s="24" t="str">
        <f>VLOOKUP(revenue[customerID],customers[],9,FALSE)</f>
        <v>Germany</v>
      </c>
      <c r="F1690" s="24">
        <v>45340.0</v>
      </c>
      <c r="G1690" s="6">
        <v>36.0</v>
      </c>
      <c r="H1690" s="9" t="str">
        <f>VLOOKUP(revenue[productID],products[],2,FALSE)</f>
        <v>Inlagd Sill</v>
      </c>
      <c r="I1690" s="9" t="str">
        <f>VLOOKUP(revenue[productID],products[],12,FALSE)</f>
        <v>Seafood</v>
      </c>
      <c r="J1690" s="9">
        <f>VLOOKUP(revenue[productID],products[],IF(YEAR(revenue[orderDate])=2022,8,IF(YEAR(revenue[orderDate])=2023,9,IF(YEAR(revenue[orderDate])=2024,10,NA))),FALSE)</f>
        <v>11.68525366</v>
      </c>
      <c r="K1690" s="9">
        <v>19.0</v>
      </c>
      <c r="L1690" s="25">
        <f>(revenue[orderPrice]-revenue[productCost])/revenue[productCost]</f>
        <v>0.6259809637</v>
      </c>
      <c r="M1690" s="10">
        <v>20.0</v>
      </c>
      <c r="N1690" s="25">
        <v>0.0</v>
      </c>
      <c r="O1690" s="9">
        <f>revenue[orderPrice]*revenue[orderQuantity]</f>
        <v>380</v>
      </c>
      <c r="P1690" s="9">
        <f>revenue[orderTotal]*(1-revenue[discountApllied])</f>
        <v>380</v>
      </c>
      <c r="Q1690" s="9">
        <f>revenue[revenue]-(revenue[productCost]*revenue[orderQuantity])</f>
        <v>146.2949269</v>
      </c>
      <c r="R1690" s="25">
        <f>IFERROR(revenue[profit]/revenue[revenue], 0)</f>
        <v>0.3849866497</v>
      </c>
      <c r="S1690" s="9">
        <f>revenue[productCost]*revenue[orderQuantity]</f>
        <v>233.7050731</v>
      </c>
    </row>
    <row r="1691" ht="15.75" customHeight="1">
      <c r="A1691" s="6">
        <v>10894.0</v>
      </c>
      <c r="B1691" s="7" t="s">
        <v>60</v>
      </c>
      <c r="C1691" s="24" t="str">
        <f>VLOOKUP(revenue[customerID],customers[],2,FALSE)</f>
        <v>Save-a-lot Markets</v>
      </c>
      <c r="D1691" s="24" t="str">
        <f>VLOOKUP(revenue[customerID],customers[],6,FALSE)</f>
        <v>Boise</v>
      </c>
      <c r="E1691" s="24" t="str">
        <f>VLOOKUP(revenue[customerID],customers[],9,FALSE)</f>
        <v>USA</v>
      </c>
      <c r="F1691" s="24">
        <v>45340.0</v>
      </c>
      <c r="G1691" s="6">
        <v>13.0</v>
      </c>
      <c r="H1691" s="9" t="str">
        <f>VLOOKUP(revenue[productID],products[],2,FALSE)</f>
        <v>Konbu</v>
      </c>
      <c r="I1691" s="9" t="str">
        <f>VLOOKUP(revenue[productID],products[],12,FALSE)</f>
        <v>Seafood</v>
      </c>
      <c r="J1691" s="9">
        <f>VLOOKUP(revenue[productID],products[],IF(YEAR(revenue[orderDate])=2022,8,IF(YEAR(revenue[orderDate])=2023,9,IF(YEAR(revenue[orderDate])=2024,10,NA))),FALSE)</f>
        <v>3.966387047</v>
      </c>
      <c r="K1691" s="9">
        <v>6.0</v>
      </c>
      <c r="L1691" s="25">
        <f>(revenue[orderPrice]-revenue[productCost])/revenue[productCost]</f>
        <v>0.5127116768</v>
      </c>
      <c r="M1691" s="10">
        <v>28.0</v>
      </c>
      <c r="N1691" s="25">
        <v>0.05</v>
      </c>
      <c r="O1691" s="9">
        <f>revenue[orderPrice]*revenue[orderQuantity]</f>
        <v>168</v>
      </c>
      <c r="P1691" s="9">
        <f>revenue[orderTotal]*(1-revenue[discountApllied])</f>
        <v>159.6</v>
      </c>
      <c r="Q1691" s="9">
        <f>revenue[revenue]-(revenue[productCost]*revenue[orderQuantity])</f>
        <v>48.5411627</v>
      </c>
      <c r="R1691" s="25">
        <f>IFERROR(revenue[profit]/revenue[revenue], 0)</f>
        <v>0.3041426234</v>
      </c>
      <c r="S1691" s="9">
        <f>revenue[productCost]*revenue[orderQuantity]</f>
        <v>111.0588373</v>
      </c>
    </row>
    <row r="1692" ht="15.75" customHeight="1">
      <c r="A1692" s="6">
        <v>10894.0</v>
      </c>
      <c r="B1692" s="7" t="s">
        <v>60</v>
      </c>
      <c r="C1692" s="24" t="str">
        <f>VLOOKUP(revenue[customerID],customers[],2,FALSE)</f>
        <v>Save-a-lot Markets</v>
      </c>
      <c r="D1692" s="24" t="str">
        <f>VLOOKUP(revenue[customerID],customers[],6,FALSE)</f>
        <v>Boise</v>
      </c>
      <c r="E1692" s="24" t="str">
        <f>VLOOKUP(revenue[customerID],customers[],9,FALSE)</f>
        <v>USA</v>
      </c>
      <c r="F1692" s="24">
        <v>45340.0</v>
      </c>
      <c r="G1692" s="6">
        <v>69.0</v>
      </c>
      <c r="H1692" s="9" t="str">
        <f>VLOOKUP(revenue[productID],products[],2,FALSE)</f>
        <v>Gudbrandsdalsost</v>
      </c>
      <c r="I1692" s="9" t="str">
        <f>VLOOKUP(revenue[productID],products[],12,FALSE)</f>
        <v>Dairy Products</v>
      </c>
      <c r="J1692" s="9">
        <f>VLOOKUP(revenue[productID],products[],IF(YEAR(revenue[orderDate])=2022,8,IF(YEAR(revenue[orderDate])=2023,9,IF(YEAR(revenue[orderDate])=2024,10,NA))),FALSE)</f>
        <v>24.68292146</v>
      </c>
      <c r="K1692" s="9">
        <v>36.0</v>
      </c>
      <c r="L1692" s="25">
        <f>(revenue[orderPrice]-revenue[productCost])/revenue[productCost]</f>
        <v>0.4584983412</v>
      </c>
      <c r="M1692" s="10">
        <v>50.0</v>
      </c>
      <c r="N1692" s="25">
        <v>0.05</v>
      </c>
      <c r="O1692" s="9">
        <f>revenue[orderPrice]*revenue[orderQuantity]</f>
        <v>1800</v>
      </c>
      <c r="P1692" s="9">
        <f>revenue[orderTotal]*(1-revenue[discountApllied])</f>
        <v>1710</v>
      </c>
      <c r="Q1692" s="9">
        <f>revenue[revenue]-(revenue[productCost]*revenue[orderQuantity])</f>
        <v>475.8539272</v>
      </c>
      <c r="R1692" s="25">
        <f>IFERROR(revenue[profit]/revenue[revenue], 0)</f>
        <v>0.2782771504</v>
      </c>
      <c r="S1692" s="9">
        <f>revenue[productCost]*revenue[orderQuantity]</f>
        <v>1234.146073</v>
      </c>
    </row>
    <row r="1693" ht="15.75" customHeight="1">
      <c r="A1693" s="6">
        <v>10894.0</v>
      </c>
      <c r="B1693" s="7" t="s">
        <v>60</v>
      </c>
      <c r="C1693" s="24" t="str">
        <f>VLOOKUP(revenue[customerID],customers[],2,FALSE)</f>
        <v>Save-a-lot Markets</v>
      </c>
      <c r="D1693" s="24" t="str">
        <f>VLOOKUP(revenue[customerID],customers[],6,FALSE)</f>
        <v>Boise</v>
      </c>
      <c r="E1693" s="24" t="str">
        <f>VLOOKUP(revenue[customerID],customers[],9,FALSE)</f>
        <v>USA</v>
      </c>
      <c r="F1693" s="24">
        <v>45340.0</v>
      </c>
      <c r="G1693" s="6">
        <v>75.0</v>
      </c>
      <c r="H1693" s="9" t="str">
        <f>VLOOKUP(revenue[productID],products[],2,FALSE)</f>
        <v>Rhönbräu Klosterbier</v>
      </c>
      <c r="I1693" s="9" t="str">
        <f>VLOOKUP(revenue[productID],products[],12,FALSE)</f>
        <v>Beverages</v>
      </c>
      <c r="J1693" s="9">
        <f>VLOOKUP(revenue[productID],products[],IF(YEAR(revenue[orderDate])=2022,8,IF(YEAR(revenue[orderDate])=2023,9,IF(YEAR(revenue[orderDate])=2024,10,NA))),FALSE)</f>
        <v>5.374051525</v>
      </c>
      <c r="K1693" s="9">
        <v>7.75</v>
      </c>
      <c r="L1693" s="25">
        <f>(revenue[orderPrice]-revenue[productCost])/revenue[productCost]</f>
        <v>0.4421149413</v>
      </c>
      <c r="M1693" s="10">
        <v>120.0</v>
      </c>
      <c r="N1693" s="25">
        <v>0.05</v>
      </c>
      <c r="O1693" s="9">
        <f>revenue[orderPrice]*revenue[orderQuantity]</f>
        <v>930</v>
      </c>
      <c r="P1693" s="9">
        <f>revenue[orderTotal]*(1-revenue[discountApllied])</f>
        <v>883.5</v>
      </c>
      <c r="Q1693" s="9">
        <f>revenue[revenue]-(revenue[productCost]*revenue[orderQuantity])</f>
        <v>238.613817</v>
      </c>
      <c r="R1693" s="25">
        <f>IFERROR(revenue[profit]/revenue[revenue], 0)</f>
        <v>0.2700778913</v>
      </c>
      <c r="S1693" s="9">
        <f>revenue[productCost]*revenue[orderQuantity]</f>
        <v>644.886183</v>
      </c>
    </row>
    <row r="1694" ht="15.75" customHeight="1">
      <c r="A1694" s="6">
        <v>10895.0</v>
      </c>
      <c r="B1694" s="7" t="s">
        <v>24</v>
      </c>
      <c r="C1694" s="24" t="str">
        <f>VLOOKUP(revenue[customerID],customers[],2,FALSE)</f>
        <v>Ernst Handel</v>
      </c>
      <c r="D1694" s="24" t="str">
        <f>VLOOKUP(revenue[customerID],customers[],6,FALSE)</f>
        <v>Graz</v>
      </c>
      <c r="E1694" s="24" t="str">
        <f>VLOOKUP(revenue[customerID],customers[],9,FALSE)</f>
        <v>Austria</v>
      </c>
      <c r="F1694" s="24">
        <v>45340.0</v>
      </c>
      <c r="G1694" s="6">
        <v>24.0</v>
      </c>
      <c r="H1694" s="9" t="str">
        <f>VLOOKUP(revenue[productID],products[],2,FALSE)</f>
        <v>Brigadeiros Maravilhosos da Lilian</v>
      </c>
      <c r="I1694" s="9" t="str">
        <f>VLOOKUP(revenue[productID],products[],12,FALSE)</f>
        <v>Confections</v>
      </c>
      <c r="J1694" s="9">
        <f>VLOOKUP(revenue[productID],products[],IF(YEAR(revenue[orderDate])=2022,8,IF(YEAR(revenue[orderDate])=2023,9,IF(YEAR(revenue[orderDate])=2024,10,NA))),FALSE)</f>
        <v>3.177326315</v>
      </c>
      <c r="K1694" s="9">
        <v>4.5</v>
      </c>
      <c r="L1694" s="25">
        <f>(revenue[orderPrice]-revenue[productCost])/revenue[productCost]</f>
        <v>0.416285126</v>
      </c>
      <c r="M1694" s="10">
        <v>110.0</v>
      </c>
      <c r="N1694" s="25">
        <v>0.0</v>
      </c>
      <c r="O1694" s="9">
        <f>revenue[orderPrice]*revenue[orderQuantity]</f>
        <v>495</v>
      </c>
      <c r="P1694" s="9">
        <f>revenue[orderTotal]*(1-revenue[discountApllied])</f>
        <v>495</v>
      </c>
      <c r="Q1694" s="9">
        <f>revenue[revenue]-(revenue[productCost]*revenue[orderQuantity])</f>
        <v>145.4941054</v>
      </c>
      <c r="R1694" s="25">
        <f>IFERROR(revenue[profit]/revenue[revenue], 0)</f>
        <v>0.2939274856</v>
      </c>
      <c r="S1694" s="9">
        <f>revenue[productCost]*revenue[orderQuantity]</f>
        <v>349.5058946</v>
      </c>
    </row>
    <row r="1695" ht="15.75" customHeight="1">
      <c r="A1695" s="6">
        <v>10895.0</v>
      </c>
      <c r="B1695" s="7" t="s">
        <v>24</v>
      </c>
      <c r="C1695" s="24" t="str">
        <f>VLOOKUP(revenue[customerID],customers[],2,FALSE)</f>
        <v>Ernst Handel</v>
      </c>
      <c r="D1695" s="24" t="str">
        <f>VLOOKUP(revenue[customerID],customers[],6,FALSE)</f>
        <v>Graz</v>
      </c>
      <c r="E1695" s="24" t="str">
        <f>VLOOKUP(revenue[customerID],customers[],9,FALSE)</f>
        <v>Austria</v>
      </c>
      <c r="F1695" s="24">
        <v>45340.0</v>
      </c>
      <c r="G1695" s="6">
        <v>39.0</v>
      </c>
      <c r="H1695" s="9" t="str">
        <f>VLOOKUP(revenue[productID],products[],2,FALSE)</f>
        <v>Chartreuse verte</v>
      </c>
      <c r="I1695" s="9" t="str">
        <f>VLOOKUP(revenue[productID],products[],12,FALSE)</f>
        <v>Beverages</v>
      </c>
      <c r="J1695" s="9">
        <f>VLOOKUP(revenue[productID],products[],IF(YEAR(revenue[orderDate])=2022,8,IF(YEAR(revenue[orderDate])=2023,9,IF(YEAR(revenue[orderDate])=2024,10,NA))),FALSE)</f>
        <v>12.3017224</v>
      </c>
      <c r="K1695" s="9">
        <v>18.0</v>
      </c>
      <c r="L1695" s="25">
        <f>(revenue[orderPrice]-revenue[productCost])/revenue[productCost]</f>
        <v>0.4632097374</v>
      </c>
      <c r="M1695" s="10">
        <v>45.0</v>
      </c>
      <c r="N1695" s="25">
        <v>0.0</v>
      </c>
      <c r="O1695" s="9">
        <f>revenue[orderPrice]*revenue[orderQuantity]</f>
        <v>810</v>
      </c>
      <c r="P1695" s="9">
        <f>revenue[orderTotal]*(1-revenue[discountApllied])</f>
        <v>810</v>
      </c>
      <c r="Q1695" s="9">
        <f>revenue[revenue]-(revenue[productCost]*revenue[orderQuantity])</f>
        <v>256.4224921</v>
      </c>
      <c r="R1695" s="25">
        <f>IFERROR(revenue[profit]/revenue[revenue], 0)</f>
        <v>0.3165709779</v>
      </c>
      <c r="S1695" s="9">
        <f>revenue[productCost]*revenue[orderQuantity]</f>
        <v>553.5775079</v>
      </c>
    </row>
    <row r="1696" ht="15.75" customHeight="1">
      <c r="A1696" s="6">
        <v>10895.0</v>
      </c>
      <c r="B1696" s="7" t="s">
        <v>24</v>
      </c>
      <c r="C1696" s="24" t="str">
        <f>VLOOKUP(revenue[customerID],customers[],2,FALSE)</f>
        <v>Ernst Handel</v>
      </c>
      <c r="D1696" s="24" t="str">
        <f>VLOOKUP(revenue[customerID],customers[],6,FALSE)</f>
        <v>Graz</v>
      </c>
      <c r="E1696" s="24" t="str">
        <f>VLOOKUP(revenue[customerID],customers[],9,FALSE)</f>
        <v>Austria</v>
      </c>
      <c r="F1696" s="24">
        <v>45340.0</v>
      </c>
      <c r="G1696" s="6">
        <v>40.0</v>
      </c>
      <c r="H1696" s="9" t="str">
        <f>VLOOKUP(revenue[productID],products[],2,FALSE)</f>
        <v>Boston Crab Meat</v>
      </c>
      <c r="I1696" s="9" t="str">
        <f>VLOOKUP(revenue[productID],products[],12,FALSE)</f>
        <v>Seafood</v>
      </c>
      <c r="J1696" s="9">
        <f>VLOOKUP(revenue[productID],products[],IF(YEAR(revenue[orderDate])=2022,8,IF(YEAR(revenue[orderDate])=2023,9,IF(YEAR(revenue[orderDate])=2024,10,NA))),FALSE)</f>
        <v>12.44307</v>
      </c>
      <c r="K1696" s="9">
        <v>18.4</v>
      </c>
      <c r="L1696" s="25">
        <f>(revenue[orderPrice]-revenue[productCost])/revenue[productCost]</f>
        <v>0.4787347499</v>
      </c>
      <c r="M1696" s="10">
        <v>91.0</v>
      </c>
      <c r="N1696" s="25">
        <v>0.0</v>
      </c>
      <c r="O1696" s="9">
        <f>revenue[orderPrice]*revenue[orderQuantity]</f>
        <v>1674.4</v>
      </c>
      <c r="P1696" s="9">
        <f>revenue[orderTotal]*(1-revenue[discountApllied])</f>
        <v>1674.4</v>
      </c>
      <c r="Q1696" s="9">
        <f>revenue[revenue]-(revenue[productCost]*revenue[orderQuantity])</f>
        <v>542.0806302</v>
      </c>
      <c r="R1696" s="25">
        <f>IFERROR(revenue[profit]/revenue[revenue], 0)</f>
        <v>0.3237461958</v>
      </c>
      <c r="S1696" s="9">
        <f>revenue[productCost]*revenue[orderQuantity]</f>
        <v>1132.31937</v>
      </c>
    </row>
    <row r="1697" ht="15.75" customHeight="1">
      <c r="A1697" s="6">
        <v>10895.0</v>
      </c>
      <c r="B1697" s="7" t="s">
        <v>24</v>
      </c>
      <c r="C1697" s="24" t="str">
        <f>VLOOKUP(revenue[customerID],customers[],2,FALSE)</f>
        <v>Ernst Handel</v>
      </c>
      <c r="D1697" s="24" t="str">
        <f>VLOOKUP(revenue[customerID],customers[],6,FALSE)</f>
        <v>Graz</v>
      </c>
      <c r="E1697" s="24" t="str">
        <f>VLOOKUP(revenue[customerID],customers[],9,FALSE)</f>
        <v>Austria</v>
      </c>
      <c r="F1697" s="24">
        <v>45340.0</v>
      </c>
      <c r="G1697" s="6">
        <v>60.0</v>
      </c>
      <c r="H1697" s="9" t="str">
        <f>VLOOKUP(revenue[productID],products[],2,FALSE)</f>
        <v>Camembert Pierrot</v>
      </c>
      <c r="I1697" s="9" t="str">
        <f>VLOOKUP(revenue[productID],products[],12,FALSE)</f>
        <v>Dairy Products</v>
      </c>
      <c r="J1697" s="9">
        <f>VLOOKUP(revenue[productID],products[],IF(YEAR(revenue[orderDate])=2022,8,IF(YEAR(revenue[orderDate])=2023,9,IF(YEAR(revenue[orderDate])=2024,10,NA))),FALSE)</f>
        <v>22.49091154</v>
      </c>
      <c r="K1697" s="9">
        <v>34.0</v>
      </c>
      <c r="L1697" s="25">
        <f>(revenue[orderPrice]-revenue[productCost])/revenue[productCost]</f>
        <v>0.5117217431</v>
      </c>
      <c r="M1697" s="10">
        <v>100.0</v>
      </c>
      <c r="N1697" s="25">
        <v>0.0</v>
      </c>
      <c r="O1697" s="9">
        <f>revenue[orderPrice]*revenue[orderQuantity]</f>
        <v>3400</v>
      </c>
      <c r="P1697" s="9">
        <f>revenue[orderTotal]*(1-revenue[discountApllied])</f>
        <v>3400</v>
      </c>
      <c r="Q1697" s="9">
        <f>revenue[revenue]-(revenue[productCost]*revenue[orderQuantity])</f>
        <v>1150.908846</v>
      </c>
      <c r="R1697" s="25">
        <f>IFERROR(revenue[profit]/revenue[revenue], 0)</f>
        <v>0.3385026017</v>
      </c>
      <c r="S1697" s="9">
        <f>revenue[productCost]*revenue[orderQuantity]</f>
        <v>2249.091154</v>
      </c>
    </row>
    <row r="1698" ht="15.75" customHeight="1">
      <c r="A1698" s="6">
        <v>10896.0</v>
      </c>
      <c r="B1698" s="7" t="s">
        <v>95</v>
      </c>
      <c r="C1698" s="24" t="str">
        <f>VLOOKUP(revenue[customerID],customers[],2,FALSE)</f>
        <v>Maison Dewey</v>
      </c>
      <c r="D1698" s="24" t="str">
        <f>VLOOKUP(revenue[customerID],customers[],6,FALSE)</f>
        <v>Bruxelles</v>
      </c>
      <c r="E1698" s="24" t="str">
        <f>VLOOKUP(revenue[customerID],customers[],9,FALSE)</f>
        <v>Belgium</v>
      </c>
      <c r="F1698" s="24">
        <v>45341.0</v>
      </c>
      <c r="G1698" s="6">
        <v>45.0</v>
      </c>
      <c r="H1698" s="9" t="str">
        <f>VLOOKUP(revenue[productID],products[],2,FALSE)</f>
        <v>Rogede sild</v>
      </c>
      <c r="I1698" s="9" t="str">
        <f>VLOOKUP(revenue[productID],products[],12,FALSE)</f>
        <v>Seafood</v>
      </c>
      <c r="J1698" s="9">
        <f>VLOOKUP(revenue[productID],products[],IF(YEAR(revenue[orderDate])=2022,8,IF(YEAR(revenue[orderDate])=2023,9,IF(YEAR(revenue[orderDate])=2024,10,NA))),FALSE)</f>
        <v>6.510592171</v>
      </c>
      <c r="K1698" s="9">
        <v>9.5</v>
      </c>
      <c r="L1698" s="25">
        <f>(revenue[orderPrice]-revenue[productCost])/revenue[productCost]</f>
        <v>0.4591606648</v>
      </c>
      <c r="M1698" s="10">
        <v>15.0</v>
      </c>
      <c r="N1698" s="25">
        <v>0.0</v>
      </c>
      <c r="O1698" s="9">
        <f>revenue[orderPrice]*revenue[orderQuantity]</f>
        <v>142.5</v>
      </c>
      <c r="P1698" s="9">
        <f>revenue[orderTotal]*(1-revenue[discountApllied])</f>
        <v>142.5</v>
      </c>
      <c r="Q1698" s="9">
        <f>revenue[revenue]-(revenue[productCost]*revenue[orderQuantity])</f>
        <v>44.84111744</v>
      </c>
      <c r="R1698" s="25">
        <f>IFERROR(revenue[profit]/revenue[revenue], 0)</f>
        <v>0.3146745083</v>
      </c>
      <c r="S1698" s="9">
        <f>revenue[productCost]*revenue[orderQuantity]</f>
        <v>97.65888256</v>
      </c>
    </row>
    <row r="1699" ht="15.75" customHeight="1">
      <c r="A1699" s="6">
        <v>10896.0</v>
      </c>
      <c r="B1699" s="7" t="s">
        <v>95</v>
      </c>
      <c r="C1699" s="24" t="str">
        <f>VLOOKUP(revenue[customerID],customers[],2,FALSE)</f>
        <v>Maison Dewey</v>
      </c>
      <c r="D1699" s="24" t="str">
        <f>VLOOKUP(revenue[customerID],customers[],6,FALSE)</f>
        <v>Bruxelles</v>
      </c>
      <c r="E1699" s="24" t="str">
        <f>VLOOKUP(revenue[customerID],customers[],9,FALSE)</f>
        <v>Belgium</v>
      </c>
      <c r="F1699" s="24">
        <v>45341.0</v>
      </c>
      <c r="G1699" s="6">
        <v>56.0</v>
      </c>
      <c r="H1699" s="9" t="str">
        <f>VLOOKUP(revenue[productID],products[],2,FALSE)</f>
        <v>Gnocchi di nonna Alice</v>
      </c>
      <c r="I1699" s="9" t="str">
        <f>VLOOKUP(revenue[productID],products[],12,FALSE)</f>
        <v>Grains/Cereals</v>
      </c>
      <c r="J1699" s="9">
        <f>VLOOKUP(revenue[productID],products[],IF(YEAR(revenue[orderDate])=2022,8,IF(YEAR(revenue[orderDate])=2023,9,IF(YEAR(revenue[orderDate])=2024,10,NA))),FALSE)</f>
        <v>27.53915851</v>
      </c>
      <c r="K1699" s="9">
        <v>38.0</v>
      </c>
      <c r="L1699" s="25">
        <f>(revenue[orderPrice]-revenue[productCost])/revenue[productCost]</f>
        <v>0.3798533452</v>
      </c>
      <c r="M1699" s="10">
        <v>16.0</v>
      </c>
      <c r="N1699" s="25">
        <v>0.0</v>
      </c>
      <c r="O1699" s="9">
        <f>revenue[orderPrice]*revenue[orderQuantity]</f>
        <v>608</v>
      </c>
      <c r="P1699" s="9">
        <f>revenue[orderTotal]*(1-revenue[discountApllied])</f>
        <v>608</v>
      </c>
      <c r="Q1699" s="9">
        <f>revenue[revenue]-(revenue[productCost]*revenue[orderQuantity])</f>
        <v>167.3734638</v>
      </c>
      <c r="R1699" s="25">
        <f>IFERROR(revenue[profit]/revenue[revenue], 0)</f>
        <v>0.2752853023</v>
      </c>
      <c r="S1699" s="9">
        <f>revenue[productCost]*revenue[orderQuantity]</f>
        <v>440.6265362</v>
      </c>
    </row>
    <row r="1700" ht="15.75" customHeight="1">
      <c r="A1700" s="6">
        <v>10897.0</v>
      </c>
      <c r="B1700" s="7" t="s">
        <v>49</v>
      </c>
      <c r="C1700" s="24" t="str">
        <f>VLOOKUP(revenue[customerID],customers[],2,FALSE)</f>
        <v>Hungry Owl All-Night Grocers</v>
      </c>
      <c r="D1700" s="24" t="str">
        <f>VLOOKUP(revenue[customerID],customers[],6,FALSE)</f>
        <v>Cork</v>
      </c>
      <c r="E1700" s="24" t="str">
        <f>VLOOKUP(revenue[customerID],customers[],9,FALSE)</f>
        <v>Ireland</v>
      </c>
      <c r="F1700" s="24">
        <v>45341.0</v>
      </c>
      <c r="G1700" s="6">
        <v>29.0</v>
      </c>
      <c r="H1700" s="9" t="str">
        <f>VLOOKUP(revenue[productID],products[],2,FALSE)</f>
        <v>Thüringer Rostbratwurst</v>
      </c>
      <c r="I1700" s="9" t="str">
        <f>VLOOKUP(revenue[productID],products[],12,FALSE)</f>
        <v>Meat/Poultry</v>
      </c>
      <c r="J1700" s="9">
        <f>VLOOKUP(revenue[productID],products[],IF(YEAR(revenue[orderDate])=2022,8,IF(YEAR(revenue[orderDate])=2023,9,IF(YEAR(revenue[orderDate])=2024,10,NA))),FALSE)</f>
        <v>80.14595973</v>
      </c>
      <c r="K1700" s="9">
        <v>123.79</v>
      </c>
      <c r="L1700" s="25">
        <f>(revenue[orderPrice]-revenue[productCost])/revenue[productCost]</f>
        <v>0.544556961</v>
      </c>
      <c r="M1700" s="10">
        <v>80.0</v>
      </c>
      <c r="N1700" s="25">
        <v>0.0</v>
      </c>
      <c r="O1700" s="9">
        <f>revenue[orderPrice]*revenue[orderQuantity]</f>
        <v>9903.2</v>
      </c>
      <c r="P1700" s="9">
        <f>revenue[orderTotal]*(1-revenue[discountApllied])</f>
        <v>9903.2</v>
      </c>
      <c r="Q1700" s="9">
        <f>revenue[revenue]-(revenue[productCost]*revenue[orderQuantity])</f>
        <v>3491.523221</v>
      </c>
      <c r="R1700" s="25">
        <f>IFERROR(revenue[profit]/revenue[revenue], 0)</f>
        <v>0.3525651528</v>
      </c>
      <c r="S1700" s="9">
        <f>revenue[productCost]*revenue[orderQuantity]</f>
        <v>6411.676779</v>
      </c>
    </row>
    <row r="1701" ht="15.75" customHeight="1">
      <c r="A1701" s="6">
        <v>10897.0</v>
      </c>
      <c r="B1701" s="7" t="s">
        <v>49</v>
      </c>
      <c r="C1701" s="24" t="str">
        <f>VLOOKUP(revenue[customerID],customers[],2,FALSE)</f>
        <v>Hungry Owl All-Night Grocers</v>
      </c>
      <c r="D1701" s="24" t="str">
        <f>VLOOKUP(revenue[customerID],customers[],6,FALSE)</f>
        <v>Cork</v>
      </c>
      <c r="E1701" s="24" t="str">
        <f>VLOOKUP(revenue[customerID],customers[],9,FALSE)</f>
        <v>Ireland</v>
      </c>
      <c r="F1701" s="24">
        <v>45341.0</v>
      </c>
      <c r="G1701" s="6">
        <v>30.0</v>
      </c>
      <c r="H1701" s="9" t="str">
        <f>VLOOKUP(revenue[productID],products[],2,FALSE)</f>
        <v>Nord-Ost Matjeshering</v>
      </c>
      <c r="I1701" s="9" t="str">
        <f>VLOOKUP(revenue[productID],products[],12,FALSE)</f>
        <v>Seafood</v>
      </c>
      <c r="J1701" s="9">
        <f>VLOOKUP(revenue[productID],products[],IF(YEAR(revenue[orderDate])=2022,8,IF(YEAR(revenue[orderDate])=2023,9,IF(YEAR(revenue[orderDate])=2024,10,NA))),FALSE)</f>
        <v>17.0327851</v>
      </c>
      <c r="K1701" s="9">
        <v>25.89</v>
      </c>
      <c r="L1701" s="25">
        <f>(revenue[orderPrice]-revenue[productCost])/revenue[productCost]</f>
        <v>0.5200097842</v>
      </c>
      <c r="M1701" s="10">
        <v>36.0</v>
      </c>
      <c r="N1701" s="25">
        <v>0.0</v>
      </c>
      <c r="O1701" s="9">
        <f>revenue[orderPrice]*revenue[orderQuantity]</f>
        <v>932.04</v>
      </c>
      <c r="P1701" s="9">
        <f>revenue[orderTotal]*(1-revenue[discountApllied])</f>
        <v>932.04</v>
      </c>
      <c r="Q1701" s="9">
        <f>revenue[revenue]-(revenue[productCost]*revenue[orderQuantity])</f>
        <v>318.8597365</v>
      </c>
      <c r="R1701" s="25">
        <f>IFERROR(revenue[profit]/revenue[revenue], 0)</f>
        <v>0.342109498</v>
      </c>
      <c r="S1701" s="9">
        <f>revenue[productCost]*revenue[orderQuantity]</f>
        <v>613.1802635</v>
      </c>
    </row>
    <row r="1702" ht="15.75" customHeight="1">
      <c r="A1702" s="6">
        <v>10898.0</v>
      </c>
      <c r="B1702" s="7" t="s">
        <v>84</v>
      </c>
      <c r="C1702" s="24" t="str">
        <f>VLOOKUP(revenue[customerID],customers[],2,FALSE)</f>
        <v>Océano Atlántico Ltda.</v>
      </c>
      <c r="D1702" s="24" t="str">
        <f>VLOOKUP(revenue[customerID],customers[],6,FALSE)</f>
        <v>Buenos Aires</v>
      </c>
      <c r="E1702" s="24" t="str">
        <f>VLOOKUP(revenue[customerID],customers[],9,FALSE)</f>
        <v>Argentina</v>
      </c>
      <c r="F1702" s="24">
        <v>45342.0</v>
      </c>
      <c r="G1702" s="6">
        <v>13.0</v>
      </c>
      <c r="H1702" s="9" t="str">
        <f>VLOOKUP(revenue[productID],products[],2,FALSE)</f>
        <v>Konbu</v>
      </c>
      <c r="I1702" s="9" t="str">
        <f>VLOOKUP(revenue[productID],products[],12,FALSE)</f>
        <v>Seafood</v>
      </c>
      <c r="J1702" s="9">
        <f>VLOOKUP(revenue[productID],products[],IF(YEAR(revenue[orderDate])=2022,8,IF(YEAR(revenue[orderDate])=2023,9,IF(YEAR(revenue[orderDate])=2024,10,NA))),FALSE)</f>
        <v>3.966387047</v>
      </c>
      <c r="K1702" s="9">
        <v>6.0</v>
      </c>
      <c r="L1702" s="25">
        <f>(revenue[orderPrice]-revenue[productCost])/revenue[productCost]</f>
        <v>0.5127116768</v>
      </c>
      <c r="M1702" s="10">
        <v>5.0</v>
      </c>
      <c r="N1702" s="25">
        <v>0.0</v>
      </c>
      <c r="O1702" s="9">
        <f>revenue[orderPrice]*revenue[orderQuantity]</f>
        <v>30</v>
      </c>
      <c r="P1702" s="9">
        <f>revenue[orderTotal]*(1-revenue[discountApllied])</f>
        <v>30</v>
      </c>
      <c r="Q1702" s="9">
        <f>revenue[revenue]-(revenue[productCost]*revenue[orderQuantity])</f>
        <v>10.16806477</v>
      </c>
      <c r="R1702" s="25">
        <f>IFERROR(revenue[profit]/revenue[revenue], 0)</f>
        <v>0.3389354922</v>
      </c>
      <c r="S1702" s="9">
        <f>revenue[productCost]*revenue[orderQuantity]</f>
        <v>19.83193523</v>
      </c>
    </row>
    <row r="1703" ht="15.75" customHeight="1">
      <c r="A1703" s="6">
        <v>10899.0</v>
      </c>
      <c r="B1703" s="7" t="s">
        <v>43</v>
      </c>
      <c r="C1703" s="24" t="str">
        <f>VLOOKUP(revenue[customerID],customers[],2,FALSE)</f>
        <v>LILA-Supermercado</v>
      </c>
      <c r="D1703" s="24" t="str">
        <f>VLOOKUP(revenue[customerID],customers[],6,FALSE)</f>
        <v>Barquisimeto</v>
      </c>
      <c r="E1703" s="24" t="str">
        <f>VLOOKUP(revenue[customerID],customers[],9,FALSE)</f>
        <v>Venezuela</v>
      </c>
      <c r="F1703" s="24">
        <v>45342.0</v>
      </c>
      <c r="G1703" s="6">
        <v>39.0</v>
      </c>
      <c r="H1703" s="9" t="str">
        <f>VLOOKUP(revenue[productID],products[],2,FALSE)</f>
        <v>Chartreuse verte</v>
      </c>
      <c r="I1703" s="9" t="str">
        <f>VLOOKUP(revenue[productID],products[],12,FALSE)</f>
        <v>Beverages</v>
      </c>
      <c r="J1703" s="9">
        <f>VLOOKUP(revenue[productID],products[],IF(YEAR(revenue[orderDate])=2022,8,IF(YEAR(revenue[orderDate])=2023,9,IF(YEAR(revenue[orderDate])=2024,10,NA))),FALSE)</f>
        <v>12.3017224</v>
      </c>
      <c r="K1703" s="9">
        <v>18.0</v>
      </c>
      <c r="L1703" s="25">
        <f>(revenue[orderPrice]-revenue[productCost])/revenue[productCost]</f>
        <v>0.4632097374</v>
      </c>
      <c r="M1703" s="10">
        <v>8.0</v>
      </c>
      <c r="N1703" s="25">
        <v>0.15</v>
      </c>
      <c r="O1703" s="9">
        <f>revenue[orderPrice]*revenue[orderQuantity]</f>
        <v>144</v>
      </c>
      <c r="P1703" s="9">
        <f>revenue[orderTotal]*(1-revenue[discountApllied])</f>
        <v>122.4</v>
      </c>
      <c r="Q1703" s="9">
        <f>revenue[revenue]-(revenue[productCost]*revenue[orderQuantity])</f>
        <v>23.98622081</v>
      </c>
      <c r="R1703" s="25">
        <f>IFERROR(revenue[profit]/revenue[revenue], 0)</f>
        <v>0.1959658563</v>
      </c>
      <c r="S1703" s="9">
        <f>revenue[productCost]*revenue[orderQuantity]</f>
        <v>98.41377919</v>
      </c>
    </row>
    <row r="1704" ht="15.75" customHeight="1">
      <c r="A1704" s="6">
        <v>10900.0</v>
      </c>
      <c r="B1704" s="7" t="s">
        <v>22</v>
      </c>
      <c r="C1704" s="24" t="str">
        <f>VLOOKUP(revenue[customerID],customers[],2,FALSE)</f>
        <v>Wellington Importadora</v>
      </c>
      <c r="D1704" s="24" t="str">
        <f>VLOOKUP(revenue[customerID],customers[],6,FALSE)</f>
        <v>Resende</v>
      </c>
      <c r="E1704" s="24" t="str">
        <f>VLOOKUP(revenue[customerID],customers[],9,FALSE)</f>
        <v>Brazil</v>
      </c>
      <c r="F1704" s="24">
        <v>45342.0</v>
      </c>
      <c r="G1704" s="6">
        <v>70.0</v>
      </c>
      <c r="H1704" s="9" t="str">
        <f>VLOOKUP(revenue[productID],products[],2,FALSE)</f>
        <v>Outback Lager</v>
      </c>
      <c r="I1704" s="9" t="str">
        <f>VLOOKUP(revenue[productID],products[],12,FALSE)</f>
        <v>Beverages</v>
      </c>
      <c r="J1704" s="9">
        <f>VLOOKUP(revenue[productID],products[],IF(YEAR(revenue[orderDate])=2022,8,IF(YEAR(revenue[orderDate])=2023,9,IF(YEAR(revenue[orderDate])=2024,10,NA))),FALSE)</f>
        <v>10.03280812</v>
      </c>
      <c r="K1704" s="9">
        <v>15.0</v>
      </c>
      <c r="L1704" s="25">
        <f>(revenue[orderPrice]-revenue[productCost])/revenue[productCost]</f>
        <v>0.4950948747</v>
      </c>
      <c r="M1704" s="10">
        <v>3.0</v>
      </c>
      <c r="N1704" s="25">
        <v>0.25</v>
      </c>
      <c r="O1704" s="9">
        <f>revenue[orderPrice]*revenue[orderQuantity]</f>
        <v>45</v>
      </c>
      <c r="P1704" s="9">
        <f>revenue[orderTotal]*(1-revenue[discountApllied])</f>
        <v>33.75</v>
      </c>
      <c r="Q1704" s="9">
        <f>revenue[revenue]-(revenue[productCost]*revenue[orderQuantity])</f>
        <v>3.651575637</v>
      </c>
      <c r="R1704" s="25">
        <f>IFERROR(revenue[profit]/revenue[revenue], 0)</f>
        <v>0.1081948337</v>
      </c>
      <c r="S1704" s="9">
        <f>revenue[productCost]*revenue[orderQuantity]</f>
        <v>30.09842436</v>
      </c>
    </row>
    <row r="1705" ht="15.75" customHeight="1">
      <c r="A1705" s="6">
        <v>10901.0</v>
      </c>
      <c r="B1705" s="7" t="s">
        <v>23</v>
      </c>
      <c r="C1705" s="24" t="str">
        <f>VLOOKUP(revenue[customerID],customers[],2,FALSE)</f>
        <v>HILARION-Abastos</v>
      </c>
      <c r="D1705" s="24" t="str">
        <f>VLOOKUP(revenue[customerID],customers[],6,FALSE)</f>
        <v>San Cristóbal</v>
      </c>
      <c r="E1705" s="24" t="str">
        <f>VLOOKUP(revenue[customerID],customers[],9,FALSE)</f>
        <v>Venezuela</v>
      </c>
      <c r="F1705" s="24">
        <v>45345.0</v>
      </c>
      <c r="G1705" s="6">
        <v>41.0</v>
      </c>
      <c r="H1705" s="9" t="str">
        <f>VLOOKUP(revenue[productID],products[],2,FALSE)</f>
        <v>Jack's New England Clam Chowder</v>
      </c>
      <c r="I1705" s="9" t="str">
        <f>VLOOKUP(revenue[productID],products[],12,FALSE)</f>
        <v>Seafood</v>
      </c>
      <c r="J1705" s="9">
        <f>VLOOKUP(revenue[productID],products[],IF(YEAR(revenue[orderDate])=2022,8,IF(YEAR(revenue[orderDate])=2023,9,IF(YEAR(revenue[orderDate])=2024,10,NA))),FALSE)</f>
        <v>6.611787882</v>
      </c>
      <c r="K1705" s="9">
        <v>9.65</v>
      </c>
      <c r="L1705" s="25">
        <f>(revenue[orderPrice]-revenue[productCost])/revenue[productCost]</f>
        <v>0.459514457</v>
      </c>
      <c r="M1705" s="10">
        <v>30.0</v>
      </c>
      <c r="N1705" s="25">
        <v>0.0</v>
      </c>
      <c r="O1705" s="9">
        <f>revenue[orderPrice]*revenue[orderQuantity]</f>
        <v>289.5</v>
      </c>
      <c r="P1705" s="9">
        <f>revenue[orderTotal]*(1-revenue[discountApllied])</f>
        <v>289.5</v>
      </c>
      <c r="Q1705" s="9">
        <f>revenue[revenue]-(revenue[productCost]*revenue[orderQuantity])</f>
        <v>91.14636354</v>
      </c>
      <c r="R1705" s="25">
        <f>IFERROR(revenue[profit]/revenue[revenue], 0)</f>
        <v>0.314840634</v>
      </c>
      <c r="S1705" s="9">
        <f>revenue[productCost]*revenue[orderQuantity]</f>
        <v>198.3536365</v>
      </c>
    </row>
    <row r="1706" ht="15.75" customHeight="1">
      <c r="A1706" s="6">
        <v>10901.0</v>
      </c>
      <c r="B1706" s="7" t="s">
        <v>23</v>
      </c>
      <c r="C1706" s="24" t="str">
        <f>VLOOKUP(revenue[customerID],customers[],2,FALSE)</f>
        <v>HILARION-Abastos</v>
      </c>
      <c r="D1706" s="24" t="str">
        <f>VLOOKUP(revenue[customerID],customers[],6,FALSE)</f>
        <v>San Cristóbal</v>
      </c>
      <c r="E1706" s="24" t="str">
        <f>VLOOKUP(revenue[customerID],customers[],9,FALSE)</f>
        <v>Venezuela</v>
      </c>
      <c r="F1706" s="24">
        <v>45345.0</v>
      </c>
      <c r="G1706" s="6">
        <v>71.0</v>
      </c>
      <c r="H1706" s="9" t="str">
        <f>VLOOKUP(revenue[productID],products[],2,FALSE)</f>
        <v>Flotemysost</v>
      </c>
      <c r="I1706" s="9" t="str">
        <f>VLOOKUP(revenue[productID],products[],12,FALSE)</f>
        <v>Dairy Products</v>
      </c>
      <c r="J1706" s="9">
        <f>VLOOKUP(revenue[productID],products[],IF(YEAR(revenue[orderDate])=2022,8,IF(YEAR(revenue[orderDate])=2023,9,IF(YEAR(revenue[orderDate])=2024,10,NA))),FALSE)</f>
        <v>14.20977576</v>
      </c>
      <c r="K1706" s="9">
        <v>21.5</v>
      </c>
      <c r="L1706" s="25">
        <f>(revenue[orderPrice]-revenue[productCost])/revenue[productCost]</f>
        <v>0.5130428769</v>
      </c>
      <c r="M1706" s="10">
        <v>30.0</v>
      </c>
      <c r="N1706" s="25">
        <v>0.0</v>
      </c>
      <c r="O1706" s="9">
        <f>revenue[orderPrice]*revenue[orderQuantity]</f>
        <v>645</v>
      </c>
      <c r="P1706" s="9">
        <f>revenue[orderTotal]*(1-revenue[discountApllied])</f>
        <v>645</v>
      </c>
      <c r="Q1706" s="9">
        <f>revenue[revenue]-(revenue[productCost]*revenue[orderQuantity])</f>
        <v>218.7067271</v>
      </c>
      <c r="R1706" s="25">
        <f>IFERROR(revenue[profit]/revenue[revenue], 0)</f>
        <v>0.3390801971</v>
      </c>
      <c r="S1706" s="9">
        <f>revenue[productCost]*revenue[orderQuantity]</f>
        <v>426.2932729</v>
      </c>
    </row>
    <row r="1707" ht="15.75" customHeight="1">
      <c r="A1707" s="6">
        <v>10902.0</v>
      </c>
      <c r="B1707" s="7" t="s">
        <v>29</v>
      </c>
      <c r="C1707" s="24" t="str">
        <f>VLOOKUP(revenue[customerID],customers[],2,FALSE)</f>
        <v>Folk och fä HB</v>
      </c>
      <c r="D1707" s="24" t="str">
        <f>VLOOKUP(revenue[customerID],customers[],6,FALSE)</f>
        <v>Bräcke</v>
      </c>
      <c r="E1707" s="24" t="str">
        <f>VLOOKUP(revenue[customerID],customers[],9,FALSE)</f>
        <v>Sweden</v>
      </c>
      <c r="F1707" s="24">
        <v>45345.0</v>
      </c>
      <c r="G1707" s="6">
        <v>55.0</v>
      </c>
      <c r="H1707" s="9" t="str">
        <f>VLOOKUP(revenue[productID],products[],2,FALSE)</f>
        <v>Pâté chinois</v>
      </c>
      <c r="I1707" s="9" t="str">
        <f>VLOOKUP(revenue[productID],products[],12,FALSE)</f>
        <v>Meat/Poultry</v>
      </c>
      <c r="J1707" s="9">
        <f>VLOOKUP(revenue[productID],products[],IF(YEAR(revenue[orderDate])=2022,8,IF(YEAR(revenue[orderDate])=2023,9,IF(YEAR(revenue[orderDate])=2024,10,NA))),FALSE)</f>
        <v>16.95998522</v>
      </c>
      <c r="K1707" s="9">
        <v>24.0</v>
      </c>
      <c r="L1707" s="25">
        <f>(revenue[orderPrice]-revenue[productCost])/revenue[productCost]</f>
        <v>0.4150955727</v>
      </c>
      <c r="M1707" s="10">
        <v>30.0</v>
      </c>
      <c r="N1707" s="25">
        <v>0.15</v>
      </c>
      <c r="O1707" s="9">
        <f>revenue[orderPrice]*revenue[orderQuantity]</f>
        <v>720</v>
      </c>
      <c r="P1707" s="9">
        <f>revenue[orderTotal]*(1-revenue[discountApllied])</f>
        <v>612</v>
      </c>
      <c r="Q1707" s="9">
        <f>revenue[revenue]-(revenue[productCost]*revenue[orderQuantity])</f>
        <v>103.2004434</v>
      </c>
      <c r="R1707" s="25">
        <f>IFERROR(revenue[profit]/revenue[revenue], 0)</f>
        <v>0.1686281754</v>
      </c>
      <c r="S1707" s="9">
        <f>revenue[productCost]*revenue[orderQuantity]</f>
        <v>508.7995566</v>
      </c>
    </row>
    <row r="1708" ht="15.75" customHeight="1">
      <c r="A1708" s="6">
        <v>10902.0</v>
      </c>
      <c r="B1708" s="7" t="s">
        <v>29</v>
      </c>
      <c r="C1708" s="24" t="str">
        <f>VLOOKUP(revenue[customerID],customers[],2,FALSE)</f>
        <v>Folk och fä HB</v>
      </c>
      <c r="D1708" s="24" t="str">
        <f>VLOOKUP(revenue[customerID],customers[],6,FALSE)</f>
        <v>Bräcke</v>
      </c>
      <c r="E1708" s="24" t="str">
        <f>VLOOKUP(revenue[customerID],customers[],9,FALSE)</f>
        <v>Sweden</v>
      </c>
      <c r="F1708" s="24">
        <v>45345.0</v>
      </c>
      <c r="G1708" s="6">
        <v>62.0</v>
      </c>
      <c r="H1708" s="9" t="str">
        <f>VLOOKUP(revenue[productID],products[],2,FALSE)</f>
        <v>Tarte au sucre</v>
      </c>
      <c r="I1708" s="9" t="str">
        <f>VLOOKUP(revenue[productID],products[],12,FALSE)</f>
        <v>Confections</v>
      </c>
      <c r="J1708" s="9">
        <f>VLOOKUP(revenue[productID],products[],IF(YEAR(revenue[orderDate])=2022,8,IF(YEAR(revenue[orderDate])=2023,9,IF(YEAR(revenue[orderDate])=2024,10,NA))),FALSE)</f>
        <v>34.88145014</v>
      </c>
      <c r="K1708" s="9">
        <v>49.3</v>
      </c>
      <c r="L1708" s="25">
        <f>(revenue[orderPrice]-revenue[productCost])/revenue[productCost]</f>
        <v>0.4133586705</v>
      </c>
      <c r="M1708" s="10">
        <v>6.0</v>
      </c>
      <c r="N1708" s="25">
        <v>0.15</v>
      </c>
      <c r="O1708" s="9">
        <f>revenue[orderPrice]*revenue[orderQuantity]</f>
        <v>295.8</v>
      </c>
      <c r="P1708" s="9">
        <f>revenue[orderTotal]*(1-revenue[discountApllied])</f>
        <v>251.43</v>
      </c>
      <c r="Q1708" s="9">
        <f>revenue[revenue]-(revenue[productCost]*revenue[orderQuantity])</f>
        <v>42.14129914</v>
      </c>
      <c r="R1708" s="25">
        <f>IFERROR(revenue[profit]/revenue[revenue], 0)</f>
        <v>0.1676064875</v>
      </c>
      <c r="S1708" s="9">
        <f>revenue[productCost]*revenue[orderQuantity]</f>
        <v>209.2887009</v>
      </c>
    </row>
    <row r="1709" ht="15.75" customHeight="1">
      <c r="A1709" s="6">
        <v>10903.0</v>
      </c>
      <c r="B1709" s="7" t="s">
        <v>16</v>
      </c>
      <c r="C1709" s="24" t="str">
        <f>VLOOKUP(revenue[customerID],customers[],2,FALSE)</f>
        <v>Hanari Carnes</v>
      </c>
      <c r="D1709" s="24" t="str">
        <f>VLOOKUP(revenue[customerID],customers[],6,FALSE)</f>
        <v>Rio de Janeiro</v>
      </c>
      <c r="E1709" s="24" t="str">
        <f>VLOOKUP(revenue[customerID],customers[],9,FALSE)</f>
        <v>Brazil</v>
      </c>
      <c r="F1709" s="24">
        <v>45346.0</v>
      </c>
      <c r="G1709" s="6">
        <v>13.0</v>
      </c>
      <c r="H1709" s="9" t="str">
        <f>VLOOKUP(revenue[productID],products[],2,FALSE)</f>
        <v>Konbu</v>
      </c>
      <c r="I1709" s="9" t="str">
        <f>VLOOKUP(revenue[productID],products[],12,FALSE)</f>
        <v>Seafood</v>
      </c>
      <c r="J1709" s="9">
        <f>VLOOKUP(revenue[productID],products[],IF(YEAR(revenue[orderDate])=2022,8,IF(YEAR(revenue[orderDate])=2023,9,IF(YEAR(revenue[orderDate])=2024,10,NA))),FALSE)</f>
        <v>3.966387047</v>
      </c>
      <c r="K1709" s="9">
        <v>6.0</v>
      </c>
      <c r="L1709" s="25">
        <f>(revenue[orderPrice]-revenue[productCost])/revenue[productCost]</f>
        <v>0.5127116768</v>
      </c>
      <c r="M1709" s="10">
        <v>40.0</v>
      </c>
      <c r="N1709" s="25">
        <v>0.0</v>
      </c>
      <c r="O1709" s="9">
        <f>revenue[orderPrice]*revenue[orderQuantity]</f>
        <v>240</v>
      </c>
      <c r="P1709" s="9">
        <f>revenue[orderTotal]*(1-revenue[discountApllied])</f>
        <v>240</v>
      </c>
      <c r="Q1709" s="9">
        <f>revenue[revenue]-(revenue[productCost]*revenue[orderQuantity])</f>
        <v>81.34451814</v>
      </c>
      <c r="R1709" s="25">
        <f>IFERROR(revenue[profit]/revenue[revenue], 0)</f>
        <v>0.3389354922</v>
      </c>
      <c r="S1709" s="9">
        <f>revenue[productCost]*revenue[orderQuantity]</f>
        <v>158.6554819</v>
      </c>
    </row>
    <row r="1710" ht="15.75" customHeight="1">
      <c r="A1710" s="6">
        <v>10903.0</v>
      </c>
      <c r="B1710" s="7" t="s">
        <v>16</v>
      </c>
      <c r="C1710" s="24" t="str">
        <f>VLOOKUP(revenue[customerID],customers[],2,FALSE)</f>
        <v>Hanari Carnes</v>
      </c>
      <c r="D1710" s="24" t="str">
        <f>VLOOKUP(revenue[customerID],customers[],6,FALSE)</f>
        <v>Rio de Janeiro</v>
      </c>
      <c r="E1710" s="24" t="str">
        <f>VLOOKUP(revenue[customerID],customers[],9,FALSE)</f>
        <v>Brazil</v>
      </c>
      <c r="F1710" s="24">
        <v>45346.0</v>
      </c>
      <c r="G1710" s="6">
        <v>65.0</v>
      </c>
      <c r="H1710" s="9" t="str">
        <f>VLOOKUP(revenue[productID],products[],2,FALSE)</f>
        <v>Louisiana Fiery Hot Pepper Sauce</v>
      </c>
      <c r="I1710" s="9" t="str">
        <f>VLOOKUP(revenue[productID],products[],12,FALSE)</f>
        <v>Condiments</v>
      </c>
      <c r="J1710" s="9">
        <f>VLOOKUP(revenue[productID],products[],IF(YEAR(revenue[orderDate])=2022,8,IF(YEAR(revenue[orderDate])=2023,9,IF(YEAR(revenue[orderDate])=2024,10,NA))),FALSE)</f>
        <v>14.50738168</v>
      </c>
      <c r="K1710" s="9">
        <v>21.05</v>
      </c>
      <c r="L1710" s="25">
        <f>(revenue[orderPrice]-revenue[productCost])/revenue[productCost]</f>
        <v>0.4509854685</v>
      </c>
      <c r="M1710" s="10">
        <v>21.0</v>
      </c>
      <c r="N1710" s="25">
        <v>0.0</v>
      </c>
      <c r="O1710" s="9">
        <f>revenue[orderPrice]*revenue[orderQuantity]</f>
        <v>442.05</v>
      </c>
      <c r="P1710" s="9">
        <f>revenue[orderTotal]*(1-revenue[discountApllied])</f>
        <v>442.05</v>
      </c>
      <c r="Q1710" s="9">
        <f>revenue[revenue]-(revenue[productCost]*revenue[orderQuantity])</f>
        <v>137.3949848</v>
      </c>
      <c r="R1710" s="25">
        <f>IFERROR(revenue[profit]/revenue[revenue], 0)</f>
        <v>0.310813222</v>
      </c>
      <c r="S1710" s="9">
        <f>revenue[productCost]*revenue[orderQuantity]</f>
        <v>304.6550152</v>
      </c>
    </row>
    <row r="1711" ht="15.75" customHeight="1">
      <c r="A1711" s="6">
        <v>10903.0</v>
      </c>
      <c r="B1711" s="7" t="s">
        <v>16</v>
      </c>
      <c r="C1711" s="24" t="str">
        <f>VLOOKUP(revenue[customerID],customers[],2,FALSE)</f>
        <v>Hanari Carnes</v>
      </c>
      <c r="D1711" s="24" t="str">
        <f>VLOOKUP(revenue[customerID],customers[],6,FALSE)</f>
        <v>Rio de Janeiro</v>
      </c>
      <c r="E1711" s="24" t="str">
        <f>VLOOKUP(revenue[customerID],customers[],9,FALSE)</f>
        <v>Brazil</v>
      </c>
      <c r="F1711" s="24">
        <v>45346.0</v>
      </c>
      <c r="G1711" s="6">
        <v>68.0</v>
      </c>
      <c r="H1711" s="9" t="str">
        <f>VLOOKUP(revenue[productID],products[],2,FALSE)</f>
        <v>Scottish Longbreads</v>
      </c>
      <c r="I1711" s="9" t="str">
        <f>VLOOKUP(revenue[productID],products[],12,FALSE)</f>
        <v>Confections</v>
      </c>
      <c r="J1711" s="9">
        <f>VLOOKUP(revenue[productID],products[],IF(YEAR(revenue[orderDate])=2022,8,IF(YEAR(revenue[orderDate])=2023,9,IF(YEAR(revenue[orderDate])=2024,10,NA))),FALSE)</f>
        <v>9.555031708</v>
      </c>
      <c r="K1711" s="9">
        <v>12.5</v>
      </c>
      <c r="L1711" s="25">
        <f>(revenue[orderPrice]-revenue[productCost])/revenue[productCost]</f>
        <v>0.3082112527</v>
      </c>
      <c r="M1711" s="10">
        <v>20.0</v>
      </c>
      <c r="N1711" s="25">
        <v>0.0</v>
      </c>
      <c r="O1711" s="9">
        <f>revenue[orderPrice]*revenue[orderQuantity]</f>
        <v>250</v>
      </c>
      <c r="P1711" s="9">
        <f>revenue[orderTotal]*(1-revenue[discountApllied])</f>
        <v>250</v>
      </c>
      <c r="Q1711" s="9">
        <f>revenue[revenue]-(revenue[productCost]*revenue[orderQuantity])</f>
        <v>58.89936585</v>
      </c>
      <c r="R1711" s="25">
        <f>IFERROR(revenue[profit]/revenue[revenue], 0)</f>
        <v>0.2355974634</v>
      </c>
      <c r="S1711" s="9">
        <f>revenue[productCost]*revenue[orderQuantity]</f>
        <v>191.1006342</v>
      </c>
    </row>
    <row r="1712" ht="15.75" customHeight="1">
      <c r="A1712" s="6">
        <v>10904.0</v>
      </c>
      <c r="B1712" s="7" t="s">
        <v>34</v>
      </c>
      <c r="C1712" s="24" t="str">
        <f>VLOOKUP(revenue[customerID],customers[],2,FALSE)</f>
        <v>White Clover Markets</v>
      </c>
      <c r="D1712" s="24" t="str">
        <f>VLOOKUP(revenue[customerID],customers[],6,FALSE)</f>
        <v>Seattle</v>
      </c>
      <c r="E1712" s="24" t="str">
        <f>VLOOKUP(revenue[customerID],customers[],9,FALSE)</f>
        <v>USA</v>
      </c>
      <c r="F1712" s="24">
        <v>45346.0</v>
      </c>
      <c r="G1712" s="6">
        <v>58.0</v>
      </c>
      <c r="H1712" s="9" t="str">
        <f>VLOOKUP(revenue[productID],products[],2,FALSE)</f>
        <v>Escargots de Bourgogne</v>
      </c>
      <c r="I1712" s="9" t="str">
        <f>VLOOKUP(revenue[productID],products[],12,FALSE)</f>
        <v>Seafood</v>
      </c>
      <c r="J1712" s="9">
        <f>VLOOKUP(revenue[productID],products[],IF(YEAR(revenue[orderDate])=2022,8,IF(YEAR(revenue[orderDate])=2023,9,IF(YEAR(revenue[orderDate])=2024,10,NA))),FALSE)</f>
        <v>8.683102193</v>
      </c>
      <c r="K1712" s="9">
        <v>13.25</v>
      </c>
      <c r="L1712" s="25">
        <f>(revenue[orderPrice]-revenue[productCost])/revenue[productCost]</f>
        <v>0.5259523274</v>
      </c>
      <c r="M1712" s="10">
        <v>15.0</v>
      </c>
      <c r="N1712" s="25">
        <v>0.0</v>
      </c>
      <c r="O1712" s="9">
        <f>revenue[orderPrice]*revenue[orderQuantity]</f>
        <v>198.75</v>
      </c>
      <c r="P1712" s="9">
        <f>revenue[orderTotal]*(1-revenue[discountApllied])</f>
        <v>198.75</v>
      </c>
      <c r="Q1712" s="9">
        <f>revenue[revenue]-(revenue[productCost]*revenue[orderQuantity])</f>
        <v>68.50346711</v>
      </c>
      <c r="R1712" s="25">
        <f>IFERROR(revenue[profit]/revenue[revenue], 0)</f>
        <v>0.3446715326</v>
      </c>
      <c r="S1712" s="9">
        <f>revenue[productCost]*revenue[orderQuantity]</f>
        <v>130.2465329</v>
      </c>
    </row>
    <row r="1713" ht="15.75" customHeight="1">
      <c r="A1713" s="6">
        <v>10904.0</v>
      </c>
      <c r="B1713" s="7" t="s">
        <v>34</v>
      </c>
      <c r="C1713" s="24" t="str">
        <f>VLOOKUP(revenue[customerID],customers[],2,FALSE)</f>
        <v>White Clover Markets</v>
      </c>
      <c r="D1713" s="24" t="str">
        <f>VLOOKUP(revenue[customerID],customers[],6,FALSE)</f>
        <v>Seattle</v>
      </c>
      <c r="E1713" s="24" t="str">
        <f>VLOOKUP(revenue[customerID],customers[],9,FALSE)</f>
        <v>USA</v>
      </c>
      <c r="F1713" s="24">
        <v>45346.0</v>
      </c>
      <c r="G1713" s="6">
        <v>62.0</v>
      </c>
      <c r="H1713" s="9" t="str">
        <f>VLOOKUP(revenue[productID],products[],2,FALSE)</f>
        <v>Tarte au sucre</v>
      </c>
      <c r="I1713" s="9" t="str">
        <f>VLOOKUP(revenue[productID],products[],12,FALSE)</f>
        <v>Confections</v>
      </c>
      <c r="J1713" s="9">
        <f>VLOOKUP(revenue[productID],products[],IF(YEAR(revenue[orderDate])=2022,8,IF(YEAR(revenue[orderDate])=2023,9,IF(YEAR(revenue[orderDate])=2024,10,NA))),FALSE)</f>
        <v>34.88145014</v>
      </c>
      <c r="K1713" s="9">
        <v>49.3</v>
      </c>
      <c r="L1713" s="25">
        <f>(revenue[orderPrice]-revenue[productCost])/revenue[productCost]</f>
        <v>0.4133586705</v>
      </c>
      <c r="M1713" s="10">
        <v>35.0</v>
      </c>
      <c r="N1713" s="25">
        <v>0.0</v>
      </c>
      <c r="O1713" s="9">
        <f>revenue[orderPrice]*revenue[orderQuantity]</f>
        <v>1725.5</v>
      </c>
      <c r="P1713" s="9">
        <f>revenue[orderTotal]*(1-revenue[discountApllied])</f>
        <v>1725.5</v>
      </c>
      <c r="Q1713" s="9">
        <f>revenue[revenue]-(revenue[productCost]*revenue[orderQuantity])</f>
        <v>504.649245</v>
      </c>
      <c r="R1713" s="25">
        <f>IFERROR(revenue[profit]/revenue[revenue], 0)</f>
        <v>0.2924655143</v>
      </c>
      <c r="S1713" s="9">
        <f>revenue[productCost]*revenue[orderQuantity]</f>
        <v>1220.850755</v>
      </c>
    </row>
    <row r="1714" ht="15.75" customHeight="1">
      <c r="A1714" s="6">
        <v>10905.0</v>
      </c>
      <c r="B1714" s="7" t="s">
        <v>22</v>
      </c>
      <c r="C1714" s="24" t="str">
        <f>VLOOKUP(revenue[customerID],customers[],2,FALSE)</f>
        <v>Wellington Importadora</v>
      </c>
      <c r="D1714" s="24" t="str">
        <f>VLOOKUP(revenue[customerID],customers[],6,FALSE)</f>
        <v>Resende</v>
      </c>
      <c r="E1714" s="24" t="str">
        <f>VLOOKUP(revenue[customerID],customers[],9,FALSE)</f>
        <v>Brazil</v>
      </c>
      <c r="F1714" s="24">
        <v>45346.0</v>
      </c>
      <c r="G1714" s="6">
        <v>1.0</v>
      </c>
      <c r="H1714" s="9" t="str">
        <f>VLOOKUP(revenue[productID],products[],2,FALSE)</f>
        <v>Chai</v>
      </c>
      <c r="I1714" s="9" t="str">
        <f>VLOOKUP(revenue[productID],products[],12,FALSE)</f>
        <v>Beverages</v>
      </c>
      <c r="J1714" s="9">
        <f>VLOOKUP(revenue[productID],products[],IF(YEAR(revenue[orderDate])=2022,8,IF(YEAR(revenue[orderDate])=2023,9,IF(YEAR(revenue[orderDate])=2024,10,NA))),FALSE)</f>
        <v>12.17757454</v>
      </c>
      <c r="K1714" s="9">
        <v>18.0</v>
      </c>
      <c r="L1714" s="25">
        <f>(revenue[orderPrice]-revenue[productCost])/revenue[productCost]</f>
        <v>0.4781268584</v>
      </c>
      <c r="M1714" s="10">
        <v>20.0</v>
      </c>
      <c r="N1714" s="25">
        <v>0.05</v>
      </c>
      <c r="O1714" s="9">
        <f>revenue[orderPrice]*revenue[orderQuantity]</f>
        <v>360</v>
      </c>
      <c r="P1714" s="9">
        <f>revenue[orderTotal]*(1-revenue[discountApllied])</f>
        <v>342</v>
      </c>
      <c r="Q1714" s="9">
        <f>revenue[revenue]-(revenue[productCost]*revenue[orderQuantity])</f>
        <v>98.44850916</v>
      </c>
      <c r="R1714" s="25">
        <f>IFERROR(revenue[profit]/revenue[revenue], 0)</f>
        <v>0.2878611379</v>
      </c>
      <c r="S1714" s="9">
        <f>revenue[productCost]*revenue[orderQuantity]</f>
        <v>243.5514908</v>
      </c>
    </row>
    <row r="1715" ht="15.75" customHeight="1">
      <c r="A1715" s="6">
        <v>10906.0</v>
      </c>
      <c r="B1715" s="7" t="s">
        <v>78</v>
      </c>
      <c r="C1715" s="24" t="str">
        <f>VLOOKUP(revenue[customerID],customers[],2,FALSE)</f>
        <v>Wolski  Zajazd</v>
      </c>
      <c r="D1715" s="24" t="str">
        <f>VLOOKUP(revenue[customerID],customers[],6,FALSE)</f>
        <v>Warszawa</v>
      </c>
      <c r="E1715" s="24" t="str">
        <f>VLOOKUP(revenue[customerID],customers[],9,FALSE)</f>
        <v>Poland</v>
      </c>
      <c r="F1715" s="24">
        <v>45347.0</v>
      </c>
      <c r="G1715" s="6">
        <v>61.0</v>
      </c>
      <c r="H1715" s="9" t="str">
        <f>VLOOKUP(revenue[productID],products[],2,FALSE)</f>
        <v>Sirop d'érable</v>
      </c>
      <c r="I1715" s="9" t="str">
        <f>VLOOKUP(revenue[productID],products[],12,FALSE)</f>
        <v>Condiments</v>
      </c>
      <c r="J1715" s="9">
        <f>VLOOKUP(revenue[productID],products[],IF(YEAR(revenue[orderDate])=2022,8,IF(YEAR(revenue[orderDate])=2023,9,IF(YEAR(revenue[orderDate])=2024,10,NA))),FALSE)</f>
        <v>18.74487379</v>
      </c>
      <c r="K1715" s="9">
        <v>28.5</v>
      </c>
      <c r="L1715" s="25">
        <f>(revenue[orderPrice]-revenue[productCost])/revenue[productCost]</f>
        <v>0.5204156786</v>
      </c>
      <c r="M1715" s="10">
        <v>15.0</v>
      </c>
      <c r="N1715" s="25">
        <v>0.0</v>
      </c>
      <c r="O1715" s="9">
        <f>revenue[orderPrice]*revenue[orderQuantity]</f>
        <v>427.5</v>
      </c>
      <c r="P1715" s="9">
        <f>revenue[orderTotal]*(1-revenue[discountApllied])</f>
        <v>427.5</v>
      </c>
      <c r="Q1715" s="9">
        <f>revenue[revenue]-(revenue[productCost]*revenue[orderQuantity])</f>
        <v>146.3268932</v>
      </c>
      <c r="R1715" s="25">
        <f>IFERROR(revenue[profit]/revenue[revenue], 0)</f>
        <v>0.3422851303</v>
      </c>
      <c r="S1715" s="9">
        <f>revenue[productCost]*revenue[orderQuantity]</f>
        <v>281.1731068</v>
      </c>
    </row>
    <row r="1716" ht="15.75" customHeight="1">
      <c r="A1716" s="6">
        <v>10907.0</v>
      </c>
      <c r="B1716" s="7" t="s">
        <v>102</v>
      </c>
      <c r="C1716" s="24" t="str">
        <f>VLOOKUP(revenue[customerID],customers[],2,FALSE)</f>
        <v>Spécialités du monde</v>
      </c>
      <c r="D1716" s="24" t="str">
        <f>VLOOKUP(revenue[customerID],customers[],6,FALSE)</f>
        <v>Paris</v>
      </c>
      <c r="E1716" s="24" t="str">
        <f>VLOOKUP(revenue[customerID],customers[],9,FALSE)</f>
        <v>France</v>
      </c>
      <c r="F1716" s="24">
        <v>45347.0</v>
      </c>
      <c r="G1716" s="6">
        <v>75.0</v>
      </c>
      <c r="H1716" s="9" t="str">
        <f>VLOOKUP(revenue[productID],products[],2,FALSE)</f>
        <v>Rhönbräu Klosterbier</v>
      </c>
      <c r="I1716" s="9" t="str">
        <f>VLOOKUP(revenue[productID],products[],12,FALSE)</f>
        <v>Beverages</v>
      </c>
      <c r="J1716" s="9">
        <f>VLOOKUP(revenue[productID],products[],IF(YEAR(revenue[orderDate])=2022,8,IF(YEAR(revenue[orderDate])=2023,9,IF(YEAR(revenue[orderDate])=2024,10,NA))),FALSE)</f>
        <v>5.374051525</v>
      </c>
      <c r="K1716" s="9">
        <v>7.75</v>
      </c>
      <c r="L1716" s="25">
        <f>(revenue[orderPrice]-revenue[productCost])/revenue[productCost]</f>
        <v>0.4421149413</v>
      </c>
      <c r="M1716" s="10">
        <v>14.0</v>
      </c>
      <c r="N1716" s="25">
        <v>0.0</v>
      </c>
      <c r="O1716" s="9">
        <f>revenue[orderPrice]*revenue[orderQuantity]</f>
        <v>108.5</v>
      </c>
      <c r="P1716" s="9">
        <f>revenue[orderTotal]*(1-revenue[discountApllied])</f>
        <v>108.5</v>
      </c>
      <c r="Q1716" s="9">
        <f>revenue[revenue]-(revenue[productCost]*revenue[orderQuantity])</f>
        <v>33.26327865</v>
      </c>
      <c r="R1716" s="25">
        <f>IFERROR(revenue[profit]/revenue[revenue], 0)</f>
        <v>0.3065739967</v>
      </c>
      <c r="S1716" s="9">
        <f>revenue[productCost]*revenue[orderQuantity]</f>
        <v>75.23672135</v>
      </c>
    </row>
    <row r="1717" ht="15.75" customHeight="1">
      <c r="A1717" s="6">
        <v>10908.0</v>
      </c>
      <c r="B1717" s="7" t="s">
        <v>45</v>
      </c>
      <c r="C1717" s="24" t="str">
        <f>VLOOKUP(revenue[customerID],customers[],2,FALSE)</f>
        <v>Reggiani Caseifici</v>
      </c>
      <c r="D1717" s="24" t="str">
        <f>VLOOKUP(revenue[customerID],customers[],6,FALSE)</f>
        <v>Reggio Emilia</v>
      </c>
      <c r="E1717" s="24" t="str">
        <f>VLOOKUP(revenue[customerID],customers[],9,FALSE)</f>
        <v>Italy</v>
      </c>
      <c r="F1717" s="24">
        <v>45348.0</v>
      </c>
      <c r="G1717" s="6">
        <v>7.0</v>
      </c>
      <c r="H1717" s="9" t="str">
        <f>VLOOKUP(revenue[productID],products[],2,FALSE)</f>
        <v>Uncle Bob's Organic Dried Pears</v>
      </c>
      <c r="I1717" s="9" t="str">
        <f>VLOOKUP(revenue[productID],products[],12,FALSE)</f>
        <v>Produce</v>
      </c>
      <c r="J1717" s="9">
        <f>VLOOKUP(revenue[productID],products[],IF(YEAR(revenue[orderDate])=2022,8,IF(YEAR(revenue[orderDate])=2023,9,IF(YEAR(revenue[orderDate])=2024,10,NA))),FALSE)</f>
        <v>23.52222246</v>
      </c>
      <c r="K1717" s="9">
        <v>30.0</v>
      </c>
      <c r="L1717" s="25">
        <f>(revenue[orderPrice]-revenue[productCost])/revenue[productCost]</f>
        <v>0.2753896894</v>
      </c>
      <c r="M1717" s="10">
        <v>20.0</v>
      </c>
      <c r="N1717" s="25">
        <v>0.05</v>
      </c>
      <c r="O1717" s="9">
        <f>revenue[orderPrice]*revenue[orderQuantity]</f>
        <v>600</v>
      </c>
      <c r="P1717" s="9">
        <f>revenue[orderTotal]*(1-revenue[discountApllied])</f>
        <v>570</v>
      </c>
      <c r="Q1717" s="9">
        <f>revenue[revenue]-(revenue[productCost]*revenue[orderQuantity])</f>
        <v>99.55555074</v>
      </c>
      <c r="R1717" s="25">
        <f>IFERROR(revenue[profit]/revenue[revenue], 0)</f>
        <v>0.1746588609</v>
      </c>
      <c r="S1717" s="9">
        <f>revenue[productCost]*revenue[orderQuantity]</f>
        <v>470.4444493</v>
      </c>
    </row>
    <row r="1718" ht="15.75" customHeight="1">
      <c r="A1718" s="6">
        <v>10908.0</v>
      </c>
      <c r="B1718" s="7" t="s">
        <v>45</v>
      </c>
      <c r="C1718" s="24" t="str">
        <f>VLOOKUP(revenue[customerID],customers[],2,FALSE)</f>
        <v>Reggiani Caseifici</v>
      </c>
      <c r="D1718" s="24" t="str">
        <f>VLOOKUP(revenue[customerID],customers[],6,FALSE)</f>
        <v>Reggio Emilia</v>
      </c>
      <c r="E1718" s="24" t="str">
        <f>VLOOKUP(revenue[customerID],customers[],9,FALSE)</f>
        <v>Italy</v>
      </c>
      <c r="F1718" s="24">
        <v>45348.0</v>
      </c>
      <c r="G1718" s="6">
        <v>52.0</v>
      </c>
      <c r="H1718" s="9" t="str">
        <f>VLOOKUP(revenue[productID],products[],2,FALSE)</f>
        <v>Filo Mix</v>
      </c>
      <c r="I1718" s="9" t="str">
        <f>VLOOKUP(revenue[productID],products[],12,FALSE)</f>
        <v>Grains/Cereals</v>
      </c>
      <c r="J1718" s="9">
        <f>VLOOKUP(revenue[productID],products[],IF(YEAR(revenue[orderDate])=2022,8,IF(YEAR(revenue[orderDate])=2023,9,IF(YEAR(revenue[orderDate])=2024,10,NA))),FALSE)</f>
        <v>5.222223442</v>
      </c>
      <c r="K1718" s="9">
        <v>7.0</v>
      </c>
      <c r="L1718" s="25">
        <f>(revenue[orderPrice]-revenue[productCost])/revenue[productCost]</f>
        <v>0.3404252188</v>
      </c>
      <c r="M1718" s="10">
        <v>14.0</v>
      </c>
      <c r="N1718" s="25">
        <v>0.05</v>
      </c>
      <c r="O1718" s="9">
        <f>revenue[orderPrice]*revenue[orderQuantity]</f>
        <v>98</v>
      </c>
      <c r="P1718" s="9">
        <f>revenue[orderTotal]*(1-revenue[discountApllied])</f>
        <v>93.1</v>
      </c>
      <c r="Q1718" s="9">
        <f>revenue[revenue]-(revenue[productCost]*revenue[orderQuantity])</f>
        <v>19.98887181</v>
      </c>
      <c r="R1718" s="25">
        <f>IFERROR(revenue[profit]/revenue[revenue], 0)</f>
        <v>0.2147032418</v>
      </c>
      <c r="S1718" s="9">
        <f>revenue[productCost]*revenue[orderQuantity]</f>
        <v>73.11112819</v>
      </c>
    </row>
    <row r="1719" ht="15.75" customHeight="1">
      <c r="A1719" s="6">
        <v>10909.0</v>
      </c>
      <c r="B1719" s="7" t="s">
        <v>80</v>
      </c>
      <c r="C1719" s="24" t="str">
        <f>VLOOKUP(revenue[customerID],customers[],2,FALSE)</f>
        <v>Santé Gourmet</v>
      </c>
      <c r="D1719" s="24" t="str">
        <f>VLOOKUP(revenue[customerID],customers[],6,FALSE)</f>
        <v>Stavern</v>
      </c>
      <c r="E1719" s="24" t="str">
        <f>VLOOKUP(revenue[customerID],customers[],9,FALSE)</f>
        <v>Norway</v>
      </c>
      <c r="F1719" s="24">
        <v>45348.0</v>
      </c>
      <c r="G1719" s="6">
        <v>7.0</v>
      </c>
      <c r="H1719" s="9" t="str">
        <f>VLOOKUP(revenue[productID],products[],2,FALSE)</f>
        <v>Uncle Bob's Organic Dried Pears</v>
      </c>
      <c r="I1719" s="9" t="str">
        <f>VLOOKUP(revenue[productID],products[],12,FALSE)</f>
        <v>Produce</v>
      </c>
      <c r="J1719" s="9">
        <f>VLOOKUP(revenue[productID],products[],IF(YEAR(revenue[orderDate])=2022,8,IF(YEAR(revenue[orderDate])=2023,9,IF(YEAR(revenue[orderDate])=2024,10,NA))),FALSE)</f>
        <v>23.52222246</v>
      </c>
      <c r="K1719" s="9">
        <v>30.0</v>
      </c>
      <c r="L1719" s="25">
        <f>(revenue[orderPrice]-revenue[productCost])/revenue[productCost]</f>
        <v>0.2753896894</v>
      </c>
      <c r="M1719" s="10">
        <v>12.0</v>
      </c>
      <c r="N1719" s="25">
        <v>0.0</v>
      </c>
      <c r="O1719" s="9">
        <f>revenue[orderPrice]*revenue[orderQuantity]</f>
        <v>360</v>
      </c>
      <c r="P1719" s="9">
        <f>revenue[orderTotal]*(1-revenue[discountApllied])</f>
        <v>360</v>
      </c>
      <c r="Q1719" s="9">
        <f>revenue[revenue]-(revenue[productCost]*revenue[orderQuantity])</f>
        <v>77.73333044</v>
      </c>
      <c r="R1719" s="25">
        <f>IFERROR(revenue[profit]/revenue[revenue], 0)</f>
        <v>0.2159259179</v>
      </c>
      <c r="S1719" s="9">
        <f>revenue[productCost]*revenue[orderQuantity]</f>
        <v>282.2666696</v>
      </c>
    </row>
    <row r="1720" ht="15.75" customHeight="1">
      <c r="A1720" s="6">
        <v>10909.0</v>
      </c>
      <c r="B1720" s="7" t="s">
        <v>80</v>
      </c>
      <c r="C1720" s="24" t="str">
        <f>VLOOKUP(revenue[customerID],customers[],2,FALSE)</f>
        <v>Santé Gourmet</v>
      </c>
      <c r="D1720" s="24" t="str">
        <f>VLOOKUP(revenue[customerID],customers[],6,FALSE)</f>
        <v>Stavern</v>
      </c>
      <c r="E1720" s="24" t="str">
        <f>VLOOKUP(revenue[customerID],customers[],9,FALSE)</f>
        <v>Norway</v>
      </c>
      <c r="F1720" s="24">
        <v>45348.0</v>
      </c>
      <c r="G1720" s="6">
        <v>16.0</v>
      </c>
      <c r="H1720" s="9" t="str">
        <f>VLOOKUP(revenue[productID],products[],2,FALSE)</f>
        <v>Pavlova</v>
      </c>
      <c r="I1720" s="9" t="str">
        <f>VLOOKUP(revenue[productID],products[],12,FALSE)</f>
        <v>Confections</v>
      </c>
      <c r="J1720" s="9">
        <f>VLOOKUP(revenue[productID],products[],IF(YEAR(revenue[orderDate])=2022,8,IF(YEAR(revenue[orderDate])=2023,9,IF(YEAR(revenue[orderDate])=2024,10,NA))),FALSE)</f>
        <v>12.68283974</v>
      </c>
      <c r="K1720" s="9">
        <v>17.45</v>
      </c>
      <c r="L1720" s="25">
        <f>(revenue[orderPrice]-revenue[productCost])/revenue[productCost]</f>
        <v>0.3758748323</v>
      </c>
      <c r="M1720" s="10">
        <v>15.0</v>
      </c>
      <c r="N1720" s="25">
        <v>0.0</v>
      </c>
      <c r="O1720" s="9">
        <f>revenue[orderPrice]*revenue[orderQuantity]</f>
        <v>261.75</v>
      </c>
      <c r="P1720" s="9">
        <f>revenue[orderTotal]*(1-revenue[discountApllied])</f>
        <v>261.75</v>
      </c>
      <c r="Q1720" s="9">
        <f>revenue[revenue]-(revenue[productCost]*revenue[orderQuantity])</f>
        <v>71.50740391</v>
      </c>
      <c r="R1720" s="25">
        <f>IFERROR(revenue[profit]/revenue[revenue], 0)</f>
        <v>0.2731896997</v>
      </c>
      <c r="S1720" s="9">
        <f>revenue[productCost]*revenue[orderQuantity]</f>
        <v>190.2425961</v>
      </c>
    </row>
    <row r="1721" ht="15.75" customHeight="1">
      <c r="A1721" s="6">
        <v>10909.0</v>
      </c>
      <c r="B1721" s="7" t="s">
        <v>80</v>
      </c>
      <c r="C1721" s="24" t="str">
        <f>VLOOKUP(revenue[customerID],customers[],2,FALSE)</f>
        <v>Santé Gourmet</v>
      </c>
      <c r="D1721" s="24" t="str">
        <f>VLOOKUP(revenue[customerID],customers[],6,FALSE)</f>
        <v>Stavern</v>
      </c>
      <c r="E1721" s="24" t="str">
        <f>VLOOKUP(revenue[customerID],customers[],9,FALSE)</f>
        <v>Norway</v>
      </c>
      <c r="F1721" s="24">
        <v>45348.0</v>
      </c>
      <c r="G1721" s="6">
        <v>41.0</v>
      </c>
      <c r="H1721" s="9" t="str">
        <f>VLOOKUP(revenue[productID],products[],2,FALSE)</f>
        <v>Jack's New England Clam Chowder</v>
      </c>
      <c r="I1721" s="9" t="str">
        <f>VLOOKUP(revenue[productID],products[],12,FALSE)</f>
        <v>Seafood</v>
      </c>
      <c r="J1721" s="9">
        <f>VLOOKUP(revenue[productID],products[],IF(YEAR(revenue[orderDate])=2022,8,IF(YEAR(revenue[orderDate])=2023,9,IF(YEAR(revenue[orderDate])=2024,10,NA))),FALSE)</f>
        <v>6.611787882</v>
      </c>
      <c r="K1721" s="9">
        <v>9.65</v>
      </c>
      <c r="L1721" s="25">
        <f>(revenue[orderPrice]-revenue[productCost])/revenue[productCost]</f>
        <v>0.459514457</v>
      </c>
      <c r="M1721" s="10">
        <v>5.0</v>
      </c>
      <c r="N1721" s="25">
        <v>0.0</v>
      </c>
      <c r="O1721" s="9">
        <f>revenue[orderPrice]*revenue[orderQuantity]</f>
        <v>48.25</v>
      </c>
      <c r="P1721" s="9">
        <f>revenue[orderTotal]*(1-revenue[discountApllied])</f>
        <v>48.25</v>
      </c>
      <c r="Q1721" s="9">
        <f>revenue[revenue]-(revenue[productCost]*revenue[orderQuantity])</f>
        <v>15.19106059</v>
      </c>
      <c r="R1721" s="25">
        <f>IFERROR(revenue[profit]/revenue[revenue], 0)</f>
        <v>0.314840634</v>
      </c>
      <c r="S1721" s="9">
        <f>revenue[productCost]*revenue[orderQuantity]</f>
        <v>33.05893941</v>
      </c>
    </row>
    <row r="1722" ht="15.75" customHeight="1">
      <c r="A1722" s="6">
        <v>10910.0</v>
      </c>
      <c r="B1722" s="7" t="s">
        <v>98</v>
      </c>
      <c r="C1722" s="24" t="str">
        <f>VLOOKUP(revenue[customerID],customers[],2,FALSE)</f>
        <v>Wilman Kala</v>
      </c>
      <c r="D1722" s="24" t="str">
        <f>VLOOKUP(revenue[customerID],customers[],6,FALSE)</f>
        <v>Helsinki</v>
      </c>
      <c r="E1722" s="24" t="str">
        <f>VLOOKUP(revenue[customerID],customers[],9,FALSE)</f>
        <v>Finland</v>
      </c>
      <c r="F1722" s="24">
        <v>45348.0</v>
      </c>
      <c r="G1722" s="6">
        <v>19.0</v>
      </c>
      <c r="H1722" s="9" t="str">
        <f>VLOOKUP(revenue[productID],products[],2,FALSE)</f>
        <v>Teatime Chocolate Biscuits</v>
      </c>
      <c r="I1722" s="9" t="str">
        <f>VLOOKUP(revenue[productID],products[],12,FALSE)</f>
        <v>Confections</v>
      </c>
      <c r="J1722" s="9">
        <f>VLOOKUP(revenue[productID],products[],IF(YEAR(revenue[orderDate])=2022,8,IF(YEAR(revenue[orderDate])=2023,9,IF(YEAR(revenue[orderDate])=2024,10,NA))),FALSE)</f>
        <v>6.769656984</v>
      </c>
      <c r="K1722" s="9">
        <v>9.2</v>
      </c>
      <c r="L1722" s="25">
        <f>(revenue[orderPrice]-revenue[productCost])/revenue[productCost]</f>
        <v>0.3590053413</v>
      </c>
      <c r="M1722" s="10">
        <v>12.0</v>
      </c>
      <c r="N1722" s="25">
        <v>0.0</v>
      </c>
      <c r="O1722" s="9">
        <f>revenue[orderPrice]*revenue[orderQuantity]</f>
        <v>110.4</v>
      </c>
      <c r="P1722" s="9">
        <f>revenue[orderTotal]*(1-revenue[discountApllied])</f>
        <v>110.4</v>
      </c>
      <c r="Q1722" s="9">
        <f>revenue[revenue]-(revenue[productCost]*revenue[orderQuantity])</f>
        <v>29.16411619</v>
      </c>
      <c r="R1722" s="25">
        <f>IFERROR(revenue[profit]/revenue[revenue], 0)</f>
        <v>0.2641677191</v>
      </c>
      <c r="S1722" s="9">
        <f>revenue[productCost]*revenue[orderQuantity]</f>
        <v>81.23588381</v>
      </c>
    </row>
    <row r="1723" ht="15.75" customHeight="1">
      <c r="A1723" s="6">
        <v>10910.0</v>
      </c>
      <c r="B1723" s="7" t="s">
        <v>98</v>
      </c>
      <c r="C1723" s="24" t="str">
        <f>VLOOKUP(revenue[customerID],customers[],2,FALSE)</f>
        <v>Wilman Kala</v>
      </c>
      <c r="D1723" s="24" t="str">
        <f>VLOOKUP(revenue[customerID],customers[],6,FALSE)</f>
        <v>Helsinki</v>
      </c>
      <c r="E1723" s="24" t="str">
        <f>VLOOKUP(revenue[customerID],customers[],9,FALSE)</f>
        <v>Finland</v>
      </c>
      <c r="F1723" s="24">
        <v>45348.0</v>
      </c>
      <c r="G1723" s="6">
        <v>49.0</v>
      </c>
      <c r="H1723" s="9" t="str">
        <f>VLOOKUP(revenue[productID],products[],2,FALSE)</f>
        <v>Maxilaku</v>
      </c>
      <c r="I1723" s="9" t="str">
        <f>VLOOKUP(revenue[productID],products[],12,FALSE)</f>
        <v>Confections</v>
      </c>
      <c r="J1723" s="9">
        <f>VLOOKUP(revenue[productID],products[],IF(YEAR(revenue[orderDate])=2022,8,IF(YEAR(revenue[orderDate])=2023,9,IF(YEAR(revenue[orderDate])=2024,10,NA))),FALSE)</f>
        <v>15.07459899</v>
      </c>
      <c r="K1723" s="9">
        <v>20.0</v>
      </c>
      <c r="L1723" s="25">
        <f>(revenue[orderPrice]-revenue[productCost])/revenue[productCost]</f>
        <v>0.3267351269</v>
      </c>
      <c r="M1723" s="10">
        <v>10.0</v>
      </c>
      <c r="N1723" s="25">
        <v>0.0</v>
      </c>
      <c r="O1723" s="9">
        <f>revenue[orderPrice]*revenue[orderQuantity]</f>
        <v>200</v>
      </c>
      <c r="P1723" s="9">
        <f>revenue[orderTotal]*(1-revenue[discountApllied])</f>
        <v>200</v>
      </c>
      <c r="Q1723" s="9">
        <f>revenue[revenue]-(revenue[productCost]*revenue[orderQuantity])</f>
        <v>49.25401014</v>
      </c>
      <c r="R1723" s="25">
        <f>IFERROR(revenue[profit]/revenue[revenue], 0)</f>
        <v>0.2462700507</v>
      </c>
      <c r="S1723" s="9">
        <f>revenue[productCost]*revenue[orderQuantity]</f>
        <v>150.7459899</v>
      </c>
    </row>
    <row r="1724" ht="15.75" customHeight="1">
      <c r="A1724" s="6">
        <v>10910.0</v>
      </c>
      <c r="B1724" s="7" t="s">
        <v>98</v>
      </c>
      <c r="C1724" s="24" t="str">
        <f>VLOOKUP(revenue[customerID],customers[],2,FALSE)</f>
        <v>Wilman Kala</v>
      </c>
      <c r="D1724" s="24" t="str">
        <f>VLOOKUP(revenue[customerID],customers[],6,FALSE)</f>
        <v>Helsinki</v>
      </c>
      <c r="E1724" s="24" t="str">
        <f>VLOOKUP(revenue[customerID],customers[],9,FALSE)</f>
        <v>Finland</v>
      </c>
      <c r="F1724" s="24">
        <v>45348.0</v>
      </c>
      <c r="G1724" s="6">
        <v>61.0</v>
      </c>
      <c r="H1724" s="9" t="str">
        <f>VLOOKUP(revenue[productID],products[],2,FALSE)</f>
        <v>Sirop d'érable</v>
      </c>
      <c r="I1724" s="9" t="str">
        <f>VLOOKUP(revenue[productID],products[],12,FALSE)</f>
        <v>Condiments</v>
      </c>
      <c r="J1724" s="9">
        <f>VLOOKUP(revenue[productID],products[],IF(YEAR(revenue[orderDate])=2022,8,IF(YEAR(revenue[orderDate])=2023,9,IF(YEAR(revenue[orderDate])=2024,10,NA))),FALSE)</f>
        <v>18.74487379</v>
      </c>
      <c r="K1724" s="9">
        <v>28.5</v>
      </c>
      <c r="L1724" s="25">
        <f>(revenue[orderPrice]-revenue[productCost])/revenue[productCost]</f>
        <v>0.5204156786</v>
      </c>
      <c r="M1724" s="10">
        <v>5.0</v>
      </c>
      <c r="N1724" s="25">
        <v>0.0</v>
      </c>
      <c r="O1724" s="9">
        <f>revenue[orderPrice]*revenue[orderQuantity]</f>
        <v>142.5</v>
      </c>
      <c r="P1724" s="9">
        <f>revenue[orderTotal]*(1-revenue[discountApllied])</f>
        <v>142.5</v>
      </c>
      <c r="Q1724" s="9">
        <f>revenue[revenue]-(revenue[productCost]*revenue[orderQuantity])</f>
        <v>48.77563106</v>
      </c>
      <c r="R1724" s="25">
        <f>IFERROR(revenue[profit]/revenue[revenue], 0)</f>
        <v>0.3422851303</v>
      </c>
      <c r="S1724" s="9">
        <f>revenue[productCost]*revenue[orderQuantity]</f>
        <v>93.72436894</v>
      </c>
    </row>
    <row r="1725" ht="15.75" customHeight="1">
      <c r="A1725" s="6">
        <v>10911.0</v>
      </c>
      <c r="B1725" s="7" t="s">
        <v>51</v>
      </c>
      <c r="C1725" s="24" t="str">
        <f>VLOOKUP(revenue[customerID],customers[],2,FALSE)</f>
        <v>Godos Cocina Típica</v>
      </c>
      <c r="D1725" s="24" t="str">
        <f>VLOOKUP(revenue[customerID],customers[],6,FALSE)</f>
        <v>Sevilla</v>
      </c>
      <c r="E1725" s="24" t="str">
        <f>VLOOKUP(revenue[customerID],customers[],9,FALSE)</f>
        <v>Spain</v>
      </c>
      <c r="F1725" s="24">
        <v>45348.0</v>
      </c>
      <c r="G1725" s="6">
        <v>1.0</v>
      </c>
      <c r="H1725" s="9" t="str">
        <f>VLOOKUP(revenue[productID],products[],2,FALSE)</f>
        <v>Chai</v>
      </c>
      <c r="I1725" s="9" t="str">
        <f>VLOOKUP(revenue[productID],products[],12,FALSE)</f>
        <v>Beverages</v>
      </c>
      <c r="J1725" s="9">
        <f>VLOOKUP(revenue[productID],products[],IF(YEAR(revenue[orderDate])=2022,8,IF(YEAR(revenue[orderDate])=2023,9,IF(YEAR(revenue[orderDate])=2024,10,NA))),FALSE)</f>
        <v>12.17757454</v>
      </c>
      <c r="K1725" s="9">
        <v>18.0</v>
      </c>
      <c r="L1725" s="25">
        <f>(revenue[orderPrice]-revenue[productCost])/revenue[productCost]</f>
        <v>0.4781268584</v>
      </c>
      <c r="M1725" s="10">
        <v>10.0</v>
      </c>
      <c r="N1725" s="25">
        <v>0.0</v>
      </c>
      <c r="O1725" s="9">
        <f>revenue[orderPrice]*revenue[orderQuantity]</f>
        <v>180</v>
      </c>
      <c r="P1725" s="9">
        <f>revenue[orderTotal]*(1-revenue[discountApllied])</f>
        <v>180</v>
      </c>
      <c r="Q1725" s="9">
        <f>revenue[revenue]-(revenue[productCost]*revenue[orderQuantity])</f>
        <v>58.22425458</v>
      </c>
      <c r="R1725" s="25">
        <f>IFERROR(revenue[profit]/revenue[revenue], 0)</f>
        <v>0.323468081</v>
      </c>
      <c r="S1725" s="9">
        <f>revenue[productCost]*revenue[orderQuantity]</f>
        <v>121.7757454</v>
      </c>
    </row>
    <row r="1726" ht="15.75" customHeight="1">
      <c r="A1726" s="6">
        <v>10911.0</v>
      </c>
      <c r="B1726" s="7" t="s">
        <v>51</v>
      </c>
      <c r="C1726" s="24" t="str">
        <f>VLOOKUP(revenue[customerID],customers[],2,FALSE)</f>
        <v>Godos Cocina Típica</v>
      </c>
      <c r="D1726" s="24" t="str">
        <f>VLOOKUP(revenue[customerID],customers[],6,FALSE)</f>
        <v>Sevilla</v>
      </c>
      <c r="E1726" s="24" t="str">
        <f>VLOOKUP(revenue[customerID],customers[],9,FALSE)</f>
        <v>Spain</v>
      </c>
      <c r="F1726" s="24">
        <v>45348.0</v>
      </c>
      <c r="G1726" s="6">
        <v>17.0</v>
      </c>
      <c r="H1726" s="9" t="str">
        <f>VLOOKUP(revenue[productID],products[],2,FALSE)</f>
        <v>Alice Mutton</v>
      </c>
      <c r="I1726" s="9" t="str">
        <f>VLOOKUP(revenue[productID],products[],12,FALSE)</f>
        <v>Meat/Poultry</v>
      </c>
      <c r="J1726" s="9">
        <f>VLOOKUP(revenue[productID],products[],IF(YEAR(revenue[orderDate])=2022,8,IF(YEAR(revenue[orderDate])=2023,9,IF(YEAR(revenue[orderDate])=2024,10,NA))),FALSE)</f>
        <v>28.51916263</v>
      </c>
      <c r="K1726" s="9">
        <v>39.0</v>
      </c>
      <c r="L1726" s="25">
        <f>(revenue[orderPrice]-revenue[productCost])/revenue[productCost]</f>
        <v>0.3675015816</v>
      </c>
      <c r="M1726" s="10">
        <v>12.0</v>
      </c>
      <c r="N1726" s="25">
        <v>0.0</v>
      </c>
      <c r="O1726" s="9">
        <f>revenue[orderPrice]*revenue[orderQuantity]</f>
        <v>468</v>
      </c>
      <c r="P1726" s="9">
        <f>revenue[orderTotal]*(1-revenue[discountApllied])</f>
        <v>468</v>
      </c>
      <c r="Q1726" s="9">
        <f>revenue[revenue]-(revenue[productCost]*revenue[orderQuantity])</f>
        <v>125.7700485</v>
      </c>
      <c r="R1726" s="25">
        <f>IFERROR(revenue[profit]/revenue[revenue], 0)</f>
        <v>0.2687394198</v>
      </c>
      <c r="S1726" s="9">
        <f>revenue[productCost]*revenue[orderQuantity]</f>
        <v>342.2299515</v>
      </c>
    </row>
    <row r="1727" ht="15.75" customHeight="1">
      <c r="A1727" s="6">
        <v>10911.0</v>
      </c>
      <c r="B1727" s="7" t="s">
        <v>51</v>
      </c>
      <c r="C1727" s="24" t="str">
        <f>VLOOKUP(revenue[customerID],customers[],2,FALSE)</f>
        <v>Godos Cocina Típica</v>
      </c>
      <c r="D1727" s="24" t="str">
        <f>VLOOKUP(revenue[customerID],customers[],6,FALSE)</f>
        <v>Sevilla</v>
      </c>
      <c r="E1727" s="24" t="str">
        <f>VLOOKUP(revenue[customerID],customers[],9,FALSE)</f>
        <v>Spain</v>
      </c>
      <c r="F1727" s="24">
        <v>45348.0</v>
      </c>
      <c r="G1727" s="6">
        <v>67.0</v>
      </c>
      <c r="H1727" s="9" t="str">
        <f>VLOOKUP(revenue[productID],products[],2,FALSE)</f>
        <v>Laughing Lumberjack Lager</v>
      </c>
      <c r="I1727" s="9" t="str">
        <f>VLOOKUP(revenue[productID],products[],12,FALSE)</f>
        <v>Beverages</v>
      </c>
      <c r="J1727" s="9">
        <f>VLOOKUP(revenue[productID],products[],IF(YEAR(revenue[orderDate])=2022,8,IF(YEAR(revenue[orderDate])=2023,9,IF(YEAR(revenue[orderDate])=2024,10,NA))),FALSE)</f>
        <v>9.443192754</v>
      </c>
      <c r="K1727" s="9">
        <v>14.0</v>
      </c>
      <c r="L1727" s="25">
        <f>(revenue[orderPrice]-revenue[productCost])/revenue[productCost]</f>
        <v>0.4825494263</v>
      </c>
      <c r="M1727" s="10">
        <v>15.0</v>
      </c>
      <c r="N1727" s="25">
        <v>0.0</v>
      </c>
      <c r="O1727" s="9">
        <f>revenue[orderPrice]*revenue[orderQuantity]</f>
        <v>210</v>
      </c>
      <c r="P1727" s="9">
        <f>revenue[orderTotal]*(1-revenue[discountApllied])</f>
        <v>210</v>
      </c>
      <c r="Q1727" s="9">
        <f>revenue[revenue]-(revenue[productCost]*revenue[orderQuantity])</f>
        <v>68.35210869</v>
      </c>
      <c r="R1727" s="25">
        <f>IFERROR(revenue[profit]/revenue[revenue], 0)</f>
        <v>0.3254862318</v>
      </c>
      <c r="S1727" s="9">
        <f>revenue[productCost]*revenue[orderQuantity]</f>
        <v>141.6478913</v>
      </c>
    </row>
    <row r="1728" ht="15.75" customHeight="1">
      <c r="A1728" s="6">
        <v>10912.0</v>
      </c>
      <c r="B1728" s="7" t="s">
        <v>49</v>
      </c>
      <c r="C1728" s="24" t="str">
        <f>VLOOKUP(revenue[customerID],customers[],2,FALSE)</f>
        <v>Hungry Owl All-Night Grocers</v>
      </c>
      <c r="D1728" s="24" t="str">
        <f>VLOOKUP(revenue[customerID],customers[],6,FALSE)</f>
        <v>Cork</v>
      </c>
      <c r="E1728" s="24" t="str">
        <f>VLOOKUP(revenue[customerID],customers[],9,FALSE)</f>
        <v>Ireland</v>
      </c>
      <c r="F1728" s="24">
        <v>45348.0</v>
      </c>
      <c r="G1728" s="6">
        <v>11.0</v>
      </c>
      <c r="H1728" s="9" t="str">
        <f>VLOOKUP(revenue[productID],products[],2,FALSE)</f>
        <v>Queso Cabrales</v>
      </c>
      <c r="I1728" s="9" t="str">
        <f>VLOOKUP(revenue[productID],products[],12,FALSE)</f>
        <v>Dairy Products</v>
      </c>
      <c r="J1728" s="9">
        <f>VLOOKUP(revenue[productID],products[],IF(YEAR(revenue[orderDate])=2022,8,IF(YEAR(revenue[orderDate])=2023,9,IF(YEAR(revenue[orderDate])=2024,10,NA))),FALSE)</f>
        <v>13.86836261</v>
      </c>
      <c r="K1728" s="9">
        <v>21.0</v>
      </c>
      <c r="L1728" s="25">
        <f>(revenue[orderPrice]-revenue[productCost])/revenue[productCost]</f>
        <v>0.51423788</v>
      </c>
      <c r="M1728" s="10">
        <v>40.0</v>
      </c>
      <c r="N1728" s="25">
        <v>0.25</v>
      </c>
      <c r="O1728" s="9">
        <f>revenue[orderPrice]*revenue[orderQuantity]</f>
        <v>840</v>
      </c>
      <c r="P1728" s="9">
        <f>revenue[orderTotal]*(1-revenue[discountApllied])</f>
        <v>630</v>
      </c>
      <c r="Q1728" s="9">
        <f>revenue[revenue]-(revenue[productCost]*revenue[orderQuantity])</f>
        <v>75.26549555</v>
      </c>
      <c r="R1728" s="25">
        <f>IFERROR(revenue[profit]/revenue[revenue], 0)</f>
        <v>0.1194690406</v>
      </c>
      <c r="S1728" s="9">
        <f>revenue[productCost]*revenue[orderQuantity]</f>
        <v>554.7345045</v>
      </c>
    </row>
    <row r="1729" ht="15.75" customHeight="1">
      <c r="A1729" s="6">
        <v>10912.0</v>
      </c>
      <c r="B1729" s="7" t="s">
        <v>49</v>
      </c>
      <c r="C1729" s="24" t="str">
        <f>VLOOKUP(revenue[customerID],customers[],2,FALSE)</f>
        <v>Hungry Owl All-Night Grocers</v>
      </c>
      <c r="D1729" s="24" t="str">
        <f>VLOOKUP(revenue[customerID],customers[],6,FALSE)</f>
        <v>Cork</v>
      </c>
      <c r="E1729" s="24" t="str">
        <f>VLOOKUP(revenue[customerID],customers[],9,FALSE)</f>
        <v>Ireland</v>
      </c>
      <c r="F1729" s="24">
        <v>45348.0</v>
      </c>
      <c r="G1729" s="6">
        <v>29.0</v>
      </c>
      <c r="H1729" s="9" t="str">
        <f>VLOOKUP(revenue[productID],products[],2,FALSE)</f>
        <v>Thüringer Rostbratwurst</v>
      </c>
      <c r="I1729" s="9" t="str">
        <f>VLOOKUP(revenue[productID],products[],12,FALSE)</f>
        <v>Meat/Poultry</v>
      </c>
      <c r="J1729" s="9">
        <f>VLOOKUP(revenue[productID],products[],IF(YEAR(revenue[orderDate])=2022,8,IF(YEAR(revenue[orderDate])=2023,9,IF(YEAR(revenue[orderDate])=2024,10,NA))),FALSE)</f>
        <v>80.14595973</v>
      </c>
      <c r="K1729" s="9">
        <v>123.79</v>
      </c>
      <c r="L1729" s="25">
        <f>(revenue[orderPrice]-revenue[productCost])/revenue[productCost]</f>
        <v>0.544556961</v>
      </c>
      <c r="M1729" s="10">
        <v>60.0</v>
      </c>
      <c r="N1729" s="25">
        <v>0.25</v>
      </c>
      <c r="O1729" s="9">
        <f>revenue[orderPrice]*revenue[orderQuantity]</f>
        <v>7427.4</v>
      </c>
      <c r="P1729" s="9">
        <f>revenue[orderTotal]*(1-revenue[discountApllied])</f>
        <v>5570.55</v>
      </c>
      <c r="Q1729" s="9">
        <f>revenue[revenue]-(revenue[productCost]*revenue[orderQuantity])</f>
        <v>761.7924159</v>
      </c>
      <c r="R1729" s="25">
        <f>IFERROR(revenue[profit]/revenue[revenue], 0)</f>
        <v>0.1367535371</v>
      </c>
      <c r="S1729" s="9">
        <f>revenue[productCost]*revenue[orderQuantity]</f>
        <v>4808.757584</v>
      </c>
    </row>
    <row r="1730" ht="15.75" customHeight="1">
      <c r="A1730" s="6">
        <v>10913.0</v>
      </c>
      <c r="B1730" s="7" t="s">
        <v>77</v>
      </c>
      <c r="C1730" s="24" t="str">
        <f>VLOOKUP(revenue[customerID],customers[],2,FALSE)</f>
        <v>Queen Cozinha</v>
      </c>
      <c r="D1730" s="24" t="str">
        <f>VLOOKUP(revenue[customerID],customers[],6,FALSE)</f>
        <v>Sao Paulo</v>
      </c>
      <c r="E1730" s="24" t="str">
        <f>VLOOKUP(revenue[customerID],customers[],9,FALSE)</f>
        <v>Brazil</v>
      </c>
      <c r="F1730" s="24">
        <v>45348.0</v>
      </c>
      <c r="G1730" s="6">
        <v>4.0</v>
      </c>
      <c r="H1730" s="9" t="str">
        <f>VLOOKUP(revenue[productID],products[],2,FALSE)</f>
        <v>Chef Anton's Cajun Seasoning</v>
      </c>
      <c r="I1730" s="9" t="str">
        <f>VLOOKUP(revenue[productID],products[],12,FALSE)</f>
        <v>Condiments</v>
      </c>
      <c r="J1730" s="9">
        <f>VLOOKUP(revenue[productID],products[],IF(YEAR(revenue[orderDate])=2022,8,IF(YEAR(revenue[orderDate])=2023,9,IF(YEAR(revenue[orderDate])=2024,10,NA))),FALSE)</f>
        <v>14.37280157</v>
      </c>
      <c r="K1730" s="9">
        <v>22.0</v>
      </c>
      <c r="L1730" s="25">
        <f>(revenue[orderPrice]-revenue[productCost])/revenue[productCost]</f>
        <v>0.5306688748</v>
      </c>
      <c r="M1730" s="10">
        <v>30.0</v>
      </c>
      <c r="N1730" s="25">
        <v>0.25</v>
      </c>
      <c r="O1730" s="9">
        <f>revenue[orderPrice]*revenue[orderQuantity]</f>
        <v>660</v>
      </c>
      <c r="P1730" s="9">
        <f>revenue[orderTotal]*(1-revenue[discountApllied])</f>
        <v>495</v>
      </c>
      <c r="Q1730" s="9">
        <f>revenue[revenue]-(revenue[productCost]*revenue[orderQuantity])</f>
        <v>63.81595305</v>
      </c>
      <c r="R1730" s="25">
        <f>IFERROR(revenue[profit]/revenue[revenue], 0)</f>
        <v>0.1289211173</v>
      </c>
      <c r="S1730" s="9">
        <f>revenue[productCost]*revenue[orderQuantity]</f>
        <v>431.184047</v>
      </c>
    </row>
    <row r="1731" ht="15.75" customHeight="1">
      <c r="A1731" s="6">
        <v>10913.0</v>
      </c>
      <c r="B1731" s="7" t="s">
        <v>77</v>
      </c>
      <c r="C1731" s="24" t="str">
        <f>VLOOKUP(revenue[customerID],customers[],2,FALSE)</f>
        <v>Queen Cozinha</v>
      </c>
      <c r="D1731" s="24" t="str">
        <f>VLOOKUP(revenue[customerID],customers[],6,FALSE)</f>
        <v>Sao Paulo</v>
      </c>
      <c r="E1731" s="24" t="str">
        <f>VLOOKUP(revenue[customerID],customers[],9,FALSE)</f>
        <v>Brazil</v>
      </c>
      <c r="F1731" s="24">
        <v>45348.0</v>
      </c>
      <c r="G1731" s="6">
        <v>33.0</v>
      </c>
      <c r="H1731" s="9" t="str">
        <f>VLOOKUP(revenue[productID],products[],2,FALSE)</f>
        <v>Geitost</v>
      </c>
      <c r="I1731" s="9" t="str">
        <f>VLOOKUP(revenue[productID],products[],12,FALSE)</f>
        <v>Dairy Products</v>
      </c>
      <c r="J1731" s="9">
        <f>VLOOKUP(revenue[productID],products[],IF(YEAR(revenue[orderDate])=2022,8,IF(YEAR(revenue[orderDate])=2023,9,IF(YEAR(revenue[orderDate])=2024,10,NA))),FALSE)</f>
        <v>1.670163437</v>
      </c>
      <c r="K1731" s="9">
        <v>2.5</v>
      </c>
      <c r="L1731" s="25">
        <f>(revenue[orderPrice]-revenue[productCost])/revenue[productCost]</f>
        <v>0.4968594957</v>
      </c>
      <c r="M1731" s="10">
        <v>40.0</v>
      </c>
      <c r="N1731" s="25">
        <v>0.25</v>
      </c>
      <c r="O1731" s="9">
        <f>revenue[orderPrice]*revenue[orderQuantity]</f>
        <v>100</v>
      </c>
      <c r="P1731" s="9">
        <f>revenue[orderTotal]*(1-revenue[discountApllied])</f>
        <v>75</v>
      </c>
      <c r="Q1731" s="9">
        <f>revenue[revenue]-(revenue[productCost]*revenue[orderQuantity])</f>
        <v>8.19346252</v>
      </c>
      <c r="R1731" s="25">
        <f>IFERROR(revenue[profit]/revenue[revenue], 0)</f>
        <v>0.1092461669</v>
      </c>
      <c r="S1731" s="9">
        <f>revenue[productCost]*revenue[orderQuantity]</f>
        <v>66.80653748</v>
      </c>
    </row>
    <row r="1732" ht="15.75" customHeight="1">
      <c r="A1732" s="6">
        <v>10913.0</v>
      </c>
      <c r="B1732" s="7" t="s">
        <v>77</v>
      </c>
      <c r="C1732" s="24" t="str">
        <f>VLOOKUP(revenue[customerID],customers[],2,FALSE)</f>
        <v>Queen Cozinha</v>
      </c>
      <c r="D1732" s="24" t="str">
        <f>VLOOKUP(revenue[customerID],customers[],6,FALSE)</f>
        <v>Sao Paulo</v>
      </c>
      <c r="E1732" s="24" t="str">
        <f>VLOOKUP(revenue[customerID],customers[],9,FALSE)</f>
        <v>Brazil</v>
      </c>
      <c r="F1732" s="24">
        <v>45348.0</v>
      </c>
      <c r="G1732" s="6">
        <v>58.0</v>
      </c>
      <c r="H1732" s="9" t="str">
        <f>VLOOKUP(revenue[productID],products[],2,FALSE)</f>
        <v>Escargots de Bourgogne</v>
      </c>
      <c r="I1732" s="9" t="str">
        <f>VLOOKUP(revenue[productID],products[],12,FALSE)</f>
        <v>Seafood</v>
      </c>
      <c r="J1732" s="9">
        <f>VLOOKUP(revenue[productID],products[],IF(YEAR(revenue[orderDate])=2022,8,IF(YEAR(revenue[orderDate])=2023,9,IF(YEAR(revenue[orderDate])=2024,10,NA))),FALSE)</f>
        <v>8.683102193</v>
      </c>
      <c r="K1732" s="9">
        <v>13.25</v>
      </c>
      <c r="L1732" s="25">
        <f>(revenue[orderPrice]-revenue[productCost])/revenue[productCost]</f>
        <v>0.5259523274</v>
      </c>
      <c r="M1732" s="10">
        <v>15.0</v>
      </c>
      <c r="N1732" s="25">
        <v>0.0</v>
      </c>
      <c r="O1732" s="9">
        <f>revenue[orderPrice]*revenue[orderQuantity]</f>
        <v>198.75</v>
      </c>
      <c r="P1732" s="9">
        <f>revenue[orderTotal]*(1-revenue[discountApllied])</f>
        <v>198.75</v>
      </c>
      <c r="Q1732" s="9">
        <f>revenue[revenue]-(revenue[productCost]*revenue[orderQuantity])</f>
        <v>68.50346711</v>
      </c>
      <c r="R1732" s="25">
        <f>IFERROR(revenue[profit]/revenue[revenue], 0)</f>
        <v>0.3446715326</v>
      </c>
      <c r="S1732" s="9">
        <f>revenue[productCost]*revenue[orderQuantity]</f>
        <v>130.2465329</v>
      </c>
    </row>
    <row r="1733" ht="15.75" customHeight="1">
      <c r="A1733" s="6">
        <v>10914.0</v>
      </c>
      <c r="B1733" s="7" t="s">
        <v>77</v>
      </c>
      <c r="C1733" s="24" t="str">
        <f>VLOOKUP(revenue[customerID],customers[],2,FALSE)</f>
        <v>Queen Cozinha</v>
      </c>
      <c r="D1733" s="24" t="str">
        <f>VLOOKUP(revenue[customerID],customers[],6,FALSE)</f>
        <v>Sao Paulo</v>
      </c>
      <c r="E1733" s="24" t="str">
        <f>VLOOKUP(revenue[customerID],customers[],9,FALSE)</f>
        <v>Brazil</v>
      </c>
      <c r="F1733" s="24">
        <v>45349.0</v>
      </c>
      <c r="G1733" s="6">
        <v>71.0</v>
      </c>
      <c r="H1733" s="9" t="str">
        <f>VLOOKUP(revenue[productID],products[],2,FALSE)</f>
        <v>Flotemysost</v>
      </c>
      <c r="I1733" s="9" t="str">
        <f>VLOOKUP(revenue[productID],products[],12,FALSE)</f>
        <v>Dairy Products</v>
      </c>
      <c r="J1733" s="9">
        <f>VLOOKUP(revenue[productID],products[],IF(YEAR(revenue[orderDate])=2022,8,IF(YEAR(revenue[orderDate])=2023,9,IF(YEAR(revenue[orderDate])=2024,10,NA))),FALSE)</f>
        <v>14.20977576</v>
      </c>
      <c r="K1733" s="9">
        <v>21.5</v>
      </c>
      <c r="L1733" s="25">
        <f>(revenue[orderPrice]-revenue[productCost])/revenue[productCost]</f>
        <v>0.5130428769</v>
      </c>
      <c r="M1733" s="10">
        <v>25.0</v>
      </c>
      <c r="N1733" s="25">
        <v>0.0</v>
      </c>
      <c r="O1733" s="9">
        <f>revenue[orderPrice]*revenue[orderQuantity]</f>
        <v>537.5</v>
      </c>
      <c r="P1733" s="9">
        <f>revenue[orderTotal]*(1-revenue[discountApllied])</f>
        <v>537.5</v>
      </c>
      <c r="Q1733" s="9">
        <f>revenue[revenue]-(revenue[productCost]*revenue[orderQuantity])</f>
        <v>182.2556059</v>
      </c>
      <c r="R1733" s="25">
        <f>IFERROR(revenue[profit]/revenue[revenue], 0)</f>
        <v>0.3390801971</v>
      </c>
      <c r="S1733" s="9">
        <f>revenue[productCost]*revenue[orderQuantity]</f>
        <v>355.2443941</v>
      </c>
    </row>
    <row r="1734" ht="15.75" customHeight="1">
      <c r="A1734" s="6">
        <v>10915.0</v>
      </c>
      <c r="B1734" s="7" t="s">
        <v>38</v>
      </c>
      <c r="C1734" s="24" t="str">
        <f>VLOOKUP(revenue[customerID],customers[],2,FALSE)</f>
        <v>Tortuga Restaurante</v>
      </c>
      <c r="D1734" s="24" t="str">
        <f>VLOOKUP(revenue[customerID],customers[],6,FALSE)</f>
        <v>México D.F.</v>
      </c>
      <c r="E1734" s="24" t="str">
        <f>VLOOKUP(revenue[customerID],customers[],9,FALSE)</f>
        <v>Mexico</v>
      </c>
      <c r="F1734" s="24">
        <v>45349.0</v>
      </c>
      <c r="G1734" s="6">
        <v>17.0</v>
      </c>
      <c r="H1734" s="9" t="str">
        <f>VLOOKUP(revenue[productID],products[],2,FALSE)</f>
        <v>Alice Mutton</v>
      </c>
      <c r="I1734" s="9" t="str">
        <f>VLOOKUP(revenue[productID],products[],12,FALSE)</f>
        <v>Meat/Poultry</v>
      </c>
      <c r="J1734" s="9">
        <f>VLOOKUP(revenue[productID],products[],IF(YEAR(revenue[orderDate])=2022,8,IF(YEAR(revenue[orderDate])=2023,9,IF(YEAR(revenue[orderDate])=2024,10,NA))),FALSE)</f>
        <v>28.51916263</v>
      </c>
      <c r="K1734" s="9">
        <v>39.0</v>
      </c>
      <c r="L1734" s="25">
        <f>(revenue[orderPrice]-revenue[productCost])/revenue[productCost]</f>
        <v>0.3675015816</v>
      </c>
      <c r="M1734" s="10">
        <v>10.0</v>
      </c>
      <c r="N1734" s="25">
        <v>0.0</v>
      </c>
      <c r="O1734" s="9">
        <f>revenue[orderPrice]*revenue[orderQuantity]</f>
        <v>390</v>
      </c>
      <c r="P1734" s="9">
        <f>revenue[orderTotal]*(1-revenue[discountApllied])</f>
        <v>390</v>
      </c>
      <c r="Q1734" s="9">
        <f>revenue[revenue]-(revenue[productCost]*revenue[orderQuantity])</f>
        <v>104.8083737</v>
      </c>
      <c r="R1734" s="25">
        <f>IFERROR(revenue[profit]/revenue[revenue], 0)</f>
        <v>0.2687394198</v>
      </c>
      <c r="S1734" s="9">
        <f>revenue[productCost]*revenue[orderQuantity]</f>
        <v>285.1916263</v>
      </c>
    </row>
    <row r="1735" ht="15.75" customHeight="1">
      <c r="A1735" s="6">
        <v>10915.0</v>
      </c>
      <c r="B1735" s="7" t="s">
        <v>38</v>
      </c>
      <c r="C1735" s="24" t="str">
        <f>VLOOKUP(revenue[customerID],customers[],2,FALSE)</f>
        <v>Tortuga Restaurante</v>
      </c>
      <c r="D1735" s="24" t="str">
        <f>VLOOKUP(revenue[customerID],customers[],6,FALSE)</f>
        <v>México D.F.</v>
      </c>
      <c r="E1735" s="24" t="str">
        <f>VLOOKUP(revenue[customerID],customers[],9,FALSE)</f>
        <v>Mexico</v>
      </c>
      <c r="F1735" s="24">
        <v>45349.0</v>
      </c>
      <c r="G1735" s="6">
        <v>33.0</v>
      </c>
      <c r="H1735" s="9" t="str">
        <f>VLOOKUP(revenue[productID],products[],2,FALSE)</f>
        <v>Geitost</v>
      </c>
      <c r="I1735" s="9" t="str">
        <f>VLOOKUP(revenue[productID],products[],12,FALSE)</f>
        <v>Dairy Products</v>
      </c>
      <c r="J1735" s="9">
        <f>VLOOKUP(revenue[productID],products[],IF(YEAR(revenue[orderDate])=2022,8,IF(YEAR(revenue[orderDate])=2023,9,IF(YEAR(revenue[orderDate])=2024,10,NA))),FALSE)</f>
        <v>1.670163437</v>
      </c>
      <c r="K1735" s="9">
        <v>2.5</v>
      </c>
      <c r="L1735" s="25">
        <f>(revenue[orderPrice]-revenue[productCost])/revenue[productCost]</f>
        <v>0.4968594957</v>
      </c>
      <c r="M1735" s="10">
        <v>30.0</v>
      </c>
      <c r="N1735" s="25">
        <v>0.0</v>
      </c>
      <c r="O1735" s="9">
        <f>revenue[orderPrice]*revenue[orderQuantity]</f>
        <v>75</v>
      </c>
      <c r="P1735" s="9">
        <f>revenue[orderTotal]*(1-revenue[discountApllied])</f>
        <v>75</v>
      </c>
      <c r="Q1735" s="9">
        <f>revenue[revenue]-(revenue[productCost]*revenue[orderQuantity])</f>
        <v>24.89509689</v>
      </c>
      <c r="R1735" s="25">
        <f>IFERROR(revenue[profit]/revenue[revenue], 0)</f>
        <v>0.3319346252</v>
      </c>
      <c r="S1735" s="9">
        <f>revenue[productCost]*revenue[orderQuantity]</f>
        <v>50.10490311</v>
      </c>
    </row>
    <row r="1736" ht="15.75" customHeight="1">
      <c r="A1736" s="6">
        <v>10915.0</v>
      </c>
      <c r="B1736" s="7" t="s">
        <v>38</v>
      </c>
      <c r="C1736" s="24" t="str">
        <f>VLOOKUP(revenue[customerID],customers[],2,FALSE)</f>
        <v>Tortuga Restaurante</v>
      </c>
      <c r="D1736" s="24" t="str">
        <f>VLOOKUP(revenue[customerID],customers[],6,FALSE)</f>
        <v>México D.F.</v>
      </c>
      <c r="E1736" s="24" t="str">
        <f>VLOOKUP(revenue[customerID],customers[],9,FALSE)</f>
        <v>Mexico</v>
      </c>
      <c r="F1736" s="24">
        <v>45349.0</v>
      </c>
      <c r="G1736" s="6">
        <v>54.0</v>
      </c>
      <c r="H1736" s="9" t="str">
        <f>VLOOKUP(revenue[productID],products[],2,FALSE)</f>
        <v>Tourtière</v>
      </c>
      <c r="I1736" s="9" t="str">
        <f>VLOOKUP(revenue[productID],products[],12,FALSE)</f>
        <v>Meat/Poultry</v>
      </c>
      <c r="J1736" s="9">
        <f>VLOOKUP(revenue[productID],products[],IF(YEAR(revenue[orderDate])=2022,8,IF(YEAR(revenue[orderDate])=2023,9,IF(YEAR(revenue[orderDate])=2024,10,NA))),FALSE)</f>
        <v>4.884716455</v>
      </c>
      <c r="K1736" s="9">
        <v>7.45</v>
      </c>
      <c r="L1736" s="25">
        <f>(revenue[orderPrice]-revenue[productCost])/revenue[productCost]</f>
        <v>0.5251652923</v>
      </c>
      <c r="M1736" s="10">
        <v>10.0</v>
      </c>
      <c r="N1736" s="25">
        <v>0.0</v>
      </c>
      <c r="O1736" s="9">
        <f>revenue[orderPrice]*revenue[orderQuantity]</f>
        <v>74.5</v>
      </c>
      <c r="P1736" s="9">
        <f>revenue[orderTotal]*(1-revenue[discountApllied])</f>
        <v>74.5</v>
      </c>
      <c r="Q1736" s="9">
        <f>revenue[revenue]-(revenue[productCost]*revenue[orderQuantity])</f>
        <v>25.65283545</v>
      </c>
      <c r="R1736" s="25">
        <f>IFERROR(revenue[profit]/revenue[revenue], 0)</f>
        <v>0.3443333618</v>
      </c>
      <c r="S1736" s="9">
        <f>revenue[productCost]*revenue[orderQuantity]</f>
        <v>48.84716455</v>
      </c>
    </row>
    <row r="1737" ht="15.75" customHeight="1">
      <c r="A1737" s="6">
        <v>10916.0</v>
      </c>
      <c r="B1737" s="7" t="s">
        <v>88</v>
      </c>
      <c r="C1737" s="24" t="str">
        <f>VLOOKUP(revenue[customerID],customers[],2,FALSE)</f>
        <v>Rancho grande</v>
      </c>
      <c r="D1737" s="24" t="str">
        <f>VLOOKUP(revenue[customerID],customers[],6,FALSE)</f>
        <v>Buenos Aires</v>
      </c>
      <c r="E1737" s="24" t="str">
        <f>VLOOKUP(revenue[customerID],customers[],9,FALSE)</f>
        <v>Argentina</v>
      </c>
      <c r="F1737" s="24">
        <v>45349.0</v>
      </c>
      <c r="G1737" s="6">
        <v>16.0</v>
      </c>
      <c r="H1737" s="9" t="str">
        <f>VLOOKUP(revenue[productID],products[],2,FALSE)</f>
        <v>Pavlova</v>
      </c>
      <c r="I1737" s="9" t="str">
        <f>VLOOKUP(revenue[productID],products[],12,FALSE)</f>
        <v>Confections</v>
      </c>
      <c r="J1737" s="9">
        <f>VLOOKUP(revenue[productID],products[],IF(YEAR(revenue[orderDate])=2022,8,IF(YEAR(revenue[orderDate])=2023,9,IF(YEAR(revenue[orderDate])=2024,10,NA))),FALSE)</f>
        <v>12.68283974</v>
      </c>
      <c r="K1737" s="9">
        <v>17.45</v>
      </c>
      <c r="L1737" s="25">
        <f>(revenue[orderPrice]-revenue[productCost])/revenue[productCost]</f>
        <v>0.3758748323</v>
      </c>
      <c r="M1737" s="10">
        <v>6.0</v>
      </c>
      <c r="N1737" s="25">
        <v>0.0</v>
      </c>
      <c r="O1737" s="9">
        <f>revenue[orderPrice]*revenue[orderQuantity]</f>
        <v>104.7</v>
      </c>
      <c r="P1737" s="9">
        <f>revenue[orderTotal]*(1-revenue[discountApllied])</f>
        <v>104.7</v>
      </c>
      <c r="Q1737" s="9">
        <f>revenue[revenue]-(revenue[productCost]*revenue[orderQuantity])</f>
        <v>28.60296156</v>
      </c>
      <c r="R1737" s="25">
        <f>IFERROR(revenue[profit]/revenue[revenue], 0)</f>
        <v>0.2731896997</v>
      </c>
      <c r="S1737" s="9">
        <f>revenue[productCost]*revenue[orderQuantity]</f>
        <v>76.09703844</v>
      </c>
    </row>
    <row r="1738" ht="15.75" customHeight="1">
      <c r="A1738" s="6">
        <v>10916.0</v>
      </c>
      <c r="B1738" s="7" t="s">
        <v>88</v>
      </c>
      <c r="C1738" s="24" t="str">
        <f>VLOOKUP(revenue[customerID],customers[],2,FALSE)</f>
        <v>Rancho grande</v>
      </c>
      <c r="D1738" s="24" t="str">
        <f>VLOOKUP(revenue[customerID],customers[],6,FALSE)</f>
        <v>Buenos Aires</v>
      </c>
      <c r="E1738" s="24" t="str">
        <f>VLOOKUP(revenue[customerID],customers[],9,FALSE)</f>
        <v>Argentina</v>
      </c>
      <c r="F1738" s="24">
        <v>45349.0</v>
      </c>
      <c r="G1738" s="6">
        <v>32.0</v>
      </c>
      <c r="H1738" s="9" t="str">
        <f>VLOOKUP(revenue[productID],products[],2,FALSE)</f>
        <v>Mascarpone Fabioli</v>
      </c>
      <c r="I1738" s="9" t="str">
        <f>VLOOKUP(revenue[productID],products[],12,FALSE)</f>
        <v>Dairy Products</v>
      </c>
      <c r="J1738" s="9">
        <f>VLOOKUP(revenue[productID],products[],IF(YEAR(revenue[orderDate])=2022,8,IF(YEAR(revenue[orderDate])=2023,9,IF(YEAR(revenue[orderDate])=2024,10,NA))),FALSE)</f>
        <v>21.42783354</v>
      </c>
      <c r="K1738" s="9">
        <v>32.0</v>
      </c>
      <c r="L1738" s="25">
        <f>(revenue[orderPrice]-revenue[productCost])/revenue[productCost]</f>
        <v>0.4933847575</v>
      </c>
      <c r="M1738" s="10">
        <v>6.0</v>
      </c>
      <c r="N1738" s="25">
        <v>0.0</v>
      </c>
      <c r="O1738" s="9">
        <f>revenue[orderPrice]*revenue[orderQuantity]</f>
        <v>192</v>
      </c>
      <c r="P1738" s="9">
        <f>revenue[orderTotal]*(1-revenue[discountApllied])</f>
        <v>192</v>
      </c>
      <c r="Q1738" s="9">
        <f>revenue[revenue]-(revenue[productCost]*revenue[orderQuantity])</f>
        <v>63.43299874</v>
      </c>
      <c r="R1738" s="25">
        <f>IFERROR(revenue[profit]/revenue[revenue], 0)</f>
        <v>0.3303802018</v>
      </c>
      <c r="S1738" s="9">
        <f>revenue[productCost]*revenue[orderQuantity]</f>
        <v>128.5670013</v>
      </c>
    </row>
    <row r="1739" ht="15.75" customHeight="1">
      <c r="A1739" s="6">
        <v>10916.0</v>
      </c>
      <c r="B1739" s="7" t="s">
        <v>88</v>
      </c>
      <c r="C1739" s="24" t="str">
        <f>VLOOKUP(revenue[customerID],customers[],2,FALSE)</f>
        <v>Rancho grande</v>
      </c>
      <c r="D1739" s="24" t="str">
        <f>VLOOKUP(revenue[customerID],customers[],6,FALSE)</f>
        <v>Buenos Aires</v>
      </c>
      <c r="E1739" s="24" t="str">
        <f>VLOOKUP(revenue[customerID],customers[],9,FALSE)</f>
        <v>Argentina</v>
      </c>
      <c r="F1739" s="24">
        <v>45349.0</v>
      </c>
      <c r="G1739" s="6">
        <v>57.0</v>
      </c>
      <c r="H1739" s="9" t="str">
        <f>VLOOKUP(revenue[productID],products[],2,FALSE)</f>
        <v>Ravioli Angelo</v>
      </c>
      <c r="I1739" s="9" t="str">
        <f>VLOOKUP(revenue[productID],products[],12,FALSE)</f>
        <v>Grains/Cereals</v>
      </c>
      <c r="J1739" s="9">
        <f>VLOOKUP(revenue[productID],products[],IF(YEAR(revenue[orderDate])=2022,8,IF(YEAR(revenue[orderDate])=2023,9,IF(YEAR(revenue[orderDate])=2024,10,NA))),FALSE)</f>
        <v>14.29534762</v>
      </c>
      <c r="K1739" s="9">
        <v>19.5</v>
      </c>
      <c r="L1739" s="25">
        <f>(revenue[orderPrice]-revenue[productCost])/revenue[productCost]</f>
        <v>0.3640801552</v>
      </c>
      <c r="M1739" s="10">
        <v>20.0</v>
      </c>
      <c r="N1739" s="25">
        <v>0.0</v>
      </c>
      <c r="O1739" s="9">
        <f>revenue[orderPrice]*revenue[orderQuantity]</f>
        <v>390</v>
      </c>
      <c r="P1739" s="9">
        <f>revenue[orderTotal]*(1-revenue[discountApllied])</f>
        <v>390</v>
      </c>
      <c r="Q1739" s="9">
        <f>revenue[revenue]-(revenue[productCost]*revenue[orderQuantity])</f>
        <v>104.0930476</v>
      </c>
      <c r="R1739" s="25">
        <f>IFERROR(revenue[profit]/revenue[revenue], 0)</f>
        <v>0.2669052503</v>
      </c>
      <c r="S1739" s="9">
        <f>revenue[productCost]*revenue[orderQuantity]</f>
        <v>285.9069524</v>
      </c>
    </row>
    <row r="1740" ht="15.75" customHeight="1">
      <c r="A1740" s="6">
        <v>10917.0</v>
      </c>
      <c r="B1740" s="7" t="s">
        <v>42</v>
      </c>
      <c r="C1740" s="24" t="str">
        <f>VLOOKUP(revenue[customerID],customers[],2,FALSE)</f>
        <v>Romero y tomillo</v>
      </c>
      <c r="D1740" s="24" t="str">
        <f>VLOOKUP(revenue[customerID],customers[],6,FALSE)</f>
        <v>Madrid</v>
      </c>
      <c r="E1740" s="24" t="str">
        <f>VLOOKUP(revenue[customerID],customers[],9,FALSE)</f>
        <v>Spain</v>
      </c>
      <c r="F1740" s="24">
        <v>45353.0</v>
      </c>
      <c r="G1740" s="6">
        <v>30.0</v>
      </c>
      <c r="H1740" s="9" t="str">
        <f>VLOOKUP(revenue[productID],products[],2,FALSE)</f>
        <v>Nord-Ost Matjeshering</v>
      </c>
      <c r="I1740" s="9" t="str">
        <f>VLOOKUP(revenue[productID],products[],12,FALSE)</f>
        <v>Seafood</v>
      </c>
      <c r="J1740" s="9">
        <f>VLOOKUP(revenue[productID],products[],IF(YEAR(revenue[orderDate])=2022,8,IF(YEAR(revenue[orderDate])=2023,9,IF(YEAR(revenue[orderDate])=2024,10,NA))),FALSE)</f>
        <v>17.0327851</v>
      </c>
      <c r="K1740" s="9">
        <v>25.89</v>
      </c>
      <c r="L1740" s="25">
        <f>(revenue[orderPrice]-revenue[productCost])/revenue[productCost]</f>
        <v>0.5200097842</v>
      </c>
      <c r="M1740" s="10">
        <v>1.0</v>
      </c>
      <c r="N1740" s="25">
        <v>0.0</v>
      </c>
      <c r="O1740" s="9">
        <f>revenue[orderPrice]*revenue[orderQuantity]</f>
        <v>25.89</v>
      </c>
      <c r="P1740" s="9">
        <f>revenue[orderTotal]*(1-revenue[discountApllied])</f>
        <v>25.89</v>
      </c>
      <c r="Q1740" s="9">
        <f>revenue[revenue]-(revenue[productCost]*revenue[orderQuantity])</f>
        <v>8.857214903</v>
      </c>
      <c r="R1740" s="25">
        <f>IFERROR(revenue[profit]/revenue[revenue], 0)</f>
        <v>0.342109498</v>
      </c>
      <c r="S1740" s="9">
        <f>revenue[productCost]*revenue[orderQuantity]</f>
        <v>17.0327851</v>
      </c>
    </row>
    <row r="1741" ht="15.75" customHeight="1">
      <c r="A1741" s="6">
        <v>10917.0</v>
      </c>
      <c r="B1741" s="7" t="s">
        <v>42</v>
      </c>
      <c r="C1741" s="24" t="str">
        <f>VLOOKUP(revenue[customerID],customers[],2,FALSE)</f>
        <v>Romero y tomillo</v>
      </c>
      <c r="D1741" s="24" t="str">
        <f>VLOOKUP(revenue[customerID],customers[],6,FALSE)</f>
        <v>Madrid</v>
      </c>
      <c r="E1741" s="24" t="str">
        <f>VLOOKUP(revenue[customerID],customers[],9,FALSE)</f>
        <v>Spain</v>
      </c>
      <c r="F1741" s="24">
        <v>45353.0</v>
      </c>
      <c r="G1741" s="6">
        <v>60.0</v>
      </c>
      <c r="H1741" s="9" t="str">
        <f>VLOOKUP(revenue[productID],products[],2,FALSE)</f>
        <v>Camembert Pierrot</v>
      </c>
      <c r="I1741" s="9" t="str">
        <f>VLOOKUP(revenue[productID],products[],12,FALSE)</f>
        <v>Dairy Products</v>
      </c>
      <c r="J1741" s="9">
        <f>VLOOKUP(revenue[productID],products[],IF(YEAR(revenue[orderDate])=2022,8,IF(YEAR(revenue[orderDate])=2023,9,IF(YEAR(revenue[orderDate])=2024,10,NA))),FALSE)</f>
        <v>22.49091154</v>
      </c>
      <c r="K1741" s="9">
        <v>34.0</v>
      </c>
      <c r="L1741" s="25">
        <f>(revenue[orderPrice]-revenue[productCost])/revenue[productCost]</f>
        <v>0.5117217431</v>
      </c>
      <c r="M1741" s="10">
        <v>10.0</v>
      </c>
      <c r="N1741" s="25">
        <v>0.0</v>
      </c>
      <c r="O1741" s="9">
        <f>revenue[orderPrice]*revenue[orderQuantity]</f>
        <v>340</v>
      </c>
      <c r="P1741" s="9">
        <f>revenue[orderTotal]*(1-revenue[discountApllied])</f>
        <v>340</v>
      </c>
      <c r="Q1741" s="9">
        <f>revenue[revenue]-(revenue[productCost]*revenue[orderQuantity])</f>
        <v>115.0908846</v>
      </c>
      <c r="R1741" s="25">
        <f>IFERROR(revenue[profit]/revenue[revenue], 0)</f>
        <v>0.3385026017</v>
      </c>
      <c r="S1741" s="9">
        <f>revenue[productCost]*revenue[orderQuantity]</f>
        <v>224.9091154</v>
      </c>
    </row>
    <row r="1742" ht="15.75" customHeight="1">
      <c r="A1742" s="6">
        <v>10918.0</v>
      </c>
      <c r="B1742" s="7" t="s">
        <v>81</v>
      </c>
      <c r="C1742" s="24" t="str">
        <f>VLOOKUP(revenue[customerID],customers[],2,FALSE)</f>
        <v>Bottom-Dollar Markets</v>
      </c>
      <c r="D1742" s="24" t="str">
        <f>VLOOKUP(revenue[customerID],customers[],6,FALSE)</f>
        <v>Tsawassen</v>
      </c>
      <c r="E1742" s="24" t="str">
        <f>VLOOKUP(revenue[customerID],customers[],9,FALSE)</f>
        <v>Canada</v>
      </c>
      <c r="F1742" s="24">
        <v>45353.0</v>
      </c>
      <c r="G1742" s="6">
        <v>1.0</v>
      </c>
      <c r="H1742" s="9" t="str">
        <f>VLOOKUP(revenue[productID],products[],2,FALSE)</f>
        <v>Chai</v>
      </c>
      <c r="I1742" s="9" t="str">
        <f>VLOOKUP(revenue[productID],products[],12,FALSE)</f>
        <v>Beverages</v>
      </c>
      <c r="J1742" s="9">
        <f>VLOOKUP(revenue[productID],products[],IF(YEAR(revenue[orderDate])=2022,8,IF(YEAR(revenue[orderDate])=2023,9,IF(YEAR(revenue[orderDate])=2024,10,NA))),FALSE)</f>
        <v>12.17757454</v>
      </c>
      <c r="K1742" s="9">
        <v>18.0</v>
      </c>
      <c r="L1742" s="25">
        <f>(revenue[orderPrice]-revenue[productCost])/revenue[productCost]</f>
        <v>0.4781268584</v>
      </c>
      <c r="M1742" s="10">
        <v>60.0</v>
      </c>
      <c r="N1742" s="25">
        <v>0.25</v>
      </c>
      <c r="O1742" s="9">
        <f>revenue[orderPrice]*revenue[orderQuantity]</f>
        <v>1080</v>
      </c>
      <c r="P1742" s="9">
        <f>revenue[orderTotal]*(1-revenue[discountApllied])</f>
        <v>810</v>
      </c>
      <c r="Q1742" s="9">
        <f>revenue[revenue]-(revenue[productCost]*revenue[orderQuantity])</f>
        <v>79.34552749</v>
      </c>
      <c r="R1742" s="25">
        <f>IFERROR(revenue[profit]/revenue[revenue], 0)</f>
        <v>0.09795744134</v>
      </c>
      <c r="S1742" s="9">
        <f>revenue[productCost]*revenue[orderQuantity]</f>
        <v>730.6544725</v>
      </c>
    </row>
    <row r="1743" ht="15.75" customHeight="1">
      <c r="A1743" s="6">
        <v>10918.0</v>
      </c>
      <c r="B1743" s="7" t="s">
        <v>81</v>
      </c>
      <c r="C1743" s="24" t="str">
        <f>VLOOKUP(revenue[customerID],customers[],2,FALSE)</f>
        <v>Bottom-Dollar Markets</v>
      </c>
      <c r="D1743" s="24" t="str">
        <f>VLOOKUP(revenue[customerID],customers[],6,FALSE)</f>
        <v>Tsawassen</v>
      </c>
      <c r="E1743" s="24" t="str">
        <f>VLOOKUP(revenue[customerID],customers[],9,FALSE)</f>
        <v>Canada</v>
      </c>
      <c r="F1743" s="24">
        <v>45353.0</v>
      </c>
      <c r="G1743" s="6">
        <v>60.0</v>
      </c>
      <c r="H1743" s="9" t="str">
        <f>VLOOKUP(revenue[productID],products[],2,FALSE)</f>
        <v>Camembert Pierrot</v>
      </c>
      <c r="I1743" s="9" t="str">
        <f>VLOOKUP(revenue[productID],products[],12,FALSE)</f>
        <v>Dairy Products</v>
      </c>
      <c r="J1743" s="9">
        <f>VLOOKUP(revenue[productID],products[],IF(YEAR(revenue[orderDate])=2022,8,IF(YEAR(revenue[orderDate])=2023,9,IF(YEAR(revenue[orderDate])=2024,10,NA))),FALSE)</f>
        <v>22.49091154</v>
      </c>
      <c r="K1743" s="9">
        <v>34.0</v>
      </c>
      <c r="L1743" s="25">
        <f>(revenue[orderPrice]-revenue[productCost])/revenue[productCost]</f>
        <v>0.5117217431</v>
      </c>
      <c r="M1743" s="10">
        <v>25.0</v>
      </c>
      <c r="N1743" s="25">
        <v>0.25</v>
      </c>
      <c r="O1743" s="9">
        <f>revenue[orderPrice]*revenue[orderQuantity]</f>
        <v>850</v>
      </c>
      <c r="P1743" s="9">
        <f>revenue[orderTotal]*(1-revenue[discountApllied])</f>
        <v>637.5</v>
      </c>
      <c r="Q1743" s="9">
        <f>revenue[revenue]-(revenue[productCost]*revenue[orderQuantity])</f>
        <v>75.22721145</v>
      </c>
      <c r="R1743" s="25">
        <f>IFERROR(revenue[profit]/revenue[revenue], 0)</f>
        <v>0.1180034689</v>
      </c>
      <c r="S1743" s="9">
        <f>revenue[productCost]*revenue[orderQuantity]</f>
        <v>562.2727885</v>
      </c>
    </row>
    <row r="1744" ht="15.75" customHeight="1">
      <c r="A1744" s="6">
        <v>10919.0</v>
      </c>
      <c r="B1744" s="7" t="s">
        <v>82</v>
      </c>
      <c r="C1744" s="24" t="str">
        <f>VLOOKUP(revenue[customerID],customers[],2,FALSE)</f>
        <v>LINO-Delicateses</v>
      </c>
      <c r="D1744" s="24" t="str">
        <f>VLOOKUP(revenue[customerID],customers[],6,FALSE)</f>
        <v>I. de Margarita</v>
      </c>
      <c r="E1744" s="24" t="str">
        <f>VLOOKUP(revenue[customerID],customers[],9,FALSE)</f>
        <v>Venezuela</v>
      </c>
      <c r="F1744" s="24">
        <v>45353.0</v>
      </c>
      <c r="G1744" s="6">
        <v>16.0</v>
      </c>
      <c r="H1744" s="9" t="str">
        <f>VLOOKUP(revenue[productID],products[],2,FALSE)</f>
        <v>Pavlova</v>
      </c>
      <c r="I1744" s="9" t="str">
        <f>VLOOKUP(revenue[productID],products[],12,FALSE)</f>
        <v>Confections</v>
      </c>
      <c r="J1744" s="9">
        <f>VLOOKUP(revenue[productID],products[],IF(YEAR(revenue[orderDate])=2022,8,IF(YEAR(revenue[orderDate])=2023,9,IF(YEAR(revenue[orderDate])=2024,10,NA))),FALSE)</f>
        <v>12.68283974</v>
      </c>
      <c r="K1744" s="9">
        <v>17.45</v>
      </c>
      <c r="L1744" s="25">
        <f>(revenue[orderPrice]-revenue[productCost])/revenue[productCost]</f>
        <v>0.3758748323</v>
      </c>
      <c r="M1744" s="10">
        <v>24.0</v>
      </c>
      <c r="N1744" s="25">
        <v>0.0</v>
      </c>
      <c r="O1744" s="9">
        <f>revenue[orderPrice]*revenue[orderQuantity]</f>
        <v>418.8</v>
      </c>
      <c r="P1744" s="9">
        <f>revenue[orderTotal]*(1-revenue[discountApllied])</f>
        <v>418.8</v>
      </c>
      <c r="Q1744" s="9">
        <f>revenue[revenue]-(revenue[productCost]*revenue[orderQuantity])</f>
        <v>114.4118462</v>
      </c>
      <c r="R1744" s="25">
        <f>IFERROR(revenue[profit]/revenue[revenue], 0)</f>
        <v>0.2731896997</v>
      </c>
      <c r="S1744" s="9">
        <f>revenue[productCost]*revenue[orderQuantity]</f>
        <v>304.3881538</v>
      </c>
    </row>
    <row r="1745" ht="15.75" customHeight="1">
      <c r="A1745" s="6">
        <v>10919.0</v>
      </c>
      <c r="B1745" s="7" t="s">
        <v>82</v>
      </c>
      <c r="C1745" s="24" t="str">
        <f>VLOOKUP(revenue[customerID],customers[],2,FALSE)</f>
        <v>LINO-Delicateses</v>
      </c>
      <c r="D1745" s="24" t="str">
        <f>VLOOKUP(revenue[customerID],customers[],6,FALSE)</f>
        <v>I. de Margarita</v>
      </c>
      <c r="E1745" s="24" t="str">
        <f>VLOOKUP(revenue[customerID],customers[],9,FALSE)</f>
        <v>Venezuela</v>
      </c>
      <c r="F1745" s="24">
        <v>45353.0</v>
      </c>
      <c r="G1745" s="6">
        <v>25.0</v>
      </c>
      <c r="H1745" s="9" t="str">
        <f>VLOOKUP(revenue[productID],products[],2,FALSE)</f>
        <v>HM Köstliche Kaiserschmarrn Knödelchen</v>
      </c>
      <c r="I1745" s="9" t="str">
        <f>VLOOKUP(revenue[productID],products[],12,FALSE)</f>
        <v>Confections</v>
      </c>
      <c r="J1745" s="9">
        <f>VLOOKUP(revenue[productID],products[],IF(YEAR(revenue[orderDate])=2022,8,IF(YEAR(revenue[orderDate])=2023,9,IF(YEAR(revenue[orderDate])=2024,10,NA))),FALSE)</f>
        <v>8.782270815</v>
      </c>
      <c r="K1745" s="9">
        <v>14.0</v>
      </c>
      <c r="L1745" s="25">
        <f>(revenue[orderPrice]-revenue[productCost])/revenue[productCost]</f>
        <v>0.5941207342</v>
      </c>
      <c r="M1745" s="10">
        <v>24.0</v>
      </c>
      <c r="N1745" s="25">
        <v>0.0</v>
      </c>
      <c r="O1745" s="9">
        <f>revenue[orderPrice]*revenue[orderQuantity]</f>
        <v>336</v>
      </c>
      <c r="P1745" s="9">
        <f>revenue[orderTotal]*(1-revenue[discountApllied])</f>
        <v>336</v>
      </c>
      <c r="Q1745" s="9">
        <f>revenue[revenue]-(revenue[productCost]*revenue[orderQuantity])</f>
        <v>125.2255004</v>
      </c>
      <c r="R1745" s="25">
        <f>IFERROR(revenue[profit]/revenue[revenue], 0)</f>
        <v>0.3726949418</v>
      </c>
      <c r="S1745" s="9">
        <f>revenue[productCost]*revenue[orderQuantity]</f>
        <v>210.7744996</v>
      </c>
    </row>
    <row r="1746" ht="15.75" customHeight="1">
      <c r="A1746" s="6">
        <v>10919.0</v>
      </c>
      <c r="B1746" s="7" t="s">
        <v>82</v>
      </c>
      <c r="C1746" s="24" t="str">
        <f>VLOOKUP(revenue[customerID],customers[],2,FALSE)</f>
        <v>LINO-Delicateses</v>
      </c>
      <c r="D1746" s="24" t="str">
        <f>VLOOKUP(revenue[customerID],customers[],6,FALSE)</f>
        <v>I. de Margarita</v>
      </c>
      <c r="E1746" s="24" t="str">
        <f>VLOOKUP(revenue[customerID],customers[],9,FALSE)</f>
        <v>Venezuela</v>
      </c>
      <c r="F1746" s="24">
        <v>45353.0</v>
      </c>
      <c r="G1746" s="6">
        <v>40.0</v>
      </c>
      <c r="H1746" s="9" t="str">
        <f>VLOOKUP(revenue[productID],products[],2,FALSE)</f>
        <v>Boston Crab Meat</v>
      </c>
      <c r="I1746" s="9" t="str">
        <f>VLOOKUP(revenue[productID],products[],12,FALSE)</f>
        <v>Seafood</v>
      </c>
      <c r="J1746" s="9">
        <f>VLOOKUP(revenue[productID],products[],IF(YEAR(revenue[orderDate])=2022,8,IF(YEAR(revenue[orderDate])=2023,9,IF(YEAR(revenue[orderDate])=2024,10,NA))),FALSE)</f>
        <v>12.44307</v>
      </c>
      <c r="K1746" s="9">
        <v>18.4</v>
      </c>
      <c r="L1746" s="25">
        <f>(revenue[orderPrice]-revenue[productCost])/revenue[productCost]</f>
        <v>0.4787347499</v>
      </c>
      <c r="M1746" s="10">
        <v>20.0</v>
      </c>
      <c r="N1746" s="25">
        <v>0.0</v>
      </c>
      <c r="O1746" s="9">
        <f>revenue[orderPrice]*revenue[orderQuantity]</f>
        <v>368</v>
      </c>
      <c r="P1746" s="9">
        <f>revenue[orderTotal]*(1-revenue[discountApllied])</f>
        <v>368</v>
      </c>
      <c r="Q1746" s="9">
        <f>revenue[revenue]-(revenue[productCost]*revenue[orderQuantity])</f>
        <v>119.1386001</v>
      </c>
      <c r="R1746" s="25">
        <f>IFERROR(revenue[profit]/revenue[revenue], 0)</f>
        <v>0.3237461958</v>
      </c>
      <c r="S1746" s="9">
        <f>revenue[productCost]*revenue[orderQuantity]</f>
        <v>248.8613999</v>
      </c>
    </row>
    <row r="1747" ht="15.75" customHeight="1">
      <c r="A1747" s="6">
        <v>10920.0</v>
      </c>
      <c r="B1747" s="7" t="s">
        <v>70</v>
      </c>
      <c r="C1747" s="24" t="str">
        <f>VLOOKUP(revenue[customerID],customers[],2,FALSE)</f>
        <v>Around the Horn</v>
      </c>
      <c r="D1747" s="24" t="str">
        <f>VLOOKUP(revenue[customerID],customers[],6,FALSE)</f>
        <v>London</v>
      </c>
      <c r="E1747" s="24" t="str">
        <f>VLOOKUP(revenue[customerID],customers[],9,FALSE)</f>
        <v>UK</v>
      </c>
      <c r="F1747" s="24">
        <v>45354.0</v>
      </c>
      <c r="G1747" s="6">
        <v>50.0</v>
      </c>
      <c r="H1747" s="9" t="str">
        <f>VLOOKUP(revenue[productID],products[],2,FALSE)</f>
        <v>Valkoinen suklaa</v>
      </c>
      <c r="I1747" s="9" t="str">
        <f>VLOOKUP(revenue[productID],products[],12,FALSE)</f>
        <v>Confections</v>
      </c>
      <c r="J1747" s="9">
        <f>VLOOKUP(revenue[productID],products[],IF(YEAR(revenue[orderDate])=2022,8,IF(YEAR(revenue[orderDate])=2023,9,IF(YEAR(revenue[orderDate])=2024,10,NA))),FALSE)</f>
        <v>12.64292203</v>
      </c>
      <c r="K1747" s="9">
        <v>16.25</v>
      </c>
      <c r="L1747" s="25">
        <f>(revenue[orderPrice]-revenue[productCost])/revenue[productCost]</f>
        <v>0.2853041375</v>
      </c>
      <c r="M1747" s="10">
        <v>24.0</v>
      </c>
      <c r="N1747" s="25">
        <v>0.0</v>
      </c>
      <c r="O1747" s="9">
        <f>revenue[orderPrice]*revenue[orderQuantity]</f>
        <v>390</v>
      </c>
      <c r="P1747" s="9">
        <f>revenue[orderTotal]*(1-revenue[discountApllied])</f>
        <v>390</v>
      </c>
      <c r="Q1747" s="9">
        <f>revenue[revenue]-(revenue[productCost]*revenue[orderQuantity])</f>
        <v>86.5698712</v>
      </c>
      <c r="R1747" s="25">
        <f>IFERROR(revenue[profit]/revenue[revenue], 0)</f>
        <v>0.2219740287</v>
      </c>
      <c r="S1747" s="9">
        <f>revenue[productCost]*revenue[orderQuantity]</f>
        <v>303.4301288</v>
      </c>
    </row>
    <row r="1748" ht="15.75" customHeight="1">
      <c r="A1748" s="6">
        <v>10921.0</v>
      </c>
      <c r="B1748" s="7" t="s">
        <v>76</v>
      </c>
      <c r="C1748" s="24" t="str">
        <f>VLOOKUP(revenue[customerID],customers[],2,FALSE)</f>
        <v>Vaffeljernet</v>
      </c>
      <c r="D1748" s="24" t="str">
        <f>VLOOKUP(revenue[customerID],customers[],6,FALSE)</f>
        <v>Århus</v>
      </c>
      <c r="E1748" s="24" t="str">
        <f>VLOOKUP(revenue[customerID],customers[],9,FALSE)</f>
        <v>Denmark</v>
      </c>
      <c r="F1748" s="24">
        <v>45354.0</v>
      </c>
      <c r="G1748" s="6">
        <v>35.0</v>
      </c>
      <c r="H1748" s="9" t="str">
        <f>VLOOKUP(revenue[productID],products[],2,FALSE)</f>
        <v>Cold Brew Nitro</v>
      </c>
      <c r="I1748" s="9" t="str">
        <f>VLOOKUP(revenue[productID],products[],12,FALSE)</f>
        <v>Beverages</v>
      </c>
      <c r="J1748" s="9">
        <f>VLOOKUP(revenue[productID],products[],IF(YEAR(revenue[orderDate])=2022,8,IF(YEAR(revenue[orderDate])=2023,9,IF(YEAR(revenue[orderDate])=2024,10,NA))),FALSE)</f>
        <v>12.9261692</v>
      </c>
      <c r="K1748" s="9">
        <v>18.0</v>
      </c>
      <c r="L1748" s="25">
        <f>(revenue[orderPrice]-revenue[productCost])/revenue[productCost]</f>
        <v>0.3925239355</v>
      </c>
      <c r="M1748" s="10">
        <v>10.0</v>
      </c>
      <c r="N1748" s="25">
        <v>0.0</v>
      </c>
      <c r="O1748" s="9">
        <f>revenue[orderPrice]*revenue[orderQuantity]</f>
        <v>180</v>
      </c>
      <c r="P1748" s="9">
        <f>revenue[orderTotal]*(1-revenue[discountApllied])</f>
        <v>180</v>
      </c>
      <c r="Q1748" s="9">
        <f>revenue[revenue]-(revenue[productCost]*revenue[orderQuantity])</f>
        <v>50.73830804</v>
      </c>
      <c r="R1748" s="25">
        <f>IFERROR(revenue[profit]/revenue[revenue], 0)</f>
        <v>0.2818794891</v>
      </c>
      <c r="S1748" s="9">
        <f>revenue[productCost]*revenue[orderQuantity]</f>
        <v>129.261692</v>
      </c>
    </row>
    <row r="1749" ht="15.75" customHeight="1">
      <c r="A1749" s="6">
        <v>10921.0</v>
      </c>
      <c r="B1749" s="7" t="s">
        <v>76</v>
      </c>
      <c r="C1749" s="24" t="str">
        <f>VLOOKUP(revenue[customerID],customers[],2,FALSE)</f>
        <v>Vaffeljernet</v>
      </c>
      <c r="D1749" s="24" t="str">
        <f>VLOOKUP(revenue[customerID],customers[],6,FALSE)</f>
        <v>Århus</v>
      </c>
      <c r="E1749" s="24" t="str">
        <f>VLOOKUP(revenue[customerID],customers[],9,FALSE)</f>
        <v>Denmark</v>
      </c>
      <c r="F1749" s="24">
        <v>45354.0</v>
      </c>
      <c r="G1749" s="6">
        <v>63.0</v>
      </c>
      <c r="H1749" s="9" t="str">
        <f>VLOOKUP(revenue[productID],products[],2,FALSE)</f>
        <v>Vegie-spread</v>
      </c>
      <c r="I1749" s="9" t="str">
        <f>VLOOKUP(revenue[productID],products[],12,FALSE)</f>
        <v>Condiments</v>
      </c>
      <c r="J1749" s="9">
        <f>VLOOKUP(revenue[productID],products[],IF(YEAR(revenue[orderDate])=2022,8,IF(YEAR(revenue[orderDate])=2023,9,IF(YEAR(revenue[orderDate])=2024,10,NA))),FALSE)</f>
        <v>32.59198577</v>
      </c>
      <c r="K1749" s="9">
        <v>43.9</v>
      </c>
      <c r="L1749" s="25">
        <f>(revenue[orderPrice]-revenue[productCost])/revenue[productCost]</f>
        <v>0.3469568963</v>
      </c>
      <c r="M1749" s="10">
        <v>40.0</v>
      </c>
      <c r="N1749" s="25">
        <v>0.0</v>
      </c>
      <c r="O1749" s="9">
        <f>revenue[orderPrice]*revenue[orderQuantity]</f>
        <v>1756</v>
      </c>
      <c r="P1749" s="9">
        <f>revenue[orderTotal]*(1-revenue[discountApllied])</f>
        <v>1756</v>
      </c>
      <c r="Q1749" s="9">
        <f>revenue[revenue]-(revenue[productCost]*revenue[orderQuantity])</f>
        <v>452.3205691</v>
      </c>
      <c r="R1749" s="25">
        <f>IFERROR(revenue[profit]/revenue[revenue], 0)</f>
        <v>0.2575857455</v>
      </c>
      <c r="S1749" s="9">
        <f>revenue[productCost]*revenue[orderQuantity]</f>
        <v>1303.679431</v>
      </c>
    </row>
    <row r="1750" ht="15.75" customHeight="1">
      <c r="A1750" s="6">
        <v>10922.0</v>
      </c>
      <c r="B1750" s="7" t="s">
        <v>16</v>
      </c>
      <c r="C1750" s="24" t="str">
        <f>VLOOKUP(revenue[customerID],customers[],2,FALSE)</f>
        <v>Hanari Carnes</v>
      </c>
      <c r="D1750" s="24" t="str">
        <f>VLOOKUP(revenue[customerID],customers[],6,FALSE)</f>
        <v>Rio de Janeiro</v>
      </c>
      <c r="E1750" s="24" t="str">
        <f>VLOOKUP(revenue[customerID],customers[],9,FALSE)</f>
        <v>Brazil</v>
      </c>
      <c r="F1750" s="24">
        <v>45354.0</v>
      </c>
      <c r="G1750" s="6">
        <v>17.0</v>
      </c>
      <c r="H1750" s="9" t="str">
        <f>VLOOKUP(revenue[productID],products[],2,FALSE)</f>
        <v>Alice Mutton</v>
      </c>
      <c r="I1750" s="9" t="str">
        <f>VLOOKUP(revenue[productID],products[],12,FALSE)</f>
        <v>Meat/Poultry</v>
      </c>
      <c r="J1750" s="9">
        <f>VLOOKUP(revenue[productID],products[],IF(YEAR(revenue[orderDate])=2022,8,IF(YEAR(revenue[orderDate])=2023,9,IF(YEAR(revenue[orderDate])=2024,10,NA))),FALSE)</f>
        <v>28.51916263</v>
      </c>
      <c r="K1750" s="9">
        <v>39.0</v>
      </c>
      <c r="L1750" s="25">
        <f>(revenue[orderPrice]-revenue[productCost])/revenue[productCost]</f>
        <v>0.3675015816</v>
      </c>
      <c r="M1750" s="10">
        <v>15.0</v>
      </c>
      <c r="N1750" s="25">
        <v>0.0</v>
      </c>
      <c r="O1750" s="9">
        <f>revenue[orderPrice]*revenue[orderQuantity]</f>
        <v>585</v>
      </c>
      <c r="P1750" s="9">
        <f>revenue[orderTotal]*(1-revenue[discountApllied])</f>
        <v>585</v>
      </c>
      <c r="Q1750" s="9">
        <f>revenue[revenue]-(revenue[productCost]*revenue[orderQuantity])</f>
        <v>157.2125606</v>
      </c>
      <c r="R1750" s="25">
        <f>IFERROR(revenue[profit]/revenue[revenue], 0)</f>
        <v>0.2687394198</v>
      </c>
      <c r="S1750" s="9">
        <f>revenue[productCost]*revenue[orderQuantity]</f>
        <v>427.7874394</v>
      </c>
    </row>
    <row r="1751" ht="15.75" customHeight="1">
      <c r="A1751" s="6">
        <v>10922.0</v>
      </c>
      <c r="B1751" s="7" t="s">
        <v>16</v>
      </c>
      <c r="C1751" s="24" t="str">
        <f>VLOOKUP(revenue[customerID],customers[],2,FALSE)</f>
        <v>Hanari Carnes</v>
      </c>
      <c r="D1751" s="24" t="str">
        <f>VLOOKUP(revenue[customerID],customers[],6,FALSE)</f>
        <v>Rio de Janeiro</v>
      </c>
      <c r="E1751" s="24" t="str">
        <f>VLOOKUP(revenue[customerID],customers[],9,FALSE)</f>
        <v>Brazil</v>
      </c>
      <c r="F1751" s="24">
        <v>45354.0</v>
      </c>
      <c r="G1751" s="6">
        <v>24.0</v>
      </c>
      <c r="H1751" s="9" t="str">
        <f>VLOOKUP(revenue[productID],products[],2,FALSE)</f>
        <v>Brigadeiros Maravilhosos da Lilian</v>
      </c>
      <c r="I1751" s="9" t="str">
        <f>VLOOKUP(revenue[productID],products[],12,FALSE)</f>
        <v>Confections</v>
      </c>
      <c r="J1751" s="9">
        <f>VLOOKUP(revenue[productID],products[],IF(YEAR(revenue[orderDate])=2022,8,IF(YEAR(revenue[orderDate])=2023,9,IF(YEAR(revenue[orderDate])=2024,10,NA))),FALSE)</f>
        <v>3.177326315</v>
      </c>
      <c r="K1751" s="9">
        <v>4.5</v>
      </c>
      <c r="L1751" s="25">
        <f>(revenue[orderPrice]-revenue[productCost])/revenue[productCost]</f>
        <v>0.416285126</v>
      </c>
      <c r="M1751" s="10">
        <v>35.0</v>
      </c>
      <c r="N1751" s="25">
        <v>0.0</v>
      </c>
      <c r="O1751" s="9">
        <f>revenue[orderPrice]*revenue[orderQuantity]</f>
        <v>157.5</v>
      </c>
      <c r="P1751" s="9">
        <f>revenue[orderTotal]*(1-revenue[discountApllied])</f>
        <v>157.5</v>
      </c>
      <c r="Q1751" s="9">
        <f>revenue[revenue]-(revenue[productCost]*revenue[orderQuantity])</f>
        <v>46.29357899</v>
      </c>
      <c r="R1751" s="25">
        <f>IFERROR(revenue[profit]/revenue[revenue], 0)</f>
        <v>0.2939274856</v>
      </c>
      <c r="S1751" s="9">
        <f>revenue[productCost]*revenue[orderQuantity]</f>
        <v>111.206421</v>
      </c>
    </row>
    <row r="1752" ht="15.75" customHeight="1">
      <c r="A1752" s="6">
        <v>10923.0</v>
      </c>
      <c r="B1752" s="7" t="s">
        <v>68</v>
      </c>
      <c r="C1752" s="24" t="str">
        <f>VLOOKUP(revenue[customerID],customers[],2,FALSE)</f>
        <v>La maison d'Asie</v>
      </c>
      <c r="D1752" s="24" t="str">
        <f>VLOOKUP(revenue[customerID],customers[],6,FALSE)</f>
        <v>Toulouse</v>
      </c>
      <c r="E1752" s="24" t="str">
        <f>VLOOKUP(revenue[customerID],customers[],9,FALSE)</f>
        <v>France</v>
      </c>
      <c r="F1752" s="24">
        <v>45354.0</v>
      </c>
      <c r="G1752" s="6">
        <v>42.0</v>
      </c>
      <c r="H1752" s="9" t="str">
        <f>VLOOKUP(revenue[productID],products[],2,FALSE)</f>
        <v>Singaporean Hokkien Fried Mee</v>
      </c>
      <c r="I1752" s="9" t="str">
        <f>VLOOKUP(revenue[productID],products[],12,FALSE)</f>
        <v>Grains/Cereals</v>
      </c>
      <c r="J1752" s="9">
        <f>VLOOKUP(revenue[productID],products[],IF(YEAR(revenue[orderDate])=2022,8,IF(YEAR(revenue[orderDate])=2023,9,IF(YEAR(revenue[orderDate])=2024,10,NA))),FALSE)</f>
        <v>9.64736714</v>
      </c>
      <c r="K1752" s="9">
        <v>14.0</v>
      </c>
      <c r="L1752" s="25">
        <f>(revenue[orderPrice]-revenue[productCost])/revenue[productCost]</f>
        <v>0.4511731333</v>
      </c>
      <c r="M1752" s="10">
        <v>10.0</v>
      </c>
      <c r="N1752" s="25">
        <v>0.2</v>
      </c>
      <c r="O1752" s="9">
        <f>revenue[orderPrice]*revenue[orderQuantity]</f>
        <v>140</v>
      </c>
      <c r="P1752" s="9">
        <f>revenue[orderTotal]*(1-revenue[discountApllied])</f>
        <v>112</v>
      </c>
      <c r="Q1752" s="9">
        <f>revenue[revenue]-(revenue[productCost]*revenue[orderQuantity])</f>
        <v>15.5263286</v>
      </c>
      <c r="R1752" s="25">
        <f>IFERROR(revenue[profit]/revenue[revenue], 0)</f>
        <v>0.138627934</v>
      </c>
      <c r="S1752" s="9">
        <f>revenue[productCost]*revenue[orderQuantity]</f>
        <v>96.4736714</v>
      </c>
    </row>
    <row r="1753" ht="15.75" customHeight="1">
      <c r="A1753" s="6">
        <v>10923.0</v>
      </c>
      <c r="B1753" s="7" t="s">
        <v>68</v>
      </c>
      <c r="C1753" s="24" t="str">
        <f>VLOOKUP(revenue[customerID],customers[],2,FALSE)</f>
        <v>La maison d'Asie</v>
      </c>
      <c r="D1753" s="24" t="str">
        <f>VLOOKUP(revenue[customerID],customers[],6,FALSE)</f>
        <v>Toulouse</v>
      </c>
      <c r="E1753" s="24" t="str">
        <f>VLOOKUP(revenue[customerID],customers[],9,FALSE)</f>
        <v>France</v>
      </c>
      <c r="F1753" s="24">
        <v>45354.0</v>
      </c>
      <c r="G1753" s="6">
        <v>43.0</v>
      </c>
      <c r="H1753" s="9" t="str">
        <f>VLOOKUP(revenue[productID],products[],2,FALSE)</f>
        <v>Ipoh Coffee</v>
      </c>
      <c r="I1753" s="9" t="str">
        <f>VLOOKUP(revenue[productID],products[],12,FALSE)</f>
        <v>Beverages</v>
      </c>
      <c r="J1753" s="9">
        <f>VLOOKUP(revenue[productID],products[],IF(YEAR(revenue[orderDate])=2022,8,IF(YEAR(revenue[orderDate])=2023,9,IF(YEAR(revenue[orderDate])=2024,10,NA))),FALSE)</f>
        <v>30.97984738</v>
      </c>
      <c r="K1753" s="9">
        <v>46.0</v>
      </c>
      <c r="L1753" s="25">
        <f>(revenue[orderPrice]-revenue[productCost])/revenue[productCost]</f>
        <v>0.484836237</v>
      </c>
      <c r="M1753" s="10">
        <v>10.0</v>
      </c>
      <c r="N1753" s="25">
        <v>0.2</v>
      </c>
      <c r="O1753" s="9">
        <f>revenue[orderPrice]*revenue[orderQuantity]</f>
        <v>460</v>
      </c>
      <c r="P1753" s="9">
        <f>revenue[orderTotal]*(1-revenue[discountApllied])</f>
        <v>368</v>
      </c>
      <c r="Q1753" s="9">
        <f>revenue[revenue]-(revenue[productCost]*revenue[orderQuantity])</f>
        <v>58.20152625</v>
      </c>
      <c r="R1753" s="25">
        <f>IFERROR(revenue[profit]/revenue[revenue], 0)</f>
        <v>0.1581563213</v>
      </c>
      <c r="S1753" s="9">
        <f>revenue[productCost]*revenue[orderQuantity]</f>
        <v>309.7984738</v>
      </c>
    </row>
    <row r="1754" ht="15.75" customHeight="1">
      <c r="A1754" s="6">
        <v>10923.0</v>
      </c>
      <c r="B1754" s="7" t="s">
        <v>68</v>
      </c>
      <c r="C1754" s="24" t="str">
        <f>VLOOKUP(revenue[customerID],customers[],2,FALSE)</f>
        <v>La maison d'Asie</v>
      </c>
      <c r="D1754" s="24" t="str">
        <f>VLOOKUP(revenue[customerID],customers[],6,FALSE)</f>
        <v>Toulouse</v>
      </c>
      <c r="E1754" s="24" t="str">
        <f>VLOOKUP(revenue[customerID],customers[],9,FALSE)</f>
        <v>France</v>
      </c>
      <c r="F1754" s="24">
        <v>45354.0</v>
      </c>
      <c r="G1754" s="6">
        <v>67.0</v>
      </c>
      <c r="H1754" s="9" t="str">
        <f>VLOOKUP(revenue[productID],products[],2,FALSE)</f>
        <v>Laughing Lumberjack Lager</v>
      </c>
      <c r="I1754" s="9" t="str">
        <f>VLOOKUP(revenue[productID],products[],12,FALSE)</f>
        <v>Beverages</v>
      </c>
      <c r="J1754" s="9">
        <f>VLOOKUP(revenue[productID],products[],IF(YEAR(revenue[orderDate])=2022,8,IF(YEAR(revenue[orderDate])=2023,9,IF(YEAR(revenue[orderDate])=2024,10,NA))),FALSE)</f>
        <v>9.443192754</v>
      </c>
      <c r="K1754" s="9">
        <v>14.0</v>
      </c>
      <c r="L1754" s="25">
        <f>(revenue[orderPrice]-revenue[productCost])/revenue[productCost]</f>
        <v>0.4825494263</v>
      </c>
      <c r="M1754" s="10">
        <v>24.0</v>
      </c>
      <c r="N1754" s="25">
        <v>0.2</v>
      </c>
      <c r="O1754" s="9">
        <f>revenue[orderPrice]*revenue[orderQuantity]</f>
        <v>336</v>
      </c>
      <c r="P1754" s="9">
        <f>revenue[orderTotal]*(1-revenue[discountApllied])</f>
        <v>268.8</v>
      </c>
      <c r="Q1754" s="9">
        <f>revenue[revenue]-(revenue[productCost]*revenue[orderQuantity])</f>
        <v>42.1633739</v>
      </c>
      <c r="R1754" s="25">
        <f>IFERROR(revenue[profit]/revenue[revenue], 0)</f>
        <v>0.1568577898</v>
      </c>
      <c r="S1754" s="9">
        <f>revenue[productCost]*revenue[orderQuantity]</f>
        <v>226.6366261</v>
      </c>
    </row>
    <row r="1755" ht="15.75" customHeight="1">
      <c r="A1755" s="6">
        <v>10924.0</v>
      </c>
      <c r="B1755" s="7" t="s">
        <v>40</v>
      </c>
      <c r="C1755" s="24" t="str">
        <f>VLOOKUP(revenue[customerID],customers[],2,FALSE)</f>
        <v>Berglunds snabbköp</v>
      </c>
      <c r="D1755" s="24" t="str">
        <f>VLOOKUP(revenue[customerID],customers[],6,FALSE)</f>
        <v>Luleå</v>
      </c>
      <c r="E1755" s="24" t="str">
        <f>VLOOKUP(revenue[customerID],customers[],9,FALSE)</f>
        <v>Sweden</v>
      </c>
      <c r="F1755" s="24">
        <v>45355.0</v>
      </c>
      <c r="G1755" s="6">
        <v>10.0</v>
      </c>
      <c r="H1755" s="9" t="str">
        <f>VLOOKUP(revenue[productID],products[],2,FALSE)</f>
        <v>Ikura</v>
      </c>
      <c r="I1755" s="9" t="str">
        <f>VLOOKUP(revenue[productID],products[],12,FALSE)</f>
        <v>Seafood</v>
      </c>
      <c r="J1755" s="9">
        <f>VLOOKUP(revenue[productID],products[],IF(YEAR(revenue[orderDate])=2022,8,IF(YEAR(revenue[orderDate])=2023,9,IF(YEAR(revenue[orderDate])=2024,10,NA))),FALSE)</f>
        <v>20.90394627</v>
      </c>
      <c r="K1755" s="9">
        <v>31.0</v>
      </c>
      <c r="L1755" s="25">
        <f>(revenue[orderPrice]-revenue[productCost])/revenue[productCost]</f>
        <v>0.4829735786</v>
      </c>
      <c r="M1755" s="10">
        <v>20.0</v>
      </c>
      <c r="N1755" s="25">
        <v>0.1</v>
      </c>
      <c r="O1755" s="9">
        <f>revenue[orderPrice]*revenue[orderQuantity]</f>
        <v>620</v>
      </c>
      <c r="P1755" s="9">
        <f>revenue[orderTotal]*(1-revenue[discountApllied])</f>
        <v>558</v>
      </c>
      <c r="Q1755" s="9">
        <f>revenue[revenue]-(revenue[productCost]*revenue[orderQuantity])</f>
        <v>139.9210747</v>
      </c>
      <c r="R1755" s="25">
        <f>IFERROR(revenue[profit]/revenue[revenue], 0)</f>
        <v>0.2507546141</v>
      </c>
      <c r="S1755" s="9">
        <f>revenue[productCost]*revenue[orderQuantity]</f>
        <v>418.0789253</v>
      </c>
    </row>
    <row r="1756" ht="15.75" customHeight="1">
      <c r="A1756" s="6">
        <v>10924.0</v>
      </c>
      <c r="B1756" s="7" t="s">
        <v>40</v>
      </c>
      <c r="C1756" s="24" t="str">
        <f>VLOOKUP(revenue[customerID],customers[],2,FALSE)</f>
        <v>Berglunds snabbköp</v>
      </c>
      <c r="D1756" s="24" t="str">
        <f>VLOOKUP(revenue[customerID],customers[],6,FALSE)</f>
        <v>Luleå</v>
      </c>
      <c r="E1756" s="24" t="str">
        <f>VLOOKUP(revenue[customerID],customers[],9,FALSE)</f>
        <v>Sweden</v>
      </c>
      <c r="F1756" s="24">
        <v>45355.0</v>
      </c>
      <c r="G1756" s="6">
        <v>28.0</v>
      </c>
      <c r="H1756" s="9" t="str">
        <f>VLOOKUP(revenue[productID],products[],2,FALSE)</f>
        <v>Rössle Sauerkraut</v>
      </c>
      <c r="I1756" s="9" t="str">
        <f>VLOOKUP(revenue[productID],products[],12,FALSE)</f>
        <v>Produce</v>
      </c>
      <c r="J1756" s="9">
        <f>VLOOKUP(revenue[productID],products[],IF(YEAR(revenue[orderDate])=2022,8,IF(YEAR(revenue[orderDate])=2023,9,IF(YEAR(revenue[orderDate])=2024,10,NA))),FALSE)</f>
        <v>34.18502761</v>
      </c>
      <c r="K1756" s="9">
        <v>45.6</v>
      </c>
      <c r="L1756" s="25">
        <f>(revenue[orderPrice]-revenue[productCost])/revenue[productCost]</f>
        <v>0.3339173079</v>
      </c>
      <c r="M1756" s="10">
        <v>30.0</v>
      </c>
      <c r="N1756" s="25">
        <v>0.1</v>
      </c>
      <c r="O1756" s="9">
        <f>revenue[orderPrice]*revenue[orderQuantity]</f>
        <v>1368</v>
      </c>
      <c r="P1756" s="9">
        <f>revenue[orderTotal]*(1-revenue[discountApllied])</f>
        <v>1231.2</v>
      </c>
      <c r="Q1756" s="9">
        <f>revenue[revenue]-(revenue[productCost]*revenue[orderQuantity])</f>
        <v>205.6491717</v>
      </c>
      <c r="R1756" s="25">
        <f>IFERROR(revenue[profit]/revenue[revenue], 0)</f>
        <v>0.167031491</v>
      </c>
      <c r="S1756" s="9">
        <f>revenue[productCost]*revenue[orderQuantity]</f>
        <v>1025.550828</v>
      </c>
    </row>
    <row r="1757" ht="15.75" customHeight="1">
      <c r="A1757" s="6">
        <v>10924.0</v>
      </c>
      <c r="B1757" s="7" t="s">
        <v>40</v>
      </c>
      <c r="C1757" s="24" t="str">
        <f>VLOOKUP(revenue[customerID],customers[],2,FALSE)</f>
        <v>Berglunds snabbköp</v>
      </c>
      <c r="D1757" s="24" t="str">
        <f>VLOOKUP(revenue[customerID],customers[],6,FALSE)</f>
        <v>Luleå</v>
      </c>
      <c r="E1757" s="24" t="str">
        <f>VLOOKUP(revenue[customerID],customers[],9,FALSE)</f>
        <v>Sweden</v>
      </c>
      <c r="F1757" s="24">
        <v>45355.0</v>
      </c>
      <c r="G1757" s="6">
        <v>75.0</v>
      </c>
      <c r="H1757" s="9" t="str">
        <f>VLOOKUP(revenue[productID],products[],2,FALSE)</f>
        <v>Rhönbräu Klosterbier</v>
      </c>
      <c r="I1757" s="9" t="str">
        <f>VLOOKUP(revenue[productID],products[],12,FALSE)</f>
        <v>Beverages</v>
      </c>
      <c r="J1757" s="9">
        <f>VLOOKUP(revenue[productID],products[],IF(YEAR(revenue[orderDate])=2022,8,IF(YEAR(revenue[orderDate])=2023,9,IF(YEAR(revenue[orderDate])=2024,10,NA))),FALSE)</f>
        <v>5.374051525</v>
      </c>
      <c r="K1757" s="9">
        <v>7.75</v>
      </c>
      <c r="L1757" s="25">
        <f>(revenue[orderPrice]-revenue[productCost])/revenue[productCost]</f>
        <v>0.4421149413</v>
      </c>
      <c r="M1757" s="10">
        <v>6.0</v>
      </c>
      <c r="N1757" s="25">
        <v>0.0</v>
      </c>
      <c r="O1757" s="9">
        <f>revenue[orderPrice]*revenue[orderQuantity]</f>
        <v>46.5</v>
      </c>
      <c r="P1757" s="9">
        <f>revenue[orderTotal]*(1-revenue[discountApllied])</f>
        <v>46.5</v>
      </c>
      <c r="Q1757" s="9">
        <f>revenue[revenue]-(revenue[productCost]*revenue[orderQuantity])</f>
        <v>14.25569085</v>
      </c>
      <c r="R1757" s="25">
        <f>IFERROR(revenue[profit]/revenue[revenue], 0)</f>
        <v>0.3065739967</v>
      </c>
      <c r="S1757" s="9">
        <f>revenue[productCost]*revenue[orderQuantity]</f>
        <v>32.24430915</v>
      </c>
    </row>
    <row r="1758" ht="15.75" customHeight="1">
      <c r="A1758" s="6">
        <v>10925.0</v>
      </c>
      <c r="B1758" s="7" t="s">
        <v>16</v>
      </c>
      <c r="C1758" s="24" t="str">
        <f>VLOOKUP(revenue[customerID],customers[],2,FALSE)</f>
        <v>Hanari Carnes</v>
      </c>
      <c r="D1758" s="24" t="str">
        <f>VLOOKUP(revenue[customerID],customers[],6,FALSE)</f>
        <v>Rio de Janeiro</v>
      </c>
      <c r="E1758" s="24" t="str">
        <f>VLOOKUP(revenue[customerID],customers[],9,FALSE)</f>
        <v>Brazil</v>
      </c>
      <c r="F1758" s="24">
        <v>45355.0</v>
      </c>
      <c r="G1758" s="6">
        <v>36.0</v>
      </c>
      <c r="H1758" s="9" t="str">
        <f>VLOOKUP(revenue[productID],products[],2,FALSE)</f>
        <v>Inlagd Sill</v>
      </c>
      <c r="I1758" s="9" t="str">
        <f>VLOOKUP(revenue[productID],products[],12,FALSE)</f>
        <v>Seafood</v>
      </c>
      <c r="J1758" s="9">
        <f>VLOOKUP(revenue[productID],products[],IF(YEAR(revenue[orderDate])=2022,8,IF(YEAR(revenue[orderDate])=2023,9,IF(YEAR(revenue[orderDate])=2024,10,NA))),FALSE)</f>
        <v>11.68525366</v>
      </c>
      <c r="K1758" s="9">
        <v>19.0</v>
      </c>
      <c r="L1758" s="25">
        <f>(revenue[orderPrice]-revenue[productCost])/revenue[productCost]</f>
        <v>0.6259809637</v>
      </c>
      <c r="M1758" s="10">
        <v>25.0</v>
      </c>
      <c r="N1758" s="25">
        <v>0.15</v>
      </c>
      <c r="O1758" s="9">
        <f>revenue[orderPrice]*revenue[orderQuantity]</f>
        <v>475</v>
      </c>
      <c r="P1758" s="9">
        <f>revenue[orderTotal]*(1-revenue[discountApllied])</f>
        <v>403.75</v>
      </c>
      <c r="Q1758" s="9">
        <f>revenue[revenue]-(revenue[productCost]*revenue[orderQuantity])</f>
        <v>111.6186586</v>
      </c>
      <c r="R1758" s="25">
        <f>IFERROR(revenue[profit]/revenue[revenue], 0)</f>
        <v>0.276454882</v>
      </c>
      <c r="S1758" s="9">
        <f>revenue[productCost]*revenue[orderQuantity]</f>
        <v>292.1313414</v>
      </c>
    </row>
    <row r="1759" ht="15.75" customHeight="1">
      <c r="A1759" s="6">
        <v>10925.0</v>
      </c>
      <c r="B1759" s="7" t="s">
        <v>16</v>
      </c>
      <c r="C1759" s="24" t="str">
        <f>VLOOKUP(revenue[customerID],customers[],2,FALSE)</f>
        <v>Hanari Carnes</v>
      </c>
      <c r="D1759" s="24" t="str">
        <f>VLOOKUP(revenue[customerID],customers[],6,FALSE)</f>
        <v>Rio de Janeiro</v>
      </c>
      <c r="E1759" s="24" t="str">
        <f>VLOOKUP(revenue[customerID],customers[],9,FALSE)</f>
        <v>Brazil</v>
      </c>
      <c r="F1759" s="24">
        <v>45355.0</v>
      </c>
      <c r="G1759" s="6">
        <v>52.0</v>
      </c>
      <c r="H1759" s="9" t="str">
        <f>VLOOKUP(revenue[productID],products[],2,FALSE)</f>
        <v>Filo Mix</v>
      </c>
      <c r="I1759" s="9" t="str">
        <f>VLOOKUP(revenue[productID],products[],12,FALSE)</f>
        <v>Grains/Cereals</v>
      </c>
      <c r="J1759" s="9">
        <f>VLOOKUP(revenue[productID],products[],IF(YEAR(revenue[orderDate])=2022,8,IF(YEAR(revenue[orderDate])=2023,9,IF(YEAR(revenue[orderDate])=2024,10,NA))),FALSE)</f>
        <v>5.222223442</v>
      </c>
      <c r="K1759" s="9">
        <v>7.0</v>
      </c>
      <c r="L1759" s="25">
        <f>(revenue[orderPrice]-revenue[productCost])/revenue[productCost]</f>
        <v>0.3404252188</v>
      </c>
      <c r="M1759" s="10">
        <v>12.0</v>
      </c>
      <c r="N1759" s="25">
        <v>0.15</v>
      </c>
      <c r="O1759" s="9">
        <f>revenue[orderPrice]*revenue[orderQuantity]</f>
        <v>84</v>
      </c>
      <c r="P1759" s="9">
        <f>revenue[orderTotal]*(1-revenue[discountApllied])</f>
        <v>71.4</v>
      </c>
      <c r="Q1759" s="9">
        <f>revenue[revenue]-(revenue[productCost]*revenue[orderQuantity])</f>
        <v>8.733318695</v>
      </c>
      <c r="R1759" s="25">
        <f>IFERROR(revenue[profit]/revenue[revenue], 0)</f>
        <v>0.1223153879</v>
      </c>
      <c r="S1759" s="9">
        <f>revenue[productCost]*revenue[orderQuantity]</f>
        <v>62.66668131</v>
      </c>
    </row>
    <row r="1760" ht="15.75" customHeight="1">
      <c r="A1760" s="6">
        <v>10926.0</v>
      </c>
      <c r="B1760" s="7" t="s">
        <v>54</v>
      </c>
      <c r="C1760" s="24" t="str">
        <f>VLOOKUP(revenue[customerID],customers[],2,FALSE)</f>
        <v>Ana Trujillo Emparedados y helados</v>
      </c>
      <c r="D1760" s="24" t="str">
        <f>VLOOKUP(revenue[customerID],customers[],6,FALSE)</f>
        <v>México D.F.</v>
      </c>
      <c r="E1760" s="24" t="str">
        <f>VLOOKUP(revenue[customerID],customers[],9,FALSE)</f>
        <v>Mexico</v>
      </c>
      <c r="F1760" s="24">
        <v>45355.0</v>
      </c>
      <c r="G1760" s="6">
        <v>11.0</v>
      </c>
      <c r="H1760" s="9" t="str">
        <f>VLOOKUP(revenue[productID],products[],2,FALSE)</f>
        <v>Queso Cabrales</v>
      </c>
      <c r="I1760" s="9" t="str">
        <f>VLOOKUP(revenue[productID],products[],12,FALSE)</f>
        <v>Dairy Products</v>
      </c>
      <c r="J1760" s="9">
        <f>VLOOKUP(revenue[productID],products[],IF(YEAR(revenue[orderDate])=2022,8,IF(YEAR(revenue[orderDate])=2023,9,IF(YEAR(revenue[orderDate])=2024,10,NA))),FALSE)</f>
        <v>13.86836261</v>
      </c>
      <c r="K1760" s="9">
        <v>21.0</v>
      </c>
      <c r="L1760" s="25">
        <f>(revenue[orderPrice]-revenue[productCost])/revenue[productCost]</f>
        <v>0.51423788</v>
      </c>
      <c r="M1760" s="10">
        <v>2.0</v>
      </c>
      <c r="N1760" s="25">
        <v>0.0</v>
      </c>
      <c r="O1760" s="9">
        <f>revenue[orderPrice]*revenue[orderQuantity]</f>
        <v>42</v>
      </c>
      <c r="P1760" s="9">
        <f>revenue[orderTotal]*(1-revenue[discountApllied])</f>
        <v>42</v>
      </c>
      <c r="Q1760" s="9">
        <f>revenue[revenue]-(revenue[productCost]*revenue[orderQuantity])</f>
        <v>14.26327478</v>
      </c>
      <c r="R1760" s="25">
        <f>IFERROR(revenue[profit]/revenue[revenue], 0)</f>
        <v>0.3396017804</v>
      </c>
      <c r="S1760" s="9">
        <f>revenue[productCost]*revenue[orderQuantity]</f>
        <v>27.73672522</v>
      </c>
    </row>
    <row r="1761" ht="15.75" customHeight="1">
      <c r="A1761" s="6">
        <v>10926.0</v>
      </c>
      <c r="B1761" s="7" t="s">
        <v>54</v>
      </c>
      <c r="C1761" s="24" t="str">
        <f>VLOOKUP(revenue[customerID],customers[],2,FALSE)</f>
        <v>Ana Trujillo Emparedados y helados</v>
      </c>
      <c r="D1761" s="24" t="str">
        <f>VLOOKUP(revenue[customerID],customers[],6,FALSE)</f>
        <v>México D.F.</v>
      </c>
      <c r="E1761" s="24" t="str">
        <f>VLOOKUP(revenue[customerID],customers[],9,FALSE)</f>
        <v>Mexico</v>
      </c>
      <c r="F1761" s="24">
        <v>45355.0</v>
      </c>
      <c r="G1761" s="6">
        <v>13.0</v>
      </c>
      <c r="H1761" s="9" t="str">
        <f>VLOOKUP(revenue[productID],products[],2,FALSE)</f>
        <v>Konbu</v>
      </c>
      <c r="I1761" s="9" t="str">
        <f>VLOOKUP(revenue[productID],products[],12,FALSE)</f>
        <v>Seafood</v>
      </c>
      <c r="J1761" s="9">
        <f>VLOOKUP(revenue[productID],products[],IF(YEAR(revenue[orderDate])=2022,8,IF(YEAR(revenue[orderDate])=2023,9,IF(YEAR(revenue[orderDate])=2024,10,NA))),FALSE)</f>
        <v>3.966387047</v>
      </c>
      <c r="K1761" s="9">
        <v>6.0</v>
      </c>
      <c r="L1761" s="25">
        <f>(revenue[orderPrice]-revenue[productCost])/revenue[productCost]</f>
        <v>0.5127116768</v>
      </c>
      <c r="M1761" s="10">
        <v>10.0</v>
      </c>
      <c r="N1761" s="25">
        <v>0.0</v>
      </c>
      <c r="O1761" s="9">
        <f>revenue[orderPrice]*revenue[orderQuantity]</f>
        <v>60</v>
      </c>
      <c r="P1761" s="9">
        <f>revenue[orderTotal]*(1-revenue[discountApllied])</f>
        <v>60</v>
      </c>
      <c r="Q1761" s="9">
        <f>revenue[revenue]-(revenue[productCost]*revenue[orderQuantity])</f>
        <v>20.33612953</v>
      </c>
      <c r="R1761" s="25">
        <f>IFERROR(revenue[profit]/revenue[revenue], 0)</f>
        <v>0.3389354922</v>
      </c>
      <c r="S1761" s="9">
        <f>revenue[productCost]*revenue[orderQuantity]</f>
        <v>39.66387047</v>
      </c>
    </row>
    <row r="1762" ht="15.75" customHeight="1">
      <c r="A1762" s="6">
        <v>10926.0</v>
      </c>
      <c r="B1762" s="7" t="s">
        <v>54</v>
      </c>
      <c r="C1762" s="24" t="str">
        <f>VLOOKUP(revenue[customerID],customers[],2,FALSE)</f>
        <v>Ana Trujillo Emparedados y helados</v>
      </c>
      <c r="D1762" s="24" t="str">
        <f>VLOOKUP(revenue[customerID],customers[],6,FALSE)</f>
        <v>México D.F.</v>
      </c>
      <c r="E1762" s="24" t="str">
        <f>VLOOKUP(revenue[customerID],customers[],9,FALSE)</f>
        <v>Mexico</v>
      </c>
      <c r="F1762" s="24">
        <v>45355.0</v>
      </c>
      <c r="G1762" s="6">
        <v>19.0</v>
      </c>
      <c r="H1762" s="9" t="str">
        <f>VLOOKUP(revenue[productID],products[],2,FALSE)</f>
        <v>Teatime Chocolate Biscuits</v>
      </c>
      <c r="I1762" s="9" t="str">
        <f>VLOOKUP(revenue[productID],products[],12,FALSE)</f>
        <v>Confections</v>
      </c>
      <c r="J1762" s="9">
        <f>VLOOKUP(revenue[productID],products[],IF(YEAR(revenue[orderDate])=2022,8,IF(YEAR(revenue[orderDate])=2023,9,IF(YEAR(revenue[orderDate])=2024,10,NA))),FALSE)</f>
        <v>6.769656984</v>
      </c>
      <c r="K1762" s="9">
        <v>9.2</v>
      </c>
      <c r="L1762" s="25">
        <f>(revenue[orderPrice]-revenue[productCost])/revenue[productCost]</f>
        <v>0.3590053413</v>
      </c>
      <c r="M1762" s="10">
        <v>7.0</v>
      </c>
      <c r="N1762" s="25">
        <v>0.0</v>
      </c>
      <c r="O1762" s="9">
        <f>revenue[orderPrice]*revenue[orderQuantity]</f>
        <v>64.4</v>
      </c>
      <c r="P1762" s="9">
        <f>revenue[orderTotal]*(1-revenue[discountApllied])</f>
        <v>64.4</v>
      </c>
      <c r="Q1762" s="9">
        <f>revenue[revenue]-(revenue[productCost]*revenue[orderQuantity])</f>
        <v>17.01240111</v>
      </c>
      <c r="R1762" s="25">
        <f>IFERROR(revenue[profit]/revenue[revenue], 0)</f>
        <v>0.2641677191</v>
      </c>
      <c r="S1762" s="9">
        <f>revenue[productCost]*revenue[orderQuantity]</f>
        <v>47.38759889</v>
      </c>
    </row>
    <row r="1763" ht="15.75" customHeight="1">
      <c r="A1763" s="6">
        <v>10926.0</v>
      </c>
      <c r="B1763" s="7" t="s">
        <v>54</v>
      </c>
      <c r="C1763" s="24" t="str">
        <f>VLOOKUP(revenue[customerID],customers[],2,FALSE)</f>
        <v>Ana Trujillo Emparedados y helados</v>
      </c>
      <c r="D1763" s="24" t="str">
        <f>VLOOKUP(revenue[customerID],customers[],6,FALSE)</f>
        <v>México D.F.</v>
      </c>
      <c r="E1763" s="24" t="str">
        <f>VLOOKUP(revenue[customerID],customers[],9,FALSE)</f>
        <v>Mexico</v>
      </c>
      <c r="F1763" s="24">
        <v>45355.0</v>
      </c>
      <c r="G1763" s="6">
        <v>72.0</v>
      </c>
      <c r="H1763" s="9" t="str">
        <f>VLOOKUP(revenue[productID],products[],2,FALSE)</f>
        <v>Mozzarella di Giovanni</v>
      </c>
      <c r="I1763" s="9" t="str">
        <f>VLOOKUP(revenue[productID],products[],12,FALSE)</f>
        <v>Dairy Products</v>
      </c>
      <c r="J1763" s="9">
        <f>VLOOKUP(revenue[productID],products[],IF(YEAR(revenue[orderDate])=2022,8,IF(YEAR(revenue[orderDate])=2023,9,IF(YEAR(revenue[orderDate])=2024,10,NA))),FALSE)</f>
        <v>24.35057898</v>
      </c>
      <c r="K1763" s="9">
        <v>34.8</v>
      </c>
      <c r="L1763" s="25">
        <f>(revenue[orderPrice]-revenue[productCost])/revenue[productCost]</f>
        <v>0.4291241297</v>
      </c>
      <c r="M1763" s="10">
        <v>10.0</v>
      </c>
      <c r="N1763" s="25">
        <v>0.0</v>
      </c>
      <c r="O1763" s="9">
        <f>revenue[orderPrice]*revenue[orderQuantity]</f>
        <v>348</v>
      </c>
      <c r="P1763" s="9">
        <f>revenue[orderTotal]*(1-revenue[discountApllied])</f>
        <v>348</v>
      </c>
      <c r="Q1763" s="9">
        <f>revenue[revenue]-(revenue[productCost]*revenue[orderQuantity])</f>
        <v>104.4942102</v>
      </c>
      <c r="R1763" s="25">
        <f>IFERROR(revenue[profit]/revenue[revenue], 0)</f>
        <v>0.3002707188</v>
      </c>
      <c r="S1763" s="9">
        <f>revenue[productCost]*revenue[orderQuantity]</f>
        <v>243.5057898</v>
      </c>
    </row>
    <row r="1764" ht="15.75" customHeight="1">
      <c r="A1764" s="6">
        <v>10927.0</v>
      </c>
      <c r="B1764" s="7" t="s">
        <v>103</v>
      </c>
      <c r="C1764" s="24" t="str">
        <f>VLOOKUP(revenue[customerID],customers[],2,FALSE)</f>
        <v>La corne d'abondance</v>
      </c>
      <c r="D1764" s="24" t="str">
        <f>VLOOKUP(revenue[customerID],customers[],6,FALSE)</f>
        <v>Versailles</v>
      </c>
      <c r="E1764" s="24" t="str">
        <f>VLOOKUP(revenue[customerID],customers[],9,FALSE)</f>
        <v>France</v>
      </c>
      <c r="F1764" s="24">
        <v>45356.0</v>
      </c>
      <c r="G1764" s="6">
        <v>20.0</v>
      </c>
      <c r="H1764" s="9" t="str">
        <f>VLOOKUP(revenue[productID],products[],2,FALSE)</f>
        <v>Sir Rodney's Marmalade</v>
      </c>
      <c r="I1764" s="9" t="str">
        <f>VLOOKUP(revenue[productID],products[],12,FALSE)</f>
        <v>Confections</v>
      </c>
      <c r="J1764" s="9">
        <f>VLOOKUP(revenue[productID],products[],IF(YEAR(revenue[orderDate])=2022,8,IF(YEAR(revenue[orderDate])=2023,9,IF(YEAR(revenue[orderDate])=2024,10,NA))),FALSE)</f>
        <v>62.82537598</v>
      </c>
      <c r="K1764" s="9">
        <v>81.0</v>
      </c>
      <c r="L1764" s="25">
        <f>(revenue[orderPrice]-revenue[productCost])/revenue[productCost]</f>
        <v>0.2892879468</v>
      </c>
      <c r="M1764" s="10">
        <v>5.0</v>
      </c>
      <c r="N1764" s="25">
        <v>0.0</v>
      </c>
      <c r="O1764" s="9">
        <f>revenue[orderPrice]*revenue[orderQuantity]</f>
        <v>405</v>
      </c>
      <c r="P1764" s="9">
        <f>revenue[orderTotal]*(1-revenue[discountApllied])</f>
        <v>405</v>
      </c>
      <c r="Q1764" s="9">
        <f>revenue[revenue]-(revenue[productCost]*revenue[orderQuantity])</f>
        <v>90.87312012</v>
      </c>
      <c r="R1764" s="25">
        <f>IFERROR(revenue[profit]/revenue[revenue], 0)</f>
        <v>0.2243780744</v>
      </c>
      <c r="S1764" s="9">
        <f>revenue[productCost]*revenue[orderQuantity]</f>
        <v>314.1268799</v>
      </c>
    </row>
    <row r="1765" ht="15.75" customHeight="1">
      <c r="A1765" s="6">
        <v>10927.0</v>
      </c>
      <c r="B1765" s="7" t="s">
        <v>103</v>
      </c>
      <c r="C1765" s="24" t="str">
        <f>VLOOKUP(revenue[customerID],customers[],2,FALSE)</f>
        <v>La corne d'abondance</v>
      </c>
      <c r="D1765" s="24" t="str">
        <f>VLOOKUP(revenue[customerID],customers[],6,FALSE)</f>
        <v>Versailles</v>
      </c>
      <c r="E1765" s="24" t="str">
        <f>VLOOKUP(revenue[customerID],customers[],9,FALSE)</f>
        <v>France</v>
      </c>
      <c r="F1765" s="24">
        <v>45356.0</v>
      </c>
      <c r="G1765" s="6">
        <v>52.0</v>
      </c>
      <c r="H1765" s="9" t="str">
        <f>VLOOKUP(revenue[productID],products[],2,FALSE)</f>
        <v>Filo Mix</v>
      </c>
      <c r="I1765" s="9" t="str">
        <f>VLOOKUP(revenue[productID],products[],12,FALSE)</f>
        <v>Grains/Cereals</v>
      </c>
      <c r="J1765" s="9">
        <f>VLOOKUP(revenue[productID],products[],IF(YEAR(revenue[orderDate])=2022,8,IF(YEAR(revenue[orderDate])=2023,9,IF(YEAR(revenue[orderDate])=2024,10,NA))),FALSE)</f>
        <v>5.222223442</v>
      </c>
      <c r="K1765" s="9">
        <v>7.0</v>
      </c>
      <c r="L1765" s="25">
        <f>(revenue[orderPrice]-revenue[productCost])/revenue[productCost]</f>
        <v>0.3404252188</v>
      </c>
      <c r="M1765" s="10">
        <v>5.0</v>
      </c>
      <c r="N1765" s="25">
        <v>0.0</v>
      </c>
      <c r="O1765" s="9">
        <f>revenue[orderPrice]*revenue[orderQuantity]</f>
        <v>35</v>
      </c>
      <c r="P1765" s="9">
        <f>revenue[orderTotal]*(1-revenue[discountApllied])</f>
        <v>35</v>
      </c>
      <c r="Q1765" s="9">
        <f>revenue[revenue]-(revenue[productCost]*revenue[orderQuantity])</f>
        <v>8.88888279</v>
      </c>
      <c r="R1765" s="25">
        <f>IFERROR(revenue[profit]/revenue[revenue], 0)</f>
        <v>0.2539680797</v>
      </c>
      <c r="S1765" s="9">
        <f>revenue[productCost]*revenue[orderQuantity]</f>
        <v>26.11111721</v>
      </c>
    </row>
    <row r="1766" ht="15.75" customHeight="1">
      <c r="A1766" s="6">
        <v>10927.0</v>
      </c>
      <c r="B1766" s="7" t="s">
        <v>103</v>
      </c>
      <c r="C1766" s="24" t="str">
        <f>VLOOKUP(revenue[customerID],customers[],2,FALSE)</f>
        <v>La corne d'abondance</v>
      </c>
      <c r="D1766" s="24" t="str">
        <f>VLOOKUP(revenue[customerID],customers[],6,FALSE)</f>
        <v>Versailles</v>
      </c>
      <c r="E1766" s="24" t="str">
        <f>VLOOKUP(revenue[customerID],customers[],9,FALSE)</f>
        <v>France</v>
      </c>
      <c r="F1766" s="24">
        <v>45356.0</v>
      </c>
      <c r="G1766" s="6">
        <v>76.0</v>
      </c>
      <c r="H1766" s="9" t="str">
        <f>VLOOKUP(revenue[productID],products[],2,FALSE)</f>
        <v>Lakkalikööri</v>
      </c>
      <c r="I1766" s="9" t="str">
        <f>VLOOKUP(revenue[productID],products[],12,FALSE)</f>
        <v>Beverages</v>
      </c>
      <c r="J1766" s="9">
        <f>VLOOKUP(revenue[productID],products[],IF(YEAR(revenue[orderDate])=2022,8,IF(YEAR(revenue[orderDate])=2023,9,IF(YEAR(revenue[orderDate])=2024,10,NA))),FALSE)</f>
        <v>12.15832249</v>
      </c>
      <c r="K1766" s="9">
        <v>18.0</v>
      </c>
      <c r="L1766" s="25">
        <f>(revenue[orderPrice]-revenue[productCost])/revenue[productCost]</f>
        <v>0.4804673928</v>
      </c>
      <c r="M1766" s="10">
        <v>20.0</v>
      </c>
      <c r="N1766" s="25">
        <v>0.0</v>
      </c>
      <c r="O1766" s="9">
        <f>revenue[orderPrice]*revenue[orderQuantity]</f>
        <v>360</v>
      </c>
      <c r="P1766" s="9">
        <f>revenue[orderTotal]*(1-revenue[discountApllied])</f>
        <v>360</v>
      </c>
      <c r="Q1766" s="9">
        <f>revenue[revenue]-(revenue[productCost]*revenue[orderQuantity])</f>
        <v>116.8335502</v>
      </c>
      <c r="R1766" s="25">
        <f>IFERROR(revenue[profit]/revenue[revenue], 0)</f>
        <v>0.3245376394</v>
      </c>
      <c r="S1766" s="9">
        <f>revenue[productCost]*revenue[orderQuantity]</f>
        <v>243.1664498</v>
      </c>
    </row>
    <row r="1767" ht="15.75" customHeight="1">
      <c r="A1767" s="6">
        <v>10928.0</v>
      </c>
      <c r="B1767" s="7" t="s">
        <v>75</v>
      </c>
      <c r="C1767" s="24" t="str">
        <f>VLOOKUP(revenue[customerID],customers[],2,FALSE)</f>
        <v>Galería del gastrónomo</v>
      </c>
      <c r="D1767" s="24" t="str">
        <f>VLOOKUP(revenue[customerID],customers[],6,FALSE)</f>
        <v>Barcelona</v>
      </c>
      <c r="E1767" s="24" t="str">
        <f>VLOOKUP(revenue[customerID],customers[],9,FALSE)</f>
        <v>Spain</v>
      </c>
      <c r="F1767" s="24">
        <v>45356.0</v>
      </c>
      <c r="G1767" s="6">
        <v>47.0</v>
      </c>
      <c r="H1767" s="9" t="str">
        <f>VLOOKUP(revenue[productID],products[],2,FALSE)</f>
        <v>Zaanse koeken</v>
      </c>
      <c r="I1767" s="9" t="str">
        <f>VLOOKUP(revenue[productID],products[],12,FALSE)</f>
        <v>Confections</v>
      </c>
      <c r="J1767" s="9">
        <f>VLOOKUP(revenue[productID],products[],IF(YEAR(revenue[orderDate])=2022,8,IF(YEAR(revenue[orderDate])=2023,9,IF(YEAR(revenue[orderDate])=2024,10,NA))),FALSE)</f>
        <v>6.635130774</v>
      </c>
      <c r="K1767" s="9">
        <v>9.5</v>
      </c>
      <c r="L1767" s="25">
        <f>(revenue[orderPrice]-revenue[productCost])/revenue[productCost]</f>
        <v>0.4317728351</v>
      </c>
      <c r="M1767" s="10">
        <v>5.0</v>
      </c>
      <c r="N1767" s="25">
        <v>0.0</v>
      </c>
      <c r="O1767" s="9">
        <f>revenue[orderPrice]*revenue[orderQuantity]</f>
        <v>47.5</v>
      </c>
      <c r="P1767" s="9">
        <f>revenue[orderTotal]*(1-revenue[discountApllied])</f>
        <v>47.5</v>
      </c>
      <c r="Q1767" s="9">
        <f>revenue[revenue]-(revenue[productCost]*revenue[orderQuantity])</f>
        <v>14.32434613</v>
      </c>
      <c r="R1767" s="25">
        <f>IFERROR(revenue[profit]/revenue[revenue], 0)</f>
        <v>0.3015651817</v>
      </c>
      <c r="S1767" s="9">
        <f>revenue[productCost]*revenue[orderQuantity]</f>
        <v>33.17565387</v>
      </c>
    </row>
    <row r="1768" ht="15.75" customHeight="1">
      <c r="A1768" s="6">
        <v>10928.0</v>
      </c>
      <c r="B1768" s="7" t="s">
        <v>75</v>
      </c>
      <c r="C1768" s="24" t="str">
        <f>VLOOKUP(revenue[customerID],customers[],2,FALSE)</f>
        <v>Galería del gastrónomo</v>
      </c>
      <c r="D1768" s="24" t="str">
        <f>VLOOKUP(revenue[customerID],customers[],6,FALSE)</f>
        <v>Barcelona</v>
      </c>
      <c r="E1768" s="24" t="str">
        <f>VLOOKUP(revenue[customerID],customers[],9,FALSE)</f>
        <v>Spain</v>
      </c>
      <c r="F1768" s="24">
        <v>45356.0</v>
      </c>
      <c r="G1768" s="6">
        <v>76.0</v>
      </c>
      <c r="H1768" s="9" t="str">
        <f>VLOOKUP(revenue[productID],products[],2,FALSE)</f>
        <v>Lakkalikööri</v>
      </c>
      <c r="I1768" s="9" t="str">
        <f>VLOOKUP(revenue[productID],products[],12,FALSE)</f>
        <v>Beverages</v>
      </c>
      <c r="J1768" s="9">
        <f>VLOOKUP(revenue[productID],products[],IF(YEAR(revenue[orderDate])=2022,8,IF(YEAR(revenue[orderDate])=2023,9,IF(YEAR(revenue[orderDate])=2024,10,NA))),FALSE)</f>
        <v>12.15832249</v>
      </c>
      <c r="K1768" s="9">
        <v>18.0</v>
      </c>
      <c r="L1768" s="25">
        <f>(revenue[orderPrice]-revenue[productCost])/revenue[productCost]</f>
        <v>0.4804673928</v>
      </c>
      <c r="M1768" s="10">
        <v>5.0</v>
      </c>
      <c r="N1768" s="25">
        <v>0.0</v>
      </c>
      <c r="O1768" s="9">
        <f>revenue[orderPrice]*revenue[orderQuantity]</f>
        <v>90</v>
      </c>
      <c r="P1768" s="9">
        <f>revenue[orderTotal]*(1-revenue[discountApllied])</f>
        <v>90</v>
      </c>
      <c r="Q1768" s="9">
        <f>revenue[revenue]-(revenue[productCost]*revenue[orderQuantity])</f>
        <v>29.20838754</v>
      </c>
      <c r="R1768" s="25">
        <f>IFERROR(revenue[profit]/revenue[revenue], 0)</f>
        <v>0.3245376394</v>
      </c>
      <c r="S1768" s="9">
        <f>revenue[productCost]*revenue[orderQuantity]</f>
        <v>60.79161246</v>
      </c>
    </row>
    <row r="1769" ht="15.75" customHeight="1">
      <c r="A1769" s="6">
        <v>10929.0</v>
      </c>
      <c r="B1769" s="7" t="s">
        <v>32</v>
      </c>
      <c r="C1769" s="24" t="str">
        <f>VLOOKUP(revenue[customerID],customers[],2,FALSE)</f>
        <v>Frankenversand</v>
      </c>
      <c r="D1769" s="24" t="str">
        <f>VLOOKUP(revenue[customerID],customers[],6,FALSE)</f>
        <v>München</v>
      </c>
      <c r="E1769" s="24" t="str">
        <f>VLOOKUP(revenue[customerID],customers[],9,FALSE)</f>
        <v>Germany</v>
      </c>
      <c r="F1769" s="24">
        <v>45356.0</v>
      </c>
      <c r="G1769" s="6">
        <v>21.0</v>
      </c>
      <c r="H1769" s="9" t="str">
        <f>VLOOKUP(revenue[productID],products[],2,FALSE)</f>
        <v>Sir Rodney's Scones</v>
      </c>
      <c r="I1769" s="9" t="str">
        <f>VLOOKUP(revenue[productID],products[],12,FALSE)</f>
        <v>Confections</v>
      </c>
      <c r="J1769" s="9">
        <f>VLOOKUP(revenue[productID],products[],IF(YEAR(revenue[orderDate])=2022,8,IF(YEAR(revenue[orderDate])=2023,9,IF(YEAR(revenue[orderDate])=2024,10,NA))),FALSE)</f>
        <v>7.459897593</v>
      </c>
      <c r="K1769" s="9">
        <v>10.0</v>
      </c>
      <c r="L1769" s="25">
        <f>(revenue[orderPrice]-revenue[productCost])/revenue[productCost]</f>
        <v>0.3405009753</v>
      </c>
      <c r="M1769" s="10">
        <v>60.0</v>
      </c>
      <c r="N1769" s="25">
        <v>0.0</v>
      </c>
      <c r="O1769" s="9">
        <f>revenue[orderPrice]*revenue[orderQuantity]</f>
        <v>600</v>
      </c>
      <c r="P1769" s="9">
        <f>revenue[orderTotal]*(1-revenue[discountApllied])</f>
        <v>600</v>
      </c>
      <c r="Q1769" s="9">
        <f>revenue[revenue]-(revenue[productCost]*revenue[orderQuantity])</f>
        <v>152.4061444</v>
      </c>
      <c r="R1769" s="25">
        <f>IFERROR(revenue[profit]/revenue[revenue], 0)</f>
        <v>0.2540102407</v>
      </c>
      <c r="S1769" s="9">
        <f>revenue[productCost]*revenue[orderQuantity]</f>
        <v>447.5938556</v>
      </c>
    </row>
    <row r="1770" ht="15.75" customHeight="1">
      <c r="A1770" s="6">
        <v>10929.0</v>
      </c>
      <c r="B1770" s="7" t="s">
        <v>32</v>
      </c>
      <c r="C1770" s="24" t="str">
        <f>VLOOKUP(revenue[customerID],customers[],2,FALSE)</f>
        <v>Frankenversand</v>
      </c>
      <c r="D1770" s="24" t="str">
        <f>VLOOKUP(revenue[customerID],customers[],6,FALSE)</f>
        <v>München</v>
      </c>
      <c r="E1770" s="24" t="str">
        <f>VLOOKUP(revenue[customerID],customers[],9,FALSE)</f>
        <v>Germany</v>
      </c>
      <c r="F1770" s="24">
        <v>45356.0</v>
      </c>
      <c r="G1770" s="6">
        <v>75.0</v>
      </c>
      <c r="H1770" s="9" t="str">
        <f>VLOOKUP(revenue[productID],products[],2,FALSE)</f>
        <v>Rhönbräu Klosterbier</v>
      </c>
      <c r="I1770" s="9" t="str">
        <f>VLOOKUP(revenue[productID],products[],12,FALSE)</f>
        <v>Beverages</v>
      </c>
      <c r="J1770" s="9">
        <f>VLOOKUP(revenue[productID],products[],IF(YEAR(revenue[orderDate])=2022,8,IF(YEAR(revenue[orderDate])=2023,9,IF(YEAR(revenue[orderDate])=2024,10,NA))),FALSE)</f>
        <v>5.374051525</v>
      </c>
      <c r="K1770" s="9">
        <v>7.75</v>
      </c>
      <c r="L1770" s="25">
        <f>(revenue[orderPrice]-revenue[productCost])/revenue[productCost]</f>
        <v>0.4421149413</v>
      </c>
      <c r="M1770" s="10">
        <v>49.0</v>
      </c>
      <c r="N1770" s="25">
        <v>0.0</v>
      </c>
      <c r="O1770" s="9">
        <f>revenue[orderPrice]*revenue[orderQuantity]</f>
        <v>379.75</v>
      </c>
      <c r="P1770" s="9">
        <f>revenue[orderTotal]*(1-revenue[discountApllied])</f>
        <v>379.75</v>
      </c>
      <c r="Q1770" s="9">
        <f>revenue[revenue]-(revenue[productCost]*revenue[orderQuantity])</f>
        <v>116.4214753</v>
      </c>
      <c r="R1770" s="25">
        <f>IFERROR(revenue[profit]/revenue[revenue], 0)</f>
        <v>0.3065739967</v>
      </c>
      <c r="S1770" s="9">
        <f>revenue[productCost]*revenue[orderQuantity]</f>
        <v>263.3285247</v>
      </c>
    </row>
    <row r="1771" ht="15.75" customHeight="1">
      <c r="A1771" s="6">
        <v>10929.0</v>
      </c>
      <c r="B1771" s="7" t="s">
        <v>32</v>
      </c>
      <c r="C1771" s="24" t="str">
        <f>VLOOKUP(revenue[customerID],customers[],2,FALSE)</f>
        <v>Frankenversand</v>
      </c>
      <c r="D1771" s="24" t="str">
        <f>VLOOKUP(revenue[customerID],customers[],6,FALSE)</f>
        <v>München</v>
      </c>
      <c r="E1771" s="24" t="str">
        <f>VLOOKUP(revenue[customerID],customers[],9,FALSE)</f>
        <v>Germany</v>
      </c>
      <c r="F1771" s="24">
        <v>45356.0</v>
      </c>
      <c r="G1771" s="6">
        <v>77.0</v>
      </c>
      <c r="H1771" s="9" t="str">
        <f>VLOOKUP(revenue[productID],products[],2,FALSE)</f>
        <v>Original Frankfurter grüne Soße</v>
      </c>
      <c r="I1771" s="9" t="str">
        <f>VLOOKUP(revenue[productID],products[],12,FALSE)</f>
        <v>Condiments</v>
      </c>
      <c r="J1771" s="9">
        <f>VLOOKUP(revenue[productID],products[],IF(YEAR(revenue[orderDate])=2022,8,IF(YEAR(revenue[orderDate])=2023,9,IF(YEAR(revenue[orderDate])=2024,10,NA))),FALSE)</f>
        <v>9.299025151</v>
      </c>
      <c r="K1771" s="9">
        <v>13.0</v>
      </c>
      <c r="L1771" s="25">
        <f>(revenue[orderPrice]-revenue[productCost])/revenue[productCost]</f>
        <v>0.3979960037</v>
      </c>
      <c r="M1771" s="10">
        <v>15.0</v>
      </c>
      <c r="N1771" s="25">
        <v>0.0</v>
      </c>
      <c r="O1771" s="9">
        <f>revenue[orderPrice]*revenue[orderQuantity]</f>
        <v>195</v>
      </c>
      <c r="P1771" s="9">
        <f>revenue[orderTotal]*(1-revenue[discountApllied])</f>
        <v>195</v>
      </c>
      <c r="Q1771" s="9">
        <f>revenue[revenue]-(revenue[productCost]*revenue[orderQuantity])</f>
        <v>55.51462273</v>
      </c>
      <c r="R1771" s="25">
        <f>IFERROR(revenue[profit]/revenue[revenue], 0)</f>
        <v>0.284690373</v>
      </c>
      <c r="S1771" s="9">
        <f>revenue[productCost]*revenue[orderQuantity]</f>
        <v>139.4853773</v>
      </c>
    </row>
    <row r="1772" ht="15.75" customHeight="1">
      <c r="A1772" s="6">
        <v>10930.0</v>
      </c>
      <c r="B1772" s="7" t="s">
        <v>19</v>
      </c>
      <c r="C1772" s="24" t="str">
        <f>VLOOKUP(revenue[customerID],customers[],2,FALSE)</f>
        <v>Suprêmes délices</v>
      </c>
      <c r="D1772" s="24" t="str">
        <f>VLOOKUP(revenue[customerID],customers[],6,FALSE)</f>
        <v>Charleroi</v>
      </c>
      <c r="E1772" s="24" t="str">
        <f>VLOOKUP(revenue[customerID],customers[],9,FALSE)</f>
        <v>Belgium</v>
      </c>
      <c r="F1772" s="24">
        <v>45357.0</v>
      </c>
      <c r="G1772" s="6">
        <v>21.0</v>
      </c>
      <c r="H1772" s="9" t="str">
        <f>VLOOKUP(revenue[productID],products[],2,FALSE)</f>
        <v>Sir Rodney's Scones</v>
      </c>
      <c r="I1772" s="9" t="str">
        <f>VLOOKUP(revenue[productID],products[],12,FALSE)</f>
        <v>Confections</v>
      </c>
      <c r="J1772" s="9">
        <f>VLOOKUP(revenue[productID],products[],IF(YEAR(revenue[orderDate])=2022,8,IF(YEAR(revenue[orderDate])=2023,9,IF(YEAR(revenue[orderDate])=2024,10,NA))),FALSE)</f>
        <v>7.459897593</v>
      </c>
      <c r="K1772" s="9">
        <v>10.0</v>
      </c>
      <c r="L1772" s="25">
        <f>(revenue[orderPrice]-revenue[productCost])/revenue[productCost]</f>
        <v>0.3405009753</v>
      </c>
      <c r="M1772" s="10">
        <v>36.0</v>
      </c>
      <c r="N1772" s="25">
        <v>0.0</v>
      </c>
      <c r="O1772" s="9">
        <f>revenue[orderPrice]*revenue[orderQuantity]</f>
        <v>360</v>
      </c>
      <c r="P1772" s="9">
        <f>revenue[orderTotal]*(1-revenue[discountApllied])</f>
        <v>360</v>
      </c>
      <c r="Q1772" s="9">
        <f>revenue[revenue]-(revenue[productCost]*revenue[orderQuantity])</f>
        <v>91.44368663</v>
      </c>
      <c r="R1772" s="25">
        <f>IFERROR(revenue[profit]/revenue[revenue], 0)</f>
        <v>0.2540102407</v>
      </c>
      <c r="S1772" s="9">
        <f>revenue[productCost]*revenue[orderQuantity]</f>
        <v>268.5563134</v>
      </c>
    </row>
    <row r="1773" ht="15.75" customHeight="1">
      <c r="A1773" s="6">
        <v>10930.0</v>
      </c>
      <c r="B1773" s="7" t="s">
        <v>19</v>
      </c>
      <c r="C1773" s="24" t="str">
        <f>VLOOKUP(revenue[customerID],customers[],2,FALSE)</f>
        <v>Suprêmes délices</v>
      </c>
      <c r="D1773" s="24" t="str">
        <f>VLOOKUP(revenue[customerID],customers[],6,FALSE)</f>
        <v>Charleroi</v>
      </c>
      <c r="E1773" s="24" t="str">
        <f>VLOOKUP(revenue[customerID],customers[],9,FALSE)</f>
        <v>Belgium</v>
      </c>
      <c r="F1773" s="24">
        <v>45357.0</v>
      </c>
      <c r="G1773" s="6">
        <v>27.0</v>
      </c>
      <c r="H1773" s="9" t="str">
        <f>VLOOKUP(revenue[productID],products[],2,FALSE)</f>
        <v>Schoggi Schokolade</v>
      </c>
      <c r="I1773" s="9" t="str">
        <f>VLOOKUP(revenue[productID],products[],12,FALSE)</f>
        <v>Confections</v>
      </c>
      <c r="J1773" s="9">
        <f>VLOOKUP(revenue[productID],products[],IF(YEAR(revenue[orderDate])=2022,8,IF(YEAR(revenue[orderDate])=2023,9,IF(YEAR(revenue[orderDate])=2024,10,NA))),FALSE)</f>
        <v>33.69297986</v>
      </c>
      <c r="K1773" s="9">
        <v>43.9</v>
      </c>
      <c r="L1773" s="25">
        <f>(revenue[orderPrice]-revenue[productCost])/revenue[productCost]</f>
        <v>0.3029420426</v>
      </c>
      <c r="M1773" s="10">
        <v>25.0</v>
      </c>
      <c r="N1773" s="25">
        <v>0.0</v>
      </c>
      <c r="O1773" s="9">
        <f>revenue[orderPrice]*revenue[orderQuantity]</f>
        <v>1097.5</v>
      </c>
      <c r="P1773" s="9">
        <f>revenue[orderTotal]*(1-revenue[discountApllied])</f>
        <v>1097.5</v>
      </c>
      <c r="Q1773" s="9">
        <f>revenue[revenue]-(revenue[productCost]*revenue[orderQuantity])</f>
        <v>255.1755035</v>
      </c>
      <c r="R1773" s="25">
        <f>IFERROR(revenue[profit]/revenue[revenue], 0)</f>
        <v>0.2325061535</v>
      </c>
      <c r="S1773" s="9">
        <f>revenue[productCost]*revenue[orderQuantity]</f>
        <v>842.3244965</v>
      </c>
    </row>
    <row r="1774" ht="15.75" customHeight="1">
      <c r="A1774" s="6">
        <v>10930.0</v>
      </c>
      <c r="B1774" s="7" t="s">
        <v>19</v>
      </c>
      <c r="C1774" s="24" t="str">
        <f>VLOOKUP(revenue[customerID],customers[],2,FALSE)</f>
        <v>Suprêmes délices</v>
      </c>
      <c r="D1774" s="24" t="str">
        <f>VLOOKUP(revenue[customerID],customers[],6,FALSE)</f>
        <v>Charleroi</v>
      </c>
      <c r="E1774" s="24" t="str">
        <f>VLOOKUP(revenue[customerID],customers[],9,FALSE)</f>
        <v>Belgium</v>
      </c>
      <c r="F1774" s="24">
        <v>45357.0</v>
      </c>
      <c r="G1774" s="6">
        <v>55.0</v>
      </c>
      <c r="H1774" s="9" t="str">
        <f>VLOOKUP(revenue[productID],products[],2,FALSE)</f>
        <v>Pâté chinois</v>
      </c>
      <c r="I1774" s="9" t="str">
        <f>VLOOKUP(revenue[productID],products[],12,FALSE)</f>
        <v>Meat/Poultry</v>
      </c>
      <c r="J1774" s="9">
        <f>VLOOKUP(revenue[productID],products[],IF(YEAR(revenue[orderDate])=2022,8,IF(YEAR(revenue[orderDate])=2023,9,IF(YEAR(revenue[orderDate])=2024,10,NA))),FALSE)</f>
        <v>16.95998522</v>
      </c>
      <c r="K1774" s="9">
        <v>24.0</v>
      </c>
      <c r="L1774" s="25">
        <f>(revenue[orderPrice]-revenue[productCost])/revenue[productCost]</f>
        <v>0.4150955727</v>
      </c>
      <c r="M1774" s="10">
        <v>25.0</v>
      </c>
      <c r="N1774" s="25">
        <v>0.2</v>
      </c>
      <c r="O1774" s="9">
        <f>revenue[orderPrice]*revenue[orderQuantity]</f>
        <v>600</v>
      </c>
      <c r="P1774" s="9">
        <f>revenue[orderTotal]*(1-revenue[discountApllied])</f>
        <v>480</v>
      </c>
      <c r="Q1774" s="9">
        <f>revenue[revenue]-(revenue[productCost]*revenue[orderQuantity])</f>
        <v>56.00036947</v>
      </c>
      <c r="R1774" s="25">
        <f>IFERROR(revenue[profit]/revenue[revenue], 0)</f>
        <v>0.1166674364</v>
      </c>
      <c r="S1774" s="9">
        <f>revenue[productCost]*revenue[orderQuantity]</f>
        <v>423.9996305</v>
      </c>
    </row>
    <row r="1775" ht="15.75" customHeight="1">
      <c r="A1775" s="6">
        <v>10930.0</v>
      </c>
      <c r="B1775" s="7" t="s">
        <v>19</v>
      </c>
      <c r="C1775" s="24" t="str">
        <f>VLOOKUP(revenue[customerID],customers[],2,FALSE)</f>
        <v>Suprêmes délices</v>
      </c>
      <c r="D1775" s="24" t="str">
        <f>VLOOKUP(revenue[customerID],customers[],6,FALSE)</f>
        <v>Charleroi</v>
      </c>
      <c r="E1775" s="24" t="str">
        <f>VLOOKUP(revenue[customerID],customers[],9,FALSE)</f>
        <v>Belgium</v>
      </c>
      <c r="F1775" s="24">
        <v>45357.0</v>
      </c>
      <c r="G1775" s="6">
        <v>58.0</v>
      </c>
      <c r="H1775" s="9" t="str">
        <f>VLOOKUP(revenue[productID],products[],2,FALSE)</f>
        <v>Escargots de Bourgogne</v>
      </c>
      <c r="I1775" s="9" t="str">
        <f>VLOOKUP(revenue[productID],products[],12,FALSE)</f>
        <v>Seafood</v>
      </c>
      <c r="J1775" s="9">
        <f>VLOOKUP(revenue[productID],products[],IF(YEAR(revenue[orderDate])=2022,8,IF(YEAR(revenue[orderDate])=2023,9,IF(YEAR(revenue[orderDate])=2024,10,NA))),FALSE)</f>
        <v>8.683102193</v>
      </c>
      <c r="K1775" s="9">
        <v>13.25</v>
      </c>
      <c r="L1775" s="25">
        <f>(revenue[orderPrice]-revenue[productCost])/revenue[productCost]</f>
        <v>0.5259523274</v>
      </c>
      <c r="M1775" s="10">
        <v>30.0</v>
      </c>
      <c r="N1775" s="25">
        <v>0.2</v>
      </c>
      <c r="O1775" s="9">
        <f>revenue[orderPrice]*revenue[orderQuantity]</f>
        <v>397.5</v>
      </c>
      <c r="P1775" s="9">
        <f>revenue[orderTotal]*(1-revenue[discountApllied])</f>
        <v>318</v>
      </c>
      <c r="Q1775" s="9">
        <f>revenue[revenue]-(revenue[productCost]*revenue[orderQuantity])</f>
        <v>57.50693422</v>
      </c>
      <c r="R1775" s="25">
        <f>IFERROR(revenue[profit]/revenue[revenue], 0)</f>
        <v>0.1808394158</v>
      </c>
      <c r="S1775" s="9">
        <f>revenue[productCost]*revenue[orderQuantity]</f>
        <v>260.4930658</v>
      </c>
    </row>
    <row r="1776" ht="15.75" customHeight="1">
      <c r="A1776" s="6">
        <v>10931.0</v>
      </c>
      <c r="B1776" s="7" t="s">
        <v>21</v>
      </c>
      <c r="C1776" s="24" t="str">
        <f>VLOOKUP(revenue[customerID],customers[],2,FALSE)</f>
        <v>Richter Supermarkt</v>
      </c>
      <c r="D1776" s="24" t="str">
        <f>VLOOKUP(revenue[customerID],customers[],6,FALSE)</f>
        <v>Genève</v>
      </c>
      <c r="E1776" s="24" t="str">
        <f>VLOOKUP(revenue[customerID],customers[],9,FALSE)</f>
        <v>Switzerland</v>
      </c>
      <c r="F1776" s="24">
        <v>45357.0</v>
      </c>
      <c r="G1776" s="6">
        <v>13.0</v>
      </c>
      <c r="H1776" s="9" t="str">
        <f>VLOOKUP(revenue[productID],products[],2,FALSE)</f>
        <v>Konbu</v>
      </c>
      <c r="I1776" s="9" t="str">
        <f>VLOOKUP(revenue[productID],products[],12,FALSE)</f>
        <v>Seafood</v>
      </c>
      <c r="J1776" s="9">
        <f>VLOOKUP(revenue[productID],products[],IF(YEAR(revenue[orderDate])=2022,8,IF(YEAR(revenue[orderDate])=2023,9,IF(YEAR(revenue[orderDate])=2024,10,NA))),FALSE)</f>
        <v>3.966387047</v>
      </c>
      <c r="K1776" s="9">
        <v>6.0</v>
      </c>
      <c r="L1776" s="25">
        <f>(revenue[orderPrice]-revenue[productCost])/revenue[productCost]</f>
        <v>0.5127116768</v>
      </c>
      <c r="M1776" s="10">
        <v>42.0</v>
      </c>
      <c r="N1776" s="25">
        <v>0.15</v>
      </c>
      <c r="O1776" s="9">
        <f>revenue[orderPrice]*revenue[orderQuantity]</f>
        <v>252</v>
      </c>
      <c r="P1776" s="9">
        <f>revenue[orderTotal]*(1-revenue[discountApllied])</f>
        <v>214.2</v>
      </c>
      <c r="Q1776" s="9">
        <f>revenue[revenue]-(revenue[productCost]*revenue[orderQuantity])</f>
        <v>47.61174404</v>
      </c>
      <c r="R1776" s="25">
        <f>IFERROR(revenue[profit]/revenue[revenue], 0)</f>
        <v>0.2222770497</v>
      </c>
      <c r="S1776" s="9">
        <f>revenue[productCost]*revenue[orderQuantity]</f>
        <v>166.588256</v>
      </c>
    </row>
    <row r="1777" ht="15.75" customHeight="1">
      <c r="A1777" s="6">
        <v>10931.0</v>
      </c>
      <c r="B1777" s="7" t="s">
        <v>21</v>
      </c>
      <c r="C1777" s="24" t="str">
        <f>VLOOKUP(revenue[customerID],customers[],2,FALSE)</f>
        <v>Richter Supermarkt</v>
      </c>
      <c r="D1777" s="24" t="str">
        <f>VLOOKUP(revenue[customerID],customers[],6,FALSE)</f>
        <v>Genève</v>
      </c>
      <c r="E1777" s="24" t="str">
        <f>VLOOKUP(revenue[customerID],customers[],9,FALSE)</f>
        <v>Switzerland</v>
      </c>
      <c r="F1777" s="24">
        <v>45357.0</v>
      </c>
      <c r="G1777" s="6">
        <v>57.0</v>
      </c>
      <c r="H1777" s="9" t="str">
        <f>VLOOKUP(revenue[productID],products[],2,FALSE)</f>
        <v>Ravioli Angelo</v>
      </c>
      <c r="I1777" s="9" t="str">
        <f>VLOOKUP(revenue[productID],products[],12,FALSE)</f>
        <v>Grains/Cereals</v>
      </c>
      <c r="J1777" s="9">
        <f>VLOOKUP(revenue[productID],products[],IF(YEAR(revenue[orderDate])=2022,8,IF(YEAR(revenue[orderDate])=2023,9,IF(YEAR(revenue[orderDate])=2024,10,NA))),FALSE)</f>
        <v>14.29534762</v>
      </c>
      <c r="K1777" s="9">
        <v>19.5</v>
      </c>
      <c r="L1777" s="25">
        <f>(revenue[orderPrice]-revenue[productCost])/revenue[productCost]</f>
        <v>0.3640801552</v>
      </c>
      <c r="M1777" s="10">
        <v>30.0</v>
      </c>
      <c r="N1777" s="25">
        <v>0.0</v>
      </c>
      <c r="O1777" s="9">
        <f>revenue[orderPrice]*revenue[orderQuantity]</f>
        <v>585</v>
      </c>
      <c r="P1777" s="9">
        <f>revenue[orderTotal]*(1-revenue[discountApllied])</f>
        <v>585</v>
      </c>
      <c r="Q1777" s="9">
        <f>revenue[revenue]-(revenue[productCost]*revenue[orderQuantity])</f>
        <v>156.1395714</v>
      </c>
      <c r="R1777" s="25">
        <f>IFERROR(revenue[profit]/revenue[revenue], 0)</f>
        <v>0.2669052503</v>
      </c>
      <c r="S1777" s="9">
        <f>revenue[productCost]*revenue[orderQuantity]</f>
        <v>428.8604286</v>
      </c>
    </row>
    <row r="1778" ht="15.75" customHeight="1">
      <c r="A1778" s="6">
        <v>10932.0</v>
      </c>
      <c r="B1778" s="7" t="s">
        <v>63</v>
      </c>
      <c r="C1778" s="24" t="str">
        <f>VLOOKUP(revenue[customerID],customers[],2,FALSE)</f>
        <v>Bon app'</v>
      </c>
      <c r="D1778" s="24" t="str">
        <f>VLOOKUP(revenue[customerID],customers[],6,FALSE)</f>
        <v>Marseille</v>
      </c>
      <c r="E1778" s="24" t="str">
        <f>VLOOKUP(revenue[customerID],customers[],9,FALSE)</f>
        <v>France</v>
      </c>
      <c r="F1778" s="24">
        <v>45357.0</v>
      </c>
      <c r="G1778" s="6">
        <v>16.0</v>
      </c>
      <c r="H1778" s="9" t="str">
        <f>VLOOKUP(revenue[productID],products[],2,FALSE)</f>
        <v>Pavlova</v>
      </c>
      <c r="I1778" s="9" t="str">
        <f>VLOOKUP(revenue[productID],products[],12,FALSE)</f>
        <v>Confections</v>
      </c>
      <c r="J1778" s="9">
        <f>VLOOKUP(revenue[productID],products[],IF(YEAR(revenue[orderDate])=2022,8,IF(YEAR(revenue[orderDate])=2023,9,IF(YEAR(revenue[orderDate])=2024,10,NA))),FALSE)</f>
        <v>12.68283974</v>
      </c>
      <c r="K1778" s="9">
        <v>17.45</v>
      </c>
      <c r="L1778" s="25">
        <f>(revenue[orderPrice]-revenue[productCost])/revenue[productCost]</f>
        <v>0.3758748323</v>
      </c>
      <c r="M1778" s="10">
        <v>30.0</v>
      </c>
      <c r="N1778" s="25">
        <v>0.1</v>
      </c>
      <c r="O1778" s="9">
        <f>revenue[orderPrice]*revenue[orderQuantity]</f>
        <v>523.5</v>
      </c>
      <c r="P1778" s="9">
        <f>revenue[orderTotal]*(1-revenue[discountApllied])</f>
        <v>471.15</v>
      </c>
      <c r="Q1778" s="9">
        <f>revenue[revenue]-(revenue[productCost]*revenue[orderQuantity])</f>
        <v>90.66480781</v>
      </c>
      <c r="R1778" s="25">
        <f>IFERROR(revenue[profit]/revenue[revenue], 0)</f>
        <v>0.1924329997</v>
      </c>
      <c r="S1778" s="9">
        <f>revenue[productCost]*revenue[orderQuantity]</f>
        <v>380.4851922</v>
      </c>
    </row>
    <row r="1779" ht="15.75" customHeight="1">
      <c r="A1779" s="6">
        <v>10932.0</v>
      </c>
      <c r="B1779" s="7" t="s">
        <v>63</v>
      </c>
      <c r="C1779" s="24" t="str">
        <f>VLOOKUP(revenue[customerID],customers[],2,FALSE)</f>
        <v>Bon app'</v>
      </c>
      <c r="D1779" s="24" t="str">
        <f>VLOOKUP(revenue[customerID],customers[],6,FALSE)</f>
        <v>Marseille</v>
      </c>
      <c r="E1779" s="24" t="str">
        <f>VLOOKUP(revenue[customerID],customers[],9,FALSE)</f>
        <v>France</v>
      </c>
      <c r="F1779" s="24">
        <v>45357.0</v>
      </c>
      <c r="G1779" s="6">
        <v>62.0</v>
      </c>
      <c r="H1779" s="9" t="str">
        <f>VLOOKUP(revenue[productID],products[],2,FALSE)</f>
        <v>Tarte au sucre</v>
      </c>
      <c r="I1779" s="9" t="str">
        <f>VLOOKUP(revenue[productID],products[],12,FALSE)</f>
        <v>Confections</v>
      </c>
      <c r="J1779" s="9">
        <f>VLOOKUP(revenue[productID],products[],IF(YEAR(revenue[orderDate])=2022,8,IF(YEAR(revenue[orderDate])=2023,9,IF(YEAR(revenue[orderDate])=2024,10,NA))),FALSE)</f>
        <v>34.88145014</v>
      </c>
      <c r="K1779" s="9">
        <v>49.3</v>
      </c>
      <c r="L1779" s="25">
        <f>(revenue[orderPrice]-revenue[productCost])/revenue[productCost]</f>
        <v>0.4133586705</v>
      </c>
      <c r="M1779" s="10">
        <v>14.0</v>
      </c>
      <c r="N1779" s="25">
        <v>0.1</v>
      </c>
      <c r="O1779" s="9">
        <f>revenue[orderPrice]*revenue[orderQuantity]</f>
        <v>690.2</v>
      </c>
      <c r="P1779" s="9">
        <f>revenue[orderTotal]*(1-revenue[discountApllied])</f>
        <v>621.18</v>
      </c>
      <c r="Q1779" s="9">
        <f>revenue[revenue]-(revenue[productCost]*revenue[orderQuantity])</f>
        <v>132.839698</v>
      </c>
      <c r="R1779" s="25">
        <f>IFERROR(revenue[profit]/revenue[revenue], 0)</f>
        <v>0.2138505715</v>
      </c>
      <c r="S1779" s="9">
        <f>revenue[productCost]*revenue[orderQuantity]</f>
        <v>488.340302</v>
      </c>
    </row>
    <row r="1780" ht="15.75" customHeight="1">
      <c r="A1780" s="6">
        <v>10932.0</v>
      </c>
      <c r="B1780" s="7" t="s">
        <v>63</v>
      </c>
      <c r="C1780" s="24" t="str">
        <f>VLOOKUP(revenue[customerID],customers[],2,FALSE)</f>
        <v>Bon app'</v>
      </c>
      <c r="D1780" s="24" t="str">
        <f>VLOOKUP(revenue[customerID],customers[],6,FALSE)</f>
        <v>Marseille</v>
      </c>
      <c r="E1780" s="24" t="str">
        <f>VLOOKUP(revenue[customerID],customers[],9,FALSE)</f>
        <v>France</v>
      </c>
      <c r="F1780" s="24">
        <v>45357.0</v>
      </c>
      <c r="G1780" s="6">
        <v>72.0</v>
      </c>
      <c r="H1780" s="9" t="str">
        <f>VLOOKUP(revenue[productID],products[],2,FALSE)</f>
        <v>Mozzarella di Giovanni</v>
      </c>
      <c r="I1780" s="9" t="str">
        <f>VLOOKUP(revenue[productID],products[],12,FALSE)</f>
        <v>Dairy Products</v>
      </c>
      <c r="J1780" s="9">
        <f>VLOOKUP(revenue[productID],products[],IF(YEAR(revenue[orderDate])=2022,8,IF(YEAR(revenue[orderDate])=2023,9,IF(YEAR(revenue[orderDate])=2024,10,NA))),FALSE)</f>
        <v>24.35057898</v>
      </c>
      <c r="K1780" s="9">
        <v>34.8</v>
      </c>
      <c r="L1780" s="25">
        <f>(revenue[orderPrice]-revenue[productCost])/revenue[productCost]</f>
        <v>0.4291241297</v>
      </c>
      <c r="M1780" s="10">
        <v>16.0</v>
      </c>
      <c r="N1780" s="25">
        <v>0.0</v>
      </c>
      <c r="O1780" s="9">
        <f>revenue[orderPrice]*revenue[orderQuantity]</f>
        <v>556.8</v>
      </c>
      <c r="P1780" s="9">
        <f>revenue[orderTotal]*(1-revenue[discountApllied])</f>
        <v>556.8</v>
      </c>
      <c r="Q1780" s="9">
        <f>revenue[revenue]-(revenue[productCost]*revenue[orderQuantity])</f>
        <v>167.1907362</v>
      </c>
      <c r="R1780" s="25">
        <f>IFERROR(revenue[profit]/revenue[revenue], 0)</f>
        <v>0.3002707188</v>
      </c>
      <c r="S1780" s="9">
        <f>revenue[productCost]*revenue[orderQuantity]</f>
        <v>389.6092638</v>
      </c>
    </row>
    <row r="1781" ht="15.75" customHeight="1">
      <c r="A1781" s="6">
        <v>10932.0</v>
      </c>
      <c r="B1781" s="7" t="s">
        <v>63</v>
      </c>
      <c r="C1781" s="24" t="str">
        <f>VLOOKUP(revenue[customerID],customers[],2,FALSE)</f>
        <v>Bon app'</v>
      </c>
      <c r="D1781" s="24" t="str">
        <f>VLOOKUP(revenue[customerID],customers[],6,FALSE)</f>
        <v>Marseille</v>
      </c>
      <c r="E1781" s="24" t="str">
        <f>VLOOKUP(revenue[customerID],customers[],9,FALSE)</f>
        <v>France</v>
      </c>
      <c r="F1781" s="24">
        <v>45357.0</v>
      </c>
      <c r="G1781" s="6">
        <v>75.0</v>
      </c>
      <c r="H1781" s="9" t="str">
        <f>VLOOKUP(revenue[productID],products[],2,FALSE)</f>
        <v>Rhönbräu Klosterbier</v>
      </c>
      <c r="I1781" s="9" t="str">
        <f>VLOOKUP(revenue[productID],products[],12,FALSE)</f>
        <v>Beverages</v>
      </c>
      <c r="J1781" s="9">
        <f>VLOOKUP(revenue[productID],products[],IF(YEAR(revenue[orderDate])=2022,8,IF(YEAR(revenue[orderDate])=2023,9,IF(YEAR(revenue[orderDate])=2024,10,NA))),FALSE)</f>
        <v>5.374051525</v>
      </c>
      <c r="K1781" s="9">
        <v>7.75</v>
      </c>
      <c r="L1781" s="25">
        <f>(revenue[orderPrice]-revenue[productCost])/revenue[productCost]</f>
        <v>0.4421149413</v>
      </c>
      <c r="M1781" s="10">
        <v>20.0</v>
      </c>
      <c r="N1781" s="25">
        <v>0.1</v>
      </c>
      <c r="O1781" s="9">
        <f>revenue[orderPrice]*revenue[orderQuantity]</f>
        <v>155</v>
      </c>
      <c r="P1781" s="9">
        <f>revenue[orderTotal]*(1-revenue[discountApllied])</f>
        <v>139.5</v>
      </c>
      <c r="Q1781" s="9">
        <f>revenue[revenue]-(revenue[productCost]*revenue[orderQuantity])</f>
        <v>32.01896949</v>
      </c>
      <c r="R1781" s="25">
        <f>IFERROR(revenue[profit]/revenue[revenue], 0)</f>
        <v>0.229526663</v>
      </c>
      <c r="S1781" s="9">
        <f>revenue[productCost]*revenue[orderQuantity]</f>
        <v>107.4810305</v>
      </c>
    </row>
    <row r="1782" ht="15.75" customHeight="1">
      <c r="A1782" s="6">
        <v>10933.0</v>
      </c>
      <c r="B1782" s="7" t="s">
        <v>57</v>
      </c>
      <c r="C1782" s="24" t="str">
        <f>VLOOKUP(revenue[customerID],customers[],2,FALSE)</f>
        <v>Island Trading</v>
      </c>
      <c r="D1782" s="24" t="str">
        <f>VLOOKUP(revenue[customerID],customers[],6,FALSE)</f>
        <v>Cowes</v>
      </c>
      <c r="E1782" s="24" t="str">
        <f>VLOOKUP(revenue[customerID],customers[],9,FALSE)</f>
        <v>UK</v>
      </c>
      <c r="F1782" s="24">
        <v>45357.0</v>
      </c>
      <c r="G1782" s="6">
        <v>53.0</v>
      </c>
      <c r="H1782" s="9" t="str">
        <f>VLOOKUP(revenue[productID],products[],2,FALSE)</f>
        <v>Perth Pasties</v>
      </c>
      <c r="I1782" s="9" t="str">
        <f>VLOOKUP(revenue[productID],products[],12,FALSE)</f>
        <v>Meat/Poultry</v>
      </c>
      <c r="J1782" s="9">
        <f>VLOOKUP(revenue[productID],products[],IF(YEAR(revenue[orderDate])=2022,8,IF(YEAR(revenue[orderDate])=2023,9,IF(YEAR(revenue[orderDate])=2024,10,NA))),FALSE)</f>
        <v>22.92637057</v>
      </c>
      <c r="K1782" s="9">
        <v>32.8</v>
      </c>
      <c r="L1782" s="25">
        <f>(revenue[orderPrice]-revenue[productCost])/revenue[productCost]</f>
        <v>0.4306669216</v>
      </c>
      <c r="M1782" s="10">
        <v>2.0</v>
      </c>
      <c r="N1782" s="25">
        <v>0.0</v>
      </c>
      <c r="O1782" s="9">
        <f>revenue[orderPrice]*revenue[orderQuantity]</f>
        <v>65.6</v>
      </c>
      <c r="P1782" s="9">
        <f>revenue[orderTotal]*(1-revenue[discountApllied])</f>
        <v>65.6</v>
      </c>
      <c r="Q1782" s="9">
        <f>revenue[revenue]-(revenue[productCost]*revenue[orderQuantity])</f>
        <v>19.74725887</v>
      </c>
      <c r="R1782" s="25">
        <f>IFERROR(revenue[profit]/revenue[revenue], 0)</f>
        <v>0.3010252876</v>
      </c>
      <c r="S1782" s="9">
        <f>revenue[productCost]*revenue[orderQuantity]</f>
        <v>45.85274113</v>
      </c>
    </row>
    <row r="1783" ht="15.75" customHeight="1">
      <c r="A1783" s="6">
        <v>10933.0</v>
      </c>
      <c r="B1783" s="7" t="s">
        <v>57</v>
      </c>
      <c r="C1783" s="24" t="str">
        <f>VLOOKUP(revenue[customerID],customers[],2,FALSE)</f>
        <v>Island Trading</v>
      </c>
      <c r="D1783" s="24" t="str">
        <f>VLOOKUP(revenue[customerID],customers[],6,FALSE)</f>
        <v>Cowes</v>
      </c>
      <c r="E1783" s="24" t="str">
        <f>VLOOKUP(revenue[customerID],customers[],9,FALSE)</f>
        <v>UK</v>
      </c>
      <c r="F1783" s="24">
        <v>45357.0</v>
      </c>
      <c r="G1783" s="6">
        <v>61.0</v>
      </c>
      <c r="H1783" s="9" t="str">
        <f>VLOOKUP(revenue[productID],products[],2,FALSE)</f>
        <v>Sirop d'érable</v>
      </c>
      <c r="I1783" s="9" t="str">
        <f>VLOOKUP(revenue[productID],products[],12,FALSE)</f>
        <v>Condiments</v>
      </c>
      <c r="J1783" s="9">
        <f>VLOOKUP(revenue[productID],products[],IF(YEAR(revenue[orderDate])=2022,8,IF(YEAR(revenue[orderDate])=2023,9,IF(YEAR(revenue[orderDate])=2024,10,NA))),FALSE)</f>
        <v>18.74487379</v>
      </c>
      <c r="K1783" s="9">
        <v>28.5</v>
      </c>
      <c r="L1783" s="25">
        <f>(revenue[orderPrice]-revenue[productCost])/revenue[productCost]</f>
        <v>0.5204156786</v>
      </c>
      <c r="M1783" s="10">
        <v>30.0</v>
      </c>
      <c r="N1783" s="25">
        <v>0.0</v>
      </c>
      <c r="O1783" s="9">
        <f>revenue[orderPrice]*revenue[orderQuantity]</f>
        <v>855</v>
      </c>
      <c r="P1783" s="9">
        <f>revenue[orderTotal]*(1-revenue[discountApllied])</f>
        <v>855</v>
      </c>
      <c r="Q1783" s="9">
        <f>revenue[revenue]-(revenue[productCost]*revenue[orderQuantity])</f>
        <v>292.6537864</v>
      </c>
      <c r="R1783" s="25">
        <f>IFERROR(revenue[profit]/revenue[revenue], 0)</f>
        <v>0.3422851303</v>
      </c>
      <c r="S1783" s="9">
        <f>revenue[productCost]*revenue[orderQuantity]</f>
        <v>562.3462136</v>
      </c>
    </row>
    <row r="1784" ht="15.75" customHeight="1">
      <c r="A1784" s="6">
        <v>10934.0</v>
      </c>
      <c r="B1784" s="7" t="s">
        <v>41</v>
      </c>
      <c r="C1784" s="24" t="str">
        <f>VLOOKUP(revenue[customerID],customers[],2,FALSE)</f>
        <v>Lehmanns Marktstand</v>
      </c>
      <c r="D1784" s="24" t="str">
        <f>VLOOKUP(revenue[customerID],customers[],6,FALSE)</f>
        <v>Frankfurt a.M.</v>
      </c>
      <c r="E1784" s="24" t="str">
        <f>VLOOKUP(revenue[customerID],customers[],9,FALSE)</f>
        <v>Germany</v>
      </c>
      <c r="F1784" s="24">
        <v>45360.0</v>
      </c>
      <c r="G1784" s="6">
        <v>6.0</v>
      </c>
      <c r="H1784" s="9" t="str">
        <f>VLOOKUP(revenue[productID],products[],2,FALSE)</f>
        <v>Grandma's Boysenberry Spread</v>
      </c>
      <c r="I1784" s="9" t="str">
        <f>VLOOKUP(revenue[productID],products[],12,FALSE)</f>
        <v>Condiments</v>
      </c>
      <c r="J1784" s="9">
        <f>VLOOKUP(revenue[productID],products[],IF(YEAR(revenue[orderDate])=2022,8,IF(YEAR(revenue[orderDate])=2023,9,IF(YEAR(revenue[orderDate])=2024,10,NA))),FALSE)</f>
        <v>17.2416593</v>
      </c>
      <c r="K1784" s="9">
        <v>25.0</v>
      </c>
      <c r="L1784" s="25">
        <f>(revenue[orderPrice]-revenue[productCost])/revenue[productCost]</f>
        <v>0.4499764532</v>
      </c>
      <c r="M1784" s="10">
        <v>20.0</v>
      </c>
      <c r="N1784" s="25">
        <v>0.0</v>
      </c>
      <c r="O1784" s="9">
        <f>revenue[orderPrice]*revenue[orderQuantity]</f>
        <v>500</v>
      </c>
      <c r="P1784" s="9">
        <f>revenue[orderTotal]*(1-revenue[discountApllied])</f>
        <v>500</v>
      </c>
      <c r="Q1784" s="9">
        <f>revenue[revenue]-(revenue[productCost]*revenue[orderQuantity])</f>
        <v>155.166814</v>
      </c>
      <c r="R1784" s="25">
        <f>IFERROR(revenue[profit]/revenue[revenue], 0)</f>
        <v>0.310333628</v>
      </c>
      <c r="S1784" s="9">
        <f>revenue[productCost]*revenue[orderQuantity]</f>
        <v>344.833186</v>
      </c>
    </row>
    <row r="1785" ht="15.75" customHeight="1">
      <c r="A1785" s="6">
        <v>10935.0</v>
      </c>
      <c r="B1785" s="7" t="s">
        <v>22</v>
      </c>
      <c r="C1785" s="24" t="str">
        <f>VLOOKUP(revenue[customerID],customers[],2,FALSE)</f>
        <v>Wellington Importadora</v>
      </c>
      <c r="D1785" s="24" t="str">
        <f>VLOOKUP(revenue[customerID],customers[],6,FALSE)</f>
        <v>Resende</v>
      </c>
      <c r="E1785" s="24" t="str">
        <f>VLOOKUP(revenue[customerID],customers[],9,FALSE)</f>
        <v>Brazil</v>
      </c>
      <c r="F1785" s="24">
        <v>45360.0</v>
      </c>
      <c r="G1785" s="6">
        <v>1.0</v>
      </c>
      <c r="H1785" s="9" t="str">
        <f>VLOOKUP(revenue[productID],products[],2,FALSE)</f>
        <v>Chai</v>
      </c>
      <c r="I1785" s="9" t="str">
        <f>VLOOKUP(revenue[productID],products[],12,FALSE)</f>
        <v>Beverages</v>
      </c>
      <c r="J1785" s="9">
        <f>VLOOKUP(revenue[productID],products[],IF(YEAR(revenue[orderDate])=2022,8,IF(YEAR(revenue[orderDate])=2023,9,IF(YEAR(revenue[orderDate])=2024,10,NA))),FALSE)</f>
        <v>12.17757454</v>
      </c>
      <c r="K1785" s="9">
        <v>18.0</v>
      </c>
      <c r="L1785" s="25">
        <f>(revenue[orderPrice]-revenue[productCost])/revenue[productCost]</f>
        <v>0.4781268584</v>
      </c>
      <c r="M1785" s="10">
        <v>21.0</v>
      </c>
      <c r="N1785" s="25">
        <v>0.0</v>
      </c>
      <c r="O1785" s="9">
        <f>revenue[orderPrice]*revenue[orderQuantity]</f>
        <v>378</v>
      </c>
      <c r="P1785" s="9">
        <f>revenue[orderTotal]*(1-revenue[discountApllied])</f>
        <v>378</v>
      </c>
      <c r="Q1785" s="9">
        <f>revenue[revenue]-(revenue[productCost]*revenue[orderQuantity])</f>
        <v>122.2709346</v>
      </c>
      <c r="R1785" s="25">
        <f>IFERROR(revenue[profit]/revenue[revenue], 0)</f>
        <v>0.323468081</v>
      </c>
      <c r="S1785" s="9">
        <f>revenue[productCost]*revenue[orderQuantity]</f>
        <v>255.7290654</v>
      </c>
    </row>
    <row r="1786" ht="15.75" customHeight="1">
      <c r="A1786" s="6">
        <v>10935.0</v>
      </c>
      <c r="B1786" s="7" t="s">
        <v>22</v>
      </c>
      <c r="C1786" s="24" t="str">
        <f>VLOOKUP(revenue[customerID],customers[],2,FALSE)</f>
        <v>Wellington Importadora</v>
      </c>
      <c r="D1786" s="24" t="str">
        <f>VLOOKUP(revenue[customerID],customers[],6,FALSE)</f>
        <v>Resende</v>
      </c>
      <c r="E1786" s="24" t="str">
        <f>VLOOKUP(revenue[customerID],customers[],9,FALSE)</f>
        <v>Brazil</v>
      </c>
      <c r="F1786" s="24">
        <v>45360.0</v>
      </c>
      <c r="G1786" s="6">
        <v>18.0</v>
      </c>
      <c r="H1786" s="9" t="str">
        <f>VLOOKUP(revenue[productID],products[],2,FALSE)</f>
        <v>Carnarvon Tigers</v>
      </c>
      <c r="I1786" s="9" t="str">
        <f>VLOOKUP(revenue[productID],products[],12,FALSE)</f>
        <v>Seafood</v>
      </c>
      <c r="J1786" s="9">
        <f>VLOOKUP(revenue[productID],products[],IF(YEAR(revenue[orderDate])=2022,8,IF(YEAR(revenue[orderDate])=2023,9,IF(YEAR(revenue[orderDate])=2024,10,NA))),FALSE)</f>
        <v>41.27004985</v>
      </c>
      <c r="K1786" s="9">
        <v>62.5</v>
      </c>
      <c r="L1786" s="25">
        <f>(revenue[orderPrice]-revenue[productCost])/revenue[productCost]</f>
        <v>0.5144154231</v>
      </c>
      <c r="M1786" s="10">
        <v>4.0</v>
      </c>
      <c r="N1786" s="25">
        <v>0.25</v>
      </c>
      <c r="O1786" s="9">
        <f>revenue[orderPrice]*revenue[orderQuantity]</f>
        <v>250</v>
      </c>
      <c r="P1786" s="9">
        <f>revenue[orderTotal]*(1-revenue[discountApllied])</f>
        <v>187.5</v>
      </c>
      <c r="Q1786" s="9">
        <f>revenue[revenue]-(revenue[productCost]*revenue[orderQuantity])</f>
        <v>22.41980062</v>
      </c>
      <c r="R1786" s="25">
        <f>IFERROR(revenue[profit]/revenue[revenue], 0)</f>
        <v>0.11957227</v>
      </c>
      <c r="S1786" s="9">
        <f>revenue[productCost]*revenue[orderQuantity]</f>
        <v>165.0801994</v>
      </c>
    </row>
    <row r="1787" ht="15.75" customHeight="1">
      <c r="A1787" s="6">
        <v>10935.0</v>
      </c>
      <c r="B1787" s="7" t="s">
        <v>22</v>
      </c>
      <c r="C1787" s="24" t="str">
        <f>VLOOKUP(revenue[customerID],customers[],2,FALSE)</f>
        <v>Wellington Importadora</v>
      </c>
      <c r="D1787" s="24" t="str">
        <f>VLOOKUP(revenue[customerID],customers[],6,FALSE)</f>
        <v>Resende</v>
      </c>
      <c r="E1787" s="24" t="str">
        <f>VLOOKUP(revenue[customerID],customers[],9,FALSE)</f>
        <v>Brazil</v>
      </c>
      <c r="F1787" s="24">
        <v>45360.0</v>
      </c>
      <c r="G1787" s="6">
        <v>23.0</v>
      </c>
      <c r="H1787" s="9" t="str">
        <f>VLOOKUP(revenue[productID],products[],2,FALSE)</f>
        <v>Tunnbröd</v>
      </c>
      <c r="I1787" s="9" t="str">
        <f>VLOOKUP(revenue[productID],products[],12,FALSE)</f>
        <v>Grains/Cereals</v>
      </c>
      <c r="J1787" s="9">
        <f>VLOOKUP(revenue[productID],products[],IF(YEAR(revenue[orderDate])=2022,8,IF(YEAR(revenue[orderDate])=2023,9,IF(YEAR(revenue[orderDate])=2024,10,NA))),FALSE)</f>
        <v>6.224885622</v>
      </c>
      <c r="K1787" s="9">
        <v>9.0</v>
      </c>
      <c r="L1787" s="25">
        <f>(revenue[orderPrice]-revenue[productCost])/revenue[productCost]</f>
        <v>0.4458096979</v>
      </c>
      <c r="M1787" s="10">
        <v>8.0</v>
      </c>
      <c r="N1787" s="25">
        <v>0.25</v>
      </c>
      <c r="O1787" s="9">
        <f>revenue[orderPrice]*revenue[orderQuantity]</f>
        <v>72</v>
      </c>
      <c r="P1787" s="9">
        <f>revenue[orderTotal]*(1-revenue[discountApllied])</f>
        <v>54</v>
      </c>
      <c r="Q1787" s="9">
        <f>revenue[revenue]-(revenue[productCost]*revenue[orderQuantity])</f>
        <v>4.200915027</v>
      </c>
      <c r="R1787" s="25">
        <f>IFERROR(revenue[profit]/revenue[revenue], 0)</f>
        <v>0.07779472272</v>
      </c>
      <c r="S1787" s="9">
        <f>revenue[productCost]*revenue[orderQuantity]</f>
        <v>49.79908497</v>
      </c>
    </row>
    <row r="1788" ht="15.75" customHeight="1">
      <c r="A1788" s="6">
        <v>10936.0</v>
      </c>
      <c r="B1788" s="7" t="s">
        <v>94</v>
      </c>
      <c r="C1788" s="24" t="str">
        <f>VLOOKUP(revenue[customerID],customers[],2,FALSE)</f>
        <v>Great Lakes Food Market</v>
      </c>
      <c r="D1788" s="24" t="str">
        <f>VLOOKUP(revenue[customerID],customers[],6,FALSE)</f>
        <v>Eugene</v>
      </c>
      <c r="E1788" s="24" t="str">
        <f>VLOOKUP(revenue[customerID],customers[],9,FALSE)</f>
        <v>USA</v>
      </c>
      <c r="F1788" s="24">
        <v>45360.0</v>
      </c>
      <c r="G1788" s="6">
        <v>36.0</v>
      </c>
      <c r="H1788" s="9" t="str">
        <f>VLOOKUP(revenue[productID],products[],2,FALSE)</f>
        <v>Inlagd Sill</v>
      </c>
      <c r="I1788" s="9" t="str">
        <f>VLOOKUP(revenue[productID],products[],12,FALSE)</f>
        <v>Seafood</v>
      </c>
      <c r="J1788" s="9">
        <f>VLOOKUP(revenue[productID],products[],IF(YEAR(revenue[orderDate])=2022,8,IF(YEAR(revenue[orderDate])=2023,9,IF(YEAR(revenue[orderDate])=2024,10,NA))),FALSE)</f>
        <v>11.68525366</v>
      </c>
      <c r="K1788" s="9">
        <v>19.0</v>
      </c>
      <c r="L1788" s="25">
        <f>(revenue[orderPrice]-revenue[productCost])/revenue[productCost]</f>
        <v>0.6259809637</v>
      </c>
      <c r="M1788" s="10">
        <v>30.0</v>
      </c>
      <c r="N1788" s="25">
        <v>0.2</v>
      </c>
      <c r="O1788" s="9">
        <f>revenue[orderPrice]*revenue[orderQuantity]</f>
        <v>570</v>
      </c>
      <c r="P1788" s="9">
        <f>revenue[orderTotal]*(1-revenue[discountApllied])</f>
        <v>456</v>
      </c>
      <c r="Q1788" s="9">
        <f>revenue[revenue]-(revenue[productCost]*revenue[orderQuantity])</f>
        <v>105.4423903</v>
      </c>
      <c r="R1788" s="25">
        <f>IFERROR(revenue[profit]/revenue[revenue], 0)</f>
        <v>0.2312333121</v>
      </c>
      <c r="S1788" s="9">
        <f>revenue[productCost]*revenue[orderQuantity]</f>
        <v>350.5576097</v>
      </c>
    </row>
    <row r="1789" ht="15.75" customHeight="1">
      <c r="A1789" s="6">
        <v>10937.0</v>
      </c>
      <c r="B1789" s="7" t="s">
        <v>93</v>
      </c>
      <c r="C1789" s="24" t="str">
        <f>VLOOKUP(revenue[customerID],customers[],2,FALSE)</f>
        <v>Cactus Comidas para llevar</v>
      </c>
      <c r="D1789" s="24" t="str">
        <f>VLOOKUP(revenue[customerID],customers[],6,FALSE)</f>
        <v>Buenos Aires</v>
      </c>
      <c r="E1789" s="24" t="str">
        <f>VLOOKUP(revenue[customerID],customers[],9,FALSE)</f>
        <v>Argentina</v>
      </c>
      <c r="F1789" s="24">
        <v>45361.0</v>
      </c>
      <c r="G1789" s="6">
        <v>28.0</v>
      </c>
      <c r="H1789" s="9" t="str">
        <f>VLOOKUP(revenue[productID],products[],2,FALSE)</f>
        <v>Rössle Sauerkraut</v>
      </c>
      <c r="I1789" s="9" t="str">
        <f>VLOOKUP(revenue[productID],products[],12,FALSE)</f>
        <v>Produce</v>
      </c>
      <c r="J1789" s="9">
        <f>VLOOKUP(revenue[productID],products[],IF(YEAR(revenue[orderDate])=2022,8,IF(YEAR(revenue[orderDate])=2023,9,IF(YEAR(revenue[orderDate])=2024,10,NA))),FALSE)</f>
        <v>34.18502761</v>
      </c>
      <c r="K1789" s="9">
        <v>45.6</v>
      </c>
      <c r="L1789" s="25">
        <f>(revenue[orderPrice]-revenue[productCost])/revenue[productCost]</f>
        <v>0.3339173079</v>
      </c>
      <c r="M1789" s="10">
        <v>8.0</v>
      </c>
      <c r="N1789" s="25">
        <v>0.0</v>
      </c>
      <c r="O1789" s="9">
        <f>revenue[orderPrice]*revenue[orderQuantity]</f>
        <v>364.8</v>
      </c>
      <c r="P1789" s="9">
        <f>revenue[orderTotal]*(1-revenue[discountApllied])</f>
        <v>364.8</v>
      </c>
      <c r="Q1789" s="9">
        <f>revenue[revenue]-(revenue[productCost]*revenue[orderQuantity])</f>
        <v>91.31977912</v>
      </c>
      <c r="R1789" s="25">
        <f>IFERROR(revenue[profit]/revenue[revenue], 0)</f>
        <v>0.2503283419</v>
      </c>
      <c r="S1789" s="9">
        <f>revenue[productCost]*revenue[orderQuantity]</f>
        <v>273.4802209</v>
      </c>
    </row>
    <row r="1790" ht="15.75" customHeight="1">
      <c r="A1790" s="6">
        <v>10937.0</v>
      </c>
      <c r="B1790" s="7" t="s">
        <v>93</v>
      </c>
      <c r="C1790" s="24" t="str">
        <f>VLOOKUP(revenue[customerID],customers[],2,FALSE)</f>
        <v>Cactus Comidas para llevar</v>
      </c>
      <c r="D1790" s="24" t="str">
        <f>VLOOKUP(revenue[customerID],customers[],6,FALSE)</f>
        <v>Buenos Aires</v>
      </c>
      <c r="E1790" s="24" t="str">
        <f>VLOOKUP(revenue[customerID],customers[],9,FALSE)</f>
        <v>Argentina</v>
      </c>
      <c r="F1790" s="24">
        <v>45361.0</v>
      </c>
      <c r="G1790" s="6">
        <v>34.0</v>
      </c>
      <c r="H1790" s="9" t="str">
        <f>VLOOKUP(revenue[productID],products[],2,FALSE)</f>
        <v>Sasquatch Ale</v>
      </c>
      <c r="I1790" s="9" t="str">
        <f>VLOOKUP(revenue[productID],products[],12,FALSE)</f>
        <v>Beverages</v>
      </c>
      <c r="J1790" s="9">
        <f>VLOOKUP(revenue[productID],products[],IF(YEAR(revenue[orderDate])=2022,8,IF(YEAR(revenue[orderDate])=2023,9,IF(YEAR(revenue[orderDate])=2024,10,NA))),FALSE)</f>
        <v>10.07231561</v>
      </c>
      <c r="K1790" s="9">
        <v>14.0</v>
      </c>
      <c r="L1790" s="25">
        <f>(revenue[orderPrice]-revenue[productCost])/revenue[productCost]</f>
        <v>0.389948503</v>
      </c>
      <c r="M1790" s="10">
        <v>20.0</v>
      </c>
      <c r="N1790" s="25">
        <v>0.0</v>
      </c>
      <c r="O1790" s="9">
        <f>revenue[orderPrice]*revenue[orderQuantity]</f>
        <v>280</v>
      </c>
      <c r="P1790" s="9">
        <f>revenue[orderTotal]*(1-revenue[discountApllied])</f>
        <v>280</v>
      </c>
      <c r="Q1790" s="9">
        <f>revenue[revenue]-(revenue[productCost]*revenue[orderQuantity])</f>
        <v>78.55368785</v>
      </c>
      <c r="R1790" s="25">
        <f>IFERROR(revenue[profit]/revenue[revenue], 0)</f>
        <v>0.2805488852</v>
      </c>
      <c r="S1790" s="9">
        <f>revenue[productCost]*revenue[orderQuantity]</f>
        <v>201.4463122</v>
      </c>
    </row>
    <row r="1791" ht="15.75" customHeight="1">
      <c r="A1791" s="6">
        <v>10938.0</v>
      </c>
      <c r="B1791" s="7" t="s">
        <v>36</v>
      </c>
      <c r="C1791" s="24" t="str">
        <f>VLOOKUP(revenue[customerID],customers[],2,FALSE)</f>
        <v>QUICK-Stop</v>
      </c>
      <c r="D1791" s="24" t="str">
        <f>VLOOKUP(revenue[customerID],customers[],6,FALSE)</f>
        <v>Cunewalde</v>
      </c>
      <c r="E1791" s="24" t="str">
        <f>VLOOKUP(revenue[customerID],customers[],9,FALSE)</f>
        <v>Germany</v>
      </c>
      <c r="F1791" s="24">
        <v>45361.0</v>
      </c>
      <c r="G1791" s="6">
        <v>13.0</v>
      </c>
      <c r="H1791" s="9" t="str">
        <f>VLOOKUP(revenue[productID],products[],2,FALSE)</f>
        <v>Konbu</v>
      </c>
      <c r="I1791" s="9" t="str">
        <f>VLOOKUP(revenue[productID],products[],12,FALSE)</f>
        <v>Seafood</v>
      </c>
      <c r="J1791" s="9">
        <f>VLOOKUP(revenue[productID],products[],IF(YEAR(revenue[orderDate])=2022,8,IF(YEAR(revenue[orderDate])=2023,9,IF(YEAR(revenue[orderDate])=2024,10,NA))),FALSE)</f>
        <v>3.966387047</v>
      </c>
      <c r="K1791" s="9">
        <v>6.0</v>
      </c>
      <c r="L1791" s="25">
        <f>(revenue[orderPrice]-revenue[productCost])/revenue[productCost]</f>
        <v>0.5127116768</v>
      </c>
      <c r="M1791" s="10">
        <v>20.0</v>
      </c>
      <c r="N1791" s="25">
        <v>0.25</v>
      </c>
      <c r="O1791" s="9">
        <f>revenue[orderPrice]*revenue[orderQuantity]</f>
        <v>120</v>
      </c>
      <c r="P1791" s="9">
        <f>revenue[orderTotal]*(1-revenue[discountApllied])</f>
        <v>90</v>
      </c>
      <c r="Q1791" s="9">
        <f>revenue[revenue]-(revenue[productCost]*revenue[orderQuantity])</f>
        <v>10.67225907</v>
      </c>
      <c r="R1791" s="25">
        <f>IFERROR(revenue[profit]/revenue[revenue], 0)</f>
        <v>0.1185806563</v>
      </c>
      <c r="S1791" s="9">
        <f>revenue[productCost]*revenue[orderQuantity]</f>
        <v>79.32774093</v>
      </c>
    </row>
    <row r="1792" ht="15.75" customHeight="1">
      <c r="A1792" s="6">
        <v>10938.0</v>
      </c>
      <c r="B1792" s="7" t="s">
        <v>36</v>
      </c>
      <c r="C1792" s="24" t="str">
        <f>VLOOKUP(revenue[customerID],customers[],2,FALSE)</f>
        <v>QUICK-Stop</v>
      </c>
      <c r="D1792" s="24" t="str">
        <f>VLOOKUP(revenue[customerID],customers[],6,FALSE)</f>
        <v>Cunewalde</v>
      </c>
      <c r="E1792" s="24" t="str">
        <f>VLOOKUP(revenue[customerID],customers[],9,FALSE)</f>
        <v>Germany</v>
      </c>
      <c r="F1792" s="24">
        <v>45361.0</v>
      </c>
      <c r="G1792" s="6">
        <v>43.0</v>
      </c>
      <c r="H1792" s="9" t="str">
        <f>VLOOKUP(revenue[productID],products[],2,FALSE)</f>
        <v>Ipoh Coffee</v>
      </c>
      <c r="I1792" s="9" t="str">
        <f>VLOOKUP(revenue[productID],products[],12,FALSE)</f>
        <v>Beverages</v>
      </c>
      <c r="J1792" s="9">
        <f>VLOOKUP(revenue[productID],products[],IF(YEAR(revenue[orderDate])=2022,8,IF(YEAR(revenue[orderDate])=2023,9,IF(YEAR(revenue[orderDate])=2024,10,NA))),FALSE)</f>
        <v>30.97984738</v>
      </c>
      <c r="K1792" s="9">
        <v>46.0</v>
      </c>
      <c r="L1792" s="25">
        <f>(revenue[orderPrice]-revenue[productCost])/revenue[productCost]</f>
        <v>0.484836237</v>
      </c>
      <c r="M1792" s="10">
        <v>24.0</v>
      </c>
      <c r="N1792" s="25">
        <v>0.25</v>
      </c>
      <c r="O1792" s="9">
        <f>revenue[orderPrice]*revenue[orderQuantity]</f>
        <v>1104</v>
      </c>
      <c r="P1792" s="9">
        <f>revenue[orderTotal]*(1-revenue[discountApllied])</f>
        <v>828</v>
      </c>
      <c r="Q1792" s="9">
        <f>revenue[revenue]-(revenue[productCost]*revenue[orderQuantity])</f>
        <v>84.48366299</v>
      </c>
      <c r="R1792" s="25">
        <f>IFERROR(revenue[profit]/revenue[revenue], 0)</f>
        <v>0.1020334094</v>
      </c>
      <c r="S1792" s="9">
        <f>revenue[productCost]*revenue[orderQuantity]</f>
        <v>743.516337</v>
      </c>
    </row>
    <row r="1793" ht="15.75" customHeight="1">
      <c r="A1793" s="6">
        <v>10938.0</v>
      </c>
      <c r="B1793" s="7" t="s">
        <v>36</v>
      </c>
      <c r="C1793" s="24" t="str">
        <f>VLOOKUP(revenue[customerID],customers[],2,FALSE)</f>
        <v>QUICK-Stop</v>
      </c>
      <c r="D1793" s="24" t="str">
        <f>VLOOKUP(revenue[customerID],customers[],6,FALSE)</f>
        <v>Cunewalde</v>
      </c>
      <c r="E1793" s="24" t="str">
        <f>VLOOKUP(revenue[customerID],customers[],9,FALSE)</f>
        <v>Germany</v>
      </c>
      <c r="F1793" s="24">
        <v>45361.0</v>
      </c>
      <c r="G1793" s="6">
        <v>60.0</v>
      </c>
      <c r="H1793" s="9" t="str">
        <f>VLOOKUP(revenue[productID],products[],2,FALSE)</f>
        <v>Camembert Pierrot</v>
      </c>
      <c r="I1793" s="9" t="str">
        <f>VLOOKUP(revenue[productID],products[],12,FALSE)</f>
        <v>Dairy Products</v>
      </c>
      <c r="J1793" s="9">
        <f>VLOOKUP(revenue[productID],products[],IF(YEAR(revenue[orderDate])=2022,8,IF(YEAR(revenue[orderDate])=2023,9,IF(YEAR(revenue[orderDate])=2024,10,NA))),FALSE)</f>
        <v>22.49091154</v>
      </c>
      <c r="K1793" s="9">
        <v>34.0</v>
      </c>
      <c r="L1793" s="25">
        <f>(revenue[orderPrice]-revenue[productCost])/revenue[productCost]</f>
        <v>0.5117217431</v>
      </c>
      <c r="M1793" s="10">
        <v>49.0</v>
      </c>
      <c r="N1793" s="25">
        <v>0.25</v>
      </c>
      <c r="O1793" s="9">
        <f>revenue[orderPrice]*revenue[orderQuantity]</f>
        <v>1666</v>
      </c>
      <c r="P1793" s="9">
        <f>revenue[orderTotal]*(1-revenue[discountApllied])</f>
        <v>1249.5</v>
      </c>
      <c r="Q1793" s="9">
        <f>revenue[revenue]-(revenue[productCost]*revenue[orderQuantity])</f>
        <v>147.4453344</v>
      </c>
      <c r="R1793" s="25">
        <f>IFERROR(revenue[profit]/revenue[revenue], 0)</f>
        <v>0.1180034689</v>
      </c>
      <c r="S1793" s="9">
        <f>revenue[productCost]*revenue[orderQuantity]</f>
        <v>1102.054666</v>
      </c>
    </row>
    <row r="1794" ht="15.75" customHeight="1">
      <c r="A1794" s="6">
        <v>10938.0</v>
      </c>
      <c r="B1794" s="7" t="s">
        <v>36</v>
      </c>
      <c r="C1794" s="24" t="str">
        <f>VLOOKUP(revenue[customerID],customers[],2,FALSE)</f>
        <v>QUICK-Stop</v>
      </c>
      <c r="D1794" s="24" t="str">
        <f>VLOOKUP(revenue[customerID],customers[],6,FALSE)</f>
        <v>Cunewalde</v>
      </c>
      <c r="E1794" s="24" t="str">
        <f>VLOOKUP(revenue[customerID],customers[],9,FALSE)</f>
        <v>Germany</v>
      </c>
      <c r="F1794" s="24">
        <v>45361.0</v>
      </c>
      <c r="G1794" s="6">
        <v>71.0</v>
      </c>
      <c r="H1794" s="9" t="str">
        <f>VLOOKUP(revenue[productID],products[],2,FALSE)</f>
        <v>Flotemysost</v>
      </c>
      <c r="I1794" s="9" t="str">
        <f>VLOOKUP(revenue[productID],products[],12,FALSE)</f>
        <v>Dairy Products</v>
      </c>
      <c r="J1794" s="9">
        <f>VLOOKUP(revenue[productID],products[],IF(YEAR(revenue[orderDate])=2022,8,IF(YEAR(revenue[orderDate])=2023,9,IF(YEAR(revenue[orderDate])=2024,10,NA))),FALSE)</f>
        <v>14.20977576</v>
      </c>
      <c r="K1794" s="9">
        <v>21.5</v>
      </c>
      <c r="L1794" s="25">
        <f>(revenue[orderPrice]-revenue[productCost])/revenue[productCost]</f>
        <v>0.5130428769</v>
      </c>
      <c r="M1794" s="10">
        <v>35.0</v>
      </c>
      <c r="N1794" s="25">
        <v>0.25</v>
      </c>
      <c r="O1794" s="9">
        <f>revenue[orderPrice]*revenue[orderQuantity]</f>
        <v>752.5</v>
      </c>
      <c r="P1794" s="9">
        <f>revenue[orderTotal]*(1-revenue[discountApllied])</f>
        <v>564.375</v>
      </c>
      <c r="Q1794" s="9">
        <f>revenue[revenue]-(revenue[productCost]*revenue[orderQuantity])</f>
        <v>67.03284831</v>
      </c>
      <c r="R1794" s="25">
        <f>IFERROR(revenue[profit]/revenue[revenue], 0)</f>
        <v>0.1187735961</v>
      </c>
      <c r="S1794" s="9">
        <f>revenue[productCost]*revenue[orderQuantity]</f>
        <v>497.3421517</v>
      </c>
    </row>
    <row r="1795" ht="15.75" customHeight="1">
      <c r="A1795" s="6">
        <v>10939.0</v>
      </c>
      <c r="B1795" s="7" t="s">
        <v>37</v>
      </c>
      <c r="C1795" s="24" t="str">
        <f>VLOOKUP(revenue[customerID],customers[],2,FALSE)</f>
        <v>Magazzini Alimentari Riuniti</v>
      </c>
      <c r="D1795" s="24" t="str">
        <f>VLOOKUP(revenue[customerID],customers[],6,FALSE)</f>
        <v>Bergamo</v>
      </c>
      <c r="E1795" s="24" t="str">
        <f>VLOOKUP(revenue[customerID],customers[],9,FALSE)</f>
        <v>Italy</v>
      </c>
      <c r="F1795" s="24">
        <v>45361.0</v>
      </c>
      <c r="G1795" s="6">
        <v>2.0</v>
      </c>
      <c r="H1795" s="9" t="str">
        <f>VLOOKUP(revenue[productID],products[],2,FALSE)</f>
        <v>Chang</v>
      </c>
      <c r="I1795" s="9" t="str">
        <f>VLOOKUP(revenue[productID],products[],12,FALSE)</f>
        <v>Beverages</v>
      </c>
      <c r="J1795" s="9">
        <f>VLOOKUP(revenue[productID],products[],IF(YEAR(revenue[orderDate])=2022,8,IF(YEAR(revenue[orderDate])=2023,9,IF(YEAR(revenue[orderDate])=2024,10,NA))),FALSE)</f>
        <v>11.93843713</v>
      </c>
      <c r="K1795" s="9">
        <v>19.0</v>
      </c>
      <c r="L1795" s="25">
        <f>(revenue[orderPrice]-revenue[productCost])/revenue[productCost]</f>
        <v>0.591498099</v>
      </c>
      <c r="M1795" s="10">
        <v>10.0</v>
      </c>
      <c r="N1795" s="25">
        <v>0.15</v>
      </c>
      <c r="O1795" s="9">
        <f>revenue[orderPrice]*revenue[orderQuantity]</f>
        <v>190</v>
      </c>
      <c r="P1795" s="9">
        <f>revenue[orderTotal]*(1-revenue[discountApllied])</f>
        <v>161.5</v>
      </c>
      <c r="Q1795" s="9">
        <f>revenue[revenue]-(revenue[productCost]*revenue[orderQuantity])</f>
        <v>42.11562868</v>
      </c>
      <c r="R1795" s="25">
        <f>IFERROR(revenue[profit]/revenue[revenue], 0)</f>
        <v>0.2607778866</v>
      </c>
      <c r="S1795" s="9">
        <f>revenue[productCost]*revenue[orderQuantity]</f>
        <v>119.3843713</v>
      </c>
    </row>
    <row r="1796" ht="15.75" customHeight="1">
      <c r="A1796" s="6">
        <v>10939.0</v>
      </c>
      <c r="B1796" s="7" t="s">
        <v>37</v>
      </c>
      <c r="C1796" s="24" t="str">
        <f>VLOOKUP(revenue[customerID],customers[],2,FALSE)</f>
        <v>Magazzini Alimentari Riuniti</v>
      </c>
      <c r="D1796" s="24" t="str">
        <f>VLOOKUP(revenue[customerID],customers[],6,FALSE)</f>
        <v>Bergamo</v>
      </c>
      <c r="E1796" s="24" t="str">
        <f>VLOOKUP(revenue[customerID],customers[],9,FALSE)</f>
        <v>Italy</v>
      </c>
      <c r="F1796" s="24">
        <v>45361.0</v>
      </c>
      <c r="G1796" s="6">
        <v>67.0</v>
      </c>
      <c r="H1796" s="9" t="str">
        <f>VLOOKUP(revenue[productID],products[],2,FALSE)</f>
        <v>Laughing Lumberjack Lager</v>
      </c>
      <c r="I1796" s="9" t="str">
        <f>VLOOKUP(revenue[productID],products[],12,FALSE)</f>
        <v>Beverages</v>
      </c>
      <c r="J1796" s="9">
        <f>VLOOKUP(revenue[productID],products[],IF(YEAR(revenue[orderDate])=2022,8,IF(YEAR(revenue[orderDate])=2023,9,IF(YEAR(revenue[orderDate])=2024,10,NA))),FALSE)</f>
        <v>9.443192754</v>
      </c>
      <c r="K1796" s="9">
        <v>14.0</v>
      </c>
      <c r="L1796" s="25">
        <f>(revenue[orderPrice]-revenue[productCost])/revenue[productCost]</f>
        <v>0.4825494263</v>
      </c>
      <c r="M1796" s="10">
        <v>40.0</v>
      </c>
      <c r="N1796" s="25">
        <v>0.15</v>
      </c>
      <c r="O1796" s="9">
        <f>revenue[orderPrice]*revenue[orderQuantity]</f>
        <v>560</v>
      </c>
      <c r="P1796" s="9">
        <f>revenue[orderTotal]*(1-revenue[discountApllied])</f>
        <v>476</v>
      </c>
      <c r="Q1796" s="9">
        <f>revenue[revenue]-(revenue[productCost]*revenue[orderQuantity])</f>
        <v>98.27228984</v>
      </c>
      <c r="R1796" s="25">
        <f>IFERROR(revenue[profit]/revenue[revenue], 0)</f>
        <v>0.2064543904</v>
      </c>
      <c r="S1796" s="9">
        <f>revenue[productCost]*revenue[orderQuantity]</f>
        <v>377.7277102</v>
      </c>
    </row>
    <row r="1797" ht="15.75" customHeight="1">
      <c r="A1797" s="6">
        <v>10940.0</v>
      </c>
      <c r="B1797" s="7" t="s">
        <v>63</v>
      </c>
      <c r="C1797" s="24" t="str">
        <f>VLOOKUP(revenue[customerID],customers[],2,FALSE)</f>
        <v>Bon app'</v>
      </c>
      <c r="D1797" s="24" t="str">
        <f>VLOOKUP(revenue[customerID],customers[],6,FALSE)</f>
        <v>Marseille</v>
      </c>
      <c r="E1797" s="24" t="str">
        <f>VLOOKUP(revenue[customerID],customers[],9,FALSE)</f>
        <v>France</v>
      </c>
      <c r="F1797" s="24">
        <v>45362.0</v>
      </c>
      <c r="G1797" s="6">
        <v>7.0</v>
      </c>
      <c r="H1797" s="9" t="str">
        <f>VLOOKUP(revenue[productID],products[],2,FALSE)</f>
        <v>Uncle Bob's Organic Dried Pears</v>
      </c>
      <c r="I1797" s="9" t="str">
        <f>VLOOKUP(revenue[productID],products[],12,FALSE)</f>
        <v>Produce</v>
      </c>
      <c r="J1797" s="9">
        <f>VLOOKUP(revenue[productID],products[],IF(YEAR(revenue[orderDate])=2022,8,IF(YEAR(revenue[orderDate])=2023,9,IF(YEAR(revenue[orderDate])=2024,10,NA))),FALSE)</f>
        <v>23.52222246</v>
      </c>
      <c r="K1797" s="9">
        <v>30.0</v>
      </c>
      <c r="L1797" s="25">
        <f>(revenue[orderPrice]-revenue[productCost])/revenue[productCost]</f>
        <v>0.2753896894</v>
      </c>
      <c r="M1797" s="10">
        <v>8.0</v>
      </c>
      <c r="N1797" s="25">
        <v>0.0</v>
      </c>
      <c r="O1797" s="9">
        <f>revenue[orderPrice]*revenue[orderQuantity]</f>
        <v>240</v>
      </c>
      <c r="P1797" s="9">
        <f>revenue[orderTotal]*(1-revenue[discountApllied])</f>
        <v>240</v>
      </c>
      <c r="Q1797" s="9">
        <f>revenue[revenue]-(revenue[productCost]*revenue[orderQuantity])</f>
        <v>51.8222203</v>
      </c>
      <c r="R1797" s="25">
        <f>IFERROR(revenue[profit]/revenue[revenue], 0)</f>
        <v>0.2159259179</v>
      </c>
      <c r="S1797" s="9">
        <f>revenue[productCost]*revenue[orderQuantity]</f>
        <v>188.1777797</v>
      </c>
    </row>
    <row r="1798" ht="15.75" customHeight="1">
      <c r="A1798" s="6">
        <v>10940.0</v>
      </c>
      <c r="B1798" s="7" t="s">
        <v>63</v>
      </c>
      <c r="C1798" s="24" t="str">
        <f>VLOOKUP(revenue[customerID],customers[],2,FALSE)</f>
        <v>Bon app'</v>
      </c>
      <c r="D1798" s="24" t="str">
        <f>VLOOKUP(revenue[customerID],customers[],6,FALSE)</f>
        <v>Marseille</v>
      </c>
      <c r="E1798" s="24" t="str">
        <f>VLOOKUP(revenue[customerID],customers[],9,FALSE)</f>
        <v>France</v>
      </c>
      <c r="F1798" s="24">
        <v>45362.0</v>
      </c>
      <c r="G1798" s="6">
        <v>13.0</v>
      </c>
      <c r="H1798" s="9" t="str">
        <f>VLOOKUP(revenue[productID],products[],2,FALSE)</f>
        <v>Konbu</v>
      </c>
      <c r="I1798" s="9" t="str">
        <f>VLOOKUP(revenue[productID],products[],12,FALSE)</f>
        <v>Seafood</v>
      </c>
      <c r="J1798" s="9">
        <f>VLOOKUP(revenue[productID],products[],IF(YEAR(revenue[orderDate])=2022,8,IF(YEAR(revenue[orderDate])=2023,9,IF(YEAR(revenue[orderDate])=2024,10,NA))),FALSE)</f>
        <v>3.966387047</v>
      </c>
      <c r="K1798" s="9">
        <v>6.0</v>
      </c>
      <c r="L1798" s="25">
        <f>(revenue[orderPrice]-revenue[productCost])/revenue[productCost]</f>
        <v>0.5127116768</v>
      </c>
      <c r="M1798" s="10">
        <v>20.0</v>
      </c>
      <c r="N1798" s="25">
        <v>0.0</v>
      </c>
      <c r="O1798" s="9">
        <f>revenue[orderPrice]*revenue[orderQuantity]</f>
        <v>120</v>
      </c>
      <c r="P1798" s="9">
        <f>revenue[orderTotal]*(1-revenue[discountApllied])</f>
        <v>120</v>
      </c>
      <c r="Q1798" s="9">
        <f>revenue[revenue]-(revenue[productCost]*revenue[orderQuantity])</f>
        <v>40.67225907</v>
      </c>
      <c r="R1798" s="25">
        <f>IFERROR(revenue[profit]/revenue[revenue], 0)</f>
        <v>0.3389354922</v>
      </c>
      <c r="S1798" s="9">
        <f>revenue[productCost]*revenue[orderQuantity]</f>
        <v>79.32774093</v>
      </c>
    </row>
    <row r="1799" ht="15.75" customHeight="1">
      <c r="A1799" s="6">
        <v>10941.0</v>
      </c>
      <c r="B1799" s="7" t="s">
        <v>60</v>
      </c>
      <c r="C1799" s="24" t="str">
        <f>VLOOKUP(revenue[customerID],customers[],2,FALSE)</f>
        <v>Save-a-lot Markets</v>
      </c>
      <c r="D1799" s="24" t="str">
        <f>VLOOKUP(revenue[customerID],customers[],6,FALSE)</f>
        <v>Boise</v>
      </c>
      <c r="E1799" s="24" t="str">
        <f>VLOOKUP(revenue[customerID],customers[],9,FALSE)</f>
        <v>USA</v>
      </c>
      <c r="F1799" s="24">
        <v>45362.0</v>
      </c>
      <c r="G1799" s="6">
        <v>31.0</v>
      </c>
      <c r="H1799" s="9" t="str">
        <f>VLOOKUP(revenue[productID],products[],2,FALSE)</f>
        <v>Gorgonzola Telino</v>
      </c>
      <c r="I1799" s="9" t="str">
        <f>VLOOKUP(revenue[productID],products[],12,FALSE)</f>
        <v>Dairy Products</v>
      </c>
      <c r="J1799" s="9">
        <f>VLOOKUP(revenue[productID],products[],IF(YEAR(revenue[orderDate])=2022,8,IF(YEAR(revenue[orderDate])=2023,9,IF(YEAR(revenue[orderDate])=2024,10,NA))),FALSE)</f>
        <v>8.203054392</v>
      </c>
      <c r="K1799" s="9">
        <v>12.5</v>
      </c>
      <c r="L1799" s="25">
        <f>(revenue[orderPrice]-revenue[productCost])/revenue[productCost]</f>
        <v>0.52382264</v>
      </c>
      <c r="M1799" s="10">
        <v>44.0</v>
      </c>
      <c r="N1799" s="25">
        <v>0.25</v>
      </c>
      <c r="O1799" s="9">
        <f>revenue[orderPrice]*revenue[orderQuantity]</f>
        <v>550</v>
      </c>
      <c r="P1799" s="9">
        <f>revenue[orderTotal]*(1-revenue[discountApllied])</f>
        <v>412.5</v>
      </c>
      <c r="Q1799" s="9">
        <f>revenue[revenue]-(revenue[productCost]*revenue[orderQuantity])</f>
        <v>51.56560675</v>
      </c>
      <c r="R1799" s="25">
        <f>IFERROR(revenue[profit]/revenue[revenue], 0)</f>
        <v>0.1250075315</v>
      </c>
      <c r="S1799" s="9">
        <f>revenue[productCost]*revenue[orderQuantity]</f>
        <v>360.9343933</v>
      </c>
    </row>
    <row r="1800" ht="15.75" customHeight="1">
      <c r="A1800" s="6">
        <v>10941.0</v>
      </c>
      <c r="B1800" s="7" t="s">
        <v>60</v>
      </c>
      <c r="C1800" s="24" t="str">
        <f>VLOOKUP(revenue[customerID],customers[],2,FALSE)</f>
        <v>Save-a-lot Markets</v>
      </c>
      <c r="D1800" s="24" t="str">
        <f>VLOOKUP(revenue[customerID],customers[],6,FALSE)</f>
        <v>Boise</v>
      </c>
      <c r="E1800" s="24" t="str">
        <f>VLOOKUP(revenue[customerID],customers[],9,FALSE)</f>
        <v>USA</v>
      </c>
      <c r="F1800" s="24">
        <v>45362.0</v>
      </c>
      <c r="G1800" s="6">
        <v>62.0</v>
      </c>
      <c r="H1800" s="9" t="str">
        <f>VLOOKUP(revenue[productID],products[],2,FALSE)</f>
        <v>Tarte au sucre</v>
      </c>
      <c r="I1800" s="9" t="str">
        <f>VLOOKUP(revenue[productID],products[],12,FALSE)</f>
        <v>Confections</v>
      </c>
      <c r="J1800" s="9">
        <f>VLOOKUP(revenue[productID],products[],IF(YEAR(revenue[orderDate])=2022,8,IF(YEAR(revenue[orderDate])=2023,9,IF(YEAR(revenue[orderDate])=2024,10,NA))),FALSE)</f>
        <v>34.88145014</v>
      </c>
      <c r="K1800" s="9">
        <v>49.3</v>
      </c>
      <c r="L1800" s="25">
        <f>(revenue[orderPrice]-revenue[productCost])/revenue[productCost]</f>
        <v>0.4133586705</v>
      </c>
      <c r="M1800" s="10">
        <v>30.0</v>
      </c>
      <c r="N1800" s="25">
        <v>0.25</v>
      </c>
      <c r="O1800" s="9">
        <f>revenue[orderPrice]*revenue[orderQuantity]</f>
        <v>1479</v>
      </c>
      <c r="P1800" s="9">
        <f>revenue[orderTotal]*(1-revenue[discountApllied])</f>
        <v>1109.25</v>
      </c>
      <c r="Q1800" s="9">
        <f>revenue[revenue]-(revenue[productCost]*revenue[orderQuantity])</f>
        <v>62.8064957</v>
      </c>
      <c r="R1800" s="25">
        <f>IFERROR(revenue[profit]/revenue[revenue], 0)</f>
        <v>0.05662068578</v>
      </c>
      <c r="S1800" s="9">
        <f>revenue[productCost]*revenue[orderQuantity]</f>
        <v>1046.443504</v>
      </c>
    </row>
    <row r="1801" ht="15.75" customHeight="1">
      <c r="A1801" s="6">
        <v>10941.0</v>
      </c>
      <c r="B1801" s="7" t="s">
        <v>60</v>
      </c>
      <c r="C1801" s="24" t="str">
        <f>VLOOKUP(revenue[customerID],customers[],2,FALSE)</f>
        <v>Save-a-lot Markets</v>
      </c>
      <c r="D1801" s="24" t="str">
        <f>VLOOKUP(revenue[customerID],customers[],6,FALSE)</f>
        <v>Boise</v>
      </c>
      <c r="E1801" s="24" t="str">
        <f>VLOOKUP(revenue[customerID],customers[],9,FALSE)</f>
        <v>USA</v>
      </c>
      <c r="F1801" s="24">
        <v>45362.0</v>
      </c>
      <c r="G1801" s="6">
        <v>68.0</v>
      </c>
      <c r="H1801" s="9" t="str">
        <f>VLOOKUP(revenue[productID],products[],2,FALSE)</f>
        <v>Scottish Longbreads</v>
      </c>
      <c r="I1801" s="9" t="str">
        <f>VLOOKUP(revenue[productID],products[],12,FALSE)</f>
        <v>Confections</v>
      </c>
      <c r="J1801" s="9">
        <f>VLOOKUP(revenue[productID],products[],IF(YEAR(revenue[orderDate])=2022,8,IF(YEAR(revenue[orderDate])=2023,9,IF(YEAR(revenue[orderDate])=2024,10,NA))),FALSE)</f>
        <v>9.555031708</v>
      </c>
      <c r="K1801" s="9">
        <v>12.5</v>
      </c>
      <c r="L1801" s="25">
        <f>(revenue[orderPrice]-revenue[productCost])/revenue[productCost]</f>
        <v>0.3082112527</v>
      </c>
      <c r="M1801" s="10">
        <v>80.0</v>
      </c>
      <c r="N1801" s="25">
        <v>0.25</v>
      </c>
      <c r="O1801" s="9">
        <f>revenue[orderPrice]*revenue[orderQuantity]</f>
        <v>1000</v>
      </c>
      <c r="P1801" s="9">
        <f>revenue[orderTotal]*(1-revenue[discountApllied])</f>
        <v>750</v>
      </c>
      <c r="Q1801" s="9">
        <f>revenue[revenue]-(revenue[productCost]*revenue[orderQuantity])</f>
        <v>-14.40253661</v>
      </c>
      <c r="R1801" s="25">
        <f>IFERROR(revenue[profit]/revenue[revenue], 0)</f>
        <v>-0.01920338214</v>
      </c>
      <c r="S1801" s="9">
        <f>revenue[productCost]*revenue[orderQuantity]</f>
        <v>764.4025366</v>
      </c>
    </row>
    <row r="1802" ht="15.75" customHeight="1">
      <c r="A1802" s="6">
        <v>10941.0</v>
      </c>
      <c r="B1802" s="7" t="s">
        <v>60</v>
      </c>
      <c r="C1802" s="24" t="str">
        <f>VLOOKUP(revenue[customerID],customers[],2,FALSE)</f>
        <v>Save-a-lot Markets</v>
      </c>
      <c r="D1802" s="24" t="str">
        <f>VLOOKUP(revenue[customerID],customers[],6,FALSE)</f>
        <v>Boise</v>
      </c>
      <c r="E1802" s="24" t="str">
        <f>VLOOKUP(revenue[customerID],customers[],9,FALSE)</f>
        <v>USA</v>
      </c>
      <c r="F1802" s="24">
        <v>45362.0</v>
      </c>
      <c r="G1802" s="6">
        <v>72.0</v>
      </c>
      <c r="H1802" s="9" t="str">
        <f>VLOOKUP(revenue[productID],products[],2,FALSE)</f>
        <v>Mozzarella di Giovanni</v>
      </c>
      <c r="I1802" s="9" t="str">
        <f>VLOOKUP(revenue[productID],products[],12,FALSE)</f>
        <v>Dairy Products</v>
      </c>
      <c r="J1802" s="9">
        <f>VLOOKUP(revenue[productID],products[],IF(YEAR(revenue[orderDate])=2022,8,IF(YEAR(revenue[orderDate])=2023,9,IF(YEAR(revenue[orderDate])=2024,10,NA))),FALSE)</f>
        <v>24.35057898</v>
      </c>
      <c r="K1802" s="9">
        <v>34.8</v>
      </c>
      <c r="L1802" s="25">
        <f>(revenue[orderPrice]-revenue[productCost])/revenue[productCost]</f>
        <v>0.4291241297</v>
      </c>
      <c r="M1802" s="10">
        <v>50.0</v>
      </c>
      <c r="N1802" s="25">
        <v>0.0</v>
      </c>
      <c r="O1802" s="9">
        <f>revenue[orderPrice]*revenue[orderQuantity]</f>
        <v>1740</v>
      </c>
      <c r="P1802" s="9">
        <f>revenue[orderTotal]*(1-revenue[discountApllied])</f>
        <v>1740</v>
      </c>
      <c r="Q1802" s="9">
        <f>revenue[revenue]-(revenue[productCost]*revenue[orderQuantity])</f>
        <v>522.4710508</v>
      </c>
      <c r="R1802" s="25">
        <f>IFERROR(revenue[profit]/revenue[revenue], 0)</f>
        <v>0.3002707188</v>
      </c>
      <c r="S1802" s="9">
        <f>revenue[productCost]*revenue[orderQuantity]</f>
        <v>1217.528949</v>
      </c>
    </row>
    <row r="1803" ht="15.75" customHeight="1">
      <c r="A1803" s="6">
        <v>10942.0</v>
      </c>
      <c r="B1803" s="7" t="s">
        <v>45</v>
      </c>
      <c r="C1803" s="24" t="str">
        <f>VLOOKUP(revenue[customerID],customers[],2,FALSE)</f>
        <v>Reggiani Caseifici</v>
      </c>
      <c r="D1803" s="24" t="str">
        <f>VLOOKUP(revenue[customerID],customers[],6,FALSE)</f>
        <v>Reggio Emilia</v>
      </c>
      <c r="E1803" s="24" t="str">
        <f>VLOOKUP(revenue[customerID],customers[],9,FALSE)</f>
        <v>Italy</v>
      </c>
      <c r="F1803" s="24">
        <v>45362.0</v>
      </c>
      <c r="G1803" s="6">
        <v>49.0</v>
      </c>
      <c r="H1803" s="9" t="str">
        <f>VLOOKUP(revenue[productID],products[],2,FALSE)</f>
        <v>Maxilaku</v>
      </c>
      <c r="I1803" s="9" t="str">
        <f>VLOOKUP(revenue[productID],products[],12,FALSE)</f>
        <v>Confections</v>
      </c>
      <c r="J1803" s="9">
        <f>VLOOKUP(revenue[productID],products[],IF(YEAR(revenue[orderDate])=2022,8,IF(YEAR(revenue[orderDate])=2023,9,IF(YEAR(revenue[orderDate])=2024,10,NA))),FALSE)</f>
        <v>15.07459899</v>
      </c>
      <c r="K1803" s="9">
        <v>20.0</v>
      </c>
      <c r="L1803" s="25">
        <f>(revenue[orderPrice]-revenue[productCost])/revenue[productCost]</f>
        <v>0.3267351269</v>
      </c>
      <c r="M1803" s="10">
        <v>28.0</v>
      </c>
      <c r="N1803" s="25">
        <v>0.0</v>
      </c>
      <c r="O1803" s="9">
        <f>revenue[orderPrice]*revenue[orderQuantity]</f>
        <v>560</v>
      </c>
      <c r="P1803" s="9">
        <f>revenue[orderTotal]*(1-revenue[discountApllied])</f>
        <v>560</v>
      </c>
      <c r="Q1803" s="9">
        <f>revenue[revenue]-(revenue[productCost]*revenue[orderQuantity])</f>
        <v>137.9112284</v>
      </c>
      <c r="R1803" s="25">
        <f>IFERROR(revenue[profit]/revenue[revenue], 0)</f>
        <v>0.2462700507</v>
      </c>
      <c r="S1803" s="9">
        <f>revenue[productCost]*revenue[orderQuantity]</f>
        <v>422.0887716</v>
      </c>
    </row>
    <row r="1804" ht="15.75" customHeight="1">
      <c r="A1804" s="6">
        <v>10943.0</v>
      </c>
      <c r="B1804" s="7" t="s">
        <v>46</v>
      </c>
      <c r="C1804" s="24" t="str">
        <f>VLOOKUP(revenue[customerID],customers[],2,FALSE)</f>
        <v>B's Beverages</v>
      </c>
      <c r="D1804" s="24" t="str">
        <f>VLOOKUP(revenue[customerID],customers[],6,FALSE)</f>
        <v>London</v>
      </c>
      <c r="E1804" s="24" t="str">
        <f>VLOOKUP(revenue[customerID],customers[],9,FALSE)</f>
        <v>UK</v>
      </c>
      <c r="F1804" s="24">
        <v>45362.0</v>
      </c>
      <c r="G1804" s="6">
        <v>13.0</v>
      </c>
      <c r="H1804" s="9" t="str">
        <f>VLOOKUP(revenue[productID],products[],2,FALSE)</f>
        <v>Konbu</v>
      </c>
      <c r="I1804" s="9" t="str">
        <f>VLOOKUP(revenue[productID],products[],12,FALSE)</f>
        <v>Seafood</v>
      </c>
      <c r="J1804" s="9">
        <f>VLOOKUP(revenue[productID],products[],IF(YEAR(revenue[orderDate])=2022,8,IF(YEAR(revenue[orderDate])=2023,9,IF(YEAR(revenue[orderDate])=2024,10,NA))),FALSE)</f>
        <v>3.966387047</v>
      </c>
      <c r="K1804" s="9">
        <v>6.0</v>
      </c>
      <c r="L1804" s="25">
        <f>(revenue[orderPrice]-revenue[productCost])/revenue[productCost]</f>
        <v>0.5127116768</v>
      </c>
      <c r="M1804" s="10">
        <v>15.0</v>
      </c>
      <c r="N1804" s="25">
        <v>0.0</v>
      </c>
      <c r="O1804" s="9">
        <f>revenue[orderPrice]*revenue[orderQuantity]</f>
        <v>90</v>
      </c>
      <c r="P1804" s="9">
        <f>revenue[orderTotal]*(1-revenue[discountApllied])</f>
        <v>90</v>
      </c>
      <c r="Q1804" s="9">
        <f>revenue[revenue]-(revenue[productCost]*revenue[orderQuantity])</f>
        <v>30.5041943</v>
      </c>
      <c r="R1804" s="25">
        <f>IFERROR(revenue[profit]/revenue[revenue], 0)</f>
        <v>0.3389354922</v>
      </c>
      <c r="S1804" s="9">
        <f>revenue[productCost]*revenue[orderQuantity]</f>
        <v>59.4958057</v>
      </c>
    </row>
    <row r="1805" ht="15.75" customHeight="1">
      <c r="A1805" s="6">
        <v>10943.0</v>
      </c>
      <c r="B1805" s="7" t="s">
        <v>46</v>
      </c>
      <c r="C1805" s="24" t="str">
        <f>VLOOKUP(revenue[customerID],customers[],2,FALSE)</f>
        <v>B's Beverages</v>
      </c>
      <c r="D1805" s="24" t="str">
        <f>VLOOKUP(revenue[customerID],customers[],6,FALSE)</f>
        <v>London</v>
      </c>
      <c r="E1805" s="24" t="str">
        <f>VLOOKUP(revenue[customerID],customers[],9,FALSE)</f>
        <v>UK</v>
      </c>
      <c r="F1805" s="24">
        <v>45362.0</v>
      </c>
      <c r="G1805" s="6">
        <v>22.0</v>
      </c>
      <c r="H1805" s="9" t="str">
        <f>VLOOKUP(revenue[productID],products[],2,FALSE)</f>
        <v>Gustaf's Knäckebröd</v>
      </c>
      <c r="I1805" s="9" t="str">
        <f>VLOOKUP(revenue[productID],products[],12,FALSE)</f>
        <v>Grains/Cereals</v>
      </c>
      <c r="J1805" s="9">
        <f>VLOOKUP(revenue[productID],products[],IF(YEAR(revenue[orderDate])=2022,8,IF(YEAR(revenue[orderDate])=2023,9,IF(YEAR(revenue[orderDate])=2024,10,NA))),FALSE)</f>
        <v>16.3916268</v>
      </c>
      <c r="K1805" s="9">
        <v>21.0</v>
      </c>
      <c r="L1805" s="25">
        <f>(revenue[orderPrice]-revenue[productCost])/revenue[productCost]</f>
        <v>0.2811419062</v>
      </c>
      <c r="M1805" s="10">
        <v>21.0</v>
      </c>
      <c r="N1805" s="25">
        <v>0.0</v>
      </c>
      <c r="O1805" s="9">
        <f>revenue[orderPrice]*revenue[orderQuantity]</f>
        <v>441</v>
      </c>
      <c r="P1805" s="9">
        <f>revenue[orderTotal]*(1-revenue[discountApllied])</f>
        <v>441</v>
      </c>
      <c r="Q1805" s="9">
        <f>revenue[revenue]-(revenue[productCost]*revenue[orderQuantity])</f>
        <v>96.77583727</v>
      </c>
      <c r="R1805" s="25">
        <f>IFERROR(revenue[profit]/revenue[revenue], 0)</f>
        <v>0.219446343</v>
      </c>
      <c r="S1805" s="9">
        <f>revenue[productCost]*revenue[orderQuantity]</f>
        <v>344.2241627</v>
      </c>
    </row>
    <row r="1806" ht="15.75" customHeight="1">
      <c r="A1806" s="6">
        <v>10943.0</v>
      </c>
      <c r="B1806" s="7" t="s">
        <v>46</v>
      </c>
      <c r="C1806" s="24" t="str">
        <f>VLOOKUP(revenue[customerID],customers[],2,FALSE)</f>
        <v>B's Beverages</v>
      </c>
      <c r="D1806" s="24" t="str">
        <f>VLOOKUP(revenue[customerID],customers[],6,FALSE)</f>
        <v>London</v>
      </c>
      <c r="E1806" s="24" t="str">
        <f>VLOOKUP(revenue[customerID],customers[],9,FALSE)</f>
        <v>UK</v>
      </c>
      <c r="F1806" s="24">
        <v>45362.0</v>
      </c>
      <c r="G1806" s="6">
        <v>46.0</v>
      </c>
      <c r="H1806" s="9" t="str">
        <f>VLOOKUP(revenue[productID],products[],2,FALSE)</f>
        <v>Spegesild</v>
      </c>
      <c r="I1806" s="9" t="str">
        <f>VLOOKUP(revenue[productID],products[],12,FALSE)</f>
        <v>Seafood</v>
      </c>
      <c r="J1806" s="9">
        <f>VLOOKUP(revenue[productID],products[],IF(YEAR(revenue[orderDate])=2022,8,IF(YEAR(revenue[orderDate])=2023,9,IF(YEAR(revenue[orderDate])=2024,10,NA))),FALSE)</f>
        <v>8.247981557</v>
      </c>
      <c r="K1806" s="9">
        <v>12.0</v>
      </c>
      <c r="L1806" s="25">
        <f>(revenue[orderPrice]-revenue[productCost])/revenue[productCost]</f>
        <v>0.4549014105</v>
      </c>
      <c r="M1806" s="10">
        <v>15.0</v>
      </c>
      <c r="N1806" s="25">
        <v>0.0</v>
      </c>
      <c r="O1806" s="9">
        <f>revenue[orderPrice]*revenue[orderQuantity]</f>
        <v>180</v>
      </c>
      <c r="P1806" s="9">
        <f>revenue[orderTotal]*(1-revenue[discountApllied])</f>
        <v>180</v>
      </c>
      <c r="Q1806" s="9">
        <f>revenue[revenue]-(revenue[productCost]*revenue[orderQuantity])</f>
        <v>56.28027665</v>
      </c>
      <c r="R1806" s="25">
        <f>IFERROR(revenue[profit]/revenue[revenue], 0)</f>
        <v>0.3126682036</v>
      </c>
      <c r="S1806" s="9">
        <f>revenue[productCost]*revenue[orderQuantity]</f>
        <v>123.7197233</v>
      </c>
    </row>
    <row r="1807" ht="15.75" customHeight="1">
      <c r="A1807" s="6">
        <v>10944.0</v>
      </c>
      <c r="B1807" s="7" t="s">
        <v>81</v>
      </c>
      <c r="C1807" s="24" t="str">
        <f>VLOOKUP(revenue[customerID],customers[],2,FALSE)</f>
        <v>Bottom-Dollar Markets</v>
      </c>
      <c r="D1807" s="24" t="str">
        <f>VLOOKUP(revenue[customerID],customers[],6,FALSE)</f>
        <v>Tsawassen</v>
      </c>
      <c r="E1807" s="24" t="str">
        <f>VLOOKUP(revenue[customerID],customers[],9,FALSE)</f>
        <v>Canada</v>
      </c>
      <c r="F1807" s="24">
        <v>45363.0</v>
      </c>
      <c r="G1807" s="6">
        <v>11.0</v>
      </c>
      <c r="H1807" s="9" t="str">
        <f>VLOOKUP(revenue[productID],products[],2,FALSE)</f>
        <v>Queso Cabrales</v>
      </c>
      <c r="I1807" s="9" t="str">
        <f>VLOOKUP(revenue[productID],products[],12,FALSE)</f>
        <v>Dairy Products</v>
      </c>
      <c r="J1807" s="9">
        <f>VLOOKUP(revenue[productID],products[],IF(YEAR(revenue[orderDate])=2022,8,IF(YEAR(revenue[orderDate])=2023,9,IF(YEAR(revenue[orderDate])=2024,10,NA))),FALSE)</f>
        <v>13.86836261</v>
      </c>
      <c r="K1807" s="9">
        <v>21.0</v>
      </c>
      <c r="L1807" s="25">
        <f>(revenue[orderPrice]-revenue[productCost])/revenue[productCost]</f>
        <v>0.51423788</v>
      </c>
      <c r="M1807" s="10">
        <v>5.0</v>
      </c>
      <c r="N1807" s="25">
        <v>0.25</v>
      </c>
      <c r="O1807" s="9">
        <f>revenue[orderPrice]*revenue[orderQuantity]</f>
        <v>105</v>
      </c>
      <c r="P1807" s="9">
        <f>revenue[orderTotal]*(1-revenue[discountApllied])</f>
        <v>78.75</v>
      </c>
      <c r="Q1807" s="9">
        <f>revenue[revenue]-(revenue[productCost]*revenue[orderQuantity])</f>
        <v>9.408186943</v>
      </c>
      <c r="R1807" s="25">
        <f>IFERROR(revenue[profit]/revenue[revenue], 0)</f>
        <v>0.1194690406</v>
      </c>
      <c r="S1807" s="9">
        <f>revenue[productCost]*revenue[orderQuantity]</f>
        <v>69.34181306</v>
      </c>
    </row>
    <row r="1808" ht="15.75" customHeight="1">
      <c r="A1808" s="6">
        <v>10944.0</v>
      </c>
      <c r="B1808" s="7" t="s">
        <v>81</v>
      </c>
      <c r="C1808" s="24" t="str">
        <f>VLOOKUP(revenue[customerID],customers[],2,FALSE)</f>
        <v>Bottom-Dollar Markets</v>
      </c>
      <c r="D1808" s="24" t="str">
        <f>VLOOKUP(revenue[customerID],customers[],6,FALSE)</f>
        <v>Tsawassen</v>
      </c>
      <c r="E1808" s="24" t="str">
        <f>VLOOKUP(revenue[customerID],customers[],9,FALSE)</f>
        <v>Canada</v>
      </c>
      <c r="F1808" s="24">
        <v>45363.0</v>
      </c>
      <c r="G1808" s="6">
        <v>44.0</v>
      </c>
      <c r="H1808" s="9" t="str">
        <f>VLOOKUP(revenue[productID],products[],2,FALSE)</f>
        <v>Gula Malacca</v>
      </c>
      <c r="I1808" s="9" t="str">
        <f>VLOOKUP(revenue[productID],products[],12,FALSE)</f>
        <v>Condiments</v>
      </c>
      <c r="J1808" s="9">
        <f>VLOOKUP(revenue[productID],products[],IF(YEAR(revenue[orderDate])=2022,8,IF(YEAR(revenue[orderDate])=2023,9,IF(YEAR(revenue[orderDate])=2024,10,NA))),FALSE)</f>
        <v>12.27831512</v>
      </c>
      <c r="K1808" s="9">
        <v>19.45</v>
      </c>
      <c r="L1808" s="25">
        <f>(revenue[orderPrice]-revenue[productCost])/revenue[productCost]</f>
        <v>0.5840935672</v>
      </c>
      <c r="M1808" s="10">
        <v>18.0</v>
      </c>
      <c r="N1808" s="25">
        <v>0.25</v>
      </c>
      <c r="O1808" s="9">
        <f>revenue[orderPrice]*revenue[orderQuantity]</f>
        <v>350.1</v>
      </c>
      <c r="P1808" s="9">
        <f>revenue[orderTotal]*(1-revenue[discountApllied])</f>
        <v>262.575</v>
      </c>
      <c r="Q1808" s="9">
        <f>revenue[revenue]-(revenue[productCost]*revenue[orderQuantity])</f>
        <v>41.56532781</v>
      </c>
      <c r="R1808" s="25">
        <f>IFERROR(revenue[profit]/revenue[revenue], 0)</f>
        <v>0.1582988777</v>
      </c>
      <c r="S1808" s="9">
        <f>revenue[productCost]*revenue[orderQuantity]</f>
        <v>221.0096722</v>
      </c>
    </row>
    <row r="1809" ht="15.75" customHeight="1">
      <c r="A1809" s="6">
        <v>10944.0</v>
      </c>
      <c r="B1809" s="7" t="s">
        <v>81</v>
      </c>
      <c r="C1809" s="24" t="str">
        <f>VLOOKUP(revenue[customerID],customers[],2,FALSE)</f>
        <v>Bottom-Dollar Markets</v>
      </c>
      <c r="D1809" s="24" t="str">
        <f>VLOOKUP(revenue[customerID],customers[],6,FALSE)</f>
        <v>Tsawassen</v>
      </c>
      <c r="E1809" s="24" t="str">
        <f>VLOOKUP(revenue[customerID],customers[],9,FALSE)</f>
        <v>Canada</v>
      </c>
      <c r="F1809" s="24">
        <v>45363.0</v>
      </c>
      <c r="G1809" s="6">
        <v>56.0</v>
      </c>
      <c r="H1809" s="9" t="str">
        <f>VLOOKUP(revenue[productID],products[],2,FALSE)</f>
        <v>Gnocchi di nonna Alice</v>
      </c>
      <c r="I1809" s="9" t="str">
        <f>VLOOKUP(revenue[productID],products[],12,FALSE)</f>
        <v>Grains/Cereals</v>
      </c>
      <c r="J1809" s="9">
        <f>VLOOKUP(revenue[productID],products[],IF(YEAR(revenue[orderDate])=2022,8,IF(YEAR(revenue[orderDate])=2023,9,IF(YEAR(revenue[orderDate])=2024,10,NA))),FALSE)</f>
        <v>27.53915851</v>
      </c>
      <c r="K1809" s="9">
        <v>38.0</v>
      </c>
      <c r="L1809" s="25">
        <f>(revenue[orderPrice]-revenue[productCost])/revenue[productCost]</f>
        <v>0.3798533452</v>
      </c>
      <c r="M1809" s="10">
        <v>18.0</v>
      </c>
      <c r="N1809" s="25">
        <v>0.0</v>
      </c>
      <c r="O1809" s="9">
        <f>revenue[orderPrice]*revenue[orderQuantity]</f>
        <v>684</v>
      </c>
      <c r="P1809" s="9">
        <f>revenue[orderTotal]*(1-revenue[discountApllied])</f>
        <v>684</v>
      </c>
      <c r="Q1809" s="9">
        <f>revenue[revenue]-(revenue[productCost]*revenue[orderQuantity])</f>
        <v>188.2951467</v>
      </c>
      <c r="R1809" s="25">
        <f>IFERROR(revenue[profit]/revenue[revenue], 0)</f>
        <v>0.2752853023</v>
      </c>
      <c r="S1809" s="9">
        <f>revenue[productCost]*revenue[orderQuantity]</f>
        <v>495.7048533</v>
      </c>
    </row>
    <row r="1810" ht="15.75" customHeight="1">
      <c r="A1810" s="6">
        <v>10945.0</v>
      </c>
      <c r="B1810" s="7" t="s">
        <v>39</v>
      </c>
      <c r="C1810" s="24" t="str">
        <f>VLOOKUP(revenue[customerID],customers[],2,FALSE)</f>
        <v>Morgenstern Gesundkost</v>
      </c>
      <c r="D1810" s="24" t="str">
        <f>VLOOKUP(revenue[customerID],customers[],6,FALSE)</f>
        <v>Leipzig</v>
      </c>
      <c r="E1810" s="24" t="str">
        <f>VLOOKUP(revenue[customerID],customers[],9,FALSE)</f>
        <v>Germany</v>
      </c>
      <c r="F1810" s="24">
        <v>45363.0</v>
      </c>
      <c r="G1810" s="6">
        <v>13.0</v>
      </c>
      <c r="H1810" s="9" t="str">
        <f>VLOOKUP(revenue[productID],products[],2,FALSE)</f>
        <v>Konbu</v>
      </c>
      <c r="I1810" s="9" t="str">
        <f>VLOOKUP(revenue[productID],products[],12,FALSE)</f>
        <v>Seafood</v>
      </c>
      <c r="J1810" s="9">
        <f>VLOOKUP(revenue[productID],products[],IF(YEAR(revenue[orderDate])=2022,8,IF(YEAR(revenue[orderDate])=2023,9,IF(YEAR(revenue[orderDate])=2024,10,NA))),FALSE)</f>
        <v>3.966387047</v>
      </c>
      <c r="K1810" s="9">
        <v>6.0</v>
      </c>
      <c r="L1810" s="25">
        <f>(revenue[orderPrice]-revenue[productCost])/revenue[productCost]</f>
        <v>0.5127116768</v>
      </c>
      <c r="M1810" s="10">
        <v>20.0</v>
      </c>
      <c r="N1810" s="25">
        <v>0.0</v>
      </c>
      <c r="O1810" s="9">
        <f>revenue[orderPrice]*revenue[orderQuantity]</f>
        <v>120</v>
      </c>
      <c r="P1810" s="9">
        <f>revenue[orderTotal]*(1-revenue[discountApllied])</f>
        <v>120</v>
      </c>
      <c r="Q1810" s="9">
        <f>revenue[revenue]-(revenue[productCost]*revenue[orderQuantity])</f>
        <v>40.67225907</v>
      </c>
      <c r="R1810" s="25">
        <f>IFERROR(revenue[profit]/revenue[revenue], 0)</f>
        <v>0.3389354922</v>
      </c>
      <c r="S1810" s="9">
        <f>revenue[productCost]*revenue[orderQuantity]</f>
        <v>79.32774093</v>
      </c>
    </row>
    <row r="1811" ht="15.75" customHeight="1">
      <c r="A1811" s="6">
        <v>10945.0</v>
      </c>
      <c r="B1811" s="7" t="s">
        <v>39</v>
      </c>
      <c r="C1811" s="24" t="str">
        <f>VLOOKUP(revenue[customerID],customers[],2,FALSE)</f>
        <v>Morgenstern Gesundkost</v>
      </c>
      <c r="D1811" s="24" t="str">
        <f>VLOOKUP(revenue[customerID],customers[],6,FALSE)</f>
        <v>Leipzig</v>
      </c>
      <c r="E1811" s="24" t="str">
        <f>VLOOKUP(revenue[customerID],customers[],9,FALSE)</f>
        <v>Germany</v>
      </c>
      <c r="F1811" s="24">
        <v>45363.0</v>
      </c>
      <c r="G1811" s="6">
        <v>31.0</v>
      </c>
      <c r="H1811" s="9" t="str">
        <f>VLOOKUP(revenue[productID],products[],2,FALSE)</f>
        <v>Gorgonzola Telino</v>
      </c>
      <c r="I1811" s="9" t="str">
        <f>VLOOKUP(revenue[productID],products[],12,FALSE)</f>
        <v>Dairy Products</v>
      </c>
      <c r="J1811" s="9">
        <f>VLOOKUP(revenue[productID],products[],IF(YEAR(revenue[orderDate])=2022,8,IF(YEAR(revenue[orderDate])=2023,9,IF(YEAR(revenue[orderDate])=2024,10,NA))),FALSE)</f>
        <v>8.203054392</v>
      </c>
      <c r="K1811" s="9">
        <v>12.5</v>
      </c>
      <c r="L1811" s="25">
        <f>(revenue[orderPrice]-revenue[productCost])/revenue[productCost]</f>
        <v>0.52382264</v>
      </c>
      <c r="M1811" s="10">
        <v>10.0</v>
      </c>
      <c r="N1811" s="25">
        <v>0.0</v>
      </c>
      <c r="O1811" s="9">
        <f>revenue[orderPrice]*revenue[orderQuantity]</f>
        <v>125</v>
      </c>
      <c r="P1811" s="9">
        <f>revenue[orderTotal]*(1-revenue[discountApllied])</f>
        <v>125</v>
      </c>
      <c r="Q1811" s="9">
        <f>revenue[revenue]-(revenue[productCost]*revenue[orderQuantity])</f>
        <v>42.96945608</v>
      </c>
      <c r="R1811" s="25">
        <f>IFERROR(revenue[profit]/revenue[revenue], 0)</f>
        <v>0.3437556486</v>
      </c>
      <c r="S1811" s="9">
        <f>revenue[productCost]*revenue[orderQuantity]</f>
        <v>82.03054392</v>
      </c>
    </row>
    <row r="1812" ht="15.75" customHeight="1">
      <c r="A1812" s="6">
        <v>10946.0</v>
      </c>
      <c r="B1812" s="7" t="s">
        <v>76</v>
      </c>
      <c r="C1812" s="24" t="str">
        <f>VLOOKUP(revenue[customerID],customers[],2,FALSE)</f>
        <v>Vaffeljernet</v>
      </c>
      <c r="D1812" s="24" t="str">
        <f>VLOOKUP(revenue[customerID],customers[],6,FALSE)</f>
        <v>Århus</v>
      </c>
      <c r="E1812" s="24" t="str">
        <f>VLOOKUP(revenue[customerID],customers[],9,FALSE)</f>
        <v>Denmark</v>
      </c>
      <c r="F1812" s="24">
        <v>45363.0</v>
      </c>
      <c r="G1812" s="6">
        <v>10.0</v>
      </c>
      <c r="H1812" s="9" t="str">
        <f>VLOOKUP(revenue[productID],products[],2,FALSE)</f>
        <v>Ikura</v>
      </c>
      <c r="I1812" s="9" t="str">
        <f>VLOOKUP(revenue[productID],products[],12,FALSE)</f>
        <v>Seafood</v>
      </c>
      <c r="J1812" s="9">
        <f>VLOOKUP(revenue[productID],products[],IF(YEAR(revenue[orderDate])=2022,8,IF(YEAR(revenue[orderDate])=2023,9,IF(YEAR(revenue[orderDate])=2024,10,NA))),FALSE)</f>
        <v>20.90394627</v>
      </c>
      <c r="K1812" s="9">
        <v>31.0</v>
      </c>
      <c r="L1812" s="25">
        <f>(revenue[orderPrice]-revenue[productCost])/revenue[productCost]</f>
        <v>0.4829735786</v>
      </c>
      <c r="M1812" s="10">
        <v>25.0</v>
      </c>
      <c r="N1812" s="25">
        <v>0.0</v>
      </c>
      <c r="O1812" s="9">
        <f>revenue[orderPrice]*revenue[orderQuantity]</f>
        <v>775</v>
      </c>
      <c r="P1812" s="9">
        <f>revenue[orderTotal]*(1-revenue[discountApllied])</f>
        <v>775</v>
      </c>
      <c r="Q1812" s="9">
        <f>revenue[revenue]-(revenue[productCost]*revenue[orderQuantity])</f>
        <v>252.4013434</v>
      </c>
      <c r="R1812" s="25">
        <f>IFERROR(revenue[profit]/revenue[revenue], 0)</f>
        <v>0.3256791527</v>
      </c>
      <c r="S1812" s="9">
        <f>revenue[productCost]*revenue[orderQuantity]</f>
        <v>522.5986566</v>
      </c>
    </row>
    <row r="1813" ht="15.75" customHeight="1">
      <c r="A1813" s="6">
        <v>10946.0</v>
      </c>
      <c r="B1813" s="7" t="s">
        <v>76</v>
      </c>
      <c r="C1813" s="24" t="str">
        <f>VLOOKUP(revenue[customerID],customers[],2,FALSE)</f>
        <v>Vaffeljernet</v>
      </c>
      <c r="D1813" s="24" t="str">
        <f>VLOOKUP(revenue[customerID],customers[],6,FALSE)</f>
        <v>Århus</v>
      </c>
      <c r="E1813" s="24" t="str">
        <f>VLOOKUP(revenue[customerID],customers[],9,FALSE)</f>
        <v>Denmark</v>
      </c>
      <c r="F1813" s="24">
        <v>45363.0</v>
      </c>
      <c r="G1813" s="6">
        <v>24.0</v>
      </c>
      <c r="H1813" s="9" t="str">
        <f>VLOOKUP(revenue[productID],products[],2,FALSE)</f>
        <v>Brigadeiros Maravilhosos da Lilian</v>
      </c>
      <c r="I1813" s="9" t="str">
        <f>VLOOKUP(revenue[productID],products[],12,FALSE)</f>
        <v>Confections</v>
      </c>
      <c r="J1813" s="9">
        <f>VLOOKUP(revenue[productID],products[],IF(YEAR(revenue[orderDate])=2022,8,IF(YEAR(revenue[orderDate])=2023,9,IF(YEAR(revenue[orderDate])=2024,10,NA))),FALSE)</f>
        <v>3.177326315</v>
      </c>
      <c r="K1813" s="9">
        <v>4.5</v>
      </c>
      <c r="L1813" s="25">
        <f>(revenue[orderPrice]-revenue[productCost])/revenue[productCost]</f>
        <v>0.416285126</v>
      </c>
      <c r="M1813" s="10">
        <v>25.0</v>
      </c>
      <c r="N1813" s="25">
        <v>0.0</v>
      </c>
      <c r="O1813" s="9">
        <f>revenue[orderPrice]*revenue[orderQuantity]</f>
        <v>112.5</v>
      </c>
      <c r="P1813" s="9">
        <f>revenue[orderTotal]*(1-revenue[discountApllied])</f>
        <v>112.5</v>
      </c>
      <c r="Q1813" s="9">
        <f>revenue[revenue]-(revenue[productCost]*revenue[orderQuantity])</f>
        <v>33.06684213</v>
      </c>
      <c r="R1813" s="25">
        <f>IFERROR(revenue[profit]/revenue[revenue], 0)</f>
        <v>0.2939274856</v>
      </c>
      <c r="S1813" s="9">
        <f>revenue[productCost]*revenue[orderQuantity]</f>
        <v>79.43315787</v>
      </c>
    </row>
    <row r="1814" ht="15.75" customHeight="1">
      <c r="A1814" s="6">
        <v>10946.0</v>
      </c>
      <c r="B1814" s="7" t="s">
        <v>76</v>
      </c>
      <c r="C1814" s="24" t="str">
        <f>VLOOKUP(revenue[customerID],customers[],2,FALSE)</f>
        <v>Vaffeljernet</v>
      </c>
      <c r="D1814" s="24" t="str">
        <f>VLOOKUP(revenue[customerID],customers[],6,FALSE)</f>
        <v>Århus</v>
      </c>
      <c r="E1814" s="24" t="str">
        <f>VLOOKUP(revenue[customerID],customers[],9,FALSE)</f>
        <v>Denmark</v>
      </c>
      <c r="F1814" s="24">
        <v>45363.0</v>
      </c>
      <c r="G1814" s="6">
        <v>77.0</v>
      </c>
      <c r="H1814" s="9" t="str">
        <f>VLOOKUP(revenue[productID],products[],2,FALSE)</f>
        <v>Original Frankfurter grüne Soße</v>
      </c>
      <c r="I1814" s="9" t="str">
        <f>VLOOKUP(revenue[productID],products[],12,FALSE)</f>
        <v>Condiments</v>
      </c>
      <c r="J1814" s="9">
        <f>VLOOKUP(revenue[productID],products[],IF(YEAR(revenue[orderDate])=2022,8,IF(YEAR(revenue[orderDate])=2023,9,IF(YEAR(revenue[orderDate])=2024,10,NA))),FALSE)</f>
        <v>9.299025151</v>
      </c>
      <c r="K1814" s="9">
        <v>13.0</v>
      </c>
      <c r="L1814" s="25">
        <f>(revenue[orderPrice]-revenue[productCost])/revenue[productCost]</f>
        <v>0.3979960037</v>
      </c>
      <c r="M1814" s="10">
        <v>40.0</v>
      </c>
      <c r="N1814" s="25">
        <v>0.0</v>
      </c>
      <c r="O1814" s="9">
        <f>revenue[orderPrice]*revenue[orderQuantity]</f>
        <v>520</v>
      </c>
      <c r="P1814" s="9">
        <f>revenue[orderTotal]*(1-revenue[discountApllied])</f>
        <v>520</v>
      </c>
      <c r="Q1814" s="9">
        <f>revenue[revenue]-(revenue[productCost]*revenue[orderQuantity])</f>
        <v>148.0389939</v>
      </c>
      <c r="R1814" s="25">
        <f>IFERROR(revenue[profit]/revenue[revenue], 0)</f>
        <v>0.284690373</v>
      </c>
      <c r="S1814" s="9">
        <f>revenue[productCost]*revenue[orderQuantity]</f>
        <v>371.9610061</v>
      </c>
    </row>
    <row r="1815" ht="15.75" customHeight="1">
      <c r="A1815" s="6">
        <v>10947.0</v>
      </c>
      <c r="B1815" s="7" t="s">
        <v>46</v>
      </c>
      <c r="C1815" s="24" t="str">
        <f>VLOOKUP(revenue[customerID],customers[],2,FALSE)</f>
        <v>B's Beverages</v>
      </c>
      <c r="D1815" s="24" t="str">
        <f>VLOOKUP(revenue[customerID],customers[],6,FALSE)</f>
        <v>London</v>
      </c>
      <c r="E1815" s="24" t="str">
        <f>VLOOKUP(revenue[customerID],customers[],9,FALSE)</f>
        <v>UK</v>
      </c>
      <c r="F1815" s="24">
        <v>45364.0</v>
      </c>
      <c r="G1815" s="6">
        <v>59.0</v>
      </c>
      <c r="H1815" s="9" t="str">
        <f>VLOOKUP(revenue[productID],products[],2,FALSE)</f>
        <v>Raclette Courdavault</v>
      </c>
      <c r="I1815" s="9" t="str">
        <f>VLOOKUP(revenue[productID],products[],12,FALSE)</f>
        <v>Dairy Products</v>
      </c>
      <c r="J1815" s="9">
        <f>VLOOKUP(revenue[productID],products[],IF(YEAR(revenue[orderDate])=2022,8,IF(YEAR(revenue[orderDate])=2023,9,IF(YEAR(revenue[orderDate])=2024,10,NA))),FALSE)</f>
        <v>36.74863711</v>
      </c>
      <c r="K1815" s="9">
        <v>55.0</v>
      </c>
      <c r="L1815" s="25">
        <f>(revenue[orderPrice]-revenue[productCost])/revenue[productCost]</f>
        <v>0.4966541435</v>
      </c>
      <c r="M1815" s="10">
        <v>4.0</v>
      </c>
      <c r="N1815" s="25">
        <v>0.0</v>
      </c>
      <c r="O1815" s="9">
        <f>revenue[orderPrice]*revenue[orderQuantity]</f>
        <v>220</v>
      </c>
      <c r="P1815" s="9">
        <f>revenue[orderTotal]*(1-revenue[discountApllied])</f>
        <v>220</v>
      </c>
      <c r="Q1815" s="9">
        <f>revenue[revenue]-(revenue[productCost]*revenue[orderQuantity])</f>
        <v>73.00545156</v>
      </c>
      <c r="R1815" s="25">
        <f>IFERROR(revenue[profit]/revenue[revenue], 0)</f>
        <v>0.3318429616</v>
      </c>
      <c r="S1815" s="9">
        <f>revenue[productCost]*revenue[orderQuantity]</f>
        <v>146.9945484</v>
      </c>
    </row>
    <row r="1816" ht="15.75" customHeight="1">
      <c r="A1816" s="6">
        <v>10948.0</v>
      </c>
      <c r="B1816" s="7" t="s">
        <v>51</v>
      </c>
      <c r="C1816" s="24" t="str">
        <f>VLOOKUP(revenue[customerID],customers[],2,FALSE)</f>
        <v>Godos Cocina Típica</v>
      </c>
      <c r="D1816" s="24" t="str">
        <f>VLOOKUP(revenue[customerID],customers[],6,FALSE)</f>
        <v>Sevilla</v>
      </c>
      <c r="E1816" s="24" t="str">
        <f>VLOOKUP(revenue[customerID],customers[],9,FALSE)</f>
        <v>Spain</v>
      </c>
      <c r="F1816" s="24">
        <v>45364.0</v>
      </c>
      <c r="G1816" s="6">
        <v>50.0</v>
      </c>
      <c r="H1816" s="9" t="str">
        <f>VLOOKUP(revenue[productID],products[],2,FALSE)</f>
        <v>Valkoinen suklaa</v>
      </c>
      <c r="I1816" s="9" t="str">
        <f>VLOOKUP(revenue[productID],products[],12,FALSE)</f>
        <v>Confections</v>
      </c>
      <c r="J1816" s="9">
        <f>VLOOKUP(revenue[productID],products[],IF(YEAR(revenue[orderDate])=2022,8,IF(YEAR(revenue[orderDate])=2023,9,IF(YEAR(revenue[orderDate])=2024,10,NA))),FALSE)</f>
        <v>12.64292203</v>
      </c>
      <c r="K1816" s="9">
        <v>16.25</v>
      </c>
      <c r="L1816" s="25">
        <f>(revenue[orderPrice]-revenue[productCost])/revenue[productCost]</f>
        <v>0.2853041375</v>
      </c>
      <c r="M1816" s="10">
        <v>9.0</v>
      </c>
      <c r="N1816" s="25">
        <v>0.0</v>
      </c>
      <c r="O1816" s="9">
        <f>revenue[orderPrice]*revenue[orderQuantity]</f>
        <v>146.25</v>
      </c>
      <c r="P1816" s="9">
        <f>revenue[orderTotal]*(1-revenue[discountApllied])</f>
        <v>146.25</v>
      </c>
      <c r="Q1816" s="9">
        <f>revenue[revenue]-(revenue[productCost]*revenue[orderQuantity])</f>
        <v>32.4637017</v>
      </c>
      <c r="R1816" s="25">
        <f>IFERROR(revenue[profit]/revenue[revenue], 0)</f>
        <v>0.2219740287</v>
      </c>
      <c r="S1816" s="9">
        <f>revenue[productCost]*revenue[orderQuantity]</f>
        <v>113.7862983</v>
      </c>
    </row>
    <row r="1817" ht="15.75" customHeight="1">
      <c r="A1817" s="6">
        <v>10948.0</v>
      </c>
      <c r="B1817" s="7" t="s">
        <v>51</v>
      </c>
      <c r="C1817" s="24" t="str">
        <f>VLOOKUP(revenue[customerID],customers[],2,FALSE)</f>
        <v>Godos Cocina Típica</v>
      </c>
      <c r="D1817" s="24" t="str">
        <f>VLOOKUP(revenue[customerID],customers[],6,FALSE)</f>
        <v>Sevilla</v>
      </c>
      <c r="E1817" s="24" t="str">
        <f>VLOOKUP(revenue[customerID],customers[],9,FALSE)</f>
        <v>Spain</v>
      </c>
      <c r="F1817" s="24">
        <v>45364.0</v>
      </c>
      <c r="G1817" s="6">
        <v>51.0</v>
      </c>
      <c r="H1817" s="9" t="str">
        <f>VLOOKUP(revenue[productID],products[],2,FALSE)</f>
        <v>Manjimup Dried Apples</v>
      </c>
      <c r="I1817" s="9" t="str">
        <f>VLOOKUP(revenue[productID],products[],12,FALSE)</f>
        <v>Produce</v>
      </c>
      <c r="J1817" s="9">
        <f>VLOOKUP(revenue[productID],products[],IF(YEAR(revenue[orderDate])=2022,8,IF(YEAR(revenue[orderDate])=2023,9,IF(YEAR(revenue[orderDate])=2024,10,NA))),FALSE)</f>
        <v>39.51416462</v>
      </c>
      <c r="K1817" s="9">
        <v>53.0</v>
      </c>
      <c r="L1817" s="25">
        <f>(revenue[orderPrice]-revenue[productCost])/revenue[productCost]</f>
        <v>0.3412911677</v>
      </c>
      <c r="M1817" s="10">
        <v>40.0</v>
      </c>
      <c r="N1817" s="25">
        <v>0.0</v>
      </c>
      <c r="O1817" s="9">
        <f>revenue[orderPrice]*revenue[orderQuantity]</f>
        <v>2120</v>
      </c>
      <c r="P1817" s="9">
        <f>revenue[orderTotal]*(1-revenue[discountApllied])</f>
        <v>2120</v>
      </c>
      <c r="Q1817" s="9">
        <f>revenue[revenue]-(revenue[productCost]*revenue[orderQuantity])</f>
        <v>539.4334153</v>
      </c>
      <c r="R1817" s="25">
        <f>IFERROR(revenue[profit]/revenue[revenue], 0)</f>
        <v>0.2544497242</v>
      </c>
      <c r="S1817" s="9">
        <f>revenue[productCost]*revenue[orderQuantity]</f>
        <v>1580.566585</v>
      </c>
    </row>
    <row r="1818" ht="15.75" customHeight="1">
      <c r="A1818" s="6">
        <v>10948.0</v>
      </c>
      <c r="B1818" s="7" t="s">
        <v>51</v>
      </c>
      <c r="C1818" s="24" t="str">
        <f>VLOOKUP(revenue[customerID],customers[],2,FALSE)</f>
        <v>Godos Cocina Típica</v>
      </c>
      <c r="D1818" s="24" t="str">
        <f>VLOOKUP(revenue[customerID],customers[],6,FALSE)</f>
        <v>Sevilla</v>
      </c>
      <c r="E1818" s="24" t="str">
        <f>VLOOKUP(revenue[customerID],customers[],9,FALSE)</f>
        <v>Spain</v>
      </c>
      <c r="F1818" s="24">
        <v>45364.0</v>
      </c>
      <c r="G1818" s="6">
        <v>55.0</v>
      </c>
      <c r="H1818" s="9" t="str">
        <f>VLOOKUP(revenue[productID],products[],2,FALSE)</f>
        <v>Pâté chinois</v>
      </c>
      <c r="I1818" s="9" t="str">
        <f>VLOOKUP(revenue[productID],products[],12,FALSE)</f>
        <v>Meat/Poultry</v>
      </c>
      <c r="J1818" s="9">
        <f>VLOOKUP(revenue[productID],products[],IF(YEAR(revenue[orderDate])=2022,8,IF(YEAR(revenue[orderDate])=2023,9,IF(YEAR(revenue[orderDate])=2024,10,NA))),FALSE)</f>
        <v>16.95998522</v>
      </c>
      <c r="K1818" s="9">
        <v>24.0</v>
      </c>
      <c r="L1818" s="25">
        <f>(revenue[orderPrice]-revenue[productCost])/revenue[productCost]</f>
        <v>0.4150955727</v>
      </c>
      <c r="M1818" s="10">
        <v>4.0</v>
      </c>
      <c r="N1818" s="25">
        <v>0.0</v>
      </c>
      <c r="O1818" s="9">
        <f>revenue[orderPrice]*revenue[orderQuantity]</f>
        <v>96</v>
      </c>
      <c r="P1818" s="9">
        <f>revenue[orderTotal]*(1-revenue[discountApllied])</f>
        <v>96</v>
      </c>
      <c r="Q1818" s="9">
        <f>revenue[revenue]-(revenue[productCost]*revenue[orderQuantity])</f>
        <v>28.16005912</v>
      </c>
      <c r="R1818" s="25">
        <f>IFERROR(revenue[profit]/revenue[revenue], 0)</f>
        <v>0.2933339491</v>
      </c>
      <c r="S1818" s="9">
        <f>revenue[productCost]*revenue[orderQuantity]</f>
        <v>67.83994088</v>
      </c>
    </row>
    <row r="1819" ht="15.75" customHeight="1">
      <c r="A1819" s="6">
        <v>10949.0</v>
      </c>
      <c r="B1819" s="7" t="s">
        <v>81</v>
      </c>
      <c r="C1819" s="24" t="str">
        <f>VLOOKUP(revenue[customerID],customers[],2,FALSE)</f>
        <v>Bottom-Dollar Markets</v>
      </c>
      <c r="D1819" s="24" t="str">
        <f>VLOOKUP(revenue[customerID],customers[],6,FALSE)</f>
        <v>Tsawassen</v>
      </c>
      <c r="E1819" s="24" t="str">
        <f>VLOOKUP(revenue[customerID],customers[],9,FALSE)</f>
        <v>Canada</v>
      </c>
      <c r="F1819" s="24">
        <v>45364.0</v>
      </c>
      <c r="G1819" s="6">
        <v>6.0</v>
      </c>
      <c r="H1819" s="9" t="str">
        <f>VLOOKUP(revenue[productID],products[],2,FALSE)</f>
        <v>Grandma's Boysenberry Spread</v>
      </c>
      <c r="I1819" s="9" t="str">
        <f>VLOOKUP(revenue[productID],products[],12,FALSE)</f>
        <v>Condiments</v>
      </c>
      <c r="J1819" s="9">
        <f>VLOOKUP(revenue[productID],products[],IF(YEAR(revenue[orderDate])=2022,8,IF(YEAR(revenue[orderDate])=2023,9,IF(YEAR(revenue[orderDate])=2024,10,NA))),FALSE)</f>
        <v>17.2416593</v>
      </c>
      <c r="K1819" s="9">
        <v>25.0</v>
      </c>
      <c r="L1819" s="25">
        <f>(revenue[orderPrice]-revenue[productCost])/revenue[productCost]</f>
        <v>0.4499764532</v>
      </c>
      <c r="M1819" s="10">
        <v>12.0</v>
      </c>
      <c r="N1819" s="25">
        <v>0.0</v>
      </c>
      <c r="O1819" s="9">
        <f>revenue[orderPrice]*revenue[orderQuantity]</f>
        <v>300</v>
      </c>
      <c r="P1819" s="9">
        <f>revenue[orderTotal]*(1-revenue[discountApllied])</f>
        <v>300</v>
      </c>
      <c r="Q1819" s="9">
        <f>revenue[revenue]-(revenue[productCost]*revenue[orderQuantity])</f>
        <v>93.1000884</v>
      </c>
      <c r="R1819" s="25">
        <f>IFERROR(revenue[profit]/revenue[revenue], 0)</f>
        <v>0.310333628</v>
      </c>
      <c r="S1819" s="9">
        <f>revenue[productCost]*revenue[orderQuantity]</f>
        <v>206.8999116</v>
      </c>
    </row>
    <row r="1820" ht="15.75" customHeight="1">
      <c r="A1820" s="6">
        <v>10949.0</v>
      </c>
      <c r="B1820" s="7" t="s">
        <v>81</v>
      </c>
      <c r="C1820" s="24" t="str">
        <f>VLOOKUP(revenue[customerID],customers[],2,FALSE)</f>
        <v>Bottom-Dollar Markets</v>
      </c>
      <c r="D1820" s="24" t="str">
        <f>VLOOKUP(revenue[customerID],customers[],6,FALSE)</f>
        <v>Tsawassen</v>
      </c>
      <c r="E1820" s="24" t="str">
        <f>VLOOKUP(revenue[customerID],customers[],9,FALSE)</f>
        <v>Canada</v>
      </c>
      <c r="F1820" s="24">
        <v>45364.0</v>
      </c>
      <c r="G1820" s="6">
        <v>10.0</v>
      </c>
      <c r="H1820" s="9" t="str">
        <f>VLOOKUP(revenue[productID],products[],2,FALSE)</f>
        <v>Ikura</v>
      </c>
      <c r="I1820" s="9" t="str">
        <f>VLOOKUP(revenue[productID],products[],12,FALSE)</f>
        <v>Seafood</v>
      </c>
      <c r="J1820" s="9">
        <f>VLOOKUP(revenue[productID],products[],IF(YEAR(revenue[orderDate])=2022,8,IF(YEAR(revenue[orderDate])=2023,9,IF(YEAR(revenue[orderDate])=2024,10,NA))),FALSE)</f>
        <v>20.90394627</v>
      </c>
      <c r="K1820" s="9">
        <v>31.0</v>
      </c>
      <c r="L1820" s="25">
        <f>(revenue[orderPrice]-revenue[productCost])/revenue[productCost]</f>
        <v>0.4829735786</v>
      </c>
      <c r="M1820" s="10">
        <v>30.0</v>
      </c>
      <c r="N1820" s="25">
        <v>0.0</v>
      </c>
      <c r="O1820" s="9">
        <f>revenue[orderPrice]*revenue[orderQuantity]</f>
        <v>930</v>
      </c>
      <c r="P1820" s="9">
        <f>revenue[orderTotal]*(1-revenue[discountApllied])</f>
        <v>930</v>
      </c>
      <c r="Q1820" s="9">
        <f>revenue[revenue]-(revenue[productCost]*revenue[orderQuantity])</f>
        <v>302.881612</v>
      </c>
      <c r="R1820" s="25">
        <f>IFERROR(revenue[profit]/revenue[revenue], 0)</f>
        <v>0.3256791527</v>
      </c>
      <c r="S1820" s="9">
        <f>revenue[productCost]*revenue[orderQuantity]</f>
        <v>627.118388</v>
      </c>
    </row>
    <row r="1821" ht="15.75" customHeight="1">
      <c r="A1821" s="6">
        <v>10949.0</v>
      </c>
      <c r="B1821" s="7" t="s">
        <v>81</v>
      </c>
      <c r="C1821" s="24" t="str">
        <f>VLOOKUP(revenue[customerID],customers[],2,FALSE)</f>
        <v>Bottom-Dollar Markets</v>
      </c>
      <c r="D1821" s="24" t="str">
        <f>VLOOKUP(revenue[customerID],customers[],6,FALSE)</f>
        <v>Tsawassen</v>
      </c>
      <c r="E1821" s="24" t="str">
        <f>VLOOKUP(revenue[customerID],customers[],9,FALSE)</f>
        <v>Canada</v>
      </c>
      <c r="F1821" s="24">
        <v>45364.0</v>
      </c>
      <c r="G1821" s="6">
        <v>17.0</v>
      </c>
      <c r="H1821" s="9" t="str">
        <f>VLOOKUP(revenue[productID],products[],2,FALSE)</f>
        <v>Alice Mutton</v>
      </c>
      <c r="I1821" s="9" t="str">
        <f>VLOOKUP(revenue[productID],products[],12,FALSE)</f>
        <v>Meat/Poultry</v>
      </c>
      <c r="J1821" s="9">
        <f>VLOOKUP(revenue[productID],products[],IF(YEAR(revenue[orderDate])=2022,8,IF(YEAR(revenue[orderDate])=2023,9,IF(YEAR(revenue[orderDate])=2024,10,NA))),FALSE)</f>
        <v>28.51916263</v>
      </c>
      <c r="K1821" s="9">
        <v>39.0</v>
      </c>
      <c r="L1821" s="25">
        <f>(revenue[orderPrice]-revenue[productCost])/revenue[productCost]</f>
        <v>0.3675015816</v>
      </c>
      <c r="M1821" s="10">
        <v>6.0</v>
      </c>
      <c r="N1821" s="25">
        <v>0.0</v>
      </c>
      <c r="O1821" s="9">
        <f>revenue[orderPrice]*revenue[orderQuantity]</f>
        <v>234</v>
      </c>
      <c r="P1821" s="9">
        <f>revenue[orderTotal]*(1-revenue[discountApllied])</f>
        <v>234</v>
      </c>
      <c r="Q1821" s="9">
        <f>revenue[revenue]-(revenue[productCost]*revenue[orderQuantity])</f>
        <v>62.88502423</v>
      </c>
      <c r="R1821" s="25">
        <f>IFERROR(revenue[profit]/revenue[revenue], 0)</f>
        <v>0.2687394198</v>
      </c>
      <c r="S1821" s="9">
        <f>revenue[productCost]*revenue[orderQuantity]</f>
        <v>171.1149758</v>
      </c>
    </row>
    <row r="1822" ht="15.75" customHeight="1">
      <c r="A1822" s="6">
        <v>10949.0</v>
      </c>
      <c r="B1822" s="7" t="s">
        <v>81</v>
      </c>
      <c r="C1822" s="24" t="str">
        <f>VLOOKUP(revenue[customerID],customers[],2,FALSE)</f>
        <v>Bottom-Dollar Markets</v>
      </c>
      <c r="D1822" s="24" t="str">
        <f>VLOOKUP(revenue[customerID],customers[],6,FALSE)</f>
        <v>Tsawassen</v>
      </c>
      <c r="E1822" s="24" t="str">
        <f>VLOOKUP(revenue[customerID],customers[],9,FALSE)</f>
        <v>Canada</v>
      </c>
      <c r="F1822" s="24">
        <v>45364.0</v>
      </c>
      <c r="G1822" s="6">
        <v>62.0</v>
      </c>
      <c r="H1822" s="9" t="str">
        <f>VLOOKUP(revenue[productID],products[],2,FALSE)</f>
        <v>Tarte au sucre</v>
      </c>
      <c r="I1822" s="9" t="str">
        <f>VLOOKUP(revenue[productID],products[],12,FALSE)</f>
        <v>Confections</v>
      </c>
      <c r="J1822" s="9">
        <f>VLOOKUP(revenue[productID],products[],IF(YEAR(revenue[orderDate])=2022,8,IF(YEAR(revenue[orderDate])=2023,9,IF(YEAR(revenue[orderDate])=2024,10,NA))),FALSE)</f>
        <v>34.88145014</v>
      </c>
      <c r="K1822" s="9">
        <v>49.3</v>
      </c>
      <c r="L1822" s="25">
        <f>(revenue[orderPrice]-revenue[productCost])/revenue[productCost]</f>
        <v>0.4133586705</v>
      </c>
      <c r="M1822" s="10">
        <v>60.0</v>
      </c>
      <c r="N1822" s="25">
        <v>0.0</v>
      </c>
      <c r="O1822" s="9">
        <f>revenue[orderPrice]*revenue[orderQuantity]</f>
        <v>2958</v>
      </c>
      <c r="P1822" s="9">
        <f>revenue[orderTotal]*(1-revenue[discountApllied])</f>
        <v>2958</v>
      </c>
      <c r="Q1822" s="9">
        <f>revenue[revenue]-(revenue[productCost]*revenue[orderQuantity])</f>
        <v>865.1129914</v>
      </c>
      <c r="R1822" s="25">
        <f>IFERROR(revenue[profit]/revenue[revenue], 0)</f>
        <v>0.2924655143</v>
      </c>
      <c r="S1822" s="9">
        <f>revenue[productCost]*revenue[orderQuantity]</f>
        <v>2092.887009</v>
      </c>
    </row>
    <row r="1823" ht="15.75" customHeight="1">
      <c r="A1823" s="6">
        <v>10950.0</v>
      </c>
      <c r="B1823" s="7" t="s">
        <v>37</v>
      </c>
      <c r="C1823" s="24" t="str">
        <f>VLOOKUP(revenue[customerID],customers[],2,FALSE)</f>
        <v>Magazzini Alimentari Riuniti</v>
      </c>
      <c r="D1823" s="24" t="str">
        <f>VLOOKUP(revenue[customerID],customers[],6,FALSE)</f>
        <v>Bergamo</v>
      </c>
      <c r="E1823" s="24" t="str">
        <f>VLOOKUP(revenue[customerID],customers[],9,FALSE)</f>
        <v>Italy</v>
      </c>
      <c r="F1823" s="24">
        <v>45367.0</v>
      </c>
      <c r="G1823" s="6">
        <v>4.0</v>
      </c>
      <c r="H1823" s="9" t="str">
        <f>VLOOKUP(revenue[productID],products[],2,FALSE)</f>
        <v>Chef Anton's Cajun Seasoning</v>
      </c>
      <c r="I1823" s="9" t="str">
        <f>VLOOKUP(revenue[productID],products[],12,FALSE)</f>
        <v>Condiments</v>
      </c>
      <c r="J1823" s="9">
        <f>VLOOKUP(revenue[productID],products[],IF(YEAR(revenue[orderDate])=2022,8,IF(YEAR(revenue[orderDate])=2023,9,IF(YEAR(revenue[orderDate])=2024,10,NA))),FALSE)</f>
        <v>14.37280157</v>
      </c>
      <c r="K1823" s="9">
        <v>22.0</v>
      </c>
      <c r="L1823" s="25">
        <f>(revenue[orderPrice]-revenue[productCost])/revenue[productCost]</f>
        <v>0.5306688748</v>
      </c>
      <c r="M1823" s="10">
        <v>5.0</v>
      </c>
      <c r="N1823" s="25">
        <v>0.0</v>
      </c>
      <c r="O1823" s="9">
        <f>revenue[orderPrice]*revenue[orderQuantity]</f>
        <v>110</v>
      </c>
      <c r="P1823" s="9">
        <f>revenue[orderTotal]*(1-revenue[discountApllied])</f>
        <v>110</v>
      </c>
      <c r="Q1823" s="9">
        <f>revenue[revenue]-(revenue[productCost]*revenue[orderQuantity])</f>
        <v>38.13599217</v>
      </c>
      <c r="R1823" s="25">
        <f>IFERROR(revenue[profit]/revenue[revenue], 0)</f>
        <v>0.346690838</v>
      </c>
      <c r="S1823" s="9">
        <f>revenue[productCost]*revenue[orderQuantity]</f>
        <v>71.86400783</v>
      </c>
    </row>
    <row r="1824" ht="15.75" customHeight="1">
      <c r="A1824" s="6">
        <v>10951.0</v>
      </c>
      <c r="B1824" s="7" t="s">
        <v>21</v>
      </c>
      <c r="C1824" s="24" t="str">
        <f>VLOOKUP(revenue[customerID],customers[],2,FALSE)</f>
        <v>Richter Supermarkt</v>
      </c>
      <c r="D1824" s="24" t="str">
        <f>VLOOKUP(revenue[customerID],customers[],6,FALSE)</f>
        <v>Genève</v>
      </c>
      <c r="E1824" s="24" t="str">
        <f>VLOOKUP(revenue[customerID],customers[],9,FALSE)</f>
        <v>Switzerland</v>
      </c>
      <c r="F1824" s="24">
        <v>45367.0</v>
      </c>
      <c r="G1824" s="6">
        <v>33.0</v>
      </c>
      <c r="H1824" s="9" t="str">
        <f>VLOOKUP(revenue[productID],products[],2,FALSE)</f>
        <v>Geitost</v>
      </c>
      <c r="I1824" s="9" t="str">
        <f>VLOOKUP(revenue[productID],products[],12,FALSE)</f>
        <v>Dairy Products</v>
      </c>
      <c r="J1824" s="9">
        <f>VLOOKUP(revenue[productID],products[],IF(YEAR(revenue[orderDate])=2022,8,IF(YEAR(revenue[orderDate])=2023,9,IF(YEAR(revenue[orderDate])=2024,10,NA))),FALSE)</f>
        <v>1.670163437</v>
      </c>
      <c r="K1824" s="9">
        <v>2.5</v>
      </c>
      <c r="L1824" s="25">
        <f>(revenue[orderPrice]-revenue[productCost])/revenue[productCost]</f>
        <v>0.4968594957</v>
      </c>
      <c r="M1824" s="10">
        <v>15.0</v>
      </c>
      <c r="N1824" s="25">
        <v>0.05</v>
      </c>
      <c r="O1824" s="9">
        <f>revenue[orderPrice]*revenue[orderQuantity]</f>
        <v>37.5</v>
      </c>
      <c r="P1824" s="9">
        <f>revenue[orderTotal]*(1-revenue[discountApllied])</f>
        <v>35.625</v>
      </c>
      <c r="Q1824" s="9">
        <f>revenue[revenue]-(revenue[productCost]*revenue[orderQuantity])</f>
        <v>10.57254844</v>
      </c>
      <c r="R1824" s="25">
        <f>IFERROR(revenue[profit]/revenue[revenue], 0)</f>
        <v>0.2967732897</v>
      </c>
      <c r="S1824" s="9">
        <f>revenue[productCost]*revenue[orderQuantity]</f>
        <v>25.05245156</v>
      </c>
    </row>
    <row r="1825" ht="15.75" customHeight="1">
      <c r="A1825" s="6">
        <v>10951.0</v>
      </c>
      <c r="B1825" s="7" t="s">
        <v>21</v>
      </c>
      <c r="C1825" s="24" t="str">
        <f>VLOOKUP(revenue[customerID],customers[],2,FALSE)</f>
        <v>Richter Supermarkt</v>
      </c>
      <c r="D1825" s="24" t="str">
        <f>VLOOKUP(revenue[customerID],customers[],6,FALSE)</f>
        <v>Genève</v>
      </c>
      <c r="E1825" s="24" t="str">
        <f>VLOOKUP(revenue[customerID],customers[],9,FALSE)</f>
        <v>Switzerland</v>
      </c>
      <c r="F1825" s="24">
        <v>45367.0</v>
      </c>
      <c r="G1825" s="6">
        <v>41.0</v>
      </c>
      <c r="H1825" s="9" t="str">
        <f>VLOOKUP(revenue[productID],products[],2,FALSE)</f>
        <v>Jack's New England Clam Chowder</v>
      </c>
      <c r="I1825" s="9" t="str">
        <f>VLOOKUP(revenue[productID],products[],12,FALSE)</f>
        <v>Seafood</v>
      </c>
      <c r="J1825" s="9">
        <f>VLOOKUP(revenue[productID],products[],IF(YEAR(revenue[orderDate])=2022,8,IF(YEAR(revenue[orderDate])=2023,9,IF(YEAR(revenue[orderDate])=2024,10,NA))),FALSE)</f>
        <v>6.611787882</v>
      </c>
      <c r="K1825" s="9">
        <v>9.65</v>
      </c>
      <c r="L1825" s="25">
        <f>(revenue[orderPrice]-revenue[productCost])/revenue[productCost]</f>
        <v>0.459514457</v>
      </c>
      <c r="M1825" s="10">
        <v>6.0</v>
      </c>
      <c r="N1825" s="25">
        <v>0.05</v>
      </c>
      <c r="O1825" s="9">
        <f>revenue[orderPrice]*revenue[orderQuantity]</f>
        <v>57.9</v>
      </c>
      <c r="P1825" s="9">
        <f>revenue[orderTotal]*(1-revenue[discountApllied])</f>
        <v>55.005</v>
      </c>
      <c r="Q1825" s="9">
        <f>revenue[revenue]-(revenue[productCost]*revenue[orderQuantity])</f>
        <v>15.33427271</v>
      </c>
      <c r="R1825" s="25">
        <f>IFERROR(revenue[profit]/revenue[revenue], 0)</f>
        <v>0.2787796147</v>
      </c>
      <c r="S1825" s="9">
        <f>revenue[productCost]*revenue[orderQuantity]</f>
        <v>39.67072729</v>
      </c>
    </row>
    <row r="1826" ht="15.75" customHeight="1">
      <c r="A1826" s="6">
        <v>10951.0</v>
      </c>
      <c r="B1826" s="7" t="s">
        <v>21</v>
      </c>
      <c r="C1826" s="24" t="str">
        <f>VLOOKUP(revenue[customerID],customers[],2,FALSE)</f>
        <v>Richter Supermarkt</v>
      </c>
      <c r="D1826" s="24" t="str">
        <f>VLOOKUP(revenue[customerID],customers[],6,FALSE)</f>
        <v>Genève</v>
      </c>
      <c r="E1826" s="24" t="str">
        <f>VLOOKUP(revenue[customerID],customers[],9,FALSE)</f>
        <v>Switzerland</v>
      </c>
      <c r="F1826" s="24">
        <v>45367.0</v>
      </c>
      <c r="G1826" s="6">
        <v>75.0</v>
      </c>
      <c r="H1826" s="9" t="str">
        <f>VLOOKUP(revenue[productID],products[],2,FALSE)</f>
        <v>Rhönbräu Klosterbier</v>
      </c>
      <c r="I1826" s="9" t="str">
        <f>VLOOKUP(revenue[productID],products[],12,FALSE)</f>
        <v>Beverages</v>
      </c>
      <c r="J1826" s="9">
        <f>VLOOKUP(revenue[productID],products[],IF(YEAR(revenue[orderDate])=2022,8,IF(YEAR(revenue[orderDate])=2023,9,IF(YEAR(revenue[orderDate])=2024,10,NA))),FALSE)</f>
        <v>5.374051525</v>
      </c>
      <c r="K1826" s="9">
        <v>7.75</v>
      </c>
      <c r="L1826" s="25">
        <f>(revenue[orderPrice]-revenue[productCost])/revenue[productCost]</f>
        <v>0.4421149413</v>
      </c>
      <c r="M1826" s="10">
        <v>50.0</v>
      </c>
      <c r="N1826" s="25">
        <v>0.05</v>
      </c>
      <c r="O1826" s="9">
        <f>revenue[orderPrice]*revenue[orderQuantity]</f>
        <v>387.5</v>
      </c>
      <c r="P1826" s="9">
        <f>revenue[orderTotal]*(1-revenue[discountApllied])</f>
        <v>368.125</v>
      </c>
      <c r="Q1826" s="9">
        <f>revenue[revenue]-(revenue[productCost]*revenue[orderQuantity])</f>
        <v>99.42242374</v>
      </c>
      <c r="R1826" s="25">
        <f>IFERROR(revenue[profit]/revenue[revenue], 0)</f>
        <v>0.2700778913</v>
      </c>
      <c r="S1826" s="9">
        <f>revenue[productCost]*revenue[orderQuantity]</f>
        <v>268.7025763</v>
      </c>
    </row>
    <row r="1827" ht="15.75" customHeight="1">
      <c r="A1827" s="6">
        <v>10952.0</v>
      </c>
      <c r="B1827" s="7" t="s">
        <v>100</v>
      </c>
      <c r="C1827" s="24" t="str">
        <f>VLOOKUP(revenue[customerID],customers[],2,FALSE)</f>
        <v>Alfreds Futterkiste</v>
      </c>
      <c r="D1827" s="24" t="str">
        <f>VLOOKUP(revenue[customerID],customers[],6,FALSE)</f>
        <v>Berlin</v>
      </c>
      <c r="E1827" s="24" t="str">
        <f>VLOOKUP(revenue[customerID],customers[],9,FALSE)</f>
        <v>Germany</v>
      </c>
      <c r="F1827" s="24">
        <v>45367.0</v>
      </c>
      <c r="G1827" s="6">
        <v>6.0</v>
      </c>
      <c r="H1827" s="9" t="str">
        <f>VLOOKUP(revenue[productID],products[],2,FALSE)</f>
        <v>Grandma's Boysenberry Spread</v>
      </c>
      <c r="I1827" s="9" t="str">
        <f>VLOOKUP(revenue[productID],products[],12,FALSE)</f>
        <v>Condiments</v>
      </c>
      <c r="J1827" s="9">
        <f>VLOOKUP(revenue[productID],products[],IF(YEAR(revenue[orderDate])=2022,8,IF(YEAR(revenue[orderDate])=2023,9,IF(YEAR(revenue[orderDate])=2024,10,NA))),FALSE)</f>
        <v>17.2416593</v>
      </c>
      <c r="K1827" s="9">
        <v>25.0</v>
      </c>
      <c r="L1827" s="25">
        <f>(revenue[orderPrice]-revenue[productCost])/revenue[productCost]</f>
        <v>0.4499764532</v>
      </c>
      <c r="M1827" s="10">
        <v>16.0</v>
      </c>
      <c r="N1827" s="25">
        <v>0.05</v>
      </c>
      <c r="O1827" s="9">
        <f>revenue[orderPrice]*revenue[orderQuantity]</f>
        <v>400</v>
      </c>
      <c r="P1827" s="9">
        <f>revenue[orderTotal]*(1-revenue[discountApllied])</f>
        <v>380</v>
      </c>
      <c r="Q1827" s="9">
        <f>revenue[revenue]-(revenue[productCost]*revenue[orderQuantity])</f>
        <v>104.1334512</v>
      </c>
      <c r="R1827" s="25">
        <f>IFERROR(revenue[profit]/revenue[revenue], 0)</f>
        <v>0.2740353979</v>
      </c>
      <c r="S1827" s="9">
        <f>revenue[productCost]*revenue[orderQuantity]</f>
        <v>275.8665488</v>
      </c>
    </row>
    <row r="1828" ht="15.75" customHeight="1">
      <c r="A1828" s="6">
        <v>10952.0</v>
      </c>
      <c r="B1828" s="7" t="s">
        <v>100</v>
      </c>
      <c r="C1828" s="24" t="str">
        <f>VLOOKUP(revenue[customerID],customers[],2,FALSE)</f>
        <v>Alfreds Futterkiste</v>
      </c>
      <c r="D1828" s="24" t="str">
        <f>VLOOKUP(revenue[customerID],customers[],6,FALSE)</f>
        <v>Berlin</v>
      </c>
      <c r="E1828" s="24" t="str">
        <f>VLOOKUP(revenue[customerID],customers[],9,FALSE)</f>
        <v>Germany</v>
      </c>
      <c r="F1828" s="24">
        <v>45367.0</v>
      </c>
      <c r="G1828" s="6">
        <v>28.0</v>
      </c>
      <c r="H1828" s="9" t="str">
        <f>VLOOKUP(revenue[productID],products[],2,FALSE)</f>
        <v>Rössle Sauerkraut</v>
      </c>
      <c r="I1828" s="9" t="str">
        <f>VLOOKUP(revenue[productID],products[],12,FALSE)</f>
        <v>Produce</v>
      </c>
      <c r="J1828" s="9">
        <f>VLOOKUP(revenue[productID],products[],IF(YEAR(revenue[orderDate])=2022,8,IF(YEAR(revenue[orderDate])=2023,9,IF(YEAR(revenue[orderDate])=2024,10,NA))),FALSE)</f>
        <v>34.18502761</v>
      </c>
      <c r="K1828" s="9">
        <v>45.6</v>
      </c>
      <c r="L1828" s="25">
        <f>(revenue[orderPrice]-revenue[productCost])/revenue[productCost]</f>
        <v>0.3339173079</v>
      </c>
      <c r="M1828" s="10">
        <v>2.0</v>
      </c>
      <c r="N1828" s="25">
        <v>0.0</v>
      </c>
      <c r="O1828" s="9">
        <f>revenue[orderPrice]*revenue[orderQuantity]</f>
        <v>91.2</v>
      </c>
      <c r="P1828" s="9">
        <f>revenue[orderTotal]*(1-revenue[discountApllied])</f>
        <v>91.2</v>
      </c>
      <c r="Q1828" s="9">
        <f>revenue[revenue]-(revenue[productCost]*revenue[orderQuantity])</f>
        <v>22.82994478</v>
      </c>
      <c r="R1828" s="25">
        <f>IFERROR(revenue[profit]/revenue[revenue], 0)</f>
        <v>0.2503283419</v>
      </c>
      <c r="S1828" s="9">
        <f>revenue[productCost]*revenue[orderQuantity]</f>
        <v>68.37005522</v>
      </c>
    </row>
    <row r="1829" ht="15.75" customHeight="1">
      <c r="A1829" s="6">
        <v>10953.0</v>
      </c>
      <c r="B1829" s="7" t="s">
        <v>70</v>
      </c>
      <c r="C1829" s="24" t="str">
        <f>VLOOKUP(revenue[customerID],customers[],2,FALSE)</f>
        <v>Around the Horn</v>
      </c>
      <c r="D1829" s="24" t="str">
        <f>VLOOKUP(revenue[customerID],customers[],6,FALSE)</f>
        <v>London</v>
      </c>
      <c r="E1829" s="24" t="str">
        <f>VLOOKUP(revenue[customerID],customers[],9,FALSE)</f>
        <v>UK</v>
      </c>
      <c r="F1829" s="24">
        <v>45367.0</v>
      </c>
      <c r="G1829" s="6">
        <v>20.0</v>
      </c>
      <c r="H1829" s="9" t="str">
        <f>VLOOKUP(revenue[productID],products[],2,FALSE)</f>
        <v>Sir Rodney's Marmalade</v>
      </c>
      <c r="I1829" s="9" t="str">
        <f>VLOOKUP(revenue[productID],products[],12,FALSE)</f>
        <v>Confections</v>
      </c>
      <c r="J1829" s="9">
        <f>VLOOKUP(revenue[productID],products[],IF(YEAR(revenue[orderDate])=2022,8,IF(YEAR(revenue[orderDate])=2023,9,IF(YEAR(revenue[orderDate])=2024,10,NA))),FALSE)</f>
        <v>62.82537598</v>
      </c>
      <c r="K1829" s="9">
        <v>81.0</v>
      </c>
      <c r="L1829" s="25">
        <f>(revenue[orderPrice]-revenue[productCost])/revenue[productCost]</f>
        <v>0.2892879468</v>
      </c>
      <c r="M1829" s="10">
        <v>50.0</v>
      </c>
      <c r="N1829" s="25">
        <v>0.05</v>
      </c>
      <c r="O1829" s="9">
        <f>revenue[orderPrice]*revenue[orderQuantity]</f>
        <v>4050</v>
      </c>
      <c r="P1829" s="9">
        <f>revenue[orderTotal]*(1-revenue[discountApllied])</f>
        <v>3847.5</v>
      </c>
      <c r="Q1829" s="9">
        <f>revenue[revenue]-(revenue[productCost]*revenue[orderQuantity])</f>
        <v>706.2312012</v>
      </c>
      <c r="R1829" s="25">
        <f>IFERROR(revenue[profit]/revenue[revenue], 0)</f>
        <v>0.1835558678</v>
      </c>
      <c r="S1829" s="9">
        <f>revenue[productCost]*revenue[orderQuantity]</f>
        <v>3141.268799</v>
      </c>
    </row>
    <row r="1830" ht="15.75" customHeight="1">
      <c r="A1830" s="6">
        <v>10953.0</v>
      </c>
      <c r="B1830" s="7" t="s">
        <v>70</v>
      </c>
      <c r="C1830" s="24" t="str">
        <f>VLOOKUP(revenue[customerID],customers[],2,FALSE)</f>
        <v>Around the Horn</v>
      </c>
      <c r="D1830" s="24" t="str">
        <f>VLOOKUP(revenue[customerID],customers[],6,FALSE)</f>
        <v>London</v>
      </c>
      <c r="E1830" s="24" t="str">
        <f>VLOOKUP(revenue[customerID],customers[],9,FALSE)</f>
        <v>UK</v>
      </c>
      <c r="F1830" s="24">
        <v>45367.0</v>
      </c>
      <c r="G1830" s="6">
        <v>31.0</v>
      </c>
      <c r="H1830" s="9" t="str">
        <f>VLOOKUP(revenue[productID],products[],2,FALSE)</f>
        <v>Gorgonzola Telino</v>
      </c>
      <c r="I1830" s="9" t="str">
        <f>VLOOKUP(revenue[productID],products[],12,FALSE)</f>
        <v>Dairy Products</v>
      </c>
      <c r="J1830" s="9">
        <f>VLOOKUP(revenue[productID],products[],IF(YEAR(revenue[orderDate])=2022,8,IF(YEAR(revenue[orderDate])=2023,9,IF(YEAR(revenue[orderDate])=2024,10,NA))),FALSE)</f>
        <v>8.203054392</v>
      </c>
      <c r="K1830" s="9">
        <v>12.5</v>
      </c>
      <c r="L1830" s="25">
        <f>(revenue[orderPrice]-revenue[productCost])/revenue[productCost]</f>
        <v>0.52382264</v>
      </c>
      <c r="M1830" s="10">
        <v>50.0</v>
      </c>
      <c r="N1830" s="25">
        <v>0.05</v>
      </c>
      <c r="O1830" s="9">
        <f>revenue[orderPrice]*revenue[orderQuantity]</f>
        <v>625</v>
      </c>
      <c r="P1830" s="9">
        <f>revenue[orderTotal]*(1-revenue[discountApllied])</f>
        <v>593.75</v>
      </c>
      <c r="Q1830" s="9">
        <f>revenue[revenue]-(revenue[productCost]*revenue[orderQuantity])</f>
        <v>183.5972804</v>
      </c>
      <c r="R1830" s="25">
        <f>IFERROR(revenue[profit]/revenue[revenue], 0)</f>
        <v>0.3092164722</v>
      </c>
      <c r="S1830" s="9">
        <f>revenue[productCost]*revenue[orderQuantity]</f>
        <v>410.1527196</v>
      </c>
    </row>
    <row r="1831" ht="15.75" customHeight="1">
      <c r="A1831" s="6">
        <v>10954.0</v>
      </c>
      <c r="B1831" s="7" t="s">
        <v>82</v>
      </c>
      <c r="C1831" s="24" t="str">
        <f>VLOOKUP(revenue[customerID],customers[],2,FALSE)</f>
        <v>LINO-Delicateses</v>
      </c>
      <c r="D1831" s="24" t="str">
        <f>VLOOKUP(revenue[customerID],customers[],6,FALSE)</f>
        <v>I. de Margarita</v>
      </c>
      <c r="E1831" s="24" t="str">
        <f>VLOOKUP(revenue[customerID],customers[],9,FALSE)</f>
        <v>Venezuela</v>
      </c>
      <c r="F1831" s="24">
        <v>45368.0</v>
      </c>
      <c r="G1831" s="6">
        <v>16.0</v>
      </c>
      <c r="H1831" s="9" t="str">
        <f>VLOOKUP(revenue[productID],products[],2,FALSE)</f>
        <v>Pavlova</v>
      </c>
      <c r="I1831" s="9" t="str">
        <f>VLOOKUP(revenue[productID],products[],12,FALSE)</f>
        <v>Confections</v>
      </c>
      <c r="J1831" s="9">
        <f>VLOOKUP(revenue[productID],products[],IF(YEAR(revenue[orderDate])=2022,8,IF(YEAR(revenue[orderDate])=2023,9,IF(YEAR(revenue[orderDate])=2024,10,NA))),FALSE)</f>
        <v>12.68283974</v>
      </c>
      <c r="K1831" s="9">
        <v>17.45</v>
      </c>
      <c r="L1831" s="25">
        <f>(revenue[orderPrice]-revenue[productCost])/revenue[productCost]</f>
        <v>0.3758748323</v>
      </c>
      <c r="M1831" s="10">
        <v>28.0</v>
      </c>
      <c r="N1831" s="25">
        <v>0.15</v>
      </c>
      <c r="O1831" s="9">
        <f>revenue[orderPrice]*revenue[orderQuantity]</f>
        <v>488.6</v>
      </c>
      <c r="P1831" s="9">
        <f>revenue[orderTotal]*(1-revenue[discountApllied])</f>
        <v>415.31</v>
      </c>
      <c r="Q1831" s="9">
        <f>revenue[revenue]-(revenue[productCost]*revenue[orderQuantity])</f>
        <v>60.19048729</v>
      </c>
      <c r="R1831" s="25">
        <f>IFERROR(revenue[profit]/revenue[revenue], 0)</f>
        <v>0.1449290585</v>
      </c>
      <c r="S1831" s="9">
        <f>revenue[productCost]*revenue[orderQuantity]</f>
        <v>355.1195127</v>
      </c>
    </row>
    <row r="1832" ht="15.75" customHeight="1">
      <c r="A1832" s="6">
        <v>10954.0</v>
      </c>
      <c r="B1832" s="7" t="s">
        <v>82</v>
      </c>
      <c r="C1832" s="24" t="str">
        <f>VLOOKUP(revenue[customerID],customers[],2,FALSE)</f>
        <v>LINO-Delicateses</v>
      </c>
      <c r="D1832" s="24" t="str">
        <f>VLOOKUP(revenue[customerID],customers[],6,FALSE)</f>
        <v>I. de Margarita</v>
      </c>
      <c r="E1832" s="24" t="str">
        <f>VLOOKUP(revenue[customerID],customers[],9,FALSE)</f>
        <v>Venezuela</v>
      </c>
      <c r="F1832" s="24">
        <v>45368.0</v>
      </c>
      <c r="G1832" s="6">
        <v>31.0</v>
      </c>
      <c r="H1832" s="9" t="str">
        <f>VLOOKUP(revenue[productID],products[],2,FALSE)</f>
        <v>Gorgonzola Telino</v>
      </c>
      <c r="I1832" s="9" t="str">
        <f>VLOOKUP(revenue[productID],products[],12,FALSE)</f>
        <v>Dairy Products</v>
      </c>
      <c r="J1832" s="9">
        <f>VLOOKUP(revenue[productID],products[],IF(YEAR(revenue[orderDate])=2022,8,IF(YEAR(revenue[orderDate])=2023,9,IF(YEAR(revenue[orderDate])=2024,10,NA))),FALSE)</f>
        <v>8.203054392</v>
      </c>
      <c r="K1832" s="9">
        <v>12.5</v>
      </c>
      <c r="L1832" s="25">
        <f>(revenue[orderPrice]-revenue[productCost])/revenue[productCost]</f>
        <v>0.52382264</v>
      </c>
      <c r="M1832" s="10">
        <v>25.0</v>
      </c>
      <c r="N1832" s="25">
        <v>0.15</v>
      </c>
      <c r="O1832" s="9">
        <f>revenue[orderPrice]*revenue[orderQuantity]</f>
        <v>312.5</v>
      </c>
      <c r="P1832" s="9">
        <f>revenue[orderTotal]*(1-revenue[discountApllied])</f>
        <v>265.625</v>
      </c>
      <c r="Q1832" s="9">
        <f>revenue[revenue]-(revenue[productCost]*revenue[orderQuantity])</f>
        <v>60.5486402</v>
      </c>
      <c r="R1832" s="25">
        <f>IFERROR(revenue[profit]/revenue[revenue], 0)</f>
        <v>0.2279478219</v>
      </c>
      <c r="S1832" s="9">
        <f>revenue[productCost]*revenue[orderQuantity]</f>
        <v>205.0763598</v>
      </c>
    </row>
    <row r="1833" ht="15.75" customHeight="1">
      <c r="A1833" s="6">
        <v>10954.0</v>
      </c>
      <c r="B1833" s="7" t="s">
        <v>82</v>
      </c>
      <c r="C1833" s="24" t="str">
        <f>VLOOKUP(revenue[customerID],customers[],2,FALSE)</f>
        <v>LINO-Delicateses</v>
      </c>
      <c r="D1833" s="24" t="str">
        <f>VLOOKUP(revenue[customerID],customers[],6,FALSE)</f>
        <v>I. de Margarita</v>
      </c>
      <c r="E1833" s="24" t="str">
        <f>VLOOKUP(revenue[customerID],customers[],9,FALSE)</f>
        <v>Venezuela</v>
      </c>
      <c r="F1833" s="24">
        <v>45368.0</v>
      </c>
      <c r="G1833" s="6">
        <v>45.0</v>
      </c>
      <c r="H1833" s="9" t="str">
        <f>VLOOKUP(revenue[productID],products[],2,FALSE)</f>
        <v>Rogede sild</v>
      </c>
      <c r="I1833" s="9" t="str">
        <f>VLOOKUP(revenue[productID],products[],12,FALSE)</f>
        <v>Seafood</v>
      </c>
      <c r="J1833" s="9">
        <f>VLOOKUP(revenue[productID],products[],IF(YEAR(revenue[orderDate])=2022,8,IF(YEAR(revenue[orderDate])=2023,9,IF(YEAR(revenue[orderDate])=2024,10,NA))),FALSE)</f>
        <v>6.510592171</v>
      </c>
      <c r="K1833" s="9">
        <v>9.5</v>
      </c>
      <c r="L1833" s="25">
        <f>(revenue[orderPrice]-revenue[productCost])/revenue[productCost]</f>
        <v>0.4591606648</v>
      </c>
      <c r="M1833" s="10">
        <v>30.0</v>
      </c>
      <c r="N1833" s="25">
        <v>0.0</v>
      </c>
      <c r="O1833" s="9">
        <f>revenue[orderPrice]*revenue[orderQuantity]</f>
        <v>285</v>
      </c>
      <c r="P1833" s="9">
        <f>revenue[orderTotal]*(1-revenue[discountApllied])</f>
        <v>285</v>
      </c>
      <c r="Q1833" s="9">
        <f>revenue[revenue]-(revenue[productCost]*revenue[orderQuantity])</f>
        <v>89.68223488</v>
      </c>
      <c r="R1833" s="25">
        <f>IFERROR(revenue[profit]/revenue[revenue], 0)</f>
        <v>0.3146745083</v>
      </c>
      <c r="S1833" s="9">
        <f>revenue[productCost]*revenue[orderQuantity]</f>
        <v>195.3177651</v>
      </c>
    </row>
    <row r="1834" ht="15.75" customHeight="1">
      <c r="A1834" s="6">
        <v>10954.0</v>
      </c>
      <c r="B1834" s="7" t="s">
        <v>82</v>
      </c>
      <c r="C1834" s="24" t="str">
        <f>VLOOKUP(revenue[customerID],customers[],2,FALSE)</f>
        <v>LINO-Delicateses</v>
      </c>
      <c r="D1834" s="24" t="str">
        <f>VLOOKUP(revenue[customerID],customers[],6,FALSE)</f>
        <v>I. de Margarita</v>
      </c>
      <c r="E1834" s="24" t="str">
        <f>VLOOKUP(revenue[customerID],customers[],9,FALSE)</f>
        <v>Venezuela</v>
      </c>
      <c r="F1834" s="24">
        <v>45368.0</v>
      </c>
      <c r="G1834" s="6">
        <v>60.0</v>
      </c>
      <c r="H1834" s="9" t="str">
        <f>VLOOKUP(revenue[productID],products[],2,FALSE)</f>
        <v>Camembert Pierrot</v>
      </c>
      <c r="I1834" s="9" t="str">
        <f>VLOOKUP(revenue[productID],products[],12,FALSE)</f>
        <v>Dairy Products</v>
      </c>
      <c r="J1834" s="9">
        <f>VLOOKUP(revenue[productID],products[],IF(YEAR(revenue[orderDate])=2022,8,IF(YEAR(revenue[orderDate])=2023,9,IF(YEAR(revenue[orderDate])=2024,10,NA))),FALSE)</f>
        <v>22.49091154</v>
      </c>
      <c r="K1834" s="9">
        <v>34.0</v>
      </c>
      <c r="L1834" s="25">
        <f>(revenue[orderPrice]-revenue[productCost])/revenue[productCost]</f>
        <v>0.5117217431</v>
      </c>
      <c r="M1834" s="10">
        <v>24.0</v>
      </c>
      <c r="N1834" s="25">
        <v>0.15</v>
      </c>
      <c r="O1834" s="9">
        <f>revenue[orderPrice]*revenue[orderQuantity]</f>
        <v>816</v>
      </c>
      <c r="P1834" s="9">
        <f>revenue[orderTotal]*(1-revenue[discountApllied])</f>
        <v>693.6</v>
      </c>
      <c r="Q1834" s="9">
        <f>revenue[revenue]-(revenue[productCost]*revenue[orderQuantity])</f>
        <v>153.818123</v>
      </c>
      <c r="R1834" s="25">
        <f>IFERROR(revenue[profit]/revenue[revenue], 0)</f>
        <v>0.2217677667</v>
      </c>
      <c r="S1834" s="9">
        <f>revenue[productCost]*revenue[orderQuantity]</f>
        <v>539.781877</v>
      </c>
    </row>
    <row r="1835" ht="15.75" customHeight="1">
      <c r="A1835" s="6">
        <v>10955.0</v>
      </c>
      <c r="B1835" s="7" t="s">
        <v>29</v>
      </c>
      <c r="C1835" s="24" t="str">
        <f>VLOOKUP(revenue[customerID],customers[],2,FALSE)</f>
        <v>Folk och fä HB</v>
      </c>
      <c r="D1835" s="24" t="str">
        <f>VLOOKUP(revenue[customerID],customers[],6,FALSE)</f>
        <v>Bräcke</v>
      </c>
      <c r="E1835" s="24" t="str">
        <f>VLOOKUP(revenue[customerID],customers[],9,FALSE)</f>
        <v>Sweden</v>
      </c>
      <c r="F1835" s="24">
        <v>45368.0</v>
      </c>
      <c r="G1835" s="6">
        <v>75.0</v>
      </c>
      <c r="H1835" s="9" t="str">
        <f>VLOOKUP(revenue[productID],products[],2,FALSE)</f>
        <v>Rhönbräu Klosterbier</v>
      </c>
      <c r="I1835" s="9" t="str">
        <f>VLOOKUP(revenue[productID],products[],12,FALSE)</f>
        <v>Beverages</v>
      </c>
      <c r="J1835" s="9">
        <f>VLOOKUP(revenue[productID],products[],IF(YEAR(revenue[orderDate])=2022,8,IF(YEAR(revenue[orderDate])=2023,9,IF(YEAR(revenue[orderDate])=2024,10,NA))),FALSE)</f>
        <v>5.374051525</v>
      </c>
      <c r="K1835" s="9">
        <v>7.75</v>
      </c>
      <c r="L1835" s="25">
        <f>(revenue[orderPrice]-revenue[productCost])/revenue[productCost]</f>
        <v>0.4421149413</v>
      </c>
      <c r="M1835" s="10">
        <v>12.0</v>
      </c>
      <c r="N1835" s="25">
        <v>0.2</v>
      </c>
      <c r="O1835" s="9">
        <f>revenue[orderPrice]*revenue[orderQuantity]</f>
        <v>93</v>
      </c>
      <c r="P1835" s="9">
        <f>revenue[orderTotal]*(1-revenue[discountApllied])</f>
        <v>74.4</v>
      </c>
      <c r="Q1835" s="9">
        <f>revenue[revenue]-(revenue[productCost]*revenue[orderQuantity])</f>
        <v>9.911381697</v>
      </c>
      <c r="R1835" s="25">
        <f>IFERROR(revenue[profit]/revenue[revenue], 0)</f>
        <v>0.1332174959</v>
      </c>
      <c r="S1835" s="9">
        <f>revenue[productCost]*revenue[orderQuantity]</f>
        <v>64.4886183</v>
      </c>
    </row>
    <row r="1836" ht="15.75" customHeight="1">
      <c r="A1836" s="6">
        <v>10956.0</v>
      </c>
      <c r="B1836" s="7" t="s">
        <v>91</v>
      </c>
      <c r="C1836" s="24" t="str">
        <f>VLOOKUP(revenue[customerID],customers[],2,FALSE)</f>
        <v>Blauer See Delikatessen</v>
      </c>
      <c r="D1836" s="24" t="str">
        <f>VLOOKUP(revenue[customerID],customers[],6,FALSE)</f>
        <v>Mannheim</v>
      </c>
      <c r="E1836" s="24" t="str">
        <f>VLOOKUP(revenue[customerID],customers[],9,FALSE)</f>
        <v>Germany</v>
      </c>
      <c r="F1836" s="24">
        <v>45368.0</v>
      </c>
      <c r="G1836" s="6">
        <v>21.0</v>
      </c>
      <c r="H1836" s="9" t="str">
        <f>VLOOKUP(revenue[productID],products[],2,FALSE)</f>
        <v>Sir Rodney's Scones</v>
      </c>
      <c r="I1836" s="9" t="str">
        <f>VLOOKUP(revenue[productID],products[],12,FALSE)</f>
        <v>Confections</v>
      </c>
      <c r="J1836" s="9">
        <f>VLOOKUP(revenue[productID],products[],IF(YEAR(revenue[orderDate])=2022,8,IF(YEAR(revenue[orderDate])=2023,9,IF(YEAR(revenue[orderDate])=2024,10,NA))),FALSE)</f>
        <v>7.459897593</v>
      </c>
      <c r="K1836" s="9">
        <v>10.0</v>
      </c>
      <c r="L1836" s="25">
        <f>(revenue[orderPrice]-revenue[productCost])/revenue[productCost]</f>
        <v>0.3405009753</v>
      </c>
      <c r="M1836" s="10">
        <v>12.0</v>
      </c>
      <c r="N1836" s="25">
        <v>0.0</v>
      </c>
      <c r="O1836" s="9">
        <f>revenue[orderPrice]*revenue[orderQuantity]</f>
        <v>120</v>
      </c>
      <c r="P1836" s="9">
        <f>revenue[orderTotal]*(1-revenue[discountApllied])</f>
        <v>120</v>
      </c>
      <c r="Q1836" s="9">
        <f>revenue[revenue]-(revenue[productCost]*revenue[orderQuantity])</f>
        <v>30.48122888</v>
      </c>
      <c r="R1836" s="25">
        <f>IFERROR(revenue[profit]/revenue[revenue], 0)</f>
        <v>0.2540102407</v>
      </c>
      <c r="S1836" s="9">
        <f>revenue[productCost]*revenue[orderQuantity]</f>
        <v>89.51877112</v>
      </c>
    </row>
    <row r="1837" ht="15.75" customHeight="1">
      <c r="A1837" s="6">
        <v>10956.0</v>
      </c>
      <c r="B1837" s="7" t="s">
        <v>91</v>
      </c>
      <c r="C1837" s="24" t="str">
        <f>VLOOKUP(revenue[customerID],customers[],2,FALSE)</f>
        <v>Blauer See Delikatessen</v>
      </c>
      <c r="D1837" s="24" t="str">
        <f>VLOOKUP(revenue[customerID],customers[],6,FALSE)</f>
        <v>Mannheim</v>
      </c>
      <c r="E1837" s="24" t="str">
        <f>VLOOKUP(revenue[customerID],customers[],9,FALSE)</f>
        <v>Germany</v>
      </c>
      <c r="F1837" s="24">
        <v>45368.0</v>
      </c>
      <c r="G1837" s="6">
        <v>47.0</v>
      </c>
      <c r="H1837" s="9" t="str">
        <f>VLOOKUP(revenue[productID],products[],2,FALSE)</f>
        <v>Zaanse koeken</v>
      </c>
      <c r="I1837" s="9" t="str">
        <f>VLOOKUP(revenue[productID],products[],12,FALSE)</f>
        <v>Confections</v>
      </c>
      <c r="J1837" s="9">
        <f>VLOOKUP(revenue[productID],products[],IF(YEAR(revenue[orderDate])=2022,8,IF(YEAR(revenue[orderDate])=2023,9,IF(YEAR(revenue[orderDate])=2024,10,NA))),FALSE)</f>
        <v>6.635130774</v>
      </c>
      <c r="K1837" s="9">
        <v>9.5</v>
      </c>
      <c r="L1837" s="25">
        <f>(revenue[orderPrice]-revenue[productCost])/revenue[productCost]</f>
        <v>0.4317728351</v>
      </c>
      <c r="M1837" s="10">
        <v>14.0</v>
      </c>
      <c r="N1837" s="25">
        <v>0.0</v>
      </c>
      <c r="O1837" s="9">
        <f>revenue[orderPrice]*revenue[orderQuantity]</f>
        <v>133</v>
      </c>
      <c r="P1837" s="9">
        <f>revenue[orderTotal]*(1-revenue[discountApllied])</f>
        <v>133</v>
      </c>
      <c r="Q1837" s="9">
        <f>revenue[revenue]-(revenue[productCost]*revenue[orderQuantity])</f>
        <v>40.10816916</v>
      </c>
      <c r="R1837" s="25">
        <f>IFERROR(revenue[profit]/revenue[revenue], 0)</f>
        <v>0.3015651817</v>
      </c>
      <c r="S1837" s="9">
        <f>revenue[productCost]*revenue[orderQuantity]</f>
        <v>92.89183084</v>
      </c>
    </row>
    <row r="1838" ht="15.75" customHeight="1">
      <c r="A1838" s="6">
        <v>10956.0</v>
      </c>
      <c r="B1838" s="7" t="s">
        <v>91</v>
      </c>
      <c r="C1838" s="24" t="str">
        <f>VLOOKUP(revenue[customerID],customers[],2,FALSE)</f>
        <v>Blauer See Delikatessen</v>
      </c>
      <c r="D1838" s="24" t="str">
        <f>VLOOKUP(revenue[customerID],customers[],6,FALSE)</f>
        <v>Mannheim</v>
      </c>
      <c r="E1838" s="24" t="str">
        <f>VLOOKUP(revenue[customerID],customers[],9,FALSE)</f>
        <v>Germany</v>
      </c>
      <c r="F1838" s="24">
        <v>45368.0</v>
      </c>
      <c r="G1838" s="6">
        <v>51.0</v>
      </c>
      <c r="H1838" s="9" t="str">
        <f>VLOOKUP(revenue[productID],products[],2,FALSE)</f>
        <v>Manjimup Dried Apples</v>
      </c>
      <c r="I1838" s="9" t="str">
        <f>VLOOKUP(revenue[productID],products[],12,FALSE)</f>
        <v>Produce</v>
      </c>
      <c r="J1838" s="9">
        <f>VLOOKUP(revenue[productID],products[],IF(YEAR(revenue[orderDate])=2022,8,IF(YEAR(revenue[orderDate])=2023,9,IF(YEAR(revenue[orderDate])=2024,10,NA))),FALSE)</f>
        <v>39.51416462</v>
      </c>
      <c r="K1838" s="9">
        <v>53.0</v>
      </c>
      <c r="L1838" s="25">
        <f>(revenue[orderPrice]-revenue[productCost])/revenue[productCost]</f>
        <v>0.3412911677</v>
      </c>
      <c r="M1838" s="10">
        <v>8.0</v>
      </c>
      <c r="N1838" s="25">
        <v>0.0</v>
      </c>
      <c r="O1838" s="9">
        <f>revenue[orderPrice]*revenue[orderQuantity]</f>
        <v>424</v>
      </c>
      <c r="P1838" s="9">
        <f>revenue[orderTotal]*(1-revenue[discountApllied])</f>
        <v>424</v>
      </c>
      <c r="Q1838" s="9">
        <f>revenue[revenue]-(revenue[productCost]*revenue[orderQuantity])</f>
        <v>107.8866831</v>
      </c>
      <c r="R1838" s="25">
        <f>IFERROR(revenue[profit]/revenue[revenue], 0)</f>
        <v>0.2544497242</v>
      </c>
      <c r="S1838" s="9">
        <f>revenue[productCost]*revenue[orderQuantity]</f>
        <v>316.1133169</v>
      </c>
    </row>
    <row r="1839" ht="15.75" customHeight="1">
      <c r="A1839" s="6">
        <v>10957.0</v>
      </c>
      <c r="B1839" s="7" t="s">
        <v>23</v>
      </c>
      <c r="C1839" s="24" t="str">
        <f>VLOOKUP(revenue[customerID],customers[],2,FALSE)</f>
        <v>HILARION-Abastos</v>
      </c>
      <c r="D1839" s="24" t="str">
        <f>VLOOKUP(revenue[customerID],customers[],6,FALSE)</f>
        <v>San Cristóbal</v>
      </c>
      <c r="E1839" s="24" t="str">
        <f>VLOOKUP(revenue[customerID],customers[],9,FALSE)</f>
        <v>Venezuela</v>
      </c>
      <c r="F1839" s="24">
        <v>45369.0</v>
      </c>
      <c r="G1839" s="6">
        <v>30.0</v>
      </c>
      <c r="H1839" s="9" t="str">
        <f>VLOOKUP(revenue[productID],products[],2,FALSE)</f>
        <v>Nord-Ost Matjeshering</v>
      </c>
      <c r="I1839" s="9" t="str">
        <f>VLOOKUP(revenue[productID],products[],12,FALSE)</f>
        <v>Seafood</v>
      </c>
      <c r="J1839" s="9">
        <f>VLOOKUP(revenue[productID],products[],IF(YEAR(revenue[orderDate])=2022,8,IF(YEAR(revenue[orderDate])=2023,9,IF(YEAR(revenue[orderDate])=2024,10,NA))),FALSE)</f>
        <v>17.0327851</v>
      </c>
      <c r="K1839" s="9">
        <v>25.89</v>
      </c>
      <c r="L1839" s="25">
        <f>(revenue[orderPrice]-revenue[productCost])/revenue[productCost]</f>
        <v>0.5200097842</v>
      </c>
      <c r="M1839" s="10">
        <v>30.0</v>
      </c>
      <c r="N1839" s="25">
        <v>0.0</v>
      </c>
      <c r="O1839" s="9">
        <f>revenue[orderPrice]*revenue[orderQuantity]</f>
        <v>776.7</v>
      </c>
      <c r="P1839" s="9">
        <f>revenue[orderTotal]*(1-revenue[discountApllied])</f>
        <v>776.7</v>
      </c>
      <c r="Q1839" s="9">
        <f>revenue[revenue]-(revenue[productCost]*revenue[orderQuantity])</f>
        <v>265.7164471</v>
      </c>
      <c r="R1839" s="25">
        <f>IFERROR(revenue[profit]/revenue[revenue], 0)</f>
        <v>0.342109498</v>
      </c>
      <c r="S1839" s="9">
        <f>revenue[productCost]*revenue[orderQuantity]</f>
        <v>510.9835529</v>
      </c>
    </row>
    <row r="1840" ht="15.75" customHeight="1">
      <c r="A1840" s="6">
        <v>10957.0</v>
      </c>
      <c r="B1840" s="7" t="s">
        <v>23</v>
      </c>
      <c r="C1840" s="24" t="str">
        <f>VLOOKUP(revenue[customerID],customers[],2,FALSE)</f>
        <v>HILARION-Abastos</v>
      </c>
      <c r="D1840" s="24" t="str">
        <f>VLOOKUP(revenue[customerID],customers[],6,FALSE)</f>
        <v>San Cristóbal</v>
      </c>
      <c r="E1840" s="24" t="str">
        <f>VLOOKUP(revenue[customerID],customers[],9,FALSE)</f>
        <v>Venezuela</v>
      </c>
      <c r="F1840" s="24">
        <v>45369.0</v>
      </c>
      <c r="G1840" s="6">
        <v>35.0</v>
      </c>
      <c r="H1840" s="9" t="str">
        <f>VLOOKUP(revenue[productID],products[],2,FALSE)</f>
        <v>Cold Brew Nitro</v>
      </c>
      <c r="I1840" s="9" t="str">
        <f>VLOOKUP(revenue[productID],products[],12,FALSE)</f>
        <v>Beverages</v>
      </c>
      <c r="J1840" s="9">
        <f>VLOOKUP(revenue[productID],products[],IF(YEAR(revenue[orderDate])=2022,8,IF(YEAR(revenue[orderDate])=2023,9,IF(YEAR(revenue[orderDate])=2024,10,NA))),FALSE)</f>
        <v>12.9261692</v>
      </c>
      <c r="K1840" s="9">
        <v>18.0</v>
      </c>
      <c r="L1840" s="25">
        <f>(revenue[orderPrice]-revenue[productCost])/revenue[productCost]</f>
        <v>0.3925239355</v>
      </c>
      <c r="M1840" s="10">
        <v>40.0</v>
      </c>
      <c r="N1840" s="25">
        <v>0.0</v>
      </c>
      <c r="O1840" s="9">
        <f>revenue[orderPrice]*revenue[orderQuantity]</f>
        <v>720</v>
      </c>
      <c r="P1840" s="9">
        <f>revenue[orderTotal]*(1-revenue[discountApllied])</f>
        <v>720</v>
      </c>
      <c r="Q1840" s="9">
        <f>revenue[revenue]-(revenue[productCost]*revenue[orderQuantity])</f>
        <v>202.9532322</v>
      </c>
      <c r="R1840" s="25">
        <f>IFERROR(revenue[profit]/revenue[revenue], 0)</f>
        <v>0.2818794891</v>
      </c>
      <c r="S1840" s="9">
        <f>revenue[productCost]*revenue[orderQuantity]</f>
        <v>517.0467678</v>
      </c>
    </row>
    <row r="1841" ht="15.75" customHeight="1">
      <c r="A1841" s="6">
        <v>10957.0</v>
      </c>
      <c r="B1841" s="7" t="s">
        <v>23</v>
      </c>
      <c r="C1841" s="24" t="str">
        <f>VLOOKUP(revenue[customerID],customers[],2,FALSE)</f>
        <v>HILARION-Abastos</v>
      </c>
      <c r="D1841" s="24" t="str">
        <f>VLOOKUP(revenue[customerID],customers[],6,FALSE)</f>
        <v>San Cristóbal</v>
      </c>
      <c r="E1841" s="24" t="str">
        <f>VLOOKUP(revenue[customerID],customers[],9,FALSE)</f>
        <v>Venezuela</v>
      </c>
      <c r="F1841" s="24">
        <v>45369.0</v>
      </c>
      <c r="G1841" s="6">
        <v>64.0</v>
      </c>
      <c r="H1841" s="9" t="str">
        <f>VLOOKUP(revenue[productID],products[],2,FALSE)</f>
        <v>Lukas' leckere Sauerteigweggla</v>
      </c>
      <c r="I1841" s="9" t="str">
        <f>VLOOKUP(revenue[productID],products[],12,FALSE)</f>
        <v>Grains/Cereals</v>
      </c>
      <c r="J1841" s="9">
        <f>VLOOKUP(revenue[productID],products[],IF(YEAR(revenue[orderDate])=2022,8,IF(YEAR(revenue[orderDate])=2023,9,IF(YEAR(revenue[orderDate])=2024,10,NA))),FALSE)</f>
        <v>22.72434276</v>
      </c>
      <c r="K1841" s="9">
        <v>33.25</v>
      </c>
      <c r="L1841" s="25">
        <f>(revenue[orderPrice]-revenue[productCost])/revenue[productCost]</f>
        <v>0.4631886324</v>
      </c>
      <c r="M1841" s="10">
        <v>8.0</v>
      </c>
      <c r="N1841" s="25">
        <v>0.0</v>
      </c>
      <c r="O1841" s="9">
        <f>revenue[orderPrice]*revenue[orderQuantity]</f>
        <v>266</v>
      </c>
      <c r="P1841" s="9">
        <f>revenue[orderTotal]*(1-revenue[discountApllied])</f>
        <v>266</v>
      </c>
      <c r="Q1841" s="9">
        <f>revenue[revenue]-(revenue[productCost]*revenue[orderQuantity])</f>
        <v>84.20525795</v>
      </c>
      <c r="R1841" s="25">
        <f>IFERROR(revenue[profit]/revenue[revenue], 0)</f>
        <v>0.3165611201</v>
      </c>
      <c r="S1841" s="9">
        <f>revenue[productCost]*revenue[orderQuantity]</f>
        <v>181.794742</v>
      </c>
    </row>
    <row r="1842" ht="15.75" customHeight="1">
      <c r="A1842" s="6">
        <v>10958.0</v>
      </c>
      <c r="B1842" s="7" t="s">
        <v>84</v>
      </c>
      <c r="C1842" s="24" t="str">
        <f>VLOOKUP(revenue[customerID],customers[],2,FALSE)</f>
        <v>Océano Atlántico Ltda.</v>
      </c>
      <c r="D1842" s="24" t="str">
        <f>VLOOKUP(revenue[customerID],customers[],6,FALSE)</f>
        <v>Buenos Aires</v>
      </c>
      <c r="E1842" s="24" t="str">
        <f>VLOOKUP(revenue[customerID],customers[],9,FALSE)</f>
        <v>Argentina</v>
      </c>
      <c r="F1842" s="24">
        <v>45369.0</v>
      </c>
      <c r="G1842" s="6">
        <v>5.0</v>
      </c>
      <c r="H1842" s="9" t="str">
        <f>VLOOKUP(revenue[productID],products[],2,FALSE)</f>
        <v>Chef Anton's Gumbo Mix</v>
      </c>
      <c r="I1842" s="9" t="str">
        <f>VLOOKUP(revenue[productID],products[],12,FALSE)</f>
        <v>Condiments</v>
      </c>
      <c r="J1842" s="9">
        <f>VLOOKUP(revenue[productID],products[],IF(YEAR(revenue[orderDate])=2022,8,IF(YEAR(revenue[orderDate])=2023,9,IF(YEAR(revenue[orderDate])=2024,10,NA))),FALSE)</f>
        <v>13.96337378</v>
      </c>
      <c r="K1842" s="9">
        <v>21.35</v>
      </c>
      <c r="L1842" s="25">
        <f>(revenue[orderPrice]-revenue[productCost])/revenue[productCost]</f>
        <v>0.5290001069</v>
      </c>
      <c r="M1842" s="10">
        <v>20.0</v>
      </c>
      <c r="N1842" s="25">
        <v>0.0</v>
      </c>
      <c r="O1842" s="9">
        <f>revenue[orderPrice]*revenue[orderQuantity]</f>
        <v>427</v>
      </c>
      <c r="P1842" s="9">
        <f>revenue[orderTotal]*(1-revenue[discountApllied])</f>
        <v>427</v>
      </c>
      <c r="Q1842" s="9">
        <f>revenue[revenue]-(revenue[productCost]*revenue[orderQuantity])</f>
        <v>147.7325244</v>
      </c>
      <c r="R1842" s="25">
        <f>IFERROR(revenue[profit]/revenue[revenue], 0)</f>
        <v>0.345977809</v>
      </c>
      <c r="S1842" s="9">
        <f>revenue[productCost]*revenue[orderQuantity]</f>
        <v>279.2674756</v>
      </c>
    </row>
    <row r="1843" ht="15.75" customHeight="1">
      <c r="A1843" s="6">
        <v>10958.0</v>
      </c>
      <c r="B1843" s="7" t="s">
        <v>84</v>
      </c>
      <c r="C1843" s="24" t="str">
        <f>VLOOKUP(revenue[customerID],customers[],2,FALSE)</f>
        <v>Océano Atlántico Ltda.</v>
      </c>
      <c r="D1843" s="24" t="str">
        <f>VLOOKUP(revenue[customerID],customers[],6,FALSE)</f>
        <v>Buenos Aires</v>
      </c>
      <c r="E1843" s="24" t="str">
        <f>VLOOKUP(revenue[customerID],customers[],9,FALSE)</f>
        <v>Argentina</v>
      </c>
      <c r="F1843" s="24">
        <v>45369.0</v>
      </c>
      <c r="G1843" s="6">
        <v>7.0</v>
      </c>
      <c r="H1843" s="9" t="str">
        <f>VLOOKUP(revenue[productID],products[],2,FALSE)</f>
        <v>Uncle Bob's Organic Dried Pears</v>
      </c>
      <c r="I1843" s="9" t="str">
        <f>VLOOKUP(revenue[productID],products[],12,FALSE)</f>
        <v>Produce</v>
      </c>
      <c r="J1843" s="9">
        <f>VLOOKUP(revenue[productID],products[],IF(YEAR(revenue[orderDate])=2022,8,IF(YEAR(revenue[orderDate])=2023,9,IF(YEAR(revenue[orderDate])=2024,10,NA))),FALSE)</f>
        <v>23.52222246</v>
      </c>
      <c r="K1843" s="9">
        <v>30.0</v>
      </c>
      <c r="L1843" s="25">
        <f>(revenue[orderPrice]-revenue[productCost])/revenue[productCost]</f>
        <v>0.2753896894</v>
      </c>
      <c r="M1843" s="10">
        <v>6.0</v>
      </c>
      <c r="N1843" s="25">
        <v>0.0</v>
      </c>
      <c r="O1843" s="9">
        <f>revenue[orderPrice]*revenue[orderQuantity]</f>
        <v>180</v>
      </c>
      <c r="P1843" s="9">
        <f>revenue[orderTotal]*(1-revenue[discountApllied])</f>
        <v>180</v>
      </c>
      <c r="Q1843" s="9">
        <f>revenue[revenue]-(revenue[productCost]*revenue[orderQuantity])</f>
        <v>38.86666522</v>
      </c>
      <c r="R1843" s="25">
        <f>IFERROR(revenue[profit]/revenue[revenue], 0)</f>
        <v>0.2159259179</v>
      </c>
      <c r="S1843" s="9">
        <f>revenue[productCost]*revenue[orderQuantity]</f>
        <v>141.1333348</v>
      </c>
    </row>
    <row r="1844" ht="15.75" customHeight="1">
      <c r="A1844" s="6">
        <v>10958.0</v>
      </c>
      <c r="B1844" s="7" t="s">
        <v>84</v>
      </c>
      <c r="C1844" s="24" t="str">
        <f>VLOOKUP(revenue[customerID],customers[],2,FALSE)</f>
        <v>Océano Atlántico Ltda.</v>
      </c>
      <c r="D1844" s="24" t="str">
        <f>VLOOKUP(revenue[customerID],customers[],6,FALSE)</f>
        <v>Buenos Aires</v>
      </c>
      <c r="E1844" s="24" t="str">
        <f>VLOOKUP(revenue[customerID],customers[],9,FALSE)</f>
        <v>Argentina</v>
      </c>
      <c r="F1844" s="24">
        <v>45369.0</v>
      </c>
      <c r="G1844" s="6">
        <v>72.0</v>
      </c>
      <c r="H1844" s="9" t="str">
        <f>VLOOKUP(revenue[productID],products[],2,FALSE)</f>
        <v>Mozzarella di Giovanni</v>
      </c>
      <c r="I1844" s="9" t="str">
        <f>VLOOKUP(revenue[productID],products[],12,FALSE)</f>
        <v>Dairy Products</v>
      </c>
      <c r="J1844" s="9">
        <f>VLOOKUP(revenue[productID],products[],IF(YEAR(revenue[orderDate])=2022,8,IF(YEAR(revenue[orderDate])=2023,9,IF(YEAR(revenue[orderDate])=2024,10,NA))),FALSE)</f>
        <v>24.35057898</v>
      </c>
      <c r="K1844" s="9">
        <v>34.8</v>
      </c>
      <c r="L1844" s="25">
        <f>(revenue[orderPrice]-revenue[productCost])/revenue[productCost]</f>
        <v>0.4291241297</v>
      </c>
      <c r="M1844" s="10">
        <v>5.0</v>
      </c>
      <c r="N1844" s="25">
        <v>0.0</v>
      </c>
      <c r="O1844" s="9">
        <f>revenue[orderPrice]*revenue[orderQuantity]</f>
        <v>174</v>
      </c>
      <c r="P1844" s="9">
        <f>revenue[orderTotal]*(1-revenue[discountApllied])</f>
        <v>174</v>
      </c>
      <c r="Q1844" s="9">
        <f>revenue[revenue]-(revenue[productCost]*revenue[orderQuantity])</f>
        <v>52.24710508</v>
      </c>
      <c r="R1844" s="25">
        <f>IFERROR(revenue[profit]/revenue[revenue], 0)</f>
        <v>0.3002707188</v>
      </c>
      <c r="S1844" s="9">
        <f>revenue[productCost]*revenue[orderQuantity]</f>
        <v>121.7528949</v>
      </c>
    </row>
    <row r="1845" ht="15.75" customHeight="1">
      <c r="A1845" s="6">
        <v>10959.0</v>
      </c>
      <c r="B1845" s="7" t="s">
        <v>86</v>
      </c>
      <c r="C1845" s="24" t="str">
        <f>VLOOKUP(revenue[customerID],customers[],2,FALSE)</f>
        <v>Gourmet Lanchonetes</v>
      </c>
      <c r="D1845" s="24" t="str">
        <f>VLOOKUP(revenue[customerID],customers[],6,FALSE)</f>
        <v>Campinas</v>
      </c>
      <c r="E1845" s="24" t="str">
        <f>VLOOKUP(revenue[customerID],customers[],9,FALSE)</f>
        <v>Brazil</v>
      </c>
      <c r="F1845" s="24">
        <v>45369.0</v>
      </c>
      <c r="G1845" s="6">
        <v>75.0</v>
      </c>
      <c r="H1845" s="9" t="str">
        <f>VLOOKUP(revenue[productID],products[],2,FALSE)</f>
        <v>Rhönbräu Klosterbier</v>
      </c>
      <c r="I1845" s="9" t="str">
        <f>VLOOKUP(revenue[productID],products[],12,FALSE)</f>
        <v>Beverages</v>
      </c>
      <c r="J1845" s="9">
        <f>VLOOKUP(revenue[productID],products[],IF(YEAR(revenue[orderDate])=2022,8,IF(YEAR(revenue[orderDate])=2023,9,IF(YEAR(revenue[orderDate])=2024,10,NA))),FALSE)</f>
        <v>5.374051525</v>
      </c>
      <c r="K1845" s="9">
        <v>7.75</v>
      </c>
      <c r="L1845" s="25">
        <f>(revenue[orderPrice]-revenue[productCost])/revenue[productCost]</f>
        <v>0.4421149413</v>
      </c>
      <c r="M1845" s="10">
        <v>20.0</v>
      </c>
      <c r="N1845" s="25">
        <v>0.15</v>
      </c>
      <c r="O1845" s="9">
        <f>revenue[orderPrice]*revenue[orderQuantity]</f>
        <v>155</v>
      </c>
      <c r="P1845" s="9">
        <f>revenue[orderTotal]*(1-revenue[discountApllied])</f>
        <v>131.75</v>
      </c>
      <c r="Q1845" s="9">
        <f>revenue[revenue]-(revenue[productCost]*revenue[orderQuantity])</f>
        <v>24.26896949</v>
      </c>
      <c r="R1845" s="25">
        <f>IFERROR(revenue[profit]/revenue[revenue], 0)</f>
        <v>0.184204702</v>
      </c>
      <c r="S1845" s="9">
        <f>revenue[productCost]*revenue[orderQuantity]</f>
        <v>107.4810305</v>
      </c>
    </row>
    <row r="1846" ht="15.75" customHeight="1">
      <c r="A1846" s="6">
        <v>10960.0</v>
      </c>
      <c r="B1846" s="7" t="s">
        <v>23</v>
      </c>
      <c r="C1846" s="24" t="str">
        <f>VLOOKUP(revenue[customerID],customers[],2,FALSE)</f>
        <v>HILARION-Abastos</v>
      </c>
      <c r="D1846" s="24" t="str">
        <f>VLOOKUP(revenue[customerID],customers[],6,FALSE)</f>
        <v>San Cristóbal</v>
      </c>
      <c r="E1846" s="24" t="str">
        <f>VLOOKUP(revenue[customerID],customers[],9,FALSE)</f>
        <v>Venezuela</v>
      </c>
      <c r="F1846" s="24">
        <v>45370.0</v>
      </c>
      <c r="G1846" s="6">
        <v>24.0</v>
      </c>
      <c r="H1846" s="9" t="str">
        <f>VLOOKUP(revenue[productID],products[],2,FALSE)</f>
        <v>Brigadeiros Maravilhosos da Lilian</v>
      </c>
      <c r="I1846" s="9" t="str">
        <f>VLOOKUP(revenue[productID],products[],12,FALSE)</f>
        <v>Confections</v>
      </c>
      <c r="J1846" s="9">
        <f>VLOOKUP(revenue[productID],products[],IF(YEAR(revenue[orderDate])=2022,8,IF(YEAR(revenue[orderDate])=2023,9,IF(YEAR(revenue[orderDate])=2024,10,NA))),FALSE)</f>
        <v>3.177326315</v>
      </c>
      <c r="K1846" s="9">
        <v>4.5</v>
      </c>
      <c r="L1846" s="25">
        <f>(revenue[orderPrice]-revenue[productCost])/revenue[productCost]</f>
        <v>0.416285126</v>
      </c>
      <c r="M1846" s="10">
        <v>10.0</v>
      </c>
      <c r="N1846" s="25">
        <v>0.25</v>
      </c>
      <c r="O1846" s="9">
        <f>revenue[orderPrice]*revenue[orderQuantity]</f>
        <v>45</v>
      </c>
      <c r="P1846" s="9">
        <f>revenue[orderTotal]*(1-revenue[discountApllied])</f>
        <v>33.75</v>
      </c>
      <c r="Q1846" s="9">
        <f>revenue[revenue]-(revenue[productCost]*revenue[orderQuantity])</f>
        <v>1.976736853</v>
      </c>
      <c r="R1846" s="25">
        <f>IFERROR(revenue[profit]/revenue[revenue], 0)</f>
        <v>0.05856998083</v>
      </c>
      <c r="S1846" s="9">
        <f>revenue[productCost]*revenue[orderQuantity]</f>
        <v>31.77326315</v>
      </c>
    </row>
    <row r="1847" ht="15.75" customHeight="1">
      <c r="A1847" s="6">
        <v>10960.0</v>
      </c>
      <c r="B1847" s="7" t="s">
        <v>23</v>
      </c>
      <c r="C1847" s="24" t="str">
        <f>VLOOKUP(revenue[customerID],customers[],2,FALSE)</f>
        <v>HILARION-Abastos</v>
      </c>
      <c r="D1847" s="24" t="str">
        <f>VLOOKUP(revenue[customerID],customers[],6,FALSE)</f>
        <v>San Cristóbal</v>
      </c>
      <c r="E1847" s="24" t="str">
        <f>VLOOKUP(revenue[customerID],customers[],9,FALSE)</f>
        <v>Venezuela</v>
      </c>
      <c r="F1847" s="24">
        <v>45370.0</v>
      </c>
      <c r="G1847" s="6">
        <v>41.0</v>
      </c>
      <c r="H1847" s="9" t="str">
        <f>VLOOKUP(revenue[productID],products[],2,FALSE)</f>
        <v>Jack's New England Clam Chowder</v>
      </c>
      <c r="I1847" s="9" t="str">
        <f>VLOOKUP(revenue[productID],products[],12,FALSE)</f>
        <v>Seafood</v>
      </c>
      <c r="J1847" s="9">
        <f>VLOOKUP(revenue[productID],products[],IF(YEAR(revenue[orderDate])=2022,8,IF(YEAR(revenue[orderDate])=2023,9,IF(YEAR(revenue[orderDate])=2024,10,NA))),FALSE)</f>
        <v>6.611787882</v>
      </c>
      <c r="K1847" s="9">
        <v>9.65</v>
      </c>
      <c r="L1847" s="25">
        <f>(revenue[orderPrice]-revenue[productCost])/revenue[productCost]</f>
        <v>0.459514457</v>
      </c>
      <c r="M1847" s="10">
        <v>24.0</v>
      </c>
      <c r="N1847" s="25">
        <v>0.0</v>
      </c>
      <c r="O1847" s="9">
        <f>revenue[orderPrice]*revenue[orderQuantity]</f>
        <v>231.6</v>
      </c>
      <c r="P1847" s="9">
        <f>revenue[orderTotal]*(1-revenue[discountApllied])</f>
        <v>231.6</v>
      </c>
      <c r="Q1847" s="9">
        <f>revenue[revenue]-(revenue[productCost]*revenue[orderQuantity])</f>
        <v>72.91709083</v>
      </c>
      <c r="R1847" s="25">
        <f>IFERROR(revenue[profit]/revenue[revenue], 0)</f>
        <v>0.314840634</v>
      </c>
      <c r="S1847" s="9">
        <f>revenue[productCost]*revenue[orderQuantity]</f>
        <v>158.6829092</v>
      </c>
    </row>
    <row r="1848" ht="15.75" customHeight="1">
      <c r="A1848" s="6">
        <v>10961.0</v>
      </c>
      <c r="B1848" s="7" t="s">
        <v>77</v>
      </c>
      <c r="C1848" s="24" t="str">
        <f>VLOOKUP(revenue[customerID],customers[],2,FALSE)</f>
        <v>Queen Cozinha</v>
      </c>
      <c r="D1848" s="24" t="str">
        <f>VLOOKUP(revenue[customerID],customers[],6,FALSE)</f>
        <v>Sao Paulo</v>
      </c>
      <c r="E1848" s="24" t="str">
        <f>VLOOKUP(revenue[customerID],customers[],9,FALSE)</f>
        <v>Brazil</v>
      </c>
      <c r="F1848" s="24">
        <v>45370.0</v>
      </c>
      <c r="G1848" s="6">
        <v>52.0</v>
      </c>
      <c r="H1848" s="9" t="str">
        <f>VLOOKUP(revenue[productID],products[],2,FALSE)</f>
        <v>Filo Mix</v>
      </c>
      <c r="I1848" s="9" t="str">
        <f>VLOOKUP(revenue[productID],products[],12,FALSE)</f>
        <v>Grains/Cereals</v>
      </c>
      <c r="J1848" s="9">
        <f>VLOOKUP(revenue[productID],products[],IF(YEAR(revenue[orderDate])=2022,8,IF(YEAR(revenue[orderDate])=2023,9,IF(YEAR(revenue[orderDate])=2024,10,NA))),FALSE)</f>
        <v>5.222223442</v>
      </c>
      <c r="K1848" s="9">
        <v>7.0</v>
      </c>
      <c r="L1848" s="25">
        <f>(revenue[orderPrice]-revenue[productCost])/revenue[productCost]</f>
        <v>0.3404252188</v>
      </c>
      <c r="M1848" s="10">
        <v>6.0</v>
      </c>
      <c r="N1848" s="25">
        <v>0.05</v>
      </c>
      <c r="O1848" s="9">
        <f>revenue[orderPrice]*revenue[orderQuantity]</f>
        <v>42</v>
      </c>
      <c r="P1848" s="9">
        <f>revenue[orderTotal]*(1-revenue[discountApllied])</f>
        <v>39.9</v>
      </c>
      <c r="Q1848" s="9">
        <f>revenue[revenue]-(revenue[productCost]*revenue[orderQuantity])</f>
        <v>8.566659347</v>
      </c>
      <c r="R1848" s="25">
        <f>IFERROR(revenue[profit]/revenue[revenue], 0)</f>
        <v>0.2147032418</v>
      </c>
      <c r="S1848" s="9">
        <f>revenue[productCost]*revenue[orderQuantity]</f>
        <v>31.33334065</v>
      </c>
    </row>
    <row r="1849" ht="15.75" customHeight="1">
      <c r="A1849" s="6">
        <v>10961.0</v>
      </c>
      <c r="B1849" s="7" t="s">
        <v>77</v>
      </c>
      <c r="C1849" s="24" t="str">
        <f>VLOOKUP(revenue[customerID],customers[],2,FALSE)</f>
        <v>Queen Cozinha</v>
      </c>
      <c r="D1849" s="24" t="str">
        <f>VLOOKUP(revenue[customerID],customers[],6,FALSE)</f>
        <v>Sao Paulo</v>
      </c>
      <c r="E1849" s="24" t="str">
        <f>VLOOKUP(revenue[customerID],customers[],9,FALSE)</f>
        <v>Brazil</v>
      </c>
      <c r="F1849" s="24">
        <v>45370.0</v>
      </c>
      <c r="G1849" s="6">
        <v>76.0</v>
      </c>
      <c r="H1849" s="9" t="str">
        <f>VLOOKUP(revenue[productID],products[],2,FALSE)</f>
        <v>Lakkalikööri</v>
      </c>
      <c r="I1849" s="9" t="str">
        <f>VLOOKUP(revenue[productID],products[],12,FALSE)</f>
        <v>Beverages</v>
      </c>
      <c r="J1849" s="9">
        <f>VLOOKUP(revenue[productID],products[],IF(YEAR(revenue[orderDate])=2022,8,IF(YEAR(revenue[orderDate])=2023,9,IF(YEAR(revenue[orderDate])=2024,10,NA))),FALSE)</f>
        <v>12.15832249</v>
      </c>
      <c r="K1849" s="9">
        <v>18.0</v>
      </c>
      <c r="L1849" s="25">
        <f>(revenue[orderPrice]-revenue[productCost])/revenue[productCost]</f>
        <v>0.4804673928</v>
      </c>
      <c r="M1849" s="10">
        <v>60.0</v>
      </c>
      <c r="N1849" s="25">
        <v>0.0</v>
      </c>
      <c r="O1849" s="9">
        <f>revenue[orderPrice]*revenue[orderQuantity]</f>
        <v>1080</v>
      </c>
      <c r="P1849" s="9">
        <f>revenue[orderTotal]*(1-revenue[discountApllied])</f>
        <v>1080</v>
      </c>
      <c r="Q1849" s="9">
        <f>revenue[revenue]-(revenue[productCost]*revenue[orderQuantity])</f>
        <v>350.5006505</v>
      </c>
      <c r="R1849" s="25">
        <f>IFERROR(revenue[profit]/revenue[revenue], 0)</f>
        <v>0.3245376394</v>
      </c>
      <c r="S1849" s="9">
        <f>revenue[productCost]*revenue[orderQuantity]</f>
        <v>729.4993495</v>
      </c>
    </row>
    <row r="1850" ht="15.75" customHeight="1">
      <c r="A1850" s="6">
        <v>10962.0</v>
      </c>
      <c r="B1850" s="7" t="s">
        <v>36</v>
      </c>
      <c r="C1850" s="24" t="str">
        <f>VLOOKUP(revenue[customerID],customers[],2,FALSE)</f>
        <v>QUICK-Stop</v>
      </c>
      <c r="D1850" s="24" t="str">
        <f>VLOOKUP(revenue[customerID],customers[],6,FALSE)</f>
        <v>Cunewalde</v>
      </c>
      <c r="E1850" s="24" t="str">
        <f>VLOOKUP(revenue[customerID],customers[],9,FALSE)</f>
        <v>Germany</v>
      </c>
      <c r="F1850" s="24">
        <v>45370.0</v>
      </c>
      <c r="G1850" s="6">
        <v>7.0</v>
      </c>
      <c r="H1850" s="9" t="str">
        <f>VLOOKUP(revenue[productID],products[],2,FALSE)</f>
        <v>Uncle Bob's Organic Dried Pears</v>
      </c>
      <c r="I1850" s="9" t="str">
        <f>VLOOKUP(revenue[productID],products[],12,FALSE)</f>
        <v>Produce</v>
      </c>
      <c r="J1850" s="9">
        <f>VLOOKUP(revenue[productID],products[],IF(YEAR(revenue[orderDate])=2022,8,IF(YEAR(revenue[orderDate])=2023,9,IF(YEAR(revenue[orderDate])=2024,10,NA))),FALSE)</f>
        <v>23.52222246</v>
      </c>
      <c r="K1850" s="9">
        <v>30.0</v>
      </c>
      <c r="L1850" s="25">
        <f>(revenue[orderPrice]-revenue[productCost])/revenue[productCost]</f>
        <v>0.2753896894</v>
      </c>
      <c r="M1850" s="10">
        <v>45.0</v>
      </c>
      <c r="N1850" s="25">
        <v>0.0</v>
      </c>
      <c r="O1850" s="9">
        <f>revenue[orderPrice]*revenue[orderQuantity]</f>
        <v>1350</v>
      </c>
      <c r="P1850" s="9">
        <f>revenue[orderTotal]*(1-revenue[discountApllied])</f>
        <v>1350</v>
      </c>
      <c r="Q1850" s="9">
        <f>revenue[revenue]-(revenue[productCost]*revenue[orderQuantity])</f>
        <v>291.4999892</v>
      </c>
      <c r="R1850" s="25">
        <f>IFERROR(revenue[profit]/revenue[revenue], 0)</f>
        <v>0.2159259179</v>
      </c>
      <c r="S1850" s="9">
        <f>revenue[productCost]*revenue[orderQuantity]</f>
        <v>1058.500011</v>
      </c>
    </row>
    <row r="1851" ht="15.75" customHeight="1">
      <c r="A1851" s="6">
        <v>10962.0</v>
      </c>
      <c r="B1851" s="7" t="s">
        <v>36</v>
      </c>
      <c r="C1851" s="24" t="str">
        <f>VLOOKUP(revenue[customerID],customers[],2,FALSE)</f>
        <v>QUICK-Stop</v>
      </c>
      <c r="D1851" s="24" t="str">
        <f>VLOOKUP(revenue[customerID],customers[],6,FALSE)</f>
        <v>Cunewalde</v>
      </c>
      <c r="E1851" s="24" t="str">
        <f>VLOOKUP(revenue[customerID],customers[],9,FALSE)</f>
        <v>Germany</v>
      </c>
      <c r="F1851" s="24">
        <v>45370.0</v>
      </c>
      <c r="G1851" s="6">
        <v>13.0</v>
      </c>
      <c r="H1851" s="9" t="str">
        <f>VLOOKUP(revenue[productID],products[],2,FALSE)</f>
        <v>Konbu</v>
      </c>
      <c r="I1851" s="9" t="str">
        <f>VLOOKUP(revenue[productID],products[],12,FALSE)</f>
        <v>Seafood</v>
      </c>
      <c r="J1851" s="9">
        <f>VLOOKUP(revenue[productID],products[],IF(YEAR(revenue[orderDate])=2022,8,IF(YEAR(revenue[orderDate])=2023,9,IF(YEAR(revenue[orderDate])=2024,10,NA))),FALSE)</f>
        <v>3.966387047</v>
      </c>
      <c r="K1851" s="9">
        <v>6.0</v>
      </c>
      <c r="L1851" s="25">
        <f>(revenue[orderPrice]-revenue[productCost])/revenue[productCost]</f>
        <v>0.5127116768</v>
      </c>
      <c r="M1851" s="10">
        <v>77.0</v>
      </c>
      <c r="N1851" s="25">
        <v>0.0</v>
      </c>
      <c r="O1851" s="9">
        <f>revenue[orderPrice]*revenue[orderQuantity]</f>
        <v>462</v>
      </c>
      <c r="P1851" s="9">
        <f>revenue[orderTotal]*(1-revenue[discountApllied])</f>
        <v>462</v>
      </c>
      <c r="Q1851" s="9">
        <f>revenue[revenue]-(revenue[productCost]*revenue[orderQuantity])</f>
        <v>156.5881974</v>
      </c>
      <c r="R1851" s="25">
        <f>IFERROR(revenue[profit]/revenue[revenue], 0)</f>
        <v>0.3389354922</v>
      </c>
      <c r="S1851" s="9">
        <f>revenue[productCost]*revenue[orderQuantity]</f>
        <v>305.4118026</v>
      </c>
    </row>
    <row r="1852" ht="15.75" customHeight="1">
      <c r="A1852" s="6">
        <v>10962.0</v>
      </c>
      <c r="B1852" s="7" t="s">
        <v>36</v>
      </c>
      <c r="C1852" s="24" t="str">
        <f>VLOOKUP(revenue[customerID],customers[],2,FALSE)</f>
        <v>QUICK-Stop</v>
      </c>
      <c r="D1852" s="24" t="str">
        <f>VLOOKUP(revenue[customerID],customers[],6,FALSE)</f>
        <v>Cunewalde</v>
      </c>
      <c r="E1852" s="24" t="str">
        <f>VLOOKUP(revenue[customerID],customers[],9,FALSE)</f>
        <v>Germany</v>
      </c>
      <c r="F1852" s="24">
        <v>45370.0</v>
      </c>
      <c r="G1852" s="6">
        <v>53.0</v>
      </c>
      <c r="H1852" s="9" t="str">
        <f>VLOOKUP(revenue[productID],products[],2,FALSE)</f>
        <v>Perth Pasties</v>
      </c>
      <c r="I1852" s="9" t="str">
        <f>VLOOKUP(revenue[productID],products[],12,FALSE)</f>
        <v>Meat/Poultry</v>
      </c>
      <c r="J1852" s="9">
        <f>VLOOKUP(revenue[productID],products[],IF(YEAR(revenue[orderDate])=2022,8,IF(YEAR(revenue[orderDate])=2023,9,IF(YEAR(revenue[orderDate])=2024,10,NA))),FALSE)</f>
        <v>22.92637057</v>
      </c>
      <c r="K1852" s="9">
        <v>32.8</v>
      </c>
      <c r="L1852" s="25">
        <f>(revenue[orderPrice]-revenue[productCost])/revenue[productCost]</f>
        <v>0.4306669216</v>
      </c>
      <c r="M1852" s="10">
        <v>20.0</v>
      </c>
      <c r="N1852" s="25">
        <v>0.0</v>
      </c>
      <c r="O1852" s="9">
        <f>revenue[orderPrice]*revenue[orderQuantity]</f>
        <v>656</v>
      </c>
      <c r="P1852" s="9">
        <f>revenue[orderTotal]*(1-revenue[discountApllied])</f>
        <v>656</v>
      </c>
      <c r="Q1852" s="9">
        <f>revenue[revenue]-(revenue[productCost]*revenue[orderQuantity])</f>
        <v>197.4725887</v>
      </c>
      <c r="R1852" s="25">
        <f>IFERROR(revenue[profit]/revenue[revenue], 0)</f>
        <v>0.3010252876</v>
      </c>
      <c r="S1852" s="9">
        <f>revenue[productCost]*revenue[orderQuantity]</f>
        <v>458.5274113</v>
      </c>
    </row>
    <row r="1853" ht="15.75" customHeight="1">
      <c r="A1853" s="6">
        <v>10962.0</v>
      </c>
      <c r="B1853" s="7" t="s">
        <v>36</v>
      </c>
      <c r="C1853" s="24" t="str">
        <f>VLOOKUP(revenue[customerID],customers[],2,FALSE)</f>
        <v>QUICK-Stop</v>
      </c>
      <c r="D1853" s="24" t="str">
        <f>VLOOKUP(revenue[customerID],customers[],6,FALSE)</f>
        <v>Cunewalde</v>
      </c>
      <c r="E1853" s="24" t="str">
        <f>VLOOKUP(revenue[customerID],customers[],9,FALSE)</f>
        <v>Germany</v>
      </c>
      <c r="F1853" s="24">
        <v>45370.0</v>
      </c>
      <c r="G1853" s="6">
        <v>69.0</v>
      </c>
      <c r="H1853" s="9" t="str">
        <f>VLOOKUP(revenue[productID],products[],2,FALSE)</f>
        <v>Gudbrandsdalsost</v>
      </c>
      <c r="I1853" s="9" t="str">
        <f>VLOOKUP(revenue[productID],products[],12,FALSE)</f>
        <v>Dairy Products</v>
      </c>
      <c r="J1853" s="9">
        <f>VLOOKUP(revenue[productID],products[],IF(YEAR(revenue[orderDate])=2022,8,IF(YEAR(revenue[orderDate])=2023,9,IF(YEAR(revenue[orderDate])=2024,10,NA))),FALSE)</f>
        <v>24.68292146</v>
      </c>
      <c r="K1853" s="9">
        <v>36.0</v>
      </c>
      <c r="L1853" s="25">
        <f>(revenue[orderPrice]-revenue[productCost])/revenue[productCost]</f>
        <v>0.4584983412</v>
      </c>
      <c r="M1853" s="10">
        <v>9.0</v>
      </c>
      <c r="N1853" s="25">
        <v>0.0</v>
      </c>
      <c r="O1853" s="9">
        <f>revenue[orderPrice]*revenue[orderQuantity]</f>
        <v>324</v>
      </c>
      <c r="P1853" s="9">
        <f>revenue[orderTotal]*(1-revenue[discountApllied])</f>
        <v>324</v>
      </c>
      <c r="Q1853" s="9">
        <f>revenue[revenue]-(revenue[productCost]*revenue[orderQuantity])</f>
        <v>101.8537069</v>
      </c>
      <c r="R1853" s="25">
        <f>IFERROR(revenue[profit]/revenue[revenue], 0)</f>
        <v>0.3143632929</v>
      </c>
      <c r="S1853" s="9">
        <f>revenue[productCost]*revenue[orderQuantity]</f>
        <v>222.1462931</v>
      </c>
    </row>
    <row r="1854" ht="15.75" customHeight="1">
      <c r="A1854" s="6">
        <v>10962.0</v>
      </c>
      <c r="B1854" s="7" t="s">
        <v>36</v>
      </c>
      <c r="C1854" s="24" t="str">
        <f>VLOOKUP(revenue[customerID],customers[],2,FALSE)</f>
        <v>QUICK-Stop</v>
      </c>
      <c r="D1854" s="24" t="str">
        <f>VLOOKUP(revenue[customerID],customers[],6,FALSE)</f>
        <v>Cunewalde</v>
      </c>
      <c r="E1854" s="24" t="str">
        <f>VLOOKUP(revenue[customerID],customers[],9,FALSE)</f>
        <v>Germany</v>
      </c>
      <c r="F1854" s="24">
        <v>45370.0</v>
      </c>
      <c r="G1854" s="6">
        <v>76.0</v>
      </c>
      <c r="H1854" s="9" t="str">
        <f>VLOOKUP(revenue[productID],products[],2,FALSE)</f>
        <v>Lakkalikööri</v>
      </c>
      <c r="I1854" s="9" t="str">
        <f>VLOOKUP(revenue[productID],products[],12,FALSE)</f>
        <v>Beverages</v>
      </c>
      <c r="J1854" s="9">
        <f>VLOOKUP(revenue[productID],products[],IF(YEAR(revenue[orderDate])=2022,8,IF(YEAR(revenue[orderDate])=2023,9,IF(YEAR(revenue[orderDate])=2024,10,NA))),FALSE)</f>
        <v>12.15832249</v>
      </c>
      <c r="K1854" s="9">
        <v>18.0</v>
      </c>
      <c r="L1854" s="25">
        <f>(revenue[orderPrice]-revenue[productCost])/revenue[productCost]</f>
        <v>0.4804673928</v>
      </c>
      <c r="M1854" s="10">
        <v>44.0</v>
      </c>
      <c r="N1854" s="25">
        <v>0.0</v>
      </c>
      <c r="O1854" s="9">
        <f>revenue[orderPrice]*revenue[orderQuantity]</f>
        <v>792</v>
      </c>
      <c r="P1854" s="9">
        <f>revenue[orderTotal]*(1-revenue[discountApllied])</f>
        <v>792</v>
      </c>
      <c r="Q1854" s="9">
        <f>revenue[revenue]-(revenue[productCost]*revenue[orderQuantity])</f>
        <v>257.0338104</v>
      </c>
      <c r="R1854" s="25">
        <f>IFERROR(revenue[profit]/revenue[revenue], 0)</f>
        <v>0.3245376394</v>
      </c>
      <c r="S1854" s="9">
        <f>revenue[productCost]*revenue[orderQuantity]</f>
        <v>534.9661896</v>
      </c>
    </row>
    <row r="1855" ht="15.75" customHeight="1">
      <c r="A1855" s="6">
        <v>10963.0</v>
      </c>
      <c r="B1855" s="7" t="s">
        <v>62</v>
      </c>
      <c r="C1855" s="24" t="str">
        <f>VLOOKUP(revenue[customerID],customers[],2,FALSE)</f>
        <v>Furia Bacalhau e Frutos do Mar</v>
      </c>
      <c r="D1855" s="24" t="str">
        <f>VLOOKUP(revenue[customerID],customers[],6,FALSE)</f>
        <v>Lisboa</v>
      </c>
      <c r="E1855" s="24" t="str">
        <f>VLOOKUP(revenue[customerID],customers[],9,FALSE)</f>
        <v>Portugal</v>
      </c>
      <c r="F1855" s="24">
        <v>45370.0</v>
      </c>
      <c r="G1855" s="6">
        <v>60.0</v>
      </c>
      <c r="H1855" s="9" t="str">
        <f>VLOOKUP(revenue[productID],products[],2,FALSE)</f>
        <v>Camembert Pierrot</v>
      </c>
      <c r="I1855" s="9" t="str">
        <f>VLOOKUP(revenue[productID],products[],12,FALSE)</f>
        <v>Dairy Products</v>
      </c>
      <c r="J1855" s="9">
        <f>VLOOKUP(revenue[productID],products[],IF(YEAR(revenue[orderDate])=2022,8,IF(YEAR(revenue[orderDate])=2023,9,IF(YEAR(revenue[orderDate])=2024,10,NA))),FALSE)</f>
        <v>22.49091154</v>
      </c>
      <c r="K1855" s="9">
        <v>34.0</v>
      </c>
      <c r="L1855" s="25">
        <f>(revenue[orderPrice]-revenue[productCost])/revenue[productCost]</f>
        <v>0.5117217431</v>
      </c>
      <c r="M1855" s="10">
        <v>2.0</v>
      </c>
      <c r="N1855" s="25">
        <v>0.15</v>
      </c>
      <c r="O1855" s="9">
        <f>revenue[orderPrice]*revenue[orderQuantity]</f>
        <v>68</v>
      </c>
      <c r="P1855" s="9">
        <f>revenue[orderTotal]*(1-revenue[discountApllied])</f>
        <v>57.8</v>
      </c>
      <c r="Q1855" s="9">
        <f>revenue[revenue]-(revenue[productCost]*revenue[orderQuantity])</f>
        <v>12.81817692</v>
      </c>
      <c r="R1855" s="25">
        <f>IFERROR(revenue[profit]/revenue[revenue], 0)</f>
        <v>0.2217677667</v>
      </c>
      <c r="S1855" s="9">
        <f>revenue[productCost]*revenue[orderQuantity]</f>
        <v>44.98182308</v>
      </c>
    </row>
    <row r="1856" ht="15.75" customHeight="1">
      <c r="A1856" s="6">
        <v>10964.0</v>
      </c>
      <c r="B1856" s="7" t="s">
        <v>102</v>
      </c>
      <c r="C1856" s="24" t="str">
        <f>VLOOKUP(revenue[customerID],customers[],2,FALSE)</f>
        <v>Spécialités du monde</v>
      </c>
      <c r="D1856" s="24" t="str">
        <f>VLOOKUP(revenue[customerID],customers[],6,FALSE)</f>
        <v>Paris</v>
      </c>
      <c r="E1856" s="24" t="str">
        <f>VLOOKUP(revenue[customerID],customers[],9,FALSE)</f>
        <v>France</v>
      </c>
      <c r="F1856" s="24">
        <v>45371.0</v>
      </c>
      <c r="G1856" s="6">
        <v>18.0</v>
      </c>
      <c r="H1856" s="9" t="str">
        <f>VLOOKUP(revenue[productID],products[],2,FALSE)</f>
        <v>Carnarvon Tigers</v>
      </c>
      <c r="I1856" s="9" t="str">
        <f>VLOOKUP(revenue[productID],products[],12,FALSE)</f>
        <v>Seafood</v>
      </c>
      <c r="J1856" s="9">
        <f>VLOOKUP(revenue[productID],products[],IF(YEAR(revenue[orderDate])=2022,8,IF(YEAR(revenue[orderDate])=2023,9,IF(YEAR(revenue[orderDate])=2024,10,NA))),FALSE)</f>
        <v>41.27004985</v>
      </c>
      <c r="K1856" s="9">
        <v>62.5</v>
      </c>
      <c r="L1856" s="25">
        <f>(revenue[orderPrice]-revenue[productCost])/revenue[productCost]</f>
        <v>0.5144154231</v>
      </c>
      <c r="M1856" s="10">
        <v>6.0</v>
      </c>
      <c r="N1856" s="25">
        <v>0.0</v>
      </c>
      <c r="O1856" s="9">
        <f>revenue[orderPrice]*revenue[orderQuantity]</f>
        <v>375</v>
      </c>
      <c r="P1856" s="9">
        <f>revenue[orderTotal]*(1-revenue[discountApllied])</f>
        <v>375</v>
      </c>
      <c r="Q1856" s="9">
        <f>revenue[revenue]-(revenue[productCost]*revenue[orderQuantity])</f>
        <v>127.3797009</v>
      </c>
      <c r="R1856" s="25">
        <f>IFERROR(revenue[profit]/revenue[revenue], 0)</f>
        <v>0.3396792025</v>
      </c>
      <c r="S1856" s="9">
        <f>revenue[productCost]*revenue[orderQuantity]</f>
        <v>247.6202991</v>
      </c>
    </row>
    <row r="1857" ht="15.75" customHeight="1">
      <c r="A1857" s="6">
        <v>10964.0</v>
      </c>
      <c r="B1857" s="7" t="s">
        <v>102</v>
      </c>
      <c r="C1857" s="24" t="str">
        <f>VLOOKUP(revenue[customerID],customers[],2,FALSE)</f>
        <v>Spécialités du monde</v>
      </c>
      <c r="D1857" s="24" t="str">
        <f>VLOOKUP(revenue[customerID],customers[],6,FALSE)</f>
        <v>Paris</v>
      </c>
      <c r="E1857" s="24" t="str">
        <f>VLOOKUP(revenue[customerID],customers[],9,FALSE)</f>
        <v>France</v>
      </c>
      <c r="F1857" s="24">
        <v>45371.0</v>
      </c>
      <c r="G1857" s="6">
        <v>38.0</v>
      </c>
      <c r="H1857" s="9" t="str">
        <f>VLOOKUP(revenue[productID],products[],2,FALSE)</f>
        <v>Côte de Blaye</v>
      </c>
      <c r="I1857" s="9" t="str">
        <f>VLOOKUP(revenue[productID],products[],12,FALSE)</f>
        <v>Beverages</v>
      </c>
      <c r="J1857" s="9">
        <f>VLOOKUP(revenue[productID],products[],IF(YEAR(revenue[orderDate])=2022,8,IF(YEAR(revenue[orderDate])=2023,9,IF(YEAR(revenue[orderDate])=2024,10,NA))),FALSE)</f>
        <v>192.1798413</v>
      </c>
      <c r="K1857" s="9">
        <v>263.5</v>
      </c>
      <c r="L1857" s="25">
        <f>(revenue[orderPrice]-revenue[productCost])/revenue[productCost]</f>
        <v>0.3711115493</v>
      </c>
      <c r="M1857" s="10">
        <v>5.0</v>
      </c>
      <c r="N1857" s="25">
        <v>0.0</v>
      </c>
      <c r="O1857" s="9">
        <f>revenue[orderPrice]*revenue[orderQuantity]</f>
        <v>1317.5</v>
      </c>
      <c r="P1857" s="9">
        <f>revenue[orderTotal]*(1-revenue[discountApllied])</f>
        <v>1317.5</v>
      </c>
      <c r="Q1857" s="9">
        <f>revenue[revenue]-(revenue[productCost]*revenue[orderQuantity])</f>
        <v>356.6007933</v>
      </c>
      <c r="R1857" s="25">
        <f>IFERROR(revenue[profit]/revenue[revenue], 0)</f>
        <v>0.2706647388</v>
      </c>
      <c r="S1857" s="9">
        <f>revenue[productCost]*revenue[orderQuantity]</f>
        <v>960.8992067</v>
      </c>
    </row>
    <row r="1858" ht="15.75" customHeight="1">
      <c r="A1858" s="6">
        <v>10964.0</v>
      </c>
      <c r="B1858" s="7" t="s">
        <v>102</v>
      </c>
      <c r="C1858" s="24" t="str">
        <f>VLOOKUP(revenue[customerID],customers[],2,FALSE)</f>
        <v>Spécialités du monde</v>
      </c>
      <c r="D1858" s="24" t="str">
        <f>VLOOKUP(revenue[customerID],customers[],6,FALSE)</f>
        <v>Paris</v>
      </c>
      <c r="E1858" s="24" t="str">
        <f>VLOOKUP(revenue[customerID],customers[],9,FALSE)</f>
        <v>France</v>
      </c>
      <c r="F1858" s="24">
        <v>45371.0</v>
      </c>
      <c r="G1858" s="6">
        <v>69.0</v>
      </c>
      <c r="H1858" s="9" t="str">
        <f>VLOOKUP(revenue[productID],products[],2,FALSE)</f>
        <v>Gudbrandsdalsost</v>
      </c>
      <c r="I1858" s="9" t="str">
        <f>VLOOKUP(revenue[productID],products[],12,FALSE)</f>
        <v>Dairy Products</v>
      </c>
      <c r="J1858" s="9">
        <f>VLOOKUP(revenue[productID],products[],IF(YEAR(revenue[orderDate])=2022,8,IF(YEAR(revenue[orderDate])=2023,9,IF(YEAR(revenue[orderDate])=2024,10,NA))),FALSE)</f>
        <v>24.68292146</v>
      </c>
      <c r="K1858" s="9">
        <v>36.0</v>
      </c>
      <c r="L1858" s="25">
        <f>(revenue[orderPrice]-revenue[productCost])/revenue[productCost]</f>
        <v>0.4584983412</v>
      </c>
      <c r="M1858" s="10">
        <v>10.0</v>
      </c>
      <c r="N1858" s="25">
        <v>0.0</v>
      </c>
      <c r="O1858" s="9">
        <f>revenue[orderPrice]*revenue[orderQuantity]</f>
        <v>360</v>
      </c>
      <c r="P1858" s="9">
        <f>revenue[orderTotal]*(1-revenue[discountApllied])</f>
        <v>360</v>
      </c>
      <c r="Q1858" s="9">
        <f>revenue[revenue]-(revenue[productCost]*revenue[orderQuantity])</f>
        <v>113.1707854</v>
      </c>
      <c r="R1858" s="25">
        <f>IFERROR(revenue[profit]/revenue[revenue], 0)</f>
        <v>0.3143632929</v>
      </c>
      <c r="S1858" s="9">
        <f>revenue[productCost]*revenue[orderQuantity]</f>
        <v>246.8292146</v>
      </c>
    </row>
    <row r="1859" ht="15.75" customHeight="1">
      <c r="A1859" s="6">
        <v>10965.0</v>
      </c>
      <c r="B1859" s="7" t="s">
        <v>52</v>
      </c>
      <c r="C1859" s="24" t="str">
        <f>VLOOKUP(revenue[customerID],customers[],2,FALSE)</f>
        <v>Old World Delicatessen</v>
      </c>
      <c r="D1859" s="24" t="str">
        <f>VLOOKUP(revenue[customerID],customers[],6,FALSE)</f>
        <v>Anchorage</v>
      </c>
      <c r="E1859" s="24" t="str">
        <f>VLOOKUP(revenue[customerID],customers[],9,FALSE)</f>
        <v>USA</v>
      </c>
      <c r="F1859" s="24">
        <v>45371.0</v>
      </c>
      <c r="G1859" s="6">
        <v>51.0</v>
      </c>
      <c r="H1859" s="9" t="str">
        <f>VLOOKUP(revenue[productID],products[],2,FALSE)</f>
        <v>Manjimup Dried Apples</v>
      </c>
      <c r="I1859" s="9" t="str">
        <f>VLOOKUP(revenue[productID],products[],12,FALSE)</f>
        <v>Produce</v>
      </c>
      <c r="J1859" s="9">
        <f>VLOOKUP(revenue[productID],products[],IF(YEAR(revenue[orderDate])=2022,8,IF(YEAR(revenue[orderDate])=2023,9,IF(YEAR(revenue[orderDate])=2024,10,NA))),FALSE)</f>
        <v>39.51416462</v>
      </c>
      <c r="K1859" s="9">
        <v>53.0</v>
      </c>
      <c r="L1859" s="25">
        <f>(revenue[orderPrice]-revenue[productCost])/revenue[productCost]</f>
        <v>0.3412911677</v>
      </c>
      <c r="M1859" s="10">
        <v>16.0</v>
      </c>
      <c r="N1859" s="25">
        <v>0.0</v>
      </c>
      <c r="O1859" s="9">
        <f>revenue[orderPrice]*revenue[orderQuantity]</f>
        <v>848</v>
      </c>
      <c r="P1859" s="9">
        <f>revenue[orderTotal]*(1-revenue[discountApllied])</f>
        <v>848</v>
      </c>
      <c r="Q1859" s="9">
        <f>revenue[revenue]-(revenue[productCost]*revenue[orderQuantity])</f>
        <v>215.7733661</v>
      </c>
      <c r="R1859" s="25">
        <f>IFERROR(revenue[profit]/revenue[revenue], 0)</f>
        <v>0.2544497242</v>
      </c>
      <c r="S1859" s="9">
        <f>revenue[productCost]*revenue[orderQuantity]</f>
        <v>632.2266339</v>
      </c>
    </row>
    <row r="1860" ht="15.75" customHeight="1">
      <c r="A1860" s="6">
        <v>10966.0</v>
      </c>
      <c r="B1860" s="7" t="s">
        <v>20</v>
      </c>
      <c r="C1860" s="24" t="str">
        <f>VLOOKUP(revenue[customerID],customers[],2,FALSE)</f>
        <v>Chop-suey Chinese</v>
      </c>
      <c r="D1860" s="24" t="str">
        <f>VLOOKUP(revenue[customerID],customers[],6,FALSE)</f>
        <v>Bern</v>
      </c>
      <c r="E1860" s="24" t="str">
        <f>VLOOKUP(revenue[customerID],customers[],9,FALSE)</f>
        <v>Switzerland</v>
      </c>
      <c r="F1860" s="24">
        <v>45371.0</v>
      </c>
      <c r="G1860" s="6">
        <v>37.0</v>
      </c>
      <c r="H1860" s="9" t="str">
        <f>VLOOKUP(revenue[productID],products[],2,FALSE)</f>
        <v>Gravad lax</v>
      </c>
      <c r="I1860" s="9" t="str">
        <f>VLOOKUP(revenue[productID],products[],12,FALSE)</f>
        <v>Seafood</v>
      </c>
      <c r="J1860" s="9">
        <f>VLOOKUP(revenue[productID],products[],IF(YEAR(revenue[orderDate])=2022,8,IF(YEAR(revenue[orderDate])=2023,9,IF(YEAR(revenue[orderDate])=2024,10,NA))),FALSE)</f>
        <v>16.5764923</v>
      </c>
      <c r="K1860" s="9">
        <v>26.0</v>
      </c>
      <c r="L1860" s="25">
        <f>(revenue[orderPrice]-revenue[productCost])/revenue[productCost]</f>
        <v>0.5684862348</v>
      </c>
      <c r="M1860" s="10">
        <v>8.0</v>
      </c>
      <c r="N1860" s="25">
        <v>0.0</v>
      </c>
      <c r="O1860" s="9">
        <f>revenue[orderPrice]*revenue[orderQuantity]</f>
        <v>208</v>
      </c>
      <c r="P1860" s="9">
        <f>revenue[orderTotal]*(1-revenue[discountApllied])</f>
        <v>208</v>
      </c>
      <c r="Q1860" s="9">
        <f>revenue[revenue]-(revenue[productCost]*revenue[orderQuantity])</f>
        <v>75.38806157</v>
      </c>
      <c r="R1860" s="25">
        <f>IFERROR(revenue[profit]/revenue[revenue], 0)</f>
        <v>0.3624426037</v>
      </c>
      <c r="S1860" s="9">
        <f>revenue[productCost]*revenue[orderQuantity]</f>
        <v>132.6119384</v>
      </c>
    </row>
    <row r="1861" ht="15.75" customHeight="1">
      <c r="A1861" s="6">
        <v>10966.0</v>
      </c>
      <c r="B1861" s="7" t="s">
        <v>20</v>
      </c>
      <c r="C1861" s="24" t="str">
        <f>VLOOKUP(revenue[customerID],customers[],2,FALSE)</f>
        <v>Chop-suey Chinese</v>
      </c>
      <c r="D1861" s="24" t="str">
        <f>VLOOKUP(revenue[customerID],customers[],6,FALSE)</f>
        <v>Bern</v>
      </c>
      <c r="E1861" s="24" t="str">
        <f>VLOOKUP(revenue[customerID],customers[],9,FALSE)</f>
        <v>Switzerland</v>
      </c>
      <c r="F1861" s="24">
        <v>45371.0</v>
      </c>
      <c r="G1861" s="6">
        <v>56.0</v>
      </c>
      <c r="H1861" s="9" t="str">
        <f>VLOOKUP(revenue[productID],products[],2,FALSE)</f>
        <v>Gnocchi di nonna Alice</v>
      </c>
      <c r="I1861" s="9" t="str">
        <f>VLOOKUP(revenue[productID],products[],12,FALSE)</f>
        <v>Grains/Cereals</v>
      </c>
      <c r="J1861" s="9">
        <f>VLOOKUP(revenue[productID],products[],IF(YEAR(revenue[orderDate])=2022,8,IF(YEAR(revenue[orderDate])=2023,9,IF(YEAR(revenue[orderDate])=2024,10,NA))),FALSE)</f>
        <v>27.53915851</v>
      </c>
      <c r="K1861" s="9">
        <v>38.0</v>
      </c>
      <c r="L1861" s="25">
        <f>(revenue[orderPrice]-revenue[productCost])/revenue[productCost]</f>
        <v>0.3798533452</v>
      </c>
      <c r="M1861" s="10">
        <v>12.0</v>
      </c>
      <c r="N1861" s="25">
        <v>0.15</v>
      </c>
      <c r="O1861" s="9">
        <f>revenue[orderPrice]*revenue[orderQuantity]</f>
        <v>456</v>
      </c>
      <c r="P1861" s="9">
        <f>revenue[orderTotal]*(1-revenue[discountApllied])</f>
        <v>387.6</v>
      </c>
      <c r="Q1861" s="9">
        <f>revenue[revenue]-(revenue[productCost]*revenue[orderQuantity])</f>
        <v>57.13009783</v>
      </c>
      <c r="R1861" s="25">
        <f>IFERROR(revenue[profit]/revenue[revenue], 0)</f>
        <v>0.1473944733</v>
      </c>
      <c r="S1861" s="9">
        <f>revenue[productCost]*revenue[orderQuantity]</f>
        <v>330.4699022</v>
      </c>
    </row>
    <row r="1862" ht="15.75" customHeight="1">
      <c r="A1862" s="6">
        <v>10966.0</v>
      </c>
      <c r="B1862" s="7" t="s">
        <v>20</v>
      </c>
      <c r="C1862" s="24" t="str">
        <f>VLOOKUP(revenue[customerID],customers[],2,FALSE)</f>
        <v>Chop-suey Chinese</v>
      </c>
      <c r="D1862" s="24" t="str">
        <f>VLOOKUP(revenue[customerID],customers[],6,FALSE)</f>
        <v>Bern</v>
      </c>
      <c r="E1862" s="24" t="str">
        <f>VLOOKUP(revenue[customerID],customers[],9,FALSE)</f>
        <v>Switzerland</v>
      </c>
      <c r="F1862" s="24">
        <v>45371.0</v>
      </c>
      <c r="G1862" s="6">
        <v>62.0</v>
      </c>
      <c r="H1862" s="9" t="str">
        <f>VLOOKUP(revenue[productID],products[],2,FALSE)</f>
        <v>Tarte au sucre</v>
      </c>
      <c r="I1862" s="9" t="str">
        <f>VLOOKUP(revenue[productID],products[],12,FALSE)</f>
        <v>Confections</v>
      </c>
      <c r="J1862" s="9">
        <f>VLOOKUP(revenue[productID],products[],IF(YEAR(revenue[orderDate])=2022,8,IF(YEAR(revenue[orderDate])=2023,9,IF(YEAR(revenue[orderDate])=2024,10,NA))),FALSE)</f>
        <v>34.88145014</v>
      </c>
      <c r="K1862" s="9">
        <v>49.3</v>
      </c>
      <c r="L1862" s="25">
        <f>(revenue[orderPrice]-revenue[productCost])/revenue[productCost]</f>
        <v>0.4133586705</v>
      </c>
      <c r="M1862" s="10">
        <v>12.0</v>
      </c>
      <c r="N1862" s="25">
        <v>0.15</v>
      </c>
      <c r="O1862" s="9">
        <f>revenue[orderPrice]*revenue[orderQuantity]</f>
        <v>591.6</v>
      </c>
      <c r="P1862" s="9">
        <f>revenue[orderTotal]*(1-revenue[discountApllied])</f>
        <v>502.86</v>
      </c>
      <c r="Q1862" s="9">
        <f>revenue[revenue]-(revenue[productCost]*revenue[orderQuantity])</f>
        <v>84.28259828</v>
      </c>
      <c r="R1862" s="25">
        <f>IFERROR(revenue[profit]/revenue[revenue], 0)</f>
        <v>0.1676064875</v>
      </c>
      <c r="S1862" s="9">
        <f>revenue[productCost]*revenue[orderQuantity]</f>
        <v>418.5774017</v>
      </c>
    </row>
    <row r="1863" ht="15.75" customHeight="1">
      <c r="A1863" s="6">
        <v>10967.0</v>
      </c>
      <c r="B1863" s="7" t="s">
        <v>14</v>
      </c>
      <c r="C1863" s="24" t="str">
        <f>VLOOKUP(revenue[customerID],customers[],2,FALSE)</f>
        <v>Toms Spezialitäten</v>
      </c>
      <c r="D1863" s="24" t="str">
        <f>VLOOKUP(revenue[customerID],customers[],6,FALSE)</f>
        <v>Münster</v>
      </c>
      <c r="E1863" s="24" t="str">
        <f>VLOOKUP(revenue[customerID],customers[],9,FALSE)</f>
        <v>Germany</v>
      </c>
      <c r="F1863" s="24">
        <v>45374.0</v>
      </c>
      <c r="G1863" s="6">
        <v>19.0</v>
      </c>
      <c r="H1863" s="9" t="str">
        <f>VLOOKUP(revenue[productID],products[],2,FALSE)</f>
        <v>Teatime Chocolate Biscuits</v>
      </c>
      <c r="I1863" s="9" t="str">
        <f>VLOOKUP(revenue[productID],products[],12,FALSE)</f>
        <v>Confections</v>
      </c>
      <c r="J1863" s="9">
        <f>VLOOKUP(revenue[productID],products[],IF(YEAR(revenue[orderDate])=2022,8,IF(YEAR(revenue[orderDate])=2023,9,IF(YEAR(revenue[orderDate])=2024,10,NA))),FALSE)</f>
        <v>6.769656984</v>
      </c>
      <c r="K1863" s="9">
        <v>9.2</v>
      </c>
      <c r="L1863" s="25">
        <f>(revenue[orderPrice]-revenue[productCost])/revenue[productCost]</f>
        <v>0.3590053413</v>
      </c>
      <c r="M1863" s="10">
        <v>12.0</v>
      </c>
      <c r="N1863" s="25">
        <v>0.0</v>
      </c>
      <c r="O1863" s="9">
        <f>revenue[orderPrice]*revenue[orderQuantity]</f>
        <v>110.4</v>
      </c>
      <c r="P1863" s="9">
        <f>revenue[orderTotal]*(1-revenue[discountApllied])</f>
        <v>110.4</v>
      </c>
      <c r="Q1863" s="9">
        <f>revenue[revenue]-(revenue[productCost]*revenue[orderQuantity])</f>
        <v>29.16411619</v>
      </c>
      <c r="R1863" s="25">
        <f>IFERROR(revenue[profit]/revenue[revenue], 0)</f>
        <v>0.2641677191</v>
      </c>
      <c r="S1863" s="9">
        <f>revenue[productCost]*revenue[orderQuantity]</f>
        <v>81.23588381</v>
      </c>
    </row>
    <row r="1864" ht="15.75" customHeight="1">
      <c r="A1864" s="6">
        <v>10967.0</v>
      </c>
      <c r="B1864" s="7" t="s">
        <v>14</v>
      </c>
      <c r="C1864" s="24" t="str">
        <f>VLOOKUP(revenue[customerID],customers[],2,FALSE)</f>
        <v>Toms Spezialitäten</v>
      </c>
      <c r="D1864" s="24" t="str">
        <f>VLOOKUP(revenue[customerID],customers[],6,FALSE)</f>
        <v>Münster</v>
      </c>
      <c r="E1864" s="24" t="str">
        <f>VLOOKUP(revenue[customerID],customers[],9,FALSE)</f>
        <v>Germany</v>
      </c>
      <c r="F1864" s="24">
        <v>45374.0</v>
      </c>
      <c r="G1864" s="6">
        <v>49.0</v>
      </c>
      <c r="H1864" s="9" t="str">
        <f>VLOOKUP(revenue[productID],products[],2,FALSE)</f>
        <v>Maxilaku</v>
      </c>
      <c r="I1864" s="9" t="str">
        <f>VLOOKUP(revenue[productID],products[],12,FALSE)</f>
        <v>Confections</v>
      </c>
      <c r="J1864" s="9">
        <f>VLOOKUP(revenue[productID],products[],IF(YEAR(revenue[orderDate])=2022,8,IF(YEAR(revenue[orderDate])=2023,9,IF(YEAR(revenue[orderDate])=2024,10,NA))),FALSE)</f>
        <v>15.07459899</v>
      </c>
      <c r="K1864" s="9">
        <v>20.0</v>
      </c>
      <c r="L1864" s="25">
        <f>(revenue[orderPrice]-revenue[productCost])/revenue[productCost]</f>
        <v>0.3267351269</v>
      </c>
      <c r="M1864" s="10">
        <v>40.0</v>
      </c>
      <c r="N1864" s="25">
        <v>0.0</v>
      </c>
      <c r="O1864" s="9">
        <f>revenue[orderPrice]*revenue[orderQuantity]</f>
        <v>800</v>
      </c>
      <c r="P1864" s="9">
        <f>revenue[orderTotal]*(1-revenue[discountApllied])</f>
        <v>800</v>
      </c>
      <c r="Q1864" s="9">
        <f>revenue[revenue]-(revenue[productCost]*revenue[orderQuantity])</f>
        <v>197.0160405</v>
      </c>
      <c r="R1864" s="25">
        <f>IFERROR(revenue[profit]/revenue[revenue], 0)</f>
        <v>0.2462700507</v>
      </c>
      <c r="S1864" s="9">
        <f>revenue[productCost]*revenue[orderQuantity]</f>
        <v>602.9839595</v>
      </c>
    </row>
    <row r="1865" ht="15.75" customHeight="1">
      <c r="A1865" s="6">
        <v>10968.0</v>
      </c>
      <c r="B1865" s="7" t="s">
        <v>24</v>
      </c>
      <c r="C1865" s="24" t="str">
        <f>VLOOKUP(revenue[customerID],customers[],2,FALSE)</f>
        <v>Ernst Handel</v>
      </c>
      <c r="D1865" s="24" t="str">
        <f>VLOOKUP(revenue[customerID],customers[],6,FALSE)</f>
        <v>Graz</v>
      </c>
      <c r="E1865" s="24" t="str">
        <f>VLOOKUP(revenue[customerID],customers[],9,FALSE)</f>
        <v>Austria</v>
      </c>
      <c r="F1865" s="24">
        <v>45374.0</v>
      </c>
      <c r="G1865" s="6">
        <v>12.0</v>
      </c>
      <c r="H1865" s="9" t="str">
        <f>VLOOKUP(revenue[productID],products[],2,FALSE)</f>
        <v>Queso Manchego La Pastora</v>
      </c>
      <c r="I1865" s="9" t="str">
        <f>VLOOKUP(revenue[productID],products[],12,FALSE)</f>
        <v>Dairy Products</v>
      </c>
      <c r="J1865" s="9">
        <f>VLOOKUP(revenue[productID],products[],IF(YEAR(revenue[orderDate])=2022,8,IF(YEAR(revenue[orderDate])=2023,9,IF(YEAR(revenue[orderDate])=2024,10,NA))),FALSE)</f>
        <v>25.02510955</v>
      </c>
      <c r="K1865" s="9">
        <v>38.0</v>
      </c>
      <c r="L1865" s="25">
        <f>(revenue[orderPrice]-revenue[productCost])/revenue[productCost]</f>
        <v>0.518474871</v>
      </c>
      <c r="M1865" s="10">
        <v>30.0</v>
      </c>
      <c r="N1865" s="25">
        <v>0.0</v>
      </c>
      <c r="O1865" s="9">
        <f>revenue[orderPrice]*revenue[orderQuantity]</f>
        <v>1140</v>
      </c>
      <c r="P1865" s="9">
        <f>revenue[orderTotal]*(1-revenue[discountApllied])</f>
        <v>1140</v>
      </c>
      <c r="Q1865" s="9">
        <f>revenue[revenue]-(revenue[productCost]*revenue[orderQuantity])</f>
        <v>389.2467134</v>
      </c>
      <c r="R1865" s="25">
        <f>IFERROR(revenue[profit]/revenue[revenue], 0)</f>
        <v>0.3414444854</v>
      </c>
      <c r="S1865" s="9">
        <f>revenue[productCost]*revenue[orderQuantity]</f>
        <v>750.7532866</v>
      </c>
    </row>
    <row r="1866" ht="15.75" customHeight="1">
      <c r="A1866" s="6">
        <v>10968.0</v>
      </c>
      <c r="B1866" s="7" t="s">
        <v>24</v>
      </c>
      <c r="C1866" s="24" t="str">
        <f>VLOOKUP(revenue[customerID],customers[],2,FALSE)</f>
        <v>Ernst Handel</v>
      </c>
      <c r="D1866" s="24" t="str">
        <f>VLOOKUP(revenue[customerID],customers[],6,FALSE)</f>
        <v>Graz</v>
      </c>
      <c r="E1866" s="24" t="str">
        <f>VLOOKUP(revenue[customerID],customers[],9,FALSE)</f>
        <v>Austria</v>
      </c>
      <c r="F1866" s="24">
        <v>45374.0</v>
      </c>
      <c r="G1866" s="6">
        <v>24.0</v>
      </c>
      <c r="H1866" s="9" t="str">
        <f>VLOOKUP(revenue[productID],products[],2,FALSE)</f>
        <v>Brigadeiros Maravilhosos da Lilian</v>
      </c>
      <c r="I1866" s="9" t="str">
        <f>VLOOKUP(revenue[productID],products[],12,FALSE)</f>
        <v>Confections</v>
      </c>
      <c r="J1866" s="9">
        <f>VLOOKUP(revenue[productID],products[],IF(YEAR(revenue[orderDate])=2022,8,IF(YEAR(revenue[orderDate])=2023,9,IF(YEAR(revenue[orderDate])=2024,10,NA))),FALSE)</f>
        <v>3.177326315</v>
      </c>
      <c r="K1866" s="9">
        <v>4.5</v>
      </c>
      <c r="L1866" s="25">
        <f>(revenue[orderPrice]-revenue[productCost])/revenue[productCost]</f>
        <v>0.416285126</v>
      </c>
      <c r="M1866" s="10">
        <v>30.0</v>
      </c>
      <c r="N1866" s="25">
        <v>0.0</v>
      </c>
      <c r="O1866" s="9">
        <f>revenue[orderPrice]*revenue[orderQuantity]</f>
        <v>135</v>
      </c>
      <c r="P1866" s="9">
        <f>revenue[orderTotal]*(1-revenue[discountApllied])</f>
        <v>135</v>
      </c>
      <c r="Q1866" s="9">
        <f>revenue[revenue]-(revenue[productCost]*revenue[orderQuantity])</f>
        <v>39.68021056</v>
      </c>
      <c r="R1866" s="25">
        <f>IFERROR(revenue[profit]/revenue[revenue], 0)</f>
        <v>0.2939274856</v>
      </c>
      <c r="S1866" s="9">
        <f>revenue[productCost]*revenue[orderQuantity]</f>
        <v>95.31978944</v>
      </c>
    </row>
    <row r="1867" ht="15.75" customHeight="1">
      <c r="A1867" s="6">
        <v>10968.0</v>
      </c>
      <c r="B1867" s="7" t="s">
        <v>24</v>
      </c>
      <c r="C1867" s="24" t="str">
        <f>VLOOKUP(revenue[customerID],customers[],2,FALSE)</f>
        <v>Ernst Handel</v>
      </c>
      <c r="D1867" s="24" t="str">
        <f>VLOOKUP(revenue[customerID],customers[],6,FALSE)</f>
        <v>Graz</v>
      </c>
      <c r="E1867" s="24" t="str">
        <f>VLOOKUP(revenue[customerID],customers[],9,FALSE)</f>
        <v>Austria</v>
      </c>
      <c r="F1867" s="24">
        <v>45374.0</v>
      </c>
      <c r="G1867" s="6">
        <v>64.0</v>
      </c>
      <c r="H1867" s="9" t="str">
        <f>VLOOKUP(revenue[productID],products[],2,FALSE)</f>
        <v>Lukas' leckere Sauerteigweggla</v>
      </c>
      <c r="I1867" s="9" t="str">
        <f>VLOOKUP(revenue[productID],products[],12,FALSE)</f>
        <v>Grains/Cereals</v>
      </c>
      <c r="J1867" s="9">
        <f>VLOOKUP(revenue[productID],products[],IF(YEAR(revenue[orderDate])=2022,8,IF(YEAR(revenue[orderDate])=2023,9,IF(YEAR(revenue[orderDate])=2024,10,NA))),FALSE)</f>
        <v>22.72434276</v>
      </c>
      <c r="K1867" s="9">
        <v>33.25</v>
      </c>
      <c r="L1867" s="25">
        <f>(revenue[orderPrice]-revenue[productCost])/revenue[productCost]</f>
        <v>0.4631886324</v>
      </c>
      <c r="M1867" s="10">
        <v>4.0</v>
      </c>
      <c r="N1867" s="25">
        <v>0.0</v>
      </c>
      <c r="O1867" s="9">
        <f>revenue[orderPrice]*revenue[orderQuantity]</f>
        <v>133</v>
      </c>
      <c r="P1867" s="9">
        <f>revenue[orderTotal]*(1-revenue[discountApllied])</f>
        <v>133</v>
      </c>
      <c r="Q1867" s="9">
        <f>revenue[revenue]-(revenue[productCost]*revenue[orderQuantity])</f>
        <v>42.10262898</v>
      </c>
      <c r="R1867" s="25">
        <f>IFERROR(revenue[profit]/revenue[revenue], 0)</f>
        <v>0.3165611201</v>
      </c>
      <c r="S1867" s="9">
        <f>revenue[productCost]*revenue[orderQuantity]</f>
        <v>90.89737102</v>
      </c>
    </row>
    <row r="1868" ht="15.75" customHeight="1">
      <c r="A1868" s="6">
        <v>10969.0</v>
      </c>
      <c r="B1868" s="7" t="s">
        <v>47</v>
      </c>
      <c r="C1868" s="24" t="str">
        <f>VLOOKUP(revenue[customerID],customers[],2,FALSE)</f>
        <v>Comércio Mineiro</v>
      </c>
      <c r="D1868" s="24" t="str">
        <f>VLOOKUP(revenue[customerID],customers[],6,FALSE)</f>
        <v>Sao Paulo</v>
      </c>
      <c r="E1868" s="24" t="str">
        <f>VLOOKUP(revenue[customerID],customers[],9,FALSE)</f>
        <v>Brazil</v>
      </c>
      <c r="F1868" s="24">
        <v>45374.0</v>
      </c>
      <c r="G1868" s="6">
        <v>46.0</v>
      </c>
      <c r="H1868" s="9" t="str">
        <f>VLOOKUP(revenue[productID],products[],2,FALSE)</f>
        <v>Spegesild</v>
      </c>
      <c r="I1868" s="9" t="str">
        <f>VLOOKUP(revenue[productID],products[],12,FALSE)</f>
        <v>Seafood</v>
      </c>
      <c r="J1868" s="9">
        <f>VLOOKUP(revenue[productID],products[],IF(YEAR(revenue[orderDate])=2022,8,IF(YEAR(revenue[orderDate])=2023,9,IF(YEAR(revenue[orderDate])=2024,10,NA))),FALSE)</f>
        <v>8.247981557</v>
      </c>
      <c r="K1868" s="9">
        <v>12.0</v>
      </c>
      <c r="L1868" s="25">
        <f>(revenue[orderPrice]-revenue[productCost])/revenue[productCost]</f>
        <v>0.4549014105</v>
      </c>
      <c r="M1868" s="10">
        <v>9.0</v>
      </c>
      <c r="N1868" s="25">
        <v>0.0</v>
      </c>
      <c r="O1868" s="9">
        <f>revenue[orderPrice]*revenue[orderQuantity]</f>
        <v>108</v>
      </c>
      <c r="P1868" s="9">
        <f>revenue[orderTotal]*(1-revenue[discountApllied])</f>
        <v>108</v>
      </c>
      <c r="Q1868" s="9">
        <f>revenue[revenue]-(revenue[productCost]*revenue[orderQuantity])</f>
        <v>33.76816599</v>
      </c>
      <c r="R1868" s="25">
        <f>IFERROR(revenue[profit]/revenue[revenue], 0)</f>
        <v>0.3126682036</v>
      </c>
      <c r="S1868" s="9">
        <f>revenue[productCost]*revenue[orderQuantity]</f>
        <v>74.23183401</v>
      </c>
    </row>
    <row r="1869" ht="15.75" customHeight="1">
      <c r="A1869" s="6">
        <v>10970.0</v>
      </c>
      <c r="B1869" s="7" t="s">
        <v>61</v>
      </c>
      <c r="C1869" s="24" t="str">
        <f>VLOOKUP(revenue[customerID],customers[],2,FALSE)</f>
        <v>Bólido Comidas preparadas</v>
      </c>
      <c r="D1869" s="24" t="str">
        <f>VLOOKUP(revenue[customerID],customers[],6,FALSE)</f>
        <v>Madrid</v>
      </c>
      <c r="E1869" s="24" t="str">
        <f>VLOOKUP(revenue[customerID],customers[],9,FALSE)</f>
        <v>Spain</v>
      </c>
      <c r="F1869" s="24">
        <v>45375.0</v>
      </c>
      <c r="G1869" s="6">
        <v>52.0</v>
      </c>
      <c r="H1869" s="9" t="str">
        <f>VLOOKUP(revenue[productID],products[],2,FALSE)</f>
        <v>Filo Mix</v>
      </c>
      <c r="I1869" s="9" t="str">
        <f>VLOOKUP(revenue[productID],products[],12,FALSE)</f>
        <v>Grains/Cereals</v>
      </c>
      <c r="J1869" s="9">
        <f>VLOOKUP(revenue[productID],products[],IF(YEAR(revenue[orderDate])=2022,8,IF(YEAR(revenue[orderDate])=2023,9,IF(YEAR(revenue[orderDate])=2024,10,NA))),FALSE)</f>
        <v>5.222223442</v>
      </c>
      <c r="K1869" s="9">
        <v>7.0</v>
      </c>
      <c r="L1869" s="25">
        <f>(revenue[orderPrice]-revenue[productCost])/revenue[productCost]</f>
        <v>0.3404252188</v>
      </c>
      <c r="M1869" s="10">
        <v>40.0</v>
      </c>
      <c r="N1869" s="25">
        <v>0.2</v>
      </c>
      <c r="O1869" s="9">
        <f>revenue[orderPrice]*revenue[orderQuantity]</f>
        <v>280</v>
      </c>
      <c r="P1869" s="9">
        <f>revenue[orderTotal]*(1-revenue[discountApllied])</f>
        <v>224</v>
      </c>
      <c r="Q1869" s="9">
        <f>revenue[revenue]-(revenue[productCost]*revenue[orderQuantity])</f>
        <v>15.11106232</v>
      </c>
      <c r="R1869" s="25">
        <f>IFERROR(revenue[profit]/revenue[revenue], 0)</f>
        <v>0.06746009963</v>
      </c>
      <c r="S1869" s="9">
        <f>revenue[productCost]*revenue[orderQuantity]</f>
        <v>208.8889377</v>
      </c>
    </row>
    <row r="1870" ht="15.75" customHeight="1">
      <c r="A1870" s="6">
        <v>10971.0</v>
      </c>
      <c r="B1870" s="7" t="s">
        <v>101</v>
      </c>
      <c r="C1870" s="24" t="str">
        <f>VLOOKUP(revenue[customerID],customers[],2,FALSE)</f>
        <v>France restauration</v>
      </c>
      <c r="D1870" s="24" t="str">
        <f>VLOOKUP(revenue[customerID],customers[],6,FALSE)</f>
        <v>Nantes</v>
      </c>
      <c r="E1870" s="24" t="str">
        <f>VLOOKUP(revenue[customerID],customers[],9,FALSE)</f>
        <v>France</v>
      </c>
      <c r="F1870" s="24">
        <v>45375.0</v>
      </c>
      <c r="G1870" s="6">
        <v>29.0</v>
      </c>
      <c r="H1870" s="9" t="str">
        <f>VLOOKUP(revenue[productID],products[],2,FALSE)</f>
        <v>Thüringer Rostbratwurst</v>
      </c>
      <c r="I1870" s="9" t="str">
        <f>VLOOKUP(revenue[productID],products[],12,FALSE)</f>
        <v>Meat/Poultry</v>
      </c>
      <c r="J1870" s="9">
        <f>VLOOKUP(revenue[productID],products[],IF(YEAR(revenue[orderDate])=2022,8,IF(YEAR(revenue[orderDate])=2023,9,IF(YEAR(revenue[orderDate])=2024,10,NA))),FALSE)</f>
        <v>80.14595973</v>
      </c>
      <c r="K1870" s="9">
        <v>123.79</v>
      </c>
      <c r="L1870" s="25">
        <f>(revenue[orderPrice]-revenue[productCost])/revenue[productCost]</f>
        <v>0.544556961</v>
      </c>
      <c r="M1870" s="10">
        <v>14.0</v>
      </c>
      <c r="N1870" s="25">
        <v>0.0</v>
      </c>
      <c r="O1870" s="9">
        <f>revenue[orderPrice]*revenue[orderQuantity]</f>
        <v>1733.06</v>
      </c>
      <c r="P1870" s="9">
        <f>revenue[orderTotal]*(1-revenue[discountApllied])</f>
        <v>1733.06</v>
      </c>
      <c r="Q1870" s="9">
        <f>revenue[revenue]-(revenue[productCost]*revenue[orderQuantity])</f>
        <v>611.0165637</v>
      </c>
      <c r="R1870" s="25">
        <f>IFERROR(revenue[profit]/revenue[revenue], 0)</f>
        <v>0.3525651528</v>
      </c>
      <c r="S1870" s="9">
        <f>revenue[productCost]*revenue[orderQuantity]</f>
        <v>1122.043436</v>
      </c>
    </row>
    <row r="1871" ht="15.75" customHeight="1">
      <c r="A1871" s="6">
        <v>10972.0</v>
      </c>
      <c r="B1871" s="7" t="s">
        <v>103</v>
      </c>
      <c r="C1871" s="24" t="str">
        <f>VLOOKUP(revenue[customerID],customers[],2,FALSE)</f>
        <v>La corne d'abondance</v>
      </c>
      <c r="D1871" s="24" t="str">
        <f>VLOOKUP(revenue[customerID],customers[],6,FALSE)</f>
        <v>Versailles</v>
      </c>
      <c r="E1871" s="24" t="str">
        <f>VLOOKUP(revenue[customerID],customers[],9,FALSE)</f>
        <v>France</v>
      </c>
      <c r="F1871" s="24">
        <v>45375.0</v>
      </c>
      <c r="G1871" s="6">
        <v>17.0</v>
      </c>
      <c r="H1871" s="9" t="str">
        <f>VLOOKUP(revenue[productID],products[],2,FALSE)</f>
        <v>Alice Mutton</v>
      </c>
      <c r="I1871" s="9" t="str">
        <f>VLOOKUP(revenue[productID],products[],12,FALSE)</f>
        <v>Meat/Poultry</v>
      </c>
      <c r="J1871" s="9">
        <f>VLOOKUP(revenue[productID],products[],IF(YEAR(revenue[orderDate])=2022,8,IF(YEAR(revenue[orderDate])=2023,9,IF(YEAR(revenue[orderDate])=2024,10,NA))),FALSE)</f>
        <v>28.51916263</v>
      </c>
      <c r="K1871" s="9">
        <v>39.0</v>
      </c>
      <c r="L1871" s="25">
        <f>(revenue[orderPrice]-revenue[productCost])/revenue[productCost]</f>
        <v>0.3675015816</v>
      </c>
      <c r="M1871" s="10">
        <v>6.0</v>
      </c>
      <c r="N1871" s="25">
        <v>0.0</v>
      </c>
      <c r="O1871" s="9">
        <f>revenue[orderPrice]*revenue[orderQuantity]</f>
        <v>234</v>
      </c>
      <c r="P1871" s="9">
        <f>revenue[orderTotal]*(1-revenue[discountApllied])</f>
        <v>234</v>
      </c>
      <c r="Q1871" s="9">
        <f>revenue[revenue]-(revenue[productCost]*revenue[orderQuantity])</f>
        <v>62.88502423</v>
      </c>
      <c r="R1871" s="25">
        <f>IFERROR(revenue[profit]/revenue[revenue], 0)</f>
        <v>0.2687394198</v>
      </c>
      <c r="S1871" s="9">
        <f>revenue[productCost]*revenue[orderQuantity]</f>
        <v>171.1149758</v>
      </c>
    </row>
    <row r="1872" ht="15.75" customHeight="1">
      <c r="A1872" s="6">
        <v>10972.0</v>
      </c>
      <c r="B1872" s="7" t="s">
        <v>103</v>
      </c>
      <c r="C1872" s="24" t="str">
        <f>VLOOKUP(revenue[customerID],customers[],2,FALSE)</f>
        <v>La corne d'abondance</v>
      </c>
      <c r="D1872" s="24" t="str">
        <f>VLOOKUP(revenue[customerID],customers[],6,FALSE)</f>
        <v>Versailles</v>
      </c>
      <c r="E1872" s="24" t="str">
        <f>VLOOKUP(revenue[customerID],customers[],9,FALSE)</f>
        <v>France</v>
      </c>
      <c r="F1872" s="24">
        <v>45375.0</v>
      </c>
      <c r="G1872" s="6">
        <v>33.0</v>
      </c>
      <c r="H1872" s="9" t="str">
        <f>VLOOKUP(revenue[productID],products[],2,FALSE)</f>
        <v>Geitost</v>
      </c>
      <c r="I1872" s="9" t="str">
        <f>VLOOKUP(revenue[productID],products[],12,FALSE)</f>
        <v>Dairy Products</v>
      </c>
      <c r="J1872" s="9">
        <f>VLOOKUP(revenue[productID],products[],IF(YEAR(revenue[orderDate])=2022,8,IF(YEAR(revenue[orderDate])=2023,9,IF(YEAR(revenue[orderDate])=2024,10,NA))),FALSE)</f>
        <v>1.670163437</v>
      </c>
      <c r="K1872" s="9">
        <v>2.5</v>
      </c>
      <c r="L1872" s="25">
        <f>(revenue[orderPrice]-revenue[productCost])/revenue[productCost]</f>
        <v>0.4968594957</v>
      </c>
      <c r="M1872" s="10">
        <v>7.0</v>
      </c>
      <c r="N1872" s="25">
        <v>0.0</v>
      </c>
      <c r="O1872" s="9">
        <f>revenue[orderPrice]*revenue[orderQuantity]</f>
        <v>17.5</v>
      </c>
      <c r="P1872" s="9">
        <f>revenue[orderTotal]*(1-revenue[discountApllied])</f>
        <v>17.5</v>
      </c>
      <c r="Q1872" s="9">
        <f>revenue[revenue]-(revenue[productCost]*revenue[orderQuantity])</f>
        <v>5.808855941</v>
      </c>
      <c r="R1872" s="25">
        <f>IFERROR(revenue[profit]/revenue[revenue], 0)</f>
        <v>0.3319346252</v>
      </c>
      <c r="S1872" s="9">
        <f>revenue[productCost]*revenue[orderQuantity]</f>
        <v>11.69114406</v>
      </c>
    </row>
    <row r="1873" ht="15.75" customHeight="1">
      <c r="A1873" s="6">
        <v>10973.0</v>
      </c>
      <c r="B1873" s="7" t="s">
        <v>103</v>
      </c>
      <c r="C1873" s="24" t="str">
        <f>VLOOKUP(revenue[customerID],customers[],2,FALSE)</f>
        <v>La corne d'abondance</v>
      </c>
      <c r="D1873" s="24" t="str">
        <f>VLOOKUP(revenue[customerID],customers[],6,FALSE)</f>
        <v>Versailles</v>
      </c>
      <c r="E1873" s="24" t="str">
        <f>VLOOKUP(revenue[customerID],customers[],9,FALSE)</f>
        <v>France</v>
      </c>
      <c r="F1873" s="24">
        <v>45375.0</v>
      </c>
      <c r="G1873" s="6">
        <v>26.0</v>
      </c>
      <c r="H1873" s="9" t="str">
        <f>VLOOKUP(revenue[productID],products[],2,FALSE)</f>
        <v>NuNuCa Nuß-Nougat-Creme</v>
      </c>
      <c r="I1873" s="9" t="str">
        <f>VLOOKUP(revenue[productID],products[],12,FALSE)</f>
        <v>Confections</v>
      </c>
      <c r="J1873" s="9">
        <f>VLOOKUP(revenue[productID],products[],IF(YEAR(revenue[orderDate])=2022,8,IF(YEAR(revenue[orderDate])=2023,9,IF(YEAR(revenue[orderDate])=2024,10,NA))),FALSE)</f>
        <v>22.79977195</v>
      </c>
      <c r="K1873" s="9">
        <v>31.23</v>
      </c>
      <c r="L1873" s="25">
        <f>(revenue[orderPrice]-revenue[productCost])/revenue[productCost]</f>
        <v>0.3697505427</v>
      </c>
      <c r="M1873" s="10">
        <v>5.0</v>
      </c>
      <c r="N1873" s="25">
        <v>0.0</v>
      </c>
      <c r="O1873" s="9">
        <f>revenue[orderPrice]*revenue[orderQuantity]</f>
        <v>156.15</v>
      </c>
      <c r="P1873" s="9">
        <f>revenue[orderTotal]*(1-revenue[discountApllied])</f>
        <v>156.15</v>
      </c>
      <c r="Q1873" s="9">
        <f>revenue[revenue]-(revenue[productCost]*revenue[orderQuantity])</f>
        <v>42.15114026</v>
      </c>
      <c r="R1873" s="25">
        <f>IFERROR(revenue[profit]/revenue[revenue], 0)</f>
        <v>0.2699400593</v>
      </c>
      <c r="S1873" s="9">
        <f>revenue[productCost]*revenue[orderQuantity]</f>
        <v>113.9988597</v>
      </c>
    </row>
    <row r="1874" ht="15.75" customHeight="1">
      <c r="A1874" s="6">
        <v>10973.0</v>
      </c>
      <c r="B1874" s="7" t="s">
        <v>103</v>
      </c>
      <c r="C1874" s="24" t="str">
        <f>VLOOKUP(revenue[customerID],customers[],2,FALSE)</f>
        <v>La corne d'abondance</v>
      </c>
      <c r="D1874" s="24" t="str">
        <f>VLOOKUP(revenue[customerID],customers[],6,FALSE)</f>
        <v>Versailles</v>
      </c>
      <c r="E1874" s="24" t="str">
        <f>VLOOKUP(revenue[customerID],customers[],9,FALSE)</f>
        <v>France</v>
      </c>
      <c r="F1874" s="24">
        <v>45375.0</v>
      </c>
      <c r="G1874" s="6">
        <v>41.0</v>
      </c>
      <c r="H1874" s="9" t="str">
        <f>VLOOKUP(revenue[productID],products[],2,FALSE)</f>
        <v>Jack's New England Clam Chowder</v>
      </c>
      <c r="I1874" s="9" t="str">
        <f>VLOOKUP(revenue[productID],products[],12,FALSE)</f>
        <v>Seafood</v>
      </c>
      <c r="J1874" s="9">
        <f>VLOOKUP(revenue[productID],products[],IF(YEAR(revenue[orderDate])=2022,8,IF(YEAR(revenue[orderDate])=2023,9,IF(YEAR(revenue[orderDate])=2024,10,NA))),FALSE)</f>
        <v>6.611787882</v>
      </c>
      <c r="K1874" s="9">
        <v>9.65</v>
      </c>
      <c r="L1874" s="25">
        <f>(revenue[orderPrice]-revenue[productCost])/revenue[productCost]</f>
        <v>0.459514457</v>
      </c>
      <c r="M1874" s="10">
        <v>6.0</v>
      </c>
      <c r="N1874" s="25">
        <v>0.0</v>
      </c>
      <c r="O1874" s="9">
        <f>revenue[orderPrice]*revenue[orderQuantity]</f>
        <v>57.9</v>
      </c>
      <c r="P1874" s="9">
        <f>revenue[orderTotal]*(1-revenue[discountApllied])</f>
        <v>57.9</v>
      </c>
      <c r="Q1874" s="9">
        <f>revenue[revenue]-(revenue[productCost]*revenue[orderQuantity])</f>
        <v>18.22927271</v>
      </c>
      <c r="R1874" s="25">
        <f>IFERROR(revenue[profit]/revenue[revenue], 0)</f>
        <v>0.314840634</v>
      </c>
      <c r="S1874" s="9">
        <f>revenue[productCost]*revenue[orderQuantity]</f>
        <v>39.67072729</v>
      </c>
    </row>
    <row r="1875" ht="15.75" customHeight="1">
      <c r="A1875" s="6">
        <v>10973.0</v>
      </c>
      <c r="B1875" s="7" t="s">
        <v>103</v>
      </c>
      <c r="C1875" s="24" t="str">
        <f>VLOOKUP(revenue[customerID],customers[],2,FALSE)</f>
        <v>La corne d'abondance</v>
      </c>
      <c r="D1875" s="24" t="str">
        <f>VLOOKUP(revenue[customerID],customers[],6,FALSE)</f>
        <v>Versailles</v>
      </c>
      <c r="E1875" s="24" t="str">
        <f>VLOOKUP(revenue[customerID],customers[],9,FALSE)</f>
        <v>France</v>
      </c>
      <c r="F1875" s="24">
        <v>45375.0</v>
      </c>
      <c r="G1875" s="6">
        <v>75.0</v>
      </c>
      <c r="H1875" s="9" t="str">
        <f>VLOOKUP(revenue[productID],products[],2,FALSE)</f>
        <v>Rhönbräu Klosterbier</v>
      </c>
      <c r="I1875" s="9" t="str">
        <f>VLOOKUP(revenue[productID],products[],12,FALSE)</f>
        <v>Beverages</v>
      </c>
      <c r="J1875" s="9">
        <f>VLOOKUP(revenue[productID],products[],IF(YEAR(revenue[orderDate])=2022,8,IF(YEAR(revenue[orderDate])=2023,9,IF(YEAR(revenue[orderDate])=2024,10,NA))),FALSE)</f>
        <v>5.374051525</v>
      </c>
      <c r="K1875" s="9">
        <v>7.75</v>
      </c>
      <c r="L1875" s="25">
        <f>(revenue[orderPrice]-revenue[productCost])/revenue[productCost]</f>
        <v>0.4421149413</v>
      </c>
      <c r="M1875" s="10">
        <v>10.0</v>
      </c>
      <c r="N1875" s="25">
        <v>0.0</v>
      </c>
      <c r="O1875" s="9">
        <f>revenue[orderPrice]*revenue[orderQuantity]</f>
        <v>77.5</v>
      </c>
      <c r="P1875" s="9">
        <f>revenue[orderTotal]*(1-revenue[discountApllied])</f>
        <v>77.5</v>
      </c>
      <c r="Q1875" s="9">
        <f>revenue[revenue]-(revenue[productCost]*revenue[orderQuantity])</f>
        <v>23.75948475</v>
      </c>
      <c r="R1875" s="25">
        <f>IFERROR(revenue[profit]/revenue[revenue], 0)</f>
        <v>0.3065739967</v>
      </c>
      <c r="S1875" s="9">
        <f>revenue[productCost]*revenue[orderQuantity]</f>
        <v>53.74051525</v>
      </c>
    </row>
    <row r="1876" ht="15.75" customHeight="1">
      <c r="A1876" s="6">
        <v>10974.0</v>
      </c>
      <c r="B1876" s="7" t="s">
        <v>35</v>
      </c>
      <c r="C1876" s="24" t="str">
        <f>VLOOKUP(revenue[customerID],customers[],2,FALSE)</f>
        <v>Split Rail Beer &amp; Ale</v>
      </c>
      <c r="D1876" s="24" t="str">
        <f>VLOOKUP(revenue[customerID],customers[],6,FALSE)</f>
        <v>Lander</v>
      </c>
      <c r="E1876" s="24" t="str">
        <f>VLOOKUP(revenue[customerID],customers[],9,FALSE)</f>
        <v>USA</v>
      </c>
      <c r="F1876" s="24">
        <v>45376.0</v>
      </c>
      <c r="G1876" s="6">
        <v>63.0</v>
      </c>
      <c r="H1876" s="9" t="str">
        <f>VLOOKUP(revenue[productID],products[],2,FALSE)</f>
        <v>Vegie-spread</v>
      </c>
      <c r="I1876" s="9" t="str">
        <f>VLOOKUP(revenue[productID],products[],12,FALSE)</f>
        <v>Condiments</v>
      </c>
      <c r="J1876" s="9">
        <f>VLOOKUP(revenue[productID],products[],IF(YEAR(revenue[orderDate])=2022,8,IF(YEAR(revenue[orderDate])=2023,9,IF(YEAR(revenue[orderDate])=2024,10,NA))),FALSE)</f>
        <v>32.59198577</v>
      </c>
      <c r="K1876" s="9">
        <v>43.9</v>
      </c>
      <c r="L1876" s="25">
        <f>(revenue[orderPrice]-revenue[productCost])/revenue[productCost]</f>
        <v>0.3469568963</v>
      </c>
      <c r="M1876" s="10">
        <v>10.0</v>
      </c>
      <c r="N1876" s="25">
        <v>0.0</v>
      </c>
      <c r="O1876" s="9">
        <f>revenue[orderPrice]*revenue[orderQuantity]</f>
        <v>439</v>
      </c>
      <c r="P1876" s="9">
        <f>revenue[orderTotal]*(1-revenue[discountApllied])</f>
        <v>439</v>
      </c>
      <c r="Q1876" s="9">
        <f>revenue[revenue]-(revenue[productCost]*revenue[orderQuantity])</f>
        <v>113.0801423</v>
      </c>
      <c r="R1876" s="25">
        <f>IFERROR(revenue[profit]/revenue[revenue], 0)</f>
        <v>0.2575857455</v>
      </c>
      <c r="S1876" s="9">
        <f>revenue[productCost]*revenue[orderQuantity]</f>
        <v>325.9198577</v>
      </c>
    </row>
    <row r="1877" ht="15.75" customHeight="1">
      <c r="A1877" s="6">
        <v>10975.0</v>
      </c>
      <c r="B1877" s="7" t="s">
        <v>81</v>
      </c>
      <c r="C1877" s="24" t="str">
        <f>VLOOKUP(revenue[customerID],customers[],2,FALSE)</f>
        <v>Bottom-Dollar Markets</v>
      </c>
      <c r="D1877" s="24" t="str">
        <f>VLOOKUP(revenue[customerID],customers[],6,FALSE)</f>
        <v>Tsawassen</v>
      </c>
      <c r="E1877" s="24" t="str">
        <f>VLOOKUP(revenue[customerID],customers[],9,FALSE)</f>
        <v>Canada</v>
      </c>
      <c r="F1877" s="24">
        <v>45376.0</v>
      </c>
      <c r="G1877" s="6">
        <v>8.0</v>
      </c>
      <c r="H1877" s="9" t="str">
        <f>VLOOKUP(revenue[productID],products[],2,FALSE)</f>
        <v>Northwoods Cranberry Sauce</v>
      </c>
      <c r="I1877" s="9" t="str">
        <f>VLOOKUP(revenue[productID],products[],12,FALSE)</f>
        <v>Condiments</v>
      </c>
      <c r="J1877" s="9">
        <f>VLOOKUP(revenue[productID],products[],IF(YEAR(revenue[orderDate])=2022,8,IF(YEAR(revenue[orderDate])=2023,9,IF(YEAR(revenue[orderDate])=2024,10,NA))),FALSE)</f>
        <v>27.41770867</v>
      </c>
      <c r="K1877" s="9">
        <v>40.0</v>
      </c>
      <c r="L1877" s="25">
        <f>(revenue[orderPrice]-revenue[productCost])/revenue[productCost]</f>
        <v>0.4589111179</v>
      </c>
      <c r="M1877" s="10">
        <v>16.0</v>
      </c>
      <c r="N1877" s="25">
        <v>0.0</v>
      </c>
      <c r="O1877" s="9">
        <f>revenue[orderPrice]*revenue[orderQuantity]</f>
        <v>640</v>
      </c>
      <c r="P1877" s="9">
        <f>revenue[orderTotal]*(1-revenue[discountApllied])</f>
        <v>640</v>
      </c>
      <c r="Q1877" s="9">
        <f>revenue[revenue]-(revenue[productCost]*revenue[orderQuantity])</f>
        <v>201.3166613</v>
      </c>
      <c r="R1877" s="25">
        <f>IFERROR(revenue[profit]/revenue[revenue], 0)</f>
        <v>0.3145572833</v>
      </c>
      <c r="S1877" s="9">
        <f>revenue[productCost]*revenue[orderQuantity]</f>
        <v>438.6833387</v>
      </c>
    </row>
    <row r="1878" ht="15.75" customHeight="1">
      <c r="A1878" s="6">
        <v>10975.0</v>
      </c>
      <c r="B1878" s="7" t="s">
        <v>81</v>
      </c>
      <c r="C1878" s="24" t="str">
        <f>VLOOKUP(revenue[customerID],customers[],2,FALSE)</f>
        <v>Bottom-Dollar Markets</v>
      </c>
      <c r="D1878" s="24" t="str">
        <f>VLOOKUP(revenue[customerID],customers[],6,FALSE)</f>
        <v>Tsawassen</v>
      </c>
      <c r="E1878" s="24" t="str">
        <f>VLOOKUP(revenue[customerID],customers[],9,FALSE)</f>
        <v>Canada</v>
      </c>
      <c r="F1878" s="24">
        <v>45376.0</v>
      </c>
      <c r="G1878" s="6">
        <v>75.0</v>
      </c>
      <c r="H1878" s="9" t="str">
        <f>VLOOKUP(revenue[productID],products[],2,FALSE)</f>
        <v>Rhönbräu Klosterbier</v>
      </c>
      <c r="I1878" s="9" t="str">
        <f>VLOOKUP(revenue[productID],products[],12,FALSE)</f>
        <v>Beverages</v>
      </c>
      <c r="J1878" s="9">
        <f>VLOOKUP(revenue[productID],products[],IF(YEAR(revenue[orderDate])=2022,8,IF(YEAR(revenue[orderDate])=2023,9,IF(YEAR(revenue[orderDate])=2024,10,NA))),FALSE)</f>
        <v>5.374051525</v>
      </c>
      <c r="K1878" s="9">
        <v>7.75</v>
      </c>
      <c r="L1878" s="25">
        <f>(revenue[orderPrice]-revenue[productCost])/revenue[productCost]</f>
        <v>0.4421149413</v>
      </c>
      <c r="M1878" s="10">
        <v>10.0</v>
      </c>
      <c r="N1878" s="25">
        <v>0.0</v>
      </c>
      <c r="O1878" s="9">
        <f>revenue[orderPrice]*revenue[orderQuantity]</f>
        <v>77.5</v>
      </c>
      <c r="P1878" s="9">
        <f>revenue[orderTotal]*(1-revenue[discountApllied])</f>
        <v>77.5</v>
      </c>
      <c r="Q1878" s="9">
        <f>revenue[revenue]-(revenue[productCost]*revenue[orderQuantity])</f>
        <v>23.75948475</v>
      </c>
      <c r="R1878" s="25">
        <f>IFERROR(revenue[profit]/revenue[revenue], 0)</f>
        <v>0.3065739967</v>
      </c>
      <c r="S1878" s="9">
        <f>revenue[productCost]*revenue[orderQuantity]</f>
        <v>53.74051525</v>
      </c>
    </row>
    <row r="1879" ht="15.75" customHeight="1">
      <c r="A1879" s="6">
        <v>10976.0</v>
      </c>
      <c r="B1879" s="7" t="s">
        <v>23</v>
      </c>
      <c r="C1879" s="24" t="str">
        <f>VLOOKUP(revenue[customerID],customers[],2,FALSE)</f>
        <v>HILARION-Abastos</v>
      </c>
      <c r="D1879" s="24" t="str">
        <f>VLOOKUP(revenue[customerID],customers[],6,FALSE)</f>
        <v>San Cristóbal</v>
      </c>
      <c r="E1879" s="24" t="str">
        <f>VLOOKUP(revenue[customerID],customers[],9,FALSE)</f>
        <v>Venezuela</v>
      </c>
      <c r="F1879" s="24">
        <v>45376.0</v>
      </c>
      <c r="G1879" s="6">
        <v>28.0</v>
      </c>
      <c r="H1879" s="9" t="str">
        <f>VLOOKUP(revenue[productID],products[],2,FALSE)</f>
        <v>Rössle Sauerkraut</v>
      </c>
      <c r="I1879" s="9" t="str">
        <f>VLOOKUP(revenue[productID],products[],12,FALSE)</f>
        <v>Produce</v>
      </c>
      <c r="J1879" s="9">
        <f>VLOOKUP(revenue[productID],products[],IF(YEAR(revenue[orderDate])=2022,8,IF(YEAR(revenue[orderDate])=2023,9,IF(YEAR(revenue[orderDate])=2024,10,NA))),FALSE)</f>
        <v>34.18502761</v>
      </c>
      <c r="K1879" s="9">
        <v>45.6</v>
      </c>
      <c r="L1879" s="25">
        <f>(revenue[orderPrice]-revenue[productCost])/revenue[productCost]</f>
        <v>0.3339173079</v>
      </c>
      <c r="M1879" s="10">
        <v>20.0</v>
      </c>
      <c r="N1879" s="25">
        <v>0.0</v>
      </c>
      <c r="O1879" s="9">
        <f>revenue[orderPrice]*revenue[orderQuantity]</f>
        <v>912</v>
      </c>
      <c r="P1879" s="9">
        <f>revenue[orderTotal]*(1-revenue[discountApllied])</f>
        <v>912</v>
      </c>
      <c r="Q1879" s="9">
        <f>revenue[revenue]-(revenue[productCost]*revenue[orderQuantity])</f>
        <v>228.2994478</v>
      </c>
      <c r="R1879" s="25">
        <f>IFERROR(revenue[profit]/revenue[revenue], 0)</f>
        <v>0.2503283419</v>
      </c>
      <c r="S1879" s="9">
        <f>revenue[productCost]*revenue[orderQuantity]</f>
        <v>683.7005522</v>
      </c>
    </row>
    <row r="1880" ht="15.75" customHeight="1">
      <c r="A1880" s="6">
        <v>10977.0</v>
      </c>
      <c r="B1880" s="7" t="s">
        <v>29</v>
      </c>
      <c r="C1880" s="24" t="str">
        <f>VLOOKUP(revenue[customerID],customers[],2,FALSE)</f>
        <v>Folk och fä HB</v>
      </c>
      <c r="D1880" s="24" t="str">
        <f>VLOOKUP(revenue[customerID],customers[],6,FALSE)</f>
        <v>Bräcke</v>
      </c>
      <c r="E1880" s="24" t="str">
        <f>VLOOKUP(revenue[customerID],customers[],9,FALSE)</f>
        <v>Sweden</v>
      </c>
      <c r="F1880" s="24">
        <v>45377.0</v>
      </c>
      <c r="G1880" s="6">
        <v>39.0</v>
      </c>
      <c r="H1880" s="9" t="str">
        <f>VLOOKUP(revenue[productID],products[],2,FALSE)</f>
        <v>Chartreuse verte</v>
      </c>
      <c r="I1880" s="9" t="str">
        <f>VLOOKUP(revenue[productID],products[],12,FALSE)</f>
        <v>Beverages</v>
      </c>
      <c r="J1880" s="9">
        <f>VLOOKUP(revenue[productID],products[],IF(YEAR(revenue[orderDate])=2022,8,IF(YEAR(revenue[orderDate])=2023,9,IF(YEAR(revenue[orderDate])=2024,10,NA))),FALSE)</f>
        <v>12.3017224</v>
      </c>
      <c r="K1880" s="9">
        <v>18.0</v>
      </c>
      <c r="L1880" s="25">
        <f>(revenue[orderPrice]-revenue[productCost])/revenue[productCost]</f>
        <v>0.4632097374</v>
      </c>
      <c r="M1880" s="10">
        <v>30.0</v>
      </c>
      <c r="N1880" s="25">
        <v>0.0</v>
      </c>
      <c r="O1880" s="9">
        <f>revenue[orderPrice]*revenue[orderQuantity]</f>
        <v>540</v>
      </c>
      <c r="P1880" s="9">
        <f>revenue[orderTotal]*(1-revenue[discountApllied])</f>
        <v>540</v>
      </c>
      <c r="Q1880" s="9">
        <f>revenue[revenue]-(revenue[productCost]*revenue[orderQuantity])</f>
        <v>170.9483281</v>
      </c>
      <c r="R1880" s="25">
        <f>IFERROR(revenue[profit]/revenue[revenue], 0)</f>
        <v>0.3165709779</v>
      </c>
      <c r="S1880" s="9">
        <f>revenue[productCost]*revenue[orderQuantity]</f>
        <v>369.0516719</v>
      </c>
    </row>
    <row r="1881" ht="15.75" customHeight="1">
      <c r="A1881" s="6">
        <v>10977.0</v>
      </c>
      <c r="B1881" s="7" t="s">
        <v>29</v>
      </c>
      <c r="C1881" s="24" t="str">
        <f>VLOOKUP(revenue[customerID],customers[],2,FALSE)</f>
        <v>Folk och fä HB</v>
      </c>
      <c r="D1881" s="24" t="str">
        <f>VLOOKUP(revenue[customerID],customers[],6,FALSE)</f>
        <v>Bräcke</v>
      </c>
      <c r="E1881" s="24" t="str">
        <f>VLOOKUP(revenue[customerID],customers[],9,FALSE)</f>
        <v>Sweden</v>
      </c>
      <c r="F1881" s="24">
        <v>45377.0</v>
      </c>
      <c r="G1881" s="6">
        <v>47.0</v>
      </c>
      <c r="H1881" s="9" t="str">
        <f>VLOOKUP(revenue[productID],products[],2,FALSE)</f>
        <v>Zaanse koeken</v>
      </c>
      <c r="I1881" s="9" t="str">
        <f>VLOOKUP(revenue[productID],products[],12,FALSE)</f>
        <v>Confections</v>
      </c>
      <c r="J1881" s="9">
        <f>VLOOKUP(revenue[productID],products[],IF(YEAR(revenue[orderDate])=2022,8,IF(YEAR(revenue[orderDate])=2023,9,IF(YEAR(revenue[orderDate])=2024,10,NA))),FALSE)</f>
        <v>6.635130774</v>
      </c>
      <c r="K1881" s="9">
        <v>9.5</v>
      </c>
      <c r="L1881" s="25">
        <f>(revenue[orderPrice]-revenue[productCost])/revenue[productCost]</f>
        <v>0.4317728351</v>
      </c>
      <c r="M1881" s="10">
        <v>30.0</v>
      </c>
      <c r="N1881" s="25">
        <v>0.0</v>
      </c>
      <c r="O1881" s="9">
        <f>revenue[orderPrice]*revenue[orderQuantity]</f>
        <v>285</v>
      </c>
      <c r="P1881" s="9">
        <f>revenue[orderTotal]*(1-revenue[discountApllied])</f>
        <v>285</v>
      </c>
      <c r="Q1881" s="9">
        <f>revenue[revenue]-(revenue[productCost]*revenue[orderQuantity])</f>
        <v>85.94607677</v>
      </c>
      <c r="R1881" s="25">
        <f>IFERROR(revenue[profit]/revenue[revenue], 0)</f>
        <v>0.3015651817</v>
      </c>
      <c r="S1881" s="9">
        <f>revenue[productCost]*revenue[orderQuantity]</f>
        <v>199.0539232</v>
      </c>
    </row>
    <row r="1882" ht="15.75" customHeight="1">
      <c r="A1882" s="6">
        <v>10977.0</v>
      </c>
      <c r="B1882" s="7" t="s">
        <v>29</v>
      </c>
      <c r="C1882" s="24" t="str">
        <f>VLOOKUP(revenue[customerID],customers[],2,FALSE)</f>
        <v>Folk och fä HB</v>
      </c>
      <c r="D1882" s="24" t="str">
        <f>VLOOKUP(revenue[customerID],customers[],6,FALSE)</f>
        <v>Bräcke</v>
      </c>
      <c r="E1882" s="24" t="str">
        <f>VLOOKUP(revenue[customerID],customers[],9,FALSE)</f>
        <v>Sweden</v>
      </c>
      <c r="F1882" s="24">
        <v>45377.0</v>
      </c>
      <c r="G1882" s="6">
        <v>51.0</v>
      </c>
      <c r="H1882" s="9" t="str">
        <f>VLOOKUP(revenue[productID],products[],2,FALSE)</f>
        <v>Manjimup Dried Apples</v>
      </c>
      <c r="I1882" s="9" t="str">
        <f>VLOOKUP(revenue[productID],products[],12,FALSE)</f>
        <v>Produce</v>
      </c>
      <c r="J1882" s="9">
        <f>VLOOKUP(revenue[productID],products[],IF(YEAR(revenue[orderDate])=2022,8,IF(YEAR(revenue[orderDate])=2023,9,IF(YEAR(revenue[orderDate])=2024,10,NA))),FALSE)</f>
        <v>39.51416462</v>
      </c>
      <c r="K1882" s="9">
        <v>53.0</v>
      </c>
      <c r="L1882" s="25">
        <f>(revenue[orderPrice]-revenue[productCost])/revenue[productCost]</f>
        <v>0.3412911677</v>
      </c>
      <c r="M1882" s="10">
        <v>10.0</v>
      </c>
      <c r="N1882" s="25">
        <v>0.0</v>
      </c>
      <c r="O1882" s="9">
        <f>revenue[orderPrice]*revenue[orderQuantity]</f>
        <v>530</v>
      </c>
      <c r="P1882" s="9">
        <f>revenue[orderTotal]*(1-revenue[discountApllied])</f>
        <v>530</v>
      </c>
      <c r="Q1882" s="9">
        <f>revenue[revenue]-(revenue[productCost]*revenue[orderQuantity])</f>
        <v>134.8583538</v>
      </c>
      <c r="R1882" s="25">
        <f>IFERROR(revenue[profit]/revenue[revenue], 0)</f>
        <v>0.2544497242</v>
      </c>
      <c r="S1882" s="9">
        <f>revenue[productCost]*revenue[orderQuantity]</f>
        <v>395.1416462</v>
      </c>
    </row>
    <row r="1883" ht="15.75" customHeight="1">
      <c r="A1883" s="6">
        <v>10977.0</v>
      </c>
      <c r="B1883" s="7" t="s">
        <v>29</v>
      </c>
      <c r="C1883" s="24" t="str">
        <f>VLOOKUP(revenue[customerID],customers[],2,FALSE)</f>
        <v>Folk och fä HB</v>
      </c>
      <c r="D1883" s="24" t="str">
        <f>VLOOKUP(revenue[customerID],customers[],6,FALSE)</f>
        <v>Bräcke</v>
      </c>
      <c r="E1883" s="24" t="str">
        <f>VLOOKUP(revenue[customerID],customers[],9,FALSE)</f>
        <v>Sweden</v>
      </c>
      <c r="F1883" s="24">
        <v>45377.0</v>
      </c>
      <c r="G1883" s="6">
        <v>63.0</v>
      </c>
      <c r="H1883" s="9" t="str">
        <f>VLOOKUP(revenue[productID],products[],2,FALSE)</f>
        <v>Vegie-spread</v>
      </c>
      <c r="I1883" s="9" t="str">
        <f>VLOOKUP(revenue[productID],products[],12,FALSE)</f>
        <v>Condiments</v>
      </c>
      <c r="J1883" s="9">
        <f>VLOOKUP(revenue[productID],products[],IF(YEAR(revenue[orderDate])=2022,8,IF(YEAR(revenue[orderDate])=2023,9,IF(YEAR(revenue[orderDate])=2024,10,NA))),FALSE)</f>
        <v>32.59198577</v>
      </c>
      <c r="K1883" s="9">
        <v>43.9</v>
      </c>
      <c r="L1883" s="25">
        <f>(revenue[orderPrice]-revenue[productCost])/revenue[productCost]</f>
        <v>0.3469568963</v>
      </c>
      <c r="M1883" s="10">
        <v>20.0</v>
      </c>
      <c r="N1883" s="25">
        <v>0.0</v>
      </c>
      <c r="O1883" s="9">
        <f>revenue[orderPrice]*revenue[orderQuantity]</f>
        <v>878</v>
      </c>
      <c r="P1883" s="9">
        <f>revenue[orderTotal]*(1-revenue[discountApllied])</f>
        <v>878</v>
      </c>
      <c r="Q1883" s="9">
        <f>revenue[revenue]-(revenue[productCost]*revenue[orderQuantity])</f>
        <v>226.1602846</v>
      </c>
      <c r="R1883" s="25">
        <f>IFERROR(revenue[profit]/revenue[revenue], 0)</f>
        <v>0.2575857455</v>
      </c>
      <c r="S1883" s="9">
        <f>revenue[productCost]*revenue[orderQuantity]</f>
        <v>651.8397154</v>
      </c>
    </row>
    <row r="1884" ht="15.75" customHeight="1">
      <c r="A1884" s="6">
        <v>10978.0</v>
      </c>
      <c r="B1884" s="7" t="s">
        <v>95</v>
      </c>
      <c r="C1884" s="24" t="str">
        <f>VLOOKUP(revenue[customerID],customers[],2,FALSE)</f>
        <v>Maison Dewey</v>
      </c>
      <c r="D1884" s="24" t="str">
        <f>VLOOKUP(revenue[customerID],customers[],6,FALSE)</f>
        <v>Bruxelles</v>
      </c>
      <c r="E1884" s="24" t="str">
        <f>VLOOKUP(revenue[customerID],customers[],9,FALSE)</f>
        <v>Belgium</v>
      </c>
      <c r="F1884" s="24">
        <v>45377.0</v>
      </c>
      <c r="G1884" s="6">
        <v>8.0</v>
      </c>
      <c r="H1884" s="9" t="str">
        <f>VLOOKUP(revenue[productID],products[],2,FALSE)</f>
        <v>Northwoods Cranberry Sauce</v>
      </c>
      <c r="I1884" s="9" t="str">
        <f>VLOOKUP(revenue[productID],products[],12,FALSE)</f>
        <v>Condiments</v>
      </c>
      <c r="J1884" s="9">
        <f>VLOOKUP(revenue[productID],products[],IF(YEAR(revenue[orderDate])=2022,8,IF(YEAR(revenue[orderDate])=2023,9,IF(YEAR(revenue[orderDate])=2024,10,NA))),FALSE)</f>
        <v>27.41770867</v>
      </c>
      <c r="K1884" s="9">
        <v>40.0</v>
      </c>
      <c r="L1884" s="25">
        <f>(revenue[orderPrice]-revenue[productCost])/revenue[productCost]</f>
        <v>0.4589111179</v>
      </c>
      <c r="M1884" s="10">
        <v>20.0</v>
      </c>
      <c r="N1884" s="25">
        <v>0.15</v>
      </c>
      <c r="O1884" s="9">
        <f>revenue[orderPrice]*revenue[orderQuantity]</f>
        <v>800</v>
      </c>
      <c r="P1884" s="9">
        <f>revenue[orderTotal]*(1-revenue[discountApllied])</f>
        <v>680</v>
      </c>
      <c r="Q1884" s="9">
        <f>revenue[revenue]-(revenue[productCost]*revenue[orderQuantity])</f>
        <v>131.6458267</v>
      </c>
      <c r="R1884" s="25">
        <f>IFERROR(revenue[profit]/revenue[revenue], 0)</f>
        <v>0.1935968039</v>
      </c>
      <c r="S1884" s="9">
        <f>revenue[productCost]*revenue[orderQuantity]</f>
        <v>548.3541733</v>
      </c>
    </row>
    <row r="1885" ht="15.75" customHeight="1">
      <c r="A1885" s="6">
        <v>10978.0</v>
      </c>
      <c r="B1885" s="7" t="s">
        <v>95</v>
      </c>
      <c r="C1885" s="24" t="str">
        <f>VLOOKUP(revenue[customerID],customers[],2,FALSE)</f>
        <v>Maison Dewey</v>
      </c>
      <c r="D1885" s="24" t="str">
        <f>VLOOKUP(revenue[customerID],customers[],6,FALSE)</f>
        <v>Bruxelles</v>
      </c>
      <c r="E1885" s="24" t="str">
        <f>VLOOKUP(revenue[customerID],customers[],9,FALSE)</f>
        <v>Belgium</v>
      </c>
      <c r="F1885" s="24">
        <v>45377.0</v>
      </c>
      <c r="G1885" s="6">
        <v>21.0</v>
      </c>
      <c r="H1885" s="9" t="str">
        <f>VLOOKUP(revenue[productID],products[],2,FALSE)</f>
        <v>Sir Rodney's Scones</v>
      </c>
      <c r="I1885" s="9" t="str">
        <f>VLOOKUP(revenue[productID],products[],12,FALSE)</f>
        <v>Confections</v>
      </c>
      <c r="J1885" s="9">
        <f>VLOOKUP(revenue[productID],products[],IF(YEAR(revenue[orderDate])=2022,8,IF(YEAR(revenue[orderDate])=2023,9,IF(YEAR(revenue[orderDate])=2024,10,NA))),FALSE)</f>
        <v>7.459897593</v>
      </c>
      <c r="K1885" s="9">
        <v>10.0</v>
      </c>
      <c r="L1885" s="25">
        <f>(revenue[orderPrice]-revenue[productCost])/revenue[productCost]</f>
        <v>0.3405009753</v>
      </c>
      <c r="M1885" s="10">
        <v>40.0</v>
      </c>
      <c r="N1885" s="25">
        <v>0.15</v>
      </c>
      <c r="O1885" s="9">
        <f>revenue[orderPrice]*revenue[orderQuantity]</f>
        <v>400</v>
      </c>
      <c r="P1885" s="9">
        <f>revenue[orderTotal]*(1-revenue[discountApllied])</f>
        <v>340</v>
      </c>
      <c r="Q1885" s="9">
        <f>revenue[revenue]-(revenue[productCost]*revenue[orderQuantity])</f>
        <v>41.60409626</v>
      </c>
      <c r="R1885" s="25">
        <f>IFERROR(revenue[profit]/revenue[revenue], 0)</f>
        <v>0.122364989</v>
      </c>
      <c r="S1885" s="9">
        <f>revenue[productCost]*revenue[orderQuantity]</f>
        <v>298.3959037</v>
      </c>
    </row>
    <row r="1886" ht="15.75" customHeight="1">
      <c r="A1886" s="6">
        <v>10978.0</v>
      </c>
      <c r="B1886" s="7" t="s">
        <v>95</v>
      </c>
      <c r="C1886" s="24" t="str">
        <f>VLOOKUP(revenue[customerID],customers[],2,FALSE)</f>
        <v>Maison Dewey</v>
      </c>
      <c r="D1886" s="24" t="str">
        <f>VLOOKUP(revenue[customerID],customers[],6,FALSE)</f>
        <v>Bruxelles</v>
      </c>
      <c r="E1886" s="24" t="str">
        <f>VLOOKUP(revenue[customerID],customers[],9,FALSE)</f>
        <v>Belgium</v>
      </c>
      <c r="F1886" s="24">
        <v>45377.0</v>
      </c>
      <c r="G1886" s="6">
        <v>40.0</v>
      </c>
      <c r="H1886" s="9" t="str">
        <f>VLOOKUP(revenue[productID],products[],2,FALSE)</f>
        <v>Boston Crab Meat</v>
      </c>
      <c r="I1886" s="9" t="str">
        <f>VLOOKUP(revenue[productID],products[],12,FALSE)</f>
        <v>Seafood</v>
      </c>
      <c r="J1886" s="9">
        <f>VLOOKUP(revenue[productID],products[],IF(YEAR(revenue[orderDate])=2022,8,IF(YEAR(revenue[orderDate])=2023,9,IF(YEAR(revenue[orderDate])=2024,10,NA))),FALSE)</f>
        <v>12.44307</v>
      </c>
      <c r="K1886" s="9">
        <v>18.4</v>
      </c>
      <c r="L1886" s="25">
        <f>(revenue[orderPrice]-revenue[productCost])/revenue[productCost]</f>
        <v>0.4787347499</v>
      </c>
      <c r="M1886" s="10">
        <v>10.0</v>
      </c>
      <c r="N1886" s="25">
        <v>0.0</v>
      </c>
      <c r="O1886" s="9">
        <f>revenue[orderPrice]*revenue[orderQuantity]</f>
        <v>184</v>
      </c>
      <c r="P1886" s="9">
        <f>revenue[orderTotal]*(1-revenue[discountApllied])</f>
        <v>184</v>
      </c>
      <c r="Q1886" s="9">
        <f>revenue[revenue]-(revenue[productCost]*revenue[orderQuantity])</f>
        <v>59.56930003</v>
      </c>
      <c r="R1886" s="25">
        <f>IFERROR(revenue[profit]/revenue[revenue], 0)</f>
        <v>0.3237461958</v>
      </c>
      <c r="S1886" s="9">
        <f>revenue[productCost]*revenue[orderQuantity]</f>
        <v>124.4307</v>
      </c>
    </row>
    <row r="1887" ht="15.75" customHeight="1">
      <c r="A1887" s="6">
        <v>10978.0</v>
      </c>
      <c r="B1887" s="7" t="s">
        <v>95</v>
      </c>
      <c r="C1887" s="24" t="str">
        <f>VLOOKUP(revenue[customerID],customers[],2,FALSE)</f>
        <v>Maison Dewey</v>
      </c>
      <c r="D1887" s="24" t="str">
        <f>VLOOKUP(revenue[customerID],customers[],6,FALSE)</f>
        <v>Bruxelles</v>
      </c>
      <c r="E1887" s="24" t="str">
        <f>VLOOKUP(revenue[customerID],customers[],9,FALSE)</f>
        <v>Belgium</v>
      </c>
      <c r="F1887" s="24">
        <v>45377.0</v>
      </c>
      <c r="G1887" s="6">
        <v>44.0</v>
      </c>
      <c r="H1887" s="9" t="str">
        <f>VLOOKUP(revenue[productID],products[],2,FALSE)</f>
        <v>Gula Malacca</v>
      </c>
      <c r="I1887" s="9" t="str">
        <f>VLOOKUP(revenue[productID],products[],12,FALSE)</f>
        <v>Condiments</v>
      </c>
      <c r="J1887" s="9">
        <f>VLOOKUP(revenue[productID],products[],IF(YEAR(revenue[orderDate])=2022,8,IF(YEAR(revenue[orderDate])=2023,9,IF(YEAR(revenue[orderDate])=2024,10,NA))),FALSE)</f>
        <v>12.27831512</v>
      </c>
      <c r="K1887" s="9">
        <v>19.45</v>
      </c>
      <c r="L1887" s="25">
        <f>(revenue[orderPrice]-revenue[productCost])/revenue[productCost]</f>
        <v>0.5840935672</v>
      </c>
      <c r="M1887" s="10">
        <v>6.0</v>
      </c>
      <c r="N1887" s="25">
        <v>0.15</v>
      </c>
      <c r="O1887" s="9">
        <f>revenue[orderPrice]*revenue[orderQuantity]</f>
        <v>116.7</v>
      </c>
      <c r="P1887" s="9">
        <f>revenue[orderTotal]*(1-revenue[discountApllied])</f>
        <v>99.195</v>
      </c>
      <c r="Q1887" s="9">
        <f>revenue[revenue]-(revenue[productCost]*revenue[orderQuantity])</f>
        <v>25.52510927</v>
      </c>
      <c r="R1887" s="25">
        <f>IFERROR(revenue[profit]/revenue[revenue], 0)</f>
        <v>0.2573225391</v>
      </c>
      <c r="S1887" s="9">
        <f>revenue[productCost]*revenue[orderQuantity]</f>
        <v>73.66989073</v>
      </c>
    </row>
    <row r="1888" ht="15.75" customHeight="1">
      <c r="A1888" s="6">
        <v>10979.0</v>
      </c>
      <c r="B1888" s="7" t="s">
        <v>24</v>
      </c>
      <c r="C1888" s="24" t="str">
        <f>VLOOKUP(revenue[customerID],customers[],2,FALSE)</f>
        <v>Ernst Handel</v>
      </c>
      <c r="D1888" s="24" t="str">
        <f>VLOOKUP(revenue[customerID],customers[],6,FALSE)</f>
        <v>Graz</v>
      </c>
      <c r="E1888" s="24" t="str">
        <f>VLOOKUP(revenue[customerID],customers[],9,FALSE)</f>
        <v>Austria</v>
      </c>
      <c r="F1888" s="24">
        <v>45377.0</v>
      </c>
      <c r="G1888" s="6">
        <v>7.0</v>
      </c>
      <c r="H1888" s="9" t="str">
        <f>VLOOKUP(revenue[productID],products[],2,FALSE)</f>
        <v>Uncle Bob's Organic Dried Pears</v>
      </c>
      <c r="I1888" s="9" t="str">
        <f>VLOOKUP(revenue[productID],products[],12,FALSE)</f>
        <v>Produce</v>
      </c>
      <c r="J1888" s="9">
        <f>VLOOKUP(revenue[productID],products[],IF(YEAR(revenue[orderDate])=2022,8,IF(YEAR(revenue[orderDate])=2023,9,IF(YEAR(revenue[orderDate])=2024,10,NA))),FALSE)</f>
        <v>23.52222246</v>
      </c>
      <c r="K1888" s="9">
        <v>30.0</v>
      </c>
      <c r="L1888" s="25">
        <f>(revenue[orderPrice]-revenue[productCost])/revenue[productCost]</f>
        <v>0.2753896894</v>
      </c>
      <c r="M1888" s="10">
        <v>18.0</v>
      </c>
      <c r="N1888" s="25">
        <v>0.0</v>
      </c>
      <c r="O1888" s="9">
        <f>revenue[orderPrice]*revenue[orderQuantity]</f>
        <v>540</v>
      </c>
      <c r="P1888" s="9">
        <f>revenue[orderTotal]*(1-revenue[discountApllied])</f>
        <v>540</v>
      </c>
      <c r="Q1888" s="9">
        <f>revenue[revenue]-(revenue[productCost]*revenue[orderQuantity])</f>
        <v>116.5999957</v>
      </c>
      <c r="R1888" s="25">
        <f>IFERROR(revenue[profit]/revenue[revenue], 0)</f>
        <v>0.2159259179</v>
      </c>
      <c r="S1888" s="9">
        <f>revenue[productCost]*revenue[orderQuantity]</f>
        <v>423.4000043</v>
      </c>
    </row>
    <row r="1889" ht="15.75" customHeight="1">
      <c r="A1889" s="6">
        <v>10979.0</v>
      </c>
      <c r="B1889" s="7" t="s">
        <v>24</v>
      </c>
      <c r="C1889" s="24" t="str">
        <f>VLOOKUP(revenue[customerID],customers[],2,FALSE)</f>
        <v>Ernst Handel</v>
      </c>
      <c r="D1889" s="24" t="str">
        <f>VLOOKUP(revenue[customerID],customers[],6,FALSE)</f>
        <v>Graz</v>
      </c>
      <c r="E1889" s="24" t="str">
        <f>VLOOKUP(revenue[customerID],customers[],9,FALSE)</f>
        <v>Austria</v>
      </c>
      <c r="F1889" s="24">
        <v>45377.0</v>
      </c>
      <c r="G1889" s="6">
        <v>12.0</v>
      </c>
      <c r="H1889" s="9" t="str">
        <f>VLOOKUP(revenue[productID],products[],2,FALSE)</f>
        <v>Queso Manchego La Pastora</v>
      </c>
      <c r="I1889" s="9" t="str">
        <f>VLOOKUP(revenue[productID],products[],12,FALSE)</f>
        <v>Dairy Products</v>
      </c>
      <c r="J1889" s="9">
        <f>VLOOKUP(revenue[productID],products[],IF(YEAR(revenue[orderDate])=2022,8,IF(YEAR(revenue[orderDate])=2023,9,IF(YEAR(revenue[orderDate])=2024,10,NA))),FALSE)</f>
        <v>25.02510955</v>
      </c>
      <c r="K1889" s="9">
        <v>38.0</v>
      </c>
      <c r="L1889" s="25">
        <f>(revenue[orderPrice]-revenue[productCost])/revenue[productCost]</f>
        <v>0.518474871</v>
      </c>
      <c r="M1889" s="10">
        <v>20.0</v>
      </c>
      <c r="N1889" s="25">
        <v>0.0</v>
      </c>
      <c r="O1889" s="9">
        <f>revenue[orderPrice]*revenue[orderQuantity]</f>
        <v>760</v>
      </c>
      <c r="P1889" s="9">
        <f>revenue[orderTotal]*(1-revenue[discountApllied])</f>
        <v>760</v>
      </c>
      <c r="Q1889" s="9">
        <f>revenue[revenue]-(revenue[productCost]*revenue[orderQuantity])</f>
        <v>259.4978089</v>
      </c>
      <c r="R1889" s="25">
        <f>IFERROR(revenue[profit]/revenue[revenue], 0)</f>
        <v>0.3414444854</v>
      </c>
      <c r="S1889" s="9">
        <f>revenue[productCost]*revenue[orderQuantity]</f>
        <v>500.5021911</v>
      </c>
    </row>
    <row r="1890" ht="15.75" customHeight="1">
      <c r="A1890" s="6">
        <v>10979.0</v>
      </c>
      <c r="B1890" s="7" t="s">
        <v>24</v>
      </c>
      <c r="C1890" s="24" t="str">
        <f>VLOOKUP(revenue[customerID],customers[],2,FALSE)</f>
        <v>Ernst Handel</v>
      </c>
      <c r="D1890" s="24" t="str">
        <f>VLOOKUP(revenue[customerID],customers[],6,FALSE)</f>
        <v>Graz</v>
      </c>
      <c r="E1890" s="24" t="str">
        <f>VLOOKUP(revenue[customerID],customers[],9,FALSE)</f>
        <v>Austria</v>
      </c>
      <c r="F1890" s="24">
        <v>45377.0</v>
      </c>
      <c r="G1890" s="6">
        <v>24.0</v>
      </c>
      <c r="H1890" s="9" t="str">
        <f>VLOOKUP(revenue[productID],products[],2,FALSE)</f>
        <v>Brigadeiros Maravilhosos da Lilian</v>
      </c>
      <c r="I1890" s="9" t="str">
        <f>VLOOKUP(revenue[productID],products[],12,FALSE)</f>
        <v>Confections</v>
      </c>
      <c r="J1890" s="9">
        <f>VLOOKUP(revenue[productID],products[],IF(YEAR(revenue[orderDate])=2022,8,IF(YEAR(revenue[orderDate])=2023,9,IF(YEAR(revenue[orderDate])=2024,10,NA))),FALSE)</f>
        <v>3.177326315</v>
      </c>
      <c r="K1890" s="9">
        <v>4.5</v>
      </c>
      <c r="L1890" s="25">
        <f>(revenue[orderPrice]-revenue[productCost])/revenue[productCost]</f>
        <v>0.416285126</v>
      </c>
      <c r="M1890" s="10">
        <v>80.0</v>
      </c>
      <c r="N1890" s="25">
        <v>0.0</v>
      </c>
      <c r="O1890" s="9">
        <f>revenue[orderPrice]*revenue[orderQuantity]</f>
        <v>360</v>
      </c>
      <c r="P1890" s="9">
        <f>revenue[orderTotal]*(1-revenue[discountApllied])</f>
        <v>360</v>
      </c>
      <c r="Q1890" s="9">
        <f>revenue[revenue]-(revenue[productCost]*revenue[orderQuantity])</f>
        <v>105.8138948</v>
      </c>
      <c r="R1890" s="25">
        <f>IFERROR(revenue[profit]/revenue[revenue], 0)</f>
        <v>0.2939274856</v>
      </c>
      <c r="S1890" s="9">
        <f>revenue[productCost]*revenue[orderQuantity]</f>
        <v>254.1861052</v>
      </c>
    </row>
    <row r="1891" ht="15.75" customHeight="1">
      <c r="A1891" s="6">
        <v>10979.0</v>
      </c>
      <c r="B1891" s="7" t="s">
        <v>24</v>
      </c>
      <c r="C1891" s="24" t="str">
        <f>VLOOKUP(revenue[customerID],customers[],2,FALSE)</f>
        <v>Ernst Handel</v>
      </c>
      <c r="D1891" s="24" t="str">
        <f>VLOOKUP(revenue[customerID],customers[],6,FALSE)</f>
        <v>Graz</v>
      </c>
      <c r="E1891" s="24" t="str">
        <f>VLOOKUP(revenue[customerID],customers[],9,FALSE)</f>
        <v>Austria</v>
      </c>
      <c r="F1891" s="24">
        <v>45377.0</v>
      </c>
      <c r="G1891" s="6">
        <v>27.0</v>
      </c>
      <c r="H1891" s="9" t="str">
        <f>VLOOKUP(revenue[productID],products[],2,FALSE)</f>
        <v>Schoggi Schokolade</v>
      </c>
      <c r="I1891" s="9" t="str">
        <f>VLOOKUP(revenue[productID],products[],12,FALSE)</f>
        <v>Confections</v>
      </c>
      <c r="J1891" s="9">
        <f>VLOOKUP(revenue[productID],products[],IF(YEAR(revenue[orderDate])=2022,8,IF(YEAR(revenue[orderDate])=2023,9,IF(YEAR(revenue[orderDate])=2024,10,NA))),FALSE)</f>
        <v>33.69297986</v>
      </c>
      <c r="K1891" s="9">
        <v>43.9</v>
      </c>
      <c r="L1891" s="25">
        <f>(revenue[orderPrice]-revenue[productCost])/revenue[productCost]</f>
        <v>0.3029420426</v>
      </c>
      <c r="M1891" s="10">
        <v>30.0</v>
      </c>
      <c r="N1891" s="25">
        <v>0.0</v>
      </c>
      <c r="O1891" s="9">
        <f>revenue[orderPrice]*revenue[orderQuantity]</f>
        <v>1317</v>
      </c>
      <c r="P1891" s="9">
        <f>revenue[orderTotal]*(1-revenue[discountApllied])</f>
        <v>1317</v>
      </c>
      <c r="Q1891" s="9">
        <f>revenue[revenue]-(revenue[productCost]*revenue[orderQuantity])</f>
        <v>306.2106042</v>
      </c>
      <c r="R1891" s="25">
        <f>IFERROR(revenue[profit]/revenue[revenue], 0)</f>
        <v>0.2325061535</v>
      </c>
      <c r="S1891" s="9">
        <f>revenue[productCost]*revenue[orderQuantity]</f>
        <v>1010.789396</v>
      </c>
    </row>
    <row r="1892" ht="15.75" customHeight="1">
      <c r="A1892" s="6">
        <v>10979.0</v>
      </c>
      <c r="B1892" s="7" t="s">
        <v>24</v>
      </c>
      <c r="C1892" s="24" t="str">
        <f>VLOOKUP(revenue[customerID],customers[],2,FALSE)</f>
        <v>Ernst Handel</v>
      </c>
      <c r="D1892" s="24" t="str">
        <f>VLOOKUP(revenue[customerID],customers[],6,FALSE)</f>
        <v>Graz</v>
      </c>
      <c r="E1892" s="24" t="str">
        <f>VLOOKUP(revenue[customerID],customers[],9,FALSE)</f>
        <v>Austria</v>
      </c>
      <c r="F1892" s="24">
        <v>45377.0</v>
      </c>
      <c r="G1892" s="6">
        <v>31.0</v>
      </c>
      <c r="H1892" s="9" t="str">
        <f>VLOOKUP(revenue[productID],products[],2,FALSE)</f>
        <v>Gorgonzola Telino</v>
      </c>
      <c r="I1892" s="9" t="str">
        <f>VLOOKUP(revenue[productID],products[],12,FALSE)</f>
        <v>Dairy Products</v>
      </c>
      <c r="J1892" s="9">
        <f>VLOOKUP(revenue[productID],products[],IF(YEAR(revenue[orderDate])=2022,8,IF(YEAR(revenue[orderDate])=2023,9,IF(YEAR(revenue[orderDate])=2024,10,NA))),FALSE)</f>
        <v>8.203054392</v>
      </c>
      <c r="K1892" s="9">
        <v>12.5</v>
      </c>
      <c r="L1892" s="25">
        <f>(revenue[orderPrice]-revenue[productCost])/revenue[productCost]</f>
        <v>0.52382264</v>
      </c>
      <c r="M1892" s="10">
        <v>24.0</v>
      </c>
      <c r="N1892" s="25">
        <v>0.0</v>
      </c>
      <c r="O1892" s="9">
        <f>revenue[orderPrice]*revenue[orderQuantity]</f>
        <v>300</v>
      </c>
      <c r="P1892" s="9">
        <f>revenue[orderTotal]*(1-revenue[discountApllied])</f>
        <v>300</v>
      </c>
      <c r="Q1892" s="9">
        <f>revenue[revenue]-(revenue[productCost]*revenue[orderQuantity])</f>
        <v>103.1266946</v>
      </c>
      <c r="R1892" s="25">
        <f>IFERROR(revenue[profit]/revenue[revenue], 0)</f>
        <v>0.3437556486</v>
      </c>
      <c r="S1892" s="9">
        <f>revenue[productCost]*revenue[orderQuantity]</f>
        <v>196.8733054</v>
      </c>
    </row>
    <row r="1893" ht="15.75" customHeight="1">
      <c r="A1893" s="6">
        <v>10979.0</v>
      </c>
      <c r="B1893" s="7" t="s">
        <v>24</v>
      </c>
      <c r="C1893" s="24" t="str">
        <f>VLOOKUP(revenue[customerID],customers[],2,FALSE)</f>
        <v>Ernst Handel</v>
      </c>
      <c r="D1893" s="24" t="str">
        <f>VLOOKUP(revenue[customerID],customers[],6,FALSE)</f>
        <v>Graz</v>
      </c>
      <c r="E1893" s="24" t="str">
        <f>VLOOKUP(revenue[customerID],customers[],9,FALSE)</f>
        <v>Austria</v>
      </c>
      <c r="F1893" s="24">
        <v>45377.0</v>
      </c>
      <c r="G1893" s="6">
        <v>63.0</v>
      </c>
      <c r="H1893" s="9" t="str">
        <f>VLOOKUP(revenue[productID],products[],2,FALSE)</f>
        <v>Vegie-spread</v>
      </c>
      <c r="I1893" s="9" t="str">
        <f>VLOOKUP(revenue[productID],products[],12,FALSE)</f>
        <v>Condiments</v>
      </c>
      <c r="J1893" s="9">
        <f>VLOOKUP(revenue[productID],products[],IF(YEAR(revenue[orderDate])=2022,8,IF(YEAR(revenue[orderDate])=2023,9,IF(YEAR(revenue[orderDate])=2024,10,NA))),FALSE)</f>
        <v>32.59198577</v>
      </c>
      <c r="K1893" s="9">
        <v>43.9</v>
      </c>
      <c r="L1893" s="25">
        <f>(revenue[orderPrice]-revenue[productCost])/revenue[productCost]</f>
        <v>0.3469568963</v>
      </c>
      <c r="M1893" s="10">
        <v>35.0</v>
      </c>
      <c r="N1893" s="25">
        <v>0.0</v>
      </c>
      <c r="O1893" s="9">
        <f>revenue[orderPrice]*revenue[orderQuantity]</f>
        <v>1536.5</v>
      </c>
      <c r="P1893" s="9">
        <f>revenue[orderTotal]*(1-revenue[discountApllied])</f>
        <v>1536.5</v>
      </c>
      <c r="Q1893" s="9">
        <f>revenue[revenue]-(revenue[productCost]*revenue[orderQuantity])</f>
        <v>395.780498</v>
      </c>
      <c r="R1893" s="25">
        <f>IFERROR(revenue[profit]/revenue[revenue], 0)</f>
        <v>0.2575857455</v>
      </c>
      <c r="S1893" s="9">
        <f>revenue[productCost]*revenue[orderQuantity]</f>
        <v>1140.719502</v>
      </c>
    </row>
    <row r="1894" ht="15.75" customHeight="1">
      <c r="A1894" s="6">
        <v>10980.0</v>
      </c>
      <c r="B1894" s="7" t="s">
        <v>29</v>
      </c>
      <c r="C1894" s="24" t="str">
        <f>VLOOKUP(revenue[customerID],customers[],2,FALSE)</f>
        <v>Folk och fä HB</v>
      </c>
      <c r="D1894" s="24" t="str">
        <f>VLOOKUP(revenue[customerID],customers[],6,FALSE)</f>
        <v>Bräcke</v>
      </c>
      <c r="E1894" s="24" t="str">
        <f>VLOOKUP(revenue[customerID],customers[],9,FALSE)</f>
        <v>Sweden</v>
      </c>
      <c r="F1894" s="24">
        <v>45378.0</v>
      </c>
      <c r="G1894" s="6">
        <v>75.0</v>
      </c>
      <c r="H1894" s="9" t="str">
        <f>VLOOKUP(revenue[productID],products[],2,FALSE)</f>
        <v>Rhönbräu Klosterbier</v>
      </c>
      <c r="I1894" s="9" t="str">
        <f>VLOOKUP(revenue[productID],products[],12,FALSE)</f>
        <v>Beverages</v>
      </c>
      <c r="J1894" s="9">
        <f>VLOOKUP(revenue[productID],products[],IF(YEAR(revenue[orderDate])=2022,8,IF(YEAR(revenue[orderDate])=2023,9,IF(YEAR(revenue[orderDate])=2024,10,NA))),FALSE)</f>
        <v>5.374051525</v>
      </c>
      <c r="K1894" s="9">
        <v>7.75</v>
      </c>
      <c r="L1894" s="25">
        <f>(revenue[orderPrice]-revenue[productCost])/revenue[productCost]</f>
        <v>0.4421149413</v>
      </c>
      <c r="M1894" s="10">
        <v>40.0</v>
      </c>
      <c r="N1894" s="25">
        <v>0.2</v>
      </c>
      <c r="O1894" s="9">
        <f>revenue[orderPrice]*revenue[orderQuantity]</f>
        <v>310</v>
      </c>
      <c r="P1894" s="9">
        <f>revenue[orderTotal]*(1-revenue[discountApllied])</f>
        <v>248</v>
      </c>
      <c r="Q1894" s="9">
        <f>revenue[revenue]-(revenue[productCost]*revenue[orderQuantity])</f>
        <v>33.03793899</v>
      </c>
      <c r="R1894" s="25">
        <f>IFERROR(revenue[profit]/revenue[revenue], 0)</f>
        <v>0.1332174959</v>
      </c>
      <c r="S1894" s="9">
        <f>revenue[productCost]*revenue[orderQuantity]</f>
        <v>214.962061</v>
      </c>
    </row>
    <row r="1895" ht="15.75" customHeight="1">
      <c r="A1895" s="6">
        <v>10981.0</v>
      </c>
      <c r="B1895" s="7" t="s">
        <v>16</v>
      </c>
      <c r="C1895" s="24" t="str">
        <f>VLOOKUP(revenue[customerID],customers[],2,FALSE)</f>
        <v>Hanari Carnes</v>
      </c>
      <c r="D1895" s="24" t="str">
        <f>VLOOKUP(revenue[customerID],customers[],6,FALSE)</f>
        <v>Rio de Janeiro</v>
      </c>
      <c r="E1895" s="24" t="str">
        <f>VLOOKUP(revenue[customerID],customers[],9,FALSE)</f>
        <v>Brazil</v>
      </c>
      <c r="F1895" s="24">
        <v>45378.0</v>
      </c>
      <c r="G1895" s="6">
        <v>38.0</v>
      </c>
      <c r="H1895" s="9" t="str">
        <f>VLOOKUP(revenue[productID],products[],2,FALSE)</f>
        <v>Côte de Blaye</v>
      </c>
      <c r="I1895" s="9" t="str">
        <f>VLOOKUP(revenue[productID],products[],12,FALSE)</f>
        <v>Beverages</v>
      </c>
      <c r="J1895" s="9">
        <f>VLOOKUP(revenue[productID],products[],IF(YEAR(revenue[orderDate])=2022,8,IF(YEAR(revenue[orderDate])=2023,9,IF(YEAR(revenue[orderDate])=2024,10,NA))),FALSE)</f>
        <v>192.1798413</v>
      </c>
      <c r="K1895" s="9">
        <v>263.5</v>
      </c>
      <c r="L1895" s="25">
        <f>(revenue[orderPrice]-revenue[productCost])/revenue[productCost]</f>
        <v>0.3711115493</v>
      </c>
      <c r="M1895" s="10">
        <v>60.0</v>
      </c>
      <c r="N1895" s="25">
        <v>0.0</v>
      </c>
      <c r="O1895" s="9">
        <f>revenue[orderPrice]*revenue[orderQuantity]</f>
        <v>15810</v>
      </c>
      <c r="P1895" s="9">
        <f>revenue[orderTotal]*(1-revenue[discountApllied])</f>
        <v>15810</v>
      </c>
      <c r="Q1895" s="9">
        <f>revenue[revenue]-(revenue[productCost]*revenue[orderQuantity])</f>
        <v>4279.20952</v>
      </c>
      <c r="R1895" s="25">
        <f>IFERROR(revenue[profit]/revenue[revenue], 0)</f>
        <v>0.2706647388</v>
      </c>
      <c r="S1895" s="9">
        <f>revenue[productCost]*revenue[orderQuantity]</f>
        <v>11530.79048</v>
      </c>
    </row>
    <row r="1896" ht="15.75" customHeight="1">
      <c r="A1896" s="6">
        <v>10982.0</v>
      </c>
      <c r="B1896" s="7" t="s">
        <v>81</v>
      </c>
      <c r="C1896" s="24" t="str">
        <f>VLOOKUP(revenue[customerID],customers[],2,FALSE)</f>
        <v>Bottom-Dollar Markets</v>
      </c>
      <c r="D1896" s="24" t="str">
        <f>VLOOKUP(revenue[customerID],customers[],6,FALSE)</f>
        <v>Tsawassen</v>
      </c>
      <c r="E1896" s="24" t="str">
        <f>VLOOKUP(revenue[customerID],customers[],9,FALSE)</f>
        <v>Canada</v>
      </c>
      <c r="F1896" s="24">
        <v>45378.0</v>
      </c>
      <c r="G1896" s="6">
        <v>7.0</v>
      </c>
      <c r="H1896" s="9" t="str">
        <f>VLOOKUP(revenue[productID],products[],2,FALSE)</f>
        <v>Uncle Bob's Organic Dried Pears</v>
      </c>
      <c r="I1896" s="9" t="str">
        <f>VLOOKUP(revenue[productID],products[],12,FALSE)</f>
        <v>Produce</v>
      </c>
      <c r="J1896" s="9">
        <f>VLOOKUP(revenue[productID],products[],IF(YEAR(revenue[orderDate])=2022,8,IF(YEAR(revenue[orderDate])=2023,9,IF(YEAR(revenue[orderDate])=2024,10,NA))),FALSE)</f>
        <v>23.52222246</v>
      </c>
      <c r="K1896" s="9">
        <v>30.0</v>
      </c>
      <c r="L1896" s="25">
        <f>(revenue[orderPrice]-revenue[productCost])/revenue[productCost]</f>
        <v>0.2753896894</v>
      </c>
      <c r="M1896" s="10">
        <v>20.0</v>
      </c>
      <c r="N1896" s="25">
        <v>0.0</v>
      </c>
      <c r="O1896" s="9">
        <f>revenue[orderPrice]*revenue[orderQuantity]</f>
        <v>600</v>
      </c>
      <c r="P1896" s="9">
        <f>revenue[orderTotal]*(1-revenue[discountApllied])</f>
        <v>600</v>
      </c>
      <c r="Q1896" s="9">
        <f>revenue[revenue]-(revenue[productCost]*revenue[orderQuantity])</f>
        <v>129.5555507</v>
      </c>
      <c r="R1896" s="25">
        <f>IFERROR(revenue[profit]/revenue[revenue], 0)</f>
        <v>0.2159259179</v>
      </c>
      <c r="S1896" s="9">
        <f>revenue[productCost]*revenue[orderQuantity]</f>
        <v>470.4444493</v>
      </c>
    </row>
    <row r="1897" ht="15.75" customHeight="1">
      <c r="A1897" s="6">
        <v>10982.0</v>
      </c>
      <c r="B1897" s="7" t="s">
        <v>81</v>
      </c>
      <c r="C1897" s="24" t="str">
        <f>VLOOKUP(revenue[customerID],customers[],2,FALSE)</f>
        <v>Bottom-Dollar Markets</v>
      </c>
      <c r="D1897" s="24" t="str">
        <f>VLOOKUP(revenue[customerID],customers[],6,FALSE)</f>
        <v>Tsawassen</v>
      </c>
      <c r="E1897" s="24" t="str">
        <f>VLOOKUP(revenue[customerID],customers[],9,FALSE)</f>
        <v>Canada</v>
      </c>
      <c r="F1897" s="24">
        <v>45378.0</v>
      </c>
      <c r="G1897" s="6">
        <v>43.0</v>
      </c>
      <c r="H1897" s="9" t="str">
        <f>VLOOKUP(revenue[productID],products[],2,FALSE)</f>
        <v>Ipoh Coffee</v>
      </c>
      <c r="I1897" s="9" t="str">
        <f>VLOOKUP(revenue[productID],products[],12,FALSE)</f>
        <v>Beverages</v>
      </c>
      <c r="J1897" s="9">
        <f>VLOOKUP(revenue[productID],products[],IF(YEAR(revenue[orderDate])=2022,8,IF(YEAR(revenue[orderDate])=2023,9,IF(YEAR(revenue[orderDate])=2024,10,NA))),FALSE)</f>
        <v>30.97984738</v>
      </c>
      <c r="K1897" s="9">
        <v>46.0</v>
      </c>
      <c r="L1897" s="25">
        <f>(revenue[orderPrice]-revenue[productCost])/revenue[productCost]</f>
        <v>0.484836237</v>
      </c>
      <c r="M1897" s="10">
        <v>9.0</v>
      </c>
      <c r="N1897" s="25">
        <v>0.0</v>
      </c>
      <c r="O1897" s="9">
        <f>revenue[orderPrice]*revenue[orderQuantity]</f>
        <v>414</v>
      </c>
      <c r="P1897" s="9">
        <f>revenue[orderTotal]*(1-revenue[discountApllied])</f>
        <v>414</v>
      </c>
      <c r="Q1897" s="9">
        <f>revenue[revenue]-(revenue[productCost]*revenue[orderQuantity])</f>
        <v>135.1813736</v>
      </c>
      <c r="R1897" s="25">
        <f>IFERROR(revenue[profit]/revenue[revenue], 0)</f>
        <v>0.3265250571</v>
      </c>
      <c r="S1897" s="9">
        <f>revenue[productCost]*revenue[orderQuantity]</f>
        <v>278.8186264</v>
      </c>
    </row>
    <row r="1898" ht="15.75" customHeight="1">
      <c r="A1898" s="6">
        <v>10983.0</v>
      </c>
      <c r="B1898" s="7" t="s">
        <v>60</v>
      </c>
      <c r="C1898" s="24" t="str">
        <f>VLOOKUP(revenue[customerID],customers[],2,FALSE)</f>
        <v>Save-a-lot Markets</v>
      </c>
      <c r="D1898" s="24" t="str">
        <f>VLOOKUP(revenue[customerID],customers[],6,FALSE)</f>
        <v>Boise</v>
      </c>
      <c r="E1898" s="24" t="str">
        <f>VLOOKUP(revenue[customerID],customers[],9,FALSE)</f>
        <v>USA</v>
      </c>
      <c r="F1898" s="24">
        <v>45378.0</v>
      </c>
      <c r="G1898" s="6">
        <v>13.0</v>
      </c>
      <c r="H1898" s="9" t="str">
        <f>VLOOKUP(revenue[productID],products[],2,FALSE)</f>
        <v>Konbu</v>
      </c>
      <c r="I1898" s="9" t="str">
        <f>VLOOKUP(revenue[productID],products[],12,FALSE)</f>
        <v>Seafood</v>
      </c>
      <c r="J1898" s="9">
        <f>VLOOKUP(revenue[productID],products[],IF(YEAR(revenue[orderDate])=2022,8,IF(YEAR(revenue[orderDate])=2023,9,IF(YEAR(revenue[orderDate])=2024,10,NA))),FALSE)</f>
        <v>3.966387047</v>
      </c>
      <c r="K1898" s="9">
        <v>6.0</v>
      </c>
      <c r="L1898" s="25">
        <f>(revenue[orderPrice]-revenue[productCost])/revenue[productCost]</f>
        <v>0.5127116768</v>
      </c>
      <c r="M1898" s="10">
        <v>84.0</v>
      </c>
      <c r="N1898" s="25">
        <v>0.15</v>
      </c>
      <c r="O1898" s="9">
        <f>revenue[orderPrice]*revenue[orderQuantity]</f>
        <v>504</v>
      </c>
      <c r="P1898" s="9">
        <f>revenue[orderTotal]*(1-revenue[discountApllied])</f>
        <v>428.4</v>
      </c>
      <c r="Q1898" s="9">
        <f>revenue[revenue]-(revenue[productCost]*revenue[orderQuantity])</f>
        <v>95.22348809</v>
      </c>
      <c r="R1898" s="25">
        <f>IFERROR(revenue[profit]/revenue[revenue], 0)</f>
        <v>0.2222770497</v>
      </c>
      <c r="S1898" s="9">
        <f>revenue[productCost]*revenue[orderQuantity]</f>
        <v>333.1765119</v>
      </c>
    </row>
    <row r="1899" ht="15.75" customHeight="1">
      <c r="A1899" s="6">
        <v>10983.0</v>
      </c>
      <c r="B1899" s="7" t="s">
        <v>60</v>
      </c>
      <c r="C1899" s="24" t="str">
        <f>VLOOKUP(revenue[customerID],customers[],2,FALSE)</f>
        <v>Save-a-lot Markets</v>
      </c>
      <c r="D1899" s="24" t="str">
        <f>VLOOKUP(revenue[customerID],customers[],6,FALSE)</f>
        <v>Boise</v>
      </c>
      <c r="E1899" s="24" t="str">
        <f>VLOOKUP(revenue[customerID],customers[],9,FALSE)</f>
        <v>USA</v>
      </c>
      <c r="F1899" s="24">
        <v>45378.0</v>
      </c>
      <c r="G1899" s="6">
        <v>57.0</v>
      </c>
      <c r="H1899" s="9" t="str">
        <f>VLOOKUP(revenue[productID],products[],2,FALSE)</f>
        <v>Ravioli Angelo</v>
      </c>
      <c r="I1899" s="9" t="str">
        <f>VLOOKUP(revenue[productID],products[],12,FALSE)</f>
        <v>Grains/Cereals</v>
      </c>
      <c r="J1899" s="9">
        <f>VLOOKUP(revenue[productID],products[],IF(YEAR(revenue[orderDate])=2022,8,IF(YEAR(revenue[orderDate])=2023,9,IF(YEAR(revenue[orderDate])=2024,10,NA))),FALSE)</f>
        <v>14.29534762</v>
      </c>
      <c r="K1899" s="9">
        <v>19.5</v>
      </c>
      <c r="L1899" s="25">
        <f>(revenue[orderPrice]-revenue[productCost])/revenue[productCost]</f>
        <v>0.3640801552</v>
      </c>
      <c r="M1899" s="10">
        <v>15.0</v>
      </c>
      <c r="N1899" s="25">
        <v>0.0</v>
      </c>
      <c r="O1899" s="9">
        <f>revenue[orderPrice]*revenue[orderQuantity]</f>
        <v>292.5</v>
      </c>
      <c r="P1899" s="9">
        <f>revenue[orderTotal]*(1-revenue[discountApllied])</f>
        <v>292.5</v>
      </c>
      <c r="Q1899" s="9">
        <f>revenue[revenue]-(revenue[productCost]*revenue[orderQuantity])</f>
        <v>78.06978571</v>
      </c>
      <c r="R1899" s="25">
        <f>IFERROR(revenue[profit]/revenue[revenue], 0)</f>
        <v>0.2669052503</v>
      </c>
      <c r="S1899" s="9">
        <f>revenue[productCost]*revenue[orderQuantity]</f>
        <v>214.4302143</v>
      </c>
    </row>
    <row r="1900" ht="15.75" customHeight="1">
      <c r="A1900" s="6">
        <v>10984.0</v>
      </c>
      <c r="B1900" s="7" t="s">
        <v>60</v>
      </c>
      <c r="C1900" s="24" t="str">
        <f>VLOOKUP(revenue[customerID],customers[],2,FALSE)</f>
        <v>Save-a-lot Markets</v>
      </c>
      <c r="D1900" s="24" t="str">
        <f>VLOOKUP(revenue[customerID],customers[],6,FALSE)</f>
        <v>Boise</v>
      </c>
      <c r="E1900" s="24" t="str">
        <f>VLOOKUP(revenue[customerID],customers[],9,FALSE)</f>
        <v>USA</v>
      </c>
      <c r="F1900" s="24">
        <v>45381.0</v>
      </c>
      <c r="G1900" s="6">
        <v>16.0</v>
      </c>
      <c r="H1900" s="9" t="str">
        <f>VLOOKUP(revenue[productID],products[],2,FALSE)</f>
        <v>Pavlova</v>
      </c>
      <c r="I1900" s="9" t="str">
        <f>VLOOKUP(revenue[productID],products[],12,FALSE)</f>
        <v>Confections</v>
      </c>
      <c r="J1900" s="9">
        <f>VLOOKUP(revenue[productID],products[],IF(YEAR(revenue[orderDate])=2022,8,IF(YEAR(revenue[orderDate])=2023,9,IF(YEAR(revenue[orderDate])=2024,10,NA))),FALSE)</f>
        <v>12.68283974</v>
      </c>
      <c r="K1900" s="9">
        <v>17.45</v>
      </c>
      <c r="L1900" s="25">
        <f>(revenue[orderPrice]-revenue[productCost])/revenue[productCost]</f>
        <v>0.3758748323</v>
      </c>
      <c r="M1900" s="10">
        <v>55.0</v>
      </c>
      <c r="N1900" s="25">
        <v>0.0</v>
      </c>
      <c r="O1900" s="9">
        <f>revenue[orderPrice]*revenue[orderQuantity]</f>
        <v>959.75</v>
      </c>
      <c r="P1900" s="9">
        <f>revenue[orderTotal]*(1-revenue[discountApllied])</f>
        <v>959.75</v>
      </c>
      <c r="Q1900" s="9">
        <f>revenue[revenue]-(revenue[productCost]*revenue[orderQuantity])</f>
        <v>262.1938143</v>
      </c>
      <c r="R1900" s="25">
        <f>IFERROR(revenue[profit]/revenue[revenue], 0)</f>
        <v>0.2731896997</v>
      </c>
      <c r="S1900" s="9">
        <f>revenue[productCost]*revenue[orderQuantity]</f>
        <v>697.5561857</v>
      </c>
    </row>
    <row r="1901" ht="15.75" customHeight="1">
      <c r="A1901" s="6">
        <v>10984.0</v>
      </c>
      <c r="B1901" s="7" t="s">
        <v>60</v>
      </c>
      <c r="C1901" s="24" t="str">
        <f>VLOOKUP(revenue[customerID],customers[],2,FALSE)</f>
        <v>Save-a-lot Markets</v>
      </c>
      <c r="D1901" s="24" t="str">
        <f>VLOOKUP(revenue[customerID],customers[],6,FALSE)</f>
        <v>Boise</v>
      </c>
      <c r="E1901" s="24" t="str">
        <f>VLOOKUP(revenue[customerID],customers[],9,FALSE)</f>
        <v>USA</v>
      </c>
      <c r="F1901" s="24">
        <v>45381.0</v>
      </c>
      <c r="G1901" s="6">
        <v>24.0</v>
      </c>
      <c r="H1901" s="9" t="str">
        <f>VLOOKUP(revenue[productID],products[],2,FALSE)</f>
        <v>Brigadeiros Maravilhosos da Lilian</v>
      </c>
      <c r="I1901" s="9" t="str">
        <f>VLOOKUP(revenue[productID],products[],12,FALSE)</f>
        <v>Confections</v>
      </c>
      <c r="J1901" s="9">
        <f>VLOOKUP(revenue[productID],products[],IF(YEAR(revenue[orderDate])=2022,8,IF(YEAR(revenue[orderDate])=2023,9,IF(YEAR(revenue[orderDate])=2024,10,NA))),FALSE)</f>
        <v>3.177326315</v>
      </c>
      <c r="K1901" s="9">
        <v>4.5</v>
      </c>
      <c r="L1901" s="25">
        <f>(revenue[orderPrice]-revenue[productCost])/revenue[productCost]</f>
        <v>0.416285126</v>
      </c>
      <c r="M1901" s="10">
        <v>20.0</v>
      </c>
      <c r="N1901" s="25">
        <v>0.0</v>
      </c>
      <c r="O1901" s="9">
        <f>revenue[orderPrice]*revenue[orderQuantity]</f>
        <v>90</v>
      </c>
      <c r="P1901" s="9">
        <f>revenue[orderTotal]*(1-revenue[discountApllied])</f>
        <v>90</v>
      </c>
      <c r="Q1901" s="9">
        <f>revenue[revenue]-(revenue[productCost]*revenue[orderQuantity])</f>
        <v>26.45347371</v>
      </c>
      <c r="R1901" s="25">
        <f>IFERROR(revenue[profit]/revenue[revenue], 0)</f>
        <v>0.2939274856</v>
      </c>
      <c r="S1901" s="9">
        <f>revenue[productCost]*revenue[orderQuantity]</f>
        <v>63.54652629</v>
      </c>
    </row>
    <row r="1902" ht="15.75" customHeight="1">
      <c r="A1902" s="6">
        <v>10984.0</v>
      </c>
      <c r="B1902" s="7" t="s">
        <v>60</v>
      </c>
      <c r="C1902" s="24" t="str">
        <f>VLOOKUP(revenue[customerID],customers[],2,FALSE)</f>
        <v>Save-a-lot Markets</v>
      </c>
      <c r="D1902" s="24" t="str">
        <f>VLOOKUP(revenue[customerID],customers[],6,FALSE)</f>
        <v>Boise</v>
      </c>
      <c r="E1902" s="24" t="str">
        <f>VLOOKUP(revenue[customerID],customers[],9,FALSE)</f>
        <v>USA</v>
      </c>
      <c r="F1902" s="24">
        <v>45381.0</v>
      </c>
      <c r="G1902" s="6">
        <v>36.0</v>
      </c>
      <c r="H1902" s="9" t="str">
        <f>VLOOKUP(revenue[productID],products[],2,FALSE)</f>
        <v>Inlagd Sill</v>
      </c>
      <c r="I1902" s="9" t="str">
        <f>VLOOKUP(revenue[productID],products[],12,FALSE)</f>
        <v>Seafood</v>
      </c>
      <c r="J1902" s="9">
        <f>VLOOKUP(revenue[productID],products[],IF(YEAR(revenue[orderDate])=2022,8,IF(YEAR(revenue[orderDate])=2023,9,IF(YEAR(revenue[orderDate])=2024,10,NA))),FALSE)</f>
        <v>11.68525366</v>
      </c>
      <c r="K1902" s="9">
        <v>19.0</v>
      </c>
      <c r="L1902" s="25">
        <f>(revenue[orderPrice]-revenue[productCost])/revenue[productCost]</f>
        <v>0.6259809637</v>
      </c>
      <c r="M1902" s="10">
        <v>40.0</v>
      </c>
      <c r="N1902" s="25">
        <v>0.0</v>
      </c>
      <c r="O1902" s="9">
        <f>revenue[orderPrice]*revenue[orderQuantity]</f>
        <v>760</v>
      </c>
      <c r="P1902" s="9">
        <f>revenue[orderTotal]*(1-revenue[discountApllied])</f>
        <v>760</v>
      </c>
      <c r="Q1902" s="9">
        <f>revenue[revenue]-(revenue[productCost]*revenue[orderQuantity])</f>
        <v>292.5898538</v>
      </c>
      <c r="R1902" s="25">
        <f>IFERROR(revenue[profit]/revenue[revenue], 0)</f>
        <v>0.3849866497</v>
      </c>
      <c r="S1902" s="9">
        <f>revenue[productCost]*revenue[orderQuantity]</f>
        <v>467.4101462</v>
      </c>
    </row>
    <row r="1903" ht="15.75" customHeight="1">
      <c r="A1903" s="6">
        <v>10985.0</v>
      </c>
      <c r="B1903" s="7" t="s">
        <v>49</v>
      </c>
      <c r="C1903" s="24" t="str">
        <f>VLOOKUP(revenue[customerID],customers[],2,FALSE)</f>
        <v>Hungry Owl All-Night Grocers</v>
      </c>
      <c r="D1903" s="24" t="str">
        <f>VLOOKUP(revenue[customerID],customers[],6,FALSE)</f>
        <v>Cork</v>
      </c>
      <c r="E1903" s="24" t="str">
        <f>VLOOKUP(revenue[customerID],customers[],9,FALSE)</f>
        <v>Ireland</v>
      </c>
      <c r="F1903" s="24">
        <v>45381.0</v>
      </c>
      <c r="G1903" s="6">
        <v>16.0</v>
      </c>
      <c r="H1903" s="9" t="str">
        <f>VLOOKUP(revenue[productID],products[],2,FALSE)</f>
        <v>Pavlova</v>
      </c>
      <c r="I1903" s="9" t="str">
        <f>VLOOKUP(revenue[productID],products[],12,FALSE)</f>
        <v>Confections</v>
      </c>
      <c r="J1903" s="9">
        <f>VLOOKUP(revenue[productID],products[],IF(YEAR(revenue[orderDate])=2022,8,IF(YEAR(revenue[orderDate])=2023,9,IF(YEAR(revenue[orderDate])=2024,10,NA))),FALSE)</f>
        <v>12.68283974</v>
      </c>
      <c r="K1903" s="9">
        <v>17.45</v>
      </c>
      <c r="L1903" s="25">
        <f>(revenue[orderPrice]-revenue[productCost])/revenue[productCost]</f>
        <v>0.3758748323</v>
      </c>
      <c r="M1903" s="10">
        <v>36.0</v>
      </c>
      <c r="N1903" s="25">
        <v>0.1</v>
      </c>
      <c r="O1903" s="9">
        <f>revenue[orderPrice]*revenue[orderQuantity]</f>
        <v>628.2</v>
      </c>
      <c r="P1903" s="9">
        <f>revenue[orderTotal]*(1-revenue[discountApllied])</f>
        <v>565.38</v>
      </c>
      <c r="Q1903" s="9">
        <f>revenue[revenue]-(revenue[productCost]*revenue[orderQuantity])</f>
        <v>108.7977694</v>
      </c>
      <c r="R1903" s="25">
        <f>IFERROR(revenue[profit]/revenue[revenue], 0)</f>
        <v>0.1924329997</v>
      </c>
      <c r="S1903" s="9">
        <f>revenue[productCost]*revenue[orderQuantity]</f>
        <v>456.5822306</v>
      </c>
    </row>
    <row r="1904" ht="15.75" customHeight="1">
      <c r="A1904" s="6">
        <v>10985.0</v>
      </c>
      <c r="B1904" s="7" t="s">
        <v>49</v>
      </c>
      <c r="C1904" s="24" t="str">
        <f>VLOOKUP(revenue[customerID],customers[],2,FALSE)</f>
        <v>Hungry Owl All-Night Grocers</v>
      </c>
      <c r="D1904" s="24" t="str">
        <f>VLOOKUP(revenue[customerID],customers[],6,FALSE)</f>
        <v>Cork</v>
      </c>
      <c r="E1904" s="24" t="str">
        <f>VLOOKUP(revenue[customerID],customers[],9,FALSE)</f>
        <v>Ireland</v>
      </c>
      <c r="F1904" s="24">
        <v>45381.0</v>
      </c>
      <c r="G1904" s="6">
        <v>18.0</v>
      </c>
      <c r="H1904" s="9" t="str">
        <f>VLOOKUP(revenue[productID],products[],2,FALSE)</f>
        <v>Carnarvon Tigers</v>
      </c>
      <c r="I1904" s="9" t="str">
        <f>VLOOKUP(revenue[productID],products[],12,FALSE)</f>
        <v>Seafood</v>
      </c>
      <c r="J1904" s="9">
        <f>VLOOKUP(revenue[productID],products[],IF(YEAR(revenue[orderDate])=2022,8,IF(YEAR(revenue[orderDate])=2023,9,IF(YEAR(revenue[orderDate])=2024,10,NA))),FALSE)</f>
        <v>41.27004985</v>
      </c>
      <c r="K1904" s="9">
        <v>62.5</v>
      </c>
      <c r="L1904" s="25">
        <f>(revenue[orderPrice]-revenue[productCost])/revenue[productCost]</f>
        <v>0.5144154231</v>
      </c>
      <c r="M1904" s="10">
        <v>8.0</v>
      </c>
      <c r="N1904" s="25">
        <v>0.1</v>
      </c>
      <c r="O1904" s="9">
        <f>revenue[orderPrice]*revenue[orderQuantity]</f>
        <v>500</v>
      </c>
      <c r="P1904" s="9">
        <f>revenue[orderTotal]*(1-revenue[discountApllied])</f>
        <v>450</v>
      </c>
      <c r="Q1904" s="9">
        <f>revenue[revenue]-(revenue[productCost]*revenue[orderQuantity])</f>
        <v>119.8396012</v>
      </c>
      <c r="R1904" s="25">
        <f>IFERROR(revenue[profit]/revenue[revenue], 0)</f>
        <v>0.266310225</v>
      </c>
      <c r="S1904" s="9">
        <f>revenue[productCost]*revenue[orderQuantity]</f>
        <v>330.1603988</v>
      </c>
    </row>
    <row r="1905" ht="15.75" customHeight="1">
      <c r="A1905" s="6">
        <v>10985.0</v>
      </c>
      <c r="B1905" s="7" t="s">
        <v>49</v>
      </c>
      <c r="C1905" s="24" t="str">
        <f>VLOOKUP(revenue[customerID],customers[],2,FALSE)</f>
        <v>Hungry Owl All-Night Grocers</v>
      </c>
      <c r="D1905" s="24" t="str">
        <f>VLOOKUP(revenue[customerID],customers[],6,FALSE)</f>
        <v>Cork</v>
      </c>
      <c r="E1905" s="24" t="str">
        <f>VLOOKUP(revenue[customerID],customers[],9,FALSE)</f>
        <v>Ireland</v>
      </c>
      <c r="F1905" s="24">
        <v>45381.0</v>
      </c>
      <c r="G1905" s="6">
        <v>32.0</v>
      </c>
      <c r="H1905" s="9" t="str">
        <f>VLOOKUP(revenue[productID],products[],2,FALSE)</f>
        <v>Mascarpone Fabioli</v>
      </c>
      <c r="I1905" s="9" t="str">
        <f>VLOOKUP(revenue[productID],products[],12,FALSE)</f>
        <v>Dairy Products</v>
      </c>
      <c r="J1905" s="9">
        <f>VLOOKUP(revenue[productID],products[],IF(YEAR(revenue[orderDate])=2022,8,IF(YEAR(revenue[orderDate])=2023,9,IF(YEAR(revenue[orderDate])=2024,10,NA))),FALSE)</f>
        <v>21.42783354</v>
      </c>
      <c r="K1905" s="9">
        <v>32.0</v>
      </c>
      <c r="L1905" s="25">
        <f>(revenue[orderPrice]-revenue[productCost])/revenue[productCost]</f>
        <v>0.4933847575</v>
      </c>
      <c r="M1905" s="10">
        <v>35.0</v>
      </c>
      <c r="N1905" s="25">
        <v>0.1</v>
      </c>
      <c r="O1905" s="9">
        <f>revenue[orderPrice]*revenue[orderQuantity]</f>
        <v>1120</v>
      </c>
      <c r="P1905" s="9">
        <f>revenue[orderTotal]*(1-revenue[discountApllied])</f>
        <v>1008</v>
      </c>
      <c r="Q1905" s="9">
        <f>revenue[revenue]-(revenue[productCost]*revenue[orderQuantity])</f>
        <v>258.025826</v>
      </c>
      <c r="R1905" s="25">
        <f>IFERROR(revenue[profit]/revenue[revenue], 0)</f>
        <v>0.255978002</v>
      </c>
      <c r="S1905" s="9">
        <f>revenue[productCost]*revenue[orderQuantity]</f>
        <v>749.974174</v>
      </c>
    </row>
    <row r="1906" ht="15.75" customHeight="1">
      <c r="A1906" s="6">
        <v>10986.0</v>
      </c>
      <c r="B1906" s="7" t="s">
        <v>84</v>
      </c>
      <c r="C1906" s="24" t="str">
        <f>VLOOKUP(revenue[customerID],customers[],2,FALSE)</f>
        <v>Océano Atlántico Ltda.</v>
      </c>
      <c r="D1906" s="24" t="str">
        <f>VLOOKUP(revenue[customerID],customers[],6,FALSE)</f>
        <v>Buenos Aires</v>
      </c>
      <c r="E1906" s="24" t="str">
        <f>VLOOKUP(revenue[customerID],customers[],9,FALSE)</f>
        <v>Argentina</v>
      </c>
      <c r="F1906" s="24">
        <v>45381.0</v>
      </c>
      <c r="G1906" s="6">
        <v>11.0</v>
      </c>
      <c r="H1906" s="9" t="str">
        <f>VLOOKUP(revenue[productID],products[],2,FALSE)</f>
        <v>Queso Cabrales</v>
      </c>
      <c r="I1906" s="9" t="str">
        <f>VLOOKUP(revenue[productID],products[],12,FALSE)</f>
        <v>Dairy Products</v>
      </c>
      <c r="J1906" s="9">
        <f>VLOOKUP(revenue[productID],products[],IF(YEAR(revenue[orderDate])=2022,8,IF(YEAR(revenue[orderDate])=2023,9,IF(YEAR(revenue[orderDate])=2024,10,NA))),FALSE)</f>
        <v>13.86836261</v>
      </c>
      <c r="K1906" s="9">
        <v>21.0</v>
      </c>
      <c r="L1906" s="25">
        <f>(revenue[orderPrice]-revenue[productCost])/revenue[productCost]</f>
        <v>0.51423788</v>
      </c>
      <c r="M1906" s="10">
        <v>30.0</v>
      </c>
      <c r="N1906" s="25">
        <v>0.0</v>
      </c>
      <c r="O1906" s="9">
        <f>revenue[orderPrice]*revenue[orderQuantity]</f>
        <v>630</v>
      </c>
      <c r="P1906" s="9">
        <f>revenue[orderTotal]*(1-revenue[discountApllied])</f>
        <v>630</v>
      </c>
      <c r="Q1906" s="9">
        <f>revenue[revenue]-(revenue[productCost]*revenue[orderQuantity])</f>
        <v>213.9491217</v>
      </c>
      <c r="R1906" s="25">
        <f>IFERROR(revenue[profit]/revenue[revenue], 0)</f>
        <v>0.3396017804</v>
      </c>
      <c r="S1906" s="9">
        <f>revenue[productCost]*revenue[orderQuantity]</f>
        <v>416.0508783</v>
      </c>
    </row>
    <row r="1907" ht="15.75" customHeight="1">
      <c r="A1907" s="6">
        <v>10986.0</v>
      </c>
      <c r="B1907" s="7" t="s">
        <v>84</v>
      </c>
      <c r="C1907" s="24" t="str">
        <f>VLOOKUP(revenue[customerID],customers[],2,FALSE)</f>
        <v>Océano Atlántico Ltda.</v>
      </c>
      <c r="D1907" s="24" t="str">
        <f>VLOOKUP(revenue[customerID],customers[],6,FALSE)</f>
        <v>Buenos Aires</v>
      </c>
      <c r="E1907" s="24" t="str">
        <f>VLOOKUP(revenue[customerID],customers[],9,FALSE)</f>
        <v>Argentina</v>
      </c>
      <c r="F1907" s="24">
        <v>45381.0</v>
      </c>
      <c r="G1907" s="6">
        <v>20.0</v>
      </c>
      <c r="H1907" s="9" t="str">
        <f>VLOOKUP(revenue[productID],products[],2,FALSE)</f>
        <v>Sir Rodney's Marmalade</v>
      </c>
      <c r="I1907" s="9" t="str">
        <f>VLOOKUP(revenue[productID],products[],12,FALSE)</f>
        <v>Confections</v>
      </c>
      <c r="J1907" s="9">
        <f>VLOOKUP(revenue[productID],products[],IF(YEAR(revenue[orderDate])=2022,8,IF(YEAR(revenue[orderDate])=2023,9,IF(YEAR(revenue[orderDate])=2024,10,NA))),FALSE)</f>
        <v>62.82537598</v>
      </c>
      <c r="K1907" s="9">
        <v>81.0</v>
      </c>
      <c r="L1907" s="25">
        <f>(revenue[orderPrice]-revenue[productCost])/revenue[productCost]</f>
        <v>0.2892879468</v>
      </c>
      <c r="M1907" s="10">
        <v>15.0</v>
      </c>
      <c r="N1907" s="25">
        <v>0.0</v>
      </c>
      <c r="O1907" s="9">
        <f>revenue[orderPrice]*revenue[orderQuantity]</f>
        <v>1215</v>
      </c>
      <c r="P1907" s="9">
        <f>revenue[orderTotal]*(1-revenue[discountApllied])</f>
        <v>1215</v>
      </c>
      <c r="Q1907" s="9">
        <f>revenue[revenue]-(revenue[productCost]*revenue[orderQuantity])</f>
        <v>272.6193604</v>
      </c>
      <c r="R1907" s="25">
        <f>IFERROR(revenue[profit]/revenue[revenue], 0)</f>
        <v>0.2243780744</v>
      </c>
      <c r="S1907" s="9">
        <f>revenue[productCost]*revenue[orderQuantity]</f>
        <v>942.3806396</v>
      </c>
    </row>
    <row r="1908" ht="15.75" customHeight="1">
      <c r="A1908" s="6">
        <v>10986.0</v>
      </c>
      <c r="B1908" s="7" t="s">
        <v>84</v>
      </c>
      <c r="C1908" s="24" t="str">
        <f>VLOOKUP(revenue[customerID],customers[],2,FALSE)</f>
        <v>Océano Atlántico Ltda.</v>
      </c>
      <c r="D1908" s="24" t="str">
        <f>VLOOKUP(revenue[customerID],customers[],6,FALSE)</f>
        <v>Buenos Aires</v>
      </c>
      <c r="E1908" s="24" t="str">
        <f>VLOOKUP(revenue[customerID],customers[],9,FALSE)</f>
        <v>Argentina</v>
      </c>
      <c r="F1908" s="24">
        <v>45381.0</v>
      </c>
      <c r="G1908" s="6">
        <v>76.0</v>
      </c>
      <c r="H1908" s="9" t="str">
        <f>VLOOKUP(revenue[productID],products[],2,FALSE)</f>
        <v>Lakkalikööri</v>
      </c>
      <c r="I1908" s="9" t="str">
        <f>VLOOKUP(revenue[productID],products[],12,FALSE)</f>
        <v>Beverages</v>
      </c>
      <c r="J1908" s="9">
        <f>VLOOKUP(revenue[productID],products[],IF(YEAR(revenue[orderDate])=2022,8,IF(YEAR(revenue[orderDate])=2023,9,IF(YEAR(revenue[orderDate])=2024,10,NA))),FALSE)</f>
        <v>12.15832249</v>
      </c>
      <c r="K1908" s="9">
        <v>18.0</v>
      </c>
      <c r="L1908" s="25">
        <f>(revenue[orderPrice]-revenue[productCost])/revenue[productCost]</f>
        <v>0.4804673928</v>
      </c>
      <c r="M1908" s="10">
        <v>10.0</v>
      </c>
      <c r="N1908" s="25">
        <v>0.0</v>
      </c>
      <c r="O1908" s="9">
        <f>revenue[orderPrice]*revenue[orderQuantity]</f>
        <v>180</v>
      </c>
      <c r="P1908" s="9">
        <f>revenue[orderTotal]*(1-revenue[discountApllied])</f>
        <v>180</v>
      </c>
      <c r="Q1908" s="9">
        <f>revenue[revenue]-(revenue[productCost]*revenue[orderQuantity])</f>
        <v>58.41677509</v>
      </c>
      <c r="R1908" s="25">
        <f>IFERROR(revenue[profit]/revenue[revenue], 0)</f>
        <v>0.3245376394</v>
      </c>
      <c r="S1908" s="9">
        <f>revenue[productCost]*revenue[orderQuantity]</f>
        <v>121.5832249</v>
      </c>
    </row>
    <row r="1909" ht="15.75" customHeight="1">
      <c r="A1909" s="6">
        <v>10986.0</v>
      </c>
      <c r="B1909" s="7" t="s">
        <v>84</v>
      </c>
      <c r="C1909" s="24" t="str">
        <f>VLOOKUP(revenue[customerID],customers[],2,FALSE)</f>
        <v>Océano Atlántico Ltda.</v>
      </c>
      <c r="D1909" s="24" t="str">
        <f>VLOOKUP(revenue[customerID],customers[],6,FALSE)</f>
        <v>Buenos Aires</v>
      </c>
      <c r="E1909" s="24" t="str">
        <f>VLOOKUP(revenue[customerID],customers[],9,FALSE)</f>
        <v>Argentina</v>
      </c>
      <c r="F1909" s="24">
        <v>45381.0</v>
      </c>
      <c r="G1909" s="6">
        <v>77.0</v>
      </c>
      <c r="H1909" s="9" t="str">
        <f>VLOOKUP(revenue[productID],products[],2,FALSE)</f>
        <v>Original Frankfurter grüne Soße</v>
      </c>
      <c r="I1909" s="9" t="str">
        <f>VLOOKUP(revenue[productID],products[],12,FALSE)</f>
        <v>Condiments</v>
      </c>
      <c r="J1909" s="9">
        <f>VLOOKUP(revenue[productID],products[],IF(YEAR(revenue[orderDate])=2022,8,IF(YEAR(revenue[orderDate])=2023,9,IF(YEAR(revenue[orderDate])=2024,10,NA))),FALSE)</f>
        <v>9.299025151</v>
      </c>
      <c r="K1909" s="9">
        <v>13.0</v>
      </c>
      <c r="L1909" s="25">
        <f>(revenue[orderPrice]-revenue[productCost])/revenue[productCost]</f>
        <v>0.3979960037</v>
      </c>
      <c r="M1909" s="10">
        <v>15.0</v>
      </c>
      <c r="N1909" s="25">
        <v>0.0</v>
      </c>
      <c r="O1909" s="9">
        <f>revenue[orderPrice]*revenue[orderQuantity]</f>
        <v>195</v>
      </c>
      <c r="P1909" s="9">
        <f>revenue[orderTotal]*(1-revenue[discountApllied])</f>
        <v>195</v>
      </c>
      <c r="Q1909" s="9">
        <f>revenue[revenue]-(revenue[productCost]*revenue[orderQuantity])</f>
        <v>55.51462273</v>
      </c>
      <c r="R1909" s="25">
        <f>IFERROR(revenue[profit]/revenue[revenue], 0)</f>
        <v>0.284690373</v>
      </c>
      <c r="S1909" s="9">
        <f>revenue[productCost]*revenue[orderQuantity]</f>
        <v>139.4853773</v>
      </c>
    </row>
    <row r="1910" ht="15.75" customHeight="1">
      <c r="A1910" s="6">
        <v>10987.0</v>
      </c>
      <c r="B1910" s="7" t="s">
        <v>73</v>
      </c>
      <c r="C1910" s="24" t="str">
        <f>VLOOKUP(revenue[customerID],customers[],2,FALSE)</f>
        <v>Eastern Connection</v>
      </c>
      <c r="D1910" s="24" t="str">
        <f>VLOOKUP(revenue[customerID],customers[],6,FALSE)</f>
        <v>London</v>
      </c>
      <c r="E1910" s="24" t="str">
        <f>VLOOKUP(revenue[customerID],customers[],9,FALSE)</f>
        <v>UK</v>
      </c>
      <c r="F1910" s="24">
        <v>45382.0</v>
      </c>
      <c r="G1910" s="6">
        <v>7.0</v>
      </c>
      <c r="H1910" s="9" t="str">
        <f>VLOOKUP(revenue[productID],products[],2,FALSE)</f>
        <v>Uncle Bob's Organic Dried Pears</v>
      </c>
      <c r="I1910" s="9" t="str">
        <f>VLOOKUP(revenue[productID],products[],12,FALSE)</f>
        <v>Produce</v>
      </c>
      <c r="J1910" s="9">
        <f>VLOOKUP(revenue[productID],products[],IF(YEAR(revenue[orderDate])=2022,8,IF(YEAR(revenue[orderDate])=2023,9,IF(YEAR(revenue[orderDate])=2024,10,NA))),FALSE)</f>
        <v>23.52222246</v>
      </c>
      <c r="K1910" s="9">
        <v>30.0</v>
      </c>
      <c r="L1910" s="25">
        <f>(revenue[orderPrice]-revenue[productCost])/revenue[productCost]</f>
        <v>0.2753896894</v>
      </c>
      <c r="M1910" s="10">
        <v>60.0</v>
      </c>
      <c r="N1910" s="25">
        <v>0.0</v>
      </c>
      <c r="O1910" s="9">
        <f>revenue[orderPrice]*revenue[orderQuantity]</f>
        <v>1800</v>
      </c>
      <c r="P1910" s="9">
        <f>revenue[orderTotal]*(1-revenue[discountApllied])</f>
        <v>1800</v>
      </c>
      <c r="Q1910" s="9">
        <f>revenue[revenue]-(revenue[productCost]*revenue[orderQuantity])</f>
        <v>388.6666522</v>
      </c>
      <c r="R1910" s="25">
        <f>IFERROR(revenue[profit]/revenue[revenue], 0)</f>
        <v>0.2159259179</v>
      </c>
      <c r="S1910" s="9">
        <f>revenue[productCost]*revenue[orderQuantity]</f>
        <v>1411.333348</v>
      </c>
    </row>
    <row r="1911" ht="15.75" customHeight="1">
      <c r="A1911" s="6">
        <v>10987.0</v>
      </c>
      <c r="B1911" s="7" t="s">
        <v>73</v>
      </c>
      <c r="C1911" s="24" t="str">
        <f>VLOOKUP(revenue[customerID],customers[],2,FALSE)</f>
        <v>Eastern Connection</v>
      </c>
      <c r="D1911" s="24" t="str">
        <f>VLOOKUP(revenue[customerID],customers[],6,FALSE)</f>
        <v>London</v>
      </c>
      <c r="E1911" s="24" t="str">
        <f>VLOOKUP(revenue[customerID],customers[],9,FALSE)</f>
        <v>UK</v>
      </c>
      <c r="F1911" s="24">
        <v>45382.0</v>
      </c>
      <c r="G1911" s="6">
        <v>43.0</v>
      </c>
      <c r="H1911" s="9" t="str">
        <f>VLOOKUP(revenue[productID],products[],2,FALSE)</f>
        <v>Ipoh Coffee</v>
      </c>
      <c r="I1911" s="9" t="str">
        <f>VLOOKUP(revenue[productID],products[],12,FALSE)</f>
        <v>Beverages</v>
      </c>
      <c r="J1911" s="9">
        <f>VLOOKUP(revenue[productID],products[],IF(YEAR(revenue[orderDate])=2022,8,IF(YEAR(revenue[orderDate])=2023,9,IF(YEAR(revenue[orderDate])=2024,10,NA))),FALSE)</f>
        <v>30.97984738</v>
      </c>
      <c r="K1911" s="9">
        <v>46.0</v>
      </c>
      <c r="L1911" s="25">
        <f>(revenue[orderPrice]-revenue[productCost])/revenue[productCost]</f>
        <v>0.484836237</v>
      </c>
      <c r="M1911" s="10">
        <v>6.0</v>
      </c>
      <c r="N1911" s="25">
        <v>0.0</v>
      </c>
      <c r="O1911" s="9">
        <f>revenue[orderPrice]*revenue[orderQuantity]</f>
        <v>276</v>
      </c>
      <c r="P1911" s="9">
        <f>revenue[orderTotal]*(1-revenue[discountApllied])</f>
        <v>276</v>
      </c>
      <c r="Q1911" s="9">
        <f>revenue[revenue]-(revenue[productCost]*revenue[orderQuantity])</f>
        <v>90.12091575</v>
      </c>
      <c r="R1911" s="25">
        <f>IFERROR(revenue[profit]/revenue[revenue], 0)</f>
        <v>0.3265250571</v>
      </c>
      <c r="S1911" s="9">
        <f>revenue[productCost]*revenue[orderQuantity]</f>
        <v>185.8790843</v>
      </c>
    </row>
    <row r="1912" ht="15.75" customHeight="1">
      <c r="A1912" s="6">
        <v>10987.0</v>
      </c>
      <c r="B1912" s="7" t="s">
        <v>73</v>
      </c>
      <c r="C1912" s="24" t="str">
        <f>VLOOKUP(revenue[customerID],customers[],2,FALSE)</f>
        <v>Eastern Connection</v>
      </c>
      <c r="D1912" s="24" t="str">
        <f>VLOOKUP(revenue[customerID],customers[],6,FALSE)</f>
        <v>London</v>
      </c>
      <c r="E1912" s="24" t="str">
        <f>VLOOKUP(revenue[customerID],customers[],9,FALSE)</f>
        <v>UK</v>
      </c>
      <c r="F1912" s="24">
        <v>45382.0</v>
      </c>
      <c r="G1912" s="6">
        <v>72.0</v>
      </c>
      <c r="H1912" s="9" t="str">
        <f>VLOOKUP(revenue[productID],products[],2,FALSE)</f>
        <v>Mozzarella di Giovanni</v>
      </c>
      <c r="I1912" s="9" t="str">
        <f>VLOOKUP(revenue[productID],products[],12,FALSE)</f>
        <v>Dairy Products</v>
      </c>
      <c r="J1912" s="9">
        <f>VLOOKUP(revenue[productID],products[],IF(YEAR(revenue[orderDate])=2022,8,IF(YEAR(revenue[orderDate])=2023,9,IF(YEAR(revenue[orderDate])=2024,10,NA))),FALSE)</f>
        <v>24.35057898</v>
      </c>
      <c r="K1912" s="9">
        <v>34.8</v>
      </c>
      <c r="L1912" s="25">
        <f>(revenue[orderPrice]-revenue[productCost])/revenue[productCost]</f>
        <v>0.4291241297</v>
      </c>
      <c r="M1912" s="10">
        <v>20.0</v>
      </c>
      <c r="N1912" s="25">
        <v>0.0</v>
      </c>
      <c r="O1912" s="9">
        <f>revenue[orderPrice]*revenue[orderQuantity]</f>
        <v>696</v>
      </c>
      <c r="P1912" s="9">
        <f>revenue[orderTotal]*(1-revenue[discountApllied])</f>
        <v>696</v>
      </c>
      <c r="Q1912" s="9">
        <f>revenue[revenue]-(revenue[productCost]*revenue[orderQuantity])</f>
        <v>208.9884203</v>
      </c>
      <c r="R1912" s="25">
        <f>IFERROR(revenue[profit]/revenue[revenue], 0)</f>
        <v>0.3002707188</v>
      </c>
      <c r="S1912" s="9">
        <f>revenue[productCost]*revenue[orderQuantity]</f>
        <v>487.0115797</v>
      </c>
    </row>
    <row r="1913" ht="15.75" customHeight="1">
      <c r="A1913" s="6">
        <v>10988.0</v>
      </c>
      <c r="B1913" s="7" t="s">
        <v>28</v>
      </c>
      <c r="C1913" s="24" t="str">
        <f>VLOOKUP(revenue[customerID],customers[],2,FALSE)</f>
        <v>Rattlesnake Canyon Grocery</v>
      </c>
      <c r="D1913" s="24" t="str">
        <f>VLOOKUP(revenue[customerID],customers[],6,FALSE)</f>
        <v>Albuquerque</v>
      </c>
      <c r="E1913" s="24" t="str">
        <f>VLOOKUP(revenue[customerID],customers[],9,FALSE)</f>
        <v>USA</v>
      </c>
      <c r="F1913" s="24">
        <v>45382.0</v>
      </c>
      <c r="G1913" s="6">
        <v>7.0</v>
      </c>
      <c r="H1913" s="9" t="str">
        <f>VLOOKUP(revenue[productID],products[],2,FALSE)</f>
        <v>Uncle Bob's Organic Dried Pears</v>
      </c>
      <c r="I1913" s="9" t="str">
        <f>VLOOKUP(revenue[productID],products[],12,FALSE)</f>
        <v>Produce</v>
      </c>
      <c r="J1913" s="9">
        <f>VLOOKUP(revenue[productID],products[],IF(YEAR(revenue[orderDate])=2022,8,IF(YEAR(revenue[orderDate])=2023,9,IF(YEAR(revenue[orderDate])=2024,10,NA))),FALSE)</f>
        <v>23.52222246</v>
      </c>
      <c r="K1913" s="9">
        <v>30.0</v>
      </c>
      <c r="L1913" s="25">
        <f>(revenue[orderPrice]-revenue[productCost])/revenue[productCost]</f>
        <v>0.2753896894</v>
      </c>
      <c r="M1913" s="10">
        <v>60.0</v>
      </c>
      <c r="N1913" s="25">
        <v>0.0</v>
      </c>
      <c r="O1913" s="9">
        <f>revenue[orderPrice]*revenue[orderQuantity]</f>
        <v>1800</v>
      </c>
      <c r="P1913" s="9">
        <f>revenue[orderTotal]*(1-revenue[discountApllied])</f>
        <v>1800</v>
      </c>
      <c r="Q1913" s="9">
        <f>revenue[revenue]-(revenue[productCost]*revenue[orderQuantity])</f>
        <v>388.6666522</v>
      </c>
      <c r="R1913" s="25">
        <f>IFERROR(revenue[profit]/revenue[revenue], 0)</f>
        <v>0.2159259179</v>
      </c>
      <c r="S1913" s="9">
        <f>revenue[productCost]*revenue[orderQuantity]</f>
        <v>1411.333348</v>
      </c>
    </row>
    <row r="1914" ht="15.75" customHeight="1">
      <c r="A1914" s="6">
        <v>10988.0</v>
      </c>
      <c r="B1914" s="7" t="s">
        <v>28</v>
      </c>
      <c r="C1914" s="24" t="str">
        <f>VLOOKUP(revenue[customerID],customers[],2,FALSE)</f>
        <v>Rattlesnake Canyon Grocery</v>
      </c>
      <c r="D1914" s="24" t="str">
        <f>VLOOKUP(revenue[customerID],customers[],6,FALSE)</f>
        <v>Albuquerque</v>
      </c>
      <c r="E1914" s="24" t="str">
        <f>VLOOKUP(revenue[customerID],customers[],9,FALSE)</f>
        <v>USA</v>
      </c>
      <c r="F1914" s="24">
        <v>45382.0</v>
      </c>
      <c r="G1914" s="6">
        <v>62.0</v>
      </c>
      <c r="H1914" s="9" t="str">
        <f>VLOOKUP(revenue[productID],products[],2,FALSE)</f>
        <v>Tarte au sucre</v>
      </c>
      <c r="I1914" s="9" t="str">
        <f>VLOOKUP(revenue[productID],products[],12,FALSE)</f>
        <v>Confections</v>
      </c>
      <c r="J1914" s="9">
        <f>VLOOKUP(revenue[productID],products[],IF(YEAR(revenue[orderDate])=2022,8,IF(YEAR(revenue[orderDate])=2023,9,IF(YEAR(revenue[orderDate])=2024,10,NA))),FALSE)</f>
        <v>34.88145014</v>
      </c>
      <c r="K1914" s="9">
        <v>49.3</v>
      </c>
      <c r="L1914" s="25">
        <f>(revenue[orderPrice]-revenue[productCost])/revenue[productCost]</f>
        <v>0.4133586705</v>
      </c>
      <c r="M1914" s="10">
        <v>40.0</v>
      </c>
      <c r="N1914" s="25">
        <v>0.1</v>
      </c>
      <c r="O1914" s="9">
        <f>revenue[orderPrice]*revenue[orderQuantity]</f>
        <v>1972</v>
      </c>
      <c r="P1914" s="9">
        <f>revenue[orderTotal]*(1-revenue[discountApllied])</f>
        <v>1774.8</v>
      </c>
      <c r="Q1914" s="9">
        <f>revenue[revenue]-(revenue[productCost]*revenue[orderQuantity])</f>
        <v>379.5419943</v>
      </c>
      <c r="R1914" s="25">
        <f>IFERROR(revenue[profit]/revenue[revenue], 0)</f>
        <v>0.2138505715</v>
      </c>
      <c r="S1914" s="9">
        <f>revenue[productCost]*revenue[orderQuantity]</f>
        <v>1395.258006</v>
      </c>
    </row>
    <row r="1915" ht="15.75" customHeight="1">
      <c r="A1915" s="6">
        <v>10989.0</v>
      </c>
      <c r="B1915" s="7" t="s">
        <v>27</v>
      </c>
      <c r="C1915" s="24" t="str">
        <f>VLOOKUP(revenue[customerID],customers[],2,FALSE)</f>
        <v>Que Delícia</v>
      </c>
      <c r="D1915" s="24" t="str">
        <f>VLOOKUP(revenue[customerID],customers[],6,FALSE)</f>
        <v>Rio de Janeiro</v>
      </c>
      <c r="E1915" s="24" t="str">
        <f>VLOOKUP(revenue[customerID],customers[],9,FALSE)</f>
        <v>Brazil</v>
      </c>
      <c r="F1915" s="24">
        <v>45382.0</v>
      </c>
      <c r="G1915" s="6">
        <v>6.0</v>
      </c>
      <c r="H1915" s="9" t="str">
        <f>VLOOKUP(revenue[productID],products[],2,FALSE)</f>
        <v>Grandma's Boysenberry Spread</v>
      </c>
      <c r="I1915" s="9" t="str">
        <f>VLOOKUP(revenue[productID],products[],12,FALSE)</f>
        <v>Condiments</v>
      </c>
      <c r="J1915" s="9">
        <f>VLOOKUP(revenue[productID],products[],IF(YEAR(revenue[orderDate])=2022,8,IF(YEAR(revenue[orderDate])=2023,9,IF(YEAR(revenue[orderDate])=2024,10,NA))),FALSE)</f>
        <v>17.2416593</v>
      </c>
      <c r="K1915" s="9">
        <v>25.0</v>
      </c>
      <c r="L1915" s="25">
        <f>(revenue[orderPrice]-revenue[productCost])/revenue[productCost]</f>
        <v>0.4499764532</v>
      </c>
      <c r="M1915" s="10">
        <v>40.0</v>
      </c>
      <c r="N1915" s="25">
        <v>0.0</v>
      </c>
      <c r="O1915" s="9">
        <f>revenue[orderPrice]*revenue[orderQuantity]</f>
        <v>1000</v>
      </c>
      <c r="P1915" s="9">
        <f>revenue[orderTotal]*(1-revenue[discountApllied])</f>
        <v>1000</v>
      </c>
      <c r="Q1915" s="9">
        <f>revenue[revenue]-(revenue[productCost]*revenue[orderQuantity])</f>
        <v>310.333628</v>
      </c>
      <c r="R1915" s="25">
        <f>IFERROR(revenue[profit]/revenue[revenue], 0)</f>
        <v>0.310333628</v>
      </c>
      <c r="S1915" s="9">
        <f>revenue[productCost]*revenue[orderQuantity]</f>
        <v>689.666372</v>
      </c>
    </row>
    <row r="1916" ht="15.75" customHeight="1">
      <c r="A1916" s="6">
        <v>10989.0</v>
      </c>
      <c r="B1916" s="7" t="s">
        <v>27</v>
      </c>
      <c r="C1916" s="24" t="str">
        <f>VLOOKUP(revenue[customerID],customers[],2,FALSE)</f>
        <v>Que Delícia</v>
      </c>
      <c r="D1916" s="24" t="str">
        <f>VLOOKUP(revenue[customerID],customers[],6,FALSE)</f>
        <v>Rio de Janeiro</v>
      </c>
      <c r="E1916" s="24" t="str">
        <f>VLOOKUP(revenue[customerID],customers[],9,FALSE)</f>
        <v>Brazil</v>
      </c>
      <c r="F1916" s="24">
        <v>45382.0</v>
      </c>
      <c r="G1916" s="6">
        <v>11.0</v>
      </c>
      <c r="H1916" s="9" t="str">
        <f>VLOOKUP(revenue[productID],products[],2,FALSE)</f>
        <v>Queso Cabrales</v>
      </c>
      <c r="I1916" s="9" t="str">
        <f>VLOOKUP(revenue[productID],products[],12,FALSE)</f>
        <v>Dairy Products</v>
      </c>
      <c r="J1916" s="9">
        <f>VLOOKUP(revenue[productID],products[],IF(YEAR(revenue[orderDate])=2022,8,IF(YEAR(revenue[orderDate])=2023,9,IF(YEAR(revenue[orderDate])=2024,10,NA))),FALSE)</f>
        <v>13.86836261</v>
      </c>
      <c r="K1916" s="9">
        <v>21.0</v>
      </c>
      <c r="L1916" s="25">
        <f>(revenue[orderPrice]-revenue[productCost])/revenue[productCost]</f>
        <v>0.51423788</v>
      </c>
      <c r="M1916" s="10">
        <v>15.0</v>
      </c>
      <c r="N1916" s="25">
        <v>0.0</v>
      </c>
      <c r="O1916" s="9">
        <f>revenue[orderPrice]*revenue[orderQuantity]</f>
        <v>315</v>
      </c>
      <c r="P1916" s="9">
        <f>revenue[orderTotal]*(1-revenue[discountApllied])</f>
        <v>315</v>
      </c>
      <c r="Q1916" s="9">
        <f>revenue[revenue]-(revenue[productCost]*revenue[orderQuantity])</f>
        <v>106.9745608</v>
      </c>
      <c r="R1916" s="25">
        <f>IFERROR(revenue[profit]/revenue[revenue], 0)</f>
        <v>0.3396017804</v>
      </c>
      <c r="S1916" s="9">
        <f>revenue[productCost]*revenue[orderQuantity]</f>
        <v>208.0254392</v>
      </c>
    </row>
    <row r="1917" ht="15.75" customHeight="1">
      <c r="A1917" s="6">
        <v>10989.0</v>
      </c>
      <c r="B1917" s="7" t="s">
        <v>27</v>
      </c>
      <c r="C1917" s="24" t="str">
        <f>VLOOKUP(revenue[customerID],customers[],2,FALSE)</f>
        <v>Que Delícia</v>
      </c>
      <c r="D1917" s="24" t="str">
        <f>VLOOKUP(revenue[customerID],customers[],6,FALSE)</f>
        <v>Rio de Janeiro</v>
      </c>
      <c r="E1917" s="24" t="str">
        <f>VLOOKUP(revenue[customerID],customers[],9,FALSE)</f>
        <v>Brazil</v>
      </c>
      <c r="F1917" s="24">
        <v>45382.0</v>
      </c>
      <c r="G1917" s="6">
        <v>41.0</v>
      </c>
      <c r="H1917" s="9" t="str">
        <f>VLOOKUP(revenue[productID],products[],2,FALSE)</f>
        <v>Jack's New England Clam Chowder</v>
      </c>
      <c r="I1917" s="9" t="str">
        <f>VLOOKUP(revenue[productID],products[],12,FALSE)</f>
        <v>Seafood</v>
      </c>
      <c r="J1917" s="9">
        <f>VLOOKUP(revenue[productID],products[],IF(YEAR(revenue[orderDate])=2022,8,IF(YEAR(revenue[orderDate])=2023,9,IF(YEAR(revenue[orderDate])=2024,10,NA))),FALSE)</f>
        <v>6.611787882</v>
      </c>
      <c r="K1917" s="9">
        <v>9.65</v>
      </c>
      <c r="L1917" s="25">
        <f>(revenue[orderPrice]-revenue[productCost])/revenue[productCost]</f>
        <v>0.459514457</v>
      </c>
      <c r="M1917" s="10">
        <v>4.0</v>
      </c>
      <c r="N1917" s="25">
        <v>0.0</v>
      </c>
      <c r="O1917" s="9">
        <f>revenue[orderPrice]*revenue[orderQuantity]</f>
        <v>38.6</v>
      </c>
      <c r="P1917" s="9">
        <f>revenue[orderTotal]*(1-revenue[discountApllied])</f>
        <v>38.6</v>
      </c>
      <c r="Q1917" s="9">
        <f>revenue[revenue]-(revenue[productCost]*revenue[orderQuantity])</f>
        <v>12.15284847</v>
      </c>
      <c r="R1917" s="25">
        <f>IFERROR(revenue[profit]/revenue[revenue], 0)</f>
        <v>0.314840634</v>
      </c>
      <c r="S1917" s="9">
        <f>revenue[productCost]*revenue[orderQuantity]</f>
        <v>26.44715153</v>
      </c>
    </row>
    <row r="1918" ht="15.75" customHeight="1">
      <c r="A1918" s="6">
        <v>10990.0</v>
      </c>
      <c r="B1918" s="7" t="s">
        <v>24</v>
      </c>
      <c r="C1918" s="24" t="str">
        <f>VLOOKUP(revenue[customerID],customers[],2,FALSE)</f>
        <v>Ernst Handel</v>
      </c>
      <c r="D1918" s="24" t="str">
        <f>VLOOKUP(revenue[customerID],customers[],6,FALSE)</f>
        <v>Graz</v>
      </c>
      <c r="E1918" s="24" t="str">
        <f>VLOOKUP(revenue[customerID],customers[],9,FALSE)</f>
        <v>Austria</v>
      </c>
      <c r="F1918" s="24">
        <v>45383.0</v>
      </c>
      <c r="G1918" s="6">
        <v>21.0</v>
      </c>
      <c r="H1918" s="9" t="str">
        <f>VLOOKUP(revenue[productID],products[],2,FALSE)</f>
        <v>Sir Rodney's Scones</v>
      </c>
      <c r="I1918" s="9" t="str">
        <f>VLOOKUP(revenue[productID],products[],12,FALSE)</f>
        <v>Confections</v>
      </c>
      <c r="J1918" s="9">
        <f>VLOOKUP(revenue[productID],products[],IF(YEAR(revenue[orderDate])=2022,8,IF(YEAR(revenue[orderDate])=2023,9,IF(YEAR(revenue[orderDate])=2024,10,NA))),FALSE)</f>
        <v>7.459897593</v>
      </c>
      <c r="K1918" s="9">
        <v>10.0</v>
      </c>
      <c r="L1918" s="25">
        <f>(revenue[orderPrice]-revenue[productCost])/revenue[productCost]</f>
        <v>0.3405009753</v>
      </c>
      <c r="M1918" s="10">
        <v>65.0</v>
      </c>
      <c r="N1918" s="25">
        <v>0.0</v>
      </c>
      <c r="O1918" s="9">
        <f>revenue[orderPrice]*revenue[orderQuantity]</f>
        <v>650</v>
      </c>
      <c r="P1918" s="9">
        <f>revenue[orderTotal]*(1-revenue[discountApllied])</f>
        <v>650</v>
      </c>
      <c r="Q1918" s="9">
        <f>revenue[revenue]-(revenue[productCost]*revenue[orderQuantity])</f>
        <v>165.1066564</v>
      </c>
      <c r="R1918" s="25">
        <f>IFERROR(revenue[profit]/revenue[revenue], 0)</f>
        <v>0.2540102407</v>
      </c>
      <c r="S1918" s="9">
        <f>revenue[productCost]*revenue[orderQuantity]</f>
        <v>484.8933436</v>
      </c>
    </row>
    <row r="1919" ht="15.75" customHeight="1">
      <c r="A1919" s="6">
        <v>10990.0</v>
      </c>
      <c r="B1919" s="7" t="s">
        <v>24</v>
      </c>
      <c r="C1919" s="24" t="str">
        <f>VLOOKUP(revenue[customerID],customers[],2,FALSE)</f>
        <v>Ernst Handel</v>
      </c>
      <c r="D1919" s="24" t="str">
        <f>VLOOKUP(revenue[customerID],customers[],6,FALSE)</f>
        <v>Graz</v>
      </c>
      <c r="E1919" s="24" t="str">
        <f>VLOOKUP(revenue[customerID],customers[],9,FALSE)</f>
        <v>Austria</v>
      </c>
      <c r="F1919" s="24">
        <v>45383.0</v>
      </c>
      <c r="G1919" s="6">
        <v>34.0</v>
      </c>
      <c r="H1919" s="9" t="str">
        <f>VLOOKUP(revenue[productID],products[],2,FALSE)</f>
        <v>Sasquatch Ale</v>
      </c>
      <c r="I1919" s="9" t="str">
        <f>VLOOKUP(revenue[productID],products[],12,FALSE)</f>
        <v>Beverages</v>
      </c>
      <c r="J1919" s="9">
        <f>VLOOKUP(revenue[productID],products[],IF(YEAR(revenue[orderDate])=2022,8,IF(YEAR(revenue[orderDate])=2023,9,IF(YEAR(revenue[orderDate])=2024,10,NA))),FALSE)</f>
        <v>10.07231561</v>
      </c>
      <c r="K1919" s="9">
        <v>14.0</v>
      </c>
      <c r="L1919" s="25">
        <f>(revenue[orderPrice]-revenue[productCost])/revenue[productCost]</f>
        <v>0.389948503</v>
      </c>
      <c r="M1919" s="10">
        <v>60.0</v>
      </c>
      <c r="N1919" s="25">
        <v>0.15</v>
      </c>
      <c r="O1919" s="9">
        <f>revenue[orderPrice]*revenue[orderQuantity]</f>
        <v>840</v>
      </c>
      <c r="P1919" s="9">
        <f>revenue[orderTotal]*(1-revenue[discountApllied])</f>
        <v>714</v>
      </c>
      <c r="Q1919" s="9">
        <f>revenue[revenue]-(revenue[productCost]*revenue[orderQuantity])</f>
        <v>109.6610635</v>
      </c>
      <c r="R1919" s="25">
        <f>IFERROR(revenue[profit]/revenue[revenue], 0)</f>
        <v>0.1535869237</v>
      </c>
      <c r="S1919" s="9">
        <f>revenue[productCost]*revenue[orderQuantity]</f>
        <v>604.3389365</v>
      </c>
    </row>
    <row r="1920" ht="15.75" customHeight="1">
      <c r="A1920" s="6">
        <v>10990.0</v>
      </c>
      <c r="B1920" s="7" t="s">
        <v>24</v>
      </c>
      <c r="C1920" s="24" t="str">
        <f>VLOOKUP(revenue[customerID],customers[],2,FALSE)</f>
        <v>Ernst Handel</v>
      </c>
      <c r="D1920" s="24" t="str">
        <f>VLOOKUP(revenue[customerID],customers[],6,FALSE)</f>
        <v>Graz</v>
      </c>
      <c r="E1920" s="24" t="str">
        <f>VLOOKUP(revenue[customerID],customers[],9,FALSE)</f>
        <v>Austria</v>
      </c>
      <c r="F1920" s="24">
        <v>45383.0</v>
      </c>
      <c r="G1920" s="6">
        <v>55.0</v>
      </c>
      <c r="H1920" s="9" t="str">
        <f>VLOOKUP(revenue[productID],products[],2,FALSE)</f>
        <v>Pâté chinois</v>
      </c>
      <c r="I1920" s="9" t="str">
        <f>VLOOKUP(revenue[productID],products[],12,FALSE)</f>
        <v>Meat/Poultry</v>
      </c>
      <c r="J1920" s="9">
        <f>VLOOKUP(revenue[productID],products[],IF(YEAR(revenue[orderDate])=2022,8,IF(YEAR(revenue[orderDate])=2023,9,IF(YEAR(revenue[orderDate])=2024,10,NA))),FALSE)</f>
        <v>16.95998522</v>
      </c>
      <c r="K1920" s="9">
        <v>24.0</v>
      </c>
      <c r="L1920" s="25">
        <f>(revenue[orderPrice]-revenue[productCost])/revenue[productCost]</f>
        <v>0.4150955727</v>
      </c>
      <c r="M1920" s="10">
        <v>65.0</v>
      </c>
      <c r="N1920" s="25">
        <v>0.15</v>
      </c>
      <c r="O1920" s="9">
        <f>revenue[orderPrice]*revenue[orderQuantity]</f>
        <v>1560</v>
      </c>
      <c r="P1920" s="9">
        <f>revenue[orderTotal]*(1-revenue[discountApllied])</f>
        <v>1326</v>
      </c>
      <c r="Q1920" s="9">
        <f>revenue[revenue]-(revenue[productCost]*revenue[orderQuantity])</f>
        <v>223.6009606</v>
      </c>
      <c r="R1920" s="25">
        <f>IFERROR(revenue[profit]/revenue[revenue], 0)</f>
        <v>0.1686281754</v>
      </c>
      <c r="S1920" s="9">
        <f>revenue[productCost]*revenue[orderQuantity]</f>
        <v>1102.399039</v>
      </c>
    </row>
    <row r="1921" ht="15.75" customHeight="1">
      <c r="A1921" s="6">
        <v>10990.0</v>
      </c>
      <c r="B1921" s="7" t="s">
        <v>24</v>
      </c>
      <c r="C1921" s="24" t="str">
        <f>VLOOKUP(revenue[customerID],customers[],2,FALSE)</f>
        <v>Ernst Handel</v>
      </c>
      <c r="D1921" s="24" t="str">
        <f>VLOOKUP(revenue[customerID],customers[],6,FALSE)</f>
        <v>Graz</v>
      </c>
      <c r="E1921" s="24" t="str">
        <f>VLOOKUP(revenue[customerID],customers[],9,FALSE)</f>
        <v>Austria</v>
      </c>
      <c r="F1921" s="24">
        <v>45383.0</v>
      </c>
      <c r="G1921" s="6">
        <v>61.0</v>
      </c>
      <c r="H1921" s="9" t="str">
        <f>VLOOKUP(revenue[productID],products[],2,FALSE)</f>
        <v>Sirop d'érable</v>
      </c>
      <c r="I1921" s="9" t="str">
        <f>VLOOKUP(revenue[productID],products[],12,FALSE)</f>
        <v>Condiments</v>
      </c>
      <c r="J1921" s="9">
        <f>VLOOKUP(revenue[productID],products[],IF(YEAR(revenue[orderDate])=2022,8,IF(YEAR(revenue[orderDate])=2023,9,IF(YEAR(revenue[orderDate])=2024,10,NA))),FALSE)</f>
        <v>18.74487379</v>
      </c>
      <c r="K1921" s="9">
        <v>28.5</v>
      </c>
      <c r="L1921" s="25">
        <f>(revenue[orderPrice]-revenue[productCost])/revenue[productCost]</f>
        <v>0.5204156786</v>
      </c>
      <c r="M1921" s="10">
        <v>66.0</v>
      </c>
      <c r="N1921" s="25">
        <v>0.15</v>
      </c>
      <c r="O1921" s="9">
        <f>revenue[orderPrice]*revenue[orderQuantity]</f>
        <v>1881</v>
      </c>
      <c r="P1921" s="9">
        <f>revenue[orderTotal]*(1-revenue[discountApllied])</f>
        <v>1598.85</v>
      </c>
      <c r="Q1921" s="9">
        <f>revenue[revenue]-(revenue[productCost]*revenue[orderQuantity])</f>
        <v>361.68833</v>
      </c>
      <c r="R1921" s="25">
        <f>IFERROR(revenue[profit]/revenue[revenue], 0)</f>
        <v>0.2262178003</v>
      </c>
      <c r="S1921" s="9">
        <f>revenue[productCost]*revenue[orderQuantity]</f>
        <v>1237.16167</v>
      </c>
    </row>
    <row r="1922" ht="15.75" customHeight="1">
      <c r="A1922" s="6">
        <v>10991.0</v>
      </c>
      <c r="B1922" s="7" t="s">
        <v>36</v>
      </c>
      <c r="C1922" s="24" t="str">
        <f>VLOOKUP(revenue[customerID],customers[],2,FALSE)</f>
        <v>QUICK-Stop</v>
      </c>
      <c r="D1922" s="24" t="str">
        <f>VLOOKUP(revenue[customerID],customers[],6,FALSE)</f>
        <v>Cunewalde</v>
      </c>
      <c r="E1922" s="24" t="str">
        <f>VLOOKUP(revenue[customerID],customers[],9,FALSE)</f>
        <v>Germany</v>
      </c>
      <c r="F1922" s="24">
        <v>45383.0</v>
      </c>
      <c r="G1922" s="6">
        <v>2.0</v>
      </c>
      <c r="H1922" s="9" t="str">
        <f>VLOOKUP(revenue[productID],products[],2,FALSE)</f>
        <v>Chang</v>
      </c>
      <c r="I1922" s="9" t="str">
        <f>VLOOKUP(revenue[productID],products[],12,FALSE)</f>
        <v>Beverages</v>
      </c>
      <c r="J1922" s="9">
        <f>VLOOKUP(revenue[productID],products[],IF(YEAR(revenue[orderDate])=2022,8,IF(YEAR(revenue[orderDate])=2023,9,IF(YEAR(revenue[orderDate])=2024,10,NA))),FALSE)</f>
        <v>11.93843713</v>
      </c>
      <c r="K1922" s="9">
        <v>19.0</v>
      </c>
      <c r="L1922" s="25">
        <f>(revenue[orderPrice]-revenue[productCost])/revenue[productCost]</f>
        <v>0.591498099</v>
      </c>
      <c r="M1922" s="10">
        <v>50.0</v>
      </c>
      <c r="N1922" s="25">
        <v>0.2</v>
      </c>
      <c r="O1922" s="9">
        <f>revenue[orderPrice]*revenue[orderQuantity]</f>
        <v>950</v>
      </c>
      <c r="P1922" s="9">
        <f>revenue[orderTotal]*(1-revenue[discountApllied])</f>
        <v>760</v>
      </c>
      <c r="Q1922" s="9">
        <f>revenue[revenue]-(revenue[productCost]*revenue[orderQuantity])</f>
        <v>163.0781434</v>
      </c>
      <c r="R1922" s="25">
        <f>IFERROR(revenue[profit]/revenue[revenue], 0)</f>
        <v>0.2145765045</v>
      </c>
      <c r="S1922" s="9">
        <f>revenue[productCost]*revenue[orderQuantity]</f>
        <v>596.9218566</v>
      </c>
    </row>
    <row r="1923" ht="15.75" customHeight="1">
      <c r="A1923" s="6">
        <v>10991.0</v>
      </c>
      <c r="B1923" s="7" t="s">
        <v>36</v>
      </c>
      <c r="C1923" s="24" t="str">
        <f>VLOOKUP(revenue[customerID],customers[],2,FALSE)</f>
        <v>QUICK-Stop</v>
      </c>
      <c r="D1923" s="24" t="str">
        <f>VLOOKUP(revenue[customerID],customers[],6,FALSE)</f>
        <v>Cunewalde</v>
      </c>
      <c r="E1923" s="24" t="str">
        <f>VLOOKUP(revenue[customerID],customers[],9,FALSE)</f>
        <v>Germany</v>
      </c>
      <c r="F1923" s="24">
        <v>45383.0</v>
      </c>
      <c r="G1923" s="6">
        <v>70.0</v>
      </c>
      <c r="H1923" s="9" t="str">
        <f>VLOOKUP(revenue[productID],products[],2,FALSE)</f>
        <v>Outback Lager</v>
      </c>
      <c r="I1923" s="9" t="str">
        <f>VLOOKUP(revenue[productID],products[],12,FALSE)</f>
        <v>Beverages</v>
      </c>
      <c r="J1923" s="9">
        <f>VLOOKUP(revenue[productID],products[],IF(YEAR(revenue[orderDate])=2022,8,IF(YEAR(revenue[orderDate])=2023,9,IF(YEAR(revenue[orderDate])=2024,10,NA))),FALSE)</f>
        <v>10.03280812</v>
      </c>
      <c r="K1923" s="9">
        <v>15.0</v>
      </c>
      <c r="L1923" s="25">
        <f>(revenue[orderPrice]-revenue[productCost])/revenue[productCost]</f>
        <v>0.4950948747</v>
      </c>
      <c r="M1923" s="10">
        <v>20.0</v>
      </c>
      <c r="N1923" s="25">
        <v>0.2</v>
      </c>
      <c r="O1923" s="9">
        <f>revenue[orderPrice]*revenue[orderQuantity]</f>
        <v>300</v>
      </c>
      <c r="P1923" s="9">
        <f>revenue[orderTotal]*(1-revenue[discountApllied])</f>
        <v>240</v>
      </c>
      <c r="Q1923" s="9">
        <f>revenue[revenue]-(revenue[productCost]*revenue[orderQuantity])</f>
        <v>39.34383758</v>
      </c>
      <c r="R1923" s="25">
        <f>IFERROR(revenue[profit]/revenue[revenue], 0)</f>
        <v>0.1639326566</v>
      </c>
      <c r="S1923" s="9">
        <f>revenue[productCost]*revenue[orderQuantity]</f>
        <v>200.6561624</v>
      </c>
    </row>
    <row r="1924" ht="15.75" customHeight="1">
      <c r="A1924" s="6">
        <v>10991.0</v>
      </c>
      <c r="B1924" s="7" t="s">
        <v>36</v>
      </c>
      <c r="C1924" s="24" t="str">
        <f>VLOOKUP(revenue[customerID],customers[],2,FALSE)</f>
        <v>QUICK-Stop</v>
      </c>
      <c r="D1924" s="24" t="str">
        <f>VLOOKUP(revenue[customerID],customers[],6,FALSE)</f>
        <v>Cunewalde</v>
      </c>
      <c r="E1924" s="24" t="str">
        <f>VLOOKUP(revenue[customerID],customers[],9,FALSE)</f>
        <v>Germany</v>
      </c>
      <c r="F1924" s="24">
        <v>45383.0</v>
      </c>
      <c r="G1924" s="6">
        <v>76.0</v>
      </c>
      <c r="H1924" s="9" t="str">
        <f>VLOOKUP(revenue[productID],products[],2,FALSE)</f>
        <v>Lakkalikööri</v>
      </c>
      <c r="I1924" s="9" t="str">
        <f>VLOOKUP(revenue[productID],products[],12,FALSE)</f>
        <v>Beverages</v>
      </c>
      <c r="J1924" s="9">
        <f>VLOOKUP(revenue[productID],products[],IF(YEAR(revenue[orderDate])=2022,8,IF(YEAR(revenue[orderDate])=2023,9,IF(YEAR(revenue[orderDate])=2024,10,NA))),FALSE)</f>
        <v>12.15832249</v>
      </c>
      <c r="K1924" s="9">
        <v>18.0</v>
      </c>
      <c r="L1924" s="25">
        <f>(revenue[orderPrice]-revenue[productCost])/revenue[productCost]</f>
        <v>0.4804673928</v>
      </c>
      <c r="M1924" s="10">
        <v>90.0</v>
      </c>
      <c r="N1924" s="25">
        <v>0.2</v>
      </c>
      <c r="O1924" s="9">
        <f>revenue[orderPrice]*revenue[orderQuantity]</f>
        <v>1620</v>
      </c>
      <c r="P1924" s="9">
        <f>revenue[orderTotal]*(1-revenue[discountApllied])</f>
        <v>1296</v>
      </c>
      <c r="Q1924" s="9">
        <f>revenue[revenue]-(revenue[productCost]*revenue[orderQuantity])</f>
        <v>201.7509758</v>
      </c>
      <c r="R1924" s="25">
        <f>IFERROR(revenue[profit]/revenue[revenue], 0)</f>
        <v>0.1556720492</v>
      </c>
      <c r="S1924" s="9">
        <f>revenue[productCost]*revenue[orderQuantity]</f>
        <v>1094.249024</v>
      </c>
    </row>
    <row r="1925" ht="15.75" customHeight="1">
      <c r="A1925" s="6">
        <v>10992.0</v>
      </c>
      <c r="B1925" s="7" t="s">
        <v>55</v>
      </c>
      <c r="C1925" s="24" t="str">
        <f>VLOOKUP(revenue[customerID],customers[],2,FALSE)</f>
        <v>The Big Cheese</v>
      </c>
      <c r="D1925" s="24" t="str">
        <f>VLOOKUP(revenue[customerID],customers[],6,FALSE)</f>
        <v>Portland</v>
      </c>
      <c r="E1925" s="24" t="str">
        <f>VLOOKUP(revenue[customerID],customers[],9,FALSE)</f>
        <v>USA</v>
      </c>
      <c r="F1925" s="24">
        <v>45383.0</v>
      </c>
      <c r="G1925" s="6">
        <v>72.0</v>
      </c>
      <c r="H1925" s="9" t="str">
        <f>VLOOKUP(revenue[productID],products[],2,FALSE)</f>
        <v>Mozzarella di Giovanni</v>
      </c>
      <c r="I1925" s="9" t="str">
        <f>VLOOKUP(revenue[productID],products[],12,FALSE)</f>
        <v>Dairy Products</v>
      </c>
      <c r="J1925" s="9">
        <f>VLOOKUP(revenue[productID],products[],IF(YEAR(revenue[orderDate])=2022,8,IF(YEAR(revenue[orderDate])=2023,9,IF(YEAR(revenue[orderDate])=2024,10,NA))),FALSE)</f>
        <v>24.35057898</v>
      </c>
      <c r="K1925" s="9">
        <v>34.8</v>
      </c>
      <c r="L1925" s="25">
        <f>(revenue[orderPrice]-revenue[productCost])/revenue[productCost]</f>
        <v>0.4291241297</v>
      </c>
      <c r="M1925" s="10">
        <v>2.0</v>
      </c>
      <c r="N1925" s="25">
        <v>0.0</v>
      </c>
      <c r="O1925" s="9">
        <f>revenue[orderPrice]*revenue[orderQuantity]</f>
        <v>69.6</v>
      </c>
      <c r="P1925" s="9">
        <f>revenue[orderTotal]*(1-revenue[discountApllied])</f>
        <v>69.6</v>
      </c>
      <c r="Q1925" s="9">
        <f>revenue[revenue]-(revenue[productCost]*revenue[orderQuantity])</f>
        <v>20.89884203</v>
      </c>
      <c r="R1925" s="25">
        <f>IFERROR(revenue[profit]/revenue[revenue], 0)</f>
        <v>0.3002707188</v>
      </c>
      <c r="S1925" s="9">
        <f>revenue[productCost]*revenue[orderQuantity]</f>
        <v>48.70115797</v>
      </c>
    </row>
    <row r="1926" ht="15.75" customHeight="1">
      <c r="A1926" s="6">
        <v>10993.0</v>
      </c>
      <c r="B1926" s="7" t="s">
        <v>29</v>
      </c>
      <c r="C1926" s="24" t="str">
        <f>VLOOKUP(revenue[customerID],customers[],2,FALSE)</f>
        <v>Folk och fä HB</v>
      </c>
      <c r="D1926" s="24" t="str">
        <f>VLOOKUP(revenue[customerID],customers[],6,FALSE)</f>
        <v>Bräcke</v>
      </c>
      <c r="E1926" s="24" t="str">
        <f>VLOOKUP(revenue[customerID],customers[],9,FALSE)</f>
        <v>Sweden</v>
      </c>
      <c r="F1926" s="24">
        <v>45383.0</v>
      </c>
      <c r="G1926" s="6">
        <v>29.0</v>
      </c>
      <c r="H1926" s="9" t="str">
        <f>VLOOKUP(revenue[productID],products[],2,FALSE)</f>
        <v>Thüringer Rostbratwurst</v>
      </c>
      <c r="I1926" s="9" t="str">
        <f>VLOOKUP(revenue[productID],products[],12,FALSE)</f>
        <v>Meat/Poultry</v>
      </c>
      <c r="J1926" s="9">
        <f>VLOOKUP(revenue[productID],products[],IF(YEAR(revenue[orderDate])=2022,8,IF(YEAR(revenue[orderDate])=2023,9,IF(YEAR(revenue[orderDate])=2024,10,NA))),FALSE)</f>
        <v>80.14595973</v>
      </c>
      <c r="K1926" s="9">
        <v>123.79</v>
      </c>
      <c r="L1926" s="25">
        <f>(revenue[orderPrice]-revenue[productCost])/revenue[productCost]</f>
        <v>0.544556961</v>
      </c>
      <c r="M1926" s="10">
        <v>50.0</v>
      </c>
      <c r="N1926" s="25">
        <v>0.25</v>
      </c>
      <c r="O1926" s="9">
        <f>revenue[orderPrice]*revenue[orderQuantity]</f>
        <v>6189.5</v>
      </c>
      <c r="P1926" s="9">
        <f>revenue[orderTotal]*(1-revenue[discountApllied])</f>
        <v>4642.125</v>
      </c>
      <c r="Q1926" s="9">
        <f>revenue[revenue]-(revenue[productCost]*revenue[orderQuantity])</f>
        <v>634.8270133</v>
      </c>
      <c r="R1926" s="25">
        <f>IFERROR(revenue[profit]/revenue[revenue], 0)</f>
        <v>0.1367535371</v>
      </c>
      <c r="S1926" s="9">
        <f>revenue[productCost]*revenue[orderQuantity]</f>
        <v>4007.297987</v>
      </c>
    </row>
    <row r="1927" ht="15.75" customHeight="1">
      <c r="A1927" s="6">
        <v>10993.0</v>
      </c>
      <c r="B1927" s="7" t="s">
        <v>29</v>
      </c>
      <c r="C1927" s="24" t="str">
        <f>VLOOKUP(revenue[customerID],customers[],2,FALSE)</f>
        <v>Folk och fä HB</v>
      </c>
      <c r="D1927" s="24" t="str">
        <f>VLOOKUP(revenue[customerID],customers[],6,FALSE)</f>
        <v>Bräcke</v>
      </c>
      <c r="E1927" s="24" t="str">
        <f>VLOOKUP(revenue[customerID],customers[],9,FALSE)</f>
        <v>Sweden</v>
      </c>
      <c r="F1927" s="24">
        <v>45383.0</v>
      </c>
      <c r="G1927" s="6">
        <v>41.0</v>
      </c>
      <c r="H1927" s="9" t="str">
        <f>VLOOKUP(revenue[productID],products[],2,FALSE)</f>
        <v>Jack's New England Clam Chowder</v>
      </c>
      <c r="I1927" s="9" t="str">
        <f>VLOOKUP(revenue[productID],products[],12,FALSE)</f>
        <v>Seafood</v>
      </c>
      <c r="J1927" s="9">
        <f>VLOOKUP(revenue[productID],products[],IF(YEAR(revenue[orderDate])=2022,8,IF(YEAR(revenue[orderDate])=2023,9,IF(YEAR(revenue[orderDate])=2024,10,NA))),FALSE)</f>
        <v>6.611787882</v>
      </c>
      <c r="K1927" s="9">
        <v>9.65</v>
      </c>
      <c r="L1927" s="25">
        <f>(revenue[orderPrice]-revenue[productCost])/revenue[productCost]</f>
        <v>0.459514457</v>
      </c>
      <c r="M1927" s="10">
        <v>35.0</v>
      </c>
      <c r="N1927" s="25">
        <v>0.25</v>
      </c>
      <c r="O1927" s="9">
        <f>revenue[orderPrice]*revenue[orderQuantity]</f>
        <v>337.75</v>
      </c>
      <c r="P1927" s="9">
        <f>revenue[orderTotal]*(1-revenue[discountApllied])</f>
        <v>253.3125</v>
      </c>
      <c r="Q1927" s="9">
        <f>revenue[revenue]-(revenue[productCost]*revenue[orderQuantity])</f>
        <v>21.89992413</v>
      </c>
      <c r="R1927" s="25">
        <f>IFERROR(revenue[profit]/revenue[revenue], 0)</f>
        <v>0.08645417866</v>
      </c>
      <c r="S1927" s="9">
        <f>revenue[productCost]*revenue[orderQuantity]</f>
        <v>231.4125759</v>
      </c>
    </row>
    <row r="1928" ht="15.75" customHeight="1">
      <c r="A1928" s="6">
        <v>10994.0</v>
      </c>
      <c r="B1928" s="7" t="s">
        <v>76</v>
      </c>
      <c r="C1928" s="24" t="str">
        <f>VLOOKUP(revenue[customerID],customers[],2,FALSE)</f>
        <v>Vaffeljernet</v>
      </c>
      <c r="D1928" s="24" t="str">
        <f>VLOOKUP(revenue[customerID],customers[],6,FALSE)</f>
        <v>Århus</v>
      </c>
      <c r="E1928" s="24" t="str">
        <f>VLOOKUP(revenue[customerID],customers[],9,FALSE)</f>
        <v>Denmark</v>
      </c>
      <c r="F1928" s="24">
        <v>45384.0</v>
      </c>
      <c r="G1928" s="6">
        <v>59.0</v>
      </c>
      <c r="H1928" s="9" t="str">
        <f>VLOOKUP(revenue[productID],products[],2,FALSE)</f>
        <v>Raclette Courdavault</v>
      </c>
      <c r="I1928" s="9" t="str">
        <f>VLOOKUP(revenue[productID],products[],12,FALSE)</f>
        <v>Dairy Products</v>
      </c>
      <c r="J1928" s="9">
        <f>VLOOKUP(revenue[productID],products[],IF(YEAR(revenue[orderDate])=2022,8,IF(YEAR(revenue[orderDate])=2023,9,IF(YEAR(revenue[orderDate])=2024,10,NA))),FALSE)</f>
        <v>36.74863711</v>
      </c>
      <c r="K1928" s="9">
        <v>55.0</v>
      </c>
      <c r="L1928" s="25">
        <f>(revenue[orderPrice]-revenue[productCost])/revenue[productCost]</f>
        <v>0.4966541435</v>
      </c>
      <c r="M1928" s="10">
        <v>18.0</v>
      </c>
      <c r="N1928" s="25">
        <v>0.05</v>
      </c>
      <c r="O1928" s="9">
        <f>revenue[orderPrice]*revenue[orderQuantity]</f>
        <v>990</v>
      </c>
      <c r="P1928" s="9">
        <f>revenue[orderTotal]*(1-revenue[discountApllied])</f>
        <v>940.5</v>
      </c>
      <c r="Q1928" s="9">
        <f>revenue[revenue]-(revenue[productCost]*revenue[orderQuantity])</f>
        <v>279.024532</v>
      </c>
      <c r="R1928" s="25">
        <f>IFERROR(revenue[profit]/revenue[revenue], 0)</f>
        <v>0.2966768017</v>
      </c>
      <c r="S1928" s="9">
        <f>revenue[productCost]*revenue[orderQuantity]</f>
        <v>661.475468</v>
      </c>
    </row>
    <row r="1929" ht="15.75" customHeight="1">
      <c r="A1929" s="6">
        <v>10995.0</v>
      </c>
      <c r="B1929" s="7" t="s">
        <v>58</v>
      </c>
      <c r="C1929" s="24" t="str">
        <f>VLOOKUP(revenue[customerID],customers[],2,FALSE)</f>
        <v>Pericles Comidas clásicas</v>
      </c>
      <c r="D1929" s="24" t="str">
        <f>VLOOKUP(revenue[customerID],customers[],6,FALSE)</f>
        <v>México D.F.</v>
      </c>
      <c r="E1929" s="24" t="str">
        <f>VLOOKUP(revenue[customerID],customers[],9,FALSE)</f>
        <v>Mexico</v>
      </c>
      <c r="F1929" s="24">
        <v>45384.0</v>
      </c>
      <c r="G1929" s="6">
        <v>51.0</v>
      </c>
      <c r="H1929" s="9" t="str">
        <f>VLOOKUP(revenue[productID],products[],2,FALSE)</f>
        <v>Manjimup Dried Apples</v>
      </c>
      <c r="I1929" s="9" t="str">
        <f>VLOOKUP(revenue[productID],products[],12,FALSE)</f>
        <v>Produce</v>
      </c>
      <c r="J1929" s="9">
        <f>VLOOKUP(revenue[productID],products[],IF(YEAR(revenue[orderDate])=2022,8,IF(YEAR(revenue[orderDate])=2023,9,IF(YEAR(revenue[orderDate])=2024,10,NA))),FALSE)</f>
        <v>39.51416462</v>
      </c>
      <c r="K1929" s="9">
        <v>53.0</v>
      </c>
      <c r="L1929" s="25">
        <f>(revenue[orderPrice]-revenue[productCost])/revenue[productCost]</f>
        <v>0.3412911677</v>
      </c>
      <c r="M1929" s="10">
        <v>20.0</v>
      </c>
      <c r="N1929" s="25">
        <v>0.0</v>
      </c>
      <c r="O1929" s="9">
        <f>revenue[orderPrice]*revenue[orderQuantity]</f>
        <v>1060</v>
      </c>
      <c r="P1929" s="9">
        <f>revenue[orderTotal]*(1-revenue[discountApllied])</f>
        <v>1060</v>
      </c>
      <c r="Q1929" s="9">
        <f>revenue[revenue]-(revenue[productCost]*revenue[orderQuantity])</f>
        <v>269.7167076</v>
      </c>
      <c r="R1929" s="25">
        <f>IFERROR(revenue[profit]/revenue[revenue], 0)</f>
        <v>0.2544497242</v>
      </c>
      <c r="S1929" s="9">
        <f>revenue[productCost]*revenue[orderQuantity]</f>
        <v>790.2832924</v>
      </c>
    </row>
    <row r="1930" ht="15.75" customHeight="1">
      <c r="A1930" s="6">
        <v>10995.0</v>
      </c>
      <c r="B1930" s="7" t="s">
        <v>58</v>
      </c>
      <c r="C1930" s="24" t="str">
        <f>VLOOKUP(revenue[customerID],customers[],2,FALSE)</f>
        <v>Pericles Comidas clásicas</v>
      </c>
      <c r="D1930" s="24" t="str">
        <f>VLOOKUP(revenue[customerID],customers[],6,FALSE)</f>
        <v>México D.F.</v>
      </c>
      <c r="E1930" s="24" t="str">
        <f>VLOOKUP(revenue[customerID],customers[],9,FALSE)</f>
        <v>Mexico</v>
      </c>
      <c r="F1930" s="24">
        <v>45384.0</v>
      </c>
      <c r="G1930" s="6">
        <v>60.0</v>
      </c>
      <c r="H1930" s="9" t="str">
        <f>VLOOKUP(revenue[productID],products[],2,FALSE)</f>
        <v>Camembert Pierrot</v>
      </c>
      <c r="I1930" s="9" t="str">
        <f>VLOOKUP(revenue[productID],products[],12,FALSE)</f>
        <v>Dairy Products</v>
      </c>
      <c r="J1930" s="9">
        <f>VLOOKUP(revenue[productID],products[],IF(YEAR(revenue[orderDate])=2022,8,IF(YEAR(revenue[orderDate])=2023,9,IF(YEAR(revenue[orderDate])=2024,10,NA))),FALSE)</f>
        <v>22.49091154</v>
      </c>
      <c r="K1930" s="9">
        <v>34.0</v>
      </c>
      <c r="L1930" s="25">
        <f>(revenue[orderPrice]-revenue[productCost])/revenue[productCost]</f>
        <v>0.5117217431</v>
      </c>
      <c r="M1930" s="10">
        <v>4.0</v>
      </c>
      <c r="N1930" s="25">
        <v>0.0</v>
      </c>
      <c r="O1930" s="9">
        <f>revenue[orderPrice]*revenue[orderQuantity]</f>
        <v>136</v>
      </c>
      <c r="P1930" s="9">
        <f>revenue[orderTotal]*(1-revenue[discountApllied])</f>
        <v>136</v>
      </c>
      <c r="Q1930" s="9">
        <f>revenue[revenue]-(revenue[productCost]*revenue[orderQuantity])</f>
        <v>46.03635383</v>
      </c>
      <c r="R1930" s="25">
        <f>IFERROR(revenue[profit]/revenue[revenue], 0)</f>
        <v>0.3385026017</v>
      </c>
      <c r="S1930" s="9">
        <f>revenue[productCost]*revenue[orderQuantity]</f>
        <v>89.96364617</v>
      </c>
    </row>
    <row r="1931" ht="15.75" customHeight="1">
      <c r="A1931" s="6">
        <v>10996.0</v>
      </c>
      <c r="B1931" s="7" t="s">
        <v>36</v>
      </c>
      <c r="C1931" s="24" t="str">
        <f>VLOOKUP(revenue[customerID],customers[],2,FALSE)</f>
        <v>QUICK-Stop</v>
      </c>
      <c r="D1931" s="24" t="str">
        <f>VLOOKUP(revenue[customerID],customers[],6,FALSE)</f>
        <v>Cunewalde</v>
      </c>
      <c r="E1931" s="24" t="str">
        <f>VLOOKUP(revenue[customerID],customers[],9,FALSE)</f>
        <v>Germany</v>
      </c>
      <c r="F1931" s="24">
        <v>45384.0</v>
      </c>
      <c r="G1931" s="6">
        <v>42.0</v>
      </c>
      <c r="H1931" s="9" t="str">
        <f>VLOOKUP(revenue[productID],products[],2,FALSE)</f>
        <v>Singaporean Hokkien Fried Mee</v>
      </c>
      <c r="I1931" s="9" t="str">
        <f>VLOOKUP(revenue[productID],products[],12,FALSE)</f>
        <v>Grains/Cereals</v>
      </c>
      <c r="J1931" s="9">
        <f>VLOOKUP(revenue[productID],products[],IF(YEAR(revenue[orderDate])=2022,8,IF(YEAR(revenue[orderDate])=2023,9,IF(YEAR(revenue[orderDate])=2024,10,NA))),FALSE)</f>
        <v>9.64736714</v>
      </c>
      <c r="K1931" s="9">
        <v>14.0</v>
      </c>
      <c r="L1931" s="25">
        <f>(revenue[orderPrice]-revenue[productCost])/revenue[productCost]</f>
        <v>0.4511731333</v>
      </c>
      <c r="M1931" s="10">
        <v>40.0</v>
      </c>
      <c r="N1931" s="25">
        <v>0.0</v>
      </c>
      <c r="O1931" s="9">
        <f>revenue[orderPrice]*revenue[orderQuantity]</f>
        <v>560</v>
      </c>
      <c r="P1931" s="9">
        <f>revenue[orderTotal]*(1-revenue[discountApllied])</f>
        <v>560</v>
      </c>
      <c r="Q1931" s="9">
        <f>revenue[revenue]-(revenue[productCost]*revenue[orderQuantity])</f>
        <v>174.1053144</v>
      </c>
      <c r="R1931" s="25">
        <f>IFERROR(revenue[profit]/revenue[revenue], 0)</f>
        <v>0.3109023472</v>
      </c>
      <c r="S1931" s="9">
        <f>revenue[productCost]*revenue[orderQuantity]</f>
        <v>385.8946856</v>
      </c>
    </row>
    <row r="1932" ht="15.75" customHeight="1">
      <c r="A1932" s="6">
        <v>10997.0</v>
      </c>
      <c r="B1932" s="7" t="s">
        <v>43</v>
      </c>
      <c r="C1932" s="24" t="str">
        <f>VLOOKUP(revenue[customerID],customers[],2,FALSE)</f>
        <v>LILA-Supermercado</v>
      </c>
      <c r="D1932" s="24" t="str">
        <f>VLOOKUP(revenue[customerID],customers[],6,FALSE)</f>
        <v>Barquisimeto</v>
      </c>
      <c r="E1932" s="24" t="str">
        <f>VLOOKUP(revenue[customerID],customers[],9,FALSE)</f>
        <v>Venezuela</v>
      </c>
      <c r="F1932" s="24">
        <v>45385.0</v>
      </c>
      <c r="G1932" s="6">
        <v>32.0</v>
      </c>
      <c r="H1932" s="9" t="str">
        <f>VLOOKUP(revenue[productID],products[],2,FALSE)</f>
        <v>Mascarpone Fabioli</v>
      </c>
      <c r="I1932" s="9" t="str">
        <f>VLOOKUP(revenue[productID],products[],12,FALSE)</f>
        <v>Dairy Products</v>
      </c>
      <c r="J1932" s="9">
        <f>VLOOKUP(revenue[productID],products[],IF(YEAR(revenue[orderDate])=2022,8,IF(YEAR(revenue[orderDate])=2023,9,IF(YEAR(revenue[orderDate])=2024,10,NA))),FALSE)</f>
        <v>21.42783354</v>
      </c>
      <c r="K1932" s="9">
        <v>32.0</v>
      </c>
      <c r="L1932" s="25">
        <f>(revenue[orderPrice]-revenue[productCost])/revenue[productCost]</f>
        <v>0.4933847575</v>
      </c>
      <c r="M1932" s="10">
        <v>50.0</v>
      </c>
      <c r="N1932" s="25">
        <v>0.0</v>
      </c>
      <c r="O1932" s="9">
        <f>revenue[orderPrice]*revenue[orderQuantity]</f>
        <v>1600</v>
      </c>
      <c r="P1932" s="9">
        <f>revenue[orderTotal]*(1-revenue[discountApllied])</f>
        <v>1600</v>
      </c>
      <c r="Q1932" s="9">
        <f>revenue[revenue]-(revenue[productCost]*revenue[orderQuantity])</f>
        <v>528.6083229</v>
      </c>
      <c r="R1932" s="25">
        <f>IFERROR(revenue[profit]/revenue[revenue], 0)</f>
        <v>0.3303802018</v>
      </c>
      <c r="S1932" s="9">
        <f>revenue[productCost]*revenue[orderQuantity]</f>
        <v>1071.391677</v>
      </c>
    </row>
    <row r="1933" ht="15.75" customHeight="1">
      <c r="A1933" s="6">
        <v>10997.0</v>
      </c>
      <c r="B1933" s="7" t="s">
        <v>43</v>
      </c>
      <c r="C1933" s="24" t="str">
        <f>VLOOKUP(revenue[customerID],customers[],2,FALSE)</f>
        <v>LILA-Supermercado</v>
      </c>
      <c r="D1933" s="24" t="str">
        <f>VLOOKUP(revenue[customerID],customers[],6,FALSE)</f>
        <v>Barquisimeto</v>
      </c>
      <c r="E1933" s="24" t="str">
        <f>VLOOKUP(revenue[customerID],customers[],9,FALSE)</f>
        <v>Venezuela</v>
      </c>
      <c r="F1933" s="24">
        <v>45385.0</v>
      </c>
      <c r="G1933" s="6">
        <v>46.0</v>
      </c>
      <c r="H1933" s="9" t="str">
        <f>VLOOKUP(revenue[productID],products[],2,FALSE)</f>
        <v>Spegesild</v>
      </c>
      <c r="I1933" s="9" t="str">
        <f>VLOOKUP(revenue[productID],products[],12,FALSE)</f>
        <v>Seafood</v>
      </c>
      <c r="J1933" s="9">
        <f>VLOOKUP(revenue[productID],products[],IF(YEAR(revenue[orderDate])=2022,8,IF(YEAR(revenue[orderDate])=2023,9,IF(YEAR(revenue[orderDate])=2024,10,NA))),FALSE)</f>
        <v>8.247981557</v>
      </c>
      <c r="K1933" s="9">
        <v>12.0</v>
      </c>
      <c r="L1933" s="25">
        <f>(revenue[orderPrice]-revenue[productCost])/revenue[productCost]</f>
        <v>0.4549014105</v>
      </c>
      <c r="M1933" s="10">
        <v>20.0</v>
      </c>
      <c r="N1933" s="25">
        <v>0.25</v>
      </c>
      <c r="O1933" s="9">
        <f>revenue[orderPrice]*revenue[orderQuantity]</f>
        <v>240</v>
      </c>
      <c r="P1933" s="9">
        <f>revenue[orderTotal]*(1-revenue[discountApllied])</f>
        <v>180</v>
      </c>
      <c r="Q1933" s="9">
        <f>revenue[revenue]-(revenue[productCost]*revenue[orderQuantity])</f>
        <v>15.04036887</v>
      </c>
      <c r="R1933" s="25">
        <f>IFERROR(revenue[profit]/revenue[revenue], 0)</f>
        <v>0.08355760483</v>
      </c>
      <c r="S1933" s="9">
        <f>revenue[productCost]*revenue[orderQuantity]</f>
        <v>164.9596311</v>
      </c>
    </row>
    <row r="1934" ht="15.75" customHeight="1">
      <c r="A1934" s="6">
        <v>10997.0</v>
      </c>
      <c r="B1934" s="7" t="s">
        <v>43</v>
      </c>
      <c r="C1934" s="24" t="str">
        <f>VLOOKUP(revenue[customerID],customers[],2,FALSE)</f>
        <v>LILA-Supermercado</v>
      </c>
      <c r="D1934" s="24" t="str">
        <f>VLOOKUP(revenue[customerID],customers[],6,FALSE)</f>
        <v>Barquisimeto</v>
      </c>
      <c r="E1934" s="24" t="str">
        <f>VLOOKUP(revenue[customerID],customers[],9,FALSE)</f>
        <v>Venezuela</v>
      </c>
      <c r="F1934" s="24">
        <v>45385.0</v>
      </c>
      <c r="G1934" s="6">
        <v>52.0</v>
      </c>
      <c r="H1934" s="9" t="str">
        <f>VLOOKUP(revenue[productID],products[],2,FALSE)</f>
        <v>Filo Mix</v>
      </c>
      <c r="I1934" s="9" t="str">
        <f>VLOOKUP(revenue[productID],products[],12,FALSE)</f>
        <v>Grains/Cereals</v>
      </c>
      <c r="J1934" s="9">
        <f>VLOOKUP(revenue[productID],products[],IF(YEAR(revenue[orderDate])=2022,8,IF(YEAR(revenue[orderDate])=2023,9,IF(YEAR(revenue[orderDate])=2024,10,NA))),FALSE)</f>
        <v>5.222223442</v>
      </c>
      <c r="K1934" s="9">
        <v>7.0</v>
      </c>
      <c r="L1934" s="25">
        <f>(revenue[orderPrice]-revenue[productCost])/revenue[productCost]</f>
        <v>0.3404252188</v>
      </c>
      <c r="M1934" s="10">
        <v>20.0</v>
      </c>
      <c r="N1934" s="25">
        <v>0.25</v>
      </c>
      <c r="O1934" s="9">
        <f>revenue[orderPrice]*revenue[orderQuantity]</f>
        <v>140</v>
      </c>
      <c r="P1934" s="9">
        <f>revenue[orderTotal]*(1-revenue[discountApllied])</f>
        <v>105</v>
      </c>
      <c r="Q1934" s="9">
        <f>revenue[revenue]-(revenue[productCost]*revenue[orderQuantity])</f>
        <v>0.5555311583</v>
      </c>
      <c r="R1934" s="25">
        <f>IFERROR(revenue[profit]/revenue[revenue], 0)</f>
        <v>0.005290772936</v>
      </c>
      <c r="S1934" s="9">
        <f>revenue[productCost]*revenue[orderQuantity]</f>
        <v>104.4444688</v>
      </c>
    </row>
    <row r="1935" ht="15.75" customHeight="1">
      <c r="A1935" s="6">
        <v>10998.0</v>
      </c>
      <c r="B1935" s="7" t="s">
        <v>78</v>
      </c>
      <c r="C1935" s="24" t="str">
        <f>VLOOKUP(revenue[customerID],customers[],2,FALSE)</f>
        <v>Wolski  Zajazd</v>
      </c>
      <c r="D1935" s="24" t="str">
        <f>VLOOKUP(revenue[customerID],customers[],6,FALSE)</f>
        <v>Warszawa</v>
      </c>
      <c r="E1935" s="24" t="str">
        <f>VLOOKUP(revenue[customerID],customers[],9,FALSE)</f>
        <v>Poland</v>
      </c>
      <c r="F1935" s="24">
        <v>45385.0</v>
      </c>
      <c r="G1935" s="6">
        <v>24.0</v>
      </c>
      <c r="H1935" s="9" t="str">
        <f>VLOOKUP(revenue[productID],products[],2,FALSE)</f>
        <v>Brigadeiros Maravilhosos da Lilian</v>
      </c>
      <c r="I1935" s="9" t="str">
        <f>VLOOKUP(revenue[productID],products[],12,FALSE)</f>
        <v>Confections</v>
      </c>
      <c r="J1935" s="9">
        <f>VLOOKUP(revenue[productID],products[],IF(YEAR(revenue[orderDate])=2022,8,IF(YEAR(revenue[orderDate])=2023,9,IF(YEAR(revenue[orderDate])=2024,10,NA))),FALSE)</f>
        <v>3.177326315</v>
      </c>
      <c r="K1935" s="9">
        <v>4.5</v>
      </c>
      <c r="L1935" s="25">
        <f>(revenue[orderPrice]-revenue[productCost])/revenue[productCost]</f>
        <v>0.416285126</v>
      </c>
      <c r="M1935" s="10">
        <v>12.0</v>
      </c>
      <c r="N1935" s="25">
        <v>0.0</v>
      </c>
      <c r="O1935" s="9">
        <f>revenue[orderPrice]*revenue[orderQuantity]</f>
        <v>54</v>
      </c>
      <c r="P1935" s="9">
        <f>revenue[orderTotal]*(1-revenue[discountApllied])</f>
        <v>54</v>
      </c>
      <c r="Q1935" s="9">
        <f>revenue[revenue]-(revenue[productCost]*revenue[orderQuantity])</f>
        <v>15.87208422</v>
      </c>
      <c r="R1935" s="25">
        <f>IFERROR(revenue[profit]/revenue[revenue], 0)</f>
        <v>0.2939274856</v>
      </c>
      <c r="S1935" s="9">
        <f>revenue[productCost]*revenue[orderQuantity]</f>
        <v>38.12791578</v>
      </c>
    </row>
    <row r="1936" ht="15.75" customHeight="1">
      <c r="A1936" s="6">
        <v>10998.0</v>
      </c>
      <c r="B1936" s="7" t="s">
        <v>78</v>
      </c>
      <c r="C1936" s="24" t="str">
        <f>VLOOKUP(revenue[customerID],customers[],2,FALSE)</f>
        <v>Wolski  Zajazd</v>
      </c>
      <c r="D1936" s="24" t="str">
        <f>VLOOKUP(revenue[customerID],customers[],6,FALSE)</f>
        <v>Warszawa</v>
      </c>
      <c r="E1936" s="24" t="str">
        <f>VLOOKUP(revenue[customerID],customers[],9,FALSE)</f>
        <v>Poland</v>
      </c>
      <c r="F1936" s="24">
        <v>45385.0</v>
      </c>
      <c r="G1936" s="6">
        <v>61.0</v>
      </c>
      <c r="H1936" s="9" t="str">
        <f>VLOOKUP(revenue[productID],products[],2,FALSE)</f>
        <v>Sirop d'érable</v>
      </c>
      <c r="I1936" s="9" t="str">
        <f>VLOOKUP(revenue[productID],products[],12,FALSE)</f>
        <v>Condiments</v>
      </c>
      <c r="J1936" s="9">
        <f>VLOOKUP(revenue[productID],products[],IF(YEAR(revenue[orderDate])=2022,8,IF(YEAR(revenue[orderDate])=2023,9,IF(YEAR(revenue[orderDate])=2024,10,NA))),FALSE)</f>
        <v>18.74487379</v>
      </c>
      <c r="K1936" s="9">
        <v>28.5</v>
      </c>
      <c r="L1936" s="25">
        <f>(revenue[orderPrice]-revenue[productCost])/revenue[productCost]</f>
        <v>0.5204156786</v>
      </c>
      <c r="M1936" s="10">
        <v>7.0</v>
      </c>
      <c r="N1936" s="25">
        <v>0.0</v>
      </c>
      <c r="O1936" s="9">
        <f>revenue[orderPrice]*revenue[orderQuantity]</f>
        <v>199.5</v>
      </c>
      <c r="P1936" s="9">
        <f>revenue[orderTotal]*(1-revenue[discountApllied])</f>
        <v>199.5</v>
      </c>
      <c r="Q1936" s="9">
        <f>revenue[revenue]-(revenue[productCost]*revenue[orderQuantity])</f>
        <v>68.28588349</v>
      </c>
      <c r="R1936" s="25">
        <f>IFERROR(revenue[profit]/revenue[revenue], 0)</f>
        <v>0.3422851303</v>
      </c>
      <c r="S1936" s="9">
        <f>revenue[productCost]*revenue[orderQuantity]</f>
        <v>131.2141165</v>
      </c>
    </row>
    <row r="1937" ht="15.75" customHeight="1">
      <c r="A1937" s="6">
        <v>10998.0</v>
      </c>
      <c r="B1937" s="7" t="s">
        <v>78</v>
      </c>
      <c r="C1937" s="24" t="str">
        <f>VLOOKUP(revenue[customerID],customers[],2,FALSE)</f>
        <v>Wolski  Zajazd</v>
      </c>
      <c r="D1937" s="24" t="str">
        <f>VLOOKUP(revenue[customerID],customers[],6,FALSE)</f>
        <v>Warszawa</v>
      </c>
      <c r="E1937" s="24" t="str">
        <f>VLOOKUP(revenue[customerID],customers[],9,FALSE)</f>
        <v>Poland</v>
      </c>
      <c r="F1937" s="24">
        <v>45385.0</v>
      </c>
      <c r="G1937" s="6">
        <v>74.0</v>
      </c>
      <c r="H1937" s="9" t="str">
        <f>VLOOKUP(revenue[productID],products[],2,FALSE)</f>
        <v>Longlife Tofu</v>
      </c>
      <c r="I1937" s="9" t="str">
        <f>VLOOKUP(revenue[productID],products[],12,FALSE)</f>
        <v>Produce</v>
      </c>
      <c r="J1937" s="9">
        <f>VLOOKUP(revenue[productID],products[],IF(YEAR(revenue[orderDate])=2022,8,IF(YEAR(revenue[orderDate])=2023,9,IF(YEAR(revenue[orderDate])=2024,10,NA))),FALSE)</f>
        <v>7.717719033</v>
      </c>
      <c r="K1937" s="9">
        <v>10.0</v>
      </c>
      <c r="L1937" s="25">
        <f>(revenue[orderPrice]-revenue[productCost])/revenue[productCost]</f>
        <v>0.2957196235</v>
      </c>
      <c r="M1937" s="10">
        <v>20.0</v>
      </c>
      <c r="N1937" s="25">
        <v>0.0</v>
      </c>
      <c r="O1937" s="9">
        <f>revenue[orderPrice]*revenue[orderQuantity]</f>
        <v>200</v>
      </c>
      <c r="P1937" s="9">
        <f>revenue[orderTotal]*(1-revenue[discountApllied])</f>
        <v>200</v>
      </c>
      <c r="Q1937" s="9">
        <f>revenue[revenue]-(revenue[productCost]*revenue[orderQuantity])</f>
        <v>45.64561934</v>
      </c>
      <c r="R1937" s="25">
        <f>IFERROR(revenue[profit]/revenue[revenue], 0)</f>
        <v>0.2282280967</v>
      </c>
      <c r="S1937" s="9">
        <f>revenue[productCost]*revenue[orderQuantity]</f>
        <v>154.3543807</v>
      </c>
    </row>
    <row r="1938" ht="15.75" customHeight="1">
      <c r="A1938" s="6">
        <v>10998.0</v>
      </c>
      <c r="B1938" s="7" t="s">
        <v>78</v>
      </c>
      <c r="C1938" s="24" t="str">
        <f>VLOOKUP(revenue[customerID],customers[],2,FALSE)</f>
        <v>Wolski  Zajazd</v>
      </c>
      <c r="D1938" s="24" t="str">
        <f>VLOOKUP(revenue[customerID],customers[],6,FALSE)</f>
        <v>Warszawa</v>
      </c>
      <c r="E1938" s="24" t="str">
        <f>VLOOKUP(revenue[customerID],customers[],9,FALSE)</f>
        <v>Poland</v>
      </c>
      <c r="F1938" s="24">
        <v>45385.0</v>
      </c>
      <c r="G1938" s="6">
        <v>75.0</v>
      </c>
      <c r="H1938" s="9" t="str">
        <f>VLOOKUP(revenue[productID],products[],2,FALSE)</f>
        <v>Rhönbräu Klosterbier</v>
      </c>
      <c r="I1938" s="9" t="str">
        <f>VLOOKUP(revenue[productID],products[],12,FALSE)</f>
        <v>Beverages</v>
      </c>
      <c r="J1938" s="9">
        <f>VLOOKUP(revenue[productID],products[],IF(YEAR(revenue[orderDate])=2022,8,IF(YEAR(revenue[orderDate])=2023,9,IF(YEAR(revenue[orderDate])=2024,10,NA))),FALSE)</f>
        <v>5.374051525</v>
      </c>
      <c r="K1938" s="9">
        <v>7.75</v>
      </c>
      <c r="L1938" s="25">
        <f>(revenue[orderPrice]-revenue[productCost])/revenue[productCost]</f>
        <v>0.4421149413</v>
      </c>
      <c r="M1938" s="10">
        <v>30.0</v>
      </c>
      <c r="N1938" s="25">
        <v>0.0</v>
      </c>
      <c r="O1938" s="9">
        <f>revenue[orderPrice]*revenue[orderQuantity]</f>
        <v>232.5</v>
      </c>
      <c r="P1938" s="9">
        <f>revenue[orderTotal]*(1-revenue[discountApllied])</f>
        <v>232.5</v>
      </c>
      <c r="Q1938" s="9">
        <f>revenue[revenue]-(revenue[productCost]*revenue[orderQuantity])</f>
        <v>71.27845424</v>
      </c>
      <c r="R1938" s="25">
        <f>IFERROR(revenue[profit]/revenue[revenue], 0)</f>
        <v>0.3065739967</v>
      </c>
      <c r="S1938" s="9">
        <f>revenue[productCost]*revenue[orderQuantity]</f>
        <v>161.2215458</v>
      </c>
    </row>
    <row r="1939" ht="15.75" customHeight="1">
      <c r="A1939" s="6">
        <v>10999.0</v>
      </c>
      <c r="B1939" s="7" t="s">
        <v>26</v>
      </c>
      <c r="C1939" s="24" t="str">
        <f>VLOOKUP(revenue[customerID],customers[],2,FALSE)</f>
        <v>Ottilies Käseladen</v>
      </c>
      <c r="D1939" s="24" t="str">
        <f>VLOOKUP(revenue[customerID],customers[],6,FALSE)</f>
        <v>Köln</v>
      </c>
      <c r="E1939" s="24" t="str">
        <f>VLOOKUP(revenue[customerID],customers[],9,FALSE)</f>
        <v>Germany</v>
      </c>
      <c r="F1939" s="24">
        <v>45385.0</v>
      </c>
      <c r="G1939" s="6">
        <v>41.0</v>
      </c>
      <c r="H1939" s="9" t="str">
        <f>VLOOKUP(revenue[productID],products[],2,FALSE)</f>
        <v>Jack's New England Clam Chowder</v>
      </c>
      <c r="I1939" s="9" t="str">
        <f>VLOOKUP(revenue[productID],products[],12,FALSE)</f>
        <v>Seafood</v>
      </c>
      <c r="J1939" s="9">
        <f>VLOOKUP(revenue[productID],products[],IF(YEAR(revenue[orderDate])=2022,8,IF(YEAR(revenue[orderDate])=2023,9,IF(YEAR(revenue[orderDate])=2024,10,NA))),FALSE)</f>
        <v>6.611787882</v>
      </c>
      <c r="K1939" s="9">
        <v>9.65</v>
      </c>
      <c r="L1939" s="25">
        <f>(revenue[orderPrice]-revenue[productCost])/revenue[productCost]</f>
        <v>0.459514457</v>
      </c>
      <c r="M1939" s="10">
        <v>20.0</v>
      </c>
      <c r="N1939" s="25">
        <v>0.05</v>
      </c>
      <c r="O1939" s="9">
        <f>revenue[orderPrice]*revenue[orderQuantity]</f>
        <v>193</v>
      </c>
      <c r="P1939" s="9">
        <f>revenue[orderTotal]*(1-revenue[discountApllied])</f>
        <v>183.35</v>
      </c>
      <c r="Q1939" s="9">
        <f>revenue[revenue]-(revenue[productCost]*revenue[orderQuantity])</f>
        <v>51.11424236</v>
      </c>
      <c r="R1939" s="25">
        <f>IFERROR(revenue[profit]/revenue[revenue], 0)</f>
        <v>0.2787796147</v>
      </c>
      <c r="S1939" s="9">
        <f>revenue[productCost]*revenue[orderQuantity]</f>
        <v>132.2357576</v>
      </c>
    </row>
    <row r="1940" ht="15.75" customHeight="1">
      <c r="A1940" s="6">
        <v>10999.0</v>
      </c>
      <c r="B1940" s="7" t="s">
        <v>26</v>
      </c>
      <c r="C1940" s="24" t="str">
        <f>VLOOKUP(revenue[customerID],customers[],2,FALSE)</f>
        <v>Ottilies Käseladen</v>
      </c>
      <c r="D1940" s="24" t="str">
        <f>VLOOKUP(revenue[customerID],customers[],6,FALSE)</f>
        <v>Köln</v>
      </c>
      <c r="E1940" s="24" t="str">
        <f>VLOOKUP(revenue[customerID],customers[],9,FALSE)</f>
        <v>Germany</v>
      </c>
      <c r="F1940" s="24">
        <v>45385.0</v>
      </c>
      <c r="G1940" s="6">
        <v>51.0</v>
      </c>
      <c r="H1940" s="9" t="str">
        <f>VLOOKUP(revenue[productID],products[],2,FALSE)</f>
        <v>Manjimup Dried Apples</v>
      </c>
      <c r="I1940" s="9" t="str">
        <f>VLOOKUP(revenue[productID],products[],12,FALSE)</f>
        <v>Produce</v>
      </c>
      <c r="J1940" s="9">
        <f>VLOOKUP(revenue[productID],products[],IF(YEAR(revenue[orderDate])=2022,8,IF(YEAR(revenue[orderDate])=2023,9,IF(YEAR(revenue[orderDate])=2024,10,NA))),FALSE)</f>
        <v>39.51416462</v>
      </c>
      <c r="K1940" s="9">
        <v>53.0</v>
      </c>
      <c r="L1940" s="25">
        <f>(revenue[orderPrice]-revenue[productCost])/revenue[productCost]</f>
        <v>0.3412911677</v>
      </c>
      <c r="M1940" s="10">
        <v>15.0</v>
      </c>
      <c r="N1940" s="25">
        <v>0.05</v>
      </c>
      <c r="O1940" s="9">
        <f>revenue[orderPrice]*revenue[orderQuantity]</f>
        <v>795</v>
      </c>
      <c r="P1940" s="9">
        <f>revenue[orderTotal]*(1-revenue[discountApllied])</f>
        <v>755.25</v>
      </c>
      <c r="Q1940" s="9">
        <f>revenue[revenue]-(revenue[productCost]*revenue[orderQuantity])</f>
        <v>162.5375307</v>
      </c>
      <c r="R1940" s="25">
        <f>IFERROR(revenue[profit]/revenue[revenue], 0)</f>
        <v>0.215210236</v>
      </c>
      <c r="S1940" s="9">
        <f>revenue[productCost]*revenue[orderQuantity]</f>
        <v>592.7124693</v>
      </c>
    </row>
    <row r="1941" ht="15.75" customHeight="1">
      <c r="A1941" s="6">
        <v>10999.0</v>
      </c>
      <c r="B1941" s="7" t="s">
        <v>26</v>
      </c>
      <c r="C1941" s="24" t="str">
        <f>VLOOKUP(revenue[customerID],customers[],2,FALSE)</f>
        <v>Ottilies Käseladen</v>
      </c>
      <c r="D1941" s="24" t="str">
        <f>VLOOKUP(revenue[customerID],customers[],6,FALSE)</f>
        <v>Köln</v>
      </c>
      <c r="E1941" s="24" t="str">
        <f>VLOOKUP(revenue[customerID],customers[],9,FALSE)</f>
        <v>Germany</v>
      </c>
      <c r="F1941" s="24">
        <v>45385.0</v>
      </c>
      <c r="G1941" s="6">
        <v>77.0</v>
      </c>
      <c r="H1941" s="9" t="str">
        <f>VLOOKUP(revenue[productID],products[],2,FALSE)</f>
        <v>Original Frankfurter grüne Soße</v>
      </c>
      <c r="I1941" s="9" t="str">
        <f>VLOOKUP(revenue[productID],products[],12,FALSE)</f>
        <v>Condiments</v>
      </c>
      <c r="J1941" s="9">
        <f>VLOOKUP(revenue[productID],products[],IF(YEAR(revenue[orderDate])=2022,8,IF(YEAR(revenue[orderDate])=2023,9,IF(YEAR(revenue[orderDate])=2024,10,NA))),FALSE)</f>
        <v>9.299025151</v>
      </c>
      <c r="K1941" s="9">
        <v>13.0</v>
      </c>
      <c r="L1941" s="25">
        <f>(revenue[orderPrice]-revenue[productCost])/revenue[productCost]</f>
        <v>0.3979960037</v>
      </c>
      <c r="M1941" s="10">
        <v>21.0</v>
      </c>
      <c r="N1941" s="25">
        <v>0.05</v>
      </c>
      <c r="O1941" s="9">
        <f>revenue[orderPrice]*revenue[orderQuantity]</f>
        <v>273</v>
      </c>
      <c r="P1941" s="9">
        <f>revenue[orderTotal]*(1-revenue[discountApllied])</f>
        <v>259.35</v>
      </c>
      <c r="Q1941" s="9">
        <f>revenue[revenue]-(revenue[productCost]*revenue[orderQuantity])</f>
        <v>64.07047182</v>
      </c>
      <c r="R1941" s="25">
        <f>IFERROR(revenue[profit]/revenue[revenue], 0)</f>
        <v>0.2470424979</v>
      </c>
      <c r="S1941" s="9">
        <f>revenue[productCost]*revenue[orderQuantity]</f>
        <v>195.2795282</v>
      </c>
    </row>
    <row r="1942" ht="15.75" customHeight="1">
      <c r="A1942" s="6">
        <v>11000.0</v>
      </c>
      <c r="B1942" s="7" t="s">
        <v>28</v>
      </c>
      <c r="C1942" s="24" t="str">
        <f>VLOOKUP(revenue[customerID],customers[],2,FALSE)</f>
        <v>Rattlesnake Canyon Grocery</v>
      </c>
      <c r="D1942" s="24" t="str">
        <f>VLOOKUP(revenue[customerID],customers[],6,FALSE)</f>
        <v>Albuquerque</v>
      </c>
      <c r="E1942" s="24" t="str">
        <f>VLOOKUP(revenue[customerID],customers[],9,FALSE)</f>
        <v>USA</v>
      </c>
      <c r="F1942" s="24">
        <v>45388.0</v>
      </c>
      <c r="G1942" s="6">
        <v>4.0</v>
      </c>
      <c r="H1942" s="9" t="str">
        <f>VLOOKUP(revenue[productID],products[],2,FALSE)</f>
        <v>Chef Anton's Cajun Seasoning</v>
      </c>
      <c r="I1942" s="9" t="str">
        <f>VLOOKUP(revenue[productID],products[],12,FALSE)</f>
        <v>Condiments</v>
      </c>
      <c r="J1942" s="9">
        <f>VLOOKUP(revenue[productID],products[],IF(YEAR(revenue[orderDate])=2022,8,IF(YEAR(revenue[orderDate])=2023,9,IF(YEAR(revenue[orderDate])=2024,10,NA))),FALSE)</f>
        <v>14.37280157</v>
      </c>
      <c r="K1942" s="9">
        <v>22.0</v>
      </c>
      <c r="L1942" s="25">
        <f>(revenue[orderPrice]-revenue[productCost])/revenue[productCost]</f>
        <v>0.5306688748</v>
      </c>
      <c r="M1942" s="10">
        <v>25.0</v>
      </c>
      <c r="N1942" s="25">
        <v>0.25</v>
      </c>
      <c r="O1942" s="9">
        <f>revenue[orderPrice]*revenue[orderQuantity]</f>
        <v>550</v>
      </c>
      <c r="P1942" s="9">
        <f>revenue[orderTotal]*(1-revenue[discountApllied])</f>
        <v>412.5</v>
      </c>
      <c r="Q1942" s="9">
        <f>revenue[revenue]-(revenue[productCost]*revenue[orderQuantity])</f>
        <v>53.17996087</v>
      </c>
      <c r="R1942" s="25">
        <f>IFERROR(revenue[profit]/revenue[revenue], 0)</f>
        <v>0.1289211173</v>
      </c>
      <c r="S1942" s="9">
        <f>revenue[productCost]*revenue[orderQuantity]</f>
        <v>359.3200391</v>
      </c>
    </row>
    <row r="1943" ht="15.75" customHeight="1">
      <c r="A1943" s="6">
        <v>11000.0</v>
      </c>
      <c r="B1943" s="7" t="s">
        <v>28</v>
      </c>
      <c r="C1943" s="24" t="str">
        <f>VLOOKUP(revenue[customerID],customers[],2,FALSE)</f>
        <v>Rattlesnake Canyon Grocery</v>
      </c>
      <c r="D1943" s="24" t="str">
        <f>VLOOKUP(revenue[customerID],customers[],6,FALSE)</f>
        <v>Albuquerque</v>
      </c>
      <c r="E1943" s="24" t="str">
        <f>VLOOKUP(revenue[customerID],customers[],9,FALSE)</f>
        <v>USA</v>
      </c>
      <c r="F1943" s="24">
        <v>45388.0</v>
      </c>
      <c r="G1943" s="6">
        <v>24.0</v>
      </c>
      <c r="H1943" s="9" t="str">
        <f>VLOOKUP(revenue[productID],products[],2,FALSE)</f>
        <v>Brigadeiros Maravilhosos da Lilian</v>
      </c>
      <c r="I1943" s="9" t="str">
        <f>VLOOKUP(revenue[productID],products[],12,FALSE)</f>
        <v>Confections</v>
      </c>
      <c r="J1943" s="9">
        <f>VLOOKUP(revenue[productID],products[],IF(YEAR(revenue[orderDate])=2022,8,IF(YEAR(revenue[orderDate])=2023,9,IF(YEAR(revenue[orderDate])=2024,10,NA))),FALSE)</f>
        <v>3.177326315</v>
      </c>
      <c r="K1943" s="9">
        <v>4.5</v>
      </c>
      <c r="L1943" s="25">
        <f>(revenue[orderPrice]-revenue[productCost])/revenue[productCost]</f>
        <v>0.416285126</v>
      </c>
      <c r="M1943" s="10">
        <v>30.0</v>
      </c>
      <c r="N1943" s="25">
        <v>0.25</v>
      </c>
      <c r="O1943" s="9">
        <f>revenue[orderPrice]*revenue[orderQuantity]</f>
        <v>135</v>
      </c>
      <c r="P1943" s="9">
        <f>revenue[orderTotal]*(1-revenue[discountApllied])</f>
        <v>101.25</v>
      </c>
      <c r="Q1943" s="9">
        <f>revenue[revenue]-(revenue[productCost]*revenue[orderQuantity])</f>
        <v>5.930210559</v>
      </c>
      <c r="R1943" s="25">
        <f>IFERROR(revenue[profit]/revenue[revenue], 0)</f>
        <v>0.05856998083</v>
      </c>
      <c r="S1943" s="9">
        <f>revenue[productCost]*revenue[orderQuantity]</f>
        <v>95.31978944</v>
      </c>
    </row>
    <row r="1944" ht="15.75" customHeight="1">
      <c r="A1944" s="6">
        <v>11000.0</v>
      </c>
      <c r="B1944" s="7" t="s">
        <v>28</v>
      </c>
      <c r="C1944" s="24" t="str">
        <f>VLOOKUP(revenue[customerID],customers[],2,FALSE)</f>
        <v>Rattlesnake Canyon Grocery</v>
      </c>
      <c r="D1944" s="24" t="str">
        <f>VLOOKUP(revenue[customerID],customers[],6,FALSE)</f>
        <v>Albuquerque</v>
      </c>
      <c r="E1944" s="24" t="str">
        <f>VLOOKUP(revenue[customerID],customers[],9,FALSE)</f>
        <v>USA</v>
      </c>
      <c r="F1944" s="24">
        <v>45388.0</v>
      </c>
      <c r="G1944" s="6">
        <v>77.0</v>
      </c>
      <c r="H1944" s="9" t="str">
        <f>VLOOKUP(revenue[productID],products[],2,FALSE)</f>
        <v>Original Frankfurter grüne Soße</v>
      </c>
      <c r="I1944" s="9" t="str">
        <f>VLOOKUP(revenue[productID],products[],12,FALSE)</f>
        <v>Condiments</v>
      </c>
      <c r="J1944" s="9">
        <f>VLOOKUP(revenue[productID],products[],IF(YEAR(revenue[orderDate])=2022,8,IF(YEAR(revenue[orderDate])=2023,9,IF(YEAR(revenue[orderDate])=2024,10,NA))),FALSE)</f>
        <v>9.299025151</v>
      </c>
      <c r="K1944" s="9">
        <v>13.0</v>
      </c>
      <c r="L1944" s="25">
        <f>(revenue[orderPrice]-revenue[productCost])/revenue[productCost]</f>
        <v>0.3979960037</v>
      </c>
      <c r="M1944" s="10">
        <v>30.0</v>
      </c>
      <c r="N1944" s="25">
        <v>0.0</v>
      </c>
      <c r="O1944" s="9">
        <f>revenue[orderPrice]*revenue[orderQuantity]</f>
        <v>390</v>
      </c>
      <c r="P1944" s="9">
        <f>revenue[orderTotal]*(1-revenue[discountApllied])</f>
        <v>390</v>
      </c>
      <c r="Q1944" s="9">
        <f>revenue[revenue]-(revenue[productCost]*revenue[orderQuantity])</f>
        <v>111.0292455</v>
      </c>
      <c r="R1944" s="25">
        <f>IFERROR(revenue[profit]/revenue[revenue], 0)</f>
        <v>0.284690373</v>
      </c>
      <c r="S1944" s="9">
        <f>revenue[productCost]*revenue[orderQuantity]</f>
        <v>278.9707545</v>
      </c>
    </row>
    <row r="1945" ht="15.75" customHeight="1">
      <c r="A1945" s="6">
        <v>11001.0</v>
      </c>
      <c r="B1945" s="7" t="s">
        <v>29</v>
      </c>
      <c r="C1945" s="24" t="str">
        <f>VLOOKUP(revenue[customerID],customers[],2,FALSE)</f>
        <v>Folk och fä HB</v>
      </c>
      <c r="D1945" s="24" t="str">
        <f>VLOOKUP(revenue[customerID],customers[],6,FALSE)</f>
        <v>Bräcke</v>
      </c>
      <c r="E1945" s="24" t="str">
        <f>VLOOKUP(revenue[customerID],customers[],9,FALSE)</f>
        <v>Sweden</v>
      </c>
      <c r="F1945" s="24">
        <v>45388.0</v>
      </c>
      <c r="G1945" s="6">
        <v>7.0</v>
      </c>
      <c r="H1945" s="9" t="str">
        <f>VLOOKUP(revenue[productID],products[],2,FALSE)</f>
        <v>Uncle Bob's Organic Dried Pears</v>
      </c>
      <c r="I1945" s="9" t="str">
        <f>VLOOKUP(revenue[productID],products[],12,FALSE)</f>
        <v>Produce</v>
      </c>
      <c r="J1945" s="9">
        <f>VLOOKUP(revenue[productID],products[],IF(YEAR(revenue[orderDate])=2022,8,IF(YEAR(revenue[orderDate])=2023,9,IF(YEAR(revenue[orderDate])=2024,10,NA))),FALSE)</f>
        <v>23.52222246</v>
      </c>
      <c r="K1945" s="9">
        <v>30.0</v>
      </c>
      <c r="L1945" s="25">
        <f>(revenue[orderPrice]-revenue[productCost])/revenue[productCost]</f>
        <v>0.2753896894</v>
      </c>
      <c r="M1945" s="10">
        <v>60.0</v>
      </c>
      <c r="N1945" s="25">
        <v>0.0</v>
      </c>
      <c r="O1945" s="9">
        <f>revenue[orderPrice]*revenue[orderQuantity]</f>
        <v>1800</v>
      </c>
      <c r="P1945" s="9">
        <f>revenue[orderTotal]*(1-revenue[discountApllied])</f>
        <v>1800</v>
      </c>
      <c r="Q1945" s="9">
        <f>revenue[revenue]-(revenue[productCost]*revenue[orderQuantity])</f>
        <v>388.6666522</v>
      </c>
      <c r="R1945" s="25">
        <f>IFERROR(revenue[profit]/revenue[revenue], 0)</f>
        <v>0.2159259179</v>
      </c>
      <c r="S1945" s="9">
        <f>revenue[productCost]*revenue[orderQuantity]</f>
        <v>1411.333348</v>
      </c>
    </row>
    <row r="1946" ht="15.75" customHeight="1">
      <c r="A1946" s="6">
        <v>11001.0</v>
      </c>
      <c r="B1946" s="7" t="s">
        <v>29</v>
      </c>
      <c r="C1946" s="24" t="str">
        <f>VLOOKUP(revenue[customerID],customers[],2,FALSE)</f>
        <v>Folk och fä HB</v>
      </c>
      <c r="D1946" s="24" t="str">
        <f>VLOOKUP(revenue[customerID],customers[],6,FALSE)</f>
        <v>Bräcke</v>
      </c>
      <c r="E1946" s="24" t="str">
        <f>VLOOKUP(revenue[customerID],customers[],9,FALSE)</f>
        <v>Sweden</v>
      </c>
      <c r="F1946" s="24">
        <v>45388.0</v>
      </c>
      <c r="G1946" s="6">
        <v>22.0</v>
      </c>
      <c r="H1946" s="9" t="str">
        <f>VLOOKUP(revenue[productID],products[],2,FALSE)</f>
        <v>Gustaf's Knäckebröd</v>
      </c>
      <c r="I1946" s="9" t="str">
        <f>VLOOKUP(revenue[productID],products[],12,FALSE)</f>
        <v>Grains/Cereals</v>
      </c>
      <c r="J1946" s="9">
        <f>VLOOKUP(revenue[productID],products[],IF(YEAR(revenue[orderDate])=2022,8,IF(YEAR(revenue[orderDate])=2023,9,IF(YEAR(revenue[orderDate])=2024,10,NA))),FALSE)</f>
        <v>16.3916268</v>
      </c>
      <c r="K1946" s="9">
        <v>21.0</v>
      </c>
      <c r="L1946" s="25">
        <f>(revenue[orderPrice]-revenue[productCost])/revenue[productCost]</f>
        <v>0.2811419062</v>
      </c>
      <c r="M1946" s="10">
        <v>25.0</v>
      </c>
      <c r="N1946" s="25">
        <v>0.0</v>
      </c>
      <c r="O1946" s="9">
        <f>revenue[orderPrice]*revenue[orderQuantity]</f>
        <v>525</v>
      </c>
      <c r="P1946" s="9">
        <f>revenue[orderTotal]*(1-revenue[discountApllied])</f>
        <v>525</v>
      </c>
      <c r="Q1946" s="9">
        <f>revenue[revenue]-(revenue[productCost]*revenue[orderQuantity])</f>
        <v>115.2093301</v>
      </c>
      <c r="R1946" s="25">
        <f>IFERROR(revenue[profit]/revenue[revenue], 0)</f>
        <v>0.219446343</v>
      </c>
      <c r="S1946" s="9">
        <f>revenue[productCost]*revenue[orderQuantity]</f>
        <v>409.7906699</v>
      </c>
    </row>
    <row r="1947" ht="15.75" customHeight="1">
      <c r="A1947" s="6">
        <v>11001.0</v>
      </c>
      <c r="B1947" s="7" t="s">
        <v>29</v>
      </c>
      <c r="C1947" s="24" t="str">
        <f>VLOOKUP(revenue[customerID],customers[],2,FALSE)</f>
        <v>Folk och fä HB</v>
      </c>
      <c r="D1947" s="24" t="str">
        <f>VLOOKUP(revenue[customerID],customers[],6,FALSE)</f>
        <v>Bräcke</v>
      </c>
      <c r="E1947" s="24" t="str">
        <f>VLOOKUP(revenue[customerID],customers[],9,FALSE)</f>
        <v>Sweden</v>
      </c>
      <c r="F1947" s="24">
        <v>45388.0</v>
      </c>
      <c r="G1947" s="6">
        <v>46.0</v>
      </c>
      <c r="H1947" s="9" t="str">
        <f>VLOOKUP(revenue[productID],products[],2,FALSE)</f>
        <v>Spegesild</v>
      </c>
      <c r="I1947" s="9" t="str">
        <f>VLOOKUP(revenue[productID],products[],12,FALSE)</f>
        <v>Seafood</v>
      </c>
      <c r="J1947" s="9">
        <f>VLOOKUP(revenue[productID],products[],IF(YEAR(revenue[orderDate])=2022,8,IF(YEAR(revenue[orderDate])=2023,9,IF(YEAR(revenue[orderDate])=2024,10,NA))),FALSE)</f>
        <v>8.247981557</v>
      </c>
      <c r="K1947" s="9">
        <v>12.0</v>
      </c>
      <c r="L1947" s="25">
        <f>(revenue[orderPrice]-revenue[productCost])/revenue[productCost]</f>
        <v>0.4549014105</v>
      </c>
      <c r="M1947" s="10">
        <v>25.0</v>
      </c>
      <c r="N1947" s="25">
        <v>0.0</v>
      </c>
      <c r="O1947" s="9">
        <f>revenue[orderPrice]*revenue[orderQuantity]</f>
        <v>300</v>
      </c>
      <c r="P1947" s="9">
        <f>revenue[orderTotal]*(1-revenue[discountApllied])</f>
        <v>300</v>
      </c>
      <c r="Q1947" s="9">
        <f>revenue[revenue]-(revenue[productCost]*revenue[orderQuantity])</f>
        <v>93.80046109</v>
      </c>
      <c r="R1947" s="25">
        <f>IFERROR(revenue[profit]/revenue[revenue], 0)</f>
        <v>0.3126682036</v>
      </c>
      <c r="S1947" s="9">
        <f>revenue[productCost]*revenue[orderQuantity]</f>
        <v>206.1995389</v>
      </c>
    </row>
    <row r="1948" ht="15.75" customHeight="1">
      <c r="A1948" s="6">
        <v>11001.0</v>
      </c>
      <c r="B1948" s="7" t="s">
        <v>29</v>
      </c>
      <c r="C1948" s="24" t="str">
        <f>VLOOKUP(revenue[customerID],customers[],2,FALSE)</f>
        <v>Folk och fä HB</v>
      </c>
      <c r="D1948" s="24" t="str">
        <f>VLOOKUP(revenue[customerID],customers[],6,FALSE)</f>
        <v>Bräcke</v>
      </c>
      <c r="E1948" s="24" t="str">
        <f>VLOOKUP(revenue[customerID],customers[],9,FALSE)</f>
        <v>Sweden</v>
      </c>
      <c r="F1948" s="24">
        <v>45388.0</v>
      </c>
      <c r="G1948" s="6">
        <v>55.0</v>
      </c>
      <c r="H1948" s="9" t="str">
        <f>VLOOKUP(revenue[productID],products[],2,FALSE)</f>
        <v>Pâté chinois</v>
      </c>
      <c r="I1948" s="9" t="str">
        <f>VLOOKUP(revenue[productID],products[],12,FALSE)</f>
        <v>Meat/Poultry</v>
      </c>
      <c r="J1948" s="9">
        <f>VLOOKUP(revenue[productID],products[],IF(YEAR(revenue[orderDate])=2022,8,IF(YEAR(revenue[orderDate])=2023,9,IF(YEAR(revenue[orderDate])=2024,10,NA))),FALSE)</f>
        <v>16.95998522</v>
      </c>
      <c r="K1948" s="9">
        <v>24.0</v>
      </c>
      <c r="L1948" s="25">
        <f>(revenue[orderPrice]-revenue[productCost])/revenue[productCost]</f>
        <v>0.4150955727</v>
      </c>
      <c r="M1948" s="10">
        <v>6.0</v>
      </c>
      <c r="N1948" s="25">
        <v>0.0</v>
      </c>
      <c r="O1948" s="9">
        <f>revenue[orderPrice]*revenue[orderQuantity]</f>
        <v>144</v>
      </c>
      <c r="P1948" s="9">
        <f>revenue[orderTotal]*(1-revenue[discountApllied])</f>
        <v>144</v>
      </c>
      <c r="Q1948" s="9">
        <f>revenue[revenue]-(revenue[productCost]*revenue[orderQuantity])</f>
        <v>42.24008867</v>
      </c>
      <c r="R1948" s="25">
        <f>IFERROR(revenue[profit]/revenue[revenue], 0)</f>
        <v>0.2933339491</v>
      </c>
      <c r="S1948" s="9">
        <f>revenue[productCost]*revenue[orderQuantity]</f>
        <v>101.7599113</v>
      </c>
    </row>
    <row r="1949" ht="15.75" customHeight="1">
      <c r="A1949" s="6">
        <v>11002.0</v>
      </c>
      <c r="B1949" s="7" t="s">
        <v>60</v>
      </c>
      <c r="C1949" s="24" t="str">
        <f>VLOOKUP(revenue[customerID],customers[],2,FALSE)</f>
        <v>Save-a-lot Markets</v>
      </c>
      <c r="D1949" s="24" t="str">
        <f>VLOOKUP(revenue[customerID],customers[],6,FALSE)</f>
        <v>Boise</v>
      </c>
      <c r="E1949" s="24" t="str">
        <f>VLOOKUP(revenue[customerID],customers[],9,FALSE)</f>
        <v>USA</v>
      </c>
      <c r="F1949" s="24">
        <v>45388.0</v>
      </c>
      <c r="G1949" s="6">
        <v>13.0</v>
      </c>
      <c r="H1949" s="9" t="str">
        <f>VLOOKUP(revenue[productID],products[],2,FALSE)</f>
        <v>Konbu</v>
      </c>
      <c r="I1949" s="9" t="str">
        <f>VLOOKUP(revenue[productID],products[],12,FALSE)</f>
        <v>Seafood</v>
      </c>
      <c r="J1949" s="9">
        <f>VLOOKUP(revenue[productID],products[],IF(YEAR(revenue[orderDate])=2022,8,IF(YEAR(revenue[orderDate])=2023,9,IF(YEAR(revenue[orderDate])=2024,10,NA))),FALSE)</f>
        <v>3.966387047</v>
      </c>
      <c r="K1949" s="9">
        <v>6.0</v>
      </c>
      <c r="L1949" s="25">
        <f>(revenue[orderPrice]-revenue[productCost])/revenue[productCost]</f>
        <v>0.5127116768</v>
      </c>
      <c r="M1949" s="10">
        <v>56.0</v>
      </c>
      <c r="N1949" s="25">
        <v>0.0</v>
      </c>
      <c r="O1949" s="9">
        <f>revenue[orderPrice]*revenue[orderQuantity]</f>
        <v>336</v>
      </c>
      <c r="P1949" s="9">
        <f>revenue[orderTotal]*(1-revenue[discountApllied])</f>
        <v>336</v>
      </c>
      <c r="Q1949" s="9">
        <f>revenue[revenue]-(revenue[productCost]*revenue[orderQuantity])</f>
        <v>113.8823254</v>
      </c>
      <c r="R1949" s="25">
        <f>IFERROR(revenue[profit]/revenue[revenue], 0)</f>
        <v>0.3389354922</v>
      </c>
      <c r="S1949" s="9">
        <f>revenue[productCost]*revenue[orderQuantity]</f>
        <v>222.1176746</v>
      </c>
    </row>
    <row r="1950" ht="15.75" customHeight="1">
      <c r="A1950" s="6">
        <v>11002.0</v>
      </c>
      <c r="B1950" s="7" t="s">
        <v>60</v>
      </c>
      <c r="C1950" s="24" t="str">
        <f>VLOOKUP(revenue[customerID],customers[],2,FALSE)</f>
        <v>Save-a-lot Markets</v>
      </c>
      <c r="D1950" s="24" t="str">
        <f>VLOOKUP(revenue[customerID],customers[],6,FALSE)</f>
        <v>Boise</v>
      </c>
      <c r="E1950" s="24" t="str">
        <f>VLOOKUP(revenue[customerID],customers[],9,FALSE)</f>
        <v>USA</v>
      </c>
      <c r="F1950" s="24">
        <v>45388.0</v>
      </c>
      <c r="G1950" s="6">
        <v>35.0</v>
      </c>
      <c r="H1950" s="9" t="str">
        <f>VLOOKUP(revenue[productID],products[],2,FALSE)</f>
        <v>Cold Brew Nitro</v>
      </c>
      <c r="I1950" s="9" t="str">
        <f>VLOOKUP(revenue[productID],products[],12,FALSE)</f>
        <v>Beverages</v>
      </c>
      <c r="J1950" s="9">
        <f>VLOOKUP(revenue[productID],products[],IF(YEAR(revenue[orderDate])=2022,8,IF(YEAR(revenue[orderDate])=2023,9,IF(YEAR(revenue[orderDate])=2024,10,NA))),FALSE)</f>
        <v>12.9261692</v>
      </c>
      <c r="K1950" s="9">
        <v>18.0</v>
      </c>
      <c r="L1950" s="25">
        <f>(revenue[orderPrice]-revenue[productCost])/revenue[productCost]</f>
        <v>0.3925239355</v>
      </c>
      <c r="M1950" s="10">
        <v>15.0</v>
      </c>
      <c r="N1950" s="25">
        <v>0.15</v>
      </c>
      <c r="O1950" s="9">
        <f>revenue[orderPrice]*revenue[orderQuantity]</f>
        <v>270</v>
      </c>
      <c r="P1950" s="9">
        <f>revenue[orderTotal]*(1-revenue[discountApllied])</f>
        <v>229.5</v>
      </c>
      <c r="Q1950" s="9">
        <f>revenue[revenue]-(revenue[productCost]*revenue[orderQuantity])</f>
        <v>35.60746206</v>
      </c>
      <c r="R1950" s="25">
        <f>IFERROR(revenue[profit]/revenue[revenue], 0)</f>
        <v>0.1551523401</v>
      </c>
      <c r="S1950" s="9">
        <f>revenue[productCost]*revenue[orderQuantity]</f>
        <v>193.8925379</v>
      </c>
    </row>
    <row r="1951" ht="15.75" customHeight="1">
      <c r="A1951" s="6">
        <v>11002.0</v>
      </c>
      <c r="B1951" s="7" t="s">
        <v>60</v>
      </c>
      <c r="C1951" s="24" t="str">
        <f>VLOOKUP(revenue[customerID],customers[],2,FALSE)</f>
        <v>Save-a-lot Markets</v>
      </c>
      <c r="D1951" s="24" t="str">
        <f>VLOOKUP(revenue[customerID],customers[],6,FALSE)</f>
        <v>Boise</v>
      </c>
      <c r="E1951" s="24" t="str">
        <f>VLOOKUP(revenue[customerID],customers[],9,FALSE)</f>
        <v>USA</v>
      </c>
      <c r="F1951" s="24">
        <v>45388.0</v>
      </c>
      <c r="G1951" s="6">
        <v>42.0</v>
      </c>
      <c r="H1951" s="9" t="str">
        <f>VLOOKUP(revenue[productID],products[],2,FALSE)</f>
        <v>Singaporean Hokkien Fried Mee</v>
      </c>
      <c r="I1951" s="9" t="str">
        <f>VLOOKUP(revenue[productID],products[],12,FALSE)</f>
        <v>Grains/Cereals</v>
      </c>
      <c r="J1951" s="9">
        <f>VLOOKUP(revenue[productID],products[],IF(YEAR(revenue[orderDate])=2022,8,IF(YEAR(revenue[orderDate])=2023,9,IF(YEAR(revenue[orderDate])=2024,10,NA))),FALSE)</f>
        <v>9.64736714</v>
      </c>
      <c r="K1951" s="9">
        <v>14.0</v>
      </c>
      <c r="L1951" s="25">
        <f>(revenue[orderPrice]-revenue[productCost])/revenue[productCost]</f>
        <v>0.4511731333</v>
      </c>
      <c r="M1951" s="10">
        <v>24.0</v>
      </c>
      <c r="N1951" s="25">
        <v>0.15</v>
      </c>
      <c r="O1951" s="9">
        <f>revenue[orderPrice]*revenue[orderQuantity]</f>
        <v>336</v>
      </c>
      <c r="P1951" s="9">
        <f>revenue[orderTotal]*(1-revenue[discountApllied])</f>
        <v>285.6</v>
      </c>
      <c r="Q1951" s="9">
        <f>revenue[revenue]-(revenue[productCost]*revenue[orderQuantity])</f>
        <v>54.06318865</v>
      </c>
      <c r="R1951" s="25">
        <f>IFERROR(revenue[profit]/revenue[revenue], 0)</f>
        <v>0.189296879</v>
      </c>
      <c r="S1951" s="9">
        <f>revenue[productCost]*revenue[orderQuantity]</f>
        <v>231.5368114</v>
      </c>
    </row>
    <row r="1952" ht="15.75" customHeight="1">
      <c r="A1952" s="6">
        <v>11002.0</v>
      </c>
      <c r="B1952" s="7" t="s">
        <v>60</v>
      </c>
      <c r="C1952" s="24" t="str">
        <f>VLOOKUP(revenue[customerID],customers[],2,FALSE)</f>
        <v>Save-a-lot Markets</v>
      </c>
      <c r="D1952" s="24" t="str">
        <f>VLOOKUP(revenue[customerID],customers[],6,FALSE)</f>
        <v>Boise</v>
      </c>
      <c r="E1952" s="24" t="str">
        <f>VLOOKUP(revenue[customerID],customers[],9,FALSE)</f>
        <v>USA</v>
      </c>
      <c r="F1952" s="24">
        <v>45388.0</v>
      </c>
      <c r="G1952" s="6">
        <v>55.0</v>
      </c>
      <c r="H1952" s="9" t="str">
        <f>VLOOKUP(revenue[productID],products[],2,FALSE)</f>
        <v>Pâté chinois</v>
      </c>
      <c r="I1952" s="9" t="str">
        <f>VLOOKUP(revenue[productID],products[],12,FALSE)</f>
        <v>Meat/Poultry</v>
      </c>
      <c r="J1952" s="9">
        <f>VLOOKUP(revenue[productID],products[],IF(YEAR(revenue[orderDate])=2022,8,IF(YEAR(revenue[orderDate])=2023,9,IF(YEAR(revenue[orderDate])=2024,10,NA))),FALSE)</f>
        <v>16.95998522</v>
      </c>
      <c r="K1952" s="9">
        <v>24.0</v>
      </c>
      <c r="L1952" s="25">
        <f>(revenue[orderPrice]-revenue[productCost])/revenue[productCost]</f>
        <v>0.4150955727</v>
      </c>
      <c r="M1952" s="10">
        <v>40.0</v>
      </c>
      <c r="N1952" s="25">
        <v>0.0</v>
      </c>
      <c r="O1952" s="9">
        <f>revenue[orderPrice]*revenue[orderQuantity]</f>
        <v>960</v>
      </c>
      <c r="P1952" s="9">
        <f>revenue[orderTotal]*(1-revenue[discountApllied])</f>
        <v>960</v>
      </c>
      <c r="Q1952" s="9">
        <f>revenue[revenue]-(revenue[productCost]*revenue[orderQuantity])</f>
        <v>281.6005912</v>
      </c>
      <c r="R1952" s="25">
        <f>IFERROR(revenue[profit]/revenue[revenue], 0)</f>
        <v>0.2933339491</v>
      </c>
      <c r="S1952" s="9">
        <f>revenue[productCost]*revenue[orderQuantity]</f>
        <v>678.3994088</v>
      </c>
    </row>
    <row r="1953" ht="15.75" customHeight="1">
      <c r="A1953" s="6">
        <v>11003.0</v>
      </c>
      <c r="B1953" s="7" t="s">
        <v>99</v>
      </c>
      <c r="C1953" s="24" t="str">
        <f>VLOOKUP(revenue[customerID],customers[],2,FALSE)</f>
        <v>The Cracker Box</v>
      </c>
      <c r="D1953" s="24" t="str">
        <f>VLOOKUP(revenue[customerID],customers[],6,FALSE)</f>
        <v>Butte</v>
      </c>
      <c r="E1953" s="24" t="str">
        <f>VLOOKUP(revenue[customerID],customers[],9,FALSE)</f>
        <v>USA</v>
      </c>
      <c r="F1953" s="24">
        <v>45388.0</v>
      </c>
      <c r="G1953" s="6">
        <v>1.0</v>
      </c>
      <c r="H1953" s="9" t="str">
        <f>VLOOKUP(revenue[productID],products[],2,FALSE)</f>
        <v>Chai</v>
      </c>
      <c r="I1953" s="9" t="str">
        <f>VLOOKUP(revenue[productID],products[],12,FALSE)</f>
        <v>Beverages</v>
      </c>
      <c r="J1953" s="9">
        <f>VLOOKUP(revenue[productID],products[],IF(YEAR(revenue[orderDate])=2022,8,IF(YEAR(revenue[orderDate])=2023,9,IF(YEAR(revenue[orderDate])=2024,10,NA))),FALSE)</f>
        <v>12.17757454</v>
      </c>
      <c r="K1953" s="9">
        <v>18.0</v>
      </c>
      <c r="L1953" s="25">
        <f>(revenue[orderPrice]-revenue[productCost])/revenue[productCost]</f>
        <v>0.4781268584</v>
      </c>
      <c r="M1953" s="10">
        <v>4.0</v>
      </c>
      <c r="N1953" s="25">
        <v>0.0</v>
      </c>
      <c r="O1953" s="9">
        <f>revenue[orderPrice]*revenue[orderQuantity]</f>
        <v>72</v>
      </c>
      <c r="P1953" s="9">
        <f>revenue[orderTotal]*(1-revenue[discountApllied])</f>
        <v>72</v>
      </c>
      <c r="Q1953" s="9">
        <f>revenue[revenue]-(revenue[productCost]*revenue[orderQuantity])</f>
        <v>23.28970183</v>
      </c>
      <c r="R1953" s="25">
        <f>IFERROR(revenue[profit]/revenue[revenue], 0)</f>
        <v>0.323468081</v>
      </c>
      <c r="S1953" s="9">
        <f>revenue[productCost]*revenue[orderQuantity]</f>
        <v>48.71029817</v>
      </c>
    </row>
    <row r="1954" ht="15.75" customHeight="1">
      <c r="A1954" s="6">
        <v>11003.0</v>
      </c>
      <c r="B1954" s="7" t="s">
        <v>99</v>
      </c>
      <c r="C1954" s="24" t="str">
        <f>VLOOKUP(revenue[customerID],customers[],2,FALSE)</f>
        <v>The Cracker Box</v>
      </c>
      <c r="D1954" s="24" t="str">
        <f>VLOOKUP(revenue[customerID],customers[],6,FALSE)</f>
        <v>Butte</v>
      </c>
      <c r="E1954" s="24" t="str">
        <f>VLOOKUP(revenue[customerID],customers[],9,FALSE)</f>
        <v>USA</v>
      </c>
      <c r="F1954" s="24">
        <v>45388.0</v>
      </c>
      <c r="G1954" s="6">
        <v>40.0</v>
      </c>
      <c r="H1954" s="9" t="str">
        <f>VLOOKUP(revenue[productID],products[],2,FALSE)</f>
        <v>Boston Crab Meat</v>
      </c>
      <c r="I1954" s="9" t="str">
        <f>VLOOKUP(revenue[productID],products[],12,FALSE)</f>
        <v>Seafood</v>
      </c>
      <c r="J1954" s="9">
        <f>VLOOKUP(revenue[productID],products[],IF(YEAR(revenue[orderDate])=2022,8,IF(YEAR(revenue[orderDate])=2023,9,IF(YEAR(revenue[orderDate])=2024,10,NA))),FALSE)</f>
        <v>12.44307</v>
      </c>
      <c r="K1954" s="9">
        <v>18.4</v>
      </c>
      <c r="L1954" s="25">
        <f>(revenue[orderPrice]-revenue[productCost])/revenue[productCost]</f>
        <v>0.4787347499</v>
      </c>
      <c r="M1954" s="10">
        <v>10.0</v>
      </c>
      <c r="N1954" s="25">
        <v>0.0</v>
      </c>
      <c r="O1954" s="9">
        <f>revenue[orderPrice]*revenue[orderQuantity]</f>
        <v>184</v>
      </c>
      <c r="P1954" s="9">
        <f>revenue[orderTotal]*(1-revenue[discountApllied])</f>
        <v>184</v>
      </c>
      <c r="Q1954" s="9">
        <f>revenue[revenue]-(revenue[productCost]*revenue[orderQuantity])</f>
        <v>59.56930003</v>
      </c>
      <c r="R1954" s="25">
        <f>IFERROR(revenue[profit]/revenue[revenue], 0)</f>
        <v>0.3237461958</v>
      </c>
      <c r="S1954" s="9">
        <f>revenue[productCost]*revenue[orderQuantity]</f>
        <v>124.4307</v>
      </c>
    </row>
    <row r="1955" ht="15.75" customHeight="1">
      <c r="A1955" s="6">
        <v>11003.0</v>
      </c>
      <c r="B1955" s="7" t="s">
        <v>99</v>
      </c>
      <c r="C1955" s="24" t="str">
        <f>VLOOKUP(revenue[customerID],customers[],2,FALSE)</f>
        <v>The Cracker Box</v>
      </c>
      <c r="D1955" s="24" t="str">
        <f>VLOOKUP(revenue[customerID],customers[],6,FALSE)</f>
        <v>Butte</v>
      </c>
      <c r="E1955" s="24" t="str">
        <f>VLOOKUP(revenue[customerID],customers[],9,FALSE)</f>
        <v>USA</v>
      </c>
      <c r="F1955" s="24">
        <v>45388.0</v>
      </c>
      <c r="G1955" s="6">
        <v>52.0</v>
      </c>
      <c r="H1955" s="9" t="str">
        <f>VLOOKUP(revenue[productID],products[],2,FALSE)</f>
        <v>Filo Mix</v>
      </c>
      <c r="I1955" s="9" t="str">
        <f>VLOOKUP(revenue[productID],products[],12,FALSE)</f>
        <v>Grains/Cereals</v>
      </c>
      <c r="J1955" s="9">
        <f>VLOOKUP(revenue[productID],products[],IF(YEAR(revenue[orderDate])=2022,8,IF(YEAR(revenue[orderDate])=2023,9,IF(YEAR(revenue[orderDate])=2024,10,NA))),FALSE)</f>
        <v>5.222223442</v>
      </c>
      <c r="K1955" s="9">
        <v>7.0</v>
      </c>
      <c r="L1955" s="25">
        <f>(revenue[orderPrice]-revenue[productCost])/revenue[productCost]</f>
        <v>0.3404252188</v>
      </c>
      <c r="M1955" s="10">
        <v>10.0</v>
      </c>
      <c r="N1955" s="25">
        <v>0.0</v>
      </c>
      <c r="O1955" s="9">
        <f>revenue[orderPrice]*revenue[orderQuantity]</f>
        <v>70</v>
      </c>
      <c r="P1955" s="9">
        <f>revenue[orderTotal]*(1-revenue[discountApllied])</f>
        <v>70</v>
      </c>
      <c r="Q1955" s="9">
        <f>revenue[revenue]-(revenue[productCost]*revenue[orderQuantity])</f>
        <v>17.77776558</v>
      </c>
      <c r="R1955" s="25">
        <f>IFERROR(revenue[profit]/revenue[revenue], 0)</f>
        <v>0.2539680797</v>
      </c>
      <c r="S1955" s="9">
        <f>revenue[productCost]*revenue[orderQuantity]</f>
        <v>52.22223442</v>
      </c>
    </row>
    <row r="1956" ht="15.75" customHeight="1">
      <c r="A1956" s="6">
        <v>11004.0</v>
      </c>
      <c r="B1956" s="7" t="s">
        <v>95</v>
      </c>
      <c r="C1956" s="24" t="str">
        <f>VLOOKUP(revenue[customerID],customers[],2,FALSE)</f>
        <v>Maison Dewey</v>
      </c>
      <c r="D1956" s="24" t="str">
        <f>VLOOKUP(revenue[customerID],customers[],6,FALSE)</f>
        <v>Bruxelles</v>
      </c>
      <c r="E1956" s="24" t="str">
        <f>VLOOKUP(revenue[customerID],customers[],9,FALSE)</f>
        <v>Belgium</v>
      </c>
      <c r="F1956" s="24">
        <v>45389.0</v>
      </c>
      <c r="G1956" s="6">
        <v>26.0</v>
      </c>
      <c r="H1956" s="9" t="str">
        <f>VLOOKUP(revenue[productID],products[],2,FALSE)</f>
        <v>NuNuCa Nuß-Nougat-Creme</v>
      </c>
      <c r="I1956" s="9" t="str">
        <f>VLOOKUP(revenue[productID],products[],12,FALSE)</f>
        <v>Confections</v>
      </c>
      <c r="J1956" s="9">
        <f>VLOOKUP(revenue[productID],products[],IF(YEAR(revenue[orderDate])=2022,8,IF(YEAR(revenue[orderDate])=2023,9,IF(YEAR(revenue[orderDate])=2024,10,NA))),FALSE)</f>
        <v>22.79977195</v>
      </c>
      <c r="K1956" s="9">
        <v>31.23</v>
      </c>
      <c r="L1956" s="25">
        <f>(revenue[orderPrice]-revenue[productCost])/revenue[productCost]</f>
        <v>0.3697505427</v>
      </c>
      <c r="M1956" s="10">
        <v>6.0</v>
      </c>
      <c r="N1956" s="25">
        <v>0.0</v>
      </c>
      <c r="O1956" s="9">
        <f>revenue[orderPrice]*revenue[orderQuantity]</f>
        <v>187.38</v>
      </c>
      <c r="P1956" s="9">
        <f>revenue[orderTotal]*(1-revenue[discountApllied])</f>
        <v>187.38</v>
      </c>
      <c r="Q1956" s="9">
        <f>revenue[revenue]-(revenue[productCost]*revenue[orderQuantity])</f>
        <v>50.58136831</v>
      </c>
      <c r="R1956" s="25">
        <f>IFERROR(revenue[profit]/revenue[revenue], 0)</f>
        <v>0.2699400593</v>
      </c>
      <c r="S1956" s="9">
        <f>revenue[productCost]*revenue[orderQuantity]</f>
        <v>136.7986317</v>
      </c>
    </row>
    <row r="1957" ht="15.75" customHeight="1">
      <c r="A1957" s="6">
        <v>11004.0</v>
      </c>
      <c r="B1957" s="7" t="s">
        <v>95</v>
      </c>
      <c r="C1957" s="24" t="str">
        <f>VLOOKUP(revenue[customerID],customers[],2,FALSE)</f>
        <v>Maison Dewey</v>
      </c>
      <c r="D1957" s="24" t="str">
        <f>VLOOKUP(revenue[customerID],customers[],6,FALSE)</f>
        <v>Bruxelles</v>
      </c>
      <c r="E1957" s="24" t="str">
        <f>VLOOKUP(revenue[customerID],customers[],9,FALSE)</f>
        <v>Belgium</v>
      </c>
      <c r="F1957" s="24">
        <v>45389.0</v>
      </c>
      <c r="G1957" s="6">
        <v>76.0</v>
      </c>
      <c r="H1957" s="9" t="str">
        <f>VLOOKUP(revenue[productID],products[],2,FALSE)</f>
        <v>Lakkalikööri</v>
      </c>
      <c r="I1957" s="9" t="str">
        <f>VLOOKUP(revenue[productID],products[],12,FALSE)</f>
        <v>Beverages</v>
      </c>
      <c r="J1957" s="9">
        <f>VLOOKUP(revenue[productID],products[],IF(YEAR(revenue[orderDate])=2022,8,IF(YEAR(revenue[orderDate])=2023,9,IF(YEAR(revenue[orderDate])=2024,10,NA))),FALSE)</f>
        <v>12.15832249</v>
      </c>
      <c r="K1957" s="9">
        <v>18.0</v>
      </c>
      <c r="L1957" s="25">
        <f>(revenue[orderPrice]-revenue[productCost])/revenue[productCost]</f>
        <v>0.4804673928</v>
      </c>
      <c r="M1957" s="10">
        <v>6.0</v>
      </c>
      <c r="N1957" s="25">
        <v>0.0</v>
      </c>
      <c r="O1957" s="9">
        <f>revenue[orderPrice]*revenue[orderQuantity]</f>
        <v>108</v>
      </c>
      <c r="P1957" s="9">
        <f>revenue[orderTotal]*(1-revenue[discountApllied])</f>
        <v>108</v>
      </c>
      <c r="Q1957" s="9">
        <f>revenue[revenue]-(revenue[productCost]*revenue[orderQuantity])</f>
        <v>35.05006505</v>
      </c>
      <c r="R1957" s="25">
        <f>IFERROR(revenue[profit]/revenue[revenue], 0)</f>
        <v>0.3245376394</v>
      </c>
      <c r="S1957" s="9">
        <f>revenue[productCost]*revenue[orderQuantity]</f>
        <v>72.94993495</v>
      </c>
    </row>
    <row r="1958" ht="15.75" customHeight="1">
      <c r="A1958" s="6">
        <v>11005.0</v>
      </c>
      <c r="B1958" s="7" t="s">
        <v>98</v>
      </c>
      <c r="C1958" s="24" t="str">
        <f>VLOOKUP(revenue[customerID],customers[],2,FALSE)</f>
        <v>Wilman Kala</v>
      </c>
      <c r="D1958" s="24" t="str">
        <f>VLOOKUP(revenue[customerID],customers[],6,FALSE)</f>
        <v>Helsinki</v>
      </c>
      <c r="E1958" s="24" t="str">
        <f>VLOOKUP(revenue[customerID],customers[],9,FALSE)</f>
        <v>Finland</v>
      </c>
      <c r="F1958" s="24">
        <v>45389.0</v>
      </c>
      <c r="G1958" s="6">
        <v>1.0</v>
      </c>
      <c r="H1958" s="9" t="str">
        <f>VLOOKUP(revenue[productID],products[],2,FALSE)</f>
        <v>Chai</v>
      </c>
      <c r="I1958" s="9" t="str">
        <f>VLOOKUP(revenue[productID],products[],12,FALSE)</f>
        <v>Beverages</v>
      </c>
      <c r="J1958" s="9">
        <f>VLOOKUP(revenue[productID],products[],IF(YEAR(revenue[orderDate])=2022,8,IF(YEAR(revenue[orderDate])=2023,9,IF(YEAR(revenue[orderDate])=2024,10,NA))),FALSE)</f>
        <v>12.17757454</v>
      </c>
      <c r="K1958" s="9">
        <v>18.0</v>
      </c>
      <c r="L1958" s="25">
        <f>(revenue[orderPrice]-revenue[productCost])/revenue[productCost]</f>
        <v>0.4781268584</v>
      </c>
      <c r="M1958" s="10">
        <v>2.0</v>
      </c>
      <c r="N1958" s="25">
        <v>0.0</v>
      </c>
      <c r="O1958" s="9">
        <f>revenue[orderPrice]*revenue[orderQuantity]</f>
        <v>36</v>
      </c>
      <c r="P1958" s="9">
        <f>revenue[orderTotal]*(1-revenue[discountApllied])</f>
        <v>36</v>
      </c>
      <c r="Q1958" s="9">
        <f>revenue[revenue]-(revenue[productCost]*revenue[orderQuantity])</f>
        <v>11.64485092</v>
      </c>
      <c r="R1958" s="25">
        <f>IFERROR(revenue[profit]/revenue[revenue], 0)</f>
        <v>0.323468081</v>
      </c>
      <c r="S1958" s="9">
        <f>revenue[productCost]*revenue[orderQuantity]</f>
        <v>24.35514908</v>
      </c>
    </row>
    <row r="1959" ht="15.75" customHeight="1">
      <c r="A1959" s="6">
        <v>11005.0</v>
      </c>
      <c r="B1959" s="7" t="s">
        <v>98</v>
      </c>
      <c r="C1959" s="24" t="str">
        <f>VLOOKUP(revenue[customerID],customers[],2,FALSE)</f>
        <v>Wilman Kala</v>
      </c>
      <c r="D1959" s="24" t="str">
        <f>VLOOKUP(revenue[customerID],customers[],6,FALSE)</f>
        <v>Helsinki</v>
      </c>
      <c r="E1959" s="24" t="str">
        <f>VLOOKUP(revenue[customerID],customers[],9,FALSE)</f>
        <v>Finland</v>
      </c>
      <c r="F1959" s="24">
        <v>45389.0</v>
      </c>
      <c r="G1959" s="6">
        <v>59.0</v>
      </c>
      <c r="H1959" s="9" t="str">
        <f>VLOOKUP(revenue[productID],products[],2,FALSE)</f>
        <v>Raclette Courdavault</v>
      </c>
      <c r="I1959" s="9" t="str">
        <f>VLOOKUP(revenue[productID],products[],12,FALSE)</f>
        <v>Dairy Products</v>
      </c>
      <c r="J1959" s="9">
        <f>VLOOKUP(revenue[productID],products[],IF(YEAR(revenue[orderDate])=2022,8,IF(YEAR(revenue[orderDate])=2023,9,IF(YEAR(revenue[orderDate])=2024,10,NA))),FALSE)</f>
        <v>36.74863711</v>
      </c>
      <c r="K1959" s="9">
        <v>55.0</v>
      </c>
      <c r="L1959" s="25">
        <f>(revenue[orderPrice]-revenue[productCost])/revenue[productCost]</f>
        <v>0.4966541435</v>
      </c>
      <c r="M1959" s="10">
        <v>10.0</v>
      </c>
      <c r="N1959" s="25">
        <v>0.0</v>
      </c>
      <c r="O1959" s="9">
        <f>revenue[orderPrice]*revenue[orderQuantity]</f>
        <v>550</v>
      </c>
      <c r="P1959" s="9">
        <f>revenue[orderTotal]*(1-revenue[discountApllied])</f>
        <v>550</v>
      </c>
      <c r="Q1959" s="9">
        <f>revenue[revenue]-(revenue[productCost]*revenue[orderQuantity])</f>
        <v>182.5136289</v>
      </c>
      <c r="R1959" s="25">
        <f>IFERROR(revenue[profit]/revenue[revenue], 0)</f>
        <v>0.3318429616</v>
      </c>
      <c r="S1959" s="9">
        <f>revenue[productCost]*revenue[orderQuantity]</f>
        <v>367.4863711</v>
      </c>
    </row>
    <row r="1960" ht="15.75" customHeight="1">
      <c r="A1960" s="6">
        <v>11006.0</v>
      </c>
      <c r="B1960" s="7" t="s">
        <v>94</v>
      </c>
      <c r="C1960" s="24" t="str">
        <f>VLOOKUP(revenue[customerID],customers[],2,FALSE)</f>
        <v>Great Lakes Food Market</v>
      </c>
      <c r="D1960" s="24" t="str">
        <f>VLOOKUP(revenue[customerID],customers[],6,FALSE)</f>
        <v>Eugene</v>
      </c>
      <c r="E1960" s="24" t="str">
        <f>VLOOKUP(revenue[customerID],customers[],9,FALSE)</f>
        <v>USA</v>
      </c>
      <c r="F1960" s="24">
        <v>45389.0</v>
      </c>
      <c r="G1960" s="6">
        <v>1.0</v>
      </c>
      <c r="H1960" s="9" t="str">
        <f>VLOOKUP(revenue[productID],products[],2,FALSE)</f>
        <v>Chai</v>
      </c>
      <c r="I1960" s="9" t="str">
        <f>VLOOKUP(revenue[productID],products[],12,FALSE)</f>
        <v>Beverages</v>
      </c>
      <c r="J1960" s="9">
        <f>VLOOKUP(revenue[productID],products[],IF(YEAR(revenue[orderDate])=2022,8,IF(YEAR(revenue[orderDate])=2023,9,IF(YEAR(revenue[orderDate])=2024,10,NA))),FALSE)</f>
        <v>12.17757454</v>
      </c>
      <c r="K1960" s="9">
        <v>18.0</v>
      </c>
      <c r="L1960" s="25">
        <f>(revenue[orderPrice]-revenue[productCost])/revenue[productCost]</f>
        <v>0.4781268584</v>
      </c>
      <c r="M1960" s="10">
        <v>8.0</v>
      </c>
      <c r="N1960" s="25">
        <v>0.0</v>
      </c>
      <c r="O1960" s="9">
        <f>revenue[orderPrice]*revenue[orderQuantity]</f>
        <v>144</v>
      </c>
      <c r="P1960" s="9">
        <f>revenue[orderTotal]*(1-revenue[discountApllied])</f>
        <v>144</v>
      </c>
      <c r="Q1960" s="9">
        <f>revenue[revenue]-(revenue[productCost]*revenue[orderQuantity])</f>
        <v>46.57940367</v>
      </c>
      <c r="R1960" s="25">
        <f>IFERROR(revenue[profit]/revenue[revenue], 0)</f>
        <v>0.323468081</v>
      </c>
      <c r="S1960" s="9">
        <f>revenue[productCost]*revenue[orderQuantity]</f>
        <v>97.42059633</v>
      </c>
    </row>
    <row r="1961" ht="15.75" customHeight="1">
      <c r="A1961" s="6">
        <v>11006.0</v>
      </c>
      <c r="B1961" s="7" t="s">
        <v>94</v>
      </c>
      <c r="C1961" s="24" t="str">
        <f>VLOOKUP(revenue[customerID],customers[],2,FALSE)</f>
        <v>Great Lakes Food Market</v>
      </c>
      <c r="D1961" s="24" t="str">
        <f>VLOOKUP(revenue[customerID],customers[],6,FALSE)</f>
        <v>Eugene</v>
      </c>
      <c r="E1961" s="24" t="str">
        <f>VLOOKUP(revenue[customerID],customers[],9,FALSE)</f>
        <v>USA</v>
      </c>
      <c r="F1961" s="24">
        <v>45389.0</v>
      </c>
      <c r="G1961" s="6">
        <v>29.0</v>
      </c>
      <c r="H1961" s="9" t="str">
        <f>VLOOKUP(revenue[productID],products[],2,FALSE)</f>
        <v>Thüringer Rostbratwurst</v>
      </c>
      <c r="I1961" s="9" t="str">
        <f>VLOOKUP(revenue[productID],products[],12,FALSE)</f>
        <v>Meat/Poultry</v>
      </c>
      <c r="J1961" s="9">
        <f>VLOOKUP(revenue[productID],products[],IF(YEAR(revenue[orderDate])=2022,8,IF(YEAR(revenue[orderDate])=2023,9,IF(YEAR(revenue[orderDate])=2024,10,NA))),FALSE)</f>
        <v>80.14595973</v>
      </c>
      <c r="K1961" s="9">
        <v>123.79</v>
      </c>
      <c r="L1961" s="25">
        <f>(revenue[orderPrice]-revenue[productCost])/revenue[productCost]</f>
        <v>0.544556961</v>
      </c>
      <c r="M1961" s="10">
        <v>2.0</v>
      </c>
      <c r="N1961" s="25">
        <v>0.25</v>
      </c>
      <c r="O1961" s="9">
        <f>revenue[orderPrice]*revenue[orderQuantity]</f>
        <v>247.58</v>
      </c>
      <c r="P1961" s="9">
        <f>revenue[orderTotal]*(1-revenue[discountApllied])</f>
        <v>185.685</v>
      </c>
      <c r="Q1961" s="9">
        <f>revenue[revenue]-(revenue[productCost]*revenue[orderQuantity])</f>
        <v>25.39308053</v>
      </c>
      <c r="R1961" s="25">
        <f>IFERROR(revenue[profit]/revenue[revenue], 0)</f>
        <v>0.1367535371</v>
      </c>
      <c r="S1961" s="9">
        <f>revenue[productCost]*revenue[orderQuantity]</f>
        <v>160.2919195</v>
      </c>
    </row>
    <row r="1962" ht="15.75" customHeight="1">
      <c r="A1962" s="6">
        <v>11007.0</v>
      </c>
      <c r="B1962" s="7" t="s">
        <v>65</v>
      </c>
      <c r="C1962" s="24" t="str">
        <f>VLOOKUP(revenue[customerID],customers[],2,FALSE)</f>
        <v>Princesa Isabel Vinhos</v>
      </c>
      <c r="D1962" s="24" t="str">
        <f>VLOOKUP(revenue[customerID],customers[],6,FALSE)</f>
        <v>Lisboa</v>
      </c>
      <c r="E1962" s="24" t="str">
        <f>VLOOKUP(revenue[customerID],customers[],9,FALSE)</f>
        <v>Portugal</v>
      </c>
      <c r="F1962" s="24">
        <v>45390.0</v>
      </c>
      <c r="G1962" s="6">
        <v>8.0</v>
      </c>
      <c r="H1962" s="9" t="str">
        <f>VLOOKUP(revenue[productID],products[],2,FALSE)</f>
        <v>Northwoods Cranberry Sauce</v>
      </c>
      <c r="I1962" s="9" t="str">
        <f>VLOOKUP(revenue[productID],products[],12,FALSE)</f>
        <v>Condiments</v>
      </c>
      <c r="J1962" s="9">
        <f>VLOOKUP(revenue[productID],products[],IF(YEAR(revenue[orderDate])=2022,8,IF(YEAR(revenue[orderDate])=2023,9,IF(YEAR(revenue[orderDate])=2024,10,NA))),FALSE)</f>
        <v>27.41770867</v>
      </c>
      <c r="K1962" s="9">
        <v>40.0</v>
      </c>
      <c r="L1962" s="25">
        <f>(revenue[orderPrice]-revenue[productCost])/revenue[productCost]</f>
        <v>0.4589111179</v>
      </c>
      <c r="M1962" s="10">
        <v>30.0</v>
      </c>
      <c r="N1962" s="25">
        <v>0.0</v>
      </c>
      <c r="O1962" s="9">
        <f>revenue[orderPrice]*revenue[orderQuantity]</f>
        <v>1200</v>
      </c>
      <c r="P1962" s="9">
        <f>revenue[orderTotal]*(1-revenue[discountApllied])</f>
        <v>1200</v>
      </c>
      <c r="Q1962" s="9">
        <f>revenue[revenue]-(revenue[productCost]*revenue[orderQuantity])</f>
        <v>377.46874</v>
      </c>
      <c r="R1962" s="25">
        <f>IFERROR(revenue[profit]/revenue[revenue], 0)</f>
        <v>0.3145572833</v>
      </c>
      <c r="S1962" s="9">
        <f>revenue[productCost]*revenue[orderQuantity]</f>
        <v>822.53126</v>
      </c>
    </row>
    <row r="1963" ht="15.75" customHeight="1">
      <c r="A1963" s="6">
        <v>11007.0</v>
      </c>
      <c r="B1963" s="7" t="s">
        <v>65</v>
      </c>
      <c r="C1963" s="24" t="str">
        <f>VLOOKUP(revenue[customerID],customers[],2,FALSE)</f>
        <v>Princesa Isabel Vinhos</v>
      </c>
      <c r="D1963" s="24" t="str">
        <f>VLOOKUP(revenue[customerID],customers[],6,FALSE)</f>
        <v>Lisboa</v>
      </c>
      <c r="E1963" s="24" t="str">
        <f>VLOOKUP(revenue[customerID],customers[],9,FALSE)</f>
        <v>Portugal</v>
      </c>
      <c r="F1963" s="24">
        <v>45390.0</v>
      </c>
      <c r="G1963" s="6">
        <v>29.0</v>
      </c>
      <c r="H1963" s="9" t="str">
        <f>VLOOKUP(revenue[productID],products[],2,FALSE)</f>
        <v>Thüringer Rostbratwurst</v>
      </c>
      <c r="I1963" s="9" t="str">
        <f>VLOOKUP(revenue[productID],products[],12,FALSE)</f>
        <v>Meat/Poultry</v>
      </c>
      <c r="J1963" s="9">
        <f>VLOOKUP(revenue[productID],products[],IF(YEAR(revenue[orderDate])=2022,8,IF(YEAR(revenue[orderDate])=2023,9,IF(YEAR(revenue[orderDate])=2024,10,NA))),FALSE)</f>
        <v>80.14595973</v>
      </c>
      <c r="K1963" s="9">
        <v>123.79</v>
      </c>
      <c r="L1963" s="25">
        <f>(revenue[orderPrice]-revenue[productCost])/revenue[productCost]</f>
        <v>0.544556961</v>
      </c>
      <c r="M1963" s="10">
        <v>10.0</v>
      </c>
      <c r="N1963" s="25">
        <v>0.0</v>
      </c>
      <c r="O1963" s="9">
        <f>revenue[orderPrice]*revenue[orderQuantity]</f>
        <v>1237.9</v>
      </c>
      <c r="P1963" s="9">
        <f>revenue[orderTotal]*(1-revenue[discountApllied])</f>
        <v>1237.9</v>
      </c>
      <c r="Q1963" s="9">
        <f>revenue[revenue]-(revenue[productCost]*revenue[orderQuantity])</f>
        <v>436.4404027</v>
      </c>
      <c r="R1963" s="25">
        <f>IFERROR(revenue[profit]/revenue[revenue], 0)</f>
        <v>0.3525651528</v>
      </c>
      <c r="S1963" s="9">
        <f>revenue[productCost]*revenue[orderQuantity]</f>
        <v>801.4595973</v>
      </c>
    </row>
    <row r="1964" ht="15.75" customHeight="1">
      <c r="A1964" s="6">
        <v>11007.0</v>
      </c>
      <c r="B1964" s="7" t="s">
        <v>65</v>
      </c>
      <c r="C1964" s="24" t="str">
        <f>VLOOKUP(revenue[customerID],customers[],2,FALSE)</f>
        <v>Princesa Isabel Vinhos</v>
      </c>
      <c r="D1964" s="24" t="str">
        <f>VLOOKUP(revenue[customerID],customers[],6,FALSE)</f>
        <v>Lisboa</v>
      </c>
      <c r="E1964" s="24" t="str">
        <f>VLOOKUP(revenue[customerID],customers[],9,FALSE)</f>
        <v>Portugal</v>
      </c>
      <c r="F1964" s="24">
        <v>45390.0</v>
      </c>
      <c r="G1964" s="6">
        <v>42.0</v>
      </c>
      <c r="H1964" s="9" t="str">
        <f>VLOOKUP(revenue[productID],products[],2,FALSE)</f>
        <v>Singaporean Hokkien Fried Mee</v>
      </c>
      <c r="I1964" s="9" t="str">
        <f>VLOOKUP(revenue[productID],products[],12,FALSE)</f>
        <v>Grains/Cereals</v>
      </c>
      <c r="J1964" s="9">
        <f>VLOOKUP(revenue[productID],products[],IF(YEAR(revenue[orderDate])=2022,8,IF(YEAR(revenue[orderDate])=2023,9,IF(YEAR(revenue[orderDate])=2024,10,NA))),FALSE)</f>
        <v>9.64736714</v>
      </c>
      <c r="K1964" s="9">
        <v>14.0</v>
      </c>
      <c r="L1964" s="25">
        <f>(revenue[orderPrice]-revenue[productCost])/revenue[productCost]</f>
        <v>0.4511731333</v>
      </c>
      <c r="M1964" s="10">
        <v>14.0</v>
      </c>
      <c r="N1964" s="25">
        <v>0.0</v>
      </c>
      <c r="O1964" s="9">
        <f>revenue[orderPrice]*revenue[orderQuantity]</f>
        <v>196</v>
      </c>
      <c r="P1964" s="9">
        <f>revenue[orderTotal]*(1-revenue[discountApllied])</f>
        <v>196</v>
      </c>
      <c r="Q1964" s="9">
        <f>revenue[revenue]-(revenue[productCost]*revenue[orderQuantity])</f>
        <v>60.93686004</v>
      </c>
      <c r="R1964" s="25">
        <f>IFERROR(revenue[profit]/revenue[revenue], 0)</f>
        <v>0.3109023472</v>
      </c>
      <c r="S1964" s="9">
        <f>revenue[productCost]*revenue[orderQuantity]</f>
        <v>135.06314</v>
      </c>
    </row>
    <row r="1965" ht="15.75" customHeight="1">
      <c r="A1965" s="6">
        <v>11008.0</v>
      </c>
      <c r="B1965" s="7" t="s">
        <v>24</v>
      </c>
      <c r="C1965" s="24" t="str">
        <f>VLOOKUP(revenue[customerID],customers[],2,FALSE)</f>
        <v>Ernst Handel</v>
      </c>
      <c r="D1965" s="24" t="str">
        <f>VLOOKUP(revenue[customerID],customers[],6,FALSE)</f>
        <v>Graz</v>
      </c>
      <c r="E1965" s="24" t="str">
        <f>VLOOKUP(revenue[customerID],customers[],9,FALSE)</f>
        <v>Austria</v>
      </c>
      <c r="F1965" s="24">
        <v>45390.0</v>
      </c>
      <c r="G1965" s="6">
        <v>28.0</v>
      </c>
      <c r="H1965" s="9" t="str">
        <f>VLOOKUP(revenue[productID],products[],2,FALSE)</f>
        <v>Rössle Sauerkraut</v>
      </c>
      <c r="I1965" s="9" t="str">
        <f>VLOOKUP(revenue[productID],products[],12,FALSE)</f>
        <v>Produce</v>
      </c>
      <c r="J1965" s="9">
        <f>VLOOKUP(revenue[productID],products[],IF(YEAR(revenue[orderDate])=2022,8,IF(YEAR(revenue[orderDate])=2023,9,IF(YEAR(revenue[orderDate])=2024,10,NA))),FALSE)</f>
        <v>34.18502761</v>
      </c>
      <c r="K1965" s="9">
        <v>45.6</v>
      </c>
      <c r="L1965" s="25">
        <f>(revenue[orderPrice]-revenue[productCost])/revenue[productCost]</f>
        <v>0.3339173079</v>
      </c>
      <c r="M1965" s="10">
        <v>70.0</v>
      </c>
      <c r="N1965" s="25">
        <v>0.05</v>
      </c>
      <c r="O1965" s="9">
        <f>revenue[orderPrice]*revenue[orderQuantity]</f>
        <v>3192</v>
      </c>
      <c r="P1965" s="9">
        <f>revenue[orderTotal]*(1-revenue[discountApllied])</f>
        <v>3032.4</v>
      </c>
      <c r="Q1965" s="9">
        <f>revenue[revenue]-(revenue[productCost]*revenue[orderQuantity])</f>
        <v>639.4480673</v>
      </c>
      <c r="R1965" s="25">
        <f>IFERROR(revenue[profit]/revenue[revenue], 0)</f>
        <v>0.2108719388</v>
      </c>
      <c r="S1965" s="9">
        <f>revenue[productCost]*revenue[orderQuantity]</f>
        <v>2392.951933</v>
      </c>
    </row>
    <row r="1966" ht="15.75" customHeight="1">
      <c r="A1966" s="6">
        <v>11008.0</v>
      </c>
      <c r="B1966" s="7" t="s">
        <v>24</v>
      </c>
      <c r="C1966" s="24" t="str">
        <f>VLOOKUP(revenue[customerID],customers[],2,FALSE)</f>
        <v>Ernst Handel</v>
      </c>
      <c r="D1966" s="24" t="str">
        <f>VLOOKUP(revenue[customerID],customers[],6,FALSE)</f>
        <v>Graz</v>
      </c>
      <c r="E1966" s="24" t="str">
        <f>VLOOKUP(revenue[customerID],customers[],9,FALSE)</f>
        <v>Austria</v>
      </c>
      <c r="F1966" s="24">
        <v>45390.0</v>
      </c>
      <c r="G1966" s="6">
        <v>34.0</v>
      </c>
      <c r="H1966" s="9" t="str">
        <f>VLOOKUP(revenue[productID],products[],2,FALSE)</f>
        <v>Sasquatch Ale</v>
      </c>
      <c r="I1966" s="9" t="str">
        <f>VLOOKUP(revenue[productID],products[],12,FALSE)</f>
        <v>Beverages</v>
      </c>
      <c r="J1966" s="9">
        <f>VLOOKUP(revenue[productID],products[],IF(YEAR(revenue[orderDate])=2022,8,IF(YEAR(revenue[orderDate])=2023,9,IF(YEAR(revenue[orderDate])=2024,10,NA))),FALSE)</f>
        <v>10.07231561</v>
      </c>
      <c r="K1966" s="9">
        <v>14.0</v>
      </c>
      <c r="L1966" s="25">
        <f>(revenue[orderPrice]-revenue[productCost])/revenue[productCost]</f>
        <v>0.389948503</v>
      </c>
      <c r="M1966" s="10">
        <v>90.0</v>
      </c>
      <c r="N1966" s="25">
        <v>0.05</v>
      </c>
      <c r="O1966" s="9">
        <f>revenue[orderPrice]*revenue[orderQuantity]</f>
        <v>1260</v>
      </c>
      <c r="P1966" s="9">
        <f>revenue[orderTotal]*(1-revenue[discountApllied])</f>
        <v>1197</v>
      </c>
      <c r="Q1966" s="9">
        <f>revenue[revenue]-(revenue[productCost]*revenue[orderQuantity])</f>
        <v>290.4915953</v>
      </c>
      <c r="R1966" s="25">
        <f>IFERROR(revenue[profit]/revenue[revenue], 0)</f>
        <v>0.242683037</v>
      </c>
      <c r="S1966" s="9">
        <f>revenue[productCost]*revenue[orderQuantity]</f>
        <v>906.5084047</v>
      </c>
    </row>
    <row r="1967" ht="15.75" customHeight="1">
      <c r="A1967" s="6">
        <v>11008.0</v>
      </c>
      <c r="B1967" s="7" t="s">
        <v>24</v>
      </c>
      <c r="C1967" s="24" t="str">
        <f>VLOOKUP(revenue[customerID],customers[],2,FALSE)</f>
        <v>Ernst Handel</v>
      </c>
      <c r="D1967" s="24" t="str">
        <f>VLOOKUP(revenue[customerID],customers[],6,FALSE)</f>
        <v>Graz</v>
      </c>
      <c r="E1967" s="24" t="str">
        <f>VLOOKUP(revenue[customerID],customers[],9,FALSE)</f>
        <v>Austria</v>
      </c>
      <c r="F1967" s="24">
        <v>45390.0</v>
      </c>
      <c r="G1967" s="6">
        <v>71.0</v>
      </c>
      <c r="H1967" s="9" t="str">
        <f>VLOOKUP(revenue[productID],products[],2,FALSE)</f>
        <v>Flotemysost</v>
      </c>
      <c r="I1967" s="9" t="str">
        <f>VLOOKUP(revenue[productID],products[],12,FALSE)</f>
        <v>Dairy Products</v>
      </c>
      <c r="J1967" s="9">
        <f>VLOOKUP(revenue[productID],products[],IF(YEAR(revenue[orderDate])=2022,8,IF(YEAR(revenue[orderDate])=2023,9,IF(YEAR(revenue[orderDate])=2024,10,NA))),FALSE)</f>
        <v>14.20977576</v>
      </c>
      <c r="K1967" s="9">
        <v>21.5</v>
      </c>
      <c r="L1967" s="25">
        <f>(revenue[orderPrice]-revenue[productCost])/revenue[productCost]</f>
        <v>0.5130428769</v>
      </c>
      <c r="M1967" s="10">
        <v>21.0</v>
      </c>
      <c r="N1967" s="25">
        <v>0.0</v>
      </c>
      <c r="O1967" s="9">
        <f>revenue[orderPrice]*revenue[orderQuantity]</f>
        <v>451.5</v>
      </c>
      <c r="P1967" s="9">
        <f>revenue[orderTotal]*(1-revenue[discountApllied])</f>
        <v>451.5</v>
      </c>
      <c r="Q1967" s="9">
        <f>revenue[revenue]-(revenue[productCost]*revenue[orderQuantity])</f>
        <v>153.094709</v>
      </c>
      <c r="R1967" s="25">
        <f>IFERROR(revenue[profit]/revenue[revenue], 0)</f>
        <v>0.3390801971</v>
      </c>
      <c r="S1967" s="9">
        <f>revenue[productCost]*revenue[orderQuantity]</f>
        <v>298.405291</v>
      </c>
    </row>
    <row r="1968" ht="15.75" customHeight="1">
      <c r="A1968" s="6">
        <v>11009.0</v>
      </c>
      <c r="B1968" s="7" t="s">
        <v>51</v>
      </c>
      <c r="C1968" s="24" t="str">
        <f>VLOOKUP(revenue[customerID],customers[],2,FALSE)</f>
        <v>Godos Cocina Típica</v>
      </c>
      <c r="D1968" s="24" t="str">
        <f>VLOOKUP(revenue[customerID],customers[],6,FALSE)</f>
        <v>Sevilla</v>
      </c>
      <c r="E1968" s="24" t="str">
        <f>VLOOKUP(revenue[customerID],customers[],9,FALSE)</f>
        <v>Spain</v>
      </c>
      <c r="F1968" s="24">
        <v>45390.0</v>
      </c>
      <c r="G1968" s="6">
        <v>24.0</v>
      </c>
      <c r="H1968" s="9" t="str">
        <f>VLOOKUP(revenue[productID],products[],2,FALSE)</f>
        <v>Brigadeiros Maravilhosos da Lilian</v>
      </c>
      <c r="I1968" s="9" t="str">
        <f>VLOOKUP(revenue[productID],products[],12,FALSE)</f>
        <v>Confections</v>
      </c>
      <c r="J1968" s="9">
        <f>VLOOKUP(revenue[productID],products[],IF(YEAR(revenue[orderDate])=2022,8,IF(YEAR(revenue[orderDate])=2023,9,IF(YEAR(revenue[orderDate])=2024,10,NA))),FALSE)</f>
        <v>3.177326315</v>
      </c>
      <c r="K1968" s="9">
        <v>4.5</v>
      </c>
      <c r="L1968" s="25">
        <f>(revenue[orderPrice]-revenue[productCost])/revenue[productCost]</f>
        <v>0.416285126</v>
      </c>
      <c r="M1968" s="10">
        <v>12.0</v>
      </c>
      <c r="N1968" s="25">
        <v>0.0</v>
      </c>
      <c r="O1968" s="9">
        <f>revenue[orderPrice]*revenue[orderQuantity]</f>
        <v>54</v>
      </c>
      <c r="P1968" s="9">
        <f>revenue[orderTotal]*(1-revenue[discountApllied])</f>
        <v>54</v>
      </c>
      <c r="Q1968" s="9">
        <f>revenue[revenue]-(revenue[productCost]*revenue[orderQuantity])</f>
        <v>15.87208422</v>
      </c>
      <c r="R1968" s="25">
        <f>IFERROR(revenue[profit]/revenue[revenue], 0)</f>
        <v>0.2939274856</v>
      </c>
      <c r="S1968" s="9">
        <f>revenue[productCost]*revenue[orderQuantity]</f>
        <v>38.12791578</v>
      </c>
    </row>
    <row r="1969" ht="15.75" customHeight="1">
      <c r="A1969" s="6">
        <v>11009.0</v>
      </c>
      <c r="B1969" s="7" t="s">
        <v>51</v>
      </c>
      <c r="C1969" s="24" t="str">
        <f>VLOOKUP(revenue[customerID],customers[],2,FALSE)</f>
        <v>Godos Cocina Típica</v>
      </c>
      <c r="D1969" s="24" t="str">
        <f>VLOOKUP(revenue[customerID],customers[],6,FALSE)</f>
        <v>Sevilla</v>
      </c>
      <c r="E1969" s="24" t="str">
        <f>VLOOKUP(revenue[customerID],customers[],9,FALSE)</f>
        <v>Spain</v>
      </c>
      <c r="F1969" s="24">
        <v>45390.0</v>
      </c>
      <c r="G1969" s="6">
        <v>36.0</v>
      </c>
      <c r="H1969" s="9" t="str">
        <f>VLOOKUP(revenue[productID],products[],2,FALSE)</f>
        <v>Inlagd Sill</v>
      </c>
      <c r="I1969" s="9" t="str">
        <f>VLOOKUP(revenue[productID],products[],12,FALSE)</f>
        <v>Seafood</v>
      </c>
      <c r="J1969" s="9">
        <f>VLOOKUP(revenue[productID],products[],IF(YEAR(revenue[orderDate])=2022,8,IF(YEAR(revenue[orderDate])=2023,9,IF(YEAR(revenue[orderDate])=2024,10,NA))),FALSE)</f>
        <v>11.68525366</v>
      </c>
      <c r="K1969" s="9">
        <v>19.0</v>
      </c>
      <c r="L1969" s="25">
        <f>(revenue[orderPrice]-revenue[productCost])/revenue[productCost]</f>
        <v>0.6259809637</v>
      </c>
      <c r="M1969" s="10">
        <v>18.0</v>
      </c>
      <c r="N1969" s="25">
        <v>0.25</v>
      </c>
      <c r="O1969" s="9">
        <f>revenue[orderPrice]*revenue[orderQuantity]</f>
        <v>342</v>
      </c>
      <c r="P1969" s="9">
        <f>revenue[orderTotal]*(1-revenue[discountApllied])</f>
        <v>256.5</v>
      </c>
      <c r="Q1969" s="9">
        <f>revenue[revenue]-(revenue[productCost]*revenue[orderQuantity])</f>
        <v>46.1654342</v>
      </c>
      <c r="R1969" s="25">
        <f>IFERROR(revenue[profit]/revenue[revenue], 0)</f>
        <v>0.1799821996</v>
      </c>
      <c r="S1969" s="9">
        <f>revenue[productCost]*revenue[orderQuantity]</f>
        <v>210.3345658</v>
      </c>
    </row>
    <row r="1970" ht="15.75" customHeight="1">
      <c r="A1970" s="6">
        <v>11009.0</v>
      </c>
      <c r="B1970" s="7" t="s">
        <v>51</v>
      </c>
      <c r="C1970" s="24" t="str">
        <f>VLOOKUP(revenue[customerID],customers[],2,FALSE)</f>
        <v>Godos Cocina Típica</v>
      </c>
      <c r="D1970" s="24" t="str">
        <f>VLOOKUP(revenue[customerID],customers[],6,FALSE)</f>
        <v>Sevilla</v>
      </c>
      <c r="E1970" s="24" t="str">
        <f>VLOOKUP(revenue[customerID],customers[],9,FALSE)</f>
        <v>Spain</v>
      </c>
      <c r="F1970" s="24">
        <v>45390.0</v>
      </c>
      <c r="G1970" s="6">
        <v>60.0</v>
      </c>
      <c r="H1970" s="9" t="str">
        <f>VLOOKUP(revenue[productID],products[],2,FALSE)</f>
        <v>Camembert Pierrot</v>
      </c>
      <c r="I1970" s="9" t="str">
        <f>VLOOKUP(revenue[productID],products[],12,FALSE)</f>
        <v>Dairy Products</v>
      </c>
      <c r="J1970" s="9">
        <f>VLOOKUP(revenue[productID],products[],IF(YEAR(revenue[orderDate])=2022,8,IF(YEAR(revenue[orderDate])=2023,9,IF(YEAR(revenue[orderDate])=2024,10,NA))),FALSE)</f>
        <v>22.49091154</v>
      </c>
      <c r="K1970" s="9">
        <v>34.0</v>
      </c>
      <c r="L1970" s="25">
        <f>(revenue[orderPrice]-revenue[productCost])/revenue[productCost]</f>
        <v>0.5117217431</v>
      </c>
      <c r="M1970" s="10">
        <v>9.0</v>
      </c>
      <c r="N1970" s="25">
        <v>0.0</v>
      </c>
      <c r="O1970" s="9">
        <f>revenue[orderPrice]*revenue[orderQuantity]</f>
        <v>306</v>
      </c>
      <c r="P1970" s="9">
        <f>revenue[orderTotal]*(1-revenue[discountApllied])</f>
        <v>306</v>
      </c>
      <c r="Q1970" s="9">
        <f>revenue[revenue]-(revenue[productCost]*revenue[orderQuantity])</f>
        <v>103.5817961</v>
      </c>
      <c r="R1970" s="25">
        <f>IFERROR(revenue[profit]/revenue[revenue], 0)</f>
        <v>0.3385026017</v>
      </c>
      <c r="S1970" s="9">
        <f>revenue[productCost]*revenue[orderQuantity]</f>
        <v>202.4182039</v>
      </c>
    </row>
    <row r="1971" ht="15.75" customHeight="1">
      <c r="A1971" s="6">
        <v>11010.0</v>
      </c>
      <c r="B1971" s="7" t="s">
        <v>45</v>
      </c>
      <c r="C1971" s="24" t="str">
        <f>VLOOKUP(revenue[customerID],customers[],2,FALSE)</f>
        <v>Reggiani Caseifici</v>
      </c>
      <c r="D1971" s="24" t="str">
        <f>VLOOKUP(revenue[customerID],customers[],6,FALSE)</f>
        <v>Reggio Emilia</v>
      </c>
      <c r="E1971" s="24" t="str">
        <f>VLOOKUP(revenue[customerID],customers[],9,FALSE)</f>
        <v>Italy</v>
      </c>
      <c r="F1971" s="24">
        <v>45391.0</v>
      </c>
      <c r="G1971" s="6">
        <v>7.0</v>
      </c>
      <c r="H1971" s="9" t="str">
        <f>VLOOKUP(revenue[productID],products[],2,FALSE)</f>
        <v>Uncle Bob's Organic Dried Pears</v>
      </c>
      <c r="I1971" s="9" t="str">
        <f>VLOOKUP(revenue[productID],products[],12,FALSE)</f>
        <v>Produce</v>
      </c>
      <c r="J1971" s="9">
        <f>VLOOKUP(revenue[productID],products[],IF(YEAR(revenue[orderDate])=2022,8,IF(YEAR(revenue[orderDate])=2023,9,IF(YEAR(revenue[orderDate])=2024,10,NA))),FALSE)</f>
        <v>23.52222246</v>
      </c>
      <c r="K1971" s="9">
        <v>30.0</v>
      </c>
      <c r="L1971" s="25">
        <f>(revenue[orderPrice]-revenue[productCost])/revenue[productCost]</f>
        <v>0.2753896894</v>
      </c>
      <c r="M1971" s="10">
        <v>20.0</v>
      </c>
      <c r="N1971" s="25">
        <v>0.0</v>
      </c>
      <c r="O1971" s="9">
        <f>revenue[orderPrice]*revenue[orderQuantity]</f>
        <v>600</v>
      </c>
      <c r="P1971" s="9">
        <f>revenue[orderTotal]*(1-revenue[discountApllied])</f>
        <v>600</v>
      </c>
      <c r="Q1971" s="9">
        <f>revenue[revenue]-(revenue[productCost]*revenue[orderQuantity])</f>
        <v>129.5555507</v>
      </c>
      <c r="R1971" s="25">
        <f>IFERROR(revenue[profit]/revenue[revenue], 0)</f>
        <v>0.2159259179</v>
      </c>
      <c r="S1971" s="9">
        <f>revenue[productCost]*revenue[orderQuantity]</f>
        <v>470.4444493</v>
      </c>
    </row>
    <row r="1972" ht="15.75" customHeight="1">
      <c r="A1972" s="6">
        <v>11010.0</v>
      </c>
      <c r="B1972" s="7" t="s">
        <v>45</v>
      </c>
      <c r="C1972" s="24" t="str">
        <f>VLOOKUP(revenue[customerID],customers[],2,FALSE)</f>
        <v>Reggiani Caseifici</v>
      </c>
      <c r="D1972" s="24" t="str">
        <f>VLOOKUP(revenue[customerID],customers[],6,FALSE)</f>
        <v>Reggio Emilia</v>
      </c>
      <c r="E1972" s="24" t="str">
        <f>VLOOKUP(revenue[customerID],customers[],9,FALSE)</f>
        <v>Italy</v>
      </c>
      <c r="F1972" s="24">
        <v>45391.0</v>
      </c>
      <c r="G1972" s="6">
        <v>24.0</v>
      </c>
      <c r="H1972" s="9" t="str">
        <f>VLOOKUP(revenue[productID],products[],2,FALSE)</f>
        <v>Brigadeiros Maravilhosos da Lilian</v>
      </c>
      <c r="I1972" s="9" t="str">
        <f>VLOOKUP(revenue[productID],products[],12,FALSE)</f>
        <v>Confections</v>
      </c>
      <c r="J1972" s="9">
        <f>VLOOKUP(revenue[productID],products[],IF(YEAR(revenue[orderDate])=2022,8,IF(YEAR(revenue[orderDate])=2023,9,IF(YEAR(revenue[orderDate])=2024,10,NA))),FALSE)</f>
        <v>3.177326315</v>
      </c>
      <c r="K1972" s="9">
        <v>4.5</v>
      </c>
      <c r="L1972" s="25">
        <f>(revenue[orderPrice]-revenue[productCost])/revenue[productCost]</f>
        <v>0.416285126</v>
      </c>
      <c r="M1972" s="10">
        <v>10.0</v>
      </c>
      <c r="N1972" s="25">
        <v>0.0</v>
      </c>
      <c r="O1972" s="9">
        <f>revenue[orderPrice]*revenue[orderQuantity]</f>
        <v>45</v>
      </c>
      <c r="P1972" s="9">
        <f>revenue[orderTotal]*(1-revenue[discountApllied])</f>
        <v>45</v>
      </c>
      <c r="Q1972" s="9">
        <f>revenue[revenue]-(revenue[productCost]*revenue[orderQuantity])</f>
        <v>13.22673685</v>
      </c>
      <c r="R1972" s="25">
        <f>IFERROR(revenue[profit]/revenue[revenue], 0)</f>
        <v>0.2939274856</v>
      </c>
      <c r="S1972" s="9">
        <f>revenue[productCost]*revenue[orderQuantity]</f>
        <v>31.77326315</v>
      </c>
    </row>
    <row r="1973" ht="15.75" customHeight="1">
      <c r="A1973" s="6">
        <v>11011.0</v>
      </c>
      <c r="B1973" s="7" t="s">
        <v>100</v>
      </c>
      <c r="C1973" s="24" t="str">
        <f>VLOOKUP(revenue[customerID],customers[],2,FALSE)</f>
        <v>Alfreds Futterkiste</v>
      </c>
      <c r="D1973" s="24" t="str">
        <f>VLOOKUP(revenue[customerID],customers[],6,FALSE)</f>
        <v>Berlin</v>
      </c>
      <c r="E1973" s="24" t="str">
        <f>VLOOKUP(revenue[customerID],customers[],9,FALSE)</f>
        <v>Germany</v>
      </c>
      <c r="F1973" s="24">
        <v>45391.0</v>
      </c>
      <c r="G1973" s="6">
        <v>58.0</v>
      </c>
      <c r="H1973" s="9" t="str">
        <f>VLOOKUP(revenue[productID],products[],2,FALSE)</f>
        <v>Escargots de Bourgogne</v>
      </c>
      <c r="I1973" s="9" t="str">
        <f>VLOOKUP(revenue[productID],products[],12,FALSE)</f>
        <v>Seafood</v>
      </c>
      <c r="J1973" s="9">
        <f>VLOOKUP(revenue[productID],products[],IF(YEAR(revenue[orderDate])=2022,8,IF(YEAR(revenue[orderDate])=2023,9,IF(YEAR(revenue[orderDate])=2024,10,NA))),FALSE)</f>
        <v>8.683102193</v>
      </c>
      <c r="K1973" s="9">
        <v>13.25</v>
      </c>
      <c r="L1973" s="25">
        <f>(revenue[orderPrice]-revenue[productCost])/revenue[productCost]</f>
        <v>0.5259523274</v>
      </c>
      <c r="M1973" s="10">
        <v>40.0</v>
      </c>
      <c r="N1973" s="25">
        <v>0.05</v>
      </c>
      <c r="O1973" s="9">
        <f>revenue[orderPrice]*revenue[orderQuantity]</f>
        <v>530</v>
      </c>
      <c r="P1973" s="9">
        <f>revenue[orderTotal]*(1-revenue[discountApllied])</f>
        <v>503.5</v>
      </c>
      <c r="Q1973" s="9">
        <f>revenue[revenue]-(revenue[productCost]*revenue[orderQuantity])</f>
        <v>156.1759123</v>
      </c>
      <c r="R1973" s="25">
        <f>IFERROR(revenue[profit]/revenue[revenue], 0)</f>
        <v>0.3101805607</v>
      </c>
      <c r="S1973" s="9">
        <f>revenue[productCost]*revenue[orderQuantity]</f>
        <v>347.3240877</v>
      </c>
    </row>
    <row r="1974" ht="15.75" customHeight="1">
      <c r="A1974" s="6">
        <v>11011.0</v>
      </c>
      <c r="B1974" s="7" t="s">
        <v>100</v>
      </c>
      <c r="C1974" s="24" t="str">
        <f>VLOOKUP(revenue[customerID],customers[],2,FALSE)</f>
        <v>Alfreds Futterkiste</v>
      </c>
      <c r="D1974" s="24" t="str">
        <f>VLOOKUP(revenue[customerID],customers[],6,FALSE)</f>
        <v>Berlin</v>
      </c>
      <c r="E1974" s="24" t="str">
        <f>VLOOKUP(revenue[customerID],customers[],9,FALSE)</f>
        <v>Germany</v>
      </c>
      <c r="F1974" s="24">
        <v>45391.0</v>
      </c>
      <c r="G1974" s="6">
        <v>71.0</v>
      </c>
      <c r="H1974" s="9" t="str">
        <f>VLOOKUP(revenue[productID],products[],2,FALSE)</f>
        <v>Flotemysost</v>
      </c>
      <c r="I1974" s="9" t="str">
        <f>VLOOKUP(revenue[productID],products[],12,FALSE)</f>
        <v>Dairy Products</v>
      </c>
      <c r="J1974" s="9">
        <f>VLOOKUP(revenue[productID],products[],IF(YEAR(revenue[orderDate])=2022,8,IF(YEAR(revenue[orderDate])=2023,9,IF(YEAR(revenue[orderDate])=2024,10,NA))),FALSE)</f>
        <v>14.20977576</v>
      </c>
      <c r="K1974" s="9">
        <v>21.5</v>
      </c>
      <c r="L1974" s="25">
        <f>(revenue[orderPrice]-revenue[productCost])/revenue[productCost]</f>
        <v>0.5130428769</v>
      </c>
      <c r="M1974" s="10">
        <v>20.0</v>
      </c>
      <c r="N1974" s="25">
        <v>0.0</v>
      </c>
      <c r="O1974" s="9">
        <f>revenue[orderPrice]*revenue[orderQuantity]</f>
        <v>430</v>
      </c>
      <c r="P1974" s="9">
        <f>revenue[orderTotal]*(1-revenue[discountApllied])</f>
        <v>430</v>
      </c>
      <c r="Q1974" s="9">
        <f>revenue[revenue]-(revenue[productCost]*revenue[orderQuantity])</f>
        <v>145.8044848</v>
      </c>
      <c r="R1974" s="25">
        <f>IFERROR(revenue[profit]/revenue[revenue], 0)</f>
        <v>0.3390801971</v>
      </c>
      <c r="S1974" s="9">
        <f>revenue[productCost]*revenue[orderQuantity]</f>
        <v>284.1955152</v>
      </c>
    </row>
    <row r="1975" ht="15.75" customHeight="1">
      <c r="A1975" s="6">
        <v>11012.0</v>
      </c>
      <c r="B1975" s="7" t="s">
        <v>32</v>
      </c>
      <c r="C1975" s="24" t="str">
        <f>VLOOKUP(revenue[customerID],customers[],2,FALSE)</f>
        <v>Frankenversand</v>
      </c>
      <c r="D1975" s="24" t="str">
        <f>VLOOKUP(revenue[customerID],customers[],6,FALSE)</f>
        <v>München</v>
      </c>
      <c r="E1975" s="24" t="str">
        <f>VLOOKUP(revenue[customerID],customers[],9,FALSE)</f>
        <v>Germany</v>
      </c>
      <c r="F1975" s="24">
        <v>45391.0</v>
      </c>
      <c r="G1975" s="6">
        <v>19.0</v>
      </c>
      <c r="H1975" s="9" t="str">
        <f>VLOOKUP(revenue[productID],products[],2,FALSE)</f>
        <v>Teatime Chocolate Biscuits</v>
      </c>
      <c r="I1975" s="9" t="str">
        <f>VLOOKUP(revenue[productID],products[],12,FALSE)</f>
        <v>Confections</v>
      </c>
      <c r="J1975" s="9">
        <f>VLOOKUP(revenue[productID],products[],IF(YEAR(revenue[orderDate])=2022,8,IF(YEAR(revenue[orderDate])=2023,9,IF(YEAR(revenue[orderDate])=2024,10,NA))),FALSE)</f>
        <v>6.769656984</v>
      </c>
      <c r="K1975" s="9">
        <v>9.2</v>
      </c>
      <c r="L1975" s="25">
        <f>(revenue[orderPrice]-revenue[productCost])/revenue[productCost]</f>
        <v>0.3590053413</v>
      </c>
      <c r="M1975" s="10">
        <v>50.0</v>
      </c>
      <c r="N1975" s="25">
        <v>0.05</v>
      </c>
      <c r="O1975" s="9">
        <f>revenue[orderPrice]*revenue[orderQuantity]</f>
        <v>460</v>
      </c>
      <c r="P1975" s="9">
        <f>revenue[orderTotal]*(1-revenue[discountApllied])</f>
        <v>437</v>
      </c>
      <c r="Q1975" s="9">
        <f>revenue[revenue]-(revenue[productCost]*revenue[orderQuantity])</f>
        <v>98.5171508</v>
      </c>
      <c r="R1975" s="25">
        <f>IFERROR(revenue[profit]/revenue[revenue], 0)</f>
        <v>0.2254397043</v>
      </c>
      <c r="S1975" s="9">
        <f>revenue[productCost]*revenue[orderQuantity]</f>
        <v>338.4828492</v>
      </c>
    </row>
    <row r="1976" ht="15.75" customHeight="1">
      <c r="A1976" s="6">
        <v>11012.0</v>
      </c>
      <c r="B1976" s="7" t="s">
        <v>32</v>
      </c>
      <c r="C1976" s="24" t="str">
        <f>VLOOKUP(revenue[customerID],customers[],2,FALSE)</f>
        <v>Frankenversand</v>
      </c>
      <c r="D1976" s="24" t="str">
        <f>VLOOKUP(revenue[customerID],customers[],6,FALSE)</f>
        <v>München</v>
      </c>
      <c r="E1976" s="24" t="str">
        <f>VLOOKUP(revenue[customerID],customers[],9,FALSE)</f>
        <v>Germany</v>
      </c>
      <c r="F1976" s="24">
        <v>45391.0</v>
      </c>
      <c r="G1976" s="6">
        <v>60.0</v>
      </c>
      <c r="H1976" s="9" t="str">
        <f>VLOOKUP(revenue[productID],products[],2,FALSE)</f>
        <v>Camembert Pierrot</v>
      </c>
      <c r="I1976" s="9" t="str">
        <f>VLOOKUP(revenue[productID],products[],12,FALSE)</f>
        <v>Dairy Products</v>
      </c>
      <c r="J1976" s="9">
        <f>VLOOKUP(revenue[productID],products[],IF(YEAR(revenue[orderDate])=2022,8,IF(YEAR(revenue[orderDate])=2023,9,IF(YEAR(revenue[orderDate])=2024,10,NA))),FALSE)</f>
        <v>22.49091154</v>
      </c>
      <c r="K1976" s="9">
        <v>34.0</v>
      </c>
      <c r="L1976" s="25">
        <f>(revenue[orderPrice]-revenue[productCost])/revenue[productCost]</f>
        <v>0.5117217431</v>
      </c>
      <c r="M1976" s="10">
        <v>36.0</v>
      </c>
      <c r="N1976" s="25">
        <v>0.05</v>
      </c>
      <c r="O1976" s="9">
        <f>revenue[orderPrice]*revenue[orderQuantity]</f>
        <v>1224</v>
      </c>
      <c r="P1976" s="9">
        <f>revenue[orderTotal]*(1-revenue[discountApllied])</f>
        <v>1162.8</v>
      </c>
      <c r="Q1976" s="9">
        <f>revenue[revenue]-(revenue[productCost]*revenue[orderQuantity])</f>
        <v>353.1271845</v>
      </c>
      <c r="R1976" s="25">
        <f>IFERROR(revenue[profit]/revenue[revenue], 0)</f>
        <v>0.3036869492</v>
      </c>
      <c r="S1976" s="9">
        <f>revenue[productCost]*revenue[orderQuantity]</f>
        <v>809.6728155</v>
      </c>
    </row>
    <row r="1977" ht="15.75" customHeight="1">
      <c r="A1977" s="6">
        <v>11012.0</v>
      </c>
      <c r="B1977" s="7" t="s">
        <v>32</v>
      </c>
      <c r="C1977" s="24" t="str">
        <f>VLOOKUP(revenue[customerID],customers[],2,FALSE)</f>
        <v>Frankenversand</v>
      </c>
      <c r="D1977" s="24" t="str">
        <f>VLOOKUP(revenue[customerID],customers[],6,FALSE)</f>
        <v>München</v>
      </c>
      <c r="E1977" s="24" t="str">
        <f>VLOOKUP(revenue[customerID],customers[],9,FALSE)</f>
        <v>Germany</v>
      </c>
      <c r="F1977" s="24">
        <v>45391.0</v>
      </c>
      <c r="G1977" s="6">
        <v>71.0</v>
      </c>
      <c r="H1977" s="9" t="str">
        <f>VLOOKUP(revenue[productID],products[],2,FALSE)</f>
        <v>Flotemysost</v>
      </c>
      <c r="I1977" s="9" t="str">
        <f>VLOOKUP(revenue[productID],products[],12,FALSE)</f>
        <v>Dairy Products</v>
      </c>
      <c r="J1977" s="9">
        <f>VLOOKUP(revenue[productID],products[],IF(YEAR(revenue[orderDate])=2022,8,IF(YEAR(revenue[orderDate])=2023,9,IF(YEAR(revenue[orderDate])=2024,10,NA))),FALSE)</f>
        <v>14.20977576</v>
      </c>
      <c r="K1977" s="9">
        <v>21.5</v>
      </c>
      <c r="L1977" s="25">
        <f>(revenue[orderPrice]-revenue[productCost])/revenue[productCost]</f>
        <v>0.5130428769</v>
      </c>
      <c r="M1977" s="10">
        <v>60.0</v>
      </c>
      <c r="N1977" s="25">
        <v>0.05</v>
      </c>
      <c r="O1977" s="9">
        <f>revenue[orderPrice]*revenue[orderQuantity]</f>
        <v>1290</v>
      </c>
      <c r="P1977" s="9">
        <f>revenue[orderTotal]*(1-revenue[discountApllied])</f>
        <v>1225.5</v>
      </c>
      <c r="Q1977" s="9">
        <f>revenue[revenue]-(revenue[productCost]*revenue[orderQuantity])</f>
        <v>372.9134543</v>
      </c>
      <c r="R1977" s="25">
        <f>IFERROR(revenue[profit]/revenue[revenue], 0)</f>
        <v>0.3042949443</v>
      </c>
      <c r="S1977" s="9">
        <f>revenue[productCost]*revenue[orderQuantity]</f>
        <v>852.5865457</v>
      </c>
    </row>
    <row r="1978" ht="15.75" customHeight="1">
      <c r="A1978" s="6">
        <v>11013.0</v>
      </c>
      <c r="B1978" s="7" t="s">
        <v>42</v>
      </c>
      <c r="C1978" s="24" t="str">
        <f>VLOOKUP(revenue[customerID],customers[],2,FALSE)</f>
        <v>Romero y tomillo</v>
      </c>
      <c r="D1978" s="24" t="str">
        <f>VLOOKUP(revenue[customerID],customers[],6,FALSE)</f>
        <v>Madrid</v>
      </c>
      <c r="E1978" s="24" t="str">
        <f>VLOOKUP(revenue[customerID],customers[],9,FALSE)</f>
        <v>Spain</v>
      </c>
      <c r="F1978" s="24">
        <v>45391.0</v>
      </c>
      <c r="G1978" s="6">
        <v>23.0</v>
      </c>
      <c r="H1978" s="9" t="str">
        <f>VLOOKUP(revenue[productID],products[],2,FALSE)</f>
        <v>Tunnbröd</v>
      </c>
      <c r="I1978" s="9" t="str">
        <f>VLOOKUP(revenue[productID],products[],12,FALSE)</f>
        <v>Grains/Cereals</v>
      </c>
      <c r="J1978" s="9">
        <f>VLOOKUP(revenue[productID],products[],IF(YEAR(revenue[orderDate])=2022,8,IF(YEAR(revenue[orderDate])=2023,9,IF(YEAR(revenue[orderDate])=2024,10,NA))),FALSE)</f>
        <v>6.224885622</v>
      </c>
      <c r="K1978" s="9">
        <v>9.0</v>
      </c>
      <c r="L1978" s="25">
        <f>(revenue[orderPrice]-revenue[productCost])/revenue[productCost]</f>
        <v>0.4458096979</v>
      </c>
      <c r="M1978" s="10">
        <v>10.0</v>
      </c>
      <c r="N1978" s="25">
        <v>0.0</v>
      </c>
      <c r="O1978" s="9">
        <f>revenue[orderPrice]*revenue[orderQuantity]</f>
        <v>90</v>
      </c>
      <c r="P1978" s="9">
        <f>revenue[orderTotal]*(1-revenue[discountApllied])</f>
        <v>90</v>
      </c>
      <c r="Q1978" s="9">
        <f>revenue[revenue]-(revenue[productCost]*revenue[orderQuantity])</f>
        <v>27.75114378</v>
      </c>
      <c r="R1978" s="25">
        <f>IFERROR(revenue[profit]/revenue[revenue], 0)</f>
        <v>0.308346042</v>
      </c>
      <c r="S1978" s="9">
        <f>revenue[productCost]*revenue[orderQuantity]</f>
        <v>62.24885622</v>
      </c>
    </row>
    <row r="1979" ht="15.75" customHeight="1">
      <c r="A1979" s="6">
        <v>11013.0</v>
      </c>
      <c r="B1979" s="7" t="s">
        <v>42</v>
      </c>
      <c r="C1979" s="24" t="str">
        <f>VLOOKUP(revenue[customerID],customers[],2,FALSE)</f>
        <v>Romero y tomillo</v>
      </c>
      <c r="D1979" s="24" t="str">
        <f>VLOOKUP(revenue[customerID],customers[],6,FALSE)</f>
        <v>Madrid</v>
      </c>
      <c r="E1979" s="24" t="str">
        <f>VLOOKUP(revenue[customerID],customers[],9,FALSE)</f>
        <v>Spain</v>
      </c>
      <c r="F1979" s="24">
        <v>45391.0</v>
      </c>
      <c r="G1979" s="6">
        <v>42.0</v>
      </c>
      <c r="H1979" s="9" t="str">
        <f>VLOOKUP(revenue[productID],products[],2,FALSE)</f>
        <v>Singaporean Hokkien Fried Mee</v>
      </c>
      <c r="I1979" s="9" t="str">
        <f>VLOOKUP(revenue[productID],products[],12,FALSE)</f>
        <v>Grains/Cereals</v>
      </c>
      <c r="J1979" s="9">
        <f>VLOOKUP(revenue[productID],products[],IF(YEAR(revenue[orderDate])=2022,8,IF(YEAR(revenue[orderDate])=2023,9,IF(YEAR(revenue[orderDate])=2024,10,NA))),FALSE)</f>
        <v>9.64736714</v>
      </c>
      <c r="K1979" s="9">
        <v>14.0</v>
      </c>
      <c r="L1979" s="25">
        <f>(revenue[orderPrice]-revenue[productCost])/revenue[productCost]</f>
        <v>0.4511731333</v>
      </c>
      <c r="M1979" s="10">
        <v>4.0</v>
      </c>
      <c r="N1979" s="25">
        <v>0.0</v>
      </c>
      <c r="O1979" s="9">
        <f>revenue[orderPrice]*revenue[orderQuantity]</f>
        <v>56</v>
      </c>
      <c r="P1979" s="9">
        <f>revenue[orderTotal]*(1-revenue[discountApllied])</f>
        <v>56</v>
      </c>
      <c r="Q1979" s="9">
        <f>revenue[revenue]-(revenue[productCost]*revenue[orderQuantity])</f>
        <v>17.41053144</v>
      </c>
      <c r="R1979" s="25">
        <f>IFERROR(revenue[profit]/revenue[revenue], 0)</f>
        <v>0.3109023472</v>
      </c>
      <c r="S1979" s="9">
        <f>revenue[productCost]*revenue[orderQuantity]</f>
        <v>38.58946856</v>
      </c>
    </row>
    <row r="1980" ht="15.75" customHeight="1">
      <c r="A1980" s="6">
        <v>11013.0</v>
      </c>
      <c r="B1980" s="7" t="s">
        <v>42</v>
      </c>
      <c r="C1980" s="24" t="str">
        <f>VLOOKUP(revenue[customerID],customers[],2,FALSE)</f>
        <v>Romero y tomillo</v>
      </c>
      <c r="D1980" s="24" t="str">
        <f>VLOOKUP(revenue[customerID],customers[],6,FALSE)</f>
        <v>Madrid</v>
      </c>
      <c r="E1980" s="24" t="str">
        <f>VLOOKUP(revenue[customerID],customers[],9,FALSE)</f>
        <v>Spain</v>
      </c>
      <c r="F1980" s="24">
        <v>45391.0</v>
      </c>
      <c r="G1980" s="6">
        <v>45.0</v>
      </c>
      <c r="H1980" s="9" t="str">
        <f>VLOOKUP(revenue[productID],products[],2,FALSE)</f>
        <v>Rogede sild</v>
      </c>
      <c r="I1980" s="9" t="str">
        <f>VLOOKUP(revenue[productID],products[],12,FALSE)</f>
        <v>Seafood</v>
      </c>
      <c r="J1980" s="9">
        <f>VLOOKUP(revenue[productID],products[],IF(YEAR(revenue[orderDate])=2022,8,IF(YEAR(revenue[orderDate])=2023,9,IF(YEAR(revenue[orderDate])=2024,10,NA))),FALSE)</f>
        <v>6.510592171</v>
      </c>
      <c r="K1980" s="9">
        <v>9.5</v>
      </c>
      <c r="L1980" s="25">
        <f>(revenue[orderPrice]-revenue[productCost])/revenue[productCost]</f>
        <v>0.4591606648</v>
      </c>
      <c r="M1980" s="10">
        <v>20.0</v>
      </c>
      <c r="N1980" s="25">
        <v>0.0</v>
      </c>
      <c r="O1980" s="9">
        <f>revenue[orderPrice]*revenue[orderQuantity]</f>
        <v>190</v>
      </c>
      <c r="P1980" s="9">
        <f>revenue[orderTotal]*(1-revenue[discountApllied])</f>
        <v>190</v>
      </c>
      <c r="Q1980" s="9">
        <f>revenue[revenue]-(revenue[productCost]*revenue[orderQuantity])</f>
        <v>59.78815659</v>
      </c>
      <c r="R1980" s="25">
        <f>IFERROR(revenue[profit]/revenue[revenue], 0)</f>
        <v>0.3146745083</v>
      </c>
      <c r="S1980" s="9">
        <f>revenue[productCost]*revenue[orderQuantity]</f>
        <v>130.2118434</v>
      </c>
    </row>
    <row r="1981" ht="15.75" customHeight="1">
      <c r="A1981" s="6">
        <v>11013.0</v>
      </c>
      <c r="B1981" s="7" t="s">
        <v>42</v>
      </c>
      <c r="C1981" s="24" t="str">
        <f>VLOOKUP(revenue[customerID],customers[],2,FALSE)</f>
        <v>Romero y tomillo</v>
      </c>
      <c r="D1981" s="24" t="str">
        <f>VLOOKUP(revenue[customerID],customers[],6,FALSE)</f>
        <v>Madrid</v>
      </c>
      <c r="E1981" s="24" t="str">
        <f>VLOOKUP(revenue[customerID],customers[],9,FALSE)</f>
        <v>Spain</v>
      </c>
      <c r="F1981" s="24">
        <v>45391.0</v>
      </c>
      <c r="G1981" s="6">
        <v>68.0</v>
      </c>
      <c r="H1981" s="9" t="str">
        <f>VLOOKUP(revenue[productID],products[],2,FALSE)</f>
        <v>Scottish Longbreads</v>
      </c>
      <c r="I1981" s="9" t="str">
        <f>VLOOKUP(revenue[productID],products[],12,FALSE)</f>
        <v>Confections</v>
      </c>
      <c r="J1981" s="9">
        <f>VLOOKUP(revenue[productID],products[],IF(YEAR(revenue[orderDate])=2022,8,IF(YEAR(revenue[orderDate])=2023,9,IF(YEAR(revenue[orderDate])=2024,10,NA))),FALSE)</f>
        <v>9.555031708</v>
      </c>
      <c r="K1981" s="9">
        <v>12.5</v>
      </c>
      <c r="L1981" s="25">
        <f>(revenue[orderPrice]-revenue[productCost])/revenue[productCost]</f>
        <v>0.3082112527</v>
      </c>
      <c r="M1981" s="10">
        <v>2.0</v>
      </c>
      <c r="N1981" s="25">
        <v>0.0</v>
      </c>
      <c r="O1981" s="9">
        <f>revenue[orderPrice]*revenue[orderQuantity]</f>
        <v>25</v>
      </c>
      <c r="P1981" s="9">
        <f>revenue[orderTotal]*(1-revenue[discountApllied])</f>
        <v>25</v>
      </c>
      <c r="Q1981" s="9">
        <f>revenue[revenue]-(revenue[productCost]*revenue[orderQuantity])</f>
        <v>5.889936585</v>
      </c>
      <c r="R1981" s="25">
        <f>IFERROR(revenue[profit]/revenue[revenue], 0)</f>
        <v>0.2355974634</v>
      </c>
      <c r="S1981" s="9">
        <f>revenue[productCost]*revenue[orderQuantity]</f>
        <v>19.11006342</v>
      </c>
    </row>
    <row r="1982" ht="15.75" customHeight="1">
      <c r="A1982" s="6">
        <v>11014.0</v>
      </c>
      <c r="B1982" s="7" t="s">
        <v>82</v>
      </c>
      <c r="C1982" s="24" t="str">
        <f>VLOOKUP(revenue[customerID],customers[],2,FALSE)</f>
        <v>LINO-Delicateses</v>
      </c>
      <c r="D1982" s="24" t="str">
        <f>VLOOKUP(revenue[customerID],customers[],6,FALSE)</f>
        <v>I. de Margarita</v>
      </c>
      <c r="E1982" s="24" t="str">
        <f>VLOOKUP(revenue[customerID],customers[],9,FALSE)</f>
        <v>Venezuela</v>
      </c>
      <c r="F1982" s="24">
        <v>45392.0</v>
      </c>
      <c r="G1982" s="6">
        <v>41.0</v>
      </c>
      <c r="H1982" s="9" t="str">
        <f>VLOOKUP(revenue[productID],products[],2,FALSE)</f>
        <v>Jack's New England Clam Chowder</v>
      </c>
      <c r="I1982" s="9" t="str">
        <f>VLOOKUP(revenue[productID],products[],12,FALSE)</f>
        <v>Seafood</v>
      </c>
      <c r="J1982" s="9">
        <f>VLOOKUP(revenue[productID],products[],IF(YEAR(revenue[orderDate])=2022,8,IF(YEAR(revenue[orderDate])=2023,9,IF(YEAR(revenue[orderDate])=2024,10,NA))),FALSE)</f>
        <v>6.611787882</v>
      </c>
      <c r="K1982" s="9">
        <v>9.65</v>
      </c>
      <c r="L1982" s="25">
        <f>(revenue[orderPrice]-revenue[productCost])/revenue[productCost]</f>
        <v>0.459514457</v>
      </c>
      <c r="M1982" s="10">
        <v>28.0</v>
      </c>
      <c r="N1982" s="25">
        <v>0.1</v>
      </c>
      <c r="O1982" s="9">
        <f>revenue[orderPrice]*revenue[orderQuantity]</f>
        <v>270.2</v>
      </c>
      <c r="P1982" s="9">
        <f>revenue[orderTotal]*(1-revenue[discountApllied])</f>
        <v>243.18</v>
      </c>
      <c r="Q1982" s="9">
        <f>revenue[revenue]-(revenue[productCost]*revenue[orderQuantity])</f>
        <v>58.04993931</v>
      </c>
      <c r="R1982" s="25">
        <f>IFERROR(revenue[profit]/revenue[revenue], 0)</f>
        <v>0.2387118156</v>
      </c>
      <c r="S1982" s="9">
        <f>revenue[productCost]*revenue[orderQuantity]</f>
        <v>185.1300607</v>
      </c>
    </row>
    <row r="1983" ht="15.75" customHeight="1">
      <c r="A1983" s="6">
        <v>11015.0</v>
      </c>
      <c r="B1983" s="7" t="s">
        <v>80</v>
      </c>
      <c r="C1983" s="24" t="str">
        <f>VLOOKUP(revenue[customerID],customers[],2,FALSE)</f>
        <v>Santé Gourmet</v>
      </c>
      <c r="D1983" s="24" t="str">
        <f>VLOOKUP(revenue[customerID],customers[],6,FALSE)</f>
        <v>Stavern</v>
      </c>
      <c r="E1983" s="24" t="str">
        <f>VLOOKUP(revenue[customerID],customers[],9,FALSE)</f>
        <v>Norway</v>
      </c>
      <c r="F1983" s="24">
        <v>45392.0</v>
      </c>
      <c r="G1983" s="6">
        <v>30.0</v>
      </c>
      <c r="H1983" s="9" t="str">
        <f>VLOOKUP(revenue[productID],products[],2,FALSE)</f>
        <v>Nord-Ost Matjeshering</v>
      </c>
      <c r="I1983" s="9" t="str">
        <f>VLOOKUP(revenue[productID],products[],12,FALSE)</f>
        <v>Seafood</v>
      </c>
      <c r="J1983" s="9">
        <f>VLOOKUP(revenue[productID],products[],IF(YEAR(revenue[orderDate])=2022,8,IF(YEAR(revenue[orderDate])=2023,9,IF(YEAR(revenue[orderDate])=2024,10,NA))),FALSE)</f>
        <v>17.0327851</v>
      </c>
      <c r="K1983" s="9">
        <v>25.89</v>
      </c>
      <c r="L1983" s="25">
        <f>(revenue[orderPrice]-revenue[productCost])/revenue[productCost]</f>
        <v>0.5200097842</v>
      </c>
      <c r="M1983" s="10">
        <v>15.0</v>
      </c>
      <c r="N1983" s="25">
        <v>0.0</v>
      </c>
      <c r="O1983" s="9">
        <f>revenue[orderPrice]*revenue[orderQuantity]</f>
        <v>388.35</v>
      </c>
      <c r="P1983" s="9">
        <f>revenue[orderTotal]*(1-revenue[discountApllied])</f>
        <v>388.35</v>
      </c>
      <c r="Q1983" s="9">
        <f>revenue[revenue]-(revenue[productCost]*revenue[orderQuantity])</f>
        <v>132.8582235</v>
      </c>
      <c r="R1983" s="25">
        <f>IFERROR(revenue[profit]/revenue[revenue], 0)</f>
        <v>0.342109498</v>
      </c>
      <c r="S1983" s="9">
        <f>revenue[productCost]*revenue[orderQuantity]</f>
        <v>255.4917765</v>
      </c>
    </row>
    <row r="1984" ht="15.75" customHeight="1">
      <c r="A1984" s="6">
        <v>11015.0</v>
      </c>
      <c r="B1984" s="7" t="s">
        <v>80</v>
      </c>
      <c r="C1984" s="24" t="str">
        <f>VLOOKUP(revenue[customerID],customers[],2,FALSE)</f>
        <v>Santé Gourmet</v>
      </c>
      <c r="D1984" s="24" t="str">
        <f>VLOOKUP(revenue[customerID],customers[],6,FALSE)</f>
        <v>Stavern</v>
      </c>
      <c r="E1984" s="24" t="str">
        <f>VLOOKUP(revenue[customerID],customers[],9,FALSE)</f>
        <v>Norway</v>
      </c>
      <c r="F1984" s="24">
        <v>45392.0</v>
      </c>
      <c r="G1984" s="6">
        <v>77.0</v>
      </c>
      <c r="H1984" s="9" t="str">
        <f>VLOOKUP(revenue[productID],products[],2,FALSE)</f>
        <v>Original Frankfurter grüne Soße</v>
      </c>
      <c r="I1984" s="9" t="str">
        <f>VLOOKUP(revenue[productID],products[],12,FALSE)</f>
        <v>Condiments</v>
      </c>
      <c r="J1984" s="9">
        <f>VLOOKUP(revenue[productID],products[],IF(YEAR(revenue[orderDate])=2022,8,IF(YEAR(revenue[orderDate])=2023,9,IF(YEAR(revenue[orderDate])=2024,10,NA))),FALSE)</f>
        <v>9.299025151</v>
      </c>
      <c r="K1984" s="9">
        <v>13.0</v>
      </c>
      <c r="L1984" s="25">
        <f>(revenue[orderPrice]-revenue[productCost])/revenue[productCost]</f>
        <v>0.3979960037</v>
      </c>
      <c r="M1984" s="10">
        <v>18.0</v>
      </c>
      <c r="N1984" s="25">
        <v>0.0</v>
      </c>
      <c r="O1984" s="9">
        <f>revenue[orderPrice]*revenue[orderQuantity]</f>
        <v>234</v>
      </c>
      <c r="P1984" s="9">
        <f>revenue[orderTotal]*(1-revenue[discountApllied])</f>
        <v>234</v>
      </c>
      <c r="Q1984" s="9">
        <f>revenue[revenue]-(revenue[productCost]*revenue[orderQuantity])</f>
        <v>66.61754728</v>
      </c>
      <c r="R1984" s="25">
        <f>IFERROR(revenue[profit]/revenue[revenue], 0)</f>
        <v>0.284690373</v>
      </c>
      <c r="S1984" s="9">
        <f>revenue[productCost]*revenue[orderQuantity]</f>
        <v>167.3824527</v>
      </c>
    </row>
    <row r="1985" ht="15.75" customHeight="1">
      <c r="A1985" s="6">
        <v>11016.0</v>
      </c>
      <c r="B1985" s="7" t="s">
        <v>70</v>
      </c>
      <c r="C1985" s="24" t="str">
        <f>VLOOKUP(revenue[customerID],customers[],2,FALSE)</f>
        <v>Around the Horn</v>
      </c>
      <c r="D1985" s="24" t="str">
        <f>VLOOKUP(revenue[customerID],customers[],6,FALSE)</f>
        <v>London</v>
      </c>
      <c r="E1985" s="24" t="str">
        <f>VLOOKUP(revenue[customerID],customers[],9,FALSE)</f>
        <v>UK</v>
      </c>
      <c r="F1985" s="24">
        <v>45392.0</v>
      </c>
      <c r="G1985" s="6">
        <v>31.0</v>
      </c>
      <c r="H1985" s="9" t="str">
        <f>VLOOKUP(revenue[productID],products[],2,FALSE)</f>
        <v>Gorgonzola Telino</v>
      </c>
      <c r="I1985" s="9" t="str">
        <f>VLOOKUP(revenue[productID],products[],12,FALSE)</f>
        <v>Dairy Products</v>
      </c>
      <c r="J1985" s="9">
        <f>VLOOKUP(revenue[productID],products[],IF(YEAR(revenue[orderDate])=2022,8,IF(YEAR(revenue[orderDate])=2023,9,IF(YEAR(revenue[orderDate])=2024,10,NA))),FALSE)</f>
        <v>8.203054392</v>
      </c>
      <c r="K1985" s="9">
        <v>12.5</v>
      </c>
      <c r="L1985" s="25">
        <f>(revenue[orderPrice]-revenue[productCost])/revenue[productCost]</f>
        <v>0.52382264</v>
      </c>
      <c r="M1985" s="10">
        <v>15.0</v>
      </c>
      <c r="N1985" s="25">
        <v>0.0</v>
      </c>
      <c r="O1985" s="9">
        <f>revenue[orderPrice]*revenue[orderQuantity]</f>
        <v>187.5</v>
      </c>
      <c r="P1985" s="9">
        <f>revenue[orderTotal]*(1-revenue[discountApllied])</f>
        <v>187.5</v>
      </c>
      <c r="Q1985" s="9">
        <f>revenue[revenue]-(revenue[productCost]*revenue[orderQuantity])</f>
        <v>64.45418412</v>
      </c>
      <c r="R1985" s="25">
        <f>IFERROR(revenue[profit]/revenue[revenue], 0)</f>
        <v>0.3437556486</v>
      </c>
      <c r="S1985" s="9">
        <f>revenue[productCost]*revenue[orderQuantity]</f>
        <v>123.0458159</v>
      </c>
    </row>
    <row r="1986" ht="15.75" customHeight="1">
      <c r="A1986" s="6">
        <v>11016.0</v>
      </c>
      <c r="B1986" s="7" t="s">
        <v>70</v>
      </c>
      <c r="C1986" s="24" t="str">
        <f>VLOOKUP(revenue[customerID],customers[],2,FALSE)</f>
        <v>Around the Horn</v>
      </c>
      <c r="D1986" s="24" t="str">
        <f>VLOOKUP(revenue[customerID],customers[],6,FALSE)</f>
        <v>London</v>
      </c>
      <c r="E1986" s="24" t="str">
        <f>VLOOKUP(revenue[customerID],customers[],9,FALSE)</f>
        <v>UK</v>
      </c>
      <c r="F1986" s="24">
        <v>45392.0</v>
      </c>
      <c r="G1986" s="6">
        <v>36.0</v>
      </c>
      <c r="H1986" s="9" t="str">
        <f>VLOOKUP(revenue[productID],products[],2,FALSE)</f>
        <v>Inlagd Sill</v>
      </c>
      <c r="I1986" s="9" t="str">
        <f>VLOOKUP(revenue[productID],products[],12,FALSE)</f>
        <v>Seafood</v>
      </c>
      <c r="J1986" s="9">
        <f>VLOOKUP(revenue[productID],products[],IF(YEAR(revenue[orderDate])=2022,8,IF(YEAR(revenue[orderDate])=2023,9,IF(YEAR(revenue[orderDate])=2024,10,NA))),FALSE)</f>
        <v>11.68525366</v>
      </c>
      <c r="K1986" s="9">
        <v>19.0</v>
      </c>
      <c r="L1986" s="25">
        <f>(revenue[orderPrice]-revenue[productCost])/revenue[productCost]</f>
        <v>0.6259809637</v>
      </c>
      <c r="M1986" s="10">
        <v>16.0</v>
      </c>
      <c r="N1986" s="25">
        <v>0.0</v>
      </c>
      <c r="O1986" s="9">
        <f>revenue[orderPrice]*revenue[orderQuantity]</f>
        <v>304</v>
      </c>
      <c r="P1986" s="9">
        <f>revenue[orderTotal]*(1-revenue[discountApllied])</f>
        <v>304</v>
      </c>
      <c r="Q1986" s="9">
        <f>revenue[revenue]-(revenue[productCost]*revenue[orderQuantity])</f>
        <v>117.0359415</v>
      </c>
      <c r="R1986" s="25">
        <f>IFERROR(revenue[profit]/revenue[revenue], 0)</f>
        <v>0.3849866497</v>
      </c>
      <c r="S1986" s="9">
        <f>revenue[productCost]*revenue[orderQuantity]</f>
        <v>186.9640585</v>
      </c>
    </row>
    <row r="1987" ht="15.75" customHeight="1">
      <c r="A1987" s="6">
        <v>11017.0</v>
      </c>
      <c r="B1987" s="7" t="s">
        <v>24</v>
      </c>
      <c r="C1987" s="24" t="str">
        <f>VLOOKUP(revenue[customerID],customers[],2,FALSE)</f>
        <v>Ernst Handel</v>
      </c>
      <c r="D1987" s="24" t="str">
        <f>VLOOKUP(revenue[customerID],customers[],6,FALSE)</f>
        <v>Graz</v>
      </c>
      <c r="E1987" s="24" t="str">
        <f>VLOOKUP(revenue[customerID],customers[],9,FALSE)</f>
        <v>Austria</v>
      </c>
      <c r="F1987" s="24">
        <v>45395.0</v>
      </c>
      <c r="G1987" s="6">
        <v>3.0</v>
      </c>
      <c r="H1987" s="9" t="str">
        <f>VLOOKUP(revenue[productID],products[],2,FALSE)</f>
        <v>Aniseed Syrup</v>
      </c>
      <c r="I1987" s="9" t="str">
        <f>VLOOKUP(revenue[productID],products[],12,FALSE)</f>
        <v>Condiments</v>
      </c>
      <c r="J1987" s="9">
        <f>VLOOKUP(revenue[productID],products[],IF(YEAR(revenue[orderDate])=2022,8,IF(YEAR(revenue[orderDate])=2023,9,IF(YEAR(revenue[orderDate])=2024,10,NA))),FALSE)</f>
        <v>7.205917693</v>
      </c>
      <c r="K1987" s="9">
        <v>10.0</v>
      </c>
      <c r="L1987" s="25">
        <f>(revenue[orderPrice]-revenue[productCost])/revenue[productCost]</f>
        <v>0.3877482961</v>
      </c>
      <c r="M1987" s="10">
        <v>25.0</v>
      </c>
      <c r="N1987" s="25">
        <v>0.0</v>
      </c>
      <c r="O1987" s="9">
        <f>revenue[orderPrice]*revenue[orderQuantity]</f>
        <v>250</v>
      </c>
      <c r="P1987" s="9">
        <f>revenue[orderTotal]*(1-revenue[discountApllied])</f>
        <v>250</v>
      </c>
      <c r="Q1987" s="9">
        <f>revenue[revenue]-(revenue[productCost]*revenue[orderQuantity])</f>
        <v>69.85205768</v>
      </c>
      <c r="R1987" s="25">
        <f>IFERROR(revenue[profit]/revenue[revenue], 0)</f>
        <v>0.2794082307</v>
      </c>
      <c r="S1987" s="9">
        <f>revenue[productCost]*revenue[orderQuantity]</f>
        <v>180.1479423</v>
      </c>
    </row>
    <row r="1988" ht="15.75" customHeight="1">
      <c r="A1988" s="6">
        <v>11017.0</v>
      </c>
      <c r="B1988" s="7" t="s">
        <v>24</v>
      </c>
      <c r="C1988" s="24" t="str">
        <f>VLOOKUP(revenue[customerID],customers[],2,FALSE)</f>
        <v>Ernst Handel</v>
      </c>
      <c r="D1988" s="24" t="str">
        <f>VLOOKUP(revenue[customerID],customers[],6,FALSE)</f>
        <v>Graz</v>
      </c>
      <c r="E1988" s="24" t="str">
        <f>VLOOKUP(revenue[customerID],customers[],9,FALSE)</f>
        <v>Austria</v>
      </c>
      <c r="F1988" s="24">
        <v>45395.0</v>
      </c>
      <c r="G1988" s="6">
        <v>59.0</v>
      </c>
      <c r="H1988" s="9" t="str">
        <f>VLOOKUP(revenue[productID],products[],2,FALSE)</f>
        <v>Raclette Courdavault</v>
      </c>
      <c r="I1988" s="9" t="str">
        <f>VLOOKUP(revenue[productID],products[],12,FALSE)</f>
        <v>Dairy Products</v>
      </c>
      <c r="J1988" s="9">
        <f>VLOOKUP(revenue[productID],products[],IF(YEAR(revenue[orderDate])=2022,8,IF(YEAR(revenue[orderDate])=2023,9,IF(YEAR(revenue[orderDate])=2024,10,NA))),FALSE)</f>
        <v>36.74863711</v>
      </c>
      <c r="K1988" s="9">
        <v>55.0</v>
      </c>
      <c r="L1988" s="25">
        <f>(revenue[orderPrice]-revenue[productCost])/revenue[productCost]</f>
        <v>0.4966541435</v>
      </c>
      <c r="M1988" s="10">
        <v>110.0</v>
      </c>
      <c r="N1988" s="25">
        <v>0.0</v>
      </c>
      <c r="O1988" s="9">
        <f>revenue[orderPrice]*revenue[orderQuantity]</f>
        <v>6050</v>
      </c>
      <c r="P1988" s="9">
        <f>revenue[orderTotal]*(1-revenue[discountApllied])</f>
        <v>6050</v>
      </c>
      <c r="Q1988" s="9">
        <f>revenue[revenue]-(revenue[productCost]*revenue[orderQuantity])</f>
        <v>2007.649918</v>
      </c>
      <c r="R1988" s="25">
        <f>IFERROR(revenue[profit]/revenue[revenue], 0)</f>
        <v>0.3318429616</v>
      </c>
      <c r="S1988" s="9">
        <f>revenue[productCost]*revenue[orderQuantity]</f>
        <v>4042.350082</v>
      </c>
    </row>
    <row r="1989" ht="15.75" customHeight="1">
      <c r="A1989" s="6">
        <v>11017.0</v>
      </c>
      <c r="B1989" s="7" t="s">
        <v>24</v>
      </c>
      <c r="C1989" s="24" t="str">
        <f>VLOOKUP(revenue[customerID],customers[],2,FALSE)</f>
        <v>Ernst Handel</v>
      </c>
      <c r="D1989" s="24" t="str">
        <f>VLOOKUP(revenue[customerID],customers[],6,FALSE)</f>
        <v>Graz</v>
      </c>
      <c r="E1989" s="24" t="str">
        <f>VLOOKUP(revenue[customerID],customers[],9,FALSE)</f>
        <v>Austria</v>
      </c>
      <c r="F1989" s="24">
        <v>45395.0</v>
      </c>
      <c r="G1989" s="6">
        <v>70.0</v>
      </c>
      <c r="H1989" s="9" t="str">
        <f>VLOOKUP(revenue[productID],products[],2,FALSE)</f>
        <v>Outback Lager</v>
      </c>
      <c r="I1989" s="9" t="str">
        <f>VLOOKUP(revenue[productID],products[],12,FALSE)</f>
        <v>Beverages</v>
      </c>
      <c r="J1989" s="9">
        <f>VLOOKUP(revenue[productID],products[],IF(YEAR(revenue[orderDate])=2022,8,IF(YEAR(revenue[orderDate])=2023,9,IF(YEAR(revenue[orderDate])=2024,10,NA))),FALSE)</f>
        <v>10.03280812</v>
      </c>
      <c r="K1989" s="9">
        <v>15.0</v>
      </c>
      <c r="L1989" s="25">
        <f>(revenue[orderPrice]-revenue[productCost])/revenue[productCost]</f>
        <v>0.4950948747</v>
      </c>
      <c r="M1989" s="10">
        <v>30.0</v>
      </c>
      <c r="N1989" s="25">
        <v>0.0</v>
      </c>
      <c r="O1989" s="9">
        <f>revenue[orderPrice]*revenue[orderQuantity]</f>
        <v>450</v>
      </c>
      <c r="P1989" s="9">
        <f>revenue[orderTotal]*(1-revenue[discountApllied])</f>
        <v>450</v>
      </c>
      <c r="Q1989" s="9">
        <f>revenue[revenue]-(revenue[productCost]*revenue[orderQuantity])</f>
        <v>149.0157564</v>
      </c>
      <c r="R1989" s="25">
        <f>IFERROR(revenue[profit]/revenue[revenue], 0)</f>
        <v>0.3311461253</v>
      </c>
      <c r="S1989" s="9">
        <f>revenue[productCost]*revenue[orderQuantity]</f>
        <v>300.9842436</v>
      </c>
    </row>
    <row r="1990" ht="15.75" customHeight="1">
      <c r="A1990" s="6">
        <v>11018.0</v>
      </c>
      <c r="B1990" s="7" t="s">
        <v>53</v>
      </c>
      <c r="C1990" s="24" t="str">
        <f>VLOOKUP(revenue[customerID],customers[],2,FALSE)</f>
        <v>Lonesome Pine Restaurant</v>
      </c>
      <c r="D1990" s="24" t="str">
        <f>VLOOKUP(revenue[customerID],customers[],6,FALSE)</f>
        <v>Portland</v>
      </c>
      <c r="E1990" s="24" t="str">
        <f>VLOOKUP(revenue[customerID],customers[],9,FALSE)</f>
        <v>USA</v>
      </c>
      <c r="F1990" s="24">
        <v>45395.0</v>
      </c>
      <c r="G1990" s="6">
        <v>12.0</v>
      </c>
      <c r="H1990" s="9" t="str">
        <f>VLOOKUP(revenue[productID],products[],2,FALSE)</f>
        <v>Queso Manchego La Pastora</v>
      </c>
      <c r="I1990" s="9" t="str">
        <f>VLOOKUP(revenue[productID],products[],12,FALSE)</f>
        <v>Dairy Products</v>
      </c>
      <c r="J1990" s="9">
        <f>VLOOKUP(revenue[productID],products[],IF(YEAR(revenue[orderDate])=2022,8,IF(YEAR(revenue[orderDate])=2023,9,IF(YEAR(revenue[orderDate])=2024,10,NA))),FALSE)</f>
        <v>25.02510955</v>
      </c>
      <c r="K1990" s="9">
        <v>38.0</v>
      </c>
      <c r="L1990" s="25">
        <f>(revenue[orderPrice]-revenue[productCost])/revenue[productCost]</f>
        <v>0.518474871</v>
      </c>
      <c r="M1990" s="10">
        <v>20.0</v>
      </c>
      <c r="N1990" s="25">
        <v>0.0</v>
      </c>
      <c r="O1990" s="9">
        <f>revenue[orderPrice]*revenue[orderQuantity]</f>
        <v>760</v>
      </c>
      <c r="P1990" s="9">
        <f>revenue[orderTotal]*(1-revenue[discountApllied])</f>
        <v>760</v>
      </c>
      <c r="Q1990" s="9">
        <f>revenue[revenue]-(revenue[productCost]*revenue[orderQuantity])</f>
        <v>259.4978089</v>
      </c>
      <c r="R1990" s="25">
        <f>IFERROR(revenue[profit]/revenue[revenue], 0)</f>
        <v>0.3414444854</v>
      </c>
      <c r="S1990" s="9">
        <f>revenue[productCost]*revenue[orderQuantity]</f>
        <v>500.5021911</v>
      </c>
    </row>
    <row r="1991" ht="15.75" customHeight="1">
      <c r="A1991" s="6">
        <v>11018.0</v>
      </c>
      <c r="B1991" s="7" t="s">
        <v>53</v>
      </c>
      <c r="C1991" s="24" t="str">
        <f>VLOOKUP(revenue[customerID],customers[],2,FALSE)</f>
        <v>Lonesome Pine Restaurant</v>
      </c>
      <c r="D1991" s="24" t="str">
        <f>VLOOKUP(revenue[customerID],customers[],6,FALSE)</f>
        <v>Portland</v>
      </c>
      <c r="E1991" s="24" t="str">
        <f>VLOOKUP(revenue[customerID],customers[],9,FALSE)</f>
        <v>USA</v>
      </c>
      <c r="F1991" s="24">
        <v>45395.0</v>
      </c>
      <c r="G1991" s="6">
        <v>18.0</v>
      </c>
      <c r="H1991" s="9" t="str">
        <f>VLOOKUP(revenue[productID],products[],2,FALSE)</f>
        <v>Carnarvon Tigers</v>
      </c>
      <c r="I1991" s="9" t="str">
        <f>VLOOKUP(revenue[productID],products[],12,FALSE)</f>
        <v>Seafood</v>
      </c>
      <c r="J1991" s="9">
        <f>VLOOKUP(revenue[productID],products[],IF(YEAR(revenue[orderDate])=2022,8,IF(YEAR(revenue[orderDate])=2023,9,IF(YEAR(revenue[orderDate])=2024,10,NA))),FALSE)</f>
        <v>41.27004985</v>
      </c>
      <c r="K1991" s="9">
        <v>62.5</v>
      </c>
      <c r="L1991" s="25">
        <f>(revenue[orderPrice]-revenue[productCost])/revenue[productCost]</f>
        <v>0.5144154231</v>
      </c>
      <c r="M1991" s="10">
        <v>10.0</v>
      </c>
      <c r="N1991" s="25">
        <v>0.0</v>
      </c>
      <c r="O1991" s="9">
        <f>revenue[orderPrice]*revenue[orderQuantity]</f>
        <v>625</v>
      </c>
      <c r="P1991" s="9">
        <f>revenue[orderTotal]*(1-revenue[discountApllied])</f>
        <v>625</v>
      </c>
      <c r="Q1991" s="9">
        <f>revenue[revenue]-(revenue[productCost]*revenue[orderQuantity])</f>
        <v>212.2995015</v>
      </c>
      <c r="R1991" s="25">
        <f>IFERROR(revenue[profit]/revenue[revenue], 0)</f>
        <v>0.3396792025</v>
      </c>
      <c r="S1991" s="9">
        <f>revenue[productCost]*revenue[orderQuantity]</f>
        <v>412.7004985</v>
      </c>
    </row>
    <row r="1992" ht="15.75" customHeight="1">
      <c r="A1992" s="6">
        <v>11018.0</v>
      </c>
      <c r="B1992" s="7" t="s">
        <v>53</v>
      </c>
      <c r="C1992" s="24" t="str">
        <f>VLOOKUP(revenue[customerID],customers[],2,FALSE)</f>
        <v>Lonesome Pine Restaurant</v>
      </c>
      <c r="D1992" s="24" t="str">
        <f>VLOOKUP(revenue[customerID],customers[],6,FALSE)</f>
        <v>Portland</v>
      </c>
      <c r="E1992" s="24" t="str">
        <f>VLOOKUP(revenue[customerID],customers[],9,FALSE)</f>
        <v>USA</v>
      </c>
      <c r="F1992" s="24">
        <v>45395.0</v>
      </c>
      <c r="G1992" s="6">
        <v>56.0</v>
      </c>
      <c r="H1992" s="9" t="str">
        <f>VLOOKUP(revenue[productID],products[],2,FALSE)</f>
        <v>Gnocchi di nonna Alice</v>
      </c>
      <c r="I1992" s="9" t="str">
        <f>VLOOKUP(revenue[productID],products[],12,FALSE)</f>
        <v>Grains/Cereals</v>
      </c>
      <c r="J1992" s="9">
        <f>VLOOKUP(revenue[productID],products[],IF(YEAR(revenue[orderDate])=2022,8,IF(YEAR(revenue[orderDate])=2023,9,IF(YEAR(revenue[orderDate])=2024,10,NA))),FALSE)</f>
        <v>27.53915851</v>
      </c>
      <c r="K1992" s="9">
        <v>38.0</v>
      </c>
      <c r="L1992" s="25">
        <f>(revenue[orderPrice]-revenue[productCost])/revenue[productCost]</f>
        <v>0.3798533452</v>
      </c>
      <c r="M1992" s="10">
        <v>5.0</v>
      </c>
      <c r="N1992" s="25">
        <v>0.0</v>
      </c>
      <c r="O1992" s="9">
        <f>revenue[orderPrice]*revenue[orderQuantity]</f>
        <v>190</v>
      </c>
      <c r="P1992" s="9">
        <f>revenue[orderTotal]*(1-revenue[discountApllied])</f>
        <v>190</v>
      </c>
      <c r="Q1992" s="9">
        <f>revenue[revenue]-(revenue[productCost]*revenue[orderQuantity])</f>
        <v>52.30420743</v>
      </c>
      <c r="R1992" s="25">
        <f>IFERROR(revenue[profit]/revenue[revenue], 0)</f>
        <v>0.2752853023</v>
      </c>
      <c r="S1992" s="9">
        <f>revenue[productCost]*revenue[orderQuantity]</f>
        <v>137.6957926</v>
      </c>
    </row>
    <row r="1993" ht="15.75" customHeight="1">
      <c r="A1993" s="6">
        <v>11019.0</v>
      </c>
      <c r="B1993" s="7" t="s">
        <v>88</v>
      </c>
      <c r="C1993" s="24" t="str">
        <f>VLOOKUP(revenue[customerID],customers[],2,FALSE)</f>
        <v>Rancho grande</v>
      </c>
      <c r="D1993" s="24" t="str">
        <f>VLOOKUP(revenue[customerID],customers[],6,FALSE)</f>
        <v>Buenos Aires</v>
      </c>
      <c r="E1993" s="24" t="str">
        <f>VLOOKUP(revenue[customerID],customers[],9,FALSE)</f>
        <v>Argentina</v>
      </c>
      <c r="F1993" s="24">
        <v>45395.0</v>
      </c>
      <c r="G1993" s="6">
        <v>46.0</v>
      </c>
      <c r="H1993" s="9" t="str">
        <f>VLOOKUP(revenue[productID],products[],2,FALSE)</f>
        <v>Spegesild</v>
      </c>
      <c r="I1993" s="9" t="str">
        <f>VLOOKUP(revenue[productID],products[],12,FALSE)</f>
        <v>Seafood</v>
      </c>
      <c r="J1993" s="9">
        <f>VLOOKUP(revenue[productID],products[],IF(YEAR(revenue[orderDate])=2022,8,IF(YEAR(revenue[orderDate])=2023,9,IF(YEAR(revenue[orderDate])=2024,10,NA))),FALSE)</f>
        <v>8.247981557</v>
      </c>
      <c r="K1993" s="9">
        <v>12.0</v>
      </c>
      <c r="L1993" s="25">
        <f>(revenue[orderPrice]-revenue[productCost])/revenue[productCost]</f>
        <v>0.4549014105</v>
      </c>
      <c r="M1993" s="10">
        <v>3.0</v>
      </c>
      <c r="N1993" s="25">
        <v>0.0</v>
      </c>
      <c r="O1993" s="9">
        <f>revenue[orderPrice]*revenue[orderQuantity]</f>
        <v>36</v>
      </c>
      <c r="P1993" s="9">
        <f>revenue[orderTotal]*(1-revenue[discountApllied])</f>
        <v>36</v>
      </c>
      <c r="Q1993" s="9">
        <f>revenue[revenue]-(revenue[productCost]*revenue[orderQuantity])</f>
        <v>11.25605533</v>
      </c>
      <c r="R1993" s="25">
        <f>IFERROR(revenue[profit]/revenue[revenue], 0)</f>
        <v>0.3126682036</v>
      </c>
      <c r="S1993" s="9">
        <f>revenue[productCost]*revenue[orderQuantity]</f>
        <v>24.74394467</v>
      </c>
    </row>
    <row r="1994" ht="15.75" customHeight="1">
      <c r="A1994" s="6">
        <v>11019.0</v>
      </c>
      <c r="B1994" s="7" t="s">
        <v>88</v>
      </c>
      <c r="C1994" s="24" t="str">
        <f>VLOOKUP(revenue[customerID],customers[],2,FALSE)</f>
        <v>Rancho grande</v>
      </c>
      <c r="D1994" s="24" t="str">
        <f>VLOOKUP(revenue[customerID],customers[],6,FALSE)</f>
        <v>Buenos Aires</v>
      </c>
      <c r="E1994" s="24" t="str">
        <f>VLOOKUP(revenue[customerID],customers[],9,FALSE)</f>
        <v>Argentina</v>
      </c>
      <c r="F1994" s="24">
        <v>45395.0</v>
      </c>
      <c r="G1994" s="6">
        <v>49.0</v>
      </c>
      <c r="H1994" s="9" t="str">
        <f>VLOOKUP(revenue[productID],products[],2,FALSE)</f>
        <v>Maxilaku</v>
      </c>
      <c r="I1994" s="9" t="str">
        <f>VLOOKUP(revenue[productID],products[],12,FALSE)</f>
        <v>Confections</v>
      </c>
      <c r="J1994" s="9">
        <f>VLOOKUP(revenue[productID],products[],IF(YEAR(revenue[orderDate])=2022,8,IF(YEAR(revenue[orderDate])=2023,9,IF(YEAR(revenue[orderDate])=2024,10,NA))),FALSE)</f>
        <v>15.07459899</v>
      </c>
      <c r="K1994" s="9">
        <v>20.0</v>
      </c>
      <c r="L1994" s="25">
        <f>(revenue[orderPrice]-revenue[productCost])/revenue[productCost]</f>
        <v>0.3267351269</v>
      </c>
      <c r="M1994" s="10">
        <v>2.0</v>
      </c>
      <c r="N1994" s="25">
        <v>0.0</v>
      </c>
      <c r="O1994" s="9">
        <f>revenue[orderPrice]*revenue[orderQuantity]</f>
        <v>40</v>
      </c>
      <c r="P1994" s="9">
        <f>revenue[orderTotal]*(1-revenue[discountApllied])</f>
        <v>40</v>
      </c>
      <c r="Q1994" s="9">
        <f>revenue[revenue]-(revenue[productCost]*revenue[orderQuantity])</f>
        <v>9.850802027</v>
      </c>
      <c r="R1994" s="25">
        <f>IFERROR(revenue[profit]/revenue[revenue], 0)</f>
        <v>0.2462700507</v>
      </c>
      <c r="S1994" s="9">
        <f>revenue[productCost]*revenue[orderQuantity]</f>
        <v>30.14919797</v>
      </c>
    </row>
    <row r="1995" ht="15.75" customHeight="1">
      <c r="A1995" s="6">
        <v>11020.0</v>
      </c>
      <c r="B1995" s="7" t="s">
        <v>26</v>
      </c>
      <c r="C1995" s="24" t="str">
        <f>VLOOKUP(revenue[customerID],customers[],2,FALSE)</f>
        <v>Ottilies Käseladen</v>
      </c>
      <c r="D1995" s="24" t="str">
        <f>VLOOKUP(revenue[customerID],customers[],6,FALSE)</f>
        <v>Köln</v>
      </c>
      <c r="E1995" s="24" t="str">
        <f>VLOOKUP(revenue[customerID],customers[],9,FALSE)</f>
        <v>Germany</v>
      </c>
      <c r="F1995" s="24">
        <v>45396.0</v>
      </c>
      <c r="G1995" s="6">
        <v>10.0</v>
      </c>
      <c r="H1995" s="9" t="str">
        <f>VLOOKUP(revenue[productID],products[],2,FALSE)</f>
        <v>Ikura</v>
      </c>
      <c r="I1995" s="9" t="str">
        <f>VLOOKUP(revenue[productID],products[],12,FALSE)</f>
        <v>Seafood</v>
      </c>
      <c r="J1995" s="9">
        <f>VLOOKUP(revenue[productID],products[],IF(YEAR(revenue[orderDate])=2022,8,IF(YEAR(revenue[orderDate])=2023,9,IF(YEAR(revenue[orderDate])=2024,10,NA))),FALSE)</f>
        <v>20.90394627</v>
      </c>
      <c r="K1995" s="9">
        <v>31.0</v>
      </c>
      <c r="L1995" s="25">
        <f>(revenue[orderPrice]-revenue[productCost])/revenue[productCost]</f>
        <v>0.4829735786</v>
      </c>
      <c r="M1995" s="10">
        <v>24.0</v>
      </c>
      <c r="N1995" s="25">
        <v>0.15</v>
      </c>
      <c r="O1995" s="9">
        <f>revenue[orderPrice]*revenue[orderQuantity]</f>
        <v>744</v>
      </c>
      <c r="P1995" s="9">
        <f>revenue[orderTotal]*(1-revenue[discountApllied])</f>
        <v>632.4</v>
      </c>
      <c r="Q1995" s="9">
        <f>revenue[revenue]-(revenue[productCost]*revenue[orderQuantity])</f>
        <v>130.7052896</v>
      </c>
      <c r="R1995" s="25">
        <f>IFERROR(revenue[profit]/revenue[revenue], 0)</f>
        <v>0.2066813561</v>
      </c>
      <c r="S1995" s="9">
        <f>revenue[productCost]*revenue[orderQuantity]</f>
        <v>501.6947104</v>
      </c>
    </row>
    <row r="1996" ht="15.75" customHeight="1">
      <c r="A1996" s="6">
        <v>11021.0</v>
      </c>
      <c r="B1996" s="7" t="s">
        <v>36</v>
      </c>
      <c r="C1996" s="24" t="str">
        <f>VLOOKUP(revenue[customerID],customers[],2,FALSE)</f>
        <v>QUICK-Stop</v>
      </c>
      <c r="D1996" s="24" t="str">
        <f>VLOOKUP(revenue[customerID],customers[],6,FALSE)</f>
        <v>Cunewalde</v>
      </c>
      <c r="E1996" s="24" t="str">
        <f>VLOOKUP(revenue[customerID],customers[],9,FALSE)</f>
        <v>Germany</v>
      </c>
      <c r="F1996" s="24">
        <v>45396.0</v>
      </c>
      <c r="G1996" s="6">
        <v>2.0</v>
      </c>
      <c r="H1996" s="9" t="str">
        <f>VLOOKUP(revenue[productID],products[],2,FALSE)</f>
        <v>Chang</v>
      </c>
      <c r="I1996" s="9" t="str">
        <f>VLOOKUP(revenue[productID],products[],12,FALSE)</f>
        <v>Beverages</v>
      </c>
      <c r="J1996" s="9">
        <f>VLOOKUP(revenue[productID],products[],IF(YEAR(revenue[orderDate])=2022,8,IF(YEAR(revenue[orderDate])=2023,9,IF(YEAR(revenue[orderDate])=2024,10,NA))),FALSE)</f>
        <v>11.93843713</v>
      </c>
      <c r="K1996" s="9">
        <v>19.0</v>
      </c>
      <c r="L1996" s="25">
        <f>(revenue[orderPrice]-revenue[productCost])/revenue[productCost]</f>
        <v>0.591498099</v>
      </c>
      <c r="M1996" s="10">
        <v>11.0</v>
      </c>
      <c r="N1996" s="25">
        <v>0.25</v>
      </c>
      <c r="O1996" s="9">
        <f>revenue[orderPrice]*revenue[orderQuantity]</f>
        <v>209</v>
      </c>
      <c r="P1996" s="9">
        <f>revenue[orderTotal]*(1-revenue[discountApllied])</f>
        <v>156.75</v>
      </c>
      <c r="Q1996" s="9">
        <f>revenue[revenue]-(revenue[productCost]*revenue[orderQuantity])</f>
        <v>25.42719155</v>
      </c>
      <c r="R1996" s="25">
        <f>IFERROR(revenue[profit]/revenue[revenue], 0)</f>
        <v>0.1622149381</v>
      </c>
      <c r="S1996" s="9">
        <f>revenue[productCost]*revenue[orderQuantity]</f>
        <v>131.3228084</v>
      </c>
    </row>
    <row r="1997" ht="15.75" customHeight="1">
      <c r="A1997" s="6">
        <v>11021.0</v>
      </c>
      <c r="B1997" s="7" t="s">
        <v>36</v>
      </c>
      <c r="C1997" s="24" t="str">
        <f>VLOOKUP(revenue[customerID],customers[],2,FALSE)</f>
        <v>QUICK-Stop</v>
      </c>
      <c r="D1997" s="24" t="str">
        <f>VLOOKUP(revenue[customerID],customers[],6,FALSE)</f>
        <v>Cunewalde</v>
      </c>
      <c r="E1997" s="24" t="str">
        <f>VLOOKUP(revenue[customerID],customers[],9,FALSE)</f>
        <v>Germany</v>
      </c>
      <c r="F1997" s="24">
        <v>45396.0</v>
      </c>
      <c r="G1997" s="6">
        <v>20.0</v>
      </c>
      <c r="H1997" s="9" t="str">
        <f>VLOOKUP(revenue[productID],products[],2,FALSE)</f>
        <v>Sir Rodney's Marmalade</v>
      </c>
      <c r="I1997" s="9" t="str">
        <f>VLOOKUP(revenue[productID],products[],12,FALSE)</f>
        <v>Confections</v>
      </c>
      <c r="J1997" s="9">
        <f>VLOOKUP(revenue[productID],products[],IF(YEAR(revenue[orderDate])=2022,8,IF(YEAR(revenue[orderDate])=2023,9,IF(YEAR(revenue[orderDate])=2024,10,NA))),FALSE)</f>
        <v>62.82537598</v>
      </c>
      <c r="K1997" s="9">
        <v>81.0</v>
      </c>
      <c r="L1997" s="25">
        <f>(revenue[orderPrice]-revenue[productCost])/revenue[productCost]</f>
        <v>0.2892879468</v>
      </c>
      <c r="M1997" s="10">
        <v>15.0</v>
      </c>
      <c r="N1997" s="25">
        <v>0.0</v>
      </c>
      <c r="O1997" s="9">
        <f>revenue[orderPrice]*revenue[orderQuantity]</f>
        <v>1215</v>
      </c>
      <c r="P1997" s="9">
        <f>revenue[orderTotal]*(1-revenue[discountApllied])</f>
        <v>1215</v>
      </c>
      <c r="Q1997" s="9">
        <f>revenue[revenue]-(revenue[productCost]*revenue[orderQuantity])</f>
        <v>272.6193604</v>
      </c>
      <c r="R1997" s="25">
        <f>IFERROR(revenue[profit]/revenue[revenue], 0)</f>
        <v>0.2243780744</v>
      </c>
      <c r="S1997" s="9">
        <f>revenue[productCost]*revenue[orderQuantity]</f>
        <v>942.3806396</v>
      </c>
    </row>
    <row r="1998" ht="15.75" customHeight="1">
      <c r="A1998" s="6">
        <v>11021.0</v>
      </c>
      <c r="B1998" s="7" t="s">
        <v>36</v>
      </c>
      <c r="C1998" s="24" t="str">
        <f>VLOOKUP(revenue[customerID],customers[],2,FALSE)</f>
        <v>QUICK-Stop</v>
      </c>
      <c r="D1998" s="24" t="str">
        <f>VLOOKUP(revenue[customerID],customers[],6,FALSE)</f>
        <v>Cunewalde</v>
      </c>
      <c r="E1998" s="24" t="str">
        <f>VLOOKUP(revenue[customerID],customers[],9,FALSE)</f>
        <v>Germany</v>
      </c>
      <c r="F1998" s="24">
        <v>45396.0</v>
      </c>
      <c r="G1998" s="6">
        <v>26.0</v>
      </c>
      <c r="H1998" s="9" t="str">
        <f>VLOOKUP(revenue[productID],products[],2,FALSE)</f>
        <v>NuNuCa Nuß-Nougat-Creme</v>
      </c>
      <c r="I1998" s="9" t="str">
        <f>VLOOKUP(revenue[productID],products[],12,FALSE)</f>
        <v>Confections</v>
      </c>
      <c r="J1998" s="9">
        <f>VLOOKUP(revenue[productID],products[],IF(YEAR(revenue[orderDate])=2022,8,IF(YEAR(revenue[orderDate])=2023,9,IF(YEAR(revenue[orderDate])=2024,10,NA))),FALSE)</f>
        <v>22.79977195</v>
      </c>
      <c r="K1998" s="9">
        <v>31.23</v>
      </c>
      <c r="L1998" s="25">
        <f>(revenue[orderPrice]-revenue[productCost])/revenue[productCost]</f>
        <v>0.3697505427</v>
      </c>
      <c r="M1998" s="10">
        <v>63.0</v>
      </c>
      <c r="N1998" s="25">
        <v>0.0</v>
      </c>
      <c r="O1998" s="9">
        <f>revenue[orderPrice]*revenue[orderQuantity]</f>
        <v>1967.49</v>
      </c>
      <c r="P1998" s="9">
        <f>revenue[orderTotal]*(1-revenue[discountApllied])</f>
        <v>1967.49</v>
      </c>
      <c r="Q1998" s="9">
        <f>revenue[revenue]-(revenue[productCost]*revenue[orderQuantity])</f>
        <v>531.1043673</v>
      </c>
      <c r="R1998" s="25">
        <f>IFERROR(revenue[profit]/revenue[revenue], 0)</f>
        <v>0.2699400593</v>
      </c>
      <c r="S1998" s="9">
        <f>revenue[productCost]*revenue[orderQuantity]</f>
        <v>1436.385633</v>
      </c>
    </row>
    <row r="1999" ht="15.75" customHeight="1">
      <c r="A1999" s="6">
        <v>11021.0</v>
      </c>
      <c r="B1999" s="7" t="s">
        <v>36</v>
      </c>
      <c r="C1999" s="24" t="str">
        <f>VLOOKUP(revenue[customerID],customers[],2,FALSE)</f>
        <v>QUICK-Stop</v>
      </c>
      <c r="D1999" s="24" t="str">
        <f>VLOOKUP(revenue[customerID],customers[],6,FALSE)</f>
        <v>Cunewalde</v>
      </c>
      <c r="E1999" s="24" t="str">
        <f>VLOOKUP(revenue[customerID],customers[],9,FALSE)</f>
        <v>Germany</v>
      </c>
      <c r="F1999" s="24">
        <v>45396.0</v>
      </c>
      <c r="G1999" s="6">
        <v>51.0</v>
      </c>
      <c r="H1999" s="9" t="str">
        <f>VLOOKUP(revenue[productID],products[],2,FALSE)</f>
        <v>Manjimup Dried Apples</v>
      </c>
      <c r="I1999" s="9" t="str">
        <f>VLOOKUP(revenue[productID],products[],12,FALSE)</f>
        <v>Produce</v>
      </c>
      <c r="J1999" s="9">
        <f>VLOOKUP(revenue[productID],products[],IF(YEAR(revenue[orderDate])=2022,8,IF(YEAR(revenue[orderDate])=2023,9,IF(YEAR(revenue[orderDate])=2024,10,NA))),FALSE)</f>
        <v>39.51416462</v>
      </c>
      <c r="K1999" s="9">
        <v>53.0</v>
      </c>
      <c r="L1999" s="25">
        <f>(revenue[orderPrice]-revenue[productCost])/revenue[productCost]</f>
        <v>0.3412911677</v>
      </c>
      <c r="M1999" s="10">
        <v>44.0</v>
      </c>
      <c r="N1999" s="25">
        <v>0.25</v>
      </c>
      <c r="O1999" s="9">
        <f>revenue[orderPrice]*revenue[orderQuantity]</f>
        <v>2332</v>
      </c>
      <c r="P1999" s="9">
        <f>revenue[orderTotal]*(1-revenue[discountApllied])</f>
        <v>1749</v>
      </c>
      <c r="Q1999" s="9">
        <f>revenue[revenue]-(revenue[productCost]*revenue[orderQuantity])</f>
        <v>10.37675679</v>
      </c>
      <c r="R1999" s="25">
        <f>IFERROR(revenue[profit]/revenue[revenue], 0)</f>
        <v>0.005932965575</v>
      </c>
      <c r="S1999" s="9">
        <f>revenue[productCost]*revenue[orderQuantity]</f>
        <v>1738.623243</v>
      </c>
    </row>
    <row r="2000" ht="15.75" customHeight="1">
      <c r="A2000" s="6">
        <v>11021.0</v>
      </c>
      <c r="B2000" s="7" t="s">
        <v>36</v>
      </c>
      <c r="C2000" s="24" t="str">
        <f>VLOOKUP(revenue[customerID],customers[],2,FALSE)</f>
        <v>QUICK-Stop</v>
      </c>
      <c r="D2000" s="24" t="str">
        <f>VLOOKUP(revenue[customerID],customers[],6,FALSE)</f>
        <v>Cunewalde</v>
      </c>
      <c r="E2000" s="24" t="str">
        <f>VLOOKUP(revenue[customerID],customers[],9,FALSE)</f>
        <v>Germany</v>
      </c>
      <c r="F2000" s="24">
        <v>45396.0</v>
      </c>
      <c r="G2000" s="6">
        <v>72.0</v>
      </c>
      <c r="H2000" s="9" t="str">
        <f>VLOOKUP(revenue[productID],products[],2,FALSE)</f>
        <v>Mozzarella di Giovanni</v>
      </c>
      <c r="I2000" s="9" t="str">
        <f>VLOOKUP(revenue[productID],products[],12,FALSE)</f>
        <v>Dairy Products</v>
      </c>
      <c r="J2000" s="9">
        <f>VLOOKUP(revenue[productID],products[],IF(YEAR(revenue[orderDate])=2022,8,IF(YEAR(revenue[orderDate])=2023,9,IF(YEAR(revenue[orderDate])=2024,10,NA))),FALSE)</f>
        <v>24.35057898</v>
      </c>
      <c r="K2000" s="9">
        <v>34.8</v>
      </c>
      <c r="L2000" s="25">
        <f>(revenue[orderPrice]-revenue[productCost])/revenue[productCost]</f>
        <v>0.4291241297</v>
      </c>
      <c r="M2000" s="10">
        <v>35.0</v>
      </c>
      <c r="N2000" s="25">
        <v>0.0</v>
      </c>
      <c r="O2000" s="9">
        <f>revenue[orderPrice]*revenue[orderQuantity]</f>
        <v>1218</v>
      </c>
      <c r="P2000" s="9">
        <f>revenue[orderTotal]*(1-revenue[discountApllied])</f>
        <v>1218</v>
      </c>
      <c r="Q2000" s="9">
        <f>revenue[revenue]-(revenue[productCost]*revenue[orderQuantity])</f>
        <v>365.7297355</v>
      </c>
      <c r="R2000" s="25">
        <f>IFERROR(revenue[profit]/revenue[revenue], 0)</f>
        <v>0.3002707188</v>
      </c>
      <c r="S2000" s="9">
        <f>revenue[productCost]*revenue[orderQuantity]</f>
        <v>852.2702645</v>
      </c>
    </row>
    <row r="2001" ht="15.75" customHeight="1">
      <c r="A2001" s="6">
        <v>11022.0</v>
      </c>
      <c r="B2001" s="7" t="s">
        <v>16</v>
      </c>
      <c r="C2001" s="24" t="str">
        <f>VLOOKUP(revenue[customerID],customers[],2,FALSE)</f>
        <v>Hanari Carnes</v>
      </c>
      <c r="D2001" s="24" t="str">
        <f>VLOOKUP(revenue[customerID],customers[],6,FALSE)</f>
        <v>Rio de Janeiro</v>
      </c>
      <c r="E2001" s="24" t="str">
        <f>VLOOKUP(revenue[customerID],customers[],9,FALSE)</f>
        <v>Brazil</v>
      </c>
      <c r="F2001" s="24">
        <v>45396.0</v>
      </c>
      <c r="G2001" s="6">
        <v>19.0</v>
      </c>
      <c r="H2001" s="9" t="str">
        <f>VLOOKUP(revenue[productID],products[],2,FALSE)</f>
        <v>Teatime Chocolate Biscuits</v>
      </c>
      <c r="I2001" s="9" t="str">
        <f>VLOOKUP(revenue[productID],products[],12,FALSE)</f>
        <v>Confections</v>
      </c>
      <c r="J2001" s="9">
        <f>VLOOKUP(revenue[productID],products[],IF(YEAR(revenue[orderDate])=2022,8,IF(YEAR(revenue[orderDate])=2023,9,IF(YEAR(revenue[orderDate])=2024,10,NA))),FALSE)</f>
        <v>6.769656984</v>
      </c>
      <c r="K2001" s="9">
        <v>9.2</v>
      </c>
      <c r="L2001" s="25">
        <f>(revenue[orderPrice]-revenue[productCost])/revenue[productCost]</f>
        <v>0.3590053413</v>
      </c>
      <c r="M2001" s="10">
        <v>35.0</v>
      </c>
      <c r="N2001" s="25">
        <v>0.0</v>
      </c>
      <c r="O2001" s="9">
        <f>revenue[orderPrice]*revenue[orderQuantity]</f>
        <v>322</v>
      </c>
      <c r="P2001" s="9">
        <f>revenue[orderTotal]*(1-revenue[discountApllied])</f>
        <v>322</v>
      </c>
      <c r="Q2001" s="9">
        <f>revenue[revenue]-(revenue[productCost]*revenue[orderQuantity])</f>
        <v>85.06200556</v>
      </c>
      <c r="R2001" s="25">
        <f>IFERROR(revenue[profit]/revenue[revenue], 0)</f>
        <v>0.2641677191</v>
      </c>
      <c r="S2001" s="9">
        <f>revenue[productCost]*revenue[orderQuantity]</f>
        <v>236.9379944</v>
      </c>
    </row>
    <row r="2002" ht="15.75" customHeight="1">
      <c r="A2002" s="6">
        <v>11022.0</v>
      </c>
      <c r="B2002" s="7" t="s">
        <v>16</v>
      </c>
      <c r="C2002" s="24" t="str">
        <f>VLOOKUP(revenue[customerID],customers[],2,FALSE)</f>
        <v>Hanari Carnes</v>
      </c>
      <c r="D2002" s="24" t="str">
        <f>VLOOKUP(revenue[customerID],customers[],6,FALSE)</f>
        <v>Rio de Janeiro</v>
      </c>
      <c r="E2002" s="24" t="str">
        <f>VLOOKUP(revenue[customerID],customers[],9,FALSE)</f>
        <v>Brazil</v>
      </c>
      <c r="F2002" s="24">
        <v>45396.0</v>
      </c>
      <c r="G2002" s="6">
        <v>69.0</v>
      </c>
      <c r="H2002" s="9" t="str">
        <f>VLOOKUP(revenue[productID],products[],2,FALSE)</f>
        <v>Gudbrandsdalsost</v>
      </c>
      <c r="I2002" s="9" t="str">
        <f>VLOOKUP(revenue[productID],products[],12,FALSE)</f>
        <v>Dairy Products</v>
      </c>
      <c r="J2002" s="9">
        <f>VLOOKUP(revenue[productID],products[],IF(YEAR(revenue[orderDate])=2022,8,IF(YEAR(revenue[orderDate])=2023,9,IF(YEAR(revenue[orderDate])=2024,10,NA))),FALSE)</f>
        <v>24.68292146</v>
      </c>
      <c r="K2002" s="9">
        <v>36.0</v>
      </c>
      <c r="L2002" s="25">
        <f>(revenue[orderPrice]-revenue[productCost])/revenue[productCost]</f>
        <v>0.4584983412</v>
      </c>
      <c r="M2002" s="10">
        <v>30.0</v>
      </c>
      <c r="N2002" s="25">
        <v>0.0</v>
      </c>
      <c r="O2002" s="9">
        <f>revenue[orderPrice]*revenue[orderQuantity]</f>
        <v>1080</v>
      </c>
      <c r="P2002" s="9">
        <f>revenue[orderTotal]*(1-revenue[discountApllied])</f>
        <v>1080</v>
      </c>
      <c r="Q2002" s="9">
        <f>revenue[revenue]-(revenue[productCost]*revenue[orderQuantity])</f>
        <v>339.5123563</v>
      </c>
      <c r="R2002" s="25">
        <f>IFERROR(revenue[profit]/revenue[revenue], 0)</f>
        <v>0.3143632929</v>
      </c>
      <c r="S2002" s="9">
        <f>revenue[productCost]*revenue[orderQuantity]</f>
        <v>740.4876437</v>
      </c>
    </row>
    <row r="2003" ht="15.75" customHeight="1">
      <c r="A2003" s="6">
        <v>11023.0</v>
      </c>
      <c r="B2003" s="7" t="s">
        <v>46</v>
      </c>
      <c r="C2003" s="24" t="str">
        <f>VLOOKUP(revenue[customerID],customers[],2,FALSE)</f>
        <v>B's Beverages</v>
      </c>
      <c r="D2003" s="24" t="str">
        <f>VLOOKUP(revenue[customerID],customers[],6,FALSE)</f>
        <v>London</v>
      </c>
      <c r="E2003" s="24" t="str">
        <f>VLOOKUP(revenue[customerID],customers[],9,FALSE)</f>
        <v>UK</v>
      </c>
      <c r="F2003" s="24">
        <v>45396.0</v>
      </c>
      <c r="G2003" s="6">
        <v>7.0</v>
      </c>
      <c r="H2003" s="9" t="str">
        <f>VLOOKUP(revenue[productID],products[],2,FALSE)</f>
        <v>Uncle Bob's Organic Dried Pears</v>
      </c>
      <c r="I2003" s="9" t="str">
        <f>VLOOKUP(revenue[productID],products[],12,FALSE)</f>
        <v>Produce</v>
      </c>
      <c r="J2003" s="9">
        <f>VLOOKUP(revenue[productID],products[],IF(YEAR(revenue[orderDate])=2022,8,IF(YEAR(revenue[orderDate])=2023,9,IF(YEAR(revenue[orderDate])=2024,10,NA))),FALSE)</f>
        <v>23.52222246</v>
      </c>
      <c r="K2003" s="9">
        <v>30.0</v>
      </c>
      <c r="L2003" s="25">
        <f>(revenue[orderPrice]-revenue[productCost])/revenue[productCost]</f>
        <v>0.2753896894</v>
      </c>
      <c r="M2003" s="10">
        <v>4.0</v>
      </c>
      <c r="N2003" s="25">
        <v>0.0</v>
      </c>
      <c r="O2003" s="9">
        <f>revenue[orderPrice]*revenue[orderQuantity]</f>
        <v>120</v>
      </c>
      <c r="P2003" s="9">
        <f>revenue[orderTotal]*(1-revenue[discountApllied])</f>
        <v>120</v>
      </c>
      <c r="Q2003" s="9">
        <f>revenue[revenue]-(revenue[productCost]*revenue[orderQuantity])</f>
        <v>25.91111015</v>
      </c>
      <c r="R2003" s="25">
        <f>IFERROR(revenue[profit]/revenue[revenue], 0)</f>
        <v>0.2159259179</v>
      </c>
      <c r="S2003" s="9">
        <f>revenue[productCost]*revenue[orderQuantity]</f>
        <v>94.08888985</v>
      </c>
    </row>
    <row r="2004" ht="15.75" customHeight="1">
      <c r="A2004" s="6">
        <v>11023.0</v>
      </c>
      <c r="B2004" s="7" t="s">
        <v>46</v>
      </c>
      <c r="C2004" s="24" t="str">
        <f>VLOOKUP(revenue[customerID],customers[],2,FALSE)</f>
        <v>B's Beverages</v>
      </c>
      <c r="D2004" s="24" t="str">
        <f>VLOOKUP(revenue[customerID],customers[],6,FALSE)</f>
        <v>London</v>
      </c>
      <c r="E2004" s="24" t="str">
        <f>VLOOKUP(revenue[customerID],customers[],9,FALSE)</f>
        <v>UK</v>
      </c>
      <c r="F2004" s="24">
        <v>45396.0</v>
      </c>
      <c r="G2004" s="6">
        <v>43.0</v>
      </c>
      <c r="H2004" s="9" t="str">
        <f>VLOOKUP(revenue[productID],products[],2,FALSE)</f>
        <v>Ipoh Coffee</v>
      </c>
      <c r="I2004" s="9" t="str">
        <f>VLOOKUP(revenue[productID],products[],12,FALSE)</f>
        <v>Beverages</v>
      </c>
      <c r="J2004" s="9">
        <f>VLOOKUP(revenue[productID],products[],IF(YEAR(revenue[orderDate])=2022,8,IF(YEAR(revenue[orderDate])=2023,9,IF(YEAR(revenue[orderDate])=2024,10,NA))),FALSE)</f>
        <v>30.97984738</v>
      </c>
      <c r="K2004" s="9">
        <v>46.0</v>
      </c>
      <c r="L2004" s="25">
        <f>(revenue[orderPrice]-revenue[productCost])/revenue[productCost]</f>
        <v>0.484836237</v>
      </c>
      <c r="M2004" s="10">
        <v>30.0</v>
      </c>
      <c r="N2004" s="25">
        <v>0.0</v>
      </c>
      <c r="O2004" s="9">
        <f>revenue[orderPrice]*revenue[orderQuantity]</f>
        <v>1380</v>
      </c>
      <c r="P2004" s="9">
        <f>revenue[orderTotal]*(1-revenue[discountApllied])</f>
        <v>1380</v>
      </c>
      <c r="Q2004" s="9">
        <f>revenue[revenue]-(revenue[productCost]*revenue[orderQuantity])</f>
        <v>450.6045787</v>
      </c>
      <c r="R2004" s="25">
        <f>IFERROR(revenue[profit]/revenue[revenue], 0)</f>
        <v>0.3265250571</v>
      </c>
      <c r="S2004" s="9">
        <f>revenue[productCost]*revenue[orderQuantity]</f>
        <v>929.3954213</v>
      </c>
    </row>
    <row r="2005" ht="15.75" customHeight="1">
      <c r="A2005" s="6">
        <v>11024.0</v>
      </c>
      <c r="B2005" s="7" t="s">
        <v>73</v>
      </c>
      <c r="C2005" s="24" t="str">
        <f>VLOOKUP(revenue[customerID],customers[],2,FALSE)</f>
        <v>Eastern Connection</v>
      </c>
      <c r="D2005" s="24" t="str">
        <f>VLOOKUP(revenue[customerID],customers[],6,FALSE)</f>
        <v>London</v>
      </c>
      <c r="E2005" s="24" t="str">
        <f>VLOOKUP(revenue[customerID],customers[],9,FALSE)</f>
        <v>UK</v>
      </c>
      <c r="F2005" s="24">
        <v>45397.0</v>
      </c>
      <c r="G2005" s="6">
        <v>26.0</v>
      </c>
      <c r="H2005" s="9" t="str">
        <f>VLOOKUP(revenue[productID],products[],2,FALSE)</f>
        <v>NuNuCa Nuß-Nougat-Creme</v>
      </c>
      <c r="I2005" s="9" t="str">
        <f>VLOOKUP(revenue[productID],products[],12,FALSE)</f>
        <v>Confections</v>
      </c>
      <c r="J2005" s="9">
        <f>VLOOKUP(revenue[productID],products[],IF(YEAR(revenue[orderDate])=2022,8,IF(YEAR(revenue[orderDate])=2023,9,IF(YEAR(revenue[orderDate])=2024,10,NA))),FALSE)</f>
        <v>22.79977195</v>
      </c>
      <c r="K2005" s="9">
        <v>31.23</v>
      </c>
      <c r="L2005" s="25">
        <f>(revenue[orderPrice]-revenue[productCost])/revenue[productCost]</f>
        <v>0.3697505427</v>
      </c>
      <c r="M2005" s="10">
        <v>12.0</v>
      </c>
      <c r="N2005" s="25">
        <v>0.0</v>
      </c>
      <c r="O2005" s="9">
        <f>revenue[orderPrice]*revenue[orderQuantity]</f>
        <v>374.76</v>
      </c>
      <c r="P2005" s="9">
        <f>revenue[orderTotal]*(1-revenue[discountApllied])</f>
        <v>374.76</v>
      </c>
      <c r="Q2005" s="9">
        <f>revenue[revenue]-(revenue[productCost]*revenue[orderQuantity])</f>
        <v>101.1627366</v>
      </c>
      <c r="R2005" s="25">
        <f>IFERROR(revenue[profit]/revenue[revenue], 0)</f>
        <v>0.2699400593</v>
      </c>
      <c r="S2005" s="9">
        <f>revenue[productCost]*revenue[orderQuantity]</f>
        <v>273.5972634</v>
      </c>
    </row>
    <row r="2006" ht="15.75" customHeight="1">
      <c r="A2006" s="6">
        <v>11024.0</v>
      </c>
      <c r="B2006" s="7" t="s">
        <v>73</v>
      </c>
      <c r="C2006" s="24" t="str">
        <f>VLOOKUP(revenue[customerID],customers[],2,FALSE)</f>
        <v>Eastern Connection</v>
      </c>
      <c r="D2006" s="24" t="str">
        <f>VLOOKUP(revenue[customerID],customers[],6,FALSE)</f>
        <v>London</v>
      </c>
      <c r="E2006" s="24" t="str">
        <f>VLOOKUP(revenue[customerID],customers[],9,FALSE)</f>
        <v>UK</v>
      </c>
      <c r="F2006" s="24">
        <v>45397.0</v>
      </c>
      <c r="G2006" s="6">
        <v>33.0</v>
      </c>
      <c r="H2006" s="9" t="str">
        <f>VLOOKUP(revenue[productID],products[],2,FALSE)</f>
        <v>Geitost</v>
      </c>
      <c r="I2006" s="9" t="str">
        <f>VLOOKUP(revenue[productID],products[],12,FALSE)</f>
        <v>Dairy Products</v>
      </c>
      <c r="J2006" s="9">
        <f>VLOOKUP(revenue[productID],products[],IF(YEAR(revenue[orderDate])=2022,8,IF(YEAR(revenue[orderDate])=2023,9,IF(YEAR(revenue[orderDate])=2024,10,NA))),FALSE)</f>
        <v>1.670163437</v>
      </c>
      <c r="K2006" s="9">
        <v>2.5</v>
      </c>
      <c r="L2006" s="25">
        <f>(revenue[orderPrice]-revenue[productCost])/revenue[productCost]</f>
        <v>0.4968594957</v>
      </c>
      <c r="M2006" s="10">
        <v>30.0</v>
      </c>
      <c r="N2006" s="25">
        <v>0.0</v>
      </c>
      <c r="O2006" s="9">
        <f>revenue[orderPrice]*revenue[orderQuantity]</f>
        <v>75</v>
      </c>
      <c r="P2006" s="9">
        <f>revenue[orderTotal]*(1-revenue[discountApllied])</f>
        <v>75</v>
      </c>
      <c r="Q2006" s="9">
        <f>revenue[revenue]-(revenue[productCost]*revenue[orderQuantity])</f>
        <v>24.89509689</v>
      </c>
      <c r="R2006" s="25">
        <f>IFERROR(revenue[profit]/revenue[revenue], 0)</f>
        <v>0.3319346252</v>
      </c>
      <c r="S2006" s="9">
        <f>revenue[productCost]*revenue[orderQuantity]</f>
        <v>50.10490311</v>
      </c>
    </row>
    <row r="2007" ht="15.75" customHeight="1">
      <c r="A2007" s="6">
        <v>11024.0</v>
      </c>
      <c r="B2007" s="7" t="s">
        <v>73</v>
      </c>
      <c r="C2007" s="24" t="str">
        <f>VLOOKUP(revenue[customerID],customers[],2,FALSE)</f>
        <v>Eastern Connection</v>
      </c>
      <c r="D2007" s="24" t="str">
        <f>VLOOKUP(revenue[customerID],customers[],6,FALSE)</f>
        <v>London</v>
      </c>
      <c r="E2007" s="24" t="str">
        <f>VLOOKUP(revenue[customerID],customers[],9,FALSE)</f>
        <v>UK</v>
      </c>
      <c r="F2007" s="24">
        <v>45397.0</v>
      </c>
      <c r="G2007" s="6">
        <v>65.0</v>
      </c>
      <c r="H2007" s="9" t="str">
        <f>VLOOKUP(revenue[productID],products[],2,FALSE)</f>
        <v>Louisiana Fiery Hot Pepper Sauce</v>
      </c>
      <c r="I2007" s="9" t="str">
        <f>VLOOKUP(revenue[productID],products[],12,FALSE)</f>
        <v>Condiments</v>
      </c>
      <c r="J2007" s="9">
        <f>VLOOKUP(revenue[productID],products[],IF(YEAR(revenue[orderDate])=2022,8,IF(YEAR(revenue[orderDate])=2023,9,IF(YEAR(revenue[orderDate])=2024,10,NA))),FALSE)</f>
        <v>14.50738168</v>
      </c>
      <c r="K2007" s="9">
        <v>21.05</v>
      </c>
      <c r="L2007" s="25">
        <f>(revenue[orderPrice]-revenue[productCost])/revenue[productCost]</f>
        <v>0.4509854685</v>
      </c>
      <c r="M2007" s="10">
        <v>21.0</v>
      </c>
      <c r="N2007" s="25">
        <v>0.0</v>
      </c>
      <c r="O2007" s="9">
        <f>revenue[orderPrice]*revenue[orderQuantity]</f>
        <v>442.05</v>
      </c>
      <c r="P2007" s="9">
        <f>revenue[orderTotal]*(1-revenue[discountApllied])</f>
        <v>442.05</v>
      </c>
      <c r="Q2007" s="9">
        <f>revenue[revenue]-(revenue[productCost]*revenue[orderQuantity])</f>
        <v>137.3949848</v>
      </c>
      <c r="R2007" s="25">
        <f>IFERROR(revenue[profit]/revenue[revenue], 0)</f>
        <v>0.310813222</v>
      </c>
      <c r="S2007" s="9">
        <f>revenue[productCost]*revenue[orderQuantity]</f>
        <v>304.6550152</v>
      </c>
    </row>
    <row r="2008" ht="15.75" customHeight="1">
      <c r="A2008" s="6">
        <v>11024.0</v>
      </c>
      <c r="B2008" s="7" t="s">
        <v>73</v>
      </c>
      <c r="C2008" s="24" t="str">
        <f>VLOOKUP(revenue[customerID],customers[],2,FALSE)</f>
        <v>Eastern Connection</v>
      </c>
      <c r="D2008" s="24" t="str">
        <f>VLOOKUP(revenue[customerID],customers[],6,FALSE)</f>
        <v>London</v>
      </c>
      <c r="E2008" s="24" t="str">
        <f>VLOOKUP(revenue[customerID],customers[],9,FALSE)</f>
        <v>UK</v>
      </c>
      <c r="F2008" s="24">
        <v>45397.0</v>
      </c>
      <c r="G2008" s="6">
        <v>71.0</v>
      </c>
      <c r="H2008" s="9" t="str">
        <f>VLOOKUP(revenue[productID],products[],2,FALSE)</f>
        <v>Flotemysost</v>
      </c>
      <c r="I2008" s="9" t="str">
        <f>VLOOKUP(revenue[productID],products[],12,FALSE)</f>
        <v>Dairy Products</v>
      </c>
      <c r="J2008" s="9">
        <f>VLOOKUP(revenue[productID],products[],IF(YEAR(revenue[orderDate])=2022,8,IF(YEAR(revenue[orderDate])=2023,9,IF(YEAR(revenue[orderDate])=2024,10,NA))),FALSE)</f>
        <v>14.20977576</v>
      </c>
      <c r="K2008" s="9">
        <v>21.5</v>
      </c>
      <c r="L2008" s="25">
        <f>(revenue[orderPrice]-revenue[productCost])/revenue[productCost]</f>
        <v>0.5130428769</v>
      </c>
      <c r="M2008" s="10">
        <v>50.0</v>
      </c>
      <c r="N2008" s="25">
        <v>0.0</v>
      </c>
      <c r="O2008" s="9">
        <f>revenue[orderPrice]*revenue[orderQuantity]</f>
        <v>1075</v>
      </c>
      <c r="P2008" s="9">
        <f>revenue[orderTotal]*(1-revenue[discountApllied])</f>
        <v>1075</v>
      </c>
      <c r="Q2008" s="9">
        <f>revenue[revenue]-(revenue[productCost]*revenue[orderQuantity])</f>
        <v>364.5112119</v>
      </c>
      <c r="R2008" s="25">
        <f>IFERROR(revenue[profit]/revenue[revenue], 0)</f>
        <v>0.3390801971</v>
      </c>
      <c r="S2008" s="9">
        <f>revenue[productCost]*revenue[orderQuantity]</f>
        <v>710.4887881</v>
      </c>
    </row>
    <row r="2009" ht="15.75" customHeight="1">
      <c r="A2009" s="6">
        <v>11025.0</v>
      </c>
      <c r="B2009" s="7" t="s">
        <v>31</v>
      </c>
      <c r="C2009" s="24" t="str">
        <f>VLOOKUP(revenue[customerID],customers[],2,FALSE)</f>
        <v>Wartian Herkku</v>
      </c>
      <c r="D2009" s="24" t="str">
        <f>VLOOKUP(revenue[customerID],customers[],6,FALSE)</f>
        <v>Oulu</v>
      </c>
      <c r="E2009" s="24" t="str">
        <f>VLOOKUP(revenue[customerID],customers[],9,FALSE)</f>
        <v>Finland</v>
      </c>
      <c r="F2009" s="24">
        <v>45397.0</v>
      </c>
      <c r="G2009" s="6">
        <v>1.0</v>
      </c>
      <c r="H2009" s="9" t="str">
        <f>VLOOKUP(revenue[productID],products[],2,FALSE)</f>
        <v>Chai</v>
      </c>
      <c r="I2009" s="9" t="str">
        <f>VLOOKUP(revenue[productID],products[],12,FALSE)</f>
        <v>Beverages</v>
      </c>
      <c r="J2009" s="9">
        <f>VLOOKUP(revenue[productID],products[],IF(YEAR(revenue[orderDate])=2022,8,IF(YEAR(revenue[orderDate])=2023,9,IF(YEAR(revenue[orderDate])=2024,10,NA))),FALSE)</f>
        <v>12.17757454</v>
      </c>
      <c r="K2009" s="9">
        <v>18.0</v>
      </c>
      <c r="L2009" s="25">
        <f>(revenue[orderPrice]-revenue[productCost])/revenue[productCost]</f>
        <v>0.4781268584</v>
      </c>
      <c r="M2009" s="10">
        <v>10.0</v>
      </c>
      <c r="N2009" s="25">
        <v>0.1</v>
      </c>
      <c r="O2009" s="9">
        <f>revenue[orderPrice]*revenue[orderQuantity]</f>
        <v>180</v>
      </c>
      <c r="P2009" s="9">
        <f>revenue[orderTotal]*(1-revenue[discountApllied])</f>
        <v>162</v>
      </c>
      <c r="Q2009" s="9">
        <f>revenue[revenue]-(revenue[productCost]*revenue[orderQuantity])</f>
        <v>40.22425458</v>
      </c>
      <c r="R2009" s="25">
        <f>IFERROR(revenue[profit]/revenue[revenue], 0)</f>
        <v>0.2482978678</v>
      </c>
      <c r="S2009" s="9">
        <f>revenue[productCost]*revenue[orderQuantity]</f>
        <v>121.7757454</v>
      </c>
    </row>
    <row r="2010" ht="15.75" customHeight="1">
      <c r="A2010" s="6">
        <v>11025.0</v>
      </c>
      <c r="B2010" s="7" t="s">
        <v>31</v>
      </c>
      <c r="C2010" s="24" t="str">
        <f>VLOOKUP(revenue[customerID],customers[],2,FALSE)</f>
        <v>Wartian Herkku</v>
      </c>
      <c r="D2010" s="24" t="str">
        <f>VLOOKUP(revenue[customerID],customers[],6,FALSE)</f>
        <v>Oulu</v>
      </c>
      <c r="E2010" s="24" t="str">
        <f>VLOOKUP(revenue[customerID],customers[],9,FALSE)</f>
        <v>Finland</v>
      </c>
      <c r="F2010" s="24">
        <v>45397.0</v>
      </c>
      <c r="G2010" s="6">
        <v>13.0</v>
      </c>
      <c r="H2010" s="9" t="str">
        <f>VLOOKUP(revenue[productID],products[],2,FALSE)</f>
        <v>Konbu</v>
      </c>
      <c r="I2010" s="9" t="str">
        <f>VLOOKUP(revenue[productID],products[],12,FALSE)</f>
        <v>Seafood</v>
      </c>
      <c r="J2010" s="9">
        <f>VLOOKUP(revenue[productID],products[],IF(YEAR(revenue[orderDate])=2022,8,IF(YEAR(revenue[orderDate])=2023,9,IF(YEAR(revenue[orderDate])=2024,10,NA))),FALSE)</f>
        <v>3.966387047</v>
      </c>
      <c r="K2010" s="9">
        <v>6.0</v>
      </c>
      <c r="L2010" s="25">
        <f>(revenue[orderPrice]-revenue[productCost])/revenue[productCost]</f>
        <v>0.5127116768</v>
      </c>
      <c r="M2010" s="10">
        <v>20.0</v>
      </c>
      <c r="N2010" s="25">
        <v>0.1</v>
      </c>
      <c r="O2010" s="9">
        <f>revenue[orderPrice]*revenue[orderQuantity]</f>
        <v>120</v>
      </c>
      <c r="P2010" s="9">
        <f>revenue[orderTotal]*(1-revenue[discountApllied])</f>
        <v>108</v>
      </c>
      <c r="Q2010" s="9">
        <f>revenue[revenue]-(revenue[productCost]*revenue[orderQuantity])</f>
        <v>28.67225907</v>
      </c>
      <c r="R2010" s="25">
        <f>IFERROR(revenue[profit]/revenue[revenue], 0)</f>
        <v>0.2654838803</v>
      </c>
      <c r="S2010" s="9">
        <f>revenue[productCost]*revenue[orderQuantity]</f>
        <v>79.32774093</v>
      </c>
    </row>
    <row r="2011" ht="15.75" customHeight="1">
      <c r="A2011" s="6">
        <v>11026.0</v>
      </c>
      <c r="B2011" s="7" t="s">
        <v>85</v>
      </c>
      <c r="C2011" s="24" t="str">
        <f>VLOOKUP(revenue[customerID],customers[],2,FALSE)</f>
        <v>Franchi S.p.A.</v>
      </c>
      <c r="D2011" s="24" t="str">
        <f>VLOOKUP(revenue[customerID],customers[],6,FALSE)</f>
        <v>Torino</v>
      </c>
      <c r="E2011" s="24" t="str">
        <f>VLOOKUP(revenue[customerID],customers[],9,FALSE)</f>
        <v>Italy</v>
      </c>
      <c r="F2011" s="24">
        <v>45397.0</v>
      </c>
      <c r="G2011" s="6">
        <v>18.0</v>
      </c>
      <c r="H2011" s="9" t="str">
        <f>VLOOKUP(revenue[productID],products[],2,FALSE)</f>
        <v>Carnarvon Tigers</v>
      </c>
      <c r="I2011" s="9" t="str">
        <f>VLOOKUP(revenue[productID],products[],12,FALSE)</f>
        <v>Seafood</v>
      </c>
      <c r="J2011" s="9">
        <f>VLOOKUP(revenue[productID],products[],IF(YEAR(revenue[orderDate])=2022,8,IF(YEAR(revenue[orderDate])=2023,9,IF(YEAR(revenue[orderDate])=2024,10,NA))),FALSE)</f>
        <v>41.27004985</v>
      </c>
      <c r="K2011" s="9">
        <v>62.5</v>
      </c>
      <c r="L2011" s="25">
        <f>(revenue[orderPrice]-revenue[productCost])/revenue[productCost]</f>
        <v>0.5144154231</v>
      </c>
      <c r="M2011" s="10">
        <v>8.0</v>
      </c>
      <c r="N2011" s="25">
        <v>0.0</v>
      </c>
      <c r="O2011" s="9">
        <f>revenue[orderPrice]*revenue[orderQuantity]</f>
        <v>500</v>
      </c>
      <c r="P2011" s="9">
        <f>revenue[orderTotal]*(1-revenue[discountApllied])</f>
        <v>500</v>
      </c>
      <c r="Q2011" s="9">
        <f>revenue[revenue]-(revenue[productCost]*revenue[orderQuantity])</f>
        <v>169.8396012</v>
      </c>
      <c r="R2011" s="25">
        <f>IFERROR(revenue[profit]/revenue[revenue], 0)</f>
        <v>0.3396792025</v>
      </c>
      <c r="S2011" s="9">
        <f>revenue[productCost]*revenue[orderQuantity]</f>
        <v>330.1603988</v>
      </c>
    </row>
    <row r="2012" ht="15.75" customHeight="1">
      <c r="A2012" s="6">
        <v>11026.0</v>
      </c>
      <c r="B2012" s="7" t="s">
        <v>85</v>
      </c>
      <c r="C2012" s="24" t="str">
        <f>VLOOKUP(revenue[customerID],customers[],2,FALSE)</f>
        <v>Franchi S.p.A.</v>
      </c>
      <c r="D2012" s="24" t="str">
        <f>VLOOKUP(revenue[customerID],customers[],6,FALSE)</f>
        <v>Torino</v>
      </c>
      <c r="E2012" s="24" t="str">
        <f>VLOOKUP(revenue[customerID],customers[],9,FALSE)</f>
        <v>Italy</v>
      </c>
      <c r="F2012" s="24">
        <v>45397.0</v>
      </c>
      <c r="G2012" s="6">
        <v>51.0</v>
      </c>
      <c r="H2012" s="9" t="str">
        <f>VLOOKUP(revenue[productID],products[],2,FALSE)</f>
        <v>Manjimup Dried Apples</v>
      </c>
      <c r="I2012" s="9" t="str">
        <f>VLOOKUP(revenue[productID],products[],12,FALSE)</f>
        <v>Produce</v>
      </c>
      <c r="J2012" s="9">
        <f>VLOOKUP(revenue[productID],products[],IF(YEAR(revenue[orderDate])=2022,8,IF(YEAR(revenue[orderDate])=2023,9,IF(YEAR(revenue[orderDate])=2024,10,NA))),FALSE)</f>
        <v>39.51416462</v>
      </c>
      <c r="K2012" s="9">
        <v>53.0</v>
      </c>
      <c r="L2012" s="25">
        <f>(revenue[orderPrice]-revenue[productCost])/revenue[productCost]</f>
        <v>0.3412911677</v>
      </c>
      <c r="M2012" s="10">
        <v>10.0</v>
      </c>
      <c r="N2012" s="25">
        <v>0.0</v>
      </c>
      <c r="O2012" s="9">
        <f>revenue[orderPrice]*revenue[orderQuantity]</f>
        <v>530</v>
      </c>
      <c r="P2012" s="9">
        <f>revenue[orderTotal]*(1-revenue[discountApllied])</f>
        <v>530</v>
      </c>
      <c r="Q2012" s="9">
        <f>revenue[revenue]-(revenue[productCost]*revenue[orderQuantity])</f>
        <v>134.8583538</v>
      </c>
      <c r="R2012" s="25">
        <f>IFERROR(revenue[profit]/revenue[revenue], 0)</f>
        <v>0.2544497242</v>
      </c>
      <c r="S2012" s="9">
        <f>revenue[productCost]*revenue[orderQuantity]</f>
        <v>395.1416462</v>
      </c>
    </row>
    <row r="2013" ht="15.75" customHeight="1">
      <c r="A2013" s="6">
        <v>11027.0</v>
      </c>
      <c r="B2013" s="7" t="s">
        <v>81</v>
      </c>
      <c r="C2013" s="24" t="str">
        <f>VLOOKUP(revenue[customerID],customers[],2,FALSE)</f>
        <v>Bottom-Dollar Markets</v>
      </c>
      <c r="D2013" s="24" t="str">
        <f>VLOOKUP(revenue[customerID],customers[],6,FALSE)</f>
        <v>Tsawassen</v>
      </c>
      <c r="E2013" s="24" t="str">
        <f>VLOOKUP(revenue[customerID],customers[],9,FALSE)</f>
        <v>Canada</v>
      </c>
      <c r="F2013" s="24">
        <v>45398.0</v>
      </c>
      <c r="G2013" s="6">
        <v>24.0</v>
      </c>
      <c r="H2013" s="9" t="str">
        <f>VLOOKUP(revenue[productID],products[],2,FALSE)</f>
        <v>Brigadeiros Maravilhosos da Lilian</v>
      </c>
      <c r="I2013" s="9" t="str">
        <f>VLOOKUP(revenue[productID],products[],12,FALSE)</f>
        <v>Confections</v>
      </c>
      <c r="J2013" s="9">
        <f>VLOOKUP(revenue[productID],products[],IF(YEAR(revenue[orderDate])=2022,8,IF(YEAR(revenue[orderDate])=2023,9,IF(YEAR(revenue[orderDate])=2024,10,NA))),FALSE)</f>
        <v>3.177326315</v>
      </c>
      <c r="K2013" s="9">
        <v>4.5</v>
      </c>
      <c r="L2013" s="25">
        <f>(revenue[orderPrice]-revenue[productCost])/revenue[productCost]</f>
        <v>0.416285126</v>
      </c>
      <c r="M2013" s="10">
        <v>30.0</v>
      </c>
      <c r="N2013" s="25">
        <v>0.25</v>
      </c>
      <c r="O2013" s="9">
        <f>revenue[orderPrice]*revenue[orderQuantity]</f>
        <v>135</v>
      </c>
      <c r="P2013" s="9">
        <f>revenue[orderTotal]*(1-revenue[discountApllied])</f>
        <v>101.25</v>
      </c>
      <c r="Q2013" s="9">
        <f>revenue[revenue]-(revenue[productCost]*revenue[orderQuantity])</f>
        <v>5.930210559</v>
      </c>
      <c r="R2013" s="25">
        <f>IFERROR(revenue[profit]/revenue[revenue], 0)</f>
        <v>0.05856998083</v>
      </c>
      <c r="S2013" s="9">
        <f>revenue[productCost]*revenue[orderQuantity]</f>
        <v>95.31978944</v>
      </c>
    </row>
    <row r="2014" ht="15.75" customHeight="1">
      <c r="A2014" s="6">
        <v>11027.0</v>
      </c>
      <c r="B2014" s="7" t="s">
        <v>81</v>
      </c>
      <c r="C2014" s="24" t="str">
        <f>VLOOKUP(revenue[customerID],customers[],2,FALSE)</f>
        <v>Bottom-Dollar Markets</v>
      </c>
      <c r="D2014" s="24" t="str">
        <f>VLOOKUP(revenue[customerID],customers[],6,FALSE)</f>
        <v>Tsawassen</v>
      </c>
      <c r="E2014" s="24" t="str">
        <f>VLOOKUP(revenue[customerID],customers[],9,FALSE)</f>
        <v>Canada</v>
      </c>
      <c r="F2014" s="24">
        <v>45398.0</v>
      </c>
      <c r="G2014" s="6">
        <v>62.0</v>
      </c>
      <c r="H2014" s="9" t="str">
        <f>VLOOKUP(revenue[productID],products[],2,FALSE)</f>
        <v>Tarte au sucre</v>
      </c>
      <c r="I2014" s="9" t="str">
        <f>VLOOKUP(revenue[productID],products[],12,FALSE)</f>
        <v>Confections</v>
      </c>
      <c r="J2014" s="9">
        <f>VLOOKUP(revenue[productID],products[],IF(YEAR(revenue[orderDate])=2022,8,IF(YEAR(revenue[orderDate])=2023,9,IF(YEAR(revenue[orderDate])=2024,10,NA))),FALSE)</f>
        <v>34.88145014</v>
      </c>
      <c r="K2014" s="9">
        <v>49.3</v>
      </c>
      <c r="L2014" s="25">
        <f>(revenue[orderPrice]-revenue[productCost])/revenue[productCost]</f>
        <v>0.4133586705</v>
      </c>
      <c r="M2014" s="10">
        <v>21.0</v>
      </c>
      <c r="N2014" s="25">
        <v>0.25</v>
      </c>
      <c r="O2014" s="9">
        <f>revenue[orderPrice]*revenue[orderQuantity]</f>
        <v>1035.3</v>
      </c>
      <c r="P2014" s="9">
        <f>revenue[orderTotal]*(1-revenue[discountApllied])</f>
        <v>776.475</v>
      </c>
      <c r="Q2014" s="9">
        <f>revenue[revenue]-(revenue[productCost]*revenue[orderQuantity])</f>
        <v>43.96454699</v>
      </c>
      <c r="R2014" s="25">
        <f>IFERROR(revenue[profit]/revenue[revenue], 0)</f>
        <v>0.05662068578</v>
      </c>
      <c r="S2014" s="9">
        <f>revenue[productCost]*revenue[orderQuantity]</f>
        <v>732.510453</v>
      </c>
    </row>
    <row r="2015" ht="15.75" customHeight="1">
      <c r="A2015" s="6">
        <v>11028.0</v>
      </c>
      <c r="B2015" s="7" t="s">
        <v>59</v>
      </c>
      <c r="C2015" s="24" t="str">
        <f>VLOOKUP(revenue[customerID],customers[],2,FALSE)</f>
        <v>Königlich Essen</v>
      </c>
      <c r="D2015" s="24" t="str">
        <f>VLOOKUP(revenue[customerID],customers[],6,FALSE)</f>
        <v>Brandenburg</v>
      </c>
      <c r="E2015" s="24" t="str">
        <f>VLOOKUP(revenue[customerID],customers[],9,FALSE)</f>
        <v>Germany</v>
      </c>
      <c r="F2015" s="24">
        <v>45398.0</v>
      </c>
      <c r="G2015" s="6">
        <v>55.0</v>
      </c>
      <c r="H2015" s="9" t="str">
        <f>VLOOKUP(revenue[productID],products[],2,FALSE)</f>
        <v>Pâté chinois</v>
      </c>
      <c r="I2015" s="9" t="str">
        <f>VLOOKUP(revenue[productID],products[],12,FALSE)</f>
        <v>Meat/Poultry</v>
      </c>
      <c r="J2015" s="9">
        <f>VLOOKUP(revenue[productID],products[],IF(YEAR(revenue[orderDate])=2022,8,IF(YEAR(revenue[orderDate])=2023,9,IF(YEAR(revenue[orderDate])=2024,10,NA))),FALSE)</f>
        <v>16.95998522</v>
      </c>
      <c r="K2015" s="9">
        <v>24.0</v>
      </c>
      <c r="L2015" s="25">
        <f>(revenue[orderPrice]-revenue[productCost])/revenue[productCost]</f>
        <v>0.4150955727</v>
      </c>
      <c r="M2015" s="10">
        <v>35.0</v>
      </c>
      <c r="N2015" s="25">
        <v>0.0</v>
      </c>
      <c r="O2015" s="9">
        <f>revenue[orderPrice]*revenue[orderQuantity]</f>
        <v>840</v>
      </c>
      <c r="P2015" s="9">
        <f>revenue[orderTotal]*(1-revenue[discountApllied])</f>
        <v>840</v>
      </c>
      <c r="Q2015" s="9">
        <f>revenue[revenue]-(revenue[productCost]*revenue[orderQuantity])</f>
        <v>246.4005173</v>
      </c>
      <c r="R2015" s="25">
        <f>IFERROR(revenue[profit]/revenue[revenue], 0)</f>
        <v>0.2933339491</v>
      </c>
      <c r="S2015" s="9">
        <f>revenue[productCost]*revenue[orderQuantity]</f>
        <v>593.5994827</v>
      </c>
    </row>
    <row r="2016" ht="15.75" customHeight="1">
      <c r="A2016" s="6">
        <v>11028.0</v>
      </c>
      <c r="B2016" s="7" t="s">
        <v>59</v>
      </c>
      <c r="C2016" s="24" t="str">
        <f>VLOOKUP(revenue[customerID],customers[],2,FALSE)</f>
        <v>Königlich Essen</v>
      </c>
      <c r="D2016" s="24" t="str">
        <f>VLOOKUP(revenue[customerID],customers[],6,FALSE)</f>
        <v>Brandenburg</v>
      </c>
      <c r="E2016" s="24" t="str">
        <f>VLOOKUP(revenue[customerID],customers[],9,FALSE)</f>
        <v>Germany</v>
      </c>
      <c r="F2016" s="24">
        <v>45398.0</v>
      </c>
      <c r="G2016" s="6">
        <v>59.0</v>
      </c>
      <c r="H2016" s="9" t="str">
        <f>VLOOKUP(revenue[productID],products[],2,FALSE)</f>
        <v>Raclette Courdavault</v>
      </c>
      <c r="I2016" s="9" t="str">
        <f>VLOOKUP(revenue[productID],products[],12,FALSE)</f>
        <v>Dairy Products</v>
      </c>
      <c r="J2016" s="9">
        <f>VLOOKUP(revenue[productID],products[],IF(YEAR(revenue[orderDate])=2022,8,IF(YEAR(revenue[orderDate])=2023,9,IF(YEAR(revenue[orderDate])=2024,10,NA))),FALSE)</f>
        <v>36.74863711</v>
      </c>
      <c r="K2016" s="9">
        <v>55.0</v>
      </c>
      <c r="L2016" s="25">
        <f>(revenue[orderPrice]-revenue[productCost])/revenue[productCost]</f>
        <v>0.4966541435</v>
      </c>
      <c r="M2016" s="10">
        <v>24.0</v>
      </c>
      <c r="N2016" s="25">
        <v>0.0</v>
      </c>
      <c r="O2016" s="9">
        <f>revenue[orderPrice]*revenue[orderQuantity]</f>
        <v>1320</v>
      </c>
      <c r="P2016" s="9">
        <f>revenue[orderTotal]*(1-revenue[discountApllied])</f>
        <v>1320</v>
      </c>
      <c r="Q2016" s="9">
        <f>revenue[revenue]-(revenue[productCost]*revenue[orderQuantity])</f>
        <v>438.0327094</v>
      </c>
      <c r="R2016" s="25">
        <f>IFERROR(revenue[profit]/revenue[revenue], 0)</f>
        <v>0.3318429616</v>
      </c>
      <c r="S2016" s="9">
        <f>revenue[productCost]*revenue[orderQuantity]</f>
        <v>881.9672906</v>
      </c>
    </row>
    <row r="2017" ht="15.75" customHeight="1">
      <c r="A2017" s="6">
        <v>11029.0</v>
      </c>
      <c r="B2017" s="7" t="s">
        <v>20</v>
      </c>
      <c r="C2017" s="24" t="str">
        <f>VLOOKUP(revenue[customerID],customers[],2,FALSE)</f>
        <v>Chop-suey Chinese</v>
      </c>
      <c r="D2017" s="24" t="str">
        <f>VLOOKUP(revenue[customerID],customers[],6,FALSE)</f>
        <v>Bern</v>
      </c>
      <c r="E2017" s="24" t="str">
        <f>VLOOKUP(revenue[customerID],customers[],9,FALSE)</f>
        <v>Switzerland</v>
      </c>
      <c r="F2017" s="24">
        <v>45398.0</v>
      </c>
      <c r="G2017" s="6">
        <v>56.0</v>
      </c>
      <c r="H2017" s="9" t="str">
        <f>VLOOKUP(revenue[productID],products[],2,FALSE)</f>
        <v>Gnocchi di nonna Alice</v>
      </c>
      <c r="I2017" s="9" t="str">
        <f>VLOOKUP(revenue[productID],products[],12,FALSE)</f>
        <v>Grains/Cereals</v>
      </c>
      <c r="J2017" s="9">
        <f>VLOOKUP(revenue[productID],products[],IF(YEAR(revenue[orderDate])=2022,8,IF(YEAR(revenue[orderDate])=2023,9,IF(YEAR(revenue[orderDate])=2024,10,NA))),FALSE)</f>
        <v>27.53915851</v>
      </c>
      <c r="K2017" s="9">
        <v>38.0</v>
      </c>
      <c r="L2017" s="25">
        <f>(revenue[orderPrice]-revenue[productCost])/revenue[productCost]</f>
        <v>0.3798533452</v>
      </c>
      <c r="M2017" s="10">
        <v>20.0</v>
      </c>
      <c r="N2017" s="25">
        <v>0.0</v>
      </c>
      <c r="O2017" s="9">
        <f>revenue[orderPrice]*revenue[orderQuantity]</f>
        <v>760</v>
      </c>
      <c r="P2017" s="9">
        <f>revenue[orderTotal]*(1-revenue[discountApllied])</f>
        <v>760</v>
      </c>
      <c r="Q2017" s="9">
        <f>revenue[revenue]-(revenue[productCost]*revenue[orderQuantity])</f>
        <v>209.2168297</v>
      </c>
      <c r="R2017" s="25">
        <f>IFERROR(revenue[profit]/revenue[revenue], 0)</f>
        <v>0.2752853023</v>
      </c>
      <c r="S2017" s="9">
        <f>revenue[productCost]*revenue[orderQuantity]</f>
        <v>550.7831703</v>
      </c>
    </row>
    <row r="2018" ht="15.75" customHeight="1">
      <c r="A2018" s="6">
        <v>11029.0</v>
      </c>
      <c r="B2018" s="7" t="s">
        <v>20</v>
      </c>
      <c r="C2018" s="24" t="str">
        <f>VLOOKUP(revenue[customerID],customers[],2,FALSE)</f>
        <v>Chop-suey Chinese</v>
      </c>
      <c r="D2018" s="24" t="str">
        <f>VLOOKUP(revenue[customerID],customers[],6,FALSE)</f>
        <v>Bern</v>
      </c>
      <c r="E2018" s="24" t="str">
        <f>VLOOKUP(revenue[customerID],customers[],9,FALSE)</f>
        <v>Switzerland</v>
      </c>
      <c r="F2018" s="24">
        <v>45398.0</v>
      </c>
      <c r="G2018" s="6">
        <v>63.0</v>
      </c>
      <c r="H2018" s="9" t="str">
        <f>VLOOKUP(revenue[productID],products[],2,FALSE)</f>
        <v>Vegie-spread</v>
      </c>
      <c r="I2018" s="9" t="str">
        <f>VLOOKUP(revenue[productID],products[],12,FALSE)</f>
        <v>Condiments</v>
      </c>
      <c r="J2018" s="9">
        <f>VLOOKUP(revenue[productID],products[],IF(YEAR(revenue[orderDate])=2022,8,IF(YEAR(revenue[orderDate])=2023,9,IF(YEAR(revenue[orderDate])=2024,10,NA))),FALSE)</f>
        <v>32.59198577</v>
      </c>
      <c r="K2018" s="9">
        <v>43.9</v>
      </c>
      <c r="L2018" s="25">
        <f>(revenue[orderPrice]-revenue[productCost])/revenue[productCost]</f>
        <v>0.3469568963</v>
      </c>
      <c r="M2018" s="10">
        <v>12.0</v>
      </c>
      <c r="N2018" s="25">
        <v>0.0</v>
      </c>
      <c r="O2018" s="9">
        <f>revenue[orderPrice]*revenue[orderQuantity]</f>
        <v>526.8</v>
      </c>
      <c r="P2018" s="9">
        <f>revenue[orderTotal]*(1-revenue[discountApllied])</f>
        <v>526.8</v>
      </c>
      <c r="Q2018" s="9">
        <f>revenue[revenue]-(revenue[productCost]*revenue[orderQuantity])</f>
        <v>135.6961707</v>
      </c>
      <c r="R2018" s="25">
        <f>IFERROR(revenue[profit]/revenue[revenue], 0)</f>
        <v>0.2575857455</v>
      </c>
      <c r="S2018" s="9">
        <f>revenue[productCost]*revenue[orderQuantity]</f>
        <v>391.1038293</v>
      </c>
    </row>
    <row r="2019" ht="15.75" customHeight="1">
      <c r="A2019" s="6">
        <v>11030.0</v>
      </c>
      <c r="B2019" s="7" t="s">
        <v>60</v>
      </c>
      <c r="C2019" s="24" t="str">
        <f>VLOOKUP(revenue[customerID],customers[],2,FALSE)</f>
        <v>Save-a-lot Markets</v>
      </c>
      <c r="D2019" s="24" t="str">
        <f>VLOOKUP(revenue[customerID],customers[],6,FALSE)</f>
        <v>Boise</v>
      </c>
      <c r="E2019" s="24" t="str">
        <f>VLOOKUP(revenue[customerID],customers[],9,FALSE)</f>
        <v>USA</v>
      </c>
      <c r="F2019" s="24">
        <v>45399.0</v>
      </c>
      <c r="G2019" s="6">
        <v>2.0</v>
      </c>
      <c r="H2019" s="9" t="str">
        <f>VLOOKUP(revenue[productID],products[],2,FALSE)</f>
        <v>Chang</v>
      </c>
      <c r="I2019" s="9" t="str">
        <f>VLOOKUP(revenue[productID],products[],12,FALSE)</f>
        <v>Beverages</v>
      </c>
      <c r="J2019" s="9">
        <f>VLOOKUP(revenue[productID],products[],IF(YEAR(revenue[orderDate])=2022,8,IF(YEAR(revenue[orderDate])=2023,9,IF(YEAR(revenue[orderDate])=2024,10,NA))),FALSE)</f>
        <v>11.93843713</v>
      </c>
      <c r="K2019" s="9">
        <v>19.0</v>
      </c>
      <c r="L2019" s="25">
        <f>(revenue[orderPrice]-revenue[productCost])/revenue[productCost]</f>
        <v>0.591498099</v>
      </c>
      <c r="M2019" s="10">
        <v>100.0</v>
      </c>
      <c r="N2019" s="25">
        <v>0.25</v>
      </c>
      <c r="O2019" s="9">
        <f>revenue[orderPrice]*revenue[orderQuantity]</f>
        <v>1900</v>
      </c>
      <c r="P2019" s="9">
        <f>revenue[orderTotal]*(1-revenue[discountApllied])</f>
        <v>1425</v>
      </c>
      <c r="Q2019" s="9">
        <f>revenue[revenue]-(revenue[productCost]*revenue[orderQuantity])</f>
        <v>231.1562868</v>
      </c>
      <c r="R2019" s="25">
        <f>IFERROR(revenue[profit]/revenue[revenue], 0)</f>
        <v>0.1622149381</v>
      </c>
      <c r="S2019" s="9">
        <f>revenue[productCost]*revenue[orderQuantity]</f>
        <v>1193.843713</v>
      </c>
    </row>
    <row r="2020" ht="15.75" customHeight="1">
      <c r="A2020" s="6">
        <v>11030.0</v>
      </c>
      <c r="B2020" s="7" t="s">
        <v>60</v>
      </c>
      <c r="C2020" s="24" t="str">
        <f>VLOOKUP(revenue[customerID],customers[],2,FALSE)</f>
        <v>Save-a-lot Markets</v>
      </c>
      <c r="D2020" s="24" t="str">
        <f>VLOOKUP(revenue[customerID],customers[],6,FALSE)</f>
        <v>Boise</v>
      </c>
      <c r="E2020" s="24" t="str">
        <f>VLOOKUP(revenue[customerID],customers[],9,FALSE)</f>
        <v>USA</v>
      </c>
      <c r="F2020" s="24">
        <v>45399.0</v>
      </c>
      <c r="G2020" s="6">
        <v>5.0</v>
      </c>
      <c r="H2020" s="9" t="str">
        <f>VLOOKUP(revenue[productID],products[],2,FALSE)</f>
        <v>Chef Anton's Gumbo Mix</v>
      </c>
      <c r="I2020" s="9" t="str">
        <f>VLOOKUP(revenue[productID],products[],12,FALSE)</f>
        <v>Condiments</v>
      </c>
      <c r="J2020" s="9">
        <f>VLOOKUP(revenue[productID],products[],IF(YEAR(revenue[orderDate])=2022,8,IF(YEAR(revenue[orderDate])=2023,9,IF(YEAR(revenue[orderDate])=2024,10,NA))),FALSE)</f>
        <v>13.96337378</v>
      </c>
      <c r="K2020" s="9">
        <v>21.35</v>
      </c>
      <c r="L2020" s="25">
        <f>(revenue[orderPrice]-revenue[productCost])/revenue[productCost]</f>
        <v>0.5290001069</v>
      </c>
      <c r="M2020" s="10">
        <v>70.0</v>
      </c>
      <c r="N2020" s="25">
        <v>0.0</v>
      </c>
      <c r="O2020" s="9">
        <f>revenue[orderPrice]*revenue[orderQuantity]</f>
        <v>1494.5</v>
      </c>
      <c r="P2020" s="9">
        <f>revenue[orderTotal]*(1-revenue[discountApllied])</f>
        <v>1494.5</v>
      </c>
      <c r="Q2020" s="9">
        <f>revenue[revenue]-(revenue[productCost]*revenue[orderQuantity])</f>
        <v>517.0638355</v>
      </c>
      <c r="R2020" s="25">
        <f>IFERROR(revenue[profit]/revenue[revenue], 0)</f>
        <v>0.345977809</v>
      </c>
      <c r="S2020" s="9">
        <f>revenue[productCost]*revenue[orderQuantity]</f>
        <v>977.4361645</v>
      </c>
    </row>
    <row r="2021" ht="15.75" customHeight="1">
      <c r="A2021" s="6">
        <v>11030.0</v>
      </c>
      <c r="B2021" s="7" t="s">
        <v>60</v>
      </c>
      <c r="C2021" s="24" t="str">
        <f>VLOOKUP(revenue[customerID],customers[],2,FALSE)</f>
        <v>Save-a-lot Markets</v>
      </c>
      <c r="D2021" s="24" t="str">
        <f>VLOOKUP(revenue[customerID],customers[],6,FALSE)</f>
        <v>Boise</v>
      </c>
      <c r="E2021" s="24" t="str">
        <f>VLOOKUP(revenue[customerID],customers[],9,FALSE)</f>
        <v>USA</v>
      </c>
      <c r="F2021" s="24">
        <v>45399.0</v>
      </c>
      <c r="G2021" s="6">
        <v>29.0</v>
      </c>
      <c r="H2021" s="9" t="str">
        <f>VLOOKUP(revenue[productID],products[],2,FALSE)</f>
        <v>Thüringer Rostbratwurst</v>
      </c>
      <c r="I2021" s="9" t="str">
        <f>VLOOKUP(revenue[productID],products[],12,FALSE)</f>
        <v>Meat/Poultry</v>
      </c>
      <c r="J2021" s="9">
        <f>VLOOKUP(revenue[productID],products[],IF(YEAR(revenue[orderDate])=2022,8,IF(YEAR(revenue[orderDate])=2023,9,IF(YEAR(revenue[orderDate])=2024,10,NA))),FALSE)</f>
        <v>80.14595973</v>
      </c>
      <c r="K2021" s="9">
        <v>123.79</v>
      </c>
      <c r="L2021" s="25">
        <f>(revenue[orderPrice]-revenue[productCost])/revenue[productCost]</f>
        <v>0.544556961</v>
      </c>
      <c r="M2021" s="10">
        <v>60.0</v>
      </c>
      <c r="N2021" s="25">
        <v>0.25</v>
      </c>
      <c r="O2021" s="9">
        <f>revenue[orderPrice]*revenue[orderQuantity]</f>
        <v>7427.4</v>
      </c>
      <c r="P2021" s="9">
        <f>revenue[orderTotal]*(1-revenue[discountApllied])</f>
        <v>5570.55</v>
      </c>
      <c r="Q2021" s="9">
        <f>revenue[revenue]-(revenue[productCost]*revenue[orderQuantity])</f>
        <v>761.7924159</v>
      </c>
      <c r="R2021" s="25">
        <f>IFERROR(revenue[profit]/revenue[revenue], 0)</f>
        <v>0.1367535371</v>
      </c>
      <c r="S2021" s="9">
        <f>revenue[productCost]*revenue[orderQuantity]</f>
        <v>4808.757584</v>
      </c>
    </row>
    <row r="2022" ht="15.75" customHeight="1">
      <c r="A2022" s="6">
        <v>11030.0</v>
      </c>
      <c r="B2022" s="7" t="s">
        <v>60</v>
      </c>
      <c r="C2022" s="24" t="str">
        <f>VLOOKUP(revenue[customerID],customers[],2,FALSE)</f>
        <v>Save-a-lot Markets</v>
      </c>
      <c r="D2022" s="24" t="str">
        <f>VLOOKUP(revenue[customerID],customers[],6,FALSE)</f>
        <v>Boise</v>
      </c>
      <c r="E2022" s="24" t="str">
        <f>VLOOKUP(revenue[customerID],customers[],9,FALSE)</f>
        <v>USA</v>
      </c>
      <c r="F2022" s="24">
        <v>45399.0</v>
      </c>
      <c r="G2022" s="6">
        <v>59.0</v>
      </c>
      <c r="H2022" s="9" t="str">
        <f>VLOOKUP(revenue[productID],products[],2,FALSE)</f>
        <v>Raclette Courdavault</v>
      </c>
      <c r="I2022" s="9" t="str">
        <f>VLOOKUP(revenue[productID],products[],12,FALSE)</f>
        <v>Dairy Products</v>
      </c>
      <c r="J2022" s="9">
        <f>VLOOKUP(revenue[productID],products[],IF(YEAR(revenue[orderDate])=2022,8,IF(YEAR(revenue[orderDate])=2023,9,IF(YEAR(revenue[orderDate])=2024,10,NA))),FALSE)</f>
        <v>36.74863711</v>
      </c>
      <c r="K2022" s="9">
        <v>55.0</v>
      </c>
      <c r="L2022" s="25">
        <f>(revenue[orderPrice]-revenue[productCost])/revenue[productCost]</f>
        <v>0.4966541435</v>
      </c>
      <c r="M2022" s="10">
        <v>100.0</v>
      </c>
      <c r="N2022" s="25">
        <v>0.25</v>
      </c>
      <c r="O2022" s="9">
        <f>revenue[orderPrice]*revenue[orderQuantity]</f>
        <v>5500</v>
      </c>
      <c r="P2022" s="9">
        <f>revenue[orderTotal]*(1-revenue[discountApllied])</f>
        <v>4125</v>
      </c>
      <c r="Q2022" s="9">
        <f>revenue[revenue]-(revenue[productCost]*revenue[orderQuantity])</f>
        <v>450.136289</v>
      </c>
      <c r="R2022" s="25">
        <f>IFERROR(revenue[profit]/revenue[revenue], 0)</f>
        <v>0.1091239488</v>
      </c>
      <c r="S2022" s="9">
        <f>revenue[productCost]*revenue[orderQuantity]</f>
        <v>3674.863711</v>
      </c>
    </row>
    <row r="2023" ht="15.75" customHeight="1">
      <c r="A2023" s="6">
        <v>11031.0</v>
      </c>
      <c r="B2023" s="7" t="s">
        <v>60</v>
      </c>
      <c r="C2023" s="24" t="str">
        <f>VLOOKUP(revenue[customerID],customers[],2,FALSE)</f>
        <v>Save-a-lot Markets</v>
      </c>
      <c r="D2023" s="24" t="str">
        <f>VLOOKUP(revenue[customerID],customers[],6,FALSE)</f>
        <v>Boise</v>
      </c>
      <c r="E2023" s="24" t="str">
        <f>VLOOKUP(revenue[customerID],customers[],9,FALSE)</f>
        <v>USA</v>
      </c>
      <c r="F2023" s="24">
        <v>45399.0</v>
      </c>
      <c r="G2023" s="6">
        <v>1.0</v>
      </c>
      <c r="H2023" s="9" t="str">
        <f>VLOOKUP(revenue[productID],products[],2,FALSE)</f>
        <v>Chai</v>
      </c>
      <c r="I2023" s="9" t="str">
        <f>VLOOKUP(revenue[productID],products[],12,FALSE)</f>
        <v>Beverages</v>
      </c>
      <c r="J2023" s="9">
        <f>VLOOKUP(revenue[productID],products[],IF(YEAR(revenue[orderDate])=2022,8,IF(YEAR(revenue[orderDate])=2023,9,IF(YEAR(revenue[orderDate])=2024,10,NA))),FALSE)</f>
        <v>12.17757454</v>
      </c>
      <c r="K2023" s="9">
        <v>18.0</v>
      </c>
      <c r="L2023" s="25">
        <f>(revenue[orderPrice]-revenue[productCost])/revenue[productCost]</f>
        <v>0.4781268584</v>
      </c>
      <c r="M2023" s="10">
        <v>45.0</v>
      </c>
      <c r="N2023" s="25">
        <v>0.0</v>
      </c>
      <c r="O2023" s="9">
        <f>revenue[orderPrice]*revenue[orderQuantity]</f>
        <v>810</v>
      </c>
      <c r="P2023" s="9">
        <f>revenue[orderTotal]*(1-revenue[discountApllied])</f>
        <v>810</v>
      </c>
      <c r="Q2023" s="9">
        <f>revenue[revenue]-(revenue[productCost]*revenue[orderQuantity])</f>
        <v>262.0091456</v>
      </c>
      <c r="R2023" s="25">
        <f>IFERROR(revenue[profit]/revenue[revenue], 0)</f>
        <v>0.323468081</v>
      </c>
      <c r="S2023" s="9">
        <f>revenue[productCost]*revenue[orderQuantity]</f>
        <v>547.9908544</v>
      </c>
    </row>
    <row r="2024" ht="15.75" customHeight="1">
      <c r="A2024" s="6">
        <v>11031.0</v>
      </c>
      <c r="B2024" s="7" t="s">
        <v>60</v>
      </c>
      <c r="C2024" s="24" t="str">
        <f>VLOOKUP(revenue[customerID],customers[],2,FALSE)</f>
        <v>Save-a-lot Markets</v>
      </c>
      <c r="D2024" s="24" t="str">
        <f>VLOOKUP(revenue[customerID],customers[],6,FALSE)</f>
        <v>Boise</v>
      </c>
      <c r="E2024" s="24" t="str">
        <f>VLOOKUP(revenue[customerID],customers[],9,FALSE)</f>
        <v>USA</v>
      </c>
      <c r="F2024" s="24">
        <v>45399.0</v>
      </c>
      <c r="G2024" s="6">
        <v>13.0</v>
      </c>
      <c r="H2024" s="9" t="str">
        <f>VLOOKUP(revenue[productID],products[],2,FALSE)</f>
        <v>Konbu</v>
      </c>
      <c r="I2024" s="9" t="str">
        <f>VLOOKUP(revenue[productID],products[],12,FALSE)</f>
        <v>Seafood</v>
      </c>
      <c r="J2024" s="9">
        <f>VLOOKUP(revenue[productID],products[],IF(YEAR(revenue[orderDate])=2022,8,IF(YEAR(revenue[orderDate])=2023,9,IF(YEAR(revenue[orderDate])=2024,10,NA))),FALSE)</f>
        <v>3.966387047</v>
      </c>
      <c r="K2024" s="9">
        <v>6.0</v>
      </c>
      <c r="L2024" s="25">
        <f>(revenue[orderPrice]-revenue[productCost])/revenue[productCost]</f>
        <v>0.5127116768</v>
      </c>
      <c r="M2024" s="10">
        <v>80.0</v>
      </c>
      <c r="N2024" s="25">
        <v>0.0</v>
      </c>
      <c r="O2024" s="9">
        <f>revenue[orderPrice]*revenue[orderQuantity]</f>
        <v>480</v>
      </c>
      <c r="P2024" s="9">
        <f>revenue[orderTotal]*(1-revenue[discountApllied])</f>
        <v>480</v>
      </c>
      <c r="Q2024" s="9">
        <f>revenue[revenue]-(revenue[productCost]*revenue[orderQuantity])</f>
        <v>162.6890363</v>
      </c>
      <c r="R2024" s="25">
        <f>IFERROR(revenue[profit]/revenue[revenue], 0)</f>
        <v>0.3389354922</v>
      </c>
      <c r="S2024" s="9">
        <f>revenue[productCost]*revenue[orderQuantity]</f>
        <v>317.3109637</v>
      </c>
    </row>
    <row r="2025" ht="15.75" customHeight="1">
      <c r="A2025" s="6">
        <v>11031.0</v>
      </c>
      <c r="B2025" s="7" t="s">
        <v>60</v>
      </c>
      <c r="C2025" s="24" t="str">
        <f>VLOOKUP(revenue[customerID],customers[],2,FALSE)</f>
        <v>Save-a-lot Markets</v>
      </c>
      <c r="D2025" s="24" t="str">
        <f>VLOOKUP(revenue[customerID],customers[],6,FALSE)</f>
        <v>Boise</v>
      </c>
      <c r="E2025" s="24" t="str">
        <f>VLOOKUP(revenue[customerID],customers[],9,FALSE)</f>
        <v>USA</v>
      </c>
      <c r="F2025" s="24">
        <v>45399.0</v>
      </c>
      <c r="G2025" s="6">
        <v>24.0</v>
      </c>
      <c r="H2025" s="9" t="str">
        <f>VLOOKUP(revenue[productID],products[],2,FALSE)</f>
        <v>Brigadeiros Maravilhosos da Lilian</v>
      </c>
      <c r="I2025" s="9" t="str">
        <f>VLOOKUP(revenue[productID],products[],12,FALSE)</f>
        <v>Confections</v>
      </c>
      <c r="J2025" s="9">
        <f>VLOOKUP(revenue[productID],products[],IF(YEAR(revenue[orderDate])=2022,8,IF(YEAR(revenue[orderDate])=2023,9,IF(YEAR(revenue[orderDate])=2024,10,NA))),FALSE)</f>
        <v>3.177326315</v>
      </c>
      <c r="K2025" s="9">
        <v>4.5</v>
      </c>
      <c r="L2025" s="25">
        <f>(revenue[orderPrice]-revenue[productCost])/revenue[productCost]</f>
        <v>0.416285126</v>
      </c>
      <c r="M2025" s="10">
        <v>21.0</v>
      </c>
      <c r="N2025" s="25">
        <v>0.0</v>
      </c>
      <c r="O2025" s="9">
        <f>revenue[orderPrice]*revenue[orderQuantity]</f>
        <v>94.5</v>
      </c>
      <c r="P2025" s="9">
        <f>revenue[orderTotal]*(1-revenue[discountApllied])</f>
        <v>94.5</v>
      </c>
      <c r="Q2025" s="9">
        <f>revenue[revenue]-(revenue[productCost]*revenue[orderQuantity])</f>
        <v>27.77614739</v>
      </c>
      <c r="R2025" s="25">
        <f>IFERROR(revenue[profit]/revenue[revenue], 0)</f>
        <v>0.2939274856</v>
      </c>
      <c r="S2025" s="9">
        <f>revenue[productCost]*revenue[orderQuantity]</f>
        <v>66.72385261</v>
      </c>
    </row>
    <row r="2026" ht="15.75" customHeight="1">
      <c r="A2026" s="6">
        <v>11031.0</v>
      </c>
      <c r="B2026" s="7" t="s">
        <v>60</v>
      </c>
      <c r="C2026" s="24" t="str">
        <f>VLOOKUP(revenue[customerID],customers[],2,FALSE)</f>
        <v>Save-a-lot Markets</v>
      </c>
      <c r="D2026" s="24" t="str">
        <f>VLOOKUP(revenue[customerID],customers[],6,FALSE)</f>
        <v>Boise</v>
      </c>
      <c r="E2026" s="24" t="str">
        <f>VLOOKUP(revenue[customerID],customers[],9,FALSE)</f>
        <v>USA</v>
      </c>
      <c r="F2026" s="24">
        <v>45399.0</v>
      </c>
      <c r="G2026" s="6">
        <v>64.0</v>
      </c>
      <c r="H2026" s="9" t="str">
        <f>VLOOKUP(revenue[productID],products[],2,FALSE)</f>
        <v>Lukas' leckere Sauerteigweggla</v>
      </c>
      <c r="I2026" s="9" t="str">
        <f>VLOOKUP(revenue[productID],products[],12,FALSE)</f>
        <v>Grains/Cereals</v>
      </c>
      <c r="J2026" s="9">
        <f>VLOOKUP(revenue[productID],products[],IF(YEAR(revenue[orderDate])=2022,8,IF(YEAR(revenue[orderDate])=2023,9,IF(YEAR(revenue[orderDate])=2024,10,NA))),FALSE)</f>
        <v>22.72434276</v>
      </c>
      <c r="K2026" s="9">
        <v>33.25</v>
      </c>
      <c r="L2026" s="25">
        <f>(revenue[orderPrice]-revenue[productCost])/revenue[productCost]</f>
        <v>0.4631886324</v>
      </c>
      <c r="M2026" s="10">
        <v>20.0</v>
      </c>
      <c r="N2026" s="25">
        <v>0.0</v>
      </c>
      <c r="O2026" s="9">
        <f>revenue[orderPrice]*revenue[orderQuantity]</f>
        <v>665</v>
      </c>
      <c r="P2026" s="9">
        <f>revenue[orderTotal]*(1-revenue[discountApllied])</f>
        <v>665</v>
      </c>
      <c r="Q2026" s="9">
        <f>revenue[revenue]-(revenue[productCost]*revenue[orderQuantity])</f>
        <v>210.5131449</v>
      </c>
      <c r="R2026" s="25">
        <f>IFERROR(revenue[profit]/revenue[revenue], 0)</f>
        <v>0.3165611201</v>
      </c>
      <c r="S2026" s="9">
        <f>revenue[productCost]*revenue[orderQuantity]</f>
        <v>454.4868551</v>
      </c>
    </row>
    <row r="2027" ht="15.75" customHeight="1">
      <c r="A2027" s="6">
        <v>11031.0</v>
      </c>
      <c r="B2027" s="7" t="s">
        <v>60</v>
      </c>
      <c r="C2027" s="24" t="str">
        <f>VLOOKUP(revenue[customerID],customers[],2,FALSE)</f>
        <v>Save-a-lot Markets</v>
      </c>
      <c r="D2027" s="24" t="str">
        <f>VLOOKUP(revenue[customerID],customers[],6,FALSE)</f>
        <v>Boise</v>
      </c>
      <c r="E2027" s="24" t="str">
        <f>VLOOKUP(revenue[customerID],customers[],9,FALSE)</f>
        <v>USA</v>
      </c>
      <c r="F2027" s="24">
        <v>45399.0</v>
      </c>
      <c r="G2027" s="6">
        <v>71.0</v>
      </c>
      <c r="H2027" s="9" t="str">
        <f>VLOOKUP(revenue[productID],products[],2,FALSE)</f>
        <v>Flotemysost</v>
      </c>
      <c r="I2027" s="9" t="str">
        <f>VLOOKUP(revenue[productID],products[],12,FALSE)</f>
        <v>Dairy Products</v>
      </c>
      <c r="J2027" s="9">
        <f>VLOOKUP(revenue[productID],products[],IF(YEAR(revenue[orderDate])=2022,8,IF(YEAR(revenue[orderDate])=2023,9,IF(YEAR(revenue[orderDate])=2024,10,NA))),FALSE)</f>
        <v>14.20977576</v>
      </c>
      <c r="K2027" s="9">
        <v>21.5</v>
      </c>
      <c r="L2027" s="25">
        <f>(revenue[orderPrice]-revenue[productCost])/revenue[productCost]</f>
        <v>0.5130428769</v>
      </c>
      <c r="M2027" s="10">
        <v>16.0</v>
      </c>
      <c r="N2027" s="25">
        <v>0.0</v>
      </c>
      <c r="O2027" s="9">
        <f>revenue[orderPrice]*revenue[orderQuantity]</f>
        <v>344</v>
      </c>
      <c r="P2027" s="9">
        <f>revenue[orderTotal]*(1-revenue[discountApllied])</f>
        <v>344</v>
      </c>
      <c r="Q2027" s="9">
        <f>revenue[revenue]-(revenue[productCost]*revenue[orderQuantity])</f>
        <v>116.6435878</v>
      </c>
      <c r="R2027" s="25">
        <f>IFERROR(revenue[profit]/revenue[revenue], 0)</f>
        <v>0.3390801971</v>
      </c>
      <c r="S2027" s="9">
        <f>revenue[productCost]*revenue[orderQuantity]</f>
        <v>227.3564122</v>
      </c>
    </row>
    <row r="2028" ht="15.75" customHeight="1">
      <c r="A2028" s="6">
        <v>11032.0</v>
      </c>
      <c r="B2028" s="7" t="s">
        <v>34</v>
      </c>
      <c r="C2028" s="24" t="str">
        <f>VLOOKUP(revenue[customerID],customers[],2,FALSE)</f>
        <v>White Clover Markets</v>
      </c>
      <c r="D2028" s="24" t="str">
        <f>VLOOKUP(revenue[customerID],customers[],6,FALSE)</f>
        <v>Seattle</v>
      </c>
      <c r="E2028" s="24" t="str">
        <f>VLOOKUP(revenue[customerID],customers[],9,FALSE)</f>
        <v>USA</v>
      </c>
      <c r="F2028" s="24">
        <v>45399.0</v>
      </c>
      <c r="G2028" s="6">
        <v>36.0</v>
      </c>
      <c r="H2028" s="9" t="str">
        <f>VLOOKUP(revenue[productID],products[],2,FALSE)</f>
        <v>Inlagd Sill</v>
      </c>
      <c r="I2028" s="9" t="str">
        <f>VLOOKUP(revenue[productID],products[],12,FALSE)</f>
        <v>Seafood</v>
      </c>
      <c r="J2028" s="9">
        <f>VLOOKUP(revenue[productID],products[],IF(YEAR(revenue[orderDate])=2022,8,IF(YEAR(revenue[orderDate])=2023,9,IF(YEAR(revenue[orderDate])=2024,10,NA))),FALSE)</f>
        <v>11.68525366</v>
      </c>
      <c r="K2028" s="9">
        <v>19.0</v>
      </c>
      <c r="L2028" s="25">
        <f>(revenue[orderPrice]-revenue[productCost])/revenue[productCost]</f>
        <v>0.6259809637</v>
      </c>
      <c r="M2028" s="10">
        <v>35.0</v>
      </c>
      <c r="N2028" s="25">
        <v>0.0</v>
      </c>
      <c r="O2028" s="9">
        <f>revenue[orderPrice]*revenue[orderQuantity]</f>
        <v>665</v>
      </c>
      <c r="P2028" s="9">
        <f>revenue[orderTotal]*(1-revenue[discountApllied])</f>
        <v>665</v>
      </c>
      <c r="Q2028" s="9">
        <f>revenue[revenue]-(revenue[productCost]*revenue[orderQuantity])</f>
        <v>256.0161221</v>
      </c>
      <c r="R2028" s="25">
        <f>IFERROR(revenue[profit]/revenue[revenue], 0)</f>
        <v>0.3849866497</v>
      </c>
      <c r="S2028" s="9">
        <f>revenue[productCost]*revenue[orderQuantity]</f>
        <v>408.9838779</v>
      </c>
    </row>
    <row r="2029" ht="15.75" customHeight="1">
      <c r="A2029" s="6">
        <v>11032.0</v>
      </c>
      <c r="B2029" s="7" t="s">
        <v>34</v>
      </c>
      <c r="C2029" s="24" t="str">
        <f>VLOOKUP(revenue[customerID],customers[],2,FALSE)</f>
        <v>White Clover Markets</v>
      </c>
      <c r="D2029" s="24" t="str">
        <f>VLOOKUP(revenue[customerID],customers[],6,FALSE)</f>
        <v>Seattle</v>
      </c>
      <c r="E2029" s="24" t="str">
        <f>VLOOKUP(revenue[customerID],customers[],9,FALSE)</f>
        <v>USA</v>
      </c>
      <c r="F2029" s="24">
        <v>45399.0</v>
      </c>
      <c r="G2029" s="6">
        <v>38.0</v>
      </c>
      <c r="H2029" s="9" t="str">
        <f>VLOOKUP(revenue[productID],products[],2,FALSE)</f>
        <v>Côte de Blaye</v>
      </c>
      <c r="I2029" s="9" t="str">
        <f>VLOOKUP(revenue[productID],products[],12,FALSE)</f>
        <v>Beverages</v>
      </c>
      <c r="J2029" s="9">
        <f>VLOOKUP(revenue[productID],products[],IF(YEAR(revenue[orderDate])=2022,8,IF(YEAR(revenue[orderDate])=2023,9,IF(YEAR(revenue[orderDate])=2024,10,NA))),FALSE)</f>
        <v>192.1798413</v>
      </c>
      <c r="K2029" s="9">
        <v>263.5</v>
      </c>
      <c r="L2029" s="25">
        <f>(revenue[orderPrice]-revenue[productCost])/revenue[productCost]</f>
        <v>0.3711115493</v>
      </c>
      <c r="M2029" s="10">
        <v>25.0</v>
      </c>
      <c r="N2029" s="25">
        <v>0.0</v>
      </c>
      <c r="O2029" s="9">
        <f>revenue[orderPrice]*revenue[orderQuantity]</f>
        <v>6587.5</v>
      </c>
      <c r="P2029" s="9">
        <f>revenue[orderTotal]*(1-revenue[discountApllied])</f>
        <v>6587.5</v>
      </c>
      <c r="Q2029" s="9">
        <f>revenue[revenue]-(revenue[productCost]*revenue[orderQuantity])</f>
        <v>1783.003967</v>
      </c>
      <c r="R2029" s="25">
        <f>IFERROR(revenue[profit]/revenue[revenue], 0)</f>
        <v>0.2706647388</v>
      </c>
      <c r="S2029" s="9">
        <f>revenue[productCost]*revenue[orderQuantity]</f>
        <v>4804.496033</v>
      </c>
    </row>
    <row r="2030" ht="15.75" customHeight="1">
      <c r="A2030" s="6">
        <v>11032.0</v>
      </c>
      <c r="B2030" s="7" t="s">
        <v>34</v>
      </c>
      <c r="C2030" s="24" t="str">
        <f>VLOOKUP(revenue[customerID],customers[],2,FALSE)</f>
        <v>White Clover Markets</v>
      </c>
      <c r="D2030" s="24" t="str">
        <f>VLOOKUP(revenue[customerID],customers[],6,FALSE)</f>
        <v>Seattle</v>
      </c>
      <c r="E2030" s="24" t="str">
        <f>VLOOKUP(revenue[customerID],customers[],9,FALSE)</f>
        <v>USA</v>
      </c>
      <c r="F2030" s="24">
        <v>45399.0</v>
      </c>
      <c r="G2030" s="6">
        <v>59.0</v>
      </c>
      <c r="H2030" s="9" t="str">
        <f>VLOOKUP(revenue[productID],products[],2,FALSE)</f>
        <v>Raclette Courdavault</v>
      </c>
      <c r="I2030" s="9" t="str">
        <f>VLOOKUP(revenue[productID],products[],12,FALSE)</f>
        <v>Dairy Products</v>
      </c>
      <c r="J2030" s="9">
        <f>VLOOKUP(revenue[productID],products[],IF(YEAR(revenue[orderDate])=2022,8,IF(YEAR(revenue[orderDate])=2023,9,IF(YEAR(revenue[orderDate])=2024,10,NA))),FALSE)</f>
        <v>36.74863711</v>
      </c>
      <c r="K2030" s="9">
        <v>55.0</v>
      </c>
      <c r="L2030" s="25">
        <f>(revenue[orderPrice]-revenue[productCost])/revenue[productCost]</f>
        <v>0.4966541435</v>
      </c>
      <c r="M2030" s="10">
        <v>30.0</v>
      </c>
      <c r="N2030" s="25">
        <v>0.0</v>
      </c>
      <c r="O2030" s="9">
        <f>revenue[orderPrice]*revenue[orderQuantity]</f>
        <v>1650</v>
      </c>
      <c r="P2030" s="9">
        <f>revenue[orderTotal]*(1-revenue[discountApllied])</f>
        <v>1650</v>
      </c>
      <c r="Q2030" s="9">
        <f>revenue[revenue]-(revenue[productCost]*revenue[orderQuantity])</f>
        <v>547.5408867</v>
      </c>
      <c r="R2030" s="25">
        <f>IFERROR(revenue[profit]/revenue[revenue], 0)</f>
        <v>0.3318429616</v>
      </c>
      <c r="S2030" s="9">
        <f>revenue[productCost]*revenue[orderQuantity]</f>
        <v>1102.459113</v>
      </c>
    </row>
    <row r="2031" ht="15.75" customHeight="1">
      <c r="A2031" s="6">
        <v>11033.0</v>
      </c>
      <c r="B2031" s="7" t="s">
        <v>21</v>
      </c>
      <c r="C2031" s="24" t="str">
        <f>VLOOKUP(revenue[customerID],customers[],2,FALSE)</f>
        <v>Richter Supermarkt</v>
      </c>
      <c r="D2031" s="24" t="str">
        <f>VLOOKUP(revenue[customerID],customers[],6,FALSE)</f>
        <v>Genève</v>
      </c>
      <c r="E2031" s="24" t="str">
        <f>VLOOKUP(revenue[customerID],customers[],9,FALSE)</f>
        <v>Switzerland</v>
      </c>
      <c r="F2031" s="24">
        <v>45399.0</v>
      </c>
      <c r="G2031" s="6">
        <v>53.0</v>
      </c>
      <c r="H2031" s="9" t="str">
        <f>VLOOKUP(revenue[productID],products[],2,FALSE)</f>
        <v>Perth Pasties</v>
      </c>
      <c r="I2031" s="9" t="str">
        <f>VLOOKUP(revenue[productID],products[],12,FALSE)</f>
        <v>Meat/Poultry</v>
      </c>
      <c r="J2031" s="9">
        <f>VLOOKUP(revenue[productID],products[],IF(YEAR(revenue[orderDate])=2022,8,IF(YEAR(revenue[orderDate])=2023,9,IF(YEAR(revenue[orderDate])=2024,10,NA))),FALSE)</f>
        <v>22.92637057</v>
      </c>
      <c r="K2031" s="9">
        <v>32.8</v>
      </c>
      <c r="L2031" s="25">
        <f>(revenue[orderPrice]-revenue[productCost])/revenue[productCost]</f>
        <v>0.4306669216</v>
      </c>
      <c r="M2031" s="10">
        <v>70.0</v>
      </c>
      <c r="N2031" s="25">
        <v>0.1</v>
      </c>
      <c r="O2031" s="9">
        <f>revenue[orderPrice]*revenue[orderQuantity]</f>
        <v>2296</v>
      </c>
      <c r="P2031" s="9">
        <f>revenue[orderTotal]*(1-revenue[discountApllied])</f>
        <v>2066.4</v>
      </c>
      <c r="Q2031" s="9">
        <f>revenue[revenue]-(revenue[productCost]*revenue[orderQuantity])</f>
        <v>461.5540604</v>
      </c>
      <c r="R2031" s="25">
        <f>IFERROR(revenue[profit]/revenue[revenue], 0)</f>
        <v>0.2233614307</v>
      </c>
      <c r="S2031" s="9">
        <f>revenue[productCost]*revenue[orderQuantity]</f>
        <v>1604.84594</v>
      </c>
    </row>
    <row r="2032" ht="15.75" customHeight="1">
      <c r="A2032" s="6">
        <v>11033.0</v>
      </c>
      <c r="B2032" s="7" t="s">
        <v>21</v>
      </c>
      <c r="C2032" s="24" t="str">
        <f>VLOOKUP(revenue[customerID],customers[],2,FALSE)</f>
        <v>Richter Supermarkt</v>
      </c>
      <c r="D2032" s="24" t="str">
        <f>VLOOKUP(revenue[customerID],customers[],6,FALSE)</f>
        <v>Genève</v>
      </c>
      <c r="E2032" s="24" t="str">
        <f>VLOOKUP(revenue[customerID],customers[],9,FALSE)</f>
        <v>Switzerland</v>
      </c>
      <c r="F2032" s="24">
        <v>45399.0</v>
      </c>
      <c r="G2032" s="6">
        <v>69.0</v>
      </c>
      <c r="H2032" s="9" t="str">
        <f>VLOOKUP(revenue[productID],products[],2,FALSE)</f>
        <v>Gudbrandsdalsost</v>
      </c>
      <c r="I2032" s="9" t="str">
        <f>VLOOKUP(revenue[productID],products[],12,FALSE)</f>
        <v>Dairy Products</v>
      </c>
      <c r="J2032" s="9">
        <f>VLOOKUP(revenue[productID],products[],IF(YEAR(revenue[orderDate])=2022,8,IF(YEAR(revenue[orderDate])=2023,9,IF(YEAR(revenue[orderDate])=2024,10,NA))),FALSE)</f>
        <v>24.68292146</v>
      </c>
      <c r="K2032" s="9">
        <v>36.0</v>
      </c>
      <c r="L2032" s="25">
        <f>(revenue[orderPrice]-revenue[productCost])/revenue[productCost]</f>
        <v>0.4584983412</v>
      </c>
      <c r="M2032" s="10">
        <v>36.0</v>
      </c>
      <c r="N2032" s="25">
        <v>0.1</v>
      </c>
      <c r="O2032" s="9">
        <f>revenue[orderPrice]*revenue[orderQuantity]</f>
        <v>1296</v>
      </c>
      <c r="P2032" s="9">
        <f>revenue[orderTotal]*(1-revenue[discountApllied])</f>
        <v>1166.4</v>
      </c>
      <c r="Q2032" s="9">
        <f>revenue[revenue]-(revenue[productCost]*revenue[orderQuantity])</f>
        <v>277.8148276</v>
      </c>
      <c r="R2032" s="25">
        <f>IFERROR(revenue[profit]/revenue[revenue], 0)</f>
        <v>0.2381814365</v>
      </c>
      <c r="S2032" s="9">
        <f>revenue[productCost]*revenue[orderQuantity]</f>
        <v>888.5851724</v>
      </c>
    </row>
    <row r="2033" ht="15.75" customHeight="1">
      <c r="A2033" s="6">
        <v>11034.0</v>
      </c>
      <c r="B2033" s="7" t="s">
        <v>52</v>
      </c>
      <c r="C2033" s="24" t="str">
        <f>VLOOKUP(revenue[customerID],customers[],2,FALSE)</f>
        <v>Old World Delicatessen</v>
      </c>
      <c r="D2033" s="24" t="str">
        <f>VLOOKUP(revenue[customerID],customers[],6,FALSE)</f>
        <v>Anchorage</v>
      </c>
      <c r="E2033" s="24" t="str">
        <f>VLOOKUP(revenue[customerID],customers[],9,FALSE)</f>
        <v>USA</v>
      </c>
      <c r="F2033" s="24">
        <v>45402.0</v>
      </c>
      <c r="G2033" s="6">
        <v>21.0</v>
      </c>
      <c r="H2033" s="9" t="str">
        <f>VLOOKUP(revenue[productID],products[],2,FALSE)</f>
        <v>Sir Rodney's Scones</v>
      </c>
      <c r="I2033" s="9" t="str">
        <f>VLOOKUP(revenue[productID],products[],12,FALSE)</f>
        <v>Confections</v>
      </c>
      <c r="J2033" s="9">
        <f>VLOOKUP(revenue[productID],products[],IF(YEAR(revenue[orderDate])=2022,8,IF(YEAR(revenue[orderDate])=2023,9,IF(YEAR(revenue[orderDate])=2024,10,NA))),FALSE)</f>
        <v>7.459897593</v>
      </c>
      <c r="K2033" s="9">
        <v>10.0</v>
      </c>
      <c r="L2033" s="25">
        <f>(revenue[orderPrice]-revenue[productCost])/revenue[productCost]</f>
        <v>0.3405009753</v>
      </c>
      <c r="M2033" s="10">
        <v>15.0</v>
      </c>
      <c r="N2033" s="25">
        <v>0.1</v>
      </c>
      <c r="O2033" s="9">
        <f>revenue[orderPrice]*revenue[orderQuantity]</f>
        <v>150</v>
      </c>
      <c r="P2033" s="9">
        <f>revenue[orderTotal]*(1-revenue[discountApllied])</f>
        <v>135</v>
      </c>
      <c r="Q2033" s="9">
        <f>revenue[revenue]-(revenue[productCost]*revenue[orderQuantity])</f>
        <v>23.1015361</v>
      </c>
      <c r="R2033" s="25">
        <f>IFERROR(revenue[profit]/revenue[revenue], 0)</f>
        <v>0.1711224896</v>
      </c>
      <c r="S2033" s="9">
        <f>revenue[productCost]*revenue[orderQuantity]</f>
        <v>111.8984639</v>
      </c>
    </row>
    <row r="2034" ht="15.75" customHeight="1">
      <c r="A2034" s="6">
        <v>11034.0</v>
      </c>
      <c r="B2034" s="7" t="s">
        <v>52</v>
      </c>
      <c r="C2034" s="24" t="str">
        <f>VLOOKUP(revenue[customerID],customers[],2,FALSE)</f>
        <v>Old World Delicatessen</v>
      </c>
      <c r="D2034" s="24" t="str">
        <f>VLOOKUP(revenue[customerID],customers[],6,FALSE)</f>
        <v>Anchorage</v>
      </c>
      <c r="E2034" s="24" t="str">
        <f>VLOOKUP(revenue[customerID],customers[],9,FALSE)</f>
        <v>USA</v>
      </c>
      <c r="F2034" s="24">
        <v>45402.0</v>
      </c>
      <c r="G2034" s="6">
        <v>44.0</v>
      </c>
      <c r="H2034" s="9" t="str">
        <f>VLOOKUP(revenue[productID],products[],2,FALSE)</f>
        <v>Gula Malacca</v>
      </c>
      <c r="I2034" s="9" t="str">
        <f>VLOOKUP(revenue[productID],products[],12,FALSE)</f>
        <v>Condiments</v>
      </c>
      <c r="J2034" s="9">
        <f>VLOOKUP(revenue[productID],products[],IF(YEAR(revenue[orderDate])=2022,8,IF(YEAR(revenue[orderDate])=2023,9,IF(YEAR(revenue[orderDate])=2024,10,NA))),FALSE)</f>
        <v>12.27831512</v>
      </c>
      <c r="K2034" s="9">
        <v>19.45</v>
      </c>
      <c r="L2034" s="25">
        <f>(revenue[orderPrice]-revenue[productCost])/revenue[productCost]</f>
        <v>0.5840935672</v>
      </c>
      <c r="M2034" s="10">
        <v>12.0</v>
      </c>
      <c r="N2034" s="25">
        <v>0.0</v>
      </c>
      <c r="O2034" s="9">
        <f>revenue[orderPrice]*revenue[orderQuantity]</f>
        <v>233.4</v>
      </c>
      <c r="P2034" s="9">
        <f>revenue[orderTotal]*(1-revenue[discountApllied])</f>
        <v>233.4</v>
      </c>
      <c r="Q2034" s="9">
        <f>revenue[revenue]-(revenue[productCost]*revenue[orderQuantity])</f>
        <v>86.06021854</v>
      </c>
      <c r="R2034" s="25">
        <f>IFERROR(revenue[profit]/revenue[revenue], 0)</f>
        <v>0.3687241583</v>
      </c>
      <c r="S2034" s="9">
        <f>revenue[productCost]*revenue[orderQuantity]</f>
        <v>147.3397815</v>
      </c>
    </row>
    <row r="2035" ht="15.75" customHeight="1">
      <c r="A2035" s="6">
        <v>11034.0</v>
      </c>
      <c r="B2035" s="7" t="s">
        <v>52</v>
      </c>
      <c r="C2035" s="24" t="str">
        <f>VLOOKUP(revenue[customerID],customers[],2,FALSE)</f>
        <v>Old World Delicatessen</v>
      </c>
      <c r="D2035" s="24" t="str">
        <f>VLOOKUP(revenue[customerID],customers[],6,FALSE)</f>
        <v>Anchorage</v>
      </c>
      <c r="E2035" s="24" t="str">
        <f>VLOOKUP(revenue[customerID],customers[],9,FALSE)</f>
        <v>USA</v>
      </c>
      <c r="F2035" s="24">
        <v>45402.0</v>
      </c>
      <c r="G2035" s="6">
        <v>61.0</v>
      </c>
      <c r="H2035" s="9" t="str">
        <f>VLOOKUP(revenue[productID],products[],2,FALSE)</f>
        <v>Sirop d'érable</v>
      </c>
      <c r="I2035" s="9" t="str">
        <f>VLOOKUP(revenue[productID],products[],12,FALSE)</f>
        <v>Condiments</v>
      </c>
      <c r="J2035" s="9">
        <f>VLOOKUP(revenue[productID],products[],IF(YEAR(revenue[orderDate])=2022,8,IF(YEAR(revenue[orderDate])=2023,9,IF(YEAR(revenue[orderDate])=2024,10,NA))),FALSE)</f>
        <v>18.74487379</v>
      </c>
      <c r="K2035" s="9">
        <v>28.5</v>
      </c>
      <c r="L2035" s="25">
        <f>(revenue[orderPrice]-revenue[productCost])/revenue[productCost]</f>
        <v>0.5204156786</v>
      </c>
      <c r="M2035" s="10">
        <v>6.0</v>
      </c>
      <c r="N2035" s="25">
        <v>0.0</v>
      </c>
      <c r="O2035" s="9">
        <f>revenue[orderPrice]*revenue[orderQuantity]</f>
        <v>171</v>
      </c>
      <c r="P2035" s="9">
        <f>revenue[orderTotal]*(1-revenue[discountApllied])</f>
        <v>171</v>
      </c>
      <c r="Q2035" s="9">
        <f>revenue[revenue]-(revenue[productCost]*revenue[orderQuantity])</f>
        <v>58.53075727</v>
      </c>
      <c r="R2035" s="25">
        <f>IFERROR(revenue[profit]/revenue[revenue], 0)</f>
        <v>0.3422851303</v>
      </c>
      <c r="S2035" s="9">
        <f>revenue[productCost]*revenue[orderQuantity]</f>
        <v>112.4692427</v>
      </c>
    </row>
    <row r="2036" ht="15.75" customHeight="1">
      <c r="A2036" s="6">
        <v>11035.0</v>
      </c>
      <c r="B2036" s="7" t="s">
        <v>19</v>
      </c>
      <c r="C2036" s="24" t="str">
        <f>VLOOKUP(revenue[customerID],customers[],2,FALSE)</f>
        <v>Suprêmes délices</v>
      </c>
      <c r="D2036" s="24" t="str">
        <f>VLOOKUP(revenue[customerID],customers[],6,FALSE)</f>
        <v>Charleroi</v>
      </c>
      <c r="E2036" s="24" t="str">
        <f>VLOOKUP(revenue[customerID],customers[],9,FALSE)</f>
        <v>Belgium</v>
      </c>
      <c r="F2036" s="24">
        <v>45402.0</v>
      </c>
      <c r="G2036" s="6">
        <v>1.0</v>
      </c>
      <c r="H2036" s="9" t="str">
        <f>VLOOKUP(revenue[productID],products[],2,FALSE)</f>
        <v>Chai</v>
      </c>
      <c r="I2036" s="9" t="str">
        <f>VLOOKUP(revenue[productID],products[],12,FALSE)</f>
        <v>Beverages</v>
      </c>
      <c r="J2036" s="9">
        <f>VLOOKUP(revenue[productID],products[],IF(YEAR(revenue[orderDate])=2022,8,IF(YEAR(revenue[orderDate])=2023,9,IF(YEAR(revenue[orderDate])=2024,10,NA))),FALSE)</f>
        <v>12.17757454</v>
      </c>
      <c r="K2036" s="9">
        <v>18.0</v>
      </c>
      <c r="L2036" s="25">
        <f>(revenue[orderPrice]-revenue[productCost])/revenue[productCost]</f>
        <v>0.4781268584</v>
      </c>
      <c r="M2036" s="10">
        <v>10.0</v>
      </c>
      <c r="N2036" s="25">
        <v>0.0</v>
      </c>
      <c r="O2036" s="9">
        <f>revenue[orderPrice]*revenue[orderQuantity]</f>
        <v>180</v>
      </c>
      <c r="P2036" s="9">
        <f>revenue[orderTotal]*(1-revenue[discountApllied])</f>
        <v>180</v>
      </c>
      <c r="Q2036" s="9">
        <f>revenue[revenue]-(revenue[productCost]*revenue[orderQuantity])</f>
        <v>58.22425458</v>
      </c>
      <c r="R2036" s="25">
        <f>IFERROR(revenue[profit]/revenue[revenue], 0)</f>
        <v>0.323468081</v>
      </c>
      <c r="S2036" s="9">
        <f>revenue[productCost]*revenue[orderQuantity]</f>
        <v>121.7757454</v>
      </c>
    </row>
    <row r="2037" ht="15.75" customHeight="1">
      <c r="A2037" s="6">
        <v>11035.0</v>
      </c>
      <c r="B2037" s="7" t="s">
        <v>19</v>
      </c>
      <c r="C2037" s="24" t="str">
        <f>VLOOKUP(revenue[customerID],customers[],2,FALSE)</f>
        <v>Suprêmes délices</v>
      </c>
      <c r="D2037" s="24" t="str">
        <f>VLOOKUP(revenue[customerID],customers[],6,FALSE)</f>
        <v>Charleroi</v>
      </c>
      <c r="E2037" s="24" t="str">
        <f>VLOOKUP(revenue[customerID],customers[],9,FALSE)</f>
        <v>Belgium</v>
      </c>
      <c r="F2037" s="24">
        <v>45402.0</v>
      </c>
      <c r="G2037" s="6">
        <v>35.0</v>
      </c>
      <c r="H2037" s="9" t="str">
        <f>VLOOKUP(revenue[productID],products[],2,FALSE)</f>
        <v>Cold Brew Nitro</v>
      </c>
      <c r="I2037" s="9" t="str">
        <f>VLOOKUP(revenue[productID],products[],12,FALSE)</f>
        <v>Beverages</v>
      </c>
      <c r="J2037" s="9">
        <f>VLOOKUP(revenue[productID],products[],IF(YEAR(revenue[orderDate])=2022,8,IF(YEAR(revenue[orderDate])=2023,9,IF(YEAR(revenue[orderDate])=2024,10,NA))),FALSE)</f>
        <v>12.9261692</v>
      </c>
      <c r="K2037" s="9">
        <v>18.0</v>
      </c>
      <c r="L2037" s="25">
        <f>(revenue[orderPrice]-revenue[productCost])/revenue[productCost]</f>
        <v>0.3925239355</v>
      </c>
      <c r="M2037" s="10">
        <v>60.0</v>
      </c>
      <c r="N2037" s="25">
        <v>0.0</v>
      </c>
      <c r="O2037" s="9">
        <f>revenue[orderPrice]*revenue[orderQuantity]</f>
        <v>1080</v>
      </c>
      <c r="P2037" s="9">
        <f>revenue[orderTotal]*(1-revenue[discountApllied])</f>
        <v>1080</v>
      </c>
      <c r="Q2037" s="9">
        <f>revenue[revenue]-(revenue[productCost]*revenue[orderQuantity])</f>
        <v>304.4298482</v>
      </c>
      <c r="R2037" s="25">
        <f>IFERROR(revenue[profit]/revenue[revenue], 0)</f>
        <v>0.2818794891</v>
      </c>
      <c r="S2037" s="9">
        <f>revenue[productCost]*revenue[orderQuantity]</f>
        <v>775.5701518</v>
      </c>
    </row>
    <row r="2038" ht="15.75" customHeight="1">
      <c r="A2038" s="6">
        <v>11035.0</v>
      </c>
      <c r="B2038" s="7" t="s">
        <v>19</v>
      </c>
      <c r="C2038" s="24" t="str">
        <f>VLOOKUP(revenue[customerID],customers[],2,FALSE)</f>
        <v>Suprêmes délices</v>
      </c>
      <c r="D2038" s="24" t="str">
        <f>VLOOKUP(revenue[customerID],customers[],6,FALSE)</f>
        <v>Charleroi</v>
      </c>
      <c r="E2038" s="24" t="str">
        <f>VLOOKUP(revenue[customerID],customers[],9,FALSE)</f>
        <v>Belgium</v>
      </c>
      <c r="F2038" s="24">
        <v>45402.0</v>
      </c>
      <c r="G2038" s="6">
        <v>42.0</v>
      </c>
      <c r="H2038" s="9" t="str">
        <f>VLOOKUP(revenue[productID],products[],2,FALSE)</f>
        <v>Singaporean Hokkien Fried Mee</v>
      </c>
      <c r="I2038" s="9" t="str">
        <f>VLOOKUP(revenue[productID],products[],12,FALSE)</f>
        <v>Grains/Cereals</v>
      </c>
      <c r="J2038" s="9">
        <f>VLOOKUP(revenue[productID],products[],IF(YEAR(revenue[orderDate])=2022,8,IF(YEAR(revenue[orderDate])=2023,9,IF(YEAR(revenue[orderDate])=2024,10,NA))),FALSE)</f>
        <v>9.64736714</v>
      </c>
      <c r="K2038" s="9">
        <v>14.0</v>
      </c>
      <c r="L2038" s="25">
        <f>(revenue[orderPrice]-revenue[productCost])/revenue[productCost]</f>
        <v>0.4511731333</v>
      </c>
      <c r="M2038" s="10">
        <v>30.0</v>
      </c>
      <c r="N2038" s="25">
        <v>0.0</v>
      </c>
      <c r="O2038" s="9">
        <f>revenue[orderPrice]*revenue[orderQuantity]</f>
        <v>420</v>
      </c>
      <c r="P2038" s="9">
        <f>revenue[orderTotal]*(1-revenue[discountApllied])</f>
        <v>420</v>
      </c>
      <c r="Q2038" s="9">
        <f>revenue[revenue]-(revenue[productCost]*revenue[orderQuantity])</f>
        <v>130.5789858</v>
      </c>
      <c r="R2038" s="25">
        <f>IFERROR(revenue[profit]/revenue[revenue], 0)</f>
        <v>0.3109023472</v>
      </c>
      <c r="S2038" s="9">
        <f>revenue[productCost]*revenue[orderQuantity]</f>
        <v>289.4210142</v>
      </c>
    </row>
    <row r="2039" ht="15.75" customHeight="1">
      <c r="A2039" s="6">
        <v>11035.0</v>
      </c>
      <c r="B2039" s="7" t="s">
        <v>19</v>
      </c>
      <c r="C2039" s="24" t="str">
        <f>VLOOKUP(revenue[customerID],customers[],2,FALSE)</f>
        <v>Suprêmes délices</v>
      </c>
      <c r="D2039" s="24" t="str">
        <f>VLOOKUP(revenue[customerID],customers[],6,FALSE)</f>
        <v>Charleroi</v>
      </c>
      <c r="E2039" s="24" t="str">
        <f>VLOOKUP(revenue[customerID],customers[],9,FALSE)</f>
        <v>Belgium</v>
      </c>
      <c r="F2039" s="24">
        <v>45402.0</v>
      </c>
      <c r="G2039" s="6">
        <v>54.0</v>
      </c>
      <c r="H2039" s="9" t="str">
        <f>VLOOKUP(revenue[productID],products[],2,FALSE)</f>
        <v>Tourtière</v>
      </c>
      <c r="I2039" s="9" t="str">
        <f>VLOOKUP(revenue[productID],products[],12,FALSE)</f>
        <v>Meat/Poultry</v>
      </c>
      <c r="J2039" s="9">
        <f>VLOOKUP(revenue[productID],products[],IF(YEAR(revenue[orderDate])=2022,8,IF(YEAR(revenue[orderDate])=2023,9,IF(YEAR(revenue[orderDate])=2024,10,NA))),FALSE)</f>
        <v>4.884716455</v>
      </c>
      <c r="K2039" s="9">
        <v>7.45</v>
      </c>
      <c r="L2039" s="25">
        <f>(revenue[orderPrice]-revenue[productCost])/revenue[productCost]</f>
        <v>0.5251652923</v>
      </c>
      <c r="M2039" s="10">
        <v>10.0</v>
      </c>
      <c r="N2039" s="25">
        <v>0.0</v>
      </c>
      <c r="O2039" s="9">
        <f>revenue[orderPrice]*revenue[orderQuantity]</f>
        <v>74.5</v>
      </c>
      <c r="P2039" s="9">
        <f>revenue[orderTotal]*(1-revenue[discountApllied])</f>
        <v>74.5</v>
      </c>
      <c r="Q2039" s="9">
        <f>revenue[revenue]-(revenue[productCost]*revenue[orderQuantity])</f>
        <v>25.65283545</v>
      </c>
      <c r="R2039" s="25">
        <f>IFERROR(revenue[profit]/revenue[revenue], 0)</f>
        <v>0.3443333618</v>
      </c>
      <c r="S2039" s="9">
        <f>revenue[productCost]*revenue[orderQuantity]</f>
        <v>48.84716455</v>
      </c>
    </row>
    <row r="2040" ht="15.75" customHeight="1">
      <c r="A2040" s="6">
        <v>11036.0</v>
      </c>
      <c r="B2040" s="7" t="s">
        <v>72</v>
      </c>
      <c r="C2040" s="24" t="str">
        <f>VLOOKUP(revenue[customerID],customers[],2,FALSE)</f>
        <v>Drachenblut Delikatessen</v>
      </c>
      <c r="D2040" s="24" t="str">
        <f>VLOOKUP(revenue[customerID],customers[],6,FALSE)</f>
        <v>Aachen</v>
      </c>
      <c r="E2040" s="24" t="str">
        <f>VLOOKUP(revenue[customerID],customers[],9,FALSE)</f>
        <v>Germany</v>
      </c>
      <c r="F2040" s="24">
        <v>45402.0</v>
      </c>
      <c r="G2040" s="6">
        <v>13.0</v>
      </c>
      <c r="H2040" s="9" t="str">
        <f>VLOOKUP(revenue[productID],products[],2,FALSE)</f>
        <v>Konbu</v>
      </c>
      <c r="I2040" s="9" t="str">
        <f>VLOOKUP(revenue[productID],products[],12,FALSE)</f>
        <v>Seafood</v>
      </c>
      <c r="J2040" s="9">
        <f>VLOOKUP(revenue[productID],products[],IF(YEAR(revenue[orderDate])=2022,8,IF(YEAR(revenue[orderDate])=2023,9,IF(YEAR(revenue[orderDate])=2024,10,NA))),FALSE)</f>
        <v>3.966387047</v>
      </c>
      <c r="K2040" s="9">
        <v>6.0</v>
      </c>
      <c r="L2040" s="25">
        <f>(revenue[orderPrice]-revenue[productCost])/revenue[productCost]</f>
        <v>0.5127116768</v>
      </c>
      <c r="M2040" s="10">
        <v>7.0</v>
      </c>
      <c r="N2040" s="25">
        <v>0.0</v>
      </c>
      <c r="O2040" s="9">
        <f>revenue[orderPrice]*revenue[orderQuantity]</f>
        <v>42</v>
      </c>
      <c r="P2040" s="9">
        <f>revenue[orderTotal]*(1-revenue[discountApllied])</f>
        <v>42</v>
      </c>
      <c r="Q2040" s="9">
        <f>revenue[revenue]-(revenue[productCost]*revenue[orderQuantity])</f>
        <v>14.23529067</v>
      </c>
      <c r="R2040" s="25">
        <f>IFERROR(revenue[profit]/revenue[revenue], 0)</f>
        <v>0.3389354922</v>
      </c>
      <c r="S2040" s="9">
        <f>revenue[productCost]*revenue[orderQuantity]</f>
        <v>27.76470933</v>
      </c>
    </row>
    <row r="2041" ht="15.75" customHeight="1">
      <c r="A2041" s="6">
        <v>11036.0</v>
      </c>
      <c r="B2041" s="7" t="s">
        <v>72</v>
      </c>
      <c r="C2041" s="24" t="str">
        <f>VLOOKUP(revenue[customerID],customers[],2,FALSE)</f>
        <v>Drachenblut Delikatessen</v>
      </c>
      <c r="D2041" s="24" t="str">
        <f>VLOOKUP(revenue[customerID],customers[],6,FALSE)</f>
        <v>Aachen</v>
      </c>
      <c r="E2041" s="24" t="str">
        <f>VLOOKUP(revenue[customerID],customers[],9,FALSE)</f>
        <v>Germany</v>
      </c>
      <c r="F2041" s="24">
        <v>45402.0</v>
      </c>
      <c r="G2041" s="6">
        <v>59.0</v>
      </c>
      <c r="H2041" s="9" t="str">
        <f>VLOOKUP(revenue[productID],products[],2,FALSE)</f>
        <v>Raclette Courdavault</v>
      </c>
      <c r="I2041" s="9" t="str">
        <f>VLOOKUP(revenue[productID],products[],12,FALSE)</f>
        <v>Dairy Products</v>
      </c>
      <c r="J2041" s="9">
        <f>VLOOKUP(revenue[productID],products[],IF(YEAR(revenue[orderDate])=2022,8,IF(YEAR(revenue[orderDate])=2023,9,IF(YEAR(revenue[orderDate])=2024,10,NA))),FALSE)</f>
        <v>36.74863711</v>
      </c>
      <c r="K2041" s="9">
        <v>55.0</v>
      </c>
      <c r="L2041" s="25">
        <f>(revenue[orderPrice]-revenue[productCost])/revenue[productCost]</f>
        <v>0.4966541435</v>
      </c>
      <c r="M2041" s="10">
        <v>30.0</v>
      </c>
      <c r="N2041" s="25">
        <v>0.0</v>
      </c>
      <c r="O2041" s="9">
        <f>revenue[orderPrice]*revenue[orderQuantity]</f>
        <v>1650</v>
      </c>
      <c r="P2041" s="9">
        <f>revenue[orderTotal]*(1-revenue[discountApllied])</f>
        <v>1650</v>
      </c>
      <c r="Q2041" s="9">
        <f>revenue[revenue]-(revenue[productCost]*revenue[orderQuantity])</f>
        <v>547.5408867</v>
      </c>
      <c r="R2041" s="25">
        <f>IFERROR(revenue[profit]/revenue[revenue], 0)</f>
        <v>0.3318429616</v>
      </c>
      <c r="S2041" s="9">
        <f>revenue[productCost]*revenue[orderQuantity]</f>
        <v>1102.459113</v>
      </c>
    </row>
    <row r="2042" ht="15.75" customHeight="1">
      <c r="A2042" s="6">
        <v>11037.0</v>
      </c>
      <c r="B2042" s="7" t="s">
        <v>51</v>
      </c>
      <c r="C2042" s="24" t="str">
        <f>VLOOKUP(revenue[customerID],customers[],2,FALSE)</f>
        <v>Godos Cocina Típica</v>
      </c>
      <c r="D2042" s="24" t="str">
        <f>VLOOKUP(revenue[customerID],customers[],6,FALSE)</f>
        <v>Sevilla</v>
      </c>
      <c r="E2042" s="24" t="str">
        <f>VLOOKUP(revenue[customerID],customers[],9,FALSE)</f>
        <v>Spain</v>
      </c>
      <c r="F2042" s="24">
        <v>45403.0</v>
      </c>
      <c r="G2042" s="6">
        <v>70.0</v>
      </c>
      <c r="H2042" s="9" t="str">
        <f>VLOOKUP(revenue[productID],products[],2,FALSE)</f>
        <v>Outback Lager</v>
      </c>
      <c r="I2042" s="9" t="str">
        <f>VLOOKUP(revenue[productID],products[],12,FALSE)</f>
        <v>Beverages</v>
      </c>
      <c r="J2042" s="9">
        <f>VLOOKUP(revenue[productID],products[],IF(YEAR(revenue[orderDate])=2022,8,IF(YEAR(revenue[orderDate])=2023,9,IF(YEAR(revenue[orderDate])=2024,10,NA))),FALSE)</f>
        <v>10.03280812</v>
      </c>
      <c r="K2042" s="9">
        <v>15.0</v>
      </c>
      <c r="L2042" s="25">
        <f>(revenue[orderPrice]-revenue[productCost])/revenue[productCost]</f>
        <v>0.4950948747</v>
      </c>
      <c r="M2042" s="10">
        <v>4.0</v>
      </c>
      <c r="N2042" s="25">
        <v>0.0</v>
      </c>
      <c r="O2042" s="9">
        <f>revenue[orderPrice]*revenue[orderQuantity]</f>
        <v>60</v>
      </c>
      <c r="P2042" s="9">
        <f>revenue[orderTotal]*(1-revenue[discountApllied])</f>
        <v>60</v>
      </c>
      <c r="Q2042" s="9">
        <f>revenue[revenue]-(revenue[productCost]*revenue[orderQuantity])</f>
        <v>19.86876752</v>
      </c>
      <c r="R2042" s="25">
        <f>IFERROR(revenue[profit]/revenue[revenue], 0)</f>
        <v>0.3311461253</v>
      </c>
      <c r="S2042" s="9">
        <f>revenue[productCost]*revenue[orderQuantity]</f>
        <v>40.13123248</v>
      </c>
    </row>
    <row r="2043" ht="15.75" customHeight="1">
      <c r="A2043" s="6">
        <v>11038.0</v>
      </c>
      <c r="B2043" s="7" t="s">
        <v>19</v>
      </c>
      <c r="C2043" s="24" t="str">
        <f>VLOOKUP(revenue[customerID],customers[],2,FALSE)</f>
        <v>Suprêmes délices</v>
      </c>
      <c r="D2043" s="24" t="str">
        <f>VLOOKUP(revenue[customerID],customers[],6,FALSE)</f>
        <v>Charleroi</v>
      </c>
      <c r="E2043" s="24" t="str">
        <f>VLOOKUP(revenue[customerID],customers[],9,FALSE)</f>
        <v>Belgium</v>
      </c>
      <c r="F2043" s="24">
        <v>45403.0</v>
      </c>
      <c r="G2043" s="6">
        <v>40.0</v>
      </c>
      <c r="H2043" s="9" t="str">
        <f>VLOOKUP(revenue[productID],products[],2,FALSE)</f>
        <v>Boston Crab Meat</v>
      </c>
      <c r="I2043" s="9" t="str">
        <f>VLOOKUP(revenue[productID],products[],12,FALSE)</f>
        <v>Seafood</v>
      </c>
      <c r="J2043" s="9">
        <f>VLOOKUP(revenue[productID],products[],IF(YEAR(revenue[orderDate])=2022,8,IF(YEAR(revenue[orderDate])=2023,9,IF(YEAR(revenue[orderDate])=2024,10,NA))),FALSE)</f>
        <v>12.44307</v>
      </c>
      <c r="K2043" s="9">
        <v>18.4</v>
      </c>
      <c r="L2043" s="25">
        <f>(revenue[orderPrice]-revenue[productCost])/revenue[productCost]</f>
        <v>0.4787347499</v>
      </c>
      <c r="M2043" s="10">
        <v>5.0</v>
      </c>
      <c r="N2043" s="25">
        <v>0.2</v>
      </c>
      <c r="O2043" s="9">
        <f>revenue[orderPrice]*revenue[orderQuantity]</f>
        <v>92</v>
      </c>
      <c r="P2043" s="9">
        <f>revenue[orderTotal]*(1-revenue[discountApllied])</f>
        <v>73.6</v>
      </c>
      <c r="Q2043" s="9">
        <f>revenue[revenue]-(revenue[productCost]*revenue[orderQuantity])</f>
        <v>11.38465001</v>
      </c>
      <c r="R2043" s="25">
        <f>IFERROR(revenue[profit]/revenue[revenue], 0)</f>
        <v>0.1546827447</v>
      </c>
      <c r="S2043" s="9">
        <f>revenue[productCost]*revenue[orderQuantity]</f>
        <v>62.21534999</v>
      </c>
    </row>
    <row r="2044" ht="15.75" customHeight="1">
      <c r="A2044" s="6">
        <v>11038.0</v>
      </c>
      <c r="B2044" s="7" t="s">
        <v>19</v>
      </c>
      <c r="C2044" s="24" t="str">
        <f>VLOOKUP(revenue[customerID],customers[],2,FALSE)</f>
        <v>Suprêmes délices</v>
      </c>
      <c r="D2044" s="24" t="str">
        <f>VLOOKUP(revenue[customerID],customers[],6,FALSE)</f>
        <v>Charleroi</v>
      </c>
      <c r="E2044" s="24" t="str">
        <f>VLOOKUP(revenue[customerID],customers[],9,FALSE)</f>
        <v>Belgium</v>
      </c>
      <c r="F2044" s="24">
        <v>45403.0</v>
      </c>
      <c r="G2044" s="6">
        <v>52.0</v>
      </c>
      <c r="H2044" s="9" t="str">
        <f>VLOOKUP(revenue[productID],products[],2,FALSE)</f>
        <v>Filo Mix</v>
      </c>
      <c r="I2044" s="9" t="str">
        <f>VLOOKUP(revenue[productID],products[],12,FALSE)</f>
        <v>Grains/Cereals</v>
      </c>
      <c r="J2044" s="9">
        <f>VLOOKUP(revenue[productID],products[],IF(YEAR(revenue[orderDate])=2022,8,IF(YEAR(revenue[orderDate])=2023,9,IF(YEAR(revenue[orderDate])=2024,10,NA))),FALSE)</f>
        <v>5.222223442</v>
      </c>
      <c r="K2044" s="9">
        <v>7.0</v>
      </c>
      <c r="L2044" s="25">
        <f>(revenue[orderPrice]-revenue[productCost])/revenue[productCost]</f>
        <v>0.3404252188</v>
      </c>
      <c r="M2044" s="10">
        <v>2.0</v>
      </c>
      <c r="N2044" s="25">
        <v>0.0</v>
      </c>
      <c r="O2044" s="9">
        <f>revenue[orderPrice]*revenue[orderQuantity]</f>
        <v>14</v>
      </c>
      <c r="P2044" s="9">
        <f>revenue[orderTotal]*(1-revenue[discountApllied])</f>
        <v>14</v>
      </c>
      <c r="Q2044" s="9">
        <f>revenue[revenue]-(revenue[productCost]*revenue[orderQuantity])</f>
        <v>3.555553116</v>
      </c>
      <c r="R2044" s="25">
        <f>IFERROR(revenue[profit]/revenue[revenue], 0)</f>
        <v>0.2539680797</v>
      </c>
      <c r="S2044" s="9">
        <f>revenue[productCost]*revenue[orderQuantity]</f>
        <v>10.44444688</v>
      </c>
    </row>
    <row r="2045" ht="15.75" customHeight="1">
      <c r="A2045" s="6">
        <v>11038.0</v>
      </c>
      <c r="B2045" s="7" t="s">
        <v>19</v>
      </c>
      <c r="C2045" s="24" t="str">
        <f>VLOOKUP(revenue[customerID],customers[],2,FALSE)</f>
        <v>Suprêmes délices</v>
      </c>
      <c r="D2045" s="24" t="str">
        <f>VLOOKUP(revenue[customerID],customers[],6,FALSE)</f>
        <v>Charleroi</v>
      </c>
      <c r="E2045" s="24" t="str">
        <f>VLOOKUP(revenue[customerID],customers[],9,FALSE)</f>
        <v>Belgium</v>
      </c>
      <c r="F2045" s="24">
        <v>45403.0</v>
      </c>
      <c r="G2045" s="6">
        <v>71.0</v>
      </c>
      <c r="H2045" s="9" t="str">
        <f>VLOOKUP(revenue[productID],products[],2,FALSE)</f>
        <v>Flotemysost</v>
      </c>
      <c r="I2045" s="9" t="str">
        <f>VLOOKUP(revenue[productID],products[],12,FALSE)</f>
        <v>Dairy Products</v>
      </c>
      <c r="J2045" s="9">
        <f>VLOOKUP(revenue[productID],products[],IF(YEAR(revenue[orderDate])=2022,8,IF(YEAR(revenue[orderDate])=2023,9,IF(YEAR(revenue[orderDate])=2024,10,NA))),FALSE)</f>
        <v>14.20977576</v>
      </c>
      <c r="K2045" s="9">
        <v>21.5</v>
      </c>
      <c r="L2045" s="25">
        <f>(revenue[orderPrice]-revenue[productCost])/revenue[productCost]</f>
        <v>0.5130428769</v>
      </c>
      <c r="M2045" s="10">
        <v>30.0</v>
      </c>
      <c r="N2045" s="25">
        <v>0.0</v>
      </c>
      <c r="O2045" s="9">
        <f>revenue[orderPrice]*revenue[orderQuantity]</f>
        <v>645</v>
      </c>
      <c r="P2045" s="9">
        <f>revenue[orderTotal]*(1-revenue[discountApllied])</f>
        <v>645</v>
      </c>
      <c r="Q2045" s="9">
        <f>revenue[revenue]-(revenue[productCost]*revenue[orderQuantity])</f>
        <v>218.7067271</v>
      </c>
      <c r="R2045" s="25">
        <f>IFERROR(revenue[profit]/revenue[revenue], 0)</f>
        <v>0.3390801971</v>
      </c>
      <c r="S2045" s="9">
        <f>revenue[productCost]*revenue[orderQuantity]</f>
        <v>426.2932729</v>
      </c>
    </row>
    <row r="2046" ht="15.75" customHeight="1">
      <c r="A2046" s="6">
        <v>11039.0</v>
      </c>
      <c r="B2046" s="7" t="s">
        <v>82</v>
      </c>
      <c r="C2046" s="24" t="str">
        <f>VLOOKUP(revenue[customerID],customers[],2,FALSE)</f>
        <v>LINO-Delicateses</v>
      </c>
      <c r="D2046" s="24" t="str">
        <f>VLOOKUP(revenue[customerID],customers[],6,FALSE)</f>
        <v>I. de Margarita</v>
      </c>
      <c r="E2046" s="24" t="str">
        <f>VLOOKUP(revenue[customerID],customers[],9,FALSE)</f>
        <v>Venezuela</v>
      </c>
      <c r="F2046" s="24">
        <v>45403.0</v>
      </c>
      <c r="G2046" s="6">
        <v>28.0</v>
      </c>
      <c r="H2046" s="9" t="str">
        <f>VLOOKUP(revenue[productID],products[],2,FALSE)</f>
        <v>Rössle Sauerkraut</v>
      </c>
      <c r="I2046" s="9" t="str">
        <f>VLOOKUP(revenue[productID],products[],12,FALSE)</f>
        <v>Produce</v>
      </c>
      <c r="J2046" s="9">
        <f>VLOOKUP(revenue[productID],products[],IF(YEAR(revenue[orderDate])=2022,8,IF(YEAR(revenue[orderDate])=2023,9,IF(YEAR(revenue[orderDate])=2024,10,NA))),FALSE)</f>
        <v>34.18502761</v>
      </c>
      <c r="K2046" s="9">
        <v>45.6</v>
      </c>
      <c r="L2046" s="25">
        <f>(revenue[orderPrice]-revenue[productCost])/revenue[productCost]</f>
        <v>0.3339173079</v>
      </c>
      <c r="M2046" s="10">
        <v>20.0</v>
      </c>
      <c r="N2046" s="25">
        <v>0.0</v>
      </c>
      <c r="O2046" s="9">
        <f>revenue[orderPrice]*revenue[orderQuantity]</f>
        <v>912</v>
      </c>
      <c r="P2046" s="9">
        <f>revenue[orderTotal]*(1-revenue[discountApllied])</f>
        <v>912</v>
      </c>
      <c r="Q2046" s="9">
        <f>revenue[revenue]-(revenue[productCost]*revenue[orderQuantity])</f>
        <v>228.2994478</v>
      </c>
      <c r="R2046" s="25">
        <f>IFERROR(revenue[profit]/revenue[revenue], 0)</f>
        <v>0.2503283419</v>
      </c>
      <c r="S2046" s="9">
        <f>revenue[productCost]*revenue[orderQuantity]</f>
        <v>683.7005522</v>
      </c>
    </row>
    <row r="2047" ht="15.75" customHeight="1">
      <c r="A2047" s="6">
        <v>11039.0</v>
      </c>
      <c r="B2047" s="7" t="s">
        <v>82</v>
      </c>
      <c r="C2047" s="24" t="str">
        <f>VLOOKUP(revenue[customerID],customers[],2,FALSE)</f>
        <v>LINO-Delicateses</v>
      </c>
      <c r="D2047" s="24" t="str">
        <f>VLOOKUP(revenue[customerID],customers[],6,FALSE)</f>
        <v>I. de Margarita</v>
      </c>
      <c r="E2047" s="24" t="str">
        <f>VLOOKUP(revenue[customerID],customers[],9,FALSE)</f>
        <v>Venezuela</v>
      </c>
      <c r="F2047" s="24">
        <v>45403.0</v>
      </c>
      <c r="G2047" s="6">
        <v>35.0</v>
      </c>
      <c r="H2047" s="9" t="str">
        <f>VLOOKUP(revenue[productID],products[],2,FALSE)</f>
        <v>Cold Brew Nitro</v>
      </c>
      <c r="I2047" s="9" t="str">
        <f>VLOOKUP(revenue[productID],products[],12,FALSE)</f>
        <v>Beverages</v>
      </c>
      <c r="J2047" s="9">
        <f>VLOOKUP(revenue[productID],products[],IF(YEAR(revenue[orderDate])=2022,8,IF(YEAR(revenue[orderDate])=2023,9,IF(YEAR(revenue[orderDate])=2024,10,NA))),FALSE)</f>
        <v>12.9261692</v>
      </c>
      <c r="K2047" s="9">
        <v>18.0</v>
      </c>
      <c r="L2047" s="25">
        <f>(revenue[orderPrice]-revenue[productCost])/revenue[productCost]</f>
        <v>0.3925239355</v>
      </c>
      <c r="M2047" s="10">
        <v>24.0</v>
      </c>
      <c r="N2047" s="25">
        <v>0.0</v>
      </c>
      <c r="O2047" s="9">
        <f>revenue[orderPrice]*revenue[orderQuantity]</f>
        <v>432</v>
      </c>
      <c r="P2047" s="9">
        <f>revenue[orderTotal]*(1-revenue[discountApllied])</f>
        <v>432</v>
      </c>
      <c r="Q2047" s="9">
        <f>revenue[revenue]-(revenue[productCost]*revenue[orderQuantity])</f>
        <v>121.7719393</v>
      </c>
      <c r="R2047" s="25">
        <f>IFERROR(revenue[profit]/revenue[revenue], 0)</f>
        <v>0.2818794891</v>
      </c>
      <c r="S2047" s="9">
        <f>revenue[productCost]*revenue[orderQuantity]</f>
        <v>310.2280607</v>
      </c>
    </row>
    <row r="2048" ht="15.75" customHeight="1">
      <c r="A2048" s="6">
        <v>11039.0</v>
      </c>
      <c r="B2048" s="7" t="s">
        <v>82</v>
      </c>
      <c r="C2048" s="24" t="str">
        <f>VLOOKUP(revenue[customerID],customers[],2,FALSE)</f>
        <v>LINO-Delicateses</v>
      </c>
      <c r="D2048" s="24" t="str">
        <f>VLOOKUP(revenue[customerID],customers[],6,FALSE)</f>
        <v>I. de Margarita</v>
      </c>
      <c r="E2048" s="24" t="str">
        <f>VLOOKUP(revenue[customerID],customers[],9,FALSE)</f>
        <v>Venezuela</v>
      </c>
      <c r="F2048" s="24">
        <v>45403.0</v>
      </c>
      <c r="G2048" s="6">
        <v>49.0</v>
      </c>
      <c r="H2048" s="9" t="str">
        <f>VLOOKUP(revenue[productID],products[],2,FALSE)</f>
        <v>Maxilaku</v>
      </c>
      <c r="I2048" s="9" t="str">
        <f>VLOOKUP(revenue[productID],products[],12,FALSE)</f>
        <v>Confections</v>
      </c>
      <c r="J2048" s="9">
        <f>VLOOKUP(revenue[productID],products[],IF(YEAR(revenue[orderDate])=2022,8,IF(YEAR(revenue[orderDate])=2023,9,IF(YEAR(revenue[orderDate])=2024,10,NA))),FALSE)</f>
        <v>15.07459899</v>
      </c>
      <c r="K2048" s="9">
        <v>20.0</v>
      </c>
      <c r="L2048" s="25">
        <f>(revenue[orderPrice]-revenue[productCost])/revenue[productCost]</f>
        <v>0.3267351269</v>
      </c>
      <c r="M2048" s="10">
        <v>60.0</v>
      </c>
      <c r="N2048" s="25">
        <v>0.0</v>
      </c>
      <c r="O2048" s="9">
        <f>revenue[orderPrice]*revenue[orderQuantity]</f>
        <v>1200</v>
      </c>
      <c r="P2048" s="9">
        <f>revenue[orderTotal]*(1-revenue[discountApllied])</f>
        <v>1200</v>
      </c>
      <c r="Q2048" s="9">
        <f>revenue[revenue]-(revenue[productCost]*revenue[orderQuantity])</f>
        <v>295.5240608</v>
      </c>
      <c r="R2048" s="25">
        <f>IFERROR(revenue[profit]/revenue[revenue], 0)</f>
        <v>0.2462700507</v>
      </c>
      <c r="S2048" s="9">
        <f>revenue[productCost]*revenue[orderQuantity]</f>
        <v>904.4759392</v>
      </c>
    </row>
    <row r="2049" ht="15.75" customHeight="1">
      <c r="A2049" s="6">
        <v>11039.0</v>
      </c>
      <c r="B2049" s="7" t="s">
        <v>82</v>
      </c>
      <c r="C2049" s="24" t="str">
        <f>VLOOKUP(revenue[customerID],customers[],2,FALSE)</f>
        <v>LINO-Delicateses</v>
      </c>
      <c r="D2049" s="24" t="str">
        <f>VLOOKUP(revenue[customerID],customers[],6,FALSE)</f>
        <v>I. de Margarita</v>
      </c>
      <c r="E2049" s="24" t="str">
        <f>VLOOKUP(revenue[customerID],customers[],9,FALSE)</f>
        <v>Venezuela</v>
      </c>
      <c r="F2049" s="24">
        <v>45403.0</v>
      </c>
      <c r="G2049" s="6">
        <v>57.0</v>
      </c>
      <c r="H2049" s="9" t="str">
        <f>VLOOKUP(revenue[productID],products[],2,FALSE)</f>
        <v>Ravioli Angelo</v>
      </c>
      <c r="I2049" s="9" t="str">
        <f>VLOOKUP(revenue[productID],products[],12,FALSE)</f>
        <v>Grains/Cereals</v>
      </c>
      <c r="J2049" s="9">
        <f>VLOOKUP(revenue[productID],products[],IF(YEAR(revenue[orderDate])=2022,8,IF(YEAR(revenue[orderDate])=2023,9,IF(YEAR(revenue[orderDate])=2024,10,NA))),FALSE)</f>
        <v>14.29534762</v>
      </c>
      <c r="K2049" s="9">
        <v>19.5</v>
      </c>
      <c r="L2049" s="25">
        <f>(revenue[orderPrice]-revenue[productCost])/revenue[productCost]</f>
        <v>0.3640801552</v>
      </c>
      <c r="M2049" s="10">
        <v>28.0</v>
      </c>
      <c r="N2049" s="25">
        <v>0.0</v>
      </c>
      <c r="O2049" s="9">
        <f>revenue[orderPrice]*revenue[orderQuantity]</f>
        <v>546</v>
      </c>
      <c r="P2049" s="9">
        <f>revenue[orderTotal]*(1-revenue[discountApllied])</f>
        <v>546</v>
      </c>
      <c r="Q2049" s="9">
        <f>revenue[revenue]-(revenue[productCost]*revenue[orderQuantity])</f>
        <v>145.7302667</v>
      </c>
      <c r="R2049" s="25">
        <f>IFERROR(revenue[profit]/revenue[revenue], 0)</f>
        <v>0.2669052503</v>
      </c>
      <c r="S2049" s="9">
        <f>revenue[productCost]*revenue[orderQuantity]</f>
        <v>400.2697333</v>
      </c>
    </row>
    <row r="2050" ht="15.75" customHeight="1">
      <c r="A2050" s="6">
        <v>11040.0</v>
      </c>
      <c r="B2050" s="7" t="s">
        <v>94</v>
      </c>
      <c r="C2050" s="24" t="str">
        <f>VLOOKUP(revenue[customerID],customers[],2,FALSE)</f>
        <v>Great Lakes Food Market</v>
      </c>
      <c r="D2050" s="24" t="str">
        <f>VLOOKUP(revenue[customerID],customers[],6,FALSE)</f>
        <v>Eugene</v>
      </c>
      <c r="E2050" s="24" t="str">
        <f>VLOOKUP(revenue[customerID],customers[],9,FALSE)</f>
        <v>USA</v>
      </c>
      <c r="F2050" s="24">
        <v>45404.0</v>
      </c>
      <c r="G2050" s="6">
        <v>21.0</v>
      </c>
      <c r="H2050" s="9" t="str">
        <f>VLOOKUP(revenue[productID],products[],2,FALSE)</f>
        <v>Sir Rodney's Scones</v>
      </c>
      <c r="I2050" s="9" t="str">
        <f>VLOOKUP(revenue[productID],products[],12,FALSE)</f>
        <v>Confections</v>
      </c>
      <c r="J2050" s="9">
        <f>VLOOKUP(revenue[productID],products[],IF(YEAR(revenue[orderDate])=2022,8,IF(YEAR(revenue[orderDate])=2023,9,IF(YEAR(revenue[orderDate])=2024,10,NA))),FALSE)</f>
        <v>7.459897593</v>
      </c>
      <c r="K2050" s="9">
        <v>10.0</v>
      </c>
      <c r="L2050" s="25">
        <f>(revenue[orderPrice]-revenue[productCost])/revenue[productCost]</f>
        <v>0.3405009753</v>
      </c>
      <c r="M2050" s="10">
        <v>20.0</v>
      </c>
      <c r="N2050" s="25">
        <v>0.0</v>
      </c>
      <c r="O2050" s="9">
        <f>revenue[orderPrice]*revenue[orderQuantity]</f>
        <v>200</v>
      </c>
      <c r="P2050" s="9">
        <f>revenue[orderTotal]*(1-revenue[discountApllied])</f>
        <v>200</v>
      </c>
      <c r="Q2050" s="9">
        <f>revenue[revenue]-(revenue[productCost]*revenue[orderQuantity])</f>
        <v>50.80204813</v>
      </c>
      <c r="R2050" s="25">
        <f>IFERROR(revenue[profit]/revenue[revenue], 0)</f>
        <v>0.2540102407</v>
      </c>
      <c r="S2050" s="9">
        <f>revenue[productCost]*revenue[orderQuantity]</f>
        <v>149.1979519</v>
      </c>
    </row>
    <row r="2051" ht="15.75" customHeight="1">
      <c r="A2051" s="6">
        <v>11041.0</v>
      </c>
      <c r="B2051" s="7" t="s">
        <v>20</v>
      </c>
      <c r="C2051" s="24" t="str">
        <f>VLOOKUP(revenue[customerID],customers[],2,FALSE)</f>
        <v>Chop-suey Chinese</v>
      </c>
      <c r="D2051" s="24" t="str">
        <f>VLOOKUP(revenue[customerID],customers[],6,FALSE)</f>
        <v>Bern</v>
      </c>
      <c r="E2051" s="24" t="str">
        <f>VLOOKUP(revenue[customerID],customers[],9,FALSE)</f>
        <v>Switzerland</v>
      </c>
      <c r="F2051" s="24">
        <v>45404.0</v>
      </c>
      <c r="G2051" s="6">
        <v>2.0</v>
      </c>
      <c r="H2051" s="9" t="str">
        <f>VLOOKUP(revenue[productID],products[],2,FALSE)</f>
        <v>Chang</v>
      </c>
      <c r="I2051" s="9" t="str">
        <f>VLOOKUP(revenue[productID],products[],12,FALSE)</f>
        <v>Beverages</v>
      </c>
      <c r="J2051" s="9">
        <f>VLOOKUP(revenue[productID],products[],IF(YEAR(revenue[orderDate])=2022,8,IF(YEAR(revenue[orderDate])=2023,9,IF(YEAR(revenue[orderDate])=2024,10,NA))),FALSE)</f>
        <v>11.93843713</v>
      </c>
      <c r="K2051" s="9">
        <v>19.0</v>
      </c>
      <c r="L2051" s="25">
        <f>(revenue[orderPrice]-revenue[productCost])/revenue[productCost]</f>
        <v>0.591498099</v>
      </c>
      <c r="M2051" s="10">
        <v>30.0</v>
      </c>
      <c r="N2051" s="25">
        <v>0.2</v>
      </c>
      <c r="O2051" s="9">
        <f>revenue[orderPrice]*revenue[orderQuantity]</f>
        <v>570</v>
      </c>
      <c r="P2051" s="9">
        <f>revenue[orderTotal]*(1-revenue[discountApllied])</f>
        <v>456</v>
      </c>
      <c r="Q2051" s="9">
        <f>revenue[revenue]-(revenue[productCost]*revenue[orderQuantity])</f>
        <v>97.84688605</v>
      </c>
      <c r="R2051" s="25">
        <f>IFERROR(revenue[profit]/revenue[revenue], 0)</f>
        <v>0.2145765045</v>
      </c>
      <c r="S2051" s="9">
        <f>revenue[productCost]*revenue[orderQuantity]</f>
        <v>358.153114</v>
      </c>
    </row>
    <row r="2052" ht="15.75" customHeight="1">
      <c r="A2052" s="6">
        <v>11041.0</v>
      </c>
      <c r="B2052" s="7" t="s">
        <v>20</v>
      </c>
      <c r="C2052" s="24" t="str">
        <f>VLOOKUP(revenue[customerID],customers[],2,FALSE)</f>
        <v>Chop-suey Chinese</v>
      </c>
      <c r="D2052" s="24" t="str">
        <f>VLOOKUP(revenue[customerID],customers[],6,FALSE)</f>
        <v>Bern</v>
      </c>
      <c r="E2052" s="24" t="str">
        <f>VLOOKUP(revenue[customerID],customers[],9,FALSE)</f>
        <v>Switzerland</v>
      </c>
      <c r="F2052" s="24">
        <v>45404.0</v>
      </c>
      <c r="G2052" s="6">
        <v>63.0</v>
      </c>
      <c r="H2052" s="9" t="str">
        <f>VLOOKUP(revenue[productID],products[],2,FALSE)</f>
        <v>Vegie-spread</v>
      </c>
      <c r="I2052" s="9" t="str">
        <f>VLOOKUP(revenue[productID],products[],12,FALSE)</f>
        <v>Condiments</v>
      </c>
      <c r="J2052" s="9">
        <f>VLOOKUP(revenue[productID],products[],IF(YEAR(revenue[orderDate])=2022,8,IF(YEAR(revenue[orderDate])=2023,9,IF(YEAR(revenue[orderDate])=2024,10,NA))),FALSE)</f>
        <v>32.59198577</v>
      </c>
      <c r="K2052" s="9">
        <v>43.9</v>
      </c>
      <c r="L2052" s="25">
        <f>(revenue[orderPrice]-revenue[productCost])/revenue[productCost]</f>
        <v>0.3469568963</v>
      </c>
      <c r="M2052" s="10">
        <v>30.0</v>
      </c>
      <c r="N2052" s="25">
        <v>0.0</v>
      </c>
      <c r="O2052" s="9">
        <f>revenue[orderPrice]*revenue[orderQuantity]</f>
        <v>1317</v>
      </c>
      <c r="P2052" s="9">
        <f>revenue[orderTotal]*(1-revenue[discountApllied])</f>
        <v>1317</v>
      </c>
      <c r="Q2052" s="9">
        <f>revenue[revenue]-(revenue[productCost]*revenue[orderQuantity])</f>
        <v>339.2404268</v>
      </c>
      <c r="R2052" s="25">
        <f>IFERROR(revenue[profit]/revenue[revenue], 0)</f>
        <v>0.2575857455</v>
      </c>
      <c r="S2052" s="9">
        <f>revenue[productCost]*revenue[orderQuantity]</f>
        <v>977.7595732</v>
      </c>
    </row>
    <row r="2053" ht="15.75" customHeight="1">
      <c r="A2053" s="6">
        <v>11042.0</v>
      </c>
      <c r="B2053" s="7" t="s">
        <v>47</v>
      </c>
      <c r="C2053" s="24" t="str">
        <f>VLOOKUP(revenue[customerID],customers[],2,FALSE)</f>
        <v>Comércio Mineiro</v>
      </c>
      <c r="D2053" s="24" t="str">
        <f>VLOOKUP(revenue[customerID],customers[],6,FALSE)</f>
        <v>Sao Paulo</v>
      </c>
      <c r="E2053" s="24" t="str">
        <f>VLOOKUP(revenue[customerID],customers[],9,FALSE)</f>
        <v>Brazil</v>
      </c>
      <c r="F2053" s="24">
        <v>45404.0</v>
      </c>
      <c r="G2053" s="6">
        <v>44.0</v>
      </c>
      <c r="H2053" s="9" t="str">
        <f>VLOOKUP(revenue[productID],products[],2,FALSE)</f>
        <v>Gula Malacca</v>
      </c>
      <c r="I2053" s="9" t="str">
        <f>VLOOKUP(revenue[productID],products[],12,FALSE)</f>
        <v>Condiments</v>
      </c>
      <c r="J2053" s="9">
        <f>VLOOKUP(revenue[productID],products[],IF(YEAR(revenue[orderDate])=2022,8,IF(YEAR(revenue[orderDate])=2023,9,IF(YEAR(revenue[orderDate])=2024,10,NA))),FALSE)</f>
        <v>12.27831512</v>
      </c>
      <c r="K2053" s="9">
        <v>19.45</v>
      </c>
      <c r="L2053" s="25">
        <f>(revenue[orderPrice]-revenue[productCost])/revenue[productCost]</f>
        <v>0.5840935672</v>
      </c>
      <c r="M2053" s="10">
        <v>15.0</v>
      </c>
      <c r="N2053" s="25">
        <v>0.0</v>
      </c>
      <c r="O2053" s="9">
        <f>revenue[orderPrice]*revenue[orderQuantity]</f>
        <v>291.75</v>
      </c>
      <c r="P2053" s="9">
        <f>revenue[orderTotal]*(1-revenue[discountApllied])</f>
        <v>291.75</v>
      </c>
      <c r="Q2053" s="9">
        <f>revenue[revenue]-(revenue[productCost]*revenue[orderQuantity])</f>
        <v>107.5752732</v>
      </c>
      <c r="R2053" s="25">
        <f>IFERROR(revenue[profit]/revenue[revenue], 0)</f>
        <v>0.3687241583</v>
      </c>
      <c r="S2053" s="9">
        <f>revenue[productCost]*revenue[orderQuantity]</f>
        <v>184.1747268</v>
      </c>
    </row>
    <row r="2054" ht="15.75" customHeight="1">
      <c r="A2054" s="6">
        <v>11042.0</v>
      </c>
      <c r="B2054" s="7" t="s">
        <v>47</v>
      </c>
      <c r="C2054" s="24" t="str">
        <f>VLOOKUP(revenue[customerID],customers[],2,FALSE)</f>
        <v>Comércio Mineiro</v>
      </c>
      <c r="D2054" s="24" t="str">
        <f>VLOOKUP(revenue[customerID],customers[],6,FALSE)</f>
        <v>Sao Paulo</v>
      </c>
      <c r="E2054" s="24" t="str">
        <f>VLOOKUP(revenue[customerID],customers[],9,FALSE)</f>
        <v>Brazil</v>
      </c>
      <c r="F2054" s="24">
        <v>45404.0</v>
      </c>
      <c r="G2054" s="6">
        <v>61.0</v>
      </c>
      <c r="H2054" s="9" t="str">
        <f>VLOOKUP(revenue[productID],products[],2,FALSE)</f>
        <v>Sirop d'érable</v>
      </c>
      <c r="I2054" s="9" t="str">
        <f>VLOOKUP(revenue[productID],products[],12,FALSE)</f>
        <v>Condiments</v>
      </c>
      <c r="J2054" s="9">
        <f>VLOOKUP(revenue[productID],products[],IF(YEAR(revenue[orderDate])=2022,8,IF(YEAR(revenue[orderDate])=2023,9,IF(YEAR(revenue[orderDate])=2024,10,NA))),FALSE)</f>
        <v>18.74487379</v>
      </c>
      <c r="K2054" s="9">
        <v>28.5</v>
      </c>
      <c r="L2054" s="25">
        <f>(revenue[orderPrice]-revenue[productCost])/revenue[productCost]</f>
        <v>0.5204156786</v>
      </c>
      <c r="M2054" s="10">
        <v>4.0</v>
      </c>
      <c r="N2054" s="25">
        <v>0.0</v>
      </c>
      <c r="O2054" s="9">
        <f>revenue[orderPrice]*revenue[orderQuantity]</f>
        <v>114</v>
      </c>
      <c r="P2054" s="9">
        <f>revenue[orderTotal]*(1-revenue[discountApllied])</f>
        <v>114</v>
      </c>
      <c r="Q2054" s="9">
        <f>revenue[revenue]-(revenue[productCost]*revenue[orderQuantity])</f>
        <v>39.02050485</v>
      </c>
      <c r="R2054" s="25">
        <f>IFERROR(revenue[profit]/revenue[revenue], 0)</f>
        <v>0.3422851303</v>
      </c>
      <c r="S2054" s="9">
        <f>revenue[productCost]*revenue[orderQuantity]</f>
        <v>74.97949515</v>
      </c>
    </row>
    <row r="2055" ht="15.75" customHeight="1">
      <c r="A2055" s="6">
        <v>11043.0</v>
      </c>
      <c r="B2055" s="7" t="s">
        <v>102</v>
      </c>
      <c r="C2055" s="24" t="str">
        <f>VLOOKUP(revenue[customerID],customers[],2,FALSE)</f>
        <v>Spécialités du monde</v>
      </c>
      <c r="D2055" s="24" t="str">
        <f>VLOOKUP(revenue[customerID],customers[],6,FALSE)</f>
        <v>Paris</v>
      </c>
      <c r="E2055" s="24" t="str">
        <f>VLOOKUP(revenue[customerID],customers[],9,FALSE)</f>
        <v>France</v>
      </c>
      <c r="F2055" s="24">
        <v>45404.0</v>
      </c>
      <c r="G2055" s="6">
        <v>11.0</v>
      </c>
      <c r="H2055" s="9" t="str">
        <f>VLOOKUP(revenue[productID],products[],2,FALSE)</f>
        <v>Queso Cabrales</v>
      </c>
      <c r="I2055" s="9" t="str">
        <f>VLOOKUP(revenue[productID],products[],12,FALSE)</f>
        <v>Dairy Products</v>
      </c>
      <c r="J2055" s="9">
        <f>VLOOKUP(revenue[productID],products[],IF(YEAR(revenue[orderDate])=2022,8,IF(YEAR(revenue[orderDate])=2023,9,IF(YEAR(revenue[orderDate])=2024,10,NA))),FALSE)</f>
        <v>13.86836261</v>
      </c>
      <c r="K2055" s="9">
        <v>21.0</v>
      </c>
      <c r="L2055" s="25">
        <f>(revenue[orderPrice]-revenue[productCost])/revenue[productCost]</f>
        <v>0.51423788</v>
      </c>
      <c r="M2055" s="10">
        <v>10.0</v>
      </c>
      <c r="N2055" s="25">
        <v>0.0</v>
      </c>
      <c r="O2055" s="9">
        <f>revenue[orderPrice]*revenue[orderQuantity]</f>
        <v>210</v>
      </c>
      <c r="P2055" s="9">
        <f>revenue[orderTotal]*(1-revenue[discountApllied])</f>
        <v>210</v>
      </c>
      <c r="Q2055" s="9">
        <f>revenue[revenue]-(revenue[productCost]*revenue[orderQuantity])</f>
        <v>71.31637389</v>
      </c>
      <c r="R2055" s="25">
        <f>IFERROR(revenue[profit]/revenue[revenue], 0)</f>
        <v>0.3396017804</v>
      </c>
      <c r="S2055" s="9">
        <f>revenue[productCost]*revenue[orderQuantity]</f>
        <v>138.6836261</v>
      </c>
    </row>
    <row r="2056" ht="15.75" customHeight="1">
      <c r="A2056" s="6">
        <v>11044.0</v>
      </c>
      <c r="B2056" s="7" t="s">
        <v>78</v>
      </c>
      <c r="C2056" s="24" t="str">
        <f>VLOOKUP(revenue[customerID],customers[],2,FALSE)</f>
        <v>Wolski  Zajazd</v>
      </c>
      <c r="D2056" s="24" t="str">
        <f>VLOOKUP(revenue[customerID],customers[],6,FALSE)</f>
        <v>Warszawa</v>
      </c>
      <c r="E2056" s="24" t="str">
        <f>VLOOKUP(revenue[customerID],customers[],9,FALSE)</f>
        <v>Poland</v>
      </c>
      <c r="F2056" s="24">
        <v>45405.0</v>
      </c>
      <c r="G2056" s="6">
        <v>62.0</v>
      </c>
      <c r="H2056" s="9" t="str">
        <f>VLOOKUP(revenue[productID],products[],2,FALSE)</f>
        <v>Tarte au sucre</v>
      </c>
      <c r="I2056" s="9" t="str">
        <f>VLOOKUP(revenue[productID],products[],12,FALSE)</f>
        <v>Confections</v>
      </c>
      <c r="J2056" s="9">
        <f>VLOOKUP(revenue[productID],products[],IF(YEAR(revenue[orderDate])=2022,8,IF(YEAR(revenue[orderDate])=2023,9,IF(YEAR(revenue[orderDate])=2024,10,NA))),FALSE)</f>
        <v>34.88145014</v>
      </c>
      <c r="K2056" s="9">
        <v>49.3</v>
      </c>
      <c r="L2056" s="25">
        <f>(revenue[orderPrice]-revenue[productCost])/revenue[productCost]</f>
        <v>0.4133586705</v>
      </c>
      <c r="M2056" s="10">
        <v>12.0</v>
      </c>
      <c r="N2056" s="25">
        <v>0.0</v>
      </c>
      <c r="O2056" s="9">
        <f>revenue[orderPrice]*revenue[orderQuantity]</f>
        <v>591.6</v>
      </c>
      <c r="P2056" s="9">
        <f>revenue[orderTotal]*(1-revenue[discountApllied])</f>
        <v>591.6</v>
      </c>
      <c r="Q2056" s="9">
        <f>revenue[revenue]-(revenue[productCost]*revenue[orderQuantity])</f>
        <v>173.0225983</v>
      </c>
      <c r="R2056" s="25">
        <f>IFERROR(revenue[profit]/revenue[revenue], 0)</f>
        <v>0.2924655143</v>
      </c>
      <c r="S2056" s="9">
        <f>revenue[productCost]*revenue[orderQuantity]</f>
        <v>418.5774017</v>
      </c>
    </row>
    <row r="2057" ht="15.75" customHeight="1">
      <c r="A2057" s="6">
        <v>11045.0</v>
      </c>
      <c r="B2057" s="7" t="s">
        <v>81</v>
      </c>
      <c r="C2057" s="24" t="str">
        <f>VLOOKUP(revenue[customerID],customers[],2,FALSE)</f>
        <v>Bottom-Dollar Markets</v>
      </c>
      <c r="D2057" s="24" t="str">
        <f>VLOOKUP(revenue[customerID],customers[],6,FALSE)</f>
        <v>Tsawassen</v>
      </c>
      <c r="E2057" s="24" t="str">
        <f>VLOOKUP(revenue[customerID],customers[],9,FALSE)</f>
        <v>Canada</v>
      </c>
      <c r="F2057" s="24">
        <v>45405.0</v>
      </c>
      <c r="G2057" s="6">
        <v>33.0</v>
      </c>
      <c r="H2057" s="9" t="str">
        <f>VLOOKUP(revenue[productID],products[],2,FALSE)</f>
        <v>Geitost</v>
      </c>
      <c r="I2057" s="9" t="str">
        <f>VLOOKUP(revenue[productID],products[],12,FALSE)</f>
        <v>Dairy Products</v>
      </c>
      <c r="J2057" s="9">
        <f>VLOOKUP(revenue[productID],products[],IF(YEAR(revenue[orderDate])=2022,8,IF(YEAR(revenue[orderDate])=2023,9,IF(YEAR(revenue[orderDate])=2024,10,NA))),FALSE)</f>
        <v>1.670163437</v>
      </c>
      <c r="K2057" s="9">
        <v>2.5</v>
      </c>
      <c r="L2057" s="25">
        <f>(revenue[orderPrice]-revenue[productCost])/revenue[productCost]</f>
        <v>0.4968594957</v>
      </c>
      <c r="M2057" s="10">
        <v>15.0</v>
      </c>
      <c r="N2057" s="25">
        <v>0.0</v>
      </c>
      <c r="O2057" s="9">
        <f>revenue[orderPrice]*revenue[orderQuantity]</f>
        <v>37.5</v>
      </c>
      <c r="P2057" s="9">
        <f>revenue[orderTotal]*(1-revenue[discountApllied])</f>
        <v>37.5</v>
      </c>
      <c r="Q2057" s="9">
        <f>revenue[revenue]-(revenue[productCost]*revenue[orderQuantity])</f>
        <v>12.44754844</v>
      </c>
      <c r="R2057" s="25">
        <f>IFERROR(revenue[profit]/revenue[revenue], 0)</f>
        <v>0.3319346252</v>
      </c>
      <c r="S2057" s="9">
        <f>revenue[productCost]*revenue[orderQuantity]</f>
        <v>25.05245156</v>
      </c>
    </row>
    <row r="2058" ht="15.75" customHeight="1">
      <c r="A2058" s="6">
        <v>11045.0</v>
      </c>
      <c r="B2058" s="7" t="s">
        <v>81</v>
      </c>
      <c r="C2058" s="24" t="str">
        <f>VLOOKUP(revenue[customerID],customers[],2,FALSE)</f>
        <v>Bottom-Dollar Markets</v>
      </c>
      <c r="D2058" s="24" t="str">
        <f>VLOOKUP(revenue[customerID],customers[],6,FALSE)</f>
        <v>Tsawassen</v>
      </c>
      <c r="E2058" s="24" t="str">
        <f>VLOOKUP(revenue[customerID],customers[],9,FALSE)</f>
        <v>Canada</v>
      </c>
      <c r="F2058" s="24">
        <v>45405.0</v>
      </c>
      <c r="G2058" s="6">
        <v>51.0</v>
      </c>
      <c r="H2058" s="9" t="str">
        <f>VLOOKUP(revenue[productID],products[],2,FALSE)</f>
        <v>Manjimup Dried Apples</v>
      </c>
      <c r="I2058" s="9" t="str">
        <f>VLOOKUP(revenue[productID],products[],12,FALSE)</f>
        <v>Produce</v>
      </c>
      <c r="J2058" s="9">
        <f>VLOOKUP(revenue[productID],products[],IF(YEAR(revenue[orderDate])=2022,8,IF(YEAR(revenue[orderDate])=2023,9,IF(YEAR(revenue[orderDate])=2024,10,NA))),FALSE)</f>
        <v>39.51416462</v>
      </c>
      <c r="K2058" s="9">
        <v>53.0</v>
      </c>
      <c r="L2058" s="25">
        <f>(revenue[orderPrice]-revenue[productCost])/revenue[productCost]</f>
        <v>0.3412911677</v>
      </c>
      <c r="M2058" s="10">
        <v>24.0</v>
      </c>
      <c r="N2058" s="25">
        <v>0.0</v>
      </c>
      <c r="O2058" s="9">
        <f>revenue[orderPrice]*revenue[orderQuantity]</f>
        <v>1272</v>
      </c>
      <c r="P2058" s="9">
        <f>revenue[orderTotal]*(1-revenue[discountApllied])</f>
        <v>1272</v>
      </c>
      <c r="Q2058" s="9">
        <f>revenue[revenue]-(revenue[productCost]*revenue[orderQuantity])</f>
        <v>323.6600492</v>
      </c>
      <c r="R2058" s="25">
        <f>IFERROR(revenue[profit]/revenue[revenue], 0)</f>
        <v>0.2544497242</v>
      </c>
      <c r="S2058" s="9">
        <f>revenue[productCost]*revenue[orderQuantity]</f>
        <v>948.3399508</v>
      </c>
    </row>
    <row r="2059" ht="15.75" customHeight="1">
      <c r="A2059" s="6">
        <v>11046.0</v>
      </c>
      <c r="B2059" s="7" t="s">
        <v>50</v>
      </c>
      <c r="C2059" s="24" t="str">
        <f>VLOOKUP(revenue[customerID],customers[],2,FALSE)</f>
        <v>Die Wandernde Kuh</v>
      </c>
      <c r="D2059" s="24" t="str">
        <f>VLOOKUP(revenue[customerID],customers[],6,FALSE)</f>
        <v>Stuttgart</v>
      </c>
      <c r="E2059" s="24" t="str">
        <f>VLOOKUP(revenue[customerID],customers[],9,FALSE)</f>
        <v>Germany</v>
      </c>
      <c r="F2059" s="24">
        <v>45405.0</v>
      </c>
      <c r="G2059" s="6">
        <v>12.0</v>
      </c>
      <c r="H2059" s="9" t="str">
        <f>VLOOKUP(revenue[productID],products[],2,FALSE)</f>
        <v>Queso Manchego La Pastora</v>
      </c>
      <c r="I2059" s="9" t="str">
        <f>VLOOKUP(revenue[productID],products[],12,FALSE)</f>
        <v>Dairy Products</v>
      </c>
      <c r="J2059" s="9">
        <f>VLOOKUP(revenue[productID],products[],IF(YEAR(revenue[orderDate])=2022,8,IF(YEAR(revenue[orderDate])=2023,9,IF(YEAR(revenue[orderDate])=2024,10,NA))),FALSE)</f>
        <v>25.02510955</v>
      </c>
      <c r="K2059" s="9">
        <v>38.0</v>
      </c>
      <c r="L2059" s="25">
        <f>(revenue[orderPrice]-revenue[productCost])/revenue[productCost]</f>
        <v>0.518474871</v>
      </c>
      <c r="M2059" s="10">
        <v>20.0</v>
      </c>
      <c r="N2059" s="25">
        <v>0.05</v>
      </c>
      <c r="O2059" s="9">
        <f>revenue[orderPrice]*revenue[orderQuantity]</f>
        <v>760</v>
      </c>
      <c r="P2059" s="9">
        <f>revenue[orderTotal]*(1-revenue[discountApllied])</f>
        <v>722</v>
      </c>
      <c r="Q2059" s="9">
        <f>revenue[revenue]-(revenue[productCost]*revenue[orderQuantity])</f>
        <v>221.4978089</v>
      </c>
      <c r="R2059" s="25">
        <f>IFERROR(revenue[profit]/revenue[revenue], 0)</f>
        <v>0.3067836689</v>
      </c>
      <c r="S2059" s="9">
        <f>revenue[productCost]*revenue[orderQuantity]</f>
        <v>500.5021911</v>
      </c>
    </row>
    <row r="2060" ht="15.75" customHeight="1">
      <c r="A2060" s="6">
        <v>11046.0</v>
      </c>
      <c r="B2060" s="7" t="s">
        <v>50</v>
      </c>
      <c r="C2060" s="24" t="str">
        <f>VLOOKUP(revenue[customerID],customers[],2,FALSE)</f>
        <v>Die Wandernde Kuh</v>
      </c>
      <c r="D2060" s="24" t="str">
        <f>VLOOKUP(revenue[customerID],customers[],6,FALSE)</f>
        <v>Stuttgart</v>
      </c>
      <c r="E2060" s="24" t="str">
        <f>VLOOKUP(revenue[customerID],customers[],9,FALSE)</f>
        <v>Germany</v>
      </c>
      <c r="F2060" s="24">
        <v>45405.0</v>
      </c>
      <c r="G2060" s="6">
        <v>32.0</v>
      </c>
      <c r="H2060" s="9" t="str">
        <f>VLOOKUP(revenue[productID],products[],2,FALSE)</f>
        <v>Mascarpone Fabioli</v>
      </c>
      <c r="I2060" s="9" t="str">
        <f>VLOOKUP(revenue[productID],products[],12,FALSE)</f>
        <v>Dairy Products</v>
      </c>
      <c r="J2060" s="9">
        <f>VLOOKUP(revenue[productID],products[],IF(YEAR(revenue[orderDate])=2022,8,IF(YEAR(revenue[orderDate])=2023,9,IF(YEAR(revenue[orderDate])=2024,10,NA))),FALSE)</f>
        <v>21.42783354</v>
      </c>
      <c r="K2060" s="9">
        <v>32.0</v>
      </c>
      <c r="L2060" s="25">
        <f>(revenue[orderPrice]-revenue[productCost])/revenue[productCost]</f>
        <v>0.4933847575</v>
      </c>
      <c r="M2060" s="10">
        <v>15.0</v>
      </c>
      <c r="N2060" s="25">
        <v>0.05</v>
      </c>
      <c r="O2060" s="9">
        <f>revenue[orderPrice]*revenue[orderQuantity]</f>
        <v>480</v>
      </c>
      <c r="P2060" s="9">
        <f>revenue[orderTotal]*(1-revenue[discountApllied])</f>
        <v>456</v>
      </c>
      <c r="Q2060" s="9">
        <f>revenue[revenue]-(revenue[productCost]*revenue[orderQuantity])</f>
        <v>134.5824969</v>
      </c>
      <c r="R2060" s="25">
        <f>IFERROR(revenue[profit]/revenue[revenue], 0)</f>
        <v>0.2951370545</v>
      </c>
      <c r="S2060" s="9">
        <f>revenue[productCost]*revenue[orderQuantity]</f>
        <v>321.4175031</v>
      </c>
    </row>
    <row r="2061" ht="15.75" customHeight="1">
      <c r="A2061" s="6">
        <v>11046.0</v>
      </c>
      <c r="B2061" s="7" t="s">
        <v>50</v>
      </c>
      <c r="C2061" s="24" t="str">
        <f>VLOOKUP(revenue[customerID],customers[],2,FALSE)</f>
        <v>Die Wandernde Kuh</v>
      </c>
      <c r="D2061" s="24" t="str">
        <f>VLOOKUP(revenue[customerID],customers[],6,FALSE)</f>
        <v>Stuttgart</v>
      </c>
      <c r="E2061" s="24" t="str">
        <f>VLOOKUP(revenue[customerID],customers[],9,FALSE)</f>
        <v>Germany</v>
      </c>
      <c r="F2061" s="24">
        <v>45405.0</v>
      </c>
      <c r="G2061" s="6">
        <v>35.0</v>
      </c>
      <c r="H2061" s="9" t="str">
        <f>VLOOKUP(revenue[productID],products[],2,FALSE)</f>
        <v>Cold Brew Nitro</v>
      </c>
      <c r="I2061" s="9" t="str">
        <f>VLOOKUP(revenue[productID],products[],12,FALSE)</f>
        <v>Beverages</v>
      </c>
      <c r="J2061" s="9">
        <f>VLOOKUP(revenue[productID],products[],IF(YEAR(revenue[orderDate])=2022,8,IF(YEAR(revenue[orderDate])=2023,9,IF(YEAR(revenue[orderDate])=2024,10,NA))),FALSE)</f>
        <v>12.9261692</v>
      </c>
      <c r="K2061" s="9">
        <v>18.0</v>
      </c>
      <c r="L2061" s="25">
        <f>(revenue[orderPrice]-revenue[productCost])/revenue[productCost]</f>
        <v>0.3925239355</v>
      </c>
      <c r="M2061" s="10">
        <v>18.0</v>
      </c>
      <c r="N2061" s="25">
        <v>0.05</v>
      </c>
      <c r="O2061" s="9">
        <f>revenue[orderPrice]*revenue[orderQuantity]</f>
        <v>324</v>
      </c>
      <c r="P2061" s="9">
        <f>revenue[orderTotal]*(1-revenue[discountApllied])</f>
        <v>307.8</v>
      </c>
      <c r="Q2061" s="9">
        <f>revenue[revenue]-(revenue[productCost]*revenue[orderQuantity])</f>
        <v>75.12895447</v>
      </c>
      <c r="R2061" s="25">
        <f>IFERROR(revenue[profit]/revenue[revenue], 0)</f>
        <v>0.2440836727</v>
      </c>
      <c r="S2061" s="9">
        <f>revenue[productCost]*revenue[orderQuantity]</f>
        <v>232.6710455</v>
      </c>
    </row>
    <row r="2062" ht="15.75" customHeight="1">
      <c r="A2062" s="6">
        <v>11047.0</v>
      </c>
      <c r="B2062" s="7" t="s">
        <v>73</v>
      </c>
      <c r="C2062" s="24" t="str">
        <f>VLOOKUP(revenue[customerID],customers[],2,FALSE)</f>
        <v>Eastern Connection</v>
      </c>
      <c r="D2062" s="24" t="str">
        <f>VLOOKUP(revenue[customerID],customers[],6,FALSE)</f>
        <v>London</v>
      </c>
      <c r="E2062" s="24" t="str">
        <f>VLOOKUP(revenue[customerID],customers[],9,FALSE)</f>
        <v>UK</v>
      </c>
      <c r="F2062" s="24">
        <v>45406.0</v>
      </c>
      <c r="G2062" s="6">
        <v>1.0</v>
      </c>
      <c r="H2062" s="9" t="str">
        <f>VLOOKUP(revenue[productID],products[],2,FALSE)</f>
        <v>Chai</v>
      </c>
      <c r="I2062" s="9" t="str">
        <f>VLOOKUP(revenue[productID],products[],12,FALSE)</f>
        <v>Beverages</v>
      </c>
      <c r="J2062" s="9">
        <f>VLOOKUP(revenue[productID],products[],IF(YEAR(revenue[orderDate])=2022,8,IF(YEAR(revenue[orderDate])=2023,9,IF(YEAR(revenue[orderDate])=2024,10,NA))),FALSE)</f>
        <v>12.17757454</v>
      </c>
      <c r="K2062" s="9">
        <v>18.0</v>
      </c>
      <c r="L2062" s="25">
        <f>(revenue[orderPrice]-revenue[productCost])/revenue[productCost]</f>
        <v>0.4781268584</v>
      </c>
      <c r="M2062" s="10">
        <v>25.0</v>
      </c>
      <c r="N2062" s="25">
        <v>0.25</v>
      </c>
      <c r="O2062" s="9">
        <f>revenue[orderPrice]*revenue[orderQuantity]</f>
        <v>450</v>
      </c>
      <c r="P2062" s="9">
        <f>revenue[orderTotal]*(1-revenue[discountApllied])</f>
        <v>337.5</v>
      </c>
      <c r="Q2062" s="9">
        <f>revenue[revenue]-(revenue[productCost]*revenue[orderQuantity])</f>
        <v>33.06063645</v>
      </c>
      <c r="R2062" s="25">
        <f>IFERROR(revenue[profit]/revenue[revenue], 0)</f>
        <v>0.09795744134</v>
      </c>
      <c r="S2062" s="9">
        <f>revenue[productCost]*revenue[orderQuantity]</f>
        <v>304.4393635</v>
      </c>
    </row>
    <row r="2063" ht="15.75" customHeight="1">
      <c r="A2063" s="6">
        <v>11047.0</v>
      </c>
      <c r="B2063" s="7" t="s">
        <v>73</v>
      </c>
      <c r="C2063" s="24" t="str">
        <f>VLOOKUP(revenue[customerID],customers[],2,FALSE)</f>
        <v>Eastern Connection</v>
      </c>
      <c r="D2063" s="24" t="str">
        <f>VLOOKUP(revenue[customerID],customers[],6,FALSE)</f>
        <v>London</v>
      </c>
      <c r="E2063" s="24" t="str">
        <f>VLOOKUP(revenue[customerID],customers[],9,FALSE)</f>
        <v>UK</v>
      </c>
      <c r="F2063" s="24">
        <v>45406.0</v>
      </c>
      <c r="G2063" s="6">
        <v>5.0</v>
      </c>
      <c r="H2063" s="9" t="str">
        <f>VLOOKUP(revenue[productID],products[],2,FALSE)</f>
        <v>Chef Anton's Gumbo Mix</v>
      </c>
      <c r="I2063" s="9" t="str">
        <f>VLOOKUP(revenue[productID],products[],12,FALSE)</f>
        <v>Condiments</v>
      </c>
      <c r="J2063" s="9">
        <f>VLOOKUP(revenue[productID],products[],IF(YEAR(revenue[orderDate])=2022,8,IF(YEAR(revenue[orderDate])=2023,9,IF(YEAR(revenue[orderDate])=2024,10,NA))),FALSE)</f>
        <v>13.96337378</v>
      </c>
      <c r="K2063" s="9">
        <v>21.35</v>
      </c>
      <c r="L2063" s="25">
        <f>(revenue[orderPrice]-revenue[productCost])/revenue[productCost]</f>
        <v>0.5290001069</v>
      </c>
      <c r="M2063" s="10">
        <v>30.0</v>
      </c>
      <c r="N2063" s="25">
        <v>0.25</v>
      </c>
      <c r="O2063" s="9">
        <f>revenue[orderPrice]*revenue[orderQuantity]</f>
        <v>640.5</v>
      </c>
      <c r="P2063" s="9">
        <f>revenue[orderTotal]*(1-revenue[discountApllied])</f>
        <v>480.375</v>
      </c>
      <c r="Q2063" s="9">
        <f>revenue[revenue]-(revenue[productCost]*revenue[orderQuantity])</f>
        <v>61.47378666</v>
      </c>
      <c r="R2063" s="25">
        <f>IFERROR(revenue[profit]/revenue[revenue], 0)</f>
        <v>0.127970412</v>
      </c>
      <c r="S2063" s="9">
        <f>revenue[productCost]*revenue[orderQuantity]</f>
        <v>418.9012133</v>
      </c>
    </row>
    <row r="2064" ht="15.75" customHeight="1">
      <c r="A2064" s="6">
        <v>11048.0</v>
      </c>
      <c r="B2064" s="7" t="s">
        <v>81</v>
      </c>
      <c r="C2064" s="24" t="str">
        <f>VLOOKUP(revenue[customerID],customers[],2,FALSE)</f>
        <v>Bottom-Dollar Markets</v>
      </c>
      <c r="D2064" s="24" t="str">
        <f>VLOOKUP(revenue[customerID],customers[],6,FALSE)</f>
        <v>Tsawassen</v>
      </c>
      <c r="E2064" s="24" t="str">
        <f>VLOOKUP(revenue[customerID],customers[],9,FALSE)</f>
        <v>Canada</v>
      </c>
      <c r="F2064" s="24">
        <v>45406.0</v>
      </c>
      <c r="G2064" s="6">
        <v>68.0</v>
      </c>
      <c r="H2064" s="9" t="str">
        <f>VLOOKUP(revenue[productID],products[],2,FALSE)</f>
        <v>Scottish Longbreads</v>
      </c>
      <c r="I2064" s="9" t="str">
        <f>VLOOKUP(revenue[productID],products[],12,FALSE)</f>
        <v>Confections</v>
      </c>
      <c r="J2064" s="9">
        <f>VLOOKUP(revenue[productID],products[],IF(YEAR(revenue[orderDate])=2022,8,IF(YEAR(revenue[orderDate])=2023,9,IF(YEAR(revenue[orderDate])=2024,10,NA))),FALSE)</f>
        <v>9.555031708</v>
      </c>
      <c r="K2064" s="9">
        <v>12.5</v>
      </c>
      <c r="L2064" s="25">
        <f>(revenue[orderPrice]-revenue[productCost])/revenue[productCost]</f>
        <v>0.3082112527</v>
      </c>
      <c r="M2064" s="10">
        <v>42.0</v>
      </c>
      <c r="N2064" s="25">
        <v>0.0</v>
      </c>
      <c r="O2064" s="9">
        <f>revenue[orderPrice]*revenue[orderQuantity]</f>
        <v>525</v>
      </c>
      <c r="P2064" s="9">
        <f>revenue[orderTotal]*(1-revenue[discountApllied])</f>
        <v>525</v>
      </c>
      <c r="Q2064" s="9">
        <f>revenue[revenue]-(revenue[productCost]*revenue[orderQuantity])</f>
        <v>123.6886683</v>
      </c>
      <c r="R2064" s="25">
        <f>IFERROR(revenue[profit]/revenue[revenue], 0)</f>
        <v>0.2355974634</v>
      </c>
      <c r="S2064" s="9">
        <f>revenue[productCost]*revenue[orderQuantity]</f>
        <v>401.3113317</v>
      </c>
    </row>
    <row r="2065" ht="15.75" customHeight="1">
      <c r="A2065" s="6">
        <v>11049.0</v>
      </c>
      <c r="B2065" s="7" t="s">
        <v>86</v>
      </c>
      <c r="C2065" s="24" t="str">
        <f>VLOOKUP(revenue[customerID],customers[],2,FALSE)</f>
        <v>Gourmet Lanchonetes</v>
      </c>
      <c r="D2065" s="24" t="str">
        <f>VLOOKUP(revenue[customerID],customers[],6,FALSE)</f>
        <v>Campinas</v>
      </c>
      <c r="E2065" s="24" t="str">
        <f>VLOOKUP(revenue[customerID],customers[],9,FALSE)</f>
        <v>Brazil</v>
      </c>
      <c r="F2065" s="24">
        <v>45406.0</v>
      </c>
      <c r="G2065" s="6">
        <v>2.0</v>
      </c>
      <c r="H2065" s="9" t="str">
        <f>VLOOKUP(revenue[productID],products[],2,FALSE)</f>
        <v>Chang</v>
      </c>
      <c r="I2065" s="9" t="str">
        <f>VLOOKUP(revenue[productID],products[],12,FALSE)</f>
        <v>Beverages</v>
      </c>
      <c r="J2065" s="9">
        <f>VLOOKUP(revenue[productID],products[],IF(YEAR(revenue[orderDate])=2022,8,IF(YEAR(revenue[orderDate])=2023,9,IF(YEAR(revenue[orderDate])=2024,10,NA))),FALSE)</f>
        <v>11.93843713</v>
      </c>
      <c r="K2065" s="9">
        <v>19.0</v>
      </c>
      <c r="L2065" s="25">
        <f>(revenue[orderPrice]-revenue[productCost])/revenue[productCost]</f>
        <v>0.591498099</v>
      </c>
      <c r="M2065" s="10">
        <v>10.0</v>
      </c>
      <c r="N2065" s="25">
        <v>0.2</v>
      </c>
      <c r="O2065" s="9">
        <f>revenue[orderPrice]*revenue[orderQuantity]</f>
        <v>190</v>
      </c>
      <c r="P2065" s="9">
        <f>revenue[orderTotal]*(1-revenue[discountApllied])</f>
        <v>152</v>
      </c>
      <c r="Q2065" s="9">
        <f>revenue[revenue]-(revenue[productCost]*revenue[orderQuantity])</f>
        <v>32.61562868</v>
      </c>
      <c r="R2065" s="25">
        <f>IFERROR(revenue[profit]/revenue[revenue], 0)</f>
        <v>0.2145765045</v>
      </c>
      <c r="S2065" s="9">
        <f>revenue[productCost]*revenue[orderQuantity]</f>
        <v>119.3843713</v>
      </c>
    </row>
    <row r="2066" ht="15.75" customHeight="1">
      <c r="A2066" s="6">
        <v>11049.0</v>
      </c>
      <c r="B2066" s="7" t="s">
        <v>86</v>
      </c>
      <c r="C2066" s="24" t="str">
        <f>VLOOKUP(revenue[customerID],customers[],2,FALSE)</f>
        <v>Gourmet Lanchonetes</v>
      </c>
      <c r="D2066" s="24" t="str">
        <f>VLOOKUP(revenue[customerID],customers[],6,FALSE)</f>
        <v>Campinas</v>
      </c>
      <c r="E2066" s="24" t="str">
        <f>VLOOKUP(revenue[customerID],customers[],9,FALSE)</f>
        <v>Brazil</v>
      </c>
      <c r="F2066" s="24">
        <v>45406.0</v>
      </c>
      <c r="G2066" s="6">
        <v>12.0</v>
      </c>
      <c r="H2066" s="9" t="str">
        <f>VLOOKUP(revenue[productID],products[],2,FALSE)</f>
        <v>Queso Manchego La Pastora</v>
      </c>
      <c r="I2066" s="9" t="str">
        <f>VLOOKUP(revenue[productID],products[],12,FALSE)</f>
        <v>Dairy Products</v>
      </c>
      <c r="J2066" s="9">
        <f>VLOOKUP(revenue[productID],products[],IF(YEAR(revenue[orderDate])=2022,8,IF(YEAR(revenue[orderDate])=2023,9,IF(YEAR(revenue[orderDate])=2024,10,NA))),FALSE)</f>
        <v>25.02510955</v>
      </c>
      <c r="K2066" s="9">
        <v>38.0</v>
      </c>
      <c r="L2066" s="25">
        <f>(revenue[orderPrice]-revenue[productCost])/revenue[productCost]</f>
        <v>0.518474871</v>
      </c>
      <c r="M2066" s="10">
        <v>4.0</v>
      </c>
      <c r="N2066" s="25">
        <v>0.2</v>
      </c>
      <c r="O2066" s="9">
        <f>revenue[orderPrice]*revenue[orderQuantity]</f>
        <v>152</v>
      </c>
      <c r="P2066" s="9">
        <f>revenue[orderTotal]*(1-revenue[discountApllied])</f>
        <v>121.6</v>
      </c>
      <c r="Q2066" s="9">
        <f>revenue[revenue]-(revenue[productCost]*revenue[orderQuantity])</f>
        <v>21.49956179</v>
      </c>
      <c r="R2066" s="25">
        <f>IFERROR(revenue[profit]/revenue[revenue], 0)</f>
        <v>0.1768056068</v>
      </c>
      <c r="S2066" s="9">
        <f>revenue[productCost]*revenue[orderQuantity]</f>
        <v>100.1004382</v>
      </c>
    </row>
    <row r="2067" ht="15.75" customHeight="1">
      <c r="A2067" s="6">
        <v>11050.0</v>
      </c>
      <c r="B2067" s="7" t="s">
        <v>29</v>
      </c>
      <c r="C2067" s="24" t="str">
        <f>VLOOKUP(revenue[customerID],customers[],2,FALSE)</f>
        <v>Folk och fä HB</v>
      </c>
      <c r="D2067" s="24" t="str">
        <f>VLOOKUP(revenue[customerID],customers[],6,FALSE)</f>
        <v>Bräcke</v>
      </c>
      <c r="E2067" s="24" t="str">
        <f>VLOOKUP(revenue[customerID],customers[],9,FALSE)</f>
        <v>Sweden</v>
      </c>
      <c r="F2067" s="24">
        <v>45409.0</v>
      </c>
      <c r="G2067" s="6">
        <v>76.0</v>
      </c>
      <c r="H2067" s="9" t="str">
        <f>VLOOKUP(revenue[productID],products[],2,FALSE)</f>
        <v>Lakkalikööri</v>
      </c>
      <c r="I2067" s="9" t="str">
        <f>VLOOKUP(revenue[productID],products[],12,FALSE)</f>
        <v>Beverages</v>
      </c>
      <c r="J2067" s="9">
        <f>VLOOKUP(revenue[productID],products[],IF(YEAR(revenue[orderDate])=2022,8,IF(YEAR(revenue[orderDate])=2023,9,IF(YEAR(revenue[orderDate])=2024,10,NA))),FALSE)</f>
        <v>12.15832249</v>
      </c>
      <c r="K2067" s="9">
        <v>18.0</v>
      </c>
      <c r="L2067" s="25">
        <f>(revenue[orderPrice]-revenue[productCost])/revenue[productCost]</f>
        <v>0.4804673928</v>
      </c>
      <c r="M2067" s="10">
        <v>50.0</v>
      </c>
      <c r="N2067" s="25">
        <v>0.1</v>
      </c>
      <c r="O2067" s="9">
        <f>revenue[orderPrice]*revenue[orderQuantity]</f>
        <v>900</v>
      </c>
      <c r="P2067" s="9">
        <f>revenue[orderTotal]*(1-revenue[discountApllied])</f>
        <v>810</v>
      </c>
      <c r="Q2067" s="9">
        <f>revenue[revenue]-(revenue[productCost]*revenue[orderQuantity])</f>
        <v>202.0838754</v>
      </c>
      <c r="R2067" s="25">
        <f>IFERROR(revenue[profit]/revenue[revenue], 0)</f>
        <v>0.249486266</v>
      </c>
      <c r="S2067" s="9">
        <f>revenue[productCost]*revenue[orderQuantity]</f>
        <v>607.9161246</v>
      </c>
    </row>
    <row r="2068" ht="15.75" customHeight="1">
      <c r="A2068" s="6">
        <v>11051.0</v>
      </c>
      <c r="B2068" s="7" t="s">
        <v>68</v>
      </c>
      <c r="C2068" s="24" t="str">
        <f>VLOOKUP(revenue[customerID],customers[],2,FALSE)</f>
        <v>La maison d'Asie</v>
      </c>
      <c r="D2068" s="24" t="str">
        <f>VLOOKUP(revenue[customerID],customers[],6,FALSE)</f>
        <v>Toulouse</v>
      </c>
      <c r="E2068" s="24" t="str">
        <f>VLOOKUP(revenue[customerID],customers[],9,FALSE)</f>
        <v>France</v>
      </c>
      <c r="F2068" s="24">
        <v>45409.0</v>
      </c>
      <c r="G2068" s="6">
        <v>24.0</v>
      </c>
      <c r="H2068" s="9" t="str">
        <f>VLOOKUP(revenue[productID],products[],2,FALSE)</f>
        <v>Brigadeiros Maravilhosos da Lilian</v>
      </c>
      <c r="I2068" s="9" t="str">
        <f>VLOOKUP(revenue[productID],products[],12,FALSE)</f>
        <v>Confections</v>
      </c>
      <c r="J2068" s="9">
        <f>VLOOKUP(revenue[productID],products[],IF(YEAR(revenue[orderDate])=2022,8,IF(YEAR(revenue[orderDate])=2023,9,IF(YEAR(revenue[orderDate])=2024,10,NA))),FALSE)</f>
        <v>3.177326315</v>
      </c>
      <c r="K2068" s="9">
        <v>4.5</v>
      </c>
      <c r="L2068" s="25">
        <f>(revenue[orderPrice]-revenue[productCost])/revenue[productCost]</f>
        <v>0.416285126</v>
      </c>
      <c r="M2068" s="10">
        <v>10.0</v>
      </c>
      <c r="N2068" s="25">
        <v>0.2</v>
      </c>
      <c r="O2068" s="9">
        <f>revenue[orderPrice]*revenue[orderQuantity]</f>
        <v>45</v>
      </c>
      <c r="P2068" s="9">
        <f>revenue[orderTotal]*(1-revenue[discountApllied])</f>
        <v>36</v>
      </c>
      <c r="Q2068" s="9">
        <f>revenue[revenue]-(revenue[productCost]*revenue[orderQuantity])</f>
        <v>4.226736853</v>
      </c>
      <c r="R2068" s="25">
        <f>IFERROR(revenue[profit]/revenue[revenue], 0)</f>
        <v>0.117409357</v>
      </c>
      <c r="S2068" s="9">
        <f>revenue[productCost]*revenue[orderQuantity]</f>
        <v>31.77326315</v>
      </c>
    </row>
    <row r="2069" ht="15.75" customHeight="1">
      <c r="A2069" s="6">
        <v>11052.0</v>
      </c>
      <c r="B2069" s="7" t="s">
        <v>16</v>
      </c>
      <c r="C2069" s="24" t="str">
        <f>VLOOKUP(revenue[customerID],customers[],2,FALSE)</f>
        <v>Hanari Carnes</v>
      </c>
      <c r="D2069" s="24" t="str">
        <f>VLOOKUP(revenue[customerID],customers[],6,FALSE)</f>
        <v>Rio de Janeiro</v>
      </c>
      <c r="E2069" s="24" t="str">
        <f>VLOOKUP(revenue[customerID],customers[],9,FALSE)</f>
        <v>Brazil</v>
      </c>
      <c r="F2069" s="24">
        <v>45409.0</v>
      </c>
      <c r="G2069" s="6">
        <v>43.0</v>
      </c>
      <c r="H2069" s="9" t="str">
        <f>VLOOKUP(revenue[productID],products[],2,FALSE)</f>
        <v>Ipoh Coffee</v>
      </c>
      <c r="I2069" s="9" t="str">
        <f>VLOOKUP(revenue[productID],products[],12,FALSE)</f>
        <v>Beverages</v>
      </c>
      <c r="J2069" s="9">
        <f>VLOOKUP(revenue[productID],products[],IF(YEAR(revenue[orderDate])=2022,8,IF(YEAR(revenue[orderDate])=2023,9,IF(YEAR(revenue[orderDate])=2024,10,NA))),FALSE)</f>
        <v>30.97984738</v>
      </c>
      <c r="K2069" s="9">
        <v>46.0</v>
      </c>
      <c r="L2069" s="25">
        <f>(revenue[orderPrice]-revenue[productCost])/revenue[productCost]</f>
        <v>0.484836237</v>
      </c>
      <c r="M2069" s="10">
        <v>30.0</v>
      </c>
      <c r="N2069" s="25">
        <v>0.2</v>
      </c>
      <c r="O2069" s="9">
        <f>revenue[orderPrice]*revenue[orderQuantity]</f>
        <v>1380</v>
      </c>
      <c r="P2069" s="9">
        <f>revenue[orderTotal]*(1-revenue[discountApllied])</f>
        <v>1104</v>
      </c>
      <c r="Q2069" s="9">
        <f>revenue[revenue]-(revenue[productCost]*revenue[orderQuantity])</f>
        <v>174.6045787</v>
      </c>
      <c r="R2069" s="25">
        <f>IFERROR(revenue[profit]/revenue[revenue], 0)</f>
        <v>0.1581563213</v>
      </c>
      <c r="S2069" s="9">
        <f>revenue[productCost]*revenue[orderQuantity]</f>
        <v>929.3954213</v>
      </c>
    </row>
    <row r="2070" ht="15.75" customHeight="1">
      <c r="A2070" s="6">
        <v>11052.0</v>
      </c>
      <c r="B2070" s="7" t="s">
        <v>16</v>
      </c>
      <c r="C2070" s="24" t="str">
        <f>VLOOKUP(revenue[customerID],customers[],2,FALSE)</f>
        <v>Hanari Carnes</v>
      </c>
      <c r="D2070" s="24" t="str">
        <f>VLOOKUP(revenue[customerID],customers[],6,FALSE)</f>
        <v>Rio de Janeiro</v>
      </c>
      <c r="E2070" s="24" t="str">
        <f>VLOOKUP(revenue[customerID],customers[],9,FALSE)</f>
        <v>Brazil</v>
      </c>
      <c r="F2070" s="24">
        <v>45409.0</v>
      </c>
      <c r="G2070" s="6">
        <v>61.0</v>
      </c>
      <c r="H2070" s="9" t="str">
        <f>VLOOKUP(revenue[productID],products[],2,FALSE)</f>
        <v>Sirop d'érable</v>
      </c>
      <c r="I2070" s="9" t="str">
        <f>VLOOKUP(revenue[productID],products[],12,FALSE)</f>
        <v>Condiments</v>
      </c>
      <c r="J2070" s="9">
        <f>VLOOKUP(revenue[productID],products[],IF(YEAR(revenue[orderDate])=2022,8,IF(YEAR(revenue[orderDate])=2023,9,IF(YEAR(revenue[orderDate])=2024,10,NA))),FALSE)</f>
        <v>18.74487379</v>
      </c>
      <c r="K2070" s="9">
        <v>28.5</v>
      </c>
      <c r="L2070" s="25">
        <f>(revenue[orderPrice]-revenue[productCost])/revenue[productCost]</f>
        <v>0.5204156786</v>
      </c>
      <c r="M2070" s="10">
        <v>10.0</v>
      </c>
      <c r="N2070" s="25">
        <v>0.2</v>
      </c>
      <c r="O2070" s="9">
        <f>revenue[orderPrice]*revenue[orderQuantity]</f>
        <v>285</v>
      </c>
      <c r="P2070" s="9">
        <f>revenue[orderTotal]*(1-revenue[discountApllied])</f>
        <v>228</v>
      </c>
      <c r="Q2070" s="9">
        <f>revenue[revenue]-(revenue[productCost]*revenue[orderQuantity])</f>
        <v>40.55126212</v>
      </c>
      <c r="R2070" s="25">
        <f>IFERROR(revenue[profit]/revenue[revenue], 0)</f>
        <v>0.1778564128</v>
      </c>
      <c r="S2070" s="9">
        <f>revenue[productCost]*revenue[orderQuantity]</f>
        <v>187.4487379</v>
      </c>
    </row>
    <row r="2071" ht="15.75" customHeight="1">
      <c r="A2071" s="6">
        <v>11053.0</v>
      </c>
      <c r="B2071" s="7" t="s">
        <v>69</v>
      </c>
      <c r="C2071" s="24" t="str">
        <f>VLOOKUP(revenue[customerID],customers[],2,FALSE)</f>
        <v>Piccolo und mehr</v>
      </c>
      <c r="D2071" s="24" t="str">
        <f>VLOOKUP(revenue[customerID],customers[],6,FALSE)</f>
        <v>Salzburg</v>
      </c>
      <c r="E2071" s="24" t="str">
        <f>VLOOKUP(revenue[customerID],customers[],9,FALSE)</f>
        <v>Austria</v>
      </c>
      <c r="F2071" s="24">
        <v>45409.0</v>
      </c>
      <c r="G2071" s="6">
        <v>18.0</v>
      </c>
      <c r="H2071" s="9" t="str">
        <f>VLOOKUP(revenue[productID],products[],2,FALSE)</f>
        <v>Carnarvon Tigers</v>
      </c>
      <c r="I2071" s="9" t="str">
        <f>VLOOKUP(revenue[productID],products[],12,FALSE)</f>
        <v>Seafood</v>
      </c>
      <c r="J2071" s="9">
        <f>VLOOKUP(revenue[productID],products[],IF(YEAR(revenue[orderDate])=2022,8,IF(YEAR(revenue[orderDate])=2023,9,IF(YEAR(revenue[orderDate])=2024,10,NA))),FALSE)</f>
        <v>41.27004985</v>
      </c>
      <c r="K2071" s="9">
        <v>62.5</v>
      </c>
      <c r="L2071" s="25">
        <f>(revenue[orderPrice]-revenue[productCost])/revenue[productCost]</f>
        <v>0.5144154231</v>
      </c>
      <c r="M2071" s="10">
        <v>35.0</v>
      </c>
      <c r="N2071" s="25">
        <v>0.2</v>
      </c>
      <c r="O2071" s="9">
        <f>revenue[orderPrice]*revenue[orderQuantity]</f>
        <v>2187.5</v>
      </c>
      <c r="P2071" s="9">
        <f>revenue[orderTotal]*(1-revenue[discountApllied])</f>
        <v>1750</v>
      </c>
      <c r="Q2071" s="9">
        <f>revenue[revenue]-(revenue[productCost]*revenue[orderQuantity])</f>
        <v>305.5482554</v>
      </c>
      <c r="R2071" s="25">
        <f>IFERROR(revenue[profit]/revenue[revenue], 0)</f>
        <v>0.1745990031</v>
      </c>
      <c r="S2071" s="9">
        <f>revenue[productCost]*revenue[orderQuantity]</f>
        <v>1444.451745</v>
      </c>
    </row>
    <row r="2072" ht="15.75" customHeight="1">
      <c r="A2072" s="6">
        <v>11053.0</v>
      </c>
      <c r="B2072" s="7" t="s">
        <v>69</v>
      </c>
      <c r="C2072" s="24" t="str">
        <f>VLOOKUP(revenue[customerID],customers[],2,FALSE)</f>
        <v>Piccolo und mehr</v>
      </c>
      <c r="D2072" s="24" t="str">
        <f>VLOOKUP(revenue[customerID],customers[],6,FALSE)</f>
        <v>Salzburg</v>
      </c>
      <c r="E2072" s="24" t="str">
        <f>VLOOKUP(revenue[customerID],customers[],9,FALSE)</f>
        <v>Austria</v>
      </c>
      <c r="F2072" s="24">
        <v>45409.0</v>
      </c>
      <c r="G2072" s="6">
        <v>32.0</v>
      </c>
      <c r="H2072" s="9" t="str">
        <f>VLOOKUP(revenue[productID],products[],2,FALSE)</f>
        <v>Mascarpone Fabioli</v>
      </c>
      <c r="I2072" s="9" t="str">
        <f>VLOOKUP(revenue[productID],products[],12,FALSE)</f>
        <v>Dairy Products</v>
      </c>
      <c r="J2072" s="9">
        <f>VLOOKUP(revenue[productID],products[],IF(YEAR(revenue[orderDate])=2022,8,IF(YEAR(revenue[orderDate])=2023,9,IF(YEAR(revenue[orderDate])=2024,10,NA))),FALSE)</f>
        <v>21.42783354</v>
      </c>
      <c r="K2072" s="9">
        <v>32.0</v>
      </c>
      <c r="L2072" s="25">
        <f>(revenue[orderPrice]-revenue[productCost])/revenue[productCost]</f>
        <v>0.4933847575</v>
      </c>
      <c r="M2072" s="10">
        <v>20.0</v>
      </c>
      <c r="N2072" s="25">
        <v>0.0</v>
      </c>
      <c r="O2072" s="9">
        <f>revenue[orderPrice]*revenue[orderQuantity]</f>
        <v>640</v>
      </c>
      <c r="P2072" s="9">
        <f>revenue[orderTotal]*(1-revenue[discountApllied])</f>
        <v>640</v>
      </c>
      <c r="Q2072" s="9">
        <f>revenue[revenue]-(revenue[productCost]*revenue[orderQuantity])</f>
        <v>211.4433291</v>
      </c>
      <c r="R2072" s="25">
        <f>IFERROR(revenue[profit]/revenue[revenue], 0)</f>
        <v>0.3303802018</v>
      </c>
      <c r="S2072" s="9">
        <f>revenue[productCost]*revenue[orderQuantity]</f>
        <v>428.5566709</v>
      </c>
    </row>
    <row r="2073" ht="15.75" customHeight="1">
      <c r="A2073" s="6">
        <v>11053.0</v>
      </c>
      <c r="B2073" s="7" t="s">
        <v>69</v>
      </c>
      <c r="C2073" s="24" t="str">
        <f>VLOOKUP(revenue[customerID],customers[],2,FALSE)</f>
        <v>Piccolo und mehr</v>
      </c>
      <c r="D2073" s="24" t="str">
        <f>VLOOKUP(revenue[customerID],customers[],6,FALSE)</f>
        <v>Salzburg</v>
      </c>
      <c r="E2073" s="24" t="str">
        <f>VLOOKUP(revenue[customerID],customers[],9,FALSE)</f>
        <v>Austria</v>
      </c>
      <c r="F2073" s="24">
        <v>45409.0</v>
      </c>
      <c r="G2073" s="6">
        <v>64.0</v>
      </c>
      <c r="H2073" s="9" t="str">
        <f>VLOOKUP(revenue[productID],products[],2,FALSE)</f>
        <v>Lukas' leckere Sauerteigweggla</v>
      </c>
      <c r="I2073" s="9" t="str">
        <f>VLOOKUP(revenue[productID],products[],12,FALSE)</f>
        <v>Grains/Cereals</v>
      </c>
      <c r="J2073" s="9">
        <f>VLOOKUP(revenue[productID],products[],IF(YEAR(revenue[orderDate])=2022,8,IF(YEAR(revenue[orderDate])=2023,9,IF(YEAR(revenue[orderDate])=2024,10,NA))),FALSE)</f>
        <v>22.72434276</v>
      </c>
      <c r="K2073" s="9">
        <v>33.25</v>
      </c>
      <c r="L2073" s="25">
        <f>(revenue[orderPrice]-revenue[productCost])/revenue[productCost]</f>
        <v>0.4631886324</v>
      </c>
      <c r="M2073" s="10">
        <v>25.0</v>
      </c>
      <c r="N2073" s="25">
        <v>0.2</v>
      </c>
      <c r="O2073" s="9">
        <f>revenue[orderPrice]*revenue[orderQuantity]</f>
        <v>831.25</v>
      </c>
      <c r="P2073" s="9">
        <f>revenue[orderTotal]*(1-revenue[discountApllied])</f>
        <v>665</v>
      </c>
      <c r="Q2073" s="9">
        <f>revenue[revenue]-(revenue[productCost]*revenue[orderQuantity])</f>
        <v>96.8914311</v>
      </c>
      <c r="R2073" s="25">
        <f>IFERROR(revenue[profit]/revenue[revenue], 0)</f>
        <v>0.1457014001</v>
      </c>
      <c r="S2073" s="9">
        <f>revenue[productCost]*revenue[orderQuantity]</f>
        <v>568.1085689</v>
      </c>
    </row>
    <row r="2074" ht="15.75" customHeight="1">
      <c r="A2074" s="6">
        <v>11054.0</v>
      </c>
      <c r="B2074" s="7" t="s">
        <v>93</v>
      </c>
      <c r="C2074" s="24" t="str">
        <f>VLOOKUP(revenue[customerID],customers[],2,FALSE)</f>
        <v>Cactus Comidas para llevar</v>
      </c>
      <c r="D2074" s="24" t="str">
        <f>VLOOKUP(revenue[customerID],customers[],6,FALSE)</f>
        <v>Buenos Aires</v>
      </c>
      <c r="E2074" s="24" t="str">
        <f>VLOOKUP(revenue[customerID],customers[],9,FALSE)</f>
        <v>Argentina</v>
      </c>
      <c r="F2074" s="24">
        <v>45410.0</v>
      </c>
      <c r="G2074" s="6">
        <v>33.0</v>
      </c>
      <c r="H2074" s="9" t="str">
        <f>VLOOKUP(revenue[productID],products[],2,FALSE)</f>
        <v>Geitost</v>
      </c>
      <c r="I2074" s="9" t="str">
        <f>VLOOKUP(revenue[productID],products[],12,FALSE)</f>
        <v>Dairy Products</v>
      </c>
      <c r="J2074" s="9">
        <f>VLOOKUP(revenue[productID],products[],IF(YEAR(revenue[orderDate])=2022,8,IF(YEAR(revenue[orderDate])=2023,9,IF(YEAR(revenue[orderDate])=2024,10,NA))),FALSE)</f>
        <v>1.670163437</v>
      </c>
      <c r="K2074" s="9">
        <v>2.5</v>
      </c>
      <c r="L2074" s="25">
        <f>(revenue[orderPrice]-revenue[productCost])/revenue[productCost]</f>
        <v>0.4968594957</v>
      </c>
      <c r="M2074" s="10">
        <v>10.0</v>
      </c>
      <c r="N2074" s="25">
        <v>0.0</v>
      </c>
      <c r="O2074" s="9">
        <f>revenue[orderPrice]*revenue[orderQuantity]</f>
        <v>25</v>
      </c>
      <c r="P2074" s="9">
        <f>revenue[orderTotal]*(1-revenue[discountApllied])</f>
        <v>25</v>
      </c>
      <c r="Q2074" s="9">
        <f>revenue[revenue]-(revenue[productCost]*revenue[orderQuantity])</f>
        <v>8.29836563</v>
      </c>
      <c r="R2074" s="25">
        <f>IFERROR(revenue[profit]/revenue[revenue], 0)</f>
        <v>0.3319346252</v>
      </c>
      <c r="S2074" s="9">
        <f>revenue[productCost]*revenue[orderQuantity]</f>
        <v>16.70163437</v>
      </c>
    </row>
    <row r="2075" ht="15.75" customHeight="1">
      <c r="A2075" s="6">
        <v>11054.0</v>
      </c>
      <c r="B2075" s="7" t="s">
        <v>93</v>
      </c>
      <c r="C2075" s="24" t="str">
        <f>VLOOKUP(revenue[customerID],customers[],2,FALSE)</f>
        <v>Cactus Comidas para llevar</v>
      </c>
      <c r="D2075" s="24" t="str">
        <f>VLOOKUP(revenue[customerID],customers[],6,FALSE)</f>
        <v>Buenos Aires</v>
      </c>
      <c r="E2075" s="24" t="str">
        <f>VLOOKUP(revenue[customerID],customers[],9,FALSE)</f>
        <v>Argentina</v>
      </c>
      <c r="F2075" s="24">
        <v>45410.0</v>
      </c>
      <c r="G2075" s="6">
        <v>67.0</v>
      </c>
      <c r="H2075" s="9" t="str">
        <f>VLOOKUP(revenue[productID],products[],2,FALSE)</f>
        <v>Laughing Lumberjack Lager</v>
      </c>
      <c r="I2075" s="9" t="str">
        <f>VLOOKUP(revenue[productID],products[],12,FALSE)</f>
        <v>Beverages</v>
      </c>
      <c r="J2075" s="9">
        <f>VLOOKUP(revenue[productID],products[],IF(YEAR(revenue[orderDate])=2022,8,IF(YEAR(revenue[orderDate])=2023,9,IF(YEAR(revenue[orderDate])=2024,10,NA))),FALSE)</f>
        <v>9.443192754</v>
      </c>
      <c r="K2075" s="9">
        <v>14.0</v>
      </c>
      <c r="L2075" s="25">
        <f>(revenue[orderPrice]-revenue[productCost])/revenue[productCost]</f>
        <v>0.4825494263</v>
      </c>
      <c r="M2075" s="10">
        <v>20.0</v>
      </c>
      <c r="N2075" s="25">
        <v>0.0</v>
      </c>
      <c r="O2075" s="9">
        <f>revenue[orderPrice]*revenue[orderQuantity]</f>
        <v>280</v>
      </c>
      <c r="P2075" s="9">
        <f>revenue[orderTotal]*(1-revenue[discountApllied])</f>
        <v>280</v>
      </c>
      <c r="Q2075" s="9">
        <f>revenue[revenue]-(revenue[productCost]*revenue[orderQuantity])</f>
        <v>91.13614492</v>
      </c>
      <c r="R2075" s="25">
        <f>IFERROR(revenue[profit]/revenue[revenue], 0)</f>
        <v>0.3254862318</v>
      </c>
      <c r="S2075" s="9">
        <f>revenue[productCost]*revenue[orderQuantity]</f>
        <v>188.8638551</v>
      </c>
    </row>
    <row r="2076" ht="15.75" customHeight="1">
      <c r="A2076" s="6">
        <v>11055.0</v>
      </c>
      <c r="B2076" s="7" t="s">
        <v>23</v>
      </c>
      <c r="C2076" s="24" t="str">
        <f>VLOOKUP(revenue[customerID],customers[],2,FALSE)</f>
        <v>HILARION-Abastos</v>
      </c>
      <c r="D2076" s="24" t="str">
        <f>VLOOKUP(revenue[customerID],customers[],6,FALSE)</f>
        <v>San Cristóbal</v>
      </c>
      <c r="E2076" s="24" t="str">
        <f>VLOOKUP(revenue[customerID],customers[],9,FALSE)</f>
        <v>Venezuela</v>
      </c>
      <c r="F2076" s="24">
        <v>45410.0</v>
      </c>
      <c r="G2076" s="6">
        <v>24.0</v>
      </c>
      <c r="H2076" s="9" t="str">
        <f>VLOOKUP(revenue[productID],products[],2,FALSE)</f>
        <v>Brigadeiros Maravilhosos da Lilian</v>
      </c>
      <c r="I2076" s="9" t="str">
        <f>VLOOKUP(revenue[productID],products[],12,FALSE)</f>
        <v>Confections</v>
      </c>
      <c r="J2076" s="9">
        <f>VLOOKUP(revenue[productID],products[],IF(YEAR(revenue[orderDate])=2022,8,IF(YEAR(revenue[orderDate])=2023,9,IF(YEAR(revenue[orderDate])=2024,10,NA))),FALSE)</f>
        <v>3.177326315</v>
      </c>
      <c r="K2076" s="9">
        <v>4.5</v>
      </c>
      <c r="L2076" s="25">
        <f>(revenue[orderPrice]-revenue[productCost])/revenue[productCost]</f>
        <v>0.416285126</v>
      </c>
      <c r="M2076" s="10">
        <v>15.0</v>
      </c>
      <c r="N2076" s="25">
        <v>0.0</v>
      </c>
      <c r="O2076" s="9">
        <f>revenue[orderPrice]*revenue[orderQuantity]</f>
        <v>67.5</v>
      </c>
      <c r="P2076" s="9">
        <f>revenue[orderTotal]*(1-revenue[discountApllied])</f>
        <v>67.5</v>
      </c>
      <c r="Q2076" s="9">
        <f>revenue[revenue]-(revenue[productCost]*revenue[orderQuantity])</f>
        <v>19.84010528</v>
      </c>
      <c r="R2076" s="25">
        <f>IFERROR(revenue[profit]/revenue[revenue], 0)</f>
        <v>0.2939274856</v>
      </c>
      <c r="S2076" s="9">
        <f>revenue[productCost]*revenue[orderQuantity]</f>
        <v>47.65989472</v>
      </c>
    </row>
    <row r="2077" ht="15.75" customHeight="1">
      <c r="A2077" s="6">
        <v>11055.0</v>
      </c>
      <c r="B2077" s="7" t="s">
        <v>23</v>
      </c>
      <c r="C2077" s="24" t="str">
        <f>VLOOKUP(revenue[customerID],customers[],2,FALSE)</f>
        <v>HILARION-Abastos</v>
      </c>
      <c r="D2077" s="24" t="str">
        <f>VLOOKUP(revenue[customerID],customers[],6,FALSE)</f>
        <v>San Cristóbal</v>
      </c>
      <c r="E2077" s="24" t="str">
        <f>VLOOKUP(revenue[customerID],customers[],9,FALSE)</f>
        <v>Venezuela</v>
      </c>
      <c r="F2077" s="24">
        <v>45410.0</v>
      </c>
      <c r="G2077" s="6">
        <v>25.0</v>
      </c>
      <c r="H2077" s="9" t="str">
        <f>VLOOKUP(revenue[productID],products[],2,FALSE)</f>
        <v>HM Köstliche Kaiserschmarrn Knödelchen</v>
      </c>
      <c r="I2077" s="9" t="str">
        <f>VLOOKUP(revenue[productID],products[],12,FALSE)</f>
        <v>Confections</v>
      </c>
      <c r="J2077" s="9">
        <f>VLOOKUP(revenue[productID],products[],IF(YEAR(revenue[orderDate])=2022,8,IF(YEAR(revenue[orderDate])=2023,9,IF(YEAR(revenue[orderDate])=2024,10,NA))),FALSE)</f>
        <v>8.782270815</v>
      </c>
      <c r="K2077" s="9">
        <v>14.0</v>
      </c>
      <c r="L2077" s="25">
        <f>(revenue[orderPrice]-revenue[productCost])/revenue[productCost]</f>
        <v>0.5941207342</v>
      </c>
      <c r="M2077" s="10">
        <v>15.0</v>
      </c>
      <c r="N2077" s="25">
        <v>0.0</v>
      </c>
      <c r="O2077" s="9">
        <f>revenue[orderPrice]*revenue[orderQuantity]</f>
        <v>210</v>
      </c>
      <c r="P2077" s="9">
        <f>revenue[orderTotal]*(1-revenue[discountApllied])</f>
        <v>210</v>
      </c>
      <c r="Q2077" s="9">
        <f>revenue[revenue]-(revenue[productCost]*revenue[orderQuantity])</f>
        <v>78.26593777</v>
      </c>
      <c r="R2077" s="25">
        <f>IFERROR(revenue[profit]/revenue[revenue], 0)</f>
        <v>0.3726949418</v>
      </c>
      <c r="S2077" s="9">
        <f>revenue[productCost]*revenue[orderQuantity]</f>
        <v>131.7340622</v>
      </c>
    </row>
    <row r="2078" ht="15.75" customHeight="1">
      <c r="A2078" s="6">
        <v>11055.0</v>
      </c>
      <c r="B2078" s="7" t="s">
        <v>23</v>
      </c>
      <c r="C2078" s="24" t="str">
        <f>VLOOKUP(revenue[customerID],customers[],2,FALSE)</f>
        <v>HILARION-Abastos</v>
      </c>
      <c r="D2078" s="24" t="str">
        <f>VLOOKUP(revenue[customerID],customers[],6,FALSE)</f>
        <v>San Cristóbal</v>
      </c>
      <c r="E2078" s="24" t="str">
        <f>VLOOKUP(revenue[customerID],customers[],9,FALSE)</f>
        <v>Venezuela</v>
      </c>
      <c r="F2078" s="24">
        <v>45410.0</v>
      </c>
      <c r="G2078" s="6">
        <v>51.0</v>
      </c>
      <c r="H2078" s="9" t="str">
        <f>VLOOKUP(revenue[productID],products[],2,FALSE)</f>
        <v>Manjimup Dried Apples</v>
      </c>
      <c r="I2078" s="9" t="str">
        <f>VLOOKUP(revenue[productID],products[],12,FALSE)</f>
        <v>Produce</v>
      </c>
      <c r="J2078" s="9">
        <f>VLOOKUP(revenue[productID],products[],IF(YEAR(revenue[orderDate])=2022,8,IF(YEAR(revenue[orderDate])=2023,9,IF(YEAR(revenue[orderDate])=2024,10,NA))),FALSE)</f>
        <v>39.51416462</v>
      </c>
      <c r="K2078" s="9">
        <v>53.0</v>
      </c>
      <c r="L2078" s="25">
        <f>(revenue[orderPrice]-revenue[productCost])/revenue[productCost]</f>
        <v>0.3412911677</v>
      </c>
      <c r="M2078" s="10">
        <v>20.0</v>
      </c>
      <c r="N2078" s="25">
        <v>0.0</v>
      </c>
      <c r="O2078" s="9">
        <f>revenue[orderPrice]*revenue[orderQuantity]</f>
        <v>1060</v>
      </c>
      <c r="P2078" s="9">
        <f>revenue[orderTotal]*(1-revenue[discountApllied])</f>
        <v>1060</v>
      </c>
      <c r="Q2078" s="9">
        <f>revenue[revenue]-(revenue[productCost]*revenue[orderQuantity])</f>
        <v>269.7167076</v>
      </c>
      <c r="R2078" s="25">
        <f>IFERROR(revenue[profit]/revenue[revenue], 0)</f>
        <v>0.2544497242</v>
      </c>
      <c r="S2078" s="9">
        <f>revenue[productCost]*revenue[orderQuantity]</f>
        <v>790.2832924</v>
      </c>
    </row>
    <row r="2079" ht="15.75" customHeight="1">
      <c r="A2079" s="6">
        <v>11055.0</v>
      </c>
      <c r="B2079" s="7" t="s">
        <v>23</v>
      </c>
      <c r="C2079" s="24" t="str">
        <f>VLOOKUP(revenue[customerID],customers[],2,FALSE)</f>
        <v>HILARION-Abastos</v>
      </c>
      <c r="D2079" s="24" t="str">
        <f>VLOOKUP(revenue[customerID],customers[],6,FALSE)</f>
        <v>San Cristóbal</v>
      </c>
      <c r="E2079" s="24" t="str">
        <f>VLOOKUP(revenue[customerID],customers[],9,FALSE)</f>
        <v>Venezuela</v>
      </c>
      <c r="F2079" s="24">
        <v>45410.0</v>
      </c>
      <c r="G2079" s="6">
        <v>57.0</v>
      </c>
      <c r="H2079" s="9" t="str">
        <f>VLOOKUP(revenue[productID],products[],2,FALSE)</f>
        <v>Ravioli Angelo</v>
      </c>
      <c r="I2079" s="9" t="str">
        <f>VLOOKUP(revenue[productID],products[],12,FALSE)</f>
        <v>Grains/Cereals</v>
      </c>
      <c r="J2079" s="9">
        <f>VLOOKUP(revenue[productID],products[],IF(YEAR(revenue[orderDate])=2022,8,IF(YEAR(revenue[orderDate])=2023,9,IF(YEAR(revenue[orderDate])=2024,10,NA))),FALSE)</f>
        <v>14.29534762</v>
      </c>
      <c r="K2079" s="9">
        <v>19.5</v>
      </c>
      <c r="L2079" s="25">
        <f>(revenue[orderPrice]-revenue[productCost])/revenue[productCost]</f>
        <v>0.3640801552</v>
      </c>
      <c r="M2079" s="10">
        <v>20.0</v>
      </c>
      <c r="N2079" s="25">
        <v>0.0</v>
      </c>
      <c r="O2079" s="9">
        <f>revenue[orderPrice]*revenue[orderQuantity]</f>
        <v>390</v>
      </c>
      <c r="P2079" s="9">
        <f>revenue[orderTotal]*(1-revenue[discountApllied])</f>
        <v>390</v>
      </c>
      <c r="Q2079" s="9">
        <f>revenue[revenue]-(revenue[productCost]*revenue[orderQuantity])</f>
        <v>104.0930476</v>
      </c>
      <c r="R2079" s="25">
        <f>IFERROR(revenue[profit]/revenue[revenue], 0)</f>
        <v>0.2669052503</v>
      </c>
      <c r="S2079" s="9">
        <f>revenue[productCost]*revenue[orderQuantity]</f>
        <v>285.9069524</v>
      </c>
    </row>
    <row r="2080" ht="15.75" customHeight="1">
      <c r="A2080" s="6">
        <v>11056.0</v>
      </c>
      <c r="B2080" s="7" t="s">
        <v>73</v>
      </c>
      <c r="C2080" s="24" t="str">
        <f>VLOOKUP(revenue[customerID],customers[],2,FALSE)</f>
        <v>Eastern Connection</v>
      </c>
      <c r="D2080" s="24" t="str">
        <f>VLOOKUP(revenue[customerID],customers[],6,FALSE)</f>
        <v>London</v>
      </c>
      <c r="E2080" s="24" t="str">
        <f>VLOOKUP(revenue[customerID],customers[],9,FALSE)</f>
        <v>UK</v>
      </c>
      <c r="F2080" s="24">
        <v>45410.0</v>
      </c>
      <c r="G2080" s="6">
        <v>7.0</v>
      </c>
      <c r="H2080" s="9" t="str">
        <f>VLOOKUP(revenue[productID],products[],2,FALSE)</f>
        <v>Uncle Bob's Organic Dried Pears</v>
      </c>
      <c r="I2080" s="9" t="str">
        <f>VLOOKUP(revenue[productID],products[],12,FALSE)</f>
        <v>Produce</v>
      </c>
      <c r="J2080" s="9">
        <f>VLOOKUP(revenue[productID],products[],IF(YEAR(revenue[orderDate])=2022,8,IF(YEAR(revenue[orderDate])=2023,9,IF(YEAR(revenue[orderDate])=2024,10,NA))),FALSE)</f>
        <v>23.52222246</v>
      </c>
      <c r="K2080" s="9">
        <v>30.0</v>
      </c>
      <c r="L2080" s="25">
        <f>(revenue[orderPrice]-revenue[productCost])/revenue[productCost]</f>
        <v>0.2753896894</v>
      </c>
      <c r="M2080" s="10">
        <v>40.0</v>
      </c>
      <c r="N2080" s="25">
        <v>0.0</v>
      </c>
      <c r="O2080" s="9">
        <f>revenue[orderPrice]*revenue[orderQuantity]</f>
        <v>1200</v>
      </c>
      <c r="P2080" s="9">
        <f>revenue[orderTotal]*(1-revenue[discountApllied])</f>
        <v>1200</v>
      </c>
      <c r="Q2080" s="9">
        <f>revenue[revenue]-(revenue[productCost]*revenue[orderQuantity])</f>
        <v>259.1111015</v>
      </c>
      <c r="R2080" s="25">
        <f>IFERROR(revenue[profit]/revenue[revenue], 0)</f>
        <v>0.2159259179</v>
      </c>
      <c r="S2080" s="9">
        <f>revenue[productCost]*revenue[orderQuantity]</f>
        <v>940.8888985</v>
      </c>
    </row>
    <row r="2081" ht="15.75" customHeight="1">
      <c r="A2081" s="6">
        <v>11056.0</v>
      </c>
      <c r="B2081" s="7" t="s">
        <v>73</v>
      </c>
      <c r="C2081" s="24" t="str">
        <f>VLOOKUP(revenue[customerID],customers[],2,FALSE)</f>
        <v>Eastern Connection</v>
      </c>
      <c r="D2081" s="24" t="str">
        <f>VLOOKUP(revenue[customerID],customers[],6,FALSE)</f>
        <v>London</v>
      </c>
      <c r="E2081" s="24" t="str">
        <f>VLOOKUP(revenue[customerID],customers[],9,FALSE)</f>
        <v>UK</v>
      </c>
      <c r="F2081" s="24">
        <v>45410.0</v>
      </c>
      <c r="G2081" s="6">
        <v>55.0</v>
      </c>
      <c r="H2081" s="9" t="str">
        <f>VLOOKUP(revenue[productID],products[],2,FALSE)</f>
        <v>Pâté chinois</v>
      </c>
      <c r="I2081" s="9" t="str">
        <f>VLOOKUP(revenue[productID],products[],12,FALSE)</f>
        <v>Meat/Poultry</v>
      </c>
      <c r="J2081" s="9">
        <f>VLOOKUP(revenue[productID],products[],IF(YEAR(revenue[orderDate])=2022,8,IF(YEAR(revenue[orderDate])=2023,9,IF(YEAR(revenue[orderDate])=2024,10,NA))),FALSE)</f>
        <v>16.95998522</v>
      </c>
      <c r="K2081" s="9">
        <v>24.0</v>
      </c>
      <c r="L2081" s="25">
        <f>(revenue[orderPrice]-revenue[productCost])/revenue[productCost]</f>
        <v>0.4150955727</v>
      </c>
      <c r="M2081" s="10">
        <v>35.0</v>
      </c>
      <c r="N2081" s="25">
        <v>0.0</v>
      </c>
      <c r="O2081" s="9">
        <f>revenue[orderPrice]*revenue[orderQuantity]</f>
        <v>840</v>
      </c>
      <c r="P2081" s="9">
        <f>revenue[orderTotal]*(1-revenue[discountApllied])</f>
        <v>840</v>
      </c>
      <c r="Q2081" s="9">
        <f>revenue[revenue]-(revenue[productCost]*revenue[orderQuantity])</f>
        <v>246.4005173</v>
      </c>
      <c r="R2081" s="25">
        <f>IFERROR(revenue[profit]/revenue[revenue], 0)</f>
        <v>0.2933339491</v>
      </c>
      <c r="S2081" s="9">
        <f>revenue[productCost]*revenue[orderQuantity]</f>
        <v>593.5994827</v>
      </c>
    </row>
    <row r="2082" ht="15.75" customHeight="1">
      <c r="A2082" s="6">
        <v>11056.0</v>
      </c>
      <c r="B2082" s="7" t="s">
        <v>73</v>
      </c>
      <c r="C2082" s="24" t="str">
        <f>VLOOKUP(revenue[customerID],customers[],2,FALSE)</f>
        <v>Eastern Connection</v>
      </c>
      <c r="D2082" s="24" t="str">
        <f>VLOOKUP(revenue[customerID],customers[],6,FALSE)</f>
        <v>London</v>
      </c>
      <c r="E2082" s="24" t="str">
        <f>VLOOKUP(revenue[customerID],customers[],9,FALSE)</f>
        <v>UK</v>
      </c>
      <c r="F2082" s="24">
        <v>45410.0</v>
      </c>
      <c r="G2082" s="6">
        <v>60.0</v>
      </c>
      <c r="H2082" s="9" t="str">
        <f>VLOOKUP(revenue[productID],products[],2,FALSE)</f>
        <v>Camembert Pierrot</v>
      </c>
      <c r="I2082" s="9" t="str">
        <f>VLOOKUP(revenue[productID],products[],12,FALSE)</f>
        <v>Dairy Products</v>
      </c>
      <c r="J2082" s="9">
        <f>VLOOKUP(revenue[productID],products[],IF(YEAR(revenue[orderDate])=2022,8,IF(YEAR(revenue[orderDate])=2023,9,IF(YEAR(revenue[orderDate])=2024,10,NA))),FALSE)</f>
        <v>22.49091154</v>
      </c>
      <c r="K2082" s="9">
        <v>34.0</v>
      </c>
      <c r="L2082" s="25">
        <f>(revenue[orderPrice]-revenue[productCost])/revenue[productCost]</f>
        <v>0.5117217431</v>
      </c>
      <c r="M2082" s="10">
        <v>50.0</v>
      </c>
      <c r="N2082" s="25">
        <v>0.0</v>
      </c>
      <c r="O2082" s="9">
        <f>revenue[orderPrice]*revenue[orderQuantity]</f>
        <v>1700</v>
      </c>
      <c r="P2082" s="9">
        <f>revenue[orderTotal]*(1-revenue[discountApllied])</f>
        <v>1700</v>
      </c>
      <c r="Q2082" s="9">
        <f>revenue[revenue]-(revenue[productCost]*revenue[orderQuantity])</f>
        <v>575.4544229</v>
      </c>
      <c r="R2082" s="25">
        <f>IFERROR(revenue[profit]/revenue[revenue], 0)</f>
        <v>0.3385026017</v>
      </c>
      <c r="S2082" s="9">
        <f>revenue[productCost]*revenue[orderQuantity]</f>
        <v>1124.545577</v>
      </c>
    </row>
    <row r="2083" ht="15.75" customHeight="1">
      <c r="A2083" s="6">
        <v>11057.0</v>
      </c>
      <c r="B2083" s="7" t="s">
        <v>92</v>
      </c>
      <c r="C2083" s="24" t="str">
        <f>VLOOKUP(revenue[customerID],customers[],2,FALSE)</f>
        <v>North/South</v>
      </c>
      <c r="D2083" s="24" t="str">
        <f>VLOOKUP(revenue[customerID],customers[],6,FALSE)</f>
        <v>London</v>
      </c>
      <c r="E2083" s="24" t="str">
        <f>VLOOKUP(revenue[customerID],customers[],9,FALSE)</f>
        <v>UK</v>
      </c>
      <c r="F2083" s="24">
        <v>45411.0</v>
      </c>
      <c r="G2083" s="6">
        <v>70.0</v>
      </c>
      <c r="H2083" s="9" t="str">
        <f>VLOOKUP(revenue[productID],products[],2,FALSE)</f>
        <v>Outback Lager</v>
      </c>
      <c r="I2083" s="9" t="str">
        <f>VLOOKUP(revenue[productID],products[],12,FALSE)</f>
        <v>Beverages</v>
      </c>
      <c r="J2083" s="9">
        <f>VLOOKUP(revenue[productID],products[],IF(YEAR(revenue[orderDate])=2022,8,IF(YEAR(revenue[orderDate])=2023,9,IF(YEAR(revenue[orderDate])=2024,10,NA))),FALSE)</f>
        <v>10.03280812</v>
      </c>
      <c r="K2083" s="9">
        <v>15.0</v>
      </c>
      <c r="L2083" s="25">
        <f>(revenue[orderPrice]-revenue[productCost])/revenue[productCost]</f>
        <v>0.4950948747</v>
      </c>
      <c r="M2083" s="10">
        <v>3.0</v>
      </c>
      <c r="N2083" s="25">
        <v>0.0</v>
      </c>
      <c r="O2083" s="9">
        <f>revenue[orderPrice]*revenue[orderQuantity]</f>
        <v>45</v>
      </c>
      <c r="P2083" s="9">
        <f>revenue[orderTotal]*(1-revenue[discountApllied])</f>
        <v>45</v>
      </c>
      <c r="Q2083" s="9">
        <f>revenue[revenue]-(revenue[productCost]*revenue[orderQuantity])</f>
        <v>14.90157564</v>
      </c>
      <c r="R2083" s="25">
        <f>IFERROR(revenue[profit]/revenue[revenue], 0)</f>
        <v>0.3311461253</v>
      </c>
      <c r="S2083" s="9">
        <f>revenue[productCost]*revenue[orderQuantity]</f>
        <v>30.09842436</v>
      </c>
    </row>
    <row r="2084" ht="15.75" customHeight="1">
      <c r="A2084" s="6">
        <v>11058.0</v>
      </c>
      <c r="B2084" s="7" t="s">
        <v>91</v>
      </c>
      <c r="C2084" s="24" t="str">
        <f>VLOOKUP(revenue[customerID],customers[],2,FALSE)</f>
        <v>Blauer See Delikatessen</v>
      </c>
      <c r="D2084" s="24" t="str">
        <f>VLOOKUP(revenue[customerID],customers[],6,FALSE)</f>
        <v>Mannheim</v>
      </c>
      <c r="E2084" s="24" t="str">
        <f>VLOOKUP(revenue[customerID],customers[],9,FALSE)</f>
        <v>Germany</v>
      </c>
      <c r="F2084" s="24">
        <v>45411.0</v>
      </c>
      <c r="G2084" s="6">
        <v>21.0</v>
      </c>
      <c r="H2084" s="9" t="str">
        <f>VLOOKUP(revenue[productID],products[],2,FALSE)</f>
        <v>Sir Rodney's Scones</v>
      </c>
      <c r="I2084" s="9" t="str">
        <f>VLOOKUP(revenue[productID],products[],12,FALSE)</f>
        <v>Confections</v>
      </c>
      <c r="J2084" s="9">
        <f>VLOOKUP(revenue[productID],products[],IF(YEAR(revenue[orderDate])=2022,8,IF(YEAR(revenue[orderDate])=2023,9,IF(YEAR(revenue[orderDate])=2024,10,NA))),FALSE)</f>
        <v>7.459897593</v>
      </c>
      <c r="K2084" s="9">
        <v>10.0</v>
      </c>
      <c r="L2084" s="25">
        <f>(revenue[orderPrice]-revenue[productCost])/revenue[productCost]</f>
        <v>0.3405009753</v>
      </c>
      <c r="M2084" s="10">
        <v>3.0</v>
      </c>
      <c r="N2084" s="25">
        <v>0.0</v>
      </c>
      <c r="O2084" s="9">
        <f>revenue[orderPrice]*revenue[orderQuantity]</f>
        <v>30</v>
      </c>
      <c r="P2084" s="9">
        <f>revenue[orderTotal]*(1-revenue[discountApllied])</f>
        <v>30</v>
      </c>
      <c r="Q2084" s="9">
        <f>revenue[revenue]-(revenue[productCost]*revenue[orderQuantity])</f>
        <v>7.62030722</v>
      </c>
      <c r="R2084" s="25">
        <f>IFERROR(revenue[profit]/revenue[revenue], 0)</f>
        <v>0.2540102407</v>
      </c>
      <c r="S2084" s="9">
        <f>revenue[productCost]*revenue[orderQuantity]</f>
        <v>22.37969278</v>
      </c>
    </row>
    <row r="2085" ht="15.75" customHeight="1">
      <c r="A2085" s="6">
        <v>11058.0</v>
      </c>
      <c r="B2085" s="7" t="s">
        <v>91</v>
      </c>
      <c r="C2085" s="24" t="str">
        <f>VLOOKUP(revenue[customerID],customers[],2,FALSE)</f>
        <v>Blauer See Delikatessen</v>
      </c>
      <c r="D2085" s="24" t="str">
        <f>VLOOKUP(revenue[customerID],customers[],6,FALSE)</f>
        <v>Mannheim</v>
      </c>
      <c r="E2085" s="24" t="str">
        <f>VLOOKUP(revenue[customerID],customers[],9,FALSE)</f>
        <v>Germany</v>
      </c>
      <c r="F2085" s="24">
        <v>45411.0</v>
      </c>
      <c r="G2085" s="6">
        <v>60.0</v>
      </c>
      <c r="H2085" s="9" t="str">
        <f>VLOOKUP(revenue[productID],products[],2,FALSE)</f>
        <v>Camembert Pierrot</v>
      </c>
      <c r="I2085" s="9" t="str">
        <f>VLOOKUP(revenue[productID],products[],12,FALSE)</f>
        <v>Dairy Products</v>
      </c>
      <c r="J2085" s="9">
        <f>VLOOKUP(revenue[productID],products[],IF(YEAR(revenue[orderDate])=2022,8,IF(YEAR(revenue[orderDate])=2023,9,IF(YEAR(revenue[orderDate])=2024,10,NA))),FALSE)</f>
        <v>22.49091154</v>
      </c>
      <c r="K2085" s="9">
        <v>34.0</v>
      </c>
      <c r="L2085" s="25">
        <f>(revenue[orderPrice]-revenue[productCost])/revenue[productCost]</f>
        <v>0.5117217431</v>
      </c>
      <c r="M2085" s="10">
        <v>21.0</v>
      </c>
      <c r="N2085" s="25">
        <v>0.0</v>
      </c>
      <c r="O2085" s="9">
        <f>revenue[orderPrice]*revenue[orderQuantity]</f>
        <v>714</v>
      </c>
      <c r="P2085" s="9">
        <f>revenue[orderTotal]*(1-revenue[discountApllied])</f>
        <v>714</v>
      </c>
      <c r="Q2085" s="9">
        <f>revenue[revenue]-(revenue[productCost]*revenue[orderQuantity])</f>
        <v>241.6908576</v>
      </c>
      <c r="R2085" s="25">
        <f>IFERROR(revenue[profit]/revenue[revenue], 0)</f>
        <v>0.3385026017</v>
      </c>
      <c r="S2085" s="9">
        <f>revenue[productCost]*revenue[orderQuantity]</f>
        <v>472.3091424</v>
      </c>
    </row>
    <row r="2086" ht="15.75" customHeight="1">
      <c r="A2086" s="6">
        <v>11058.0</v>
      </c>
      <c r="B2086" s="7" t="s">
        <v>91</v>
      </c>
      <c r="C2086" s="24" t="str">
        <f>VLOOKUP(revenue[customerID],customers[],2,FALSE)</f>
        <v>Blauer See Delikatessen</v>
      </c>
      <c r="D2086" s="24" t="str">
        <f>VLOOKUP(revenue[customerID],customers[],6,FALSE)</f>
        <v>Mannheim</v>
      </c>
      <c r="E2086" s="24" t="str">
        <f>VLOOKUP(revenue[customerID],customers[],9,FALSE)</f>
        <v>Germany</v>
      </c>
      <c r="F2086" s="24">
        <v>45411.0</v>
      </c>
      <c r="G2086" s="6">
        <v>61.0</v>
      </c>
      <c r="H2086" s="9" t="str">
        <f>VLOOKUP(revenue[productID],products[],2,FALSE)</f>
        <v>Sirop d'érable</v>
      </c>
      <c r="I2086" s="9" t="str">
        <f>VLOOKUP(revenue[productID],products[],12,FALSE)</f>
        <v>Condiments</v>
      </c>
      <c r="J2086" s="9">
        <f>VLOOKUP(revenue[productID],products[],IF(YEAR(revenue[orderDate])=2022,8,IF(YEAR(revenue[orderDate])=2023,9,IF(YEAR(revenue[orderDate])=2024,10,NA))),FALSE)</f>
        <v>18.74487379</v>
      </c>
      <c r="K2086" s="9">
        <v>28.5</v>
      </c>
      <c r="L2086" s="25">
        <f>(revenue[orderPrice]-revenue[productCost])/revenue[productCost]</f>
        <v>0.5204156786</v>
      </c>
      <c r="M2086" s="10">
        <v>4.0</v>
      </c>
      <c r="N2086" s="25">
        <v>0.0</v>
      </c>
      <c r="O2086" s="9">
        <f>revenue[orderPrice]*revenue[orderQuantity]</f>
        <v>114</v>
      </c>
      <c r="P2086" s="9">
        <f>revenue[orderTotal]*(1-revenue[discountApllied])</f>
        <v>114</v>
      </c>
      <c r="Q2086" s="9">
        <f>revenue[revenue]-(revenue[productCost]*revenue[orderQuantity])</f>
        <v>39.02050485</v>
      </c>
      <c r="R2086" s="25">
        <f>IFERROR(revenue[profit]/revenue[revenue], 0)</f>
        <v>0.3422851303</v>
      </c>
      <c r="S2086" s="9">
        <f>revenue[productCost]*revenue[orderQuantity]</f>
        <v>74.97949515</v>
      </c>
    </row>
    <row r="2087" ht="15.75" customHeight="1">
      <c r="A2087" s="6">
        <v>11059.0</v>
      </c>
      <c r="B2087" s="7" t="s">
        <v>44</v>
      </c>
      <c r="C2087" s="24" t="str">
        <f>VLOOKUP(revenue[customerID],customers[],2,FALSE)</f>
        <v>Ricardo Adocicados</v>
      </c>
      <c r="D2087" s="24" t="str">
        <f>VLOOKUP(revenue[customerID],customers[],6,FALSE)</f>
        <v>Rio de Janeiro</v>
      </c>
      <c r="E2087" s="24" t="str">
        <f>VLOOKUP(revenue[customerID],customers[],9,FALSE)</f>
        <v>Brazil</v>
      </c>
      <c r="F2087" s="24">
        <v>45411.0</v>
      </c>
      <c r="G2087" s="6">
        <v>13.0</v>
      </c>
      <c r="H2087" s="9" t="str">
        <f>VLOOKUP(revenue[productID],products[],2,FALSE)</f>
        <v>Konbu</v>
      </c>
      <c r="I2087" s="9" t="str">
        <f>VLOOKUP(revenue[productID],products[],12,FALSE)</f>
        <v>Seafood</v>
      </c>
      <c r="J2087" s="9">
        <f>VLOOKUP(revenue[productID],products[],IF(YEAR(revenue[orderDate])=2022,8,IF(YEAR(revenue[orderDate])=2023,9,IF(YEAR(revenue[orderDate])=2024,10,NA))),FALSE)</f>
        <v>3.966387047</v>
      </c>
      <c r="K2087" s="9">
        <v>6.0</v>
      </c>
      <c r="L2087" s="25">
        <f>(revenue[orderPrice]-revenue[productCost])/revenue[productCost]</f>
        <v>0.5127116768</v>
      </c>
      <c r="M2087" s="10">
        <v>30.0</v>
      </c>
      <c r="N2087" s="25">
        <v>0.0</v>
      </c>
      <c r="O2087" s="9">
        <f>revenue[orderPrice]*revenue[orderQuantity]</f>
        <v>180</v>
      </c>
      <c r="P2087" s="9">
        <f>revenue[orderTotal]*(1-revenue[discountApllied])</f>
        <v>180</v>
      </c>
      <c r="Q2087" s="9">
        <f>revenue[revenue]-(revenue[productCost]*revenue[orderQuantity])</f>
        <v>61.0083886</v>
      </c>
      <c r="R2087" s="25">
        <f>IFERROR(revenue[profit]/revenue[revenue], 0)</f>
        <v>0.3389354922</v>
      </c>
      <c r="S2087" s="9">
        <f>revenue[productCost]*revenue[orderQuantity]</f>
        <v>118.9916114</v>
      </c>
    </row>
    <row r="2088" ht="15.75" customHeight="1">
      <c r="A2088" s="6">
        <v>11059.0</v>
      </c>
      <c r="B2088" s="7" t="s">
        <v>44</v>
      </c>
      <c r="C2088" s="24" t="str">
        <f>VLOOKUP(revenue[customerID],customers[],2,FALSE)</f>
        <v>Ricardo Adocicados</v>
      </c>
      <c r="D2088" s="24" t="str">
        <f>VLOOKUP(revenue[customerID],customers[],6,FALSE)</f>
        <v>Rio de Janeiro</v>
      </c>
      <c r="E2088" s="24" t="str">
        <f>VLOOKUP(revenue[customerID],customers[],9,FALSE)</f>
        <v>Brazil</v>
      </c>
      <c r="F2088" s="24">
        <v>45411.0</v>
      </c>
      <c r="G2088" s="6">
        <v>17.0</v>
      </c>
      <c r="H2088" s="9" t="str">
        <f>VLOOKUP(revenue[productID],products[],2,FALSE)</f>
        <v>Alice Mutton</v>
      </c>
      <c r="I2088" s="9" t="str">
        <f>VLOOKUP(revenue[productID],products[],12,FALSE)</f>
        <v>Meat/Poultry</v>
      </c>
      <c r="J2088" s="9">
        <f>VLOOKUP(revenue[productID],products[],IF(YEAR(revenue[orderDate])=2022,8,IF(YEAR(revenue[orderDate])=2023,9,IF(YEAR(revenue[orderDate])=2024,10,NA))),FALSE)</f>
        <v>28.51916263</v>
      </c>
      <c r="K2088" s="9">
        <v>39.0</v>
      </c>
      <c r="L2088" s="25">
        <f>(revenue[orderPrice]-revenue[productCost])/revenue[productCost]</f>
        <v>0.3675015816</v>
      </c>
      <c r="M2088" s="10">
        <v>12.0</v>
      </c>
      <c r="N2088" s="25">
        <v>0.0</v>
      </c>
      <c r="O2088" s="9">
        <f>revenue[orderPrice]*revenue[orderQuantity]</f>
        <v>468</v>
      </c>
      <c r="P2088" s="9">
        <f>revenue[orderTotal]*(1-revenue[discountApllied])</f>
        <v>468</v>
      </c>
      <c r="Q2088" s="9">
        <f>revenue[revenue]-(revenue[productCost]*revenue[orderQuantity])</f>
        <v>125.7700485</v>
      </c>
      <c r="R2088" s="25">
        <f>IFERROR(revenue[profit]/revenue[revenue], 0)</f>
        <v>0.2687394198</v>
      </c>
      <c r="S2088" s="9">
        <f>revenue[productCost]*revenue[orderQuantity]</f>
        <v>342.2299515</v>
      </c>
    </row>
    <row r="2089" ht="15.75" customHeight="1">
      <c r="A2089" s="6">
        <v>11059.0</v>
      </c>
      <c r="B2089" s="7" t="s">
        <v>44</v>
      </c>
      <c r="C2089" s="24" t="str">
        <f>VLOOKUP(revenue[customerID],customers[],2,FALSE)</f>
        <v>Ricardo Adocicados</v>
      </c>
      <c r="D2089" s="24" t="str">
        <f>VLOOKUP(revenue[customerID],customers[],6,FALSE)</f>
        <v>Rio de Janeiro</v>
      </c>
      <c r="E2089" s="24" t="str">
        <f>VLOOKUP(revenue[customerID],customers[],9,FALSE)</f>
        <v>Brazil</v>
      </c>
      <c r="F2089" s="24">
        <v>45411.0</v>
      </c>
      <c r="G2089" s="6">
        <v>60.0</v>
      </c>
      <c r="H2089" s="9" t="str">
        <f>VLOOKUP(revenue[productID],products[],2,FALSE)</f>
        <v>Camembert Pierrot</v>
      </c>
      <c r="I2089" s="9" t="str">
        <f>VLOOKUP(revenue[productID],products[],12,FALSE)</f>
        <v>Dairy Products</v>
      </c>
      <c r="J2089" s="9">
        <f>VLOOKUP(revenue[productID],products[],IF(YEAR(revenue[orderDate])=2022,8,IF(YEAR(revenue[orderDate])=2023,9,IF(YEAR(revenue[orderDate])=2024,10,NA))),FALSE)</f>
        <v>22.49091154</v>
      </c>
      <c r="K2089" s="9">
        <v>34.0</v>
      </c>
      <c r="L2089" s="25">
        <f>(revenue[orderPrice]-revenue[productCost])/revenue[productCost]</f>
        <v>0.5117217431</v>
      </c>
      <c r="M2089" s="10">
        <v>35.0</v>
      </c>
      <c r="N2089" s="25">
        <v>0.0</v>
      </c>
      <c r="O2089" s="9">
        <f>revenue[orderPrice]*revenue[orderQuantity]</f>
        <v>1190</v>
      </c>
      <c r="P2089" s="9">
        <f>revenue[orderTotal]*(1-revenue[discountApllied])</f>
        <v>1190</v>
      </c>
      <c r="Q2089" s="9">
        <f>revenue[revenue]-(revenue[productCost]*revenue[orderQuantity])</f>
        <v>402.818096</v>
      </c>
      <c r="R2089" s="25">
        <f>IFERROR(revenue[profit]/revenue[revenue], 0)</f>
        <v>0.3385026017</v>
      </c>
      <c r="S2089" s="9">
        <f>revenue[productCost]*revenue[orderQuantity]</f>
        <v>787.181904</v>
      </c>
    </row>
    <row r="2090" ht="15.75" customHeight="1">
      <c r="A2090" s="6">
        <v>11060.0</v>
      </c>
      <c r="B2090" s="7" t="s">
        <v>85</v>
      </c>
      <c r="C2090" s="24" t="str">
        <f>VLOOKUP(revenue[customerID],customers[],2,FALSE)</f>
        <v>Franchi S.p.A.</v>
      </c>
      <c r="D2090" s="24" t="str">
        <f>VLOOKUP(revenue[customerID],customers[],6,FALSE)</f>
        <v>Torino</v>
      </c>
      <c r="E2090" s="24" t="str">
        <f>VLOOKUP(revenue[customerID],customers[],9,FALSE)</f>
        <v>Italy</v>
      </c>
      <c r="F2090" s="24">
        <v>45412.0</v>
      </c>
      <c r="G2090" s="6">
        <v>60.0</v>
      </c>
      <c r="H2090" s="9" t="str">
        <f>VLOOKUP(revenue[productID],products[],2,FALSE)</f>
        <v>Camembert Pierrot</v>
      </c>
      <c r="I2090" s="9" t="str">
        <f>VLOOKUP(revenue[productID],products[],12,FALSE)</f>
        <v>Dairy Products</v>
      </c>
      <c r="J2090" s="9">
        <f>VLOOKUP(revenue[productID],products[],IF(YEAR(revenue[orderDate])=2022,8,IF(YEAR(revenue[orderDate])=2023,9,IF(YEAR(revenue[orderDate])=2024,10,NA))),FALSE)</f>
        <v>22.49091154</v>
      </c>
      <c r="K2090" s="9">
        <v>34.0</v>
      </c>
      <c r="L2090" s="25">
        <f>(revenue[orderPrice]-revenue[productCost])/revenue[productCost]</f>
        <v>0.5117217431</v>
      </c>
      <c r="M2090" s="10">
        <v>4.0</v>
      </c>
      <c r="N2090" s="25">
        <v>0.0</v>
      </c>
      <c r="O2090" s="9">
        <f>revenue[orderPrice]*revenue[orderQuantity]</f>
        <v>136</v>
      </c>
      <c r="P2090" s="9">
        <f>revenue[orderTotal]*(1-revenue[discountApllied])</f>
        <v>136</v>
      </c>
      <c r="Q2090" s="9">
        <f>revenue[revenue]-(revenue[productCost]*revenue[orderQuantity])</f>
        <v>46.03635383</v>
      </c>
      <c r="R2090" s="25">
        <f>IFERROR(revenue[profit]/revenue[revenue], 0)</f>
        <v>0.3385026017</v>
      </c>
      <c r="S2090" s="9">
        <f>revenue[productCost]*revenue[orderQuantity]</f>
        <v>89.96364617</v>
      </c>
    </row>
    <row r="2091" ht="15.75" customHeight="1">
      <c r="A2091" s="6">
        <v>11060.0</v>
      </c>
      <c r="B2091" s="7" t="s">
        <v>85</v>
      </c>
      <c r="C2091" s="24" t="str">
        <f>VLOOKUP(revenue[customerID],customers[],2,FALSE)</f>
        <v>Franchi S.p.A.</v>
      </c>
      <c r="D2091" s="24" t="str">
        <f>VLOOKUP(revenue[customerID],customers[],6,FALSE)</f>
        <v>Torino</v>
      </c>
      <c r="E2091" s="24" t="str">
        <f>VLOOKUP(revenue[customerID],customers[],9,FALSE)</f>
        <v>Italy</v>
      </c>
      <c r="F2091" s="24">
        <v>45412.0</v>
      </c>
      <c r="G2091" s="6">
        <v>77.0</v>
      </c>
      <c r="H2091" s="9" t="str">
        <f>VLOOKUP(revenue[productID],products[],2,FALSE)</f>
        <v>Original Frankfurter grüne Soße</v>
      </c>
      <c r="I2091" s="9" t="str">
        <f>VLOOKUP(revenue[productID],products[],12,FALSE)</f>
        <v>Condiments</v>
      </c>
      <c r="J2091" s="9">
        <f>VLOOKUP(revenue[productID],products[],IF(YEAR(revenue[orderDate])=2022,8,IF(YEAR(revenue[orderDate])=2023,9,IF(YEAR(revenue[orderDate])=2024,10,NA))),FALSE)</f>
        <v>9.299025151</v>
      </c>
      <c r="K2091" s="9">
        <v>13.0</v>
      </c>
      <c r="L2091" s="25">
        <f>(revenue[orderPrice]-revenue[productCost])/revenue[productCost]</f>
        <v>0.3979960037</v>
      </c>
      <c r="M2091" s="10">
        <v>10.0</v>
      </c>
      <c r="N2091" s="25">
        <v>0.0</v>
      </c>
      <c r="O2091" s="9">
        <f>revenue[orderPrice]*revenue[orderQuantity]</f>
        <v>130</v>
      </c>
      <c r="P2091" s="9">
        <f>revenue[orderTotal]*(1-revenue[discountApllied])</f>
        <v>130</v>
      </c>
      <c r="Q2091" s="9">
        <f>revenue[revenue]-(revenue[productCost]*revenue[orderQuantity])</f>
        <v>37.00974849</v>
      </c>
      <c r="R2091" s="25">
        <f>IFERROR(revenue[profit]/revenue[revenue], 0)</f>
        <v>0.284690373</v>
      </c>
      <c r="S2091" s="9">
        <f>revenue[productCost]*revenue[orderQuantity]</f>
        <v>92.99025151</v>
      </c>
    </row>
    <row r="2092" ht="15.75" customHeight="1">
      <c r="A2092" s="6">
        <v>11061.0</v>
      </c>
      <c r="B2092" s="7" t="s">
        <v>94</v>
      </c>
      <c r="C2092" s="24" t="str">
        <f>VLOOKUP(revenue[customerID],customers[],2,FALSE)</f>
        <v>Great Lakes Food Market</v>
      </c>
      <c r="D2092" s="24" t="str">
        <f>VLOOKUP(revenue[customerID],customers[],6,FALSE)</f>
        <v>Eugene</v>
      </c>
      <c r="E2092" s="24" t="str">
        <f>VLOOKUP(revenue[customerID],customers[],9,FALSE)</f>
        <v>USA</v>
      </c>
      <c r="F2092" s="24">
        <v>45412.0</v>
      </c>
      <c r="G2092" s="6">
        <v>60.0</v>
      </c>
      <c r="H2092" s="9" t="str">
        <f>VLOOKUP(revenue[productID],products[],2,FALSE)</f>
        <v>Camembert Pierrot</v>
      </c>
      <c r="I2092" s="9" t="str">
        <f>VLOOKUP(revenue[productID],products[],12,FALSE)</f>
        <v>Dairy Products</v>
      </c>
      <c r="J2092" s="9">
        <f>VLOOKUP(revenue[productID],products[],IF(YEAR(revenue[orderDate])=2022,8,IF(YEAR(revenue[orderDate])=2023,9,IF(YEAR(revenue[orderDate])=2024,10,NA))),FALSE)</f>
        <v>22.49091154</v>
      </c>
      <c r="K2092" s="9">
        <v>34.0</v>
      </c>
      <c r="L2092" s="25">
        <f>(revenue[orderPrice]-revenue[productCost])/revenue[productCost]</f>
        <v>0.5117217431</v>
      </c>
      <c r="M2092" s="10">
        <v>15.0</v>
      </c>
      <c r="N2092" s="25">
        <v>0.0</v>
      </c>
      <c r="O2092" s="9">
        <f>revenue[orderPrice]*revenue[orderQuantity]</f>
        <v>510</v>
      </c>
      <c r="P2092" s="9">
        <f>revenue[orderTotal]*(1-revenue[discountApllied])</f>
        <v>510</v>
      </c>
      <c r="Q2092" s="9">
        <f>revenue[revenue]-(revenue[productCost]*revenue[orderQuantity])</f>
        <v>172.6363269</v>
      </c>
      <c r="R2092" s="25">
        <f>IFERROR(revenue[profit]/revenue[revenue], 0)</f>
        <v>0.3385026017</v>
      </c>
      <c r="S2092" s="9">
        <f>revenue[productCost]*revenue[orderQuantity]</f>
        <v>337.3636731</v>
      </c>
    </row>
    <row r="2093" ht="15.75" customHeight="1">
      <c r="A2093" s="6">
        <v>11062.0</v>
      </c>
      <c r="B2093" s="7" t="s">
        <v>45</v>
      </c>
      <c r="C2093" s="24" t="str">
        <f>VLOOKUP(revenue[customerID],customers[],2,FALSE)</f>
        <v>Reggiani Caseifici</v>
      </c>
      <c r="D2093" s="24" t="str">
        <f>VLOOKUP(revenue[customerID],customers[],6,FALSE)</f>
        <v>Reggio Emilia</v>
      </c>
      <c r="E2093" s="24" t="str">
        <f>VLOOKUP(revenue[customerID],customers[],9,FALSE)</f>
        <v>Italy</v>
      </c>
      <c r="F2093" s="24">
        <v>45412.0</v>
      </c>
      <c r="G2093" s="6">
        <v>53.0</v>
      </c>
      <c r="H2093" s="9" t="str">
        <f>VLOOKUP(revenue[productID],products[],2,FALSE)</f>
        <v>Perth Pasties</v>
      </c>
      <c r="I2093" s="9" t="str">
        <f>VLOOKUP(revenue[productID],products[],12,FALSE)</f>
        <v>Meat/Poultry</v>
      </c>
      <c r="J2093" s="9">
        <f>VLOOKUP(revenue[productID],products[],IF(YEAR(revenue[orderDate])=2022,8,IF(YEAR(revenue[orderDate])=2023,9,IF(YEAR(revenue[orderDate])=2024,10,NA))),FALSE)</f>
        <v>22.92637057</v>
      </c>
      <c r="K2093" s="9">
        <v>32.8</v>
      </c>
      <c r="L2093" s="25">
        <f>(revenue[orderPrice]-revenue[productCost])/revenue[productCost]</f>
        <v>0.4306669216</v>
      </c>
      <c r="M2093" s="10">
        <v>10.0</v>
      </c>
      <c r="N2093" s="25">
        <v>0.2</v>
      </c>
      <c r="O2093" s="9">
        <f>revenue[orderPrice]*revenue[orderQuantity]</f>
        <v>328</v>
      </c>
      <c r="P2093" s="9">
        <f>revenue[orderTotal]*(1-revenue[discountApllied])</f>
        <v>262.4</v>
      </c>
      <c r="Q2093" s="9">
        <f>revenue[revenue]-(revenue[productCost]*revenue[orderQuantity])</f>
        <v>33.13629435</v>
      </c>
      <c r="R2093" s="25">
        <f>IFERROR(revenue[profit]/revenue[revenue], 0)</f>
        <v>0.1262816096</v>
      </c>
      <c r="S2093" s="9">
        <f>revenue[productCost]*revenue[orderQuantity]</f>
        <v>229.2637057</v>
      </c>
    </row>
    <row r="2094" ht="15.75" customHeight="1">
      <c r="A2094" s="6">
        <v>11062.0</v>
      </c>
      <c r="B2094" s="7" t="s">
        <v>45</v>
      </c>
      <c r="C2094" s="24" t="str">
        <f>VLOOKUP(revenue[customerID],customers[],2,FALSE)</f>
        <v>Reggiani Caseifici</v>
      </c>
      <c r="D2094" s="24" t="str">
        <f>VLOOKUP(revenue[customerID],customers[],6,FALSE)</f>
        <v>Reggio Emilia</v>
      </c>
      <c r="E2094" s="24" t="str">
        <f>VLOOKUP(revenue[customerID],customers[],9,FALSE)</f>
        <v>Italy</v>
      </c>
      <c r="F2094" s="24">
        <v>45412.0</v>
      </c>
      <c r="G2094" s="6">
        <v>70.0</v>
      </c>
      <c r="H2094" s="9" t="str">
        <f>VLOOKUP(revenue[productID],products[],2,FALSE)</f>
        <v>Outback Lager</v>
      </c>
      <c r="I2094" s="9" t="str">
        <f>VLOOKUP(revenue[productID],products[],12,FALSE)</f>
        <v>Beverages</v>
      </c>
      <c r="J2094" s="9">
        <f>VLOOKUP(revenue[productID],products[],IF(YEAR(revenue[orderDate])=2022,8,IF(YEAR(revenue[orderDate])=2023,9,IF(YEAR(revenue[orderDate])=2024,10,NA))),FALSE)</f>
        <v>10.03280812</v>
      </c>
      <c r="K2094" s="9">
        <v>15.0</v>
      </c>
      <c r="L2094" s="25">
        <f>(revenue[orderPrice]-revenue[productCost])/revenue[productCost]</f>
        <v>0.4950948747</v>
      </c>
      <c r="M2094" s="10">
        <v>12.0</v>
      </c>
      <c r="N2094" s="25">
        <v>0.2</v>
      </c>
      <c r="O2094" s="9">
        <f>revenue[orderPrice]*revenue[orderQuantity]</f>
        <v>180</v>
      </c>
      <c r="P2094" s="9">
        <f>revenue[orderTotal]*(1-revenue[discountApllied])</f>
        <v>144</v>
      </c>
      <c r="Q2094" s="9">
        <f>revenue[revenue]-(revenue[productCost]*revenue[orderQuantity])</f>
        <v>23.60630255</v>
      </c>
      <c r="R2094" s="25">
        <f>IFERROR(revenue[profit]/revenue[revenue], 0)</f>
        <v>0.1639326566</v>
      </c>
      <c r="S2094" s="9">
        <f>revenue[productCost]*revenue[orderQuantity]</f>
        <v>120.3936975</v>
      </c>
    </row>
    <row r="2095" ht="15.75" customHeight="1">
      <c r="A2095" s="6">
        <v>11063.0</v>
      </c>
      <c r="B2095" s="7" t="s">
        <v>49</v>
      </c>
      <c r="C2095" s="24" t="str">
        <f>VLOOKUP(revenue[customerID],customers[],2,FALSE)</f>
        <v>Hungry Owl All-Night Grocers</v>
      </c>
      <c r="D2095" s="24" t="str">
        <f>VLOOKUP(revenue[customerID],customers[],6,FALSE)</f>
        <v>Cork</v>
      </c>
      <c r="E2095" s="24" t="str">
        <f>VLOOKUP(revenue[customerID],customers[],9,FALSE)</f>
        <v>Ireland</v>
      </c>
      <c r="F2095" s="24">
        <v>45412.0</v>
      </c>
      <c r="G2095" s="6">
        <v>34.0</v>
      </c>
      <c r="H2095" s="9" t="str">
        <f>VLOOKUP(revenue[productID],products[],2,FALSE)</f>
        <v>Sasquatch Ale</v>
      </c>
      <c r="I2095" s="9" t="str">
        <f>VLOOKUP(revenue[productID],products[],12,FALSE)</f>
        <v>Beverages</v>
      </c>
      <c r="J2095" s="9">
        <f>VLOOKUP(revenue[productID],products[],IF(YEAR(revenue[orderDate])=2022,8,IF(YEAR(revenue[orderDate])=2023,9,IF(YEAR(revenue[orderDate])=2024,10,NA))),FALSE)</f>
        <v>10.07231561</v>
      </c>
      <c r="K2095" s="9">
        <v>14.0</v>
      </c>
      <c r="L2095" s="25">
        <f>(revenue[orderPrice]-revenue[productCost])/revenue[productCost]</f>
        <v>0.389948503</v>
      </c>
      <c r="M2095" s="10">
        <v>30.0</v>
      </c>
      <c r="N2095" s="25">
        <v>0.0</v>
      </c>
      <c r="O2095" s="9">
        <f>revenue[orderPrice]*revenue[orderQuantity]</f>
        <v>420</v>
      </c>
      <c r="P2095" s="9">
        <f>revenue[orderTotal]*(1-revenue[discountApllied])</f>
        <v>420</v>
      </c>
      <c r="Q2095" s="9">
        <f>revenue[revenue]-(revenue[productCost]*revenue[orderQuantity])</f>
        <v>117.8305318</v>
      </c>
      <c r="R2095" s="25">
        <f>IFERROR(revenue[profit]/revenue[revenue], 0)</f>
        <v>0.2805488852</v>
      </c>
      <c r="S2095" s="9">
        <f>revenue[productCost]*revenue[orderQuantity]</f>
        <v>302.1694682</v>
      </c>
    </row>
    <row r="2096" ht="15.75" customHeight="1">
      <c r="A2096" s="6">
        <v>11063.0</v>
      </c>
      <c r="B2096" s="7" t="s">
        <v>49</v>
      </c>
      <c r="C2096" s="24" t="str">
        <f>VLOOKUP(revenue[customerID],customers[],2,FALSE)</f>
        <v>Hungry Owl All-Night Grocers</v>
      </c>
      <c r="D2096" s="24" t="str">
        <f>VLOOKUP(revenue[customerID],customers[],6,FALSE)</f>
        <v>Cork</v>
      </c>
      <c r="E2096" s="24" t="str">
        <f>VLOOKUP(revenue[customerID],customers[],9,FALSE)</f>
        <v>Ireland</v>
      </c>
      <c r="F2096" s="24">
        <v>45412.0</v>
      </c>
      <c r="G2096" s="6">
        <v>40.0</v>
      </c>
      <c r="H2096" s="9" t="str">
        <f>VLOOKUP(revenue[productID],products[],2,FALSE)</f>
        <v>Boston Crab Meat</v>
      </c>
      <c r="I2096" s="9" t="str">
        <f>VLOOKUP(revenue[productID],products[],12,FALSE)</f>
        <v>Seafood</v>
      </c>
      <c r="J2096" s="9">
        <f>VLOOKUP(revenue[productID],products[],IF(YEAR(revenue[orderDate])=2022,8,IF(YEAR(revenue[orderDate])=2023,9,IF(YEAR(revenue[orderDate])=2024,10,NA))),FALSE)</f>
        <v>12.44307</v>
      </c>
      <c r="K2096" s="9">
        <v>18.4</v>
      </c>
      <c r="L2096" s="25">
        <f>(revenue[orderPrice]-revenue[productCost])/revenue[productCost]</f>
        <v>0.4787347499</v>
      </c>
      <c r="M2096" s="10">
        <v>40.0</v>
      </c>
      <c r="N2096" s="25">
        <v>0.1</v>
      </c>
      <c r="O2096" s="9">
        <f>revenue[orderPrice]*revenue[orderQuantity]</f>
        <v>736</v>
      </c>
      <c r="P2096" s="9">
        <f>revenue[orderTotal]*(1-revenue[discountApllied])</f>
        <v>662.4</v>
      </c>
      <c r="Q2096" s="9">
        <f>revenue[revenue]-(revenue[productCost]*revenue[orderQuantity])</f>
        <v>164.6772001</v>
      </c>
      <c r="R2096" s="25">
        <f>IFERROR(revenue[profit]/revenue[revenue], 0)</f>
        <v>0.2486068842</v>
      </c>
      <c r="S2096" s="9">
        <f>revenue[productCost]*revenue[orderQuantity]</f>
        <v>497.7227999</v>
      </c>
    </row>
    <row r="2097" ht="15.75" customHeight="1">
      <c r="A2097" s="6">
        <v>11063.0</v>
      </c>
      <c r="B2097" s="7" t="s">
        <v>49</v>
      </c>
      <c r="C2097" s="24" t="str">
        <f>VLOOKUP(revenue[customerID],customers[],2,FALSE)</f>
        <v>Hungry Owl All-Night Grocers</v>
      </c>
      <c r="D2097" s="24" t="str">
        <f>VLOOKUP(revenue[customerID],customers[],6,FALSE)</f>
        <v>Cork</v>
      </c>
      <c r="E2097" s="24" t="str">
        <f>VLOOKUP(revenue[customerID],customers[],9,FALSE)</f>
        <v>Ireland</v>
      </c>
      <c r="F2097" s="24">
        <v>45412.0</v>
      </c>
      <c r="G2097" s="6">
        <v>41.0</v>
      </c>
      <c r="H2097" s="9" t="str">
        <f>VLOOKUP(revenue[productID],products[],2,FALSE)</f>
        <v>Jack's New England Clam Chowder</v>
      </c>
      <c r="I2097" s="9" t="str">
        <f>VLOOKUP(revenue[productID],products[],12,FALSE)</f>
        <v>Seafood</v>
      </c>
      <c r="J2097" s="9">
        <f>VLOOKUP(revenue[productID],products[],IF(YEAR(revenue[orderDate])=2022,8,IF(YEAR(revenue[orderDate])=2023,9,IF(YEAR(revenue[orderDate])=2024,10,NA))),FALSE)</f>
        <v>6.611787882</v>
      </c>
      <c r="K2097" s="9">
        <v>9.65</v>
      </c>
      <c r="L2097" s="25">
        <f>(revenue[orderPrice]-revenue[productCost])/revenue[productCost]</f>
        <v>0.459514457</v>
      </c>
      <c r="M2097" s="10">
        <v>30.0</v>
      </c>
      <c r="N2097" s="25">
        <v>0.1</v>
      </c>
      <c r="O2097" s="9">
        <f>revenue[orderPrice]*revenue[orderQuantity]</f>
        <v>289.5</v>
      </c>
      <c r="P2097" s="9">
        <f>revenue[orderTotal]*(1-revenue[discountApllied])</f>
        <v>260.55</v>
      </c>
      <c r="Q2097" s="9">
        <f>revenue[revenue]-(revenue[productCost]*revenue[orderQuantity])</f>
        <v>62.19636354</v>
      </c>
      <c r="R2097" s="25">
        <f>IFERROR(revenue[profit]/revenue[revenue], 0)</f>
        <v>0.2387118156</v>
      </c>
      <c r="S2097" s="9">
        <f>revenue[productCost]*revenue[orderQuantity]</f>
        <v>198.3536365</v>
      </c>
    </row>
  </sheetData>
  <dataValidations>
    <dataValidation type="custom" allowBlank="1" showDropDown="1" sqref="F2:F2097">
      <formula1>OR(NOT(ISERROR(DATEVALUE(F2))), AND(ISNUMBER(F2), LEFT(CELL("format", F2))="D"))</formula1>
    </dataValidation>
    <dataValidation type="custom" allowBlank="1" showDropDown="1" sqref="A2:A2097 G2:G2097 K2:L2097 N2:N2097 R2:R2097">
      <formula1>AND(ISNUMBER(A2),(NOT(OR(NOT(ISERROR(DATEVALUE(A2))), AND(ISNUMBER(A2), LEFT(CELL("format", A2))="D")))))</formula1>
    </dataValidation>
    <dataValidation allowBlank="1" showDropDown="1" sqref="B2:B2097"/>
  </dataValidations>
  <printOptions/>
  <pageMargins bottom="0.75" footer="0.0" header="0.0" left="0.7" right="0.7" top="0.75"/>
  <pageSetup paperSize="9"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drawing r:id="rId1"/>
</worksheet>
</file>